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omments7.xml" ContentType="application/vnd.openxmlformats-officedocument.spreadsheetml.comments+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comments8.xml" ContentType="application/vnd.openxmlformats-officedocument.spreadsheetml.comments+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axa365-my.sharepoint.com/personal/pattarawan_siriwattanathon_krungthai-axa_co_th/Documents/Desktop/Task/13. Sale proposal 2026 - AGY/Sale Proposal 2026/Sale Proposal 2026/"/>
    </mc:Choice>
  </mc:AlternateContent>
  <xr:revisionPtr revIDLastSave="1" documentId="13_ncr:1_{F40D8576-5796-4B60-A648-B1C6CFFB322A}" xr6:coauthVersionLast="47" xr6:coauthVersionMax="47" xr10:uidLastSave="{2B28B4D1-883A-4A29-99C9-904DF1772C0A}"/>
  <workbookProtection workbookAlgorithmName="SHA-512" workbookHashValue="7q3qyVuiljc8+egR3O0NGm/H3cjr3QMbk9TI79m3I8fFIVd9/RMTCNiWdpetaQKAaSipkbfVcCoH3sRCjRujCg==" workbookSaltValue="LMRaYs+SKIh8+xENuXeOUg==" workbookSpinCount="100000" lockStructure="1"/>
  <bookViews>
    <workbookView xWindow="28680" yWindow="-120" windowWidth="29040" windowHeight="15720" tabRatio="896" firstSheet="9" activeTab="28" xr2:uid="{00000000-000D-0000-FFFF-FFFF00000000}"/>
  </bookViews>
  <sheets>
    <sheet name="WPD01" sheetId="24" state="hidden" r:id="rId1"/>
    <sheet name="WPDD01" sheetId="18" state="hidden" r:id="rId2"/>
    <sheet name="Rate Rider" sheetId="16" state="hidden" r:id="rId3"/>
    <sheet name="Rate rider_MEX" sheetId="40" state="hidden" r:id="rId4"/>
    <sheet name="iHealthy Ultra Rate" sheetId="48" state="hidden" r:id="rId5"/>
    <sheet name="Login" sheetId="47" state="hidden" r:id="rId6"/>
    <sheet name="Data support" sheetId="51" state="hidden" r:id="rId7"/>
    <sheet name="Rate CI 123" sheetId="64" state="hidden" r:id="rId8"/>
    <sheet name="วิธีการใช้งาน" sheetId="21" r:id="rId9"/>
    <sheet name="กรอกข้อมูล" sheetId="1" r:id="rId10"/>
    <sheet name="ตารางแสดงผลประโยชน์" sheetId="23" r:id="rId11"/>
    <sheet name="ตารางมูลค่า" sheetId="56" state="hidden" r:id="rId12"/>
    <sheet name="CI MED EX RATE" sheetId="57" state="hidden" r:id="rId13"/>
    <sheet name="Cal" sheetId="17" state="hidden" r:id="rId14"/>
    <sheet name="Premium&amp;Maturity" sheetId="6" state="hidden" r:id="rId15"/>
    <sheet name="Product Category Tax Deduct" sheetId="39" state="hidden" r:id="rId16"/>
    <sheet name="TABCV(Female)" sheetId="5" state="hidden" r:id="rId17"/>
    <sheet name="TABCV(Male)" sheetId="4" state="hidden" r:id="rId18"/>
    <sheet name="ผลประโยชน์ โรคร้ายโซชิลด์" sheetId="58" r:id="rId19"/>
    <sheet name="ผลประโยชน์ ไอเฮลท์ตี้ อัลตร้า" sheetId="49" r:id="rId20"/>
    <sheet name="ผลประโยชน์ (MEX)" sheetId="43" r:id="rId21"/>
    <sheet name="ผลประโยชน์ (Rider)" sheetId="20" r:id="rId22"/>
    <sheet name="ผลประโยชน์ (cancer)" sheetId="26" r:id="rId23"/>
    <sheet name="Flexi Health_offshelf 30.12.21" sheetId="30" state="hidden" r:id="rId24"/>
    <sheet name="ข้อยกเว้น Flexi Health" sheetId="32" state="hidden" r:id="rId25"/>
    <sheet name="List" sheetId="29" state="hidden" r:id="rId26"/>
    <sheet name="Premium Flexi Health" sheetId="28" state="hidden" r:id="rId27"/>
    <sheet name="ผลประโยชน์ CI 123" sheetId="61" r:id="rId28"/>
    <sheet name="สรุปผลประโยชน์" sheetId="19" r:id="rId29"/>
    <sheet name="เงื่อนไขทั่วไปของกรมธรรม์" sheetId="36" r:id="rId30"/>
    <sheet name="ข้อยกเว้น CI 123" sheetId="62" r:id="rId31"/>
    <sheet name="รายชื่อโรค CI 123" sheetId="63" r:id="rId32"/>
    <sheet name="ข้อยกเว้น Roke Rai So Shield" sheetId="59" r:id="rId33"/>
    <sheet name="นิยามโรค Roke Rai So Shield" sheetId="60" r:id="rId34"/>
    <sheet name="เงื่อนไขที่สำคัญ ข้อยกเว้น iHU" sheetId="50" r:id="rId35"/>
    <sheet name="เงื่อนไขที่สำคัญ ข้อยกเว้น MEX" sheetId="44" r:id="rId36"/>
    <sheet name="ข้อยกเว้นสัญญาเพิ่มเติม1-2" sheetId="37" r:id="rId37"/>
    <sheet name="ข้อยกเว้นสัญญาเพิ่มเติม2-2" sheetId="38" r:id="rId38"/>
    <sheet name="ช่องทางชำระเงิน" sheetId="35" r:id="rId39"/>
    <sheet name="ลงนาม" sheetId="33" r:id="rId40"/>
    <sheet name="Rate WP" sheetId="54" state="hidden" r:id="rId41"/>
    <sheet name="Rate PB" sheetId="55" state="hidden" r:id="rId42"/>
    <sheet name="cancer" sheetId="25" state="hidden" r:id="rId43"/>
  </sheets>
  <externalReferences>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_xlnm._FilterDatabase" localSheetId="15" hidden="1">'Product Category Tax Deduct'!$R$2:$AC$714</definedName>
    <definedName name="_xlnm._FilterDatabase" localSheetId="16" hidden="1">'TABCV(Female)'!$A$1:$OQ$431</definedName>
    <definedName name="_xlnm._FilterDatabase" localSheetId="17" hidden="1">'TABCV(Male)'!$A$1:$OQ$431</definedName>
    <definedName name="_Hlk69890696" localSheetId="30">'ข้อยกเว้น CI 123'!$A$15</definedName>
    <definedName name="_Hlk69890696" localSheetId="32">'ข้อยกเว้น Roke Rai So Shield'!$A$28</definedName>
    <definedName name="_Hlk69890696" localSheetId="34">'เงื่อนไขที่สำคัญ ข้อยกเว้น iHU'!$A$34</definedName>
    <definedName name="_Hlk69890696" localSheetId="35">'เงื่อนไขที่สำคัญ ข้อยกเว้น MEX'!$A$36</definedName>
    <definedName name="_Hlk69890696" localSheetId="33">'นิยามโรค Roke Rai So Shield'!$B$29</definedName>
    <definedName name="_Hlk69890696" localSheetId="31">'รายชื่อโรค CI 123'!$A$65</definedName>
    <definedName name="_Hlk72091284" localSheetId="18">'ผลประโยชน์ โรคร้ายโซชิลด์'!$A$9</definedName>
    <definedName name="_Hlk72091284" localSheetId="19">'ผลประโยชน์ ไอเฮลท์ตี้ อัลตร้า'!$A$6</definedName>
    <definedName name="_Hlk72676939" localSheetId="18">'ผลประโยชน์ โรคร้ายโซชิลด์'!$A$54</definedName>
    <definedName name="_Hlk72676939" localSheetId="19">'ผลประโยชน์ ไอเฮลท์ตี้ อัลตร้า'!$A$63</definedName>
    <definedName name="_Hlk72824934" localSheetId="18">'ผลประโยชน์ โรคร้ายโซชิลด์'!#REF!</definedName>
    <definedName name="_Hlk72824934" localSheetId="19">'ผลประโยชน์ ไอเฮลท์ตี้ อัลตร้า'!#REF!</definedName>
    <definedName name="_Hlk72839288" localSheetId="18">'ผลประโยชน์ โรคร้ายโซชิลด์'!#REF!</definedName>
    <definedName name="_Hlk72839288" localSheetId="19">'ผลประโยชน์ ไอเฮลท์ตี้ อัลตร้า'!#REF!</definedName>
    <definedName name="_Toc98510358" localSheetId="9">กรอกข้อมูล!$A$85</definedName>
    <definedName name="a" localSheetId="12">'[1]Global Assumption'!$D$13</definedName>
    <definedName name="a" localSheetId="4">'[1]Global Assumption'!$D$13</definedName>
    <definedName name="a" localSheetId="15">'[1]Global Assumption'!$D$13</definedName>
    <definedName name="a" localSheetId="32">'[2]Global Assumption'!$D$13</definedName>
    <definedName name="a" localSheetId="33">'[2]Global Assumption'!$D$13</definedName>
    <definedName name="a" localSheetId="18">'[2]Global Assumption'!$D$13</definedName>
    <definedName name="a">'[2]Global Assumption'!$D$13</definedName>
    <definedName name="aa" localSheetId="12">[1]PremiumReport!$A$2</definedName>
    <definedName name="aa" localSheetId="4">[1]PremiumReport!$A$2</definedName>
    <definedName name="aa" localSheetId="15">[1]PremiumReport!$A$2</definedName>
    <definedName name="aa" localSheetId="32">[2]PremiumReport!$A$2</definedName>
    <definedName name="aa" localSheetId="33">[2]PremiumReport!$A$2</definedName>
    <definedName name="aa" localSheetId="18">[2]PremiumReport!$A$2</definedName>
    <definedName name="aa">[2]PremiumReport!$A$2</definedName>
    <definedName name="age" localSheetId="12">'[1]Global Assumption'!$D$13</definedName>
    <definedName name="age" localSheetId="4">'[1]Global Assumption'!$D$13</definedName>
    <definedName name="age" localSheetId="15">'[1]Global Assumption'!$D$13</definedName>
    <definedName name="age" localSheetId="32">'[2]Global Assumption'!$D$13</definedName>
    <definedName name="age" localSheetId="33">'[2]Global Assumption'!$D$13</definedName>
    <definedName name="age" localSheetId="18">'[2]Global Assumption'!$D$13</definedName>
    <definedName name="age">'[2]Global Assumption'!$D$13</definedName>
    <definedName name="BuyOnly" localSheetId="12">[3]กรอกข้อมูล!#REF!</definedName>
    <definedName name="BuyOnly" localSheetId="7">[4]กรอกข้อมูล!#REF!</definedName>
    <definedName name="BuyOnly" localSheetId="30">[4]กรอกข้อมูล!#REF!</definedName>
    <definedName name="BuyOnly" localSheetId="32">[3]กรอกข้อมูล!#REF!</definedName>
    <definedName name="BuyOnly" localSheetId="33">[3]กรอกข้อมูล!#REF!</definedName>
    <definedName name="BuyOnly" localSheetId="27">[4]กรอกข้อมูล!#REF!</definedName>
    <definedName name="BuyOnly" localSheetId="18">[3]กรอกข้อมูล!#REF!</definedName>
    <definedName name="BuyOnly" localSheetId="31">[4]กรอกข้อมูล!#REF!</definedName>
    <definedName name="BuyOnly">กรอกข้อมูล!#REF!</definedName>
    <definedName name="CannotBuy" localSheetId="12">[3]กรอกข้อมูล!#REF!</definedName>
    <definedName name="CannotBuy" localSheetId="7">[4]กรอกข้อมูล!#REF!</definedName>
    <definedName name="CannotBuy" localSheetId="30">[4]กรอกข้อมูล!#REF!</definedName>
    <definedName name="CannotBuy" localSheetId="32">[3]กรอกข้อมูล!#REF!</definedName>
    <definedName name="CannotBuy" localSheetId="33">[3]กรอกข้อมูล!#REF!</definedName>
    <definedName name="CannotBuy" localSheetId="27">[4]กรอกข้อมูล!#REF!</definedName>
    <definedName name="CannotBuy" localSheetId="18">[3]กรอกข้อมูล!#REF!</definedName>
    <definedName name="CannotBuy" localSheetId="31">[4]กรอกข้อมูล!#REF!</definedName>
    <definedName name="CannotBuy">กรอกข้อมูล!#REF!</definedName>
    <definedName name="CVAge" localSheetId="12">[5]CVCalculation!$C$2</definedName>
    <definedName name="CVAge" localSheetId="4">[5]CVCalculation!$C$2</definedName>
    <definedName name="CVAge" localSheetId="15">[5]CVCalculation!$C$2</definedName>
    <definedName name="CVAge" localSheetId="32">[6]CVCalculation!$C$2</definedName>
    <definedName name="CVAge" localSheetId="33">[6]CVCalculation!$C$2</definedName>
    <definedName name="CVAge" localSheetId="18">[6]CVCalculation!$C$2</definedName>
    <definedName name="CVAge">[6]CVCalculation!$C$2</definedName>
    <definedName name="i" localSheetId="12">[7]TB_DV!#REF!</definedName>
    <definedName name="i" localSheetId="4">[7]TB_DV!#REF!</definedName>
    <definedName name="i" localSheetId="15">[7]TB_DV!#REF!</definedName>
    <definedName name="i" localSheetId="30">[8]TB_DV!#REF!</definedName>
    <definedName name="i" localSheetId="32">[8]TB_DV!#REF!</definedName>
    <definedName name="i" localSheetId="37">[8]TB_DV!#REF!</definedName>
    <definedName name="i" localSheetId="34">[8]TB_DV!#REF!</definedName>
    <definedName name="i" localSheetId="33">[8]TB_DV!#REF!</definedName>
    <definedName name="i" localSheetId="18">[8]TB_DV!#REF!</definedName>
    <definedName name="i" localSheetId="19">[8]TB_DV!#REF!</definedName>
    <definedName name="i" localSheetId="31">[8]TB_DV!#REF!</definedName>
    <definedName name="i" localSheetId="39">[8]TB_DV!#REF!</definedName>
    <definedName name="i">[8]TB_DV!#REF!</definedName>
    <definedName name="m_age" localSheetId="12">'[1]Global Assumption'!$D$13</definedName>
    <definedName name="m_age" localSheetId="4">'[1]Global Assumption'!$D$13</definedName>
    <definedName name="m_age" localSheetId="15">'[1]Global Assumption'!$D$13</definedName>
    <definedName name="m_age" localSheetId="32">'[2]Global Assumption'!$D$13</definedName>
    <definedName name="m_age" localSheetId="33">'[2]Global Assumption'!$D$13</definedName>
    <definedName name="m_age" localSheetId="18">'[2]Global Assumption'!$D$13</definedName>
    <definedName name="m_age">'[2]Global Assumption'!$D$13</definedName>
    <definedName name="Max_Age" localSheetId="12">'[9]Global Assumption'!$D$13</definedName>
    <definedName name="Max_Age" localSheetId="4">'[9]Global Assumption'!$D$13</definedName>
    <definedName name="Max_Age" localSheetId="15">'[9]Global Assumption'!$D$13</definedName>
    <definedName name="Max_Age" localSheetId="1">'[9]Global Assumption'!$D$13</definedName>
    <definedName name="Max_Age" localSheetId="32">'[10]Global Assumption'!$D$13</definedName>
    <definedName name="Max_Age" localSheetId="33">'[10]Global Assumption'!$D$13</definedName>
    <definedName name="Max_Age" localSheetId="18">'[10]Global Assumption'!$D$13</definedName>
    <definedName name="Max_Age">'[10]Global Assumption'!$D$13</definedName>
    <definedName name="OptionBuy" localSheetId="12">[3]กรอกข้อมูล!#REF!</definedName>
    <definedName name="OptionBuy" localSheetId="7">[4]กรอกข้อมูล!#REF!</definedName>
    <definedName name="OptionBuy" localSheetId="30">[4]กรอกข้อมูล!#REF!</definedName>
    <definedName name="OptionBuy" localSheetId="32">[3]กรอกข้อมูล!#REF!</definedName>
    <definedName name="OptionBuy" localSheetId="33">[3]กรอกข้อมูล!#REF!</definedName>
    <definedName name="OptionBuy" localSheetId="27">[4]กรอกข้อมูล!#REF!</definedName>
    <definedName name="OptionBuy" localSheetId="18">[3]กรอกข้อมูล!#REF!</definedName>
    <definedName name="OptionBuy" localSheetId="31">[4]กรอกข้อมูล!#REF!</definedName>
    <definedName name="OptionBuy">กรอกข้อมูล!#REF!</definedName>
    <definedName name="p" localSheetId="12">'[11]Table Summary'!$B$2</definedName>
    <definedName name="p" localSheetId="4">'[11]Table Summary'!$B$2</definedName>
    <definedName name="p" localSheetId="15">'[11]Table Summary'!$B$2</definedName>
    <definedName name="p" localSheetId="32">'[12]Table Summary'!$B$2</definedName>
    <definedName name="p" localSheetId="33">'[12]Table Summary'!$B$2</definedName>
    <definedName name="p" localSheetId="18">'[12]Table Summary'!$B$2</definedName>
    <definedName name="p">'[12]Table Summary'!$B$2</definedName>
    <definedName name="Plan" localSheetId="12">'[13]Table Summary'!$B$2</definedName>
    <definedName name="Plan" localSheetId="4">'[13]Table Summary'!$B$2</definedName>
    <definedName name="Plan" localSheetId="15">'[13]Table Summary'!$B$2</definedName>
    <definedName name="Plan" localSheetId="1">'[14]Table Summary'!$B$2</definedName>
    <definedName name="Plan" localSheetId="32">'[15]Table Summary'!$B$2</definedName>
    <definedName name="Plan" localSheetId="33">'[15]Table Summary'!$B$2</definedName>
    <definedName name="Plan" localSheetId="18">'[15]Table Summary'!$B$2</definedName>
    <definedName name="Plan">'[15]Table Summary'!$B$2</definedName>
    <definedName name="Premium_Duration" localSheetId="12">'[16]Global Assumption'!$D$8</definedName>
    <definedName name="Premium_Duration" localSheetId="4">'[16]Global Assumption'!$D$8</definedName>
    <definedName name="Premium_Duration" localSheetId="15">'[16]Global Assumption'!$D$8</definedName>
    <definedName name="Premium_Duration" localSheetId="32">'[17]Global Assumption'!$D$8</definedName>
    <definedName name="Premium_Duration" localSheetId="33">'[17]Global Assumption'!$D$8</definedName>
    <definedName name="Premium_Duration" localSheetId="18">'[17]Global Assumption'!$D$8</definedName>
    <definedName name="Premium_Duration">'[17]Global Assumption'!$D$8</definedName>
    <definedName name="_xlnm.Print_Area" localSheetId="23">'Flexi Health_offshelf 30.12.21'!$A$1:$O$54</definedName>
    <definedName name="_xlnm.Print_Area" localSheetId="9">กรอกข้อมูล!$A$1:$G$46</definedName>
    <definedName name="_xlnm.Print_Area" localSheetId="30">'ข้อยกเว้น CI 123'!$A$1:$B$9</definedName>
    <definedName name="_xlnm.Print_Area" localSheetId="24">'ข้อยกเว้น Flexi Health'!$A$1:$O$30</definedName>
    <definedName name="_xlnm.Print_Area" localSheetId="32">'ข้อยกเว้น Roke Rai So Shield'!$A$1:$B$22</definedName>
    <definedName name="_xlnm.Print_Area" localSheetId="36">'ข้อยกเว้นสัญญาเพิ่มเติม1-2'!$A$1:$A$16</definedName>
    <definedName name="_xlnm.Print_Area" localSheetId="37">'ข้อยกเว้นสัญญาเพิ่มเติม2-2'!$A$1:$A$13</definedName>
    <definedName name="_xlnm.Print_Area" localSheetId="29">เงื่อนไขทั่วไปของกรมธรรม์!$A$1:$A$21</definedName>
    <definedName name="_xlnm.Print_Area" localSheetId="34">'เงื่อนไขที่สำคัญ ข้อยกเว้น iHU'!$A$1:$B$28</definedName>
    <definedName name="_xlnm.Print_Area" localSheetId="35">'เงื่อนไขที่สำคัญ ข้อยกเว้น MEX'!$A$1:$B$30</definedName>
    <definedName name="_xlnm.Print_Area" localSheetId="11">ตารางมูลค่า!$A$1:$S$72</definedName>
    <definedName name="_xlnm.Print_Area" localSheetId="10">ตารางแสดงผลประโยชน์!$A$1:$K$79</definedName>
    <definedName name="_xlnm.Print_Area" localSheetId="33">'นิยามโรค Roke Rai So Shield'!$A$1:$C$23</definedName>
    <definedName name="_xlnm.Print_Area" localSheetId="22">'ผลประโยชน์ (cancer)'!$A$1:$N$41</definedName>
    <definedName name="_xlnm.Print_Area" localSheetId="20">'ผลประโยชน์ (MEX)'!$A$1:$D$54</definedName>
    <definedName name="_xlnm.Print_Area" localSheetId="21">'ผลประโยชน์ (Rider)'!$A$2:$L$55</definedName>
    <definedName name="_xlnm.Print_Area" localSheetId="27">'ผลประโยชน์ CI 123'!$A$1:$N$39</definedName>
    <definedName name="_xlnm.Print_Area" localSheetId="18">'ผลประโยชน์ โรคร้ายโซชิลด์'!$A$1:$D$63</definedName>
    <definedName name="_xlnm.Print_Area" localSheetId="19">'ผลประโยชน์ ไอเฮลท์ตี้ อัลตร้า'!$A$1:$D$70</definedName>
    <definedName name="_xlnm.Print_Area" localSheetId="31">'รายชื่อโรค CI 123'!$A$1:$D$59</definedName>
    <definedName name="_xlnm.Print_Area" localSheetId="39">ลงนาม!$A$2:$L$31</definedName>
    <definedName name="_xlnm.Print_Area" localSheetId="8">วิธีการใช้งาน!$A$2:$N$16</definedName>
    <definedName name="_xlnm.Print_Area" localSheetId="28">สรุปผลประโยชน์!$A$2:$M$54</definedName>
    <definedName name="RiderAdult" localSheetId="12">[3]กรอกข้อมูล!#REF!</definedName>
    <definedName name="RiderAdult" localSheetId="7">[4]กรอกข้อมูล!#REF!</definedName>
    <definedName name="RiderAdult" localSheetId="30">[4]กรอกข้อมูล!#REF!</definedName>
    <definedName name="RiderAdult" localSheetId="32">[3]กรอกข้อมูล!#REF!</definedName>
    <definedName name="RiderAdult" localSheetId="33">[3]กรอกข้อมูล!#REF!</definedName>
    <definedName name="RiderAdult" localSheetId="27">[4]กรอกข้อมูล!#REF!</definedName>
    <definedName name="RiderAdult" localSheetId="18">[3]กรอกข้อมูล!#REF!</definedName>
    <definedName name="RiderAdult" localSheetId="31">[4]กรอกข้อมูล!#REF!</definedName>
    <definedName name="RiderAdult">กรอกข้อมูล!#REF!</definedName>
    <definedName name="RiderJuvenile" localSheetId="12">[3]กรอกข้อมูล!#REF!</definedName>
    <definedName name="RiderJuvenile" localSheetId="7">[4]กรอกข้อมูล!#REF!</definedName>
    <definedName name="RiderJuvenile" localSheetId="30">[4]กรอกข้อมูล!#REF!</definedName>
    <definedName name="RiderJuvenile" localSheetId="32">[3]กรอกข้อมูล!#REF!</definedName>
    <definedName name="RiderJuvenile" localSheetId="33">[3]กรอกข้อมูล!#REF!</definedName>
    <definedName name="RiderJuvenile" localSheetId="27">[4]กรอกข้อมูล!#REF!</definedName>
    <definedName name="RiderJuvenile" localSheetId="18">[3]กรอกข้อมูล!#REF!</definedName>
    <definedName name="RiderJuvenile" localSheetId="31">[4]กรอกข้อมูล!#REF!</definedName>
    <definedName name="RiderJuvenile">กรอกข้อมูล!#REF!</definedName>
    <definedName name="Sex">[18]ProfitTest!$E$8</definedName>
    <definedName name="TB_Value" localSheetId="12">#REF!</definedName>
    <definedName name="TB_Value" localSheetId="4">#REF!</definedName>
    <definedName name="TB_Value" localSheetId="5">#REF!</definedName>
    <definedName name="TB_Value" localSheetId="15">#REF!</definedName>
    <definedName name="TB_Value" localSheetId="3">#REF!</definedName>
    <definedName name="TB_Value" localSheetId="1">#REF!</definedName>
    <definedName name="TB_Value" localSheetId="30">#REF!</definedName>
    <definedName name="TB_Value" localSheetId="32">#REF!</definedName>
    <definedName name="TB_Value" localSheetId="34">#REF!</definedName>
    <definedName name="TB_Value" localSheetId="35">#REF!</definedName>
    <definedName name="TB_Value" localSheetId="33">#REF!</definedName>
    <definedName name="TB_Value" localSheetId="20">#REF!</definedName>
    <definedName name="TB_Value" localSheetId="18">#REF!</definedName>
    <definedName name="TB_Value" localSheetId="19">#REF!</definedName>
    <definedName name="TB_Value" localSheetId="31">#REF!</definedName>
    <definedName name="TB_Value">#REF!</definedName>
    <definedName name="TBL_Rate_ELI" localSheetId="12">#REF!</definedName>
    <definedName name="TBL_Rate_ELI" localSheetId="4">#REF!</definedName>
    <definedName name="TBL_Rate_ELI" localSheetId="5">#REF!</definedName>
    <definedName name="TBL_Rate_ELI" localSheetId="15">#REF!</definedName>
    <definedName name="TBL_Rate_ELI" localSheetId="3">#REF!</definedName>
    <definedName name="TBL_Rate_ELI" localSheetId="30">#REF!</definedName>
    <definedName name="TBL_Rate_ELI" localSheetId="32">#REF!</definedName>
    <definedName name="TBL_Rate_ELI" localSheetId="34">#REF!</definedName>
    <definedName name="TBL_Rate_ELI" localSheetId="35">#REF!</definedName>
    <definedName name="TBL_Rate_ELI" localSheetId="33">#REF!</definedName>
    <definedName name="TBL_Rate_ELI" localSheetId="20">#REF!</definedName>
    <definedName name="TBL_Rate_ELI" localSheetId="18">#REF!</definedName>
    <definedName name="TBL_Rate_ELI" localSheetId="19">#REF!</definedName>
    <definedName name="TBL_Rate_ELI" localSheetId="31">#REF!</definedName>
    <definedName name="TBL_Rate_ELI">#REF!</definedName>
    <definedName name="TBL_Rate_SLI" localSheetId="12">#REF!</definedName>
    <definedName name="TBL_Rate_SLI" localSheetId="4">#REF!</definedName>
    <definedName name="TBL_Rate_SLI" localSheetId="5">#REF!</definedName>
    <definedName name="TBL_Rate_SLI" localSheetId="15">#REF!</definedName>
    <definedName name="TBL_Rate_SLI" localSheetId="3">#REF!</definedName>
    <definedName name="TBL_Rate_SLI" localSheetId="30">#REF!</definedName>
    <definedName name="TBL_Rate_SLI" localSheetId="32">#REF!</definedName>
    <definedName name="TBL_Rate_SLI" localSheetId="34">#REF!</definedName>
    <definedName name="TBL_Rate_SLI" localSheetId="35">#REF!</definedName>
    <definedName name="TBL_Rate_SLI" localSheetId="33">#REF!</definedName>
    <definedName name="TBL_Rate_SLI" localSheetId="20">#REF!</definedName>
    <definedName name="TBL_Rate_SLI" localSheetId="18">#REF!</definedName>
    <definedName name="TBL_Rate_SLI" localSheetId="19">#REF!</definedName>
    <definedName name="TBL_Rate_SLI" localSheetId="31">#REF!</definedName>
    <definedName name="TBL_Rate_SLI">#REF!</definedName>
    <definedName name="TBL_Rate_TR" localSheetId="12">#REF!</definedName>
    <definedName name="TBL_Rate_TR" localSheetId="4">#REF!</definedName>
    <definedName name="TBL_Rate_TR" localSheetId="5">#REF!</definedName>
    <definedName name="TBL_Rate_TR" localSheetId="15">#REF!</definedName>
    <definedName name="TBL_Rate_TR" localSheetId="3">#REF!</definedName>
    <definedName name="TBL_Rate_TR" localSheetId="30">#REF!</definedName>
    <definedName name="TBL_Rate_TR" localSheetId="32">#REF!</definedName>
    <definedName name="TBL_Rate_TR" localSheetId="34">#REF!</definedName>
    <definedName name="TBL_Rate_TR" localSheetId="35">#REF!</definedName>
    <definedName name="TBL_Rate_TR" localSheetId="33">#REF!</definedName>
    <definedName name="TBL_Rate_TR" localSheetId="20">#REF!</definedName>
    <definedName name="TBL_Rate_TR" localSheetId="18">#REF!</definedName>
    <definedName name="TBL_Rate_TR" localSheetId="19">#REF!</definedName>
    <definedName name="TBL_Rate_TR" localSheetId="31">#REF!</definedName>
    <definedName name="TBL_Rate_TR">#REF!</definedName>
    <definedName name="TBL_Rate_WP" localSheetId="12">#REF!</definedName>
    <definedName name="TBL_Rate_WP" localSheetId="4">#REF!</definedName>
    <definedName name="TBL_Rate_WP" localSheetId="5">#REF!</definedName>
    <definedName name="TBL_Rate_WP" localSheetId="15">#REF!</definedName>
    <definedName name="TBL_Rate_WP" localSheetId="3">#REF!</definedName>
    <definedName name="TBL_Rate_WP" localSheetId="30">#REF!</definedName>
    <definedName name="TBL_Rate_WP" localSheetId="32">#REF!</definedName>
    <definedName name="TBL_Rate_WP" localSheetId="34">#REF!</definedName>
    <definedName name="TBL_Rate_WP" localSheetId="35">#REF!</definedName>
    <definedName name="TBL_Rate_WP" localSheetId="33">#REF!</definedName>
    <definedName name="TBL_Rate_WP" localSheetId="20">#REF!</definedName>
    <definedName name="TBL_Rate_WP" localSheetId="18">#REF!</definedName>
    <definedName name="TBL_Rate_WP" localSheetId="19">#REF!</definedName>
    <definedName name="TBL_Rate_WP" localSheetId="31">#REF!</definedName>
    <definedName name="TBL_Rate_WP">#REF!</definedName>
    <definedName name="TBL_Rate_WPD" localSheetId="12">#REF!</definedName>
    <definedName name="TBL_Rate_WPD" localSheetId="4">#REF!</definedName>
    <definedName name="TBL_Rate_WPD" localSheetId="5">#REF!</definedName>
    <definedName name="TBL_Rate_WPD" localSheetId="15">#REF!</definedName>
    <definedName name="TBL_Rate_WPD" localSheetId="3">#REF!</definedName>
    <definedName name="TBL_Rate_WPD" localSheetId="30">#REF!</definedName>
    <definedName name="TBL_Rate_WPD" localSheetId="32">#REF!</definedName>
    <definedName name="TBL_Rate_WPD" localSheetId="34">#REF!</definedName>
    <definedName name="TBL_Rate_WPD" localSheetId="35">#REF!</definedName>
    <definedName name="TBL_Rate_WPD" localSheetId="33">#REF!</definedName>
    <definedName name="TBL_Rate_WPD" localSheetId="20">#REF!</definedName>
    <definedName name="TBL_Rate_WPD" localSheetId="18">#REF!</definedName>
    <definedName name="TBL_Rate_WPD" localSheetId="19">#REF!</definedName>
    <definedName name="TBL_Rate_WPD" localSheetId="31">#REF!</definedName>
    <definedName name="TBL_Rate_WPD">#REF!</definedName>
    <definedName name="TBL_Rate_WPDD" localSheetId="12">#REF!</definedName>
    <definedName name="TBL_Rate_WPDD" localSheetId="4">#REF!</definedName>
    <definedName name="TBL_Rate_WPDD" localSheetId="5">#REF!</definedName>
    <definedName name="TBL_Rate_WPDD" localSheetId="15">#REF!</definedName>
    <definedName name="TBL_Rate_WPDD" localSheetId="3">#REF!</definedName>
    <definedName name="TBL_Rate_WPDD" localSheetId="30">#REF!</definedName>
    <definedName name="TBL_Rate_WPDD" localSheetId="32">#REF!</definedName>
    <definedName name="TBL_Rate_WPDD" localSheetId="34">#REF!</definedName>
    <definedName name="TBL_Rate_WPDD" localSheetId="35">#REF!</definedName>
    <definedName name="TBL_Rate_WPDD" localSheetId="33">#REF!</definedName>
    <definedName name="TBL_Rate_WPDD" localSheetId="20">#REF!</definedName>
    <definedName name="TBL_Rate_WPDD" localSheetId="18">#REF!</definedName>
    <definedName name="TBL_Rate_WPDD" localSheetId="19">#REF!</definedName>
    <definedName name="TBL_Rate_WPDD" localSheetId="31">#REF!</definedName>
    <definedName name="TBL_Rate_WPDD">#REF!</definedName>
    <definedName name="ThaiAsia" localSheetId="12">[3]กรอกข้อมูล!#REF!</definedName>
    <definedName name="ThaiAsia" localSheetId="7">[4]กรอกข้อมูล!#REF!</definedName>
    <definedName name="ThaiAsia" localSheetId="30">[4]กรอกข้อมูล!#REF!</definedName>
    <definedName name="ThaiAsia" localSheetId="32">[3]กรอกข้อมูล!#REF!</definedName>
    <definedName name="ThaiAsia" localSheetId="33">[3]กรอกข้อมูล!#REF!</definedName>
    <definedName name="ThaiAsia" localSheetId="27">[4]กรอกข้อมูล!#REF!</definedName>
    <definedName name="ThaiAsia" localSheetId="18">[3]กรอกข้อมูล!#REF!</definedName>
    <definedName name="ThaiAsia" localSheetId="31">[4]กรอกข้อมูล!#REF!</definedName>
    <definedName name="ThaiAsia">กรอกข้อมูล!#REF!</definedName>
    <definedName name="ThaiAsiaXUWW" localSheetId="12">[3]กรอกข้อมูล!#REF!</definedName>
    <definedName name="ThaiAsiaXUWW" localSheetId="7">[4]กรอกข้อมูล!#REF!</definedName>
    <definedName name="ThaiAsiaXUWW" localSheetId="30">[4]กรอกข้อมูล!#REF!</definedName>
    <definedName name="ThaiAsiaXUWW" localSheetId="32">[3]กรอกข้อมูล!#REF!</definedName>
    <definedName name="ThaiAsiaXUWW" localSheetId="33">[3]กรอกข้อมูล!#REF!</definedName>
    <definedName name="ThaiAsiaXUWW" localSheetId="27">[4]กรอกข้อมูล!#REF!</definedName>
    <definedName name="ThaiAsiaXUWW" localSheetId="18">[3]กรอกข้อมูล!#REF!</definedName>
    <definedName name="ThaiAsiaXUWW" localSheetId="31">[4]กรอกข้อมูล!#REF!</definedName>
    <definedName name="ThaiAsiaXUWW">กรอกข้อมูล!#REF!</definedName>
    <definedName name="Thailand" localSheetId="12">[3]กรอกข้อมูล!#REF!</definedName>
    <definedName name="Thailand" localSheetId="7">[4]กรอกข้อมูล!#REF!</definedName>
    <definedName name="Thailand" localSheetId="30">[4]กรอกข้อมูล!#REF!</definedName>
    <definedName name="Thailand" localSheetId="32">[3]กรอกข้อมูล!#REF!</definedName>
    <definedName name="Thailand" localSheetId="33">[3]กรอกข้อมูล!#REF!</definedName>
    <definedName name="Thailand" localSheetId="27">[4]กรอกข้อมูล!#REF!</definedName>
    <definedName name="Thailand" localSheetId="18">[3]กรอกข้อมูล!#REF!</definedName>
    <definedName name="Thailand" localSheetId="31">[4]กรอกข้อมูล!#REF!</definedName>
    <definedName name="Thailand">กรอกข้อมูล!#REF!</definedName>
    <definedName name="Version" localSheetId="12">[9]PremiumReport!$A$2</definedName>
    <definedName name="Version" localSheetId="4">[9]PremiumReport!$A$2</definedName>
    <definedName name="Version" localSheetId="15">[9]PremiumReport!$A$2</definedName>
    <definedName name="Version" localSheetId="1">[9]PremiumReport!$A$2</definedName>
    <definedName name="Version" localSheetId="32">[10]PremiumReport!$A$2</definedName>
    <definedName name="Version" localSheetId="33">[10]PremiumReport!$A$2</definedName>
    <definedName name="Version" localSheetId="18">[10]PremiumReport!$A$2</definedName>
    <definedName name="Version">[10]PremiumReport!$A$2</definedName>
    <definedName name="Workbook_PWD">วิธีการใช้งาน!$P$4</definedName>
    <definedName name="ลักษณะความคุ้มครอง">[3]กรอกข้อมูล!$M$31:$M$33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L45" i="19" l="1"/>
  <c r="H45" i="19"/>
  <c r="F45" i="19"/>
  <c r="L44" i="19"/>
  <c r="H44" i="19"/>
  <c r="F44" i="19"/>
  <c r="L43" i="19"/>
  <c r="H43" i="19"/>
  <c r="F43" i="19"/>
  <c r="L42" i="19"/>
  <c r="N42" i="19" s="1"/>
  <c r="J42" i="19"/>
  <c r="H42" i="19"/>
  <c r="F42" i="19"/>
  <c r="L22" i="61"/>
  <c r="M22" i="61" s="1"/>
  <c r="K4" i="61"/>
  <c r="G4" i="61"/>
  <c r="D4" i="61"/>
  <c r="AL33" i="1"/>
  <c r="AL32" i="1"/>
  <c r="AL31" i="1"/>
  <c r="AL30" i="1"/>
  <c r="AL29" i="1"/>
  <c r="AL28" i="1"/>
  <c r="AL35" i="1"/>
  <c r="AL37" i="1" s="1"/>
  <c r="AJ28" i="1"/>
  <c r="AJ33" i="1" s="1"/>
  <c r="L33" i="61" s="1"/>
  <c r="M33" i="61" s="1"/>
  <c r="AH27" i="1"/>
  <c r="AL26" i="1"/>
  <c r="AK26" i="1"/>
  <c r="AK28" i="1" s="1"/>
  <c r="AJ24" i="1"/>
  <c r="AI24" i="1"/>
  <c r="C33" i="1"/>
  <c r="B33" i="1"/>
  <c r="F15" i="64"/>
  <c r="F14" i="64"/>
  <c r="F13" i="64"/>
  <c r="F12" i="64"/>
  <c r="F11" i="64"/>
  <c r="F10" i="64"/>
  <c r="F9" i="64"/>
  <c r="F8" i="64"/>
  <c r="F7" i="64"/>
  <c r="F6" i="64"/>
  <c r="F5" i="64"/>
  <c r="F4" i="64"/>
  <c r="F3" i="64"/>
  <c r="F2" i="64"/>
  <c r="Q19" i="61"/>
  <c r="D34" i="1" l="1"/>
  <c r="D35" i="1"/>
  <c r="D36" i="1"/>
  <c r="L9" i="61"/>
  <c r="M9" i="61" s="1"/>
  <c r="AJ29" i="1"/>
  <c r="L16" i="61" s="1"/>
  <c r="M16" i="61" s="1"/>
  <c r="AJ30" i="1"/>
  <c r="AM30" i="1" s="1"/>
  <c r="AJ32" i="1"/>
  <c r="L30" i="61" s="1"/>
  <c r="M30" i="61" s="1"/>
  <c r="AJ31" i="1"/>
  <c r="L27" i="61" s="1"/>
  <c r="M27" i="61" s="1"/>
  <c r="AM28" i="1"/>
  <c r="AK32" i="1"/>
  <c r="AK29" i="1"/>
  <c r="AK30" i="1"/>
  <c r="AK31" i="1"/>
  <c r="AK33" i="1"/>
  <c r="AM33" i="1" s="1"/>
  <c r="AL36" i="1"/>
  <c r="AN28" i="1" l="1"/>
  <c r="AM31" i="1"/>
  <c r="AN31" i="1" s="1"/>
  <c r="AM29" i="1"/>
  <c r="AN29" i="1" s="1"/>
  <c r="AM32" i="1"/>
  <c r="AN32" i="1" s="1"/>
  <c r="AN33" i="1"/>
  <c r="AN30" i="1"/>
  <c r="AM34" i="1" l="1"/>
  <c r="AH28" i="1"/>
  <c r="H25" i="17" s="1"/>
  <c r="AN34" i="1"/>
  <c r="AO34" i="1" s="1"/>
  <c r="F33" i="1" l="1"/>
  <c r="F36" i="1"/>
  <c r="F35" i="1"/>
  <c r="F34" i="1"/>
  <c r="K16" i="19" l="1"/>
  <c r="K19" i="19" l="1"/>
  <c r="L19" i="19" s="1"/>
  <c r="J44" i="19"/>
  <c r="J43" i="19"/>
  <c r="K17" i="19"/>
  <c r="L17" i="19" s="1"/>
  <c r="K18" i="19"/>
  <c r="L18" i="19" s="1"/>
  <c r="L16" i="19"/>
  <c r="J45" i="19"/>
  <c r="A56" i="58" l="1"/>
  <c r="G5" i="58"/>
  <c r="A51" i="58" s="1"/>
  <c r="G4" i="58"/>
  <c r="C4" i="58"/>
  <c r="B4" i="58"/>
  <c r="A4" i="58"/>
  <c r="I2" i="58"/>
  <c r="A40" i="58"/>
  <c r="X7" i="58"/>
  <c r="U7" i="58"/>
  <c r="R7" i="58"/>
  <c r="O7" i="58"/>
  <c r="L7" i="58"/>
  <c r="I7" i="58"/>
  <c r="H32" i="1"/>
  <c r="F41" i="19" s="1"/>
  <c r="E24" i="17"/>
  <c r="C3" i="57"/>
  <c r="D3" i="57" s="1"/>
  <c r="C2" i="57"/>
  <c r="D2" i="57" s="1"/>
  <c r="X32" i="1"/>
  <c r="X30" i="1"/>
  <c r="X29" i="1"/>
  <c r="X28" i="1"/>
  <c r="X27" i="1"/>
  <c r="C32" i="1"/>
  <c r="B32" i="1"/>
  <c r="D6" i="57"/>
  <c r="D5" i="57"/>
  <c r="I2" i="49"/>
  <c r="Z32" i="1" l="1"/>
  <c r="D4" i="57" s="1"/>
  <c r="D7" i="57" s="1"/>
  <c r="E7" i="57" s="1"/>
  <c r="D8" i="57" s="1"/>
  <c r="G24" i="17" s="1"/>
  <c r="H41" i="19"/>
  <c r="K15" i="19"/>
  <c r="J41" i="19" s="1"/>
  <c r="F39" i="58"/>
  <c r="Y32" i="1"/>
  <c r="C5" i="48"/>
  <c r="D5" i="48" s="1"/>
  <c r="B31" i="1"/>
  <c r="C3" i="48"/>
  <c r="D3" i="48" s="1"/>
  <c r="C2" i="48"/>
  <c r="D2" i="48" s="1"/>
  <c r="BU10" i="48"/>
  <c r="BT10" i="48"/>
  <c r="BS10" i="48"/>
  <c r="BR10" i="48"/>
  <c r="BQ10" i="48"/>
  <c r="BP10" i="48"/>
  <c r="BO10" i="48"/>
  <c r="BN10" i="48"/>
  <c r="BM10" i="48"/>
  <c r="BL10" i="48"/>
  <c r="BK10" i="48"/>
  <c r="BJ10" i="48"/>
  <c r="BI10" i="48"/>
  <c r="BH10" i="48"/>
  <c r="BG10" i="48"/>
  <c r="BF10" i="48"/>
  <c r="BE10" i="48"/>
  <c r="BD10" i="48"/>
  <c r="BC10" i="48"/>
  <c r="BB10" i="48"/>
  <c r="BA10" i="48"/>
  <c r="AZ10" i="48"/>
  <c r="AY10" i="48"/>
  <c r="AX10" i="48"/>
  <c r="AW10" i="48"/>
  <c r="AV10" i="48"/>
  <c r="AU10" i="48"/>
  <c r="AT10" i="48"/>
  <c r="AS10" i="48"/>
  <c r="AR10" i="48"/>
  <c r="AQ10" i="48"/>
  <c r="AP10" i="48"/>
  <c r="AO10" i="48"/>
  <c r="AN10" i="48"/>
  <c r="AM10" i="48"/>
  <c r="AL10" i="48"/>
  <c r="AK10" i="48"/>
  <c r="AJ10" i="48"/>
  <c r="AI10" i="48"/>
  <c r="AH10" i="48"/>
  <c r="AG10" i="48"/>
  <c r="AF10" i="48"/>
  <c r="AE10" i="48"/>
  <c r="AD10" i="48"/>
  <c r="AC10" i="48"/>
  <c r="AB10" i="48"/>
  <c r="AA10" i="48"/>
  <c r="Z10" i="48"/>
  <c r="A30" i="19"/>
  <c r="H5" i="58" l="1"/>
  <c r="F29" i="58" s="1"/>
  <c r="F19" i="58"/>
  <c r="H43" i="58"/>
  <c r="F22" i="58"/>
  <c r="F21" i="58"/>
  <c r="F27" i="58"/>
  <c r="G30" i="58"/>
  <c r="F33" i="58"/>
  <c r="F13" i="58"/>
  <c r="G44" i="58"/>
  <c r="F44" i="58"/>
  <c r="F35" i="58"/>
  <c r="G28" i="58"/>
  <c r="F30" i="58"/>
  <c r="G45" i="58"/>
  <c r="F32" i="58"/>
  <c r="F24" i="58"/>
  <c r="F16" i="58"/>
  <c r="G43" i="58"/>
  <c r="F17" i="58"/>
  <c r="F7" i="58"/>
  <c r="C7" i="58" s="1"/>
  <c r="F34" i="58"/>
  <c r="F8" i="58"/>
  <c r="C8" i="58" s="1"/>
  <c r="F6" i="58"/>
  <c r="C6" i="58" s="1"/>
  <c r="F28" i="58"/>
  <c r="G16" i="58"/>
  <c r="F31" i="58"/>
  <c r="F15" i="58"/>
  <c r="F23" i="58"/>
  <c r="F14" i="58"/>
  <c r="H11" i="58"/>
  <c r="F20" i="58"/>
  <c r="F43" i="58"/>
  <c r="N14" i="23"/>
  <c r="F45" i="58" l="1"/>
  <c r="F11" i="58"/>
  <c r="F30" i="19"/>
  <c r="A13" i="17"/>
  <c r="B8" i="56" l="1"/>
  <c r="R67" i="56"/>
  <c r="B66" i="56"/>
  <c r="G14" i="56"/>
  <c r="G15" i="56" s="1"/>
  <c r="V7" i="56"/>
  <c r="AC11" i="56" s="1"/>
  <c r="V6" i="56"/>
  <c r="W6" i="56" s="1"/>
  <c r="H5" i="56"/>
  <c r="C5" i="56"/>
  <c r="P2" i="20"/>
  <c r="AC10" i="56" l="1"/>
  <c r="K20" i="1"/>
  <c r="J20" i="1"/>
  <c r="H15" i="56" l="1"/>
  <c r="G16" i="56" s="1"/>
  <c r="M20" i="1"/>
  <c r="C22" i="1"/>
  <c r="H16" i="56" l="1"/>
  <c r="G17" i="56" s="1"/>
  <c r="H17" i="56" l="1"/>
  <c r="G18" i="56" s="1"/>
  <c r="O24" i="17"/>
  <c r="O23" i="17"/>
  <c r="O22" i="17"/>
  <c r="O21" i="17"/>
  <c r="O20" i="17"/>
  <c r="O19" i="17"/>
  <c r="O18" i="17"/>
  <c r="O17" i="17"/>
  <c r="O16" i="17"/>
  <c r="O15" i="17"/>
  <c r="O14" i="17"/>
  <c r="O13" i="17"/>
  <c r="O12" i="17"/>
  <c r="O11" i="17"/>
  <c r="O10" i="17"/>
  <c r="O9" i="17"/>
  <c r="H18" i="56" l="1"/>
  <c r="G19" i="56" s="1"/>
  <c r="J19" i="33"/>
  <c r="J20" i="33"/>
  <c r="D7" i="1"/>
  <c r="H19" i="56" l="1"/>
  <c r="G20" i="56" s="1"/>
  <c r="E14" i="17"/>
  <c r="H20" i="56" l="1"/>
  <c r="G21" i="56" s="1"/>
  <c r="CH119" i="54"/>
  <c r="CH118" i="54"/>
  <c r="CH117" i="54"/>
  <c r="CH116" i="54"/>
  <c r="CH115" i="54"/>
  <c r="CH114" i="54"/>
  <c r="CH113" i="54"/>
  <c r="CH112" i="54"/>
  <c r="CH111" i="54"/>
  <c r="CH110" i="54"/>
  <c r="CH109" i="54"/>
  <c r="CH108" i="54"/>
  <c r="CH107" i="54"/>
  <c r="CH106" i="54"/>
  <c r="CH105" i="54"/>
  <c r="CH104" i="54"/>
  <c r="CH103" i="54"/>
  <c r="CH102" i="54"/>
  <c r="CH101" i="54"/>
  <c r="CH100" i="54"/>
  <c r="CH99" i="54"/>
  <c r="CH98" i="54"/>
  <c r="CH97" i="54"/>
  <c r="CH96" i="54"/>
  <c r="CH95" i="54"/>
  <c r="CH94" i="54"/>
  <c r="CH93" i="54"/>
  <c r="CH92" i="54"/>
  <c r="CH91" i="54"/>
  <c r="CH90" i="54"/>
  <c r="CH89" i="54"/>
  <c r="CH88" i="54"/>
  <c r="CH87" i="54"/>
  <c r="CH86" i="54"/>
  <c r="CH85" i="54"/>
  <c r="CH84" i="54"/>
  <c r="CH83" i="54"/>
  <c r="CH82" i="54"/>
  <c r="CH81" i="54"/>
  <c r="CH80" i="54"/>
  <c r="CH79" i="54"/>
  <c r="CH78" i="54"/>
  <c r="CH77" i="54"/>
  <c r="CH76" i="54"/>
  <c r="CH75" i="54"/>
  <c r="CH74" i="54"/>
  <c r="CH73" i="54"/>
  <c r="CH72" i="54"/>
  <c r="CH71" i="54"/>
  <c r="CH70" i="54"/>
  <c r="CH69" i="54"/>
  <c r="CH68" i="54"/>
  <c r="CH67" i="54"/>
  <c r="CH66" i="54"/>
  <c r="CH65" i="54"/>
  <c r="J21" i="1"/>
  <c r="M27" i="1" l="1"/>
  <c r="C4" i="48" s="1"/>
  <c r="H21" i="56" l="1"/>
  <c r="G22" i="56" s="1"/>
  <c r="K21" i="1"/>
  <c r="M21" i="1" s="1"/>
  <c r="H22" i="56" l="1"/>
  <c r="G23" i="56" s="1"/>
  <c r="N6" i="23"/>
  <c r="O6" i="23" s="1"/>
  <c r="H23" i="56" l="1"/>
  <c r="G24" i="56" s="1"/>
  <c r="B21" i="1"/>
  <c r="C21" i="1" s="1"/>
  <c r="A15" i="17"/>
  <c r="A6" i="39" s="1"/>
  <c r="A14" i="17"/>
  <c r="C437" i="55"/>
  <c r="C436" i="55"/>
  <c r="C435" i="55"/>
  <c r="C434" i="55"/>
  <c r="C433" i="55"/>
  <c r="C432" i="55"/>
  <c r="C431" i="55"/>
  <c r="C430" i="55"/>
  <c r="C429" i="55"/>
  <c r="C428" i="55"/>
  <c r="C427" i="55"/>
  <c r="C426" i="55"/>
  <c r="C425" i="55"/>
  <c r="C424" i="55"/>
  <c r="C423" i="55"/>
  <c r="C422" i="55"/>
  <c r="C421" i="55"/>
  <c r="C420" i="55"/>
  <c r="C419" i="55"/>
  <c r="C418" i="55"/>
  <c r="C417" i="55"/>
  <c r="C416" i="55"/>
  <c r="C415" i="55"/>
  <c r="C414" i="55"/>
  <c r="C413" i="55"/>
  <c r="C412" i="55"/>
  <c r="C411" i="55"/>
  <c r="C410" i="55"/>
  <c r="C409" i="55"/>
  <c r="C408" i="55"/>
  <c r="C407" i="55"/>
  <c r="C406" i="55"/>
  <c r="C405" i="55"/>
  <c r="C404" i="55"/>
  <c r="C403" i="55"/>
  <c r="C402" i="55"/>
  <c r="C401" i="55"/>
  <c r="C400" i="55"/>
  <c r="C399" i="55"/>
  <c r="C398" i="55"/>
  <c r="C397" i="55"/>
  <c r="C396" i="55"/>
  <c r="C395" i="55"/>
  <c r="C394" i="55"/>
  <c r="C393" i="55"/>
  <c r="C392" i="55"/>
  <c r="C391" i="55"/>
  <c r="C390" i="55"/>
  <c r="C389" i="55"/>
  <c r="C388" i="55"/>
  <c r="C387" i="55"/>
  <c r="C386" i="55"/>
  <c r="C385" i="55"/>
  <c r="C384" i="55"/>
  <c r="C383" i="55"/>
  <c r="C382" i="55"/>
  <c r="C381" i="55"/>
  <c r="C380" i="55"/>
  <c r="C379" i="55"/>
  <c r="C378" i="55"/>
  <c r="C377" i="55"/>
  <c r="C376" i="55"/>
  <c r="C375" i="55"/>
  <c r="C374" i="55"/>
  <c r="C373" i="55"/>
  <c r="C372" i="55"/>
  <c r="C371" i="55"/>
  <c r="C370" i="55"/>
  <c r="C369" i="55"/>
  <c r="C368" i="55"/>
  <c r="C367" i="55"/>
  <c r="C366" i="55"/>
  <c r="C365" i="55"/>
  <c r="C364" i="55"/>
  <c r="C363" i="55"/>
  <c r="C362" i="55"/>
  <c r="C361" i="55"/>
  <c r="C360" i="55"/>
  <c r="C359" i="55"/>
  <c r="C358" i="55"/>
  <c r="C357" i="55"/>
  <c r="C356" i="55"/>
  <c r="C355" i="55"/>
  <c r="C354" i="55"/>
  <c r="C353" i="55"/>
  <c r="C352" i="55"/>
  <c r="C351" i="55"/>
  <c r="C350" i="55"/>
  <c r="C349" i="55"/>
  <c r="C348" i="55"/>
  <c r="C347" i="55"/>
  <c r="C346" i="55"/>
  <c r="C345" i="55"/>
  <c r="C344" i="55"/>
  <c r="C343" i="55"/>
  <c r="C342" i="55"/>
  <c r="C341" i="55"/>
  <c r="C340" i="55"/>
  <c r="C339" i="55"/>
  <c r="C338" i="55"/>
  <c r="C337" i="55"/>
  <c r="C336" i="55"/>
  <c r="C332" i="55"/>
  <c r="C331" i="55"/>
  <c r="C330" i="55"/>
  <c r="C329" i="55"/>
  <c r="C328" i="55"/>
  <c r="C327" i="55"/>
  <c r="C326" i="55"/>
  <c r="C325" i="55"/>
  <c r="C324" i="55"/>
  <c r="C323" i="55"/>
  <c r="C322" i="55"/>
  <c r="C321" i="55"/>
  <c r="C320" i="55"/>
  <c r="C319" i="55"/>
  <c r="C318" i="55"/>
  <c r="C317" i="55"/>
  <c r="C316" i="55"/>
  <c r="C315" i="55"/>
  <c r="C314" i="55"/>
  <c r="C313" i="55"/>
  <c r="C312" i="55"/>
  <c r="C311" i="55"/>
  <c r="C310" i="55"/>
  <c r="C309" i="55"/>
  <c r="C308" i="55"/>
  <c r="C307" i="55"/>
  <c r="C306" i="55"/>
  <c r="C305" i="55"/>
  <c r="C304" i="55"/>
  <c r="C303" i="55"/>
  <c r="C302" i="55"/>
  <c r="C301" i="55"/>
  <c r="C300" i="55"/>
  <c r="C299" i="55"/>
  <c r="C298" i="55"/>
  <c r="C297" i="55"/>
  <c r="C296" i="55"/>
  <c r="C295" i="55"/>
  <c r="C294" i="55"/>
  <c r="C293" i="55"/>
  <c r="C292" i="55"/>
  <c r="C291" i="55"/>
  <c r="C290" i="55"/>
  <c r="C289" i="55"/>
  <c r="C288" i="55"/>
  <c r="C287" i="55"/>
  <c r="C286" i="55"/>
  <c r="C285" i="55"/>
  <c r="C284" i="55"/>
  <c r="C283" i="55"/>
  <c r="C282" i="55"/>
  <c r="C281" i="55"/>
  <c r="C280" i="55"/>
  <c r="C279" i="55"/>
  <c r="C278" i="55"/>
  <c r="C277" i="55"/>
  <c r="C276" i="55"/>
  <c r="C275" i="55"/>
  <c r="C274" i="55"/>
  <c r="C273" i="55"/>
  <c r="C272" i="55"/>
  <c r="C271" i="55"/>
  <c r="C270" i="55"/>
  <c r="C269" i="55"/>
  <c r="C268" i="55"/>
  <c r="C267" i="55"/>
  <c r="C266" i="55"/>
  <c r="C265" i="55"/>
  <c r="C264" i="55"/>
  <c r="C263" i="55"/>
  <c r="C262" i="55"/>
  <c r="C261" i="55"/>
  <c r="C260" i="55"/>
  <c r="C259" i="55"/>
  <c r="C258" i="55"/>
  <c r="C257" i="55"/>
  <c r="C256" i="55"/>
  <c r="C255" i="55"/>
  <c r="C254" i="55"/>
  <c r="C253" i="55"/>
  <c r="C252" i="55"/>
  <c r="C251" i="55"/>
  <c r="C250" i="55"/>
  <c r="C249" i="55"/>
  <c r="C248" i="55"/>
  <c r="C247" i="55"/>
  <c r="C246" i="55"/>
  <c r="C245" i="55"/>
  <c r="C244" i="55"/>
  <c r="C243" i="55"/>
  <c r="C242" i="55"/>
  <c r="C241" i="55"/>
  <c r="C240" i="55"/>
  <c r="C239" i="55"/>
  <c r="C238" i="55"/>
  <c r="C237" i="55"/>
  <c r="C236" i="55"/>
  <c r="C235" i="55"/>
  <c r="C234" i="55"/>
  <c r="C233" i="55"/>
  <c r="C232" i="55"/>
  <c r="C231" i="55"/>
  <c r="C118" i="55"/>
  <c r="C227" i="55"/>
  <c r="C226" i="55"/>
  <c r="C225" i="55"/>
  <c r="C224" i="55"/>
  <c r="C223" i="55"/>
  <c r="C222" i="55"/>
  <c r="C221" i="55"/>
  <c r="C220" i="55"/>
  <c r="C219" i="55"/>
  <c r="C218" i="55"/>
  <c r="C217" i="55"/>
  <c r="C216" i="55"/>
  <c r="C215" i="55"/>
  <c r="C214" i="55"/>
  <c r="C213" i="55"/>
  <c r="C212" i="55"/>
  <c r="C211" i="55"/>
  <c r="C210" i="55"/>
  <c r="C209" i="55"/>
  <c r="C208" i="55"/>
  <c r="C207" i="55"/>
  <c r="C206" i="55"/>
  <c r="C205" i="55"/>
  <c r="C204" i="55"/>
  <c r="C203" i="55"/>
  <c r="C202" i="55"/>
  <c r="C201" i="55"/>
  <c r="C200" i="55"/>
  <c r="C199" i="55"/>
  <c r="C198" i="55"/>
  <c r="C197" i="55"/>
  <c r="C196" i="55"/>
  <c r="C195" i="55"/>
  <c r="C194" i="55"/>
  <c r="C193" i="55"/>
  <c r="C192" i="55"/>
  <c r="C191" i="55"/>
  <c r="C190" i="55"/>
  <c r="C189" i="55"/>
  <c r="C188" i="55"/>
  <c r="C187" i="55"/>
  <c r="C186" i="55"/>
  <c r="C185" i="55"/>
  <c r="C184" i="55"/>
  <c r="C183" i="55"/>
  <c r="C182" i="55"/>
  <c r="C181" i="55"/>
  <c r="C180" i="55"/>
  <c r="C179" i="55"/>
  <c r="C178" i="55"/>
  <c r="C177" i="55"/>
  <c r="C176" i="55"/>
  <c r="C175" i="55"/>
  <c r="C174" i="55"/>
  <c r="C173" i="55"/>
  <c r="C172" i="55"/>
  <c r="C171" i="55"/>
  <c r="C170" i="55"/>
  <c r="C169" i="55"/>
  <c r="C168" i="55"/>
  <c r="C167" i="55"/>
  <c r="C166" i="55"/>
  <c r="C165" i="55"/>
  <c r="C164" i="55"/>
  <c r="C163" i="55"/>
  <c r="C162" i="55"/>
  <c r="C161" i="55"/>
  <c r="C160" i="55"/>
  <c r="C159" i="55"/>
  <c r="C158" i="55"/>
  <c r="C157" i="55"/>
  <c r="C156" i="55"/>
  <c r="C155" i="55"/>
  <c r="C154" i="55"/>
  <c r="C153" i="55"/>
  <c r="C152" i="55"/>
  <c r="C151" i="55"/>
  <c r="C150" i="55"/>
  <c r="C149" i="55"/>
  <c r="C148" i="55"/>
  <c r="C147" i="55"/>
  <c r="C146" i="55"/>
  <c r="C145" i="55"/>
  <c r="C144" i="55"/>
  <c r="C143" i="55"/>
  <c r="C142" i="55"/>
  <c r="C141" i="55"/>
  <c r="C140" i="55"/>
  <c r="C139" i="55"/>
  <c r="C138" i="55"/>
  <c r="C137" i="55"/>
  <c r="C136" i="55"/>
  <c r="C135" i="55"/>
  <c r="C134" i="55"/>
  <c r="C133" i="55"/>
  <c r="C132" i="55"/>
  <c r="C131" i="55"/>
  <c r="C130" i="55"/>
  <c r="C129" i="55"/>
  <c r="C128" i="55"/>
  <c r="C127" i="55"/>
  <c r="C126" i="55"/>
  <c r="C125" i="55"/>
  <c r="C124" i="55"/>
  <c r="C123" i="55"/>
  <c r="C122" i="55"/>
  <c r="C121" i="55"/>
  <c r="C120" i="55"/>
  <c r="C119" i="55"/>
  <c r="C114" i="55"/>
  <c r="C113" i="55"/>
  <c r="C112" i="55"/>
  <c r="C111" i="55"/>
  <c r="C110" i="55"/>
  <c r="C109" i="55"/>
  <c r="C108" i="55"/>
  <c r="C107" i="55"/>
  <c r="C106" i="55"/>
  <c r="C105" i="55"/>
  <c r="C104" i="55"/>
  <c r="C103" i="55"/>
  <c r="C102" i="55"/>
  <c r="C101" i="55"/>
  <c r="C100" i="55"/>
  <c r="C99" i="55"/>
  <c r="C98" i="55"/>
  <c r="C97" i="55"/>
  <c r="C96" i="55"/>
  <c r="C95" i="55"/>
  <c r="C94" i="55"/>
  <c r="C93" i="55"/>
  <c r="C92" i="55"/>
  <c r="C91" i="55"/>
  <c r="C90" i="55"/>
  <c r="C89" i="55"/>
  <c r="C88" i="55"/>
  <c r="C87" i="55"/>
  <c r="C86" i="55"/>
  <c r="C85" i="55"/>
  <c r="C84" i="55"/>
  <c r="C83" i="55"/>
  <c r="C82" i="55"/>
  <c r="C81" i="55"/>
  <c r="C80" i="55"/>
  <c r="C79" i="55"/>
  <c r="C78" i="55"/>
  <c r="C77" i="55"/>
  <c r="C76" i="55"/>
  <c r="C75" i="55"/>
  <c r="C74" i="55"/>
  <c r="C73" i="55"/>
  <c r="C72" i="55"/>
  <c r="C71" i="55"/>
  <c r="C70" i="55"/>
  <c r="C69" i="55"/>
  <c r="C68" i="55"/>
  <c r="C67" i="55"/>
  <c r="C66" i="55"/>
  <c r="C65" i="55"/>
  <c r="C64" i="55"/>
  <c r="C63" i="55"/>
  <c r="C62" i="55"/>
  <c r="C61" i="55"/>
  <c r="C60" i="55"/>
  <c r="C59" i="55"/>
  <c r="C58" i="55"/>
  <c r="C57" i="55"/>
  <c r="C56" i="55"/>
  <c r="C55" i="55"/>
  <c r="C54" i="55"/>
  <c r="C53" i="55"/>
  <c r="C52" i="55"/>
  <c r="C51" i="55"/>
  <c r="C50" i="55"/>
  <c r="C49" i="55"/>
  <c r="C48" i="55"/>
  <c r="C47" i="55"/>
  <c r="C46" i="55"/>
  <c r="C45" i="55"/>
  <c r="C44" i="55"/>
  <c r="C43" i="55"/>
  <c r="C42" i="55"/>
  <c r="C41" i="55"/>
  <c r="C40" i="55"/>
  <c r="C39" i="55"/>
  <c r="C38" i="55"/>
  <c r="C37" i="55"/>
  <c r="C36" i="55"/>
  <c r="C35" i="55"/>
  <c r="C34" i="55"/>
  <c r="C33" i="55"/>
  <c r="C32" i="55"/>
  <c r="C31" i="55"/>
  <c r="C30" i="55"/>
  <c r="C29" i="55"/>
  <c r="C28" i="55"/>
  <c r="C27" i="55"/>
  <c r="C26" i="55"/>
  <c r="C25" i="55"/>
  <c r="C24" i="55"/>
  <c r="C23" i="55"/>
  <c r="C22" i="55"/>
  <c r="C21" i="55"/>
  <c r="C20" i="55"/>
  <c r="C19" i="55"/>
  <c r="C18" i="55"/>
  <c r="C17" i="55"/>
  <c r="C16" i="55"/>
  <c r="C15" i="55"/>
  <c r="C14" i="55"/>
  <c r="C13" i="55"/>
  <c r="C12" i="55"/>
  <c r="C11" i="55"/>
  <c r="C10" i="55"/>
  <c r="C9" i="55"/>
  <c r="C8" i="55"/>
  <c r="C7" i="55"/>
  <c r="C6" i="55"/>
  <c r="C5" i="55"/>
  <c r="H24" i="56" l="1"/>
  <c r="G25" i="56" s="1"/>
  <c r="A5" i="39"/>
  <c r="CH59" i="54"/>
  <c r="CH58" i="54"/>
  <c r="CH57" i="54"/>
  <c r="CH56" i="54"/>
  <c r="CH55" i="54"/>
  <c r="CH54" i="54"/>
  <c r="CH53" i="54"/>
  <c r="CH52" i="54"/>
  <c r="CH51" i="54"/>
  <c r="CH50" i="54"/>
  <c r="CH49" i="54"/>
  <c r="CH48" i="54"/>
  <c r="CH47" i="54"/>
  <c r="CH46" i="54"/>
  <c r="CH45" i="54"/>
  <c r="CH44" i="54"/>
  <c r="CH43" i="54"/>
  <c r="CH42" i="54"/>
  <c r="CH41" i="54"/>
  <c r="CH40" i="54"/>
  <c r="CH39" i="54"/>
  <c r="CH38" i="54"/>
  <c r="CH37" i="54"/>
  <c r="CH36" i="54"/>
  <c r="CH35" i="54"/>
  <c r="CH34" i="54"/>
  <c r="CH33" i="54"/>
  <c r="CH32" i="54"/>
  <c r="CH31" i="54"/>
  <c r="CH30" i="54"/>
  <c r="CH29" i="54"/>
  <c r="CH28" i="54"/>
  <c r="CH27" i="54"/>
  <c r="CH26" i="54"/>
  <c r="CH25" i="54"/>
  <c r="CH24" i="54"/>
  <c r="CH23" i="54"/>
  <c r="CH22" i="54"/>
  <c r="CH21" i="54"/>
  <c r="CH20" i="54"/>
  <c r="CH19" i="54"/>
  <c r="CH18" i="54"/>
  <c r="CH17" i="54"/>
  <c r="CH16" i="54"/>
  <c r="CH15" i="54"/>
  <c r="CH14" i="54"/>
  <c r="CH13" i="54"/>
  <c r="CH12" i="54"/>
  <c r="CH11" i="54"/>
  <c r="CH10" i="54"/>
  <c r="CH9" i="54"/>
  <c r="CH8" i="54"/>
  <c r="CH7" i="54"/>
  <c r="CH6" i="54"/>
  <c r="CH5" i="54"/>
  <c r="H25" i="56" l="1"/>
  <c r="G26" i="56" s="1"/>
  <c r="N7" i="23"/>
  <c r="H26" i="56" l="1"/>
  <c r="G27" i="56" s="1"/>
  <c r="K14" i="1"/>
  <c r="V9" i="56" s="1"/>
  <c r="H83" i="1"/>
  <c r="H82" i="1"/>
  <c r="H81" i="1"/>
  <c r="H27" i="56" l="1"/>
  <c r="G28" i="56" s="1"/>
  <c r="B6" i="17"/>
  <c r="L20" i="1" s="1"/>
  <c r="N9" i="23"/>
  <c r="H30" i="19"/>
  <c r="F5" i="23"/>
  <c r="J14" i="1"/>
  <c r="I5" i="23" s="1"/>
  <c r="H28" i="56" l="1"/>
  <c r="G29" i="56" s="1"/>
  <c r="N5" i="56"/>
  <c r="F11" i="17"/>
  <c r="L21" i="1"/>
  <c r="I14" i="1"/>
  <c r="M28" i="1"/>
  <c r="C6" i="48" s="1"/>
  <c r="D6" i="48" s="1"/>
  <c r="B20" i="1" l="1"/>
  <c r="C20" i="1" s="1"/>
  <c r="C26" i="1"/>
  <c r="H29" i="56"/>
  <c r="G30" i="56" s="1"/>
  <c r="D11" i="1"/>
  <c r="J22" i="1"/>
  <c r="M29" i="1"/>
  <c r="C1" i="48" s="1"/>
  <c r="B27" i="1"/>
  <c r="B19" i="1"/>
  <c r="C19" i="1"/>
  <c r="A30" i="1"/>
  <c r="A24" i="1"/>
  <c r="A28" i="1"/>
  <c r="A29" i="1"/>
  <c r="A23" i="1"/>
  <c r="O37" i="1"/>
  <c r="P37" i="1"/>
  <c r="Q37" i="1"/>
  <c r="R37" i="1"/>
  <c r="D4" i="48" l="1"/>
  <c r="D7" i="48" s="1"/>
  <c r="E7" i="48" s="1"/>
  <c r="D8" i="48" s="1"/>
  <c r="I4" i="49"/>
  <c r="B35" i="49" s="1"/>
  <c r="H30" i="56"/>
  <c r="G31" i="56" s="1"/>
  <c r="C13" i="17"/>
  <c r="V5" i="56"/>
  <c r="C27" i="1"/>
  <c r="N5" i="23"/>
  <c r="C30" i="1"/>
  <c r="B30" i="1"/>
  <c r="C24" i="1"/>
  <c r="B24" i="1"/>
  <c r="C23" i="1"/>
  <c r="B23" i="1"/>
  <c r="C28" i="1"/>
  <c r="B28" i="1"/>
  <c r="A65" i="49"/>
  <c r="H31" i="56" l="1"/>
  <c r="G32" i="56" s="1"/>
  <c r="E23" i="17"/>
  <c r="G23" i="17" s="1"/>
  <c r="C4" i="49"/>
  <c r="G4" i="49"/>
  <c r="A36" i="49" s="1"/>
  <c r="B4" i="49"/>
  <c r="A4" i="49"/>
  <c r="H32" i="56" l="1"/>
  <c r="G33" i="56" s="1"/>
  <c r="G5" i="49"/>
  <c r="H33" i="56" l="1"/>
  <c r="G34" i="56" s="1"/>
  <c r="A60" i="49"/>
  <c r="F36" i="49"/>
  <c r="A61" i="49"/>
  <c r="A59" i="49"/>
  <c r="H5" i="49"/>
  <c r="H52" i="49" s="1"/>
  <c r="H34" i="56" l="1"/>
  <c r="G35" i="56" s="1"/>
  <c r="H48" i="49"/>
  <c r="F47" i="49"/>
  <c r="H53" i="49"/>
  <c r="H47" i="49"/>
  <c r="F8" i="49"/>
  <c r="H49" i="49"/>
  <c r="H8" i="49"/>
  <c r="F45" i="49"/>
  <c r="F39" i="49"/>
  <c r="F14" i="49"/>
  <c r="F40" i="49"/>
  <c r="F42" i="49"/>
  <c r="F50" i="49"/>
  <c r="H51" i="49"/>
  <c r="H50" i="49"/>
  <c r="F48" i="49"/>
  <c r="H46" i="49"/>
  <c r="F52" i="49"/>
  <c r="F43" i="49"/>
  <c r="F53" i="49"/>
  <c r="F46" i="49"/>
  <c r="H39" i="49"/>
  <c r="H45" i="49"/>
  <c r="F51" i="49"/>
  <c r="F49" i="49"/>
  <c r="F41" i="49"/>
  <c r="C57" i="1"/>
  <c r="C25" i="1"/>
  <c r="H35" i="56" l="1"/>
  <c r="G36" i="56" s="1"/>
  <c r="C53" i="1"/>
  <c r="C54" i="1"/>
  <c r="C52" i="1"/>
  <c r="C56" i="1"/>
  <c r="C55" i="1"/>
  <c r="F4" i="47"/>
  <c r="H36" i="56" l="1"/>
  <c r="G37" i="56" s="1"/>
  <c r="E10" i="47"/>
  <c r="E6" i="47" s="1"/>
  <c r="H37" i="56" l="1"/>
  <c r="G38" i="56" s="1"/>
  <c r="F5" i="47"/>
  <c r="E8" i="47" s="1"/>
  <c r="A24" i="33" s="1"/>
  <c r="H38" i="56" l="1"/>
  <c r="G39" i="56" s="1"/>
  <c r="G5" i="43"/>
  <c r="A46" i="43" s="1"/>
  <c r="C4" i="43"/>
  <c r="B4" i="43"/>
  <c r="A4" i="43"/>
  <c r="H39" i="56" l="1"/>
  <c r="G40" i="56" s="1"/>
  <c r="N32" i="43"/>
  <c r="A45" i="43"/>
  <c r="N11" i="43"/>
  <c r="Q32" i="43"/>
  <c r="K11" i="43"/>
  <c r="A38" i="43"/>
  <c r="Q11" i="43"/>
  <c r="T11" i="43"/>
  <c r="K32" i="43"/>
  <c r="W11" i="43"/>
  <c r="T32" i="43"/>
  <c r="W32" i="43"/>
  <c r="H40" i="56" l="1"/>
  <c r="G41" i="56" s="1"/>
  <c r="A4" i="19"/>
  <c r="H41" i="56" l="1"/>
  <c r="G42" i="56" s="1"/>
  <c r="E22" i="17"/>
  <c r="H42" i="56" l="1"/>
  <c r="G43" i="56" s="1"/>
  <c r="D56" i="1"/>
  <c r="D55" i="1"/>
  <c r="D54" i="1"/>
  <c r="D52" i="1"/>
  <c r="D53" i="1"/>
  <c r="K24" i="39"/>
  <c r="J24" i="39"/>
  <c r="I24" i="39"/>
  <c r="K23" i="39"/>
  <c r="J23" i="39"/>
  <c r="I23" i="39"/>
  <c r="K22" i="39"/>
  <c r="J22" i="39"/>
  <c r="I22" i="39"/>
  <c r="K21" i="39"/>
  <c r="J21" i="39"/>
  <c r="I21" i="39"/>
  <c r="K20" i="39"/>
  <c r="J20" i="39"/>
  <c r="I20" i="39"/>
  <c r="H43" i="56" l="1"/>
  <c r="G44" i="56" s="1"/>
  <c r="J19" i="1"/>
  <c r="A23" i="33"/>
  <c r="H44" i="56" l="1"/>
  <c r="G45" i="56" s="1"/>
  <c r="B14" i="23"/>
  <c r="B15" i="23" s="1"/>
  <c r="H45" i="56" l="1"/>
  <c r="G46" i="56" s="1"/>
  <c r="N6" i="39"/>
  <c r="O6" i="39" s="1"/>
  <c r="N7" i="39" s="1"/>
  <c r="N5" i="39"/>
  <c r="N4" i="39"/>
  <c r="R714" i="39"/>
  <c r="R713" i="39"/>
  <c r="R712" i="39"/>
  <c r="R711" i="39"/>
  <c r="R710" i="39"/>
  <c r="R709" i="39"/>
  <c r="R708" i="39"/>
  <c r="R707" i="39"/>
  <c r="R706" i="39"/>
  <c r="R705" i="39"/>
  <c r="R704" i="39"/>
  <c r="R703" i="39"/>
  <c r="R702" i="39"/>
  <c r="R701" i="39"/>
  <c r="R700" i="39"/>
  <c r="R699" i="39"/>
  <c r="R698" i="39"/>
  <c r="R697" i="39"/>
  <c r="R696" i="39"/>
  <c r="R695" i="39"/>
  <c r="R694" i="39"/>
  <c r="R693" i="39"/>
  <c r="R692" i="39"/>
  <c r="R691" i="39"/>
  <c r="R690" i="39"/>
  <c r="R689" i="39"/>
  <c r="R688" i="39"/>
  <c r="R687" i="39"/>
  <c r="R686" i="39"/>
  <c r="R685" i="39"/>
  <c r="R684" i="39"/>
  <c r="R683" i="39"/>
  <c r="R682" i="39"/>
  <c r="R681" i="39"/>
  <c r="R680" i="39"/>
  <c r="R679" i="39"/>
  <c r="R678" i="39"/>
  <c r="R677" i="39"/>
  <c r="R676" i="39"/>
  <c r="R675" i="39"/>
  <c r="R674" i="39"/>
  <c r="R673" i="39"/>
  <c r="R672" i="39"/>
  <c r="R671" i="39"/>
  <c r="R670" i="39"/>
  <c r="R669" i="39"/>
  <c r="R668" i="39"/>
  <c r="R667" i="39"/>
  <c r="R666" i="39"/>
  <c r="R665" i="39"/>
  <c r="R664" i="39"/>
  <c r="R663" i="39"/>
  <c r="R662" i="39"/>
  <c r="R661" i="39"/>
  <c r="R660" i="39"/>
  <c r="R659" i="39"/>
  <c r="R658" i="39"/>
  <c r="R657" i="39"/>
  <c r="R656" i="39"/>
  <c r="R655" i="39"/>
  <c r="R654" i="39"/>
  <c r="R653" i="39"/>
  <c r="R652" i="39"/>
  <c r="R651" i="39"/>
  <c r="R650" i="39"/>
  <c r="R649" i="39"/>
  <c r="R648" i="39"/>
  <c r="R647" i="39"/>
  <c r="R646" i="39"/>
  <c r="R645" i="39"/>
  <c r="R644" i="39"/>
  <c r="R643" i="39"/>
  <c r="R642" i="39"/>
  <c r="R641" i="39"/>
  <c r="R640" i="39"/>
  <c r="R639" i="39"/>
  <c r="R638" i="39"/>
  <c r="R637" i="39"/>
  <c r="R636" i="39"/>
  <c r="R635" i="39"/>
  <c r="R634" i="39"/>
  <c r="R633" i="39"/>
  <c r="R632" i="39"/>
  <c r="R631" i="39"/>
  <c r="R630" i="39"/>
  <c r="R629" i="39"/>
  <c r="R628" i="39"/>
  <c r="R627" i="39"/>
  <c r="R626" i="39"/>
  <c r="R625" i="39"/>
  <c r="R624" i="39"/>
  <c r="R623" i="39"/>
  <c r="R622" i="39"/>
  <c r="R621" i="39"/>
  <c r="R620" i="39"/>
  <c r="R619" i="39"/>
  <c r="R618" i="39"/>
  <c r="R617" i="39"/>
  <c r="R616" i="39"/>
  <c r="R615" i="39"/>
  <c r="R614" i="39"/>
  <c r="R613" i="39"/>
  <c r="R612" i="39"/>
  <c r="R611" i="39"/>
  <c r="R610" i="39"/>
  <c r="R609" i="39"/>
  <c r="R608" i="39"/>
  <c r="R607" i="39"/>
  <c r="R606" i="39"/>
  <c r="R605" i="39"/>
  <c r="R604" i="39"/>
  <c r="R603" i="39"/>
  <c r="R602" i="39"/>
  <c r="R601" i="39"/>
  <c r="R600" i="39"/>
  <c r="R599" i="39"/>
  <c r="R598" i="39"/>
  <c r="R597" i="39"/>
  <c r="R596" i="39"/>
  <c r="R595" i="39"/>
  <c r="R594" i="39"/>
  <c r="R593" i="39"/>
  <c r="R592" i="39"/>
  <c r="R591" i="39"/>
  <c r="R590" i="39"/>
  <c r="R589" i="39"/>
  <c r="R588" i="39"/>
  <c r="R587" i="39"/>
  <c r="R586" i="39"/>
  <c r="R585" i="39"/>
  <c r="R584" i="39"/>
  <c r="R583" i="39"/>
  <c r="R582" i="39"/>
  <c r="R581" i="39"/>
  <c r="R580" i="39"/>
  <c r="R579" i="39"/>
  <c r="R578" i="39"/>
  <c r="R577" i="39"/>
  <c r="R576" i="39"/>
  <c r="R575" i="39"/>
  <c r="R574" i="39"/>
  <c r="R573" i="39"/>
  <c r="R572" i="39"/>
  <c r="R571" i="39"/>
  <c r="R570" i="39"/>
  <c r="R569" i="39"/>
  <c r="R568" i="39"/>
  <c r="R567" i="39"/>
  <c r="R566" i="39"/>
  <c r="R565" i="39"/>
  <c r="R564" i="39"/>
  <c r="R563" i="39"/>
  <c r="R562" i="39"/>
  <c r="R561" i="39"/>
  <c r="R560" i="39"/>
  <c r="R559" i="39"/>
  <c r="R558" i="39"/>
  <c r="R557" i="39"/>
  <c r="R556" i="39"/>
  <c r="R555" i="39"/>
  <c r="R554" i="39"/>
  <c r="R553" i="39"/>
  <c r="R552" i="39"/>
  <c r="R551" i="39"/>
  <c r="R550" i="39"/>
  <c r="R549" i="39"/>
  <c r="R548" i="39"/>
  <c r="R547" i="39"/>
  <c r="R546" i="39"/>
  <c r="R545" i="39"/>
  <c r="R544" i="39"/>
  <c r="R543" i="39"/>
  <c r="R542" i="39"/>
  <c r="R541" i="39"/>
  <c r="R540" i="39"/>
  <c r="R539" i="39"/>
  <c r="R538" i="39"/>
  <c r="R537" i="39"/>
  <c r="R536" i="39"/>
  <c r="R535" i="39"/>
  <c r="R534" i="39"/>
  <c r="R533" i="39"/>
  <c r="R532" i="39"/>
  <c r="R531" i="39"/>
  <c r="R530" i="39"/>
  <c r="R529" i="39"/>
  <c r="R528" i="39"/>
  <c r="R527" i="39"/>
  <c r="R526" i="39"/>
  <c r="R525" i="39"/>
  <c r="R524" i="39"/>
  <c r="R523" i="39"/>
  <c r="R522" i="39"/>
  <c r="R521" i="39"/>
  <c r="R520" i="39"/>
  <c r="R519" i="39"/>
  <c r="R518" i="39"/>
  <c r="R517" i="39"/>
  <c r="R516" i="39"/>
  <c r="R515" i="39"/>
  <c r="R514" i="39"/>
  <c r="R513" i="39"/>
  <c r="R512" i="39"/>
  <c r="R511" i="39"/>
  <c r="R510" i="39"/>
  <c r="R509" i="39"/>
  <c r="R508" i="39"/>
  <c r="R507" i="39"/>
  <c r="R506" i="39"/>
  <c r="R505" i="39"/>
  <c r="R504" i="39"/>
  <c r="R503" i="39"/>
  <c r="R502" i="39"/>
  <c r="R501" i="39"/>
  <c r="R500" i="39"/>
  <c r="R499" i="39"/>
  <c r="R498" i="39"/>
  <c r="R497" i="39"/>
  <c r="R496" i="39"/>
  <c r="R495" i="39"/>
  <c r="R494" i="39"/>
  <c r="R493" i="39"/>
  <c r="R492" i="39"/>
  <c r="R491" i="39"/>
  <c r="R490" i="39"/>
  <c r="R489" i="39"/>
  <c r="R488" i="39"/>
  <c r="R487" i="39"/>
  <c r="R486" i="39"/>
  <c r="R485" i="39"/>
  <c r="R484" i="39"/>
  <c r="R483" i="39"/>
  <c r="R482" i="39"/>
  <c r="R481" i="39"/>
  <c r="R480" i="39"/>
  <c r="R479" i="39"/>
  <c r="R478" i="39"/>
  <c r="R477" i="39"/>
  <c r="R476" i="39"/>
  <c r="R475" i="39"/>
  <c r="R474" i="39"/>
  <c r="R473" i="39"/>
  <c r="R472" i="39"/>
  <c r="R471" i="39"/>
  <c r="R470" i="39"/>
  <c r="R469" i="39"/>
  <c r="R468" i="39"/>
  <c r="R467" i="39"/>
  <c r="R466" i="39"/>
  <c r="R465" i="39"/>
  <c r="R464" i="39"/>
  <c r="R463" i="39"/>
  <c r="R462" i="39"/>
  <c r="R461" i="39"/>
  <c r="R460" i="39"/>
  <c r="R459" i="39"/>
  <c r="R458" i="39"/>
  <c r="R457" i="39"/>
  <c r="R456" i="39"/>
  <c r="R455" i="39"/>
  <c r="R454" i="39"/>
  <c r="R453" i="39"/>
  <c r="R452" i="39"/>
  <c r="R451" i="39"/>
  <c r="R450" i="39"/>
  <c r="R449" i="39"/>
  <c r="R448" i="39"/>
  <c r="R447" i="39"/>
  <c r="R446" i="39"/>
  <c r="R445" i="39"/>
  <c r="R444" i="39"/>
  <c r="R443" i="39"/>
  <c r="R442" i="39"/>
  <c r="R441" i="39"/>
  <c r="R440" i="39"/>
  <c r="R439" i="39"/>
  <c r="R438" i="39"/>
  <c r="R437" i="39"/>
  <c r="R436" i="39"/>
  <c r="R435" i="39"/>
  <c r="R434" i="39"/>
  <c r="R433" i="39"/>
  <c r="R432" i="39"/>
  <c r="R431" i="39"/>
  <c r="R430" i="39"/>
  <c r="R429" i="39"/>
  <c r="R428" i="39"/>
  <c r="R427" i="39"/>
  <c r="R426" i="39"/>
  <c r="R425" i="39"/>
  <c r="R424" i="39"/>
  <c r="R423" i="39"/>
  <c r="R422" i="39"/>
  <c r="R421" i="39"/>
  <c r="R420" i="39"/>
  <c r="R419" i="39"/>
  <c r="R418" i="39"/>
  <c r="R417" i="39"/>
  <c r="R416" i="39"/>
  <c r="R415" i="39"/>
  <c r="R414" i="39"/>
  <c r="R413" i="39"/>
  <c r="R412" i="39"/>
  <c r="R411" i="39"/>
  <c r="R410" i="39"/>
  <c r="R409" i="39"/>
  <c r="R408" i="39"/>
  <c r="R407" i="39"/>
  <c r="R406" i="39"/>
  <c r="R405" i="39"/>
  <c r="R404" i="39"/>
  <c r="R403" i="39"/>
  <c r="R402" i="39"/>
  <c r="R401" i="39"/>
  <c r="R400" i="39"/>
  <c r="R399" i="39"/>
  <c r="R398" i="39"/>
  <c r="R397" i="39"/>
  <c r="R396" i="39"/>
  <c r="R395" i="39"/>
  <c r="R394" i="39"/>
  <c r="R393" i="39"/>
  <c r="R392" i="39"/>
  <c r="R391" i="39"/>
  <c r="R390" i="39"/>
  <c r="R389" i="39"/>
  <c r="R388" i="39"/>
  <c r="R387" i="39"/>
  <c r="R386" i="39"/>
  <c r="R385" i="39"/>
  <c r="R384" i="39"/>
  <c r="R383" i="39"/>
  <c r="R382" i="39"/>
  <c r="R381" i="39"/>
  <c r="R380" i="39"/>
  <c r="R379" i="39"/>
  <c r="R378" i="39"/>
  <c r="R377" i="39"/>
  <c r="R376" i="39"/>
  <c r="R375" i="39"/>
  <c r="R374" i="39"/>
  <c r="R373" i="39"/>
  <c r="R372" i="39"/>
  <c r="R371" i="39"/>
  <c r="R370" i="39"/>
  <c r="R369" i="39"/>
  <c r="R368" i="39"/>
  <c r="R367" i="39"/>
  <c r="R366" i="39"/>
  <c r="R365" i="39"/>
  <c r="R364" i="39"/>
  <c r="R363" i="39"/>
  <c r="R362" i="39"/>
  <c r="R361" i="39"/>
  <c r="R360" i="39"/>
  <c r="R359" i="39"/>
  <c r="R358" i="39"/>
  <c r="R357" i="39"/>
  <c r="R356" i="39"/>
  <c r="R355" i="39"/>
  <c r="R354" i="39"/>
  <c r="R353" i="39"/>
  <c r="R352" i="39"/>
  <c r="R351" i="39"/>
  <c r="R350" i="39"/>
  <c r="R349" i="39"/>
  <c r="R348" i="39"/>
  <c r="R347" i="39"/>
  <c r="R346" i="39"/>
  <c r="R345" i="39"/>
  <c r="R344" i="39"/>
  <c r="R343" i="39"/>
  <c r="R342" i="39"/>
  <c r="R341" i="39"/>
  <c r="R340" i="39"/>
  <c r="R339" i="39"/>
  <c r="R338" i="39"/>
  <c r="R337" i="39"/>
  <c r="R336" i="39"/>
  <c r="R335" i="39"/>
  <c r="R334" i="39"/>
  <c r="R333" i="39"/>
  <c r="R332" i="39"/>
  <c r="R331" i="39"/>
  <c r="R330" i="39"/>
  <c r="R329" i="39"/>
  <c r="R328" i="39"/>
  <c r="R327" i="39"/>
  <c r="R326" i="39"/>
  <c r="R325" i="39"/>
  <c r="R324" i="39"/>
  <c r="R323" i="39"/>
  <c r="R322" i="39"/>
  <c r="R321" i="39"/>
  <c r="R320" i="39"/>
  <c r="R319" i="39"/>
  <c r="R318" i="39"/>
  <c r="R317" i="39"/>
  <c r="R316" i="39"/>
  <c r="R315" i="39"/>
  <c r="R314" i="39"/>
  <c r="R313" i="39"/>
  <c r="R312" i="39"/>
  <c r="R311" i="39"/>
  <c r="R310" i="39"/>
  <c r="R309" i="39"/>
  <c r="R308" i="39"/>
  <c r="R307" i="39"/>
  <c r="R306" i="39"/>
  <c r="R305" i="39"/>
  <c r="R304" i="39"/>
  <c r="R303" i="39"/>
  <c r="R302" i="39"/>
  <c r="R301" i="39"/>
  <c r="R300" i="39"/>
  <c r="R299" i="39"/>
  <c r="R298" i="39"/>
  <c r="R297" i="39"/>
  <c r="R296" i="39"/>
  <c r="R295" i="39"/>
  <c r="R294" i="39"/>
  <c r="R293" i="39"/>
  <c r="R292" i="39"/>
  <c r="R291" i="39"/>
  <c r="R290" i="39"/>
  <c r="R289" i="39"/>
  <c r="R288" i="39"/>
  <c r="R287" i="39"/>
  <c r="R286" i="39"/>
  <c r="R285" i="39"/>
  <c r="R284" i="39"/>
  <c r="R283" i="39"/>
  <c r="R282" i="39"/>
  <c r="R281" i="39"/>
  <c r="R280" i="39"/>
  <c r="R279" i="39"/>
  <c r="R278" i="39"/>
  <c r="R277" i="39"/>
  <c r="R276" i="39"/>
  <c r="R275" i="39"/>
  <c r="R274" i="39"/>
  <c r="R273" i="39"/>
  <c r="R272" i="39"/>
  <c r="R271" i="39"/>
  <c r="R270" i="39"/>
  <c r="R269" i="39"/>
  <c r="R268" i="39"/>
  <c r="R267" i="39"/>
  <c r="R266" i="39"/>
  <c r="R265" i="39"/>
  <c r="R264" i="39"/>
  <c r="R263" i="39"/>
  <c r="R262" i="39"/>
  <c r="R261" i="39"/>
  <c r="R260" i="39"/>
  <c r="R259" i="39"/>
  <c r="R258" i="39"/>
  <c r="R257" i="39"/>
  <c r="R256" i="39"/>
  <c r="R255" i="39"/>
  <c r="R254" i="39"/>
  <c r="R253" i="39"/>
  <c r="R252" i="39"/>
  <c r="R251" i="39"/>
  <c r="R250" i="39"/>
  <c r="R249" i="39"/>
  <c r="R248" i="39"/>
  <c r="R247" i="39"/>
  <c r="R246" i="39"/>
  <c r="R245" i="39"/>
  <c r="R244" i="39"/>
  <c r="R243" i="39"/>
  <c r="R242" i="39"/>
  <c r="R241" i="39"/>
  <c r="R240" i="39"/>
  <c r="R239" i="39"/>
  <c r="R238" i="39"/>
  <c r="R237" i="39"/>
  <c r="R236" i="39"/>
  <c r="R235" i="39"/>
  <c r="R234" i="39"/>
  <c r="R233" i="39"/>
  <c r="R232" i="39"/>
  <c r="R231" i="39"/>
  <c r="R230" i="39"/>
  <c r="R229" i="39"/>
  <c r="R228" i="39"/>
  <c r="R227" i="39"/>
  <c r="R226" i="39"/>
  <c r="R225" i="39"/>
  <c r="R224" i="39"/>
  <c r="R223" i="39"/>
  <c r="R222" i="39"/>
  <c r="R221" i="39"/>
  <c r="R220" i="39"/>
  <c r="R219" i="39"/>
  <c r="R218" i="39"/>
  <c r="R217" i="39"/>
  <c r="R216" i="39"/>
  <c r="R215" i="39"/>
  <c r="R214" i="39"/>
  <c r="R213" i="39"/>
  <c r="R212" i="39"/>
  <c r="R211" i="39"/>
  <c r="R210" i="39"/>
  <c r="R209" i="39"/>
  <c r="R208" i="39"/>
  <c r="R207" i="39"/>
  <c r="R206" i="39"/>
  <c r="R205" i="39"/>
  <c r="R204" i="39"/>
  <c r="R203" i="39"/>
  <c r="R202" i="39"/>
  <c r="R201" i="39"/>
  <c r="R200" i="39"/>
  <c r="R199" i="39"/>
  <c r="R198" i="39"/>
  <c r="R197" i="39"/>
  <c r="R196" i="39"/>
  <c r="R195" i="39"/>
  <c r="R194" i="39"/>
  <c r="R193" i="39"/>
  <c r="R192" i="39"/>
  <c r="R191" i="39"/>
  <c r="R190" i="39"/>
  <c r="R189" i="39"/>
  <c r="R188" i="39"/>
  <c r="R187" i="39"/>
  <c r="R186" i="39"/>
  <c r="R185" i="39"/>
  <c r="R184" i="39"/>
  <c r="R183" i="39"/>
  <c r="R182" i="39"/>
  <c r="R181" i="39"/>
  <c r="R180" i="39"/>
  <c r="R179" i="39"/>
  <c r="R178" i="39"/>
  <c r="R177" i="39"/>
  <c r="R176" i="39"/>
  <c r="R175" i="39"/>
  <c r="R174" i="39"/>
  <c r="R173" i="39"/>
  <c r="R172" i="39"/>
  <c r="R171" i="39"/>
  <c r="R170" i="39"/>
  <c r="R169" i="39"/>
  <c r="R168" i="39"/>
  <c r="R167" i="39"/>
  <c r="R166" i="39"/>
  <c r="R165" i="39"/>
  <c r="R164" i="39"/>
  <c r="R163" i="39"/>
  <c r="R162" i="39"/>
  <c r="R161" i="39"/>
  <c r="R160" i="39"/>
  <c r="R159" i="39"/>
  <c r="R158" i="39"/>
  <c r="R157" i="39"/>
  <c r="R156" i="39"/>
  <c r="R155" i="39"/>
  <c r="R154" i="39"/>
  <c r="R153" i="39"/>
  <c r="R152" i="39"/>
  <c r="R151" i="39"/>
  <c r="R150" i="39"/>
  <c r="R149" i="39"/>
  <c r="R148" i="39"/>
  <c r="R147" i="39"/>
  <c r="R146" i="39"/>
  <c r="R145" i="39"/>
  <c r="R144" i="39"/>
  <c r="R143" i="39"/>
  <c r="R142" i="39"/>
  <c r="R141" i="39"/>
  <c r="R140" i="39"/>
  <c r="R139" i="39"/>
  <c r="R138" i="39"/>
  <c r="R137" i="39"/>
  <c r="R136" i="39"/>
  <c r="R135" i="39"/>
  <c r="R134" i="39"/>
  <c r="R133" i="39"/>
  <c r="R132" i="39"/>
  <c r="R131" i="39"/>
  <c r="R130" i="39"/>
  <c r="R129" i="39"/>
  <c r="R128" i="39"/>
  <c r="R127" i="39"/>
  <c r="R126" i="39"/>
  <c r="R125" i="39"/>
  <c r="R124" i="39"/>
  <c r="R123" i="39"/>
  <c r="R122" i="39"/>
  <c r="R121" i="39"/>
  <c r="R120" i="39"/>
  <c r="R119" i="39"/>
  <c r="R118" i="39"/>
  <c r="R117" i="39"/>
  <c r="R116" i="39"/>
  <c r="R115" i="39"/>
  <c r="R114" i="39"/>
  <c r="R113" i="39"/>
  <c r="R112" i="39"/>
  <c r="R111" i="39"/>
  <c r="R110" i="39"/>
  <c r="R109" i="39"/>
  <c r="R108" i="39"/>
  <c r="R107" i="39"/>
  <c r="R106" i="39"/>
  <c r="R105" i="39"/>
  <c r="R104" i="39"/>
  <c r="R103" i="39"/>
  <c r="R102" i="39"/>
  <c r="R101" i="39"/>
  <c r="R100" i="39"/>
  <c r="R99" i="39"/>
  <c r="R98" i="39"/>
  <c r="R97" i="39"/>
  <c r="R96" i="39"/>
  <c r="R95" i="39"/>
  <c r="R94" i="39"/>
  <c r="R93" i="39"/>
  <c r="R92" i="39"/>
  <c r="R91" i="39"/>
  <c r="R90" i="39"/>
  <c r="R89" i="39"/>
  <c r="R88" i="39"/>
  <c r="R87" i="39"/>
  <c r="R86" i="39"/>
  <c r="R85" i="39"/>
  <c r="R84" i="39"/>
  <c r="R83" i="39"/>
  <c r="R82" i="39"/>
  <c r="R81" i="39"/>
  <c r="R80" i="39"/>
  <c r="R79" i="39"/>
  <c r="R78" i="39"/>
  <c r="R77" i="39"/>
  <c r="R76" i="39"/>
  <c r="R75" i="39"/>
  <c r="R74" i="39"/>
  <c r="R73" i="39"/>
  <c r="R72" i="39"/>
  <c r="R71" i="39"/>
  <c r="R70" i="39"/>
  <c r="R69" i="39"/>
  <c r="R68" i="39"/>
  <c r="R67" i="39"/>
  <c r="R66" i="39"/>
  <c r="R65" i="39"/>
  <c r="R64" i="39"/>
  <c r="R63" i="39"/>
  <c r="R62" i="39"/>
  <c r="R61" i="39"/>
  <c r="R60" i="39"/>
  <c r="R59" i="39"/>
  <c r="R58" i="39"/>
  <c r="R57" i="39"/>
  <c r="R56" i="39"/>
  <c r="R55" i="39"/>
  <c r="R54" i="39"/>
  <c r="R53" i="39"/>
  <c r="R52" i="39"/>
  <c r="R51" i="39"/>
  <c r="R50" i="39"/>
  <c r="R49" i="39"/>
  <c r="R48" i="39"/>
  <c r="R47" i="39"/>
  <c r="R46" i="39"/>
  <c r="R45" i="39"/>
  <c r="R44" i="39"/>
  <c r="R43" i="39"/>
  <c r="L24" i="39"/>
  <c r="L23" i="39"/>
  <c r="L22" i="39"/>
  <c r="L21" i="39"/>
  <c r="L20" i="39"/>
  <c r="H9" i="39"/>
  <c r="G9" i="39"/>
  <c r="H8" i="39"/>
  <c r="G8" i="39"/>
  <c r="H46" i="56" l="1"/>
  <c r="G47" i="56" s="1"/>
  <c r="H19" i="39"/>
  <c r="F19" i="39"/>
  <c r="G19" i="39"/>
  <c r="I18" i="33" l="1"/>
  <c r="J21" i="33"/>
  <c r="G64" i="1"/>
  <c r="A38" i="1"/>
  <c r="B76" i="23"/>
  <c r="I77" i="23"/>
  <c r="K4" i="33"/>
  <c r="F4" i="33"/>
  <c r="A4" i="33"/>
  <c r="B8" i="23"/>
  <c r="N30" i="32"/>
  <c r="L3" i="32"/>
  <c r="J3" i="32"/>
  <c r="H3" i="32"/>
  <c r="E3" i="32"/>
  <c r="AH33" i="28"/>
  <c r="AH32" i="28"/>
  <c r="AH31" i="28"/>
  <c r="AH30" i="28"/>
  <c r="AH29" i="28"/>
  <c r="AH28" i="28"/>
  <c r="AH27" i="28"/>
  <c r="AH26" i="28"/>
  <c r="AH25" i="28"/>
  <c r="AH17" i="28"/>
  <c r="R2" i="30"/>
  <c r="M4" i="30"/>
  <c r="K4" i="30"/>
  <c r="I4" i="30"/>
  <c r="C4" i="30"/>
  <c r="Z47" i="30"/>
  <c r="Y47" i="30"/>
  <c r="X47" i="30"/>
  <c r="W47" i="30"/>
  <c r="V47" i="30"/>
  <c r="U47" i="30"/>
  <c r="T47" i="30"/>
  <c r="S47" i="30"/>
  <c r="Z46" i="30"/>
  <c r="Y46" i="30"/>
  <c r="X46" i="30"/>
  <c r="W46" i="30"/>
  <c r="V46" i="30"/>
  <c r="U46" i="30"/>
  <c r="T46" i="30"/>
  <c r="S46" i="30"/>
  <c r="Z45" i="30"/>
  <c r="Y45" i="30"/>
  <c r="X45" i="30"/>
  <c r="W45" i="30"/>
  <c r="V45" i="30"/>
  <c r="U45" i="30"/>
  <c r="T45" i="30"/>
  <c r="S45" i="30"/>
  <c r="R45" i="30"/>
  <c r="Z44" i="30"/>
  <c r="Y44" i="30"/>
  <c r="X44" i="30"/>
  <c r="W44" i="30"/>
  <c r="V44" i="30"/>
  <c r="U44" i="30"/>
  <c r="T44" i="30"/>
  <c r="S44" i="30"/>
  <c r="Z43" i="30"/>
  <c r="Y43" i="30"/>
  <c r="X43" i="30"/>
  <c r="W43" i="30"/>
  <c r="V43" i="30"/>
  <c r="U43" i="30"/>
  <c r="T43" i="30"/>
  <c r="S43" i="30"/>
  <c r="Z42" i="30"/>
  <c r="Y42" i="30"/>
  <c r="X42" i="30"/>
  <c r="W42" i="30"/>
  <c r="V42" i="30"/>
  <c r="U42" i="30"/>
  <c r="T42" i="30"/>
  <c r="S42" i="30"/>
  <c r="Z41" i="30"/>
  <c r="Y41" i="30"/>
  <c r="X41" i="30"/>
  <c r="W41" i="30"/>
  <c r="V41" i="30"/>
  <c r="U41" i="30"/>
  <c r="T41" i="30"/>
  <c r="S41" i="30"/>
  <c r="Z40" i="30"/>
  <c r="Y40" i="30"/>
  <c r="X40" i="30"/>
  <c r="W40" i="30"/>
  <c r="V40" i="30"/>
  <c r="U40" i="30"/>
  <c r="S40" i="30"/>
  <c r="Z39" i="30"/>
  <c r="Y39" i="30"/>
  <c r="X39" i="30"/>
  <c r="W39" i="30"/>
  <c r="V39" i="30"/>
  <c r="U39" i="30"/>
  <c r="R39" i="30"/>
  <c r="Z38" i="30"/>
  <c r="Y38" i="30"/>
  <c r="X38" i="30"/>
  <c r="W38" i="30"/>
  <c r="V38" i="30"/>
  <c r="U38" i="30"/>
  <c r="S38" i="30"/>
  <c r="Z37" i="30"/>
  <c r="Y37" i="30"/>
  <c r="X37" i="30"/>
  <c r="W37" i="30"/>
  <c r="V37" i="30"/>
  <c r="U37" i="30"/>
  <c r="Z36" i="30"/>
  <c r="Y36" i="30"/>
  <c r="X36" i="30"/>
  <c r="W36" i="30"/>
  <c r="V36" i="30"/>
  <c r="U36" i="30"/>
  <c r="Z35" i="30"/>
  <c r="Y35" i="30"/>
  <c r="X35" i="30"/>
  <c r="W35" i="30"/>
  <c r="V35" i="30"/>
  <c r="U35" i="30"/>
  <c r="Z34" i="30"/>
  <c r="X34" i="30"/>
  <c r="W34" i="30"/>
  <c r="V34" i="30"/>
  <c r="T34" i="30"/>
  <c r="R34" i="30"/>
  <c r="Q34" i="30"/>
  <c r="Z33" i="30"/>
  <c r="X33" i="30"/>
  <c r="W33" i="30"/>
  <c r="R33" i="30"/>
  <c r="Q33" i="30"/>
  <c r="Z32" i="30"/>
  <c r="X32" i="30"/>
  <c r="W32" i="30"/>
  <c r="R32" i="30"/>
  <c r="Q32" i="30"/>
  <c r="Z31" i="30"/>
  <c r="X31" i="30"/>
  <c r="W31" i="30"/>
  <c r="U31" i="30"/>
  <c r="S31" i="30"/>
  <c r="R31" i="30"/>
  <c r="Q31" i="30"/>
  <c r="Z30" i="30"/>
  <c r="W30" i="30"/>
  <c r="Q30" i="30"/>
  <c r="Z29" i="30"/>
  <c r="U29" i="30"/>
  <c r="S29" i="30"/>
  <c r="Z28" i="30"/>
  <c r="W28" i="30"/>
  <c r="Q28" i="30"/>
  <c r="Z27" i="30"/>
  <c r="U27" i="30"/>
  <c r="S27" i="30"/>
  <c r="Z26" i="30"/>
  <c r="Z25" i="30"/>
  <c r="R25" i="30"/>
  <c r="Z24" i="30"/>
  <c r="X24" i="30"/>
  <c r="V24" i="30"/>
  <c r="T24" i="30"/>
  <c r="R24" i="30"/>
  <c r="Z23" i="30"/>
  <c r="X23" i="30"/>
  <c r="V23" i="30"/>
  <c r="T23" i="30"/>
  <c r="R23" i="30"/>
  <c r="Z20" i="30"/>
  <c r="X20" i="30"/>
  <c r="V20" i="30"/>
  <c r="T20" i="30"/>
  <c r="R20" i="30"/>
  <c r="Y13" i="30"/>
  <c r="W13" i="30"/>
  <c r="U13" i="30"/>
  <c r="S13" i="30"/>
  <c r="Q13" i="30"/>
  <c r="C5" i="23"/>
  <c r="X427" i="16"/>
  <c r="X426" i="16"/>
  <c r="X425" i="16"/>
  <c r="X424" i="16"/>
  <c r="X423" i="16"/>
  <c r="X422" i="16"/>
  <c r="X421" i="16"/>
  <c r="X420" i="16"/>
  <c r="X419" i="16"/>
  <c r="X418" i="16"/>
  <c r="X417" i="16"/>
  <c r="X416" i="16"/>
  <c r="X415" i="16"/>
  <c r="X414" i="16"/>
  <c r="X413" i="16"/>
  <c r="X412" i="16"/>
  <c r="X411" i="16"/>
  <c r="X410" i="16"/>
  <c r="X409" i="16"/>
  <c r="X408" i="16"/>
  <c r="X407" i="16"/>
  <c r="X406" i="16"/>
  <c r="X405" i="16"/>
  <c r="X404" i="16"/>
  <c r="X403" i="16"/>
  <c r="X402" i="16"/>
  <c r="X401" i="16"/>
  <c r="X400" i="16"/>
  <c r="X399" i="16"/>
  <c r="X398" i="16"/>
  <c r="X397" i="16"/>
  <c r="X396" i="16"/>
  <c r="X395" i="16"/>
  <c r="X394" i="16"/>
  <c r="X393" i="16"/>
  <c r="X392" i="16"/>
  <c r="X391" i="16"/>
  <c r="X390" i="16"/>
  <c r="X389" i="16"/>
  <c r="X388" i="16"/>
  <c r="X387" i="16"/>
  <c r="X386" i="16"/>
  <c r="X385" i="16"/>
  <c r="X384" i="16"/>
  <c r="X383" i="16"/>
  <c r="X382" i="16"/>
  <c r="X381" i="16"/>
  <c r="X380" i="16"/>
  <c r="X379" i="16"/>
  <c r="X378" i="16"/>
  <c r="X377" i="16"/>
  <c r="X376" i="16"/>
  <c r="X375" i="16"/>
  <c r="X374" i="16"/>
  <c r="X373" i="16"/>
  <c r="X372" i="16"/>
  <c r="X371" i="16"/>
  <c r="X370" i="16"/>
  <c r="X369" i="16"/>
  <c r="X368" i="16"/>
  <c r="X367" i="16"/>
  <c r="X366" i="16"/>
  <c r="X365" i="16"/>
  <c r="X364" i="16"/>
  <c r="X363" i="16"/>
  <c r="X362" i="16"/>
  <c r="X361" i="16"/>
  <c r="X360" i="16"/>
  <c r="X359" i="16"/>
  <c r="X358" i="16"/>
  <c r="X357" i="16"/>
  <c r="X356" i="16"/>
  <c r="X355" i="16"/>
  <c r="X354" i="16"/>
  <c r="X353" i="16"/>
  <c r="X352" i="16"/>
  <c r="X351" i="16"/>
  <c r="X350" i="16"/>
  <c r="X349" i="16"/>
  <c r="X348" i="16"/>
  <c r="X347" i="16"/>
  <c r="X346" i="16"/>
  <c r="X345" i="16"/>
  <c r="X344" i="16"/>
  <c r="X343" i="16"/>
  <c r="X342" i="16"/>
  <c r="X341" i="16"/>
  <c r="X340" i="16"/>
  <c r="X339" i="16"/>
  <c r="X338" i="16"/>
  <c r="X337" i="16"/>
  <c r="X336" i="16"/>
  <c r="X335" i="16"/>
  <c r="X334" i="16"/>
  <c r="X333" i="16"/>
  <c r="X332" i="16"/>
  <c r="X331" i="16"/>
  <c r="X330" i="16"/>
  <c r="X329" i="16"/>
  <c r="X328" i="16"/>
  <c r="X327" i="16"/>
  <c r="X326" i="16"/>
  <c r="X325" i="16"/>
  <c r="X324" i="16"/>
  <c r="X323" i="16"/>
  <c r="X322" i="16"/>
  <c r="X321" i="16"/>
  <c r="X320" i="16"/>
  <c r="X319" i="16"/>
  <c r="X318" i="16"/>
  <c r="X317" i="16"/>
  <c r="X316" i="16"/>
  <c r="X315" i="16"/>
  <c r="X314" i="16"/>
  <c r="X313" i="16"/>
  <c r="X312" i="16"/>
  <c r="X311" i="16"/>
  <c r="X310" i="16"/>
  <c r="X309" i="16"/>
  <c r="X308" i="16"/>
  <c r="X307" i="16"/>
  <c r="X306" i="16"/>
  <c r="X305" i="16"/>
  <c r="X304" i="16"/>
  <c r="X303" i="16"/>
  <c r="X302" i="16"/>
  <c r="X301" i="16"/>
  <c r="X300" i="16"/>
  <c r="X299" i="16"/>
  <c r="X298" i="16"/>
  <c r="X297" i="16"/>
  <c r="X296" i="16"/>
  <c r="X295" i="16"/>
  <c r="X294" i="16"/>
  <c r="X293" i="16"/>
  <c r="X292" i="16"/>
  <c r="X291" i="16"/>
  <c r="X290" i="16"/>
  <c r="X289" i="16"/>
  <c r="X288" i="16"/>
  <c r="X287" i="16"/>
  <c r="X286" i="16"/>
  <c r="X285" i="16"/>
  <c r="X284" i="16"/>
  <c r="X283" i="16"/>
  <c r="X282" i="16"/>
  <c r="X281" i="16"/>
  <c r="X280" i="16"/>
  <c r="X279" i="16"/>
  <c r="X278" i="16"/>
  <c r="X277" i="16"/>
  <c r="X276" i="16"/>
  <c r="X275" i="16"/>
  <c r="X274" i="16"/>
  <c r="X273" i="16"/>
  <c r="X272" i="16"/>
  <c r="X271" i="16"/>
  <c r="X270" i="16"/>
  <c r="X269" i="16"/>
  <c r="X268" i="16"/>
  <c r="X267" i="16"/>
  <c r="X266" i="16"/>
  <c r="X265" i="16"/>
  <c r="X264" i="16"/>
  <c r="X263" i="16"/>
  <c r="X262" i="16"/>
  <c r="X261" i="16"/>
  <c r="X260" i="16"/>
  <c r="X259" i="16"/>
  <c r="X258" i="16"/>
  <c r="A41" i="1"/>
  <c r="A39" i="1"/>
  <c r="I3" i="29"/>
  <c r="H24" i="29"/>
  <c r="H23" i="29"/>
  <c r="AH24" i="28"/>
  <c r="H22" i="29"/>
  <c r="AH23" i="28"/>
  <c r="H21" i="29"/>
  <c r="AH22" i="28"/>
  <c r="H20" i="29"/>
  <c r="AH21" i="28"/>
  <c r="H19" i="29"/>
  <c r="AH20" i="28"/>
  <c r="H18" i="29"/>
  <c r="AH19" i="28"/>
  <c r="H17" i="29"/>
  <c r="AH18" i="28"/>
  <c r="H16" i="29"/>
  <c r="H15" i="29"/>
  <c r="AH16" i="28"/>
  <c r="AJ198" i="28"/>
  <c r="AI198" i="28"/>
  <c r="AJ107" i="28"/>
  <c r="AI107" i="28"/>
  <c r="AK13" i="28"/>
  <c r="AJ13" i="28"/>
  <c r="AI13" i="28"/>
  <c r="AI11" i="28"/>
  <c r="AI196" i="28" s="1"/>
  <c r="AI7" i="28"/>
  <c r="AI192" i="28" s="1"/>
  <c r="AI6" i="28"/>
  <c r="AR5" i="28" s="1"/>
  <c r="AR6" i="28" s="1"/>
  <c r="AR7" i="28" s="1"/>
  <c r="AR8" i="28" s="1"/>
  <c r="AR9" i="28" s="1"/>
  <c r="AR10" i="28" s="1"/>
  <c r="AR11" i="28" s="1"/>
  <c r="AR12" i="28" s="1"/>
  <c r="AR13" i="28" s="1"/>
  <c r="AR14" i="28" s="1"/>
  <c r="AR15" i="28" s="1"/>
  <c r="AR16" i="28" s="1"/>
  <c r="AR17" i="28" s="1"/>
  <c r="AR18" i="28" s="1"/>
  <c r="AR19" i="28" s="1"/>
  <c r="AR20" i="28" s="1"/>
  <c r="AR21" i="28" s="1"/>
  <c r="AR22" i="28" s="1"/>
  <c r="AR23" i="28" s="1"/>
  <c r="AR24" i="28" s="1"/>
  <c r="AR25" i="28" s="1"/>
  <c r="AR26" i="28" s="1"/>
  <c r="AR27" i="28" s="1"/>
  <c r="AR28" i="28" s="1"/>
  <c r="AR29" i="28" s="1"/>
  <c r="AR30" i="28" s="1"/>
  <c r="AR31" i="28" s="1"/>
  <c r="AR32" i="28" s="1"/>
  <c r="AR33" i="28" s="1"/>
  <c r="AR34" i="28" s="1"/>
  <c r="AR35" i="28" s="1"/>
  <c r="AR36" i="28" s="1"/>
  <c r="AR37" i="28" s="1"/>
  <c r="AR38" i="28" s="1"/>
  <c r="AR39" i="28" s="1"/>
  <c r="AR40" i="28" s="1"/>
  <c r="AR41" i="28" s="1"/>
  <c r="AR42" i="28" s="1"/>
  <c r="AR43" i="28" s="1"/>
  <c r="AR44" i="28" s="1"/>
  <c r="AR45" i="28" s="1"/>
  <c r="AR46" i="28" s="1"/>
  <c r="AR47" i="28" s="1"/>
  <c r="AR48" i="28" s="1"/>
  <c r="AR49" i="28" s="1"/>
  <c r="AR50" i="28" s="1"/>
  <c r="AR51" i="28" s="1"/>
  <c r="AR52" i="28" s="1"/>
  <c r="AR53" i="28" s="1"/>
  <c r="AR54" i="28" s="1"/>
  <c r="AR55" i="28" s="1"/>
  <c r="AR56" i="28" s="1"/>
  <c r="AR57" i="28" s="1"/>
  <c r="AR58" i="28" s="1"/>
  <c r="AR59" i="28" s="1"/>
  <c r="AR60" i="28" s="1"/>
  <c r="AR61" i="28" s="1"/>
  <c r="AR62" i="28" s="1"/>
  <c r="AR63" i="28" s="1"/>
  <c r="AR64" i="28" s="1"/>
  <c r="AR65" i="28" s="1"/>
  <c r="AR66" i="28" s="1"/>
  <c r="AR67" i="28" s="1"/>
  <c r="AR68" i="28" s="1"/>
  <c r="AR69" i="28" s="1"/>
  <c r="AR70" i="28" s="1"/>
  <c r="AR71" i="28" s="1"/>
  <c r="AR72" i="28" s="1"/>
  <c r="AR73" i="28" s="1"/>
  <c r="AR74" i="28" s="1"/>
  <c r="AR75" i="28" s="1"/>
  <c r="AR76" i="28" s="1"/>
  <c r="AR77" i="28" s="1"/>
  <c r="AR78" i="28" s="1"/>
  <c r="AR79" i="28" s="1"/>
  <c r="AR80" i="28" s="1"/>
  <c r="AR81" i="28" s="1"/>
  <c r="AR82" i="28" s="1"/>
  <c r="AR83" i="28" s="1"/>
  <c r="AR84" i="28" s="1"/>
  <c r="AR85" i="28" s="1"/>
  <c r="AR86" i="28" s="1"/>
  <c r="AR87" i="28" s="1"/>
  <c r="AR88" i="28" s="1"/>
  <c r="AR89" i="28" s="1"/>
  <c r="AI5" i="28"/>
  <c r="AI99" i="28" s="1"/>
  <c r="C15" i="23"/>
  <c r="K4" i="26"/>
  <c r="G4" i="26"/>
  <c r="D4" i="26"/>
  <c r="C37" i="17"/>
  <c r="A38" i="17"/>
  <c r="A37" i="17"/>
  <c r="B26" i="1"/>
  <c r="H4" i="19"/>
  <c r="F4" i="19"/>
  <c r="L29" i="19"/>
  <c r="F17" i="1"/>
  <c r="B2" i="17"/>
  <c r="C78" i="24"/>
  <c r="C77" i="24"/>
  <c r="C76" i="24"/>
  <c r="C75" i="24"/>
  <c r="C74" i="24"/>
  <c r="C73" i="24"/>
  <c r="C72" i="24"/>
  <c r="C71" i="24"/>
  <c r="C70" i="24"/>
  <c r="C69" i="24"/>
  <c r="C68" i="24"/>
  <c r="C67" i="24"/>
  <c r="C66" i="24"/>
  <c r="C65" i="24"/>
  <c r="C64" i="24"/>
  <c r="C63" i="24"/>
  <c r="C62" i="24"/>
  <c r="C61" i="24"/>
  <c r="C60" i="24"/>
  <c r="C59" i="24"/>
  <c r="C58" i="24"/>
  <c r="C57" i="24"/>
  <c r="C56" i="24"/>
  <c r="C55" i="24"/>
  <c r="C54" i="24"/>
  <c r="C53" i="24"/>
  <c r="C52" i="24"/>
  <c r="C51" i="24"/>
  <c r="C50" i="24"/>
  <c r="C49" i="24"/>
  <c r="C48" i="24"/>
  <c r="C47" i="24"/>
  <c r="C46" i="24"/>
  <c r="C45" i="24"/>
  <c r="C44" i="24"/>
  <c r="C43" i="24"/>
  <c r="C42" i="24"/>
  <c r="C41" i="24"/>
  <c r="C40" i="24"/>
  <c r="C39" i="24"/>
  <c r="C38" i="24"/>
  <c r="C37" i="24"/>
  <c r="C36" i="24"/>
  <c r="C35" i="24"/>
  <c r="C34" i="24"/>
  <c r="C33" i="24"/>
  <c r="C32" i="24"/>
  <c r="C31" i="24"/>
  <c r="C30" i="24"/>
  <c r="C29" i="24"/>
  <c r="C28" i="24"/>
  <c r="C27" i="24"/>
  <c r="C26" i="24"/>
  <c r="C25" i="24"/>
  <c r="C24" i="24"/>
  <c r="C23" i="24"/>
  <c r="C22" i="24"/>
  <c r="C21" i="24"/>
  <c r="C20" i="24"/>
  <c r="C19" i="24"/>
  <c r="C18" i="24"/>
  <c r="C17" i="24"/>
  <c r="C16" i="24"/>
  <c r="C15" i="24"/>
  <c r="C14" i="24"/>
  <c r="C13" i="24"/>
  <c r="C12" i="24"/>
  <c r="C11" i="24"/>
  <c r="C10" i="24"/>
  <c r="C9" i="24"/>
  <c r="C8" i="24"/>
  <c r="C7" i="24"/>
  <c r="A21" i="17"/>
  <c r="J21" i="17" s="1"/>
  <c r="C21" i="17"/>
  <c r="B4" i="17"/>
  <c r="C4" i="17" s="1"/>
  <c r="H24" i="17" s="1"/>
  <c r="B3" i="17"/>
  <c r="C3" i="17" s="1"/>
  <c r="A20" i="17"/>
  <c r="C20" i="17"/>
  <c r="C73" i="18"/>
  <c r="C74" i="18"/>
  <c r="C75" i="18"/>
  <c r="C76" i="18"/>
  <c r="C77" i="18"/>
  <c r="C78" i="18"/>
  <c r="C37" i="18"/>
  <c r="C38" i="18"/>
  <c r="C39" i="18"/>
  <c r="C40" i="18"/>
  <c r="C41" i="18"/>
  <c r="C42" i="18"/>
  <c r="B8" i="17"/>
  <c r="B9" i="17"/>
  <c r="E15" i="17"/>
  <c r="E16" i="17"/>
  <c r="B22" i="1"/>
  <c r="C16" i="17"/>
  <c r="C17" i="17"/>
  <c r="C19" i="17"/>
  <c r="E19" i="17"/>
  <c r="B25" i="1"/>
  <c r="E17" i="17"/>
  <c r="D17" i="17" s="1"/>
  <c r="C4" i="20"/>
  <c r="F4" i="20"/>
  <c r="K4" i="20"/>
  <c r="C7" i="18"/>
  <c r="C8" i="18"/>
  <c r="C9" i="18"/>
  <c r="C10" i="18"/>
  <c r="C11" i="18"/>
  <c r="C12" i="18"/>
  <c r="C13" i="18"/>
  <c r="C14" i="18"/>
  <c r="C15" i="18"/>
  <c r="C16" i="18"/>
  <c r="C17" i="18"/>
  <c r="C18" i="18"/>
  <c r="C19" i="18"/>
  <c r="C20" i="18"/>
  <c r="C21" i="18"/>
  <c r="C22" i="18"/>
  <c r="C23" i="18"/>
  <c r="C24" i="18"/>
  <c r="C25" i="18"/>
  <c r="C26" i="18"/>
  <c r="C27" i="18"/>
  <c r="C28" i="18"/>
  <c r="C29" i="18"/>
  <c r="C30" i="18"/>
  <c r="C31" i="18"/>
  <c r="C32" i="18"/>
  <c r="C33" i="18"/>
  <c r="C34" i="18"/>
  <c r="C35" i="18"/>
  <c r="C36" i="18"/>
  <c r="C43" i="18"/>
  <c r="C44" i="18"/>
  <c r="C45" i="18"/>
  <c r="C46" i="18"/>
  <c r="C47" i="18"/>
  <c r="C48" i="18"/>
  <c r="C49" i="18"/>
  <c r="C50" i="18"/>
  <c r="C51" i="18"/>
  <c r="C52" i="18"/>
  <c r="C53" i="18"/>
  <c r="C54" i="18"/>
  <c r="C55" i="18"/>
  <c r="C56" i="18"/>
  <c r="C57" i="18"/>
  <c r="C58" i="18"/>
  <c r="C59" i="18"/>
  <c r="C60" i="18"/>
  <c r="C61" i="18"/>
  <c r="C62" i="18"/>
  <c r="C63" i="18"/>
  <c r="C64" i="18"/>
  <c r="C65" i="18"/>
  <c r="C66" i="18"/>
  <c r="C67" i="18"/>
  <c r="C68" i="18"/>
  <c r="C69" i="18"/>
  <c r="C70" i="18"/>
  <c r="C71" i="18"/>
  <c r="C72" i="18"/>
  <c r="A16" i="17"/>
  <c r="A17" i="17"/>
  <c r="A19" i="17"/>
  <c r="E6" i="1"/>
  <c r="M40" i="61" l="1"/>
  <c r="B9" i="62"/>
  <c r="D59" i="63"/>
  <c r="M42" i="26"/>
  <c r="B39" i="61"/>
  <c r="A8" i="62"/>
  <c r="B41" i="26"/>
  <c r="A20" i="36"/>
  <c r="A58" i="63"/>
  <c r="A1" i="62"/>
  <c r="A2" i="62" s="1"/>
  <c r="A1" i="63"/>
  <c r="A2" i="63" s="1"/>
  <c r="B1" i="60"/>
  <c r="A2" i="60" s="1"/>
  <c r="A1" i="61"/>
  <c r="D2" i="61" s="1"/>
  <c r="C23" i="60"/>
  <c r="B22" i="59"/>
  <c r="D61" i="58"/>
  <c r="B22" i="60"/>
  <c r="A21" i="59"/>
  <c r="A60" i="58"/>
  <c r="A69" i="49"/>
  <c r="A1" i="58"/>
  <c r="A2" i="58" s="1"/>
  <c r="A1" i="59"/>
  <c r="A2" i="59" s="1"/>
  <c r="F32" i="1"/>
  <c r="L41" i="19" s="1"/>
  <c r="C27" i="39"/>
  <c r="D27" i="39" s="1"/>
  <c r="N15" i="23"/>
  <c r="B16" i="23"/>
  <c r="A1" i="1"/>
  <c r="A1" i="56"/>
  <c r="D2" i="56" s="1"/>
  <c r="H47" i="56"/>
  <c r="G48" i="56" s="1"/>
  <c r="A45" i="1"/>
  <c r="D70" i="49"/>
  <c r="G46" i="1"/>
  <c r="F10" i="17"/>
  <c r="D10" i="17"/>
  <c r="A10" i="17"/>
  <c r="C9" i="17"/>
  <c r="B14" i="17" s="1"/>
  <c r="D16" i="17"/>
  <c r="D11" i="17"/>
  <c r="E11" i="17" s="1"/>
  <c r="B15" i="17"/>
  <c r="D15" i="17" s="1"/>
  <c r="E34" i="17"/>
  <c r="D34" i="17"/>
  <c r="C34" i="17"/>
  <c r="AI105" i="28"/>
  <c r="R27" i="30"/>
  <c r="A1" i="50"/>
  <c r="A2" i="50" s="1"/>
  <c r="A1" i="49"/>
  <c r="B28" i="50"/>
  <c r="A21" i="36"/>
  <c r="A27" i="50"/>
  <c r="A1" i="44"/>
  <c r="A2" i="44" s="1"/>
  <c r="A1" i="36"/>
  <c r="A53" i="1"/>
  <c r="A56" i="1"/>
  <c r="A52" i="1"/>
  <c r="A55" i="1"/>
  <c r="A54" i="1"/>
  <c r="A57" i="1"/>
  <c r="B30" i="44"/>
  <c r="D54" i="43"/>
  <c r="A29" i="44"/>
  <c r="A53" i="43"/>
  <c r="A1" i="43"/>
  <c r="L55" i="19"/>
  <c r="A54" i="20"/>
  <c r="A54" i="19"/>
  <c r="A1" i="19"/>
  <c r="A2" i="19" s="1"/>
  <c r="A1" i="21"/>
  <c r="B20" i="17"/>
  <c r="D20" i="17" s="1"/>
  <c r="AI101" i="28"/>
  <c r="AI190" i="28"/>
  <c r="Q2" i="30"/>
  <c r="C40" i="30" s="1"/>
  <c r="G17" i="17"/>
  <c r="H17" i="17" s="1"/>
  <c r="C53" i="30"/>
  <c r="A30" i="33"/>
  <c r="K10" i="20"/>
  <c r="L10" i="20" s="1"/>
  <c r="K14" i="20"/>
  <c r="L14" i="20" s="1"/>
  <c r="K15" i="20"/>
  <c r="L15" i="20" s="1"/>
  <c r="K16" i="20"/>
  <c r="L16" i="20" s="1"/>
  <c r="K7" i="20"/>
  <c r="L7" i="20" s="1"/>
  <c r="K13" i="20"/>
  <c r="L13" i="20" s="1"/>
  <c r="K12" i="20"/>
  <c r="L12" i="20" s="1"/>
  <c r="K9" i="20"/>
  <c r="L9" i="20" s="1"/>
  <c r="K11" i="20"/>
  <c r="L11" i="20" s="1"/>
  <c r="K17" i="20"/>
  <c r="L17" i="20" s="1"/>
  <c r="K8" i="20"/>
  <c r="L8" i="20" s="1"/>
  <c r="L31" i="33"/>
  <c r="A40" i="35"/>
  <c r="B34" i="17"/>
  <c r="A13" i="38"/>
  <c r="A12" i="38"/>
  <c r="C29" i="32"/>
  <c r="A39" i="35"/>
  <c r="A15" i="37"/>
  <c r="AI8" i="28"/>
  <c r="AI10" i="28" s="1"/>
  <c r="AI12" i="28" s="1"/>
  <c r="AI14" i="28" s="1"/>
  <c r="AI100" i="28"/>
  <c r="AI191" i="28"/>
  <c r="B37" i="17"/>
  <c r="D37" i="17" s="1"/>
  <c r="G37" i="17" s="1"/>
  <c r="H37" i="17" s="1"/>
  <c r="T31" i="30"/>
  <c r="R43" i="30"/>
  <c r="T37" i="30"/>
  <c r="T38" i="30"/>
  <c r="R26" i="30"/>
  <c r="V29" i="30"/>
  <c r="T36" i="30"/>
  <c r="T33" i="30"/>
  <c r="R42" i="30"/>
  <c r="R36" i="30"/>
  <c r="R40" i="30"/>
  <c r="R12" i="30"/>
  <c r="R38" i="30"/>
  <c r="R44" i="30"/>
  <c r="S48" i="30"/>
  <c r="D19" i="17"/>
  <c r="G19" i="17" s="1"/>
  <c r="H19" i="17" s="1"/>
  <c r="R29" i="30"/>
  <c r="K3" i="29"/>
  <c r="X12" i="30"/>
  <c r="V31" i="30"/>
  <c r="X26" i="30"/>
  <c r="X28" i="30"/>
  <c r="V12" i="30"/>
  <c r="X29" i="30"/>
  <c r="Z12" i="30"/>
  <c r="C15" i="30"/>
  <c r="T26" i="30"/>
  <c r="U48" i="30"/>
  <c r="V26" i="30"/>
  <c r="J3" i="29"/>
  <c r="L3" i="29"/>
  <c r="T12" i="30"/>
  <c r="T29" i="30"/>
  <c r="R28" i="30"/>
  <c r="V33" i="30"/>
  <c r="R37" i="30"/>
  <c r="T39" i="30"/>
  <c r="X27" i="30"/>
  <c r="R41" i="30"/>
  <c r="D4" i="17"/>
  <c r="N54" i="30"/>
  <c r="L55" i="20"/>
  <c r="B21" i="17"/>
  <c r="D21" i="17" s="1"/>
  <c r="B38" i="17"/>
  <c r="A16" i="37"/>
  <c r="A1" i="38"/>
  <c r="A1" i="35"/>
  <c r="A1" i="37"/>
  <c r="A1" i="23"/>
  <c r="D2" i="23" s="1"/>
  <c r="A1" i="26"/>
  <c r="A1" i="33"/>
  <c r="A1" i="20"/>
  <c r="J27" i="39" l="1"/>
  <c r="K27" i="39"/>
  <c r="I27" i="39"/>
  <c r="H48" i="56"/>
  <c r="G49" i="56" s="1"/>
  <c r="D14" i="17"/>
  <c r="E10" i="17"/>
  <c r="F28" i="1"/>
  <c r="H28" i="1" s="1"/>
  <c r="C16" i="39" s="1"/>
  <c r="D16" i="39" s="1"/>
  <c r="I16" i="39" s="1"/>
  <c r="G16" i="17"/>
  <c r="H16" i="17" s="1"/>
  <c r="F22" i="1" s="1"/>
  <c r="AI102" i="28"/>
  <c r="AI104" i="28" s="1"/>
  <c r="AI106" i="28" s="1"/>
  <c r="AI108" i="28" s="1"/>
  <c r="A2" i="49"/>
  <c r="G20" i="17"/>
  <c r="H20" i="17" s="1"/>
  <c r="A2" i="38"/>
  <c r="A2" i="43"/>
  <c r="AI193" i="28"/>
  <c r="AI195" i="28" s="1"/>
  <c r="AI197" i="28" s="1"/>
  <c r="AI199" i="28" s="1"/>
  <c r="A2" i="21"/>
  <c r="C42" i="30"/>
  <c r="C36" i="30"/>
  <c r="C41" i="30"/>
  <c r="C52" i="30"/>
  <c r="C26" i="30"/>
  <c r="C11" i="30"/>
  <c r="C33" i="30"/>
  <c r="C28" i="30"/>
  <c r="C37" i="30"/>
  <c r="C43" i="30"/>
  <c r="C46" i="30"/>
  <c r="C39" i="30"/>
  <c r="C31" i="30"/>
  <c r="C32" i="30"/>
  <c r="C38" i="30"/>
  <c r="C34" i="30"/>
  <c r="C27" i="30"/>
  <c r="C35" i="30"/>
  <c r="C30" i="30"/>
  <c r="C29" i="30"/>
  <c r="C44" i="30"/>
  <c r="C45" i="30"/>
  <c r="A2" i="37"/>
  <c r="A2" i="20"/>
  <c r="A2" i="33"/>
  <c r="D2" i="26"/>
  <c r="A2" i="36"/>
  <c r="A2" i="35"/>
  <c r="F21" i="17"/>
  <c r="G21" i="17" s="1"/>
  <c r="H21" i="17" s="1"/>
  <c r="C16" i="23"/>
  <c r="L27" i="39" l="1"/>
  <c r="N16" i="23"/>
  <c r="B17" i="23"/>
  <c r="H49" i="56"/>
  <c r="G50" i="56" s="1"/>
  <c r="H22" i="1"/>
  <c r="F32" i="19" s="1"/>
  <c r="F23" i="1"/>
  <c r="H23" i="1" s="1"/>
  <c r="F33" i="19" s="1"/>
  <c r="K16" i="39"/>
  <c r="J16" i="39"/>
  <c r="F26" i="1"/>
  <c r="F27" i="1"/>
  <c r="H27" i="1" s="1"/>
  <c r="L6" i="26"/>
  <c r="J39" i="19"/>
  <c r="L39" i="19"/>
  <c r="N39" i="19" s="1"/>
  <c r="F39" i="19"/>
  <c r="H39" i="19" s="1"/>
  <c r="K14" i="19"/>
  <c r="L14" i="19" s="1"/>
  <c r="H50" i="56" l="1"/>
  <c r="G51" i="56" s="1"/>
  <c r="A13" i="19"/>
  <c r="K13" i="19"/>
  <c r="K28" i="20"/>
  <c r="L32" i="19"/>
  <c r="N32" i="19" s="1"/>
  <c r="J32" i="19"/>
  <c r="H32" i="19"/>
  <c r="H33" i="19"/>
  <c r="J33" i="19"/>
  <c r="L33" i="19"/>
  <c r="N33" i="19" s="1"/>
  <c r="K18" i="20"/>
  <c r="L18" i="20" s="1"/>
  <c r="L16" i="39"/>
  <c r="H26" i="1"/>
  <c r="K8" i="19"/>
  <c r="L8" i="19" s="1"/>
  <c r="K21" i="20"/>
  <c r="L21" i="20" s="1"/>
  <c r="K20" i="20"/>
  <c r="L20" i="20" s="1"/>
  <c r="K19" i="20"/>
  <c r="L19" i="20" s="1"/>
  <c r="A28" i="20"/>
  <c r="C17" i="23"/>
  <c r="L13" i="26"/>
  <c r="M13" i="26" s="1"/>
  <c r="L20" i="26"/>
  <c r="M20" i="26" s="1"/>
  <c r="Q14" i="26"/>
  <c r="L19" i="26"/>
  <c r="M19" i="26" s="1"/>
  <c r="L8" i="26"/>
  <c r="M8" i="26" s="1"/>
  <c r="L23" i="26"/>
  <c r="N17" i="23" l="1"/>
  <c r="B18" i="23"/>
  <c r="H51" i="56"/>
  <c r="G52" i="56" s="1"/>
  <c r="F38" i="19"/>
  <c r="L38" i="19" s="1"/>
  <c r="N38" i="19" s="1"/>
  <c r="J38" i="19"/>
  <c r="K12" i="19"/>
  <c r="L12" i="19" s="1"/>
  <c r="K26" i="20"/>
  <c r="L26" i="20" s="1"/>
  <c r="F37" i="19"/>
  <c r="H37" i="19" s="1"/>
  <c r="L37" i="19"/>
  <c r="N37" i="19" s="1"/>
  <c r="J37" i="19"/>
  <c r="L13" i="19"/>
  <c r="L14" i="26"/>
  <c r="M14" i="26" s="1"/>
  <c r="L28" i="20"/>
  <c r="M23" i="26"/>
  <c r="L25" i="26"/>
  <c r="L24" i="26"/>
  <c r="H52" i="56" l="1"/>
  <c r="G53" i="56" s="1"/>
  <c r="H38" i="19"/>
  <c r="C18" i="23"/>
  <c r="N18" i="23" l="1"/>
  <c r="B19" i="23"/>
  <c r="C19" i="23" s="1"/>
  <c r="H53" i="56"/>
  <c r="G54" i="56" s="1"/>
  <c r="N19" i="23" l="1"/>
  <c r="B20" i="23"/>
  <c r="H54" i="56"/>
  <c r="G55" i="56" s="1"/>
  <c r="H55" i="56" l="1"/>
  <c r="G56" i="56" s="1"/>
  <c r="C20" i="23"/>
  <c r="N20" i="23" l="1"/>
  <c r="B21" i="23"/>
  <c r="C21" i="23" s="1"/>
  <c r="H56" i="56"/>
  <c r="G57" i="56" s="1"/>
  <c r="N21" i="23" l="1"/>
  <c r="B22" i="23"/>
  <c r="H57" i="56"/>
  <c r="G58" i="56" s="1"/>
  <c r="H58" i="56" l="1"/>
  <c r="G59" i="56" s="1"/>
  <c r="C22" i="23"/>
  <c r="N22" i="23" l="1"/>
  <c r="B23" i="23"/>
  <c r="H59" i="56"/>
  <c r="G60" i="56" s="1"/>
  <c r="C23" i="23"/>
  <c r="K9" i="30"/>
  <c r="AS1" i="28"/>
  <c r="AS4" i="28" s="1"/>
  <c r="N23" i="23" l="1"/>
  <c r="B24" i="23"/>
  <c r="H60" i="56"/>
  <c r="G61" i="56" s="1"/>
  <c r="AS34" i="28"/>
  <c r="AW34" i="28" s="1"/>
  <c r="AS17" i="28"/>
  <c r="AW17" i="28" s="1"/>
  <c r="AS53" i="28"/>
  <c r="AW53" i="28" s="1"/>
  <c r="AS75" i="28"/>
  <c r="AW75" i="28" s="1"/>
  <c r="AS29" i="28"/>
  <c r="AW29" i="28" s="1"/>
  <c r="AS44" i="28"/>
  <c r="AW44" i="28" s="1"/>
  <c r="AS60" i="28"/>
  <c r="AW60" i="28" s="1"/>
  <c r="AS5" i="28"/>
  <c r="AW5" i="28" s="1"/>
  <c r="AS16" i="28"/>
  <c r="AW16" i="28" s="1"/>
  <c r="AS82" i="28"/>
  <c r="AW82" i="28" s="1"/>
  <c r="AS50" i="28"/>
  <c r="AW50" i="28" s="1"/>
  <c r="AS35" i="28"/>
  <c r="AW35" i="28" s="1"/>
  <c r="AS48" i="28"/>
  <c r="AW48" i="28" s="1"/>
  <c r="AS9" i="28"/>
  <c r="AW9" i="28" s="1"/>
  <c r="AS45" i="28"/>
  <c r="AW45" i="28" s="1"/>
  <c r="AS85" i="28"/>
  <c r="AW85" i="28" s="1"/>
  <c r="AS11" i="28"/>
  <c r="AW11" i="28" s="1"/>
  <c r="AS54" i="28"/>
  <c r="AW54" i="28" s="1"/>
  <c r="AS74" i="28"/>
  <c r="AW74" i="28" s="1"/>
  <c r="AS32" i="28"/>
  <c r="AW32" i="28" s="1"/>
  <c r="AS46" i="28"/>
  <c r="AW46" i="28" s="1"/>
  <c r="AS7" i="28"/>
  <c r="AW7" i="28" s="1"/>
  <c r="AS67" i="28"/>
  <c r="AW67" i="28" s="1"/>
  <c r="AS23" i="28"/>
  <c r="AW23" i="28" s="1"/>
  <c r="AS47" i="28"/>
  <c r="AW47" i="28" s="1"/>
  <c r="AS63" i="28"/>
  <c r="AW63" i="28" s="1"/>
  <c r="AW4" i="28"/>
  <c r="AS87" i="28"/>
  <c r="AW87" i="28" s="1"/>
  <c r="AS61" i="28"/>
  <c r="AW61" i="28" s="1"/>
  <c r="AS55" i="28"/>
  <c r="AW55" i="28" s="1"/>
  <c r="AS58" i="28"/>
  <c r="AW58" i="28" s="1"/>
  <c r="AS84" i="28"/>
  <c r="AW84" i="28" s="1"/>
  <c r="AS80" i="28"/>
  <c r="AW80" i="28" s="1"/>
  <c r="AS37" i="28"/>
  <c r="AW37" i="28" s="1"/>
  <c r="AS39" i="28"/>
  <c r="AW39" i="28" s="1"/>
  <c r="AS57" i="28"/>
  <c r="AW57" i="28" s="1"/>
  <c r="AS28" i="28"/>
  <c r="AW28" i="28" s="1"/>
  <c r="AS86" i="28"/>
  <c r="AW86" i="28" s="1"/>
  <c r="AS79" i="28"/>
  <c r="AW79" i="28" s="1"/>
  <c r="AS70" i="28"/>
  <c r="AW70" i="28" s="1"/>
  <c r="AS64" i="28"/>
  <c r="AW64" i="28" s="1"/>
  <c r="AS41" i="28"/>
  <c r="AW41" i="28" s="1"/>
  <c r="AS68" i="28"/>
  <c r="AW68" i="28" s="1"/>
  <c r="AS88" i="28"/>
  <c r="AW88" i="28" s="1"/>
  <c r="AS40" i="28"/>
  <c r="AW40" i="28" s="1"/>
  <c r="AS12" i="28"/>
  <c r="AW12" i="28" s="1"/>
  <c r="AS26" i="28"/>
  <c r="AW26" i="28" s="1"/>
  <c r="AS38" i="28"/>
  <c r="AW38" i="28" s="1"/>
  <c r="AS15" i="28"/>
  <c r="AW15" i="28" s="1"/>
  <c r="AS59" i="28"/>
  <c r="AW59" i="28" s="1"/>
  <c r="AS76" i="28"/>
  <c r="AW76" i="28" s="1"/>
  <c r="AS72" i="28"/>
  <c r="AW72" i="28" s="1"/>
  <c r="AS24" i="28"/>
  <c r="AW24" i="28" s="1"/>
  <c r="AS22" i="28"/>
  <c r="AW22" i="28" s="1"/>
  <c r="AS36" i="28"/>
  <c r="AW36" i="28" s="1"/>
  <c r="AS25" i="28"/>
  <c r="AW25" i="28" s="1"/>
  <c r="AS78" i="28"/>
  <c r="AW78" i="28" s="1"/>
  <c r="AS6" i="28"/>
  <c r="AW6" i="28" s="1"/>
  <c r="AS19" i="28"/>
  <c r="AW19" i="28" s="1"/>
  <c r="AS65" i="28"/>
  <c r="AW65" i="28" s="1"/>
  <c r="AS43" i="28"/>
  <c r="AW43" i="28" s="1"/>
  <c r="AS33" i="28"/>
  <c r="AW33" i="28" s="1"/>
  <c r="AS52" i="28"/>
  <c r="AW52" i="28" s="1"/>
  <c r="AS49" i="28"/>
  <c r="AW49" i="28" s="1"/>
  <c r="AS66" i="28"/>
  <c r="AW66" i="28" s="1"/>
  <c r="AS8" i="28"/>
  <c r="AW8" i="28" s="1"/>
  <c r="AS77" i="28"/>
  <c r="AW77" i="28" s="1"/>
  <c r="AS10" i="28"/>
  <c r="AW10" i="28" s="1"/>
  <c r="AS42" i="28"/>
  <c r="AW42" i="28" s="1"/>
  <c r="AS30" i="28"/>
  <c r="AW30" i="28" s="1"/>
  <c r="AS89" i="28"/>
  <c r="AW89" i="28" s="1"/>
  <c r="AS18" i="28"/>
  <c r="AW18" i="28" s="1"/>
  <c r="AS21" i="28"/>
  <c r="AW21" i="28" s="1"/>
  <c r="AS14" i="28"/>
  <c r="AW14" i="28" s="1"/>
  <c r="AS62" i="28"/>
  <c r="AW62" i="28" s="1"/>
  <c r="AS56" i="28"/>
  <c r="AW56" i="28" s="1"/>
  <c r="AS27" i="28"/>
  <c r="AW27" i="28" s="1"/>
  <c r="AS31" i="28"/>
  <c r="AW31" i="28" s="1"/>
  <c r="AS83" i="28"/>
  <c r="AW83" i="28" s="1"/>
  <c r="AS73" i="28"/>
  <c r="AW73" i="28" s="1"/>
  <c r="AS69" i="28"/>
  <c r="AW69" i="28" s="1"/>
  <c r="AS81" i="28"/>
  <c r="AW81" i="28" s="1"/>
  <c r="AS51" i="28"/>
  <c r="AW51" i="28" s="1"/>
  <c r="AS13" i="28"/>
  <c r="AW13" i="28" s="1"/>
  <c r="AS71" i="28"/>
  <c r="AW71" i="28" s="1"/>
  <c r="AS20" i="28"/>
  <c r="AW20" i="28" s="1"/>
  <c r="AT1" i="28"/>
  <c r="AT4" i="28" s="1"/>
  <c r="AU1" i="28"/>
  <c r="AU4" i="28" s="1"/>
  <c r="K18" i="30"/>
  <c r="K32" i="30"/>
  <c r="K13" i="30"/>
  <c r="K28" i="30"/>
  <c r="K27" i="30"/>
  <c r="K34" i="30"/>
  <c r="K14" i="30"/>
  <c r="K37" i="30"/>
  <c r="K29" i="30"/>
  <c r="K22" i="30"/>
  <c r="K17" i="30"/>
  <c r="K12" i="30"/>
  <c r="K39" i="30"/>
  <c r="K10" i="30"/>
  <c r="K41" i="30"/>
  <c r="K25" i="30"/>
  <c r="K46" i="30"/>
  <c r="K31" i="30"/>
  <c r="K23" i="30"/>
  <c r="K33" i="30"/>
  <c r="K19" i="30"/>
  <c r="K16" i="30"/>
  <c r="K20" i="30"/>
  <c r="K42" i="30"/>
  <c r="K40" i="30"/>
  <c r="K44" i="30"/>
  <c r="K24" i="30"/>
  <c r="K38" i="30"/>
  <c r="K35" i="30"/>
  <c r="K30" i="30"/>
  <c r="K15" i="30"/>
  <c r="K43" i="30"/>
  <c r="K21" i="30"/>
  <c r="K45" i="30"/>
  <c r="H61" i="56" l="1"/>
  <c r="G62" i="56" s="1"/>
  <c r="AU50" i="28"/>
  <c r="AY50" i="28" s="1"/>
  <c r="AU87" i="28"/>
  <c r="AY87" i="28" s="1"/>
  <c r="AU78" i="28"/>
  <c r="AY78" i="28" s="1"/>
  <c r="AU14" i="28"/>
  <c r="AY14" i="28" s="1"/>
  <c r="AU12" i="28"/>
  <c r="AY12" i="28" s="1"/>
  <c r="AU31" i="28"/>
  <c r="AY31" i="28" s="1"/>
  <c r="AU51" i="28"/>
  <c r="AY51" i="28" s="1"/>
  <c r="AU80" i="28"/>
  <c r="AY80" i="28" s="1"/>
  <c r="AU36" i="28"/>
  <c r="AY36" i="28" s="1"/>
  <c r="AU39" i="28"/>
  <c r="AY39" i="28" s="1"/>
  <c r="AU15" i="28"/>
  <c r="AY15" i="28" s="1"/>
  <c r="AU65" i="28"/>
  <c r="AY65" i="28" s="1"/>
  <c r="AU7" i="28"/>
  <c r="AY7" i="28" s="1"/>
  <c r="AU49" i="28"/>
  <c r="AY49" i="28" s="1"/>
  <c r="AU81" i="28"/>
  <c r="AY81" i="28" s="1"/>
  <c r="AU61" i="28"/>
  <c r="AY61" i="28" s="1"/>
  <c r="AU74" i="28"/>
  <c r="AY74" i="28" s="1"/>
  <c r="AU20" i="28"/>
  <c r="AY20" i="28" s="1"/>
  <c r="AU53" i="28"/>
  <c r="AY53" i="28" s="1"/>
  <c r="AU45" i="28"/>
  <c r="AY45" i="28" s="1"/>
  <c r="AU21" i="28"/>
  <c r="AY21" i="28" s="1"/>
  <c r="AU66" i="28"/>
  <c r="AY66" i="28" s="1"/>
  <c r="AU42" i="28"/>
  <c r="AY42" i="28" s="1"/>
  <c r="AU63" i="28"/>
  <c r="AY63" i="28" s="1"/>
  <c r="AU24" i="28"/>
  <c r="AY24" i="28" s="1"/>
  <c r="AU72" i="28"/>
  <c r="AY72" i="28" s="1"/>
  <c r="AU70" i="28"/>
  <c r="AY70" i="28" s="1"/>
  <c r="AU64" i="28"/>
  <c r="AY64" i="28" s="1"/>
  <c r="AU83" i="28"/>
  <c r="AY83" i="28" s="1"/>
  <c r="AU13" i="28"/>
  <c r="AY13" i="28" s="1"/>
  <c r="AU9" i="28"/>
  <c r="AY9" i="28" s="1"/>
  <c r="AU59" i="28"/>
  <c r="AY59" i="28" s="1"/>
  <c r="AU86" i="28"/>
  <c r="AY86" i="28" s="1"/>
  <c r="AU19" i="28"/>
  <c r="AY19" i="28" s="1"/>
  <c r="AU73" i="28"/>
  <c r="AY73" i="28" s="1"/>
  <c r="AU47" i="28"/>
  <c r="AY47" i="28" s="1"/>
  <c r="AU16" i="28"/>
  <c r="AY16" i="28" s="1"/>
  <c r="AU85" i="28"/>
  <c r="AY85" i="28" s="1"/>
  <c r="AU37" i="28"/>
  <c r="AY37" i="28" s="1"/>
  <c r="AU34" i="28"/>
  <c r="AY34" i="28" s="1"/>
  <c r="AU28" i="28"/>
  <c r="AY28" i="28" s="1"/>
  <c r="AU75" i="28"/>
  <c r="AY75" i="28" s="1"/>
  <c r="AU35" i="28"/>
  <c r="AY35" i="28" s="1"/>
  <c r="AU43" i="28"/>
  <c r="AY43" i="28" s="1"/>
  <c r="AY4" i="28"/>
  <c r="AU68" i="28"/>
  <c r="AY68" i="28" s="1"/>
  <c r="AU25" i="28"/>
  <c r="AY25" i="28" s="1"/>
  <c r="AU32" i="28"/>
  <c r="AY32" i="28" s="1"/>
  <c r="AU77" i="28"/>
  <c r="AY77" i="28" s="1"/>
  <c r="AU76" i="28"/>
  <c r="AY76" i="28" s="1"/>
  <c r="AU18" i="28"/>
  <c r="AY18" i="28" s="1"/>
  <c r="AU40" i="28"/>
  <c r="AY40" i="28" s="1"/>
  <c r="AU84" i="28"/>
  <c r="AY84" i="28" s="1"/>
  <c r="AU55" i="28"/>
  <c r="AY55" i="28" s="1"/>
  <c r="AU26" i="28"/>
  <c r="AY26" i="28" s="1"/>
  <c r="AU62" i="28"/>
  <c r="AY62" i="28" s="1"/>
  <c r="AU52" i="28"/>
  <c r="AY52" i="28" s="1"/>
  <c r="AU48" i="28"/>
  <c r="AY48" i="28" s="1"/>
  <c r="AU11" i="28"/>
  <c r="AY11" i="28" s="1"/>
  <c r="AU41" i="28"/>
  <c r="AY41" i="28" s="1"/>
  <c r="AU69" i="28"/>
  <c r="AY69" i="28" s="1"/>
  <c r="AU67" i="28"/>
  <c r="AY67" i="28" s="1"/>
  <c r="AU58" i="28"/>
  <c r="AY58" i="28" s="1"/>
  <c r="AU46" i="28"/>
  <c r="AY46" i="28" s="1"/>
  <c r="AU27" i="28"/>
  <c r="AY27" i="28" s="1"/>
  <c r="AU79" i="28"/>
  <c r="AY79" i="28" s="1"/>
  <c r="AU89" i="28"/>
  <c r="AY89" i="28" s="1"/>
  <c r="AU6" i="28"/>
  <c r="AY6" i="28" s="1"/>
  <c r="AU44" i="28"/>
  <c r="AY44" i="28" s="1"/>
  <c r="AU30" i="28"/>
  <c r="AY30" i="28" s="1"/>
  <c r="AU33" i="28"/>
  <c r="AY33" i="28" s="1"/>
  <c r="AU88" i="28"/>
  <c r="AY88" i="28" s="1"/>
  <c r="AU54" i="28"/>
  <c r="AY54" i="28" s="1"/>
  <c r="AU17" i="28"/>
  <c r="AY17" i="28" s="1"/>
  <c r="AU82" i="28"/>
  <c r="AY82" i="28" s="1"/>
  <c r="AU5" i="28"/>
  <c r="AY5" i="28" s="1"/>
  <c r="AU10" i="28"/>
  <c r="AY10" i="28" s="1"/>
  <c r="AU23" i="28"/>
  <c r="AY23" i="28" s="1"/>
  <c r="AU8" i="28"/>
  <c r="AY8" i="28" s="1"/>
  <c r="AU56" i="28"/>
  <c r="AY56" i="28" s="1"/>
  <c r="AU60" i="28"/>
  <c r="AY60" i="28" s="1"/>
  <c r="AU57" i="28"/>
  <c r="AY57" i="28" s="1"/>
  <c r="AU71" i="28"/>
  <c r="AY71" i="28" s="1"/>
  <c r="AU38" i="28"/>
  <c r="AY38" i="28" s="1"/>
  <c r="AU22" i="28"/>
  <c r="AY22" i="28" s="1"/>
  <c r="AU29" i="28"/>
  <c r="AY29" i="28" s="1"/>
  <c r="AT74" i="28"/>
  <c r="AX74" i="28" s="1"/>
  <c r="AT67" i="28"/>
  <c r="AX67" i="28" s="1"/>
  <c r="AT86" i="28"/>
  <c r="AX86" i="28" s="1"/>
  <c r="AT9" i="28"/>
  <c r="AX9" i="28" s="1"/>
  <c r="AT20" i="28"/>
  <c r="AX20" i="28" s="1"/>
  <c r="AT64" i="28"/>
  <c r="AX64" i="28" s="1"/>
  <c r="AT80" i="28"/>
  <c r="AX80" i="28" s="1"/>
  <c r="AT56" i="28"/>
  <c r="AX56" i="28" s="1"/>
  <c r="AT14" i="28"/>
  <c r="AX14" i="28" s="1"/>
  <c r="AT41" i="28"/>
  <c r="AX41" i="28" s="1"/>
  <c r="AT28" i="28"/>
  <c r="AX28" i="28" s="1"/>
  <c r="AT60" i="28"/>
  <c r="AX60" i="28" s="1"/>
  <c r="AT38" i="28"/>
  <c r="AX38" i="28" s="1"/>
  <c r="AT11" i="28"/>
  <c r="AX11" i="28" s="1"/>
  <c r="AT10" i="28"/>
  <c r="AX10" i="28" s="1"/>
  <c r="AT8" i="28"/>
  <c r="AX8" i="28" s="1"/>
  <c r="AT36" i="28"/>
  <c r="AX36" i="28" s="1"/>
  <c r="AT82" i="28"/>
  <c r="AX82" i="28" s="1"/>
  <c r="AT61" i="28"/>
  <c r="AX61" i="28" s="1"/>
  <c r="AT57" i="28"/>
  <c r="AX57" i="28" s="1"/>
  <c r="AT30" i="28"/>
  <c r="AX30" i="28" s="1"/>
  <c r="AT63" i="28"/>
  <c r="AX63" i="28" s="1"/>
  <c r="AT39" i="28"/>
  <c r="AX39" i="28" s="1"/>
  <c r="AT70" i="28"/>
  <c r="AX70" i="28" s="1"/>
  <c r="AT45" i="28"/>
  <c r="AX45" i="28" s="1"/>
  <c r="AT42" i="28"/>
  <c r="AX42" i="28" s="1"/>
  <c r="AT22" i="28"/>
  <c r="AX22" i="28" s="1"/>
  <c r="AT46" i="28"/>
  <c r="AX46" i="28" s="1"/>
  <c r="AT62" i="28"/>
  <c r="AX62" i="28" s="1"/>
  <c r="AT87" i="28"/>
  <c r="AX87" i="28" s="1"/>
  <c r="AT66" i="28"/>
  <c r="AX66" i="28" s="1"/>
  <c r="AT23" i="28"/>
  <c r="AX23" i="28" s="1"/>
  <c r="AT19" i="28"/>
  <c r="AX19" i="28" s="1"/>
  <c r="AT71" i="28"/>
  <c r="AX71" i="28" s="1"/>
  <c r="AX4" i="28"/>
  <c r="AT27" i="28"/>
  <c r="AX27" i="28" s="1"/>
  <c r="AT65" i="28"/>
  <c r="AX65" i="28" s="1"/>
  <c r="AT89" i="28"/>
  <c r="AX89" i="28" s="1"/>
  <c r="AT25" i="28"/>
  <c r="AX25" i="28" s="1"/>
  <c r="AT37" i="28"/>
  <c r="AX37" i="28" s="1"/>
  <c r="AT12" i="28"/>
  <c r="AX12" i="28" s="1"/>
  <c r="AZ12" i="28" s="1"/>
  <c r="BA12" i="28" s="1"/>
  <c r="AT40" i="28"/>
  <c r="AX40" i="28" s="1"/>
  <c r="AT26" i="28"/>
  <c r="AX26" i="28" s="1"/>
  <c r="AT5" i="28"/>
  <c r="AX5" i="28" s="1"/>
  <c r="AT6" i="28"/>
  <c r="AX6" i="28" s="1"/>
  <c r="AT13" i="28"/>
  <c r="AX13" i="28" s="1"/>
  <c r="AT35" i="28"/>
  <c r="AX35" i="28" s="1"/>
  <c r="AT33" i="28"/>
  <c r="AX33" i="28" s="1"/>
  <c r="AT84" i="28"/>
  <c r="AX84" i="28" s="1"/>
  <c r="AT7" i="28"/>
  <c r="AX7" i="28" s="1"/>
  <c r="AT69" i="28"/>
  <c r="AX69" i="28" s="1"/>
  <c r="AT49" i="28"/>
  <c r="AX49" i="28" s="1"/>
  <c r="AT54" i="28"/>
  <c r="AX54" i="28" s="1"/>
  <c r="AT59" i="28"/>
  <c r="AX59" i="28" s="1"/>
  <c r="AT50" i="28"/>
  <c r="AX50" i="28" s="1"/>
  <c r="AT81" i="28"/>
  <c r="AX81" i="28" s="1"/>
  <c r="AT68" i="28"/>
  <c r="AX68" i="28" s="1"/>
  <c r="AT72" i="28"/>
  <c r="AX72" i="28" s="1"/>
  <c r="AT43" i="28"/>
  <c r="AX43" i="28" s="1"/>
  <c r="AT55" i="28"/>
  <c r="AX55" i="28" s="1"/>
  <c r="AT16" i="28"/>
  <c r="AX16" i="28" s="1"/>
  <c r="AT44" i="28"/>
  <c r="AX44" i="28" s="1"/>
  <c r="AT83" i="28"/>
  <c r="AX83" i="28" s="1"/>
  <c r="AT34" i="28"/>
  <c r="AX34" i="28" s="1"/>
  <c r="AT79" i="28"/>
  <c r="AX79" i="28" s="1"/>
  <c r="AT51" i="28"/>
  <c r="AX51" i="28" s="1"/>
  <c r="AT15" i="28"/>
  <c r="AX15" i="28" s="1"/>
  <c r="AZ15" i="28" s="1"/>
  <c r="BA15" i="28" s="1"/>
  <c r="AT21" i="28"/>
  <c r="AX21" i="28" s="1"/>
  <c r="AZ21" i="28" s="1"/>
  <c r="BA21" i="28" s="1"/>
  <c r="AT47" i="28"/>
  <c r="AX47" i="28" s="1"/>
  <c r="AT73" i="28"/>
  <c r="AX73" i="28" s="1"/>
  <c r="AT75" i="28"/>
  <c r="AX75" i="28" s="1"/>
  <c r="AT31" i="28"/>
  <c r="AX31" i="28" s="1"/>
  <c r="AT17" i="28"/>
  <c r="AX17" i="28" s="1"/>
  <c r="AT24" i="28"/>
  <c r="AX24" i="28" s="1"/>
  <c r="AT32" i="28"/>
  <c r="AX32" i="28" s="1"/>
  <c r="AT58" i="28"/>
  <c r="AX58" i="28" s="1"/>
  <c r="AT77" i="28"/>
  <c r="AX77" i="28" s="1"/>
  <c r="AT53" i="28"/>
  <c r="AX53" i="28" s="1"/>
  <c r="AZ53" i="28" s="1"/>
  <c r="BA53" i="28" s="1"/>
  <c r="AT52" i="28"/>
  <c r="AX52" i="28" s="1"/>
  <c r="AT48" i="28"/>
  <c r="AX48" i="28" s="1"/>
  <c r="AT78" i="28"/>
  <c r="AX78" i="28" s="1"/>
  <c r="AZ78" i="28" s="1"/>
  <c r="BA78" i="28" s="1"/>
  <c r="AT88" i="28"/>
  <c r="AX88" i="28" s="1"/>
  <c r="AT29" i="28"/>
  <c r="AX29" i="28" s="1"/>
  <c r="AT76" i="28"/>
  <c r="AX76" i="28" s="1"/>
  <c r="AT18" i="28"/>
  <c r="AX18" i="28" s="1"/>
  <c r="AT85" i="28"/>
  <c r="AX85" i="28" s="1"/>
  <c r="C24" i="23"/>
  <c r="N24" i="23" l="1"/>
  <c r="B25" i="23"/>
  <c r="H62" i="56"/>
  <c r="G63" i="56" s="1"/>
  <c r="AZ72" i="28"/>
  <c r="BA72" i="28" s="1"/>
  <c r="AZ73" i="28"/>
  <c r="BA73" i="28" s="1"/>
  <c r="AZ65" i="28"/>
  <c r="BA65" i="28" s="1"/>
  <c r="AZ43" i="28"/>
  <c r="BA43" i="28" s="1"/>
  <c r="AZ16" i="28"/>
  <c r="BA16" i="28" s="1"/>
  <c r="AZ49" i="28"/>
  <c r="BA49" i="28" s="1"/>
  <c r="AZ31" i="28"/>
  <c r="BA31" i="28" s="1"/>
  <c r="AZ13" i="28"/>
  <c r="BA13" i="28" s="1"/>
  <c r="AZ48" i="28"/>
  <c r="BA48" i="28" s="1"/>
  <c r="AZ75" i="28"/>
  <c r="BA75" i="28" s="1"/>
  <c r="AZ6" i="28"/>
  <c r="BA6" i="28" s="1"/>
  <c r="AZ83" i="28"/>
  <c r="BA83" i="28" s="1"/>
  <c r="AZ44" i="28"/>
  <c r="BA44" i="28" s="1"/>
  <c r="AZ79" i="28"/>
  <c r="BA79" i="28" s="1"/>
  <c r="AZ41" i="28"/>
  <c r="BA41" i="28" s="1"/>
  <c r="AZ89" i="28"/>
  <c r="BA89" i="28" s="1"/>
  <c r="AZ71" i="28"/>
  <c r="BA71" i="28" s="1"/>
  <c r="AZ68" i="28"/>
  <c r="BA68" i="28" s="1"/>
  <c r="AZ23" i="28"/>
  <c r="BA23" i="28" s="1"/>
  <c r="AZ32" i="28"/>
  <c r="BA32" i="28" s="1"/>
  <c r="AZ34" i="28"/>
  <c r="BA34" i="28" s="1"/>
  <c r="AZ59" i="28"/>
  <c r="BA59" i="28" s="1"/>
  <c r="AZ9" i="28"/>
  <c r="BA9" i="28" s="1"/>
  <c r="AZ42" i="28"/>
  <c r="BA42" i="28" s="1"/>
  <c r="AZ51" i="28"/>
  <c r="BA51" i="28" s="1"/>
  <c r="AZ81" i="28"/>
  <c r="BA81" i="28" s="1"/>
  <c r="AZ33" i="28"/>
  <c r="BA33" i="28" s="1"/>
  <c r="AZ24" i="28"/>
  <c r="BA24" i="28" s="1"/>
  <c r="AZ52" i="28"/>
  <c r="BA52" i="28" s="1"/>
  <c r="AZ50" i="28"/>
  <c r="BA50" i="28" s="1"/>
  <c r="AZ25" i="28"/>
  <c r="BA25" i="28" s="1"/>
  <c r="AZ8" i="28"/>
  <c r="BA8" i="28" s="1"/>
  <c r="AZ58" i="28"/>
  <c r="BA58" i="28" s="1"/>
  <c r="AZ26" i="28"/>
  <c r="BA26" i="28" s="1"/>
  <c r="AZ37" i="28"/>
  <c r="BA37" i="28" s="1"/>
  <c r="AZ29" i="28"/>
  <c r="BA29" i="28" s="1"/>
  <c r="AZ30" i="28"/>
  <c r="BA30" i="28" s="1"/>
  <c r="AZ67" i="28"/>
  <c r="BA67" i="28" s="1"/>
  <c r="AZ55" i="28"/>
  <c r="BA55" i="28" s="1"/>
  <c r="AZ85" i="28"/>
  <c r="BA85" i="28" s="1"/>
  <c r="AZ66" i="28"/>
  <c r="BA66" i="28" s="1"/>
  <c r="AZ56" i="28"/>
  <c r="BA56" i="28" s="1"/>
  <c r="AZ22" i="28"/>
  <c r="BA22" i="28" s="1"/>
  <c r="AZ10" i="28"/>
  <c r="BA10" i="28" s="1"/>
  <c r="AZ69" i="28"/>
  <c r="BA69" i="28" s="1"/>
  <c r="AZ84" i="28"/>
  <c r="BA84" i="28" s="1"/>
  <c r="AZ7" i="28"/>
  <c r="BA7" i="28" s="1"/>
  <c r="AZ38" i="28"/>
  <c r="BA38" i="28" s="1"/>
  <c r="AZ5" i="28"/>
  <c r="BA5" i="28" s="1"/>
  <c r="AZ40" i="28"/>
  <c r="BA40" i="28" s="1"/>
  <c r="AZ47" i="28"/>
  <c r="BA47" i="28" s="1"/>
  <c r="AZ64" i="28"/>
  <c r="BA64" i="28" s="1"/>
  <c r="AZ45" i="28"/>
  <c r="BA45" i="28" s="1"/>
  <c r="AZ14" i="28"/>
  <c r="BA14" i="28" s="1"/>
  <c r="AZ82" i="28"/>
  <c r="BA82" i="28" s="1"/>
  <c r="AZ11" i="28"/>
  <c r="BA11" i="28" s="1"/>
  <c r="AZ18" i="28"/>
  <c r="BA18" i="28" s="1"/>
  <c r="AZ35" i="28"/>
  <c r="BA35" i="28" s="1"/>
  <c r="AZ70" i="28"/>
  <c r="BA70" i="28" s="1"/>
  <c r="AZ57" i="28"/>
  <c r="BA57" i="28" s="1"/>
  <c r="AZ17" i="28"/>
  <c r="BA17" i="28" s="1"/>
  <c r="AZ76" i="28"/>
  <c r="BA76" i="28" s="1"/>
  <c r="AZ19" i="28"/>
  <c r="BA19" i="28" s="1"/>
  <c r="AZ20" i="28"/>
  <c r="BA20" i="28" s="1"/>
  <c r="AZ39" i="28"/>
  <c r="BA39" i="28" s="1"/>
  <c r="AZ87" i="28"/>
  <c r="BA87" i="28" s="1"/>
  <c r="AZ60" i="28"/>
  <c r="BA60" i="28" s="1"/>
  <c r="AZ54" i="28"/>
  <c r="BA54" i="28" s="1"/>
  <c r="AZ27" i="28"/>
  <c r="BA27" i="28" s="1"/>
  <c r="AZ77" i="28"/>
  <c r="BA77" i="28" s="1"/>
  <c r="AZ28" i="28"/>
  <c r="BA28" i="28" s="1"/>
  <c r="AZ86" i="28"/>
  <c r="BA86" i="28" s="1"/>
  <c r="AZ74" i="28"/>
  <c r="BA74" i="28" s="1"/>
  <c r="AZ36" i="28"/>
  <c r="BA36" i="28" s="1"/>
  <c r="AZ88" i="28"/>
  <c r="BA88" i="28" s="1"/>
  <c r="AZ46" i="28"/>
  <c r="BA46" i="28" s="1"/>
  <c r="AZ62" i="28"/>
  <c r="BA62" i="28" s="1"/>
  <c r="AZ63" i="28"/>
  <c r="BA63" i="28" s="1"/>
  <c r="AZ61" i="28"/>
  <c r="BA61" i="28" s="1"/>
  <c r="AZ80" i="28"/>
  <c r="BA80" i="28" s="1"/>
  <c r="C25" i="23" l="1"/>
  <c r="N25" i="23" l="1"/>
  <c r="B26" i="23"/>
  <c r="H63" i="56"/>
  <c r="C26" i="23" l="1"/>
  <c r="N26" i="23" l="1"/>
  <c r="B27" i="23"/>
  <c r="C27" i="23" l="1"/>
  <c r="N27" i="23" l="1"/>
  <c r="B28" i="23"/>
  <c r="C28" i="23" s="1"/>
  <c r="N28" i="23" l="1"/>
  <c r="B29" i="23"/>
  <c r="C29" i="23" s="1"/>
  <c r="N29" i="23" l="1"/>
  <c r="B30" i="23"/>
  <c r="C30" i="23" l="1"/>
  <c r="N30" i="23" l="1"/>
  <c r="B31" i="23"/>
  <c r="C31" i="23" s="1"/>
  <c r="N31" i="23" l="1"/>
  <c r="B32" i="23"/>
  <c r="C32" i="23" l="1"/>
  <c r="N32" i="23" l="1"/>
  <c r="B33" i="23"/>
  <c r="C33" i="23" l="1"/>
  <c r="N33" i="23" l="1"/>
  <c r="B34" i="23"/>
  <c r="C34" i="23" l="1"/>
  <c r="N34" i="23" l="1"/>
  <c r="B35" i="23"/>
  <c r="C35" i="23" s="1"/>
  <c r="N35" i="23" l="1"/>
  <c r="B36" i="23"/>
  <c r="C36" i="23" s="1"/>
  <c r="N36" i="23" l="1"/>
  <c r="B37" i="23"/>
  <c r="C37" i="23" l="1"/>
  <c r="N37" i="23" l="1"/>
  <c r="B38" i="23"/>
  <c r="C38" i="23" l="1"/>
  <c r="N38" i="23" l="1"/>
  <c r="B39" i="23"/>
  <c r="C39" i="23" l="1"/>
  <c r="N39" i="23" l="1"/>
  <c r="B40" i="23"/>
  <c r="C40" i="23" s="1"/>
  <c r="N40" i="23" l="1"/>
  <c r="B41" i="23"/>
  <c r="C41" i="23" l="1"/>
  <c r="N41" i="23" l="1"/>
  <c r="B42" i="23"/>
  <c r="C42" i="23" l="1"/>
  <c r="N42" i="23" l="1"/>
  <c r="B43" i="23"/>
  <c r="C43" i="23" s="1"/>
  <c r="N43" i="23" l="1"/>
  <c r="B44" i="23"/>
  <c r="C44" i="23" s="1"/>
  <c r="N44" i="23" l="1"/>
  <c r="B45" i="23"/>
  <c r="C45" i="23" s="1"/>
  <c r="N45" i="23" l="1"/>
  <c r="B46" i="23"/>
  <c r="C46" i="23" s="1"/>
  <c r="N46" i="23" l="1"/>
  <c r="B47" i="23"/>
  <c r="C47" i="23" s="1"/>
  <c r="N47" i="23" l="1"/>
  <c r="B48" i="23"/>
  <c r="C48" i="23" l="1"/>
  <c r="N48" i="23" l="1"/>
  <c r="B49" i="23"/>
  <c r="C49" i="23" s="1"/>
  <c r="N49" i="23" l="1"/>
  <c r="B50" i="23"/>
  <c r="C50" i="23" s="1"/>
  <c r="N50" i="23" l="1"/>
  <c r="B51" i="23"/>
  <c r="C51" i="23" l="1"/>
  <c r="N51" i="23" l="1"/>
  <c r="B52" i="23"/>
  <c r="C52" i="23" s="1"/>
  <c r="N52" i="23" l="1"/>
  <c r="B53" i="23"/>
  <c r="C53" i="23" s="1"/>
  <c r="N53" i="23" l="1"/>
  <c r="B54" i="23"/>
  <c r="C54" i="23" l="1"/>
  <c r="N54" i="23" l="1"/>
  <c r="B55" i="23"/>
  <c r="C55" i="23" s="1"/>
  <c r="N55" i="23" l="1"/>
  <c r="B56" i="23"/>
  <c r="C56" i="23" s="1"/>
  <c r="N56" i="23" l="1"/>
  <c r="B57" i="23"/>
  <c r="C57" i="23" l="1"/>
  <c r="N57" i="23" l="1"/>
  <c r="B58" i="23"/>
  <c r="C58" i="23" s="1"/>
  <c r="N58" i="23" l="1"/>
  <c r="B59" i="23"/>
  <c r="C59" i="23" l="1"/>
  <c r="N59" i="23" l="1"/>
  <c r="B60" i="23"/>
  <c r="C60" i="23" l="1"/>
  <c r="N60" i="23" l="1"/>
  <c r="B61" i="23"/>
  <c r="C61" i="23" s="1"/>
  <c r="N61" i="23" l="1"/>
  <c r="B62" i="23"/>
  <c r="C62" i="23" s="1"/>
  <c r="N62" i="23" l="1"/>
  <c r="B63" i="23"/>
  <c r="C63" i="23" s="1"/>
  <c r="N63" i="23" l="1"/>
  <c r="B64" i="23"/>
  <c r="C64" i="23" l="1"/>
  <c r="N64" i="23" l="1"/>
  <c r="B65" i="23"/>
  <c r="H23" i="17"/>
  <c r="C65" i="23" l="1"/>
  <c r="F30" i="1"/>
  <c r="B66" i="23" l="1"/>
  <c r="N65" i="23"/>
  <c r="AC9" i="56"/>
  <c r="AC12" i="56" s="1"/>
  <c r="C66" i="23" l="1"/>
  <c r="A40" i="1"/>
  <c r="Q13" i="23"/>
  <c r="B67" i="23" l="1"/>
  <c r="N66" i="23"/>
  <c r="B13" i="17"/>
  <c r="C14" i="39"/>
  <c r="D14" i="39" s="1"/>
  <c r="C12" i="39"/>
  <c r="D12" i="39" s="1"/>
  <c r="C13" i="39"/>
  <c r="D13" i="39" s="1"/>
  <c r="C15" i="39"/>
  <c r="D15" i="39" s="1"/>
  <c r="C19" i="39"/>
  <c r="D19" i="39" s="1"/>
  <c r="C10" i="39"/>
  <c r="D10" i="39" s="1"/>
  <c r="C9" i="39"/>
  <c r="D9" i="39" s="1"/>
  <c r="C18" i="39"/>
  <c r="D18" i="39" s="1"/>
  <c r="A4" i="39"/>
  <c r="C8" i="39"/>
  <c r="D8" i="39" s="1"/>
  <c r="C67" i="23" l="1"/>
  <c r="V11" i="56"/>
  <c r="W9" i="56" s="1"/>
  <c r="K19" i="39"/>
  <c r="J19" i="39"/>
  <c r="I19" i="39"/>
  <c r="J15" i="39"/>
  <c r="K15" i="39"/>
  <c r="I15" i="39"/>
  <c r="K13" i="39"/>
  <c r="J13" i="39"/>
  <c r="I13" i="39"/>
  <c r="I12" i="39"/>
  <c r="J12" i="39"/>
  <c r="K12" i="39"/>
  <c r="I14" i="39"/>
  <c r="J14" i="39"/>
  <c r="K14" i="39"/>
  <c r="D13" i="17"/>
  <c r="N11" i="23"/>
  <c r="O11" i="23" s="1"/>
  <c r="M67" i="23" s="1"/>
  <c r="K9" i="39"/>
  <c r="J9" i="39"/>
  <c r="I9" i="39"/>
  <c r="I18" i="39"/>
  <c r="J18" i="39"/>
  <c r="K18" i="39"/>
  <c r="J10" i="39"/>
  <c r="I10" i="39"/>
  <c r="K10" i="39"/>
  <c r="K8" i="39"/>
  <c r="I8" i="39"/>
  <c r="J8" i="39"/>
  <c r="M64" i="23" l="1"/>
  <c r="M65" i="23"/>
  <c r="M66" i="23"/>
  <c r="B68" i="23"/>
  <c r="N67" i="23"/>
  <c r="AK107" i="56"/>
  <c r="AG93" i="56"/>
  <c r="AC79" i="56"/>
  <c r="AC101" i="56"/>
  <c r="AG98" i="56"/>
  <c r="AK98" i="56"/>
  <c r="AG84" i="56"/>
  <c r="AC70" i="56"/>
  <c r="AC109" i="56"/>
  <c r="AC100" i="56"/>
  <c r="AK87" i="56"/>
  <c r="AG73" i="56"/>
  <c r="AC66" i="56"/>
  <c r="AC89" i="56"/>
  <c r="AC112" i="56"/>
  <c r="AG112" i="56"/>
  <c r="AC98" i="56"/>
  <c r="AG95" i="56"/>
  <c r="AK76" i="56"/>
  <c r="AC65" i="56"/>
  <c r="AK99" i="56"/>
  <c r="AG85" i="56"/>
  <c r="AC71" i="56"/>
  <c r="AC85" i="56"/>
  <c r="AG90" i="56"/>
  <c r="AK90" i="56"/>
  <c r="AG76" i="56"/>
  <c r="AK113" i="56"/>
  <c r="AC93" i="56"/>
  <c r="AC76" i="56"/>
  <c r="AK79" i="56"/>
  <c r="AG65" i="56"/>
  <c r="AK101" i="56"/>
  <c r="AC73" i="56"/>
  <c r="AC88" i="56"/>
  <c r="AG104" i="56"/>
  <c r="AC90" i="56"/>
  <c r="AG79" i="56"/>
  <c r="AG102" i="56"/>
  <c r="AK93" i="56"/>
  <c r="AK108" i="56"/>
  <c r="AC106" i="56"/>
  <c r="AK91" i="56"/>
  <c r="AG77" i="56"/>
  <c r="AK105" i="56"/>
  <c r="AC69" i="56"/>
  <c r="AG74" i="56"/>
  <c r="AK82" i="56"/>
  <c r="AG68" i="56"/>
  <c r="AK97" i="56"/>
  <c r="AC77" i="56"/>
  <c r="AC96" i="56"/>
  <c r="AK71" i="56"/>
  <c r="AC107" i="56"/>
  <c r="AK85" i="56"/>
  <c r="AK100" i="56"/>
  <c r="AK110" i="56"/>
  <c r="AG96" i="56"/>
  <c r="AC82" i="56"/>
  <c r="AC113" i="56"/>
  <c r="AG86" i="56"/>
  <c r="AC104" i="56"/>
  <c r="AG94" i="56"/>
  <c r="AK83" i="56"/>
  <c r="AG69" i="56"/>
  <c r="AK89" i="56"/>
  <c r="AK112" i="56"/>
  <c r="AC108" i="56"/>
  <c r="AK74" i="56"/>
  <c r="AC110" i="56"/>
  <c r="AK81" i="56"/>
  <c r="AK96" i="56"/>
  <c r="AC64" i="56"/>
  <c r="AG113" i="56"/>
  <c r="AC99" i="56"/>
  <c r="AK69" i="56"/>
  <c r="AK84" i="56"/>
  <c r="AK102" i="56"/>
  <c r="AG88" i="56"/>
  <c r="AC74" i="56"/>
  <c r="AC97" i="56"/>
  <c r="AG70" i="56"/>
  <c r="AC80" i="56"/>
  <c r="AG64" i="56"/>
  <c r="AK75" i="56"/>
  <c r="AC111" i="56"/>
  <c r="AK73" i="56"/>
  <c r="AK104" i="56"/>
  <c r="AC92" i="56"/>
  <c r="AK66" i="56"/>
  <c r="AC102" i="56"/>
  <c r="AK65" i="56"/>
  <c r="AK72" i="56"/>
  <c r="AC84" i="56"/>
  <c r="AG105" i="56"/>
  <c r="AC91" i="56"/>
  <c r="AG103" i="56"/>
  <c r="AK68" i="56"/>
  <c r="AK94" i="56"/>
  <c r="AG80" i="56"/>
  <c r="AK109" i="56"/>
  <c r="AC81" i="56"/>
  <c r="AK78" i="56"/>
  <c r="AG111" i="56"/>
  <c r="AK67" i="56"/>
  <c r="AC103" i="56"/>
  <c r="AG107" i="56"/>
  <c r="AK88" i="56"/>
  <c r="AC68" i="56"/>
  <c r="AG108" i="56"/>
  <c r="AC94" i="56"/>
  <c r="AG99" i="56"/>
  <c r="AG106" i="56"/>
  <c r="AK111" i="56"/>
  <c r="AG97" i="56"/>
  <c r="AC83" i="56"/>
  <c r="AG87" i="56"/>
  <c r="AG110" i="56"/>
  <c r="AK86" i="56"/>
  <c r="AG72" i="56"/>
  <c r="AK77" i="56"/>
  <c r="AG109" i="56"/>
  <c r="AC95" i="56"/>
  <c r="AG83" i="56"/>
  <c r="AK80" i="56"/>
  <c r="AC72" i="56"/>
  <c r="AG100" i="56"/>
  <c r="AC86" i="56"/>
  <c r="AG91" i="56"/>
  <c r="AG82" i="56"/>
  <c r="AK103" i="56"/>
  <c r="AG89" i="56"/>
  <c r="AC75" i="56"/>
  <c r="AG71" i="56"/>
  <c r="AK92" i="56"/>
  <c r="AG101" i="56"/>
  <c r="AC87" i="56"/>
  <c r="AG67" i="56"/>
  <c r="AK64" i="56"/>
  <c r="AK106" i="56"/>
  <c r="AG92" i="56"/>
  <c r="AC78" i="56"/>
  <c r="AG75" i="56"/>
  <c r="AG66" i="56"/>
  <c r="AK95" i="56"/>
  <c r="AG81" i="56"/>
  <c r="AC67" i="56"/>
  <c r="AC105" i="56"/>
  <c r="AG78" i="56"/>
  <c r="AK70" i="56"/>
  <c r="AK59" i="56"/>
  <c r="AK51" i="56"/>
  <c r="AK43" i="56"/>
  <c r="AK35" i="56"/>
  <c r="AK27" i="56"/>
  <c r="AK19" i="56"/>
  <c r="AG56" i="56"/>
  <c r="AG48" i="56"/>
  <c r="AG40" i="56"/>
  <c r="AG32" i="56"/>
  <c r="AG24" i="56"/>
  <c r="AG16" i="56"/>
  <c r="AC61" i="56"/>
  <c r="AC53" i="56"/>
  <c r="AC45" i="56"/>
  <c r="AC37" i="56"/>
  <c r="AC29" i="56"/>
  <c r="AC21" i="56"/>
  <c r="AC13" i="56"/>
  <c r="AK58" i="56"/>
  <c r="AK50" i="56"/>
  <c r="AK42" i="56"/>
  <c r="AK34" i="56"/>
  <c r="AK26" i="56"/>
  <c r="AK18" i="56"/>
  <c r="AG63" i="56"/>
  <c r="AG55" i="56"/>
  <c r="AG47" i="56"/>
  <c r="AG39" i="56"/>
  <c r="AG31" i="56"/>
  <c r="AG23" i="56"/>
  <c r="AG15" i="56"/>
  <c r="AC60" i="56"/>
  <c r="AC52" i="56"/>
  <c r="AC44" i="56"/>
  <c r="AC36" i="56"/>
  <c r="AC28" i="56"/>
  <c r="AC20" i="56"/>
  <c r="AK57" i="56"/>
  <c r="AK49" i="56"/>
  <c r="AK41" i="56"/>
  <c r="AK33" i="56"/>
  <c r="AK25" i="56"/>
  <c r="AK17" i="56"/>
  <c r="AG62" i="56"/>
  <c r="AG54" i="56"/>
  <c r="AG46" i="56"/>
  <c r="AG38" i="56"/>
  <c r="AG30" i="56"/>
  <c r="AG22" i="56"/>
  <c r="AG14" i="56"/>
  <c r="X14" i="56" s="1"/>
  <c r="AC59" i="56"/>
  <c r="AC51" i="56"/>
  <c r="AC43" i="56"/>
  <c r="AC35" i="56"/>
  <c r="AC27" i="56"/>
  <c r="AC19" i="56"/>
  <c r="AK56" i="56"/>
  <c r="AK48" i="56"/>
  <c r="AK40" i="56"/>
  <c r="AK32" i="56"/>
  <c r="AK24" i="56"/>
  <c r="AK16" i="56"/>
  <c r="AG61" i="56"/>
  <c r="AG53" i="56"/>
  <c r="AG45" i="56"/>
  <c r="AG37" i="56"/>
  <c r="AG29" i="56"/>
  <c r="AG21" i="56"/>
  <c r="AG13" i="56"/>
  <c r="AC58" i="56"/>
  <c r="AC50" i="56"/>
  <c r="AC42" i="56"/>
  <c r="AC34" i="56"/>
  <c r="AC26" i="56"/>
  <c r="AC18" i="56"/>
  <c r="AK63" i="56"/>
  <c r="AK55" i="56"/>
  <c r="AK47" i="56"/>
  <c r="AK39" i="56"/>
  <c r="AK31" i="56"/>
  <c r="AK23" i="56"/>
  <c r="AK15" i="56"/>
  <c r="AG60" i="56"/>
  <c r="AG52" i="56"/>
  <c r="AG44" i="56"/>
  <c r="AG36" i="56"/>
  <c r="AG28" i="56"/>
  <c r="AG20" i="56"/>
  <c r="AC57" i="56"/>
  <c r="AC49" i="56"/>
  <c r="AC41" i="56"/>
  <c r="AC33" i="56"/>
  <c r="AC25" i="56"/>
  <c r="AC17" i="56"/>
  <c r="AK62" i="56"/>
  <c r="AK54" i="56"/>
  <c r="AK46" i="56"/>
  <c r="AK38" i="56"/>
  <c r="AK30" i="56"/>
  <c r="AK22" i="56"/>
  <c r="AK14" i="56"/>
  <c r="AG59" i="56"/>
  <c r="AG51" i="56"/>
  <c r="AG43" i="56"/>
  <c r="AG35" i="56"/>
  <c r="AG27" i="56"/>
  <c r="AG19" i="56"/>
  <c r="AC56" i="56"/>
  <c r="AC48" i="56"/>
  <c r="AC40" i="56"/>
  <c r="AC32" i="56"/>
  <c r="AC24" i="56"/>
  <c r="AC16" i="56"/>
  <c r="AK61" i="56"/>
  <c r="AK53" i="56"/>
  <c r="AK45" i="56"/>
  <c r="AK37" i="56"/>
  <c r="AK29" i="56"/>
  <c r="AK21" i="56"/>
  <c r="AK13" i="56"/>
  <c r="AG58" i="56"/>
  <c r="AG50" i="56"/>
  <c r="AG42" i="56"/>
  <c r="AG34" i="56"/>
  <c r="AG26" i="56"/>
  <c r="AG18" i="56"/>
  <c r="AC63" i="56"/>
  <c r="AC55" i="56"/>
  <c r="AC47" i="56"/>
  <c r="AC39" i="56"/>
  <c r="AC31" i="56"/>
  <c r="AC23" i="56"/>
  <c r="AC15" i="56"/>
  <c r="AK60" i="56"/>
  <c r="AK52" i="56"/>
  <c r="AK44" i="56"/>
  <c r="AK36" i="56"/>
  <c r="AK28" i="56"/>
  <c r="AK20" i="56"/>
  <c r="AG57" i="56"/>
  <c r="AG49" i="56"/>
  <c r="AG41" i="56"/>
  <c r="AG33" i="56"/>
  <c r="AG25" i="56"/>
  <c r="AG17" i="56"/>
  <c r="AC62" i="56"/>
  <c r="AC54" i="56"/>
  <c r="AC46" i="56"/>
  <c r="AC38" i="56"/>
  <c r="AC30" i="56"/>
  <c r="AC22" i="56"/>
  <c r="AC14" i="56"/>
  <c r="I13" i="17"/>
  <c r="C14" i="17" s="1"/>
  <c r="G13" i="17"/>
  <c r="H13" i="17" s="1"/>
  <c r="L15" i="39"/>
  <c r="L19" i="39"/>
  <c r="L13" i="39"/>
  <c r="L12" i="39"/>
  <c r="L14" i="39"/>
  <c r="M14" i="23"/>
  <c r="M61" i="23"/>
  <c r="M20" i="23"/>
  <c r="M26" i="23"/>
  <c r="M41" i="23"/>
  <c r="M60" i="23"/>
  <c r="M46" i="23"/>
  <c r="M15" i="23"/>
  <c r="M16" i="23"/>
  <c r="M48" i="23"/>
  <c r="M57" i="23"/>
  <c r="M22" i="23"/>
  <c r="M37" i="23"/>
  <c r="M45" i="23"/>
  <c r="M63" i="23"/>
  <c r="M39" i="23"/>
  <c r="M52" i="23"/>
  <c r="M18" i="23"/>
  <c r="M33" i="23"/>
  <c r="M49" i="23"/>
  <c r="M34" i="23"/>
  <c r="M62" i="23"/>
  <c r="M59" i="23"/>
  <c r="M35" i="23"/>
  <c r="M24" i="23"/>
  <c r="M28" i="23"/>
  <c r="M29" i="23"/>
  <c r="M40" i="23"/>
  <c r="M58" i="23"/>
  <c r="M55" i="23"/>
  <c r="M31" i="23"/>
  <c r="M42" i="23"/>
  <c r="M25" i="23"/>
  <c r="M36" i="23"/>
  <c r="M23" i="23"/>
  <c r="M54" i="23"/>
  <c r="M51" i="23"/>
  <c r="M27" i="23"/>
  <c r="M38" i="23"/>
  <c r="M56" i="23"/>
  <c r="M21" i="23"/>
  <c r="M32" i="23"/>
  <c r="M53" i="23"/>
  <c r="M43" i="23"/>
  <c r="M19" i="23"/>
  <c r="M30" i="23"/>
  <c r="M50" i="23"/>
  <c r="M44" i="23"/>
  <c r="M47" i="23"/>
  <c r="M17" i="23"/>
  <c r="L10" i="39"/>
  <c r="L8" i="39"/>
  <c r="L9" i="39"/>
  <c r="L18" i="39"/>
  <c r="C68" i="23" l="1"/>
  <c r="M68" i="23"/>
  <c r="Y65" i="56"/>
  <c r="Z65" i="56"/>
  <c r="Z67" i="56"/>
  <c r="Y67" i="56"/>
  <c r="W67" i="56"/>
  <c r="X67" i="56"/>
  <c r="V65" i="56"/>
  <c r="U65" i="56"/>
  <c r="W66" i="56"/>
  <c r="X66" i="56"/>
  <c r="Y66" i="56"/>
  <c r="Z66" i="56"/>
  <c r="U67" i="56"/>
  <c r="V67" i="56"/>
  <c r="W65" i="56"/>
  <c r="X65" i="56"/>
  <c r="U66" i="56"/>
  <c r="V66" i="56"/>
  <c r="V48" i="56"/>
  <c r="U48" i="56"/>
  <c r="V35" i="56"/>
  <c r="U35" i="56"/>
  <c r="V71" i="56"/>
  <c r="U71" i="56"/>
  <c r="V70" i="56"/>
  <c r="U70" i="56"/>
  <c r="V23" i="56"/>
  <c r="U23" i="56"/>
  <c r="V87" i="56"/>
  <c r="U87" i="56"/>
  <c r="V40" i="56"/>
  <c r="U40" i="56"/>
  <c r="V104" i="56"/>
  <c r="U104" i="56"/>
  <c r="V57" i="56"/>
  <c r="U57" i="56"/>
  <c r="U74" i="56"/>
  <c r="V74" i="56"/>
  <c r="V27" i="56"/>
  <c r="U27" i="56"/>
  <c r="V91" i="56"/>
  <c r="U91" i="56"/>
  <c r="V44" i="56"/>
  <c r="U44" i="56"/>
  <c r="V108" i="56"/>
  <c r="U108" i="56"/>
  <c r="U61" i="56"/>
  <c r="V61" i="56"/>
  <c r="V95" i="56"/>
  <c r="U95" i="56"/>
  <c r="U82" i="56"/>
  <c r="V82" i="56"/>
  <c r="V69" i="56"/>
  <c r="U69" i="56"/>
  <c r="U22" i="56"/>
  <c r="V22" i="56"/>
  <c r="V86" i="56"/>
  <c r="U86" i="56"/>
  <c r="V39" i="56"/>
  <c r="U39" i="56"/>
  <c r="V103" i="56"/>
  <c r="U103" i="56"/>
  <c r="V56" i="56"/>
  <c r="U56" i="56"/>
  <c r="V73" i="56"/>
  <c r="U73" i="56"/>
  <c r="V26" i="56"/>
  <c r="U26" i="56"/>
  <c r="V90" i="56"/>
  <c r="U90" i="56"/>
  <c r="V43" i="56"/>
  <c r="U43" i="56"/>
  <c r="V107" i="56"/>
  <c r="U107" i="56"/>
  <c r="V60" i="56"/>
  <c r="U60" i="56"/>
  <c r="V77" i="56"/>
  <c r="U77" i="56"/>
  <c r="V52" i="56"/>
  <c r="U52" i="56"/>
  <c r="V30" i="56"/>
  <c r="U30" i="56"/>
  <c r="V94" i="56"/>
  <c r="U94" i="56"/>
  <c r="V47" i="56"/>
  <c r="U47" i="56"/>
  <c r="V111" i="56"/>
  <c r="U111" i="56"/>
  <c r="V64" i="56"/>
  <c r="U64" i="56"/>
  <c r="U17" i="56"/>
  <c r="V17" i="56"/>
  <c r="U81" i="56"/>
  <c r="V81" i="56"/>
  <c r="U34" i="56"/>
  <c r="V34" i="56"/>
  <c r="U98" i="56"/>
  <c r="V98" i="56"/>
  <c r="V51" i="56"/>
  <c r="U51" i="56"/>
  <c r="V68" i="56"/>
  <c r="U68" i="56"/>
  <c r="V21" i="56"/>
  <c r="U21" i="56"/>
  <c r="U85" i="56"/>
  <c r="V85" i="56"/>
  <c r="V78" i="56"/>
  <c r="U78" i="56"/>
  <c r="V102" i="56"/>
  <c r="U102" i="56"/>
  <c r="V55" i="56"/>
  <c r="U55" i="56"/>
  <c r="V72" i="56"/>
  <c r="U72" i="56"/>
  <c r="V25" i="56"/>
  <c r="U25" i="56"/>
  <c r="V89" i="56"/>
  <c r="U89" i="56"/>
  <c r="V42" i="56"/>
  <c r="U42" i="56"/>
  <c r="V106" i="56"/>
  <c r="U106" i="56"/>
  <c r="V59" i="56"/>
  <c r="U59" i="56"/>
  <c r="V76" i="56"/>
  <c r="U76" i="56"/>
  <c r="U29" i="56"/>
  <c r="V29" i="56"/>
  <c r="V93" i="56"/>
  <c r="U93" i="56"/>
  <c r="V14" i="56"/>
  <c r="U14" i="56"/>
  <c r="U38" i="56"/>
  <c r="V38" i="56"/>
  <c r="U46" i="56"/>
  <c r="V46" i="56"/>
  <c r="U110" i="56"/>
  <c r="V110" i="56"/>
  <c r="V63" i="56"/>
  <c r="U63" i="56"/>
  <c r="V16" i="56"/>
  <c r="U16" i="56"/>
  <c r="V80" i="56"/>
  <c r="U80" i="56"/>
  <c r="V33" i="56"/>
  <c r="U33" i="56"/>
  <c r="U97" i="56"/>
  <c r="V97" i="56"/>
  <c r="V50" i="56"/>
  <c r="U50" i="56"/>
  <c r="V20" i="56"/>
  <c r="U20" i="56"/>
  <c r="V84" i="56"/>
  <c r="U84" i="56"/>
  <c r="V37" i="56"/>
  <c r="U37" i="56"/>
  <c r="U101" i="56"/>
  <c r="V101" i="56"/>
  <c r="V31" i="56"/>
  <c r="U31" i="56"/>
  <c r="V18" i="56"/>
  <c r="U18" i="56"/>
  <c r="U54" i="56"/>
  <c r="V54" i="56"/>
  <c r="V24" i="56"/>
  <c r="U24" i="56"/>
  <c r="U41" i="56"/>
  <c r="V41" i="56"/>
  <c r="V58" i="56"/>
  <c r="U58" i="56"/>
  <c r="V75" i="56"/>
  <c r="U75" i="56"/>
  <c r="V28" i="56"/>
  <c r="U28" i="56"/>
  <c r="V92" i="56"/>
  <c r="U92" i="56"/>
  <c r="U45" i="56"/>
  <c r="V45" i="56"/>
  <c r="V109" i="56"/>
  <c r="U109" i="56"/>
  <c r="V112" i="56"/>
  <c r="U112" i="56"/>
  <c r="V99" i="56"/>
  <c r="U99" i="56"/>
  <c r="V88" i="56"/>
  <c r="U88" i="56"/>
  <c r="V105" i="56"/>
  <c r="U105" i="56"/>
  <c r="V62" i="56"/>
  <c r="U62" i="56"/>
  <c r="V15" i="56"/>
  <c r="U15" i="56"/>
  <c r="V79" i="56"/>
  <c r="U79" i="56"/>
  <c r="V32" i="56"/>
  <c r="U32" i="56"/>
  <c r="V96" i="56"/>
  <c r="U96" i="56"/>
  <c r="V49" i="56"/>
  <c r="U49" i="56"/>
  <c r="V113" i="56"/>
  <c r="U113" i="56"/>
  <c r="V19" i="56"/>
  <c r="U19" i="56"/>
  <c r="V83" i="56"/>
  <c r="U83" i="56"/>
  <c r="V36" i="56"/>
  <c r="U36" i="56"/>
  <c r="V100" i="56"/>
  <c r="U100" i="56"/>
  <c r="U53" i="56"/>
  <c r="V53" i="56"/>
  <c r="Z47" i="56"/>
  <c r="Y47" i="56"/>
  <c r="Z30" i="56"/>
  <c r="Y30" i="56"/>
  <c r="Z111" i="56"/>
  <c r="Y111" i="56"/>
  <c r="Z51" i="56"/>
  <c r="Y51" i="56"/>
  <c r="Y68" i="56"/>
  <c r="Z68" i="56"/>
  <c r="Z21" i="56"/>
  <c r="Y21" i="56"/>
  <c r="Z85" i="56"/>
  <c r="Y85" i="56"/>
  <c r="Z38" i="56"/>
  <c r="Y38" i="56"/>
  <c r="Z102" i="56"/>
  <c r="Y102" i="56"/>
  <c r="Z55" i="56"/>
  <c r="Y55" i="56"/>
  <c r="Z72" i="56"/>
  <c r="Y72" i="56"/>
  <c r="Z25" i="56"/>
  <c r="Y25" i="56"/>
  <c r="Z89" i="56"/>
  <c r="Y89" i="56"/>
  <c r="Z42" i="56"/>
  <c r="Y42" i="56"/>
  <c r="Z106" i="56"/>
  <c r="Y106" i="56"/>
  <c r="Z59" i="56"/>
  <c r="Y59" i="56"/>
  <c r="Z94" i="56"/>
  <c r="Y94" i="56"/>
  <c r="Z34" i="56"/>
  <c r="Y34" i="56"/>
  <c r="Y76" i="56"/>
  <c r="Z76" i="56"/>
  <c r="Z29" i="56"/>
  <c r="Y29" i="56"/>
  <c r="Z93" i="56"/>
  <c r="Y93" i="56"/>
  <c r="Z46" i="56"/>
  <c r="Y46" i="56"/>
  <c r="Z110" i="56"/>
  <c r="Y110" i="56"/>
  <c r="Z63" i="56"/>
  <c r="Y63" i="56"/>
  <c r="Y16" i="56"/>
  <c r="Z16" i="56"/>
  <c r="Y80" i="56"/>
  <c r="Z80" i="56"/>
  <c r="Z33" i="56"/>
  <c r="Y33" i="56"/>
  <c r="Z97" i="56"/>
  <c r="Y97" i="56"/>
  <c r="Z50" i="56"/>
  <c r="Y50" i="56"/>
  <c r="Y60" i="56"/>
  <c r="Z60" i="56"/>
  <c r="Z81" i="56"/>
  <c r="Y81" i="56"/>
  <c r="Z98" i="56"/>
  <c r="Y98" i="56"/>
  <c r="Z20" i="56"/>
  <c r="Y20" i="56"/>
  <c r="Y84" i="56"/>
  <c r="Z84" i="56"/>
  <c r="Z37" i="56"/>
  <c r="Y37" i="56"/>
  <c r="Z101" i="56"/>
  <c r="Y101" i="56"/>
  <c r="Z54" i="56"/>
  <c r="Y54" i="56"/>
  <c r="Z71" i="56"/>
  <c r="Y71" i="56"/>
  <c r="Y24" i="56"/>
  <c r="Z24" i="56"/>
  <c r="Z88" i="56"/>
  <c r="Y88" i="56"/>
  <c r="Z41" i="56"/>
  <c r="Y41" i="56"/>
  <c r="Z105" i="56"/>
  <c r="Y105" i="56"/>
  <c r="Z58" i="56"/>
  <c r="Y58" i="56"/>
  <c r="Z75" i="56"/>
  <c r="Y75" i="56"/>
  <c r="Z77" i="56"/>
  <c r="Y77" i="56"/>
  <c r="Z17" i="56"/>
  <c r="Y17" i="56"/>
  <c r="Y28" i="56"/>
  <c r="Z28" i="56"/>
  <c r="Y92" i="56"/>
  <c r="Z92" i="56"/>
  <c r="Z45" i="56"/>
  <c r="Y45" i="56"/>
  <c r="Z109" i="56"/>
  <c r="Y109" i="56"/>
  <c r="Z62" i="56"/>
  <c r="Y62" i="56"/>
  <c r="Z15" i="56"/>
  <c r="Y15" i="56"/>
  <c r="Z79" i="56"/>
  <c r="Y79" i="56"/>
  <c r="Y32" i="56"/>
  <c r="Z32" i="56"/>
  <c r="Y96" i="56"/>
  <c r="Z96" i="56"/>
  <c r="Z49" i="56"/>
  <c r="Y49" i="56"/>
  <c r="Z113" i="56"/>
  <c r="Y113" i="56"/>
  <c r="Z19" i="56"/>
  <c r="Y19" i="56"/>
  <c r="Z83" i="56"/>
  <c r="Y83" i="56"/>
  <c r="Y64" i="56"/>
  <c r="Z64" i="56"/>
  <c r="Y36" i="56"/>
  <c r="Z36" i="56"/>
  <c r="Y100" i="56"/>
  <c r="Z100" i="56"/>
  <c r="Z53" i="56"/>
  <c r="Y53" i="56"/>
  <c r="Z70" i="56"/>
  <c r="Y70" i="56"/>
  <c r="Z23" i="56"/>
  <c r="Y23" i="56"/>
  <c r="Z87" i="56"/>
  <c r="Y87" i="56"/>
  <c r="Z40" i="56"/>
  <c r="Y40" i="56"/>
  <c r="Y104" i="56"/>
  <c r="Z104" i="56"/>
  <c r="Z57" i="56"/>
  <c r="Y57" i="56"/>
  <c r="Z74" i="56"/>
  <c r="Y74" i="56"/>
  <c r="Z27" i="56"/>
  <c r="Y27" i="56"/>
  <c r="Z91" i="56"/>
  <c r="Y91" i="56"/>
  <c r="Z108" i="56"/>
  <c r="Y108" i="56"/>
  <c r="Z61" i="56"/>
  <c r="Y61" i="56"/>
  <c r="Z14" i="56"/>
  <c r="Y14" i="56"/>
  <c r="Z31" i="56"/>
  <c r="Y31" i="56"/>
  <c r="Z95" i="56"/>
  <c r="Y95" i="56"/>
  <c r="Y48" i="56"/>
  <c r="Z48" i="56"/>
  <c r="Y112" i="56"/>
  <c r="Z112" i="56"/>
  <c r="Z18" i="56"/>
  <c r="Y18" i="56"/>
  <c r="Z82" i="56"/>
  <c r="Y82" i="56"/>
  <c r="Z35" i="56"/>
  <c r="Y35" i="56"/>
  <c r="Z99" i="56"/>
  <c r="Y99" i="56"/>
  <c r="Y44" i="56"/>
  <c r="Z44" i="56"/>
  <c r="Z78" i="56"/>
  <c r="Y78" i="56"/>
  <c r="Y52" i="56"/>
  <c r="Z52" i="56"/>
  <c r="Z69" i="56"/>
  <c r="Y69" i="56"/>
  <c r="Z22" i="56"/>
  <c r="Y22" i="56"/>
  <c r="Z86" i="56"/>
  <c r="Y86" i="56"/>
  <c r="Z39" i="56"/>
  <c r="Y39" i="56"/>
  <c r="Z103" i="56"/>
  <c r="Y103" i="56"/>
  <c r="Z56" i="56"/>
  <c r="Y56" i="56"/>
  <c r="Z73" i="56"/>
  <c r="Y73" i="56"/>
  <c r="Z26" i="56"/>
  <c r="Y26" i="56"/>
  <c r="Z90" i="56"/>
  <c r="Y90" i="56"/>
  <c r="Z43" i="56"/>
  <c r="Y43" i="56"/>
  <c r="Z107" i="56"/>
  <c r="Y107" i="56"/>
  <c r="X41" i="56"/>
  <c r="W41" i="56"/>
  <c r="K41" i="56" s="1"/>
  <c r="X105" i="56"/>
  <c r="W105" i="56"/>
  <c r="X58" i="56"/>
  <c r="W58" i="56"/>
  <c r="K58" i="56" s="1"/>
  <c r="X75" i="56"/>
  <c r="W75" i="56"/>
  <c r="X28" i="56"/>
  <c r="W28" i="56"/>
  <c r="K28" i="56" s="1"/>
  <c r="X92" i="56"/>
  <c r="W92" i="56"/>
  <c r="X45" i="56"/>
  <c r="W45" i="56"/>
  <c r="K45" i="56" s="1"/>
  <c r="X109" i="56"/>
  <c r="W109" i="56"/>
  <c r="X62" i="56"/>
  <c r="W62" i="56"/>
  <c r="K62" i="56" s="1"/>
  <c r="X15" i="56"/>
  <c r="W15" i="56"/>
  <c r="K15" i="56" s="1"/>
  <c r="X79" i="56"/>
  <c r="W79" i="56"/>
  <c r="X32" i="56"/>
  <c r="W32" i="56"/>
  <c r="K32" i="56" s="1"/>
  <c r="X96" i="56"/>
  <c r="W96" i="56"/>
  <c r="X49" i="56"/>
  <c r="W49" i="56"/>
  <c r="K49" i="56" s="1"/>
  <c r="X113" i="56"/>
  <c r="W113" i="56"/>
  <c r="X19" i="56"/>
  <c r="W19" i="56"/>
  <c r="K19" i="56" s="1"/>
  <c r="X83" i="56"/>
  <c r="W83" i="56"/>
  <c r="X36" i="56"/>
  <c r="W36" i="56"/>
  <c r="K36" i="56" s="1"/>
  <c r="X100" i="56"/>
  <c r="W100" i="56"/>
  <c r="X53" i="56"/>
  <c r="W53" i="56"/>
  <c r="K53" i="56" s="1"/>
  <c r="X70" i="56"/>
  <c r="W70" i="56"/>
  <c r="X23" i="56"/>
  <c r="W23" i="56"/>
  <c r="K23" i="56" s="1"/>
  <c r="X87" i="56"/>
  <c r="W87" i="56"/>
  <c r="X40" i="56"/>
  <c r="W40" i="56"/>
  <c r="K40" i="56" s="1"/>
  <c r="X104" i="56"/>
  <c r="W104" i="56"/>
  <c r="X71" i="56"/>
  <c r="W71" i="56"/>
  <c r="X57" i="56"/>
  <c r="W57" i="56"/>
  <c r="K57" i="56" s="1"/>
  <c r="X74" i="56"/>
  <c r="W74" i="56"/>
  <c r="X27" i="56"/>
  <c r="W27" i="56"/>
  <c r="K27" i="56" s="1"/>
  <c r="X91" i="56"/>
  <c r="W91" i="56"/>
  <c r="X44" i="56"/>
  <c r="W44" i="56"/>
  <c r="K44" i="56" s="1"/>
  <c r="X108" i="56"/>
  <c r="W108" i="56"/>
  <c r="X61" i="56"/>
  <c r="W61" i="56"/>
  <c r="K61" i="56" s="1"/>
  <c r="X78" i="56"/>
  <c r="W78" i="56"/>
  <c r="X31" i="56"/>
  <c r="W31" i="56"/>
  <c r="K31" i="56" s="1"/>
  <c r="X95" i="56"/>
  <c r="W95" i="56"/>
  <c r="X48" i="56"/>
  <c r="W48" i="56"/>
  <c r="K48" i="56" s="1"/>
  <c r="X112" i="56"/>
  <c r="W112" i="56"/>
  <c r="X33" i="56"/>
  <c r="W33" i="56"/>
  <c r="K33" i="56" s="1"/>
  <c r="X20" i="56"/>
  <c r="W20" i="56"/>
  <c r="K20" i="56" s="1"/>
  <c r="X101" i="56"/>
  <c r="W101" i="56"/>
  <c r="X88" i="56"/>
  <c r="W88" i="56"/>
  <c r="X18" i="56"/>
  <c r="W18" i="56"/>
  <c r="K18" i="56" s="1"/>
  <c r="X82" i="56"/>
  <c r="W82" i="56"/>
  <c r="X35" i="56"/>
  <c r="W35" i="56"/>
  <c r="K35" i="56" s="1"/>
  <c r="X99" i="56"/>
  <c r="W99" i="56"/>
  <c r="X52" i="56"/>
  <c r="W52" i="56"/>
  <c r="K52" i="56" s="1"/>
  <c r="X69" i="56"/>
  <c r="W69" i="56"/>
  <c r="X22" i="56"/>
  <c r="W22" i="56"/>
  <c r="K22" i="56" s="1"/>
  <c r="W86" i="56"/>
  <c r="X86" i="56"/>
  <c r="X39" i="56"/>
  <c r="W39" i="56"/>
  <c r="K39" i="56" s="1"/>
  <c r="X103" i="56"/>
  <c r="W103" i="56"/>
  <c r="X56" i="56"/>
  <c r="W56" i="56"/>
  <c r="K56" i="56" s="1"/>
  <c r="X97" i="56"/>
  <c r="W97" i="56"/>
  <c r="X84" i="56"/>
  <c r="W84" i="56"/>
  <c r="X73" i="56"/>
  <c r="W73" i="56"/>
  <c r="X26" i="56"/>
  <c r="W26" i="56"/>
  <c r="K26" i="56" s="1"/>
  <c r="X90" i="56"/>
  <c r="W90" i="56"/>
  <c r="X43" i="56"/>
  <c r="W43" i="56"/>
  <c r="K43" i="56" s="1"/>
  <c r="X107" i="56"/>
  <c r="W107" i="56"/>
  <c r="X60" i="56"/>
  <c r="W60" i="56"/>
  <c r="K60" i="56" s="1"/>
  <c r="X77" i="56"/>
  <c r="W77" i="56"/>
  <c r="W30" i="56"/>
  <c r="K30" i="56" s="1"/>
  <c r="X30" i="56"/>
  <c r="X94" i="56"/>
  <c r="W94" i="56"/>
  <c r="X47" i="56"/>
  <c r="W47" i="56"/>
  <c r="K47" i="56" s="1"/>
  <c r="X111" i="56"/>
  <c r="W111" i="56"/>
  <c r="X64" i="56"/>
  <c r="W64" i="56"/>
  <c r="W54" i="56"/>
  <c r="K54" i="56" s="1"/>
  <c r="X54" i="56"/>
  <c r="X17" i="56"/>
  <c r="W17" i="56"/>
  <c r="K17" i="56" s="1"/>
  <c r="X81" i="56"/>
  <c r="W81" i="56"/>
  <c r="X34" i="56"/>
  <c r="W34" i="56"/>
  <c r="K34" i="56" s="1"/>
  <c r="X98" i="56"/>
  <c r="W98" i="56"/>
  <c r="X51" i="56"/>
  <c r="W51" i="56"/>
  <c r="K51" i="56" s="1"/>
  <c r="X68" i="56"/>
  <c r="W68" i="56"/>
  <c r="X21" i="56"/>
  <c r="W21" i="56"/>
  <c r="K21" i="56" s="1"/>
  <c r="X85" i="56"/>
  <c r="W85" i="56"/>
  <c r="X38" i="56"/>
  <c r="W38" i="56"/>
  <c r="K38" i="56" s="1"/>
  <c r="X102" i="56"/>
  <c r="W102" i="56"/>
  <c r="X55" i="56"/>
  <c r="W55" i="56"/>
  <c r="K55" i="56" s="1"/>
  <c r="X72" i="56"/>
  <c r="W72" i="56"/>
  <c r="X50" i="56"/>
  <c r="W50" i="56"/>
  <c r="K50" i="56" s="1"/>
  <c r="X37" i="56"/>
  <c r="W37" i="56"/>
  <c r="K37" i="56" s="1"/>
  <c r="X24" i="56"/>
  <c r="W24" i="56"/>
  <c r="K24" i="56" s="1"/>
  <c r="X25" i="56"/>
  <c r="W25" i="56"/>
  <c r="K25" i="56" s="1"/>
  <c r="X89" i="56"/>
  <c r="W89" i="56"/>
  <c r="X42" i="56"/>
  <c r="W42" i="56"/>
  <c r="K42" i="56" s="1"/>
  <c r="X106" i="56"/>
  <c r="W106" i="56"/>
  <c r="X59" i="56"/>
  <c r="W59" i="56"/>
  <c r="K59" i="56" s="1"/>
  <c r="X76" i="56"/>
  <c r="W76" i="56"/>
  <c r="X29" i="56"/>
  <c r="W29" i="56"/>
  <c r="K29" i="56" s="1"/>
  <c r="X93" i="56"/>
  <c r="W93" i="56"/>
  <c r="X46" i="56"/>
  <c r="W46" i="56"/>
  <c r="K46" i="56" s="1"/>
  <c r="X110" i="56"/>
  <c r="W110" i="56"/>
  <c r="X63" i="56"/>
  <c r="W63" i="56"/>
  <c r="K63" i="56" s="1"/>
  <c r="X16" i="56"/>
  <c r="W16" i="56"/>
  <c r="K16" i="56" s="1"/>
  <c r="X80" i="56"/>
  <c r="W80" i="56"/>
  <c r="W14" i="56"/>
  <c r="K14" i="56" s="1"/>
  <c r="H14" i="17"/>
  <c r="G14" i="17"/>
  <c r="C15" i="17"/>
  <c r="H15" i="17" s="1"/>
  <c r="F19" i="1"/>
  <c r="H6" i="56" s="1"/>
  <c r="C4" i="39"/>
  <c r="D4" i="39" s="1"/>
  <c r="N68" i="23" l="1"/>
  <c r="G15" i="17"/>
  <c r="L30" i="19"/>
  <c r="F25" i="1"/>
  <c r="H24" i="1"/>
  <c r="H19" i="1"/>
  <c r="H30" i="1"/>
  <c r="F6" i="23"/>
  <c r="I19" i="1"/>
  <c r="I4" i="39"/>
  <c r="J4" i="39"/>
  <c r="K4" i="39"/>
  <c r="F20" i="1" l="1"/>
  <c r="H20" i="1" s="1"/>
  <c r="F21" i="1"/>
  <c r="H21" i="1" s="1"/>
  <c r="C6" i="39" s="1"/>
  <c r="D6" i="39" s="1"/>
  <c r="J6" i="39" s="1"/>
  <c r="L4" i="39"/>
  <c r="C26" i="39"/>
  <c r="D26" i="39" s="1"/>
  <c r="K9" i="19"/>
  <c r="J34" i="19" s="1"/>
  <c r="F34" i="19"/>
  <c r="C40" i="1"/>
  <c r="C22" i="17"/>
  <c r="F35" i="19"/>
  <c r="K23" i="20"/>
  <c r="L36" i="19"/>
  <c r="F36" i="19"/>
  <c r="H36" i="19" s="1"/>
  <c r="H25" i="1"/>
  <c r="C11" i="39" s="1"/>
  <c r="D11" i="39" s="1"/>
  <c r="J36" i="19"/>
  <c r="B9" i="56" l="1"/>
  <c r="V8" i="56"/>
  <c r="C6" i="56"/>
  <c r="B29" i="1"/>
  <c r="C29" i="1" s="1"/>
  <c r="H29" i="1" s="1"/>
  <c r="A31" i="19"/>
  <c r="I6" i="39"/>
  <c r="H35" i="19"/>
  <c r="J35" i="19"/>
  <c r="I26" i="39"/>
  <c r="K26" i="39"/>
  <c r="J26" i="39"/>
  <c r="K6" i="39"/>
  <c r="K11" i="39"/>
  <c r="I11" i="39"/>
  <c r="J11" i="39"/>
  <c r="B22" i="17"/>
  <c r="D22" i="17" s="1"/>
  <c r="G22" i="17" s="1"/>
  <c r="H22" i="17" s="1"/>
  <c r="J30" i="19"/>
  <c r="B9" i="23"/>
  <c r="C6" i="23"/>
  <c r="N8" i="23"/>
  <c r="A36" i="19"/>
  <c r="N36" i="19"/>
  <c r="A48" i="19" s="1"/>
  <c r="K7" i="19"/>
  <c r="L23" i="20"/>
  <c r="K24" i="20"/>
  <c r="L24" i="20" s="1"/>
  <c r="K25" i="20"/>
  <c r="L25" i="20" s="1"/>
  <c r="L34" i="19"/>
  <c r="H34" i="19"/>
  <c r="F16" i="23" l="1"/>
  <c r="F32" i="23"/>
  <c r="F48" i="23"/>
  <c r="F34" i="23"/>
  <c r="F50" i="23"/>
  <c r="F35" i="23"/>
  <c r="F36" i="23"/>
  <c r="F21" i="23"/>
  <c r="F53" i="23"/>
  <c r="F54" i="23"/>
  <c r="F55" i="23"/>
  <c r="F40" i="23"/>
  <c r="F41" i="23"/>
  <c r="F26" i="23"/>
  <c r="F27" i="23"/>
  <c r="F59" i="23"/>
  <c r="F44" i="23"/>
  <c r="F60" i="23"/>
  <c r="F45" i="23"/>
  <c r="F61" i="23"/>
  <c r="F62" i="23"/>
  <c r="F15" i="23"/>
  <c r="F47" i="23"/>
  <c r="F17" i="23"/>
  <c r="F33" i="23"/>
  <c r="F65" i="23"/>
  <c r="F18" i="23"/>
  <c r="F66" i="23"/>
  <c r="F19" i="23"/>
  <c r="F51" i="23"/>
  <c r="F20" i="23"/>
  <c r="F52" i="23"/>
  <c r="F37" i="23"/>
  <c r="F14" i="23"/>
  <c r="F38" i="23"/>
  <c r="F23" i="23"/>
  <c r="F24" i="23"/>
  <c r="F56" i="23"/>
  <c r="F25" i="23"/>
  <c r="F57" i="23"/>
  <c r="F42" i="23"/>
  <c r="F43" i="23"/>
  <c r="F29" i="23"/>
  <c r="F30" i="23"/>
  <c r="F31" i="23"/>
  <c r="F46" i="23"/>
  <c r="M47" i="56"/>
  <c r="N19" i="56"/>
  <c r="N48" i="56"/>
  <c r="M63" i="56"/>
  <c r="I62" i="56"/>
  <c r="L62" i="56" s="1"/>
  <c r="I30" i="56"/>
  <c r="L30" i="56" s="1"/>
  <c r="M17" i="56"/>
  <c r="I16" i="56"/>
  <c r="L16" i="56" s="1"/>
  <c r="J61" i="56"/>
  <c r="N57" i="56"/>
  <c r="I34" i="56"/>
  <c r="L34" i="56" s="1"/>
  <c r="N61" i="56"/>
  <c r="N36" i="56"/>
  <c r="M46" i="56"/>
  <c r="I58" i="56"/>
  <c r="L58" i="56" s="1"/>
  <c r="I35" i="56"/>
  <c r="L35" i="56" s="1"/>
  <c r="N54" i="56"/>
  <c r="J36" i="56"/>
  <c r="M56" i="56"/>
  <c r="M27" i="56"/>
  <c r="I49" i="56"/>
  <c r="L49" i="56" s="1"/>
  <c r="I60" i="56"/>
  <c r="L60" i="56" s="1"/>
  <c r="N39" i="56"/>
  <c r="N15" i="56"/>
  <c r="J20" i="56"/>
  <c r="J57" i="56"/>
  <c r="N63" i="56"/>
  <c r="M19" i="56"/>
  <c r="M59" i="56"/>
  <c r="I24" i="56"/>
  <c r="L24" i="56" s="1"/>
  <c r="N25" i="56"/>
  <c r="M33" i="56"/>
  <c r="I21" i="56"/>
  <c r="L21" i="56" s="1"/>
  <c r="I40" i="56"/>
  <c r="L40" i="56" s="1"/>
  <c r="M36" i="56"/>
  <c r="I54" i="56"/>
  <c r="L54" i="56" s="1"/>
  <c r="J43" i="56"/>
  <c r="N59" i="56"/>
  <c r="M31" i="56"/>
  <c r="M42" i="56"/>
  <c r="I63" i="56"/>
  <c r="L63" i="56" s="1"/>
  <c r="N29" i="56"/>
  <c r="N46" i="56"/>
  <c r="J58" i="56"/>
  <c r="J35" i="56"/>
  <c r="M57" i="56"/>
  <c r="J41" i="56"/>
  <c r="I39" i="56"/>
  <c r="L39" i="56" s="1"/>
  <c r="N35" i="56"/>
  <c r="J51" i="56"/>
  <c r="M24" i="56"/>
  <c r="M61" i="56"/>
  <c r="M29" i="56"/>
  <c r="I28" i="56"/>
  <c r="L28" i="56" s="1"/>
  <c r="N37" i="56"/>
  <c r="N60" i="56"/>
  <c r="J38" i="56"/>
  <c r="I27" i="56"/>
  <c r="L27" i="56" s="1"/>
  <c r="N23" i="56"/>
  <c r="J32" i="56"/>
  <c r="J52" i="56"/>
  <c r="N58" i="56"/>
  <c r="M34" i="56"/>
  <c r="I18" i="56"/>
  <c r="L18" i="56" s="1"/>
  <c r="N62" i="56"/>
  <c r="N20" i="56"/>
  <c r="I45" i="56"/>
  <c r="L45" i="56" s="1"/>
  <c r="J47" i="56"/>
  <c r="N44" i="56"/>
  <c r="M40" i="56"/>
  <c r="I15" i="56"/>
  <c r="L15" i="56" s="1"/>
  <c r="I26" i="56"/>
  <c r="L26" i="56" s="1"/>
  <c r="M52" i="56"/>
  <c r="N50" i="56"/>
  <c r="J33" i="56"/>
  <c r="J23" i="56"/>
  <c r="M53" i="56"/>
  <c r="J48" i="56"/>
  <c r="M16" i="56"/>
  <c r="N51" i="56"/>
  <c r="M62" i="56"/>
  <c r="M25" i="56"/>
  <c r="J46" i="56"/>
  <c r="J62" i="56"/>
  <c r="J34" i="56"/>
  <c r="N43" i="56"/>
  <c r="J37" i="56"/>
  <c r="J56" i="56"/>
  <c r="J19" i="56"/>
  <c r="M55" i="56"/>
  <c r="I14" i="56"/>
  <c r="L14" i="56" s="1"/>
  <c r="N34" i="56"/>
  <c r="J18" i="56"/>
  <c r="M28" i="56"/>
  <c r="M26" i="56"/>
  <c r="M49" i="56"/>
  <c r="I31" i="56"/>
  <c r="L31" i="56" s="1"/>
  <c r="I44" i="56"/>
  <c r="L44" i="56" s="1"/>
  <c r="N14" i="56"/>
  <c r="N47" i="56"/>
  <c r="I17" i="56"/>
  <c r="L17" i="56" s="1"/>
  <c r="M58" i="56"/>
  <c r="J54" i="56"/>
  <c r="N22" i="56"/>
  <c r="J16" i="56"/>
  <c r="M41" i="56"/>
  <c r="I25" i="56"/>
  <c r="L25" i="56" s="1"/>
  <c r="N55" i="56"/>
  <c r="J14" i="56"/>
  <c r="N52" i="56"/>
  <c r="I33" i="56"/>
  <c r="L33" i="56" s="1"/>
  <c r="N40" i="56"/>
  <c r="J26" i="56"/>
  <c r="N41" i="56"/>
  <c r="J42" i="56"/>
  <c r="N26" i="56"/>
  <c r="J44" i="56"/>
  <c r="J24" i="56"/>
  <c r="N28" i="56"/>
  <c r="M38" i="56"/>
  <c r="J29" i="56"/>
  <c r="M22" i="56"/>
  <c r="I32" i="56"/>
  <c r="L32" i="56" s="1"/>
  <c r="I52" i="56"/>
  <c r="L52" i="56" s="1"/>
  <c r="N56" i="56"/>
  <c r="M32" i="56"/>
  <c r="J50" i="56"/>
  <c r="I22" i="56"/>
  <c r="L22" i="56" s="1"/>
  <c r="I46" i="56"/>
  <c r="L46" i="56" s="1"/>
  <c r="M45" i="56"/>
  <c r="M21" i="56"/>
  <c r="I59" i="56"/>
  <c r="L59" i="56" s="1"/>
  <c r="N31" i="56"/>
  <c r="N42" i="56"/>
  <c r="J63" i="56"/>
  <c r="N38" i="56"/>
  <c r="M39" i="56"/>
  <c r="M15" i="56"/>
  <c r="I20" i="56"/>
  <c r="L20" i="56" s="1"/>
  <c r="I57" i="56"/>
  <c r="L57" i="56" s="1"/>
  <c r="N27" i="56"/>
  <c r="J49" i="56"/>
  <c r="J60" i="56"/>
  <c r="I29" i="56"/>
  <c r="L29" i="56" s="1"/>
  <c r="M51" i="56"/>
  <c r="I42" i="56"/>
  <c r="L42" i="56" s="1"/>
  <c r="M18" i="56"/>
  <c r="I43" i="56"/>
  <c r="L43" i="56" s="1"/>
  <c r="N17" i="56"/>
  <c r="I61" i="56"/>
  <c r="L61" i="56" s="1"/>
  <c r="J55" i="56"/>
  <c r="M30" i="56"/>
  <c r="I53" i="56"/>
  <c r="L53" i="56" s="1"/>
  <c r="M50" i="56"/>
  <c r="I23" i="56"/>
  <c r="L23" i="56" s="1"/>
  <c r="J15" i="56"/>
  <c r="J25" i="56"/>
  <c r="J17" i="56"/>
  <c r="J31" i="56"/>
  <c r="N24" i="56"/>
  <c r="J53" i="56"/>
  <c r="I55" i="56"/>
  <c r="L55" i="56" s="1"/>
  <c r="M23" i="56"/>
  <c r="I37" i="56"/>
  <c r="L37" i="56" s="1"/>
  <c r="I56" i="56"/>
  <c r="L56" i="56" s="1"/>
  <c r="M44" i="56"/>
  <c r="M60" i="56"/>
  <c r="I38" i="56"/>
  <c r="L38" i="56" s="1"/>
  <c r="J27" i="56"/>
  <c r="J30" i="56"/>
  <c r="M54" i="56"/>
  <c r="I36" i="56"/>
  <c r="L36" i="56" s="1"/>
  <c r="N45" i="56"/>
  <c r="N21" i="56"/>
  <c r="J59" i="56"/>
  <c r="J28" i="56"/>
  <c r="M35" i="56"/>
  <c r="N16" i="56"/>
  <c r="I51" i="56"/>
  <c r="L51" i="56" s="1"/>
  <c r="I48" i="56"/>
  <c r="L48" i="56" s="1"/>
  <c r="N53" i="56"/>
  <c r="I41" i="56"/>
  <c r="L41" i="56" s="1"/>
  <c r="J39" i="56"/>
  <c r="M48" i="56"/>
  <c r="M37" i="56"/>
  <c r="I19" i="56"/>
  <c r="L19" i="56" s="1"/>
  <c r="N32" i="56"/>
  <c r="I50" i="56"/>
  <c r="L50" i="56" s="1"/>
  <c r="J22" i="56"/>
  <c r="N18" i="56"/>
  <c r="N33" i="56"/>
  <c r="J21" i="56"/>
  <c r="J40" i="56"/>
  <c r="M43" i="56"/>
  <c r="M20" i="56"/>
  <c r="J45" i="56"/>
  <c r="I47" i="56"/>
  <c r="L47" i="56" s="1"/>
  <c r="N30" i="56"/>
  <c r="M14" i="56"/>
  <c r="N49" i="56"/>
  <c r="D38" i="17"/>
  <c r="L11" i="39"/>
  <c r="L6" i="39"/>
  <c r="L26" i="39"/>
  <c r="C38" i="17"/>
  <c r="C17" i="39"/>
  <c r="D17" i="39" s="1"/>
  <c r="J23" i="1"/>
  <c r="F31" i="19"/>
  <c r="C5" i="39"/>
  <c r="D5" i="39" s="1"/>
  <c r="A29" i="20"/>
  <c r="A31" i="20" s="1"/>
  <c r="A34" i="19"/>
  <c r="N34" i="19"/>
  <c r="C25" i="39"/>
  <c r="D25" i="39" s="1"/>
  <c r="F24" i="1"/>
  <c r="G14" i="23" l="1"/>
  <c r="G38" i="17"/>
  <c r="H38" i="17" s="1"/>
  <c r="K17" i="39"/>
  <c r="I17" i="39"/>
  <c r="J17" i="39"/>
  <c r="K5" i="39"/>
  <c r="J5" i="39"/>
  <c r="I5" i="39"/>
  <c r="J31" i="19"/>
  <c r="H31" i="19"/>
  <c r="L31" i="19"/>
  <c r="J25" i="39"/>
  <c r="K25" i="39"/>
  <c r="I25" i="39"/>
  <c r="L35" i="19"/>
  <c r="K10" i="19"/>
  <c r="L10" i="19" s="1"/>
  <c r="C2" i="38"/>
  <c r="P4" i="20"/>
  <c r="A30" i="20" s="1"/>
  <c r="F29" i="1" l="1"/>
  <c r="J40" i="19" s="1"/>
  <c r="C28" i="39"/>
  <c r="D28" i="39" s="1"/>
  <c r="G15" i="23"/>
  <c r="D2" i="38"/>
  <c r="A9" i="38" s="1"/>
  <c r="Q4" i="20"/>
  <c r="L25" i="39"/>
  <c r="L17" i="39"/>
  <c r="L5" i="39"/>
  <c r="N35" i="19"/>
  <c r="A47" i="19" s="1"/>
  <c r="A35" i="19"/>
  <c r="L30" i="26" l="1"/>
  <c r="L36" i="26" s="1"/>
  <c r="M36" i="26" s="1"/>
  <c r="L40" i="19"/>
  <c r="N40" i="19" s="1"/>
  <c r="A50" i="19" s="1"/>
  <c r="K11" i="19"/>
  <c r="L11" i="19" s="1"/>
  <c r="F40" i="19"/>
  <c r="H40" i="19" s="1"/>
  <c r="J28" i="39"/>
  <c r="I28" i="39"/>
  <c r="K28" i="39"/>
  <c r="A11" i="19"/>
  <c r="F37" i="1"/>
  <c r="E70" i="1" s="1"/>
  <c r="D18" i="23" s="1"/>
  <c r="J18" i="23" s="1"/>
  <c r="G16" i="23"/>
  <c r="L33" i="26"/>
  <c r="M33" i="26" s="1"/>
  <c r="A8" i="38"/>
  <c r="A49" i="19"/>
  <c r="L37" i="26" l="1"/>
  <c r="M30" i="26"/>
  <c r="L46" i="19"/>
  <c r="D16" i="23"/>
  <c r="J16" i="23" s="1"/>
  <c r="C41" i="1"/>
  <c r="D68" i="23"/>
  <c r="J68" i="23" s="1"/>
  <c r="D49" i="23"/>
  <c r="J49" i="23" s="1"/>
  <c r="D33" i="23"/>
  <c r="J33" i="23" s="1"/>
  <c r="D53" i="23"/>
  <c r="J53" i="23" s="1"/>
  <c r="D42" i="23"/>
  <c r="J42" i="23" s="1"/>
  <c r="D38" i="23"/>
  <c r="J38" i="23" s="1"/>
  <c r="D47" i="23"/>
  <c r="J47" i="23" s="1"/>
  <c r="D27" i="23"/>
  <c r="J27" i="23" s="1"/>
  <c r="D62" i="23"/>
  <c r="J62" i="23" s="1"/>
  <c r="D24" i="23"/>
  <c r="J24" i="23" s="1"/>
  <c r="D28" i="23"/>
  <c r="J28" i="23" s="1"/>
  <c r="D39" i="23"/>
  <c r="J39" i="23" s="1"/>
  <c r="D58" i="23"/>
  <c r="J58" i="23" s="1"/>
  <c r="D55" i="23"/>
  <c r="J55" i="23" s="1"/>
  <c r="D17" i="23"/>
  <c r="J17" i="23" s="1"/>
  <c r="D52" i="23"/>
  <c r="J52" i="23" s="1"/>
  <c r="D67" i="23"/>
  <c r="J67" i="23" s="1"/>
  <c r="D66" i="23"/>
  <c r="J66" i="23" s="1"/>
  <c r="D15" i="23"/>
  <c r="J15" i="23" s="1"/>
  <c r="N28" i="39"/>
  <c r="I3" i="39" s="1"/>
  <c r="N15" i="39" s="1"/>
  <c r="D65" i="23"/>
  <c r="J65" i="23" s="1"/>
  <c r="D64" i="23"/>
  <c r="J64" i="23" s="1"/>
  <c r="D61" i="23"/>
  <c r="J61" i="23" s="1"/>
  <c r="D34" i="23"/>
  <c r="J34" i="23" s="1"/>
  <c r="D29" i="23"/>
  <c r="J29" i="23" s="1"/>
  <c r="D45" i="23"/>
  <c r="J45" i="23" s="1"/>
  <c r="D19" i="23"/>
  <c r="J19" i="23" s="1"/>
  <c r="G2" i="58"/>
  <c r="B11" i="58" s="1"/>
  <c r="K6" i="19"/>
  <c r="D50" i="23"/>
  <c r="J50" i="23" s="1"/>
  <c r="D60" i="23"/>
  <c r="J60" i="23" s="1"/>
  <c r="G2" i="49"/>
  <c r="B29" i="49" s="1"/>
  <c r="D43" i="23"/>
  <c r="J43" i="23" s="1"/>
  <c r="D46" i="23"/>
  <c r="J46" i="23" s="1"/>
  <c r="D56" i="23"/>
  <c r="J56" i="23" s="1"/>
  <c r="D41" i="23"/>
  <c r="J41" i="23" s="1"/>
  <c r="D31" i="23"/>
  <c r="J31" i="23" s="1"/>
  <c r="D51" i="23"/>
  <c r="J51" i="23" s="1"/>
  <c r="D35" i="23"/>
  <c r="J35" i="23" s="1"/>
  <c r="D22" i="23"/>
  <c r="J22" i="23" s="1"/>
  <c r="D25" i="23"/>
  <c r="J25" i="23" s="1"/>
  <c r="D30" i="23"/>
  <c r="J30" i="23" s="1"/>
  <c r="D40" i="23"/>
  <c r="J40" i="23" s="1"/>
  <c r="D57" i="23"/>
  <c r="J57" i="23" s="1"/>
  <c r="D59" i="23"/>
  <c r="J59" i="23" s="1"/>
  <c r="F8" i="43"/>
  <c r="G15" i="43" s="1"/>
  <c r="C15" i="43" s="1"/>
  <c r="D63" i="23"/>
  <c r="J63" i="23" s="1"/>
  <c r="D48" i="23"/>
  <c r="J48" i="23" s="1"/>
  <c r="D21" i="23"/>
  <c r="J21" i="23" s="1"/>
  <c r="D44" i="23"/>
  <c r="J44" i="23" s="1"/>
  <c r="D32" i="23"/>
  <c r="J32" i="23" s="1"/>
  <c r="D20" i="23"/>
  <c r="J20" i="23" s="1"/>
  <c r="D14" i="23"/>
  <c r="E14" i="23" s="1"/>
  <c r="D23" i="23"/>
  <c r="J23" i="23" s="1"/>
  <c r="D26" i="23"/>
  <c r="J26" i="23" s="1"/>
  <c r="D37" i="23"/>
  <c r="J37" i="23" s="1"/>
  <c r="D36" i="23"/>
  <c r="J36" i="23" s="1"/>
  <c r="D54" i="23"/>
  <c r="J54" i="23" s="1"/>
  <c r="L28" i="39"/>
  <c r="B22" i="58"/>
  <c r="G17" i="23"/>
  <c r="B29" i="58" l="1"/>
  <c r="B42" i="49"/>
  <c r="J3" i="39"/>
  <c r="K23" i="19" s="1"/>
  <c r="M3" i="39"/>
  <c r="K3" i="39"/>
  <c r="N20" i="39" s="1"/>
  <c r="K22" i="19"/>
  <c r="B23" i="58"/>
  <c r="B45" i="43"/>
  <c r="H35" i="43"/>
  <c r="B35" i="43" s="1"/>
  <c r="D26" i="43"/>
  <c r="C5" i="43"/>
  <c r="J14" i="23"/>
  <c r="H14" i="23" s="1"/>
  <c r="B15" i="58"/>
  <c r="H11" i="43"/>
  <c r="D11" i="43" s="1"/>
  <c r="B24" i="58"/>
  <c r="F15" i="43"/>
  <c r="B15" i="43" s="1"/>
  <c r="B20" i="58"/>
  <c r="B46" i="49"/>
  <c r="D39" i="49"/>
  <c r="B30" i="49"/>
  <c r="B51" i="49"/>
  <c r="B12" i="49"/>
  <c r="B28" i="49"/>
  <c r="B11" i="49"/>
  <c r="A37" i="49"/>
  <c r="F9" i="43"/>
  <c r="B9" i="43" s="1"/>
  <c r="B10" i="49"/>
  <c r="B50" i="49"/>
  <c r="B41" i="49"/>
  <c r="C25" i="49"/>
  <c r="B48" i="49"/>
  <c r="B17" i="49"/>
  <c r="B20" i="49"/>
  <c r="B43" i="49"/>
  <c r="B53" i="49"/>
  <c r="D21" i="43"/>
  <c r="B47" i="49"/>
  <c r="E15" i="23"/>
  <c r="H15" i="23" s="1"/>
  <c r="I15" i="23" s="1"/>
  <c r="B32" i="49"/>
  <c r="A5" i="58"/>
  <c r="H33" i="43"/>
  <c r="D33" i="43" s="1"/>
  <c r="B26" i="49"/>
  <c r="A41" i="58"/>
  <c r="C14" i="43"/>
  <c r="B14" i="49"/>
  <c r="B16" i="49"/>
  <c r="B21" i="49"/>
  <c r="B27" i="58"/>
  <c r="A5" i="49"/>
  <c r="C13" i="49"/>
  <c r="B44" i="43"/>
  <c r="B13" i="49"/>
  <c r="B25" i="49"/>
  <c r="B39" i="49"/>
  <c r="B34" i="58"/>
  <c r="B52" i="49"/>
  <c r="F43" i="43"/>
  <c r="B43" i="43" s="1"/>
  <c r="B8" i="49"/>
  <c r="B19" i="49"/>
  <c r="C5" i="49"/>
  <c r="B45" i="49"/>
  <c r="B49" i="49"/>
  <c r="B13" i="58"/>
  <c r="B40" i="49"/>
  <c r="H19" i="43"/>
  <c r="D19" i="43" s="1"/>
  <c r="B31" i="49"/>
  <c r="B24" i="49"/>
  <c r="B18" i="49"/>
  <c r="B45" i="58"/>
  <c r="D8" i="49"/>
  <c r="C43" i="58"/>
  <c r="B30" i="58"/>
  <c r="B18" i="43"/>
  <c r="B16" i="58"/>
  <c r="C16" i="58"/>
  <c r="H9" i="43"/>
  <c r="D9" i="43" s="1"/>
  <c r="B14" i="58"/>
  <c r="B35" i="58"/>
  <c r="B44" i="58"/>
  <c r="B31" i="58"/>
  <c r="B17" i="58"/>
  <c r="C28" i="58"/>
  <c r="D22" i="43"/>
  <c r="C43" i="43"/>
  <c r="H27" i="43"/>
  <c r="D27" i="43" s="1"/>
  <c r="C30" i="58"/>
  <c r="B43" i="58"/>
  <c r="B33" i="58"/>
  <c r="B19" i="58"/>
  <c r="H25" i="43"/>
  <c r="D25" i="43" s="1"/>
  <c r="H15" i="43"/>
  <c r="D15" i="43" s="1"/>
  <c r="A5" i="43"/>
  <c r="B14" i="43"/>
  <c r="B28" i="58"/>
  <c r="B21" i="58"/>
  <c r="H32" i="43"/>
  <c r="D32" i="43" s="1"/>
  <c r="H17" i="43"/>
  <c r="D17" i="43" s="1"/>
  <c r="H43" i="43"/>
  <c r="D43" i="43" s="1"/>
  <c r="B32" i="58"/>
  <c r="D43" i="58"/>
  <c r="H20" i="43"/>
  <c r="D20" i="43" s="1"/>
  <c r="H49" i="43"/>
  <c r="A49" i="43" s="1"/>
  <c r="G9" i="43"/>
  <c r="C9" i="43" s="1"/>
  <c r="F32" i="43"/>
  <c r="B32" i="43" s="1"/>
  <c r="D11" i="58"/>
  <c r="G18" i="23"/>
  <c r="L3" i="39" l="1"/>
  <c r="N3" i="39" s="1"/>
  <c r="N16" i="39"/>
  <c r="N19" i="39" s="1"/>
  <c r="E16" i="23"/>
  <c r="H16" i="23" s="1"/>
  <c r="I16" i="23" s="1"/>
  <c r="I14" i="23"/>
  <c r="G19" i="23"/>
  <c r="P15" i="39"/>
  <c r="N18" i="39"/>
  <c r="E17" i="23"/>
  <c r="H17" i="23" s="1"/>
  <c r="I17" i="23" s="1"/>
  <c r="G20" i="23" l="1"/>
  <c r="E18" i="23"/>
  <c r="H18" i="23" s="1"/>
  <c r="I18" i="23" s="1"/>
  <c r="G21" i="23" l="1"/>
  <c r="E19" i="23"/>
  <c r="H19" i="23" s="1"/>
  <c r="I19" i="23" s="1"/>
  <c r="E20" i="23" l="1"/>
  <c r="H20" i="23" s="1"/>
  <c r="I20" i="23" s="1"/>
  <c r="E21" i="23" l="1"/>
  <c r="H21" i="23" s="1"/>
  <c r="I21" i="23" s="1"/>
  <c r="E22" i="23" l="1"/>
  <c r="H22" i="23" l="1"/>
  <c r="I22" i="23" s="1"/>
  <c r="F22" i="23"/>
  <c r="E23" i="23"/>
  <c r="H23" i="23" s="1"/>
  <c r="I23" i="23" l="1"/>
  <c r="G22" i="23"/>
  <c r="G23" i="23" s="1"/>
  <c r="G24" i="23" s="1"/>
  <c r="G25" i="23" s="1"/>
  <c r="G26" i="23" s="1"/>
  <c r="E24" i="23"/>
  <c r="H24" i="23" s="1"/>
  <c r="I24" i="23" s="1"/>
  <c r="G27" i="23" l="1"/>
  <c r="E25" i="23"/>
  <c r="H25" i="23" s="1"/>
  <c r="I25" i="23" s="1"/>
  <c r="E26" i="23" l="1"/>
  <c r="H26" i="23" s="1"/>
  <c r="I26" i="23" s="1"/>
  <c r="E27" i="23" l="1"/>
  <c r="H27" i="23" s="1"/>
  <c r="I27" i="23" s="1"/>
  <c r="E28" i="23" l="1"/>
  <c r="H28" i="23" l="1"/>
  <c r="E29" i="23"/>
  <c r="H29" i="23" s="1"/>
  <c r="F28" i="23" l="1"/>
  <c r="G28" i="23" s="1"/>
  <c r="G29" i="23" s="1"/>
  <c r="G30" i="23" s="1"/>
  <c r="I28" i="23"/>
  <c r="E30" i="23"/>
  <c r="H30" i="23" s="1"/>
  <c r="I29" i="23" l="1"/>
  <c r="I30" i="23"/>
  <c r="G31" i="23"/>
  <c r="E31" i="23"/>
  <c r="H31" i="23" s="1"/>
  <c r="I31" i="23" s="1"/>
  <c r="G32" i="23" l="1"/>
  <c r="E32" i="23"/>
  <c r="H32" i="23" s="1"/>
  <c r="I32" i="23" s="1"/>
  <c r="G33" i="23" l="1"/>
  <c r="E33" i="23"/>
  <c r="H33" i="23" s="1"/>
  <c r="I33" i="23" s="1"/>
  <c r="G34" i="23" l="1"/>
  <c r="E34" i="23"/>
  <c r="H34" i="23" s="1"/>
  <c r="I34" i="23" s="1"/>
  <c r="G35" i="23" l="1"/>
  <c r="E35" i="23"/>
  <c r="H35" i="23" s="1"/>
  <c r="I35" i="23" s="1"/>
  <c r="G36" i="23" l="1"/>
  <c r="E36" i="23"/>
  <c r="H36" i="23" s="1"/>
  <c r="I36" i="23" s="1"/>
  <c r="G37" i="23" l="1"/>
  <c r="E37" i="23"/>
  <c r="H37" i="23" s="1"/>
  <c r="I37" i="23" s="1"/>
  <c r="G38" i="23" l="1"/>
  <c r="E38" i="23"/>
  <c r="H38" i="23" s="1"/>
  <c r="I38" i="23" s="1"/>
  <c r="E39" i="23" l="1"/>
  <c r="H39" i="23" l="1"/>
  <c r="I39" i="23" s="1"/>
  <c r="E40" i="23"/>
  <c r="H40" i="23" s="1"/>
  <c r="F39" i="23" l="1"/>
  <c r="G39" i="23" s="1"/>
  <c r="G40" i="23" s="1"/>
  <c r="G41" i="23" s="1"/>
  <c r="E41" i="23"/>
  <c r="H41" i="23" s="1"/>
  <c r="I41" i="23" l="1"/>
  <c r="I40" i="23"/>
  <c r="G42" i="23"/>
  <c r="E42" i="23"/>
  <c r="H42" i="23" s="1"/>
  <c r="I42" i="23" s="1"/>
  <c r="G43" i="23" l="1"/>
  <c r="E43" i="23"/>
  <c r="H43" i="23" s="1"/>
  <c r="I43" i="23" s="1"/>
  <c r="G44" i="23" l="1"/>
  <c r="E44" i="23"/>
  <c r="H44" i="23" s="1"/>
  <c r="I44" i="23" s="1"/>
  <c r="G45" i="23" l="1"/>
  <c r="E45" i="23"/>
  <c r="H45" i="23" s="1"/>
  <c r="I45" i="23" s="1"/>
  <c r="G46" i="23" l="1"/>
  <c r="E46" i="23"/>
  <c r="H46" i="23" s="1"/>
  <c r="I46" i="23" s="1"/>
  <c r="G47" i="23" l="1"/>
  <c r="E47" i="23"/>
  <c r="H47" i="23" s="1"/>
  <c r="I47" i="23" s="1"/>
  <c r="G48" i="23" l="1"/>
  <c r="E48" i="23"/>
  <c r="H48" i="23" s="1"/>
  <c r="I48" i="23" s="1"/>
  <c r="E49" i="23" l="1"/>
  <c r="H49" i="23" l="1"/>
  <c r="I49" i="23" s="1"/>
  <c r="G50" i="23"/>
  <c r="E50" i="23"/>
  <c r="H50" i="23" s="1"/>
  <c r="I50" i="23" s="1"/>
  <c r="F49" i="23" l="1"/>
  <c r="G49" i="23" s="1"/>
  <c r="G51" i="23"/>
  <c r="E51" i="23"/>
  <c r="H51" i="23" s="1"/>
  <c r="I51" i="23" s="1"/>
  <c r="G52" i="23" l="1"/>
  <c r="E52" i="23"/>
  <c r="H52" i="23" s="1"/>
  <c r="I52" i="23" s="1"/>
  <c r="G53" i="23" l="1"/>
  <c r="E53" i="23"/>
  <c r="H53" i="23" s="1"/>
  <c r="I53" i="23" s="1"/>
  <c r="G54" i="23" l="1"/>
  <c r="E54" i="23"/>
  <c r="H54" i="23" s="1"/>
  <c r="I54" i="23" s="1"/>
  <c r="G55" i="23" l="1"/>
  <c r="E55" i="23"/>
  <c r="H55" i="23" s="1"/>
  <c r="I55" i="23" s="1"/>
  <c r="G56" i="23" l="1"/>
  <c r="E56" i="23"/>
  <c r="H56" i="23" s="1"/>
  <c r="I56" i="23" s="1"/>
  <c r="G57" i="23" l="1"/>
  <c r="E57" i="23"/>
  <c r="H57" i="23" s="1"/>
  <c r="I57" i="23" s="1"/>
  <c r="E58" i="23" l="1"/>
  <c r="H58" i="23" s="1"/>
  <c r="I58" i="23" s="1"/>
  <c r="F58" i="23" l="1"/>
  <c r="E59" i="23"/>
  <c r="H59" i="23" s="1"/>
  <c r="I59" i="23" l="1"/>
  <c r="G58" i="23"/>
  <c r="G59" i="23" s="1"/>
  <c r="G60" i="23" s="1"/>
  <c r="E60" i="23"/>
  <c r="H60" i="23" s="1"/>
  <c r="I60" i="23" s="1"/>
  <c r="G61" i="23" l="1"/>
  <c r="E61" i="23"/>
  <c r="H61" i="23" s="1"/>
  <c r="I61" i="23" s="1"/>
  <c r="G62" i="23" l="1"/>
  <c r="E62" i="23"/>
  <c r="H62" i="23" s="1"/>
  <c r="I62" i="23" s="1"/>
  <c r="E63" i="23" l="1"/>
  <c r="H63" i="23" s="1"/>
  <c r="I63" i="23" s="1"/>
  <c r="E64" i="23" l="1"/>
  <c r="E65" i="23" s="1"/>
  <c r="H65" i="23" s="1"/>
  <c r="F63" i="23"/>
  <c r="F64" i="23" l="1"/>
  <c r="H64" i="23"/>
  <c r="I64" i="23" s="1"/>
  <c r="G63" i="23"/>
  <c r="E66" i="23"/>
  <c r="H66" i="23" s="1"/>
  <c r="I66" i="23" l="1"/>
  <c r="I65" i="23"/>
  <c r="G64" i="23"/>
  <c r="G65" i="23" s="1"/>
  <c r="E67" i="23"/>
  <c r="H67" i="23" l="1"/>
  <c r="I67" i="23" s="1"/>
  <c r="F67" i="23"/>
  <c r="G66" i="23"/>
  <c r="E68" i="23"/>
  <c r="H68" i="23" s="1"/>
  <c r="I68" i="23" l="1"/>
  <c r="G67" i="23"/>
  <c r="F68" i="23" l="1"/>
  <c r="F69" i="23" l="1"/>
  <c r="G68" i="23"/>
  <c r="G69" i="23" s="1"/>
  <c r="B56" i="49"/>
  <c r="B34" i="4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Pattarawan Siriwattanathon</author>
  </authors>
  <commentList>
    <comment ref="G62" authorId="0" shapeId="0" xr:uid="{F4AF95B7-9A71-40B9-ACD4-4EA935861F79}">
      <text>
        <r>
          <rPr>
            <b/>
            <sz val="9"/>
            <color indexed="81"/>
            <rFont val="Tahoma"/>
            <charset val="222"/>
          </rPr>
          <t>Pattarawan Siriwattanathon:</t>
        </r>
        <r>
          <rPr>
            <sz val="9"/>
            <color indexed="81"/>
            <rFont val="Tahoma"/>
            <charset val="222"/>
          </rPr>
          <t xml:space="preserve">
12.2.2026 chack expire date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Nusara Somboon</author>
  </authors>
  <commentList>
    <comment ref="U13" authorId="0" shapeId="0" xr:uid="{9CFF775B-9C2E-4B4D-9C0F-3B4B86865E34}">
      <text>
        <r>
          <rPr>
            <b/>
            <sz val="9"/>
            <color indexed="81"/>
            <rFont val="Tahoma"/>
            <family val="2"/>
          </rPr>
          <t>Nusara Somboon:</t>
        </r>
        <r>
          <rPr>
            <sz val="9"/>
            <color indexed="81"/>
            <rFont val="Tahoma"/>
            <family val="2"/>
          </rPr>
          <t xml:space="preserve">
 ยอดที่เกิน 1000 ตัดเป็น cashpaid ของ RPU</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Nusara Somboon</author>
  </authors>
  <commentList>
    <comment ref="I13" authorId="0" shapeId="0" xr:uid="{1BC44DE3-F5A0-4B88-A015-D1A448261673}">
      <text>
        <r>
          <rPr>
            <b/>
            <sz val="9"/>
            <color indexed="81"/>
            <rFont val="Tahoma"/>
            <family val="2"/>
          </rPr>
          <t xml:space="preserve">Nusara Somboon
</t>
        </r>
        <r>
          <rPr>
            <sz val="9"/>
            <color indexed="81"/>
            <rFont val="Tahoma"/>
            <family val="2"/>
          </rPr>
          <t xml:space="preserve">สุตรเดิม
=ROUNDDOWN((D13-F13+E13)*IF(C13&gt;30000000,30000000,C13)/1000,2)
9/5/2022 แก้ไขเพิ่ม roundown SA 3 ตำแหน่ง ตอน product LifeReady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Nusara Somboon</author>
  </authors>
  <commentList>
    <comment ref="E2" authorId="0" shapeId="0" xr:uid="{000C7F02-A4AF-4E64-AB96-BC16A840D27C}">
      <text>
        <r>
          <rPr>
            <b/>
            <sz val="9"/>
            <color indexed="81"/>
            <rFont val="Tahoma"/>
            <family val="2"/>
          </rPr>
          <t>Nusara Somboon:</t>
        </r>
        <r>
          <rPr>
            <sz val="9"/>
            <color indexed="81"/>
            <rFont val="Tahoma"/>
            <family val="2"/>
          </rPr>
          <t xml:space="preserve">
L = Life
H = Health
R = Retirement</t>
        </r>
      </text>
    </comment>
    <comment ref="A13" authorId="0" shapeId="0" xr:uid="{5CCBF129-899C-47DF-AEE5-4B708042AEDA}">
      <text>
        <r>
          <rPr>
            <b/>
            <sz val="9"/>
            <color indexed="81"/>
            <rFont val="Tahoma"/>
            <family val="2"/>
          </rPr>
          <t>Nusara Somboon:</t>
        </r>
        <r>
          <rPr>
            <sz val="9"/>
            <color indexed="81"/>
            <rFont val="Tahoma"/>
            <family val="2"/>
          </rPr>
          <t xml:space="preserve">
สามารถลดหย่อนได้เมื่อแนบกับสัญญาหลักที่สามารถลดหย่อนภาษีได้</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Nusara Somboon</author>
  </authors>
  <commentList>
    <comment ref="E1" authorId="0" shapeId="0" xr:uid="{35433EBD-6E73-409F-AD00-7FF9D15F30C1}">
      <text>
        <r>
          <rPr>
            <b/>
            <sz val="9"/>
            <color indexed="81"/>
            <rFont val="Tahoma"/>
            <family val="2"/>
          </rPr>
          <t>Nusara Somboon:</t>
        </r>
        <r>
          <rPr>
            <sz val="9"/>
            <color indexed="81"/>
            <rFont val="Tahoma"/>
            <family val="2"/>
          </rPr>
          <t xml:space="preserve">
ใช้ Table PUNCV/100
หรือใช้ TABCV ไม่ต้องหาร 100</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Nusara Somboon</author>
  </authors>
  <commentList>
    <comment ref="E1" authorId="0" shapeId="0" xr:uid="{00000000-0006-0000-1600-000001000000}">
      <text>
        <r>
          <rPr>
            <b/>
            <sz val="9"/>
            <color indexed="81"/>
            <rFont val="Tahoma"/>
            <family val="2"/>
          </rPr>
          <t>Nusara Somboon:</t>
        </r>
        <r>
          <rPr>
            <sz val="9"/>
            <color indexed="81"/>
            <rFont val="Tahoma"/>
            <family val="2"/>
          </rPr>
          <t xml:space="preserve">
ใช้ Table PUNCV/100
หรือใช้ TABCV ไม่ต้องหาร 100</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Nusara Somboon</author>
  </authors>
  <commentList>
    <comment ref="C2" authorId="0" shapeId="0" xr:uid="{00000000-0006-0000-0C00-000001000000}">
      <text>
        <r>
          <rPr>
            <b/>
            <sz val="9"/>
            <color indexed="81"/>
            <rFont val="Tahoma"/>
            <family val="2"/>
          </rPr>
          <t>Nusara Somboon:</t>
        </r>
        <r>
          <rPr>
            <sz val="9"/>
            <color indexed="81"/>
            <rFont val="Tahoma"/>
            <family val="2"/>
          </rPr>
          <t xml:space="preserve">
สำหรับ drop down list</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Nusara Somboon</author>
  </authors>
  <commentList>
    <comment ref="B7" authorId="0" shapeId="0" xr:uid="{89FC11C5-ED7F-4482-8B9E-2192A1C5C9D3}">
      <text>
        <r>
          <rPr>
            <b/>
            <sz val="9"/>
            <color indexed="81"/>
            <rFont val="Tahoma"/>
            <family val="2"/>
          </rPr>
          <t>Nusara Somboon:</t>
        </r>
        <r>
          <rPr>
            <sz val="9"/>
            <color indexed="81"/>
            <rFont val="Tahoma"/>
            <family val="2"/>
          </rPr>
          <t xml:space="preserve">
แก้ไข 2.6.2022</t>
        </r>
      </text>
    </comment>
  </commentList>
</comments>
</file>

<file path=xl/sharedStrings.xml><?xml version="1.0" encoding="utf-8"?>
<sst xmlns="http://schemas.openxmlformats.org/spreadsheetml/2006/main" count="12171" uniqueCount="2917">
  <si>
    <t>กรุณากรอกข้อมูล</t>
  </si>
  <si>
    <t>เพศ</t>
  </si>
  <si>
    <t>อายุ</t>
  </si>
  <si>
    <t>ข้อมูลลูกค้า</t>
  </si>
  <si>
    <t>ชื่อผู้เอาประกันภัย</t>
  </si>
  <si>
    <t>อายุผู้เอาประกันภัย</t>
  </si>
  <si>
    <t>ปี</t>
  </si>
  <si>
    <t>เบอร์โทรศัพท์</t>
  </si>
  <si>
    <t>บาท</t>
  </si>
  <si>
    <t>งวดการชำระเบี้ยประกันภัย</t>
  </si>
  <si>
    <t>CVPLAN</t>
  </si>
  <si>
    <t>CVSEX</t>
  </si>
  <si>
    <t>CVAGE</t>
  </si>
  <si>
    <t>M</t>
  </si>
  <si>
    <t>F</t>
  </si>
  <si>
    <t>จำนวนเงินเอาประกันภัย</t>
  </si>
  <si>
    <t>12PL</t>
  </si>
  <si>
    <t>Age</t>
  </si>
  <si>
    <t>วันที่จัดทำใบข้อเสนอ</t>
  </si>
  <si>
    <t>คุณคนพิเศษ</t>
  </si>
  <si>
    <t>MEB</t>
  </si>
  <si>
    <t>ขั้นอาชีพ</t>
  </si>
  <si>
    <t>age</t>
  </si>
  <si>
    <t>Male</t>
  </si>
  <si>
    <t>WP</t>
  </si>
  <si>
    <t>ผลิตภัณฑ์</t>
  </si>
  <si>
    <t>เพศ (ผู้ชำระเบี้ย)</t>
  </si>
  <si>
    <t>อายุ (ผู้ชำระเบี้ย)</t>
  </si>
  <si>
    <t>Female</t>
  </si>
  <si>
    <t>ชาย</t>
  </si>
  <si>
    <t>อายุรับประกัน</t>
  </si>
  <si>
    <t>1 เดือน - 60 ปี</t>
  </si>
  <si>
    <t>รายปี</t>
  </si>
  <si>
    <t>ผลรวมของ rate</t>
  </si>
  <si>
    <t>plan</t>
  </si>
  <si>
    <t>ageMin</t>
  </si>
  <si>
    <t>รวมเบี้ยประกันภัยทั้งสิ้น</t>
  </si>
  <si>
    <t>ลูกค้าคนพิเศษ</t>
  </si>
  <si>
    <t>AP</t>
  </si>
  <si>
    <t>ECARE</t>
  </si>
  <si>
    <t>ข้อมูล</t>
  </si>
  <si>
    <t>ผลรวมของ Male</t>
  </si>
  <si>
    <t>ผลรวมของ Female</t>
  </si>
  <si>
    <t>sex</t>
  </si>
  <si>
    <t>ราย 6 เดือน</t>
  </si>
  <si>
    <t>ราย 3 เดือน</t>
  </si>
  <si>
    <t>รายเดือน</t>
  </si>
  <si>
    <t>หญิง</t>
  </si>
  <si>
    <t>Product</t>
  </si>
  <si>
    <t>Rate</t>
  </si>
  <si>
    <t>discount</t>
  </si>
  <si>
    <t>SA</t>
  </si>
  <si>
    <t>Premium (Ann)</t>
  </si>
  <si>
    <t>Premium (Mode)</t>
  </si>
  <si>
    <t>ตารางแสดงอัตราเบี้ยประกันภัย</t>
  </si>
  <si>
    <t>ต่อเบี้ยประกันภัย 100 บาท</t>
  </si>
  <si>
    <t>ระยะเวลายกเว้นเบี้ยประกันภัย (ปี)</t>
  </si>
  <si>
    <t>M-1000</t>
  </si>
  <si>
    <t>M-2200</t>
  </si>
  <si>
    <t>M-3200</t>
  </si>
  <si>
    <t>M-4200</t>
  </si>
  <si>
    <t>F-1000</t>
  </si>
  <si>
    <t>F-2200</t>
  </si>
  <si>
    <t>F-3200</t>
  </si>
  <si>
    <t>F-4200</t>
  </si>
  <si>
    <t>Occ Class</t>
  </si>
  <si>
    <t>20SS</t>
  </si>
  <si>
    <t>25PG</t>
  </si>
  <si>
    <t>PR60</t>
  </si>
  <si>
    <t>ขั้นต่ำ</t>
  </si>
  <si>
    <t>สูงสุด</t>
  </si>
  <si>
    <t>ที่ต้องการ</t>
  </si>
  <si>
    <t>Total Tax Deduct</t>
  </si>
  <si>
    <t>ผลประโยชน์</t>
  </si>
  <si>
    <t>ตามเงื่อนไขของสัญญา</t>
  </si>
  <si>
    <t>Premium Tax per year</t>
  </si>
  <si>
    <t>2. ค่าชดเชยกรณีทุพพลภาพชั่วคราว (จากอุบัติเหตุ) (ไม่เกิน 52 สัปดาห์)*</t>
  </si>
  <si>
    <t>3. ค่าชดเชยกรณีทุพพลภาพถาวรสิ้นเชิง (จากอุบัติเหตุ) (ไม่เกิน 100 เดือน)*</t>
  </si>
  <si>
    <t>4. ค่าชดเชยกรณีการเข้ารักษาตัวในโรงพยาบาล (จากอุบัติเหตุ) (ไม่เกิน 20 สัปดาห์)*</t>
  </si>
  <si>
    <t>5. ค่ารักษาพยาบาลอุบัติเหตุ* ตามที่เกิดขึ้นจริง แต่ไม่เกิน</t>
  </si>
  <si>
    <t>6.1 ค่าห้อง ค่าอาหาร และค่าบริการพยาบาลประจำวันในโรงพยาบาลต่อวัน (สูงสุด 75 วัน)</t>
  </si>
  <si>
    <t>6.3 ค่าแพทย์ตรวจรักษาในโรงพยาบาลประจำวันต่อวัน (สูงสุด 75 วัน)</t>
  </si>
  <si>
    <t xml:space="preserve">6.4 ค่าปรึกษาแพทย์เฉพาะทางในโรงพยาบาล ต่อการปรึกษาแต่ละครั้ง (1 ครั้งต่อวัน สูงสุด 20 ครั้งต่อปี) </t>
  </si>
  <si>
    <t>1. ผลประโยชน์กรณีเสียชีวิต (ขั้นต่ำ)</t>
  </si>
  <si>
    <t>1.1 การเสียชีวิตจากอุบัติเหตุทั่วไป</t>
  </si>
  <si>
    <t>1.3 สูญเสียมือหรือเท้า 1 ข้างหรือมากกว่า</t>
  </si>
  <si>
    <t>1.4 สูญเสียสายตา 1 ข้างหรือมากกว่า</t>
  </si>
  <si>
    <t>1.5 สูญเสียการได้ยิน</t>
  </si>
  <si>
    <t>1.6 สูญเสียการพูด</t>
  </si>
  <si>
    <t>1.7 สูญเสียแก้วตาทั้งสองข้าง</t>
  </si>
  <si>
    <t>1.8 สูญเสียนิ้วมือหรือนิ้วเท้า (ขึ้นอยู่กับจำนวนข้อที่สูญเสีย)</t>
  </si>
  <si>
    <t>1.9 กระดูกขา หรือสะบ้า แตกหัก</t>
  </si>
  <si>
    <t>1.10 ขาหดสั้นลงอย่างน้อย 5 เซนติเมตร</t>
  </si>
  <si>
    <t>1.11 บาดแผลจากการไหม้ (ขึ้นอยู่ % ความเสียหายของผิวหนัง)</t>
  </si>
  <si>
    <t>1. กรณีเสียชีวิต สูญเสียอวัยวะหรือมีบาดแผลจากการไหม้ (จากอุบัติเหตุ)*</t>
  </si>
  <si>
    <t>MEA+</t>
  </si>
  <si>
    <t>M-6200</t>
  </si>
  <si>
    <t>F-6200</t>
  </si>
  <si>
    <t>1 เดือน - 65 ปี</t>
  </si>
  <si>
    <t>6.5 ค่าแพทย์ผ่าตัดและหัตถการ ต่อการเข้าพักรักษาตัวครั้งใดครั้งหนึ่ง</t>
  </si>
  <si>
    <t>(เป็นไปตามอัตราที่กำหนดในตารางผลประโยชน์ผ่าตัด/วางยาสลบ แนบท้ายกรมธรรม์)</t>
  </si>
  <si>
    <t>- รับเพิ่ม 70% ของค่าใช้จ่ายส่วนที่เกินสิทธิ ในอัตราที่กำหนดในตารางผลประโยชน์ผ่าตัด ตามเงื่อนไขของกรมธรรม์ (กรณีค่าใช้จ่ายรวมทั้งหมดไม่เกินผลประโยชน์สูงสุดของแต่ละแผน)</t>
  </si>
  <si>
    <t>6.7 ค่าห้องผ่าตัดและอุปกรณ์ในห้องผ่าตัด ต่อการเข้าพักรักษาตัวใดครั้งหนึ่ง</t>
  </si>
  <si>
    <t>6.8 ค่ารักษาพยาบาลอื่นๆ ต่อการเข้าพักรักษาตัวครั้งใดครั้งหนึ่ง (รวมค่ายากลับบ้าน ค่ารถพยาบาล และอื่นๆ)</t>
  </si>
  <si>
    <t>- รับเพิ่ม 70% ของค่าใช้จ่ายส่วนที่เกินสิทธิสำหรับค่ารักษาพยาบาลอื่นๆ ในฐานะผู้ป่วยในตามเงื่อนไขของกรมธรรม์ (กรณีค่าใช้จ่ายรวมทั้งหมดไม่เกินผลประโยชน์สูงสุดของแต่ละแผน)</t>
  </si>
  <si>
    <t>6.10 ค่ารักษาพยาบาลฉุกเฉินขณะเป็นผู้ป่วยนอก (เนื่องจากอุบัติเหตุ) ต่อการบาดเจ็บแต่ละครั้ง</t>
  </si>
  <si>
    <t>6.11 ค่ารักษาพยาบาลในฐานะผู้ป่วยนอกต่อเนื่องจากการรักษาพยาบาลในฐานะผู้ป่วยใน โดยเกิดขึ้นภายใน 30 วัน หลังออกจากโรงพยาบาลในฐานะผู้ป่วยใน</t>
  </si>
  <si>
    <t>ผลประโยชน์สูงสุด ต่อการเข้าพักรักษาตัวครั้งใดครั้งหนึ่ง</t>
  </si>
  <si>
    <t>6.2 ค่าห้อง ไอ ซี ยู ต่อวัน (สูงสุด 20 วัน)  โดยจำนวนวันในข้อ 
(6.1)+(6.2) สูงสุดไม่เกิน 75 วัน</t>
  </si>
  <si>
    <t>6.6 ค่าแพทย์วิสัญญี ต่อการเข้าพักรักษาตัวครั้งใดครั้งหนึ่ง (ตามอัตราที่กำหนดในตารางค่าผ่าตัด / วางยาสลบ แนบท้ายกรมธรรม์)</t>
  </si>
  <si>
    <t>6.9 ค่าตรวจวินิจฉัยทางรังสีวิทยาและการตรวจในห้องปฎิบัติการในฐานะผู้ป่วยนอก ต่อการบาดเจ็บหรือเจ็บป่วยแต่ละครั้ง (ซึ่งเกิดขึ้นภายใน 30 วัน ก่อนหรือหลังการเข้ารักษาตัวในโรงพยาบาล)</t>
  </si>
  <si>
    <t>- เลือกขั้นอาชีพสำหรับสัญญาเพิ่มเติม</t>
  </si>
  <si>
    <t>- หากสัญญาเพิ่มเติมใดที่ไม่สามารถซื้อได้ จะขึ้นข้อความว่า "ไม่สามารถซื้อได้"</t>
  </si>
  <si>
    <r>
      <t>ขั้นที่ 1</t>
    </r>
    <r>
      <rPr>
        <sz val="14"/>
        <rFont val="Cordia New"/>
        <family val="2"/>
      </rPr>
      <t xml:space="preserve"> กรอกข้อมูลใน sheet "</t>
    </r>
    <r>
      <rPr>
        <b/>
        <sz val="14"/>
        <rFont val="Cordia New"/>
        <family val="2"/>
      </rPr>
      <t>กรอกข้อมูล</t>
    </r>
    <r>
      <rPr>
        <sz val="14"/>
        <rFont val="Cordia New"/>
        <family val="2"/>
      </rPr>
      <t>"</t>
    </r>
  </si>
  <si>
    <r>
      <t>หมายเหตุ</t>
    </r>
    <r>
      <rPr>
        <sz val="14"/>
        <rFont val="Cordia New"/>
        <family val="2"/>
      </rPr>
      <t xml:space="preserve">   - จำนวนเงินเอาประกันภัยที่สามารถซื้อได้ขั้นต่ำ และสูงสุดสามารถดูได้ในช่อง "ขั้นต่ำ" และ "สูงสุด"</t>
    </r>
  </si>
  <si>
    <t>WPDD01</t>
  </si>
  <si>
    <t>Basic</t>
  </si>
  <si>
    <r>
      <t xml:space="preserve">สัญญาเพิ่มเติมผลประโยชน์ผู้ชำระเบี้ยประกันภัย </t>
    </r>
    <r>
      <rPr>
        <b/>
        <sz val="14"/>
        <color indexed="10"/>
        <rFont val="Cordia New"/>
        <family val="2"/>
      </rPr>
      <t>(WPD01)</t>
    </r>
  </si>
  <si>
    <r>
      <t xml:space="preserve">สัญญาเพิ่มเติมผลประโยชน์ผู้ชำระเบี้ยประกันภัย </t>
    </r>
    <r>
      <rPr>
        <b/>
        <sz val="14"/>
        <color indexed="10"/>
        <rFont val="Cordia New"/>
        <family val="2"/>
      </rPr>
      <t>(WPDD01)</t>
    </r>
  </si>
  <si>
    <t>1.2 การเสียชีวิตจากอุบัติเหตุสาธารณภัย รับเพิ่มจากข้อ 1.1</t>
  </si>
  <si>
    <t>ไม่ซื้อ</t>
  </si>
  <si>
    <t>Effective Date</t>
  </si>
  <si>
    <t>version</t>
  </si>
  <si>
    <t>ชื่อไทย</t>
  </si>
  <si>
    <t>งวดการชำระ</t>
  </si>
  <si>
    <t>ลูกค้าคนพิเศษ:</t>
  </si>
  <si>
    <t>จำนวน
เงินเอาประกันภัย</t>
  </si>
  <si>
    <t xml:space="preserve">            (                                                        )</t>
  </si>
  <si>
    <t>10WL</t>
  </si>
  <si>
    <t xml:space="preserve"> </t>
  </si>
  <si>
    <t>DCI</t>
  </si>
  <si>
    <t>DCI-20</t>
  </si>
  <si>
    <t>DCI-21</t>
  </si>
  <si>
    <t>DCI-22</t>
  </si>
  <si>
    <t>DCI-23</t>
  </si>
  <si>
    <t>DCI-24</t>
  </si>
  <si>
    <t>DCI-25</t>
  </si>
  <si>
    <t>DCI-26</t>
  </si>
  <si>
    <t>DCI-27</t>
  </si>
  <si>
    <t>DCI-28</t>
  </si>
  <si>
    <t>DCI-29</t>
  </si>
  <si>
    <t>DCI-30</t>
  </si>
  <si>
    <t>DCI-31</t>
  </si>
  <si>
    <t>DCI-32</t>
  </si>
  <si>
    <t>DCI-33</t>
  </si>
  <si>
    <t>DCI-34</t>
  </si>
  <si>
    <t>DCI-35</t>
  </si>
  <si>
    <t>DCI-36</t>
  </si>
  <si>
    <t>DCI-37</t>
  </si>
  <si>
    <t>DCI-38</t>
  </si>
  <si>
    <t>DCI-39</t>
  </si>
  <si>
    <t>DCI-40</t>
  </si>
  <si>
    <t>DCI-41</t>
  </si>
  <si>
    <t>DCI-42</t>
  </si>
  <si>
    <t>DCI-43</t>
  </si>
  <si>
    <t>DCI-44</t>
  </si>
  <si>
    <t>DCI-45</t>
  </si>
  <si>
    <t>DCI-46</t>
  </si>
  <si>
    <t>DCI-47</t>
  </si>
  <si>
    <t>DCI-48</t>
  </si>
  <si>
    <t>DCI-49</t>
  </si>
  <si>
    <t>DCI-50</t>
  </si>
  <si>
    <t>DCI-51</t>
  </si>
  <si>
    <t>DCI-52</t>
  </si>
  <si>
    <t>DCI-53</t>
  </si>
  <si>
    <t>DCI-54</t>
  </si>
  <si>
    <t>DCI-55</t>
  </si>
  <si>
    <t>DCI-56</t>
  </si>
  <si>
    <t>DCI-57</t>
  </si>
  <si>
    <t>DCI-58</t>
  </si>
  <si>
    <t>DCI-59</t>
  </si>
  <si>
    <t>DCI-60</t>
  </si>
  <si>
    <t>DCI-61</t>
  </si>
  <si>
    <t>DCI-62</t>
  </si>
  <si>
    <t>DCI-63</t>
  </si>
  <si>
    <t>DCI-64</t>
  </si>
  <si>
    <t>DCI-65</t>
  </si>
  <si>
    <t>DCI-66</t>
  </si>
  <si>
    <t>DCI-67</t>
  </si>
  <si>
    <t>DCI-68</t>
  </si>
  <si>
    <t>DCI-69</t>
  </si>
  <si>
    <t>DCI-70</t>
  </si>
  <si>
    <t>DCI-71</t>
  </si>
  <si>
    <t>DCI-72</t>
  </si>
  <si>
    <t>DCI-73</t>
  </si>
  <si>
    <t>DCI-74</t>
  </si>
  <si>
    <t>โดยข้าพเจ้าได้รับทราบรายละเอียดดังต่อไปนี้ แล้ว</t>
  </si>
  <si>
    <t>6. การยื่นขอทำประกันฉบับนี้เป็นไปตามความประสงค์และความสมัครใจของข้าพเจ้า</t>
  </si>
  <si>
    <t>PLS05</t>
  </si>
  <si>
    <t>PLS10</t>
  </si>
  <si>
    <t>PLS12</t>
  </si>
  <si>
    <t>PLS15</t>
  </si>
  <si>
    <t>PLS05-20</t>
  </si>
  <si>
    <t>PLS05-21</t>
  </si>
  <si>
    <t>PLS05-22</t>
  </si>
  <si>
    <t>PLS05-23</t>
  </si>
  <si>
    <t>PLS05-24</t>
  </si>
  <si>
    <t>PLS05-25</t>
  </si>
  <si>
    <t>PLS05-26</t>
  </si>
  <si>
    <t>PLS05-27</t>
  </si>
  <si>
    <t>PLS05-28</t>
  </si>
  <si>
    <t>PLS05-29</t>
  </si>
  <si>
    <t>PLS05-30</t>
  </si>
  <si>
    <t>PLS05-31</t>
  </si>
  <si>
    <t>PLS05-32</t>
  </si>
  <si>
    <t>PLS05-33</t>
  </si>
  <si>
    <t>PLS05-34</t>
  </si>
  <si>
    <t>PLS05-35</t>
  </si>
  <si>
    <t>PLS05-36</t>
  </si>
  <si>
    <t>PLS05-37</t>
  </si>
  <si>
    <t>PLS05-38</t>
  </si>
  <si>
    <t>PLS05-39</t>
  </si>
  <si>
    <t>PLS05-40</t>
  </si>
  <si>
    <t>PLS05-41</t>
  </si>
  <si>
    <t>PLS05-42</t>
  </si>
  <si>
    <t>PLS05-43</t>
  </si>
  <si>
    <t>PLS05-44</t>
  </si>
  <si>
    <t>PLS05-45</t>
  </si>
  <si>
    <t>PLS05-46</t>
  </si>
  <si>
    <t>PLS05-47</t>
  </si>
  <si>
    <t>PLS05-48</t>
  </si>
  <si>
    <t>PLS05-49</t>
  </si>
  <si>
    <t>PLS05-50</t>
  </si>
  <si>
    <t>PLS05-51</t>
  </si>
  <si>
    <t>PLS05-52</t>
  </si>
  <si>
    <t>PLS05-53</t>
  </si>
  <si>
    <t>PLS05-54</t>
  </si>
  <si>
    <t>PLS05-55</t>
  </si>
  <si>
    <t>PLS05-56</t>
  </si>
  <si>
    <t>PLS05-57</t>
  </si>
  <si>
    <t>PLS05-58</t>
  </si>
  <si>
    <t>PLS05-59</t>
  </si>
  <si>
    <t>PLS10-20</t>
  </si>
  <si>
    <t>PLS10-21</t>
  </si>
  <si>
    <t>PLS10-22</t>
  </si>
  <si>
    <t>PLS10-23</t>
  </si>
  <si>
    <t>PLS10-24</t>
  </si>
  <si>
    <t>PLS10-25</t>
  </si>
  <si>
    <t>PLS10-26</t>
  </si>
  <si>
    <t>PLS10-27</t>
  </si>
  <si>
    <t>PLS10-28</t>
  </si>
  <si>
    <t>PLS10-29</t>
  </si>
  <si>
    <t>PLS10-30</t>
  </si>
  <si>
    <t>PLS10-31</t>
  </si>
  <si>
    <t>PLS10-32</t>
  </si>
  <si>
    <t>PLS10-33</t>
  </si>
  <si>
    <t>PLS10-34</t>
  </si>
  <si>
    <t>PLS10-35</t>
  </si>
  <si>
    <t>PLS10-36</t>
  </si>
  <si>
    <t>PLS10-37</t>
  </si>
  <si>
    <t>PLS10-38</t>
  </si>
  <si>
    <t>PLS10-39</t>
  </si>
  <si>
    <t>PLS10-40</t>
  </si>
  <si>
    <t>PLS10-41</t>
  </si>
  <si>
    <t>PLS10-42</t>
  </si>
  <si>
    <t>PLS10-43</t>
  </si>
  <si>
    <t>PLS10-44</t>
  </si>
  <si>
    <t>PLS10-45</t>
  </si>
  <si>
    <t>PLS10-46</t>
  </si>
  <si>
    <t>PLS10-47</t>
  </si>
  <si>
    <t>PLS10-48</t>
  </si>
  <si>
    <t>PLS10-49</t>
  </si>
  <si>
    <t>PLS10-50</t>
  </si>
  <si>
    <t>PLS10-51</t>
  </si>
  <si>
    <t>PLS10-52</t>
  </si>
  <si>
    <t>PLS10-53</t>
  </si>
  <si>
    <t>PLS10-54</t>
  </si>
  <si>
    <t>PLS10-55</t>
  </si>
  <si>
    <t>PLS10-56</t>
  </si>
  <si>
    <t>PLS10-57</t>
  </si>
  <si>
    <t>PLS10-58</t>
  </si>
  <si>
    <t>PLS10-59</t>
  </si>
  <si>
    <t>PLS12-20</t>
  </si>
  <si>
    <t>PLS12-21</t>
  </si>
  <si>
    <t>PLS12-22</t>
  </si>
  <si>
    <t>PLS12-23</t>
  </si>
  <si>
    <t>PLS12-24</t>
  </si>
  <si>
    <t>PLS12-25</t>
  </si>
  <si>
    <t>PLS12-26</t>
  </si>
  <si>
    <t>PLS12-27</t>
  </si>
  <si>
    <t>PLS12-28</t>
  </si>
  <si>
    <t>PLS12-29</t>
  </si>
  <si>
    <t>PLS12-30</t>
  </si>
  <si>
    <t>PLS12-31</t>
  </si>
  <si>
    <t>PLS12-32</t>
  </si>
  <si>
    <t>PLS12-33</t>
  </si>
  <si>
    <t>PLS12-34</t>
  </si>
  <si>
    <t>PLS12-35</t>
  </si>
  <si>
    <t>PLS12-36</t>
  </si>
  <si>
    <t>PLS12-37</t>
  </si>
  <si>
    <t>PLS12-38</t>
  </si>
  <si>
    <t>PLS12-39</t>
  </si>
  <si>
    <t>PLS12-40</t>
  </si>
  <si>
    <t>PLS12-41</t>
  </si>
  <si>
    <t>PLS12-42</t>
  </si>
  <si>
    <t>PLS12-43</t>
  </si>
  <si>
    <t>PLS12-44</t>
  </si>
  <si>
    <t>PLS12-45</t>
  </si>
  <si>
    <t>PLS12-46</t>
  </si>
  <si>
    <t>PLS12-47</t>
  </si>
  <si>
    <t>PLS12-48</t>
  </si>
  <si>
    <t>PLS12-49</t>
  </si>
  <si>
    <t>PLS12-50</t>
  </si>
  <si>
    <t>PLS12-51</t>
  </si>
  <si>
    <t>PLS12-52</t>
  </si>
  <si>
    <t>PLS12-53</t>
  </si>
  <si>
    <t>PLS12-54</t>
  </si>
  <si>
    <t>PLS12-55</t>
  </si>
  <si>
    <t>PLS12-56</t>
  </si>
  <si>
    <t>PLS12-57</t>
  </si>
  <si>
    <t>PLS12-58</t>
  </si>
  <si>
    <t>PLS12-59</t>
  </si>
  <si>
    <t>PLS15-20</t>
  </si>
  <si>
    <t>PLS15-21</t>
  </si>
  <si>
    <t>PLS15-22</t>
  </si>
  <si>
    <t>PLS15-23</t>
  </si>
  <si>
    <t>PLS15-24</t>
  </si>
  <si>
    <t>PLS15-25</t>
  </si>
  <si>
    <t>PLS15-26</t>
  </si>
  <si>
    <t>PLS15-27</t>
  </si>
  <si>
    <t>PLS15-28</t>
  </si>
  <si>
    <t>PLS15-29</t>
  </si>
  <si>
    <t>PLS15-30</t>
  </si>
  <si>
    <t>PLS15-31</t>
  </si>
  <si>
    <t>PLS15-32</t>
  </si>
  <si>
    <t>PLS15-33</t>
  </si>
  <si>
    <t>PLS15-34</t>
  </si>
  <si>
    <t>PLS15-35</t>
  </si>
  <si>
    <t>PLS15-36</t>
  </si>
  <si>
    <t>PLS15-37</t>
  </si>
  <si>
    <t>PLS15-38</t>
  </si>
  <si>
    <t>PLS15-39</t>
  </si>
  <si>
    <t>PLS15-40</t>
  </si>
  <si>
    <t>PLS15-41</t>
  </si>
  <si>
    <t>PLS15-42</t>
  </si>
  <si>
    <t>PLS15-43</t>
  </si>
  <si>
    <t>PLS15-44</t>
  </si>
  <si>
    <t>PLS15-45</t>
  </si>
  <si>
    <t>PLS15-46</t>
  </si>
  <si>
    <t>PLS15-47</t>
  </si>
  <si>
    <t>PLS15-48</t>
  </si>
  <si>
    <t>PLS15-49</t>
  </si>
  <si>
    <t>PLS15-50</t>
  </si>
  <si>
    <t>PLS15-51</t>
  </si>
  <si>
    <t>PLS15-52</t>
  </si>
  <si>
    <t>PLS15-53</t>
  </si>
  <si>
    <t>PLS15-54</t>
  </si>
  <si>
    <t>PLS15-55</t>
  </si>
  <si>
    <t>PLS15-56</t>
  </si>
  <si>
    <t>PLS15-57</t>
  </si>
  <si>
    <t>PLS15-58</t>
  </si>
  <si>
    <t>PLS15-59</t>
  </si>
  <si>
    <t>สัญญาเพิ่มเติมคุ้มครองการเสียชีวิต (PLS)</t>
  </si>
  <si>
    <t>Rate DCI,PLS</t>
  </si>
  <si>
    <t>CPR</t>
  </si>
  <si>
    <t>HIC</t>
  </si>
  <si>
    <t>None</t>
  </si>
  <si>
    <t>AGE</t>
  </si>
  <si>
    <t>CPR-0</t>
  </si>
  <si>
    <t>HIC-0</t>
  </si>
  <si>
    <t>CPR-1</t>
  </si>
  <si>
    <t>HIC-1</t>
  </si>
  <si>
    <t>CPR-2</t>
  </si>
  <si>
    <t>HIC-2</t>
  </si>
  <si>
    <t>CPR-3</t>
  </si>
  <si>
    <t>HIC-3</t>
  </si>
  <si>
    <t>CPR-4</t>
  </si>
  <si>
    <t>HIC-4</t>
  </si>
  <si>
    <t>CPR-5</t>
  </si>
  <si>
    <t>HIC-5</t>
  </si>
  <si>
    <t>CPR-6</t>
  </si>
  <si>
    <t>HIC-6</t>
  </si>
  <si>
    <t>CPR-7</t>
  </si>
  <si>
    <t>HIC-7</t>
  </si>
  <si>
    <t>CPR-8</t>
  </si>
  <si>
    <t>HIC-8</t>
  </si>
  <si>
    <t>CPR-9</t>
  </si>
  <si>
    <t>HIC-9</t>
  </si>
  <si>
    <t>CPR-10</t>
  </si>
  <si>
    <t>HIC-10</t>
  </si>
  <si>
    <t>CPR-11</t>
  </si>
  <si>
    <t>HIC-11</t>
  </si>
  <si>
    <t>CPR-12</t>
  </si>
  <si>
    <t>HIC-12</t>
  </si>
  <si>
    <t>CPR-13</t>
  </si>
  <si>
    <t>HIC-13</t>
  </si>
  <si>
    <t>CPR-14</t>
  </si>
  <si>
    <t>HIC-14</t>
  </si>
  <si>
    <t>CPR-15</t>
  </si>
  <si>
    <t>HIC-15</t>
  </si>
  <si>
    <t>CPR-16</t>
  </si>
  <si>
    <t>HIC-16</t>
  </si>
  <si>
    <t>CPR-17</t>
  </si>
  <si>
    <t>HIC-17</t>
  </si>
  <si>
    <t>CPR-18</t>
  </si>
  <si>
    <t>HIC-18</t>
  </si>
  <si>
    <t>CPR-19</t>
  </si>
  <si>
    <t>HIC-19</t>
  </si>
  <si>
    <t>CPR-20</t>
  </si>
  <si>
    <t>HIC-20</t>
  </si>
  <si>
    <t>CPR-21</t>
  </si>
  <si>
    <t>HIC-21</t>
  </si>
  <si>
    <t>CPR-22</t>
  </si>
  <si>
    <t>HIC-22</t>
  </si>
  <si>
    <t>CPR-23</t>
  </si>
  <si>
    <t>HIC-23</t>
  </si>
  <si>
    <t>CPR-24</t>
  </si>
  <si>
    <t>HIC-24</t>
  </si>
  <si>
    <t>CPR-25</t>
  </si>
  <si>
    <t>HIC-25</t>
  </si>
  <si>
    <t>CPR-26</t>
  </si>
  <si>
    <t>HIC-26</t>
  </si>
  <si>
    <t>CPR-27</t>
  </si>
  <si>
    <t>HIC-27</t>
  </si>
  <si>
    <t>CPR-28</t>
  </si>
  <si>
    <t>HIC-28</t>
  </si>
  <si>
    <t>CPR-29</t>
  </si>
  <si>
    <t>HIC-29</t>
  </si>
  <si>
    <t>CPR-30</t>
  </si>
  <si>
    <t>HIC-30</t>
  </si>
  <si>
    <t>CPR-31</t>
  </si>
  <si>
    <t>HIC-31</t>
  </si>
  <si>
    <t>CPR-32</t>
  </si>
  <si>
    <t>HIC-32</t>
  </si>
  <si>
    <t>CPR-33</t>
  </si>
  <si>
    <t>HIC-33</t>
  </si>
  <si>
    <t>CPR-34</t>
  </si>
  <si>
    <t>HIC-34</t>
  </si>
  <si>
    <t>CPR-35</t>
  </si>
  <si>
    <t>HIC-35</t>
  </si>
  <si>
    <t>CPR-36</t>
  </si>
  <si>
    <t>HIC-36</t>
  </si>
  <si>
    <t>CPR-37</t>
  </si>
  <si>
    <t>HIC-37</t>
  </si>
  <si>
    <t>CPR-38</t>
  </si>
  <si>
    <t>HIC-38</t>
  </si>
  <si>
    <t>CPR-39</t>
  </si>
  <si>
    <t>HIC-39</t>
  </si>
  <si>
    <t>CPR-40</t>
  </si>
  <si>
    <t>HIC-40</t>
  </si>
  <si>
    <t>CPR-41</t>
  </si>
  <si>
    <t>HIC-41</t>
  </si>
  <si>
    <t>CPR-42</t>
  </si>
  <si>
    <t>HIC-42</t>
  </si>
  <si>
    <t>CPR-43</t>
  </si>
  <si>
    <t>HIC-43</t>
  </si>
  <si>
    <t>CPR-44</t>
  </si>
  <si>
    <t>HIC-44</t>
  </si>
  <si>
    <t>CPR-45</t>
  </si>
  <si>
    <t>HIC-45</t>
  </si>
  <si>
    <t>CPR-46</t>
  </si>
  <si>
    <t>HIC-46</t>
  </si>
  <si>
    <t>CPR-47</t>
  </si>
  <si>
    <t>HIC-47</t>
  </si>
  <si>
    <t>CPR-48</t>
  </si>
  <si>
    <t>HIC-48</t>
  </si>
  <si>
    <t>CPR-49</t>
  </si>
  <si>
    <t>HIC-49</t>
  </si>
  <si>
    <t>CPR-50</t>
  </si>
  <si>
    <t>HIC-50</t>
  </si>
  <si>
    <t>CPR-51</t>
  </si>
  <si>
    <t>HIC-51</t>
  </si>
  <si>
    <t>CPR-52</t>
  </si>
  <si>
    <t>HIC-52</t>
  </si>
  <si>
    <t>CPR-53</t>
  </si>
  <si>
    <t>HIC-53</t>
  </si>
  <si>
    <t>CPR-54</t>
  </si>
  <si>
    <t>HIC-54</t>
  </si>
  <si>
    <t>CPR-55</t>
  </si>
  <si>
    <t>HIC-55</t>
  </si>
  <si>
    <t>CPR-56</t>
  </si>
  <si>
    <t>HIC-56</t>
  </si>
  <si>
    <t>CPR-57</t>
  </si>
  <si>
    <t>HIC-57</t>
  </si>
  <si>
    <t>CPR-58</t>
  </si>
  <si>
    <t>HIC-58</t>
  </si>
  <si>
    <t>CPR-59</t>
  </si>
  <si>
    <t>HIC-59</t>
  </si>
  <si>
    <t>CPR-60</t>
  </si>
  <si>
    <t>HIC-60</t>
  </si>
  <si>
    <t>CPR-61</t>
  </si>
  <si>
    <t>HIC-61</t>
  </si>
  <si>
    <t>CPR-62</t>
  </si>
  <si>
    <t>HIC-62</t>
  </si>
  <si>
    <t>CPR-63</t>
  </si>
  <si>
    <t>HIC-63</t>
  </si>
  <si>
    <t>CPR-64</t>
  </si>
  <si>
    <t>HIC-64</t>
  </si>
  <si>
    <t>CPR-65</t>
  </si>
  <si>
    <t>HIC-65</t>
  </si>
  <si>
    <t>CPR-66</t>
  </si>
  <si>
    <t>HIC-66</t>
  </si>
  <si>
    <t>CPR-67</t>
  </si>
  <si>
    <t>HIC-67</t>
  </si>
  <si>
    <t>CPR-68</t>
  </si>
  <si>
    <t>HIC-68</t>
  </si>
  <si>
    <t>CPR-69</t>
  </si>
  <si>
    <t>HIC-69</t>
  </si>
  <si>
    <t>CPR-70</t>
  </si>
  <si>
    <t>HIC-70</t>
  </si>
  <si>
    <t>CPR-71</t>
  </si>
  <si>
    <t>HIC-71</t>
  </si>
  <si>
    <t>CPR-72</t>
  </si>
  <si>
    <t>HIC-72</t>
  </si>
  <si>
    <t>CPR-73</t>
  </si>
  <si>
    <t>HIC-73</t>
  </si>
  <si>
    <t>CPR-74</t>
  </si>
  <si>
    <t>HIC-74</t>
  </si>
  <si>
    <t>CPR-75</t>
  </si>
  <si>
    <t>HIC-75</t>
  </si>
  <si>
    <t>CPR-76</t>
  </si>
  <si>
    <t>HIC-76</t>
  </si>
  <si>
    <t>CPR-77</t>
  </si>
  <si>
    <t>HIC-77</t>
  </si>
  <si>
    <t>CPR-78</t>
  </si>
  <si>
    <t>HIC-78</t>
  </si>
  <si>
    <t>CPR-79</t>
  </si>
  <si>
    <t>HIC-79</t>
  </si>
  <si>
    <t>CPR-80</t>
  </si>
  <si>
    <t>HIC-80</t>
  </si>
  <si>
    <t>CPR-81</t>
  </si>
  <si>
    <t>HIC-81</t>
  </si>
  <si>
    <t>CPR-82</t>
  </si>
  <si>
    <t>HIC-82</t>
  </si>
  <si>
    <t>CPR-83</t>
  </si>
  <si>
    <t>HIC-83</t>
  </si>
  <si>
    <t>CPR-84</t>
  </si>
  <si>
    <t>HIC-84</t>
  </si>
  <si>
    <t>CPR-85</t>
  </si>
  <si>
    <t>HIC-85</t>
  </si>
  <si>
    <t xml:space="preserve">  ลูกค้าคนพิเศษ:</t>
  </si>
  <si>
    <r>
      <t xml:space="preserve">1.2  </t>
    </r>
    <r>
      <rPr>
        <b/>
        <u/>
        <sz val="16"/>
        <rFont val="Cordia New"/>
        <family val="2"/>
      </rPr>
      <t>ขั้นที่ 2</t>
    </r>
    <r>
      <rPr>
        <b/>
        <sz val="16"/>
        <rFont val="Cordia New"/>
        <family val="2"/>
      </rPr>
      <t xml:space="preserve">  โรคมะเร็งระยะไม่ลุกลาม หรือโรคมะเร็งรังไข่ระยะแรก </t>
    </r>
  </si>
  <si>
    <t xml:space="preserve">             (สามารถเคลมได้ไม่จำกัดจำนวนครั้งและเมื่อรวมผลประโยชน์ที่จ่ายมาแล้วต้องไม่เกิน 100% ของจำนวนเงินเอาประกันภัย)</t>
  </si>
  <si>
    <t>-  สำหรับมะเร็งระยะไม่ลุกลามหรือโรคมะเร็งรังไข่ระยะแรก</t>
  </si>
  <si>
    <r>
      <t xml:space="preserve">1.3  </t>
    </r>
    <r>
      <rPr>
        <b/>
        <u/>
        <sz val="16"/>
        <rFont val="Cordia New"/>
        <family val="2"/>
      </rPr>
      <t>ขั้นที่ 3</t>
    </r>
    <r>
      <rPr>
        <b/>
        <sz val="16"/>
        <rFont val="Cordia New"/>
        <family val="2"/>
      </rPr>
      <t xml:space="preserve">  กรณีตรวจพบ โรคมะเร็งระยะไม่ลุกลามของอวัยวะที่กำหนด ที่มีการรักษาโดยการผ่าตัดแบบ Radical surgery </t>
    </r>
  </si>
  <si>
    <t xml:space="preserve">-  สำหรับโรคมะเร็งระยะไม่ลุกลามของอวัยวะที่กำหนด ที่มีการรักษาโดยการผ่าตัดแบบ Radical surgery </t>
  </si>
  <si>
    <t>-  สำหรับกรณีที่มีการเคลมขั้นที่ 2 และต่อมามีการเคลมขั้นที่ 3 ที่อวัยวะเดิมหรืออวัยวะเดียวกัน</t>
  </si>
  <si>
    <r>
      <t xml:space="preserve">1.4  </t>
    </r>
    <r>
      <rPr>
        <b/>
        <u/>
        <sz val="16"/>
        <rFont val="Cordia New"/>
        <family val="2"/>
      </rPr>
      <t>ขั้นที่ 4</t>
    </r>
    <r>
      <rPr>
        <b/>
        <sz val="16"/>
        <rFont val="Cordia New"/>
        <family val="2"/>
      </rPr>
      <t xml:space="preserve">  โรคมะเร็งระยะลุกลามรับสูงสุด</t>
    </r>
  </si>
  <si>
    <t>ไม่คุ้มครอง</t>
  </si>
  <si>
    <t>iProtect ไม่มี WPC</t>
  </si>
  <si>
    <t>WPC</t>
  </si>
  <si>
    <t>ซื้อ</t>
  </si>
  <si>
    <t xml:space="preserve">บริษัท กรุงไทย-แอกซ่า ประกันชีวิต จำกัด (มหาชน) </t>
  </si>
  <si>
    <r>
      <t xml:space="preserve">     2.2  </t>
    </r>
    <r>
      <rPr>
        <b/>
        <u/>
        <sz val="16"/>
        <rFont val="Cordia New"/>
        <family val="2"/>
      </rPr>
      <t>ขั้นที่ 2</t>
    </r>
    <r>
      <rPr>
        <b/>
        <sz val="16"/>
        <rFont val="Cordia New"/>
        <family val="2"/>
      </rPr>
      <t xml:space="preserve">  โรคมะเร็งระยะไม่ลุกลาม หรือโรคมะเร็งรังไข่ระยะแรก </t>
    </r>
  </si>
  <si>
    <r>
      <t xml:space="preserve">     2.3  </t>
    </r>
    <r>
      <rPr>
        <b/>
        <u/>
        <sz val="16"/>
        <rFont val="Cordia New"/>
        <family val="2"/>
      </rPr>
      <t>ขั้นที่ 3</t>
    </r>
    <r>
      <rPr>
        <b/>
        <sz val="16"/>
        <rFont val="Cordia New"/>
        <family val="2"/>
      </rPr>
      <t xml:space="preserve">  โรคมะเร็งระยะไม่ลุกลามของอวัยวะที่กำหนด ที่มีการรักษาโดยการผ่าตัดแบบ Radical surgery </t>
    </r>
  </si>
  <si>
    <r>
      <t xml:space="preserve">     2.4  </t>
    </r>
    <r>
      <rPr>
        <b/>
        <u/>
        <sz val="16"/>
        <rFont val="Cordia New"/>
        <family val="2"/>
      </rPr>
      <t>ขั้นที่ 4</t>
    </r>
    <r>
      <rPr>
        <b/>
        <sz val="16"/>
        <rFont val="Cordia New"/>
        <family val="2"/>
      </rPr>
      <t xml:space="preserve">  โรคมะเร็งระยะลุกลาม</t>
    </r>
  </si>
  <si>
    <t>พิเศษ!!! ผลประโยชน์เพิ่มเติมจากการหักลดหย่อนภาษี</t>
  </si>
  <si>
    <t>สัญญาเพิ่มเติมคุ้มครองอุบัติเหตุ (AP)</t>
  </si>
  <si>
    <t>สัญญาเพิ่มเติมคุ้มครองอุบัติเหตุและค่ารักษาพยาบาล (ECARE)</t>
  </si>
  <si>
    <t>สัญญาเพิ่มเติมค่าชดเชยรายวัน (MEB)</t>
  </si>
  <si>
    <t>สัญญาเพิ่มเติมคุ้มครองเสียชีวิตและโรคร้ายแรง (DCI)</t>
  </si>
  <si>
    <t>สัญญาเพิ่มเติมคุ้มครองโรคมะเร็ง (CPR)</t>
  </si>
  <si>
    <t>สัญญาเพิ่มเติมค่าชดเชยรายวันเนื่องจากโรคมะเร็ง (HIC)</t>
  </si>
  <si>
    <r>
      <t>ขั้นที่ 3</t>
    </r>
    <r>
      <rPr>
        <sz val="14"/>
        <rFont val="Cordia New"/>
        <family val="2"/>
      </rPr>
      <t xml:space="preserve"> เลือกกำหนดวิธีการคำนวน จาก จำนวนเงินเอาประกันภัย หรือ เบี้ยประกันภัย</t>
    </r>
  </si>
  <si>
    <t>1. ผลประโยชน์จากสัญญาเพิ่มเติมคุ้มครองโรคมะเร็ง (CPR)*</t>
  </si>
  <si>
    <t>สมาร์ท คิดส์ - สุขภาพแผนหลักผู้ป่วยในแบบพื้นฐาน สุขภาพแผนเพิ่มเติมผู้ป่วยในแบบเติมเต็ม และสุขภาพแผนเพิ่มเติมผู้ป่วยนอก</t>
  </si>
  <si>
    <t>อาณาเขตความคุ้มครอง</t>
  </si>
  <si>
    <t>ประเทศไทย</t>
  </si>
  <si>
    <t>WP Rider</t>
  </si>
  <si>
    <t>Choice</t>
  </si>
  <si>
    <t>WPD01</t>
  </si>
  <si>
    <t>-</t>
  </si>
  <si>
    <t>Selected Detail (for update the list)</t>
  </si>
  <si>
    <t>Basic Plan</t>
  </si>
  <si>
    <t>Rider Plan</t>
  </si>
  <si>
    <t>Area of Coverage</t>
  </si>
  <si>
    <t>Payment Mode</t>
  </si>
  <si>
    <t>Gender</t>
  </si>
  <si>
    <t>Seq</t>
  </si>
  <si>
    <t>Rider</t>
  </si>
  <si>
    <t>Buy Option Controller</t>
  </si>
  <si>
    <t>Plan</t>
  </si>
  <si>
    <t>สมาร์ท คิดส์ - สุขภาพแผนหลักผู้ป่วยในแบบพื้นฐาน</t>
  </si>
  <si>
    <t>สมาร์ท คิดส์</t>
  </si>
  <si>
    <t>สมาร์ท คิดส์ - สุขภาพแผนหลักผู้ป่วยในแบบพื้นฐาน และสุขภาพแผนเพิ่มเติมผู้ป่วยนอก</t>
  </si>
  <si>
    <t>เอเชีย</t>
  </si>
  <si>
    <t>ทั่วโลกยกเว้นสหรัฐอเมริกา</t>
  </si>
  <si>
    <t>โกลด์ คิดส์ - สุขภาพแผนหลักผู้ป่วยในแบบพื้นฐาน</t>
  </si>
  <si>
    <t>ทั่วโลก</t>
  </si>
  <si>
    <t>โกลด์ คิดส์</t>
  </si>
  <si>
    <t>โกลด์ คิดส์ - สุขภาพแผนหลักผู้ป่วยในแบบพื้นฐาน และสุขภาพแผนเพิ่มเติมผู้ป่วยนอก</t>
  </si>
  <si>
    <t>โกลด์ คิดส์ - สุขภาพแผนหลักผู้ป่วยในแบบพื้นฐาน สุขภาพแผนเพิ่มเติมผู้ป่วยในแบบเติมเต็ม และสุขภาพแผนเพิ่มเติมผู้ป่วยนอก</t>
  </si>
  <si>
    <t>สมาร์ท - สุขภาพแผนหลักผู้ป่วยในแบบพื้นฐาน</t>
  </si>
  <si>
    <t>สมาร์ท</t>
  </si>
  <si>
    <t>ซิลเวอร์ - สุขภาพแผนหลักผู้ป่วยในแบบพื้นฐาน</t>
  </si>
  <si>
    <t>ซิลเวอร์</t>
  </si>
  <si>
    <t>โกลด์ - สุขภาพแผนหลักผู้ป่วยในแบบพื้นฐาน</t>
  </si>
  <si>
    <t>โกลด์</t>
  </si>
  <si>
    <t>ไดมอนด์</t>
  </si>
  <si>
    <t>แพลทินั่ม</t>
  </si>
  <si>
    <t>List of Core</t>
  </si>
  <si>
    <t>Core</t>
  </si>
  <si>
    <t>Module1</t>
  </si>
  <si>
    <t>Module2</t>
  </si>
  <si>
    <t>Plan-Eng</t>
  </si>
  <si>
    <t>Plancode-Core</t>
  </si>
  <si>
    <t>Plancode-M1</t>
  </si>
  <si>
    <t>Plancode-M2</t>
  </si>
  <si>
    <t>สัญญาเพิ่มเติมค่ารักษาพยาบาล เฟลคซี่ เฮลท์ แผนสมาร์ท คิดส์ แผนหลักผู้ป่วยในแบบพื้นฐาน (FHSKTH)</t>
  </si>
  <si>
    <t>Smart Kids</t>
  </si>
  <si>
    <t>FHSKTH</t>
  </si>
  <si>
    <t>บันทึกสลักหลังค่ารักษาพยาบาล เฟลคซี่ เฮลท์ แผนสมาร์ท คิดส์ แผนเพิ่มเติมผู้ป่วยนอก (SKTH2)</t>
  </si>
  <si>
    <t>SKTH2</t>
  </si>
  <si>
    <t>บันทึกสลักหลังค่ารักษาพยาบาล เฟลคซี่ เฮลท์ แผนสมาร์ท คิดส์ แผนเพิ่มเติมผู้ป่วยในแบบเติมเต็ม (SKTH1)</t>
  </si>
  <si>
    <t>SKTH1</t>
  </si>
  <si>
    <t>สัญญาเพิ่มเติมค่ารักษาพยาบาล เฟลคซี่ เฮลท์ แผนโกลด์ คิดส์ แผนหลักผู้ป่วยในแบบพื้นฐาน (FHGKTH)</t>
  </si>
  <si>
    <t>Gold Kids</t>
  </si>
  <si>
    <t>FHGKTH</t>
  </si>
  <si>
    <t>บันทึกสลักหลังค่ารักษาพยาบาล เฟลคซี่ เฮลท์ แผนโกลด์ คิดส์ แผนเพิ่มเติมผู้ป่วยนอก (GKTH2)</t>
  </si>
  <si>
    <t>GKTH2</t>
  </si>
  <si>
    <t>บันทึกสลักหลังค่ารักษาพยาบาล เฟลคซี่ เฮลท์ แผนโกลด์ คิดส์ แผนเพิ่มเติมผู้ป่วยในแบบเติมเต็ม (GKTH1)</t>
  </si>
  <si>
    <t>GKTH1</t>
  </si>
  <si>
    <t>สัญญาเพิ่มเติมค่ารักษาพยาบาล เฟลคซี่ เฮลท์ แผนสมาร์ท แผนหลักผู้ป่วยในแบบพื้นฐาน (FHSMTH)</t>
  </si>
  <si>
    <t>บันทึกสลักหลังค่ารักษาพยาบาล เฟลคซี่ เฮลท์ แผนสมาร์ท แผนเพิ่มเติมผู้ป่วยในแบบเติมเต็ม (SMTH1)</t>
  </si>
  <si>
    <t>บันทึกสลักหลังค่ารักษาพยาบาล เฟลคซี่ เฮลท์ แผนสมาร์ท แผนเพิ่มเติมผู้ป่วยนอก (SMTH2)</t>
  </si>
  <si>
    <t>Smart</t>
  </si>
  <si>
    <t>FHSMTH</t>
  </si>
  <si>
    <t>SMTH1</t>
  </si>
  <si>
    <t>SMTH2</t>
  </si>
  <si>
    <t>สัญญาเพิ่มเติมค่ารักษาพยาบาล เฟลคซี่ เฮลท์ แผนซิลเวอร์ แผนหลักผู้ป่วยในแบบพื้นฐาน (FHSLTH)</t>
  </si>
  <si>
    <t>บันทึกสลักหลังค่ารักษาพยาบาล เฟลคซี่ เฮลท์ แผนซิลเวอร์ แผนเพิ่มเติมผู้ป่วยในแบบเติมเต็ม (SLTH1)</t>
  </si>
  <si>
    <t>บันทึกสลักหลังค่ารักษาพยาบาล เฟลคซี่ เฮลท์ แผนซิลเวอร์ แผนเพิ่มเติมผู้ป่วยนอก (SLTH2)</t>
  </si>
  <si>
    <t>Silver</t>
  </si>
  <si>
    <t>FHSLTH</t>
  </si>
  <si>
    <t>SLTH1</t>
  </si>
  <si>
    <t>SLTH2</t>
  </si>
  <si>
    <t>สัญญาเพิ่มเติมค่ารักษาพยาบาล เฟลคซี่ เฮลท์ แผนโกลด์ แผนหลักผู้ป่วยในแบบพื้นฐาน (FHGLTH)</t>
  </si>
  <si>
    <t>บันทึกสลักหลังค่ารักษาพยาบาล เฟลคซี่ เฮลท์ แผนโกลด์ แผนเพิ่มเติมผู้ป่วยในแบบเติมเต็ม (GLTH1)</t>
  </si>
  <si>
    <t>บันทึกสลักหลังค่ารักษาพยาบาล เฟลคซี่ เฮลท์ แผนโกลด์ แผนเพิ่มเติมผู้ป่วยนอก (GLTH2)</t>
  </si>
  <si>
    <t>Gold Thailand</t>
  </si>
  <si>
    <t>FHGLTH</t>
  </si>
  <si>
    <t>GLTH1</t>
  </si>
  <si>
    <t>GLTH2</t>
  </si>
  <si>
    <t>สัญญาเพิ่มเติมค่ารักษาพยาบาล เฟลคซี่ เฮลท์ แผนโกลด์ แผนหลักผู้ป่วยในแบบพื้นฐาน (FHGLAS)</t>
  </si>
  <si>
    <t>บันทึกสลักหลังค่ารักษาพยาบาล เฟลคซี่ เฮลท์ แผนโกลด์ แผนเพิ่มเติมผู้ป่วยในแบบเติมเต็ม (GLAS1)</t>
  </si>
  <si>
    <t>บันทึกสลักหลังค่ารักษาพยาบาล เฟลคซี่ เฮลท์ แผนโกลด์ แผนเพิ่มเติมผู้ป่วยนอก (GLAS2)</t>
  </si>
  <si>
    <t>Gold Asia</t>
  </si>
  <si>
    <t>FHGLAS</t>
  </si>
  <si>
    <t>GLAS1</t>
  </si>
  <si>
    <t>GLAS2</t>
  </si>
  <si>
    <t>สัญญาเพิ่มเติมค่ารักษาพยาบาล เฟลคซี่ เฮลท์ แผนไดมอนด์ แผนแพคเกจ (FHDMTH)</t>
  </si>
  <si>
    <t>Diamond Thailand</t>
  </si>
  <si>
    <t>FHDMTH</t>
  </si>
  <si>
    <t>ไดมอนด์ เอเชีย</t>
  </si>
  <si>
    <t>สัญญาเพิ่มเติมค่ารักษาพยาบาล เฟลคซี่ เฮลท์ แผนไดมอนด์ แผนแพคเกจ (FHDMAS)</t>
  </si>
  <si>
    <t>Diamond Asia</t>
  </si>
  <si>
    <t>FHDMAS</t>
  </si>
  <si>
    <t>ไดมอนด์ ทั่วโลกยกเว้นสหรัฐอเมริกา</t>
  </si>
  <si>
    <t>สัญญาเพิ่มเติมค่ารักษาพยาบาล เฟลคซี่ เฮลท์ แผนไดมอนด์ แผนแพคเกจ (FHDMXU)</t>
  </si>
  <si>
    <t>Diamond XU</t>
  </si>
  <si>
    <t>FHDMXU</t>
  </si>
  <si>
    <t>ไดมอนด์ ทั่วโลก</t>
  </si>
  <si>
    <t>สัญญาเพิ่มเติมค่ารักษาพยาบาล เฟลคซี่ เฮลท์ แผนไดมอนด์ แผนแพคเกจ (FHDMWW)</t>
  </si>
  <si>
    <t>Diamond WW</t>
  </si>
  <si>
    <t>FHDMWW</t>
  </si>
  <si>
    <t>แพลทินั่ม ประเทศไทย</t>
  </si>
  <si>
    <t>สัญญาเพิ่มเติมค่ารักษาพยาบาล เฟลคซี่ เฮลท์ แผนแพลทินั่ม แผนแพคเกจ (FHPLTH)</t>
  </si>
  <si>
    <t>Platinum Thailand</t>
  </si>
  <si>
    <t>FHPLTH</t>
  </si>
  <si>
    <t>แพลทินั่ม เอเชีย</t>
  </si>
  <si>
    <t>สัญญาเพิ่มเติมค่ารักษาพยาบาล เฟลคซี่ เฮลท์ แผนแพลทินั่ม แผนแพคเกจ (FHPLAS)</t>
  </si>
  <si>
    <t>Platinum Asia</t>
  </si>
  <si>
    <t>FHPLAS</t>
  </si>
  <si>
    <t>แพลทินั่ม ทั่วโลกยกเว้นสหรัฐอเมริกา</t>
  </si>
  <si>
    <t>สัญญาเพิ่มเติมค่ารักษาพยาบาล เฟลคซี่ เฮลท์ แผนแพลทินั่ม แผนแพคเกจ (FHPLXU)</t>
  </si>
  <si>
    <t>Platinum XU</t>
  </si>
  <si>
    <t>FHPLXU</t>
  </si>
  <si>
    <t>แพลทินั่ม ทั่วโลก</t>
  </si>
  <si>
    <t>สัญญาเพิ่มเติมค่ารักษาพยาบาล เฟลคซี่ เฮลท์ แผนแพลทินั่ม แผนแพคเกจ (FHPLWW)</t>
  </si>
  <si>
    <t>Platinum WW</t>
  </si>
  <si>
    <t>FHPLWW</t>
  </si>
  <si>
    <t>ไดมอนด์ ประเทศไทย</t>
  </si>
  <si>
    <t xml:space="preserve">  - เด็ก (สมาร์ท คิดส์ , โกลด์ คิดส์)  มีให้เลือกเป็น package ดังนั้นเมื่อเลือกตาม drop down list แล้ว ใน module 1,2  จะไม่สามารถเลือกซื้อ/ไม่ซื้อ ได้</t>
  </si>
  <si>
    <t xml:space="preserve">  - ผู้ใหญ่ (สมาร์ท, ซิลเวอร์,โกลด์)  drop down list จะแสดงเฉพาะ core แล้ว module 1,2  จะ default ซื้อ ไว้ ซึ่งสามารถเปลี่ยนเป็น ซื้อ/ไม่ซื้อ ได้</t>
  </si>
  <si>
    <t xml:space="preserve">  - ผู้ใหญ่ (ไดมอนด์, แพลทินั่ม)  drop down list จะแสดงเฉพาะ core แล้ว module 1,2  จะ default "-" ไว้  และไม่สามารถเปลี่ยนเป็น ซื้อ/ไม่ซื้อ ได้</t>
  </si>
  <si>
    <t>Rate Flexi Health</t>
  </si>
  <si>
    <t>At Age</t>
  </si>
  <si>
    <t>Per Mode</t>
  </si>
  <si>
    <t>Total Rider</t>
  </si>
  <si>
    <t>Total Rider
 Per year</t>
  </si>
  <si>
    <t>FHSKTH-M</t>
  </si>
  <si>
    <t>FHSKTH-F</t>
  </si>
  <si>
    <t>FHGKTH-M</t>
  </si>
  <si>
    <t>FHGKTH-F</t>
  </si>
  <si>
    <t>FHSMTH-M</t>
  </si>
  <si>
    <t>FHSMTH-F</t>
  </si>
  <si>
    <t>FHSLTH-M</t>
  </si>
  <si>
    <t>FHSLTH-F</t>
  </si>
  <si>
    <t>FHGLTH-M</t>
  </si>
  <si>
    <t>FHGLTH-F</t>
  </si>
  <si>
    <t>FHGLAS-M</t>
  </si>
  <si>
    <t>FHGLAS-F</t>
  </si>
  <si>
    <t>FHDMTH-M</t>
  </si>
  <si>
    <t>FHDMTH-F</t>
  </si>
  <si>
    <t>FHDMAS-M</t>
  </si>
  <si>
    <t>FHDMAS-F</t>
  </si>
  <si>
    <t>FHDMXU-M</t>
  </si>
  <si>
    <t>FHDMXU-F</t>
  </si>
  <si>
    <t>FHDMWW-M</t>
  </si>
  <si>
    <t>FHDMWW-F</t>
  </si>
  <si>
    <t>FHPLTH-M</t>
  </si>
  <si>
    <t>FHPLTH-F</t>
  </si>
  <si>
    <t>FHPLAS-M</t>
  </si>
  <si>
    <t>FHPLAS-F</t>
  </si>
  <si>
    <t>FHPLXU-M</t>
  </si>
  <si>
    <t>FHPLXU-F</t>
  </si>
  <si>
    <t>FHPLWW-M</t>
  </si>
  <si>
    <t>FHPLWW-F</t>
  </si>
  <si>
    <t>Tax deduction</t>
  </si>
  <si>
    <t>Maturity</t>
  </si>
  <si>
    <t>SA find Premium</t>
  </si>
  <si>
    <t>Occupational Factor</t>
  </si>
  <si>
    <t>No</t>
  </si>
  <si>
    <t>Sex</t>
  </si>
  <si>
    <t>Premium rate</t>
  </si>
  <si>
    <t>A</t>
  </si>
  <si>
    <t>Discount</t>
  </si>
  <si>
    <t>S</t>
  </si>
  <si>
    <t>Premium rate (after Discount)</t>
  </si>
  <si>
    <t>Q</t>
  </si>
  <si>
    <t>Occupational Rate</t>
  </si>
  <si>
    <t>Annual Premium</t>
  </si>
  <si>
    <t>*</t>
  </si>
  <si>
    <t>Mode</t>
  </si>
  <si>
    <t>Mode Premium</t>
  </si>
  <si>
    <t>SKTH1-M</t>
  </si>
  <si>
    <t>SKTH1-F</t>
  </si>
  <si>
    <t>GKTH1-M</t>
  </si>
  <si>
    <t>GKTH1-F</t>
  </si>
  <si>
    <t>SMTH1-M</t>
  </si>
  <si>
    <t>SMTH1-F</t>
  </si>
  <si>
    <t>SLTH1-M</t>
  </si>
  <si>
    <t>SLTH1-F</t>
  </si>
  <si>
    <t>GLTH1-M</t>
  </si>
  <si>
    <t>GLTH1-F</t>
  </si>
  <si>
    <t>GLAS1-M</t>
  </si>
  <si>
    <t>GLAS1-F</t>
  </si>
  <si>
    <t>Module 1</t>
  </si>
  <si>
    <t>Smart Kid</t>
  </si>
  <si>
    <t>SKTH2-M</t>
  </si>
  <si>
    <t>SKTH2-F</t>
  </si>
  <si>
    <t>GKTH2-M</t>
  </si>
  <si>
    <t>GKTH2-F</t>
  </si>
  <si>
    <t>SMTH2-M</t>
  </si>
  <si>
    <t>SMTH2-F</t>
  </si>
  <si>
    <t>SLTH2-M</t>
  </si>
  <si>
    <t>SLTH2-F</t>
  </si>
  <si>
    <t>GLTH2-M</t>
  </si>
  <si>
    <t>GLTH2-F</t>
  </si>
  <si>
    <t>GLAS2-M</t>
  </si>
  <si>
    <t>GLAS2-F</t>
  </si>
  <si>
    <t>Module 2</t>
  </si>
  <si>
    <t>เบี้ยต่อปี</t>
  </si>
  <si>
    <t>Buy Option_2 Controller</t>
  </si>
  <si>
    <t>FWLNP85</t>
  </si>
  <si>
    <t>Tax</t>
  </si>
  <si>
    <t>Remark : Feature Product</t>
  </si>
  <si>
    <t>BasicAdultOver55</t>
  </si>
  <si>
    <t>Total</t>
  </si>
  <si>
    <t>2. เงินค่าเวนคืนกรมธรรม์ประกันภัยที่แสดงไว้ในตารางเป็นจำนวนเงินที่หักเงินจ่ายคืน (ถ้ามี) ออกแล้ว</t>
  </si>
  <si>
    <t xml:space="preserve">** บริษัทฯ ขอสงวนสิทธิ์ไม่ต่ออายุสัญญาเพิ่มเติมนี้ในวันครบรอบปีกรมธรรม์ โดยแจ้งให้ผู้เอาประกันภัยทราบล่วงหน้าเป็นลายลักษณ์อักษรไม่น้อยกว่า 30 วัน </t>
  </si>
  <si>
    <t>Package (Diamond &amp; Platinum Only)</t>
  </si>
  <si>
    <t>Flexi - All (Smart, Silver, Gold, Smart Kids Plan Core + M1 + M2, Gold Kids Plan Core + M1 + M2)</t>
  </si>
  <si>
    <t>Flexi - Core + M1 (Smart, Silver or Gold)</t>
  </si>
  <si>
    <t>Flexi - Core + M2 (Smart, Silver, Gold, Smart Kids Plan Core + M2, Gold Kids Plan Core + M2)</t>
  </si>
  <si>
    <t>Flexi - Core (Smart, Silver, Gold, Smart Kids Plan Core, Gold Kids Plan Core)</t>
  </si>
  <si>
    <t>1. อาณาเขตความคุ้มครอง *</t>
  </si>
  <si>
    <t>2. ผลประโยชน์รวมสูงสุดต่อปี ไม่เกิน *</t>
  </si>
  <si>
    <t>แผน</t>
  </si>
  <si>
    <t>ผลประโยชน์รวมสูงสุดต่อปี *</t>
  </si>
  <si>
    <t>3. ค่ารักษาพยาบาลในฐานะผู้ป่วยใน หรือผู้ป่วยที่รักษาพยาบาลระหว่างวัน จากการบาดเจ็บ หรือการเจ็บป่วย รวมถึงค่ารักษาพยาบาลผู้ป่วยนอกจากอุบัติเหตุฉุกเฉิน (ภายใน 24 ชม.)  ภายใต้เงื่อนไขและข้อยกเว้นของสัญญาเพิ่มเติม *</t>
  </si>
  <si>
    <t>3. แผนหลักผู้ป่วยในแบบพื้นฐาน : ค่ารักษาพยาบาลในฐานะผู้ป่วยใน หรือผู้ป่วยที่รักษาพยาบาลระหว่างวัน กรณีผ่าตัด บาดเจ็บ หรือกรณีเจ็บป่วยด้วยโรคมะเร็ง โรคหัวใจ ภาวะไตวาย ค่ารักษาพยาบาลผู้ป่วยนอกจากอุบัติเหตุฉุกเฉิน (ภายใน 24 ชม.) ค่ารักษาพยาบาลในหอผู้ป่วยวิกฤต และรวมถึงการสูญเสียชีวิตในโรงพยาบาลทุกกรณี (ยกเว้นการสูญเสียชีวิตที่อยู่ภายใต้เงื่อนไขและข้อยกเว้นของสัญญาเพิ่มเติม) *</t>
  </si>
  <si>
    <t>Adult</t>
  </si>
  <si>
    <t>3.1 ค่าห้องพักและค่าอาหารผู้ป่วยต่อวัน สูงสุดไม่เกิน</t>
  </si>
  <si>
    <t>และไม่เกินผลประโยชน์รวมสูงสุดต่อปี</t>
  </si>
  <si>
    <t>3.2 ค่าห้องผู้ป่วยวิกฤต (ICU, CCU) ต่อวัน</t>
  </si>
  <si>
    <t>จ่ายตามจริง ไม่เกินผลประโยชน์รวมสูงสุดต่อปี</t>
  </si>
  <si>
    <t>3.2 ค่าห้องผู้ป่วยวิกฤต (ICU, CCU และ PICU) ต่อวัน</t>
  </si>
  <si>
    <t>3.3 ค่าผ่าตัด</t>
  </si>
  <si>
    <t>3.4 ค่าธรรมเนียมโรงพยาบาล</t>
  </si>
  <si>
    <t>Juvenile</t>
  </si>
  <si>
    <t>3.5 ค่าแพทย์ตรวจรักษาในโรงพยาบาล</t>
  </si>
  <si>
    <t>3.6 ค่ารักษาพยาบาลผู้ป่วยนอกเนื่องจากอุบัติเหตุฉุกเฉิน (ภายใน 24 ชม.)</t>
  </si>
  <si>
    <t xml:space="preserve">3.7 ค่ารักษาพยาบาลในฐานะผู้ป่วยนอกของโรงพยาบาล สำหรับ ค่าล้างไต ค่าเคมีบำบัด </t>
  </si>
  <si>
    <t>3.7 ค่ารักษาพยาบาลในฐานะผู้ป่วยนอกของโรงพยาบาล สำหรับ ค่าล้างไต ค่าเคมีบำบัด</t>
  </si>
  <si>
    <t xml:space="preserve">     และค่ารังสีบำบัด</t>
  </si>
  <si>
    <t>3.8 ค่าศัลยกรรมในช่องปากตามความจำเป็นทางการแพทย์ (ระยะเวลาที่ไม่คุ้มครอง 60 วัน)</t>
  </si>
  <si>
    <t xml:space="preserve">3.9 ค่าตรวจวินิจฉัยทางห้องปฏิบัติการและการตรวจวินิจฉัยทางรังสี 30 วันก่อนเข้ารับการรักษา </t>
  </si>
  <si>
    <t xml:space="preserve">     และ 30 วันหลังจากออกโรงพยาบาลในโรคเดียวกัน รวมถึงค่ารักษาพยาบาลในฐานะ</t>
  </si>
  <si>
    <t xml:space="preserve">     และ 30 วันหลังจากออกโรงพยาบาลในโรคเดียวกัน รวมถึงค่ารักษาพยาบาลในฐานะผู้ป่วยนอก</t>
  </si>
  <si>
    <t xml:space="preserve">     ผู้ป่วยนอกต่อเนื่องจากการรักษาพยาบาลในฐานะผู้ป่วยใน</t>
  </si>
  <si>
    <t>4. ความคุ้มครองเพิ่มเติมค่ารักษาพยาบาลในฐานะผู้ป่วยนอก *</t>
  </si>
  <si>
    <t>4. แผนเพิ่มเติมผู้ป่วยในแบบเติมเต็ม : ความคุ้มครองเพิ่มเติมค่ารักษาพยาบาลในฐานะผู้ป่วยใน หรือผู้ป่วยที่รักษาพยาบาลระหว่างวัน ที่ไม่ได้รับความคุ้มครองภายใต้สัญญาเพิ่มเติมตามผลประโยชน์แผนหลัก *</t>
  </si>
  <si>
    <t>4. แผนเพิ่มเติมผู้ป่วยนอก : ความคุ้มครองเพิ่มเติมค่ารักษาพยาบาลในฐานะผู้ป่วยนอก *</t>
  </si>
  <si>
    <t>4.1 ค่ารักษาพยาบาลทั่วไปในฐานะผู้ป่วยนอก</t>
  </si>
  <si>
    <t>4.1 ค่าห้องพักและค่าอาหารผู้ป่วยต่อวัน สูงสุดไม่เกิน</t>
  </si>
  <si>
    <t xml:space="preserve">4.2 ค่ารักษาโดยการแพทย์ทางเลือก สูงสุดไม่เกิน </t>
  </si>
  <si>
    <t>4.2 ค่าธรรมเนียมโรงพยาบาล</t>
  </si>
  <si>
    <t>4.3 ค่าตรวจรักษาทางทันตกรรม สูงสุดไม่เกิน</t>
  </si>
  <si>
    <t>(ผู้เอาประกันภัยมีส่วนร่วมจ่าย 20%)</t>
  </si>
  <si>
    <t>4.3 ค่าแพทย์ตรวจรักษาในโรงพยาบาล</t>
  </si>
  <si>
    <t xml:space="preserve">4.4 ค่าตรวจวินิจฉัยทางห้องปฏิบัติการและการตรวจวินิจฉัยทางรังสี 30 วันก่อนเข้ารับการรักษา </t>
  </si>
  <si>
    <t>5. ค่ารักษาพยาบาลสำหรับผลประโยชน์อื่น ๆ *</t>
  </si>
  <si>
    <t>5. แผนเพิ่มเติมผู้ป่วยนอก : ความคุ้มครองเพิ่มเติมค่ารักษาพยาบาลในฐานะผู้ป่วยนอก *</t>
  </si>
  <si>
    <t>5.1 ภาวะแทรกซ้อนก่อนและหลังการคลอดบุตร (ระยะเวลาที่ไม่คุ้มครอง 12 เดือน)</t>
  </si>
  <si>
    <t>5.1 ค่ารักษาพยาบาลทั่วไปในฐานะผู้ป่วยนอก</t>
  </si>
  <si>
    <t>5.2 ค่าห้องทารกแรกเกิด</t>
  </si>
  <si>
    <t xml:space="preserve">5.2 ค่ารักษาโดยการแพทย์ทางเลือก สูงสุดไม่เกิน </t>
  </si>
  <si>
    <t xml:space="preserve">5.3 ค่ารักษาพยาบาลสำหรับการตั้งครรภ์และคลอดบุตร </t>
  </si>
  <si>
    <t xml:space="preserve">      (ระยะเวลาที่ไม่คุ้มครอง 12 เดือน) สูงสุดไม่เกิน</t>
  </si>
  <si>
    <t>5.3 ค่าตรวจรักษาทางทันตกรรม สูงสุดไม่เกิน</t>
  </si>
  <si>
    <t>5.4 ค่ารักษาด้านจิตเวช สูงสุดไม่เกิน</t>
  </si>
  <si>
    <t>5.5 ค่าดูแลรักษาสายตา สูงสุดไม่เกิน</t>
  </si>
  <si>
    <t xml:space="preserve">5.6 ค่าตรวจสุขภาพประจำปี (ระยะเวลาที่ไม่คุ้มครอง 12 เดือน) สูงสุดไม่เกิน </t>
  </si>
  <si>
    <t>5.7 ค่าฉีดวัคซีน สูงสุดไม่เกิน</t>
  </si>
  <si>
    <t xml:space="preserve">5.8 ค่ารักษาพยาบาล และการดูแลแบบประคับประคองระยะสุดท้าย </t>
  </si>
  <si>
    <t xml:space="preserve">      (ระยะเวลาที่ไม่คุ้มครอง 12 เดือน) สูงสุดไม่เกิน  (**) </t>
  </si>
  <si>
    <t>นอกอาณาเขตความคุ้มครอง</t>
  </si>
  <si>
    <t>บริษัทจะให้ความคุ้มครองการรักษาพยาบาล
นอกอาณาเขตความคุ้มครองที่ผู้เอาประกันภัยได้เลือกไว้
สำหรับการรักษาพยาบาลกรณีฉุกเฉิน หรือกรณีบาดเจ็บหรือเจ็บป่วยที่เกิดขึ้นกะทันหัน 
(สูงสุด 45 วันต่อการเดินทางครั้งใดครั้งหนึ่งที่อยู่นอกอาณาเขตความคุ้มครอง)</t>
  </si>
  <si>
    <t>ระดับการชดเชยผลประโยชน์ทั้งในและนอกอาณาเขต</t>
  </si>
  <si>
    <t>1. 100% ของค่าใช้จ่ายตามจริงแต่ไม่เกินวงเงินสูงสุด
   สำหรับการรักษาพยาบาลในโรงพยาบาลในกลุ่มเครือข่าย</t>
  </si>
  <si>
    <t>2. 100% ของการประเมินค่าชดเชยแบบเปรียบเทียบค่าใช้จ่ายปรกติวิสัย
   สำหรับการรักษาพยาบาลในโรงพยาบาลนอกกลุ่มเครือข่าย</t>
  </si>
  <si>
    <t>สรุปผลประโยชน์สำหรับสัญญาเพิ่มเติมค่ารักษาพยาบาล เฟลคซี่ เฮลท์</t>
  </si>
  <si>
    <t>ข้อยกเว้นที่สำคัญ* สำหรับแบบประกันสุขภาพ เฟลคซี่ เฮลท์</t>
  </si>
  <si>
    <t xml:space="preserve">- เนื้องอก ถุงน้ำ หรือมะเร็งทุกชนิด  </t>
  </si>
  <si>
    <t>-  ริดสีดวงทวาร</t>
  </si>
  <si>
    <t>- ไส้เลื่อนทุกชนิด</t>
  </si>
  <si>
    <t>- ต้อเนื้อ หรือต้อกระจก</t>
  </si>
  <si>
    <t xml:space="preserve">- การตัดทอนซิล หรืออดีนอยด์ </t>
  </si>
  <si>
    <t>- นิ่วทุกชนิด</t>
  </si>
  <si>
    <t xml:space="preserve">- เส้นเลือดขอดที่ขา </t>
  </si>
  <si>
    <t>- เยื่อบุโพรงมดลูกเจริญผิดที่</t>
  </si>
  <si>
    <t xml:space="preserve">- ค่ารักษาพยาบาลสำหรับภาวะแทรกซ้อนก่อนและหลังการคลอดบุตร </t>
  </si>
  <si>
    <t xml:space="preserve">- ค่ารักษาพยาบาลสำหรับการตั้งครรภ์ และคลอดบุตร </t>
  </si>
  <si>
    <t>- ค่าตรวจสุขภาพประจำปี</t>
  </si>
  <si>
    <t xml:space="preserve">- ค่ารักษาพยาบาล และการดูแลแบบประคับประคองระยะสุดท้าย </t>
  </si>
  <si>
    <t xml:space="preserve">6. โรคเอดส์ หรือ กามโรค หรือโรคติดต่อทางเพศสัมพันธ์
</t>
  </si>
  <si>
    <t>หมายเหตุ * เฉพาะข้อยกเว้นบางรายการ ท่านสามารถศึกษารายละเอียดข้อยกเว้นทั่วไปทั้งหมดได้ที่ www.krungthai-axa.co.th หรือติดต่อเจ้าหน้าที่ธนาคาร</t>
  </si>
  <si>
    <t xml:space="preserve">1. การเจ็บป่วยใด ๆ ที่เกิดขึ้นในระยะเวลา 30 วันนับจากวันที่ทำสัญญาเพิ่มเติมนี้ หรือวันต่ออายุสัญญาเพิ่มเติมนี้ (Reinstatement) ครั้งสุดท้าย </t>
  </si>
  <si>
    <t xml:space="preserve">    แล้วแต่กรณีใดจะเกิดขึ้นหลังสุด หรือ</t>
  </si>
  <si>
    <t xml:space="preserve">3. การเจ็บป่วยดังต่อไปนี้ ที่เกิดขึ้นในระยะเวลา 120 วันนับจากวันทำสัญญาเพิ่มเติมนี้ หรือวันต่ออายุสัญญาเพิ่มเติมนี้ (Reinstatement) ครั้งสุดท้าย </t>
  </si>
  <si>
    <t xml:space="preserve">    แล้วแต่กรณีใดจะเกิดขึ้นหลังสุด</t>
  </si>
  <si>
    <t xml:space="preserve">4. ผลประโยชน์ตามสัญญาเพิ่มเติม (สำหรับ แผนแพลทินั่ม เท่านั้น) ที่เกิดขึ้นในระยะเวลา 12 เดือน ดังต่อไปนี้ นับจากวันทำสัญญาเพิ่มเติมนี้ </t>
  </si>
  <si>
    <t xml:space="preserve">    หรือ วันต่ออายุสัญญาเพิ่มเติมนี้ (Reinstatement) ครั้งสุดท้าย แล้วแต่กรณีใดจะเกิดขึ้นหลังสุด</t>
  </si>
  <si>
    <t xml:space="preserve">2. ผลประโยชน์ตามสัญญาเพิ่มเติมที่เกิดขึ้นในระยะเวลา 60 วัน นับจากวันทำสัญญาเพิ่มเติมนี้ หรือ วันต่ออายุสัญญาเพิ่มเติมนี้ </t>
  </si>
  <si>
    <t xml:space="preserve">    (Reinstatement) ครั้งสุดท้าย แล้วแต่กรณีใดจะเกิดขึ้นหลังสุด สำหรับค่าศัลยกรรมในช่องปากตามความจำเป็นทางการแพทย์</t>
  </si>
  <si>
    <t xml:space="preserve">5. โรคเรื้อรัง การเจ็บป่วยหรือการบาดเจ็บที่ยังมิได้รักษาให้หายก่อนวันทำสัญญาประกันภัย การตรวจรักษาภาวะที่เป็นมาแต่กำเนิด </t>
  </si>
  <si>
    <t xml:space="preserve">    หรือปัญหาด้านพัฒนาการ หรือโรคทางพันธุกรรม</t>
  </si>
  <si>
    <t>ปี
กรมธรรม์
ที่</t>
  </si>
  <si>
    <t>หมายเหตุ 
(*) สัญญาเพิ่มเติมนี้มีระยะเวลาเอาประกันภัย 1 ปี โดยเบี้ยประกันภัยปีต่ออายุของสัญญาเพิ่มเติมนี้ อาจมีการเปลี่ยนแปลงอันเนื่องมาจาก อายุ ขั้นอาชีพ ค่าใช้จ่ายในการรักษาพยาบาลที่สูงขึ้น หรือจากประสบการณ์การจ่ายค่าสินไหมทดแทนโดยรวมของสัญญาเพิ่มเติมนี้ แต่ทั้งนี้ขึ้นอยู่กับเงื่อนไขในกรมธรรม์</t>
  </si>
  <si>
    <t>หมายเหตุ 
(*) สัญญาเพิ่มเติมนี้มีระยะเวลาเอาประกันภัย 1 ปี โดยเบี้ยประกันภัยปีต่ออายุของสัญญาเพิ่มเติมนี้ อาจมีการเปลี่ยนแปลงอันเนื่องมาจาก อายุ ขั้นอาชีพ ค่าใช้จ่ายในการรักษาพยาบาลที่สูงขึ้น หรือจากประสบการณ์การจ่ายค่าสินไหมทดแทนโดยรวมของสัญญาเพิ่มเติมนี้ แต่ทั้งนี้ขึ้นอยู่กับเงื่อนไขในกรมธรรม์
(**) บริษัทฯ จะชดเชยเป็นจำนวน 70% ของค่ารักษาพยาบาล แต่ไม่เกินผลประโยชน์รวมสูงสุดที่กำหนดไว้ในตาราง สำหรับผู้เอาประกันภัยอายุ 1 เดือน - 15 ปี เท่านั้น</t>
  </si>
  <si>
    <t>หมายเหตุ 
(*) สัญญาเพิ่มเติมนี้มีระยะเวลาเอาประกันภัย 1 ปี โดยเบี้ยประกันภัยปีต่ออายุของสัญญาเพิ่มเติมนี้ อาจมีการเปลี่ยนแปลงอันเนื่องมาจาก อายุ ขั้นอาชีพ ค่าใช้จ่ายในการรักษาพยาบาลที่สูงขึ้น หรือจากประสบการณ์การจ่ายค่าสินไหมทดแทนโดยรวมของสัญญาเพิ่มเติมนี้ แต่ทั้งนี้ขึ้นอยู่กับเงื่อนไขในกรมธรรม์
(**) ผลประโยชน์นี้จำกัดใช้ได้ 1 ครั้งในช่วงชีวิตของผู้เอาประกันภัย</t>
  </si>
  <si>
    <t>W85P10S</t>
  </si>
  <si>
    <t>W85P10J</t>
  </si>
  <si>
    <t>*  สัญญาเพิ่มเติมนี้มีระยะเวลาเอาประกันภัย 1 ปี สามารถต่อสัญญาได้ตามระยะเวลาชำระเบี้ยประกันภัยที่ระบุข้างต้น โดยเบี้ยประกันภัยปีต่ออายุของสัญญาเพิ่มเติมนี้ อาจมีการเปลี่ยนแปลงอันเนื่องมาจาก อายุ ขั้นอาชีพ ค่าใช้จ่ายในการรักษาพยาบาลที่สูงขึ้น หรือจากประสบการณ์การจ่ายค่าสินไหมทดแทนโดยรวมของสัญญาเพิ่มเติมนี้ แต่ทั้งนี้ขึ้นอยู่กับเงื่อนไขในกรมธรรม์</t>
  </si>
  <si>
    <r>
      <t xml:space="preserve">1.1  </t>
    </r>
    <r>
      <rPr>
        <b/>
        <u/>
        <sz val="16"/>
        <rFont val="Cordia New"/>
        <family val="2"/>
      </rPr>
      <t>ขั้นที่ 1</t>
    </r>
    <r>
      <rPr>
        <b/>
        <sz val="16"/>
        <rFont val="Cordia New"/>
        <family val="2"/>
      </rPr>
      <t xml:space="preserve">  มะเร็งระยะไม่ลุกลามขั้นต้น หรือมะเร็งผิวหนัง เฉพาะบาเซล เซลและสแควร์มัสเซล</t>
    </r>
  </si>
  <si>
    <t>โทรศัพท์ 0 2044 4000  โทรสาร 0 2044 4032  ศูนย์ลูกค้าสัมพันธ์ โทร. 1159 เปิดให้บริการทุกวัน ตลอด 24 ชั่วโมง    www.krungthai-axa.co.th</t>
  </si>
  <si>
    <r>
      <t xml:space="preserve"> 2.1  </t>
    </r>
    <r>
      <rPr>
        <b/>
        <u/>
        <sz val="16"/>
        <rFont val="Cordia New"/>
        <family val="2"/>
      </rPr>
      <t>ขั้นที่ 1</t>
    </r>
    <r>
      <rPr>
        <b/>
        <sz val="16"/>
        <rFont val="Cordia New"/>
        <family val="2"/>
      </rPr>
      <t xml:space="preserve">  มะเร็งระยะไม่ลุกลามขั้นต้น หรือมะเร็งผิวหนัง เฉพาะบาเซล เซลและสแควร์มัส เซล</t>
    </r>
  </si>
  <si>
    <t>เบี้ยประกันภัยสัญญาเพิ่มเติมในปีต่ออายุที่มีผลบังคับใช้ในปัจจุบันสามารถขอรายละเอียดได้จาก ตัวแทน/นายหน้าประกันชีวิต หรือ เจ้าหน้าที่ธนาคาร 
ผู้เอาประกันภัยอาจบอกเลิกสัญญาเพิ่มเติมนี้เมื่อใดก็ได้ โดยแจ้งบริษัทฯ เป็นลายลักษณ์อักษรล่วงหน้า 30 วันก่อนวันครบรอบปีกรมธรรม์</t>
  </si>
  <si>
    <t>-  สำหรับมะเร็งปากมดลูก หรือ CIN III</t>
  </si>
  <si>
    <r>
      <t>หมายเหตุ</t>
    </r>
    <r>
      <rPr>
        <sz val="12"/>
        <rFont val="Tahoma"/>
        <family val="2"/>
      </rPr>
      <t xml:space="preserve"> :  </t>
    </r>
  </si>
  <si>
    <t>หมายเหตุ * สัญญาเพิ่มเติมนี้มีระยะเวลาเอาประกันภัย 1 ปี โดยเบี้ยประกันภัยปีต่ออายุของสัญญาเพิ่มเติมนี้ อาจมีการเปลี่ยนแปลงอันเนื่องมาจาก อายุ ขั้นอาชีพ ค่าใช้จ่ายในการรักษาพยาบาลที่สูงขึ้น หรือจากประสบการณ์การจ่ายค่าสินไหมทดแทน โดยรวมของสัญญาเพิ่มเติมนี้ แต่ทั้งนี้ขึ้นอยู่กับเงื่อนไขในกรมธรรม์</t>
  </si>
  <si>
    <t xml:space="preserve">กรณีเสียชีวิต และโรคร้ายแรงดังต่อไปนี้ 1. โรคสมองเสื่อมชนิดอัลไซเมอร์ 2. โรคโลหิตจางจากไขกระดูกไม่สร้างเม็ดโลหิต 3. โรคเยื่อหุ้มสมองและไขสันหลังอักเสบจากเชื้อแบคทีเรีย 4. เนื้องอกในสมอง ชนิดที่ไม่ใช่มะเร็ง 5. ตาบอด 6. โรคมะเร็งระยะลุกลาม 7. ไตวายเรื้อรัง  8. ตับวาย 9. ภาวะโคม่า 10. โรคหลอดเลือดหัวใจตีบตันที่ต้องรักษาด้วยการผ่าตัดต่อหลอดเลือด 11. การสูญเสียการได้ยิน 12. สมองอักเสบ 13. โรคปอดระยะสุดท้าย 14. ตับอักเสบระยะอันตราย 15. กล้ามเนื้อหัวใจตายเฉียบพลันจากการขาดเลือด 16. การผ่าตัดเปลี่ยนลิ้นหัวใจ 17. การสูญเสียความสามารถในการพูด 18. แผลไหม้ฉกรรจ์ 19. การผ่าตัดเปลี่ยนอวัยวะหรือปลูกถ่ายไขกระดูก 20. โรคของเซลล์ประสาทควบคุมการเคลื่อนไหว 21. โรคระบบประสาทมัลติเพิล สะเคลอโรสิส 22. โรคกล้ามเนื้อเสื่อม 23. อัมพาตของกล้ามเนื้อแขนหรือขา 24. โรคพาร์กินสัน 25. โรคโปลิโอ 26. โรคแรงดันในหลอดเลือดแดงปอดสูงแบบปฐมภูมิ 27. การสูญเสียอวัยวะโดยการตัด 28. โรคหลอดเลือดสมองแตกหรืออุดตัน 29. การผ่าตัดเส้นเลือดแดงใหญ่เอออร์ต้า 30. ภาวะขั้นสุดท้าย 31. การทุพพลภาพถาวรสิ้นเชิง </t>
  </si>
  <si>
    <t>2. ตัวแทน, นายหน้าประกันชีวิต, ลูกจ้าง, หรือพนักงานบริษัท ได้อธิบายสิทธิประโยชน์และเงื่อนไขความคุ้มครองตามกรมธรรม์อย่างครบถ้วน</t>
  </si>
  <si>
    <t>เบี้ยประกันชีวิต ปีละ</t>
  </si>
  <si>
    <r>
      <t>ขั้นที่ 3</t>
    </r>
    <r>
      <rPr>
        <sz val="14"/>
        <rFont val="Cordia New"/>
        <family val="2"/>
      </rPr>
      <t xml:space="preserve"> ใส่ จำนวนเงินเอาประกันภัย ตามที่ต้องการ</t>
    </r>
  </si>
  <si>
    <r>
      <t>ขั้นที่ 4</t>
    </r>
    <r>
      <rPr>
        <sz val="14"/>
        <rFont val="Cordia New"/>
        <family val="2"/>
      </rPr>
      <t xml:space="preserve"> การเลือกซื้อสัญญาเพิ่มเติม</t>
    </r>
  </si>
  <si>
    <t>(การจ่ายผลประโยชน์ดังกล่าวจะเกิดขึ้นก็ต่อเมื่อวันที่เก็บตัวอย่างชิ้นเนื้อเพื่อนำไปตรวจทางพยาธิวิทยาได้พ้นระยะเวลารอคอย 120 วัน)**</t>
  </si>
  <si>
    <t>(การจ่ายผลประโยชน์ดังกล่าวจะเกิดขึ้นก็ต่อเมื่อวันที่เก็บตัวอย่างชิ้นเนื้อเพื่อนำไปตรวจทางพยาธิวิทยาได้พ้นระยะเวลารอคอย 90 วัน)**</t>
  </si>
  <si>
    <t>(การจ่ายผลประโยชน์ดังกล่าวจะเกิดขึ้นก็ต่อเมื่อวันที่เก็บตัวอย่างชิ้นเนื้อเพื่อนำไปตรวจทางพยาธิวิทยาได้พ้นระยะเวลารอคอย 60 วัน)**</t>
  </si>
  <si>
    <t xml:space="preserve">  (การจ่ายผลประโยชน์ดังกล่าวจะเกิดขึ้นก็ต่อเมื่อวันที่เก็บตัวอย่างชิ้นเนื้อเพื่อนำไปตรวจทางพยาธิวิทยาได้พ้นระยะเวลารอคอย 90 วัน)**</t>
  </si>
  <si>
    <t xml:space="preserve"> (การจ่ายผลประโยชน์ดังกล่าวจะเกิดขึ้นก็ต่อเมื่อวันที่เก็บตัวอย่างชิ้นเนื้อเพื่อนำไปตรวจทางพยาธิวิทยาได้พ้นระยะเวลารอคอย 90 วัน)**</t>
  </si>
  <si>
    <t xml:space="preserve"> (การจ่ายผลประโยชน์ดังกล่าวจะเกิดขึ้นก็ต่อเมื่อวันที่เก็บตัวอย่างชิ้นเนื้อเพื่อนำไปตรวจทางพยาธิวิทยาได้พ้นระยะเวลารอคอย 60 วัน)**</t>
  </si>
  <si>
    <r>
      <t>ขั้นที่ 2</t>
    </r>
    <r>
      <rPr>
        <sz val="14"/>
        <rFont val="Cordia New"/>
        <family val="2"/>
      </rPr>
      <t xml:space="preserve"> ใส่ข้อมูลผู้ขอเอาประกันภัยในช่องสีเขียว</t>
    </r>
  </si>
  <si>
    <r>
      <t>- สำหรับสัญญาเพิ่มเติมอื่นๆ ที่ต้องการซื้อให้ใส่จำนวนเงินเอาประกันภัยในช่องของ "จำนวนเงินเอาประกันภัยที่ต้องการ</t>
    </r>
    <r>
      <rPr>
        <sz val="14"/>
        <rFont val="Cordia New"/>
        <family val="2"/>
      </rPr>
      <t>"</t>
    </r>
  </si>
  <si>
    <r>
      <t>- ในกรณีที่</t>
    </r>
    <r>
      <rPr>
        <u/>
        <sz val="14"/>
        <rFont val="Cordia New"/>
        <family val="2"/>
      </rPr>
      <t>ไม่ต้องการ</t>
    </r>
    <r>
      <rPr>
        <sz val="14"/>
        <rFont val="Cordia New"/>
        <family val="2"/>
      </rPr>
      <t>ซื้อสัญญาเพิ่มเติม จะไม่สามารถใส่เลข "0" ในช่องของจำนวนเงินเอาประกันภัยได้ ท่านจะต้องกดปุ่ม "delete</t>
    </r>
    <r>
      <rPr>
        <sz val="14"/>
        <rFont val="Cordia New"/>
        <family val="2"/>
      </rPr>
      <t>" เท่านั้น เพื่อเป็นช่องว่าง</t>
    </r>
  </si>
  <si>
    <t>Expire of Sales proposal</t>
  </si>
  <si>
    <t>จำนวนงวดต่อปี</t>
  </si>
  <si>
    <t>2. ผลประโยชน์จากสัญญาเพิ่มเติมค่าชดเชยรายวันกรณีเข้ารักษาตัวในโรงพยาบาลเนื่องจากโรคมะเร็ง (HIC)*</t>
  </si>
  <si>
    <t xml:space="preserve">    เพื่อให้กรมธรรม์ประกันชีวิตมีผลคุ้มครองโดยสมบูรณ์และผู้เอาประกันภัยได้รับประโยชน์สูงสุด</t>
  </si>
  <si>
    <t>นำเสนอโดย   .................................................................</t>
  </si>
  <si>
    <t>หมายเหตุ</t>
  </si>
  <si>
    <t>1. ชำระผ่านตัวแทนหรือเคาน์เตอร์ธนาคารกรุงไทย เป็นเงินสด หรือตั๋วแลกเงิน หรือแคชเชียร์เช็ค หรือเช็คสั่งจ่าย “บริษัท กรุงไทย-แอกซ่า ประกันชีวิต จำกัด (มหาชน)” โดยผู้เอาประกันภัยจะได้รับใบรับเงินชั่วคราวงวดแรกทันที หลังจากชำระเงินค่าเบี้ยประกันภัย และใบรับเงินชั่วคราวดังกล่าวจะต้องไม่หมดอายุ</t>
  </si>
  <si>
    <t> ชำระผ่านระบบ Bill payment</t>
  </si>
  <si>
    <t xml:space="preserve">ธนาคารกรุงไทย                                         Comp. Code 6056  </t>
  </si>
  <si>
    <t xml:space="preserve">ธนาคารกรุงศรีอยุธยา                                  เลขที่บัญชี 001-0-15133-6       </t>
  </si>
  <si>
    <t>ธนาคารกสิกรไทย                                      เลขที่บัญชี 709-1-03217-6 </t>
  </si>
  <si>
    <t xml:space="preserve">ธนาคารกรุงเทพ                                         Service code: AXA </t>
  </si>
  <si>
    <t xml:space="preserve">ธนาคารกรุงไทย                                        Comp. Code 6056  </t>
  </si>
  <si>
    <t>ธนาคารกรุงศรีอยุธยา                                 Comp code 41336</t>
  </si>
  <si>
    <t xml:space="preserve">ธนาคารกสิกรไทย                                     รหัสบริษัท 33528 </t>
  </si>
  <si>
    <t xml:space="preserve">ธนาคารกรุงเทพ                                        Comp Code : 24556 </t>
  </si>
  <si>
    <t>ธนาคารไทยพาณิชย์                                  Comp. code 0622</t>
  </si>
  <si>
    <t>7. ชำระทางไปรษณีย์เป็นธนาณัติ ระบุชื่อผู้รับในนาม “บริษัท กรุงไทย-แอกซ่า ประกันชีวิต จำกัด (มหาชน)” และสั่งจ่าย ปณ.นานาเหนือ กรุงเทพฯ</t>
  </si>
  <si>
    <t>ความสมบูรณ์ของสัญญาประกันภัย</t>
  </si>
  <si>
    <t>กรณีที่บริษัทฯ จะไม่คุ้มครอง</t>
  </si>
  <si>
    <t>สิทธิในการเรียกร้องสินไหม</t>
  </si>
  <si>
    <t>ผู้เอาประกันภัยสามารถขอใช้สิทธิในการเรียกร้องสินไหมตามความคุ้มครองในเล่มกรมธรรม์ เช่น การเรียกร้องเงินตามกรมธรรม์ประกันภัย กรณีเสียชีวิตจากโรค, การเรียกร้องเงินตามกรมธรรม์ประกันภัยจากอุบัติเหตุ กรณีไม่เสียชีวิต, การเรียกร้องค่าสินไหมทดแทนกรณีค่ารักษาพยาบาล, การเรียกร้องเงินกรณีกรมธรรม์ประกันภัยครบกำหนดสัญญา เป็นต้น โปรดศึกษารายละเอียดเพิ่มเติมในกรมธรรม์</t>
  </si>
  <si>
    <t>สิทธิในการขอยกเลิกกรมธรรม์ (Free Look Period) และค่าใช้จ่าย</t>
  </si>
  <si>
    <t>หากผู้เอาประกันภัย ประสงค์จะยกเลิกกรมธรรม์นี้ด้วยเหตุผลใดก็ตาม ผู้เอาประกันภัยสามารถส่งคืนกรมธรรม์มายังบริษัทภายใน 15 วัน นับแต่วันที่ได้รับกรมธรรม์จากบริษัทและบริษัทจะคืนเบี้ยประกันภัยที่เหลือจากการหักค่าตรวจสุขภาพตามที่จ่ายจริงและค่าใช้จ่ายของบริษัทฉบับละ 500 บาท ในกรณีที่ผู้เอาประกันภัยได้ใช้สิทธิเรียกร้องค่าสินไหมทดแทนแล้วผู้เอาประกันภัยไม่มีสิทธิ ยกเลิกกรมธรรม์ฉบับนี้</t>
  </si>
  <si>
    <t xml:space="preserve">ระยะเวลาในการจัดส่งกรมธรรม์ </t>
  </si>
  <si>
    <t>บริษัทฯ ใช้ระยะเวลาในการออกกรมธรรม์และการส่งมอบถึงผู้ขอเอาประกันภัยภายใน 15 วันทำการ นับจากวันที่อนุมัติกรมธรรม์ (รวมระยะเวลาในการพิมพ์กรมธรรม์ 3 วันทำการนับจากวันที่อนุมัติกรมธรรม์)</t>
  </si>
  <si>
    <t>ช่องทางการติดต่อสำหรับการเรียกร้องสินไหม หรือการร้องเรียน</t>
  </si>
  <si>
    <t>ผู้เอาประกันภัย ผู้รับประโยชน์ หรือ ทายาทโดยธรรมของผู้เอาประกันภัยที่ประสงค์จะเรียกร้องสินไหมหรือการร้องเรียน ให้ยื่นคำร้องต่อบริษัทได้ ณ สำนักงานใหญ่ หรือ สำนักงานสาขาของบริษัทฯ พร้อมเอกสารหลักฐานที่เกี่ยวข้อง</t>
  </si>
  <si>
    <t>สัญญาเพิ่มเติมการประกันภัยอุบัติเหตุ คุ้มครองการเสียชีวิต และสูญเสียอวัยวะ (AP)</t>
  </si>
  <si>
    <t>สัญญาเพิ่มเติมการประกันภัยอุบัติเหตุ คุ้มครองการเสียชีวิต สูญเสียอวัยวะ และค่ารักษาพยาบาล (ECARE)</t>
  </si>
  <si>
    <t>สัญญาเพิ่มเติมค่ารักษาพยาบาล (พิเศษ) (MEA+)</t>
  </si>
  <si>
    <t>สัญญาเพิ่มเติมเสียชีวิตและโรคร้ายแรง (DCI)</t>
  </si>
  <si>
    <t>ข้อมูลผู้เสนอขาย</t>
  </si>
  <si>
    <t>ชื่อผู้เสนอขาย</t>
  </si>
  <si>
    <t xml:space="preserve">1. ตัวแทน, นายหน้าประกันชีวิต, ลูกจ้าง, หรือพนักงานบริษัท ได้แนะนำตัวพร้อมกับมีการแสดงเอกสารใบอนุญาตตัวแทน/นายหน้าประกันชีวิต </t>
  </si>
  <si>
    <t xml:space="preserve">หมายเหตุ: </t>
  </si>
  <si>
    <r>
      <rPr>
        <b/>
        <sz val="11"/>
        <rFont val="Tahoma"/>
        <family val="2"/>
      </rPr>
      <t>เบี้ยประกันชีวิต</t>
    </r>
    <r>
      <rPr>
        <sz val="11"/>
        <rFont val="Tahoma"/>
        <family val="2"/>
      </rPr>
      <t xml:space="preserve"> เงื่อนไขในการใช้สิทธิลดหย่อนภาษีเงินได้บุคคลธรรมดาสำหรับกรมธรรม์ประกันชีวิตที่ทำหลังปี พ.ศ. 2551 เป็นต้นไปให้เป็นไปตามที่ประกาศอธิบดีกรมสรรพากร ฉบับที่ 172 กำหนด</t>
    </r>
  </si>
  <si>
    <r>
      <rPr>
        <b/>
        <u/>
        <sz val="12"/>
        <rFont val="Cordia New"/>
        <family val="2"/>
      </rPr>
      <t>หมายเหตุ</t>
    </r>
    <r>
      <rPr>
        <b/>
        <sz val="12"/>
        <rFont val="Cordia New"/>
        <family val="2"/>
      </rPr>
      <t>: *  สัญญาเพิ่มเติมนี้มีระยะเวลาเอาประกันภัย 1 ปี โดยเบี้ยประกันภัยปีต่ออายุของสัญญาเพิ่มเติมนี้ อาจมีการเปลี่ยนแปลงอันเนื่องมาจาก อายุ ขั้นอาชีพ ค่าใช้จ่ายในการรักษาพยาบาลที่สูงขึ้น 
                  หรือจากประสบการณ์การจ่ายค่าสินไหมทดแทนโดยรวมของสัญญาเพิ่มเติมนี้ แต่ทั้งนี้ขึ้นอยู่กับเงื่อนไขในกรมธรรม์
               ** นับจากวันเริ่มมีผลคุ้มครองสัญญาเพิ่มเติมนี้ หรือวันต่ออายุสัญญาเพิ่มเติมนี้ (Reinstatement) ครั้งสุดท้ายแล้วแต่กรณีใดจะเกิดขึ้นหลังสุด</t>
    </r>
  </si>
  <si>
    <t>Deductible Amount</t>
  </si>
  <si>
    <t>Premium per mode</t>
  </si>
  <si>
    <t>Premium per year</t>
  </si>
  <si>
    <t>Tax Code</t>
  </si>
  <si>
    <t>Deductible Ratio</t>
  </si>
  <si>
    <t>Life/Retirement</t>
  </si>
  <si>
    <t>Health</t>
  </si>
  <si>
    <t>Non TAX</t>
  </si>
  <si>
    <t>Premium from Fill Info</t>
  </si>
  <si>
    <t>check Diff</t>
  </si>
  <si>
    <t>Product Code</t>
  </si>
  <si>
    <t>Type</t>
  </si>
  <si>
    <t xml:space="preserve">Life </t>
  </si>
  <si>
    <t>Non Tax</t>
  </si>
  <si>
    <t>L</t>
  </si>
  <si>
    <t>H</t>
  </si>
  <si>
    <t>NT</t>
  </si>
  <si>
    <t>Insure Issue Age</t>
  </si>
  <si>
    <t>key</t>
  </si>
  <si>
    <t>Plan Code</t>
  </si>
  <si>
    <t>Min Age</t>
  </si>
  <si>
    <t>Max Age</t>
  </si>
  <si>
    <t>Std / EM</t>
  </si>
  <si>
    <t>Min Occ.Class</t>
  </si>
  <si>
    <t>Max Occ.Class</t>
  </si>
  <si>
    <t>% Life Tax</t>
  </si>
  <si>
    <t>% Health</t>
  </si>
  <si>
    <t>% Non-Tax</t>
  </si>
  <si>
    <t>N/A</t>
  </si>
  <si>
    <t>Insure Gender</t>
  </si>
  <si>
    <t>Times per year</t>
  </si>
  <si>
    <t>Basic can Deductible Life</t>
  </si>
  <si>
    <t>PLB05</t>
  </si>
  <si>
    <t>PLB10</t>
  </si>
  <si>
    <t>Max Life Tax</t>
  </si>
  <si>
    <t>PLB15</t>
  </si>
  <si>
    <t>Max Health Tax</t>
  </si>
  <si>
    <t>PLB20</t>
  </si>
  <si>
    <t>Health Tax is under Life Limit</t>
  </si>
  <si>
    <t xml:space="preserve">1 = Health รวมใน Life </t>
  </si>
  <si>
    <t>WLNP85</t>
  </si>
  <si>
    <t>Max Retirement Tax Deductible</t>
  </si>
  <si>
    <t>WL88J</t>
  </si>
  <si>
    <t>WL88S</t>
  </si>
  <si>
    <t>Life Tax Deductible</t>
  </si>
  <si>
    <t>PWLNP60</t>
  </si>
  <si>
    <t>Retirement Tax Deductible (&gt; 200,000)</t>
  </si>
  <si>
    <t>PWLNP85</t>
  </si>
  <si>
    <t>Total Life Tax Deductible</t>
  </si>
  <si>
    <t>WLNP60L</t>
  </si>
  <si>
    <t>Total Health Tax Deductible</t>
  </si>
  <si>
    <t>WLNP99L</t>
  </si>
  <si>
    <t>ESCI</t>
  </si>
  <si>
    <t>Total Retirement Tax Deductible</t>
  </si>
  <si>
    <t>CR60</t>
  </si>
  <si>
    <t>WPE</t>
  </si>
  <si>
    <t>20P10</t>
  </si>
  <si>
    <t>Flexi Health</t>
  </si>
  <si>
    <t>Factor</t>
  </si>
  <si>
    <t>20P10S</t>
  </si>
  <si>
    <t>MEH</t>
  </si>
  <si>
    <t>25P15</t>
  </si>
  <si>
    <t>MEK</t>
  </si>
  <si>
    <t>25P15S</t>
  </si>
  <si>
    <t>S10P4</t>
  </si>
  <si>
    <t>Std</t>
  </si>
  <si>
    <t>WLCI05</t>
  </si>
  <si>
    <t>WLCI10</t>
  </si>
  <si>
    <t>WLCI15</t>
  </si>
  <si>
    <t>WLCI20</t>
  </si>
  <si>
    <t>1</t>
  </si>
  <si>
    <t>รวมงวดละ</t>
  </si>
  <si>
    <r>
      <t xml:space="preserve">ข้อยกเว้นสัญญาเพิ่มเติมการประกันภัยอุบัติเหตุ คุ้มครองการเสียชีวิต และสูญเสียอวัยวะ (AP) มีทั้งหมด 11 ข้อ เช่น
ไม่คุ้มครองการเสียชีวิตและการสูญเสียอวัยวะ อันเกิดจากสาเหตุดังต่อไปนี้
1.การการฆ่าตัวตายหรือการทำร้ายร่างกายตนเอง 
2.การกระทำขณะอยู่ภายใต้ฤทธิ์สุรา ยาเสพติด หรือสารเสพติดให้โทษจนไม่สามารถครองสติได้ คำว่า “ขณะอยู่ภายใต้ฤทธิ์สุรา” นั้น ในกรณีที่มีการตรวจเลือดให้ถือเกณฑ์มีระดับแอลกอฮอล์ในเลือดตั้งแต่ 150 มิลลิกรัมเปอร์เซ็นต์ ขึ้นไป
3.ขณะที่ผู้เอาประกันภัยเข้าร่วมทะเลาะวิวาท หรือมีส่วนยั่วยุให้เกิดการทะเลาะวิวาท
4.การแท้งลูก
5.ขณะขึ้นหรือลง หรือเป็นผู้ขับขี่ หรืออยู่ในอากาศยานใด ๆ ไม่ว่าจะขับเคลื่อนด้วยตัวของมันเองหรือไม่ก็ตามที่มิได้จดทะเบียนประกอบการบินพาณิชย์
</t>
    </r>
    <r>
      <rPr>
        <i/>
        <sz val="9"/>
        <color theme="1"/>
        <rFont val="Tahoma"/>
        <family val="2"/>
      </rPr>
      <t>หมายเหตุ : สัญญาเพิ่มเติมอุบัติเหตุ (AP) สามารถต่ออายุได้ถึงอายุ 64 ปี ทั้งนี้ต้องไม่เกินระยะเวลาเอาประกันภัยของกรมธรรม์ประกันชีวิตที่สัญญาเพิ่มเติมนี้แนบท้ายอยู่</t>
    </r>
  </si>
  <si>
    <r>
      <t xml:space="preserve">ข้อยกเว้นสัญญาเพิ่มเติมการประกันภัยอุบัติเหตุ คุ้มครองการเสียชีวิต สูญเสียอวัยวะ และค่ารักษาพยาบาล (ECARE) มีทั้งหมด 12 ข้อ เช่น
ไม่คุ้มครองการเสียชีวิต การสูญเสียอวัยวะ การทุพพลภาพ และการรักษาพยาบาล อันเกิดจากสาเหตุดังต่อไปนี้
1.การการฆ่าตัวตายหรือการทำร้ายร่างกายตนเอง 
2.การกระทำขณะอยู่ภายใต้ฤทธิ์สุรา ยาเสพติด หรือสารเสพติดให้โทษจนไม่สามารถครองสติได้ คำว่า “ขณะอยู่ภายใต้ฤทธิ์สุรา” นั้น ในกรณีที่มีการตรวจเลือดให้ถือเกณฑ์มีระดับแอลกอฮอล์ในเลือดตั้งแต่ 150 มิลลิกรัมเปอร์เซ็นต์ ขึ้นไป
3.ขณะที่ผู้เอาประกันภัยเข้าร่วมทะเลาะวิวาท หรือมีส่วนยั่วยุให้เกิดการทะเลาะวิวาท
4.การแท้งลูก
5.ขณะขึ้นหรือลง หรือเป็นผู้ขับขี่ หรืออยู่ในอากาศยานใด ๆ ไม่ว่าจะขับเคลื่อนด้วยตัวของมันเองหรือไม่ก็ตามที่มิได้จดทะเบียนประกอบการบินพาณิชย์
</t>
    </r>
    <r>
      <rPr>
        <i/>
        <sz val="9"/>
        <color theme="1"/>
        <rFont val="Tahoma"/>
        <family val="2"/>
      </rPr>
      <t>หมายเหตุ : สัญญาเพิ่มเติมอุบัติเหตุและค่ารักษาพยาบาล (ECARE) สามารถต่ออายุได้ถึงอายุ 64 ปี ทั้งนี้ต้องไม่เกินระยะเวลาเอาประกันภัยของกรมธรรม์ประกันชีวิตที่สัญญาเพิ่มเติมนี้แนบท้ายอยู่</t>
    </r>
  </si>
  <si>
    <r>
      <t xml:space="preserve">ข้อยกเว้นสัญญาเพิ่มเติมค่ารักษาพยาบาล (พิเศษ) (MEA+)  มีทั้งหมด 17 ข้อ เช่น
สัญญาเพิ่มเติมนี้ไม่คุ้มครองการรักษาพยาบาล หรือความเสียหายที่เกิดจากการบาดเจ็บหรือเจ็บป่วย (รวมทั้งโรคแทรกซ้อน) อาการ หรือภาวะความผิดปกติที่เกิดจาก
1.โรคเรื้อรัง การเจ็บป่วยหรือการบาดเจ็บที่ยังมิได้รักษาให้หายก่อนวันทำสัญญาประกันภัย การตรวจรักษาภาวะที่เป็นมาแต่กำเนิด (Congenital) หรือปัญหาด้านพัฒนาการ หรือโรคทางพันธุกรรม
2.การตรวจรักษาหรือการผ่าตัดเพื่อเสริมสวย หรือการแก้ไขปัญหาผิวพรรณ สิว ฝ้า กระ รังแค ผมร่วง หรือการควบคุมน้ำหนักตัว หรือการผ่าตัดอันมีลักษณะเลือกได้ เว้นแต่เป็นการตกแต่งบาดแผลอันเนื่องมาจากอุบัติเหตุที่ได้รับความคุ้มครอง
3.การตั้งครรภ์ แท้งบุตร ทำแท้ง การคลอดบุตร โรคแทรกซ้อนจากการตั้งครรภ์ การแก้ไขปัญหาการมีบุตรยาก (รวมถึงการสืบวิเคราะห์และการรักษา) การทำหมันหรือการคุมกำเนิด
4.โรคเอดส์ หรือกามโรค หรือโรคติดต่อทางเพศสัมพันธ์
5.การตรวจรักษา หรือการป้องกัน การใช้ยา หรือสารต่างๆ เพื่อการชะลอความเสื่อมของวัย หรือการให้ฮอร์โมนทดแทนในวัยใกล้หมดหรือหมดระดู การเสื่อมสมรรถภาพทางเพศในหญิงหรือชาย การรักษาความผิดปกติทางเพศ และการแปลงเพศ
</t>
    </r>
    <r>
      <rPr>
        <i/>
        <sz val="9"/>
        <color theme="1"/>
        <rFont val="Tahoma"/>
        <family val="2"/>
      </rPr>
      <t>หมายเหตุ : สัญญาเพิ่มเติมค่ารักษาพยาบาล พิเศษ (MEA+) สามารถต่ออายุได้ถึงอายุ 74 ปี ทั้งนี้ต้องไม่เกินระยะเวลาเอาประกันภัยของกรมธรรม์ประกันชีวิตที่สัญญาเพิ่มเติมนี้แนบท้ายอยู่</t>
    </r>
  </si>
  <si>
    <r>
      <t xml:space="preserve">ข้อยกเว้นสัญญาเพิ่มเติมค่าชดเชยรายวัน (MEB) มีทั้งหมด 17 ข้อ เช่น
สัญญาเพิ่มเติมนี้ไม่คุ้มครองการรักษาพยาบาล หรือความเสียหายที่เกิดจากการบาดเจ็บหรือเจ็บป่วย (รวมทั้งโรคแทรกซ้อน) อาการ หรือภาวะความผิดปกติที่เกิดจาก
1.โรคเรื้อรัง การเจ็บป่วยหรือการบาดเจ็บที่ยังมิได้รักษาให้หายก่อนวันทำสัญญาประกันภัย การตรวจรักษาภาวะที่เป็นมาแต่กำเนิด (Congenital) หรือปัญหาด้านพัฒนาการ หรือโรคทางพันธุกรรม
2.การตรวจรักษาหรือการผ่าตัดเพื่อเสริมสวย หรือการแก้ไขปัญหาผิวพรรณ สิว ฝ้า กระ รังแค ผมร่วง หรือการควบคุมน้ำหนักตัว หรือการผ่าตัดอันมีลักษณะเลือกได้ เว้นแต่เป็นการตกแต่งบาดแผลอันเนื่องมาจากอุบัติเหตุที่ได้รับความคุ้มครอง
3.การตั้งครรภ์ แท้งบุตร ทำแท้ง การคลอดบุตร โรคแทรกซ้อนจากการตั้งครรภ์ การแก้ไขปัญหาการมีบุตรยาก (รวมถึงการสืบวิเคราะห์และการรักษา) การทำหมันหรือการคุมกำเนิด
4.โรคเอดส์ หรือกามโรค หรือโรคติดต่อทางเพศสัมพันธ์
5.การตรวจรักษา หรือการป้องกัน การใช้ยา หรือสารต่างๆ เพื่อการชะลอความเสื่อมของวัย หรือการให้ฮอร์โมนทดแทนในวัยใกล้หมดหรือหมดระดู การเสื่อมสมรรถภาพทางเพศในหญิงหรือชาย การรักษาความผิดปกติทางเพศ และการแปลงเพศ
</t>
    </r>
    <r>
      <rPr>
        <i/>
        <sz val="9"/>
        <color theme="1"/>
        <rFont val="Tahoma"/>
        <family val="2"/>
      </rPr>
      <t xml:space="preserve">
หมายเหตุ : สัญญาเพิ่มเติมค่าชดเชยรายวัน (MEB) สามารถต่ออายุได้ถึงอายุ 74 ปี ทั้งนี้ต้องไม่เกินระยะเวลาเอาประกันภัยของกรมธรรม์ประกันชีวิตที่สัญญาเพิ่มเติมนี้แนบท้ายอยู่</t>
    </r>
  </si>
  <si>
    <t>เบี้ยประกันสุขภาพ ปีแรก</t>
  </si>
  <si>
    <t>เบี้ยประกันภัยซึ่งหมายถึงเบี้ยประกันชีวิตหรือเบี้ยประกันสุขภาพขึ้นอยู่กับความคุ้มครองของผู้เอาประกันภัย สามารถนำไปใช้สิทธิลดหย่อนภาษีเงินได้ตามกฎเกณฑ์ของกรมสรรพากร ทั้งนี้ หากผู้เอาประกันภัยไม่ปฎิบัติตามกฎเกณฑ์ของกรมสรรพากร ผู้เอาประกันภัยอาจถูกเรียกคืนภาษี</t>
  </si>
  <si>
    <t>2. ผลประโยชน์การยกเว้นเบี้ยประกันภัยของสัญญาหลัก</t>
  </si>
  <si>
    <t>3. ผลประโยชน์คุ้มครองอุบัติเหตุ สูงสุด</t>
  </si>
  <si>
    <r>
      <t xml:space="preserve">ข้อยกเว้นสัญญาเพิ่มเติมเสียชีวิตและโรคร้ายแรง (DCI) มีทั้งหมด 16 ข้อ เช่น
ไม่คุ้มครองการทุพพลภาพ อันเนื่องมาจากสาเหตุ ดังต่อไปนี้
1.การฆ่าตัวตาย พยายามฆ่าตัวตาย หรือการทำร้ายร่างกายตนเอง
2.ความบกพร่องทางร่างกาย การเจ็บป่วย หรือบาดเจ็บ ที่ผู้เอาประกันภัยทราบอยู่แล้วในขณะที่ ทำสัญญาประกันภัย แต่มิได้แจ้งให้บริษัททราบ
3.การบาดเจ็บที่เกิดขึ้นจากการกระทำของผู้เอาประกันภัย อันเกิดจากหรือสืบเนื่องจากสาเหตุภายใต้เงื่อนไขข้อหนึ่งข้อใดดังต่อไปนี้
    - ขณะอยู่ภายใต้ฤทธิ์สารเสพติด หรือยาเสพติดให้โทษจนไม่สามารถครองสติได้ หรือ
    - ขณะอยู่ภายใต้ฤทธิ์สุรา โดยมีระดับแอลกอฮอล์ในร่างกายขณะตรวจ เทียบเท่ากับระดับแอลกอฮอล์ในเลือดตั้งแต่ 150 มิลลิกรัมเปอร์เซ็นต์ขึ้นไป หรือขณะอยู่ภายใต้ฤทธิ์สุราจนไม่สามารถครองสติได้  ในกรณีที่ไม่มีการตรวจวัดหรือในกรณีที่ไม่สามารถตรวจวัดระดับแอลกอฮอล์ได้
4.การบาดเจ็บขณะที่ผู้เอาประกันภัยปฏิบัติหน้าที่เป็นทหาร ตำรวจ หรืออาสาสมัคร และเข้าปฏิบัติการในสงคราม หรือ ปราบปราม
5.การบาดเจ็บขณะที่ผู้เอาประกันภัยขับขี่หรือปฏิบัติหน้าที่เป็นพนักงานประจำอากาศยานใดๆ 
ไม่คุ้มครองการเจ็บป่วยด้วยโรคร้ายแรง อันเนื่องมาจากสาเหตุ ดังต่อไปนี้
1.การฆ่าตัวตาย หรือการทำร้ายร่างกายตนเอง
2.ความผิดปกติซึ่งแพทย์ยืนยันและมีหลักฐานชัดเจนว่าเกี่ยวข้องกับโรคร้ายแรงหรือโรคร้ายแรงที่เกิดขึ้นก่อนวันเริ่มมีผลคุ้มครองตามสัญญาเพิ่มเติมนี้
3.การติดเชื้อไวรัสภูมิคุ้มกันบกพร่อง (HIV Positive) หรือภาวะของโรคภูมิคุ้มกันบกพร่อง (AIDS) ของผู้เอาประกันภัย
4.ผู้เอาประกันภัยปฏิเสธไม่ยอมรับการรักษา แนะนำ หรือ ปฏิบัติตามคำแนะนำของแพทย์
5.เสพยาเสพติด หรือสุราเกินขนาด
</t>
    </r>
    <r>
      <rPr>
        <i/>
        <sz val="9"/>
        <color theme="1"/>
        <rFont val="Tahoma"/>
        <family val="2"/>
      </rPr>
      <t>หมายเหตุ :  สัญญาเพิ่มเติมคุ้มครองเสียชีวิตและโรคร้ายแรง 31 โรค (DCI) สามารถต่ออายุได้ถึงอายุ 74 ปี ทั้งนี้ต้องไม่เกินระยะเวลาเอาประกันภัยของกรมธรรม์ประกันชีวิตที่สัญญาเพิ่มเติมนี้แนบท้ายอยู่</t>
    </r>
  </si>
  <si>
    <r>
      <t xml:space="preserve">ข้อยกเว้นสัญญาเพิ่มเติมคุ้มครองโรคมะเร็ง (CPR) มีทั้งหมด 10 ข้อ เช่น
ไม่คุ้มครองการเจ็บป่วยด้วยโรคมะเร็ง อันเนื่องมาจากสาเหตุ ดังต่อไปนี้
1.โรคเรื้อรัง การเจ็บป่วยที่ยังมิได้รักษาให้หายก่อนวันเริ่มมีผลคุ้มครอง การตรวจรักษาภาวะที่เป็นมาแต่กำเนิด (Congenital) หรือโรคทางพันธุกรรม
2.การติดเชื้อไวรัสภูมิคุ้มกันบกพร่อง (HIV Positive) หรือภาวะโรคภูมิคุ้มกันบกพร่อง (AIDS) ของผู้เอาประกันภัย
3.ผู้เอาประกันภัยปฏิเสธไม่ยอมรับการรักษา แนะนำ หรือ ปฏิบัติตามคำแนะนำของแพทย์
4.โรคมะเร็งที่มิได้เป็นไปตามคำนิยามของสัญญาเพิ่มเติมนี้
5.การก่อการร้าย
</t>
    </r>
    <r>
      <rPr>
        <i/>
        <sz val="9"/>
        <color theme="1"/>
        <rFont val="Tahoma"/>
        <family val="2"/>
      </rPr>
      <t>หมายเหตุ :  สัญญาเพิ่มเติมคุ้มครองโรคมะเร็ง (CPR) สามารถต่ออายุได้ถึงอายุ 84 ปี ทั้งนี้ต้องไม่เกินระยะเวลาเอาประกันภัยของกรมธรรม์ประกันชีวิตที่สัญญาเพิ่มเติมนี้แนบท้ายอยู่</t>
    </r>
  </si>
  <si>
    <r>
      <t xml:space="preserve">ข้อยกเว้นสัญญาเพิ่มเติมค่าชดเชยรายวันเนื่องจากโรคมะเร็ง (HIC) ) มีทั้งหมด 16 ข้อ เช่น
ไม่คุ้มครองการรักษาพยาบาล หรือความเสียหายที่เกิดจากการบาดเจ็บหรือเจ็บป่วย อันเนื่องมาจากสาเหตุ ดังต่อไปนี้
1.โรคเรื้อรัง การเจ็บป่วยที่ยังมิได้รักษาให้หายก่อนวันทำสัญญาประกันภัย การตรวจรักษาภาวะที่เป็นมาแต่กำเนิด (Congenital) หรือโรคทางพันธุกรรม
2.การติดเชื้อไวรัสภูมิคุ้มกันบกพร่อง (HIV Positive) หรือภาวะโรคภูมิคุ้มกันบกพร่อง (AIDS) ของผู้เอาประกันภัย
3.ผู้เอาประกันภัยปฏิเสธไม่ยอมรับการรักษา แนะนำ หรือ ปฏิบัติตามคำแนะนำของแพทย์
4.โรคมะเร็งที่มิได้เป็นไปตามคำนิยามของสัญญาเพิ่มเติมนี้
5.การตรวจรักษาพยาบาลที่ผู้เอาประกันภัย ซึ่งเป็นแพทย์สั่งให้แก่ตัวเอง รวมทั้งการตรวจรักษาพยาบาลจากแพทย์ ผู้ซึ่งเป็นบิดา มารดา คู่สมรส หรือบุตรของผู้เอาประกันภัย
</t>
    </r>
    <r>
      <rPr>
        <i/>
        <sz val="9"/>
        <color theme="1"/>
        <rFont val="Tahoma"/>
        <family val="2"/>
      </rPr>
      <t>หมายเหตุ :  สัญญาเพิ่มเติมชดเชยรายวัน จากมะเร็ง (HIC) สามารถต่ออายุได้ถึงอายุ 84 ปี ทั้งนี้ต้องไม่เกินระยะเวลาเอาประกันภัยของกรมธรรม์ประกันชีวิตที่สัญญาเพิ่มเติมนี้แนบท้ายอยู่</t>
    </r>
  </si>
  <si>
    <t>MEX</t>
  </si>
  <si>
    <t>1 เดือน - 70 ปี</t>
  </si>
  <si>
    <t>MEX1</t>
  </si>
  <si>
    <t>MEX2</t>
  </si>
  <si>
    <t>MEX3</t>
  </si>
  <si>
    <t>MEX4</t>
  </si>
  <si>
    <t>MEX5</t>
  </si>
  <si>
    <t>Rider Class</t>
  </si>
  <si>
    <t>Rider Eff.</t>
  </si>
  <si>
    <t>F-1200</t>
  </si>
  <si>
    <t>M-1200</t>
  </si>
  <si>
    <t>Check ความคุ้มครอง</t>
  </si>
  <si>
    <t>Insure Age</t>
  </si>
  <si>
    <t>จำนวนสูงสุด</t>
  </si>
  <si>
    <t>ผลประโยชน์สูงสุด</t>
  </si>
  <si>
    <t>(บาท)</t>
  </si>
  <si>
    <t>(วันหรือครั้ง)</t>
  </si>
  <si>
    <t>1.   ผลประโยชน์กรณีผู้ป่วยใน</t>
  </si>
  <si>
    <t>แผน 1200</t>
  </si>
  <si>
    <t>แผน 2200</t>
  </si>
  <si>
    <t>แผน 3200</t>
  </si>
  <si>
    <t>แผน 4200</t>
  </si>
  <si>
    <t>แผน 6200</t>
  </si>
  <si>
    <t xml:space="preserve">65,000
</t>
  </si>
  <si>
    <t xml:space="preserve">100,000
</t>
  </si>
  <si>
    <t>2.   ผลประโยชน์กรณีไม่ต้องเข้าพักรักษาตัวเป็นผู้ป่วยใน</t>
  </si>
  <si>
    <t>การมีส่วนร่วมจ่าย</t>
  </si>
  <si>
    <t>ค่าใช้จ่ายร่วม</t>
  </si>
  <si>
    <t>ตารางผลประโยชน์ (บันทึกสลักหลัง)</t>
  </si>
  <si>
    <t>สัญญาเพิ่มเติมนี้มีระยะเวลาเอาประกันภัย 1 ปี โดยเบี้ยประกันภัยปีต่ออายุของสัญญาเพิ่มเติมนี้ อาจมีการเปลี่ยนแปลงอันเนื่องมาจาก อายุ ขั้นอาชีพ ค่าใช้จ่ายในการรักษาพยาบาลที่สูงขึ้น หรือจากประสบการณ์การจ่ายค่าสินไหมทดแทนโดยรวมของสัญญาเพิ่มเติมนี้ แต่ทั้งนี้ขึ้นอยู่กับเงื่อนไขในกรมธรรม์</t>
  </si>
  <si>
    <t>ข้อยกเว้นทั่วไป</t>
  </si>
  <si>
    <t>หมวดย่อยที่ 2.1 ค่าบริการทางการแพทย์เพื่อการตรวจวินิจฉัย</t>
  </si>
  <si>
    <t>หมวดย่อยที่ 2.2 ค่าบริการทางการแพทย์เพื่อการบำบัดรักษา ค่าบริการโลหิตและส่วนประกอบของโลหิต และค่าบริการทางการพยาบาล</t>
  </si>
  <si>
    <t>หมวดย่อยที่ 2.3 ค่ายา ค่าสารอาหารทางหลอดเลือด และค่าเวชภัณฑ์</t>
  </si>
  <si>
    <t>หมวดย่อยที่ 4.1 ค่าห้องผ่าตัด และค่าห้องทำหัตถการ</t>
  </si>
  <si>
    <t>หมวดย่อยที่ 4.5 ค่ารักษาพยาบาลโดยการผ่าตัดเปลี่ยนอวัยวะ</t>
  </si>
  <si>
    <r>
      <t xml:space="preserve">หมวดที่ 5 </t>
    </r>
    <r>
      <rPr>
        <sz val="10"/>
        <color theme="1"/>
        <rFont val="Cambria"/>
        <family val="2"/>
        <scheme val="major"/>
      </rPr>
      <t>การผ่าตัดใหญ่ที่ไม่ต้องเข้าพักรักษาตัวเป็นผู้ป่วยใน (Day Surgery)</t>
    </r>
  </si>
  <si>
    <r>
      <t>หมวดที่ 15</t>
    </r>
    <r>
      <rPr>
        <sz val="10"/>
        <color theme="1"/>
        <rFont val="Cambria"/>
        <family val="2"/>
        <scheme val="major"/>
      </rPr>
      <t xml:space="preserve"> ผลประโยชน์เพิ่มเติมสำหรับผลประโยชน์ หมวดย่อยที่ 4.3 ของสัญญาเพิ่มเติมค่ารักษาพยาบาล เอ็กซ์ตร้า</t>
    </r>
  </si>
  <si>
    <r>
      <t xml:space="preserve">หมวดที่ 1 </t>
    </r>
    <r>
      <rPr>
        <sz val="10"/>
        <color theme="1"/>
        <rFont val="Cambria"/>
        <family val="2"/>
        <scheme val="major"/>
      </rPr>
      <t>ค่าห้องและค่าอาหาร ค่าบริการในโรงพยาบาล (ผู้ป่วยใน)  ต่อการเข้าพักรักษาตัวเป็นผู้ป่วยในครั้งใดครั้งหนึ่ง</t>
    </r>
    <r>
      <rPr>
        <b/>
        <sz val="10"/>
        <color theme="1"/>
        <rFont val="Cambria"/>
        <family val="2"/>
        <scheme val="major"/>
      </rPr>
      <t xml:space="preserve">
</t>
    </r>
    <r>
      <rPr>
        <sz val="10"/>
        <color theme="1"/>
        <rFont val="Cambria"/>
        <family val="2"/>
        <scheme val="major"/>
      </rPr>
      <t xml:space="preserve">     ในกรณีที่ผู้เอาประกันภัยได้รับการรักษาในห้องผู้ป่วยวิกฤติ (Intensive Care Inpatient Room) จะจ่ายค่าห้องและค่าอาหาร ค่าบริการในโรงพยาบาล (ผู้ป่วยใน) ให้เป็นจำนวน 2 เท่า ของผลประโยชน์สำหรับค่าห้อง และค่าอาหาร ค่าบริการในโรงพยาบาล (ผู้ป่วยใน) ต่อวัน  สูงสุดไม่เกิน 20 วัน</t>
    </r>
  </si>
  <si>
    <r>
      <t xml:space="preserve">หมวดที่ 2 </t>
    </r>
    <r>
      <rPr>
        <sz val="10"/>
        <color theme="1"/>
        <rFont val="Cambria"/>
        <family val="2"/>
        <scheme val="major"/>
      </rPr>
      <t xml:space="preserve"> ค่าบริการทางการแพทย์เพื่อการตรวจวินิจฉัยหรือบำบัดรักษา ค่าบริการโลหิตและส่วนประกอบของโลหิต ค่าบริการทางการพยาบาล ค่ายา ค่าสารอาหารทางหลอดเลือด และค่าเวชภัณฑ์ ต่อการเข้าพักรักษาตัวเป็นผู้ป่วยในครั้งใดครั้งหนึ่ง</t>
    </r>
  </si>
  <si>
    <t xml:space="preserve">หมวดย่อยที่ 2.4 ค่ายาและค่าเวชภัณฑ์สิ้นเปลือง (เวชภัณฑ์ 1) สำหรับกลับบ้าน </t>
  </si>
  <si>
    <t>15 วัน ต่อการเข้าพักรักษาตัวเป็นผู้ป่วยในแต่ละครั้ง</t>
  </si>
  <si>
    <r>
      <t xml:space="preserve">หมวดที่ 3 </t>
    </r>
    <r>
      <rPr>
        <sz val="10"/>
        <color theme="1"/>
        <rFont val="Cambria"/>
        <family val="2"/>
        <scheme val="major"/>
      </rPr>
      <t>ค่าผู้ประกอบวิชาชีพเวชกรรม (แพทย์) ตรวจรักษา ต่อการเข้าพักรักษาตัวเป็นผู้ป่วยในครั้งใดครั้งหนึ่ง</t>
    </r>
  </si>
  <si>
    <r>
      <t xml:space="preserve">หมวดที่ 4 </t>
    </r>
    <r>
      <rPr>
        <sz val="10"/>
        <color theme="1"/>
        <rFont val="Cambria"/>
        <family val="2"/>
        <scheme val="major"/>
      </rPr>
      <t>ค่ารักษาพยาบาลโดยการผ่าตัด (ศัลยกรรม) และหัตถการ ต่อการเข้าพักรักษาตัวเป็นผู้ป่วยในครั้งใดครั้งหนึ่ง</t>
    </r>
  </si>
  <si>
    <t>หมวดย่อยที่ 4.2 ค่ายา ค่าสารอาหารทางหลอดเลือด ค่าเวชภัณฑ์ และค่าอุปกรณ์ การผ่าตัดและหัตถการ</t>
  </si>
  <si>
    <t>หมวดย่อยที่ 4.3 ค่าผู้ประกอบวิชาชีพเวชกรรม ทำศัลยกรรมและหัตถการ สำหรับแพทย์ทำศัลยกรรมและหัตถการ (รวมแพทย์ผู้ช่วยผ่าตัด) (Doctor Fee)</t>
  </si>
  <si>
    <t>หมวดย่อยที่ 4.4 ค่าผู้ประกอบวิชาชีพเวชกรรม วิสัญญีแพทย์ (Doctor Fee)</t>
  </si>
  <si>
    <r>
      <t>หมวดที่ 6</t>
    </r>
    <r>
      <rPr>
        <sz val="10"/>
        <color theme="1"/>
        <rFont val="Cambria"/>
        <family val="2"/>
        <scheme val="major"/>
      </rPr>
      <t xml:space="preserve"> ค่าบริการทางการแพทย์เพื่อตรวจวินิจฉัยที่เกี่ยวข้องโดยตรง ก่อนและหลังการเข้าพักรักษาตัวเป็นผู้ป่วยใน  หรือค่ารักษาพยาบาลผู้ป่วยนอกต่อเนื่องที่เกี่ยวข้องโดยตรง หลังการเข้าพักรักษาตัวเป็นผู้ป่วยใน   ต่อการเข้าพักรักษาตัวเป็นผู้ป่วยในครั้งใดครั้งหนึ่ง</t>
    </r>
  </si>
  <si>
    <t>หมวดย่อยที่ 6.1 ค่าบริการทางการแพทย์ เพื่อการตรวจวินิจฉัยที่เกี่ยวข้องโดยตรง และเกิดขึ้นภายใน 30 วัน ก่อนและหลังการเข้าพักรักษาตัวเป็นผู้ป่วยใน</t>
  </si>
  <si>
    <t>หมวดย่อยที่ 6.2 ค่ารักษาพยาบาลผู้ป่วยนอก หลังการเข้าพักรักษาตัวเป็นผู้ป่วยในต่อครั้ง สำหรับการรักษาพยาบาลต่อเนื่อง ภายใน 30 วัน หลังจากออกจากการเข้าพักรักษาตัวเป็นผู้ป่วยในครั้งนั้น (ไม่รวมค่าบริการทางการแพทย์เพื่อการตรวจวินิจฉัย)</t>
  </si>
  <si>
    <r>
      <t>หมวดที่ 7</t>
    </r>
    <r>
      <rPr>
        <sz val="10"/>
        <color theme="1"/>
        <rFont val="Cambria"/>
        <family val="2"/>
        <scheme val="major"/>
      </rPr>
      <t xml:space="preserve"> ค่ารักษาพยาบาลการบาดเจ็บ กรณีผู้ป่วยนอก ภายใน 24  ชั่วโมง ของการเกิดอุบัติเหตุต่อครั้ง</t>
    </r>
  </si>
  <si>
    <r>
      <t xml:space="preserve">หมวดที่ 8 </t>
    </r>
    <r>
      <rPr>
        <sz val="10"/>
        <color theme="1"/>
        <rFont val="Cambria"/>
        <family val="2"/>
        <scheme val="major"/>
      </rPr>
      <t>ค่าเวชศาสตร์ฟื้นฟู หลังการเข้าพักรักษาตัวเป็นผู้ป่วยในแต่ละครั้ง ต่อรอบปีกรมธรรม์ประกันภัย</t>
    </r>
  </si>
  <si>
    <r>
      <t>หมวดที่ 9</t>
    </r>
    <r>
      <rPr>
        <sz val="10"/>
        <color theme="1"/>
        <rFont val="Cambria"/>
        <family val="2"/>
        <scheme val="major"/>
      </rPr>
      <t xml:space="preserve"> ค่าบริการทางการแพทย์เพื่อการบำบัดรักษาโรคไตวายเรื้อรัง  โดยการล้างไตผ่านทางเส้นเลือด   ต่อรอบปีกรมธรรม์ประกันภัย</t>
    </r>
  </si>
  <si>
    <r>
      <t>หมวดที่ 10</t>
    </r>
    <r>
      <rPr>
        <sz val="10"/>
        <color theme="1"/>
        <rFont val="Cambria"/>
        <family val="2"/>
        <scheme val="major"/>
      </rPr>
      <t xml:space="preserve"> ค่าบริการทางการแพทย์เพื่อการบำบัดรักษาโรคเนื้องอกหรือมะเร็ง  โดยรังสีรักษา รังสีร่วมรักษา เวชศาสตร์นิวเคลียร์รักษา   ต่อรอบปีกรมธรรม์ประกันภัย</t>
    </r>
  </si>
  <si>
    <r>
      <t>หมวดที่ 11</t>
    </r>
    <r>
      <rPr>
        <sz val="10"/>
        <color theme="1"/>
        <rFont val="Cambria"/>
        <family val="2"/>
        <scheme val="major"/>
      </rPr>
      <t xml:space="preserve"> ค่าบริการทางการแพทย์เพื่อการบำบัดรักษาโรคมะเร็ง  โดยเคมีบำบัด ต่อรอบปีกรมธรรม์ประกันภัย</t>
    </r>
  </si>
  <si>
    <r>
      <t>หมวดที่ 12</t>
    </r>
    <r>
      <rPr>
        <sz val="10"/>
        <color theme="1"/>
        <rFont val="Cambria"/>
        <family val="2"/>
        <scheme val="major"/>
      </rPr>
      <t xml:space="preserve"> ค่าบริการรถพยาบาลฉุกเฉิน   ต่อการเข้าพักรักษาตัวเป็นผู้ป่วยในครั้งใดครั้งหนึ่ง</t>
    </r>
  </si>
  <si>
    <r>
      <t>หมวดที่ 13</t>
    </r>
    <r>
      <rPr>
        <sz val="10"/>
        <color theme="1"/>
        <rFont val="Cambria"/>
        <family val="2"/>
        <scheme val="major"/>
      </rPr>
      <t xml:space="preserve"> ค่ารักษาพยาบาล โดยการผ่าตัดเล็ก </t>
    </r>
  </si>
  <si>
    <t>ความรับผิดส่วนแรก</t>
  </si>
  <si>
    <r>
      <t>หมวดที่ 14</t>
    </r>
    <r>
      <rPr>
        <sz val="10"/>
        <color theme="1"/>
        <rFont val="Cambria"/>
        <family val="2"/>
        <scheme val="major"/>
      </rPr>
      <t xml:space="preserve"> ค่าปรึกษาแพทย์เฉพาะทาง  ต่อรอบปีกรมธรรม์ประกันภัย</t>
    </r>
  </si>
  <si>
    <t>1 ครั้งต่อวัน และ
ไม่เกิน 20 ครั้ง ต่อรอบปีกรมธรรม์ประกันภัย</t>
  </si>
  <si>
    <r>
      <rPr>
        <b/>
        <sz val="10"/>
        <color theme="1"/>
        <rFont val="Cambria"/>
        <family val="2"/>
        <scheme val="major"/>
      </rPr>
      <t xml:space="preserve">การให้ส่วนลดเบี้ยประกันภัยในกรณีที่ไม่มีการเรียกร้องค่าสินไหมทดแทน (No Claim Discount)
</t>
    </r>
    <r>
      <rPr>
        <sz val="10"/>
        <color theme="1"/>
        <rFont val="Cambria"/>
        <family val="2"/>
        <scheme val="major"/>
      </rPr>
      <t xml:space="preserve">          บริษัทจะให้ส่วนลดเบี้ยประกันภัยร้อยละ 10 ของเบี้ยประกันภัยปีต่ออายุ (Renewal) สำหรับปีกรมธรรม์ประกันภัย ที่ถัดจากช่วงระยะเวลาที่ใช้พิจารณาสิทธิ (ระยะเวลา 3 ปีกรมธรรม์ประกันภัยติดต่อกัน ก่อนปีกรมธรรม์ประกันภัยถัดไป) ในกรณีที่ไม่มีการเรียกร้องสินไหมทดแทนตามสัญญาเพิ่มเติมนี้ (ไม่รวมถึงการเรียกร้องสินไหมภายใต้ผลประโยชน์หมวดที่ 7) และสัญญาเพิ่มเติมนี้มีผลคุ้มครองต่อเนื่องตลอดช่วงระยะเวลาที่ใช้พิจารณาสิทธิ</t>
    </r>
  </si>
  <si>
    <r>
      <rPr>
        <b/>
        <sz val="10"/>
        <color theme="1"/>
        <rFont val="Cambria"/>
        <family val="2"/>
        <scheme val="major"/>
      </rPr>
      <t xml:space="preserve">ความคุ้มครองการรักษาพยาบาลนอกอาณาเขตความคุ้มครอง
</t>
    </r>
    <r>
      <rPr>
        <sz val="10"/>
        <color theme="1"/>
        <rFont val="Cambria"/>
        <family val="2"/>
        <scheme val="major"/>
      </rPr>
      <t xml:space="preserve">          บริษัทจะให้ความคุ้มครองการรักษาพยาบาลเฉพาะการรักษาพยาบาลฉุกเฉินที่เกิดขึ้นภายใน 90 วัน นับตั้งแต่วันเดินทางเท่านั้น โดยบริษัทจะให้ความคุ้มครองการรักษาพยาบาลดังกล่าวสูงสุดไม่เกินวันที่ 90 นับตั้งแต่วันเดินทาง  </t>
    </r>
  </si>
  <si>
    <t>*** สัญญาเพิ่มเติมนี้ จะต่ออายุเมื่อครบรอบปีกรมธรรม์ประกันภัย  เว้นแต่กรณีใดกรณีหนึ่งดังต่อไปนี้ บริษัทจะสงวนสิทธิ์ไม่ต่ออายุสัญญาเพิ่มเติม
1.  ในกรณีที่มีหลักฐานว่าผู้เอาประกันภัยไม่แถลงข้อความจริงตามใบคำขอเอาประกันภัย หรือคำขอต่ออายุ (Reinstatement) ใบแถลงสุขภาพ และข้อแถลงเพิ่มเติมอื่นใดที่เกี่ยวข้องกับการทำสัญญาเพิ่มเติมการประกันภัยสุขภาพ   ซึ่งเป็นสาระสำคัญที่อาจทำให้บริษัทเรียกเบี้ยประกันภัยสูงขึ้น หรือบอกปัดไม่รับทำสัญญา หรือรับประกันภัยแบบมีเงื่อนไข
2.  ผู้เอาประกันภัยเรียกร้องผลประโยชน์จากการที่ตนให้มีการรักษาการบาดเจ็บหรือการป่วยโดยไม่มีความจำเป็นทางการแพทย์
3.  ผู้เอาประกันภัยเรียกร้องผลประโยชน์ค่าชดเชยจากการนอนพักรักษาตัวในโรงพยาบาล รวมกันทุกบริษัทเกินกว่ารายได้ที่แท้จริง
การไม่ต่ออายุสัญญาเพิ่มเติมนี้ด้วยเหตุข้างต้น บริษัทจะแจ้งให้ผู้เอาประกันภัยทราบล่วงหน้าเป็นลายลักษณ์อักษรไม่น้อยกว่า 30 วัน</t>
  </si>
  <si>
    <t>เงื่อนไขที่สำคัญ และข้อยกเว้นสำหรับสัญญาเพิ่มเติมค่ารักษาพยาบาล เอ็กซ์ตร้า (MEX)</t>
  </si>
  <si>
    <t>เงื่อนไขที่สำคัญ กรณีที่บริษัทจะไม่คุ้มครอง เนื่องจาก</t>
  </si>
  <si>
    <t xml:space="preserve">1. การป่วยที่เกิดขึ้นในระยะเวลาที่ไม่คุ้มครอง (Waiting Period) 30 วัน นับแต่วันเริ่มมีผลคุ้มครองตามสัญญาเพิ่มเติมนี้ </t>
  </si>
  <si>
    <t xml:space="preserve">2. การป่วยดังต่อไปนี้ ที่เกิดขึ้นในระยะเวลาที่ไม่คุ้มครอง (Waiting Period) 120 วัน นับแต่วันเริ่มมีผลคุ้มครองตามสัญญาเพิ่มเติมนี้ </t>
  </si>
  <si>
    <t xml:space="preserve"> -  เนื้องอก ถุงน้ำ หรือมะเร็งทุกชนิด                  </t>
  </si>
  <si>
    <t>-  ต้อเนื้อ หรือต้อกระจก</t>
  </si>
  <si>
    <t xml:space="preserve"> -  การตัดทอนซิล หรืออดีนอยด์                       </t>
  </si>
  <si>
    <t>-  นิ่วทุกชนิด</t>
  </si>
  <si>
    <t>-  เยื่อบุโพรงมดลูกเจริญผิดที่</t>
  </si>
  <si>
    <t>     (1) ผู้เอาประกันภัยได้แถลงให้บริษัททราบ และบริษัทยินยอมรับความเสี่ยงภัย โดยไม่มีเงื่อนไขยกเว้นความคุ้มครองดังกล่าว   หรือ</t>
  </si>
  <si>
    <t xml:space="preserve">     (2) โรคเรื้อรัง การบาดเจ็บ หรือการป่วย (รวมถึงภาวะแทรกซ้อน) นั้น ไม่ปรากฏอาการ ไม่ได้รับการตรวจรักษาหรือวินิจฉัยโดยแพทย์ </t>
  </si>
  <si>
    <t xml:space="preserve">หรือไม่ได้พบหรือปรึกษาแพทย์ ในระยะ 5 ปี ก่อนวันที่สัญญาเพิ่มเติมเริ่มมีผลคุ้มครองเป็นครั้งแรก และในช่วงเวลา 3 ปี </t>
  </si>
  <si>
    <t>ตั้งแต่วันที่สัญญาเพิ่มเติมนี้เริ่มมีผลคุ้มครองเป็นครั้งแรก</t>
  </si>
  <si>
    <t xml:space="preserve">3. ชำระผ่านเคาน์เตอร์ของธนาคารกรุงไทย ธนาคารกรุงเทพ ธนาคารกรุงศรีอยุธยา ธนาคารกสิกรไทย ธนาคารทหารไทยธนชาต ธนาคารเพื่อการเกษตรและสหกรณ์การเกษตร ทุกสาขาทั่วประเทศไทย ผ่านระบบ Bill payment โดยระบุชื่อบัญชี “บริษัท กรุงไทย-แอกซ่า ประกันชีวิต จำกัด (มหาชน)” และแจ้ง Comp.code หรือ Service code  โดยใช้แบบฟอร์มใบนำฝากของธนาคาร, “ใบรับชำระค่าสาธารณูปโภคและค่าบริการ”, หรือแบบฟอร์มใบนำฝากแบบพิเศษของบริษัทฯ เท่านั้น </t>
  </si>
  <si>
    <t>4. ชำระโดยการโอนเงินผ่านตู้ ATM ของธนาคารกรุงไทย ธนาคารกรุงเทพ ธนาคารกรุงศรีอยุธยา ธนาคารไทยพาณิชย์ ธนาคารกสิกรไทย 
ธนาคารทหารไทยธนชาต ทั่วประเทศ</t>
  </si>
  <si>
    <t xml:space="preserve">ธนาคารทหารไทยธนชาต                            Comp Code : 0668       </t>
  </si>
  <si>
    <t>5. ชำระโดยการโอนเงินผ่านโมบายแอปพลิเคชันของธนาคารกรุงไทย ธนาคารกรุงเทพ ธนาคารกรุงศรีอยุธยา ธนาคารไทยพาณิชย์ ธนาคารกสิกรไทย ธนาคารทหารไทยธนชาต  อ้างอิง Comp. code หรือ รหัสบริษัท ตามข้อ 4</t>
  </si>
  <si>
    <t xml:space="preserve">5. ข้าพเจ้ารับทราบและเข้าใจว่า ข้าพเจ้ามีความสามารถในการชำระเบี้ยประกันภัยได้ตรงตามกำหนดทุกงวด ตลอดระยะเวลาชำระเบี้ยประกันภัยที่ระบุในเอกสารนี้ </t>
  </si>
  <si>
    <t xml:space="preserve">บริษัทจะไม่จ่ายผลประโยชน์ตามสัญญาเพิ่มเติมนี้  สำหรับโรคเรื้อรัง การบาดเจ็บ หรือการป่วย (รวมถึงภาวะแทรกซ้อน)  </t>
  </si>
  <si>
    <t>ที่ยังมิได้รักษาให้หายก่อนวันที่สัญญาเพิ่มเติมนี้เริ่มมีผลคุ้มครองเป็นครั้งแรก เว้นแต่</t>
  </si>
  <si>
    <t>3.  สภาพที่เป็นมาก่อนการเอาประกันภัย (Pre-existing Condition)</t>
  </si>
  <si>
    <t>7. ผลประโยชน์คุ้มครองเสียชีวิตและโรคร้ายแรง (31 โรค และกรณีเสียชีวิต)</t>
  </si>
  <si>
    <t>9. ผลประโยชน์คุ้มครองโรคมะเร็ง</t>
  </si>
  <si>
    <t>Password</t>
  </si>
  <si>
    <t>di6'wmp</t>
  </si>
  <si>
    <t>Broker Name  :</t>
  </si>
  <si>
    <t>Check password</t>
  </si>
  <si>
    <t xml:space="preserve">LOGIN </t>
  </si>
  <si>
    <t>Username     :</t>
  </si>
  <si>
    <t>Password      :</t>
  </si>
  <si>
    <t>6-10 : 500</t>
  </si>
  <si>
    <t>11-15 : 500 1000</t>
  </si>
  <si>
    <t>16 up : 500 1000 2000 3000 4000 5000</t>
  </si>
  <si>
    <t>0-10 : 1200 2200 3200</t>
  </si>
  <si>
    <t>11 up : 1200 2200 3200 4200 6200</t>
  </si>
  <si>
    <t>MEX Rule (Effective Jan'2022)</t>
  </si>
  <si>
    <t>MEB Rule (Effective Jan'2022)</t>
  </si>
  <si>
    <t>iHealthy Ultra</t>
  </si>
  <si>
    <t>ความคุ้มครอง</t>
  </si>
  <si>
    <t>MHP</t>
  </si>
  <si>
    <t>Plan_Eng</t>
  </si>
  <si>
    <t>TH Product Name</t>
  </si>
  <si>
    <t>Select &gt;&gt;</t>
  </si>
  <si>
    <t>PLATINUM</t>
  </si>
  <si>
    <t>Platinum</t>
  </si>
  <si>
    <t>MHP1J</t>
  </si>
  <si>
    <t>ไอเฮลท์ตี้ อัลตร้า (แผนสมาร์ท)</t>
  </si>
  <si>
    <t>DIAMOND</t>
  </si>
  <si>
    <t>Diamond</t>
  </si>
  <si>
    <t>MHP1S</t>
  </si>
  <si>
    <t>Check select plan correct?</t>
  </si>
  <si>
    <t>GOLD</t>
  </si>
  <si>
    <t>Gold</t>
  </si>
  <si>
    <t>MHP2J</t>
  </si>
  <si>
    <t>ไอเฮลท์ตี้ อัลตร้า (แผนบรอนซ์)</t>
  </si>
  <si>
    <t>บรอนซ์</t>
  </si>
  <si>
    <t>SILVER</t>
  </si>
  <si>
    <t>MHP2S</t>
  </si>
  <si>
    <t>BRONZE</t>
  </si>
  <si>
    <t>Bronze</t>
  </si>
  <si>
    <t>MHP3S</t>
  </si>
  <si>
    <t>ไอเฮลท์ตี้ อัลตร้า (แผนซิลเวอร์)</t>
  </si>
  <si>
    <t>SMART</t>
  </si>
  <si>
    <t>MHP4S</t>
  </si>
  <si>
    <t>ไอเฮลท์ตี้ อัลตร้า (แผนโกลด์)</t>
  </si>
  <si>
    <t>for Drop Down List  &gt;&gt;</t>
  </si>
  <si>
    <t>MHP5S</t>
  </si>
  <si>
    <t>ไอเฮลท์ตี้ อัลตร้า (แผนไดมอนด์)</t>
  </si>
  <si>
    <t>MHP5SA</t>
  </si>
  <si>
    <t>ไอเฮลท์ตี้ อัลตร้า (แผนไดมอนด์) เอเชีย</t>
  </si>
  <si>
    <t>MHP5SW</t>
  </si>
  <si>
    <t>ไอเฮลท์ตี้ อัลตร้า (แผนไดมอนด์) ทั่วโลก</t>
  </si>
  <si>
    <t>MHP6S</t>
  </si>
  <si>
    <t>ไอเฮลท์ตี้ อัลตร้า (แผนแพลทินั่ม)</t>
  </si>
  <si>
    <t>MHP6SA</t>
  </si>
  <si>
    <t>ไอเฮลท์ตี้ อัลตร้า (แผนแพลทินั่ม) เอเชีย</t>
  </si>
  <si>
    <t>MHP6SW</t>
  </si>
  <si>
    <t>ไอเฮลท์ตี้ อัลตร้า (แผนแพลทินั่ม) ทั่วโลก</t>
  </si>
  <si>
    <t>Check</t>
  </si>
  <si>
    <t>W</t>
  </si>
  <si>
    <t>แผนไอเฮลท์ตี้ อัลตร้า</t>
  </si>
  <si>
    <t xml:space="preserve">  </t>
  </si>
  <si>
    <t>Cover</t>
  </si>
  <si>
    <t>Key</t>
  </si>
  <si>
    <t>Premium</t>
  </si>
  <si>
    <t>MHP1J-F</t>
  </si>
  <si>
    <t>MHP1S-F</t>
  </si>
  <si>
    <t>MHP2J-F</t>
  </si>
  <si>
    <t>MHP2S-F</t>
  </si>
  <si>
    <t>MHP3S-F</t>
  </si>
  <si>
    <t>MHP4S-F</t>
  </si>
  <si>
    <t>MHP5S-F</t>
  </si>
  <si>
    <t>MHP5SA-F</t>
  </si>
  <si>
    <t>MHP5SW-F</t>
  </si>
  <si>
    <t>MHP6S-F</t>
  </si>
  <si>
    <t>MHP6SA-F</t>
  </si>
  <si>
    <t>MHP6SW-F</t>
  </si>
  <si>
    <t>MHP1J-M</t>
  </si>
  <si>
    <t>MHP1S-M</t>
  </si>
  <si>
    <t>MHP2J-M</t>
  </si>
  <si>
    <t>MHP2S-M</t>
  </si>
  <si>
    <t>MHP3S-M</t>
  </si>
  <si>
    <t>MHP4S-M</t>
  </si>
  <si>
    <t>MHP5S-M</t>
  </si>
  <si>
    <t>MHP5SA-M</t>
  </si>
  <si>
    <t>MHP5SW-M</t>
  </si>
  <si>
    <t>MHP6S-M</t>
  </si>
  <si>
    <t>MHP6SA-M</t>
  </si>
  <si>
    <t>MHP6SW-M</t>
  </si>
  <si>
    <t>Plan code</t>
  </si>
  <si>
    <t>MHP5SA </t>
  </si>
  <si>
    <t>Class</t>
  </si>
  <si>
    <t xml:space="preserve"> (สำหรับแผนสมาร์ท) agt 6-10</t>
  </si>
  <si>
    <t xml:space="preserve"> (สำหรับแผนบรอนซ์) agt 6-10</t>
  </si>
  <si>
    <t xml:space="preserve"> (สำหรับแผนสมาร์ท) agt 11-80</t>
  </si>
  <si>
    <t xml:space="preserve"> (สำหรับแผนบรอนซ์) agt 11-80</t>
  </si>
  <si>
    <t xml:space="preserve"> (สำหรับแผนซิลเวอร์) agt 11-80</t>
  </si>
  <si>
    <t xml:space="preserve"> (สำหรับแผนโกลด์) agt 11-80</t>
  </si>
  <si>
    <t xml:space="preserve"> (สำหรับแผนไดมอนด์) agt 11-80</t>
  </si>
  <si>
    <t xml:space="preserve"> (สำหรับแผนแพลทินั่ม) agt 11-80</t>
  </si>
  <si>
    <t>ผลประโยชน์
(บาท)</t>
  </si>
  <si>
    <t>จำนวนสูงสุด
(วันหรือครั้ง)</t>
  </si>
  <si>
    <t>ผลประโยชน์สูงสุด
(บาท)</t>
  </si>
  <si>
    <r>
      <t xml:space="preserve">หมวดที่ 1  </t>
    </r>
    <r>
      <rPr>
        <sz val="10"/>
        <rFont val="Cambria"/>
        <family val="2"/>
        <scheme val="major"/>
      </rPr>
      <t>ค่าห้องและค่าอาหาร ค่าบริการในโรงพยาบาล (ผู้ป่วยใน)  ต่อรอบปีกรมธรรม์ประกันภัย</t>
    </r>
    <r>
      <rPr>
        <b/>
        <sz val="10"/>
        <rFont val="Cambria"/>
        <family val="2"/>
        <scheme val="major"/>
      </rPr>
      <t xml:space="preserve">
</t>
    </r>
    <r>
      <rPr>
        <sz val="10"/>
        <rFont val="Cambria"/>
        <family val="2"/>
        <scheme val="major"/>
      </rPr>
      <t xml:space="preserve">           ในกรณีที่ผู้เอาประกันภัยได้รับการรักษาในห้องผู้ป่วยวิกฤติ (Intensive Care Inpatient Room) จะจ่ายค่าห้องและค่าอาหาร ค่าบริการในโรงพยาบาล (ผู้ป่วยใน)   ตามที่จ่ายจริง</t>
    </r>
  </si>
  <si>
    <r>
      <t>1,500</t>
    </r>
    <r>
      <rPr>
        <sz val="10"/>
        <rFont val="Cambria"/>
        <family val="2"/>
        <scheme val="major"/>
      </rPr>
      <t xml:space="preserve"> ต่อวัน</t>
    </r>
  </si>
  <si>
    <r>
      <t>3,000,000</t>
    </r>
    <r>
      <rPr>
        <sz val="10"/>
        <rFont val="Cambria"/>
        <family val="2"/>
        <scheme val="major"/>
      </rPr>
      <t xml:space="preserve"> ต่อรอบปีกรมธรรม์ประกันภัย </t>
    </r>
    <r>
      <rPr>
        <i/>
        <sz val="10"/>
        <rFont val="Cambria"/>
        <family val="2"/>
        <scheme val="major"/>
      </rPr>
      <t>(นับรวมผลประโยชน์จากสัญญาเพิ่มเติม และบันทึกสลักหลังที่แนบท้ายสัญญาเพิ่มเติมนี้)</t>
    </r>
  </si>
  <si>
    <r>
      <t>3,000</t>
    </r>
    <r>
      <rPr>
        <sz val="10"/>
        <rFont val="Cambria"/>
        <family val="2"/>
        <scheme val="major"/>
      </rPr>
      <t xml:space="preserve"> ต่อวัน</t>
    </r>
  </si>
  <si>
    <r>
      <t>10,000,000</t>
    </r>
    <r>
      <rPr>
        <sz val="10"/>
        <rFont val="Cambria"/>
        <family val="2"/>
        <scheme val="major"/>
      </rPr>
      <t xml:space="preserve"> ต่อรอบปีกรมธรรม์ประกันภัย </t>
    </r>
    <r>
      <rPr>
        <i/>
        <sz val="10"/>
        <rFont val="Cambria"/>
        <family val="2"/>
        <scheme val="major"/>
      </rPr>
      <t>(นับรวมผลประโยชน์จากสัญญาเพิ่มเติม และบันทึกสลักหลังที่แนบท้ายสัญญาเพิ่มเติมนี้)</t>
    </r>
  </si>
  <si>
    <r>
      <t>5,500</t>
    </r>
    <r>
      <rPr>
        <sz val="10"/>
        <rFont val="Cambria"/>
        <family val="2"/>
        <scheme val="major"/>
      </rPr>
      <t xml:space="preserve"> ต่อวัน</t>
    </r>
  </si>
  <si>
    <r>
      <t>15,000,000</t>
    </r>
    <r>
      <rPr>
        <sz val="10"/>
        <rFont val="Cambria"/>
        <family val="2"/>
        <scheme val="major"/>
      </rPr>
      <t xml:space="preserve"> ต่อรอบปีกรมธรรม์ประกันภัย </t>
    </r>
    <r>
      <rPr>
        <i/>
        <sz val="10"/>
        <rFont val="Cambria"/>
        <family val="2"/>
        <scheme val="major"/>
      </rPr>
      <t>(นับรวมผลประโยชน์จากสัญญาเพิ่มเติม และบันทึกสลักหลังที่แนบท้ายสัญญาเพิ่มเติมนี้)</t>
    </r>
  </si>
  <si>
    <r>
      <t>9,000</t>
    </r>
    <r>
      <rPr>
        <sz val="10"/>
        <rFont val="Cambria"/>
        <family val="2"/>
        <scheme val="major"/>
      </rPr>
      <t xml:space="preserve"> ต่อวัน</t>
    </r>
  </si>
  <si>
    <r>
      <t>25,000,000</t>
    </r>
    <r>
      <rPr>
        <sz val="10"/>
        <rFont val="Cambria"/>
        <family val="2"/>
        <scheme val="major"/>
      </rPr>
      <t xml:space="preserve"> ต่อรอบปีกรมธรรม์ประกันภัย </t>
    </r>
    <r>
      <rPr>
        <i/>
        <sz val="10"/>
        <rFont val="Cambria"/>
        <family val="2"/>
        <scheme val="major"/>
      </rPr>
      <t>(นับรวมผลประโยชน์จากสัญญาเพิ่มเติม และบันทึกสลักหลังที่แนบท้ายสัญญาเพิ่มเติมนี้)</t>
    </r>
  </si>
  <si>
    <r>
      <t>15,000</t>
    </r>
    <r>
      <rPr>
        <sz val="10"/>
        <rFont val="Cambria"/>
        <family val="2"/>
        <scheme val="major"/>
      </rPr>
      <t xml:space="preserve"> ต่อวัน</t>
    </r>
  </si>
  <si>
    <r>
      <t>70,000,000</t>
    </r>
    <r>
      <rPr>
        <sz val="10"/>
        <rFont val="Cambria"/>
        <family val="2"/>
        <scheme val="major"/>
      </rPr>
      <t xml:space="preserve"> ต่อรอบปีกรมธรรม์ประกันภัย </t>
    </r>
    <r>
      <rPr>
        <i/>
        <sz val="10"/>
        <rFont val="Cambria"/>
        <family val="2"/>
        <scheme val="major"/>
      </rPr>
      <t>(นับรวมผลประโยชน์จากสัญญาเพิ่มเติม และบันทึกสลักหลังที่แนบท้ายสัญญาเพิ่มเติมนี้)</t>
    </r>
  </si>
  <si>
    <r>
      <t>21,000</t>
    </r>
    <r>
      <rPr>
        <sz val="10"/>
        <rFont val="Cambria"/>
        <family val="2"/>
        <scheme val="major"/>
      </rPr>
      <t xml:space="preserve"> ต่อวัน</t>
    </r>
  </si>
  <si>
    <r>
      <t>100,000,000</t>
    </r>
    <r>
      <rPr>
        <sz val="10"/>
        <rFont val="Cambria"/>
        <family val="2"/>
        <scheme val="major"/>
      </rPr>
      <t xml:space="preserve"> ต่อรอบปีกรมธรรม์ประกันภัย </t>
    </r>
    <r>
      <rPr>
        <i/>
        <sz val="10"/>
        <rFont val="Cambria"/>
        <family val="2"/>
        <scheme val="major"/>
      </rPr>
      <t>(นับรวมผลประโยชน์จากสัญญาเพิ่มเติม และบันทึกสลักหลังที่แนบท้ายสัญญาเพิ่มเติมนี้)</t>
    </r>
  </si>
  <si>
    <r>
      <t xml:space="preserve">หมวดที่ 2  </t>
    </r>
    <r>
      <rPr>
        <sz val="10"/>
        <rFont val="Cambria"/>
        <family val="2"/>
        <scheme val="major"/>
      </rPr>
      <t>ค่าบริการทางการแพทย์เพื่อการตรวจวินิจฉัยหรือบำบัดรักษา ค่าบริการโลหิตและส่วนประกอบของโลหิต ค่าบริการทางการพยาบาล ค่ายา ค่าสารอาหารทางหลอดเลือด และค่าเวชภัณฑ์   ต่อรอบปีกรมธรรม์ประกันภัย</t>
    </r>
  </si>
  <si>
    <t>หมวดย่อยที่ 2.1  ค่าบริการทางการแพทย์เพื่อการตรวจวินิจฉัย</t>
  </si>
  <si>
    <t>ตามที่จ่ายจริง</t>
  </si>
  <si>
    <t>หมวดย่อยที่ 2.2  ค่าบริการทางการแพทย์เพื่อการบำบัดรักษา ค่าบริการโลหิตและส่วนประกอบของโลหิต และค่าบริการทางการพยาบาล</t>
  </si>
  <si>
    <t>หมวดย่อยที่ 2.3  ค่ายา ค่าสารอาหารทางหลอดเลือด และค่าเวชภัณฑ์</t>
  </si>
  <si>
    <t xml:space="preserve">หมวดย่อยที่ 2.4  ค่ายาและค่าเวชภัณฑ์สิ้นเปลือง (เวชภัณฑ์ 1) สำหรับกลับบ้าน </t>
  </si>
  <si>
    <r>
      <t xml:space="preserve">หมวดที่ 3  </t>
    </r>
    <r>
      <rPr>
        <sz val="10"/>
        <rFont val="Cambria"/>
        <family val="2"/>
        <scheme val="major"/>
      </rPr>
      <t>ค่าผู้ประกอบวิชาชีพเวชกรรม (แพทย์) ตรวจรักษา  ต่อรอบปีกรมธรรม์ประกันภัย</t>
    </r>
  </si>
  <si>
    <t>1,000 ต่อวัน*/
ตามที่จ่ายจริง</t>
  </si>
  <si>
    <t>3,000 ต่อวัน*/
ตามที่จ่ายจริง</t>
  </si>
  <si>
    <r>
      <t xml:space="preserve">หมวดที่ 4  </t>
    </r>
    <r>
      <rPr>
        <sz val="10"/>
        <rFont val="Cambria"/>
        <family val="2"/>
        <scheme val="major"/>
      </rPr>
      <t>ค่ารักษาพยาบาลโดยการผ่าตัด (ศัลยกรรม) และหัตถการ   ต่อรอบปีกรมธรรม์ประกันภัย</t>
    </r>
  </si>
  <si>
    <t>หมวดย่อยที่ 4.1  ค่าห้องผ่าตัด และค่าห้องทำหัตถการ</t>
  </si>
  <si>
    <t>หมวดย่อยที่ 4.2  ค่ายา ค่าสารอาหารทางหลอดเลือด ค่าเวชภัณฑ์ และค่าอุปกรณ์การผ่าตัดและหัตถการ</t>
  </si>
  <si>
    <t xml:space="preserve">หมวดย่อยที่ 4.3   ค่าผู้ประกอบวิชาชีพเวชกรรม ทำศัลยกรรมและหัตถการ สำหรับแพทย์ทำศัลยกรรมและหัตถการ (รวมแพทย์ผู้ช่วยผ่าตัด) (Doctor fee) </t>
  </si>
  <si>
    <t xml:space="preserve">หมวดย่อยที่ 4.4  ค่าผู้ประกอบวิชาชีพเวชกรรม วิสัญญีแพทย์ (Doctor fee) </t>
  </si>
  <si>
    <t>หมวดย่อยที่ 4.5  ค่ารักษาพยาบาลโดยการผ่าตัดเปลี่ยนอวัยวะ</t>
  </si>
  <si>
    <r>
      <t xml:space="preserve">หมวดที่ 5  </t>
    </r>
    <r>
      <rPr>
        <sz val="10"/>
        <rFont val="Cambria"/>
        <family val="2"/>
        <scheme val="major"/>
      </rPr>
      <t>การผ่าตัดใหญ่ที่ไม่ต้องเข้าพักรักษาตัวเป็นผู้ป่วยใน (Day Surgery)</t>
    </r>
  </si>
  <si>
    <r>
      <t>หมวดที่ 6</t>
    </r>
    <r>
      <rPr>
        <sz val="10"/>
        <rFont val="Cambria"/>
        <family val="2"/>
        <scheme val="major"/>
      </rPr>
      <t xml:space="preserve">   ค่าบริการทางการแพทย์เพื่อตรวจวินิจฉัยที่เกี่ยวข้องโดยตรง ก่อนและหลังการเข้าพักรักษาตัวเป็นผู้ป่วยใน  หรือค่ารักษาพยาบาลผู้ป่วยนอกต่อเนื่องที่เกี่ยวข้องโดยตรงหลังการเข้าพักรักษาตัวเป็นผู้ป่วยใน ต่อรอบปีกรมธรรม์ประกันภัย</t>
    </r>
  </si>
  <si>
    <t>หมวดย่อยที่ 6.1  ค่าบริการทางการแพทย์ เพื่อการตรวจวินิจฉัยที่เกี่ยวข้องโดยตรง   และเกิดขึ้นภายใน 30 วัน ก่อนและหลังการเข้าพักรักษาตัวเป็นผู้ป่วยใน</t>
  </si>
  <si>
    <t>หมวดย่อยที่ 6.2  ค่ารักษาพยาบาลผู้ป่วยนอก หลังการเข้าพักรักษาตัวเป็นผู้ป่วยในต่อครั้ง   สำหรับการรักษาพยาบาลต่อเนื่อง ภายใน 30 วัน หลังจากออกจากการเข้าพักรักษาตัวเป็นผู้ป่วยในครั้งนั้น (ไม่รวมค่าบริการทางการแพทย์เพื่อการตรวจวินิจฉัย)</t>
  </si>
  <si>
    <t>2 ครั้ง  ต่อการเข้าพักรักษาตัวเป็นผู้ป่วยในแต่ละครั้ง</t>
  </si>
  <si>
    <r>
      <t xml:space="preserve">หมวดที่ 7  </t>
    </r>
    <r>
      <rPr>
        <sz val="10"/>
        <rFont val="Cambria"/>
        <family val="2"/>
        <scheme val="major"/>
      </rPr>
      <t>ค่ารักษาพยาบาลการบาดเจ็บ กรณีผู้ป่วยนอก ภายใน 24  ชั่วโมง ของการเกิดอุบัติเหตุต่อครั้ง</t>
    </r>
  </si>
  <si>
    <r>
      <t xml:space="preserve">หมวดที่ 8  </t>
    </r>
    <r>
      <rPr>
        <sz val="10"/>
        <rFont val="Cambria"/>
        <family val="2"/>
        <scheme val="major"/>
      </rPr>
      <t>ค่าเวชศาสตร์ฟื้นฟู หลังการเข้าพักรักษาตัวเป็นผู้ป่วยในแต่ละครั้ง ต่อรอบปีกรมธรรม์ประกันภัย</t>
    </r>
  </si>
  <si>
    <r>
      <t xml:space="preserve">หมวดที่ 9  </t>
    </r>
    <r>
      <rPr>
        <sz val="10"/>
        <rFont val="Cambria"/>
        <family val="2"/>
        <scheme val="major"/>
      </rPr>
      <t>ค่าบริการทางการแพทย์เพื่อการบำบัดรักษาโรคไตวายเรื้อรัง  โดยการล้างไตผ่านทางเส้นเลือด ต่อรอบปีกรมธรรม์ประกันภัย</t>
    </r>
  </si>
  <si>
    <r>
      <t xml:space="preserve">หมวดที่ 10  </t>
    </r>
    <r>
      <rPr>
        <sz val="10"/>
        <rFont val="Cambria"/>
        <family val="2"/>
        <scheme val="major"/>
      </rPr>
      <t>ค่าบริการทางการแพทย์เพื่อการบำบัดรักษาโรคเนื้องอกหรือมะเร็ง  โดยรังสีรักษา รังสีร่วมรักษา เวชศาสตร์นิวเคลียร์รักษา ต่อรอบปีกรมธรรม์ประกันภัย</t>
    </r>
  </si>
  <si>
    <r>
      <t xml:space="preserve">หมวดที่ 11  </t>
    </r>
    <r>
      <rPr>
        <sz val="10"/>
        <rFont val="Cambria"/>
        <family val="2"/>
        <scheme val="major"/>
      </rPr>
      <t>ค่าบริการทางการแพทย์เพื่อการบำบัดรักษาโรคมะเร็ง  โดยเคมีบำบัด ต่อรอบปีกรมธรรม์ประกันภัย</t>
    </r>
  </si>
  <si>
    <r>
      <t>หมวดที่ 12</t>
    </r>
    <r>
      <rPr>
        <sz val="10"/>
        <rFont val="Cambria"/>
        <family val="2"/>
        <scheme val="major"/>
      </rPr>
      <t xml:space="preserve">  ค่าบริการรถพยาบาลฉุกเฉิน</t>
    </r>
  </si>
  <si>
    <r>
      <t xml:space="preserve">หมวดที่ 13  </t>
    </r>
    <r>
      <rPr>
        <sz val="10"/>
        <rFont val="Cambria"/>
        <family val="2"/>
        <scheme val="major"/>
      </rPr>
      <t>ค่ารักษาพยาบาล โดยการผ่าตัดเล็ก</t>
    </r>
  </si>
  <si>
    <t xml:space="preserve">ความรับผิดส่วนแรก </t>
  </si>
  <si>
    <t xml:space="preserve"> (สำหรับแผนสมาร์ท)</t>
  </si>
  <si>
    <t xml:space="preserve"> (สำหรับบรอนซ์)</t>
  </si>
  <si>
    <t xml:space="preserve"> (สำหรับแผนซิลเวอร์)</t>
  </si>
  <si>
    <t>(สำหรับแผนโกลด์)</t>
  </si>
  <si>
    <t xml:space="preserve"> (สำหรับแผนไดมอนด์)</t>
  </si>
  <si>
    <t>(สำหรับแผนแพลทินั่ม)</t>
  </si>
  <si>
    <r>
      <t>หมวดที่ 14</t>
    </r>
    <r>
      <rPr>
        <sz val="10"/>
        <rFont val="Cambria"/>
        <family val="2"/>
        <scheme val="major"/>
      </rPr>
      <t xml:space="preserve">   ค่าพยาบาลพิเศษในโรงพยาบาล และ/หรือ ที่บ้าน หลังการเข้าพักรักษาตัวเป็นผู้ป่วยใน</t>
    </r>
  </si>
  <si>
    <r>
      <t xml:space="preserve">15,000,000 ต่อรอบปีกรมธรรม์ประกันภัย  </t>
    </r>
    <r>
      <rPr>
        <i/>
        <sz val="10"/>
        <rFont val="Cambria"/>
        <family val="2"/>
        <scheme val="major"/>
      </rPr>
      <t>(นับรวมผลประโยชน์จากบันทึกสลักหลังและสัญญาเพิ่มเติม ซึ่งบันทึกสลักหลังนี้แนบท้ายอยู่)</t>
    </r>
  </si>
  <si>
    <r>
      <t xml:space="preserve">25,000,000 ต่อรอบปีกรมธรรม์ประกันภัย  </t>
    </r>
    <r>
      <rPr>
        <i/>
        <sz val="10"/>
        <rFont val="Cambria"/>
        <family val="2"/>
        <scheme val="major"/>
      </rPr>
      <t>(นับรวมผลประโยชน์จากบันทึกสลักหลังและสัญญาเพิ่มเติม ซึ่งบันทึกสลักหลังนี้แนบท้ายอยู่)</t>
    </r>
  </si>
  <si>
    <r>
      <t xml:space="preserve">70,000,000 ต่อรอบปีกรมธรรม์ประกันภัย  </t>
    </r>
    <r>
      <rPr>
        <i/>
        <sz val="10"/>
        <rFont val="Cambria"/>
        <family val="2"/>
        <scheme val="major"/>
      </rPr>
      <t>(นับรวมผลประโยชน์จากบันทึกสลักหลังและสัญญาเพิ่มเติม ซึ่งบันทึกสลักหลังนี้แนบท้ายอยู่)</t>
    </r>
  </si>
  <si>
    <r>
      <t xml:space="preserve">100,000,000 ต่อรอบปีกรมธรรม์ประกันภัย  </t>
    </r>
    <r>
      <rPr>
        <i/>
        <sz val="10"/>
        <rFont val="Cambria"/>
        <family val="2"/>
        <scheme val="major"/>
      </rPr>
      <t>(นับรวมผลประโยชน์จากบันทึกสลักหลังและสัญญาเพิ่มเติม ซึ่งบันทึกสลักหลังนี้แนบท้ายอยู่)</t>
    </r>
  </si>
  <si>
    <r>
      <t>หมวดที่ 15</t>
    </r>
    <r>
      <rPr>
        <sz val="10"/>
        <rFont val="Cambria"/>
        <family val="2"/>
        <scheme val="major"/>
      </rPr>
      <t xml:space="preserve">   ค่าทันตกรรมเนื่องจากอุบัติเหตุ (ภายใน 7 วัน)</t>
    </r>
  </si>
  <si>
    <r>
      <t>หมวดที่ 16</t>
    </r>
    <r>
      <rPr>
        <sz val="10"/>
        <rFont val="Cambria"/>
        <family val="2"/>
        <scheme val="major"/>
      </rPr>
      <t xml:space="preserve">   ค่าศัลยกรรมในช่องปาก</t>
    </r>
  </si>
  <si>
    <r>
      <t>หมวดที่ 17</t>
    </r>
    <r>
      <rPr>
        <sz val="10"/>
        <rFont val="Cambria"/>
        <family val="2"/>
        <scheme val="major"/>
      </rPr>
      <t xml:space="preserve">   ภาวะแทรกซ้อนก่อนและหลังการคลอดบุตร (12MWP)</t>
    </r>
  </si>
  <si>
    <r>
      <t>หมวดที่ 18</t>
    </r>
    <r>
      <rPr>
        <sz val="10"/>
        <rFont val="Cambria"/>
        <family val="2"/>
        <scheme val="major"/>
      </rPr>
      <t xml:space="preserve">   ค่าปรึกษาแพทย์และยารวมถึงใบสั่งยาสำหรับผู้ป่วยนอก ต่อรอบปีกรมธรรม์ประกันภัย</t>
    </r>
  </si>
  <si>
    <r>
      <t>หมวดที่ 19</t>
    </r>
    <r>
      <rPr>
        <sz val="10"/>
        <rFont val="Cambria"/>
        <family val="2"/>
        <scheme val="major"/>
      </rPr>
      <t xml:space="preserve">   ค่ากายภาพบำบัดสำหรับผู้ป่วยนอกต่อรอบปีกรมธรรม์ประกันภัย</t>
    </r>
  </si>
  <si>
    <r>
      <t xml:space="preserve">หมวดที่ 20   </t>
    </r>
    <r>
      <rPr>
        <sz val="10"/>
        <rFont val="Cambria"/>
        <family val="2"/>
        <scheme val="major"/>
      </rPr>
      <t>ค่าหออภิบาลทารกแรกเกิด</t>
    </r>
  </si>
  <si>
    <r>
      <t xml:space="preserve">หมวดที่ 21   </t>
    </r>
    <r>
      <rPr>
        <sz val="10"/>
        <rFont val="Cambria"/>
        <family val="2"/>
        <scheme val="major"/>
      </rPr>
      <t>ค่ารักษาโดยแพทย์ทางเลือก ต่อรอบปีกรมธรรม์ประกันภัย</t>
    </r>
  </si>
  <si>
    <r>
      <t xml:space="preserve">หมวดที่ 22   </t>
    </r>
    <r>
      <rPr>
        <sz val="10"/>
        <rFont val="Cambria"/>
        <family val="2"/>
        <scheme val="major"/>
      </rPr>
      <t>ค่าตรวจรักษาทางทันตกรรม** ต่อรอบปีกรมธรรม์ประกันภัย</t>
    </r>
  </si>
  <si>
    <r>
      <t xml:space="preserve">หมวดที่ 23   </t>
    </r>
    <r>
      <rPr>
        <sz val="10"/>
        <rFont val="Cambria"/>
        <family val="2"/>
        <scheme val="major"/>
      </rPr>
      <t>ค่ารักษาด้านจิตเวช สำหรับกรณีผู้ป่วยในและผู้ป่วยนอก  ต่อรอบปีกรมธรรม์ประกันภัย</t>
    </r>
  </si>
  <si>
    <r>
      <t xml:space="preserve">หมวดที่ 24   </t>
    </r>
    <r>
      <rPr>
        <sz val="10"/>
        <rFont val="Cambria"/>
        <family val="2"/>
        <scheme val="major"/>
      </rPr>
      <t>ค่ารักษาพยาบาลสำหรับการตั้งครรภ์และคลอดบุตร  (12MWP) ต่อรอบปีกรมธรรม์ประกันภัย</t>
    </r>
  </si>
  <si>
    <r>
      <t xml:space="preserve">หมวดที่ 25   </t>
    </r>
    <r>
      <rPr>
        <sz val="10"/>
        <rFont val="Cambria"/>
        <family val="2"/>
        <scheme val="major"/>
      </rPr>
      <t>ค่าดูแลรักษาสายตา ต่อรอบปีกรมธรรม์ประกันภัย</t>
    </r>
    <r>
      <rPr>
        <b/>
        <sz val="10"/>
        <rFont val="Cambria"/>
        <family val="2"/>
        <scheme val="major"/>
      </rPr>
      <t xml:space="preserve">  </t>
    </r>
  </si>
  <si>
    <r>
      <t xml:space="preserve">หมวดที่ 26   </t>
    </r>
    <r>
      <rPr>
        <sz val="10"/>
        <rFont val="Cambria"/>
        <family val="2"/>
        <scheme val="major"/>
      </rPr>
      <t>ค่าตรวจสุขภาพประจำปี (12MWP) ต่อรอบปีกรมธรรม์ประกันภัย</t>
    </r>
  </si>
  <si>
    <r>
      <t xml:space="preserve">หมวดที่ 27   </t>
    </r>
    <r>
      <rPr>
        <sz val="10"/>
        <rFont val="Cambria"/>
        <family val="2"/>
        <scheme val="major"/>
      </rPr>
      <t>ค่าฉีดวัคซีน ต่อรอบปีกรมธรรม์ประกันภัย</t>
    </r>
  </si>
  <si>
    <r>
      <rPr>
        <b/>
        <sz val="10"/>
        <rFont val="Cambria"/>
        <family val="2"/>
        <scheme val="major"/>
      </rPr>
      <t xml:space="preserve">หมวดที่ 28   </t>
    </r>
    <r>
      <rPr>
        <sz val="10"/>
        <rFont val="Cambria"/>
        <family val="2"/>
        <scheme val="major"/>
      </rPr>
      <t>ค่ารักษาพยาบาล และการดูแลแบบประคับประคอง  ระยะสุดท้าย ต่อรอบปีกรมธรรม์ประกันภัย*** (12MWP)</t>
    </r>
  </si>
  <si>
    <r>
      <t xml:space="preserve">การให้ส่วนลดเบี้ยประกันภัยในกรณีที่ไม่มีการเรียกร้องค่าสินไหมทดแทน (No Claim Discount)
</t>
    </r>
    <r>
      <rPr>
        <sz val="10"/>
        <color theme="1"/>
        <rFont val="Cambria"/>
        <family val="1"/>
        <scheme val="major"/>
      </rPr>
      <t xml:space="preserve">          </t>
    </r>
    <r>
      <rPr>
        <sz val="10"/>
        <color theme="1"/>
        <rFont val="Cambria"/>
        <family val="2"/>
        <scheme val="major"/>
      </rPr>
      <t>บริษัทจะให้ส่วนลดเบี้ยประกันภัยร้อยละ 10 ของเบี้ยประกันภัยปีต่ออายุ (Renewal) สำหรับปีกรมธรรม์ประกันภัย ที่ถัดจากช่วงระยะเวลาที่ใช้พิจารณาสิทธิ (ระยะเวลา 3 ปีกรมธรรม์ประกันภัย ติดต่อกัน ก่อนปีกรมธรรม์ประกันภัยถัดไป) ในกรณีที่ไม่มีการเรียกร้องสินไหมทดแทนตามสัญญาเพิ่มเติมนี้ และสัญญาเพิ่มเติมนี้มีผลคุ้มครองต่อเนื่องตลอดช่วงระยะเวลาที่ใช้พิจารณาสิทธิ (ข้อกำหนดและเงื่อนไขเป็นไปตามที่ระบุไว้ในบันทึกสลักหลัง)</t>
    </r>
  </si>
  <si>
    <r>
      <t xml:space="preserve">ความคุ้มครองการรักษาพยาบาลนอกอาณาเขตความคุ้มครอง </t>
    </r>
    <r>
      <rPr>
        <sz val="10"/>
        <color theme="1"/>
        <rFont val="Cambria"/>
        <family val="2"/>
        <scheme val="major"/>
      </rPr>
      <t xml:space="preserve">   
          บริษัทจะให้ความคุ้มครองการรักษาพยาบาลเฉพาะการรักษาพยาบาลฉุกเฉินที่เกิดขึ้นภายใน 90 วันนับตั้งแต่วันเดินทางเท่านั้น โดยบริษัท จะให้ความคุ้มครองการรักษาพยาบาลดังกล่าว สูงสุดไม่เกินวันที่ 90 นับตั้งแต่วันเดินทาง </t>
    </r>
  </si>
  <si>
    <t>การจ่ายผลประโยชน์ของสัญญาเพิ่มเติมนี้ และผลประโยชน์ในหมวดอื่นใดของบันทึกสลักหลังที่แนบท้ายสัญญาเพิ่มเติมนี้ รวมกันแล้วต้องไม่เกินผลประโยชน์สูงสุดต่อรอบปีกรมธรรม์ประกันภัย</t>
  </si>
  <si>
    <t>อาณาเขตความคุ้มครองเอเชีย หมายถึง คุ้มครองประเทศในภูมิภาคเอเชีย โดยคุ้มครองครอบคลุมในประเทศดังต่อไปนี้ อัฟกานิสถาน  บังคลาเทศ ภูฏาน บรูไนดารุสซาลาม กัมพูชา จีน ฮ่องกง อินเดีย อินโดนีเซีย ญี่ปุ่น คาซัคสถาน คีร์กิซสถาน ลาว มาเก๊า มาเลเซีย มัลดีฟ มองโกเลีย พม่า เนปาล เกาหลีเหนือ ปากีสถาน ฟิลิปปินส์ สิงคโปร์ เกาหลีใต้ ศรีลังกา ไต้หวัน ทาจิกิสถาน ไทย ติมอร์ตะวันออก เติร์กเมนิสถาน อุเบกิสถาน เวียดนาม</t>
  </si>
  <si>
    <r>
      <t xml:space="preserve">6. ผลประโยชน์ค่าชดเชยรายวันกรณีเข้ารักษาตัวในโรงพยาบาล* </t>
    </r>
    <r>
      <rPr>
        <sz val="11"/>
        <color indexed="12"/>
        <rFont val="Tahoma"/>
        <family val="2"/>
      </rPr>
      <t>จำนวนวันสูงสุด (6.1+6.2+6.3) ไม่เกิน 365 วัน</t>
    </r>
  </si>
  <si>
    <t>6.1 ค่าชดเชยรายวัน (สูงสุด 365 วัน)</t>
  </si>
  <si>
    <t>6.2 กรณีเข้ารักษาพยาบาลในห้องไอซียู (I.C.U.) (สูงสุด 15 วันต่อการรักษาพยาบาล)</t>
  </si>
  <si>
    <t>6.3 กรณีผ่าตัดและหัตถการ (สูงสุด 5 วัน  / การรักษาพยาบาล และสูงสุด 15 วันต่อปีกรมธรรม์)</t>
  </si>
  <si>
    <t>7. ผลประโยชน์คุ้มครองเสียชีวิตและโรคร้ายแรง (31 โรคและกรณีเสียชีวิต)*</t>
  </si>
  <si>
    <t>4. ผลประโยชน์ค่ารักษาพยาบาล ไอเฮลท์ตี้ อัลตร้า</t>
  </si>
  <si>
    <t>5. ผลประโยชน์ค่ารักษาพยาบาล เอ็กซ์ตร้า (ค่าห้องและค่าอาหาร ค่าบริการในโรงพยาบาล)</t>
  </si>
  <si>
    <r>
      <t xml:space="preserve">ท่านสามารถนำเบี้ยประกันภัยมาหักลดหย่อนภาษีได้ตามที่จ่ายจริง </t>
    </r>
    <r>
      <rPr>
        <b/>
        <sz val="11"/>
        <rFont val="Tahoma"/>
        <family val="2"/>
      </rPr>
      <t>แต่ไม่เกินจำนวนสูงสุดตามที่กรมสรรพากรกำหนด</t>
    </r>
  </si>
  <si>
    <r>
      <rPr>
        <b/>
        <sz val="11"/>
        <rFont val="Tahoma"/>
        <family val="2"/>
      </rPr>
      <t>เบี้ยประกันสุขภาพ</t>
    </r>
    <r>
      <rPr>
        <sz val="11"/>
        <rFont val="Tahoma"/>
        <family val="2"/>
      </rPr>
      <t xml:space="preserve"> ตามประกาศอธิบดีกรมสรรพากร สำหรับอ้างอิงการใช้สิทธิหักลดหย่อนภาษีเงินได้บุคคลธรรมดา โดยเป็นไปตามเงื่อนไขข้อกำหนดของกรมสรรพากร</t>
    </r>
  </si>
  <si>
    <t>เงื่อนไขที่สำคัญ และข้อยกเว้นสำหรับสัญญาเพิ่มเติมค่ารักษาพยาบาล ไอเฮลท์ตี้ อัลตร้า (MHP)</t>
  </si>
  <si>
    <t xml:space="preserve">    หรือวันที่บริษัทอนุมัติให้เพิ่มผลประโยชน์ของสัญญาเพิ่มเติมนี้ แล้วแต่กรณีใดจะเกิดขึ้นภายหลัง หรือ</t>
  </si>
  <si>
    <t xml:space="preserve">    หรือวันที่บริษัทอนุมัติให้เพิ่มผลประโยชน์ของสัญญาเพิ่มเติมนี้ แล้วแต่กรณีใดจะเกิดขึ้นภายหลัง</t>
  </si>
  <si>
    <t xml:space="preserve"> -  ไส้เลื่อนทุกชนิด                                        </t>
  </si>
  <si>
    <t xml:space="preserve"> -  เส้นเลือดขอดที่ขา                                     </t>
  </si>
  <si>
    <t>3. สภาพที่เป็นมาก่อนการเอาประกันภัย (Pre-existing Condition)</t>
  </si>
  <si>
    <t>      (1) ผู้เอาประกันภัยได้แถลงให้บริษัททราบ และบริษัทยินยอมรับความเสี่ยงภัย โดยไม่มีเงื่อนไขยกเว้นความคุ้มครองดังกล่าว   หรือ</t>
  </si>
  <si>
    <t xml:space="preserve">      (2) โรคเรื้อรัง การบาดเจ็บ หรือการป่วย (รวมถึงภาวะแทรกซ้อน) นั้น ไม่ปรากฏอาการ ไม่ได้รับการตรวจรักษาหรือวินิจฉัยโดยแพทย์ </t>
  </si>
  <si>
    <t>ระยะเวลาคุ้มครอง
(ปี)</t>
  </si>
  <si>
    <t>ระยะเวลาชำระเบี้ย
(ปี)</t>
  </si>
  <si>
    <t>เพื่อประโยชน์ของท่าน กรุณาศึกษาและทำความเข้าใจในเงื่อนไขความคุ้มครอง ผลประโยชน์และข้อยกเว้นตามกรมธรรม์ประกันภัย จากเอกสารประกอบการเสนอขายนี้ก่อนการตัดสินใจ</t>
  </si>
  <si>
    <t xml:space="preserve">ธนาคารเพื่อการเกษตรและสหกรณ์การเกษตร   Comp. code AXA1      </t>
  </si>
  <si>
    <t>KAL</t>
  </si>
  <si>
    <t>หน่วย/สาขา</t>
  </si>
  <si>
    <t>เลือกแบบประกัน</t>
  </si>
  <si>
    <t>ชำระเบี้ย 6 ปี</t>
  </si>
  <si>
    <t>Premium Payment Term</t>
  </si>
  <si>
    <t>6 Pay</t>
  </si>
  <si>
    <t>12 Pay</t>
  </si>
  <si>
    <t>18 Pay</t>
  </si>
  <si>
    <r>
      <t>ไลฟ์เรดดี้</t>
    </r>
    <r>
      <rPr>
        <sz val="11"/>
        <rFont val="Arial"/>
        <family val="2"/>
      </rPr>
      <t xml:space="preserve"> (</t>
    </r>
    <r>
      <rPr>
        <sz val="14"/>
        <rFont val="Cordia New"/>
        <family val="2"/>
      </rPr>
      <t>ไม่มีเงินปันผล)</t>
    </r>
  </si>
  <si>
    <t>LifeReady (Non-Participating)</t>
  </si>
  <si>
    <t>Issue age Min</t>
  </si>
  <si>
    <t>Issue age Max</t>
  </si>
  <si>
    <t>Seq.</t>
  </si>
  <si>
    <t>Large Sum Assured Discount ( LSAD ) per 1000 SA</t>
  </si>
  <si>
    <t>99 Pay</t>
  </si>
  <si>
    <t>500k – 999k : 2.00</t>
  </si>
  <si>
    <t>300k - 999k : 0.50</t>
  </si>
  <si>
    <t>1M - 2.99M : 3.00</t>
  </si>
  <si>
    <t>1M - 2.99M : 1.00</t>
  </si>
  <si>
    <t>3M &amp; above: 4.00</t>
  </si>
  <si>
    <t>3M &amp; above: 1.50</t>
  </si>
  <si>
    <t>LifeReady (Non-Participating)'2022</t>
  </si>
  <si>
    <t>9. Premium amount</t>
  </si>
  <si>
    <t>= ROUNDDOWN ( ROUNDDOWN (( 76 – 3 + 7.14 + 0 ) x 1,000,000/1,000 , 2 decimal places) x 1 , 2 decimal places)</t>
  </si>
  <si>
    <t>= ROUNDDOWN ( ROUNDDOWN (( 80.14 ) x 1,000,000/1,000, 2 decimal places) x 1 , 2 decimal places)</t>
  </si>
  <si>
    <t>= 80,140 THB</t>
  </si>
  <si>
    <t>= ROUNDDOWN (ROUNDDOWN ( ( ( ( STD PREMIUM – LSAD) x (1-%STAFF DISCOUNT  ) ) + SUB STD PREMIUM + TEMP LOADING ) x SA/1,000 ,2 decimal places) x Modal factor, 2 decimal places)</t>
  </si>
  <si>
    <t>= ROUNDDOWN (ROUNDDOWN ( ( ( ( 76 – 3) x (1-0%  ) ) + 7.14 + 0 ) x SA/1,000 , 2 decimal places) x Modal factor, 2 decimal places)</t>
  </si>
  <si>
    <t> Require Product Implementation team to confirm system formula to cap max Staff discount at 30% following OIC rule.</t>
  </si>
  <si>
    <t> We can go by have communication with OIC to provide the Total Commission over Total Premium paid during the premium payment terms are not over 30% . &gt; No need to cap max at 30% and provide staff discount following as Commission which calculated from Standard premium after High Sum Assured Discount.</t>
  </si>
  <si>
    <t>W99FU06</t>
  </si>
  <si>
    <t>W99FU12</t>
  </si>
  <si>
    <t>W99FU18</t>
  </si>
  <si>
    <t>W99FU99</t>
  </si>
  <si>
    <t>W99F99H</t>
  </si>
  <si>
    <t>W99F99M</t>
  </si>
  <si>
    <t>High SA Discount</t>
  </si>
  <si>
    <t>ถ้าเบี้ยรวมเท่ากับศูนย์ หรือ เบี้ยรายเดือนน้อยกว่า 1,000 จะ = no</t>
  </si>
  <si>
    <t>Payment Term</t>
  </si>
  <si>
    <t xml:space="preserve"> 6 ปี</t>
  </si>
  <si>
    <t>Payment Year</t>
  </si>
  <si>
    <t>Issue Age</t>
  </si>
  <si>
    <t>ความคุ้มครอง
กรณีเสียชีวิต</t>
  </si>
  <si>
    <t xml:space="preserve">1. เงินค่าเวนคืนกรมธรรม์ประกันภัยข้างต้นเป็นจำนวนเงินก่อนหักหนี้สินใดๆ </t>
  </si>
  <si>
    <t>Product Name</t>
  </si>
  <si>
    <t>WPTPD</t>
  </si>
  <si>
    <t>WPTPDCI</t>
  </si>
  <si>
    <t>Official Product Name TH :</t>
  </si>
  <si>
    <t>สัญญาเพิ่มเติมผลประโยชน์ยกเว้นเบี้ยประกันภัยสัญญาหลัก (คุ้มครองการทุพพลภาพถาวรสิ้นเชิง)</t>
  </si>
  <si>
    <t>สัญญาเพิ่มเติมผลประโยชน์ยกเว้นเบี้ยประกันภัยสัญญาหลัก (คุ้มครองการทุพพลภาพถาวรสิ้นเชิงและโรคร้ายแรง)</t>
  </si>
  <si>
    <t>Official Product Name EN :</t>
  </si>
  <si>
    <t>Waiver of Basic Premium Rider (Cover for Total and permanent disability)</t>
  </si>
  <si>
    <t>Waiver of Basic Premium Rider (Cover for Total and permanent disability and Critical Illness)</t>
  </si>
  <si>
    <t>Marketing name TH :</t>
  </si>
  <si>
    <t>Marketing name EN :</t>
  </si>
  <si>
    <t>Product Type :</t>
  </si>
  <si>
    <t>Par / Non-Par</t>
  </si>
  <si>
    <t>Non-Par</t>
  </si>
  <si>
    <t>Product Code :</t>
  </si>
  <si>
    <t>WPTPD (TBC)</t>
  </si>
  <si>
    <t>WPTPDCI (TBC)</t>
  </si>
  <si>
    <t>Product Category</t>
  </si>
  <si>
    <t>Protection</t>
  </si>
  <si>
    <t>Policy term /</t>
  </si>
  <si>
    <t>Coverage period:</t>
  </si>
  <si>
    <t>Minimum of</t>
  </si>
  <si>
    <r>
      <t>·</t>
    </r>
    <r>
      <rPr>
        <sz val="7"/>
        <rFont val="Times New Roman"/>
        <family val="1"/>
      </rPr>
      <t xml:space="preserve">         </t>
    </r>
    <r>
      <rPr>
        <sz val="10"/>
        <rFont val="Arial"/>
        <family val="2"/>
      </rPr>
      <t>PPP</t>
    </r>
    <r>
      <rPr>
        <vertAlign val="superscript"/>
        <sz val="10"/>
        <rFont val="Arial"/>
        <family val="2"/>
      </rPr>
      <t>(4)</t>
    </r>
    <r>
      <rPr>
        <sz val="10"/>
        <rFont val="Arial"/>
        <family val="2"/>
      </rPr>
      <t xml:space="preserve"> of basic plan</t>
    </r>
  </si>
  <si>
    <r>
      <t>·</t>
    </r>
    <r>
      <rPr>
        <sz val="7"/>
        <rFont val="Times New Roman"/>
        <family val="1"/>
      </rPr>
      <t xml:space="preserve">         </t>
    </r>
    <r>
      <rPr>
        <sz val="10"/>
        <rFont val="Arial"/>
        <family val="2"/>
      </rPr>
      <t>80 – issued age</t>
    </r>
  </si>
  <si>
    <t>Premium payment term:</t>
  </si>
  <si>
    <t>Period to waive premium</t>
  </si>
  <si>
    <t>Until end of PPP of basic plan</t>
  </si>
  <si>
    <t>Type of product development:</t>
  </si>
  <si>
    <t>(New product / Restyling / Repricing)</t>
  </si>
  <si>
    <t xml:space="preserve">Restyling Product                            </t>
  </si>
  <si>
    <r>
      <t>1.1.1</t>
    </r>
    <r>
      <rPr>
        <b/>
        <sz val="7"/>
        <rFont val="Times New Roman"/>
        <family val="1"/>
      </rPr>
      <t xml:space="preserve">      </t>
    </r>
    <r>
      <rPr>
        <b/>
        <sz val="10"/>
        <rFont val="Arial"/>
        <family val="2"/>
      </rPr>
      <t>Plan Code:</t>
    </r>
  </si>
  <si>
    <t>WP Plancode:</t>
  </si>
  <si>
    <t>Product WP</t>
  </si>
  <si>
    <t>System Plan Code</t>
  </si>
  <si>
    <t>Waiver of Premium Rider (Total Permanent Disability)</t>
  </si>
  <si>
    <t>WPTPDxx</t>
  </si>
  <si>
    <t>Waiver of Premium Rider (Total Permanent Disability and Critical Illness)</t>
  </si>
  <si>
    <t>WPTCIxx</t>
  </si>
  <si>
    <t xml:space="preserve">System plan code will be align with the waive periods and premium rate provide in Appendix 2 </t>
  </si>
  <si>
    <t xml:space="preserve">Example plancode: </t>
  </si>
  <si>
    <r>
      <t>WPTPD02, WPTPD03</t>
    </r>
    <r>
      <rPr>
        <i/>
        <sz val="11"/>
        <rFont val="Arial"/>
        <family val="2"/>
      </rPr>
      <t xml:space="preserve">, … , </t>
    </r>
    <r>
      <rPr>
        <i/>
        <sz val="9"/>
        <rFont val="Arial"/>
        <family val="2"/>
      </rPr>
      <t>WPTPD25, WPTPD55, WPTPD60, WPTPD85, WPTPD99</t>
    </r>
  </si>
  <si>
    <r>
      <t>WPTCI02, WPTCI03</t>
    </r>
    <r>
      <rPr>
        <i/>
        <sz val="11"/>
        <rFont val="Arial"/>
        <family val="2"/>
      </rPr>
      <t xml:space="preserve">, … , </t>
    </r>
    <r>
      <rPr>
        <i/>
        <sz val="9"/>
        <rFont val="Arial"/>
        <family val="2"/>
      </rPr>
      <t>WPTCI25, WPTCI55, WPTCI60, WPTCI85, WPTCI99</t>
    </r>
  </si>
  <si>
    <r>
      <t>Product Specification for PB Rider</t>
    </r>
    <r>
      <rPr>
        <sz val="11"/>
        <rFont val="Arial"/>
        <family val="2"/>
      </rPr>
      <t xml:space="preserve"> </t>
    </r>
    <r>
      <rPr>
        <b/>
        <sz val="11"/>
        <rFont val="Arial"/>
        <family val="2"/>
      </rPr>
      <t>(PBFP, PBBP, PBFS, PBBS)</t>
    </r>
  </si>
  <si>
    <t>Rate per Basic Premium 100 THB</t>
  </si>
  <si>
    <t xml:space="preserve">Male </t>
  </si>
  <si>
    <t xml:space="preserve">Age </t>
  </si>
  <si>
    <t>Premium Payment Period of Basic Plan</t>
  </si>
  <si>
    <t>WPTPDM70</t>
  </si>
  <si>
    <t>WPTPDM16</t>
  </si>
  <si>
    <t>WPTPDM17</t>
  </si>
  <si>
    <t>WPTPDM18</t>
  </si>
  <si>
    <t>WPTPDM19</t>
  </si>
  <si>
    <t>WPTPDM20</t>
  </si>
  <si>
    <t>WPTPDM21</t>
  </si>
  <si>
    <t>WPTPDM22</t>
  </si>
  <si>
    <t>WPTPDM23</t>
  </si>
  <si>
    <t>WPTPDM24</t>
  </si>
  <si>
    <t>WPTPDM25</t>
  </si>
  <si>
    <t>WPTPDM26</t>
  </si>
  <si>
    <t>WPTPDM27</t>
  </si>
  <si>
    <t>WPTPDM28</t>
  </si>
  <si>
    <t>WPTPDM29</t>
  </si>
  <si>
    <t>WPTPDM30</t>
  </si>
  <si>
    <t>WPTPDM31</t>
  </si>
  <si>
    <t>WPTPDM32</t>
  </si>
  <si>
    <t>WPTPDM33</t>
  </si>
  <si>
    <t>WPTPDM34</t>
  </si>
  <si>
    <t>WPTPDM35</t>
  </si>
  <si>
    <t>WPTPDM36</t>
  </si>
  <si>
    <t>WPTPDM37</t>
  </si>
  <si>
    <t>WPTPDM38</t>
  </si>
  <si>
    <t>WPTPDM39</t>
  </si>
  <si>
    <t>WPTPDM40</t>
  </si>
  <si>
    <t>WPTPDM41</t>
  </si>
  <si>
    <t>WPTPDM42</t>
  </si>
  <si>
    <t>WPTPDM43</t>
  </si>
  <si>
    <t>WPTPDM44</t>
  </si>
  <si>
    <t>WPTPDM45</t>
  </si>
  <si>
    <t>WPTPDM46</t>
  </si>
  <si>
    <t>WPTPDM47</t>
  </si>
  <si>
    <t>WPTPDM48</t>
  </si>
  <si>
    <t>WPTPDM49</t>
  </si>
  <si>
    <t>WPTPDM50</t>
  </si>
  <si>
    <t>WPTPDM51</t>
  </si>
  <si>
    <t>WPTPDM52</t>
  </si>
  <si>
    <t>WPTPDM53</t>
  </si>
  <si>
    <t>WPTPDM54</t>
  </si>
  <si>
    <t>WPTPDM55</t>
  </si>
  <si>
    <t>WPTPDM56</t>
  </si>
  <si>
    <t>WPTPDM57</t>
  </si>
  <si>
    <t>WPTPDM58</t>
  </si>
  <si>
    <t>WPTPDM59</t>
  </si>
  <si>
    <t>WPTPDM60</t>
  </si>
  <si>
    <t>WPTPDM61</t>
  </si>
  <si>
    <t>WPTPDM62</t>
  </si>
  <si>
    <t>WPTPDM63</t>
  </si>
  <si>
    <t>WPTPDM64</t>
  </si>
  <si>
    <t>WPTPDM65</t>
  </si>
  <si>
    <t>WPTPDM66</t>
  </si>
  <si>
    <t>WPTPDM67</t>
  </si>
  <si>
    <t>WPTPDM68</t>
  </si>
  <si>
    <t>WPTPDM69</t>
  </si>
  <si>
    <t>PB Fit</t>
  </si>
  <si>
    <t>PB Beyond</t>
  </si>
  <si>
    <t>Issue Age (payor)</t>
  </si>
  <si>
    <t>Gender (payor)</t>
  </si>
  <si>
    <t>PBPDD</t>
  </si>
  <si>
    <t>Payor Benefit Rider for Parent (Cover for Death, Total Permanent Disability and Critical Illness</t>
  </si>
  <si>
    <t>Payor Benefit Rider for Spouse (Cover for Death and Total Permanent Disability)</t>
  </si>
  <si>
    <t>PBSDD</t>
  </si>
  <si>
    <t>Payor Benefit Rider for Spouse (Cover for Death, Total Permanent Disability and Critical Illness</t>
  </si>
  <si>
    <t>Product PB</t>
  </si>
  <si>
    <t>Group</t>
  </si>
  <si>
    <t>Payer Type</t>
  </si>
  <si>
    <t>Parent</t>
  </si>
  <si>
    <r>
      <t>Payor Benefit Rider for Parent (Cover for Death and Total Permanent Disability)</t>
    </r>
    <r>
      <rPr>
        <sz val="10"/>
        <rFont val="Cambria"/>
        <family val="2"/>
        <scheme val="major"/>
      </rPr>
      <t xml:space="preserve"> </t>
    </r>
  </si>
  <si>
    <t>Spouse</t>
  </si>
  <si>
    <t>PBPDC</t>
  </si>
  <si>
    <t>PBSDC</t>
  </si>
  <si>
    <t>Payor's age</t>
  </si>
  <si>
    <t>Waive Premium Period</t>
  </si>
  <si>
    <t>Payor Age</t>
  </si>
  <si>
    <t xml:space="preserve">Payor's age </t>
  </si>
  <si>
    <t>Waive period = Premium Payment Period of Basic Plan</t>
  </si>
  <si>
    <t>PB Spouse Payor : Beyond</t>
  </si>
  <si>
    <t>RLS Plan Code</t>
  </si>
  <si>
    <t>PB Parent Payor : Fit</t>
  </si>
  <si>
    <t>PB Parent Payor : Beyond</t>
  </si>
  <si>
    <t>PB Spouse Payor : Fit</t>
  </si>
  <si>
    <t>Issue Age Min</t>
  </si>
  <si>
    <t>Issue Age Max</t>
  </si>
  <si>
    <t>Plancode</t>
  </si>
  <si>
    <t>PPP of basic plan</t>
  </si>
  <si>
    <t>ข้อมูลผู้ชำระเบี้ย</t>
  </si>
  <si>
    <t>WPTCI</t>
  </si>
  <si>
    <t>Insure</t>
  </si>
  <si>
    <t>WP Fit</t>
  </si>
  <si>
    <t>WP Beyond</t>
  </si>
  <si>
    <t>Plancode WP &gt;&gt;</t>
  </si>
  <si>
    <t>Check plan &gt;&gt;</t>
  </si>
  <si>
    <t>มูลค่าเวนคืน
กรมธรรม์ของสัญญาหลัก</t>
  </si>
  <si>
    <t>check select plan Basic</t>
  </si>
  <si>
    <t>checkเบี้ยรายเดือนน้อยกว่า 1,000 &amp; เลือกแผนไม่ถูก จะแสดง no</t>
  </si>
  <si>
    <t>Payor Age Min</t>
  </si>
  <si>
    <t>Payor Age Max</t>
  </si>
  <si>
    <t>สัญญาเพิ่มเติมดับบลิวพี ฟิต</t>
  </si>
  <si>
    <t xml:space="preserve">สัญญาเพิ่มเติมดับบลิวพี บียอนด์ </t>
  </si>
  <si>
    <t xml:space="preserve">WP Beyond Rider </t>
  </si>
  <si>
    <t>WP Fit Rider</t>
  </si>
  <si>
    <t>Official Product Name EN</t>
  </si>
  <si>
    <t>Official Product Name TH</t>
  </si>
  <si>
    <t>สัญญาเพิ่มเติมพีบี ฟิต</t>
  </si>
  <si>
    <t>สัญญาเพิ่มเติมพีบี บียอนด์</t>
  </si>
  <si>
    <t xml:space="preserve">PB Fit Rider </t>
  </si>
  <si>
    <t xml:space="preserve">PB Beyond Rider </t>
  </si>
  <si>
    <t>WP  เอาใช้ดุระยะเวลา waive เบี้ย</t>
  </si>
  <si>
    <t>Premium (Ann) for WP</t>
  </si>
  <si>
    <t>Rider Name</t>
  </si>
  <si>
    <t>Rider Plancode</t>
  </si>
  <si>
    <t>Key
(code+Gender+age)</t>
  </si>
  <si>
    <t>Coverage period</t>
  </si>
  <si>
    <t>PLS Rider</t>
  </si>
  <si>
    <t>กรณีผู้เอาประกันภัยตกเป็นบุคคลทุพพลภาพถาวรสิ้นเชิง บริษัทจะยกเว้นเบี้ยประกันภัยของสัญญาหลักให้ และการยกเว้นเบี้ยประกันภัยดังกล่าวจะสิ้นสุดลงเมื่อสิ้นสุดระยะเวลาชำระเบี้ยประกันภัยของสัญญาหลัก</t>
  </si>
  <si>
    <t>โรคร้ายแรงระยะรุนแรงภายใต้ความคุ้มครองของสัญญาเพิ่มเติมนี้มีจำนวน 50 โรค ประกอบด้วย</t>
  </si>
  <si>
    <t xml:space="preserve">1. โรคสมองเสื่อมชนิดอัลไซเมอร์ </t>
  </si>
  <si>
    <t xml:space="preserve">26. โรคเส้นเลือดหัวใจตีบ </t>
  </si>
  <si>
    <t>2. โรคโลหิตจางจากไขกระดูกไม่สร้างเม็ดโลหิต</t>
  </si>
  <si>
    <t xml:space="preserve">27. อัมพาตของกล้ามเนื้อแขนหรือขา </t>
  </si>
  <si>
    <t>3. โรคเยื่อหุ้มสมองและไขสันหลังอักเสบ จากเชื้อแบคทีเรีย</t>
  </si>
  <si>
    <t xml:space="preserve">28. โรคพาร์กินสัน </t>
  </si>
  <si>
    <t>4. เนื้องอกในสมอง ชนิดที่ไม่ใช่มะเร็ง</t>
  </si>
  <si>
    <t>29. โรคแรงดันในหลอดเลือดแดงปอดสูงแบบปฐมภูมิ</t>
  </si>
  <si>
    <t>5. ตาบอด</t>
  </si>
  <si>
    <t xml:space="preserve">30. ภาวะข้ออักเสบรูมาตอยด์ชนิดรุนแรง </t>
  </si>
  <si>
    <t xml:space="preserve">6. โรคมะเร็งระยะลุกลาม </t>
  </si>
  <si>
    <t xml:space="preserve">31. โรคหลอดเลือดสมองแตกหรืออุดตัน </t>
  </si>
  <si>
    <t xml:space="preserve">7. โรคกล้ามเนื้อหัวใจ </t>
  </si>
  <si>
    <t xml:space="preserve">32. การผ่าตัดเส้นเลือดแดงใหญ่เอออร์ต้า </t>
  </si>
  <si>
    <t xml:space="preserve">8. ตับวาย </t>
  </si>
  <si>
    <t xml:space="preserve">33. ไตอักเสบลูปูส จากโรคซิสเต็มมิค ลูปูส อิริเธมาโตซูส </t>
  </si>
  <si>
    <t xml:space="preserve">9. โรคหลอดลมปอดอุดกั้นเรื้อรังขั้นรุนแรง / โรคปอดระยะสุดท้าย </t>
  </si>
  <si>
    <t xml:space="preserve">34. สมองอักเสบจากเชื้อไวรัส </t>
  </si>
  <si>
    <t xml:space="preserve">10. ภาวะโคม่า </t>
  </si>
  <si>
    <t xml:space="preserve">35. โรคความบกพร่องในการทำงานของต่อมหมวกไตเรื้อรัง </t>
  </si>
  <si>
    <t xml:space="preserve">11. การผ่าตัดเส้นเลือดเลี้ยงกล้ามเนื้อหัวใจ </t>
  </si>
  <si>
    <t xml:space="preserve">36. โรคหลอดเลือดสมองโป่งพองที่ต้องรักษาโดยการผ่าตัด </t>
  </si>
  <si>
    <t xml:space="preserve">12. กล้ามเนื้อหัวใจตายเฉียบพลัน จากการขาดเลือด </t>
  </si>
  <si>
    <t>37. การฉีกขาดของรากประสาทต้นแขน</t>
  </si>
  <si>
    <t xml:space="preserve">13. การผ่าตัดลิ้นหัวใจ โดยวิธีการเปิดหัวใจ </t>
  </si>
  <si>
    <t xml:space="preserve">38. โรคโปลิโอ </t>
  </si>
  <si>
    <t xml:space="preserve">14. ไตวายเรื้อรัง </t>
  </si>
  <si>
    <t>39. การผ่าตัดกระดูกสันหลังคดที่ไม่ทราบสาเหตุ</t>
  </si>
  <si>
    <t xml:space="preserve">15. การสูญเสียการได้ยิน </t>
  </si>
  <si>
    <t xml:space="preserve">40. ภาวะตับอ่อนอักเสบที่กลับเป็นซ้ำและเรื้อรัง </t>
  </si>
  <si>
    <t xml:space="preserve">16. กลุ่มอาการไอเซนเมนเกอร์ </t>
  </si>
  <si>
    <t xml:space="preserve">41. โรคเท้าช้าง </t>
  </si>
  <si>
    <t>17. ภาวะลิ้นหัวใจติดเชื้อ</t>
  </si>
  <si>
    <t xml:space="preserve">42. โรคถุงน้ำในไต </t>
  </si>
  <si>
    <t xml:space="preserve">18. การสูญเสียความสามารถในการพูด </t>
  </si>
  <si>
    <t xml:space="preserve">43. โรคเนื้อเยื่อพังผืดอักเสบติดเชื้อและเป็นเนื้อตาย </t>
  </si>
  <si>
    <t>19. แผลไหม้ฉกรรจ์</t>
  </si>
  <si>
    <t xml:space="preserve">44. โรคหนังแข็งชนิดลุกลาม </t>
  </si>
  <si>
    <t xml:space="preserve">20. การบาดเจ็บที่ศีรษะอย่างรุนแรง </t>
  </si>
  <si>
    <t xml:space="preserve">45. โรคลำไส้อักเสบเป็นแผลรุนแรง </t>
  </si>
  <si>
    <t xml:space="preserve">21. การผ่าตัดเปลี่ยนอวัยวะหรือปลูกถ่ายไขกระดูก </t>
  </si>
  <si>
    <t xml:space="preserve">46. เยื่อหุ้มสมองอักเสบจากวัณโรค </t>
  </si>
  <si>
    <t xml:space="preserve">22. โรคของเซลล์ประสาทควบคุมการเคลื่อนไหว </t>
  </si>
  <si>
    <t xml:space="preserve">47. โรคกล้ามเนื้ออ่อนแรง </t>
  </si>
  <si>
    <t xml:space="preserve">23. โรคระบบประสาทมัลติเพิล สะเคลอโรสิส </t>
  </si>
  <si>
    <t xml:space="preserve">48. การติดเชื้อไวรัสภูมิคุ้มกันบกพร่องที่เกิดจากการเปลี่ยนถ่ายเลือด </t>
  </si>
  <si>
    <t xml:space="preserve">24. โรคกล้ามเนื้อเสื่อม </t>
  </si>
  <si>
    <t xml:space="preserve">49. โรคครอยตส์เฟลดต์-จาค็อบ </t>
  </si>
  <si>
    <t xml:space="preserve">25. โรคไวรัสตับอักเสบขั้นรุนแรง </t>
  </si>
  <si>
    <t xml:space="preserve">50. อีโบล่า </t>
  </si>
  <si>
    <t>PB Fit (Parent)</t>
  </si>
  <si>
    <t>กรณีผู้ชำระเบี้ยประกันภัย (ผู้ปกครองของผู้เยาว์) เสียชีวิต หรือตกเป็นบุคคลทุพพลภาพถาวรสิ้นเชิง บริษัทจะยกเว้นเบี้ยประกันภัยของสัญญาหลักให้ และการยกเว้นเบี้ยประกันภัยดังกล่าวจะสิ้นสุดลงเมื่อสิ้นสุดระยะเวลาชำระเบี้ยประกันภัยของสัญญาหลัก หรือ ณ วันครบรอบปีกรมธรรม์ที่ผู้เอาประกันภัย (ผู้เยาว์) มีอายุครบ 25 ปี แล้วแต่กรณีใดจะเกิดขึ้นก่อน</t>
  </si>
  <si>
    <t>PB Beyond (Parent)</t>
  </si>
  <si>
    <t>PB Fit (Spouse)</t>
  </si>
  <si>
    <t>กรณีผู้ชำระเบี้ยประกันภัย (คู่สมรสของผู้เอาประกันภัย) เสียชีวิต หรือตกเป็นบุคคลทุพพลภาพถาวรสิ้นเชิง บริษัทจะยกเว้นเบี้ยประกันภัยของสัญญาหลักให้ และการยกเว้นเบี้ยประกันภัยดังกล่าวจะสิ้นสุดลงเมื่อสิ้นสุดระยะเวลาชำระเบี้ยประกันภัยของสัญญาหลัก</t>
  </si>
  <si>
    <t>PB Beyond (Spouse)</t>
  </si>
  <si>
    <t>Final Select</t>
  </si>
  <si>
    <t>Plancode (PIP &amp; Commu)</t>
  </si>
  <si>
    <t>PBPDDCI</t>
  </si>
  <si>
    <t>PBSDDCI</t>
  </si>
  <si>
    <t>WPTPDCIM16</t>
  </si>
  <si>
    <t>WPTPDCIM17</t>
  </si>
  <si>
    <t>WPTPDCIM18</t>
  </si>
  <si>
    <t>WPTPDCIM19</t>
  </si>
  <si>
    <t>WPTPDCIM20</t>
  </si>
  <si>
    <t>WPTPDCIM21</t>
  </si>
  <si>
    <t>WPTPDCIM22</t>
  </si>
  <si>
    <t>WPTPDCIM23</t>
  </si>
  <si>
    <t>WPTPDCIM24</t>
  </si>
  <si>
    <t>WPTPDCIM25</t>
  </si>
  <si>
    <t>WPTPDCIM26</t>
  </si>
  <si>
    <t>WPTPDCIM27</t>
  </si>
  <si>
    <t>WPTPDCIM28</t>
  </si>
  <si>
    <t>WPTPDCIM29</t>
  </si>
  <si>
    <t>WPTPDCIM30</t>
  </si>
  <si>
    <t>WPTPDCIM31</t>
  </si>
  <si>
    <t>WPTPDCIM32</t>
  </si>
  <si>
    <t>WPTPDCIM33</t>
  </si>
  <si>
    <t>WPTPDCIM34</t>
  </si>
  <si>
    <t>WPTPDCIM35</t>
  </si>
  <si>
    <t>WPTPDCIM36</t>
  </si>
  <si>
    <t>WPTPDCIM37</t>
  </si>
  <si>
    <t>WPTPDCIM38</t>
  </si>
  <si>
    <t>WPTPDCIM39</t>
  </si>
  <si>
    <t>WPTPDCIM40</t>
  </si>
  <si>
    <t>WPTPDCIM41</t>
  </si>
  <si>
    <t>WPTPDCIM42</t>
  </si>
  <si>
    <t>WPTPDCIM43</t>
  </si>
  <si>
    <t>WPTPDCIM44</t>
  </si>
  <si>
    <t>WPTPDCIM45</t>
  </si>
  <si>
    <t>WPTPDCIM46</t>
  </si>
  <si>
    <t>WPTPDCIM47</t>
  </si>
  <si>
    <t>WPTPDCIM48</t>
  </si>
  <si>
    <t>WPTPDCIM49</t>
  </si>
  <si>
    <t>WPTPDCIM50</t>
  </si>
  <si>
    <t>WPTPDCIM51</t>
  </si>
  <si>
    <t>WPTPDCIM52</t>
  </si>
  <si>
    <t>WPTPDCIM53</t>
  </si>
  <si>
    <t>WPTPDCIM54</t>
  </si>
  <si>
    <t>WPTPDCIM55</t>
  </si>
  <si>
    <t>WPTPDCIM56</t>
  </si>
  <si>
    <t>WPTPDCIM57</t>
  </si>
  <si>
    <t>WPTPDCIM58</t>
  </si>
  <si>
    <t>WPTPDCIM59</t>
  </si>
  <si>
    <t>WPTPDCIM60</t>
  </si>
  <si>
    <t>WPTPDCIM61</t>
  </si>
  <si>
    <t>WPTPDCIM62</t>
  </si>
  <si>
    <t>WPTPDCIM63</t>
  </si>
  <si>
    <t>WPTPDCIM64</t>
  </si>
  <si>
    <t>WPTPDCIM65</t>
  </si>
  <si>
    <t>WPTPDCIM66</t>
  </si>
  <si>
    <t>WPTPDCIM67</t>
  </si>
  <si>
    <t>WPTPDCIM68</t>
  </si>
  <si>
    <t>WPTPDCIM69</t>
  </si>
  <si>
    <t>WPTPDCIM70</t>
  </si>
  <si>
    <t>Customer select</t>
  </si>
  <si>
    <t xml:space="preserve">9. โรคหลอดลมปอดอุดกั้นเรื้อรังขั้นรุนแรง / </t>
  </si>
  <si>
    <t xml:space="preserve">    โรคปอดระยะสุดท้าย </t>
  </si>
  <si>
    <t>48. การติดเชื้อไวรัสภูมิคุ้มกันบกพร่อง</t>
  </si>
  <si>
    <t xml:space="preserve">         ที่เกิดจากการเปลี่ยนถ่ายเลือด </t>
  </si>
  <si>
    <t xml:space="preserve">33. ไตอักเสบลูปูส จากโรคซิสเต็มมิค ลูปูส </t>
  </si>
  <si>
    <t xml:space="preserve">      อิริเธมาโตซูส </t>
  </si>
  <si>
    <t>เลขที่ใบอนุญาต</t>
  </si>
  <si>
    <t>0123</t>
  </si>
  <si>
    <t>ลงนาม  .........................................................................................</t>
  </si>
  <si>
    <t>เบอร์โทรศัพท์  ...............................................................................</t>
  </si>
  <si>
    <t>วันที่     .......................................................................................</t>
  </si>
  <si>
    <t>WPD / WPDD</t>
  </si>
  <si>
    <t>Max age of payor</t>
  </si>
  <si>
    <t>Plan Code SA&gt;=300,000</t>
  </si>
  <si>
    <t>W99FH18</t>
  </si>
  <si>
    <t>W99FH99</t>
  </si>
  <si>
    <t>Plan Code SA&lt;300,000</t>
  </si>
  <si>
    <t>06M</t>
  </si>
  <si>
    <t>99M</t>
  </si>
  <si>
    <t>06</t>
  </si>
  <si>
    <t>12</t>
  </si>
  <si>
    <t>18</t>
  </si>
  <si>
    <t>99</t>
  </si>
  <si>
    <t>99H</t>
  </si>
  <si>
    <t>06F</t>
  </si>
  <si>
    <t>06F25</t>
  </si>
  <si>
    <t>06F26</t>
  </si>
  <si>
    <t>06F27</t>
  </si>
  <si>
    <t>06F28</t>
  </si>
  <si>
    <t>06F29</t>
  </si>
  <si>
    <t>06F30</t>
  </si>
  <si>
    <t>06F31</t>
  </si>
  <si>
    <t>06F32</t>
  </si>
  <si>
    <t>06F33</t>
  </si>
  <si>
    <t>06F34</t>
  </si>
  <si>
    <t>06F35</t>
  </si>
  <si>
    <t>06F36</t>
  </si>
  <si>
    <t>06F37</t>
  </si>
  <si>
    <t>06F38</t>
  </si>
  <si>
    <t>06F39</t>
  </si>
  <si>
    <t>06F40</t>
  </si>
  <si>
    <t>06F41</t>
  </si>
  <si>
    <t>06F42</t>
  </si>
  <si>
    <t>06F43</t>
  </si>
  <si>
    <t>06F44</t>
  </si>
  <si>
    <t>06F45</t>
  </si>
  <si>
    <t>06F46</t>
  </si>
  <si>
    <t>06F47</t>
  </si>
  <si>
    <t>06F48</t>
  </si>
  <si>
    <t>06F49</t>
  </si>
  <si>
    <t>06F50</t>
  </si>
  <si>
    <t>06F51</t>
  </si>
  <si>
    <t>06F52</t>
  </si>
  <si>
    <t>06F53</t>
  </si>
  <si>
    <t>06F54</t>
  </si>
  <si>
    <t>06F55</t>
  </si>
  <si>
    <t>06F56</t>
  </si>
  <si>
    <t>06F57</t>
  </si>
  <si>
    <t>06F58</t>
  </si>
  <si>
    <t>06F59</t>
  </si>
  <si>
    <t>06F60</t>
  </si>
  <si>
    <t>06F61</t>
  </si>
  <si>
    <t>06F62</t>
  </si>
  <si>
    <t>06F63</t>
  </si>
  <si>
    <t>06F64</t>
  </si>
  <si>
    <t>06F65</t>
  </si>
  <si>
    <t>06M25</t>
  </si>
  <si>
    <t>06M26</t>
  </si>
  <si>
    <t>06M27</t>
  </si>
  <si>
    <t>06M28</t>
  </si>
  <si>
    <t>06M29</t>
  </si>
  <si>
    <t>06M30</t>
  </si>
  <si>
    <t>06M31</t>
  </si>
  <si>
    <t>06M32</t>
  </si>
  <si>
    <t>06M33</t>
  </si>
  <si>
    <t>06M34</t>
  </si>
  <si>
    <t>06M35</t>
  </si>
  <si>
    <t>06M36</t>
  </si>
  <si>
    <t>06M37</t>
  </si>
  <si>
    <t>06M38</t>
  </si>
  <si>
    <t>06M39</t>
  </si>
  <si>
    <t>06M40</t>
  </si>
  <si>
    <t>06M41</t>
  </si>
  <si>
    <t>06M42</t>
  </si>
  <si>
    <t>06M43</t>
  </si>
  <si>
    <t>06M44</t>
  </si>
  <si>
    <t>06M45</t>
  </si>
  <si>
    <t>06M46</t>
  </si>
  <si>
    <t>06M47</t>
  </si>
  <si>
    <t>06M48</t>
  </si>
  <si>
    <t>06M49</t>
  </si>
  <si>
    <t>06M50</t>
  </si>
  <si>
    <t>06M51</t>
  </si>
  <si>
    <t>06M52</t>
  </si>
  <si>
    <t>06M53</t>
  </si>
  <si>
    <t>06M54</t>
  </si>
  <si>
    <t>06M55</t>
  </si>
  <si>
    <t>06M56</t>
  </si>
  <si>
    <t>06M57</t>
  </si>
  <si>
    <t>06M58</t>
  </si>
  <si>
    <t>06M59</t>
  </si>
  <si>
    <t>06M60</t>
  </si>
  <si>
    <t>06M61</t>
  </si>
  <si>
    <t>06M62</t>
  </si>
  <si>
    <t>06M63</t>
  </si>
  <si>
    <t>06M64</t>
  </si>
  <si>
    <t>06M65</t>
  </si>
  <si>
    <t>กรณีผู้ขอเอาประกันภัยเป็นเยาวชน อายุตั้งแต่ 1 เดือนขึ้นไป แต่ไม่เกิน 15 ปี จะได้รับการยกเว้นเบี้ยประกันภัยสัญญาหลักในกรณีผู้ชำระเบี้ย (ผู้ปกครอง) เสียชีวิต หรือทุพพลภาพสิ้นเชิงถาวร ทั้งนี้การยกเว้นเบี้ยประกันภัยนี้จะสิ้นสุดลงเมื่อผู้เอาประกันภัย (ผู้เยาว์) อายุครบ 25 ปีบริบูรณ์ และเป็นไปตามเงื่อนไขการรับประกันภัยที่บริษัทกำหนด</t>
  </si>
  <si>
    <t>สัญญาเพิ่มเติมผลประโยชน์ผู้ชำระเบี้ยประกันภัย (WPDD01)</t>
  </si>
  <si>
    <t>ข้อยกเว้นสัญญาเพิ่มเติมผลประโยชน์ผู้ชำระเบี้ยประกันภัย (WPDD01) มีทั้งหมด 4 ข้อ ได้แก่
ไม่คุ้มครองการเสียชีวิต หรือการทุพพลภาพของผู้ชำระเบี้ยประกันภัย อันเนื่องมาจากสาเหตุ ดังต่อไปนี้
1.ผู้ชำระเบี้ยประกันภัยฆ่าตัวตายภายใน 1 ปี
2.การทำร้ายร่างกายตนเอง
3.ขณะที่ผู้เอาประกันภัยปฏิบัติหน้าที่เป็นทหาร ตำรวจ หรืออาสาสมัคร และปฏิบัติการในสงครามหรือเยี่ยงสงคราม (ไม่ว่าจะประกาศหรือไม่ก็ตาม) จลาจล เพื่อพิทักษ์ความสงบเรียบร้อยของบ้านเมือง
4.ขณะขึ้นหรือลง หรือเป็นผู้ขับขี่ หรืออยู่ในอากาศยานใด ๆ ไม่ว่าจะขับเคลื่อนด้วยตัวของมันเองหรือไม่ก็ตามที่มิได้จดทะเบียนประกอบการบินพาณิชย์</t>
  </si>
  <si>
    <t>สัญญาเพิ่มเติมผลประโยชน์มรณกรรมผู้ชำระเบี้ยประกันภัย (WPD01)</t>
  </si>
  <si>
    <t>ข้อยกเว้นสัญญาเพิ่มเติมผลประโยชน์มรณกรรมผู้ชำระเบี้ยประกันภัย (WPD01) มีทั้งหมด 1 ข้อ ได้แก่
ไม่คุ้มครองการเสียชีวิตของผู้ชำระเบี้ยประกันภัย อันเนื่องมาจากสาเหตุผู้ชำระเบี้ยประกันภัยฆ่าตัวตายภายใน 1 ปี</t>
  </si>
  <si>
    <t>Rider group Waive premium จำนวนเงินเอาประกันภัยในหน้า PIP อาจมีการให้เป็น เบี้ยฯของสัญญาหลัก ฉะนั้น กรณีซื้อ อาจมีการเปลี่ยนจาก "ตามเงื่อนไขกรมธรรม์" เป็น เบี้ยฯของสัญญาหลัก ซึ่งควรให้สอดคล้องกับหน้า PIP</t>
  </si>
  <si>
    <t>สัญญาเพิ่มเติมดับบลิวพี ฟิต (WPTPD)</t>
  </si>
  <si>
    <t>สัญญาเพิ่มเติมพีบี ฟิต (PBPDD/PBSDD)</t>
  </si>
  <si>
    <t xml:space="preserve">ข้อยกเว้นสัญญาเพิ่มเติมดับบลิวพี ฟิต (WPTPD) มีทั้งหมด 9 ข้อ เช่น
ไม่คุ้มครองการทุพพลภาพถาวรสิ้นเชิง ที่เกิดขึ้นอันสืบเนื่องมาจากสาเหตุหรือภาวะแทรกซ้อนดังต่อไปนี้
1. การฆ่าตัวตาย หรือการทำร้ายร่างกายตนเอง หรือพยายามกระทำเช่นว่านั้น
2. การบาดเจ็บขณะที่ผู้เอาประกันภัยก่ออาชญากรรมที่มีความผิดสถานหนัก หรือขณะถูกจับกุม หรือหลบหนีการจับกุม
3. การบาดเจ็บขณะที่ผู้เอาประกันภัยกำลังขึ้นหรือกำลังลง หรือโดยสารอยู่ในอากาศยานที่มิได้จดทะเบียนเพื่อบรรทุกผู้โดยสาร  และมิได้ประกอบการโดยสายการบินพาณิชย์
4. การบาดเจ็บขณะที่ผู้เอาประกันภัยขับขี่หรือปฏิบัติหน้าที่เป็นพนักงานประจำอากาศยานใดๆ
5. การบาดเจ็บขณะที่ผู้เอาประกันภัยปฏิบัติหน้าที่เป็น ทหาร ตำรวจ หรืออาสาสมัคร และเข้าปฏิบัติการในสงคราม หรือปราบปราม
6. ความบกพร่องทางร่างกาย การป่วย หรือบาดเจ็บ ที่เกี่ยวข้องกับการทุพพลภาพที่แพทย์ยืนยันและมีหลักฐานชัดเจน ซึ่งผู้เอาประกันภัยทราบอยู่แล้วก่อนวันเริ่มมีผลคุ้มครองตามสัญญาเพิ่มเติมนี้ หรือวันที่บริษัทอนุมัติให้เพิ่มจำนวนเงินเอาประกันภัย หรือวันต่ออายุสัญญากรณีสัญญาเพิ่มเติมสิ้นผลบังคับ (Reinstatement) ครั้งสุดท้าย แต่มิได้แจ้งให้บริษัททราบ เว้นแต่ ผู้เอาประกันภัย ได้แถลงให้บริษัททราบและบริษัทยินยอมรับความเสี่ยงภัย โดยไม่มีเงื่อนไขยกเว้นความคุ้มครองดังกล่าว
7. การบาดเจ็บที่เกิดขึ้นจากการกระทำของผู้เอาประกันภัย อันเกิดจาก หรือสืบเนื่องจากสาเหตุภายใต้เงื่อนไขข้อหนึ่งข้อใดดังต่อไปนี้
    (1) ขณะอยู่ภายใต้ฤทธิ์สารเสพติด หรือยาเสพติดให้โทษจนไม่สามารถครองสติได้ หรือ
    (2) ขณะอยู่ภายใต้ฤทธิ์สุรา โดยมีระดับแอลกอฮอล์ในร่างกายขณะตรวจ เทียบเท่ากับระดับแอลกอฮอล์ในเลือดตั้งแต่ 150 มิลลิกรัมเปอร์เซ็นต์ขึ้นไป หรือ
    (3) ขณะอยู่ภายใต้ฤทธิ์สุราจนไม่สามารถครองสติได้  ในกรณีที่ไม่มีการตรวจวัดหรือในกรณีที่ไม่สามารถตรวจวัดระดับแอลกอฮอล์ได้ </t>
  </si>
  <si>
    <t xml:space="preserve">ข้อยกเว้นสัญญาเพิ่มเติมพีบีี ฟิต (PBPDD/PBSDD) มีทั้งหมด 10 ข้อ เช่น
1. ไม่คุ้มครองการเสียชีวิต อันเนื่องมาจากผู้ชำระเบี้ยประกันภัยฆ่าตัวตายด้วยใจสมัครภายในหนึ่งปี (1 ปี) นับตั้งแต่วันเริ่มมีผลคุ้มครองตามสัญญาเพิ่มเติมนี้ หรือหากมีการต่ออายุสัญญาเมื่อสัญญาเพิ่มเติมสิ้นผลบังคับ (Reinstatement) ให้นับแต่วันเริ่มมีผลคุ้มครองตามการต่ออายุครั้งสุดท้าย
ไม่คุ้มครองการทุพพลภาพถาวรสิ้นเชิง ที่เกิดขึ้นอันสืบเนื่องมาจากสาเหตุหรือภาวะแทรกซ้อนดังต่อไปนี้
1. การฆ่าตัวตาย หรือการทำร้ายร่างกายตนเอง หรือพยายามกระทำเช่นว่านั้น
2. การบาดเจ็บขณะที่ผู้ชำระเบี้ยประกันภัยก่ออาชญากรรมที่มีความผิดสถานหนัก หรือขณะถูกจับกุม หรือหลบหนีการจับกุม
3. การบาดเจ็บขณะที่ผู้ชำระเบี้ยประกันภัยกำลังขึ้นหรือกำลังลง หรือโดยสารอยู่ในอากาศยานที่มิได้จดทะเบียนเพื่อบรรทุกผู้โดยสาร  และมิได้ประกอบการโดยสายการบินพาณิชย์
4. การบาดเจ็บขณะที่ผู้ชำระเบี้ยประกันภัยขับขี่หรือปฏิบัติหน้าที่เป็นพนักงานประจำอากาศยานใดๆ
5. การบาดเจ็บขณะที่ผู้ชำระเบี้ยประกันภัยปฏิบัติหน้าที่เป็น ทหาร ตำรวจ หรืออาสาสมัคร และเข้าปฏิบัติการในสงคราม หรือปราบปราม
6. ความบกพร่องทางร่างกาย การป่วย หรือบาดเจ็บ ที่เกี่ยวข้องกับการทุพพลภาพที่แพทย์ยืนยันและมีหลักฐานชัดเจน ซึ่งผู้ชำระเบี้ยประกันภัยทราบอยู่แล้วก่อนวันเริ่มมีผลคุ้มครองตามสัญญาเพิ่มเติมนี้ หรือวันที่บริษัทอนุมัติให้เพิ่มจำนวนเงินเอาประกันภัย หรือวันต่ออายุสัญญากรณีสัญญาเพิ่มเติมสิ้นผลบังคับ (Reinstatement) ครั้งสุดท้าย แต่มิได้แจ้งให้บริษัททราบ เว้นแต่ ผู้ชำระเบี้ยประกันภัย ได้แถลงให้บริษัททราบและบริษัทยินยอมรับความเสี่ยงภัย โดยไม่มีเงื่อนไขยกเว้นความคุ้มครองดังกล่าว
7. การบาดเจ็บที่เกิดขึ้นจากการกระทำของผู้ชำระเบี้ยประกันภัย อันเกิดจาก หรือสืบเนื่องจากสาเหตุภายใต้เงื่อนไขข้อหนึ่งข้อใดดังต่อไปนี้
    (1) ขณะอยู่ภายใต้ฤทธิ์สารเสพติด หรือยาเสพติดให้โทษจนไม่สามารถครองสติได้ หรือ
    (2) ขณะอยู่ภายใต้ฤทธิ์สุรา โดยมีระดับแอลกอฮอล์ในร่างกายขณะตรวจ เทียบเท่ากับระดับแอลกอฮอล์ในเลือดตั้งแต่ 150 มิลลิกรัมเปอร์เซ็นต์ขึ้นไป หรือ
    (3) ขณะอยู่ภายใต้ฤทธิ์สุราจนไม่สามารถครองสติได้  ในกรณีที่ไม่มีการตรวจวัดหรือในกรณีที่ไม่สามารถตรวจวัดระดับแอลกอฮอล์ได้ </t>
  </si>
  <si>
    <t>สัญญาเพิ่มเติมดับบลิวพี บียอนด์ (WPTPDCI)</t>
  </si>
  <si>
    <t>สัญญาเพิ่มเติมพีบี บียอนด์ (PBPDDCI/PBSDDCI)</t>
  </si>
  <si>
    <t>ข้อยกเว้นสัญญาเพิ่มเติมดับบลิวพี บียอนด์ (WPTPDCI) มีทั้งหมด 15 ข้อ เช่น
ไม่คุ้มครองการทุพพลภาพถาวรสิ้นเชิง ที่เกิดขึ้นอันสืบเนื่องมาจากสาเหตุหรือภาวะแทรกซ้อนดังต่อไปนี้
1. การฆ่าตัวตาย หรือการทำร้ายร่างกายตนเอง หรือพยายามกระทำเช่นว่านั้น
2. การบาดเจ็บขณะที่ผู้เอาประกันภัยก่ออาชญากรรมที่มีความผิดสถานหนัก หรือขณะถูกจับกุม หรือหลบหนีการจับกุม
3. การบาดเจ็บขณะที่ผู้เอาประกันภัยกำลังขึ้นหรือกำลังลง หรือโดยสารอยู่ในอากาศยานที่มิได้จดทะเบียนเพื่อบรรทุกผู้โดยสาร  และมิได้ประกอบการโดยสายการบินพาณิชย์
4. การบาดเจ็บขณะที่ผู้เอาประกันภัยขับขี่หรือปฏิบัติหน้าที่เป็นพนักงานประจำอากาศยานใดๆ
5. การบาดเจ็บขณะที่ผู้เอาประกันภัยปฏิบัติหน้าที่เป็น ทหาร ตำรวจ หรืออาสาสมัคร และเข้าปฏิบัติการในสงคราม หรือปราบปราม
6. ความบกพร่องทางร่างกาย การป่วย หรือบาดเจ็บ ที่เกี่ยวข้องกับการทุพพลภาพที่แพทย์ยืนยันและมีหลักฐานชัดเจน ซึ่งผู้เอาประกันภัยทราบอยู่แล้วก่อนวันเริ่มมีผลคุ้มครองตามสัญญาเพิ่มเติมนี้ หรือวันที่บริษัทอนุมัติให้เพิ่มจำนวนเงินเอาประกันภัย หรือวันต่ออายุสัญญากรณีสัญญาเพิ่มเติมสิ้นผลบังคับ (Reinstatement) ครั้งสุดท้าย แต่มิได้แจ้งให้บริษัททราบ เว้นแต่ ผู้เอาประกันภัย ได้แถลงให้บริษัททราบและบริษัทยินยอมรับความเสี่ยงภัย โดยไม่มีเงื่อนไขยกเว้นความคุ้มครองดังกล่าว
7. การบาดเจ็บที่เกิดขึ้นจากการกระทำของผู้เอาประกันภัย อันเกิดจาก หรือสืบเนื่องจากสาเหตุภายใต้เงื่อนไขข้อหนึ่งข้อใดดังต่อไปนี้
    (1) ขณะอยู่ภายใต้ฤทธิ์สารเสพติด หรือยาเสพติดให้โทษจนไม่สามารถครองสติได้ หรือ
    (2) ขณะอยู่ภายใต้ฤทธิ์สุรา โดยมีระดับแอลกอฮอล์ในร่างกายขณะตรวจ เทียบเท่ากับระดับแอลกอฮอล์ในเลือดตั้งแต่ 150 มิลลิกรัมเปอร์เซ็นต์ขึ้นไป หรือ
    (3) ขณะอยู่ภายใต้ฤทธิ์สุราจนไม่สามารถครองสติได้  ในกรณีที่ไม่มีการตรวจวัดหรือในกรณีที่ไม่สามารถตรวจวัดระดับแอลกอฮอล์ได้ 
ไม่คุ้มครองการป่วยด้วยโรคร้ายแรงระยะรุนแรง  ซึ่งเกิดขึ้นโดยทางตรงหรือทางอ้อม ทั้งหมดหรือแต่บางส่วน อันเนื่องมาจากสาเหตุดังต่อไปนี้
1. ความผิดปกติซึ่งแพทย์ยืนยันและมีหลักฐานชัดเจนว่าเกี่ยวข้องกับโรคร้ายแรงหรือโรคร้ายแรงที่เกิดขึ้นก่อนวันเริ่มมีผลคุ้มครองตามสัญญาเพิ่มเติมนี้ หรือก่อนวันที่ให้มีการต่ออายุสัญญาเมื่อสัญญาเพิ่มเติมสิ้นผลบังคับ (Reinstatement) หรือก่อนวันที่บริษัทอนุมัติให้เพิ่มจำนวนเงินเอาประกันภัยของสัญญาเพิ่มเติมนี้ แล้วแต่วันใดจะเกิดขึ้นภายหลัง ทั้งนี้ ในกรณีที่บริษัทอนุมัติให้เพิ่มจำนวนเงินเอาประกันภัย บริษัทจะไม่คุ้มครองเฉพาะในส่วนของจำนวนเงินเอาประกันภัยที่เพิ่มขึ้นเท่านั้น
เว้นแต่ ผู้เอาประกันภัย ได้แถลงให้บริษัททราบและบริษัทยินยอมรับความเสี่ยงภัย โดยไม่มีเงื่อนไขยกเว้นความคุ้มครองดังกล่าว
2. การฆ่าตัวตาย หรือการทำร้ายร่างกายตนเอง หรือพยายามกระทำเช่นว่านั้น
3. ผู้เอาประกันภัยปฏิเสธไม่ยอมรับการรักษา แนะนำ หรือ ปฏิบัติตามคำแนะนำของแพทย์
4. การติดเชื้อไวรัสภูมิคุ้มกันบกพร่อง (HIV Positive) หรือภาวะของโรคภูมิคุ้มกันบกพร่อง (AIDS) ของผู้เอาประกันภัย ไม่ว่าจะทางตรงหรือทางอ้อมก็ตาม</t>
  </si>
  <si>
    <t>ข้อยกเว้นสัญญาเพิ่มเติมพีบีี บียอนด์ (PBPDDCI/PBSDDCI) มีทั้งหมด 16 ข้อ เช่น
1. ไม่คุ้มครองการเสียชีวิต อันเนื่องมาจากผู้ชำระเบี้ยประกันภัยฆ่าตัวตายด้วยใจสมัครภายในหนึ่งปี (1 ปี) นับตั้งแต่วันเริ่มมีผลคุ้มครองตามสัญญาเพิ่มเติมนี้ หรือหากมีการต่ออายุสัญญาเมื่อสัญญาเพิ่มเติมสิ้นผลบังคับ (Reinstatement) ให้นับแต่วันเริ่มมีผลคุ้มครองตามการต่ออายุครั้งสุดท้าย
ไม่คุ้มครองการทุพพลภาพถาวรสิ้นเชิง ที่เกิดขึ้นอันสืบเนื่องมาจากสาเหตุหรือภาวะแทรกซ้อนดังต่อไปนี้
1. การฆ่าตัวตาย หรือการทำร้ายร่างกายตนเอง หรือพยายามกระทำเช่นว่านั้น
2. การบาดเจ็บขณะที่ผู้ชำระเบี้ยประกันภัยก่ออาชญากรรมที่มีความผิดสถานหนัก หรือขณะถูกจับกุม หรือหลบหนีการจับกุม
3. การบาดเจ็บขณะที่ผู้ชำระเบี้ยประกันภัยกำลังขึ้นหรือกำลังลง หรือโดยสารอยู่ในอากาศยานที่มิได้จดทะเบียนเพื่อบรรทุกผู้โดยสาร  และมิได้ประกอบการโดยสายการบินพาณิชย์
4. การบาดเจ็บขณะที่ผู้ชำระเบี้ยประกันภัยขับขี่หรือปฏิบัติหน้าที่เป็นพนักงานประจำอากาศยานใดๆ
5. การบาดเจ็บขณะที่ผู้ชำระเบี้ยประกันภัยปฏิบัติหน้าที่เป็น ทหาร ตำรวจ หรืออาสาสมัคร และเข้าปฏิบัติการในสงคราม หรือปราบปราม
6. ความบกพร่องทางร่างกาย การป่วย หรือบาดเจ็บ ที่เกี่ยวข้องกับการทุพพลภาพที่แพทย์ยืนยันและมีหลักฐานชัดเจน ซึ่งผู้ชำระเบี้ยประกันภัยทราบอยู่แล้วก่อนวันเริ่มมีผลคุ้มครองตามสัญญาเพิ่มเติมนี้ หรือวันที่บริษัทอนุมัติให้เพิ่มจำนวนเงินเอาประกันภัย หรือวันต่ออายุสัญญากรณีสัญญาเพิ่มเติมสิ้นผลบังคับ (Reinstatement) ครั้งสุดท้าย แต่มิได้แจ้งให้บริษัททราบ เว้นแต่ ผู้ชำระเบี้ยประกันภัย ได้แถลงให้บริษัททราบและบริษัทยินยอมรับความเสี่ยงภัย โดยไม่มีเงื่อนไขยกเว้นความคุ้มครองดังกล่าว
7. การบาดเจ็บที่เกิดขึ้นจากการกระทำของผู้ชำระเบี้ยประกันภัย อันเกิดจาก หรือสืบเนื่องจากสาเหตุภายใต้เงื่อนไขข้อหนึ่งข้อใดดังต่อไปนี้
    (1) ขณะอยู่ภายใต้ฤทธิ์สารเสพติด หรือยาเสพติดให้โทษจนไม่สามารถครองสติได้ หรือ
    (2) ขณะอยู่ภายใต้ฤทธิ์สุรา โดยมีระดับแอลกอฮอล์ในร่างกายขณะตรวจ เทียบเท่ากับระดับแอลกอฮอล์ในเลือดตั้งแต่ 150 มิลลิกรัมเปอร์เซ็นต์ขึ้นไป หรือ
    (3) ขณะอยู่ภายใต้ฤทธิ์สุราจนไม่สามารถครองสติได้  ในกรณีที่ไม่มีการตรวจวัดหรือในกรณีที่ไม่สามารถตรวจวัดระดับแอลกอฮอล์ได้ 
ไม่คุ้มครองการป่วยด้วยโรคร้ายแรงระยะรุนแรง  ซึ่งเกิดขึ้นโดยทางตรงหรือทางอ้อม ทั้งหมดหรือแต่บางส่วน อันเนื่องมาจากสาเหตุดังต่อไปนี้
1. ความผิดปกติซึ่งแพทย์ยืนยันและมีหลักฐานชัดเจนว่าเกี่ยวข้องกับโรคร้ายแรงหรือโรคร้ายแรงที่เกิดขึ้นก่อนวันเริ่มมีผลคุ้มครองตามสัญญาเพิ่มเติมนี้ หรือก่อนวันที่ให้มีการต่ออายุสัญญาเมื่อสัญญาเพิ่มเติมสิ้นผลบังคับ (Reinstatement) หรือก่อนวันที่บริษัทอนุมัติให้เพิ่มจำนวนเงินเอาประกันภัยของสัญญาเพิ่มเติมนี้ แล้วแต่วันใดจะเกิดขึ้นภายหลัง ทั้งนี้ ในกรณีที่บริษัทอนุมัติให้เพิ่มจำนวนเงินเอาประกันภัย บริษัทจะไม่คุ้มครองเฉพาะในส่วนของจำนวนเงินเอาประกันภัยที่เพิ่มขึ้นเท่านั้น
เว้นแต่ ผู้ชำระเบี้ยประกันภัย ได้แถลงให้บริษัททราบและบริษัทยินยอมรับความเสี่ยงภัย โดยไม่มีเงื่อนไขยกเว้นความคุ้มครองดังกล่าว
2. การฆ่าตัวตาย หรือการทำร้ายร่างกายตนเอง หรือพยายามกระทำเช่นว่านั้น
3. ผู้ชำระเบี้ยประกันภัยปฏิเสธไม่ยอมรับการรักษา แนะนำ หรือ ปฏิบัติตามคำแนะนำของแพทย์
4. การติดเชื้อไวรัสภูมิคุ้มกันบกพร่อง (HIV Positive) หรือภาวะของโรคภูมิคุ้มกันบกพร่อง (AIDS) ของผู้ชำระเบี้ยประกันภัย ไม่ว่าจะทางตรงหรือทางอ้อมก็ตาม</t>
  </si>
  <si>
    <t>Payment payment term</t>
  </si>
  <si>
    <t>period to waive premium</t>
  </si>
  <si>
    <t>from product Spec : WP</t>
  </si>
  <si>
    <t>PB Parent</t>
  </si>
  <si>
    <t>PB Spouse</t>
  </si>
  <si>
    <t>Confirm final formula for new WP / PB</t>
  </si>
  <si>
    <t>หมายเหตุ: ในกรณีที่จำนวนเงินเอาประกันภัยสัญญาหลักมากกว่า 30 ล้านบาท เบี้ยประกันภัยสัญญาหลักที่จะได้รับการยกเว้นจะเป็นเบี้ยประกันภัยเฉพาะในส่วน
ของจำนวนเงินเอาประกันภัย 30 ล้านบาทเท่านั้น ทั้งนี้ เบี้ยประกันภัยสัญญาหลักในส่วนของจำนวนเงินเอาประกันภัยที่เกิน 30 ล้านบาท จะไม่ได้รับการยกเว้น</t>
  </si>
  <si>
    <t>Basic SA</t>
  </si>
  <si>
    <t xml:space="preserve">กรณีผู้เอาประกันภัยตกเป็นบุคคลทุพพลภาพถาวรสิ้นเชิง หรือเจ็บป่วยจาก 50 โรคร้ายแรงระยะรุนแรงที่คุ้มครอง บริษัทจะยกเว้นเบี้ยประกันภัยของสัญญาหลักให้ และการยกเว้นเบี้ยประกันภัยดังกล่าวจะสิ้นสุดลงเมื่อสิ้นสุดระยะเวลาชำระเบี้ยประกันภัยของสัญญาหลัก
ทั้งนี้ จะไม่คุ้มครองการป่วยด้วยโรคร้ายแรงระยะรุนแรงดังกล่าว ที่เกิดขึ้นภายในระยะเวลาที่ไม่คุ้มครอง (Waiting Period) 60 วัน นับแต่วันเริ่มมีผลคุ้มครองตามสัญญาเพิ่มเติมนี้ หรือวันเริ่มมีผลคุ้มครองตามการต่ออายุครั้งสุดท้าย หรือวันที่บริษัทอนุมัติให้เพิ่มจำนวนเงินเอาประกันภัยของสัญญาเพิ่มเติมนี้ แล้วแต่วันใดจะเกิดขึ้นภายหลัง </t>
  </si>
  <si>
    <t xml:space="preserve">กรณีผู้ชำระเบี้ยประกันภัย (ผู้ปกครองของผู้เยาว์) เสียชีวิต หรือตกเป็นบุคคลทุพพลภาพถาวรสิ้นเชิง หรือเจ็บป่วยจาก 50 โรคร้ายแรงระยะรุนแรงที่คุ้มครอง บริษัทจะยกเว้นเบี้ยประกันภัยของสัญญาหลักให้ และการยกเว้นเบี้ยประกันภัยดังกล่าวจะสิ้นสุดลงเมื่อสิ้นสุดระยะเวลาชำระเบี้ยประกันภัยของสัญญาหลัก หรือ ณ วันครบรอบปีกรมธรรม์ที่ผู้เอาประกันภัย (ผู้เยาว์) มีอายุครบ 25 ปี แล้วแต่กรณีใดจะเกิดขึ้นก่อน
ทั้งนี้ จะไม่คุ้มครองการป่วยด้วยโรคร้ายแรงระยะรุนแรงดังกล่าว ที่เกิดขึ้นภายในระยะเวลาที่ไม่คุ้มครอง (Waiting Period) 60 วัน นับแต่วันเริ่มมีผลคุ้มครองตามสัญญาเพิ่มเติมนี้ หรือวันเริ่มมีผลคุ้มครองตามการต่ออายุครั้งสุดท้าย หรือวันที่บริษัทอนุมัติให้เพิ่มจำนวนเงินเอาประกันภัยของสัญญาเพิ่มเติมนี้ แล้วแต่วันใดจะเกิดขึ้นภายหลัง </t>
  </si>
  <si>
    <t xml:space="preserve">กรณีผู้ชำระเบี้ยประกันภัย (คู่สมรสของผู้เอาประกันภัย) เสียชีวิต หรือตกเป็นบุคคลทุพพลภาพถาวรสิ้นเชิง หรือเจ็บป่วยจาก 50 โรคร้ายแรงระยะรุนแรงที่คุ้มครอง บริษัทจะยกเว้นเบี้ยประกันภัยของสัญญาหลักให้ และการยกเว้นเบี้ยประกันภัยดังกล่าวจะสิ้นสุดลงเมื่อสิ้นสุดระยะเวลาชำระเบี้ยประกันภัยของสัญญาหลัก
ทั้งนี้ จะไม่คุ้มครองการป่วยด้วยโรคร้ายแรงระยะรุนแรงดังกล่าว ที่เกิดขึ้นภายในระยะเวลาที่ไม่คุ้มครอง (Waiting Period) 60 วัน นับแต่วันเริ่มมีผลคุ้มครองตามสัญญาเพิ่มเติมนี้ หรือวันเริ่มมีผลคุ้มครองตามการต่ออายุครั้งสุดท้าย หรือวันที่บริษัทอนุมัติให้เพิ่มจำนวนเงินเอาประกันภัยของสัญญาเพิ่มเติมนี้ แล้วแต่วันใดจะเกิดขึ้นภายหลัง </t>
  </si>
  <si>
    <t>Plancode PB &gt;&gt;</t>
  </si>
  <si>
    <t>Final Formular  แก้เพื่อให้ตรงกับ RLS</t>
  </si>
  <si>
    <t xml:space="preserve">เลขที่ 9 อาคาร จี ทาวเวอร์ แกรนด์ รามา 9 ชั้น 1,22-27 ถนนพระราม 9 แขวงห้วยขวาง เขตห้วยขวาง กทม. 10310  เลขทะเบียนบริษัทฯ 0107555000376 </t>
  </si>
  <si>
    <t>- กรณีที่ต้องการซื้อ WP หรือ PB ให้คลิกเลือก "ซื้อ" โดยไม่ต้องกรอกจำนวนเงินเอาประกันภัย</t>
  </si>
  <si>
    <t>3. ตัวแทน, นายหน้าประกันชีวิต, ลูกจ้าง, หรือพนักงานบริษัท ได้อธิบายว่าการชำระเงินในแต่ละงวดคือการชำระเบี้ยประกันภัย ไม่ได้เป็นการฝากเงินหรือออมเงินกับธนาคาร</t>
  </si>
  <si>
    <t>4. ในกรณีที่ข้าพเจ้าต้องการเวนคืนกรมธรรม์ข้าพเจ้าจะได้รับเงินค่าเวนคืนกรมธรรม์ประกันภัยตามที่ได้ระบุไว้ในเอกสารนี้ ซึ่งอาจน้อยกว่าเบี้ยประกันภัยที่ข้าพเจ้าได้ชำระมาแล้ว</t>
  </si>
  <si>
    <t>กรมธรรม์ใช้เงินสำเร็จ</t>
  </si>
  <si>
    <t>กรมธรรม์แบบขยายเวลา</t>
  </si>
  <si>
    <t>เงินจ่ายคืนทันที</t>
  </si>
  <si>
    <t>มูลค่าใช้เงินสำเร็จ</t>
  </si>
  <si>
    <t>ระยะเวลาที่ขยาย</t>
  </si>
  <si>
    <t>เงินครบกำหนด</t>
  </si>
  <si>
    <t>วัน</t>
  </si>
  <si>
    <t>PVL00</t>
  </si>
  <si>
    <t>PVL01</t>
  </si>
  <si>
    <t>PVL02</t>
  </si>
  <si>
    <t>PVL03</t>
  </si>
  <si>
    <t>PVL04</t>
  </si>
  <si>
    <t>PVL05</t>
  </si>
  <si>
    <t>PVL06</t>
  </si>
  <si>
    <t>PVL07</t>
  </si>
  <si>
    <t>PVL08</t>
  </si>
  <si>
    <t>PVL09</t>
  </si>
  <si>
    <t>PVL10</t>
  </si>
  <si>
    <t>PVL11</t>
  </si>
  <si>
    <t>PVL12</t>
  </si>
  <si>
    <t>PVL13</t>
  </si>
  <si>
    <t>PVL14</t>
  </si>
  <si>
    <t>PVL15</t>
  </si>
  <si>
    <t>PVL16</t>
  </si>
  <si>
    <t>PVL17</t>
  </si>
  <si>
    <t>PVL18</t>
  </si>
  <si>
    <t>PVL19</t>
  </si>
  <si>
    <t>PVL20</t>
  </si>
  <si>
    <t>PVL21</t>
  </si>
  <si>
    <t>PVL22</t>
  </si>
  <si>
    <t>PVL23</t>
  </si>
  <si>
    <t>PVL24</t>
  </si>
  <si>
    <t>PVL25</t>
  </si>
  <si>
    <t>PVL26</t>
  </si>
  <si>
    <t>PVL27</t>
  </si>
  <si>
    <t>PVL28</t>
  </si>
  <si>
    <t>PVL29</t>
  </si>
  <si>
    <t>PVL30</t>
  </si>
  <si>
    <t>PVL31</t>
  </si>
  <si>
    <t>PVL32</t>
  </si>
  <si>
    <t>PVL33</t>
  </si>
  <si>
    <t>PVL34</t>
  </si>
  <si>
    <t>PVL35</t>
  </si>
  <si>
    <t>PVL36</t>
  </si>
  <si>
    <t>PVL37</t>
  </si>
  <si>
    <t>PVL38</t>
  </si>
  <si>
    <t>PVL39</t>
  </si>
  <si>
    <t>PVL40</t>
  </si>
  <si>
    <t>PVL41</t>
  </si>
  <si>
    <t>PVL42</t>
  </si>
  <si>
    <t>PVL43</t>
  </si>
  <si>
    <t>PVL44</t>
  </si>
  <si>
    <t>PVL45</t>
  </si>
  <si>
    <t>PVL46</t>
  </si>
  <si>
    <t>PVL47</t>
  </si>
  <si>
    <t>PVL48</t>
  </si>
  <si>
    <t>PVL49</t>
  </si>
  <si>
    <t>PVL50</t>
  </si>
  <si>
    <t>PVL51</t>
  </si>
  <si>
    <t>PVL52</t>
  </si>
  <si>
    <t>PVL53</t>
  </si>
  <si>
    <t>PVL54</t>
  </si>
  <si>
    <t>PVL55</t>
  </si>
  <si>
    <t>PVL56</t>
  </si>
  <si>
    <t>PVL57</t>
  </si>
  <si>
    <t>PVL58</t>
  </si>
  <si>
    <t>PVL59</t>
  </si>
  <si>
    <t>PVL60</t>
  </si>
  <si>
    <t>PVL61</t>
  </si>
  <si>
    <t>PVL62</t>
  </si>
  <si>
    <t>PVL63</t>
  </si>
  <si>
    <t>PVL64</t>
  </si>
  <si>
    <t>PVL65</t>
  </si>
  <si>
    <t>PVL66</t>
  </si>
  <si>
    <t>PVL67</t>
  </si>
  <si>
    <t>PVL68</t>
  </si>
  <si>
    <t>PVL69</t>
  </si>
  <si>
    <t>PVL70</t>
  </si>
  <si>
    <t>PVL71</t>
  </si>
  <si>
    <t>PVL72</t>
  </si>
  <si>
    <t>PVL73</t>
  </si>
  <si>
    <t>PVL74</t>
  </si>
  <si>
    <t>PVL75</t>
  </si>
  <si>
    <t>PVL76</t>
  </si>
  <si>
    <t>PVL77</t>
  </si>
  <si>
    <t>PVL78</t>
  </si>
  <si>
    <t>PVL79</t>
  </si>
  <si>
    <t>PVL80</t>
  </si>
  <si>
    <t>PVL81</t>
  </si>
  <si>
    <t>PVL82</t>
  </si>
  <si>
    <t>PVL83</t>
  </si>
  <si>
    <t>PVL84</t>
  </si>
  <si>
    <t>PVL85</t>
  </si>
  <si>
    <t>PVL86</t>
  </si>
  <si>
    <t>PVL87</t>
  </si>
  <si>
    <t>PVL88</t>
  </si>
  <si>
    <t>PVL89</t>
  </si>
  <si>
    <t>PVL90</t>
  </si>
  <si>
    <t>PVL91</t>
  </si>
  <si>
    <t>PVL92</t>
  </si>
  <si>
    <t>PVL93</t>
  </si>
  <si>
    <t>PVL94</t>
  </si>
  <si>
    <t>PVL95</t>
  </si>
  <si>
    <t>PVL96</t>
  </si>
  <si>
    <t>PVL97</t>
  </si>
  <si>
    <t>PVL98</t>
  </si>
  <si>
    <t>PVL99</t>
  </si>
  <si>
    <t>PVL100</t>
  </si>
  <si>
    <t>ETA00</t>
  </si>
  <si>
    <t>ETA01</t>
  </si>
  <si>
    <t>ETA02</t>
  </si>
  <si>
    <t>ETA03</t>
  </si>
  <si>
    <t>ETA04</t>
  </si>
  <si>
    <t>ETA05</t>
  </si>
  <si>
    <t>ETA06</t>
  </si>
  <si>
    <t>ETA07</t>
  </si>
  <si>
    <t>ETA08</t>
  </si>
  <si>
    <t>ETA09</t>
  </si>
  <si>
    <t>ETA10</t>
  </si>
  <si>
    <t>ETA11</t>
  </si>
  <si>
    <t>ETA12</t>
  </si>
  <si>
    <t>ETA13</t>
  </si>
  <si>
    <t>ETA14</t>
  </si>
  <si>
    <t>ETA15</t>
  </si>
  <si>
    <t>ETA16</t>
  </si>
  <si>
    <t>ETA17</t>
  </si>
  <si>
    <t>ETA18</t>
  </si>
  <si>
    <t>ETA19</t>
  </si>
  <si>
    <t>ETA20</t>
  </si>
  <si>
    <t>ETA21</t>
  </si>
  <si>
    <t>ETA22</t>
  </si>
  <si>
    <t>ETA23</t>
  </si>
  <si>
    <t>ETA24</t>
  </si>
  <si>
    <t>ETA25</t>
  </si>
  <si>
    <t>ETA26</t>
  </si>
  <si>
    <t>ETA27</t>
  </si>
  <si>
    <t>ETA28</t>
  </si>
  <si>
    <t>ETA29</t>
  </si>
  <si>
    <t>ETA30</t>
  </si>
  <si>
    <t>ETA31</t>
  </si>
  <si>
    <t>ETA32</t>
  </si>
  <si>
    <t>ETA33</t>
  </si>
  <si>
    <t>ETA34</t>
  </si>
  <si>
    <t>ETA35</t>
  </si>
  <si>
    <t>ETA36</t>
  </si>
  <si>
    <t>ETA37</t>
  </si>
  <si>
    <t>ETA38</t>
  </si>
  <si>
    <t>ETA39</t>
  </si>
  <si>
    <t>ETA40</t>
  </si>
  <si>
    <t>ETA41</t>
  </si>
  <si>
    <t>ETA42</t>
  </si>
  <si>
    <t>ETA43</t>
  </si>
  <si>
    <t>ETA44</t>
  </si>
  <si>
    <t>ETA45</t>
  </si>
  <si>
    <t>ETA46</t>
  </si>
  <si>
    <t>ETA47</t>
  </si>
  <si>
    <t>ETA48</t>
  </si>
  <si>
    <t>ETA49</t>
  </si>
  <si>
    <t>ETA50</t>
  </si>
  <si>
    <t>ETA51</t>
  </si>
  <si>
    <t>ETA52</t>
  </si>
  <si>
    <t>ETA53</t>
  </si>
  <si>
    <t>ETA54</t>
  </si>
  <si>
    <t>ETA55</t>
  </si>
  <si>
    <t>ETA56</t>
  </si>
  <si>
    <t>ETA57</t>
  </si>
  <si>
    <t>ETA58</t>
  </si>
  <si>
    <t>ETA59</t>
  </si>
  <si>
    <t>ETA60</t>
  </si>
  <si>
    <t>ETA61</t>
  </si>
  <si>
    <t>ETA62</t>
  </si>
  <si>
    <t>ETA63</t>
  </si>
  <si>
    <t>ETA64</t>
  </si>
  <si>
    <t>ETA65</t>
  </si>
  <si>
    <t>ETA66</t>
  </si>
  <si>
    <t>ETA67</t>
  </si>
  <si>
    <t>ETA68</t>
  </si>
  <si>
    <t>ETA69</t>
  </si>
  <si>
    <t>ETA70</t>
  </si>
  <si>
    <t>ETA71</t>
  </si>
  <si>
    <t>ETA72</t>
  </si>
  <si>
    <t>ETA73</t>
  </si>
  <si>
    <t>ETA74</t>
  </si>
  <si>
    <t>ETA75</t>
  </si>
  <si>
    <t>ETA76</t>
  </si>
  <si>
    <t>ETA77</t>
  </si>
  <si>
    <t>ETA78</t>
  </si>
  <si>
    <t>ETA79</t>
  </si>
  <si>
    <t>ETA80</t>
  </si>
  <si>
    <t>ETA81</t>
  </si>
  <si>
    <t>ETA82</t>
  </si>
  <si>
    <t>ETA83</t>
  </si>
  <si>
    <t>ETA84</t>
  </si>
  <si>
    <t>ETA85</t>
  </si>
  <si>
    <t>ETA86</t>
  </si>
  <si>
    <t>ETA87</t>
  </si>
  <si>
    <t>ETA88</t>
  </si>
  <si>
    <t>ETA89</t>
  </si>
  <si>
    <t>ETA90</t>
  </si>
  <si>
    <t>ETA91</t>
  </si>
  <si>
    <t>ETA92</t>
  </si>
  <si>
    <t>ETA93</t>
  </si>
  <si>
    <t>ETA94</t>
  </si>
  <si>
    <t>ETA95</t>
  </si>
  <si>
    <t>ETA96</t>
  </si>
  <si>
    <t>ETA97</t>
  </si>
  <si>
    <t>ETA98</t>
  </si>
  <si>
    <t>ETA99</t>
  </si>
  <si>
    <t>ETA100</t>
  </si>
  <si>
    <t>PEN00</t>
  </si>
  <si>
    <t>PEN01</t>
  </si>
  <si>
    <t>PEN02</t>
  </si>
  <si>
    <t>PEN03</t>
  </si>
  <si>
    <t>PEN04</t>
  </si>
  <si>
    <t>PEN05</t>
  </si>
  <si>
    <t>PEN06</t>
  </si>
  <si>
    <t>PEN07</t>
  </si>
  <si>
    <t>PEN08</t>
  </si>
  <si>
    <t>PEN09</t>
  </si>
  <si>
    <t>PEN10</t>
  </si>
  <si>
    <t>PEN11</t>
  </si>
  <si>
    <t>PEN12</t>
  </si>
  <si>
    <t>PEN13</t>
  </si>
  <si>
    <t>PEN14</t>
  </si>
  <si>
    <t>PEN15</t>
  </si>
  <si>
    <t>PEN16</t>
  </si>
  <si>
    <t>PEN17</t>
  </si>
  <si>
    <t>PEN18</t>
  </si>
  <si>
    <t>PEN19</t>
  </si>
  <si>
    <t>PEN20</t>
  </si>
  <si>
    <t>PEN21</t>
  </si>
  <si>
    <t>PEN22</t>
  </si>
  <si>
    <t>PEN23</t>
  </si>
  <si>
    <t>PEN24</t>
  </si>
  <si>
    <t>PEN25</t>
  </si>
  <si>
    <t>PEN26</t>
  </si>
  <si>
    <t>PEN27</t>
  </si>
  <si>
    <t>PEN28</t>
  </si>
  <si>
    <t>PEN29</t>
  </si>
  <si>
    <t>PEN30</t>
  </si>
  <si>
    <t>PEN31</t>
  </si>
  <si>
    <t>PEN32</t>
  </si>
  <si>
    <t>PEN33</t>
  </si>
  <si>
    <t>PEN34</t>
  </si>
  <si>
    <t>PEN35</t>
  </si>
  <si>
    <t>PEN36</t>
  </si>
  <si>
    <t>PEN37</t>
  </si>
  <si>
    <t>PEN38</t>
  </si>
  <si>
    <t>PEN39</t>
  </si>
  <si>
    <t>PEN40</t>
  </si>
  <si>
    <t>PEN41</t>
  </si>
  <si>
    <t>PEN42</t>
  </si>
  <si>
    <t>PEN43</t>
  </si>
  <si>
    <t>PEN44</t>
  </si>
  <si>
    <t>PEN45</t>
  </si>
  <si>
    <t>PEN46</t>
  </si>
  <si>
    <t>PEN47</t>
  </si>
  <si>
    <t>PEN48</t>
  </si>
  <si>
    <t>PEN49</t>
  </si>
  <si>
    <t>PEN50</t>
  </si>
  <si>
    <t>PEN51</t>
  </si>
  <si>
    <t>PEN52</t>
  </si>
  <si>
    <t>PEN53</t>
  </si>
  <si>
    <t>PEN54</t>
  </si>
  <si>
    <t>PEN55</t>
  </si>
  <si>
    <t>PEN56</t>
  </si>
  <si>
    <t>PEN57</t>
  </si>
  <si>
    <t>PEN58</t>
  </si>
  <si>
    <t>PEN59</t>
  </si>
  <si>
    <t>PEN60</t>
  </si>
  <si>
    <t>PEN61</t>
  </si>
  <si>
    <t>PEN62</t>
  </si>
  <si>
    <t>PEN63</t>
  </si>
  <si>
    <t>PEN64</t>
  </si>
  <si>
    <t>PEN65</t>
  </si>
  <si>
    <t>PEN66</t>
  </si>
  <si>
    <t>PEN67</t>
  </si>
  <si>
    <t>PEN68</t>
  </si>
  <si>
    <t>PEN69</t>
  </si>
  <si>
    <t>PEN70</t>
  </si>
  <si>
    <t>PEN71</t>
  </si>
  <si>
    <t>PEN72</t>
  </si>
  <si>
    <t>PEN73</t>
  </si>
  <si>
    <t>PEN74</t>
  </si>
  <si>
    <t>PEN75</t>
  </si>
  <si>
    <t>PEN76</t>
  </si>
  <si>
    <t>PEN77</t>
  </si>
  <si>
    <t>PEN78</t>
  </si>
  <si>
    <t>PEN79</t>
  </si>
  <si>
    <t>PEN80</t>
  </si>
  <si>
    <t>PEN81</t>
  </si>
  <si>
    <t>PEN82</t>
  </si>
  <si>
    <t>PEN83</t>
  </si>
  <si>
    <t>PEN84</t>
  </si>
  <si>
    <t>PEN85</t>
  </si>
  <si>
    <t>PEN86</t>
  </si>
  <si>
    <t>PEN87</t>
  </si>
  <si>
    <t>PEN88</t>
  </si>
  <si>
    <t>PEN89</t>
  </si>
  <si>
    <t>PEN90</t>
  </si>
  <si>
    <t>PEN91</t>
  </si>
  <si>
    <t>PEN92</t>
  </si>
  <si>
    <t>PEN93</t>
  </si>
  <si>
    <t>PEN94</t>
  </si>
  <si>
    <t>PEN95</t>
  </si>
  <si>
    <t>PEN96</t>
  </si>
  <si>
    <t>PEN97</t>
  </si>
  <si>
    <t>PEN98</t>
  </si>
  <si>
    <t>PEN99</t>
  </si>
  <si>
    <t>PEN100</t>
  </si>
  <si>
    <t>RPU</t>
  </si>
  <si>
    <t>จำนวนเงินจ่ายคืนทันที</t>
  </si>
  <si>
    <t>RPU Year 0</t>
  </si>
  <si>
    <t>ETI Year 0</t>
  </si>
  <si>
    <t>PEN Year 0</t>
  </si>
  <si>
    <t>RPU Year 1</t>
  </si>
  <si>
    <t>ETI Year 1</t>
  </si>
  <si>
    <t>PEN Year 1</t>
  </si>
  <si>
    <t>RPU Year 2</t>
  </si>
  <si>
    <t>ETI Year 2</t>
  </si>
  <si>
    <t>PEN Year 2</t>
  </si>
  <si>
    <t>RPU Year 3</t>
  </si>
  <si>
    <t>ETI Year 3</t>
  </si>
  <si>
    <t>PEN Year 3</t>
  </si>
  <si>
    <t>RPU Year 4</t>
  </si>
  <si>
    <t>ETI Year 4</t>
  </si>
  <si>
    <t>PEN Year 4</t>
  </si>
  <si>
    <t>RPU Year 5</t>
  </si>
  <si>
    <t>ETI Year 5</t>
  </si>
  <si>
    <t>PEN Year 5</t>
  </si>
  <si>
    <t>RPU Year 6</t>
  </si>
  <si>
    <t>ETI Year 6</t>
  </si>
  <si>
    <t>PEN Year 6</t>
  </si>
  <si>
    <t>RPU Year 7</t>
  </si>
  <si>
    <t>ETI Year 7</t>
  </si>
  <si>
    <t>PEN Year 7</t>
  </si>
  <si>
    <t>RPU Year 8</t>
  </si>
  <si>
    <t>ETI Year 8</t>
  </si>
  <si>
    <t>PEN Year 8</t>
  </si>
  <si>
    <t>RPU Year 9</t>
  </si>
  <si>
    <t>ETI Year 9</t>
  </si>
  <si>
    <t>PEN Year 9</t>
  </si>
  <si>
    <t>RPU Year 10</t>
  </si>
  <si>
    <t>ETI Year 10</t>
  </si>
  <si>
    <t>PEN Year 10</t>
  </si>
  <si>
    <t>RPU Year 11</t>
  </si>
  <si>
    <t>ETI Year 11</t>
  </si>
  <si>
    <t>PEN Year 11</t>
  </si>
  <si>
    <t>RPU Year 12</t>
  </si>
  <si>
    <t>ETI Year 12</t>
  </si>
  <si>
    <t>PEN Year 12</t>
  </si>
  <si>
    <t>RPU Year 13</t>
  </si>
  <si>
    <t>ETI Year 13</t>
  </si>
  <si>
    <t>PEN Year 13</t>
  </si>
  <si>
    <t>RPU Year 14</t>
  </si>
  <si>
    <t>ETI Year 14</t>
  </si>
  <si>
    <t>PEN Year 14</t>
  </si>
  <si>
    <t>RPU Year 15</t>
  </si>
  <si>
    <t>ETI Year 15</t>
  </si>
  <si>
    <t>PEN Year 15</t>
  </si>
  <si>
    <t>RPU Year 16</t>
  </si>
  <si>
    <t>ETI Year 16</t>
  </si>
  <si>
    <t>PEN Year 16</t>
  </si>
  <si>
    <t>RPU Year 17</t>
  </si>
  <si>
    <t>ETI Year 17</t>
  </si>
  <si>
    <t>PEN Year 17</t>
  </si>
  <si>
    <t>RPU Year 18</t>
  </si>
  <si>
    <t>ETI Year 18</t>
  </si>
  <si>
    <t>PEN Year 18</t>
  </si>
  <si>
    <t>RPU Year 19</t>
  </si>
  <si>
    <t>ETI Year 19</t>
  </si>
  <si>
    <t>PEN Year 19</t>
  </si>
  <si>
    <t>RPU Year 20</t>
  </si>
  <si>
    <t>ETI Year 20</t>
  </si>
  <si>
    <t>PEN Year 20</t>
  </si>
  <si>
    <t>RPU Year 21</t>
  </si>
  <si>
    <t>ETI Year 21</t>
  </si>
  <si>
    <t>PEN Year 21</t>
  </si>
  <si>
    <t>RPU Year 22</t>
  </si>
  <si>
    <t>ETI Year 22</t>
  </si>
  <si>
    <t>PEN Year 22</t>
  </si>
  <si>
    <t>RPU Year 23</t>
  </si>
  <si>
    <t>ETI Year 23</t>
  </si>
  <si>
    <t>PEN Year 23</t>
  </si>
  <si>
    <t>RPU Year 24</t>
  </si>
  <si>
    <t>ETI Year 24</t>
  </si>
  <si>
    <t>PEN Year 24</t>
  </si>
  <si>
    <t>RPU Year 25</t>
  </si>
  <si>
    <t>ETI Year 25</t>
  </si>
  <si>
    <t>PEN Year 25</t>
  </si>
  <si>
    <t>RPU Year 26</t>
  </si>
  <si>
    <t>ETI Year 26</t>
  </si>
  <si>
    <t>PEN Year 26</t>
  </si>
  <si>
    <t>RPU Year 27</t>
  </si>
  <si>
    <t>ETI Year 27</t>
  </si>
  <si>
    <t>PEN Year 27</t>
  </si>
  <si>
    <t>RPU Year 28</t>
  </si>
  <si>
    <t>ETI Year 28</t>
  </si>
  <si>
    <t>PEN Year 28</t>
  </si>
  <si>
    <t>RPU Year 29</t>
  </si>
  <si>
    <t>ETI Year 29</t>
  </si>
  <si>
    <t>PEN Year 29</t>
  </si>
  <si>
    <t>RPU Year 30</t>
  </si>
  <si>
    <t>ETI Year 30</t>
  </si>
  <si>
    <t>PEN Year 30</t>
  </si>
  <si>
    <t>RPU Year 31</t>
  </si>
  <si>
    <t>ETI Year 31</t>
  </si>
  <si>
    <t>PEN Year 31</t>
  </si>
  <si>
    <t>RPU Year 32</t>
  </si>
  <si>
    <t>ETI Year 32</t>
  </si>
  <si>
    <t>PEN Year 32</t>
  </si>
  <si>
    <t>RPU Year 33</t>
  </si>
  <si>
    <t>ETI Year 33</t>
  </si>
  <si>
    <t>PEN Year 33</t>
  </si>
  <si>
    <t>RPU Year 34</t>
  </si>
  <si>
    <t>ETI Year 34</t>
  </si>
  <si>
    <t>PEN Year 34</t>
  </si>
  <si>
    <t>RPU Year 35</t>
  </si>
  <si>
    <t>ETI Year 35</t>
  </si>
  <si>
    <t>PEN Year 35</t>
  </si>
  <si>
    <t>RPU Year 36</t>
  </si>
  <si>
    <t>ETI Year 36</t>
  </si>
  <si>
    <t>PEN Year 36</t>
  </si>
  <si>
    <t>RPU Year 37</t>
  </si>
  <si>
    <t>ETI Year 37</t>
  </si>
  <si>
    <t>PEN Year 37</t>
  </si>
  <si>
    <t>RPU Year 38</t>
  </si>
  <si>
    <t>ETI Year 38</t>
  </si>
  <si>
    <t>PEN Year 38</t>
  </si>
  <si>
    <t>RPU Year 39</t>
  </si>
  <si>
    <t>ETI Year 39</t>
  </si>
  <si>
    <t>PEN Year 39</t>
  </si>
  <si>
    <t>RPU Year 40</t>
  </si>
  <si>
    <t>ETI Year 40</t>
  </si>
  <si>
    <t>PEN Year 40</t>
  </si>
  <si>
    <t>RPU Year 41</t>
  </si>
  <si>
    <t>ETI Year 41</t>
  </si>
  <si>
    <t>PEN Year 41</t>
  </si>
  <si>
    <t>RPU Year 42</t>
  </si>
  <si>
    <t>ETI Year 42</t>
  </si>
  <si>
    <t>PEN Year 42</t>
  </si>
  <si>
    <t>RPU Year 43</t>
  </si>
  <si>
    <t>ETI Year 43</t>
  </si>
  <si>
    <t>PEN Year 43</t>
  </si>
  <si>
    <t>RPU Year 44</t>
  </si>
  <si>
    <t>ETI Year 44</t>
  </si>
  <si>
    <t>PEN Year 44</t>
  </si>
  <si>
    <t>RPU Year 45</t>
  </si>
  <si>
    <t>ETI Year 45</t>
  </si>
  <si>
    <t>PEN Year 45</t>
  </si>
  <si>
    <t>RPU Year 46</t>
  </si>
  <si>
    <t>ETI Year 46</t>
  </si>
  <si>
    <t>PEN Year 46</t>
  </si>
  <si>
    <t>RPU Year 47</t>
  </si>
  <si>
    <t>ETI Year 47</t>
  </si>
  <si>
    <t>PEN Year 47</t>
  </si>
  <si>
    <t>RPU Year 48</t>
  </si>
  <si>
    <t>ETI Year 48</t>
  </si>
  <si>
    <t>PEN Year 48</t>
  </si>
  <si>
    <t>RPU Year 49</t>
  </si>
  <si>
    <t>ETI Year 49</t>
  </si>
  <si>
    <t>PEN Year 49</t>
  </si>
  <si>
    <t>RPU Year 50</t>
  </si>
  <si>
    <t>ETI Year 50</t>
  </si>
  <si>
    <t>PEN Year 50</t>
  </si>
  <si>
    <t>RPU Year 51</t>
  </si>
  <si>
    <t>ETI Year 51</t>
  </si>
  <si>
    <t>PEN Year 51</t>
  </si>
  <si>
    <t>RPU Year 52</t>
  </si>
  <si>
    <t>ETI Year 52</t>
  </si>
  <si>
    <t>PEN Year 52</t>
  </si>
  <si>
    <t>RPU Year 53</t>
  </si>
  <si>
    <t>ETI Year 53</t>
  </si>
  <si>
    <t>PEN Year 53</t>
  </si>
  <si>
    <t>RPU Year 54</t>
  </si>
  <si>
    <t>ETI Year 54</t>
  </si>
  <si>
    <t>PEN Year 54</t>
  </si>
  <si>
    <t>RPU Year 55</t>
  </si>
  <si>
    <t>ETI Year 55</t>
  </si>
  <si>
    <t>PEN Year 55</t>
  </si>
  <si>
    <t>RPU Year 56</t>
  </si>
  <si>
    <t>ETI Year 56</t>
  </si>
  <si>
    <t>PEN Year 56</t>
  </si>
  <si>
    <t>RPU Year 57</t>
  </si>
  <si>
    <t>ETI Year 57</t>
  </si>
  <si>
    <t>PEN Year 57</t>
  </si>
  <si>
    <t>RPU Year 58</t>
  </si>
  <si>
    <t>ETI Year 58</t>
  </si>
  <si>
    <t>PEN Year 58</t>
  </si>
  <si>
    <t>RPU Year 59</t>
  </si>
  <si>
    <t>ETI Year 59</t>
  </si>
  <si>
    <t>PEN Year 59</t>
  </si>
  <si>
    <t>RPU Year 60</t>
  </si>
  <si>
    <t>ETI Year 60</t>
  </si>
  <si>
    <t>PEN Year 60</t>
  </si>
  <si>
    <t>RPU Year 61</t>
  </si>
  <si>
    <t>ETI Year 61</t>
  </si>
  <si>
    <t>PEN Year 61</t>
  </si>
  <si>
    <t>RPU Year 62</t>
  </si>
  <si>
    <t>ETI Year 62</t>
  </si>
  <si>
    <t>PEN Year 62</t>
  </si>
  <si>
    <t>RPU Year 63</t>
  </si>
  <si>
    <t>ETI Year 63</t>
  </si>
  <si>
    <t>PEN Year 63</t>
  </si>
  <si>
    <t>RPU Year 64</t>
  </si>
  <si>
    <t>ETI Year 64</t>
  </si>
  <si>
    <t>PEN Year 64</t>
  </si>
  <si>
    <t>RPU Year 65</t>
  </si>
  <si>
    <t>ETI Year 65</t>
  </si>
  <si>
    <t>PEN Year 65</t>
  </si>
  <si>
    <t>RPU Year 66</t>
  </si>
  <si>
    <t>ETI Year 66</t>
  </si>
  <si>
    <t>PEN Year 66</t>
  </si>
  <si>
    <t>RPU Year 67</t>
  </si>
  <si>
    <t>ETI Year 67</t>
  </si>
  <si>
    <t>PEN Year 67</t>
  </si>
  <si>
    <t>RPU Year 68</t>
  </si>
  <si>
    <t>ETI Year 68</t>
  </si>
  <si>
    <t>PEN Year 68</t>
  </si>
  <si>
    <t>RPU Year 69</t>
  </si>
  <si>
    <t>ETI Year 69</t>
  </si>
  <si>
    <t>PEN Year 69</t>
  </si>
  <si>
    <t>RPU Year 70</t>
  </si>
  <si>
    <t>ETI Year 70</t>
  </si>
  <si>
    <t>PEN Year 70</t>
  </si>
  <si>
    <t>RPU Year 71</t>
  </si>
  <si>
    <t>ETI Year 71</t>
  </si>
  <si>
    <t>PEN Year 71</t>
  </si>
  <si>
    <t>RPU Year 72</t>
  </si>
  <si>
    <t>ETI Year 72</t>
  </si>
  <si>
    <t>PEN Year 72</t>
  </si>
  <si>
    <t>RPU Year 73</t>
  </si>
  <si>
    <t>ETI Year 73</t>
  </si>
  <si>
    <t>PEN Year 73</t>
  </si>
  <si>
    <t>RPU Year 74</t>
  </si>
  <si>
    <t>ETI Year 74</t>
  </si>
  <si>
    <t>PEN Year 74</t>
  </si>
  <si>
    <t>RPU Year 75</t>
  </si>
  <si>
    <t>ETI Year 75</t>
  </si>
  <si>
    <t>PEN Year 75</t>
  </si>
  <si>
    <t>RPU Year 76</t>
  </si>
  <si>
    <t>ETI Year 76</t>
  </si>
  <si>
    <t>PEN Year 76</t>
  </si>
  <si>
    <t>RPU Year 77</t>
  </si>
  <si>
    <t>ETI Year 77</t>
  </si>
  <si>
    <t>PEN Year 77</t>
  </si>
  <si>
    <t>RPU Year 78</t>
  </si>
  <si>
    <t>ETI Year 78</t>
  </si>
  <si>
    <t>PEN Year 78</t>
  </si>
  <si>
    <t>RPU Year 79</t>
  </si>
  <si>
    <t>ETI Year 79</t>
  </si>
  <si>
    <t>PEN Year 79</t>
  </si>
  <si>
    <t>RPU Year 80</t>
  </si>
  <si>
    <t>ETI Year 80</t>
  </si>
  <si>
    <t>PEN Year 80</t>
  </si>
  <si>
    <t>RPU Year 81</t>
  </si>
  <si>
    <t>ETI Year 81</t>
  </si>
  <si>
    <t>PEN Year 81</t>
  </si>
  <si>
    <t>RPU Year 82</t>
  </si>
  <si>
    <t>ETI Year 82</t>
  </si>
  <si>
    <t>PEN Year 82</t>
  </si>
  <si>
    <t>RPU Year 83</t>
  </si>
  <si>
    <t>ETI Year 83</t>
  </si>
  <si>
    <t>PEN Year 83</t>
  </si>
  <si>
    <t>RPU Year 84</t>
  </si>
  <si>
    <t>ETI Year 84</t>
  </si>
  <si>
    <t>PEN Year 84</t>
  </si>
  <si>
    <t>RPU Year 85</t>
  </si>
  <si>
    <t>ETI Year 85</t>
  </si>
  <si>
    <t>PEN Year 85</t>
  </si>
  <si>
    <t>RPU Year 86</t>
  </si>
  <si>
    <t>ETI Year 86</t>
  </si>
  <si>
    <t>PEN Year 86</t>
  </si>
  <si>
    <t>RPU Year 87</t>
  </si>
  <si>
    <t>ETI Year 87</t>
  </si>
  <si>
    <t>PEN Year 87</t>
  </si>
  <si>
    <t>RPU Year 88</t>
  </si>
  <si>
    <t>ETI Year 88</t>
  </si>
  <si>
    <t>PEN Year 88</t>
  </si>
  <si>
    <t>RPU Year 89</t>
  </si>
  <si>
    <t>ETI Year 89</t>
  </si>
  <si>
    <t>PEN Year 89</t>
  </si>
  <si>
    <t>RPU Year 90</t>
  </si>
  <si>
    <t>ETI Year 90</t>
  </si>
  <si>
    <t>PEN Year 90</t>
  </si>
  <si>
    <t>RPU Year 91</t>
  </si>
  <si>
    <t>ETI Year 91</t>
  </si>
  <si>
    <t>PEN Year 91</t>
  </si>
  <si>
    <t>RPU Year 92</t>
  </si>
  <si>
    <t>ETI Year 92</t>
  </si>
  <si>
    <t>PEN Year 92</t>
  </si>
  <si>
    <t>RPU Year 93</t>
  </si>
  <si>
    <t>ETI Year 93</t>
  </si>
  <si>
    <t>PEN Year 93</t>
  </si>
  <si>
    <t>RPU Year 94</t>
  </si>
  <si>
    <t>ETI Year 94</t>
  </si>
  <si>
    <t>PEN Year 94</t>
  </si>
  <si>
    <t>RPU Year 95</t>
  </si>
  <si>
    <t>ETI Year 95</t>
  </si>
  <si>
    <t>PEN Year 95</t>
  </si>
  <si>
    <t>RPU Year 96</t>
  </si>
  <si>
    <t>ETI Year 96</t>
  </si>
  <si>
    <t>PEN Year 96</t>
  </si>
  <si>
    <t>RPU Year 97</t>
  </si>
  <si>
    <t>ETI Year 97</t>
  </si>
  <si>
    <t>PEN Year 97</t>
  </si>
  <si>
    <t>RPU Year 98</t>
  </si>
  <si>
    <t>ETI Year 98</t>
  </si>
  <si>
    <t>PEN Year 98</t>
  </si>
  <si>
    <t>RPU Year 99</t>
  </si>
  <si>
    <t>ETI Year 99</t>
  </si>
  <si>
    <t>PEN Year 99</t>
  </si>
  <si>
    <t>RPU Year 100</t>
  </si>
  <si>
    <t>ETI Year 100</t>
  </si>
  <si>
    <t>PEN Year 100</t>
  </si>
  <si>
    <t>สิ้นปี
กรมธรรม์
ที่</t>
  </si>
  <si>
    <t>f</t>
  </si>
  <si>
    <t>m</t>
  </si>
  <si>
    <t xml:space="preserve"> Max(200%SA,101%Acc
Prem,CV</t>
  </si>
  <si>
    <t>Coupon rate</t>
  </si>
  <si>
    <t>กรณีรับเงินจ่ายคืน</t>
  </si>
  <si>
    <t>กรณีสะสมไว้กับบริษัทฯ ด้วยอัตราดอกเบี้ยขั้นต่ำ 0.5% ต่อปี</t>
  </si>
  <si>
    <t>W80F06</t>
  </si>
  <si>
    <t>รวมเงินจ่ายคืนและเงินครบกำหนดสัญญา ทั้งสิ้น</t>
  </si>
  <si>
    <t xml:space="preserve">ระยะเวลาคุ้มครอง ครบอายุ 80 ปี </t>
  </si>
  <si>
    <t>25 ปี - 65 ปี</t>
  </si>
  <si>
    <t>16 ปี - 70 ปี</t>
  </si>
  <si>
    <t>16 ปี - 60 ปี</t>
  </si>
  <si>
    <t>6 ปี - 65 ปี</t>
  </si>
  <si>
    <t>20 ปี - 65 ปี</t>
  </si>
  <si>
    <t>20 ปี - 59 ปี</t>
  </si>
  <si>
    <t>6 ปี - 80 ปี</t>
  </si>
  <si>
    <t>20 ปี - 70 ปี</t>
  </si>
  <si>
    <t>ไอสมาร์ท 80/6 (ไม่มีเงินปันผล)</t>
  </si>
  <si>
    <t>เบี้ยประกันภัยสัญญาหลัก</t>
  </si>
  <si>
    <t>ต่อปี</t>
  </si>
  <si>
    <t>สะสม</t>
  </si>
  <si>
    <t>เงินจ่ายคืนตามกรมธรรม์ประกันภัย 
และเงินครบกำหนดสัญญา (ณ สิ้นปีกรมธรรม์)</t>
  </si>
  <si>
    <t>เงินค่าเวนคืน
กรมธรรม์ประกันภัย
(ณ สิ้นปีกรมธรรม์)</t>
  </si>
  <si>
    <t>หรือร้อยละ 101 ของเบี้ยประกันภัยของกรมธรรม์หลักที่ชำระมาแล้วทั้งหมด แล้วแต่จำนวนใดจะมากกว่า</t>
  </si>
  <si>
    <t>ไอสมาร์ท 80/6 (W80F06)</t>
  </si>
  <si>
    <t xml:space="preserve">ผลประโยชน์กรณีเสียชีวิตรวมเงินจ่ายคืนระหว่างสัญญาที่จ่ายไปแล้ว </t>
  </si>
  <si>
    <t>สัญญาประกันภัยนี้เกิดจากการที่บริษัทเชื่อถือข้อแถลงของผู้เอาประกันภัย ในใบคำขอเอาประกันชีวิต ใบแถลงสุขภาพและข้อแถลงเพิ่มเติมอื่นใดที่ผู้เอาประกันภัยลงลายมือชื่อไว้และได้มีการชำระเบี้ยประกันภัยงวดแรกแล้ว บริษัทจึงได้ตกลงทำสัญญาและออกกรมธรรม์ให้ไว้
ในกรณีที่ผู้เอาประกันภัยรู้อยู่แล้วและแถลงข้อความอันเป็นเท็จตามวรรคหนึ่ง หรือรู้อยู่แล้วในข้อความจริงใดแต่ไม่เปิดเผยข้อความจริงนั้นให้บริษัททราบ ซึ่งถ้าบริษัททราบข้อความจริงนั้นๆ แล้ว อาจจูงใจบริษัทให้เรียกเก็บเบี้ยประกันภัยสูงขึ้นหรือไม่ยอมทำสัญญา สัญญาประกันภัยนี้จะตกเป็นโมฆียะตามประมวลกฎหมายแพ่งและพาณิชย์ มาตรา 865 ซึ่งบริษัทอาจบอกล้างสัญญาได้และไม่จ่ายเงินตามกรมธรรม์
บริษัทจะไม่ปฏิเสธความรับผิด โดยอาศัยข้อแถลงนอกเหนือจากที่ผู้เอาประกันภัยได้แถลงไว้ในเอกสารตามวรรคหนึ่ง</t>
  </si>
  <si>
    <t>1. กรณีไม่เปิดเผยความจริง หรือแถลงข้อความเท็จ บริษัทจะบอกล้างสัญญาภายใน 2 ปี นับตั้งแต่วันเริ่มมีผลคุ้มครองตามกรมธรรม์ หรือหากมีการต่ออายุกรมธรรม์ให้นับตั้งแต่วันเริ่มมีผลคุ้มครองตามการต่ออายุนั้น หรือวันเริ่มมีผลคุ้มครองตามการกลับคืนสู่สถานะเดิมของกรมธรรม์ครั้งสุดท้าย หรือวันที่บริษัทอนุมัติให้เพิ่มจำนวนเงินเอาประกันภัย ทั้งนี้ เฉพาะในส่วนของจำนวนเงินเอาประกันภัยที่่เพิ่มขึ้นเท่านั้น เว้นแต่ ผู้เอาประกันภัยมิได้มีส่วนได้เสียในเหตุที่เอาประกันภัยนั้น หรือการแถลงอายุคลาดเคลื่อนจนอายุจริงอยู่นอกจำกัดอัตราเบี้ยประกันภัยตามทางค้าปกติ
ในกรณีที่บริษัททราบข้อมูลอันจะบอกล้างสัญญาประกันภัยได้ แต่มิได้ใช้สิทธิบอกล้างสัญญาประกันภัยภายในกำหนด 1 เดือน นับแต่ทราบข้อมูลนั้น บริษัทไม่อาจบอกล้างความสมบูรณ์ของสัญญาประกันภัยในกรณีนี้ได้
2. กรณีผู้เอาประกันภัยฆ่าตัวตายด้วยใจสมัครภายในหนึ่งปี (1 ปี) นับตั้งแต่วันเริ่มมีผลคุ้มครองตามกรมธรรม์ หรือหากมีการต่ออายุกรมธรรม์ให้นับตั้งแต่วันเริ่มมีผลคุ้มครองตามการต่ออายุนั้น หรือวันเริ่มมีผลคุ้มครองตามการกลับคืนสู่สถานะเดิมของกรมธรรม์ครั้งสุดท้าย หรือวันที่บริษัทอนุมัติให้เพิ่มจำนวนเงินเอาประกันภัย ทั้งนี้ เฉพาะในส่วนของจำนวนเงินเอาประกันภัยที่เพิ่มขึ้นเท่านั้น แล้วแต่กรณี 
3. กรณีผู้เอาประกันภัยถูกผู้รับประโยชน์ฆ่าตายโดยเจตนา</t>
  </si>
  <si>
    <t>เพื่อให้กรมธรรม์ประกันชีวิตมีผลคุ้มครองโดยสมบูรณ์และผู้เอาประกันภัยได้รับประโยชน์สูงสุด ผู้เอาประกันภัยมีหน้าที่ในการชำระเบี้ยประกันภัย ซึ่งตัวแทน, นายหน้าประกันชีวิต, ลูกจ้าง, หรือพนักงานบริษัท มาเก็บเบี้ยประกันภัยเป็นการให้บริการเท่านั้น โดยบริษัทฯ ได้อำนวยความสะดวกในการชำระเบี้ยประกันภัย ผ่านช่องทางต่าง ๆ ดังนี้</t>
  </si>
  <si>
    <t>6. ชำระโดยการโอนเงินผ่านอินเตอร์เน็ตแบงกิ้งของธนาคารกรุงเทพ ธนาคารกรุงศรีอยุธยา ธนาคารกสิกรไทย และ ธนาคารทหารไทยธนชาต อ้างอิง Comp. code หรือ รหัสบริษัท ตามข้อ 3 และ 4</t>
  </si>
  <si>
    <t>9. บริการพิเศษ สำหรับการชำระเบี้ยประกันภัยในงวดถัดไป สามารถชำระโดยหักบัตรเครดิตอัตโนมัติ ประเภท VISA หรือ MASTER หรือ JCB โดย ลูกค้าสามารถขอลิงก์เพื่อสมัครบริการหักค่าเบี้ยประกันภัยอัตโนมัติได้ทาง ศูนย์ลูกค้าสัมพันธ์ โทร 1159 ศูนย์บริการครบวงจร (One Stop Service) สำนักงานใหญ่ สำนักงานสาขาของบริษัทฯ หรือขอลิงก์ผ่านระบบ Advisor Zone ในขั้นตอนสมัครกรมธรรม์ โดยลูกค้าจะได้รับลิงก์ผ่านช่องทางอีเมลที่ท่านให้ไว้กับทางบริษัทฯ ทั้งนี้เบี้ยประกันภัยงวดแรกจะไม่สามารถชำระโดยการหักบัตรเครดิตอัตโนมัติได้</t>
  </si>
  <si>
    <t>di</t>
  </si>
  <si>
    <t>3. กรณีเสียชีวิต บริษัทจะจ่ายร้อยละ 200 ของจำนวนเงินเอาประกันภัย หรือเงินค่าเวนคืนกรมธรรม์ประกันภัย</t>
  </si>
  <si>
    <t>Coverage</t>
  </si>
  <si>
    <t>MHPC1J-F</t>
  </si>
  <si>
    <t>MHPC1S-F</t>
  </si>
  <si>
    <t>MHPC2J-F</t>
  </si>
  <si>
    <t>MHPC2S-F</t>
  </si>
  <si>
    <t>MHPC3S-F</t>
  </si>
  <si>
    <t>MHPC4S-F</t>
  </si>
  <si>
    <t>MHPC5S-F</t>
  </si>
  <si>
    <t>MHPCSA-F</t>
  </si>
  <si>
    <t>MHPCSW-F</t>
  </si>
  <si>
    <t>MHPC6S-F</t>
  </si>
  <si>
    <t>MHPC1J-M</t>
  </si>
  <si>
    <t>MHPC1S-M</t>
  </si>
  <si>
    <t>MHPC2J-M</t>
  </si>
  <si>
    <t>MHPC2S-M</t>
  </si>
  <si>
    <t>MHPC3S-M</t>
  </si>
  <si>
    <t>MHPC4S-M</t>
  </si>
  <si>
    <t>MHPC5S-M</t>
  </si>
  <si>
    <t>MHPCSA-M</t>
  </si>
  <si>
    <t>MHPCSW-M</t>
  </si>
  <si>
    <t>MHPC6S-M</t>
  </si>
  <si>
    <t>MHPD1J-F</t>
  </si>
  <si>
    <t>MHPD1S-F</t>
  </si>
  <si>
    <t>MHPD2J-F</t>
  </si>
  <si>
    <t>MHPD2S-F</t>
  </si>
  <si>
    <t>MHPD3S-F</t>
  </si>
  <si>
    <t>MHPD4S-F</t>
  </si>
  <si>
    <t>MHPD5S-F</t>
  </si>
  <si>
    <t>MHPDSA-F</t>
  </si>
  <si>
    <t>MHPDSW-F</t>
  </si>
  <si>
    <t>MHPD6S-F</t>
  </si>
  <si>
    <t>MHPD1J-M</t>
  </si>
  <si>
    <t>MHPD1S-M</t>
  </si>
  <si>
    <t>MHPD2J-M</t>
  </si>
  <si>
    <t>MHPD2S-M</t>
  </si>
  <si>
    <t>MHPD3S-M</t>
  </si>
  <si>
    <t>MHPD4S-M</t>
  </si>
  <si>
    <t>MHPD5S-M</t>
  </si>
  <si>
    <t>MHPDSA-M</t>
  </si>
  <si>
    <t>MHPDSW-M</t>
  </si>
  <si>
    <t>MHPD6S-M</t>
  </si>
  <si>
    <t>Full Coverage</t>
  </si>
  <si>
    <t>Deductible</t>
  </si>
  <si>
    <t>เอกสารประกอบการเสนอขายนี้เป็นข้อมูลเบื้องต้นของแบบประกันภัย ผลประโยชน์ ความคุ้มครองและข้อยกเว้น เป็นไปตามที่กำหนดในกรมธรรม์ ผู้ซื้อควรทำความเข้าใจรายละเอียด ความคุ้มครองและเงื่อนไขก่อนตัดสินใจทำประกันภัยทุกครั้ง</t>
  </si>
  <si>
    <t>เอกสารประกอบการเสนอขายนี้เป็นข้อมูลเบื้องต้นของแบบประกันภัย ผลประโยชน์ ความคุ้มครองและข้อยกเว้น เป็นไปตามที่กำหนดในกรมธรรม์ 
ผู้ซื้อควรทำความเข้าใจรายละเอียด ความคุ้มครองและเงื่อนไขก่อนตัดสินใจทำประกันภัยทุกครั้ง</t>
  </si>
  <si>
    <t>การมีส่วนร่วมจ่าย*</t>
  </si>
  <si>
    <t>ความรับผิดส่วนแรก ต่อรอบปีกรมธรรม์ประกันภัย</t>
  </si>
  <si>
    <t>ค่าใช้จ่ายร่วม (ร้อยละ … ของค่าใช้จ่ายที่ได้รับความคุ้มครอง)</t>
  </si>
  <si>
    <t>Copay/Deduct</t>
  </si>
  <si>
    <t>*     สำหรับผลประโยชน์ในหมวดใดที่มีการระบุวงเงินผลประโยชน์ ในกรณีที่ค่าใช้จ่ายที่เกิดขึ้นจริงสูงกว่าวงเงินผลประโยชน์ที่ระบุในหมวดนั้น การคำนวณการมีส่วนร่วมจ่ายจะคำนวณจากวงเงินของผลประโยชน์ที่ระบุในหมวดนั้นๆ ทั้งนี้ การจ่ายผลประโยชน์ต้องไม่เกินผลประโยชน์สูงสุดที่กำหนดไว้ของหมวดนั้นๆ</t>
  </si>
  <si>
    <t>OK</t>
  </si>
  <si>
    <t>แผนCI MED EX</t>
  </si>
  <si>
    <t>Copayment</t>
  </si>
  <si>
    <t>MCI1-M</t>
  </si>
  <si>
    <t>MCI1-F</t>
  </si>
  <si>
    <t>MCI2-M</t>
  </si>
  <si>
    <t>MCI2-F</t>
  </si>
  <si>
    <t>MCI3-M</t>
  </si>
  <si>
    <t>MCI3-F</t>
  </si>
  <si>
    <t>MCI4-M</t>
  </si>
  <si>
    <t>MCI4-F</t>
  </si>
  <si>
    <t>MCI1</t>
  </si>
  <si>
    <t>MCI2</t>
  </si>
  <si>
    <t>MCI3</t>
  </si>
  <si>
    <t>MCI4</t>
  </si>
  <si>
    <t>Roke Rai So Shield</t>
  </si>
  <si>
    <t>ที่เลือก</t>
  </si>
  <si>
    <t>MCI</t>
  </si>
  <si>
    <t>10. ผลประโยชน์คุ้มครองโรคร้ายโซชิลด์</t>
  </si>
  <si>
    <t>สัญญาเพิ่มเติมค่ารักษาพยาบาล โรคร้ายโซชิลด์ (MCI)</t>
  </si>
  <si>
    <t>อาณาเขตความคุ้มครอง เฉพาะประเทศไทยเท่านั้น</t>
  </si>
  <si>
    <t xml:space="preserve"> (สำหรับแผน S) age 0-10</t>
  </si>
  <si>
    <t xml:space="preserve"> (สำหรับแผน M) age 0-10</t>
  </si>
  <si>
    <t xml:space="preserve"> (สำหรับแผน S) age 11-65</t>
  </si>
  <si>
    <t xml:space="preserve"> (สำหรับแผน M) age 11-65</t>
  </si>
  <si>
    <t xml:space="preserve"> (สำหรับแผน L) age 11-65</t>
  </si>
  <si>
    <t xml:space="preserve"> (สำหรับแผน XL) age 11-65</t>
  </si>
  <si>
    <t>ผลประโยชน์ค่ารักษาพยาบาลจากโรคร้ายแรงสูงสุดต่อรอบปีกรมธรรม์ประกันภัย</t>
  </si>
  <si>
    <t>ผลประโยชน์ค่ารักษาพยาบาลจากโรคร้ายแรงสูงสุดตลอดอายุของผู้เอาประกันภัยที่มีการรับประกันภัยนี้</t>
  </si>
  <si>
    <t>จำนวนโรคที่ให้ความคุ้มครองค่ารักษาพยาบาล</t>
  </si>
  <si>
    <t>10 โรค + 4 โรค**</t>
  </si>
  <si>
    <t>10 โรค</t>
  </si>
  <si>
    <t>ผลประโยชน์สูงสุด *
(บาท)</t>
  </si>
  <si>
    <r>
      <t xml:space="preserve">หมวดที่ 1  </t>
    </r>
    <r>
      <rPr>
        <sz val="10"/>
        <rFont val="Cambria"/>
        <family val="2"/>
        <scheme val="major"/>
      </rPr>
      <t>ค่าห้องและค่าอาหาร ค่าบริการในโรงพยาบาล (ผู้ป่วยใน)  ต่อรอบปีกรมธรรม์ประกันภัย</t>
    </r>
    <r>
      <rPr>
        <b/>
        <sz val="10"/>
        <rFont val="Cambria"/>
        <family val="2"/>
        <scheme val="major"/>
      </rPr>
      <t xml:space="preserve">
</t>
    </r>
    <r>
      <rPr>
        <sz val="10"/>
        <rFont val="Cambria"/>
        <family val="2"/>
        <scheme val="major"/>
      </rPr>
      <t xml:space="preserve">           ในกรณีที่ผู้เอาประกันภัยได้รับการรักษาในห้องผู้ป่วยวิกฤติ ( Intensive Care Inpatient Room) จะจ่ายค่าห้องและค่าอาหาร ค่าบริการในโรงพยาบาล (ผู้ป่วยใน)
ให้เป็นจำนวน 3 เท่า ของผลประโยชน์สำหรับค่าห้องและค่าอาหาร ค่าบริการในโรงพยาบาล (ผู้ป่วยใน) ต่อวัน</t>
    </r>
  </si>
  <si>
    <r>
      <t>1,500</t>
    </r>
    <r>
      <rPr>
        <sz val="10"/>
        <rFont val="Cambria"/>
        <family val="2"/>
        <scheme val="major"/>
      </rPr>
      <t xml:space="preserve"> ต่อวัน</t>
    </r>
    <r>
      <rPr>
        <u/>
        <sz val="10"/>
        <rFont val="Cambria"/>
        <family val="2"/>
        <scheme val="major"/>
      </rPr>
      <t>** / 2,000 ต่อวัน</t>
    </r>
  </si>
  <si>
    <r>
      <t>500,000</t>
    </r>
    <r>
      <rPr>
        <sz val="10"/>
        <rFont val="Cambria"/>
        <family val="2"/>
        <scheme val="major"/>
      </rPr>
      <t xml:space="preserve"> ต่อรอบปีกรมธรรม์ประกันภัย</t>
    </r>
    <r>
      <rPr>
        <u/>
        <sz val="10"/>
        <rFont val="Cambria"/>
        <family val="2"/>
        <scheme val="major"/>
      </rPr>
      <t xml:space="preserve">
1,500,000</t>
    </r>
    <r>
      <rPr>
        <sz val="10"/>
        <rFont val="Cambria"/>
        <family val="1"/>
        <scheme val="major"/>
      </rPr>
      <t xml:space="preserve"> ตลอดอายุของผู้เอาประกันภัยที่มีการรับประกันภัยนี้</t>
    </r>
  </si>
  <si>
    <r>
      <t>2,500</t>
    </r>
    <r>
      <rPr>
        <sz val="10"/>
        <rFont val="Cambria"/>
        <family val="2"/>
        <scheme val="major"/>
      </rPr>
      <t xml:space="preserve"> ต่อวัน</t>
    </r>
    <r>
      <rPr>
        <u/>
        <sz val="10"/>
        <rFont val="Cambria"/>
        <family val="2"/>
        <scheme val="major"/>
      </rPr>
      <t>**/ 3,000 ต่อวัน</t>
    </r>
  </si>
  <si>
    <r>
      <t>1,000,000</t>
    </r>
    <r>
      <rPr>
        <sz val="10"/>
        <rFont val="Cambria"/>
        <family val="1"/>
        <scheme val="major"/>
      </rPr>
      <t xml:space="preserve"> ต่อรอบปีกรมธรรม์ประกันภัย</t>
    </r>
    <r>
      <rPr>
        <u/>
        <sz val="10"/>
        <rFont val="Cambria"/>
        <family val="2"/>
        <scheme val="major"/>
      </rPr>
      <t xml:space="preserve">
3,000,000</t>
    </r>
    <r>
      <rPr>
        <sz val="10"/>
        <rFont val="Cambria"/>
        <family val="1"/>
        <scheme val="major"/>
      </rPr>
      <t xml:space="preserve"> ตลอดอายุของผู้เอาประกันภัยที่มีการรับประกันภัยนี้</t>
    </r>
  </si>
  <si>
    <r>
      <t xml:space="preserve">2,000 </t>
    </r>
    <r>
      <rPr>
        <sz val="10"/>
        <rFont val="Cambria"/>
        <family val="2"/>
        <scheme val="major"/>
      </rPr>
      <t>ต่อวัน</t>
    </r>
  </si>
  <si>
    <t>500,000 ต่อรอบปีกรมธรรม์ประกันภัย
1,500,000 ตลอดอายุของผู้เอาประกันภัยที่มีการรับประกันภัยนี้</t>
  </si>
  <si>
    <r>
      <t xml:space="preserve">5,000 </t>
    </r>
    <r>
      <rPr>
        <sz val="10"/>
        <rFont val="Cambria"/>
        <family val="2"/>
        <scheme val="major"/>
      </rPr>
      <t>ต่อวัน</t>
    </r>
  </si>
  <si>
    <r>
      <t>3,000,000</t>
    </r>
    <r>
      <rPr>
        <sz val="10"/>
        <rFont val="Cambria"/>
        <family val="1"/>
        <scheme val="major"/>
      </rPr>
      <t xml:space="preserve"> ต่อรอบปีกรมธรรม์ประกันภัย</t>
    </r>
    <r>
      <rPr>
        <u/>
        <sz val="10"/>
        <rFont val="Cambria"/>
        <family val="2"/>
        <scheme val="major"/>
      </rPr>
      <t xml:space="preserve">
9,000,000</t>
    </r>
    <r>
      <rPr>
        <sz val="10"/>
        <rFont val="Cambria"/>
        <family val="1"/>
        <scheme val="major"/>
      </rPr>
      <t xml:space="preserve"> ตลอดอายุของผู้เอาประกันภัยที่มีการรับประกันภัยนี้</t>
    </r>
  </si>
  <si>
    <r>
      <t>10,000</t>
    </r>
    <r>
      <rPr>
        <sz val="10"/>
        <rFont val="Cambria"/>
        <family val="2"/>
        <scheme val="major"/>
      </rPr>
      <t xml:space="preserve"> ต่อวัน</t>
    </r>
  </si>
  <si>
    <r>
      <t>10,000,000</t>
    </r>
    <r>
      <rPr>
        <sz val="10"/>
        <rFont val="Cambria"/>
        <family val="1"/>
        <scheme val="major"/>
      </rPr>
      <t xml:space="preserve"> ต่อรอบปีกรมธรรม์ประกันภัย</t>
    </r>
    <r>
      <rPr>
        <u/>
        <sz val="10"/>
        <rFont val="Cambria"/>
        <family val="2"/>
        <scheme val="major"/>
      </rPr>
      <t xml:space="preserve">
30,000,000</t>
    </r>
    <r>
      <rPr>
        <sz val="10"/>
        <rFont val="Cambria"/>
        <family val="1"/>
        <scheme val="major"/>
      </rPr>
      <t xml:space="preserve"> ตลอดอายุของผู้เอาประกันภัยที่มีการรับประกันภัยนี้</t>
    </r>
  </si>
  <si>
    <t>1,500 ต่อครั้ง</t>
  </si>
  <si>
    <t>12 ครั้งต่อรอบปีกรมธรรม์ประกันภัย</t>
  </si>
  <si>
    <t>2,500 ต่อครั้ง</t>
  </si>
  <si>
    <t>ไม่มี</t>
  </si>
  <si>
    <t>* นับรวมผลประโยชน์จากกสัญญาเพิ่มเติม และบันทึกสลักหลังที่แนบท้ายสัญญาเพิ่มเติมนี้</t>
  </si>
  <si>
    <t xml:space="preserve"> (สำหรับแผน S)</t>
  </si>
  <si>
    <t xml:space="preserve"> (สำหรับแผน M)</t>
  </si>
  <si>
    <t xml:space="preserve"> (สำหรับแผน L)</t>
  </si>
  <si>
    <t xml:space="preserve"> (สำหรับแผน XL)</t>
  </si>
  <si>
    <r>
      <t xml:space="preserve">หมวดที่ 14   </t>
    </r>
    <r>
      <rPr>
        <sz val="10"/>
        <rFont val="Cambria"/>
        <family val="1"/>
        <scheme val="major"/>
      </rPr>
      <t xml:space="preserve">ค่าปรึกษาแพทย์และยารวมถึงใบสั่งยาสำหรับผู้ป่วยนอก ผ่านการบริการด้วยโทรเวชกรรม (Telemedicine) </t>
    </r>
    <r>
      <rPr>
        <b/>
        <sz val="10"/>
        <rFont val="Cambria"/>
        <family val="2"/>
        <scheme val="major"/>
      </rPr>
      <t xml:space="preserve">
</t>
    </r>
    <r>
      <rPr>
        <sz val="10"/>
        <rFont val="Cambria"/>
        <family val="1"/>
        <scheme val="major"/>
      </rPr>
      <t>(บริษัทจะจ่ายผลประโยชน์จากการป่วยทุกโรค หลังจากวันที่ผู้เอาประกันภัยเข้ารับการรักษาตัวเป็น
ผู้ป่วยในของโรงพยาบาลจากโรคร้ายแรงที่ได้รับความ คุ้มครอง)</t>
    </r>
  </si>
  <si>
    <t>2 ครั้งต่อรอบปีกรมธรรม์ประกันภัย</t>
  </si>
  <si>
    <t xml:space="preserve"> 2,500 ต่อครั้ง</t>
  </si>
  <si>
    <r>
      <t>หมวดที่ 15</t>
    </r>
    <r>
      <rPr>
        <sz val="10"/>
        <rFont val="Cambria"/>
        <family val="2"/>
        <scheme val="major"/>
      </rPr>
      <t xml:space="preserve">   ค่ารักษาด้านจิตเวช สำหรับกรณีผู้ป่วยในและผู้ป่วยนอก  ต่อรอบปีกรมธรรม์ประกันภัย
(ให้ความคุ้มครองเป็น ระยะเวลา 5 ปี นับตั้งแต่วันที่ผู้เอาประกันภัยเข้ารับการรักษาตัวเป็นผู้ป่วยในของ
โรงพยาบาลจากโรคร้ายแรงที่ได้รับความคุ้มครอง)</t>
    </r>
  </si>
  <si>
    <r>
      <t>หมวดที่ 16</t>
    </r>
    <r>
      <rPr>
        <sz val="10"/>
        <rFont val="Cambria"/>
        <family val="2"/>
        <scheme val="major"/>
      </rPr>
      <t xml:space="preserve">   ผลประโยชน์สำหรับค่าใช้จ่ายเพื่อการฟื้นฟูร่างกายหลังการรักษาโรคร้ายแรง (Cis Care recovery benefit) ต่อสัญญาประกันภัย ***</t>
    </r>
    <r>
      <rPr>
        <b/>
        <sz val="10"/>
        <rFont val="Cambria"/>
        <family val="2"/>
        <scheme val="major"/>
      </rPr>
      <t xml:space="preserve">
(บริษัทจะจ่ายผลประโยชน์ หลังจากที่ ผู้เอาประกันภัยเข้ารับการรักษาตัวเป็นผู้ป่วยในของโรงพยาบาล
จากโรคร้ายแรงที่ได้รับความคุ้มครอง)</t>
    </r>
  </si>
  <si>
    <t>เงื่อนไขที่สำคัญ และข้อยกเว้นสำหรับสัญญาเพิ่มเติมค่ารักษาพยาบาล โรคร้ายโซชิลด์ (MCI)</t>
  </si>
  <si>
    <t>เงื่อนไขที่สำคัญ กรณีที่บริษัทจะไม่คุ้มครอง  เนื่องจาก</t>
  </si>
  <si>
    <t>1. ผู้เอาประกันภัยฉ้อฉลประกันภัย</t>
  </si>
  <si>
    <t>2. การเจ็บป่วยด้วยโรคร้ายแรงที่เกิดขึ้นในระยะเวลาที่ไม่คุ้มครอง (Waiting Period) 90 วัน นับแต่วันเริ่มมีผลคุ้มครองตามสัญญาเพิ่มเติมนี้</t>
  </si>
  <si>
    <t>หรือวันที่บริษัทอนุมัติให้เพิ่มผลประโยชน์ของสัญญาเพิ่มเติมนี้ แล้วแต่กรณีใดจะเกิดขึ้นภายหลัง</t>
  </si>
  <si>
    <r>
      <rPr>
        <u/>
        <sz val="9"/>
        <rFont val="Tahoma"/>
        <family val="2"/>
      </rPr>
      <t xml:space="preserve">ข้อยกเว้นสัญญาเพิ่มเติมค่ารักษาพยาบาล โรคร้ายโซชิลด์ (MCI)  มีทั้งหมด 21 ข้อ  ตัวอย่างเช่น
</t>
    </r>
    <r>
      <rPr>
        <sz val="9"/>
        <rFont val="Tahoma"/>
        <family val="2"/>
      </rPr>
      <t xml:space="preserve">
การประกันภัยนี้ไม่คุ้มครองค่าใช้จ่ายจากการรักษาพยาบาล หรือความเสียหายที่เกิดจากการบาดเจ็บหรือการป่วย 
(รวมทั้งภาวะแทรกซ้อน) อาการ หรือภาวะความผิดปกติที่เกิดจาก
1. ภาวะที่เป็นผลจากความผิดปกติที่เกิดขึ้นแต่กำเนิด หรือระบบการสร้างอวัยวะของร่างกายไม่สมบูรณ์แต่กำเนิด หรือโรคทางพันธุกรรม หรือความผิดปกติในการพัฒนาการของร่างกาย เว้นแต่ สัญญาเพิ่มเติมนี้มีผลคุ้มครองมาไม่น้อยกว่า 1 ปี และปรากฏอาการหลังผู้เอาประกันภัยมีอายุครบ 16 ปีบริบูรณ์
2. การตรวจรักษาหรือการผ่าตัดเพื่อเสริมสวย หรือการแก้ไขปัญหาผิวพรรณ สิว ฝ้า กระ รังแค ผมร่วงหรือการควบคุมน้ำหนักตัว 
การผ่าตัดที่สามารถทดแทนด้วยการรักษาแนวทางอื่น เว้นแต่เป็นการตกแต่งบาดแผลอันเนื่องมาจากอุบัติเหตุที่ได้รับความคุ้มครอง
3. โรคเอดส์  หรือกามโรค หรือโรคติดต่อทางเพศสัมพันธ์ 
4. การฆ่าตัวตาย การพยายามฆ่าตัวตาย การทำร้ายร่างกายตนเอง หรือการพยายามทำร้ายร่างกายตนเองไม่ว่าจะเป็นการกระทำโดยตนเอง หรือยินยอมให้ผู้อื่นกระทำไม่ว่าจะอยู่ในระหว่างวิกลจริตหรือไม่ก็ตาม ทั้งนี้รวมถึงอุบัติเหตุจากการที่ผู้เอาประกันภัย กิน ดื่ม หรือฉีดยาหรือสารมีพิษเข้าร่างกาย การใช้ยาเกินกว่าที่แพทย์สั่ง
5. การตรวจสุขภาพ การร้องขอเข้าอยู่รักษาตัวในสถานพยาบาล หรือร้องขอการผ่าตัด การพักฟื้น หรือการพักเพื่อการฟื้นฟู หรือการรักษาโดยวิธีให้พักอยู่เฉย ๆ หรือการพักรักษาตัวในสถานพยาบาล  เพื่อให้มีผู้ช่วยดูแลทั่วไป การตรวจหรือการรักษาที่ไม่เกี่ยวข้องกับโรคที่เป็นสาเหตุของการรับตัวไว้ในสถานพยาบาล การตรวจวินิจฉัยการบาดเจ็บหรือการป่วย  การรักษาหรือตรวจวิเคราะห์เพื่อหาสาเหตุ ซึ่งไม่ใช่ความจำเป็นทางการแพทย์ หรือไม่เป็นมาตรฐานทางการแพทย์  
</t>
    </r>
    <r>
      <rPr>
        <b/>
        <sz val="9"/>
        <rFont val="Tahoma"/>
        <family val="2"/>
      </rPr>
      <t>คำเตือน</t>
    </r>
    <r>
      <rPr>
        <sz val="9"/>
        <rFont val="Tahoma"/>
        <family val="2"/>
      </rPr>
      <t xml:space="preserve">
คำเตือนสำหรับสัญญาเพิ่มเติมค่ารักษาพยาบาล โรคร้ายโซชิลด์ (MCI)  
1. ความคุ้มครองค่ารักษาพยาบาลจากโรคร้ายแรงภายใต้สัญญาเพิ่มเติมและบันทึกสลักหลังที่แนบท้ายสัญญาเพิ่มเติมนี้ </t>
    </r>
    <r>
      <rPr>
        <b/>
        <sz val="9"/>
        <rFont val="Tahoma"/>
        <family val="2"/>
      </rPr>
      <t>จะเป็นไปตามคำนิยามโรคร้ายแรงและข้อกำหนดทั่วไปของสัญญาเพิ่มเติมฉบับนี้</t>
    </r>
    <r>
      <rPr>
        <sz val="9"/>
        <rFont val="Tahoma"/>
        <family val="2"/>
      </rPr>
      <t xml:space="preserve"> ซึ่งอาจแตกต่างไปจากสัญญาเพิ่มเติมโรคร้ายแรงแบบอื่นๆ ทั้งนี้ กรุณาศึกษารายละเอียดในเอกสารเสนอขายนี้
2. สัญญาเพิ่มเติมนี้ มีผลประโยชน์ค่ารักษาพยาบาลจากโรคร้ายแรงสูงสุดต่อรอบปีกรมธรรม์ประกันภัย และผลประโยชน์ค่ารักษาพยาบาลจากโรคร้ายแรงสูงสุดตลอดอายุของผู้เอาประกันภัยที่มีการรับประกันภัยนี้ วงเงินสูงสุดตามที่ระบุในตารางผลประโยชน์ในกรมธรรม์ประกันภัยที่บริษัทออกให้
3. บริษัทมีสิทธิปรับเบี้ยประกันภัยตามอายุ และชั้นอาชีพ ของแต่ละบุคคล หรือตามค่าใช้จ่ายในการรักษาพยาบาลที่สูงขึ้น หรือจากประสบการณ์การจ่ายค่าสินไหมทดแทนโดยรวมของพอร์ตโฟลิโอ (Portfolio) ของสัญญาเพิ่มเติมนี้ ตามที่ได้รับความเห็นชอบจากนายทะเบียน 
4. ผู้ขอเอาประกันภัยควรตรวจสอบรายละเอียดผลประโยชน์คุ้มครองและเงื่อนไขต่างๆ ของกรมธรรม์ประกันภัยนี้ทันทีเมื่อได้รับกรมธรรม์
  หมายเหตุ: สัญญาเพิ่มเติมค่ารักษาพยาบาล โรคร้ายโซชิลด์ (MCI) สามารถต่ออายุได้ถึงอายุ 98 ปี ทั้งนี้ ต้องไม่เกินระยะเวลาเอาประกันภัยของกรมธรรม์ประกันชีวิตที่สัญญาเพิ่มเติมนี้แนบท้ายอยู่</t>
    </r>
  </si>
  <si>
    <t>1. โรคร้ายแรงที่ให้ความคุ้มครองภายใต้สัญญาเพิ่มเติมค่ารักษาพยาบาล โรคร้ายโซชิลด์</t>
  </si>
  <si>
    <r>
      <rPr>
        <b/>
        <sz val="11"/>
        <rFont val="Arial"/>
        <family val="2"/>
      </rPr>
      <t>1.1 โรคมะเร็ง (Cancer) หมายถึง</t>
    </r>
    <r>
      <rPr>
        <sz val="11"/>
        <rFont val="Arial"/>
        <family val="2"/>
      </rPr>
      <t xml:space="preserve"> การเกิดขึ้นของเนื้องอกหรือเซลล์ที่ได้รับการตรวจยืนยันทางพยาธิวิทยาว่าเป็นมะเร็ง ทั้งนี้ ไม่รวมถึง
1. มะเร็งผิวหนังทุกชนิด (Any Skin Cancers) ยกเว้นมะเร็งผิวหนังเมลาโนมาชนิดร้ายแรง (Malignant Melanoma)
2. กลุ่มเนื้องอกชนิด Borderline หรือ กลุ่มเนื้องอกที่มีโอกาสเป็นมะเร็งน้อย (Low Malignant Potential) ยกเว้น กลุ่มเนื้องอกชนิด Borderline Tumor (Low malignant potential) ของรังไข่
3. เนื้องอกที่ผลทางพยาธิวิทยาจัดเป็นเนื้องอกระยะก่อนเป็นมะเร็ง (Pre-Malignant) เช่น CIN I  CIN II  CIN III 
4. มะเร็งในผู้ป่วยที่ติดเชื้อเอชไอวี
</t>
    </r>
  </si>
  <si>
    <r>
      <t xml:space="preserve">1.2 โรคหลอดเลือดสมองที่ได้รับการรักษาโดยวิธีใส่สายสวนเส้นเลือดบริเวณคอ (Stroke Treatment by Carotid Angioplasty and Stent Placement)
หมายถึง </t>
    </r>
    <r>
      <rPr>
        <sz val="11"/>
        <color rgb="FF000000"/>
        <rFont val="Arial"/>
        <family val="2"/>
      </rPr>
      <t>การใส่สายสวนเข้าทางเส้นเลือดแดง และใส่อุปกรณ์ค้ำหลอดเลือด (Stent) ในเส้นเลือด Carotid Artery เพื่อการรักษาหรือป้องกันผู้เอาประกันภัยที่เคยได้รับการวินิจฉัยภาวะโรคหลอดเลือดสมองขาดเลือดมาก่อน ซึ่งต้องกระทำภายใต้ข้อบ่งชี้ทางเวชปฏิบัติมาตรฐานปัจจุบันโดยแพทย์ผู้เชี่ยวชาญที่มีใบอนุญาตในสาขาที่เหมาะสม</t>
    </r>
  </si>
  <si>
    <r>
      <t xml:space="preserve">1.3 โรคหลอดเลือดสมองโป่งพองที่ต้องรักษาโดยการผ่าตัด (Cerebral Aneurysm Requiring Brain Surgery) หมายถึง </t>
    </r>
    <r>
      <rPr>
        <sz val="11"/>
        <color rgb="FF000000"/>
        <rFont val="Arial"/>
        <family val="2"/>
      </rPr>
      <t xml:space="preserve">การเข้ารับการผ่าตัดสมองด้วยวิธีการเปิดกะโหลกศีรษะ (Craniotomy) เพื่อหนีบ ซ่อมแซม หรือนำเส้นโลหิตแดงส่วนที่โป่งพอง (Aneurysm) ออก การวินิจฉัยต้องยืนยันด้วยเทคนิคการถ่ายภาพที่เหมาะสมของหลอดเลือดสมอง และต้องได้รับการรักษาโดยประสาทศัลยแพทย์ (Neurosurgeon)
ทั้งนี้ ไม่รวมถึงการโป่งพองของหลอดเลือดสมองจากการติดเชื้อใด ๆ (Infection and Microtic aneurysm) การรักษาเส้นโลหิตแดงของสมองที่โป่งพองโดยวิธีใช้สายสวนทางหลอดเลือดเพื่อทำการรักษา การรักษาด้วยการตัดกะโหลกแบบจำกัด (Craniectomy) และการเจาะรูที่กะโหลก (Burr hole)
</t>
    </r>
  </si>
  <si>
    <r>
      <t>1.4 โรคหลอดเลือดสมองแตกหรืออุดตัน (Major Stroke) หมายถึง</t>
    </r>
    <r>
      <rPr>
        <sz val="11"/>
        <color rgb="FF000000"/>
        <rFont val="Arial"/>
        <family val="2"/>
      </rPr>
      <t xml:space="preserve"> การเกิดความบกพร่องทางระบบประสาทอย่างเฉียบพลัน อันมีสาเหตุมาจากโรคหลอดเลือดสมองอันเนื่องมาจากการอุดตัน (Cerebral Thrombosis) หรือการแตก (Intracerebral Haemorrhage) หรือการอุดตันโดยลิ่มเลือดจากหัวใจหรือหลอดเลือดนอกกะโหลกศีรษะ (Extracranial Embolism) การวินิจฉัยต้องยืนยันด้วยการตรวจพบการเปลี่ยนแปลงใหม่ของภาพเอกซเรย์คอมพิวเตอร์ (CT Scan) หรือภาพคลื่นแม่เหล็ก (MRI)
ทั้งนี้ ไม่รวมถึงโรคเนื้อเยื่อสมองขาดเลือด (Infarction) หรือเลือดออกในกะโหลกศีรษะ อันเนื่องจากการได้รับการบาดเจ็บภายนอกและโรคสมองขาดเลือดแบบชั่วคราว (Transient Ischemic Attack หรือ Reversible Ischemic Neurological Deficit)
</t>
    </r>
  </si>
  <si>
    <r>
      <t>1.5 การผ่าตัดเส้นเลือดแดงใหญ่เอออร์ต้า (Surgery to Aorta) หมายถึง</t>
    </r>
    <r>
      <rPr>
        <sz val="11"/>
        <color rgb="FF000000"/>
        <rFont val="Arial"/>
        <family val="2"/>
      </rPr>
      <t xml:space="preserve"> การเข้ารับการผ่าตัดใหญ่แบบเปิดหน้าอกหรือช่องท้องเพื่อซ่อมแซมหรือแก้ไขหลอดเลือดแดงใหญ่เอออร์ต้า (Aorta) บริเวณทรวงอกและช่องท้อง โดยใช้กราฟท์ (Graft) อันเนื่อง มาจากผนังหลอดเลือดแดงใหญ่โป่งพอง ตีบ อุดตัน หรือผนังด้านในแยกตัวออก (Aortic Dissection) ทั้งนี้หลอดเลือดแดงใหญ่เอออร์ต้า หมายความถึง หลอดเลือดแดงใหญ่เอออร์ต้าระดับอกและช่องท้องเท่านั้น ไม่รวมถึงแขนงต่างๆ ของหลอดเลือดแดงใหญ่เอออร์ต้า
ทั้งนี้ไม่รวมถึง การผ่าตัดขนาดเล็ก (Minimally Invasive Surgery) หรือการใช้สายสวนเข้าสู่หลอดเลือดแดง (Intra Arterial Techniques)
</t>
    </r>
  </si>
  <si>
    <r>
      <t>1.6 การผ่าตัดเส้นเลือดเลี้ยงกล้ามเนื้อหัวใจ (Coronary Artery By-pass Surgery) หมายถึง</t>
    </r>
    <r>
      <rPr>
        <sz val="11"/>
        <color rgb="FF000000"/>
        <rFont val="Arial"/>
        <family val="2"/>
      </rPr>
      <t xml:space="preserve"> การผ่าตัดโดยการเปิดเข้าทางทรวงอก เพื่อรักษาโรคที่เกิดจากเส้นเลือดเลี้ยงกล้ามเนื้อหัวใจตีบหรือตัน โดยการตัดต่อเส้นเลือดใหม่ ทั้งนี้ไม่รวมถึงการขยายเส้นเลือดกล้ามเนื้อหัวใจที่อุดตัน โดยวิธีการขยายหลอดเลือดหัวใจ (Angioplasty), การใส่อุปกรณ์ค้ำหลอดเลือดหัวใจ (Stent Insertion), เลเซอร์ (Laser) หรือหัตถการอื่นๆ ที่ทำในหลอดเลือดแดงหัวใจ (Other Intra-arterial procedures)</t>
    </r>
    <r>
      <rPr>
        <b/>
        <sz val="11"/>
        <color rgb="FF000000"/>
        <rFont val="Arial"/>
        <family val="2"/>
      </rPr>
      <t xml:space="preserve">
</t>
    </r>
  </si>
  <si>
    <r>
      <t xml:space="preserve">1.7 โรคกล้ามเนื้อหัวใจตายเฉียบพลัน (Acute Myocardial Infarction) หมายถึง </t>
    </r>
    <r>
      <rPr>
        <sz val="11"/>
        <color rgb="FF000000"/>
        <rFont val="Arial"/>
        <family val="2"/>
      </rPr>
      <t>การเกิดกล้ามเนื้อหัวใจตายอย่างเฉียบพลัน โดยมีลักษณะครบทั้ง 3 ข้อดังนี้ 
(1) มีประวัติการเจ็บหน้าอกซึ่งเป็นลักษณะเฉพาะของหัวใจขาดเลือด
(2) มีการเพิ่มขึ้นของ Cardiac Troponin (T or I อย่างน้อย 3 เท่าของค่าปกติของคนทั่วไป หรือ มีการเพิ่มขึ้นของ CKMB อย่างน้อย 2 เท่าของค่าปกติของคนทั่วไป)
(3) มีการเปลี่ยนแปลงของคลื่นไฟฟ้าหัวใจที่เกิดขึ้นใหม่และมีลักษณะจำเพาะสำหรับโรคกล้ามเนื้อหัวใจตายเฉียบพลันครั้งแรก หรือการตรวจทางรังสี หรือการตรวจอื่นๆ ที่เป็นมาตรฐานทางการแพทย์สำหรับการวินิจฉัย โรคหัวใจ ซึ่งแสดงว่าเป็นภาวะกล้ามเนื้อหัวใจตายเฉียบพลันครั้งแรก</t>
    </r>
  </si>
  <si>
    <r>
      <t>1.8 การผ่าตัดลิ้นหัวใจโดยวิธีการเปิดหัวใจ (Open Heart Surgery for the Heart Valve) หมายถึง</t>
    </r>
    <r>
      <rPr>
        <sz val="11"/>
        <color rgb="FF000000"/>
        <rFont val="Arial"/>
        <family val="2"/>
      </rPr>
      <t xml:space="preserve"> การผ่าตัดเปิดหัวใจ (Open Heart Surgery) เพื่อเปลี่ยนหรือซ่อมแซมลิ้นหัวใจ อันมีสาเหตุมาจากความบกพร่องในการทำงานของลิ้นหัวใจ แต่ไม่รวมถึงการทำบอลลูน (Balloon) การใช้สายสวน (Catheter Techniques) หรือหัตถการที่ทำผ่านหลอดเลือดแดง (Intra-arterial procedures)
</t>
    </r>
  </si>
  <si>
    <r>
      <t xml:space="preserve">1.9 โรคแรงดันในหลอด เลือดแดงปอดสูงแบบปฐมภูมิ (Primary Pulmonary Arterial Hypertension) หมายถึง </t>
    </r>
    <r>
      <rPr>
        <sz val="11"/>
        <rFont val="Arial"/>
        <family val="2"/>
      </rPr>
      <t xml:space="preserve">โรคแรงดันในหลอดเลือดแดงปอดสูงโดยหาสาเหตุไม่ได้ เป็นเหตุให้ผนังกล้ามเนื้อหัวใจด้านขวาล่างขยายขนาดขึ้น ซึ่งตรวจวินิจฉัยโดยอายุรแพทย์โรคหัวใจ  (Cardiologist) พร้อมหลักฐานการตรวจพบโดยการสวนหัวใจ (Cardiac Catheterization) ความผิดปกตินี้เป็นผลให้มีความผิดปกติของหัวใจถึงระดับ 4 อย่างถาวร ตาม The New York Heart Association (NYHA) Functional Classification  
</t>
    </r>
    <r>
      <rPr>
        <b/>
        <sz val="11"/>
        <rFont val="Arial"/>
        <family val="2"/>
      </rPr>
      <t>การจัดระดับความผิดปกติของหัวใจของ The New York Heart Association (NYHA) Functional Classification</t>
    </r>
    <r>
      <rPr>
        <sz val="11"/>
        <rFont val="Arial"/>
        <family val="2"/>
      </rPr>
      <t xml:space="preserve"> หมายถึง เกณฑ์การจัดระดับความผิดปกติของหัวใจ โดยอ้างอิงจาก New York Heart Association จากสหรัฐอเมริกา ซึ่งใช้เป็นมาตรฐานสำหรับการประเมินความผิดปกติของหัวใจเมื่อเทียบกับความสามารถในการมีกิจกรรมประจำวันต่าง ๆ 4 ระดับ ดังนี้
ระดับ 1 สามารถปฏิบัติกิจวัตรประจำวันได้โดยไม่จำกัด และไม่ส่งผลให้เกิดอาการผิดปกติ เช่น  เหนื่อย ใจสั่น หายใจลำบาก หรือเจ็บหน้าอก (Angina Pain)
ระดับ 2 สามารถปฏิบัติกิจวัตรประจำวันโดยมีข้อจำกัดเล็กน้อย เช่น เหนื่อย ใจสั่น หายใจลำบาก หรือเจ็บหน้าอก (Angina Pain) ซึ่งคนปกติจะไม่มีอาการดังกล่าว 
ระดับ 3 สามารถปฏิบัติกิจวัตรประจำวันโดยมีข้อจำกัดอย่างมาก เมื่อมีการปฏิบัติกิจวัตรประจำวันเพียงเล็กน้อย ก็ส่งผลให้เกิดอาการผิดปกติ เช่น เหนื่อย ใจสั่น หายใจลำบาก หรือเจ็บหน้าอก (Angina Pain) 
ระดับ 4 ไม่สามารถปฏิบัติกิจวัตรประจำวันใดๆ ได้เลย เนื่องจากมีอาการผิดปกติ เช่น เหนื่อย ใจสั่น หายใจลำบาก แม้ในขณะพัก</t>
    </r>
  </si>
  <si>
    <r>
      <t xml:space="preserve">1.10 การผ่าตัดเปลี่ยนอวัยวะหรือปลูกถ่ายไขกระดูก (Major Organs Transplantation or Bone Marrow Transplantation) หมายถึง 
</t>
    </r>
    <r>
      <rPr>
        <sz val="11"/>
        <color rgb="FF000000"/>
        <rFont val="Arial"/>
        <family val="2"/>
      </rPr>
      <t>การได้รับการผ่าตัดเปลี่ยนอวัยวะ หรือปลูกถ่ายไขกระดูกในฐานะผู้รับ (Recipient) ดังต่อไปนี้ 
(1) อวัยวะในที่นี้หมายถึงเฉพาะหัวใจ ปอด ตับ ไต ตับอ่อน โดยมีสาเหตุจากการที่อวัยวะนั้นอยู่ในระยะสุดท้ายที่ไม่สามารถกลับมาทำงานได้ดังเดิม หรือ
(2) การปลูกถ่ายไขกระดูกโดยการใช้ Haematopoietic stem cells ภายหลังการ ทำ Bone Marrow Ablation 
ทั้งนี้ไม่รวมถึงการปลูกถ่ายสเต็มเซลล์อื่นๆ และการปลูกถ่ายอวัยวะเพียงส่วนใดส่วนหนึ่ง</t>
    </r>
  </si>
  <si>
    <t>2. โรคร้ายแรงสำหรับเด็กที่ให้ความคุ้มครองภายใต้สัญญาเพิ่มเติมค่ารักษาพยาบาล โรคร้ายโซชิลด์</t>
  </si>
  <si>
    <t xml:space="preserve">(ผู้เอาประกันภัยที่มีอายุระหว่าง 1 เดือน – 10 ปี) </t>
  </si>
  <si>
    <r>
      <t xml:space="preserve">2.1 โรคเบาหวานในเด็ก ชนิดที่ 1 (Juvenile Diabetes Mellitus Type 1) หมายถึง </t>
    </r>
    <r>
      <rPr>
        <sz val="11"/>
        <color rgb="FF000000"/>
        <rFont val="Arial"/>
        <family val="2"/>
      </rPr>
      <t>โรคเบาหวานในเด็กและวัยรุ่นที่เกิดจากเซลล์เบต้าของตับอ่อนถูกทำลาย ทำให้ไม่สามารถผลิตอินซูลินได้ ต้องได้รับการรักษาโดยการฉีดอินซูลินเท่านั้น ผู้ป่วยโรคนี้จะมีอาการกระหายน้ำ ดื่มน้ำบ่อย (polydipsia), การปัสสาวะบ่อย (polyuria), อยากอาหารเพิ่มขึ้น, น้ำหนักลดลง, ระดับอินซูลินในเลือดต่ำ, มีภาวะเลือดเป็นกรดในบางครั้ง โดยบริษัทจะจ่ายผลประโยชน์ภายใต้เงื่อนไข 2 ข้อดังต่อไปนี้ 
(1) ได้รับการวินิจฉัยว่าเป็นโรคนี้จากแพทย์ผู้เชี่ยวชาญทางด้านต่อมไร้ท่อ และ
(2) ระหว่างการเข้าพักรักษาตัวในโรงพยาบาลหลังจากได้รับการวินิจฉัย จะต้องได้รับการฉีดอินซูลินเป็นประจำทุกวัน เพื่อควบคุมการเผาผลาญของน้ำตาลกลูโคส 
ทั้งนี้ ไม่คุ้มครองโรคเบาหวานชนิดที่ 2 (Type II DM)</t>
    </r>
  </si>
  <si>
    <r>
      <t xml:space="preserve">2.2 โรคคาวาซากิ (Kawasaki Diseases) หมายถึง </t>
    </r>
    <r>
      <rPr>
        <sz val="11"/>
        <color rgb="FF000000"/>
        <rFont val="Arial"/>
        <family val="2"/>
      </rPr>
      <t>โรคในเด็กที่เกิดอย่างเฉียบพลัน มีไข้สูง ร่วมกับโรคหลายระบบ คือ มีการอักเสบของหลอดเลือดแดงขนาดกลางทั่วร่างกาย รวมถึงหลอดเลือดที่ไปเลี้ยงหัวใจและกล้ามเนื้อหัวใจ ต่อมน้ำเหลืองบริเวณคอโตและอักเสบโดยไม่มีหนอง มีผื่นที่เยื่อบุและผิวหนัง  การวินิจฉัยต้องได้รับการยืนยันจากกุมารแพทย์ หรือแพทย์ผู้เชี่ยวชาญโรคหัวใจ และผลการตรวจหัวใจด้วยคลื่นเสียงสะท้อนความถี่สูง พบหลอดเลือดหัวใจโป่งพองโดยมีเส้นผ่าศูนย์กลางอย่างน้อย 5 มิลลิเมตร หลังจากการป่วยเฉียบพลัน</t>
    </r>
  </si>
  <si>
    <r>
      <t xml:space="preserve">2.3 ไข้รูห์มาติกและลิ้นหัวใจรั่ว (Rheumatic Fever with Valvular Impairment) หมายถึง </t>
    </r>
    <r>
      <rPr>
        <sz val="11"/>
        <color rgb="FF000000"/>
        <rFont val="Arial"/>
        <family val="2"/>
      </rPr>
      <t>ไข้รูห์มาติกเฉียบพลันที่ได้รับการยืนยันจากกุมารแพทย์ตามเกณฑ์การวินิจฉัยของ Jones criteria ฉบับปรับปรุงใหม่ โดยมีความสียหายของลิ้นหัวใจตั้งแต่หนึ่งลิ้นขึ้นไปอันเนื่องมาจากไข้รูห์มาติกซึ่งต้องได้รับการยืนยันจากการตรวจสอบการทำงานของลิ้นหัวใจเชิงปริมาณโดยแพทย์ผู้เชี่ยวชาญเฉพาะโรคหัวใจ</t>
    </r>
  </si>
  <si>
    <r>
      <t xml:space="preserve">2.4 โรคพิษสุนัขบ้า (Rabies) หมายถึง </t>
    </r>
    <r>
      <rPr>
        <sz val="11"/>
        <color rgb="FF000000"/>
        <rFont val="Arial"/>
        <family val="2"/>
      </rPr>
      <t>โรคติดเชื้อจากสุนัข แมว และสัตว์อื่นๆ ที่สามารถแพร่สู่คนผ่านการกัดจากสัตว์ที่ติดเชื้อ ซึ่งจะต้องแสดงหลักฐานของอาการดังต่อไปนี้ 
1) มีอาการกลืนลำบาก มีน้ำลายปริมาณมาก กลัวน้ำ และเกิดภาพหลอน และ
2) ตรวจพบสารกระตุ้นแอนติบอดี้ของไวรัสพิษสุนัขบ้า หรือ แอนติบอดี้ไวรัสพิษสุนัขบ้าในน้ำไขสันหลัง (CSF)
การวินิจฉัยจะต้องได้รับการรับรองโดยแพทย์ผู้เชี่ยวชาญในสาขาที่เกี่ยวข้อง</t>
    </r>
  </si>
  <si>
    <r>
      <t xml:space="preserve">ข้อยกเว้นสัญญาเพิ่มเติมค่ารักษาพยาบาล ไอเฮลท์ตี้ อัลตร้า (MHP)  มีทั้งหมด 21 ข้อ ตัวอย่างเช่น
      การประกันภัยนี้ไม่คุ้มครองค่าใช้จ่ายจากการรักษาพยาบาล หรือความเสียหายที่เกิดจากการบาดเจ็บหรือการป่วย (รวมทั้งภาวะแทรกซ้อน) อาการ หรือภาวะความผิดปกติที่เกิดจาก
1. ภาวะที่เป็นผลจากความผิดปกติที่เกิดขึ้นแต่กำเนิด หรือระบบการสร้างอวัยวะของร่างกายไม่สมบูรณ์แต่กำเนิด หรือโรคทางพันธุกรรม หรือความผิดปกติในการพัฒนาการของร่างกาย เว้นแต่ สัญญาเพิ่มเติมนี้มีผลคุ้มครองมาไม่น้อยกว่า 1 ปี และปรากฏอาการหลังผู้เอาประกันภัยมีอายุครบ 16 ปีบริบูรณ์
2. การตรวจรักษาหรือการผ่าตัดเพื่อเสริมสวย หรือการแก้ไขปัญหาผิวพรรณ สิว ฝ้า กระ รังแค ผมร่วงหรือการควบคุมน้ำหนักตัว การผ่าตัดที่สามารถทดแทนด้วยการรักษาแนวทางอื่น เว้นแต่เป็นการตกแต่งบาดแผลอันเนื่องมาจากอุบัติเหตุที่ได้รับความคุ้มครอง
3. โรคเอดส์ หรือกามโรค หรือโรคติดต่อทางเพศสัมพันธ์
4. การฆ่าตัวตาย  การพยายามฆ่าตัวตาย  การทำร้ายร่างกายตนเอง หรือการพยายามทำร้ายร่างกายตนเองไม่ว่าจะเป็นการกระทำโดยตนเอง หรือยินยอมให้ผู้อื่นกระทำไม่ว่าจะอยู่ในระหว่างวิกลจริตหรือไม่ก็ตาม ทั้งนี้รวมถึงอุบัติเหตุจากการที่ผู้เอาประกันภัย กิน ดื่ม หรือฉีดยาหรือสารมีพิษเข้าร่างกาย การใช้ยาเกินกว่าที่แพทย์สั่ง
5. การบาดเจ็บที่เกิดขึ้นอันเป็นผลมาจากการกระทำของผู้เอาประกันภัย  
    (1) ขณะอยู่ภายใต้ฤทธิ์สารเสพติด หรือยาเสพติดให้โทษจนไม่สามารถครองสติได้   หรือ
    (2) ขณะอยู่ภายใต้ฤทธิ์สุราโดยมีระดับแอลกอฮอล์ในร่างกายขณะตรวจเทียบเท่ากับระดับแอลกอฮอล์ในเลือด ตั้งแต่ 150 มิลลิกรัมเปอร์เซ็นต์ขึ้นไป หรือ 
    (3) ขณะอยู่ภายใต้ฤทธิ์สุราจนไม่สามารถครองสติได้ ในกรณีที่ไม่มีการตรวจวัดหรือในกรณีที่ไม่สามารถตรวจวัด ระดับแอลกอฮอล์ได้  
</t>
    </r>
    <r>
      <rPr>
        <i/>
        <sz val="10"/>
        <rFont val="Tahoma"/>
        <family val="2"/>
      </rPr>
      <t xml:space="preserve">
</t>
    </r>
  </si>
  <si>
    <t xml:space="preserve">ข้อยกเว้นสัญญาเพิ่มเติมค่ารักษาพยาบาล เอ็กซ์ตร้า (MEX)  มีทั้งหมด 21 ข้อ ตัวอย่างเช่น
     การประกันภัยนี้ไม่คุ้มครองค่าใช้จ่ายจากการรักษาพยาบาล หรือความเสียหายที่เกิดจากการบาดเจ็บหรือการป่วย (รวมทั้งภาวะแทรกซ้อน) อาการ หรือภาวะความผิดปกติที่เกิดจาก
1. ภาวะที่เป็นผลจากความผิดปกติที่เกิดขึ้นแต่กำเนิด หรือระบบการสร้างอวัยวะของร่างกายไม่สมบูรณ์แต่กำเนิด หรือโรคทางพันธุกรรม หรือความผิดปกติในการพัฒนาการของร่างกาย เว้นแต่ สัญญาเพิ่มเติมนี้มีผลคุ้มครองมาไม่น้อยกว่า 1 ปี และปรากฏอาการหลังผู้เอาประกันภัยมีอายุครบ 16 ปีบริบูรณ์
2. การตรวจรักษาหรือการผ่าตัดเพื่อเสริมสวย หรือการแก้ไขปัญหาผิวพรรณ สิว ฝ้า กระ รังแค ผมร่วงหรือการควบคุมน้ำหนักตัว การผ่าตัดที่สามารถทดแทนด้วยการรักษาแนวทางอื่น เว้นแต่เป็นการตกแต่งบาดแผลอันเนื่องมาจากอุบัติเหตุที่ได้รับความคุ้มครอง
3. โรคเอดส์ หรือกามโรค หรือโรคติดต่อทางเพศสัมพันธ์   
4. การฆ่าตัวตาย  การพยายามฆ่าตัวตาย  การทำร้ายร่างกายตนเอง หรือการพยายามทำร้ายร่างกายตนเองไม่ว่าจะเป็นการกระทำโดยตนเอง หรือยินยอมให้ผู้อื่นกระทำไม่ว่าจะอยู่ในระหว่างวิกลจริตหรือไม่ก็ตาม ทั้งนี้รวมถึงอุบัติเหตุจากการที่ผู้เอาประกันภัย กิน ดื่ม หรือฉีดยาหรือสารมีพิษเข้าร่างกาย การใช้ยาเกินกว่าที่แพทย์สั่ง
5. การบาดเจ็บที่เกิดขึ้นอันเป็นผลมาจากการกระทำของผู้เอาประกันภัย  
    (1) ขณะอยู่ภายใต้ฤทธิ์สารเสพติด หรือยาเสพติดให้โทษจนไม่สามารถครองสติได้ หรือ
    (2) ขณะอยู่ภายใต้ฤทธิ์สุราโดยมีระดับแอลกอฮอล์ในร่างกายขณะตรวจเทียบเท่ากับระดับแอลกอฮอล์ในเลือด ตั้งแต่ 150 มิลลิกรัมเปอร์เซ็นต์ขึ้นไป หรือ 
    (3) ขณะอยู่ภายใต้ฤทธิ์สุราจนไม่สามารถครองสติได้ ในกรณีที่ไม่มีการตรวจวัดหรือในกรณีที่ไม่สามารถตรวจวัด ระดับแอลกอฮอล์ได้  
</t>
  </si>
  <si>
    <t xml:space="preserve">การต่ออายุสัญญาเพิ่มเติมกรณีครบรอบปีกรมธรรม์ประกันภัย (Renewal)
</t>
  </si>
  <si>
    <t xml:space="preserve">
สัญญาเพิ่มเติมค่ารักษาพยาบาล ไอเฮลท์ตี้ อัลตร้า (MHP) สามารถต่ออายุได้ถึงอายุ 98 ปี   ทั้งนี้ ต้องไม่เกินระยะเวลาเอาประกันภัยของกรมธรรม์ประกันชีวิตที่สัญญาเพิ่มเติมนี้แนบท้ายอยู่
ในการต่ออายุสัญญาเพิ่มเติมนี้ บริษัทจะสงวนสิทธิในการเปลี่ยนแปลงเงื่อนไขข้อตกลงความคุ้มครอง โดยการเพิ่มเงื่อนไขให้ผู้เอาประกันภัยมีค่าใช้จ่ายร่วม (Copayment) ตามอัตราและหลักเกณฑ์ดังต่อไปนี้
(1) อัตราร้อยละ 30 ของค่าใช้จ่ายที่ได้รับความคุ้มครอง กรณีผู้เอาประกันภัยมีการเรียกร้องผลประโยชน์จากการป่วยเล็กน้อยทั่วไป (Simple diseases) และเข้าพักรักษาตัวในโรงพยาบาล ในรอบปีกรมธรรม์ประกันภัยตั้งแต่ 3 ครั้งขึ้นไป และมีอัตราการเรียกร้องค่าสินไหมทดแทนจากสาเหตุข้างต้นของผู้เอาประกันภัยแต่ละรายภายใต้สัญญาเพิ่มเติมฉบับนี้ ตั้งแต่ร้อยละ 200 หรือ
(2) อัตราร้อยละ 30  ของค่าใช้จ่ายที่ได้รับความคุ้มครอง กรณีผู้เอาประกันภัยมีการเรียกร้องผลประโยชน์จากการเข้าพักรักษาตัวในโรงพยาบาล ในรอบปีกรมธรรม์ประกันภัยตั้งแต่ 3 ครั้งขึ้นไป และมีอัตราการเรียกร้องค่าสินไหมทดแทนจากสาเหตุข้างต้นของผู้เอาประกันภัยแต่ละรายภายใต้สัญญาเพิ่มเติมฉบับนี้ ตั้งแต่ร้อยละ 400 แต่ไม่รวมถึงค่าสินไหมทดแทนจากค่ารักษาโรคร้ายแรงตามรายชื่อในเอกสารแนบท้ายรายชื่อโรคร้ายแรง และ/หรือการผ่าตัดใหญ่
   หากบริษัทเพิ่มเงื่อนไขให้ผู้เอาประกันภัยมีค่าใช้จ่ายร่วม (Copayment)  เนื่องจากมีกรณีตาม (1) และ (2) บริษัทจะกำหนดเงื่อนไขให้ผู้เอาประกันภัยมีค่าใช้จ่ายร่วม (Copayment) ร้อยละ 50 ของค่าใช้จ่ายที่ได้รับความคุ้มครอง 
   ในกรณีที่บริษัทกำหนดเงื่อนไขให้ผู้เอาประกันภัยมีค่าใช้จ่ายร่วม (Copayment) แล้ว ต่อมาการเรียกร้องผลประโยชน์หรืออัตราการเรียกร้องค่าสินไหมทดแทนของผู้เอาประกันภัยปรับลดลงจากหลักเกณฑ์ข้างต้นให้บริษัทพิจารณาปรับลดอัตราค่าใช้จ่ายร่วม (Copayment) ให้กับผู้เอาประกันภัย 
   ในกรณีบริษัทเพิ่มเติมเงื่อนไขให้ผู้เอาประกันภัยมีค่าใช้จ่ายร่วม (Copayment) ที่เป็นไปตามอัตราและหลักเกณฑ์ข้างต้น บริษัทจะออกหลักฐานเกี่ยวกับการกำหนดอัตราและหลักเกณฑ์ค่าใช้จ่ายร่วม (Copayment) ให้ผู้เอาประกันภัยทราบก่อนวันครบรอบปีกรมธรรม์ประกันภัย ไม่น้อยกว่า 15 วัน</t>
  </si>
  <si>
    <r>
      <rPr>
        <b/>
        <sz val="10"/>
        <rFont val="Tahoma"/>
        <family val="2"/>
      </rPr>
      <t xml:space="preserve">การต่ออายุสัญญาเพิ่มเติมกรณีครบรอบปีกรมธรรม์ประกันภัย (Renewal) </t>
    </r>
    <r>
      <rPr>
        <sz val="10"/>
        <rFont val="Tahoma"/>
        <family val="2"/>
      </rPr>
      <t xml:space="preserve">
</t>
    </r>
  </si>
  <si>
    <t>สัญญาเพิ่มเติมค่ารักษาพยาบาล เอ็กซ์ตร้า (MEX) สามารถต่ออายุได้ถึงอายุ 89 ปี ทั้งนี้ต้องไม่เกินระยะเวลาเอาประกันภัยของกรมธรรม์ประกันชีวิตที่สัญญาเพิ่มเติมนี้แนบท้ายอยู่
ในการต่ออายุสัญญาเพิ่มเติมนี้ บริษัทจะสงวนสิทธิในการเปลี่ยนแปลงเงื่อนไขข้อตกลงความคุ้มครอง โดยการเพิ่มเงื่อนไขให้ผู้เอาประกันภัยมีค่าใช้จ่ายร่วม (Copayment) ตามอัตราและหลักเกณฑ์ดังต่อไปนี้
(1) อัตราร้อยละ 30 ของค่าใช้จ่ายที่ได้รับความคุ้มครอง กรณีผู้เอาประกันภัยมีการเรียกร้องผลประโยชน์จากการป่วยเล็กน้อยทั่วไป (Simple diseases) และเข้าพักรักษาตัวในโรงพยาบาล ในรอบปีกรมธรรม์ประกันภัยตั้งแต่ 3 ครั้งขึ้นไป และมีอัตราการเรียกร้องค่าสินไหมทดแทนจากสาเหตุข้างต้นของผู้เอาประกันภัยแต่ละรายภายใต้สัญญาเพิ่มเติมฉบับนี้ ตั้งแต่ร้อยละ 200 หรือ
(2) อัตราร้อยละ 30  ของค่าใช้จ่ายที่ได้รับความคุ้มครอง กรณีผู้เอาประกันภัยมีการเรียกร้องผลประโยชน์จากการเข้าพักรักษาตัวในโรงพยาบาล ในรอบปีกรมธรรม์ประกันภัยตั้งแต่ 3 ครั้งขึ้นไป และมีอัตราการเรียกร้องค่าสินไหมทดแทนจากสาเหตุข้างต้นของผู้เอาประกันภัยแต่ละรายภายใต้สัญญาเพิ่มเติมฉบับนี้ ตั้งแต่ร้อยละ 400 แต่ไม่รวมถึงค่าสินไหมทดแทนจากค่ารักษาโรคร้ายแรงตามรายชื่อในเอกสารแนบท้ายรายชื่อโรคร้ายแรง และ/หรือการผ่าตัดใหญ่
   หากบริษัทเพิ่มเงื่อนไขให้ผู้เอาประกันภัยมีค่าใช้จ่ายร่วม (Copayment)  เนื่องจากมีกรณีตาม (1) และ (2) บริษัทจะกำหนดเงื่อนไขให้ผู้เอาประกันภัยมีค่าใช้จ่ายร่วม (Copayment) ร้อยละ 50 ของค่าใช้จ่ายที่ได้รับความคุ้มครอง 
   ในกรณีที่บริษัทกำหนดเงื่อนไขให้ผู้เอาประกันภัยมีค่าใช้จ่ายร่วม (Copayment) แล้ว ต่อมาการเรียกร้องผลประโยชน์หรืออัตราการเรียกร้องค่าสินไหมทดแทนของผู้เอาประกันภัยปรับลดลงจากหลักเกณฑ์ข้างต้นให้บริษัทพิจารณาปรับลดอัตราค่าใช้จ่ายร่วม (Copayment) ให้กับผู้เอาประกันภัย 
   ในกรณีบริษัทเพิ่มเติมเงื่อนไขให้ผู้เอาประกันภัยมีค่าใช้จ่ายร่วม (Copayment) ที่เป็นไปตามอัตราและหลักเกณฑ์ข้างต้น บริษัทจะออกหลักฐานเกี่ยวกับการกำหนดอัตราและหลักเกณฑ์ค่าใช้จ่ายร่วม (Copayment) ให้ผู้เอาประกันภัยทราบก่อนวันครบรอบปีกรมธรรม์ประกันภัย ไม่น้อยกว่า 15 วัน</t>
  </si>
  <si>
    <t>1. ผลประโยชน์จากสัญญาเพิ่มเติมคุ้มครองโรคร้ายแรงและบันทึกสลักหลังฯ (CI 123)*</t>
  </si>
  <si>
    <t xml:space="preserve">1.1  ผลประโยชน์ความคุ้มครองโรคร้ายแรงระยะรุนแรง (Major Stage Critical Illness) </t>
  </si>
  <si>
    <t xml:space="preserve">เมื่อบริษัทมีการจ่ายผลประโยชน์ความคุ้มครองในข้อนี้เป็นที่เรียบร้อยแล้ว ผลประโยชน์ความคุ้มครองอื่นใดที่มีอยู่ในข้อ 1.2, 1.3, 2.1, 2.2, 2.3  เป็นอันสิ้นสุด
</t>
  </si>
  <si>
    <t>และบริษัทจะคืนเบี้ยประกันภัยให้แก่ผู้เอาประกันภัยสำหรับส่วนที่ยังไม่ได้ให้ความคุ้มครองให้แก่ผู้เอาประกันภัย เว้นแต่ผู้เอาประกันภัยได้รับผลประโยชน์ดังกล่าวนั้นแล้ว</t>
  </si>
  <si>
    <t>ในกรณีที่ผู้เอาประกันภัยได้รับผลประโยชน์ความคุ้มครองกรณีภาวะวิกฤตในข้อ 1.2 ไปแล้ว จำนวนเงินเอาประกันภัยสำหรับความคุ้มครองโรคร้ายแรงระยะรุนแรงในข้อนี้ จะถูกปรับลดลง</t>
  </si>
  <si>
    <t>ซึ่งจะคำนวณจากจำนวนเงินเอาประกันภัย หักด้วย สินไหมทดแทนสำหรับความคุ้มครองกรณีภาวะวิกฤตที่จ่ายไปแล้ว โดยบริษัทจะคืนเบี้ยประกันภัยสำหรับความคุ้มครองโรคร้ายแรงระยะรุนแรง</t>
  </si>
  <si>
    <t>ให้แก่ผู้เอาประกันภัยตามสัดส่วนสำหรับระยะเวลาที่ยังไม่ได้รับความคุ้มครอง และจำนวนเงินเอาประกันภัยที่ลดลง และเบี้ยประกันภัยงวดถัดไปสำหรับความคุ้มครองโรคร้ายแรงระยะรุนแรงจะถูกปรับลดลง</t>
  </si>
  <si>
    <t>ตามจำนวนเงินเอาประกันภัยที่ลดลงดังกล่าว</t>
  </si>
  <si>
    <t xml:space="preserve">1.2  ผลประโยชน์ความคุ้มครองกรณีภาวะวิกฤต (Critical Care Benefit) </t>
  </si>
  <si>
    <t>หากผู้เอาประกันภัยมีการป่วยหรือบาดเจ็บ จนทำให้เกิดเหตุการใดเหตุการณ์หนึ่ง ดังต่อไปนี้</t>
  </si>
  <si>
    <t xml:space="preserve">-  การเข้ารับการรักษาในหอผู้ป่วยหนัก (ICU) ที่ต้องใช้เครื่องพยุงชีวิตขั้นสูงเป็นเวลาอย่างน้อย 5 วันติดต่อกัน </t>
  </si>
  <si>
    <t xml:space="preserve">-  การไม่สามารถปฏิบัติกิจวัตรประจำวันได้ด้วยตนเองอย่างถาวร ตั้งแต่ 2 อย่างขึ้นไป </t>
  </si>
  <si>
    <t xml:space="preserve">เมื่อบริษัทมีการจ่ายผลประโยชน์ความคุ้มครองในข้อนี้เป็นที่เรียบร้อยแล้ว ผลประโยชน์ความคุ้มครองในข้อ 1.2 นี้เป็นอันสิ้นสุด </t>
  </si>
  <si>
    <t xml:space="preserve">1.3  ผลประโยชน์ความคุ้มครองโรคร้ายแรงสำหรับเด็ก (Juvenile Critical Illness) </t>
  </si>
  <si>
    <t>สำหรับผู้เอาประกันภัยอายุตั้งแต่ 1 เดือน - 18 ปี</t>
  </si>
  <si>
    <t xml:space="preserve">เมื่อบริษัทมีการจ่ายผลประโยชน์ความคุ้มครองในข้อนี้เป็นที่เรียบร้อยแล้ว ผลประโยชน์ความคุ้มครองในข้อ 1.3 นี้เป็นอันสิ้นสุด </t>
  </si>
  <si>
    <t>2. ผลประโยชน์จากบันทึกสลักหลังแนบท้ายสัญญาเพิ่มเติม</t>
  </si>
  <si>
    <t xml:space="preserve"> 2.1  ผลประโยชน์เพิ่มเติมคุ้มครองโรคร้ายแรงระยะก่อนเริ่มต้น</t>
  </si>
  <si>
    <t xml:space="preserve">เมื่อบริษัทมีการจ่ายผลประโยชน์ความคุ้มครองในข้อนี้เป็นที่เรียบร้อยแล้ว ผลประโยชน์ความคุ้มครองในข้อ 2.1 นี้เป็นอันสิ้นสุด </t>
  </si>
  <si>
    <t xml:space="preserve">     2.2  ผลประโยชน์เพิ่มเติมคุ้มครองโรคร้ายแรงระยะเริ่มต้นถึงปานกลาง</t>
  </si>
  <si>
    <t xml:space="preserve">เมื่อบริษัทมีการจ่ายผลประโยชน์ความคุ้มครองในข้อนี้เป็นที่เรียบร้อยแล้ว ผลประโยชน์ความคุ้มครองในข้อ 2.2 นี้เป็นอันสิ้นสุด </t>
  </si>
  <si>
    <t xml:space="preserve">     2.3  ผลประโยชน์เพิ่มเติมคุ้มครองโรคร้ายแรงภายใต้เงื่อนไขพิเศษ</t>
  </si>
  <si>
    <t xml:space="preserve">เมื่อบริษัทมีการจ่ายผลประโยชน์ความคุ้มครองในข้อนี้เป็นที่เรียบร้อยแล้ว ผลประโยชน์ความคุ้มครองในข้อ 2.3 นี้เป็นอันสิ้นสุด </t>
  </si>
  <si>
    <r>
      <rPr>
        <b/>
        <u/>
        <sz val="12"/>
        <rFont val="Cordia New"/>
        <family val="2"/>
      </rPr>
      <t>หมายเหตุ</t>
    </r>
    <r>
      <rPr>
        <b/>
        <sz val="12"/>
        <rFont val="Cordia New"/>
        <family val="2"/>
      </rPr>
      <t xml:space="preserve">: *  สัญญาเพิ่มเติมนี้มีระยะเวลาเอาประกันภัย 1 ปี บริษัทอาจปรับเบี้ยประกันภัย ณ วันครบรอบปีกรมธรรม์ประกันภัย อันเนื่องมากจากอายุ และ/หรือ ชั้นอาชีพ ของแต่ละบุคคล หรือจากประสบการณ์การจ่ายสินไหมทดแทนโดยรวมของพอร์ตโฟลิโอ (Portfolio) ของสัญญาเพิ่มเติมนี้ ตามที่นายทะเบียนได้ให้ความเห็นชอบแล้ว
</t>
    </r>
  </si>
  <si>
    <r>
      <rPr>
        <b/>
        <sz val="9"/>
        <rFont val="Tahoma"/>
        <family val="2"/>
      </rPr>
      <t xml:space="preserve">เงื่อนไขที่สำคัญ
</t>
    </r>
    <r>
      <rPr>
        <sz val="9"/>
        <rFont val="Tahoma"/>
        <family val="2"/>
      </rPr>
      <t xml:space="preserve">
ระยะเวลาที่ไม่คุ้มครอง (Waiting Period) สัญญาเพิ่มเติมคุ้มครองโรคร้ายแรงและบันทึกสลักหลังนี้จะไม่คุ้มครองการป่วยด้วยโรคร้ายแรงหรือความผิดปกติซึ่งแพทย์ยืนยันและมีหลักฐานชัดเจนว่าเกี่ยวข้องกับโรคร้ายแรงที่ได้รับความคุ้มครองภายใต้สัญญาเพิ่มเติมนี้ ที่เกิดขึ้นภายใน 90 วัน นับแต่วันเริ่มมีผลคุ้มครองตามสัญญาเพิ่มเติมนี้ หรือหากมีการต่ออายุสัญญาเมื่อสัญญาเพิ่มเติมสิ้นผลบังคับ (Reinstatement) ให้นับแต่วันเริ่มมีผลคุ้มครองตามการต่ออายุครั้งสุดท้าย หรือวันที่บริษัทอนุมัติให้เพิ่มจำนวนเงินเอาประกันภัยของสัญญาเพิ่มเติมนี้ แล้วแต่วันใดจะเกิดขึ้นภายหลัง ทั้งนี้ ในกรณีที่บริษัทอนุมัติให้เพิ่มจำนวนเงินเอาประกันภัย บริษัทจะไม่คุ้มครองเฉพาะในส่วนของจำนวนเงินเอาประกันภัยที่เพิ่มขึ้นเท่านั้น
ยกเว้น กรณีอุบัติเหตุภายใต้ผลประโยชน์ภาวะวิกฤติที่ไม่มีระยะเวลาที่ไม่คุ้มครอง</t>
    </r>
  </si>
  <si>
    <t>รายชื่อโรคร้ายแรงภายใต้สัญญาเพิ่มเติมคุ้มครองโรคร้ายแรง</t>
  </si>
  <si>
    <t xml:space="preserve">โรคร้ายแรงระยะรุนแรง (Major Stage Critical Illness) </t>
  </si>
  <si>
    <t>1. โรคสมองเสื่อมชนิดอัลไซเมอร์</t>
  </si>
  <si>
    <t>15. การสูญเสียการได้ยิน</t>
  </si>
  <si>
    <t>43. โรคเนื้อเยื่อพังผืดอักเสบติดเชื้อและเป็นเนื้อตาย</t>
  </si>
  <si>
    <t>16. กลุ่มอาการไอเซนเมนเกอร์</t>
  </si>
  <si>
    <t>30. ภาวะข้ออักเสบรูมาตอยด์ชนิดรุนแรง</t>
  </si>
  <si>
    <t>44. โรคหนังแข็งชนิดลุกลาม</t>
  </si>
  <si>
    <t>3. โรคเยื่อหุ้มสมองและไขสันหลังอักเสบจากเชื้อแบคทีเรีย</t>
  </si>
  <si>
    <t>31. โรคหลอดเลือดสมองแตกหรืออุดตัน</t>
  </si>
  <si>
    <t>45. โรคลำไส้อักเสบเป็นแผลรุนแรง</t>
  </si>
  <si>
    <t>18. การสูญเสียความสามารถในการพูด</t>
  </si>
  <si>
    <t>32. การผ่าตัดเส้นเลือดแดงใหญ่เอออร์ต้า</t>
  </si>
  <si>
    <t>46. เยื่อหุ้มสมองอักเสบจากวัณโรค</t>
  </si>
  <si>
    <t>33. ไตอักเสบลูปูส จากโรคซิสเต็มมิค ลูปูส อิริเธมาโตซูส</t>
  </si>
  <si>
    <t>47. โรคกล้ามเนื้ออ่อนแรง</t>
  </si>
  <si>
    <t>6. โรคมะเร็งระยะลุกลาม</t>
  </si>
  <si>
    <t>20. การบาดเจ็บที่ศีรษะอย่างรุนแรง</t>
  </si>
  <si>
    <t>34. สมองอักเสบจากเชื้อไวรัส</t>
  </si>
  <si>
    <t>48. การติดเชื้อไวรัสภูมิคุ้มกันบกพร่องที่เกิดจากการเปลี่ยนถ่ายเลือด</t>
  </si>
  <si>
    <t>7. โรคกล้ามเนื้อหัวใจ</t>
  </si>
  <si>
    <t>21. การผ่าตัดเปลี่ยนอวัยวะหรือปลูกถ่ายไขกระดูก</t>
  </si>
  <si>
    <t>35. โรคความบกพร่องในการทำงานของต่อมหมวกไตเรื้อรัง</t>
  </si>
  <si>
    <t>49. โรคครอยตส์เฟลดต์-จาค็อบ</t>
  </si>
  <si>
    <t>8. ตับวาย</t>
  </si>
  <si>
    <t>22. โรคของเซลล์ประสาทควบคุมการเคลื่อนไหว</t>
  </si>
  <si>
    <t>36. โรคหลอดเลือดสมองโป่งพองที่ต้องรักษาโดยการผ่าตัด</t>
  </si>
  <si>
    <t>50. อีโบล่า</t>
  </si>
  <si>
    <t>9. โรคหลอดลมปอดอุดกั้นเรื้อรังขั้นรุนแรง / โรคปอดระยะสุดท้าย</t>
  </si>
  <si>
    <t>23. โรคระบบประสาทมัลติเพิล สะเคลอโรสิส</t>
  </si>
  <si>
    <t>51. ภาวะอะแพลลิก</t>
  </si>
  <si>
    <t>10. ภาวะโคม่า</t>
  </si>
  <si>
    <t>24. โรคกล้ามเนื้อเสื่อม</t>
  </si>
  <si>
    <t>38. โรคโปลิโอ (Poliomyelitis)</t>
  </si>
  <si>
    <t>52. ภาวะขั้นสุดท้าย</t>
  </si>
  <si>
    <t>11. การผ่าตัดเส้นเลือดเลี้ยงกล้ามเนื้อหัวใจ</t>
  </si>
  <si>
    <t>25. โรคไวรัสตับอักเสบขั้นรุนแรง</t>
  </si>
  <si>
    <t xml:space="preserve">53. การสูญเสียการดำรงชีพอย่างอิสระ </t>
  </si>
  <si>
    <t>12. กล้ามเนื้อหัวใจตายเฉียบพลันจากการขาดเลือด</t>
  </si>
  <si>
    <t>26. โรคเส้นเลือดหัวใจตีบ</t>
  </si>
  <si>
    <t>40. ภาวะตับอ่อนอักเสบที่กลับเป็นซ้ำและเรื้อรัง</t>
  </si>
  <si>
    <t>13. การผ่าตัดลิ้นหัวใจโดยวิธีการเปิดหัวใจ</t>
  </si>
  <si>
    <t>27. อัมพาตของกล้ามเนื้อแขนหรือขา</t>
  </si>
  <si>
    <t>41. โรคเท้าช้าง</t>
  </si>
  <si>
    <t>14. ไตวายเรื้อรัง</t>
  </si>
  <si>
    <t>28. โรคพาร์กินสัน</t>
  </si>
  <si>
    <t>42. โรคถุงน้ำในไต</t>
  </si>
  <si>
    <t xml:space="preserve">ความคุ้มครองกรณีวิกฤต (Critical Care Benefit) </t>
  </si>
  <si>
    <t xml:space="preserve">การป่วยหรือบาดเจ็บ จนทำให้เกิดเหตุการใดเหตุการณ์หนึ่ง ดังนี้
</t>
  </si>
  <si>
    <t>1 การเข้ารับการรักษาในหอผู้ป่วยหนัก (ICU) ที่ต้องใช้เครื่องพยุงชีวิตขั้นสูง* เป็นเวลาอย่างน้อย 5 วันติดต่อกัน</t>
  </si>
  <si>
    <t>2 การไม่สามารถปฏิบัติกิจวัตรประจำวันได้ด้วยตนเองอย่างถาวร ตั้งแต่ 2 อย่างขึ้นไป</t>
  </si>
  <si>
    <t>โรคร้ายแรงสำหรับเด็ก (Juvenile Critical Illness) คุ้มครองผู้เอาประกันภัยอายุ 1 เดือน - 18 ปี</t>
  </si>
  <si>
    <t>1. ไข้รูห์มาติกและลิ้นหัวใจรั่ว</t>
  </si>
  <si>
    <t>6. โรควิลสัน</t>
  </si>
  <si>
    <t>11. โรคข้ออักเสบเรื้อรังที่พบในเด็ก</t>
  </si>
  <si>
    <t>16. โรคทางพันธุกรรมที่ส่งผลกระทบต่อโครงสร้างกระดูกและพัฒนาการของร่างกาย</t>
  </si>
  <si>
    <t>2. โรคคาวาซากิ (Kawasaki Diseases)</t>
  </si>
  <si>
    <t>7. โรคไตอักเสบและมีกลุ่มอาการไตเนโฟรติก</t>
  </si>
  <si>
    <t>12. ภาวะบกพร่องทางสติปัญญาที่เกิดจากโรคหรือการบาดเจ็บ</t>
  </si>
  <si>
    <t>17. โรคบาดทะยักชนิดที่มีอาการรุนแรง</t>
  </si>
  <si>
    <t>3. โรคมือเท้าปากมีอาการซับซ้อนรุนแรง</t>
  </si>
  <si>
    <t xml:space="preserve">8. โรคกระดูกเปราะที่เป็นกรรมพันธุ์ </t>
  </si>
  <si>
    <t>13. โรคอัลไซเมอร์เด็ก</t>
  </si>
  <si>
    <t xml:space="preserve">4. โรคไข้เลือดออกที่เกิดจากการติดเชื้อไวรัสเดงกี่ชนิดรุนแรง </t>
  </si>
  <si>
    <t>9. โรคฮีโมฟีเลียA และโรคฮีโมฟีเลีย B</t>
  </si>
  <si>
    <t>14. ภาวะพร่องเอนไซม์แต่กำเนิดที่มีหน้าที่ในการสังเคราะห์กรดน้ำดี</t>
  </si>
  <si>
    <t xml:space="preserve">5. โรคเบาหวานชนิดที่ต้องพึ่งอินซูลิน </t>
  </si>
  <si>
    <t>10. โรคกล้ามเนื้ออ่อนแรงชนิดที่ 1</t>
  </si>
  <si>
    <t>15. ภาวะขาดเอนไซม์ไพรูเวตดีไฮโดรจีเนส</t>
  </si>
  <si>
    <t>รายชื่อโรคร้ายแรงภายใต้บันทึกสลักหลังที่แนบท้ายสัญญาเพิ่มเติมคุ้มครองโรคร้ายแรง</t>
  </si>
  <si>
    <t>โรคร้ายแรงระยะก่อนเริ่มต้น (Pre-Early Stage Critical Illness)</t>
  </si>
  <si>
    <t>1. เนื้องอกที่มีลักษณะ ไม่ใช่มะเร็งเต็มขั้น แต่มีศักยภาพในการพัฒนาไปเป็นมะเร็ง</t>
  </si>
  <si>
    <t>4. การตัดเท้าข้างหนึ่งเนื่องจากภาวะแทรกซ้อนจากโรคเบาหวาน</t>
  </si>
  <si>
    <t>2. ความบกพร่องทางสายตาจากจอประสาทตาเสื่อมจากอายุ</t>
  </si>
  <si>
    <t>5. โรคไตจากเบาหวาน</t>
  </si>
  <si>
    <t>3. ภาวะสูญเสียการได้ยินจากอายุ</t>
  </si>
  <si>
    <t>6. ภาวะเบาหวานขึ้นจอประสาทตา</t>
  </si>
  <si>
    <t>โรคร้ายแรงระยะเริ่มต้นถึงปานกลาง (Early to Intermediate Stage Critical Illness)</t>
  </si>
  <si>
    <t>1. การใส่เครื่องกระตุ้นหัวใจ</t>
  </si>
  <si>
    <t>12. โรคหลอดเลือดหัวใจตีบที่รักษาด้วยการสวนหลอดเลือดหัวใจ</t>
  </si>
  <si>
    <t>23. โรคกล้ามเนื้อหัวใจชนิดที่มีกล้ามเนื้อหนา และ 
โรคกล้ามเนื้อหัวใจชนิดที่มีกล้ามเนื้อแข็งตัวมากกว่าปกติ</t>
  </si>
  <si>
    <t>34. โรคหลอดเลือดสมองโป่งพองที่รักษาโดยใช้ขดลวดผ่านสายสวนทางหลอดเลือด</t>
  </si>
  <si>
    <t>2. การผ่าตัดเอาเนื้องอกต่อมใต้สมองออก</t>
  </si>
  <si>
    <t>13. โรคโปลิโอขั้นร้ายแรงปานกลาง</t>
  </si>
  <si>
    <t>24. ภาวะเลือดจางชนิดจากไขกระดูกฝ่อที่สามารถกลับเป็นปกติได้</t>
  </si>
  <si>
    <t>35. การผ่าตัดเลือดคั่งใต้เยื่อหุ้มสมอง</t>
  </si>
  <si>
    <t>3. การผ่าตัดตับ</t>
  </si>
  <si>
    <t>14. โรคหนังแข็งชนิดลุกลามระยะแรก</t>
  </si>
  <si>
    <t>25. การผ่าตัดเนื้องอกที่ต่อมหมวกไต</t>
  </si>
  <si>
    <t>36. อาการบาดเจ็บที่ไขสันหลัง</t>
  </si>
  <si>
    <t>4. การผ่าตัดบายพาสหลอดเลือดหัวใจโคโรนารี่ โดยการทำคีย์โฮลล์</t>
  </si>
  <si>
    <t xml:space="preserve">15. โรคหอบหืดรุนแรงเฉียบพลัน </t>
  </si>
  <si>
    <t>26. โรคไตวายระยะแรก</t>
  </si>
  <si>
    <t>37. ภาวะสูญเสียการทำงานของกล้ามเนื้อแขนหรือขาหนึ่งข้าง</t>
  </si>
  <si>
    <t>5. โรคมะเร็งระยะไม่ลุกลาม</t>
  </si>
  <si>
    <t>16. การผ่าตัดเล็กของเส้นเลือดแดงใหญ่เอออร์ต้า</t>
  </si>
  <si>
    <t>27. ภาวะตับอ่อนที่มีเนื้อตับอ่อนตายเฉียบพลัน</t>
  </si>
  <si>
    <t>38. โรคหลอดเลือดสมองที่ต้องได้รับการผ่าตัดลอกหลอดเลือดแดงคาโรติค</t>
  </si>
  <si>
    <t>6. โรคลูปัส หรือ โรคเอสแอลอีระยะรุนแรงปานกลาง</t>
  </si>
  <si>
    <t>17. การใส่เครื่องกระตุ้นหัวใจถาวร</t>
  </si>
  <si>
    <t>28. การใส่ตะแกรงกรองลิ่มเลือด</t>
  </si>
  <si>
    <t>39. การสูญเสียการได้ยินบางส่วน หรือ การผ่าตัดภาวะโพรง Cavernous อุดตัน</t>
  </si>
  <si>
    <t>7. แผลไหม้ฉกรรจ์ชนิดรุนแรงปานกลาง</t>
  </si>
  <si>
    <t>18. เส้นประสาทตาฝ่อและความสามารถในการมองเห็นต่ำ</t>
  </si>
  <si>
    <t>29. การผ่าตัดฟื้นฟูทางเดินน้ำดี</t>
  </si>
  <si>
    <t xml:space="preserve">40. การผ่าตัดฟังประสาทหูเทียม </t>
  </si>
  <si>
    <t>8. การปลูกถ่ายลำไส้เล็ก หรือการปลูกถ่ายกระจกตา</t>
  </si>
  <si>
    <t>19. โรคกล้ามเนื้อเสื่อมปานกลางถึงรุนแรง</t>
  </si>
  <si>
    <t>30. โรคแรงดันปอดสูงแบบทุติยภูมิ</t>
  </si>
  <si>
    <t>41. การใส่สายระบายน้ำไขสันหลังในสมอง</t>
  </si>
  <si>
    <t>9. โรคหลอดเลือดสมองที่ได้รับการรักษาโดยวิธีใส่สายสวนเส้นเลือดบริเวณคอ</t>
  </si>
  <si>
    <t>20. การผ่าตัดเอาปอดออกหนึ่งข้าง</t>
  </si>
  <si>
    <t>31. โรคตับแข็ง</t>
  </si>
  <si>
    <t>42. โรคทางระบบประสาทที่ส่งผลต่อการเคลื่อนไหว, 
การทรงตัว และการควบคุมการเคลื่อนไหวของดวงตา</t>
  </si>
  <si>
    <t>10. โรคระบบประสาทมัลติเพิลสะเคลอโรสิสระยะแรก</t>
  </si>
  <si>
    <t>21. มะเร็งระยะไม่ลุกลามของอวัยวะเฉพาะส่วน
ที่ได้รับการผ่าตัดอวัยวะนั้นออกจากร่างกายทั้งหมด</t>
  </si>
  <si>
    <t>32. โรคหนังแข็งชนิดลุกลามที่มีอาการเครสซินโดรม</t>
  </si>
  <si>
    <t>11. การผ่าตัดลิ้นหัวใจผ่านทางผิวหนัง</t>
  </si>
  <si>
    <t>22. การผ่าตัดเลาะเยื่อหุ้มหัวใจ</t>
  </si>
  <si>
    <t>33. การสูญเสียการมองเห็นของตาหนึ่งข้าง</t>
  </si>
  <si>
    <t>โรคร้ายแรงภายใต้เงื่อนไขพิเศษ (Special Critical Illness)</t>
  </si>
  <si>
    <t>1. ภาวะสมองเสื่อมระดับกลาง</t>
  </si>
  <si>
    <t>3. การผ่าตัดแก้ไขภาวะผนังกั้นหัวใจพิการแต่กำเนิด</t>
  </si>
  <si>
    <t>2. การรักษาหัวใจเต้นผิดจังหวะ</t>
  </si>
  <si>
    <t>4. การผ่าตัดเนื้องอกที่ต่อมหมวกไต</t>
  </si>
  <si>
    <t>หมายเหตุ (*) เครื่องพยุงชีวิตขั้นสูง หมายถึง เครื่องช่วยหายใจแบบสอดท่อหรือเจาะคอ (MV) หรือเครื่องพยุงการทำงานของหัวใจ และปอด (ECMO)</t>
  </si>
  <si>
    <t>RLPLAN</t>
  </si>
  <si>
    <t>RLOCLS</t>
  </si>
  <si>
    <t>RLCLS</t>
  </si>
  <si>
    <t>RLSEX</t>
  </si>
  <si>
    <t>KEY</t>
  </si>
  <si>
    <t>RLL00</t>
  </si>
  <si>
    <t>RLL01</t>
  </si>
  <si>
    <t>RLL02</t>
  </si>
  <si>
    <t>RLL03</t>
  </si>
  <si>
    <t>RLL04</t>
  </si>
  <si>
    <t>RLL05</t>
  </si>
  <si>
    <t>RLL06</t>
  </si>
  <si>
    <t>RLL07</t>
  </si>
  <si>
    <t>RLL08</t>
  </si>
  <si>
    <t>RLL09</t>
  </si>
  <si>
    <t>RLL10</t>
  </si>
  <si>
    <t>RLL11</t>
  </si>
  <si>
    <t>RLL12</t>
  </si>
  <si>
    <t>RLL13</t>
  </si>
  <si>
    <t>RLL14</t>
  </si>
  <si>
    <t>RLL15</t>
  </si>
  <si>
    <t>RLL16</t>
  </si>
  <si>
    <t>RLL17</t>
  </si>
  <si>
    <t>RLL18</t>
  </si>
  <si>
    <t>RLL19</t>
  </si>
  <si>
    <t>RLL20</t>
  </si>
  <si>
    <t>RLL21</t>
  </si>
  <si>
    <t>RLL22</t>
  </si>
  <si>
    <t>RLL23</t>
  </si>
  <si>
    <t>RLL24</t>
  </si>
  <si>
    <t>RLL25</t>
  </si>
  <si>
    <t>RLL26</t>
  </si>
  <si>
    <t>RLL27</t>
  </si>
  <si>
    <t>RLL28</t>
  </si>
  <si>
    <t>RLL29</t>
  </si>
  <si>
    <t>RLL30</t>
  </si>
  <si>
    <t>RLL31</t>
  </si>
  <si>
    <t>RLL32</t>
  </si>
  <si>
    <t>RLL33</t>
  </si>
  <si>
    <t>RLL34</t>
  </si>
  <si>
    <t>RLL35</t>
  </si>
  <si>
    <t>RLL36</t>
  </si>
  <si>
    <t>RLL37</t>
  </si>
  <si>
    <t>RLL38</t>
  </si>
  <si>
    <t>RLL39</t>
  </si>
  <si>
    <t>RLL40</t>
  </si>
  <si>
    <t>RLL41</t>
  </si>
  <si>
    <t>RLL42</t>
  </si>
  <si>
    <t>RLL43</t>
  </si>
  <si>
    <t>RLL44</t>
  </si>
  <si>
    <t>RLL45</t>
  </si>
  <si>
    <t>RLL46</t>
  </si>
  <si>
    <t>RLL47</t>
  </si>
  <si>
    <t>RLL48</t>
  </si>
  <si>
    <t>RLL49</t>
  </si>
  <si>
    <t>RLL50</t>
  </si>
  <si>
    <t>RLL51</t>
  </si>
  <si>
    <t>RLL52</t>
  </si>
  <si>
    <t>RLL53</t>
  </si>
  <si>
    <t>RLL54</t>
  </si>
  <si>
    <t>RLL55</t>
  </si>
  <si>
    <t>RLL56</t>
  </si>
  <si>
    <t>RLL57</t>
  </si>
  <si>
    <t>RLL58</t>
  </si>
  <si>
    <t>RLL59</t>
  </si>
  <si>
    <t>RLL60</t>
  </si>
  <si>
    <t>RLL61</t>
  </si>
  <si>
    <t>RLL62</t>
  </si>
  <si>
    <t>RLL63</t>
  </si>
  <si>
    <t>RLL64</t>
  </si>
  <si>
    <t>RLL65</t>
  </si>
  <si>
    <t>RLL66</t>
  </si>
  <si>
    <t>RLL67</t>
  </si>
  <si>
    <t>RLL68</t>
  </si>
  <si>
    <t>RLL69</t>
  </si>
  <si>
    <t>RLL70</t>
  </si>
  <si>
    <t>RLL71</t>
  </si>
  <si>
    <t>RLL72</t>
  </si>
  <si>
    <t>RLL73</t>
  </si>
  <si>
    <t>RLL74</t>
  </si>
  <si>
    <t>RLL75</t>
  </si>
  <si>
    <t>RLL76</t>
  </si>
  <si>
    <t>RLL77</t>
  </si>
  <si>
    <t>RLL78</t>
  </si>
  <si>
    <t>RLL79</t>
  </si>
  <si>
    <t>RLL80</t>
  </si>
  <si>
    <t>RLL81</t>
  </si>
  <si>
    <t>RLL82</t>
  </si>
  <si>
    <t>RLL83</t>
  </si>
  <si>
    <t>RLL84</t>
  </si>
  <si>
    <t>RLL85</t>
  </si>
  <si>
    <t>RLL86</t>
  </si>
  <si>
    <t>RLL87</t>
  </si>
  <si>
    <t>RLL88</t>
  </si>
  <si>
    <t>RLL89</t>
  </si>
  <si>
    <t>RLL90</t>
  </si>
  <si>
    <t>RLL91</t>
  </si>
  <si>
    <t>RLL92</t>
  </si>
  <si>
    <t>RLL93</t>
  </si>
  <si>
    <t>RLL94</t>
  </si>
  <si>
    <t>RLL95</t>
  </si>
  <si>
    <t>RLL96</t>
  </si>
  <si>
    <t>RLL97</t>
  </si>
  <si>
    <t>RLL98</t>
  </si>
  <si>
    <t>RLL99</t>
  </si>
  <si>
    <t>RLW00</t>
  </si>
  <si>
    <t>RLW01</t>
  </si>
  <si>
    <t>RLW02</t>
  </si>
  <si>
    <t>RLW03</t>
  </si>
  <si>
    <t>RLW04</t>
  </si>
  <si>
    <t>RLW05</t>
  </si>
  <si>
    <t>RLW06</t>
  </si>
  <si>
    <t>RLW07</t>
  </si>
  <si>
    <t>RLW08</t>
  </si>
  <si>
    <t>RLW09</t>
  </si>
  <si>
    <t>RLW10</t>
  </si>
  <si>
    <t>RLW11</t>
  </si>
  <si>
    <t>RLW12</t>
  </si>
  <si>
    <t>RLW13</t>
  </si>
  <si>
    <t>RLW14</t>
  </si>
  <si>
    <t>RLW15</t>
  </si>
  <si>
    <t>RLW16</t>
  </si>
  <si>
    <t>RLW17</t>
  </si>
  <si>
    <t>RLW18</t>
  </si>
  <si>
    <t>RLW19</t>
  </si>
  <si>
    <t>RLW20</t>
  </si>
  <si>
    <t>RLW21</t>
  </si>
  <si>
    <t>RLW22</t>
  </si>
  <si>
    <t>RLW23</t>
  </si>
  <si>
    <t>RLW24</t>
  </si>
  <si>
    <t>RLW25</t>
  </si>
  <si>
    <t>RLW26</t>
  </si>
  <si>
    <t>RLW27</t>
  </si>
  <si>
    <t>RLW28</t>
  </si>
  <si>
    <t>RLW29</t>
  </si>
  <si>
    <t>RLW30</t>
  </si>
  <si>
    <t>RLW31</t>
  </si>
  <si>
    <t>RLW32</t>
  </si>
  <si>
    <t>RLW33</t>
  </si>
  <si>
    <t>RLW34</t>
  </si>
  <si>
    <t>RLW35</t>
  </si>
  <si>
    <t>RLW36</t>
  </si>
  <si>
    <t>RLW37</t>
  </si>
  <si>
    <t>RLW38</t>
  </si>
  <si>
    <t>RLW39</t>
  </si>
  <si>
    <t>RLW40</t>
  </si>
  <si>
    <t>RLW41</t>
  </si>
  <si>
    <t>RLW42</t>
  </si>
  <si>
    <t>RLW43</t>
  </si>
  <si>
    <t>RLW44</t>
  </si>
  <si>
    <t>RLW45</t>
  </si>
  <si>
    <t>RLW46</t>
  </si>
  <si>
    <t>RLW47</t>
  </si>
  <si>
    <t>RLW48</t>
  </si>
  <si>
    <t>RLW49</t>
  </si>
  <si>
    <t>RLW50</t>
  </si>
  <si>
    <t>RLW51</t>
  </si>
  <si>
    <t>RLW52</t>
  </si>
  <si>
    <t>RLW53</t>
  </si>
  <si>
    <t>RLW54</t>
  </si>
  <si>
    <t>RLW55</t>
  </si>
  <si>
    <t>RLW56</t>
  </si>
  <si>
    <t>RLW57</t>
  </si>
  <si>
    <t>RLW58</t>
  </si>
  <si>
    <t>RLW59</t>
  </si>
  <si>
    <t>RLW60</t>
  </si>
  <si>
    <t>RLW61</t>
  </si>
  <si>
    <t>RLW62</t>
  </si>
  <si>
    <t>RLW63</t>
  </si>
  <si>
    <t>RLW64</t>
  </si>
  <si>
    <t>RLW65</t>
  </si>
  <si>
    <t>RLW66</t>
  </si>
  <si>
    <t>RLW67</t>
  </si>
  <si>
    <t>RLW68</t>
  </si>
  <si>
    <t>RLW69</t>
  </si>
  <si>
    <t>RLW70</t>
  </si>
  <si>
    <t>RLW71</t>
  </si>
  <si>
    <t>RLW72</t>
  </si>
  <si>
    <t>RLW73</t>
  </si>
  <si>
    <t>RLW74</t>
  </si>
  <si>
    <t>RLW75</t>
  </si>
  <si>
    <t>RLW76</t>
  </si>
  <si>
    <t>RLW77</t>
  </si>
  <si>
    <t>RLW78</t>
  </si>
  <si>
    <t>RLW79</t>
  </si>
  <si>
    <t>RLW80</t>
  </si>
  <si>
    <t>RLW81</t>
  </si>
  <si>
    <t>RLW82</t>
  </si>
  <si>
    <t>RLW83</t>
  </si>
  <si>
    <t>RLW84</t>
  </si>
  <si>
    <t>RLW85</t>
  </si>
  <si>
    <t>RLW86</t>
  </si>
  <si>
    <t>RLW87</t>
  </si>
  <si>
    <t>RLW88</t>
  </si>
  <si>
    <t>RLW89</t>
  </si>
  <si>
    <t>RLW90</t>
  </si>
  <si>
    <t>RLW91</t>
  </si>
  <si>
    <t>RLW92</t>
  </si>
  <si>
    <t>RLW93</t>
  </si>
  <si>
    <t>RLW94</t>
  </si>
  <si>
    <t>RLW95</t>
  </si>
  <si>
    <t>RLW96</t>
  </si>
  <si>
    <t>RLW97</t>
  </si>
  <si>
    <t>RLW98</t>
  </si>
  <si>
    <t>RLW99</t>
  </si>
  <si>
    <t>Major CI</t>
  </si>
  <si>
    <t>CIES3</t>
  </si>
  <si>
    <t>CIES4</t>
  </si>
  <si>
    <t>Critical Care Benefit</t>
  </si>
  <si>
    <t>CIESCB</t>
  </si>
  <si>
    <t>Early to Intermediate CI</t>
  </si>
  <si>
    <t>CIESEI</t>
  </si>
  <si>
    <t>Pre-Early CI</t>
  </si>
  <si>
    <t>CIESPE</t>
  </si>
  <si>
    <t>Juvenile CI</t>
  </si>
  <si>
    <t>CIESJN</t>
  </si>
  <si>
    <t>Special Conditions</t>
  </si>
  <si>
    <t>CIESSC</t>
  </si>
  <si>
    <t>สัญญาเพิ่มเติมคุ้มครองโรคร้ายแรง (CI 123)</t>
  </si>
  <si>
    <t>1 เดือน - 75 ปี</t>
  </si>
  <si>
    <t>บันทึกฯ โรคร้ายแรงระยะก่อนเริ่มต้น (CI 123)</t>
  </si>
  <si>
    <t>บังคับซื้อแนบสัญญาเพิ่มเติม CI 123</t>
  </si>
  <si>
    <t>บันทึกฯ โรคร้ายแรงระยะเริ่มต้นถึงปานกลาง (CI 123)</t>
  </si>
  <si>
    <t>บันทึกฯ โรคร้ายแรงภายใต้เงื่อนไขพิเศษ (CI 123)</t>
  </si>
  <si>
    <t>แผน M</t>
  </si>
  <si>
    <t>Easy Ci</t>
  </si>
  <si>
    <t>แผน S</t>
  </si>
  <si>
    <t>Benefit Component</t>
  </si>
  <si>
    <t>Premium ANN</t>
  </si>
  <si>
    <t>Special conditions</t>
  </si>
  <si>
    <t>11. ผลประโยชน์คุ้มครองโรคร้ายแรง</t>
  </si>
  <si>
    <t>11.1 ผลประโยชน์เพิ่มเติมคุ้มครองโรคร้ายแรงระยะก่อนเริ่มต้น</t>
  </si>
  <si>
    <t>11.2 ผลประโยชน์เพิ่มเติมคุ้มครองโรคร้ายแรงระยะเริ่มต้นถึงปานกลาง</t>
  </si>
  <si>
    <t>11.3 ผลประโยชน์เพิ่มเติมคุ้มครองโรคร้ายแรงภายใต้เงื่อนไขพิเศษ</t>
  </si>
  <si>
    <t>บันทึกฯ โรคร้ายแรงระยะก่อนเริ่มต้น (แนบท้ายสัญญาเพิ่มเติมคุ้มครองโรคร้ายแรง (CI 123))</t>
  </si>
  <si>
    <t>บันทึกฯ โรคร้ายแรงระยะเริ่มต้นถึงปานกลาง (แนบท้ายสัญญาเพิ่มเติมคุ้มครองโรคร้ายแรง (CI 123))</t>
  </si>
  <si>
    <t>บันทึกฯ โรคร้ายแรงภายใต้เงื่อนไขพิเศษ (แนบท้ายสัญญาเพิ่มเติมคุ้มครองโรคร้ายแรง (CI 123))</t>
  </si>
  <si>
    <t>**** สัญญาเพิ่มเติมนี้มีระยะเวลาเอาประกันภัย 1 ปี บริษัทอาจปรับเบี้ยประกันภัย ณ วันครบรอบปีกรมธรรม์ประกันภัย อันเนื่องมากจากอายุ และ/หรือ ชั้นอาชีพ ของแต่ละบุคคล หรือจากประสบการณ์การจ่ายสินไหมทดแทนโดยรวมของพอร์ตโฟลิโอ (Portfolio) ของสัญญาเพิ่มเติมนี้ ตามที่นายทะเบียนได้ให้ความเห็นชอบแล้ว</t>
  </si>
  <si>
    <t>CIES</t>
  </si>
  <si>
    <r>
      <rPr>
        <u/>
        <sz val="9"/>
        <rFont val="Tahoma"/>
        <family val="2"/>
      </rPr>
      <t xml:space="preserve">ข้อยกเว้นสัญญาเพิ่มเติมคุ้มครองโรคร้ายแรงและบันทึกสลักหลังฯ (CI 123) มีทั้งหมด 15 ข้อ  ตัวอย่างเช่น
</t>
    </r>
    <r>
      <rPr>
        <sz val="9"/>
        <rFont val="Tahoma"/>
        <family val="2"/>
      </rPr>
      <t xml:space="preserve">
สัญญาเพิ่มเติมฉบับนี้ไม่คุ้มครองการเจ็บป่วยด้วยโรคร้ายแรง ดังต่อไปนี้
</t>
    </r>
    <r>
      <rPr>
        <b/>
        <sz val="9"/>
        <rFont val="Tahoma"/>
        <family val="2"/>
      </rPr>
      <t xml:space="preserve">1 กรณีเจ็บป่วยด้วยโรคร้ายแรง เว้นแต่การทุพพลภาพถาวรสิ้นเชิง ซึ่งเกิดขึ้นโดยทางตรงหรือ
ทางอ้อม ทั้งหมดหรือแต่บางส่วน อันเนื่องมาจากสาเหตุดังต่อไปนี้
</t>
    </r>
    <r>
      <rPr>
        <sz val="9"/>
        <rFont val="Tahoma"/>
        <family val="2"/>
      </rPr>
      <t xml:space="preserve"> 1)  ความผิดปกติซึ่งแพทย์ยืนยันและมีหลักฐานชัดเจนว่าเกี่ยวข้องกับโรคร้ายแรงหรือโรคร้ายแรงที่เกิดขึ้นก่อนวันเริ่มมีผลคุ้มครองตามสัญญาเพิ่มเติมนี้ หรือก่อนวันที่ให้มีการต่ออายุสัญญาเมื่อสัญญาเพิ่มเติมสิ้นผลบังคับ (Reinstatement) หรือก่อนวันที่บริษัทอนุมัติให้เพิ่มจำนวนเงินเอาประกันภัยของสัญญาเพิ่มเติมนี้ แล้วแต่วันใดจะเกิดขึ้นภายหลัง ทั้งนี้ ในกรณีที่บริษัทอนุมัติให้เพิ่มจำนวนเงินเอาประกันภัย บริษัทจะไม่คุ้มครองเฉพาะในส่วนของจำนวนเงินเอาประกันภัยที่เพิ่มขึ้นเท่านั้น  
เว้นแต่ ผู้เอาประกันภัย ได้แถลงให้บริษัททราบและบริษัทยินยอมรับความเสี่ยงภัย โดยไม่มีเงื่อนไขยกเว้นความคุ้มครองดังกล่าว 
 2)  การฆ่าตัวตาย หรือการทำร้ายร่างกายตนเอง หรือพยายามกระทำเช่นว่านั้น 
 3)  สูดดม กิน ดื่ม ฉีด หรือนำสารมีพิษเข้าร่างกายไม่ว่าด้วยวิธีใด ในขณะที่รู้สึกผิดชอบ หรือ วิกลจริต หรือไม่ก็ตาม
 4)  ผู้เอาประกันภัยปฏิเสธไม่ยอมรับการรักษา แนะนำ หรือ ปฏิบัติตามคำแนะนำของแพทย์
</t>
    </r>
    <r>
      <rPr>
        <b/>
        <sz val="9"/>
        <rFont val="Tahoma"/>
        <family val="2"/>
      </rPr>
      <t xml:space="preserve">2 กรณีทุพพลภาพถาวรสิ้นเชิง อันเนื่องมาจากสาเหตุดังต่อไปนี้
</t>
    </r>
    <r>
      <rPr>
        <sz val="9"/>
        <rFont val="Tahoma"/>
        <family val="2"/>
      </rPr>
      <t xml:space="preserve">
 1)  การฆ่าตัวตาย พยายามฆ่าตัวตาย หรือการทำร้ายร่างกายตนเอง
 2)  การบาดเจ็บขณะที่ผู้เอาประกันภัยก่ออาชญากรรมที่มีความผิดสถานหนัก หรือขณะถูกจับกุม หรือหลบหนีการจับกุม
</t>
    </r>
    <r>
      <rPr>
        <b/>
        <sz val="9"/>
        <rFont val="Tahoma"/>
        <family val="2"/>
      </rPr>
      <t>คำเตือน</t>
    </r>
    <r>
      <rPr>
        <sz val="9"/>
        <rFont val="Tahoma"/>
        <family val="2"/>
      </rPr>
      <t xml:space="preserve">
คำเตือนสำหรับสัญญาเพิ่มเติมคุ้มครองโรคร้ายแรงและบันทึกสลักหลังฯ (CI 123)
1. บริษัทอาจปรับเบี้ยประกันภัย ณ วันครบรอบปีกรมธรรม์ประกันภัย อันเนื่องมากจากอายุ และ/หรือ ชั้นอาชีพ ของแต่ละบุคคล หรือจากประสบการณ์การจ่ายสินไหมทดแทนโดยรวมของพอร์ตโฟลิโอ (Portfolio) ของสัญญาเพิ่มเติมนี้ ตามที่นายทะเบียนได้ให้ความเห็นชอบแล้ว
2. ความคุ้มครองโรคร้ายแรงภายใต้สัญญาเพิ่มเติมและบันทึกสลักหลังที่แนบท้ายสัญญาเพิ่มเติมนี้ เป็นไปตามคำนิยามโรคร้ายแรงและข้อกำหนดทั่วไปของกรมธรรม์ประกันภัยฉบับนี้ กรุณาศึกษารายละเอียดในเอกสารเสนอขาย และ/หรือ กรมธรรม์ประกันภัยที่บริษัทออกให้ 
3. ผู้ขอเอาประกันภัยควรตรวจสอบรายละเอียดผลประโยชน์คุ้มครองและเงื่อนไขต่างๆ ของกรมธรรม์ประกันภัยนี้ทันทีเมื่อได้รับกรมธรรม์
  หมายเหตุ: สัญญาเพิ่มเติมคุ้มครองโรคร้ายแรง สามารถต่ออายุได้ถึงอายุ 98 ปี ทั้งนี้ ต้องไม่เกินระยะเวลาเอาประกันภัยของกรมธรรม์ประกันชีวิตที่สัญญาเพิ่มเติมนี้แนบท้ายอยู่</t>
    </r>
  </si>
  <si>
    <t>2. ชำระผ่านแผนกรับชำระเบี้ย ณ ที่ทำการสาขา หรือที่สำนักงานใหญ่ของบริษัทฯ เป็นเงินสด 
โดยกรณีชำระเป็นเงินสดชำระได้ไม่เกิน 30,000 บาท หรือตั๋วแลกเงิน หรือแคชเชียร์เช็ค 
หรือเช็คสั่งจ่าย “บริษัท กรุงไทย-แอกซ่า ประกันชีวิต จำกัด (มหาชน)” หรือบัตรเครดิต</t>
  </si>
  <si>
    <t>8. บริการพิเศษ สำหรับการชำระเบี้ยประกันภัยในงวดถัดไป สามารถชำระโดยหักค่าเบี้ยประกันอัตโนมัติผ่านบัญชีธนาคารประเภทออมทรัพย์หรือกระแสรายวัน ผ่านธนาคารกรุงไทย ธนาคารกรุงเทพ ธนาคารกรุงศรีอยุธยา ธนาคารกสิกรไทย ธนาคารไทยพาณิชย์ ทุกสาขาทั่วประเทศ โดยสามารถสมัครผ่าน Emma Application (เฉพาะธนาคารกรุงไทยเท่านั้น) หรือ ช่องทาง eChannel (ATM, Website หรือ Moblie Application ของธนาคาร) หรือ กรอกหนังสือยินยอมหักค่าเบี้ยประกันอัตโนมัติผ่านบัญชีธนาคาร พร้อมแนบสำเนาสมุดบัญชีเงินฝากธนาคารหน้าแรก และสำเนาบัตรประจำตัวประชาชนของเจ้าของบัญชีมาด้วยในการสมัครทุกครั้ง ทั้งนี้เบี้ยประกันภัยงวดแรกจะไม่สามารถชำระโดยการหักบัญชีธนาคารได้</t>
  </si>
  <si>
    <t>A2026-1</t>
  </si>
  <si>
    <t>1 มกราคม 2569 ถึง 31 มีนาคม 2570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</si>
</sst>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 #,##0_-;_-* &quot;-&quot;_-;_-@_-"/>
    <numFmt numFmtId="43" formatCode="_-* #,##0.00_-;\-* #,##0.00_-;_-* &quot;-&quot;??_-;_-@_-"/>
    <numFmt numFmtId="164" formatCode="_(* #,##0.00_);_(* \(#,##0.00\);_(* &quot;-&quot;??_);_(@_)"/>
    <numFmt numFmtId="165" formatCode="#,##0_ ;\-#,##0\ "/>
    <numFmt numFmtId="166" formatCode="_-* #,##0_-;\-* #,##0_-;_-* &quot;-&quot;??_-;_-@_-"/>
    <numFmt numFmtId="167" formatCode="#,##0.00_ ;\-#,##0.00\ "/>
    <numFmt numFmtId="168" formatCode="0_ ;\-0\ "/>
    <numFmt numFmtId="169" formatCode="#,##0.0"/>
    <numFmt numFmtId="170" formatCode="0.0%"/>
    <numFmt numFmtId="171" formatCode="_-* #,##0.00000_-;\-* #,##0.00000_-;_-* &quot;-&quot;??_-;_-@_-"/>
    <numFmt numFmtId="172" formatCode="d\ ดดดด\ bbbb\ \ h:mm"/>
    <numFmt numFmtId="173" formatCode="0.00000"/>
    <numFmt numFmtId="174" formatCode="000\-000\-0000"/>
  </numFmts>
  <fonts count="243">
    <font>
      <sz val="14"/>
      <name val="Cordia New"/>
      <charset val="222"/>
    </font>
    <font>
      <sz val="11"/>
      <color theme="1"/>
      <name val="Calibri"/>
      <family val="2"/>
      <charset val="222"/>
      <scheme val="minor"/>
    </font>
    <font>
      <sz val="11"/>
      <color theme="1"/>
      <name val="Calibri"/>
      <family val="2"/>
      <charset val="222"/>
      <scheme val="minor"/>
    </font>
    <font>
      <sz val="11"/>
      <color theme="1"/>
      <name val="Calibri"/>
      <family val="2"/>
      <charset val="222"/>
      <scheme val="minor"/>
    </font>
    <font>
      <sz val="11"/>
      <color theme="1"/>
      <name val="Calibri"/>
      <family val="2"/>
      <charset val="222"/>
      <scheme val="minor"/>
    </font>
    <font>
      <sz val="11"/>
      <color theme="1"/>
      <name val="Calibri"/>
      <family val="2"/>
      <charset val="222"/>
      <scheme val="minor"/>
    </font>
    <font>
      <sz val="11"/>
      <color theme="1"/>
      <name val="Calibri"/>
      <family val="2"/>
      <charset val="222"/>
      <scheme val="minor"/>
    </font>
    <font>
      <sz val="11"/>
      <color theme="1"/>
      <name val="Calibri"/>
      <family val="2"/>
      <charset val="222"/>
      <scheme val="minor"/>
    </font>
    <font>
      <sz val="14"/>
      <name val="Cordia New"/>
      <family val="2"/>
    </font>
    <font>
      <b/>
      <u/>
      <sz val="16"/>
      <name val="Cordia New"/>
      <family val="2"/>
    </font>
    <font>
      <b/>
      <u/>
      <sz val="14"/>
      <name val="Cordia New"/>
      <family val="2"/>
    </font>
    <font>
      <b/>
      <i/>
      <sz val="16"/>
      <color indexed="12"/>
      <name val="Cordia New"/>
      <family val="2"/>
    </font>
    <font>
      <sz val="14"/>
      <name val="Cordia New"/>
      <family val="2"/>
    </font>
    <font>
      <sz val="10"/>
      <name val="Arial"/>
      <family val="2"/>
    </font>
    <font>
      <sz val="10"/>
      <name val="Tahoma"/>
      <family val="2"/>
    </font>
    <font>
      <b/>
      <sz val="10"/>
      <name val="Tahoma"/>
      <family val="2"/>
    </font>
    <font>
      <sz val="14"/>
      <color indexed="9"/>
      <name val="Cordia New"/>
      <family val="2"/>
    </font>
    <font>
      <sz val="11"/>
      <name val="Tahoma"/>
      <family val="2"/>
    </font>
    <font>
      <b/>
      <sz val="11"/>
      <name val="Tahoma"/>
      <family val="2"/>
    </font>
    <font>
      <b/>
      <sz val="12"/>
      <name val="Tahoma"/>
      <family val="2"/>
    </font>
    <font>
      <sz val="12"/>
      <name val="Tahoma"/>
      <family val="2"/>
    </font>
    <font>
      <b/>
      <sz val="14"/>
      <name val="Tahoma"/>
      <family val="2"/>
    </font>
    <font>
      <b/>
      <sz val="10.5"/>
      <name val="Tahoma"/>
      <family val="2"/>
    </font>
    <font>
      <b/>
      <sz val="11"/>
      <color indexed="14"/>
      <name val="Tahoma"/>
      <family val="2"/>
    </font>
    <font>
      <sz val="10"/>
      <color indexed="14"/>
      <name val="Tahoma"/>
      <family val="2"/>
    </font>
    <font>
      <sz val="10"/>
      <color indexed="10"/>
      <name val="Tahoma"/>
      <family val="2"/>
    </font>
    <font>
      <b/>
      <sz val="16"/>
      <name val="Cordia New"/>
      <family val="2"/>
    </font>
    <font>
      <b/>
      <sz val="14"/>
      <name val="Cordia New"/>
      <family val="2"/>
    </font>
    <font>
      <sz val="8"/>
      <name val="Cordia New"/>
      <family val="2"/>
    </font>
    <font>
      <sz val="10"/>
      <name val="MS Sans Serif"/>
      <family val="2"/>
    </font>
    <font>
      <sz val="11"/>
      <color indexed="8"/>
      <name val="Tahoma"/>
      <family val="2"/>
      <charset val="222"/>
    </font>
    <font>
      <sz val="11"/>
      <color indexed="9"/>
      <name val="Tahoma"/>
      <family val="2"/>
      <charset val="222"/>
    </font>
    <font>
      <sz val="11"/>
      <color indexed="20"/>
      <name val="Tahoma"/>
      <family val="2"/>
      <charset val="222"/>
    </font>
    <font>
      <b/>
      <sz val="11"/>
      <color indexed="52"/>
      <name val="Tahoma"/>
      <family val="2"/>
      <charset val="222"/>
    </font>
    <font>
      <b/>
      <sz val="11"/>
      <color indexed="9"/>
      <name val="Tahoma"/>
      <family val="2"/>
      <charset val="222"/>
    </font>
    <font>
      <i/>
      <sz val="11"/>
      <color indexed="23"/>
      <name val="Tahoma"/>
      <family val="2"/>
      <charset val="222"/>
    </font>
    <font>
      <sz val="11"/>
      <color indexed="17"/>
      <name val="Tahoma"/>
      <family val="2"/>
      <charset val="222"/>
    </font>
    <font>
      <b/>
      <sz val="15"/>
      <color indexed="56"/>
      <name val="Tahoma"/>
      <family val="2"/>
      <charset val="222"/>
    </font>
    <font>
      <b/>
      <sz val="13"/>
      <color indexed="56"/>
      <name val="Tahoma"/>
      <family val="2"/>
      <charset val="222"/>
    </font>
    <font>
      <b/>
      <sz val="11"/>
      <color indexed="56"/>
      <name val="Tahoma"/>
      <family val="2"/>
      <charset val="222"/>
    </font>
    <font>
      <sz val="11"/>
      <color indexed="62"/>
      <name val="Tahoma"/>
      <family val="2"/>
      <charset val="222"/>
    </font>
    <font>
      <sz val="11"/>
      <color indexed="52"/>
      <name val="Tahoma"/>
      <family val="2"/>
      <charset val="222"/>
    </font>
    <font>
      <sz val="11"/>
      <color indexed="60"/>
      <name val="Tahoma"/>
      <family val="2"/>
      <charset val="222"/>
    </font>
    <font>
      <b/>
      <sz val="11"/>
      <color indexed="63"/>
      <name val="Tahoma"/>
      <family val="2"/>
      <charset val="222"/>
    </font>
    <font>
      <b/>
      <sz val="18"/>
      <color indexed="56"/>
      <name val="Tahoma"/>
      <family val="2"/>
      <charset val="222"/>
    </font>
    <font>
      <b/>
      <sz val="11"/>
      <color indexed="8"/>
      <name val="Tahoma"/>
      <family val="2"/>
      <charset val="222"/>
    </font>
    <font>
      <sz val="11"/>
      <color indexed="10"/>
      <name val="Tahoma"/>
      <family val="2"/>
      <charset val="222"/>
    </font>
    <font>
      <b/>
      <sz val="12"/>
      <color indexed="12"/>
      <name val="Tahoma"/>
      <family val="2"/>
    </font>
    <font>
      <b/>
      <sz val="16"/>
      <color indexed="10"/>
      <name val="Cordia New"/>
      <family val="2"/>
    </font>
    <font>
      <b/>
      <i/>
      <sz val="16"/>
      <color indexed="9"/>
      <name val="Cordia New"/>
      <family val="2"/>
    </font>
    <font>
      <sz val="11"/>
      <name val="Cordia New"/>
      <family val="2"/>
    </font>
    <font>
      <b/>
      <sz val="14"/>
      <color indexed="9"/>
      <name val="Tahoma"/>
      <family val="2"/>
    </font>
    <font>
      <b/>
      <sz val="11"/>
      <color indexed="8"/>
      <name val="Tahoma"/>
      <family val="2"/>
    </font>
    <font>
      <sz val="8"/>
      <name val="Tahoma"/>
      <family val="2"/>
      <charset val="222"/>
    </font>
    <font>
      <sz val="11"/>
      <color indexed="12"/>
      <name val="Tahoma"/>
      <family val="2"/>
    </font>
    <font>
      <sz val="9"/>
      <name val="Tahoma"/>
      <family val="2"/>
    </font>
    <font>
      <sz val="10"/>
      <color indexed="9"/>
      <name val="Tahoma"/>
      <family val="2"/>
    </font>
    <font>
      <b/>
      <u/>
      <sz val="18"/>
      <name val="Cordia New"/>
      <family val="2"/>
    </font>
    <font>
      <u/>
      <sz val="14"/>
      <name val="Cordia New"/>
      <family val="2"/>
    </font>
    <font>
      <b/>
      <u/>
      <sz val="12"/>
      <name val="Tahoma"/>
      <family val="2"/>
    </font>
    <font>
      <b/>
      <sz val="14"/>
      <color indexed="10"/>
      <name val="Cordia New"/>
      <family val="2"/>
    </font>
    <font>
      <sz val="11"/>
      <name val="Tahoma"/>
      <family val="2"/>
      <charset val="222"/>
    </font>
    <font>
      <b/>
      <sz val="16"/>
      <color indexed="12"/>
      <name val="Cordia New"/>
      <family val="2"/>
    </font>
    <font>
      <sz val="16"/>
      <name val="Cordia New"/>
      <family val="2"/>
    </font>
    <font>
      <sz val="8"/>
      <name val="Tahoma"/>
      <family val="2"/>
    </font>
    <font>
      <b/>
      <sz val="16"/>
      <color indexed="9"/>
      <name val="Cordia New"/>
      <family val="2"/>
    </font>
    <font>
      <sz val="16"/>
      <color indexed="14"/>
      <name val="Cordia New"/>
      <family val="2"/>
    </font>
    <font>
      <sz val="12"/>
      <name val="Cordia New"/>
      <family val="2"/>
    </font>
    <font>
      <sz val="9"/>
      <color indexed="81"/>
      <name val="Tahoma"/>
      <family val="2"/>
    </font>
    <font>
      <b/>
      <sz val="9"/>
      <color indexed="81"/>
      <name val="Tahoma"/>
      <family val="2"/>
    </font>
    <font>
      <b/>
      <sz val="9"/>
      <name val="Tahoma"/>
      <family val="2"/>
    </font>
    <font>
      <b/>
      <sz val="18"/>
      <name val="Cordia New"/>
      <family val="2"/>
    </font>
    <font>
      <strike/>
      <sz val="14"/>
      <name val="Cordia New"/>
      <family val="2"/>
    </font>
    <font>
      <b/>
      <sz val="12"/>
      <name val="Cordia New"/>
      <family val="2"/>
    </font>
    <font>
      <b/>
      <u/>
      <sz val="12"/>
      <name val="Cordia New"/>
      <family val="2"/>
    </font>
    <font>
      <b/>
      <sz val="20"/>
      <color indexed="9"/>
      <name val="Tahoma"/>
      <family val="2"/>
    </font>
    <font>
      <sz val="10"/>
      <name val="Arial Narrow"/>
      <family val="2"/>
    </font>
    <font>
      <sz val="14"/>
      <name val="Cordia New"/>
      <family val="2"/>
    </font>
    <font>
      <sz val="18"/>
      <name val="Cordia New"/>
      <family val="2"/>
    </font>
    <font>
      <sz val="14"/>
      <name val="Tahoma"/>
      <family val="2"/>
    </font>
    <font>
      <b/>
      <u/>
      <sz val="14"/>
      <name val="Tahoma"/>
      <family val="2"/>
    </font>
    <font>
      <sz val="7"/>
      <name val="Times New Roman"/>
      <family val="1"/>
    </font>
    <font>
      <strike/>
      <sz val="14"/>
      <name val="Tahoma"/>
      <family val="2"/>
    </font>
    <font>
      <b/>
      <sz val="18"/>
      <color indexed="9"/>
      <name val="Tahoma"/>
      <family val="2"/>
    </font>
    <font>
      <sz val="16"/>
      <name val="Tahoma"/>
      <family val="2"/>
    </font>
    <font>
      <sz val="18"/>
      <name val="Tahoma"/>
      <family val="2"/>
    </font>
    <font>
      <sz val="9"/>
      <name val="Cordia New"/>
      <family val="2"/>
    </font>
    <font>
      <sz val="14"/>
      <color theme="0"/>
      <name val="Cordia New"/>
      <family val="2"/>
    </font>
    <font>
      <sz val="10"/>
      <color theme="0"/>
      <name val="Tahoma"/>
      <family val="2"/>
    </font>
    <font>
      <sz val="14"/>
      <color rgb="FFFF0000"/>
      <name val="Cordia New"/>
      <family val="2"/>
    </font>
    <font>
      <b/>
      <sz val="16"/>
      <color rgb="FFFF0000"/>
      <name val="Cordia New"/>
      <family val="2"/>
    </font>
    <font>
      <sz val="14"/>
      <color theme="4"/>
      <name val="Cordia New"/>
      <family val="2"/>
    </font>
    <font>
      <b/>
      <i/>
      <sz val="14"/>
      <color theme="0"/>
      <name val="Cordia New"/>
      <family val="2"/>
    </font>
    <font>
      <b/>
      <sz val="14"/>
      <color rgb="FFFF0000"/>
      <name val="Cordia New"/>
      <family val="2"/>
    </font>
    <font>
      <sz val="11"/>
      <color theme="0"/>
      <name val="Tahoma"/>
      <family val="2"/>
    </font>
    <font>
      <sz val="16"/>
      <color theme="1"/>
      <name val="Cordia New"/>
      <family val="2"/>
    </font>
    <font>
      <sz val="16"/>
      <color rgb="FFFF0000"/>
      <name val="Cordia New"/>
      <family val="2"/>
    </font>
    <font>
      <b/>
      <sz val="16"/>
      <color theme="1"/>
      <name val="Cordia New"/>
      <family val="2"/>
    </font>
    <font>
      <b/>
      <sz val="16"/>
      <color rgb="FF0000CC"/>
      <name val="Cordia New"/>
      <family val="2"/>
    </font>
    <font>
      <b/>
      <sz val="14"/>
      <color theme="1"/>
      <name val="Cordia New"/>
      <family val="2"/>
    </font>
    <font>
      <sz val="14"/>
      <color rgb="FF0000FF"/>
      <name val="Cordia New"/>
      <family val="2"/>
    </font>
    <font>
      <sz val="10"/>
      <color theme="1"/>
      <name val="Tahoma"/>
      <family val="2"/>
    </font>
    <font>
      <sz val="9"/>
      <name val="Cambria"/>
      <family val="2"/>
      <scheme val="major"/>
    </font>
    <font>
      <b/>
      <sz val="11"/>
      <color theme="1"/>
      <name val="Calibri"/>
      <family val="2"/>
      <scheme val="minor"/>
    </font>
    <font>
      <b/>
      <sz val="9"/>
      <color theme="1"/>
      <name val="Calibri"/>
      <family val="2"/>
      <scheme val="minor"/>
    </font>
    <font>
      <sz val="12"/>
      <name val="Cambria"/>
      <family val="2"/>
      <scheme val="major"/>
    </font>
    <font>
      <sz val="10"/>
      <name val="Cambria"/>
      <family val="2"/>
      <scheme val="major"/>
    </font>
    <font>
      <b/>
      <sz val="10"/>
      <color rgb="FFCC0066"/>
      <name val="Tahoma"/>
      <family val="2"/>
    </font>
    <font>
      <sz val="10"/>
      <color theme="1"/>
      <name val="Arial"/>
      <family val="2"/>
    </font>
    <font>
      <sz val="10"/>
      <color theme="1"/>
      <name val="Calibri"/>
      <family val="2"/>
      <scheme val="minor"/>
    </font>
    <font>
      <sz val="10"/>
      <color theme="1"/>
      <name val="Calibri"/>
      <family val="2"/>
      <charset val="222"/>
      <scheme val="minor"/>
    </font>
    <font>
      <b/>
      <sz val="11"/>
      <name val="Cambria"/>
      <family val="2"/>
      <scheme val="major"/>
    </font>
    <font>
      <sz val="11"/>
      <name val="Cambria"/>
      <family val="2"/>
      <scheme val="major"/>
    </font>
    <font>
      <b/>
      <strike/>
      <sz val="16"/>
      <color rgb="FF0000FF"/>
      <name val="Cordia New"/>
      <family val="2"/>
    </font>
    <font>
      <b/>
      <i/>
      <strike/>
      <sz val="14"/>
      <color rgb="FFFF0000"/>
      <name val="Cordia New"/>
      <family val="2"/>
    </font>
    <font>
      <b/>
      <strike/>
      <sz val="16"/>
      <color theme="0"/>
      <name val="Cordia New"/>
      <family val="2"/>
    </font>
    <font>
      <b/>
      <sz val="14"/>
      <color theme="0"/>
      <name val="Cordia New"/>
      <family val="2"/>
    </font>
    <font>
      <b/>
      <i/>
      <sz val="16"/>
      <color theme="0"/>
      <name val="Cordia New"/>
      <family val="2"/>
    </font>
    <font>
      <sz val="10"/>
      <color theme="0" tint="-0.249977111117893"/>
      <name val="Arial Narrow"/>
      <family val="2"/>
    </font>
    <font>
      <b/>
      <i/>
      <sz val="16"/>
      <color rgb="FF0000FF"/>
      <name val="Cordia New"/>
      <family val="2"/>
    </font>
    <font>
      <b/>
      <sz val="18"/>
      <color rgb="FFFF0000"/>
      <name val="Cordia New"/>
      <family val="2"/>
    </font>
    <font>
      <sz val="16"/>
      <color theme="0"/>
      <name val="Cordia New"/>
      <family val="2"/>
    </font>
    <font>
      <b/>
      <sz val="18"/>
      <color theme="0"/>
      <name val="Tahoma"/>
      <family val="2"/>
    </font>
    <font>
      <b/>
      <sz val="9"/>
      <name val="Cambria"/>
      <family val="2"/>
      <scheme val="major"/>
    </font>
    <font>
      <b/>
      <sz val="18"/>
      <color indexed="9"/>
      <name val="Cambria"/>
      <family val="2"/>
      <scheme val="major"/>
    </font>
    <font>
      <sz val="18"/>
      <color rgb="FFFF0000"/>
      <name val="Cambria"/>
      <family val="2"/>
      <scheme val="major"/>
    </font>
    <font>
      <sz val="18"/>
      <color theme="1"/>
      <name val="Cambria"/>
      <family val="2"/>
      <scheme val="major"/>
    </font>
    <font>
      <sz val="18"/>
      <name val="Cambria"/>
      <family val="2"/>
      <scheme val="major"/>
    </font>
    <font>
      <b/>
      <sz val="18"/>
      <color rgb="FFFF0000"/>
      <name val="Cambria"/>
      <family val="2"/>
      <scheme val="major"/>
    </font>
    <font>
      <b/>
      <sz val="18"/>
      <color theme="0"/>
      <name val="Calibri"/>
      <family val="2"/>
      <scheme val="minor"/>
    </font>
    <font>
      <b/>
      <sz val="9"/>
      <color theme="1"/>
      <name val="Tahoma"/>
      <family val="2"/>
    </font>
    <font>
      <sz val="9"/>
      <color theme="1"/>
      <name val="Tahoma"/>
      <family val="2"/>
    </font>
    <font>
      <b/>
      <sz val="16"/>
      <color theme="0"/>
      <name val="Tahoma"/>
      <family val="2"/>
    </font>
    <font>
      <b/>
      <sz val="14"/>
      <color theme="0"/>
      <name val="Tahoma"/>
      <family val="2"/>
    </font>
    <font>
      <sz val="8"/>
      <name val="Cambria"/>
      <family val="2"/>
      <scheme val="major"/>
    </font>
    <font>
      <b/>
      <sz val="16"/>
      <color theme="0"/>
      <name val="Cambria"/>
      <family val="2"/>
      <scheme val="major"/>
    </font>
    <font>
      <sz val="16"/>
      <color theme="0"/>
      <name val="Cambria"/>
      <family val="2"/>
      <scheme val="major"/>
    </font>
    <font>
      <b/>
      <sz val="18"/>
      <color theme="0"/>
      <name val="Cordia New"/>
      <family val="2"/>
    </font>
    <font>
      <b/>
      <sz val="18"/>
      <color theme="0"/>
      <name val="Cambria"/>
      <family val="2"/>
      <scheme val="major"/>
    </font>
    <font>
      <b/>
      <i/>
      <sz val="14"/>
      <color rgb="FFFF0000"/>
      <name val="Cordia New"/>
      <family val="2"/>
    </font>
    <font>
      <b/>
      <sz val="12"/>
      <color indexed="12"/>
      <name val="Cambria"/>
      <family val="2"/>
      <scheme val="major"/>
    </font>
    <font>
      <b/>
      <sz val="12"/>
      <color rgb="FF0000FF"/>
      <name val="Cambria"/>
      <family val="2"/>
      <scheme val="major"/>
    </font>
    <font>
      <b/>
      <sz val="9"/>
      <color theme="1"/>
      <name val="Century Gothic"/>
      <family val="2"/>
    </font>
    <font>
      <b/>
      <sz val="14"/>
      <color indexed="12"/>
      <name val="Cordia New"/>
      <family val="2"/>
    </font>
    <font>
      <i/>
      <sz val="9"/>
      <color theme="1"/>
      <name val="Tahoma"/>
      <family val="2"/>
    </font>
    <font>
      <strike/>
      <sz val="14"/>
      <color rgb="FFFF0000"/>
      <name val="Tahoma"/>
      <family val="2"/>
    </font>
    <font>
      <sz val="11"/>
      <color theme="1"/>
      <name val="Cambria"/>
      <family val="2"/>
      <scheme val="major"/>
    </font>
    <font>
      <sz val="10"/>
      <color theme="1"/>
      <name val="Cambria"/>
      <family val="2"/>
      <scheme val="major"/>
    </font>
    <font>
      <b/>
      <sz val="16"/>
      <color indexed="9"/>
      <name val="Cambria"/>
      <family val="2"/>
      <scheme val="major"/>
    </font>
    <font>
      <b/>
      <sz val="14"/>
      <name val="Cambria"/>
      <family val="2"/>
      <scheme val="major"/>
    </font>
    <font>
      <b/>
      <sz val="10"/>
      <color theme="1"/>
      <name val="Cambria"/>
      <family val="2"/>
      <scheme val="major"/>
    </font>
    <font>
      <b/>
      <sz val="14"/>
      <color theme="1"/>
      <name val="Cambria"/>
      <family val="2"/>
      <scheme val="major"/>
    </font>
    <font>
      <b/>
      <sz val="22"/>
      <name val="Bodoni MT Black"/>
      <family val="1"/>
    </font>
    <font>
      <b/>
      <sz val="24"/>
      <color rgb="FF0000CC"/>
      <name val="Cordia New"/>
      <family val="2"/>
    </font>
    <font>
      <strike/>
      <sz val="14"/>
      <color rgb="FFFF0000"/>
      <name val="Cordia New"/>
      <family val="2"/>
    </font>
    <font>
      <sz val="10"/>
      <color rgb="FF000000"/>
      <name val="Cambria"/>
      <family val="2"/>
      <scheme val="major"/>
    </font>
    <font>
      <b/>
      <sz val="12"/>
      <name val="Cambria"/>
      <family val="2"/>
      <scheme val="major"/>
    </font>
    <font>
      <b/>
      <sz val="10"/>
      <name val="Cambria"/>
      <family val="2"/>
      <scheme val="major"/>
    </font>
    <font>
      <u/>
      <sz val="10"/>
      <name val="Cambria"/>
      <family val="2"/>
      <scheme val="major"/>
    </font>
    <font>
      <i/>
      <sz val="10"/>
      <name val="Cambria"/>
      <family val="2"/>
      <scheme val="major"/>
    </font>
    <font>
      <b/>
      <u/>
      <sz val="10"/>
      <name val="Cambria"/>
      <family val="2"/>
      <scheme val="major"/>
    </font>
    <font>
      <b/>
      <strike/>
      <sz val="10"/>
      <name val="Cambria"/>
      <family val="2"/>
      <scheme val="major"/>
    </font>
    <font>
      <b/>
      <sz val="10"/>
      <color theme="1"/>
      <name val="Cambria"/>
      <family val="1"/>
      <scheme val="major"/>
    </font>
    <font>
      <sz val="10"/>
      <color theme="1"/>
      <name val="Cambria"/>
      <family val="1"/>
      <scheme val="major"/>
    </font>
    <font>
      <b/>
      <sz val="10"/>
      <color rgb="FF0000FF"/>
      <name val="Cambria"/>
      <family val="2"/>
      <scheme val="major"/>
    </font>
    <font>
      <i/>
      <sz val="10"/>
      <color theme="1"/>
      <name val="Cambria"/>
      <family val="2"/>
      <scheme val="major"/>
    </font>
    <font>
      <b/>
      <i/>
      <sz val="10"/>
      <color theme="1"/>
      <name val="Cambria"/>
      <family val="2"/>
      <scheme val="major"/>
    </font>
    <font>
      <b/>
      <sz val="12"/>
      <color theme="1"/>
      <name val="Cambria"/>
      <family val="2"/>
      <scheme val="major"/>
    </font>
    <font>
      <sz val="12"/>
      <name val="Arial"/>
      <family val="2"/>
    </font>
    <font>
      <i/>
      <sz val="10"/>
      <name val="Tahoma"/>
      <family val="2"/>
    </font>
    <font>
      <sz val="9"/>
      <color rgb="FF242424"/>
      <name val="Cambria"/>
      <family val="2"/>
      <scheme val="major"/>
    </font>
    <font>
      <b/>
      <sz val="11"/>
      <color rgb="FF000000"/>
      <name val="Arial"/>
      <family val="2"/>
    </font>
    <font>
      <i/>
      <sz val="11"/>
      <name val="Arial"/>
      <family val="2"/>
    </font>
    <font>
      <sz val="11"/>
      <name val="Arial"/>
      <family val="2"/>
    </font>
    <font>
      <b/>
      <sz val="11"/>
      <name val="Arial"/>
      <family val="2"/>
    </font>
    <font>
      <b/>
      <sz val="11"/>
      <color rgb="FF000000"/>
      <name val="Calibri Light"/>
      <family val="2"/>
    </font>
    <font>
      <b/>
      <sz val="20"/>
      <color rgb="FFFF0000"/>
      <name val="Cordia New"/>
      <family val="2"/>
    </font>
    <font>
      <sz val="14"/>
      <name val="Angsana New"/>
      <family val="1"/>
    </font>
    <font>
      <sz val="10"/>
      <color rgb="FFFF0000"/>
      <name val="Arial"/>
      <family val="2"/>
    </font>
    <font>
      <sz val="10"/>
      <name val="Symbol"/>
      <family val="1"/>
      <charset val="2"/>
    </font>
    <font>
      <vertAlign val="superscript"/>
      <sz val="10"/>
      <name val="Arial"/>
      <family val="2"/>
    </font>
    <font>
      <b/>
      <sz val="10"/>
      <name val="Arial Narrow"/>
      <family val="2"/>
    </font>
    <font>
      <u/>
      <sz val="14"/>
      <color theme="10"/>
      <name val="Cordia New"/>
      <family val="2"/>
    </font>
    <font>
      <b/>
      <sz val="10"/>
      <name val="Arial"/>
      <family val="2"/>
    </font>
    <font>
      <b/>
      <sz val="7"/>
      <name val="Times New Roman"/>
      <family val="1"/>
    </font>
    <font>
      <b/>
      <sz val="9"/>
      <color rgb="FFFFFFFF"/>
      <name val="Arial"/>
      <family val="2"/>
    </font>
    <font>
      <sz val="9"/>
      <name val="Arial"/>
      <family val="2"/>
    </font>
    <font>
      <b/>
      <sz val="9"/>
      <name val="Arial"/>
      <family val="2"/>
    </font>
    <font>
      <i/>
      <sz val="9"/>
      <name val="Arial"/>
      <family val="2"/>
    </font>
    <font>
      <sz val="11"/>
      <color theme="1"/>
      <name val="Calibri"/>
      <family val="2"/>
      <scheme val="minor"/>
    </font>
    <font>
      <sz val="10"/>
      <color rgb="FFFF0000"/>
      <name val="Cambria"/>
      <family val="2"/>
      <scheme val="major"/>
    </font>
    <font>
      <b/>
      <sz val="10"/>
      <color theme="0"/>
      <name val="Cambria"/>
      <family val="2"/>
      <scheme val="major"/>
    </font>
    <font>
      <sz val="10"/>
      <color theme="0"/>
      <name val="Cambria"/>
      <family val="2"/>
      <scheme val="major"/>
    </font>
    <font>
      <sz val="9"/>
      <color rgb="FFFFFFFF"/>
      <name val="Cambria"/>
      <family val="2"/>
      <scheme val="major"/>
    </font>
    <font>
      <b/>
      <u/>
      <sz val="20"/>
      <name val="Cordia New"/>
      <family val="2"/>
    </font>
    <font>
      <b/>
      <sz val="12"/>
      <color rgb="FFFF0000"/>
      <name val="Cambria"/>
      <family val="2"/>
      <scheme val="major"/>
    </font>
    <font>
      <b/>
      <sz val="10"/>
      <color rgb="FF000000"/>
      <name val="Cambria"/>
      <family val="2"/>
      <scheme val="major"/>
    </font>
    <font>
      <sz val="9"/>
      <name val="Calibri"/>
      <family val="2"/>
      <scheme val="minor"/>
    </font>
    <font>
      <sz val="9"/>
      <color theme="1"/>
      <name val="Calibri"/>
      <family val="2"/>
      <scheme val="minor"/>
    </font>
    <font>
      <b/>
      <sz val="9"/>
      <color rgb="FFFF0000"/>
      <name val="Calibri"/>
      <family val="2"/>
      <scheme val="minor"/>
    </font>
    <font>
      <b/>
      <sz val="14"/>
      <name val="Tahoma"/>
      <family val="2"/>
      <charset val="222"/>
    </font>
    <font>
      <sz val="14"/>
      <name val="Cordia New"/>
      <family val="2"/>
      <charset val="222"/>
    </font>
    <font>
      <sz val="14"/>
      <name val="Tahoma"/>
      <family val="2"/>
      <charset val="222"/>
    </font>
    <font>
      <b/>
      <i/>
      <sz val="12"/>
      <color rgb="FFFF0000"/>
      <name val="Cordia New"/>
      <family val="2"/>
    </font>
    <font>
      <b/>
      <u/>
      <sz val="10"/>
      <name val="Arial Narrow"/>
      <family val="2"/>
    </font>
    <font>
      <sz val="10"/>
      <color rgb="FFFF0000"/>
      <name val="Tahoma"/>
      <family val="2"/>
    </font>
    <font>
      <b/>
      <i/>
      <sz val="22"/>
      <color indexed="12"/>
      <name val="Cordia New"/>
      <family val="2"/>
    </font>
    <font>
      <sz val="14"/>
      <color theme="1"/>
      <name val="Cordia New"/>
      <family val="2"/>
    </font>
    <font>
      <sz val="12"/>
      <color theme="1"/>
      <name val="Tahoma"/>
      <family val="2"/>
      <charset val="222"/>
    </font>
    <font>
      <sz val="11"/>
      <color theme="1"/>
      <name val="Tahoma"/>
      <family val="2"/>
      <charset val="222"/>
    </font>
    <font>
      <sz val="9"/>
      <color theme="1"/>
      <name val="Cordia New"/>
      <family val="2"/>
    </font>
    <font>
      <sz val="11"/>
      <name val="Calibri"/>
      <family val="2"/>
      <charset val="222"/>
      <scheme val="minor"/>
    </font>
    <font>
      <b/>
      <sz val="16"/>
      <color theme="1"/>
      <name val="Cambria"/>
      <family val="2"/>
      <scheme val="major"/>
    </font>
    <font>
      <b/>
      <sz val="14"/>
      <name val="Arial"/>
      <family val="2"/>
    </font>
    <font>
      <b/>
      <sz val="16"/>
      <name val="Arial"/>
      <family val="2"/>
    </font>
    <font>
      <b/>
      <sz val="20"/>
      <name val="Cordia New"/>
      <family val="2"/>
    </font>
    <font>
      <b/>
      <sz val="16"/>
      <color theme="0"/>
      <name val="Cordia New"/>
      <family val="2"/>
    </font>
    <font>
      <sz val="14"/>
      <color theme="0" tint="-4.9989318521683403E-2"/>
      <name val="Cordia New"/>
      <family val="2"/>
    </font>
    <font>
      <sz val="11"/>
      <color rgb="FF000000"/>
      <name val="Calibri"/>
      <family val="2"/>
      <charset val="222"/>
    </font>
    <font>
      <sz val="10"/>
      <color rgb="FF000000"/>
      <name val="Cambria"/>
      <family val="2"/>
    </font>
    <font>
      <sz val="10"/>
      <name val="Cambria"/>
      <family val="2"/>
    </font>
    <font>
      <sz val="11"/>
      <name val="Cambria"/>
      <family val="2"/>
    </font>
    <font>
      <sz val="12"/>
      <color rgb="FF000000"/>
      <name val="Cordia New"/>
      <family val="2"/>
    </font>
    <font>
      <sz val="8"/>
      <color theme="1"/>
      <name val="Cambria"/>
      <family val="2"/>
      <scheme val="major"/>
    </font>
    <font>
      <sz val="24"/>
      <color theme="1"/>
      <name val="Calibri"/>
      <family val="2"/>
      <charset val="222"/>
      <scheme val="minor"/>
    </font>
    <font>
      <b/>
      <sz val="14"/>
      <name val="Cambria"/>
      <family val="1"/>
      <scheme val="major"/>
    </font>
    <font>
      <sz val="14"/>
      <name val="Cambria"/>
      <family val="1"/>
      <scheme val="major"/>
    </font>
    <font>
      <sz val="10"/>
      <name val="Cambria"/>
      <family val="1"/>
      <scheme val="major"/>
    </font>
    <font>
      <u/>
      <sz val="9"/>
      <name val="Tahoma"/>
      <family val="2"/>
    </font>
    <font>
      <b/>
      <sz val="14"/>
      <color rgb="FF000000"/>
      <name val="Arial"/>
      <family val="2"/>
    </font>
    <font>
      <sz val="11"/>
      <color rgb="FF000000"/>
      <name val="Arial"/>
      <family val="2"/>
    </font>
    <font>
      <b/>
      <sz val="12"/>
      <color theme="0"/>
      <name val="Tahoma"/>
      <family val="2"/>
    </font>
    <font>
      <b/>
      <u/>
      <sz val="16"/>
      <name val="Cambria"/>
      <family val="2"/>
      <scheme val="major"/>
    </font>
    <font>
      <b/>
      <u/>
      <sz val="14"/>
      <name val="Cambria"/>
      <family val="2"/>
      <scheme val="major"/>
    </font>
    <font>
      <sz val="10"/>
      <name val="Cambria"/>
      <family val="1"/>
      <charset val="222"/>
      <scheme val="major"/>
    </font>
    <font>
      <sz val="10"/>
      <name val="Cordia New"/>
      <family val="2"/>
      <charset val="222"/>
    </font>
    <font>
      <u/>
      <sz val="10"/>
      <color theme="1"/>
      <name val="Tahoma"/>
      <family val="2"/>
    </font>
    <font>
      <u/>
      <sz val="10"/>
      <name val="Tahoma"/>
      <family val="2"/>
    </font>
    <font>
      <b/>
      <sz val="16"/>
      <name val="Cordia New"/>
      <family val="2"/>
      <charset val="222"/>
    </font>
    <font>
      <sz val="26"/>
      <name val="Cordia New"/>
      <family val="2"/>
    </font>
    <font>
      <b/>
      <sz val="20"/>
      <color rgb="FF0070C0"/>
      <name val="Cordia New"/>
      <family val="2"/>
    </font>
    <font>
      <sz val="9"/>
      <color indexed="81"/>
      <name val="Tahoma"/>
      <charset val="222"/>
    </font>
    <font>
      <b/>
      <sz val="9"/>
      <color indexed="81"/>
      <name val="Tahoma"/>
      <charset val="222"/>
    </font>
  </fonts>
  <fills count="79">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42"/>
        <bgColor indexed="64"/>
      </patternFill>
    </fill>
    <fill>
      <patternFill patternType="solid">
        <fgColor indexed="43"/>
        <bgColor indexed="64"/>
      </patternFill>
    </fill>
    <fill>
      <patternFill patternType="solid">
        <fgColor indexed="9"/>
        <bgColor indexed="64"/>
      </patternFill>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
      <patternFill patternType="solid">
        <fgColor rgb="FFCCFFCC"/>
        <bgColor indexed="64"/>
      </patternFill>
    </fill>
    <fill>
      <patternFill patternType="solid">
        <fgColor rgb="FF92D050"/>
        <bgColor indexed="64"/>
      </patternFill>
    </fill>
    <fill>
      <patternFill patternType="solid">
        <fgColor rgb="FF002060"/>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theme="1"/>
        <bgColor indexed="64"/>
      </patternFill>
    </fill>
    <fill>
      <patternFill patternType="solid">
        <fgColor rgb="FFACEAE9"/>
        <bgColor indexed="64"/>
      </patternFill>
    </fill>
    <fill>
      <patternFill patternType="solid">
        <fgColor theme="8" tint="0.79998168889431442"/>
        <bgColor indexed="64"/>
      </patternFill>
    </fill>
    <fill>
      <patternFill patternType="solid">
        <fgColor theme="8" tint="-0.249977111117893"/>
        <bgColor indexed="64"/>
      </patternFill>
    </fill>
    <fill>
      <patternFill patternType="solid">
        <fgColor theme="6" tint="0.79998168889431442"/>
        <bgColor indexed="64"/>
      </patternFill>
    </fill>
    <fill>
      <patternFill patternType="solid">
        <fgColor theme="8" tint="0.39997558519241921"/>
        <bgColor indexed="64"/>
      </patternFill>
    </fill>
    <fill>
      <patternFill patternType="solid">
        <fgColor rgb="FFFFC000"/>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3" tint="0.79998168889431442"/>
        <bgColor indexed="64"/>
      </patternFill>
    </fill>
    <fill>
      <patternFill patternType="solid">
        <fgColor rgb="FF990099"/>
        <bgColor indexed="64"/>
      </patternFill>
    </fill>
    <fill>
      <patternFill patternType="solid">
        <fgColor theme="0" tint="-0.34998626667073579"/>
        <bgColor indexed="64"/>
      </patternFill>
    </fill>
    <fill>
      <patternFill patternType="solid">
        <fgColor rgb="FF197081"/>
        <bgColor indexed="64"/>
      </patternFill>
    </fill>
    <fill>
      <patternFill patternType="solid">
        <fgColor theme="0" tint="-0.249977111117893"/>
        <bgColor indexed="64"/>
      </patternFill>
    </fill>
    <fill>
      <patternFill patternType="solid">
        <fgColor rgb="FFFFFF99"/>
        <bgColor indexed="64"/>
      </patternFill>
    </fill>
    <fill>
      <patternFill patternType="solid">
        <fgColor theme="1" tint="0.1499984740745262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3" tint="0.59999389629810485"/>
        <bgColor indexed="64"/>
      </patternFill>
    </fill>
    <fill>
      <patternFill patternType="solid">
        <fgColor theme="3" tint="0.39997558519241921"/>
        <bgColor indexed="64"/>
      </patternFill>
    </fill>
    <fill>
      <patternFill patternType="solid">
        <fgColor rgb="FF99CCFF"/>
        <bgColor indexed="64"/>
      </patternFill>
    </fill>
    <fill>
      <patternFill patternType="solid">
        <fgColor rgb="FFB8CCE4"/>
        <bgColor indexed="64"/>
      </patternFill>
    </fill>
    <fill>
      <patternFill patternType="solid">
        <fgColor rgb="FFB4C6E7"/>
        <bgColor indexed="64"/>
      </patternFill>
    </fill>
    <fill>
      <patternFill patternType="solid">
        <fgColor rgb="FFBDD6EE"/>
        <bgColor indexed="64"/>
      </patternFill>
    </fill>
    <fill>
      <patternFill patternType="solid">
        <fgColor rgb="FFFFCCFF"/>
        <bgColor indexed="64"/>
      </patternFill>
    </fill>
    <fill>
      <patternFill patternType="solid">
        <fgColor rgb="FF44546A"/>
        <bgColor indexed="64"/>
      </patternFill>
    </fill>
    <fill>
      <patternFill patternType="solid">
        <fgColor theme="6" tint="0.39997558519241921"/>
        <bgColor indexed="64"/>
      </patternFill>
    </fill>
    <fill>
      <patternFill patternType="solid">
        <fgColor rgb="FF0070C0"/>
        <bgColor indexed="64"/>
      </patternFill>
    </fill>
    <fill>
      <patternFill patternType="solid">
        <fgColor rgb="FF66FFFF"/>
        <bgColor indexed="64"/>
      </patternFill>
    </fill>
    <fill>
      <patternFill patternType="solid">
        <fgColor rgb="FFCC66FF"/>
        <bgColor indexed="64"/>
      </patternFill>
    </fill>
    <fill>
      <patternFill patternType="solid">
        <fgColor theme="0" tint="-0.499984740745262"/>
        <bgColor indexed="64"/>
      </patternFill>
    </fill>
    <fill>
      <patternFill patternType="solid">
        <fgColor rgb="FFFF00FF"/>
        <bgColor indexed="64"/>
      </patternFill>
    </fill>
    <fill>
      <patternFill patternType="solid">
        <fgColor theme="6" tint="-0.249977111117893"/>
        <bgColor indexed="64"/>
      </patternFill>
    </fill>
    <fill>
      <patternFill patternType="solid">
        <fgColor theme="5" tint="0.39997558519241921"/>
        <bgColor indexed="64"/>
      </patternFill>
    </fill>
    <fill>
      <patternFill patternType="solid">
        <fgColor rgb="FFFFFFFF"/>
        <bgColor rgb="FF000000"/>
      </patternFill>
    </fill>
    <fill>
      <patternFill patternType="solid">
        <fgColor rgb="FFF2DCDB"/>
        <bgColor rgb="FF000000"/>
      </patternFill>
    </fill>
    <fill>
      <patternFill patternType="solid">
        <fgColor rgb="FFCCC0DA"/>
        <bgColor rgb="FF000000"/>
      </patternFill>
    </fill>
    <fill>
      <patternFill patternType="solid">
        <fgColor rgb="FFFDE9D9"/>
        <bgColor rgb="FF000000"/>
      </patternFill>
    </fill>
    <fill>
      <patternFill patternType="solid">
        <fgColor rgb="FFDAEEF3"/>
        <bgColor rgb="FF000000"/>
      </patternFill>
    </fill>
  </fills>
  <borders count="17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bottom/>
      <diagonal/>
    </border>
    <border>
      <left/>
      <right style="medium">
        <color indexed="64"/>
      </right>
      <top/>
      <bottom style="medium">
        <color indexed="64"/>
      </bottom>
      <diagonal/>
    </border>
    <border>
      <left style="thin">
        <color indexed="8"/>
      </left>
      <right/>
      <top style="thin">
        <color indexed="8"/>
      </top>
      <bottom/>
      <diagonal/>
    </border>
    <border>
      <left style="thin">
        <color indexed="8"/>
      </left>
      <right/>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indexed="8"/>
      </top>
      <bottom/>
      <diagonal/>
    </border>
    <border>
      <left/>
      <right style="thin">
        <color indexed="8"/>
      </right>
      <top style="thin">
        <color indexed="8"/>
      </top>
      <bottom/>
      <diagonal/>
    </border>
    <border>
      <left/>
      <right style="thin">
        <color indexed="8"/>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hair">
        <color indexed="64"/>
      </bottom>
      <diagonal/>
    </border>
    <border>
      <left style="thin">
        <color indexed="64"/>
      </left>
      <right style="thin">
        <color indexed="64"/>
      </right>
      <top style="medium">
        <color indexed="64"/>
      </top>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thin">
        <color indexed="64"/>
      </top>
      <bottom style="hair">
        <color indexed="64"/>
      </bottom>
      <diagonal/>
    </border>
    <border>
      <left/>
      <right/>
      <top style="thin">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medium">
        <color rgb="FF002060"/>
      </right>
      <top/>
      <bottom/>
      <diagonal/>
    </border>
    <border>
      <left style="medium">
        <color rgb="FF002060"/>
      </left>
      <right style="thin">
        <color indexed="64"/>
      </right>
      <top/>
      <bottom/>
      <diagonal/>
    </border>
    <border>
      <left style="medium">
        <color rgb="FF002060"/>
      </left>
      <right/>
      <top/>
      <bottom/>
      <diagonal/>
    </border>
    <border>
      <left/>
      <right style="medium">
        <color rgb="FF002060"/>
      </right>
      <top/>
      <bottom/>
      <diagonal/>
    </border>
    <border>
      <left/>
      <right style="medium">
        <color rgb="FF002060"/>
      </right>
      <top/>
      <bottom style="medium">
        <color rgb="FF002060"/>
      </bottom>
      <diagonal/>
    </border>
    <border>
      <left style="medium">
        <color rgb="FF002060"/>
      </left>
      <right/>
      <top/>
      <bottom style="medium">
        <color rgb="FF002060"/>
      </bottom>
      <diagonal/>
    </border>
    <border>
      <left/>
      <right/>
      <top/>
      <bottom style="medium">
        <color rgb="FF002060"/>
      </bottom>
      <diagonal/>
    </border>
    <border>
      <left style="medium">
        <color rgb="FF002060"/>
      </left>
      <right style="thin">
        <color theme="1"/>
      </right>
      <top/>
      <bottom/>
      <diagonal/>
    </border>
    <border>
      <left style="thin">
        <color theme="1"/>
      </left>
      <right style="thin">
        <color theme="1"/>
      </right>
      <top/>
      <bottom/>
      <diagonal/>
    </border>
    <border>
      <left style="thin">
        <color theme="1"/>
      </left>
      <right style="medium">
        <color rgb="FF002060"/>
      </right>
      <top/>
      <bottom/>
      <diagonal/>
    </border>
    <border>
      <left style="thin">
        <color rgb="FF002060"/>
      </left>
      <right style="thin">
        <color rgb="FF002060"/>
      </right>
      <top style="thin">
        <color rgb="FF002060"/>
      </top>
      <bottom style="medium">
        <color indexed="64"/>
      </bottom>
      <diagonal/>
    </border>
    <border>
      <left style="medium">
        <color rgb="FF002060"/>
      </left>
      <right/>
      <top style="medium">
        <color rgb="FF002060"/>
      </top>
      <bottom/>
      <diagonal/>
    </border>
    <border>
      <left/>
      <right/>
      <top style="medium">
        <color rgb="FF002060"/>
      </top>
      <bottom/>
      <diagonal/>
    </border>
    <border>
      <left/>
      <right style="medium">
        <color rgb="FF002060"/>
      </right>
      <top style="medium">
        <color rgb="FF002060"/>
      </top>
      <bottom/>
      <diagonal/>
    </border>
    <border>
      <left style="thin">
        <color rgb="FF002060"/>
      </left>
      <right style="thin">
        <color rgb="FF002060"/>
      </right>
      <top style="medium">
        <color indexed="64"/>
      </top>
      <bottom style="thin">
        <color rgb="FF002060"/>
      </bottom>
      <diagonal/>
    </border>
    <border>
      <left style="thin">
        <color rgb="FF002060"/>
      </left>
      <right style="medium">
        <color indexed="64"/>
      </right>
      <top style="medium">
        <color indexed="64"/>
      </top>
      <bottom style="thin">
        <color rgb="FF002060"/>
      </bottom>
      <diagonal/>
    </border>
    <border>
      <left style="thin">
        <color rgb="FF002060"/>
      </left>
      <right style="medium">
        <color indexed="64"/>
      </right>
      <top style="thin">
        <color rgb="FF002060"/>
      </top>
      <bottom style="medium">
        <color indexed="64"/>
      </bottom>
      <diagonal/>
    </border>
    <border>
      <left style="medium">
        <color indexed="64"/>
      </left>
      <right style="thin">
        <color rgb="FF002060"/>
      </right>
      <top style="medium">
        <color indexed="64"/>
      </top>
      <bottom style="thin">
        <color rgb="FF002060"/>
      </bottom>
      <diagonal/>
    </border>
    <border>
      <left style="medium">
        <color indexed="64"/>
      </left>
      <right style="thin">
        <color rgb="FF002060"/>
      </right>
      <top style="thin">
        <color rgb="FF002060"/>
      </top>
      <bottom style="medium">
        <color indexed="64"/>
      </bottom>
      <diagonal/>
    </border>
    <border>
      <left style="thin">
        <color indexed="64"/>
      </left>
      <right style="thin">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10"/>
      </bottom>
      <diagonal/>
    </border>
    <border>
      <left/>
      <right/>
      <top style="medium">
        <color indexed="64"/>
      </top>
      <bottom style="thin">
        <color indexed="10"/>
      </bottom>
      <diagonal/>
    </border>
    <border>
      <left/>
      <right style="medium">
        <color indexed="64"/>
      </right>
      <top style="medium">
        <color indexed="64"/>
      </top>
      <bottom style="thin">
        <color indexed="10"/>
      </bottom>
      <diagonal/>
    </border>
    <border>
      <left/>
      <right/>
      <top style="thick">
        <color indexed="64"/>
      </top>
      <bottom style="thin">
        <color indexed="64"/>
      </bottom>
      <diagonal/>
    </border>
    <border>
      <left/>
      <right style="medium">
        <color indexed="64"/>
      </right>
      <top style="thick">
        <color indexed="64"/>
      </top>
      <bottom style="thin">
        <color indexed="64"/>
      </bottom>
      <diagonal/>
    </border>
    <border>
      <left/>
      <right/>
      <top style="thick">
        <color indexed="64"/>
      </top>
      <bottom/>
      <diagonal/>
    </border>
    <border>
      <left/>
      <right style="medium">
        <color indexed="64"/>
      </right>
      <top style="thick">
        <color indexed="64"/>
      </top>
      <bottom/>
      <diagonal/>
    </border>
    <border>
      <left/>
      <right/>
      <top style="thin">
        <color auto="1"/>
      </top>
      <bottom/>
      <diagonal/>
    </border>
    <border>
      <left/>
      <right style="medium">
        <color rgb="FF000000"/>
      </right>
      <top/>
      <bottom/>
      <diagonal/>
    </border>
    <border>
      <left/>
      <right style="medium">
        <color rgb="FF000000"/>
      </right>
      <top style="medium">
        <color indexed="64"/>
      </top>
      <bottom/>
      <diagonal/>
    </border>
    <border>
      <left/>
      <right style="medium">
        <color rgb="FF000000"/>
      </right>
      <top/>
      <bottom style="medium">
        <color indexed="64"/>
      </bottom>
      <diagonal/>
    </border>
    <border>
      <left style="medium">
        <color indexed="64"/>
      </left>
      <right style="medium">
        <color indexed="64"/>
      </right>
      <top/>
      <bottom style="medium">
        <color rgb="FF000000"/>
      </bottom>
      <diagonal/>
    </border>
    <border>
      <left style="medium">
        <color rgb="FF000000"/>
      </left>
      <right/>
      <top style="medium">
        <color indexed="64"/>
      </top>
      <bottom/>
      <diagonal/>
    </border>
    <border>
      <left style="medium">
        <color rgb="FF000000"/>
      </left>
      <right/>
      <top/>
      <bottom/>
      <diagonal/>
    </border>
    <border>
      <left style="medium">
        <color rgb="FF000000"/>
      </left>
      <right/>
      <top/>
      <bottom style="medium">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thin">
        <color indexed="64"/>
      </left>
      <right style="hair">
        <color indexed="64"/>
      </right>
      <top/>
      <bottom/>
      <diagonal/>
    </border>
    <border>
      <left style="hair">
        <color auto="1"/>
      </left>
      <right style="hair">
        <color auto="1"/>
      </right>
      <top/>
      <bottom/>
      <diagonal/>
    </border>
    <border>
      <left style="hair">
        <color indexed="64"/>
      </left>
      <right style="thin">
        <color indexed="64"/>
      </right>
      <top/>
      <bottom/>
      <diagonal/>
    </border>
    <border>
      <left style="thin">
        <color auto="1"/>
      </left>
      <right style="thin">
        <color auto="1"/>
      </right>
      <top style="hair">
        <color auto="1"/>
      </top>
      <bottom/>
      <diagonal/>
    </border>
    <border>
      <left style="thin">
        <color indexed="64"/>
      </left>
      <right style="hair">
        <color indexed="64"/>
      </right>
      <top style="hair">
        <color auto="1"/>
      </top>
      <bottom/>
      <diagonal/>
    </border>
    <border>
      <left style="hair">
        <color indexed="64"/>
      </left>
      <right style="hair">
        <color indexed="64"/>
      </right>
      <top style="hair">
        <color auto="1"/>
      </top>
      <bottom/>
      <diagonal/>
    </border>
    <border>
      <left style="hair">
        <color indexed="64"/>
      </left>
      <right style="thin">
        <color indexed="64"/>
      </right>
      <top style="hair">
        <color auto="1"/>
      </top>
      <bottom/>
      <diagonal/>
    </border>
    <border>
      <left style="thin">
        <color indexed="64"/>
      </left>
      <right style="hair">
        <color indexed="64"/>
      </right>
      <top/>
      <bottom style="hair">
        <color auto="1"/>
      </bottom>
      <diagonal/>
    </border>
    <border>
      <left style="hair">
        <color indexed="64"/>
      </left>
      <right style="hair">
        <color indexed="64"/>
      </right>
      <top/>
      <bottom style="hair">
        <color auto="1"/>
      </bottom>
      <diagonal/>
    </border>
    <border>
      <left style="hair">
        <color indexed="64"/>
      </left>
      <right style="thin">
        <color indexed="64"/>
      </right>
      <top/>
      <bottom style="hair">
        <color auto="1"/>
      </bottom>
      <diagonal/>
    </border>
    <border>
      <left style="thin">
        <color indexed="64"/>
      </left>
      <right style="hair">
        <color indexed="64"/>
      </right>
      <top/>
      <bottom style="thin">
        <color indexed="64"/>
      </bottom>
      <diagonal/>
    </border>
    <border>
      <left style="hair">
        <color indexed="64"/>
      </left>
      <right style="hair">
        <color indexed="64"/>
      </right>
      <top/>
      <bottom style="thin">
        <color indexed="64"/>
      </bottom>
      <diagonal/>
    </border>
    <border>
      <left style="hair">
        <color indexed="64"/>
      </left>
      <right style="thin">
        <color indexed="64"/>
      </right>
      <top/>
      <bottom style="thin">
        <color indexed="64"/>
      </bottom>
      <diagonal/>
    </border>
    <border>
      <left style="thin">
        <color indexed="64"/>
      </left>
      <right/>
      <top style="hair">
        <color auto="1"/>
      </top>
      <bottom/>
      <diagonal/>
    </border>
    <border>
      <left/>
      <right/>
      <top style="hair">
        <color auto="1"/>
      </top>
      <bottom/>
      <diagonal/>
    </border>
    <border>
      <left/>
      <right style="thin">
        <color indexed="64"/>
      </right>
      <top style="hair">
        <color auto="1"/>
      </top>
      <bottom/>
      <diagonal/>
    </border>
    <border>
      <left style="hair">
        <color auto="1"/>
      </left>
      <right/>
      <top/>
      <bottom/>
      <diagonal/>
    </border>
    <border>
      <left style="hair">
        <color indexed="64"/>
      </left>
      <right/>
      <top style="hair">
        <color auto="1"/>
      </top>
      <bottom/>
      <diagonal/>
    </border>
    <border>
      <left style="hair">
        <color indexed="64"/>
      </left>
      <right/>
      <top/>
      <bottom style="hair">
        <color auto="1"/>
      </bottom>
      <diagonal/>
    </border>
    <border>
      <left style="hair">
        <color indexed="64"/>
      </left>
      <right/>
      <top/>
      <bottom style="thin">
        <color indexed="64"/>
      </bottom>
      <diagonal/>
    </border>
    <border>
      <left style="thin">
        <color indexed="10"/>
      </left>
      <right/>
      <top style="thin">
        <color indexed="10"/>
      </top>
      <bottom/>
      <diagonal/>
    </border>
    <border>
      <left/>
      <right/>
      <top style="thin">
        <color indexed="10"/>
      </top>
      <bottom/>
      <diagonal/>
    </border>
    <border>
      <left style="medium">
        <color indexed="64"/>
      </left>
      <right/>
      <top style="thin">
        <color indexed="10"/>
      </top>
      <bottom style="thin">
        <color indexed="64"/>
      </bottom>
      <diagonal/>
    </border>
    <border>
      <left/>
      <right/>
      <top style="thin">
        <color indexed="10"/>
      </top>
      <bottom style="thin">
        <color indexed="64"/>
      </bottom>
      <diagonal/>
    </border>
    <border>
      <left/>
      <right style="medium">
        <color indexed="64"/>
      </right>
      <top style="thin">
        <color indexed="10"/>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ck">
        <color indexed="64"/>
      </bottom>
      <diagonal/>
    </border>
    <border>
      <left/>
      <right/>
      <top/>
      <bottom style="thick">
        <color indexed="64"/>
      </bottom>
      <diagonal/>
    </border>
    <border>
      <left/>
      <right style="medium">
        <color theme="0" tint="-0.499984740745262"/>
      </right>
      <top/>
      <bottom/>
      <diagonal/>
    </border>
    <border>
      <left/>
      <right/>
      <top style="thin">
        <color indexed="64"/>
      </top>
      <bottom style="double">
        <color indexed="64"/>
      </bottom>
      <diagonal/>
    </border>
    <border>
      <left style="medium">
        <color rgb="FF002060"/>
      </left>
      <right style="thin">
        <color rgb="FF002060"/>
      </right>
      <top/>
      <bottom/>
      <diagonal/>
    </border>
    <border>
      <left style="medium">
        <color rgb="FF002060"/>
      </left>
      <right style="thin">
        <color rgb="FF002060"/>
      </right>
      <top style="thin">
        <color indexed="64"/>
      </top>
      <bottom/>
      <diagonal/>
    </border>
    <border>
      <left style="thin">
        <color rgb="FF002060"/>
      </left>
      <right style="thin">
        <color rgb="FF002060"/>
      </right>
      <top style="thin">
        <color indexed="64"/>
      </top>
      <bottom/>
      <diagonal/>
    </border>
    <border>
      <left style="thin">
        <color rgb="FF002060"/>
      </left>
      <right style="thin">
        <color theme="1"/>
      </right>
      <top style="thin">
        <color indexed="64"/>
      </top>
      <bottom/>
      <diagonal/>
    </border>
    <border>
      <left style="thin">
        <color theme="1"/>
      </left>
      <right style="thin">
        <color theme="1"/>
      </right>
      <top style="thin">
        <color indexed="64"/>
      </top>
      <bottom/>
      <diagonal/>
    </border>
    <border>
      <left style="thin">
        <color theme="1"/>
      </left>
      <right style="medium">
        <color rgb="FF002060"/>
      </right>
      <top style="thin">
        <color indexed="64"/>
      </top>
      <bottom/>
      <diagonal/>
    </border>
    <border>
      <left style="thin">
        <color rgb="FF002060"/>
      </left>
      <right/>
      <top style="thin">
        <color indexed="64"/>
      </top>
      <bottom/>
      <diagonal/>
    </border>
    <border>
      <left/>
      <right style="thin">
        <color rgb="FF002060"/>
      </right>
      <top style="thin">
        <color indexed="64"/>
      </top>
      <bottom/>
      <diagonal/>
    </border>
    <border>
      <left/>
      <right style="thin">
        <color indexed="64"/>
      </right>
      <top style="medium">
        <color indexed="64"/>
      </top>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diagonal/>
    </border>
    <border>
      <left style="hair">
        <color indexed="64"/>
      </left>
      <right/>
      <top style="hair">
        <color indexed="64"/>
      </top>
      <bottom style="medium">
        <color indexed="64"/>
      </bottom>
      <diagonal/>
    </border>
    <border>
      <left/>
      <right/>
      <top style="hair">
        <color indexed="64"/>
      </top>
      <bottom style="medium">
        <color indexed="64"/>
      </bottom>
      <diagonal/>
    </border>
    <border>
      <left/>
      <right style="hair">
        <color indexed="64"/>
      </right>
      <top style="hair">
        <color indexed="64"/>
      </top>
      <bottom style="medium">
        <color indexed="64"/>
      </bottom>
      <diagonal/>
    </border>
    <border>
      <left/>
      <right style="hair">
        <color indexed="64"/>
      </right>
      <top/>
      <bottom/>
      <diagonal/>
    </border>
    <border>
      <left/>
      <right style="hair">
        <color indexed="64"/>
      </right>
      <top/>
      <bottom style="hair">
        <color indexed="64"/>
      </bottom>
      <diagonal/>
    </border>
    <border>
      <left style="thin">
        <color indexed="64"/>
      </left>
      <right style="medium">
        <color indexed="64"/>
      </right>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style="thin">
        <color indexed="64"/>
      </bottom>
      <diagonal/>
    </border>
  </borders>
  <cellStyleXfs count="84">
    <xf numFmtId="0" fontId="0" fillId="0" borderId="0"/>
    <xf numFmtId="0" fontId="30" fillId="2" borderId="0" applyNumberFormat="0" applyBorder="0" applyAlignment="0" applyProtection="0"/>
    <xf numFmtId="0" fontId="30" fillId="3" borderId="0" applyNumberFormat="0" applyBorder="0" applyAlignment="0" applyProtection="0"/>
    <xf numFmtId="0" fontId="30" fillId="4" borderId="0" applyNumberFormat="0" applyBorder="0" applyAlignment="0" applyProtection="0"/>
    <xf numFmtId="0" fontId="30" fillId="5" borderId="0" applyNumberFormat="0" applyBorder="0" applyAlignment="0" applyProtection="0"/>
    <xf numFmtId="0" fontId="30" fillId="6" borderId="0" applyNumberFormat="0" applyBorder="0" applyAlignment="0" applyProtection="0"/>
    <xf numFmtId="0" fontId="30" fillId="7" borderId="0" applyNumberFormat="0" applyBorder="0" applyAlignment="0" applyProtection="0"/>
    <xf numFmtId="0" fontId="30" fillId="8" borderId="0" applyNumberFormat="0" applyBorder="0" applyAlignment="0" applyProtection="0"/>
    <xf numFmtId="0" fontId="30" fillId="9" borderId="0" applyNumberFormat="0" applyBorder="0" applyAlignment="0" applyProtection="0"/>
    <xf numFmtId="0" fontId="30" fillId="10" borderId="0" applyNumberFormat="0" applyBorder="0" applyAlignment="0" applyProtection="0"/>
    <xf numFmtId="0" fontId="30" fillId="5" borderId="0" applyNumberFormat="0" applyBorder="0" applyAlignment="0" applyProtection="0"/>
    <xf numFmtId="0" fontId="30" fillId="8" borderId="0" applyNumberFormat="0" applyBorder="0" applyAlignment="0" applyProtection="0"/>
    <xf numFmtId="0" fontId="30" fillId="11" borderId="0" applyNumberFormat="0" applyBorder="0" applyAlignment="0" applyProtection="0"/>
    <xf numFmtId="0" fontId="31" fillId="12" borderId="0" applyNumberFormat="0" applyBorder="0" applyAlignment="0" applyProtection="0"/>
    <xf numFmtId="0" fontId="31" fillId="9" borderId="0" applyNumberFormat="0" applyBorder="0" applyAlignment="0" applyProtection="0"/>
    <xf numFmtId="0" fontId="31" fillId="10"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1" fillId="15" borderId="0" applyNumberFormat="0" applyBorder="0" applyAlignment="0" applyProtection="0"/>
    <xf numFmtId="0" fontId="31" fillId="16" borderId="0" applyNumberFormat="0" applyBorder="0" applyAlignment="0" applyProtection="0"/>
    <xf numFmtId="0" fontId="31" fillId="17" borderId="0" applyNumberFormat="0" applyBorder="0" applyAlignment="0" applyProtection="0"/>
    <xf numFmtId="0" fontId="31" fillId="18" borderId="0" applyNumberFormat="0" applyBorder="0" applyAlignment="0" applyProtection="0"/>
    <xf numFmtId="0" fontId="31" fillId="13" borderId="0" applyNumberFormat="0" applyBorder="0" applyAlignment="0" applyProtection="0"/>
    <xf numFmtId="0" fontId="31" fillId="14" borderId="0" applyNumberFormat="0" applyBorder="0" applyAlignment="0" applyProtection="0"/>
    <xf numFmtId="0" fontId="31" fillId="19" borderId="0" applyNumberFormat="0" applyBorder="0" applyAlignment="0" applyProtection="0"/>
    <xf numFmtId="0" fontId="13" fillId="0" borderId="0" applyNumberFormat="0" applyFill="0" applyBorder="0" applyAlignment="0" applyProtection="0"/>
    <xf numFmtId="0" fontId="32" fillId="3" borderId="0" applyNumberFormat="0" applyBorder="0" applyAlignment="0" applyProtection="0"/>
    <xf numFmtId="0" fontId="33" fillId="20" borderId="1" applyNumberFormat="0" applyAlignment="0" applyProtection="0"/>
    <xf numFmtId="0" fontId="34" fillId="21" borderId="2" applyNumberFormat="0" applyAlignment="0" applyProtection="0"/>
    <xf numFmtId="43" fontId="8" fillId="0" borderId="0" applyFont="0" applyFill="0" applyBorder="0" applyAlignment="0" applyProtection="0"/>
    <xf numFmtId="164" fontId="13" fillId="0" borderId="0" applyFont="0" applyFill="0" applyBorder="0" applyAlignment="0" applyProtection="0"/>
    <xf numFmtId="43" fontId="12" fillId="0" borderId="0" applyFont="0" applyFill="0" applyBorder="0" applyAlignment="0" applyProtection="0"/>
    <xf numFmtId="164" fontId="13"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0" fontId="35" fillId="0" borderId="0" applyNumberFormat="0" applyFill="0" applyBorder="0" applyAlignment="0" applyProtection="0"/>
    <xf numFmtId="0" fontId="36" fillId="4" borderId="0" applyNumberFormat="0" applyBorder="0" applyAlignment="0" applyProtection="0"/>
    <xf numFmtId="0" fontId="37" fillId="0" borderId="3" applyNumberFormat="0" applyFill="0" applyAlignment="0" applyProtection="0"/>
    <xf numFmtId="0" fontId="38" fillId="0" borderId="4" applyNumberFormat="0" applyFill="0" applyAlignment="0" applyProtection="0"/>
    <xf numFmtId="0" fontId="39" fillId="0" borderId="5" applyNumberFormat="0" applyFill="0" applyAlignment="0" applyProtection="0"/>
    <xf numFmtId="0" fontId="39" fillId="0" borderId="0" applyNumberFormat="0" applyFill="0" applyBorder="0" applyAlignment="0" applyProtection="0"/>
    <xf numFmtId="0" fontId="40" fillId="7" borderId="1" applyNumberFormat="0" applyAlignment="0" applyProtection="0"/>
    <xf numFmtId="0" fontId="41" fillId="0" borderId="6" applyNumberFormat="0" applyFill="0" applyAlignment="0" applyProtection="0"/>
    <xf numFmtId="0" fontId="42" fillId="22" borderId="0" applyNumberFormat="0" applyBorder="0" applyAlignment="0" applyProtection="0"/>
    <xf numFmtId="0" fontId="29" fillId="0" borderId="0"/>
    <xf numFmtId="0" fontId="13" fillId="0" borderId="0"/>
    <xf numFmtId="0" fontId="13" fillId="0" borderId="0"/>
    <xf numFmtId="0" fontId="12" fillId="0" borderId="0"/>
    <xf numFmtId="0" fontId="12" fillId="0" borderId="0"/>
    <xf numFmtId="0" fontId="30" fillId="0" borderId="0"/>
    <xf numFmtId="0" fontId="30" fillId="0" borderId="0"/>
    <xf numFmtId="0" fontId="30" fillId="23" borderId="7" applyNumberFormat="0" applyFont="0" applyAlignment="0" applyProtection="0"/>
    <xf numFmtId="0" fontId="43" fillId="20" borderId="8" applyNumberFormat="0" applyAlignment="0" applyProtection="0"/>
    <xf numFmtId="9" fontId="8" fillId="0" borderId="0" applyFont="0" applyFill="0" applyBorder="0" applyAlignment="0" applyProtection="0"/>
    <xf numFmtId="9" fontId="12" fillId="0" borderId="0" applyFont="0" applyFill="0" applyBorder="0" applyAlignment="0" applyProtection="0"/>
    <xf numFmtId="0" fontId="44" fillId="0" borderId="0" applyNumberFormat="0" applyFill="0" applyBorder="0" applyAlignment="0" applyProtection="0"/>
    <xf numFmtId="0" fontId="45" fillId="0" borderId="9" applyNumberFormat="0" applyFill="0" applyAlignment="0" applyProtection="0"/>
    <xf numFmtId="0" fontId="46" fillId="0" borderId="0" applyNumberFormat="0" applyFill="0" applyBorder="0" applyAlignment="0" applyProtection="0"/>
    <xf numFmtId="0" fontId="8" fillId="0" borderId="0"/>
    <xf numFmtId="0" fontId="8" fillId="0" borderId="0"/>
    <xf numFmtId="0" fontId="13" fillId="0" borderId="0"/>
    <xf numFmtId="0" fontId="7" fillId="0" borderId="0"/>
    <xf numFmtId="0" fontId="8" fillId="0" borderId="0"/>
    <xf numFmtId="43" fontId="8" fillId="0" borderId="0" applyFont="0" applyFill="0" applyBorder="0" applyAlignment="0" applyProtection="0"/>
    <xf numFmtId="0" fontId="8" fillId="0" borderId="0"/>
    <xf numFmtId="0" fontId="6" fillId="0" borderId="0"/>
    <xf numFmtId="43" fontId="8" fillId="0" borderId="0" applyFont="0" applyFill="0" applyBorder="0" applyAlignment="0" applyProtection="0"/>
    <xf numFmtId="0" fontId="5" fillId="0" borderId="0"/>
    <xf numFmtId="0" fontId="5" fillId="0" borderId="0"/>
    <xf numFmtId="0" fontId="8" fillId="0" borderId="0"/>
    <xf numFmtId="0" fontId="5" fillId="0" borderId="0"/>
    <xf numFmtId="0" fontId="5" fillId="0" borderId="0"/>
    <xf numFmtId="0" fontId="182" fillId="0" borderId="0" applyNumberFormat="0" applyFill="0" applyBorder="0" applyAlignment="0" applyProtection="0"/>
    <xf numFmtId="0" fontId="4" fillId="0" borderId="0"/>
    <xf numFmtId="0" fontId="189" fillId="0" borderId="0"/>
    <xf numFmtId="0" fontId="3" fillId="0" borderId="0"/>
    <xf numFmtId="0" fontId="3" fillId="0" borderId="0"/>
    <xf numFmtId="0" fontId="2" fillId="0" borderId="0"/>
    <xf numFmtId="0" fontId="2" fillId="0" borderId="0"/>
    <xf numFmtId="0" fontId="2" fillId="0" borderId="0"/>
    <xf numFmtId="0" fontId="8" fillId="0" borderId="0"/>
    <xf numFmtId="9" fontId="8" fillId="0" borderId="0" applyFont="0" applyFill="0" applyBorder="0" applyAlignment="0" applyProtection="0"/>
    <xf numFmtId="43" fontId="8" fillId="0" borderId="0" applyFont="0" applyFill="0" applyBorder="0" applyAlignment="0" applyProtection="0"/>
    <xf numFmtId="0" fontId="1" fillId="0" borderId="0"/>
  </cellStyleXfs>
  <cellXfs count="2487">
    <xf numFmtId="0" fontId="0" fillId="0" borderId="0" xfId="0"/>
    <xf numFmtId="0" fontId="12" fillId="0" borderId="0" xfId="0" applyFont="1" applyAlignment="1" applyProtection="1">
      <alignment horizontal="left"/>
      <protection hidden="1"/>
    </xf>
    <xf numFmtId="165" fontId="11" fillId="24" borderId="0" xfId="29" applyNumberFormat="1" applyFont="1" applyFill="1" applyAlignment="1" applyProtection="1">
      <alignment horizontal="center"/>
      <protection locked="0"/>
    </xf>
    <xf numFmtId="0" fontId="0" fillId="0" borderId="0" xfId="0" applyProtection="1">
      <protection hidden="1"/>
    </xf>
    <xf numFmtId="43" fontId="11" fillId="24" borderId="0" xfId="29" applyFont="1" applyFill="1" applyAlignment="1" applyProtection="1">
      <alignment horizontal="center"/>
      <protection locked="0"/>
    </xf>
    <xf numFmtId="43" fontId="0" fillId="0" borderId="0" xfId="29" applyFont="1" applyProtection="1">
      <protection hidden="1"/>
    </xf>
    <xf numFmtId="43" fontId="0" fillId="0" borderId="0" xfId="29" applyFont="1" applyAlignment="1" applyProtection="1">
      <alignment horizontal="center"/>
      <protection hidden="1"/>
    </xf>
    <xf numFmtId="0" fontId="12" fillId="0" borderId="0" xfId="0" applyFont="1" applyProtection="1">
      <protection hidden="1"/>
    </xf>
    <xf numFmtId="0" fontId="0" fillId="0" borderId="0" xfId="0" applyAlignment="1" applyProtection="1">
      <alignment horizontal="left" vertical="center"/>
      <protection hidden="1"/>
    </xf>
    <xf numFmtId="0" fontId="14" fillId="0" borderId="0" xfId="0" applyFont="1" applyProtection="1">
      <protection hidden="1"/>
    </xf>
    <xf numFmtId="0" fontId="14" fillId="0" borderId="0" xfId="0" applyFont="1" applyAlignment="1" applyProtection="1">
      <alignment horizontal="center"/>
      <protection hidden="1"/>
    </xf>
    <xf numFmtId="0" fontId="15" fillId="0" borderId="0" xfId="0" applyFont="1" applyProtection="1">
      <protection hidden="1"/>
    </xf>
    <xf numFmtId="0" fontId="18" fillId="0" borderId="0" xfId="0" applyFont="1" applyAlignment="1" applyProtection="1">
      <alignment horizontal="left"/>
      <protection hidden="1"/>
    </xf>
    <xf numFmtId="166" fontId="14" fillId="0" borderId="0" xfId="29" applyNumberFormat="1" applyFont="1" applyProtection="1">
      <protection hidden="1"/>
    </xf>
    <xf numFmtId="1" fontId="11" fillId="0" borderId="0" xfId="0" applyNumberFormat="1" applyFont="1" applyFill="1" applyAlignment="1" applyProtection="1">
      <alignment horizontal="center" vertical="center"/>
      <protection hidden="1"/>
    </xf>
    <xf numFmtId="0" fontId="15" fillId="0" borderId="0" xfId="0" applyFont="1" applyBorder="1" applyAlignment="1" applyProtection="1">
      <alignment horizontal="left" vertical="center"/>
      <protection hidden="1"/>
    </xf>
    <xf numFmtId="0" fontId="14" fillId="0" borderId="0" xfId="0" applyFont="1" applyAlignment="1" applyProtection="1">
      <alignment vertical="center"/>
      <protection hidden="1"/>
    </xf>
    <xf numFmtId="0" fontId="17" fillId="0" borderId="0" xfId="0" applyFont="1" applyAlignment="1" applyProtection="1">
      <alignment vertical="center"/>
      <protection hidden="1"/>
    </xf>
    <xf numFmtId="0" fontId="14" fillId="0" borderId="0" xfId="0" applyFont="1" applyAlignment="1" applyProtection="1">
      <alignment horizontal="center" vertical="center"/>
      <protection hidden="1"/>
    </xf>
    <xf numFmtId="166" fontId="14" fillId="0" borderId="0" xfId="29" applyNumberFormat="1" applyFont="1" applyAlignment="1" applyProtection="1">
      <alignment vertical="center"/>
      <protection hidden="1"/>
    </xf>
    <xf numFmtId="0" fontId="14" fillId="0" borderId="0" xfId="0" applyFont="1" applyAlignment="1" applyProtection="1">
      <alignment horizontal="left" vertical="center" indent="1"/>
      <protection hidden="1"/>
    </xf>
    <xf numFmtId="0" fontId="18" fillId="0" borderId="0" xfId="0" applyFont="1" applyAlignment="1" applyProtection="1">
      <alignment horizontal="left" vertical="center" indent="3"/>
      <protection hidden="1"/>
    </xf>
    <xf numFmtId="0" fontId="24" fillId="0" borderId="0" xfId="0" applyFont="1" applyAlignment="1" applyProtection="1">
      <alignment horizontal="center" vertical="center"/>
      <protection hidden="1"/>
    </xf>
    <xf numFmtId="0" fontId="24" fillId="0" borderId="0" xfId="0" applyFont="1" applyAlignment="1" applyProtection="1">
      <alignment vertical="center"/>
      <protection hidden="1"/>
    </xf>
    <xf numFmtId="43" fontId="22" fillId="0" borderId="0" xfId="29" applyNumberFormat="1" applyFont="1" applyAlignment="1" applyProtection="1">
      <alignment vertical="center"/>
      <protection hidden="1"/>
    </xf>
    <xf numFmtId="0" fontId="29" fillId="0" borderId="0" xfId="44" applyFont="1"/>
    <xf numFmtId="0" fontId="17" fillId="0" borderId="0" xfId="0" applyFont="1" applyProtection="1">
      <protection hidden="1"/>
    </xf>
    <xf numFmtId="166" fontId="18" fillId="0" borderId="0" xfId="0" applyNumberFormat="1" applyFont="1" applyAlignment="1" applyProtection="1">
      <alignment horizontal="right" vertical="center"/>
      <protection hidden="1"/>
    </xf>
    <xf numFmtId="166" fontId="23" fillId="0" borderId="0" xfId="0" applyNumberFormat="1" applyFont="1" applyAlignment="1" applyProtection="1">
      <alignment vertical="center"/>
      <protection hidden="1"/>
    </xf>
    <xf numFmtId="0" fontId="14" fillId="0" borderId="0" xfId="0" applyFont="1" applyAlignment="1" applyProtection="1">
      <alignment horizontal="left" vertical="center"/>
      <protection hidden="1"/>
    </xf>
    <xf numFmtId="0" fontId="47" fillId="0" borderId="0" xfId="0" applyFont="1" applyAlignment="1" applyProtection="1">
      <alignment vertical="center"/>
      <protection hidden="1"/>
    </xf>
    <xf numFmtId="3" fontId="11" fillId="24" borderId="10" xfId="0" applyNumberFormat="1" applyFont="1" applyFill="1" applyBorder="1" applyAlignment="1" applyProtection="1">
      <alignment horizontal="center" vertical="center"/>
      <protection locked="0"/>
    </xf>
    <xf numFmtId="0" fontId="48" fillId="24" borderId="10" xfId="0" applyFont="1" applyFill="1" applyBorder="1" applyAlignment="1" applyProtection="1">
      <alignment horizontal="center" vertical="center"/>
      <protection locked="0"/>
    </xf>
    <xf numFmtId="43" fontId="49" fillId="0" borderId="0" xfId="29" applyFont="1" applyProtection="1">
      <protection hidden="1"/>
    </xf>
    <xf numFmtId="0" fontId="26" fillId="0" borderId="10" xfId="0" applyFont="1" applyBorder="1" applyAlignment="1" applyProtection="1">
      <alignment horizontal="center" vertical="top" wrapText="1"/>
      <protection hidden="1"/>
    </xf>
    <xf numFmtId="0" fontId="30" fillId="0" borderId="12" xfId="49" pivotButton="1" applyBorder="1"/>
    <xf numFmtId="0" fontId="30" fillId="0" borderId="0" xfId="49"/>
    <xf numFmtId="0" fontId="30" fillId="0" borderId="13" xfId="49" applyBorder="1"/>
    <xf numFmtId="0" fontId="50" fillId="0" borderId="0" xfId="0" applyFont="1" applyAlignment="1" applyProtection="1">
      <alignment vertical="top"/>
      <protection hidden="1"/>
    </xf>
    <xf numFmtId="0" fontId="50" fillId="0" borderId="0" xfId="0" applyFont="1" applyBorder="1" applyAlignment="1" applyProtection="1">
      <alignment vertical="center"/>
      <protection hidden="1"/>
    </xf>
    <xf numFmtId="0" fontId="18" fillId="0" borderId="0" xfId="0" applyFont="1" applyBorder="1" applyAlignment="1" applyProtection="1">
      <alignment horizontal="right" vertical="center"/>
      <protection hidden="1"/>
    </xf>
    <xf numFmtId="43" fontId="18" fillId="0" borderId="0" xfId="0" applyNumberFormat="1" applyFont="1" applyBorder="1" applyAlignment="1" applyProtection="1">
      <alignment vertical="center"/>
      <protection hidden="1"/>
    </xf>
    <xf numFmtId="0" fontId="18" fillId="0" borderId="0" xfId="0" applyFont="1" applyAlignment="1" applyProtection="1">
      <alignment horizontal="left" indent="3"/>
      <protection hidden="1"/>
    </xf>
    <xf numFmtId="0" fontId="18" fillId="0" borderId="0" xfId="0" applyFont="1" applyProtection="1">
      <protection hidden="1"/>
    </xf>
    <xf numFmtId="0" fontId="18" fillId="0" borderId="0" xfId="0" applyFont="1" applyAlignment="1" applyProtection="1">
      <alignment horizontal="left" indent="1"/>
      <protection hidden="1"/>
    </xf>
    <xf numFmtId="0" fontId="51" fillId="0" borderId="0" xfId="0" applyFont="1" applyFill="1" applyAlignment="1" applyProtection="1">
      <alignment horizontal="center"/>
      <protection hidden="1"/>
    </xf>
    <xf numFmtId="166" fontId="14" fillId="0" borderId="0" xfId="29" applyNumberFormat="1" applyFont="1" applyFill="1" applyProtection="1">
      <protection hidden="1"/>
    </xf>
    <xf numFmtId="0" fontId="14" fillId="0" borderId="0" xfId="0" applyFont="1" applyFill="1" applyProtection="1">
      <protection hidden="1"/>
    </xf>
    <xf numFmtId="0" fontId="0" fillId="0" borderId="0" xfId="0" applyFill="1" applyProtection="1">
      <protection hidden="1"/>
    </xf>
    <xf numFmtId="0" fontId="48" fillId="24" borderId="10" xfId="0" applyFont="1" applyFill="1" applyBorder="1" applyAlignment="1" applyProtection="1">
      <alignment horizontal="center"/>
      <protection locked="0"/>
    </xf>
    <xf numFmtId="0" fontId="30" fillId="0" borderId="12" xfId="50" applyBorder="1"/>
    <xf numFmtId="0" fontId="30" fillId="0" borderId="14" xfId="50" applyBorder="1"/>
    <xf numFmtId="0" fontId="30" fillId="0" borderId="15" xfId="50" applyBorder="1"/>
    <xf numFmtId="0" fontId="30" fillId="0" borderId="16" xfId="50" applyBorder="1"/>
    <xf numFmtId="0" fontId="30" fillId="0" borderId="13" xfId="50" applyBorder="1"/>
    <xf numFmtId="0" fontId="30" fillId="0" borderId="0" xfId="49" applyFont="1"/>
    <xf numFmtId="0" fontId="52" fillId="0" borderId="0" xfId="49" applyFont="1"/>
    <xf numFmtId="0" fontId="12" fillId="0" borderId="0" xfId="49" applyFont="1"/>
    <xf numFmtId="0" fontId="30" fillId="0" borderId="18" xfId="49" applyBorder="1" applyAlignment="1">
      <alignment horizontal="center" vertical="center" wrapText="1"/>
    </xf>
    <xf numFmtId="0" fontId="30" fillId="0" borderId="18" xfId="49" applyBorder="1" applyAlignment="1">
      <alignment horizontal="center"/>
    </xf>
    <xf numFmtId="0" fontId="30" fillId="0" borderId="19" xfId="49" applyFont="1" applyBorder="1" applyAlignment="1">
      <alignment horizontal="center" vertical="center" wrapText="1"/>
    </xf>
    <xf numFmtId="166" fontId="30" fillId="0" borderId="0" xfId="29" applyNumberFormat="1" applyFont="1"/>
    <xf numFmtId="0" fontId="30" fillId="0" borderId="19" xfId="49" applyBorder="1" applyAlignment="1">
      <alignment horizontal="center"/>
    </xf>
    <xf numFmtId="0" fontId="30" fillId="0" borderId="19" xfId="49" applyFont="1" applyBorder="1" applyAlignment="1">
      <alignment horizontal="center"/>
    </xf>
    <xf numFmtId="0" fontId="30" fillId="0" borderId="10" xfId="49" applyBorder="1" applyAlignment="1">
      <alignment horizontal="center"/>
    </xf>
    <xf numFmtId="0" fontId="30" fillId="0" borderId="20" xfId="49" applyBorder="1" applyAlignment="1">
      <alignment horizontal="center"/>
    </xf>
    <xf numFmtId="0" fontId="30" fillId="0" borderId="12" xfId="50" applyFont="1" applyBorder="1"/>
    <xf numFmtId="0" fontId="30" fillId="0" borderId="21" xfId="50" applyFont="1" applyBorder="1"/>
    <xf numFmtId="0" fontId="30" fillId="0" borderId="22" xfId="50" applyFont="1" applyBorder="1"/>
    <xf numFmtId="0" fontId="0" fillId="0" borderId="0" xfId="0" applyFill="1" applyBorder="1"/>
    <xf numFmtId="0" fontId="0" fillId="0" borderId="17" xfId="0" applyBorder="1" applyProtection="1">
      <protection hidden="1"/>
    </xf>
    <xf numFmtId="9" fontId="24" fillId="0" borderId="0" xfId="53" applyFont="1" applyAlignment="1" applyProtection="1">
      <alignment vertical="center"/>
      <protection hidden="1"/>
    </xf>
    <xf numFmtId="0" fontId="17" fillId="0" borderId="0" xfId="0" quotePrefix="1" applyFont="1" applyAlignment="1" applyProtection="1">
      <alignment horizontal="left" vertical="center" indent="2"/>
      <protection hidden="1"/>
    </xf>
    <xf numFmtId="0" fontId="17" fillId="0" borderId="0" xfId="0" applyFont="1" applyAlignment="1" applyProtection="1">
      <alignment horizontal="left" vertical="center" indent="2"/>
      <protection hidden="1"/>
    </xf>
    <xf numFmtId="43" fontId="18" fillId="0" borderId="0" xfId="29" applyFont="1" applyAlignment="1" applyProtection="1">
      <alignment horizontal="right" vertical="center"/>
      <protection hidden="1"/>
    </xf>
    <xf numFmtId="166" fontId="18" fillId="0" borderId="0" xfId="29" applyNumberFormat="1" applyFont="1" applyAlignment="1" applyProtection="1">
      <alignment horizontal="right" vertical="center"/>
      <protection hidden="1"/>
    </xf>
    <xf numFmtId="0" fontId="8" fillId="0" borderId="0" xfId="0" applyFont="1" applyProtection="1">
      <protection hidden="1"/>
    </xf>
    <xf numFmtId="3" fontId="30" fillId="0" borderId="0" xfId="49" applyNumberFormat="1"/>
    <xf numFmtId="0" fontId="30" fillId="0" borderId="0" xfId="49" applyFont="1" applyAlignment="1">
      <alignment wrapText="1"/>
    </xf>
    <xf numFmtId="0" fontId="19" fillId="0" borderId="0" xfId="0" applyFont="1" applyAlignment="1" applyProtection="1">
      <alignment vertical="center"/>
      <protection hidden="1"/>
    </xf>
    <xf numFmtId="0" fontId="30" fillId="0" borderId="21" xfId="50" applyBorder="1"/>
    <xf numFmtId="0" fontId="30" fillId="25" borderId="13" xfId="50" applyNumberFormat="1" applyFill="1" applyBorder="1"/>
    <xf numFmtId="0" fontId="30" fillId="25" borderId="0" xfId="50" applyNumberFormat="1" applyFill="1"/>
    <xf numFmtId="0" fontId="30" fillId="25" borderId="23" xfId="50" applyNumberFormat="1" applyFill="1" applyBorder="1"/>
    <xf numFmtId="3" fontId="30" fillId="0" borderId="0" xfId="49" applyNumberFormat="1" applyFont="1" applyAlignment="1">
      <alignment wrapText="1"/>
    </xf>
    <xf numFmtId="43" fontId="11" fillId="0" borderId="0" xfId="29" applyFont="1" applyFill="1" applyAlignment="1" applyProtection="1">
      <alignment horizontal="center"/>
      <protection hidden="1"/>
    </xf>
    <xf numFmtId="43" fontId="22" fillId="0" borderId="0" xfId="29" applyNumberFormat="1" applyFont="1" applyFill="1" applyAlignment="1" applyProtection="1">
      <alignment vertical="center"/>
      <protection hidden="1"/>
    </xf>
    <xf numFmtId="9" fontId="56" fillId="0" borderId="0" xfId="53" applyFont="1" applyAlignment="1" applyProtection="1">
      <alignment vertical="center"/>
      <protection hidden="1"/>
    </xf>
    <xf numFmtId="166" fontId="56" fillId="0" borderId="0" xfId="29" applyNumberFormat="1" applyFont="1" applyAlignment="1" applyProtection="1">
      <alignment vertical="center"/>
      <protection hidden="1"/>
    </xf>
    <xf numFmtId="0" fontId="0" fillId="0" borderId="24" xfId="0" applyFill="1" applyBorder="1"/>
    <xf numFmtId="0" fontId="0" fillId="0" borderId="25" xfId="0" applyFill="1" applyBorder="1"/>
    <xf numFmtId="0" fontId="0" fillId="0" borderId="0" xfId="0" applyFill="1"/>
    <xf numFmtId="0" fontId="0" fillId="0" borderId="27" xfId="0" applyFill="1" applyBorder="1"/>
    <xf numFmtId="0" fontId="0" fillId="0" borderId="29" xfId="0" applyFill="1" applyBorder="1"/>
    <xf numFmtId="0" fontId="0" fillId="0" borderId="31" xfId="0" applyFill="1" applyBorder="1"/>
    <xf numFmtId="3" fontId="26" fillId="0" borderId="10" xfId="0" applyNumberFormat="1" applyFont="1" applyFill="1" applyBorder="1" applyAlignment="1" applyProtection="1">
      <alignment horizontal="center" vertical="top" wrapText="1"/>
      <protection hidden="1"/>
    </xf>
    <xf numFmtId="0" fontId="19" fillId="0" borderId="0" xfId="0" applyFont="1" applyFill="1" applyAlignment="1" applyProtection="1">
      <alignment vertical="center"/>
      <protection hidden="1"/>
    </xf>
    <xf numFmtId="0" fontId="47" fillId="0" borderId="0" xfId="0" applyFont="1" applyFill="1" applyAlignment="1" applyProtection="1">
      <alignment vertical="center"/>
      <protection hidden="1"/>
    </xf>
    <xf numFmtId="0" fontId="0" fillId="0" borderId="0" xfId="0" applyFill="1" applyBorder="1" applyAlignment="1">
      <alignment horizontal="center"/>
    </xf>
    <xf numFmtId="0" fontId="87" fillId="0" borderId="0" xfId="0" applyFont="1" applyProtection="1">
      <protection hidden="1"/>
    </xf>
    <xf numFmtId="166" fontId="88" fillId="0" borderId="0" xfId="29" applyNumberFormat="1" applyFont="1" applyAlignment="1" applyProtection="1">
      <alignment vertical="center"/>
      <protection hidden="1"/>
    </xf>
    <xf numFmtId="0" fontId="61" fillId="0" borderId="0" xfId="49" applyFont="1"/>
    <xf numFmtId="0" fontId="29" fillId="0" borderId="0" xfId="44" applyFont="1" applyFill="1"/>
    <xf numFmtId="0" fontId="30" fillId="25" borderId="0" xfId="49" applyNumberFormat="1" applyFill="1" applyBorder="1"/>
    <xf numFmtId="0" fontId="30" fillId="0" borderId="24" xfId="49" pivotButton="1" applyBorder="1"/>
    <xf numFmtId="0" fontId="30" fillId="0" borderId="25" xfId="49" applyBorder="1"/>
    <xf numFmtId="0" fontId="30" fillId="0" borderId="26" xfId="49" applyBorder="1"/>
    <xf numFmtId="168" fontId="30" fillId="0" borderId="24" xfId="29" applyNumberFormat="1" applyFont="1" applyBorder="1"/>
    <xf numFmtId="168" fontId="30" fillId="0" borderId="25" xfId="29" applyNumberFormat="1" applyFont="1" applyBorder="1"/>
    <xf numFmtId="0" fontId="30" fillId="25" borderId="27" xfId="49" applyNumberFormat="1" applyFill="1" applyBorder="1"/>
    <xf numFmtId="0" fontId="30" fillId="25" borderId="28" xfId="49" applyNumberFormat="1" applyFill="1" applyBorder="1"/>
    <xf numFmtId="0" fontId="30" fillId="25" borderId="29" xfId="49" applyNumberFormat="1" applyFill="1" applyBorder="1"/>
    <xf numFmtId="0" fontId="30" fillId="25" borderId="31" xfId="49" applyNumberFormat="1" applyFill="1" applyBorder="1"/>
    <xf numFmtId="0" fontId="30" fillId="25" borderId="30" xfId="49" applyNumberFormat="1" applyFill="1" applyBorder="1"/>
    <xf numFmtId="168" fontId="30" fillId="27" borderId="25" xfId="29" applyNumberFormat="1" applyFont="1" applyFill="1" applyBorder="1"/>
    <xf numFmtId="168" fontId="30" fillId="27" borderId="26" xfId="29" applyNumberFormat="1" applyFont="1" applyFill="1" applyBorder="1"/>
    <xf numFmtId="0" fontId="89" fillId="0" borderId="0" xfId="0" applyFont="1" applyProtection="1">
      <protection hidden="1"/>
    </xf>
    <xf numFmtId="0" fontId="90" fillId="0" borderId="0" xfId="0" applyFont="1" applyProtection="1">
      <protection hidden="1"/>
    </xf>
    <xf numFmtId="0" fontId="89" fillId="0" borderId="0" xfId="0" applyFont="1" applyAlignment="1" applyProtection="1">
      <alignment horizontal="center"/>
      <protection hidden="1"/>
    </xf>
    <xf numFmtId="3" fontId="89" fillId="0" borderId="0" xfId="0" applyNumberFormat="1" applyFont="1" applyProtection="1">
      <protection hidden="1"/>
    </xf>
    <xf numFmtId="0" fontId="89" fillId="0" borderId="0" xfId="0" applyFont="1" applyFill="1" applyProtection="1">
      <protection hidden="1"/>
    </xf>
    <xf numFmtId="0" fontId="0" fillId="0" borderId="0" xfId="0" applyAlignment="1" applyProtection="1">
      <alignment vertical="center"/>
      <protection hidden="1"/>
    </xf>
    <xf numFmtId="43" fontId="89" fillId="0" borderId="0" xfId="29" applyFont="1" applyAlignment="1" applyProtection="1">
      <alignment horizontal="center"/>
      <protection hidden="1"/>
    </xf>
    <xf numFmtId="0" fontId="26" fillId="0" borderId="69" xfId="0" applyFont="1" applyBorder="1" applyAlignment="1" applyProtection="1">
      <alignment horizontal="center" vertical="top" wrapText="1"/>
      <protection hidden="1"/>
    </xf>
    <xf numFmtId="0" fontId="91" fillId="0" borderId="0" xfId="0" applyFont="1" applyAlignment="1" applyProtection="1">
      <alignment horizontal="right"/>
      <protection hidden="1"/>
    </xf>
    <xf numFmtId="0" fontId="91" fillId="0" borderId="0" xfId="0" applyFont="1" applyProtection="1">
      <protection hidden="1"/>
    </xf>
    <xf numFmtId="166" fontId="91" fillId="0" borderId="0" xfId="29" applyNumberFormat="1" applyFont="1" applyProtection="1">
      <protection hidden="1"/>
    </xf>
    <xf numFmtId="0" fontId="26" fillId="0" borderId="70" xfId="0" applyFont="1" applyBorder="1" applyAlignment="1" applyProtection="1">
      <protection hidden="1"/>
    </xf>
    <xf numFmtId="0" fontId="0" fillId="0" borderId="0" xfId="0" applyBorder="1" applyProtection="1">
      <protection hidden="1"/>
    </xf>
    <xf numFmtId="0" fontId="26" fillId="0" borderId="71" xfId="0" applyFont="1" applyBorder="1" applyAlignment="1" applyProtection="1">
      <alignment horizontal="left"/>
      <protection hidden="1"/>
    </xf>
    <xf numFmtId="0" fontId="26" fillId="0" borderId="72" xfId="0" applyFont="1" applyBorder="1" applyAlignment="1" applyProtection="1">
      <alignment horizontal="left"/>
      <protection hidden="1"/>
    </xf>
    <xf numFmtId="0" fontId="14" fillId="0" borderId="32" xfId="0" applyFont="1" applyBorder="1" applyProtection="1">
      <protection hidden="1"/>
    </xf>
    <xf numFmtId="0" fontId="14" fillId="0" borderId="33" xfId="0" applyFont="1" applyBorder="1" applyProtection="1">
      <protection hidden="1"/>
    </xf>
    <xf numFmtId="0" fontId="14" fillId="0" borderId="34" xfId="0" applyFont="1" applyBorder="1" applyProtection="1">
      <protection hidden="1"/>
    </xf>
    <xf numFmtId="0" fontId="14" fillId="0" borderId="0" xfId="0" applyFont="1" applyBorder="1" applyProtection="1">
      <protection hidden="1"/>
    </xf>
    <xf numFmtId="0" fontId="14" fillId="0" borderId="0" xfId="0" applyFont="1" applyBorder="1" applyAlignment="1" applyProtection="1">
      <alignment horizontal="center"/>
      <protection hidden="1"/>
    </xf>
    <xf numFmtId="166" fontId="14" fillId="0" borderId="0" xfId="29" applyNumberFormat="1" applyFont="1" applyBorder="1" applyProtection="1">
      <protection hidden="1"/>
    </xf>
    <xf numFmtId="0" fontId="14" fillId="0" borderId="35" xfId="0" applyFont="1" applyBorder="1" applyProtection="1">
      <protection hidden="1"/>
    </xf>
    <xf numFmtId="0" fontId="15" fillId="0" borderId="0" xfId="0" applyFont="1" applyBorder="1" applyAlignment="1" applyProtection="1">
      <alignment horizontal="left"/>
      <protection hidden="1"/>
    </xf>
    <xf numFmtId="0" fontId="17" fillId="0" borderId="34" xfId="0" applyFont="1" applyBorder="1" applyAlignment="1" applyProtection="1">
      <alignment vertical="center"/>
      <protection hidden="1"/>
    </xf>
    <xf numFmtId="0" fontId="17" fillId="0" borderId="0" xfId="0" applyFont="1" applyBorder="1" applyAlignment="1" applyProtection="1">
      <alignment vertical="center"/>
      <protection hidden="1"/>
    </xf>
    <xf numFmtId="0" fontId="17" fillId="0" borderId="35" xfId="0" applyFont="1" applyBorder="1" applyAlignment="1" applyProtection="1">
      <alignment vertical="center"/>
      <protection hidden="1"/>
    </xf>
    <xf numFmtId="0" fontId="17" fillId="0" borderId="34" xfId="0" applyFont="1" applyBorder="1" applyProtection="1">
      <protection hidden="1"/>
    </xf>
    <xf numFmtId="0" fontId="17" fillId="0" borderId="35" xfId="0" applyFont="1" applyBorder="1" applyProtection="1">
      <protection hidden="1"/>
    </xf>
    <xf numFmtId="0" fontId="59" fillId="0" borderId="0" xfId="0" applyFont="1" applyBorder="1" applyAlignment="1" applyProtection="1">
      <alignment vertical="center"/>
      <protection hidden="1"/>
    </xf>
    <xf numFmtId="0" fontId="14" fillId="0" borderId="34" xfId="0" applyFont="1" applyBorder="1" applyAlignment="1" applyProtection="1">
      <alignment vertical="center"/>
      <protection hidden="1"/>
    </xf>
    <xf numFmtId="0" fontId="20" fillId="0" borderId="0" xfId="0" applyFont="1" applyBorder="1" applyAlignment="1" applyProtection="1">
      <alignment horizontal="left" vertical="center" indent="3"/>
      <protection hidden="1"/>
    </xf>
    <xf numFmtId="0" fontId="20" fillId="0" borderId="0" xfId="0" applyFont="1" applyBorder="1" applyAlignment="1" applyProtection="1">
      <alignment horizontal="center" vertical="center"/>
      <protection hidden="1"/>
    </xf>
    <xf numFmtId="0" fontId="20" fillId="0" borderId="0" xfId="0" applyFont="1" applyBorder="1" applyAlignment="1" applyProtection="1">
      <alignment horizontal="left" vertical="center" indent="1"/>
      <protection hidden="1"/>
    </xf>
    <xf numFmtId="0" fontId="14" fillId="0" borderId="0" xfId="0" applyFont="1" applyBorder="1" applyAlignment="1" applyProtection="1">
      <alignment vertical="center"/>
      <protection hidden="1"/>
    </xf>
    <xf numFmtId="0" fontId="14" fillId="0" borderId="35" xfId="0" applyFont="1" applyBorder="1" applyAlignment="1" applyProtection="1">
      <alignment vertical="center"/>
      <protection hidden="1"/>
    </xf>
    <xf numFmtId="0" fontId="19" fillId="0" borderId="0" xfId="0" applyFont="1" applyFill="1" applyBorder="1" applyAlignment="1" applyProtection="1">
      <alignment horizontal="right"/>
      <protection hidden="1"/>
    </xf>
    <xf numFmtId="0" fontId="14" fillId="0" borderId="36" xfId="0" applyFont="1" applyBorder="1" applyProtection="1">
      <protection hidden="1"/>
    </xf>
    <xf numFmtId="0" fontId="14" fillId="0" borderId="17" xfId="0" applyFont="1" applyFill="1" applyBorder="1" applyProtection="1">
      <protection hidden="1"/>
    </xf>
    <xf numFmtId="0" fontId="14" fillId="0" borderId="17" xfId="0" applyFont="1" applyBorder="1" applyAlignment="1" applyProtection="1">
      <alignment horizontal="center"/>
      <protection hidden="1"/>
    </xf>
    <xf numFmtId="0" fontId="14" fillId="0" borderId="17" xfId="0" applyFont="1" applyBorder="1" applyProtection="1">
      <protection hidden="1"/>
    </xf>
    <xf numFmtId="0" fontId="14" fillId="0" borderId="11" xfId="0" applyFont="1" applyBorder="1" applyProtection="1">
      <protection hidden="1"/>
    </xf>
    <xf numFmtId="0" fontId="14" fillId="0" borderId="32" xfId="0" applyFont="1" applyBorder="1" applyAlignment="1" applyProtection="1">
      <alignment horizontal="center"/>
      <protection hidden="1"/>
    </xf>
    <xf numFmtId="166" fontId="14" fillId="0" borderId="32" xfId="29" applyNumberFormat="1" applyFont="1" applyBorder="1" applyProtection="1">
      <protection hidden="1"/>
    </xf>
    <xf numFmtId="0" fontId="0" fillId="0" borderId="37" xfId="0" applyBorder="1" applyAlignment="1" applyProtection="1">
      <alignment vertical="center"/>
      <protection hidden="1"/>
    </xf>
    <xf numFmtId="0" fontId="18" fillId="0" borderId="37" xfId="0" applyFont="1" applyBorder="1" applyAlignment="1" applyProtection="1">
      <alignment vertical="center"/>
      <protection hidden="1"/>
    </xf>
    <xf numFmtId="0" fontId="15" fillId="0" borderId="37" xfId="0" applyFont="1" applyBorder="1" applyAlignment="1" applyProtection="1">
      <alignment vertical="center"/>
      <protection hidden="1"/>
    </xf>
    <xf numFmtId="0" fontId="14" fillId="0" borderId="38" xfId="0" applyFont="1" applyBorder="1" applyAlignment="1" applyProtection="1">
      <alignment vertical="center"/>
      <protection hidden="1"/>
    </xf>
    <xf numFmtId="0" fontId="18" fillId="0" borderId="39" xfId="0" applyFont="1" applyBorder="1" applyAlignment="1" applyProtection="1">
      <alignment horizontal="left" vertical="center" indent="2"/>
      <protection hidden="1"/>
    </xf>
    <xf numFmtId="0" fontId="63" fillId="0" borderId="0" xfId="0" applyFont="1" applyBorder="1" applyAlignment="1" applyProtection="1">
      <alignment vertical="center"/>
      <protection hidden="1"/>
    </xf>
    <xf numFmtId="0" fontId="18" fillId="29" borderId="18" xfId="0" applyFont="1" applyFill="1" applyBorder="1" applyAlignment="1" applyProtection="1">
      <alignment horizontal="center" vertical="center" wrapText="1"/>
      <protection hidden="1"/>
    </xf>
    <xf numFmtId="43" fontId="92" fillId="0" borderId="0" xfId="0" applyNumberFormat="1" applyFont="1" applyAlignment="1" applyProtection="1">
      <alignment vertical="top" wrapText="1"/>
      <protection hidden="1"/>
    </xf>
    <xf numFmtId="0" fontId="50" fillId="0" borderId="0" xfId="0" applyFont="1" applyAlignment="1" applyProtection="1">
      <alignment vertical="top" wrapText="1"/>
      <protection hidden="1"/>
    </xf>
    <xf numFmtId="0" fontId="14" fillId="0" borderId="0" xfId="0" applyFont="1" applyFill="1" applyBorder="1" applyAlignment="1" applyProtection="1">
      <alignment horizontal="center"/>
      <protection hidden="1"/>
    </xf>
    <xf numFmtId="0" fontId="14" fillId="0" borderId="0" xfId="0" applyFont="1" applyFill="1" applyBorder="1" applyProtection="1">
      <protection hidden="1"/>
    </xf>
    <xf numFmtId="0" fontId="14" fillId="0" borderId="0" xfId="0" applyFont="1" applyFill="1" applyAlignment="1" applyProtection="1">
      <alignment horizontal="center" vertical="center"/>
      <protection hidden="1"/>
    </xf>
    <xf numFmtId="0" fontId="14" fillId="0" borderId="0" xfId="0" applyFont="1" applyFill="1" applyAlignment="1" applyProtection="1">
      <alignment vertical="center"/>
      <protection hidden="1"/>
    </xf>
    <xf numFmtId="0" fontId="17" fillId="0" borderId="0" xfId="0" applyFont="1" applyFill="1" applyAlignment="1" applyProtection="1">
      <alignment horizontal="left" vertical="center" indent="2"/>
      <protection hidden="1"/>
    </xf>
    <xf numFmtId="166" fontId="18" fillId="0" borderId="0" xfId="0" applyNumberFormat="1" applyFont="1" applyFill="1" applyAlignment="1" applyProtection="1">
      <alignment horizontal="right" vertical="center"/>
      <protection hidden="1"/>
    </xf>
    <xf numFmtId="0" fontId="18" fillId="0" borderId="0" xfId="0" applyFont="1" applyFill="1" applyProtection="1">
      <protection hidden="1"/>
    </xf>
    <xf numFmtId="0" fontId="15" fillId="0" borderId="0" xfId="0" applyFont="1" applyFill="1" applyProtection="1">
      <protection hidden="1"/>
    </xf>
    <xf numFmtId="0" fontId="15" fillId="0" borderId="0" xfId="0" applyFont="1" applyFill="1" applyAlignment="1" applyProtection="1">
      <alignment horizontal="right"/>
      <protection hidden="1"/>
    </xf>
    <xf numFmtId="0" fontId="89" fillId="0" borderId="0" xfId="0" applyFont="1" applyAlignment="1" applyProtection="1">
      <alignment horizontal="left"/>
      <protection hidden="1"/>
    </xf>
    <xf numFmtId="0" fontId="13" fillId="0" borderId="0" xfId="60" applyFont="1"/>
    <xf numFmtId="0" fontId="13" fillId="0" borderId="0" xfId="60" applyFont="1" applyBorder="1"/>
    <xf numFmtId="0" fontId="93" fillId="27" borderId="0" xfId="0" applyFont="1" applyFill="1"/>
    <xf numFmtId="0" fontId="12" fillId="0" borderId="0" xfId="0" applyFont="1" applyFill="1" applyProtection="1">
      <protection hidden="1"/>
    </xf>
    <xf numFmtId="0" fontId="26" fillId="0" borderId="73" xfId="0" applyFont="1" applyFill="1" applyBorder="1" applyAlignment="1" applyProtection="1">
      <protection hidden="1"/>
    </xf>
    <xf numFmtId="9" fontId="89" fillId="0" borderId="0" xfId="0" applyNumberFormat="1" applyFont="1" applyFill="1" applyProtection="1">
      <protection hidden="1"/>
    </xf>
    <xf numFmtId="166" fontId="18" fillId="0" borderId="0" xfId="0" applyNumberFormat="1" applyFont="1" applyFill="1" applyAlignment="1" applyProtection="1">
      <alignment horizontal="center" vertical="center"/>
      <protection hidden="1"/>
    </xf>
    <xf numFmtId="0" fontId="0" fillId="0" borderId="74" xfId="0" applyFill="1" applyBorder="1" applyProtection="1">
      <protection hidden="1"/>
    </xf>
    <xf numFmtId="0" fontId="21" fillId="0" borderId="0" xfId="0" applyFont="1" applyFill="1" applyAlignment="1" applyProtection="1">
      <protection hidden="1"/>
    </xf>
    <xf numFmtId="0" fontId="87" fillId="0" borderId="0" xfId="0" applyFont="1" applyFill="1" applyProtection="1">
      <protection hidden="1"/>
    </xf>
    <xf numFmtId="0" fontId="94" fillId="0" borderId="0" xfId="0" applyFont="1" applyProtection="1">
      <protection hidden="1"/>
    </xf>
    <xf numFmtId="0" fontId="0" fillId="27" borderId="0" xfId="0" applyFill="1"/>
    <xf numFmtId="0" fontId="0" fillId="30" borderId="18" xfId="0" applyFill="1" applyBorder="1" applyProtection="1">
      <protection hidden="1"/>
    </xf>
    <xf numFmtId="0" fontId="18" fillId="0" borderId="37" xfId="0" applyFont="1" applyBorder="1" applyAlignment="1" applyProtection="1">
      <alignment horizontal="left" vertical="center" indent="2"/>
      <protection hidden="1"/>
    </xf>
    <xf numFmtId="0" fontId="89" fillId="0" borderId="0" xfId="0" applyFont="1" applyAlignment="1" applyProtection="1">
      <alignment horizontal="right"/>
      <protection hidden="1"/>
    </xf>
    <xf numFmtId="0" fontId="89" fillId="0" borderId="0" xfId="0" applyFont="1" applyFill="1" applyAlignment="1" applyProtection="1">
      <alignment horizontal="right"/>
      <protection hidden="1"/>
    </xf>
    <xf numFmtId="0" fontId="12" fillId="0" borderId="0" xfId="0" applyFont="1"/>
    <xf numFmtId="0" fontId="48" fillId="0" borderId="10" xfId="0" applyFont="1" applyFill="1" applyBorder="1" applyAlignment="1" applyProtection="1">
      <alignment horizontal="center"/>
      <protection hidden="1"/>
    </xf>
    <xf numFmtId="0" fontId="26" fillId="30" borderId="69" xfId="0" applyFont="1" applyFill="1" applyBorder="1" applyAlignment="1" applyProtection="1">
      <alignment horizontal="center" vertical="top" wrapText="1"/>
      <protection locked="0"/>
    </xf>
    <xf numFmtId="0" fontId="26" fillId="0" borderId="75" xfId="0" applyFont="1" applyBorder="1" applyAlignment="1" applyProtection="1">
      <alignment horizontal="center" vertical="top" wrapText="1"/>
      <protection hidden="1"/>
    </xf>
    <xf numFmtId="3" fontId="11" fillId="24" borderId="76" xfId="0" applyNumberFormat="1" applyFont="1" applyFill="1" applyBorder="1" applyAlignment="1" applyProtection="1">
      <alignment horizontal="center" vertical="center"/>
      <protection locked="0"/>
    </xf>
    <xf numFmtId="0" fontId="89" fillId="0" borderId="0" xfId="0" applyFont="1" applyFill="1"/>
    <xf numFmtId="0" fontId="12" fillId="0" borderId="0" xfId="48"/>
    <xf numFmtId="0" fontId="12" fillId="0" borderId="0" xfId="48" applyAlignment="1">
      <alignment horizontal="center"/>
    </xf>
    <xf numFmtId="0" fontId="12" fillId="0" borderId="18" xfId="48" applyBorder="1" applyAlignment="1">
      <alignment horizontal="center"/>
    </xf>
    <xf numFmtId="170" fontId="63" fillId="0" borderId="0" xfId="54" applyNumberFormat="1" applyFont="1" applyProtection="1">
      <protection hidden="1"/>
    </xf>
    <xf numFmtId="0" fontId="63" fillId="0" borderId="0" xfId="48" applyFont="1" applyProtection="1">
      <protection hidden="1"/>
    </xf>
    <xf numFmtId="0" fontId="95" fillId="0" borderId="0" xfId="48" applyFont="1" applyProtection="1">
      <protection hidden="1"/>
    </xf>
    <xf numFmtId="170" fontId="96" fillId="0" borderId="0" xfId="54" applyNumberFormat="1" applyFont="1" applyAlignment="1" applyProtection="1">
      <alignment vertical="center"/>
      <protection hidden="1"/>
    </xf>
    <xf numFmtId="166" fontId="96" fillId="0" borderId="0" xfId="33" applyNumberFormat="1" applyFont="1" applyAlignment="1" applyProtection="1">
      <alignment vertical="center"/>
      <protection hidden="1"/>
    </xf>
    <xf numFmtId="0" fontId="95" fillId="0" borderId="0" xfId="48" applyFont="1" applyAlignment="1" applyProtection="1">
      <alignment vertical="center"/>
      <protection hidden="1"/>
    </xf>
    <xf numFmtId="0" fontId="63" fillId="0" borderId="0" xfId="48" applyFont="1" applyAlignment="1" applyProtection="1">
      <alignment vertical="center"/>
      <protection hidden="1"/>
    </xf>
    <xf numFmtId="0" fontId="65" fillId="0" borderId="0" xfId="48" applyFont="1" applyFill="1" applyBorder="1" applyAlignment="1" applyProtection="1">
      <alignment horizontal="center"/>
      <protection hidden="1"/>
    </xf>
    <xf numFmtId="166" fontId="63" fillId="0" borderId="0" xfId="33" applyNumberFormat="1" applyFont="1" applyFill="1" applyBorder="1" applyProtection="1">
      <protection hidden="1"/>
    </xf>
    <xf numFmtId="170" fontId="96" fillId="0" borderId="0" xfId="54" applyNumberFormat="1" applyFont="1" applyFill="1" applyProtection="1">
      <protection hidden="1"/>
    </xf>
    <xf numFmtId="0" fontId="96" fillId="0" borderId="0" xfId="48" applyFont="1" applyFill="1" applyProtection="1">
      <protection hidden="1"/>
    </xf>
    <xf numFmtId="0" fontId="95" fillId="0" borderId="0" xfId="48" applyFont="1" applyFill="1" applyProtection="1">
      <protection hidden="1"/>
    </xf>
    <xf numFmtId="0" fontId="63" fillId="0" borderId="0" xfId="48" applyFont="1" applyFill="1" applyProtection="1">
      <protection hidden="1"/>
    </xf>
    <xf numFmtId="0" fontId="26" fillId="0" borderId="0" xfId="48" applyFont="1" applyBorder="1" applyAlignment="1" applyProtection="1">
      <alignment horizontal="left" indent="3"/>
      <protection hidden="1"/>
    </xf>
    <xf numFmtId="0" fontId="63" fillId="0" borderId="0" xfId="48" applyFont="1" applyBorder="1" applyProtection="1">
      <protection hidden="1"/>
    </xf>
    <xf numFmtId="0" fontId="26" fillId="0" borderId="0" xfId="48" applyFont="1" applyBorder="1" applyProtection="1">
      <protection hidden="1"/>
    </xf>
    <xf numFmtId="0" fontId="26" fillId="0" borderId="0" xfId="48" applyFont="1" applyBorder="1" applyAlignment="1" applyProtection="1">
      <alignment horizontal="left" indent="1"/>
      <protection hidden="1"/>
    </xf>
    <xf numFmtId="0" fontId="26" fillId="0" borderId="0" xfId="48" applyFont="1" applyBorder="1" applyAlignment="1" applyProtection="1">
      <alignment horizontal="left"/>
      <protection hidden="1"/>
    </xf>
    <xf numFmtId="170" fontId="96" fillId="0" borderId="0" xfId="54" applyNumberFormat="1" applyFont="1" applyProtection="1">
      <protection hidden="1"/>
    </xf>
    <xf numFmtId="0" fontId="96" fillId="0" borderId="0" xfId="48" applyFont="1" applyProtection="1">
      <protection hidden="1"/>
    </xf>
    <xf numFmtId="0" fontId="26" fillId="0" borderId="0" xfId="48" applyFont="1" applyFill="1" applyBorder="1" applyAlignment="1" applyProtection="1">
      <alignment vertical="center"/>
      <protection hidden="1"/>
    </xf>
    <xf numFmtId="0" fontId="66" fillId="0" borderId="0" xfId="48" applyFont="1" applyBorder="1" applyAlignment="1" applyProtection="1">
      <alignment horizontal="center" vertical="center"/>
      <protection hidden="1"/>
    </xf>
    <xf numFmtId="0" fontId="66" fillId="0" borderId="0" xfId="48" applyFont="1" applyBorder="1" applyAlignment="1" applyProtection="1">
      <alignment vertical="center"/>
      <protection hidden="1"/>
    </xf>
    <xf numFmtId="0" fontId="96" fillId="0" borderId="0" xfId="48" applyFont="1" applyAlignment="1" applyProtection="1">
      <alignment vertical="center"/>
      <protection hidden="1"/>
    </xf>
    <xf numFmtId="0" fontId="63" fillId="0" borderId="0" xfId="48" quotePrefix="1" applyFont="1" applyBorder="1" applyAlignment="1" applyProtection="1">
      <alignment horizontal="left" vertical="center" indent="2"/>
      <protection hidden="1"/>
    </xf>
    <xf numFmtId="0" fontId="63" fillId="0" borderId="0" xfId="48" applyFont="1" applyBorder="1" applyAlignment="1" applyProtection="1">
      <alignment horizontal="center" vertical="center"/>
      <protection hidden="1"/>
    </xf>
    <xf numFmtId="0" fontId="63" fillId="0" borderId="0" xfId="48" applyFont="1" applyBorder="1" applyAlignment="1" applyProtection="1">
      <alignment vertical="center"/>
      <protection hidden="1"/>
    </xf>
    <xf numFmtId="166" fontId="26" fillId="0" borderId="0" xfId="33" applyNumberFormat="1" applyFont="1" applyBorder="1" applyAlignment="1" applyProtection="1">
      <alignment horizontal="right" vertical="center"/>
      <protection hidden="1"/>
    </xf>
    <xf numFmtId="0" fontId="26" fillId="0" borderId="0" xfId="48" quotePrefix="1" applyFont="1" applyBorder="1" applyAlignment="1" applyProtection="1">
      <alignment horizontal="left" vertical="center" indent="2"/>
      <protection hidden="1"/>
    </xf>
    <xf numFmtId="0" fontId="67" fillId="0" borderId="0" xfId="48" quotePrefix="1" applyFont="1" applyBorder="1" applyAlignment="1" applyProtection="1">
      <alignment horizontal="left" vertical="center" indent="4"/>
      <protection hidden="1"/>
    </xf>
    <xf numFmtId="43" fontId="26" fillId="0" borderId="0" xfId="33" applyFont="1" applyBorder="1" applyAlignment="1" applyProtection="1">
      <alignment horizontal="right" vertical="center"/>
      <protection hidden="1"/>
    </xf>
    <xf numFmtId="9" fontId="96" fillId="0" borderId="0" xfId="54" applyFont="1" applyAlignment="1" applyProtection="1">
      <alignment vertical="center"/>
      <protection hidden="1"/>
    </xf>
    <xf numFmtId="0" fontId="63" fillId="0" borderId="0" xfId="48" applyFont="1" applyBorder="1" applyAlignment="1" applyProtection="1">
      <alignment horizontal="left" vertical="center" indent="4"/>
      <protection hidden="1"/>
    </xf>
    <xf numFmtId="0" fontId="63" fillId="0" borderId="0" xfId="48" quotePrefix="1" applyFont="1" applyBorder="1" applyAlignment="1" applyProtection="1">
      <alignment horizontal="left" vertical="center" indent="4"/>
      <protection hidden="1"/>
    </xf>
    <xf numFmtId="166" fontId="95" fillId="0" borderId="0" xfId="48" applyNumberFormat="1" applyFont="1" applyProtection="1">
      <protection hidden="1"/>
    </xf>
    <xf numFmtId="0" fontId="63" fillId="0" borderId="0" xfId="48" quotePrefix="1" applyFont="1" applyFill="1" applyBorder="1" applyAlignment="1" applyProtection="1">
      <alignment horizontal="left" vertical="center" indent="4"/>
      <protection hidden="1"/>
    </xf>
    <xf numFmtId="0" fontId="63" fillId="0" borderId="0" xfId="48" applyFont="1" applyFill="1" applyBorder="1" applyAlignment="1" applyProtection="1">
      <alignment vertical="center"/>
      <protection hidden="1"/>
    </xf>
    <xf numFmtId="0" fontId="63" fillId="0" borderId="0" xfId="48" applyFont="1" applyFill="1" applyBorder="1" applyProtection="1">
      <protection hidden="1"/>
    </xf>
    <xf numFmtId="0" fontId="67" fillId="0" borderId="0" xfId="48" quotePrefix="1" applyFont="1" applyFill="1" applyBorder="1" applyAlignment="1" applyProtection="1">
      <alignment horizontal="left" vertical="center" indent="4"/>
      <protection hidden="1"/>
    </xf>
    <xf numFmtId="0" fontId="62" fillId="0" borderId="0" xfId="48" applyFont="1" applyBorder="1" applyAlignment="1" applyProtection="1">
      <alignment horizontal="left" vertical="center" indent="1"/>
      <protection hidden="1"/>
    </xf>
    <xf numFmtId="0" fontId="63" fillId="0" borderId="0" xfId="48" applyFont="1" applyBorder="1" applyAlignment="1" applyProtection="1">
      <alignment horizontal="left" wrapText="1" indent="4"/>
      <protection hidden="1"/>
    </xf>
    <xf numFmtId="166" fontId="97" fillId="0" borderId="0" xfId="33" applyNumberFormat="1" applyFont="1" applyBorder="1" applyAlignment="1" applyProtection="1">
      <alignment horizontal="right" vertical="center"/>
      <protection hidden="1"/>
    </xf>
    <xf numFmtId="0" fontId="95" fillId="0" borderId="0" xfId="48" applyFont="1" applyBorder="1" applyProtection="1">
      <protection hidden="1"/>
    </xf>
    <xf numFmtId="0" fontId="63" fillId="0" borderId="0" xfId="48" applyFont="1" applyBorder="1" applyAlignment="1" applyProtection="1">
      <alignment vertical="center" wrapText="1"/>
      <protection hidden="1"/>
    </xf>
    <xf numFmtId="0" fontId="26" fillId="0" borderId="0" xfId="48" quotePrefix="1" applyFont="1" applyFill="1" applyBorder="1" applyAlignment="1" applyProtection="1">
      <alignment horizontal="left" vertical="center"/>
      <protection hidden="1"/>
    </xf>
    <xf numFmtId="0" fontId="63" fillId="0" borderId="0" xfId="48" applyFont="1" applyFill="1" applyBorder="1" applyAlignment="1" applyProtection="1">
      <alignment horizontal="center" vertical="center"/>
      <protection hidden="1"/>
    </xf>
    <xf numFmtId="0" fontId="95" fillId="0" borderId="0" xfId="48" applyFont="1" applyBorder="1" applyAlignment="1" applyProtection="1">
      <alignment vertical="center"/>
      <protection hidden="1"/>
    </xf>
    <xf numFmtId="170" fontId="63" fillId="0" borderId="0" xfId="54" applyNumberFormat="1" applyFont="1" applyAlignment="1" applyProtection="1">
      <alignment vertical="center"/>
      <protection hidden="1"/>
    </xf>
    <xf numFmtId="0" fontId="67" fillId="0" borderId="0" xfId="48" applyFont="1" applyFill="1" applyBorder="1" applyAlignment="1" applyProtection="1">
      <alignment horizontal="left" vertical="top" indent="4"/>
      <protection hidden="1"/>
    </xf>
    <xf numFmtId="0" fontId="63" fillId="0" borderId="0" xfId="48" applyFont="1" applyFill="1" applyBorder="1" applyAlignment="1" applyProtection="1">
      <alignment horizontal="center" vertical="top"/>
      <protection hidden="1"/>
    </xf>
    <xf numFmtId="0" fontId="63" fillId="0" borderId="0" xfId="48" applyFont="1" applyFill="1" applyBorder="1" applyAlignment="1" applyProtection="1">
      <alignment vertical="top"/>
      <protection hidden="1"/>
    </xf>
    <xf numFmtId="166" fontId="97" fillId="0" borderId="0" xfId="33" applyNumberFormat="1" applyFont="1" applyBorder="1" applyAlignment="1" applyProtection="1">
      <alignment horizontal="right" vertical="top"/>
      <protection hidden="1"/>
    </xf>
    <xf numFmtId="0" fontId="95" fillId="0" borderId="0" xfId="48" applyFont="1" applyBorder="1" applyAlignment="1" applyProtection="1">
      <alignment vertical="top"/>
      <protection hidden="1"/>
    </xf>
    <xf numFmtId="170" fontId="63" fillId="0" borderId="0" xfId="54" applyNumberFormat="1" applyFont="1" applyAlignment="1" applyProtection="1">
      <alignment vertical="top"/>
      <protection hidden="1"/>
    </xf>
    <xf numFmtId="0" fontId="63" fillId="0" borderId="0" xfId="48" applyFont="1" applyAlignment="1" applyProtection="1">
      <alignment vertical="top"/>
      <protection hidden="1"/>
    </xf>
    <xf numFmtId="0" fontId="95" fillId="0" borderId="0" xfId="48" applyFont="1" applyAlignment="1" applyProtection="1">
      <alignment vertical="top"/>
      <protection hidden="1"/>
    </xf>
    <xf numFmtId="0" fontId="63" fillId="0" borderId="0" xfId="48" applyFont="1" applyFill="1" applyBorder="1" applyAlignment="1" applyProtection="1">
      <alignment vertical="center" wrapText="1"/>
      <protection hidden="1"/>
    </xf>
    <xf numFmtId="0" fontId="67" fillId="0" borderId="0" xfId="48" quotePrefix="1" applyFont="1" applyBorder="1" applyAlignment="1" applyProtection="1">
      <alignment vertical="top"/>
      <protection hidden="1"/>
    </xf>
    <xf numFmtId="0" fontId="63" fillId="0" borderId="0" xfId="48" applyFont="1" applyBorder="1" applyAlignment="1" applyProtection="1">
      <alignment vertical="top" wrapText="1"/>
      <protection hidden="1"/>
    </xf>
    <xf numFmtId="166" fontId="98" fillId="0" borderId="0" xfId="33" applyNumberFormat="1" applyFont="1" applyBorder="1" applyAlignment="1" applyProtection="1">
      <alignment vertical="top" shrinkToFit="1"/>
      <protection hidden="1"/>
    </xf>
    <xf numFmtId="43" fontId="99" fillId="0" borderId="0" xfId="33" applyFont="1" applyBorder="1" applyAlignment="1" applyProtection="1">
      <alignment horizontal="left" vertical="top"/>
      <protection hidden="1"/>
    </xf>
    <xf numFmtId="0" fontId="26" fillId="0" borderId="0" xfId="48" applyFont="1" applyBorder="1" applyAlignment="1" applyProtection="1">
      <alignment horizontal="left" vertical="center" indent="1"/>
      <protection hidden="1"/>
    </xf>
    <xf numFmtId="0" fontId="97" fillId="0" borderId="0" xfId="48" applyFont="1" applyAlignment="1" applyProtection="1">
      <alignment vertical="center"/>
      <protection hidden="1"/>
    </xf>
    <xf numFmtId="0" fontId="19" fillId="0" borderId="0" xfId="0" applyFont="1" applyProtection="1">
      <protection hidden="1"/>
    </xf>
    <xf numFmtId="0" fontId="13" fillId="0" borderId="0" xfId="60" applyFont="1" applyFill="1" applyBorder="1"/>
    <xf numFmtId="0" fontId="100" fillId="0" borderId="0" xfId="0" applyFont="1" applyProtection="1">
      <protection hidden="1"/>
    </xf>
    <xf numFmtId="0" fontId="100" fillId="0" borderId="0" xfId="0" applyFont="1" applyFill="1" applyProtection="1">
      <protection hidden="1"/>
    </xf>
    <xf numFmtId="0" fontId="17" fillId="0" borderId="0" xfId="45" applyFont="1" applyBorder="1" applyAlignment="1" applyProtection="1">
      <alignment horizontal="left" vertical="center" indent="2"/>
      <protection hidden="1"/>
    </xf>
    <xf numFmtId="0" fontId="13" fillId="0" borderId="0" xfId="60" applyFont="1" applyFill="1"/>
    <xf numFmtId="0" fontId="0" fillId="0" borderId="40" xfId="0" applyBorder="1" applyProtection="1">
      <protection hidden="1"/>
    </xf>
    <xf numFmtId="166" fontId="14" fillId="0" borderId="33" xfId="29" applyNumberFormat="1" applyFont="1" applyBorder="1" applyProtection="1">
      <protection hidden="1"/>
    </xf>
    <xf numFmtId="0" fontId="0" fillId="0" borderId="34" xfId="0" applyFill="1" applyBorder="1" applyProtection="1">
      <protection hidden="1"/>
    </xf>
    <xf numFmtId="0" fontId="51" fillId="0" borderId="0" xfId="0" applyFont="1" applyFill="1" applyBorder="1" applyAlignment="1" applyProtection="1">
      <alignment horizontal="center"/>
      <protection hidden="1"/>
    </xf>
    <xf numFmtId="166" fontId="14" fillId="0" borderId="35" xfId="29" applyNumberFormat="1" applyFont="1" applyFill="1" applyBorder="1" applyProtection="1">
      <protection hidden="1"/>
    </xf>
    <xf numFmtId="0" fontId="0" fillId="0" borderId="34" xfId="0" applyBorder="1" applyAlignment="1" applyProtection="1">
      <alignment vertical="center"/>
      <protection hidden="1"/>
    </xf>
    <xf numFmtId="166" fontId="14" fillId="0" borderId="35" xfId="29" applyNumberFormat="1" applyFont="1" applyBorder="1" applyAlignment="1" applyProtection="1">
      <alignment vertical="center"/>
      <protection hidden="1"/>
    </xf>
    <xf numFmtId="0" fontId="0" fillId="0" borderId="34" xfId="0" applyBorder="1" applyProtection="1">
      <protection hidden="1"/>
    </xf>
    <xf numFmtId="0" fontId="18" fillId="0" borderId="0" xfId="0" applyFont="1" applyBorder="1" applyAlignment="1" applyProtection="1">
      <alignment horizontal="left" vertical="center" indent="3"/>
      <protection hidden="1"/>
    </xf>
    <xf numFmtId="0" fontId="50" fillId="0" borderId="0" xfId="0" applyFont="1" applyBorder="1" applyAlignment="1" applyProtection="1">
      <alignment vertical="top"/>
      <protection hidden="1"/>
    </xf>
    <xf numFmtId="0" fontId="0" fillId="0" borderId="0" xfId="0" applyFill="1" applyBorder="1" applyAlignment="1" applyProtection="1">
      <alignment shrinkToFit="1"/>
      <protection hidden="1"/>
    </xf>
    <xf numFmtId="0" fontId="15" fillId="0" borderId="0" xfId="0" applyFont="1" applyFill="1" applyBorder="1" applyProtection="1">
      <protection hidden="1"/>
    </xf>
    <xf numFmtId="0" fontId="0" fillId="0" borderId="0" xfId="0" applyFill="1" applyBorder="1" applyProtection="1">
      <protection hidden="1"/>
    </xf>
    <xf numFmtId="0" fontId="101" fillId="0" borderId="0" xfId="0" applyFont="1" applyBorder="1" applyAlignment="1">
      <alignment vertical="center"/>
    </xf>
    <xf numFmtId="0" fontId="15" fillId="0" borderId="0" xfId="0" applyFont="1" applyFill="1" applyBorder="1" applyAlignment="1" applyProtection="1">
      <alignment horizontal="right"/>
      <protection hidden="1"/>
    </xf>
    <xf numFmtId="0" fontId="0" fillId="0" borderId="36" xfId="0" applyBorder="1" applyProtection="1">
      <protection hidden="1"/>
    </xf>
    <xf numFmtId="0" fontId="15" fillId="0" borderId="17" xfId="0" applyFont="1" applyFill="1" applyBorder="1" applyAlignment="1" applyProtection="1">
      <alignment horizontal="right"/>
      <protection hidden="1"/>
    </xf>
    <xf numFmtId="0" fontId="0" fillId="0" borderId="11" xfId="0" applyBorder="1" applyProtection="1">
      <protection hidden="1"/>
    </xf>
    <xf numFmtId="0" fontId="13" fillId="0" borderId="0" xfId="45" applyProtection="1">
      <protection hidden="1"/>
    </xf>
    <xf numFmtId="166" fontId="14" fillId="0" borderId="0" xfId="34" applyNumberFormat="1" applyFont="1" applyProtection="1">
      <protection hidden="1"/>
    </xf>
    <xf numFmtId="0" fontId="13" fillId="0" borderId="27" xfId="45" applyBorder="1" applyProtection="1">
      <protection hidden="1"/>
    </xf>
    <xf numFmtId="0" fontId="14" fillId="0" borderId="0" xfId="0" applyFont="1" applyFill="1" applyBorder="1" applyAlignment="1" applyProtection="1">
      <alignment vertical="center"/>
      <protection hidden="1"/>
    </xf>
    <xf numFmtId="3" fontId="17" fillId="0" borderId="28" xfId="45" applyNumberFormat="1" applyFont="1" applyBorder="1" applyAlignment="1" applyProtection="1">
      <alignment horizontal="center" vertical="center"/>
      <protection hidden="1"/>
    </xf>
    <xf numFmtId="166" fontId="14" fillId="0" borderId="0" xfId="34" applyNumberFormat="1" applyFont="1" applyBorder="1" applyProtection="1">
      <protection hidden="1"/>
    </xf>
    <xf numFmtId="0" fontId="13" fillId="0" borderId="0" xfId="45" applyBorder="1" applyProtection="1">
      <protection hidden="1"/>
    </xf>
    <xf numFmtId="0" fontId="14" fillId="0" borderId="0" xfId="45" applyFont="1" applyBorder="1" applyAlignment="1" applyProtection="1">
      <alignment vertical="center"/>
      <protection hidden="1"/>
    </xf>
    <xf numFmtId="0" fontId="12" fillId="0" borderId="0" xfId="45" applyFont="1" applyBorder="1" applyProtection="1">
      <protection hidden="1"/>
    </xf>
    <xf numFmtId="166" fontId="18" fillId="0" borderId="0" xfId="34" applyNumberFormat="1" applyFont="1" applyBorder="1" applyAlignment="1" applyProtection="1">
      <alignment horizontal="right" vertical="center"/>
      <protection hidden="1"/>
    </xf>
    <xf numFmtId="9" fontId="56" fillId="0" borderId="0" xfId="54" applyFont="1" applyAlignment="1" applyProtection="1">
      <alignment vertical="center"/>
      <protection hidden="1"/>
    </xf>
    <xf numFmtId="0" fontId="14" fillId="0" borderId="0" xfId="45" applyFont="1" applyFill="1" applyBorder="1" applyAlignment="1" applyProtection="1">
      <alignment horizontal="center" vertical="center"/>
      <protection hidden="1"/>
    </xf>
    <xf numFmtId="0" fontId="14" fillId="0" borderId="0" xfId="45" applyFont="1" applyFill="1" applyBorder="1" applyAlignment="1" applyProtection="1">
      <alignment vertical="center"/>
      <protection hidden="1"/>
    </xf>
    <xf numFmtId="0" fontId="12" fillId="0" borderId="0" xfId="45" applyFont="1" applyFill="1" applyBorder="1" applyProtection="1">
      <protection hidden="1"/>
    </xf>
    <xf numFmtId="0" fontId="17" fillId="0" borderId="0" xfId="0" applyFont="1" applyFill="1" applyBorder="1" applyAlignment="1" applyProtection="1">
      <alignment horizontal="center" vertical="center" wrapText="1"/>
      <protection hidden="1"/>
    </xf>
    <xf numFmtId="0" fontId="17" fillId="0" borderId="0" xfId="0" applyFont="1" applyFill="1" applyBorder="1" applyAlignment="1" applyProtection="1">
      <alignment horizontal="center" vertical="center"/>
      <protection hidden="1"/>
    </xf>
    <xf numFmtId="170" fontId="96" fillId="0" borderId="0" xfId="54" applyNumberFormat="1" applyFont="1" applyFill="1" applyAlignment="1" applyProtection="1">
      <alignment vertical="center"/>
      <protection hidden="1"/>
    </xf>
    <xf numFmtId="166" fontId="96" fillId="0" borderId="0" xfId="33" applyNumberFormat="1" applyFont="1" applyFill="1" applyAlignment="1" applyProtection="1">
      <alignment vertical="center"/>
      <protection hidden="1"/>
    </xf>
    <xf numFmtId="0" fontId="95" fillId="0" borderId="0" xfId="48" applyFont="1" applyFill="1" applyAlignment="1" applyProtection="1">
      <alignment vertical="center"/>
      <protection hidden="1"/>
    </xf>
    <xf numFmtId="0" fontId="63" fillId="0" borderId="0" xfId="48" applyFont="1" applyFill="1" applyAlignment="1" applyProtection="1">
      <alignment vertical="center"/>
      <protection hidden="1"/>
    </xf>
    <xf numFmtId="0" fontId="103" fillId="34" borderId="0" xfId="0" applyFont="1" applyFill="1"/>
    <xf numFmtId="0" fontId="103" fillId="34" borderId="18" xfId="0" applyFont="1" applyFill="1" applyBorder="1" applyAlignment="1">
      <alignment vertical="top"/>
    </xf>
    <xf numFmtId="0" fontId="103" fillId="34" borderId="18" xfId="0" applyFont="1" applyFill="1" applyBorder="1"/>
    <xf numFmtId="0" fontId="0" fillId="0" borderId="18" xfId="0" applyBorder="1"/>
    <xf numFmtId="0" fontId="104" fillId="34" borderId="18" xfId="0" applyFont="1" applyFill="1" applyBorder="1"/>
    <xf numFmtId="0" fontId="0" fillId="0" borderId="18" xfId="0" applyBorder="1" applyAlignment="1">
      <alignment vertical="top" wrapText="1"/>
    </xf>
    <xf numFmtId="0" fontId="0" fillId="0" borderId="18" xfId="0" applyFill="1" applyBorder="1" applyAlignment="1">
      <alignment vertical="top" wrapText="1"/>
    </xf>
    <xf numFmtId="0" fontId="105" fillId="27" borderId="0" xfId="44" applyFont="1" applyFill="1"/>
    <xf numFmtId="0" fontId="29" fillId="35" borderId="0" xfId="44" applyFont="1" applyFill="1"/>
    <xf numFmtId="0" fontId="106" fillId="0" borderId="0" xfId="44" applyFont="1" applyBorder="1"/>
    <xf numFmtId="0" fontId="29" fillId="0" borderId="0" xfId="44" applyFont="1" applyAlignment="1">
      <alignment horizontal="center"/>
    </xf>
    <xf numFmtId="0" fontId="106" fillId="0" borderId="0" xfId="44" applyFont="1" applyAlignment="1">
      <alignment horizontal="center"/>
    </xf>
    <xf numFmtId="0" fontId="106" fillId="0" borderId="0" xfId="44" applyFont="1" applyFill="1" applyAlignment="1">
      <alignment horizontal="center"/>
    </xf>
    <xf numFmtId="0" fontId="29" fillId="35" borderId="0" xfId="44" applyFont="1" applyFill="1" applyAlignment="1">
      <alignment horizontal="center"/>
    </xf>
    <xf numFmtId="0" fontId="106" fillId="0" borderId="0" xfId="44" applyFont="1" applyBorder="1" applyAlignment="1">
      <alignment horizontal="center"/>
    </xf>
    <xf numFmtId="0" fontId="106" fillId="27" borderId="41" xfId="44" applyFont="1" applyFill="1" applyBorder="1" applyAlignment="1">
      <alignment horizontal="center" vertical="center"/>
    </xf>
    <xf numFmtId="0" fontId="106" fillId="36" borderId="42" xfId="44" applyFont="1" applyFill="1" applyBorder="1" applyAlignment="1">
      <alignment horizontal="center" vertical="center"/>
    </xf>
    <xf numFmtId="0" fontId="106" fillId="36" borderId="41" xfId="44" applyFont="1" applyFill="1" applyBorder="1" applyAlignment="1">
      <alignment horizontal="center" vertical="center"/>
    </xf>
    <xf numFmtId="0" fontId="29" fillId="0" borderId="0" xfId="44" applyFont="1" applyAlignment="1">
      <alignment vertical="center"/>
    </xf>
    <xf numFmtId="0" fontId="14" fillId="26" borderId="0" xfId="44" applyFont="1" applyFill="1"/>
    <xf numFmtId="0" fontId="106" fillId="0" borderId="18" xfId="44" applyFont="1" applyBorder="1" applyAlignment="1">
      <alignment horizontal="center" vertical="center" wrapText="1"/>
    </xf>
    <xf numFmtId="0" fontId="106" fillId="0" borderId="18" xfId="44" applyFont="1" applyBorder="1"/>
    <xf numFmtId="0" fontId="12" fillId="0" borderId="34" xfId="44" applyFont="1" applyBorder="1" applyAlignment="1">
      <alignment horizontal="center"/>
    </xf>
    <xf numFmtId="166" fontId="12" fillId="0" borderId="43" xfId="29" applyNumberFormat="1" applyFont="1" applyBorder="1" applyAlignment="1">
      <alignment horizontal="center"/>
    </xf>
    <xf numFmtId="166" fontId="12" fillId="37" borderId="43" xfId="29" applyNumberFormat="1" applyFont="1" applyFill="1" applyBorder="1" applyAlignment="1">
      <alignment horizontal="center"/>
    </xf>
    <xf numFmtId="0" fontId="14" fillId="24" borderId="18" xfId="44" applyFont="1" applyFill="1" applyBorder="1" applyAlignment="1">
      <alignment horizontal="center" vertical="center"/>
    </xf>
    <xf numFmtId="3" fontId="14" fillId="24" borderId="18" xfId="30" applyNumberFormat="1" applyFont="1" applyFill="1" applyBorder="1" applyAlignment="1">
      <alignment horizontal="center" vertical="center"/>
    </xf>
    <xf numFmtId="0" fontId="14" fillId="0" borderId="18" xfId="44" applyFont="1" applyBorder="1" applyAlignment="1" applyProtection="1">
      <alignment horizontal="center"/>
    </xf>
    <xf numFmtId="0" fontId="29" fillId="0" borderId="18" xfId="44" applyFont="1" applyBorder="1"/>
    <xf numFmtId="0" fontId="14" fillId="26" borderId="18" xfId="44" applyFont="1" applyFill="1" applyBorder="1" applyAlignment="1">
      <alignment horizontal="center"/>
    </xf>
    <xf numFmtId="3" fontId="106" fillId="0" borderId="18" xfId="44" applyNumberFormat="1" applyFont="1" applyBorder="1" applyAlignment="1">
      <alignment horizontal="center"/>
    </xf>
    <xf numFmtId="43" fontId="106" fillId="0" borderId="18" xfId="29" applyFont="1" applyBorder="1"/>
    <xf numFmtId="43" fontId="106" fillId="0" borderId="18" xfId="44" applyNumberFormat="1" applyFont="1" applyBorder="1"/>
    <xf numFmtId="166" fontId="12" fillId="0" borderId="44" xfId="29" applyNumberFormat="1" applyFont="1" applyBorder="1" applyAlignment="1">
      <alignment horizontal="center"/>
    </xf>
    <xf numFmtId="166" fontId="12" fillId="37" borderId="44" xfId="29" applyNumberFormat="1" applyFont="1" applyFill="1" applyBorder="1" applyAlignment="1">
      <alignment horizontal="center"/>
    </xf>
    <xf numFmtId="0" fontId="106" fillId="0" borderId="18" xfId="44" applyFont="1" applyBorder="1" applyAlignment="1">
      <alignment horizontal="center"/>
    </xf>
    <xf numFmtId="0" fontId="14" fillId="26" borderId="38" xfId="44" applyFont="1" applyFill="1" applyBorder="1" applyAlignment="1">
      <alignment horizontal="center"/>
    </xf>
    <xf numFmtId="4" fontId="14" fillId="24" borderId="18" xfId="30" applyNumberFormat="1" applyFont="1" applyFill="1" applyBorder="1" applyAlignment="1">
      <alignment horizontal="center" vertical="center"/>
    </xf>
    <xf numFmtId="4" fontId="15" fillId="38" borderId="18" xfId="30" applyNumberFormat="1" applyFont="1" applyFill="1" applyBorder="1" applyAlignment="1">
      <alignment horizontal="center" vertical="center"/>
    </xf>
    <xf numFmtId="0" fontId="107" fillId="26" borderId="0" xfId="44" applyFont="1" applyFill="1"/>
    <xf numFmtId="0" fontId="14" fillId="24" borderId="18" xfId="44" applyFont="1" applyFill="1" applyBorder="1" applyAlignment="1">
      <alignment horizontal="center"/>
    </xf>
    <xf numFmtId="0" fontId="14" fillId="26" borderId="0" xfId="44" applyFont="1" applyFill="1" applyAlignment="1">
      <alignment horizontal="right"/>
    </xf>
    <xf numFmtId="0" fontId="29" fillId="39" borderId="18" xfId="44" applyFont="1" applyFill="1" applyBorder="1"/>
    <xf numFmtId="166" fontId="12" fillId="0" borderId="44" xfId="29" applyNumberFormat="1" applyFont="1" applyFill="1" applyBorder="1" applyAlignment="1">
      <alignment horizontal="center"/>
    </xf>
    <xf numFmtId="165" fontId="12" fillId="0" borderId="0" xfId="58" applyNumberFormat="1" applyFont="1" applyProtection="1">
      <protection hidden="1"/>
    </xf>
    <xf numFmtId="0" fontId="12" fillId="0" borderId="0" xfId="58" applyFont="1" applyProtection="1">
      <protection hidden="1"/>
    </xf>
    <xf numFmtId="0" fontId="12" fillId="0" borderId="36" xfId="44" applyFont="1" applyBorder="1" applyAlignment="1">
      <alignment horizontal="center"/>
    </xf>
    <xf numFmtId="166" fontId="12" fillId="0" borderId="45" xfId="29" applyNumberFormat="1" applyFont="1" applyBorder="1" applyAlignment="1">
      <alignment horizontal="center"/>
    </xf>
    <xf numFmtId="166" fontId="12" fillId="0" borderId="45" xfId="29" applyNumberFormat="1" applyFont="1" applyFill="1" applyBorder="1" applyAlignment="1">
      <alignment horizontal="center"/>
    </xf>
    <xf numFmtId="0" fontId="106" fillId="0" borderId="0" xfId="44" applyFont="1"/>
    <xf numFmtId="0" fontId="29" fillId="27" borderId="41" xfId="44" applyFont="1" applyFill="1" applyBorder="1" applyAlignment="1">
      <alignment horizontal="center" vertical="center"/>
    </xf>
    <xf numFmtId="166" fontId="29" fillId="37" borderId="0" xfId="29" applyNumberFormat="1" applyFont="1" applyFill="1"/>
    <xf numFmtId="167" fontId="12" fillId="37" borderId="43" xfId="30" applyNumberFormat="1" applyFont="1" applyFill="1" applyBorder="1" applyAlignment="1">
      <alignment horizontal="center"/>
    </xf>
    <xf numFmtId="167" fontId="12" fillId="37" borderId="44" xfId="30" applyNumberFormat="1" applyFont="1" applyFill="1" applyBorder="1" applyAlignment="1">
      <alignment horizontal="center"/>
    </xf>
    <xf numFmtId="3" fontId="14" fillId="24" borderId="18" xfId="30" applyNumberFormat="1" applyFont="1" applyFill="1" applyBorder="1" applyAlignment="1">
      <alignment horizontal="left" vertical="center"/>
    </xf>
    <xf numFmtId="166" fontId="12" fillId="37" borderId="45" xfId="29" applyNumberFormat="1" applyFont="1" applyFill="1" applyBorder="1" applyAlignment="1">
      <alignment horizontal="center"/>
    </xf>
    <xf numFmtId="167" fontId="12" fillId="37" borderId="45" xfId="30" applyNumberFormat="1" applyFont="1" applyFill="1" applyBorder="1" applyAlignment="1">
      <alignment horizontal="center"/>
    </xf>
    <xf numFmtId="0" fontId="106" fillId="0" borderId="0" xfId="44" applyFont="1" applyFill="1"/>
    <xf numFmtId="0" fontId="0" fillId="0" borderId="0" xfId="0" applyAlignment="1">
      <alignment vertical="top"/>
    </xf>
    <xf numFmtId="0" fontId="103" fillId="34" borderId="0" xfId="0" applyFont="1" applyFill="1" applyAlignment="1">
      <alignment vertical="top"/>
    </xf>
    <xf numFmtId="0" fontId="103" fillId="34" borderId="0" xfId="0" applyFont="1" applyFill="1" applyAlignment="1">
      <alignment horizontal="center" vertical="top"/>
    </xf>
    <xf numFmtId="0" fontId="103" fillId="34" borderId="0" xfId="0" applyFont="1" applyFill="1" applyAlignment="1">
      <alignment vertical="top" wrapText="1"/>
    </xf>
    <xf numFmtId="0" fontId="103" fillId="34" borderId="0" xfId="0" applyFont="1" applyFill="1" applyBorder="1"/>
    <xf numFmtId="0" fontId="0" fillId="0" borderId="18" xfId="0" applyBorder="1" applyAlignment="1">
      <alignment wrapText="1"/>
    </xf>
    <xf numFmtId="0" fontId="0" fillId="0" borderId="0" xfId="0" applyAlignment="1">
      <alignment horizontal="center"/>
    </xf>
    <xf numFmtId="0" fontId="0" fillId="0" borderId="0" xfId="0" applyBorder="1"/>
    <xf numFmtId="9" fontId="0" fillId="0" borderId="0" xfId="53" applyNumberFormat="1" applyFont="1"/>
    <xf numFmtId="4" fontId="71" fillId="0" borderId="0" xfId="0" applyNumberFormat="1" applyFont="1" applyFill="1" applyBorder="1" applyAlignment="1" applyProtection="1">
      <alignment horizontal="right" vertical="center"/>
      <protection hidden="1"/>
    </xf>
    <xf numFmtId="4" fontId="71" fillId="0" borderId="17" xfId="0" applyNumberFormat="1" applyFont="1" applyFill="1" applyBorder="1" applyAlignment="1" applyProtection="1">
      <alignment horizontal="right" vertical="center"/>
      <protection hidden="1"/>
    </xf>
    <xf numFmtId="4" fontId="26" fillId="0" borderId="0" xfId="0" applyNumberFormat="1" applyFont="1" applyFill="1" applyBorder="1" applyAlignment="1" applyProtection="1">
      <alignment horizontal="right" vertical="center"/>
      <protection hidden="1"/>
    </xf>
    <xf numFmtId="4" fontId="26" fillId="0" borderId="17" xfId="0" applyNumberFormat="1" applyFont="1" applyFill="1" applyBorder="1" applyAlignment="1" applyProtection="1">
      <alignment horizontal="right" vertical="center"/>
      <protection hidden="1"/>
    </xf>
    <xf numFmtId="43" fontId="14" fillId="0" borderId="32" xfId="29" applyFont="1" applyBorder="1" applyProtection="1">
      <protection hidden="1"/>
    </xf>
    <xf numFmtId="43" fontId="14" fillId="0" borderId="0" xfId="29" applyFont="1" applyBorder="1" applyProtection="1">
      <protection hidden="1"/>
    </xf>
    <xf numFmtId="43" fontId="14" fillId="0" borderId="0" xfId="29" applyFont="1" applyBorder="1" applyAlignment="1" applyProtection="1">
      <alignment vertical="center"/>
      <protection hidden="1"/>
    </xf>
    <xf numFmtId="43" fontId="14" fillId="0" borderId="0" xfId="29" applyFont="1" applyFill="1" applyBorder="1" applyProtection="1">
      <protection hidden="1"/>
    </xf>
    <xf numFmtId="43" fontId="14" fillId="0" borderId="17" xfId="29" applyFont="1" applyBorder="1" applyProtection="1">
      <protection hidden="1"/>
    </xf>
    <xf numFmtId="43" fontId="14" fillId="0" borderId="0" xfId="29" applyFont="1" applyProtection="1">
      <protection hidden="1"/>
    </xf>
    <xf numFmtId="0" fontId="111" fillId="0" borderId="0" xfId="49" applyFont="1"/>
    <xf numFmtId="0" fontId="112" fillId="0" borderId="0" xfId="49" applyFont="1"/>
    <xf numFmtId="0" fontId="112" fillId="0" borderId="0" xfId="49" applyFont="1" applyFill="1"/>
    <xf numFmtId="0" fontId="112" fillId="41" borderId="0" xfId="44" applyFont="1" applyFill="1"/>
    <xf numFmtId="0" fontId="112" fillId="0" borderId="0" xfId="44" applyFont="1"/>
    <xf numFmtId="0" fontId="112" fillId="0" borderId="0" xfId="44" applyFont="1" applyFill="1"/>
    <xf numFmtId="0" fontId="112" fillId="42" borderId="0" xfId="44" applyFont="1" applyFill="1"/>
    <xf numFmtId="0" fontId="112" fillId="37" borderId="0" xfId="44" applyFont="1" applyFill="1"/>
    <xf numFmtId="0" fontId="112" fillId="43" borderId="0" xfId="44" applyFont="1" applyFill="1"/>
    <xf numFmtId="0" fontId="112" fillId="44" borderId="0" xfId="44" applyFont="1" applyFill="1"/>
    <xf numFmtId="0" fontId="112" fillId="45" borderId="0" xfId="44" applyFont="1" applyFill="1"/>
    <xf numFmtId="164" fontId="112" fillId="45" borderId="0" xfId="32" applyFont="1" applyFill="1" applyBorder="1" applyAlignment="1">
      <alignment horizontal="center" vertical="center"/>
    </xf>
    <xf numFmtId="0" fontId="112" fillId="45" borderId="0" xfId="49" applyFont="1" applyFill="1"/>
    <xf numFmtId="0" fontId="113" fillId="0" borderId="0" xfId="48" applyFont="1" applyAlignment="1">
      <alignment horizontal="left" indent="2"/>
    </xf>
    <xf numFmtId="0" fontId="72" fillId="0" borderId="0" xfId="48" applyFont="1"/>
    <xf numFmtId="0" fontId="114" fillId="0" borderId="0" xfId="48" applyFont="1" applyAlignment="1">
      <alignment horizontal="left" indent="2"/>
    </xf>
    <xf numFmtId="0" fontId="72" fillId="0" borderId="0" xfId="48" applyFont="1" applyAlignment="1">
      <alignment horizontal="left" indent="2"/>
    </xf>
    <xf numFmtId="0" fontId="72" fillId="0" borderId="18" xfId="48" applyFont="1" applyBorder="1" applyAlignment="1">
      <alignment horizontal="center"/>
    </xf>
    <xf numFmtId="0" fontId="112" fillId="46" borderId="0" xfId="49" applyFont="1" applyFill="1"/>
    <xf numFmtId="0" fontId="112" fillId="46" borderId="0" xfId="44" applyFont="1" applyFill="1"/>
    <xf numFmtId="43" fontId="112" fillId="46" borderId="0" xfId="29" applyFont="1" applyFill="1"/>
    <xf numFmtId="0" fontId="17" fillId="0" borderId="0" xfId="0" applyFont="1" applyBorder="1" applyAlignment="1" applyProtection="1">
      <alignment horizontal="left" vertical="center"/>
      <protection hidden="1"/>
    </xf>
    <xf numFmtId="166" fontId="14" fillId="0" borderId="0" xfId="33" applyNumberFormat="1" applyFont="1" applyAlignment="1" applyProtection="1">
      <alignment vertical="center"/>
      <protection hidden="1"/>
    </xf>
    <xf numFmtId="166" fontId="115" fillId="0" borderId="0" xfId="33" applyNumberFormat="1" applyFont="1" applyBorder="1" applyAlignment="1" applyProtection="1">
      <alignment horizontal="right" vertical="center"/>
      <protection hidden="1"/>
    </xf>
    <xf numFmtId="0" fontId="95" fillId="0" borderId="0" xfId="0" applyFont="1" applyAlignment="1" applyProtection="1">
      <alignment vertical="center"/>
      <protection hidden="1"/>
    </xf>
    <xf numFmtId="0" fontId="63" fillId="0" borderId="0" xfId="0" applyFont="1" applyAlignment="1" applyProtection="1">
      <alignment vertical="center"/>
      <protection hidden="1"/>
    </xf>
    <xf numFmtId="43" fontId="22" fillId="0" borderId="0" xfId="33" applyNumberFormat="1" applyFont="1" applyAlignment="1" applyProtection="1">
      <alignment vertical="center"/>
      <protection hidden="1"/>
    </xf>
    <xf numFmtId="0" fontId="13" fillId="0" borderId="40" xfId="45" applyBorder="1" applyProtection="1">
      <protection hidden="1"/>
    </xf>
    <xf numFmtId="0" fontId="13" fillId="0" borderId="32" xfId="45" applyBorder="1" applyProtection="1">
      <protection hidden="1"/>
    </xf>
    <xf numFmtId="0" fontId="13" fillId="0" borderId="33" xfId="45" applyBorder="1" applyProtection="1">
      <protection hidden="1"/>
    </xf>
    <xf numFmtId="0" fontId="12" fillId="0" borderId="0" xfId="45" applyFont="1" applyProtection="1">
      <protection hidden="1"/>
    </xf>
    <xf numFmtId="0" fontId="13" fillId="0" borderId="34" xfId="45" applyBorder="1" applyProtection="1">
      <protection hidden="1"/>
    </xf>
    <xf numFmtId="166" fontId="14" fillId="0" borderId="35" xfId="34" applyNumberFormat="1" applyFont="1" applyBorder="1" applyProtection="1">
      <protection hidden="1"/>
    </xf>
    <xf numFmtId="0" fontId="14" fillId="0" borderId="0" xfId="45" applyFont="1" applyProtection="1">
      <protection hidden="1"/>
    </xf>
    <xf numFmtId="1" fontId="14" fillId="0" borderId="0" xfId="45" applyNumberFormat="1" applyFont="1" applyProtection="1">
      <protection hidden="1"/>
    </xf>
    <xf numFmtId="0" fontId="13" fillId="0" borderId="0" xfId="45" applyFill="1" applyProtection="1">
      <protection hidden="1"/>
    </xf>
    <xf numFmtId="0" fontId="13" fillId="0" borderId="34" xfId="45" applyFill="1" applyBorder="1" applyProtection="1">
      <protection hidden="1"/>
    </xf>
    <xf numFmtId="0" fontId="51" fillId="0" borderId="0" xfId="45" applyFont="1" applyFill="1" applyBorder="1" applyAlignment="1" applyProtection="1">
      <alignment horizontal="center"/>
      <protection hidden="1"/>
    </xf>
    <xf numFmtId="166" fontId="14" fillId="0" borderId="35" xfId="34" applyNumberFormat="1" applyFont="1" applyFill="1" applyBorder="1" applyProtection="1">
      <protection hidden="1"/>
    </xf>
    <xf numFmtId="166" fontId="14" fillId="0" borderId="0" xfId="34" applyNumberFormat="1" applyFont="1" applyFill="1" applyProtection="1">
      <protection hidden="1"/>
    </xf>
    <xf numFmtId="0" fontId="14" fillId="0" borderId="0" xfId="45" applyFont="1" applyFill="1" applyProtection="1">
      <protection hidden="1"/>
    </xf>
    <xf numFmtId="0" fontId="18" fillId="0" borderId="0" xfId="45" applyFont="1" applyBorder="1" applyAlignment="1" applyProtection="1">
      <alignment horizontal="left" indent="3"/>
      <protection hidden="1"/>
    </xf>
    <xf numFmtId="0" fontId="18" fillId="0" borderId="0" xfId="45" applyFont="1" applyBorder="1" applyProtection="1">
      <protection hidden="1"/>
    </xf>
    <xf numFmtId="0" fontId="15" fillId="0" borderId="0" xfId="45" applyFont="1" applyBorder="1" applyProtection="1">
      <protection hidden="1"/>
    </xf>
    <xf numFmtId="0" fontId="18" fillId="0" borderId="0" xfId="45" applyFont="1" applyBorder="1" applyAlignment="1" applyProtection="1">
      <alignment horizontal="left" indent="1"/>
      <protection hidden="1"/>
    </xf>
    <xf numFmtId="0" fontId="18" fillId="0" borderId="0" xfId="45" applyFont="1" applyBorder="1" applyAlignment="1" applyProtection="1">
      <alignment horizontal="left"/>
      <protection hidden="1"/>
    </xf>
    <xf numFmtId="0" fontId="14" fillId="0" borderId="0" xfId="45" applyFont="1" applyBorder="1" applyProtection="1">
      <protection hidden="1"/>
    </xf>
    <xf numFmtId="0" fontId="12" fillId="0" borderId="24" xfId="45" applyFont="1" applyFill="1" applyBorder="1" applyProtection="1">
      <protection hidden="1"/>
    </xf>
    <xf numFmtId="0" fontId="13" fillId="0" borderId="26" xfId="45" applyBorder="1" applyProtection="1">
      <protection hidden="1"/>
    </xf>
    <xf numFmtId="0" fontId="14" fillId="0" borderId="27" xfId="45" applyFont="1" applyBorder="1" applyProtection="1">
      <protection hidden="1"/>
    </xf>
    <xf numFmtId="0" fontId="14" fillId="0" borderId="28" xfId="45" applyFont="1" applyBorder="1" applyProtection="1">
      <protection hidden="1"/>
    </xf>
    <xf numFmtId="0" fontId="13" fillId="0" borderId="28" xfId="45" applyBorder="1" applyProtection="1">
      <protection hidden="1"/>
    </xf>
    <xf numFmtId="3" fontId="18" fillId="0" borderId="0" xfId="45" applyNumberFormat="1" applyFont="1" applyBorder="1" applyAlignment="1" applyProtection="1">
      <alignment horizontal="right" vertical="center" wrapText="1"/>
      <protection hidden="1"/>
    </xf>
    <xf numFmtId="0" fontId="18" fillId="0" borderId="0" xfId="45" applyFont="1" applyBorder="1" applyAlignment="1" applyProtection="1">
      <alignment horizontal="right" vertical="center" wrapText="1"/>
      <protection hidden="1"/>
    </xf>
    <xf numFmtId="3" fontId="18" fillId="0" borderId="0" xfId="45" applyNumberFormat="1" applyFont="1" applyBorder="1" applyAlignment="1" applyProtection="1">
      <alignment horizontal="right" vertical="center"/>
      <protection hidden="1"/>
    </xf>
    <xf numFmtId="166" fontId="14" fillId="0" borderId="35" xfId="34" applyNumberFormat="1" applyFont="1" applyBorder="1" applyAlignment="1" applyProtection="1">
      <alignment vertical="center"/>
      <protection hidden="1"/>
    </xf>
    <xf numFmtId="166" fontId="14" fillId="0" borderId="0" xfId="34" applyNumberFormat="1" applyFont="1" applyAlignment="1" applyProtection="1">
      <alignment vertical="center"/>
      <protection hidden="1"/>
    </xf>
    <xf numFmtId="0" fontId="14" fillId="0" borderId="27" xfId="45" applyFont="1" applyBorder="1" applyAlignment="1" applyProtection="1">
      <alignment vertical="center"/>
      <protection hidden="1"/>
    </xf>
    <xf numFmtId="1" fontId="14" fillId="0" borderId="28" xfId="45" applyNumberFormat="1" applyFont="1" applyBorder="1" applyAlignment="1" applyProtection="1">
      <alignment vertical="center"/>
      <protection hidden="1"/>
    </xf>
    <xf numFmtId="1" fontId="13" fillId="0" borderId="28" xfId="45" applyNumberFormat="1" applyBorder="1" applyAlignment="1" applyProtection="1">
      <alignment horizontal="center" vertical="center"/>
      <protection hidden="1"/>
    </xf>
    <xf numFmtId="9" fontId="56" fillId="0" borderId="35" xfId="54" applyFont="1" applyBorder="1" applyAlignment="1" applyProtection="1">
      <alignment vertical="center"/>
      <protection hidden="1"/>
    </xf>
    <xf numFmtId="166" fontId="56" fillId="0" borderId="0" xfId="34" applyNumberFormat="1" applyFont="1" applyAlignment="1" applyProtection="1">
      <alignment vertical="center"/>
      <protection hidden="1"/>
    </xf>
    <xf numFmtId="0" fontId="14" fillId="0" borderId="29" xfId="45" applyFont="1" applyBorder="1" applyAlignment="1" applyProtection="1">
      <alignment vertical="center"/>
      <protection hidden="1"/>
    </xf>
    <xf numFmtId="0" fontId="14" fillId="0" borderId="30" xfId="45" applyFont="1" applyBorder="1" applyAlignment="1" applyProtection="1">
      <alignment vertical="center"/>
      <protection hidden="1"/>
    </xf>
    <xf numFmtId="0" fontId="27" fillId="0" borderId="18" xfId="45" applyFont="1" applyBorder="1" applyAlignment="1" applyProtection="1">
      <alignment horizontal="center"/>
      <protection hidden="1"/>
    </xf>
    <xf numFmtId="0" fontId="12" fillId="46" borderId="18" xfId="45" applyFont="1" applyFill="1" applyBorder="1" applyProtection="1">
      <protection hidden="1"/>
    </xf>
    <xf numFmtId="3" fontId="13" fillId="46" borderId="18" xfId="45" applyNumberFormat="1" applyFill="1" applyBorder="1" applyProtection="1">
      <protection hidden="1"/>
    </xf>
    <xf numFmtId="0" fontId="14" fillId="0" borderId="28" xfId="45" applyFont="1" applyBorder="1" applyAlignment="1" applyProtection="1">
      <alignment vertical="center"/>
      <protection hidden="1"/>
    </xf>
    <xf numFmtId="0" fontId="17" fillId="0" borderId="27" xfId="45" applyFont="1" applyFill="1" applyBorder="1" applyAlignment="1" applyProtection="1">
      <alignment horizontal="left" vertical="center" indent="2"/>
      <protection hidden="1"/>
    </xf>
    <xf numFmtId="0" fontId="24" fillId="0" borderId="0" xfId="45" applyFont="1" applyFill="1" applyBorder="1" applyAlignment="1" applyProtection="1">
      <alignment horizontal="center" vertical="center"/>
      <protection hidden="1"/>
    </xf>
    <xf numFmtId="0" fontId="24" fillId="0" borderId="0" xfId="45" applyFont="1" applyFill="1" applyBorder="1" applyAlignment="1" applyProtection="1">
      <alignment vertical="center"/>
      <protection hidden="1"/>
    </xf>
    <xf numFmtId="0" fontId="24" fillId="0" borderId="28" xfId="45" applyFont="1" applyFill="1" applyBorder="1" applyAlignment="1" applyProtection="1">
      <alignment vertical="center"/>
      <protection hidden="1"/>
    </xf>
    <xf numFmtId="0" fontId="14" fillId="0" borderId="28" xfId="45" applyFont="1" applyFill="1" applyBorder="1" applyAlignment="1" applyProtection="1">
      <alignment vertical="center"/>
      <protection hidden="1"/>
    </xf>
    <xf numFmtId="3" fontId="12" fillId="46" borderId="18" xfId="45" applyNumberFormat="1" applyFont="1" applyFill="1" applyBorder="1" applyProtection="1">
      <protection hidden="1"/>
    </xf>
    <xf numFmtId="0" fontId="12" fillId="47" borderId="18" xfId="45" applyFont="1" applyFill="1" applyBorder="1" applyProtection="1">
      <protection hidden="1"/>
    </xf>
    <xf numFmtId="3" fontId="13" fillId="47" borderId="18" xfId="45" applyNumberFormat="1" applyFill="1" applyBorder="1" applyProtection="1">
      <protection hidden="1"/>
    </xf>
    <xf numFmtId="3" fontId="13" fillId="0" borderId="0" xfId="45" applyNumberFormat="1" applyProtection="1">
      <protection hidden="1"/>
    </xf>
    <xf numFmtId="3" fontId="12" fillId="0" borderId="0" xfId="45" applyNumberFormat="1" applyFont="1" applyProtection="1">
      <protection hidden="1"/>
    </xf>
    <xf numFmtId="0" fontId="14" fillId="0" borderId="0" xfId="45" applyFont="1" applyAlignment="1" applyProtection="1">
      <alignment vertical="center"/>
      <protection hidden="1"/>
    </xf>
    <xf numFmtId="0" fontId="14" fillId="0" borderId="24" xfId="45" applyFont="1" applyBorder="1" applyAlignment="1" applyProtection="1">
      <alignment vertical="center"/>
      <protection hidden="1"/>
    </xf>
    <xf numFmtId="0" fontId="14" fillId="0" borderId="26" xfId="45" applyFont="1" applyBorder="1" applyAlignment="1" applyProtection="1">
      <alignment vertical="center"/>
      <protection hidden="1"/>
    </xf>
    <xf numFmtId="0" fontId="13" fillId="0" borderId="25" xfId="45" applyBorder="1" applyProtection="1">
      <protection hidden="1"/>
    </xf>
    <xf numFmtId="10" fontId="56" fillId="0" borderId="35" xfId="54" applyNumberFormat="1" applyFont="1" applyBorder="1" applyAlignment="1" applyProtection="1">
      <alignment vertical="center"/>
      <protection hidden="1"/>
    </xf>
    <xf numFmtId="0" fontId="12" fillId="0" borderId="27" xfId="45" applyFont="1" applyBorder="1" applyProtection="1">
      <protection hidden="1"/>
    </xf>
    <xf numFmtId="0" fontId="12" fillId="0" borderId="28" xfId="45" applyFont="1" applyBorder="1" applyProtection="1">
      <protection hidden="1"/>
    </xf>
    <xf numFmtId="1" fontId="14" fillId="0" borderId="26" xfId="45" applyNumberFormat="1" applyFont="1" applyBorder="1" applyAlignment="1" applyProtection="1">
      <alignment vertical="center"/>
      <protection hidden="1"/>
    </xf>
    <xf numFmtId="0" fontId="16" fillId="0" borderId="0" xfId="45" applyFont="1" applyProtection="1">
      <protection hidden="1"/>
    </xf>
    <xf numFmtId="9" fontId="24" fillId="0" borderId="35" xfId="54" applyFont="1" applyBorder="1" applyAlignment="1" applyProtection="1">
      <alignment vertical="center"/>
      <protection hidden="1"/>
    </xf>
    <xf numFmtId="0" fontId="13" fillId="0" borderId="29" xfId="45" applyBorder="1" applyProtection="1">
      <protection hidden="1"/>
    </xf>
    <xf numFmtId="0" fontId="13" fillId="0" borderId="30" xfId="45" applyBorder="1" applyProtection="1">
      <protection hidden="1"/>
    </xf>
    <xf numFmtId="0" fontId="13" fillId="0" borderId="24" xfId="45" applyBorder="1" applyProtection="1">
      <protection hidden="1"/>
    </xf>
    <xf numFmtId="9" fontId="24" fillId="0" borderId="35" xfId="54" applyFont="1" applyFill="1" applyBorder="1" applyAlignment="1" applyProtection="1">
      <alignment vertical="center"/>
      <protection hidden="1"/>
    </xf>
    <xf numFmtId="0" fontId="17" fillId="0" borderId="29" xfId="45" applyFont="1" applyFill="1" applyBorder="1" applyAlignment="1" applyProtection="1">
      <alignment horizontal="left" vertical="center" indent="2"/>
      <protection hidden="1"/>
    </xf>
    <xf numFmtId="0" fontId="14" fillId="0" borderId="31" xfId="45" applyFont="1" applyFill="1" applyBorder="1" applyAlignment="1" applyProtection="1">
      <alignment horizontal="center" vertical="center"/>
      <protection hidden="1"/>
    </xf>
    <xf numFmtId="0" fontId="14" fillId="0" borderId="31" xfId="45" applyFont="1" applyFill="1" applyBorder="1" applyAlignment="1" applyProtection="1">
      <alignment vertical="center"/>
      <protection hidden="1"/>
    </xf>
    <xf numFmtId="0" fontId="12" fillId="0" borderId="31" xfId="45" applyFont="1" applyFill="1" applyBorder="1" applyProtection="1">
      <protection hidden="1"/>
    </xf>
    <xf numFmtId="0" fontId="14" fillId="0" borderId="30" xfId="45" applyFont="1" applyFill="1" applyBorder="1" applyAlignment="1" applyProtection="1">
      <alignment vertical="center"/>
      <protection hidden="1"/>
    </xf>
    <xf numFmtId="0" fontId="14" fillId="0" borderId="0" xfId="45" applyFont="1" applyAlignment="1" applyProtection="1">
      <alignment vertical="center" wrapText="1"/>
      <protection hidden="1"/>
    </xf>
    <xf numFmtId="0" fontId="14" fillId="0" borderId="0" xfId="45" applyFont="1" applyFill="1" applyAlignment="1" applyProtection="1">
      <alignment vertical="center" wrapText="1"/>
      <protection hidden="1"/>
    </xf>
    <xf numFmtId="0" fontId="15" fillId="0" borderId="0" xfId="45" applyFont="1" applyProtection="1">
      <protection hidden="1"/>
    </xf>
    <xf numFmtId="0" fontId="14" fillId="0" borderId="0" xfId="45" applyFont="1" applyFill="1" applyAlignment="1" applyProtection="1">
      <alignment wrapText="1"/>
      <protection hidden="1"/>
    </xf>
    <xf numFmtId="0" fontId="17" fillId="0" borderId="0" xfId="45" applyFont="1" applyBorder="1" applyAlignment="1" applyProtection="1">
      <alignment horizontal="left" vertical="top" indent="2"/>
      <protection hidden="1"/>
    </xf>
    <xf numFmtId="0" fontId="17" fillId="0" borderId="17" xfId="45" applyFont="1" applyFill="1" applyBorder="1" applyAlignment="1" applyProtection="1">
      <alignment vertical="top" wrapText="1"/>
      <protection hidden="1"/>
    </xf>
    <xf numFmtId="0" fontId="14" fillId="0" borderId="35" xfId="45" applyFont="1" applyBorder="1" applyProtection="1">
      <protection hidden="1"/>
    </xf>
    <xf numFmtId="0" fontId="13" fillId="0" borderId="36" xfId="45" applyBorder="1" applyProtection="1">
      <protection hidden="1"/>
    </xf>
    <xf numFmtId="0" fontId="18" fillId="0" borderId="17" xfId="45" applyFont="1" applyFill="1" applyBorder="1" applyProtection="1">
      <protection hidden="1"/>
    </xf>
    <xf numFmtId="0" fontId="14" fillId="0" borderId="17" xfId="45" applyFont="1" applyFill="1" applyBorder="1" applyProtection="1">
      <protection hidden="1"/>
    </xf>
    <xf numFmtId="0" fontId="15" fillId="0" borderId="17" xfId="45" applyFont="1" applyFill="1" applyBorder="1" applyProtection="1">
      <protection hidden="1"/>
    </xf>
    <xf numFmtId="0" fontId="13" fillId="0" borderId="17" xfId="45" applyFill="1" applyBorder="1" applyProtection="1">
      <protection hidden="1"/>
    </xf>
    <xf numFmtId="0" fontId="14" fillId="0" borderId="11" xfId="45" applyFont="1" applyBorder="1" applyProtection="1">
      <protection hidden="1"/>
    </xf>
    <xf numFmtId="0" fontId="13" fillId="0" borderId="37" xfId="45" applyBorder="1" applyAlignment="1" applyProtection="1">
      <alignment vertical="center"/>
      <protection hidden="1"/>
    </xf>
    <xf numFmtId="0" fontId="111" fillId="0" borderId="37" xfId="45" applyFont="1" applyBorder="1" applyAlignment="1" applyProtection="1">
      <alignment vertical="center"/>
      <protection hidden="1"/>
    </xf>
    <xf numFmtId="0" fontId="18" fillId="0" borderId="37" xfId="45" applyFont="1" applyBorder="1" applyAlignment="1" applyProtection="1">
      <alignment vertical="center"/>
      <protection hidden="1"/>
    </xf>
    <xf numFmtId="0" fontId="15" fillId="0" borderId="37" xfId="45" applyFont="1" applyBorder="1" applyAlignment="1" applyProtection="1">
      <alignment vertical="center"/>
      <protection hidden="1"/>
    </xf>
    <xf numFmtId="0" fontId="18" fillId="0" borderId="37" xfId="45" applyFont="1" applyBorder="1" applyAlignment="1" applyProtection="1">
      <alignment horizontal="left" vertical="center"/>
      <protection hidden="1"/>
    </xf>
    <xf numFmtId="0" fontId="14" fillId="0" borderId="38" xfId="45" applyFont="1" applyBorder="1" applyAlignment="1" applyProtection="1">
      <alignment vertical="center"/>
      <protection hidden="1"/>
    </xf>
    <xf numFmtId="0" fontId="18" fillId="0" borderId="39" xfId="45" applyFont="1" applyBorder="1" applyAlignment="1" applyProtection="1">
      <alignment horizontal="left" vertical="center" indent="2"/>
      <protection hidden="1"/>
    </xf>
    <xf numFmtId="1" fontId="0" fillId="0" borderId="0" xfId="0" applyNumberFormat="1"/>
    <xf numFmtId="0" fontId="50" fillId="0" borderId="0" xfId="0" applyFont="1" applyBorder="1" applyAlignment="1" applyProtection="1">
      <alignment vertical="center" wrapText="1"/>
      <protection hidden="1"/>
    </xf>
    <xf numFmtId="0" fontId="50" fillId="0" borderId="28" xfId="0" applyFont="1" applyBorder="1" applyAlignment="1" applyProtection="1">
      <alignment vertical="center" wrapText="1"/>
      <protection hidden="1"/>
    </xf>
    <xf numFmtId="0" fontId="17" fillId="0" borderId="0" xfId="45" applyFont="1" applyBorder="1" applyAlignment="1" applyProtection="1">
      <alignment horizontal="left" vertical="center"/>
      <protection hidden="1"/>
    </xf>
    <xf numFmtId="49" fontId="17" fillId="0" borderId="0" xfId="45" applyNumberFormat="1" applyFont="1" applyBorder="1" applyAlignment="1" applyProtection="1">
      <alignment horizontal="left" vertical="center"/>
      <protection hidden="1"/>
    </xf>
    <xf numFmtId="0" fontId="57" fillId="0" borderId="0" xfId="0" applyFont="1" applyAlignment="1" applyProtection="1">
      <alignment horizontal="left"/>
      <protection hidden="1"/>
    </xf>
    <xf numFmtId="0" fontId="12" fillId="0" borderId="0" xfId="0" quotePrefix="1" applyFont="1" applyAlignment="1" applyProtection="1">
      <alignment horizontal="left" indent="3"/>
      <protection hidden="1"/>
    </xf>
    <xf numFmtId="0" fontId="10" fillId="0" borderId="0" xfId="0" applyFont="1" applyAlignment="1" applyProtection="1">
      <alignment horizontal="left"/>
      <protection hidden="1"/>
    </xf>
    <xf numFmtId="0" fontId="0" fillId="0" borderId="0" xfId="0" quotePrefix="1" applyAlignment="1" applyProtection="1">
      <alignment horizontal="left" indent="5"/>
      <protection hidden="1"/>
    </xf>
    <xf numFmtId="0" fontId="76" fillId="28" borderId="0" xfId="59" applyFont="1" applyFill="1" applyAlignment="1">
      <alignment vertical="center"/>
    </xf>
    <xf numFmtId="0" fontId="118" fillId="28" borderId="0" xfId="59" applyFont="1" applyFill="1" applyAlignment="1">
      <alignment vertical="center"/>
    </xf>
    <xf numFmtId="164" fontId="118" fillId="28" borderId="0" xfId="59" applyNumberFormat="1" applyFont="1" applyFill="1" applyAlignment="1">
      <alignment vertical="center"/>
    </xf>
    <xf numFmtId="0" fontId="18" fillId="0" borderId="0" xfId="0" applyFont="1" applyAlignment="1" applyProtection="1">
      <alignment vertical="center"/>
      <protection hidden="1"/>
    </xf>
    <xf numFmtId="0" fontId="18" fillId="0" borderId="0" xfId="0" applyFont="1" applyBorder="1" applyAlignment="1" applyProtection="1">
      <alignment vertical="center"/>
      <protection hidden="1"/>
    </xf>
    <xf numFmtId="166" fontId="14" fillId="0" borderId="0" xfId="33" applyNumberFormat="1" applyFont="1" applyProtection="1">
      <protection hidden="1"/>
    </xf>
    <xf numFmtId="0" fontId="14" fillId="0" borderId="0" xfId="48" applyFont="1" applyProtection="1">
      <protection hidden="1"/>
    </xf>
    <xf numFmtId="0" fontId="12" fillId="0" borderId="0" xfId="48" applyProtection="1">
      <protection hidden="1"/>
    </xf>
    <xf numFmtId="0" fontId="51" fillId="0" borderId="0" xfId="48" applyFont="1" applyFill="1" applyAlignment="1" applyProtection="1">
      <alignment horizontal="center"/>
      <protection hidden="1"/>
    </xf>
    <xf numFmtId="166" fontId="14" fillId="0" borderId="0" xfId="33" applyNumberFormat="1" applyFont="1" applyFill="1" applyProtection="1">
      <protection hidden="1"/>
    </xf>
    <xf numFmtId="0" fontId="14" fillId="0" borderId="0" xfId="48" applyFont="1" applyFill="1" applyProtection="1">
      <protection hidden="1"/>
    </xf>
    <xf numFmtId="0" fontId="12" fillId="0" borderId="0" xfId="48" applyFill="1" applyProtection="1">
      <protection hidden="1"/>
    </xf>
    <xf numFmtId="0" fontId="18" fillId="0" borderId="39" xfId="48" applyFont="1" applyBorder="1" applyAlignment="1" applyProtection="1">
      <alignment horizontal="left" vertical="center" indent="2"/>
      <protection hidden="1"/>
    </xf>
    <xf numFmtId="0" fontId="12" fillId="0" borderId="37" xfId="48" applyBorder="1" applyAlignment="1" applyProtection="1">
      <alignment vertical="center"/>
      <protection hidden="1"/>
    </xf>
    <xf numFmtId="0" fontId="18" fillId="0" borderId="37" xfId="48" applyFont="1" applyBorder="1" applyAlignment="1" applyProtection="1">
      <alignment horizontal="left" vertical="center" indent="2"/>
      <protection hidden="1"/>
    </xf>
    <xf numFmtId="0" fontId="18" fillId="0" borderId="37" xfId="48" applyFont="1" applyBorder="1" applyAlignment="1" applyProtection="1">
      <alignment vertical="center"/>
      <protection hidden="1"/>
    </xf>
    <xf numFmtId="0" fontId="15" fillId="0" borderId="37" xfId="48" applyFont="1" applyBorder="1" applyAlignment="1" applyProtection="1">
      <alignment vertical="center"/>
      <protection hidden="1"/>
    </xf>
    <xf numFmtId="0" fontId="14" fillId="0" borderId="38" xfId="48" applyFont="1" applyBorder="1" applyAlignment="1" applyProtection="1">
      <alignment vertical="center"/>
      <protection hidden="1"/>
    </xf>
    <xf numFmtId="0" fontId="14" fillId="0" borderId="0" xfId="48" applyFont="1" applyAlignment="1" applyProtection="1">
      <alignment vertical="center"/>
      <protection hidden="1"/>
    </xf>
    <xf numFmtId="0" fontId="12" fillId="0" borderId="0" xfId="48" applyAlignment="1" applyProtection="1">
      <alignment vertical="center"/>
      <protection hidden="1"/>
    </xf>
    <xf numFmtId="0" fontId="18" fillId="0" borderId="0" xfId="48" applyFont="1" applyAlignment="1" applyProtection="1">
      <alignment horizontal="left" indent="3"/>
      <protection hidden="1"/>
    </xf>
    <xf numFmtId="0" fontId="18" fillId="0" borderId="0" xfId="48" applyFont="1" applyProtection="1">
      <protection hidden="1"/>
    </xf>
    <xf numFmtId="0" fontId="15" fillId="0" borderId="0" xfId="48" applyFont="1" applyProtection="1">
      <protection hidden="1"/>
    </xf>
    <xf numFmtId="0" fontId="18" fillId="0" borderId="0" xfId="48" applyFont="1" applyAlignment="1" applyProtection="1">
      <alignment horizontal="left" indent="1"/>
      <protection hidden="1"/>
    </xf>
    <xf numFmtId="0" fontId="18" fillId="0" borderId="0" xfId="48" applyFont="1" applyAlignment="1" applyProtection="1">
      <alignment horizontal="left"/>
      <protection hidden="1"/>
    </xf>
    <xf numFmtId="0" fontId="18" fillId="0" borderId="0" xfId="48" applyFont="1" applyAlignment="1" applyProtection="1">
      <alignment horizontal="left" vertical="center" indent="3"/>
      <protection hidden="1"/>
    </xf>
    <xf numFmtId="0" fontId="14" fillId="0" borderId="0" xfId="48" applyFont="1" applyAlignment="1" applyProtection="1">
      <alignment horizontal="center" vertical="center"/>
      <protection hidden="1"/>
    </xf>
    <xf numFmtId="0" fontId="14" fillId="0" borderId="0" xfId="48" applyFont="1" applyAlignment="1" applyProtection="1">
      <alignment horizontal="left" vertical="center" indent="1"/>
      <protection hidden="1"/>
    </xf>
    <xf numFmtId="0" fontId="25" fillId="0" borderId="0" xfId="48" applyFont="1" applyAlignment="1" applyProtection="1">
      <alignment horizontal="left" vertical="center"/>
      <protection hidden="1"/>
    </xf>
    <xf numFmtId="0" fontId="102" fillId="0" borderId="0" xfId="48" applyFont="1" applyBorder="1" applyAlignment="1" applyProtection="1">
      <alignment horizontal="left" vertical="center" indent="2"/>
      <protection hidden="1"/>
    </xf>
    <xf numFmtId="0" fontId="12" fillId="0" borderId="0" xfId="48" applyFill="1" applyAlignment="1" applyProtection="1">
      <alignment horizontal="left" indent="1" shrinkToFit="1"/>
      <protection hidden="1"/>
    </xf>
    <xf numFmtId="0" fontId="101" fillId="0" borderId="0" xfId="48" applyFont="1" applyAlignment="1">
      <alignment horizontal="left" vertical="center" indent="1"/>
    </xf>
    <xf numFmtId="0" fontId="14" fillId="0" borderId="0" xfId="48" applyFont="1" applyFill="1" applyAlignment="1" applyProtection="1">
      <alignment horizontal="left" indent="1"/>
      <protection hidden="1"/>
    </xf>
    <xf numFmtId="0" fontId="15" fillId="0" borderId="0" xfId="48" applyFont="1" applyFill="1" applyAlignment="1" applyProtection="1">
      <alignment horizontal="left" indent="1"/>
      <protection hidden="1"/>
    </xf>
    <xf numFmtId="0" fontId="12" fillId="0" borderId="0" xfId="48" applyFill="1" applyAlignment="1" applyProtection="1">
      <alignment horizontal="left" indent="1"/>
      <protection hidden="1"/>
    </xf>
    <xf numFmtId="43" fontId="15" fillId="0" borderId="0" xfId="48" applyNumberFormat="1" applyFont="1" applyFill="1" applyAlignment="1" applyProtection="1">
      <alignment horizontal="right"/>
      <protection hidden="1"/>
    </xf>
    <xf numFmtId="0" fontId="89" fillId="0" borderId="0" xfId="0" applyFont="1" applyAlignment="1" applyProtection="1">
      <alignment vertical="center"/>
      <protection hidden="1"/>
    </xf>
    <xf numFmtId="43" fontId="18" fillId="0" borderId="17" xfId="45" applyNumberFormat="1" applyFont="1" applyFill="1" applyBorder="1" applyAlignment="1" applyProtection="1">
      <alignment horizontal="right"/>
      <protection hidden="1"/>
    </xf>
    <xf numFmtId="0" fontId="20" fillId="0" borderId="46" xfId="0" applyFont="1" applyBorder="1" applyAlignment="1" applyProtection="1">
      <alignment horizontal="center" vertical="center" shrinkToFit="1"/>
      <protection hidden="1"/>
    </xf>
    <xf numFmtId="0" fontId="20" fillId="0" borderId="47" xfId="0" applyFont="1" applyBorder="1" applyAlignment="1" applyProtection="1">
      <alignment horizontal="center" vertical="center" shrinkToFit="1"/>
      <protection hidden="1"/>
    </xf>
    <xf numFmtId="43" fontId="20" fillId="0" borderId="47" xfId="29" applyFont="1" applyBorder="1" applyAlignment="1" applyProtection="1">
      <alignment horizontal="center" vertical="center" shrinkToFit="1"/>
      <protection hidden="1"/>
    </xf>
    <xf numFmtId="43" fontId="20" fillId="0" borderId="46" xfId="29" applyFont="1" applyBorder="1" applyAlignment="1" applyProtection="1">
      <alignment horizontal="center" vertical="center" shrinkToFit="1"/>
      <protection hidden="1"/>
    </xf>
    <xf numFmtId="43" fontId="20" fillId="0" borderId="46" xfId="29" applyNumberFormat="1" applyFont="1" applyFill="1" applyBorder="1" applyAlignment="1" applyProtection="1">
      <alignment vertical="center" shrinkToFit="1"/>
      <protection hidden="1"/>
    </xf>
    <xf numFmtId="0" fontId="20" fillId="0" borderId="48" xfId="0" applyFont="1" applyBorder="1" applyAlignment="1" applyProtection="1">
      <alignment horizontal="center" vertical="center" shrinkToFit="1"/>
      <protection hidden="1"/>
    </xf>
    <xf numFmtId="0" fontId="20" fillId="0" borderId="49" xfId="0" applyFont="1" applyBorder="1" applyAlignment="1" applyProtection="1">
      <alignment horizontal="center" vertical="center" shrinkToFit="1"/>
      <protection hidden="1"/>
    </xf>
    <xf numFmtId="43" fontId="20" fillId="0" borderId="49" xfId="29" applyFont="1" applyBorder="1" applyAlignment="1" applyProtection="1">
      <alignment horizontal="center" vertical="center" shrinkToFit="1"/>
      <protection hidden="1"/>
    </xf>
    <xf numFmtId="43" fontId="20" fillId="0" borderId="48" xfId="29" applyFont="1" applyBorder="1" applyAlignment="1" applyProtection="1">
      <alignment horizontal="center" vertical="center" shrinkToFit="1"/>
      <protection hidden="1"/>
    </xf>
    <xf numFmtId="43" fontId="20" fillId="0" borderId="48" xfId="29" applyNumberFormat="1" applyFont="1" applyFill="1" applyBorder="1" applyAlignment="1" applyProtection="1">
      <alignment vertical="center" shrinkToFit="1"/>
      <protection hidden="1"/>
    </xf>
    <xf numFmtId="43" fontId="20" fillId="0" borderId="48" xfId="29" applyFont="1" applyFill="1" applyBorder="1" applyAlignment="1" applyProtection="1">
      <alignment horizontal="center" vertical="center" shrinkToFit="1"/>
      <protection hidden="1"/>
    </xf>
    <xf numFmtId="43" fontId="20" fillId="0" borderId="48" xfId="29" applyFont="1" applyFill="1" applyBorder="1" applyAlignment="1" applyProtection="1">
      <alignment vertical="center" shrinkToFit="1"/>
      <protection hidden="1"/>
    </xf>
    <xf numFmtId="0" fontId="20" fillId="24" borderId="49" xfId="0" applyFont="1" applyFill="1" applyBorder="1" applyAlignment="1" applyProtection="1">
      <alignment horizontal="center" vertical="center" shrinkToFit="1"/>
      <protection hidden="1"/>
    </xf>
    <xf numFmtId="43" fontId="20" fillId="24" borderId="49" xfId="29" applyFont="1" applyFill="1" applyBorder="1" applyAlignment="1" applyProtection="1">
      <alignment horizontal="center" vertical="center" shrinkToFit="1"/>
      <protection hidden="1"/>
    </xf>
    <xf numFmtId="43" fontId="20" fillId="30" borderId="49" xfId="29" applyFont="1" applyFill="1" applyBorder="1" applyAlignment="1" applyProtection="1">
      <alignment horizontal="center" vertical="center" shrinkToFit="1"/>
      <protection hidden="1"/>
    </xf>
    <xf numFmtId="43" fontId="20" fillId="30" borderId="48" xfId="29" applyNumberFormat="1" applyFont="1" applyFill="1" applyBorder="1" applyAlignment="1" applyProtection="1">
      <alignment vertical="center" shrinkToFit="1"/>
      <protection hidden="1"/>
    </xf>
    <xf numFmtId="43" fontId="20" fillId="30" borderId="48" xfId="29" applyFont="1" applyFill="1" applyBorder="1" applyAlignment="1" applyProtection="1">
      <alignment vertical="center" shrinkToFit="1"/>
      <protection hidden="1"/>
    </xf>
    <xf numFmtId="43" fontId="20" fillId="0" borderId="49" xfId="29" applyFont="1" applyFill="1" applyBorder="1" applyAlignment="1" applyProtection="1">
      <alignment horizontal="center" vertical="center" shrinkToFit="1"/>
      <protection hidden="1"/>
    </xf>
    <xf numFmtId="0" fontId="20" fillId="30" borderId="49" xfId="0" applyFont="1" applyFill="1" applyBorder="1" applyAlignment="1" applyProtection="1">
      <alignment horizontal="center" vertical="center" shrinkToFit="1"/>
      <protection hidden="1"/>
    </xf>
    <xf numFmtId="0" fontId="20" fillId="0" borderId="0" xfId="0" applyFont="1" applyBorder="1" applyAlignment="1" applyProtection="1">
      <alignment vertical="center"/>
      <protection hidden="1"/>
    </xf>
    <xf numFmtId="0" fontId="20" fillId="0" borderId="0" xfId="0" applyFont="1" applyBorder="1" applyAlignment="1" applyProtection="1">
      <alignment vertical="center" shrinkToFit="1"/>
      <protection hidden="1"/>
    </xf>
    <xf numFmtId="0" fontId="20" fillId="0" borderId="47" xfId="0" applyFont="1" applyFill="1" applyBorder="1" applyAlignment="1" applyProtection="1">
      <alignment horizontal="center" vertical="center" shrinkToFit="1"/>
      <protection hidden="1"/>
    </xf>
    <xf numFmtId="43" fontId="20" fillId="0" borderId="47" xfId="29" applyFont="1" applyFill="1" applyBorder="1" applyAlignment="1" applyProtection="1">
      <alignment horizontal="center" vertical="center" shrinkToFit="1"/>
      <protection hidden="1"/>
    </xf>
    <xf numFmtId="43" fontId="20" fillId="0" borderId="46" xfId="29" applyFont="1" applyFill="1" applyBorder="1" applyAlignment="1" applyProtection="1">
      <alignment vertical="center" shrinkToFit="1"/>
      <protection hidden="1"/>
    </xf>
    <xf numFmtId="0" fontId="20" fillId="0" borderId="49" xfId="0" applyFont="1" applyFill="1" applyBorder="1" applyAlignment="1" applyProtection="1">
      <alignment horizontal="center" vertical="center" shrinkToFit="1"/>
      <protection hidden="1"/>
    </xf>
    <xf numFmtId="0" fontId="20" fillId="0" borderId="0" xfId="0" applyFont="1" applyBorder="1" applyAlignment="1" applyProtection="1">
      <alignment horizontal="center" vertical="center" shrinkToFit="1"/>
      <protection hidden="1"/>
    </xf>
    <xf numFmtId="43" fontId="20" fillId="0" borderId="0" xfId="29" applyFont="1" applyBorder="1" applyAlignment="1" applyProtection="1">
      <alignment horizontal="center" vertical="center" shrinkToFit="1"/>
      <protection hidden="1"/>
    </xf>
    <xf numFmtId="43" fontId="20" fillId="0" borderId="0" xfId="29" applyFont="1" applyFill="1" applyBorder="1" applyAlignment="1" applyProtection="1">
      <alignment horizontal="center" vertical="center" shrinkToFit="1"/>
      <protection hidden="1"/>
    </xf>
    <xf numFmtId="43" fontId="20" fillId="0" borderId="0" xfId="29" applyNumberFormat="1" applyFont="1" applyFill="1" applyBorder="1" applyAlignment="1" applyProtection="1">
      <alignment vertical="center" shrinkToFit="1"/>
      <protection hidden="1"/>
    </xf>
    <xf numFmtId="43" fontId="20" fillId="0" borderId="0" xfId="29" applyFont="1" applyFill="1" applyBorder="1" applyAlignment="1" applyProtection="1">
      <alignment vertical="center" shrinkToFit="1"/>
      <protection hidden="1"/>
    </xf>
    <xf numFmtId="0" fontId="20" fillId="0" borderId="0" xfId="0" applyFont="1" applyProtection="1">
      <protection hidden="1"/>
    </xf>
    <xf numFmtId="0" fontId="20" fillId="0" borderId="0" xfId="0" applyFont="1" applyBorder="1" applyAlignment="1" applyProtection="1">
      <alignment horizontal="center"/>
      <protection hidden="1"/>
    </xf>
    <xf numFmtId="43" fontId="19" fillId="0" borderId="0" xfId="29" applyFont="1" applyFill="1" applyAlignment="1" applyProtection="1">
      <alignment horizontal="right"/>
      <protection hidden="1"/>
    </xf>
    <xf numFmtId="43" fontId="17" fillId="0" borderId="46" xfId="29" applyNumberFormat="1" applyFont="1" applyBorder="1" applyAlignment="1" applyProtection="1">
      <alignment horizontal="right" vertical="center" shrinkToFit="1"/>
      <protection hidden="1"/>
    </xf>
    <xf numFmtId="43" fontId="17" fillId="0" borderId="48" xfId="29" applyNumberFormat="1" applyFont="1" applyBorder="1" applyAlignment="1" applyProtection="1">
      <alignment horizontal="right" vertical="center" shrinkToFit="1"/>
      <protection hidden="1"/>
    </xf>
    <xf numFmtId="0" fontId="17" fillId="0" borderId="49" xfId="0" applyFont="1" applyFill="1" applyBorder="1" applyAlignment="1" applyProtection="1">
      <alignment vertical="center"/>
      <protection hidden="1"/>
    </xf>
    <xf numFmtId="43" fontId="17" fillId="0" borderId="50" xfId="29" applyNumberFormat="1" applyFont="1" applyBorder="1" applyAlignment="1" applyProtection="1">
      <alignment horizontal="right" vertical="center" shrinkToFit="1"/>
      <protection hidden="1"/>
    </xf>
    <xf numFmtId="0" fontId="102" fillId="0" borderId="0" xfId="0" applyFont="1" applyBorder="1" applyAlignment="1" applyProtection="1">
      <alignment horizontal="left"/>
      <protection hidden="1"/>
    </xf>
    <xf numFmtId="0" fontId="26" fillId="0" borderId="70" xfId="0" applyFont="1" applyFill="1" applyBorder="1" applyAlignment="1" applyProtection="1">
      <alignment horizontal="center"/>
    </xf>
    <xf numFmtId="0" fontId="97" fillId="48" borderId="78" xfId="0" applyFont="1" applyFill="1" applyBorder="1" applyAlignment="1" applyProtection="1">
      <alignment horizontal="center" vertical="center" wrapText="1"/>
      <protection hidden="1"/>
    </xf>
    <xf numFmtId="43" fontId="19" fillId="0" borderId="52" xfId="29" applyNumberFormat="1" applyFont="1" applyBorder="1" applyAlignment="1" applyProtection="1">
      <alignment horizontal="right" vertical="center" shrinkToFit="1"/>
      <protection hidden="1"/>
    </xf>
    <xf numFmtId="0" fontId="17" fillId="0" borderId="51" xfId="0" applyFont="1" applyFill="1" applyBorder="1" applyAlignment="1" applyProtection="1">
      <alignment vertical="center"/>
      <protection hidden="1"/>
    </xf>
    <xf numFmtId="3" fontId="119" fillId="24" borderId="54" xfId="0" applyNumberFormat="1" applyFont="1" applyFill="1" applyBorder="1" applyAlignment="1" applyProtection="1">
      <alignment horizontal="center" vertical="center"/>
      <protection locked="0"/>
    </xf>
    <xf numFmtId="0" fontId="62" fillId="24" borderId="0" xfId="0" applyFont="1" applyFill="1" applyBorder="1" applyAlignment="1" applyProtection="1">
      <alignment horizontal="center"/>
      <protection locked="0"/>
    </xf>
    <xf numFmtId="0" fontId="63" fillId="0" borderId="10" xfId="0" applyFont="1" applyBorder="1" applyAlignment="1" applyProtection="1">
      <alignment horizontal="left" vertical="center"/>
      <protection hidden="1"/>
    </xf>
    <xf numFmtId="0" fontId="120" fillId="0" borderId="0" xfId="0" applyFont="1" applyAlignment="1" applyProtection="1">
      <alignment horizontal="left" indent="3"/>
      <protection hidden="1"/>
    </xf>
    <xf numFmtId="0" fontId="50" fillId="0" borderId="55" xfId="0" applyFont="1" applyFill="1" applyBorder="1" applyAlignment="1" applyProtection="1">
      <alignment vertical="center"/>
      <protection hidden="1"/>
    </xf>
    <xf numFmtId="0" fontId="50" fillId="0" borderId="56" xfId="0" applyFont="1" applyFill="1" applyBorder="1" applyAlignment="1" applyProtection="1">
      <alignment vertical="center"/>
      <protection hidden="1"/>
    </xf>
    <xf numFmtId="0" fontId="50" fillId="0" borderId="57" xfId="0" applyFont="1" applyFill="1" applyBorder="1" applyAlignment="1" applyProtection="1">
      <alignment vertical="center"/>
      <protection hidden="1"/>
    </xf>
    <xf numFmtId="0" fontId="50" fillId="0" borderId="58" xfId="0" applyFont="1" applyFill="1" applyBorder="1" applyAlignment="1" applyProtection="1">
      <alignment vertical="center"/>
      <protection hidden="1"/>
    </xf>
    <xf numFmtId="0" fontId="82" fillId="0" borderId="0" xfId="0" applyFont="1" applyProtection="1">
      <protection hidden="1"/>
    </xf>
    <xf numFmtId="43" fontId="70" fillId="0" borderId="0" xfId="0" applyNumberFormat="1" applyFont="1" applyFill="1" applyAlignment="1" applyProtection="1">
      <alignment horizontal="right"/>
      <protection hidden="1"/>
    </xf>
    <xf numFmtId="43" fontId="15" fillId="0" borderId="0" xfId="0" applyNumberFormat="1" applyFont="1" applyFill="1" applyAlignment="1" applyProtection="1">
      <alignment horizontal="right"/>
      <protection hidden="1"/>
    </xf>
    <xf numFmtId="0" fontId="89" fillId="27" borderId="0" xfId="0" applyFont="1" applyFill="1" applyProtection="1">
      <protection hidden="1"/>
    </xf>
    <xf numFmtId="14" fontId="89" fillId="27" borderId="0" xfId="0" applyNumberFormat="1" applyFont="1" applyFill="1" applyAlignment="1" applyProtection="1">
      <alignment horizontal="center"/>
      <protection hidden="1"/>
    </xf>
    <xf numFmtId="0" fontId="89" fillId="27" borderId="0" xfId="0" applyFont="1" applyFill="1" applyAlignment="1" applyProtection="1">
      <alignment horizontal="center"/>
      <protection hidden="1"/>
    </xf>
    <xf numFmtId="0" fontId="121" fillId="0" borderId="0" xfId="0" applyFont="1" applyFill="1" applyProtection="1">
      <protection hidden="1"/>
    </xf>
    <xf numFmtId="9" fontId="117" fillId="0" borderId="0" xfId="0" applyNumberFormat="1" applyFont="1" applyFill="1" applyAlignment="1" applyProtection="1">
      <alignment horizontal="center"/>
      <protection locked="0"/>
    </xf>
    <xf numFmtId="0" fontId="26" fillId="0" borderId="0" xfId="0" applyFont="1" applyFill="1" applyBorder="1" applyAlignment="1" applyProtection="1">
      <alignment vertical="center"/>
      <protection hidden="1"/>
    </xf>
    <xf numFmtId="0" fontId="102" fillId="0" borderId="0" xfId="47" applyFont="1" applyBorder="1" applyAlignment="1" applyProtection="1">
      <alignment horizontal="left"/>
      <protection hidden="1"/>
    </xf>
    <xf numFmtId="0" fontId="14" fillId="0" borderId="24" xfId="47" applyFont="1" applyBorder="1" applyAlignment="1" applyProtection="1">
      <alignment vertical="center"/>
      <protection hidden="1"/>
    </xf>
    <xf numFmtId="0" fontId="14" fillId="0" borderId="25" xfId="47" applyFont="1" applyBorder="1" applyAlignment="1" applyProtection="1">
      <alignment horizontal="center" vertical="center"/>
      <protection hidden="1"/>
    </xf>
    <xf numFmtId="0" fontId="14" fillId="0" borderId="25" xfId="47" applyFont="1" applyBorder="1" applyAlignment="1" applyProtection="1">
      <alignment vertical="center"/>
      <protection hidden="1"/>
    </xf>
    <xf numFmtId="0" fontId="14" fillId="0" borderId="26" xfId="47" applyFont="1" applyBorder="1" applyAlignment="1" applyProtection="1">
      <alignment vertical="center"/>
      <protection hidden="1"/>
    </xf>
    <xf numFmtId="0" fontId="14" fillId="0" borderId="0" xfId="47" applyFont="1" applyAlignment="1" applyProtection="1">
      <alignment vertical="center"/>
      <protection hidden="1"/>
    </xf>
    <xf numFmtId="0" fontId="12" fillId="0" borderId="0" xfId="47" applyProtection="1">
      <protection hidden="1"/>
    </xf>
    <xf numFmtId="0" fontId="14" fillId="0" borderId="27" xfId="47" applyFont="1" applyBorder="1" applyAlignment="1" applyProtection="1">
      <alignment horizontal="left" indent="2"/>
      <protection hidden="1"/>
    </xf>
    <xf numFmtId="0" fontId="12" fillId="0" borderId="0" xfId="47" applyBorder="1" applyProtection="1">
      <protection hidden="1"/>
    </xf>
    <xf numFmtId="0" fontId="14" fillId="0" borderId="0" xfId="47" applyFont="1" applyBorder="1" applyAlignment="1" applyProtection="1">
      <alignment vertical="center"/>
      <protection hidden="1"/>
    </xf>
    <xf numFmtId="0" fontId="14" fillId="0" borderId="28" xfId="47" applyFont="1" applyBorder="1" applyAlignment="1" applyProtection="1">
      <alignment vertical="center"/>
      <protection hidden="1"/>
    </xf>
    <xf numFmtId="0" fontId="14" fillId="0" borderId="27" xfId="47" applyFont="1" applyBorder="1" applyAlignment="1" applyProtection="1">
      <alignment horizontal="left" indent="1"/>
      <protection hidden="1"/>
    </xf>
    <xf numFmtId="0" fontId="14" fillId="0" borderId="27" xfId="47" applyFont="1" applyBorder="1" applyAlignment="1" applyProtection="1">
      <alignment horizontal="left" indent="7"/>
      <protection hidden="1"/>
    </xf>
    <xf numFmtId="0" fontId="12" fillId="0" borderId="28" xfId="47" applyBorder="1" applyProtection="1">
      <protection hidden="1"/>
    </xf>
    <xf numFmtId="0" fontId="12" fillId="0" borderId="27" xfId="47" applyBorder="1" applyAlignment="1" applyProtection="1">
      <alignment horizontal="left"/>
      <protection hidden="1"/>
    </xf>
    <xf numFmtId="0" fontId="14" fillId="0" borderId="0" xfId="47" applyFont="1" applyBorder="1" applyProtection="1">
      <protection hidden="1"/>
    </xf>
    <xf numFmtId="0" fontId="14" fillId="0" borderId="28" xfId="47" applyFont="1" applyBorder="1" applyProtection="1">
      <protection hidden="1"/>
    </xf>
    <xf numFmtId="0" fontId="14" fillId="0" borderId="0" xfId="47" applyFont="1" applyProtection="1">
      <protection hidden="1"/>
    </xf>
    <xf numFmtId="0" fontId="55" fillId="0" borderId="27" xfId="47" applyFont="1" applyBorder="1" applyAlignment="1" applyProtection="1">
      <alignment horizontal="left" indent="1"/>
      <protection hidden="1"/>
    </xf>
    <xf numFmtId="0" fontId="14" fillId="0" borderId="29" xfId="47" applyFont="1" applyBorder="1" applyProtection="1">
      <protection hidden="1"/>
    </xf>
    <xf numFmtId="0" fontId="14" fillId="0" borderId="31" xfId="47" applyFont="1" applyBorder="1" applyProtection="1">
      <protection hidden="1"/>
    </xf>
    <xf numFmtId="0" fontId="12" fillId="0" borderId="31" xfId="47" applyBorder="1" applyProtection="1">
      <protection hidden="1"/>
    </xf>
    <xf numFmtId="0" fontId="14" fillId="0" borderId="30" xfId="47" applyFont="1" applyBorder="1" applyProtection="1">
      <protection hidden="1"/>
    </xf>
    <xf numFmtId="0" fontId="12" fillId="0" borderId="30" xfId="47" applyBorder="1" applyProtection="1">
      <protection hidden="1"/>
    </xf>
    <xf numFmtId="0" fontId="9" fillId="0" borderId="0" xfId="0" applyFont="1" applyFill="1" applyAlignment="1" applyProtection="1">
      <alignment horizontal="left" indent="4"/>
      <protection hidden="1"/>
    </xf>
    <xf numFmtId="0" fontId="122" fillId="49" borderId="0" xfId="0" applyFont="1" applyFill="1" applyBorder="1" applyAlignment="1" applyProtection="1">
      <alignment vertical="center"/>
      <protection hidden="1"/>
    </xf>
    <xf numFmtId="166" fontId="84" fillId="0" borderId="0" xfId="33" applyNumberFormat="1" applyFont="1" applyProtection="1">
      <protection hidden="1"/>
    </xf>
    <xf numFmtId="0" fontId="84" fillId="0" borderId="0" xfId="48" applyFont="1" applyProtection="1">
      <protection hidden="1"/>
    </xf>
    <xf numFmtId="0" fontId="0" fillId="0" borderId="0" xfId="0" applyBorder="1" applyAlignment="1">
      <alignment horizontal="left" indent="1"/>
    </xf>
    <xf numFmtId="0" fontId="103" fillId="0" borderId="0" xfId="0" applyFont="1" applyBorder="1" applyAlignment="1">
      <alignment horizontal="left" indent="1"/>
    </xf>
    <xf numFmtId="0" fontId="109" fillId="0" borderId="0" xfId="0" applyFont="1" applyBorder="1" applyAlignment="1">
      <alignment horizontal="left" vertical="center" wrapText="1" indent="1"/>
    </xf>
    <xf numFmtId="0" fontId="109" fillId="0" borderId="0" xfId="0" applyFont="1" applyBorder="1" applyAlignment="1">
      <alignment horizontal="left" vertical="center" indent="1"/>
    </xf>
    <xf numFmtId="0" fontId="0" fillId="0" borderId="0" xfId="0" applyAlignment="1">
      <alignment shrinkToFit="1"/>
    </xf>
    <xf numFmtId="0" fontId="0" fillId="0" borderId="0" xfId="0" applyBorder="1" applyAlignment="1">
      <alignment horizontal="left" indent="1" shrinkToFit="1"/>
    </xf>
    <xf numFmtId="43" fontId="123" fillId="0" borderId="0" xfId="0" applyNumberFormat="1" applyFont="1" applyBorder="1" applyAlignment="1">
      <alignment horizontal="right" indent="1"/>
    </xf>
    <xf numFmtId="0" fontId="14" fillId="0" borderId="24" xfId="0" applyFont="1" applyBorder="1" applyProtection="1">
      <protection hidden="1"/>
    </xf>
    <xf numFmtId="0" fontId="15" fillId="0" borderId="25" xfId="0" applyFont="1" applyBorder="1" applyAlignment="1" applyProtection="1">
      <alignment horizontal="left"/>
      <protection hidden="1"/>
    </xf>
    <xf numFmtId="0" fontId="14" fillId="0" borderId="25" xfId="0" applyFont="1" applyBorder="1" applyAlignment="1" applyProtection="1">
      <alignment horizontal="center"/>
      <protection hidden="1"/>
    </xf>
    <xf numFmtId="166" fontId="14" fillId="0" borderId="25" xfId="29" applyNumberFormat="1" applyFont="1" applyBorder="1" applyProtection="1">
      <protection hidden="1"/>
    </xf>
    <xf numFmtId="43" fontId="14" fillId="0" borderId="25" xfId="29" applyFont="1" applyBorder="1" applyProtection="1">
      <protection hidden="1"/>
    </xf>
    <xf numFmtId="0" fontId="14" fillId="0" borderId="25" xfId="0" applyFont="1" applyBorder="1" applyProtection="1">
      <protection hidden="1"/>
    </xf>
    <xf numFmtId="43" fontId="14" fillId="0" borderId="26" xfId="29" applyFont="1" applyBorder="1" applyProtection="1">
      <protection hidden="1"/>
    </xf>
    <xf numFmtId="0" fontId="14" fillId="0" borderId="29" xfId="0" applyFont="1" applyBorder="1" applyProtection="1">
      <protection hidden="1"/>
    </xf>
    <xf numFmtId="0" fontId="19" fillId="28" borderId="31" xfId="0" applyFont="1" applyFill="1" applyBorder="1" applyAlignment="1" applyProtection="1">
      <alignment horizontal="left"/>
      <protection hidden="1"/>
    </xf>
    <xf numFmtId="0" fontId="14" fillId="0" borderId="31" xfId="0" applyFont="1" applyBorder="1" applyAlignment="1" applyProtection="1">
      <alignment horizontal="center"/>
      <protection hidden="1"/>
    </xf>
    <xf numFmtId="0" fontId="19" fillId="0" borderId="31" xfId="0" applyFont="1" applyFill="1" applyBorder="1" applyAlignment="1" applyProtection="1">
      <alignment horizontal="left"/>
      <protection hidden="1"/>
    </xf>
    <xf numFmtId="43" fontId="19" fillId="0" borderId="31" xfId="29" applyFont="1" applyFill="1" applyBorder="1" applyAlignment="1" applyProtection="1">
      <alignment horizontal="left"/>
      <protection hidden="1"/>
    </xf>
    <xf numFmtId="0" fontId="20" fillId="0" borderId="31" xfId="0" applyFont="1" applyFill="1" applyBorder="1" applyProtection="1">
      <protection hidden="1"/>
    </xf>
    <xf numFmtId="0" fontId="14" fillId="0" borderId="31" xfId="0" applyFont="1" applyFill="1" applyBorder="1" applyProtection="1">
      <protection hidden="1"/>
    </xf>
    <xf numFmtId="43" fontId="18" fillId="0" borderId="31" xfId="29" applyFont="1" applyFill="1" applyBorder="1" applyAlignment="1" applyProtection="1">
      <alignment horizontal="left"/>
      <protection hidden="1"/>
    </xf>
    <xf numFmtId="43" fontId="18" fillId="0" borderId="30" xfId="29" applyFont="1" applyBorder="1" applyAlignment="1" applyProtection="1">
      <alignment horizontal="left"/>
      <protection hidden="1"/>
    </xf>
    <xf numFmtId="166" fontId="85" fillId="0" borderId="0" xfId="29" applyNumberFormat="1" applyFont="1" applyAlignment="1" applyProtection="1">
      <alignment vertical="center"/>
      <protection hidden="1"/>
    </xf>
    <xf numFmtId="0" fontId="78" fillId="0" borderId="0" xfId="0" applyFont="1" applyAlignment="1" applyProtection="1">
      <alignment vertical="center"/>
      <protection hidden="1"/>
    </xf>
    <xf numFmtId="0" fontId="124" fillId="49" borderId="0" xfId="48" applyFont="1" applyFill="1" applyBorder="1" applyAlignment="1" applyProtection="1">
      <alignment vertical="center"/>
      <protection hidden="1"/>
    </xf>
    <xf numFmtId="170" fontId="125" fillId="0" borderId="0" xfId="54" applyNumberFormat="1" applyFont="1" applyAlignment="1" applyProtection="1">
      <alignment vertical="center"/>
      <protection hidden="1"/>
    </xf>
    <xf numFmtId="166" fontId="125" fillId="0" borderId="0" xfId="33" applyNumberFormat="1" applyFont="1" applyAlignment="1" applyProtection="1">
      <alignment vertical="center"/>
      <protection hidden="1"/>
    </xf>
    <xf numFmtId="0" fontId="126" fillId="0" borderId="0" xfId="48" applyFont="1" applyAlignment="1" applyProtection="1">
      <alignment vertical="center"/>
      <protection hidden="1"/>
    </xf>
    <xf numFmtId="0" fontId="127" fillId="0" borderId="0" xfId="48" applyFont="1" applyAlignment="1" applyProtection="1">
      <alignment vertical="center"/>
      <protection hidden="1"/>
    </xf>
    <xf numFmtId="0" fontId="128" fillId="0" borderId="0" xfId="48" applyFont="1" applyFill="1" applyBorder="1" applyAlignment="1" applyProtection="1">
      <alignment horizontal="center" vertical="center"/>
      <protection hidden="1"/>
    </xf>
    <xf numFmtId="0" fontId="78" fillId="0" borderId="0" xfId="0" applyFont="1"/>
    <xf numFmtId="0" fontId="12" fillId="0" borderId="0" xfId="47" applyFont="1" applyProtection="1">
      <protection hidden="1"/>
    </xf>
    <xf numFmtId="166" fontId="14" fillId="0" borderId="0" xfId="31" applyNumberFormat="1" applyFont="1" applyProtection="1">
      <protection hidden="1"/>
    </xf>
    <xf numFmtId="0" fontId="12" fillId="0" borderId="0" xfId="47"/>
    <xf numFmtId="0" fontId="70" fillId="28" borderId="0" xfId="47" applyFont="1" applyFill="1" applyAlignment="1">
      <alignment vertical="center"/>
    </xf>
    <xf numFmtId="0" fontId="55" fillId="28" borderId="0" xfId="47" applyFont="1" applyFill="1" applyAlignment="1">
      <alignment vertical="top" wrapText="1"/>
    </xf>
    <xf numFmtId="0" fontId="70" fillId="28" borderId="0" xfId="47" applyFont="1" applyFill="1" applyAlignment="1">
      <alignment vertical="center" shrinkToFit="1"/>
    </xf>
    <xf numFmtId="0" fontId="86" fillId="0" borderId="0" xfId="47" applyFont="1"/>
    <xf numFmtId="0" fontId="130" fillId="28" borderId="0" xfId="47" applyFont="1" applyFill="1" applyAlignment="1">
      <alignment vertical="center"/>
    </xf>
    <xf numFmtId="0" fontId="130" fillId="28" borderId="0" xfId="47" applyFont="1" applyFill="1"/>
    <xf numFmtId="0" fontId="86" fillId="28" borderId="0" xfId="47" applyFont="1" applyFill="1"/>
    <xf numFmtId="0" fontId="131" fillId="28" borderId="0" xfId="47" applyFont="1" applyFill="1" applyAlignment="1">
      <alignment vertical="top" wrapText="1"/>
    </xf>
    <xf numFmtId="0" fontId="131" fillId="28" borderId="0" xfId="47" applyFont="1" applyFill="1" applyAlignment="1">
      <alignment horizontal="left" vertical="top" wrapText="1"/>
    </xf>
    <xf numFmtId="0" fontId="86" fillId="28" borderId="0" xfId="47" quotePrefix="1" applyFont="1" applyFill="1"/>
    <xf numFmtId="0" fontId="86" fillId="28" borderId="0" xfId="47" applyFont="1" applyFill="1" applyAlignment="1">
      <alignment vertical="center"/>
    </xf>
    <xf numFmtId="0" fontId="86" fillId="0" borderId="0" xfId="47" applyFont="1" applyAlignment="1">
      <alignment vertical="center"/>
    </xf>
    <xf numFmtId="0" fontId="132" fillId="49" borderId="0" xfId="47" applyFont="1" applyFill="1" applyAlignment="1" applyProtection="1">
      <alignment horizontal="center" vertical="center" shrinkToFit="1"/>
      <protection hidden="1"/>
    </xf>
    <xf numFmtId="0" fontId="133" fillId="49" borderId="0" xfId="47" applyFont="1" applyFill="1" applyAlignment="1" applyProtection="1">
      <alignment horizontal="center" vertical="center" shrinkToFit="1"/>
      <protection hidden="1"/>
    </xf>
    <xf numFmtId="0" fontId="134" fillId="0" borderId="0" xfId="0" applyFont="1" applyBorder="1" applyAlignment="1">
      <alignment horizontal="left" vertical="center" indent="1" shrinkToFit="1"/>
    </xf>
    <xf numFmtId="170" fontId="96" fillId="0" borderId="0" xfId="54" applyNumberFormat="1" applyFont="1" applyBorder="1" applyAlignment="1" applyProtection="1">
      <alignment vertical="center"/>
      <protection hidden="1"/>
    </xf>
    <xf numFmtId="10" fontId="96" fillId="0" borderId="0" xfId="54" applyNumberFormat="1" applyFont="1" applyBorder="1" applyAlignment="1" applyProtection="1">
      <alignment vertical="center"/>
      <protection hidden="1"/>
    </xf>
    <xf numFmtId="0" fontId="127" fillId="0" borderId="0" xfId="48" applyFont="1" applyBorder="1" applyAlignment="1" applyProtection="1">
      <alignment vertical="center"/>
      <protection hidden="1"/>
    </xf>
    <xf numFmtId="166" fontId="96" fillId="0" borderId="0" xfId="33" applyNumberFormat="1" applyFont="1" applyFill="1" applyBorder="1" applyProtection="1">
      <protection hidden="1"/>
    </xf>
    <xf numFmtId="0" fontId="90" fillId="0" borderId="0" xfId="48" applyFont="1" applyFill="1" applyBorder="1" applyAlignment="1" applyProtection="1">
      <alignment horizontal="center" vertical="center"/>
      <protection hidden="1"/>
    </xf>
    <xf numFmtId="166" fontId="96" fillId="0" borderId="0" xfId="33" applyNumberFormat="1" applyFont="1" applyBorder="1" applyProtection="1">
      <protection hidden="1"/>
    </xf>
    <xf numFmtId="166" fontId="96" fillId="0" borderId="0" xfId="33" applyNumberFormat="1" applyFont="1" applyBorder="1" applyAlignment="1" applyProtection="1">
      <alignment vertical="center"/>
      <protection hidden="1"/>
    </xf>
    <xf numFmtId="0" fontId="63" fillId="0" borderId="0" xfId="48" applyFont="1" applyBorder="1" applyAlignment="1" applyProtection="1">
      <alignment horizontal="left" vertical="center"/>
      <protection hidden="1"/>
    </xf>
    <xf numFmtId="9" fontId="96" fillId="0" borderId="0" xfId="54" applyFont="1" applyBorder="1" applyAlignment="1" applyProtection="1">
      <alignment vertical="center"/>
      <protection hidden="1"/>
    </xf>
    <xf numFmtId="9" fontId="66" fillId="0" borderId="0" xfId="54" applyFont="1" applyBorder="1" applyAlignment="1" applyProtection="1">
      <alignment vertical="center"/>
      <protection hidden="1"/>
    </xf>
    <xf numFmtId="0" fontId="97" fillId="0" borderId="0" xfId="48" applyFont="1" applyBorder="1" applyAlignment="1" applyProtection="1">
      <alignment horizontal="left"/>
      <protection hidden="1"/>
    </xf>
    <xf numFmtId="0" fontId="63" fillId="0" borderId="0" xfId="48" applyFont="1" applyBorder="1" applyAlignment="1" applyProtection="1">
      <alignment vertical="top"/>
      <protection hidden="1"/>
    </xf>
    <xf numFmtId="9" fontId="66" fillId="0" borderId="0" xfId="54" applyFont="1" applyBorder="1" applyAlignment="1" applyProtection="1">
      <alignment vertical="top"/>
      <protection hidden="1"/>
    </xf>
    <xf numFmtId="166" fontId="63" fillId="0" borderId="0" xfId="33" applyNumberFormat="1" applyFont="1" applyBorder="1" applyAlignment="1" applyProtection="1">
      <alignment vertical="center"/>
      <protection hidden="1"/>
    </xf>
    <xf numFmtId="0" fontId="63" fillId="0" borderId="0" xfId="48" applyFont="1" applyFill="1" applyBorder="1" applyAlignment="1" applyProtection="1">
      <alignment vertical="center" shrinkToFit="1"/>
      <protection hidden="1"/>
    </xf>
    <xf numFmtId="43" fontId="111" fillId="0" borderId="0" xfId="48" applyNumberFormat="1" applyFont="1" applyFill="1" applyBorder="1" applyAlignment="1" applyProtection="1">
      <alignment horizontal="right" vertical="center"/>
      <protection hidden="1"/>
    </xf>
    <xf numFmtId="0" fontId="30" fillId="25" borderId="13" xfId="50" applyFill="1" applyBorder="1"/>
    <xf numFmtId="0" fontId="30" fillId="50" borderId="0" xfId="50" applyFill="1"/>
    <xf numFmtId="0" fontId="103" fillId="0" borderId="27" xfId="0" applyFont="1" applyBorder="1" applyAlignment="1">
      <alignment horizontal="left" indent="2"/>
    </xf>
    <xf numFmtId="0" fontId="0" fillId="0" borderId="28" xfId="0" applyBorder="1"/>
    <xf numFmtId="0" fontId="102" fillId="0" borderId="0" xfId="0" applyFont="1" applyAlignment="1" applyProtection="1">
      <alignment horizontal="left" vertical="center" indent="2"/>
      <protection hidden="1"/>
    </xf>
    <xf numFmtId="0" fontId="129" fillId="49" borderId="0" xfId="0" applyFont="1" applyFill="1" applyBorder="1" applyAlignment="1" applyProtection="1">
      <alignment horizontal="center" vertical="center"/>
      <protection hidden="1"/>
    </xf>
    <xf numFmtId="0" fontId="26" fillId="0" borderId="39" xfId="48" applyFont="1" applyFill="1" applyBorder="1" applyAlignment="1" applyProtection="1">
      <alignment horizontal="left" vertical="center"/>
      <protection hidden="1"/>
    </xf>
    <xf numFmtId="0" fontId="26" fillId="0" borderId="37" xfId="48" applyFont="1" applyFill="1" applyBorder="1" applyAlignment="1" applyProtection="1">
      <alignment horizontal="left" vertical="center"/>
      <protection hidden="1"/>
    </xf>
    <xf numFmtId="0" fontId="26" fillId="0" borderId="37" xfId="48" applyFont="1" applyFill="1" applyBorder="1" applyAlignment="1" applyProtection="1">
      <alignment vertical="center"/>
      <protection hidden="1"/>
    </xf>
    <xf numFmtId="0" fontId="63" fillId="0" borderId="37" xfId="48" applyFont="1" applyFill="1" applyBorder="1" applyAlignment="1" applyProtection="1">
      <alignment vertical="center"/>
      <protection hidden="1"/>
    </xf>
    <xf numFmtId="0" fontId="26" fillId="0" borderId="38" xfId="48" applyFont="1" applyFill="1" applyBorder="1" applyAlignment="1" applyProtection="1">
      <alignment horizontal="center" vertical="center"/>
      <protection hidden="1"/>
    </xf>
    <xf numFmtId="0" fontId="13" fillId="0" borderId="27" xfId="45" applyFill="1" applyBorder="1" applyProtection="1">
      <protection hidden="1"/>
    </xf>
    <xf numFmtId="0" fontId="13" fillId="0" borderId="0" xfId="45" applyFill="1" applyBorder="1" applyProtection="1">
      <protection hidden="1"/>
    </xf>
    <xf numFmtId="3" fontId="17" fillId="0" borderId="28" xfId="45" applyNumberFormat="1" applyFont="1" applyFill="1" applyBorder="1" applyAlignment="1" applyProtection="1">
      <alignment horizontal="center" vertical="center"/>
      <protection hidden="1"/>
    </xf>
    <xf numFmtId="166" fontId="14" fillId="0" borderId="0" xfId="34" applyNumberFormat="1" applyFont="1" applyFill="1" applyBorder="1" applyProtection="1">
      <protection hidden="1"/>
    </xf>
    <xf numFmtId="0" fontId="50" fillId="0" borderId="0" xfId="0" applyFont="1"/>
    <xf numFmtId="0" fontId="50" fillId="0" borderId="28" xfId="0" applyFont="1" applyBorder="1"/>
    <xf numFmtId="0" fontId="12" fillId="0" borderId="0" xfId="47" applyAlignment="1">
      <alignment horizontal="center"/>
    </xf>
    <xf numFmtId="0" fontId="12" fillId="32" borderId="0" xfId="47" applyFill="1"/>
    <xf numFmtId="0" fontId="12" fillId="0" borderId="18" xfId="47" applyBorder="1" applyAlignment="1">
      <alignment horizontal="center"/>
    </xf>
    <xf numFmtId="43" fontId="12" fillId="52" borderId="52" xfId="47" applyNumberFormat="1" applyFill="1" applyBorder="1"/>
    <xf numFmtId="0" fontId="142" fillId="0" borderId="0" xfId="47" applyFont="1" applyAlignment="1">
      <alignment horizontal="center" vertical="center" wrapText="1"/>
    </xf>
    <xf numFmtId="43" fontId="0" fillId="0" borderId="0" xfId="31" applyFont="1"/>
    <xf numFmtId="10" fontId="12" fillId="0" borderId="0" xfId="54" applyNumberFormat="1" applyFont="1" applyAlignment="1">
      <alignment horizontal="center"/>
    </xf>
    <xf numFmtId="43" fontId="12" fillId="53" borderId="0" xfId="31" applyFont="1" applyFill="1"/>
    <xf numFmtId="43" fontId="12" fillId="53" borderId="0" xfId="47" applyNumberFormat="1" applyFill="1"/>
    <xf numFmtId="173" fontId="12" fillId="0" borderId="0" xfId="47" applyNumberFormat="1"/>
    <xf numFmtId="1" fontId="12" fillId="0" borderId="0" xfId="47" applyNumberFormat="1" applyAlignment="1">
      <alignment horizontal="center"/>
    </xf>
    <xf numFmtId="43" fontId="12" fillId="0" borderId="0" xfId="47" applyNumberFormat="1"/>
    <xf numFmtId="0" fontId="12" fillId="0" borderId="0" xfId="47" applyAlignment="1">
      <alignment horizontal="left"/>
    </xf>
    <xf numFmtId="164" fontId="12" fillId="0" borderId="0" xfId="47" applyNumberFormat="1"/>
    <xf numFmtId="0" fontId="0" fillId="0" borderId="24" xfId="0" applyBorder="1"/>
    <xf numFmtId="0" fontId="12" fillId="0" borderId="25" xfId="47" applyBorder="1" applyAlignment="1">
      <alignment horizontal="center"/>
    </xf>
    <xf numFmtId="0" fontId="0" fillId="0" borderId="25" xfId="0" applyBorder="1"/>
    <xf numFmtId="0" fontId="0" fillId="0" borderId="26" xfId="0" applyBorder="1"/>
    <xf numFmtId="0" fontId="0" fillId="0" borderId="27" xfId="0" applyBorder="1"/>
    <xf numFmtId="0" fontId="0" fillId="0" borderId="29" xfId="0" applyBorder="1"/>
    <xf numFmtId="0" fontId="12" fillId="0" borderId="31" xfId="47" applyBorder="1" applyAlignment="1">
      <alignment horizontal="center"/>
    </xf>
    <xf numFmtId="0" fontId="0" fillId="0" borderId="31" xfId="0" applyBorder="1"/>
    <xf numFmtId="0" fontId="0" fillId="0" borderId="30" xfId="0" applyBorder="1"/>
    <xf numFmtId="0" fontId="27" fillId="0" borderId="0" xfId="47" applyFont="1"/>
    <xf numFmtId="0" fontId="27" fillId="0" borderId="0" xfId="47" applyFont="1" applyAlignment="1">
      <alignment horizontal="center"/>
    </xf>
    <xf numFmtId="3" fontId="17" fillId="0" borderId="0" xfId="45" applyNumberFormat="1" applyFont="1" applyAlignment="1" applyProtection="1">
      <alignment horizontal="left" vertical="center"/>
      <protection hidden="1"/>
    </xf>
    <xf numFmtId="169" fontId="17" fillId="0" borderId="0" xfId="45" quotePrefix="1" applyNumberFormat="1" applyFont="1" applyAlignment="1" applyProtection="1">
      <alignment horizontal="left" vertical="center"/>
      <protection hidden="1"/>
    </xf>
    <xf numFmtId="0" fontId="130" fillId="28" borderId="0" xfId="45" applyFont="1" applyFill="1" applyAlignment="1">
      <alignment vertical="center"/>
    </xf>
    <xf numFmtId="0" fontId="130" fillId="28" borderId="0" xfId="45" applyFont="1" applyFill="1"/>
    <xf numFmtId="0" fontId="86" fillId="28" borderId="0" xfId="45" applyFont="1" applyFill="1"/>
    <xf numFmtId="0" fontId="86" fillId="0" borderId="0" xfId="45" applyFont="1"/>
    <xf numFmtId="0" fontId="131" fillId="28" borderId="0" xfId="45" applyFont="1" applyFill="1" applyAlignment="1">
      <alignment horizontal="left" vertical="top" wrapText="1"/>
    </xf>
    <xf numFmtId="14" fontId="89" fillId="0" borderId="0" xfId="0" applyNumberFormat="1" applyFont="1" applyProtection="1">
      <protection hidden="1"/>
    </xf>
    <xf numFmtId="0" fontId="145" fillId="0" borderId="0" xfId="0" applyFont="1" applyProtection="1">
      <protection hidden="1"/>
    </xf>
    <xf numFmtId="0" fontId="26" fillId="0" borderId="75" xfId="0" applyFont="1" applyBorder="1" applyAlignment="1" applyProtection="1">
      <alignment horizontal="center" vertical="center" wrapText="1"/>
      <protection hidden="1"/>
    </xf>
    <xf numFmtId="3" fontId="26" fillId="0" borderId="76" xfId="0" applyNumberFormat="1" applyFont="1" applyBorder="1" applyAlignment="1" applyProtection="1">
      <alignment horizontal="center" vertical="center" wrapText="1"/>
      <protection hidden="1"/>
    </xf>
    <xf numFmtId="3" fontId="11" fillId="30" borderId="76" xfId="0" applyNumberFormat="1" applyFont="1" applyFill="1" applyBorder="1" applyAlignment="1" applyProtection="1">
      <alignment horizontal="center" vertical="center"/>
      <protection locked="0"/>
    </xf>
    <xf numFmtId="0" fontId="48" fillId="24" borderId="76" xfId="0" applyFont="1" applyFill="1" applyBorder="1" applyAlignment="1" applyProtection="1">
      <alignment horizontal="center" vertical="center"/>
      <protection locked="0"/>
    </xf>
    <xf numFmtId="0" fontId="89" fillId="0" borderId="18" xfId="0" applyFont="1" applyBorder="1" applyAlignment="1" applyProtection="1">
      <alignment horizontal="center"/>
      <protection hidden="1"/>
    </xf>
    <xf numFmtId="0" fontId="110" fillId="0" borderId="0" xfId="61" applyFont="1" applyAlignment="1">
      <alignment horizontal="center"/>
    </xf>
    <xf numFmtId="0" fontId="110" fillId="39" borderId="0" xfId="61" applyFont="1" applyFill="1" applyAlignment="1">
      <alignment horizontal="center"/>
    </xf>
    <xf numFmtId="0" fontId="110" fillId="42" borderId="0" xfId="61" applyFont="1" applyFill="1" applyAlignment="1">
      <alignment horizontal="center"/>
    </xf>
    <xf numFmtId="0" fontId="7" fillId="0" borderId="0" xfId="61"/>
    <xf numFmtId="3" fontId="110" fillId="39" borderId="0" xfId="61" applyNumberFormat="1" applyFont="1" applyFill="1" applyAlignment="1">
      <alignment horizontal="center"/>
    </xf>
    <xf numFmtId="3" fontId="110" fillId="52" borderId="0" xfId="61" applyNumberFormat="1" applyFont="1" applyFill="1" applyAlignment="1">
      <alignment horizontal="center"/>
    </xf>
    <xf numFmtId="3" fontId="110" fillId="42" borderId="0" xfId="61" applyNumberFormat="1" applyFont="1" applyFill="1" applyAlignment="1">
      <alignment horizontal="center"/>
    </xf>
    <xf numFmtId="0" fontId="8" fillId="0" borderId="0" xfId="45" applyFont="1"/>
    <xf numFmtId="164" fontId="0" fillId="0" borderId="0" xfId="30" applyFont="1" applyFill="1"/>
    <xf numFmtId="0" fontId="13" fillId="0" borderId="0" xfId="45" applyAlignment="1">
      <alignment horizontal="center"/>
    </xf>
    <xf numFmtId="10" fontId="8" fillId="0" borderId="0" xfId="54" applyNumberFormat="1" applyFont="1" applyFill="1" applyAlignment="1">
      <alignment horizontal="center"/>
    </xf>
    <xf numFmtId="164" fontId="8" fillId="53" borderId="0" xfId="30" applyFont="1" applyFill="1"/>
    <xf numFmtId="43" fontId="13" fillId="53" borderId="0" xfId="45" applyNumberFormat="1" applyFill="1"/>
    <xf numFmtId="3" fontId="26" fillId="0" borderId="76" xfId="0" applyNumberFormat="1" applyFont="1" applyBorder="1" applyAlignment="1" applyProtection="1">
      <alignment horizontal="center" vertical="center" shrinkToFit="1"/>
      <protection hidden="1"/>
    </xf>
    <xf numFmtId="43" fontId="17" fillId="0" borderId="48" xfId="29" applyFont="1" applyBorder="1" applyAlignment="1" applyProtection="1">
      <alignment horizontal="right" vertical="center" shrinkToFit="1"/>
      <protection hidden="1"/>
    </xf>
    <xf numFmtId="0" fontId="0" fillId="52" borderId="0" xfId="0" applyFill="1" applyProtection="1">
      <protection hidden="1"/>
    </xf>
    <xf numFmtId="166" fontId="14" fillId="52" borderId="0" xfId="29" applyNumberFormat="1" applyFont="1" applyFill="1" applyProtection="1">
      <protection hidden="1"/>
    </xf>
    <xf numFmtId="166" fontId="14" fillId="52" borderId="0" xfId="29" applyNumberFormat="1" applyFont="1" applyFill="1" applyAlignment="1" applyProtection="1">
      <alignment vertical="center"/>
      <protection hidden="1"/>
    </xf>
    <xf numFmtId="166" fontId="19" fillId="52" borderId="0" xfId="29" applyNumberFormat="1" applyFont="1" applyFill="1" applyProtection="1">
      <protection hidden="1"/>
    </xf>
    <xf numFmtId="166" fontId="19" fillId="52" borderId="0" xfId="29" applyNumberFormat="1" applyFont="1" applyFill="1" applyAlignment="1" applyProtection="1">
      <alignment vertical="center"/>
      <protection hidden="1"/>
    </xf>
    <xf numFmtId="166" fontId="14" fillId="52" borderId="0" xfId="34" applyNumberFormat="1" applyFont="1" applyFill="1" applyProtection="1">
      <protection hidden="1"/>
    </xf>
    <xf numFmtId="0" fontId="14" fillId="52" borderId="0" xfId="0" applyFont="1" applyFill="1" applyAlignment="1" applyProtection="1">
      <alignment vertical="center"/>
      <protection hidden="1"/>
    </xf>
    <xf numFmtId="0" fontId="14" fillId="52" borderId="0" xfId="0" applyFont="1" applyFill="1" applyAlignment="1" applyProtection="1">
      <alignment horizontal="center"/>
      <protection hidden="1"/>
    </xf>
    <xf numFmtId="0" fontId="14" fillId="52" borderId="0" xfId="0" applyFont="1" applyFill="1" applyAlignment="1" applyProtection="1">
      <alignment horizontal="center" vertical="center"/>
      <protection hidden="1"/>
    </xf>
    <xf numFmtId="0" fontId="17" fillId="52" borderId="0" xfId="0" applyFont="1" applyFill="1" applyAlignment="1" applyProtection="1">
      <alignment vertical="top" wrapText="1"/>
      <protection hidden="1"/>
    </xf>
    <xf numFmtId="0" fontId="146" fillId="52" borderId="0" xfId="0" applyFont="1" applyFill="1" applyAlignment="1" applyProtection="1">
      <alignment vertical="top" wrapText="1"/>
      <protection hidden="1"/>
    </xf>
    <xf numFmtId="0" fontId="14" fillId="52" borderId="0" xfId="0" applyFont="1" applyFill="1" applyProtection="1">
      <protection hidden="1"/>
    </xf>
    <xf numFmtId="0" fontId="106" fillId="0" borderId="0" xfId="0" applyFont="1" applyProtection="1">
      <protection hidden="1"/>
    </xf>
    <xf numFmtId="0" fontId="147" fillId="0" borderId="0" xfId="0" applyFont="1"/>
    <xf numFmtId="0" fontId="106" fillId="54" borderId="0" xfId="0" applyFont="1" applyFill="1"/>
    <xf numFmtId="166" fontId="106" fillId="33" borderId="0" xfId="29" applyNumberFormat="1" applyFont="1" applyFill="1" applyAlignment="1">
      <alignment vertical="top"/>
    </xf>
    <xf numFmtId="0" fontId="106" fillId="33" borderId="0" xfId="0" applyFont="1" applyFill="1"/>
    <xf numFmtId="166" fontId="106" fillId="55" borderId="0" xfId="29" applyNumberFormat="1" applyFont="1" applyFill="1" applyAlignment="1">
      <alignment vertical="top"/>
    </xf>
    <xf numFmtId="0" fontId="106" fillId="55" borderId="0" xfId="0" applyFont="1" applyFill="1" applyAlignment="1">
      <alignment vertical="top"/>
    </xf>
    <xf numFmtId="166" fontId="106" fillId="42" borderId="0" xfId="29" applyNumberFormat="1" applyFont="1" applyFill="1" applyAlignment="1">
      <alignment vertical="top"/>
    </xf>
    <xf numFmtId="0" fontId="106" fillId="42" borderId="0" xfId="0" applyFont="1" applyFill="1" applyAlignment="1">
      <alignment vertical="top"/>
    </xf>
    <xf numFmtId="166" fontId="106" fillId="39" borderId="0" xfId="29" applyNumberFormat="1" applyFont="1" applyFill="1" applyAlignment="1">
      <alignment vertical="top"/>
    </xf>
    <xf numFmtId="0" fontId="106" fillId="39" borderId="0" xfId="0" applyFont="1" applyFill="1" applyAlignment="1">
      <alignment vertical="top"/>
    </xf>
    <xf numFmtId="166" fontId="106" fillId="56" borderId="0" xfId="29" applyNumberFormat="1" applyFont="1" applyFill="1" applyAlignment="1">
      <alignment vertical="top"/>
    </xf>
    <xf numFmtId="0" fontId="106" fillId="56" borderId="0" xfId="0" applyFont="1" applyFill="1" applyAlignment="1">
      <alignment vertical="top"/>
    </xf>
    <xf numFmtId="166" fontId="106" fillId="43" borderId="0" xfId="29" applyNumberFormat="1" applyFont="1" applyFill="1" applyAlignment="1">
      <alignment vertical="top"/>
    </xf>
    <xf numFmtId="0" fontId="106" fillId="43" borderId="0" xfId="0" applyFont="1" applyFill="1" applyAlignment="1">
      <alignment vertical="top"/>
    </xf>
    <xf numFmtId="0" fontId="106" fillId="0" borderId="0" xfId="0" applyFont="1"/>
    <xf numFmtId="0" fontId="106" fillId="0" borderId="0" xfId="0" applyFont="1" applyAlignment="1" applyProtection="1">
      <alignment vertical="center"/>
      <protection hidden="1"/>
    </xf>
    <xf numFmtId="0" fontId="111" fillId="0" borderId="38" xfId="0" applyFont="1" applyBorder="1" applyAlignment="1" applyProtection="1">
      <alignment vertical="center"/>
      <protection hidden="1"/>
    </xf>
    <xf numFmtId="0" fontId="112" fillId="54" borderId="0" xfId="0" applyFont="1" applyFill="1"/>
    <xf numFmtId="166" fontId="112" fillId="33" borderId="0" xfId="29" applyNumberFormat="1" applyFont="1" applyFill="1" applyAlignment="1">
      <alignment vertical="top"/>
    </xf>
    <xf numFmtId="0" fontId="112" fillId="33" borderId="0" xfId="0" applyFont="1" applyFill="1"/>
    <xf numFmtId="166" fontId="112" fillId="55" borderId="0" xfId="29" applyNumberFormat="1" applyFont="1" applyFill="1" applyAlignment="1">
      <alignment vertical="top"/>
    </xf>
    <xf numFmtId="0" fontId="112" fillId="55" borderId="0" xfId="0" applyFont="1" applyFill="1" applyAlignment="1">
      <alignment vertical="top"/>
    </xf>
    <xf numFmtId="166" fontId="112" fillId="42" borderId="0" xfId="29" applyNumberFormat="1" applyFont="1" applyFill="1" applyAlignment="1">
      <alignment vertical="top"/>
    </xf>
    <xf numFmtId="166" fontId="112" fillId="42" borderId="0" xfId="29" applyNumberFormat="1" applyFont="1" applyFill="1" applyAlignment="1" applyProtection="1">
      <alignment vertical="top"/>
      <protection hidden="1"/>
    </xf>
    <xf numFmtId="166" fontId="112" fillId="39" borderId="0" xfId="29" applyNumberFormat="1" applyFont="1" applyFill="1" applyAlignment="1" applyProtection="1">
      <alignment vertical="top"/>
      <protection hidden="1"/>
    </xf>
    <xf numFmtId="0" fontId="112" fillId="39" borderId="0" xfId="0" applyFont="1" applyFill="1" applyAlignment="1" applyProtection="1">
      <alignment vertical="top"/>
      <protection hidden="1"/>
    </xf>
    <xf numFmtId="166" fontId="112" fillId="56" borderId="0" xfId="29" applyNumberFormat="1" applyFont="1" applyFill="1" applyAlignment="1" applyProtection="1">
      <alignment vertical="top"/>
      <protection hidden="1"/>
    </xf>
    <xf numFmtId="0" fontId="112" fillId="56" borderId="0" xfId="0" applyFont="1" applyFill="1" applyAlignment="1" applyProtection="1">
      <alignment vertical="top"/>
      <protection hidden="1"/>
    </xf>
    <xf numFmtId="166" fontId="112" fillId="43" borderId="0" xfId="29" applyNumberFormat="1" applyFont="1" applyFill="1" applyAlignment="1" applyProtection="1">
      <alignment vertical="top"/>
      <protection hidden="1"/>
    </xf>
    <xf numFmtId="0" fontId="112" fillId="43" borderId="0" xfId="0" applyFont="1" applyFill="1" applyAlignment="1" applyProtection="1">
      <alignment vertical="top"/>
      <protection hidden="1"/>
    </xf>
    <xf numFmtId="0" fontId="112" fillId="0" borderId="0" xfId="0" applyFont="1" applyProtection="1">
      <protection hidden="1"/>
    </xf>
    <xf numFmtId="166" fontId="106" fillId="33" borderId="0" xfId="29" applyNumberFormat="1" applyFont="1" applyFill="1" applyAlignment="1">
      <alignment vertical="center"/>
    </xf>
    <xf numFmtId="0" fontId="106" fillId="33" borderId="0" xfId="0" applyFont="1" applyFill="1" applyAlignment="1">
      <alignment vertical="center"/>
    </xf>
    <xf numFmtId="0" fontId="147" fillId="0" borderId="18" xfId="0" applyFont="1" applyBorder="1" applyAlignment="1">
      <alignment horizontal="center" vertical="top" wrapText="1"/>
    </xf>
    <xf numFmtId="165" fontId="147" fillId="0" borderId="18" xfId="0" applyNumberFormat="1" applyFont="1" applyBorder="1" applyAlignment="1">
      <alignment horizontal="center" vertical="top" wrapText="1"/>
    </xf>
    <xf numFmtId="0" fontId="147" fillId="0" borderId="18" xfId="0" applyFont="1" applyBorder="1" applyAlignment="1">
      <alignment horizontal="justify" vertical="center" wrapText="1"/>
    </xf>
    <xf numFmtId="166" fontId="106" fillId="55" borderId="0" xfId="29" applyNumberFormat="1" applyFont="1" applyFill="1" applyAlignment="1">
      <alignment vertical="top" wrapText="1"/>
    </xf>
    <xf numFmtId="166" fontId="106" fillId="42" borderId="0" xfId="29" applyNumberFormat="1" applyFont="1" applyFill="1" applyAlignment="1">
      <alignment vertical="top" wrapText="1"/>
    </xf>
    <xf numFmtId="166" fontId="106" fillId="39" borderId="0" xfId="29" applyNumberFormat="1" applyFont="1" applyFill="1" applyAlignment="1">
      <alignment vertical="top" wrapText="1"/>
    </xf>
    <xf numFmtId="166" fontId="106" fillId="56" borderId="0" xfId="29" applyNumberFormat="1" applyFont="1" applyFill="1" applyAlignment="1">
      <alignment vertical="top" wrapText="1"/>
    </xf>
    <xf numFmtId="0" fontId="150" fillId="0" borderId="91" xfId="0" applyFont="1" applyBorder="1" applyAlignment="1">
      <alignment vertical="top" wrapText="1"/>
    </xf>
    <xf numFmtId="0" fontId="147" fillId="0" borderId="91" xfId="0" applyFont="1" applyBorder="1" applyAlignment="1">
      <alignment horizontal="center" vertical="top" wrapText="1"/>
    </xf>
    <xf numFmtId="0" fontId="147" fillId="0" borderId="91" xfId="0" applyFont="1" applyBorder="1" applyAlignment="1">
      <alignment horizontal="center" vertical="center" wrapText="1"/>
    </xf>
    <xf numFmtId="0" fontId="147" fillId="0" borderId="18" xfId="0" applyFont="1" applyBorder="1" applyAlignment="1">
      <alignment horizontal="left" vertical="top" wrapText="1"/>
    </xf>
    <xf numFmtId="3" fontId="147" fillId="0" borderId="91" xfId="0" applyNumberFormat="1" applyFont="1" applyBorder="1" applyAlignment="1">
      <alignment horizontal="center" vertical="center" wrapText="1"/>
    </xf>
    <xf numFmtId="0" fontId="147" fillId="0" borderId="92" xfId="0" applyFont="1" applyBorder="1" applyAlignment="1">
      <alignment horizontal="center" vertical="top" wrapText="1"/>
    </xf>
    <xf numFmtId="0" fontId="14" fillId="26" borderId="0" xfId="0" quotePrefix="1" applyFont="1" applyFill="1" applyAlignment="1" applyProtection="1">
      <alignment horizontal="center" vertical="center" wrapText="1"/>
      <protection hidden="1"/>
    </xf>
    <xf numFmtId="166" fontId="14" fillId="0" borderId="0" xfId="63" applyNumberFormat="1" applyFont="1" applyProtection="1">
      <protection hidden="1"/>
    </xf>
    <xf numFmtId="0" fontId="111" fillId="0" borderId="0" xfId="0" applyFont="1" applyAlignment="1">
      <alignment horizontal="left" vertical="center" indent="1"/>
    </xf>
    <xf numFmtId="0" fontId="8" fillId="0" borderId="0" xfId="64"/>
    <xf numFmtId="0" fontId="131" fillId="28" borderId="0" xfId="64" applyFont="1" applyFill="1" applyAlignment="1">
      <alignment vertical="center"/>
    </xf>
    <xf numFmtId="0" fontId="55" fillId="28" borderId="0" xfId="64" applyFont="1" applyFill="1" applyAlignment="1">
      <alignment vertical="center"/>
    </xf>
    <xf numFmtId="0" fontId="55" fillId="0" borderId="0" xfId="64" applyFont="1" applyAlignment="1">
      <alignment vertical="center"/>
    </xf>
    <xf numFmtId="0" fontId="105" fillId="26" borderId="0" xfId="0" applyFont="1" applyFill="1" applyAlignment="1" applyProtection="1">
      <alignment vertical="top" wrapText="1"/>
      <protection hidden="1"/>
    </xf>
    <xf numFmtId="0" fontId="105" fillId="0" borderId="0" xfId="64" applyFont="1" applyProtection="1">
      <protection hidden="1"/>
    </xf>
    <xf numFmtId="0" fontId="105" fillId="26" borderId="0" xfId="0" quotePrefix="1" applyFont="1" applyFill="1" applyAlignment="1" applyProtection="1">
      <alignment vertical="top"/>
      <protection hidden="1"/>
    </xf>
    <xf numFmtId="0" fontId="131" fillId="28" borderId="0" xfId="64" applyFont="1" applyFill="1" applyAlignment="1">
      <alignment horizontal="left" vertical="center" wrapText="1"/>
    </xf>
    <xf numFmtId="0" fontId="55" fillId="0" borderId="0" xfId="64" applyFont="1"/>
    <xf numFmtId="0" fontId="131" fillId="28" borderId="0" xfId="64" applyFont="1" applyFill="1" applyAlignment="1">
      <alignment horizontal="left" vertical="top" wrapText="1"/>
    </xf>
    <xf numFmtId="0" fontId="86" fillId="0" borderId="0" xfId="64" applyFont="1"/>
    <xf numFmtId="0" fontId="14" fillId="0" borderId="0" xfId="0" applyFont="1" applyAlignment="1">
      <alignment horizontal="left" vertical="center" indent="8"/>
    </xf>
    <xf numFmtId="0" fontId="14" fillId="0" borderId="0" xfId="0" applyFont="1" applyAlignment="1">
      <alignment horizontal="left" vertical="center" indent="2"/>
    </xf>
    <xf numFmtId="0" fontId="101" fillId="0" borderId="0" xfId="64" applyFont="1" applyAlignment="1">
      <alignment horizontal="left" vertical="center" wrapText="1" indent="4"/>
    </xf>
    <xf numFmtId="43" fontId="11" fillId="0" borderId="76" xfId="29" applyFont="1" applyFill="1" applyBorder="1" applyAlignment="1" applyProtection="1">
      <alignment horizontal="right" vertical="center" shrinkToFit="1"/>
      <protection hidden="1"/>
    </xf>
    <xf numFmtId="0" fontId="150" fillId="0" borderId="91" xfId="0" applyFont="1" applyBorder="1" applyAlignment="1">
      <alignment horizontal="left" vertical="top" wrapText="1"/>
    </xf>
    <xf numFmtId="0" fontId="150" fillId="0" borderId="92" xfId="0" applyFont="1" applyBorder="1" applyAlignment="1">
      <alignment horizontal="left" vertical="top" wrapText="1"/>
    </xf>
    <xf numFmtId="0" fontId="147" fillId="0" borderId="18" xfId="0" applyFont="1" applyBorder="1" applyAlignment="1">
      <alignment horizontal="center" vertical="center" wrapText="1"/>
    </xf>
    <xf numFmtId="0" fontId="150" fillId="0" borderId="18" xfId="0" applyFont="1" applyBorder="1" applyAlignment="1">
      <alignment horizontal="left" vertical="top" wrapText="1"/>
    </xf>
    <xf numFmtId="0" fontId="89" fillId="0" borderId="0" xfId="0" applyFont="1" applyAlignment="1">
      <alignment vertical="center"/>
    </xf>
    <xf numFmtId="166" fontId="106" fillId="33" borderId="0" xfId="29" applyNumberFormat="1" applyFont="1" applyFill="1" applyAlignment="1">
      <alignment vertical="top" wrapText="1"/>
    </xf>
    <xf numFmtId="0" fontId="147" fillId="0" borderId="0" xfId="0" quotePrefix="1" applyFont="1"/>
    <xf numFmtId="43" fontId="15" fillId="0" borderId="0" xfId="0" applyNumberFormat="1" applyFont="1" applyAlignment="1" applyProtection="1">
      <alignment horizontal="right"/>
      <protection hidden="1"/>
    </xf>
    <xf numFmtId="49" fontId="8" fillId="0" borderId="0" xfId="64" applyNumberFormat="1" applyProtection="1">
      <protection hidden="1"/>
    </xf>
    <xf numFmtId="0" fontId="8" fillId="0" borderId="0" xfId="64" applyProtection="1">
      <protection hidden="1"/>
    </xf>
    <xf numFmtId="0" fontId="14" fillId="0" borderId="0" xfId="64" applyFont="1" applyProtection="1">
      <protection hidden="1"/>
    </xf>
    <xf numFmtId="49" fontId="8" fillId="0" borderId="0" xfId="64" applyNumberFormat="1"/>
    <xf numFmtId="0" fontId="14" fillId="0" borderId="0" xfId="64" applyFont="1" applyAlignment="1">
      <alignment horizontal="left" vertical="center" indent="1"/>
    </xf>
    <xf numFmtId="49" fontId="131" fillId="28" borderId="0" xfId="64" applyNumberFormat="1" applyFont="1" applyFill="1" applyAlignment="1">
      <alignment vertical="center"/>
    </xf>
    <xf numFmtId="49" fontId="106" fillId="26" borderId="0" xfId="0" quotePrefix="1" applyNumberFormat="1" applyFont="1" applyFill="1" applyAlignment="1" applyProtection="1">
      <alignment horizontal="left" vertical="top"/>
      <protection hidden="1"/>
    </xf>
    <xf numFmtId="0" fontId="14" fillId="0" borderId="0" xfId="64" applyFont="1" applyAlignment="1">
      <alignment horizontal="left" vertical="center" indent="3"/>
    </xf>
    <xf numFmtId="0" fontId="14" fillId="0" borderId="0" xfId="64" applyFont="1" applyAlignment="1">
      <alignment horizontal="left" vertical="center" indent="6"/>
    </xf>
    <xf numFmtId="49" fontId="131" fillId="28" borderId="0" xfId="64" applyNumberFormat="1" applyFont="1" applyFill="1" applyAlignment="1">
      <alignment horizontal="left" vertical="center" indent="5"/>
    </xf>
    <xf numFmtId="0" fontId="131" fillId="28" borderId="0" xfId="64" applyFont="1" applyFill="1" applyAlignment="1">
      <alignment horizontal="left" vertical="center" indent="5"/>
    </xf>
    <xf numFmtId="0" fontId="55" fillId="28" borderId="0" xfId="64" applyFont="1" applyFill="1" applyAlignment="1">
      <alignment horizontal="left" vertical="center" indent="5"/>
    </xf>
    <xf numFmtId="0" fontId="55" fillId="0" borderId="0" xfId="64" applyFont="1" applyAlignment="1">
      <alignment horizontal="left" vertical="center" indent="5"/>
    </xf>
    <xf numFmtId="49" fontId="14" fillId="0" borderId="0" xfId="64" applyNumberFormat="1" applyFont="1"/>
    <xf numFmtId="43" fontId="123" fillId="0" borderId="0" xfId="64" applyNumberFormat="1" applyFont="1" applyAlignment="1">
      <alignment horizontal="right" indent="1"/>
    </xf>
    <xf numFmtId="0" fontId="109" fillId="0" borderId="0" xfId="64" applyFont="1" applyAlignment="1">
      <alignment horizontal="left" vertical="center" wrapText="1" indent="1"/>
    </xf>
    <xf numFmtId="0" fontId="109" fillId="0" borderId="0" xfId="0" applyFont="1" applyAlignment="1">
      <alignment horizontal="left" vertical="center" indent="5"/>
    </xf>
    <xf numFmtId="0" fontId="109" fillId="0" borderId="0" xfId="64" applyFont="1" applyAlignment="1">
      <alignment horizontal="left" vertical="center" indent="5"/>
    </xf>
    <xf numFmtId="0" fontId="109" fillId="0" borderId="0" xfId="0" applyFont="1" applyAlignment="1">
      <alignment horizontal="left" vertical="center" indent="1"/>
    </xf>
    <xf numFmtId="0" fontId="102" fillId="0" borderId="0" xfId="0" applyFont="1" applyAlignment="1" applyProtection="1">
      <alignment horizontal="left"/>
      <protection hidden="1"/>
    </xf>
    <xf numFmtId="3" fontId="26" fillId="0" borderId="10" xfId="0" applyNumberFormat="1" applyFont="1" applyBorder="1" applyAlignment="1" applyProtection="1">
      <alignment horizontal="center" vertical="center" wrapText="1"/>
      <protection hidden="1"/>
    </xf>
    <xf numFmtId="3" fontId="26" fillId="0" borderId="10" xfId="0" applyNumberFormat="1" applyFont="1" applyFill="1" applyBorder="1" applyAlignment="1" applyProtection="1">
      <alignment horizontal="center" vertical="center" wrapText="1"/>
      <protection hidden="1"/>
    </xf>
    <xf numFmtId="0" fontId="152" fillId="0" borderId="0" xfId="64" applyFont="1" applyAlignment="1" applyProtection="1">
      <alignment horizontal="center"/>
      <protection hidden="1"/>
    </xf>
    <xf numFmtId="0" fontId="87" fillId="0" borderId="0" xfId="64" applyFont="1" applyProtection="1">
      <protection hidden="1"/>
    </xf>
    <xf numFmtId="0" fontId="71" fillId="0" borderId="0" xfId="64" applyFont="1" applyProtection="1">
      <protection hidden="1"/>
    </xf>
    <xf numFmtId="0" fontId="78" fillId="0" borderId="0" xfId="64" applyFont="1" applyProtection="1">
      <protection hidden="1"/>
    </xf>
    <xf numFmtId="0" fontId="89" fillId="0" borderId="0" xfId="64" applyFont="1" applyProtection="1">
      <protection hidden="1"/>
    </xf>
    <xf numFmtId="0" fontId="153" fillId="0" borderId="0" xfId="64" applyFont="1" applyAlignment="1" applyProtection="1">
      <alignment horizontal="center" vertical="center"/>
      <protection hidden="1"/>
    </xf>
    <xf numFmtId="0" fontId="100" fillId="0" borderId="0" xfId="64" applyFont="1" applyProtection="1">
      <protection hidden="1"/>
    </xf>
    <xf numFmtId="0" fontId="100" fillId="0" borderId="0" xfId="64" applyFont="1" applyAlignment="1">
      <alignment horizontal="left" vertical="center"/>
    </xf>
    <xf numFmtId="0" fontId="100" fillId="0" borderId="0" xfId="64" applyFont="1"/>
    <xf numFmtId="165" fontId="71" fillId="24" borderId="0" xfId="29" applyNumberFormat="1" applyFont="1" applyFill="1" applyBorder="1" applyAlignment="1" applyProtection="1">
      <protection locked="0"/>
    </xf>
    <xf numFmtId="0" fontId="116" fillId="0" borderId="0" xfId="64" applyFont="1" applyAlignment="1" applyProtection="1">
      <alignment horizontal="left" indent="1"/>
      <protection hidden="1"/>
    </xf>
    <xf numFmtId="165" fontId="71" fillId="31" borderId="0" xfId="29" applyNumberFormat="1" applyFont="1" applyFill="1" applyBorder="1" applyAlignment="1" applyProtection="1">
      <protection locked="0"/>
    </xf>
    <xf numFmtId="0" fontId="73" fillId="0" borderId="0" xfId="64" applyFont="1" applyProtection="1">
      <protection hidden="1"/>
    </xf>
    <xf numFmtId="0" fontId="71" fillId="0" borderId="0" xfId="64" applyFont="1" applyAlignment="1" applyProtection="1">
      <alignment vertical="center"/>
      <protection hidden="1"/>
    </xf>
    <xf numFmtId="0" fontId="73" fillId="0" borderId="0" xfId="64" applyFont="1" applyAlignment="1" applyProtection="1">
      <alignment vertical="center" wrapText="1"/>
      <protection hidden="1"/>
    </xf>
    <xf numFmtId="0" fontId="154" fillId="0" borderId="38" xfId="0" applyFont="1" applyBorder="1" applyAlignment="1" applyProtection="1">
      <alignment horizontal="center"/>
      <protection hidden="1"/>
    </xf>
    <xf numFmtId="0" fontId="154" fillId="0" borderId="38" xfId="0" applyFont="1" applyFill="1" applyBorder="1" applyAlignment="1" applyProtection="1">
      <alignment horizontal="center"/>
      <protection hidden="1"/>
    </xf>
    <xf numFmtId="3" fontId="11" fillId="30" borderId="10" xfId="0" applyNumberFormat="1" applyFont="1" applyFill="1" applyBorder="1" applyAlignment="1" applyProtection="1">
      <alignment horizontal="center" vertical="center"/>
      <protection locked="0"/>
    </xf>
    <xf numFmtId="0" fontId="8" fillId="34" borderId="93" xfId="0" applyFont="1" applyFill="1" applyBorder="1" applyAlignment="1" applyProtection="1">
      <alignment vertical="center"/>
      <protection hidden="1"/>
    </xf>
    <xf numFmtId="0" fontId="0" fillId="34" borderId="92" xfId="0" applyFill="1" applyBorder="1" applyAlignment="1" applyProtection="1">
      <alignment horizontal="center" vertical="center"/>
      <protection hidden="1"/>
    </xf>
    <xf numFmtId="0" fontId="0" fillId="34" borderId="94" xfId="0" applyFill="1" applyBorder="1" applyAlignment="1" applyProtection="1">
      <alignment horizontal="center" vertical="center"/>
      <protection hidden="1"/>
    </xf>
    <xf numFmtId="0" fontId="155" fillId="44" borderId="18" xfId="0" applyFont="1" applyFill="1" applyBorder="1" applyAlignment="1">
      <alignment vertical="center"/>
    </xf>
    <xf numFmtId="0" fontId="8" fillId="44" borderId="18" xfId="0" applyFont="1" applyFill="1" applyBorder="1" applyProtection="1">
      <protection hidden="1"/>
    </xf>
    <xf numFmtId="164" fontId="8" fillId="57" borderId="18" xfId="0" applyNumberFormat="1" applyFont="1" applyFill="1" applyBorder="1" applyAlignment="1" applyProtection="1">
      <alignment vertical="center"/>
      <protection hidden="1"/>
    </xf>
    <xf numFmtId="49" fontId="106" fillId="0" borderId="30" xfId="0" applyNumberFormat="1" applyFont="1" applyBorder="1" applyProtection="1">
      <protection hidden="1"/>
    </xf>
    <xf numFmtId="0" fontId="106" fillId="0" borderId="20" xfId="0" applyFont="1" applyBorder="1" applyProtection="1">
      <protection hidden="1"/>
    </xf>
    <xf numFmtId="0" fontId="106" fillId="0" borderId="20" xfId="0" applyFont="1" applyBorder="1" applyAlignment="1" applyProtection="1">
      <alignment horizontal="center"/>
      <protection hidden="1"/>
    </xf>
    <xf numFmtId="0" fontId="0" fillId="0" borderId="18" xfId="0" applyBorder="1" applyAlignment="1" applyProtection="1">
      <alignment horizontal="center"/>
      <protection hidden="1"/>
    </xf>
    <xf numFmtId="0" fontId="0" fillId="0" borderId="95" xfId="0" applyBorder="1" applyAlignment="1" applyProtection="1">
      <alignment horizontal="center"/>
      <protection hidden="1"/>
    </xf>
    <xf numFmtId="0" fontId="106" fillId="0" borderId="18" xfId="0" applyFont="1" applyBorder="1" applyAlignment="1">
      <alignment vertical="center"/>
    </xf>
    <xf numFmtId="0" fontId="106" fillId="0" borderId="18" xfId="0" applyFont="1" applyBorder="1" applyAlignment="1">
      <alignment vertical="center" wrapText="1"/>
    </xf>
    <xf numFmtId="0" fontId="8" fillId="0" borderId="18" xfId="0" applyFont="1" applyBorder="1" applyProtection="1">
      <protection hidden="1"/>
    </xf>
    <xf numFmtId="0" fontId="89" fillId="0" borderId="18" xfId="0" applyFont="1" applyBorder="1" applyProtection="1">
      <protection hidden="1"/>
    </xf>
    <xf numFmtId="49" fontId="106" fillId="0" borderId="38" xfId="0" applyNumberFormat="1" applyFont="1" applyBorder="1" applyProtection="1">
      <protection hidden="1"/>
    </xf>
    <xf numFmtId="0" fontId="106" fillId="0" borderId="18" xfId="0" applyFont="1" applyBorder="1" applyProtection="1">
      <protection hidden="1"/>
    </xf>
    <xf numFmtId="0" fontId="106" fillId="0" borderId="18" xfId="0" applyFont="1" applyBorder="1" applyAlignment="1" applyProtection="1">
      <alignment horizontal="center"/>
      <protection hidden="1"/>
    </xf>
    <xf numFmtId="164" fontId="8" fillId="57" borderId="18" xfId="0" applyNumberFormat="1" applyFont="1" applyFill="1" applyBorder="1" applyAlignment="1" applyProtection="1">
      <alignment shrinkToFit="1"/>
      <protection hidden="1"/>
    </xf>
    <xf numFmtId="164" fontId="8" fillId="57" borderId="18" xfId="0" applyNumberFormat="1" applyFont="1" applyFill="1" applyBorder="1" applyProtection="1">
      <protection hidden="1"/>
    </xf>
    <xf numFmtId="49" fontId="106" fillId="0" borderId="38" xfId="0" applyNumberFormat="1" applyFont="1" applyBorder="1" applyAlignment="1" applyProtection="1">
      <alignment vertical="center"/>
      <protection hidden="1"/>
    </xf>
    <xf numFmtId="0" fontId="106" fillId="0" borderId="18" xfId="0" applyFont="1" applyBorder="1" applyAlignment="1" applyProtection="1">
      <alignment horizontal="center" vertical="center"/>
      <protection hidden="1"/>
    </xf>
    <xf numFmtId="0" fontId="106" fillId="0" borderId="18" xfId="0" applyFont="1" applyBorder="1" applyAlignment="1" applyProtection="1">
      <alignment vertical="center"/>
      <protection hidden="1"/>
    </xf>
    <xf numFmtId="49" fontId="106" fillId="0" borderId="96" xfId="0" applyNumberFormat="1" applyFont="1" applyBorder="1" applyAlignment="1" applyProtection="1">
      <alignment vertical="center"/>
      <protection hidden="1"/>
    </xf>
    <xf numFmtId="0" fontId="0" fillId="0" borderId="18" xfId="0" applyBorder="1" applyAlignment="1" applyProtection="1">
      <alignment horizontal="center" vertical="center"/>
      <protection hidden="1"/>
    </xf>
    <xf numFmtId="0" fontId="0" fillId="0" borderId="95" xfId="0" applyBorder="1" applyAlignment="1" applyProtection="1">
      <alignment horizontal="center" vertical="center"/>
      <protection hidden="1"/>
    </xf>
    <xf numFmtId="49" fontId="106" fillId="0" borderId="96" xfId="0" applyNumberFormat="1" applyFont="1" applyBorder="1" applyProtection="1">
      <protection hidden="1"/>
    </xf>
    <xf numFmtId="49" fontId="106" fillId="0" borderId="97" xfId="0" applyNumberFormat="1" applyFont="1" applyBorder="1" applyProtection="1">
      <protection hidden="1"/>
    </xf>
    <xf numFmtId="0" fontId="106" fillId="0" borderId="91" xfId="0" applyFont="1" applyBorder="1" applyProtection="1">
      <protection hidden="1"/>
    </xf>
    <xf numFmtId="0" fontId="112" fillId="0" borderId="91" xfId="0" applyFont="1" applyBorder="1" applyAlignment="1" applyProtection="1">
      <alignment horizontal="center"/>
      <protection hidden="1"/>
    </xf>
    <xf numFmtId="0" fontId="112" fillId="0" borderId="91" xfId="0" applyFont="1" applyBorder="1" applyProtection="1">
      <protection hidden="1"/>
    </xf>
    <xf numFmtId="0" fontId="0" fillId="0" borderId="91" xfId="0" applyBorder="1" applyAlignment="1" applyProtection="1">
      <alignment horizontal="center"/>
      <protection hidden="1"/>
    </xf>
    <xf numFmtId="0" fontId="0" fillId="0" borderId="98" xfId="0" applyBorder="1" applyAlignment="1" applyProtection="1">
      <alignment horizontal="center"/>
      <protection hidden="1"/>
    </xf>
    <xf numFmtId="0" fontId="8" fillId="0" borderId="18" xfId="0" applyFont="1" applyBorder="1" applyAlignment="1" applyProtection="1">
      <alignment vertical="center"/>
      <protection hidden="1"/>
    </xf>
    <xf numFmtId="0" fontId="63" fillId="27" borderId="45" xfId="0" applyFont="1" applyFill="1" applyBorder="1" applyProtection="1">
      <protection hidden="1"/>
    </xf>
    <xf numFmtId="164" fontId="112" fillId="57" borderId="30" xfId="0" applyNumberFormat="1" applyFont="1" applyFill="1" applyBorder="1" applyProtection="1">
      <protection hidden="1"/>
    </xf>
    <xf numFmtId="2" fontId="89" fillId="0" borderId="0" xfId="0" applyNumberFormat="1" applyFont="1" applyProtection="1">
      <protection hidden="1"/>
    </xf>
    <xf numFmtId="1" fontId="117" fillId="0" borderId="0" xfId="0" applyNumberFormat="1" applyFont="1" applyAlignment="1" applyProtection="1">
      <alignment horizontal="center" vertical="center"/>
      <protection hidden="1"/>
    </xf>
    <xf numFmtId="0" fontId="147" fillId="0" borderId="18" xfId="0" applyFont="1" applyBorder="1" applyAlignment="1">
      <alignment horizontal="center" vertical="center" wrapText="1"/>
    </xf>
    <xf numFmtId="0" fontId="8" fillId="0" borderId="0" xfId="64" applyAlignment="1">
      <alignment horizontal="left" indent="1" shrinkToFit="1"/>
    </xf>
    <xf numFmtId="0" fontId="112" fillId="57" borderId="30" xfId="0" applyNumberFormat="1" applyFont="1" applyFill="1" applyBorder="1" applyAlignment="1" applyProtection="1">
      <alignment horizontal="center"/>
      <protection hidden="1"/>
    </xf>
    <xf numFmtId="166" fontId="5" fillId="0" borderId="0" xfId="29" applyNumberFormat="1" applyFont="1" applyFill="1" applyBorder="1" applyAlignment="1">
      <alignment vertical="center"/>
    </xf>
    <xf numFmtId="0" fontId="5" fillId="26" borderId="0" xfId="67" applyFill="1" applyAlignment="1">
      <alignment vertical="center"/>
    </xf>
    <xf numFmtId="166" fontId="5" fillId="0" borderId="0" xfId="29" applyNumberFormat="1" applyFont="1" applyFill="1" applyBorder="1" applyAlignment="1">
      <alignment horizontal="center" vertical="center"/>
    </xf>
    <xf numFmtId="0" fontId="5" fillId="0" borderId="0" xfId="67" applyAlignment="1">
      <alignment horizontal="center" vertical="center"/>
    </xf>
    <xf numFmtId="0" fontId="5" fillId="0" borderId="0" xfId="67" applyAlignment="1">
      <alignment vertical="center"/>
    </xf>
    <xf numFmtId="0" fontId="8" fillId="0" borderId="0" xfId="62"/>
    <xf numFmtId="0" fontId="106" fillId="0" borderId="0" xfId="69" applyFont="1" applyProtection="1">
      <protection hidden="1"/>
    </xf>
    <xf numFmtId="0" fontId="147" fillId="0" borderId="0" xfId="69" applyFont="1"/>
    <xf numFmtId="0" fontId="147" fillId="58" borderId="0" xfId="70" applyFont="1" applyFill="1"/>
    <xf numFmtId="0" fontId="147" fillId="56" borderId="0" xfId="70" applyFont="1" applyFill="1"/>
    <xf numFmtId="0" fontId="147" fillId="0" borderId="0" xfId="70" applyFont="1"/>
    <xf numFmtId="0" fontId="147" fillId="56" borderId="0" xfId="70" applyFont="1" applyFill="1" applyAlignment="1">
      <alignment horizontal="center"/>
    </xf>
    <xf numFmtId="0" fontId="106" fillId="0" borderId="0" xfId="69" applyFont="1" applyAlignment="1" applyProtection="1">
      <alignment vertical="center"/>
      <protection hidden="1"/>
    </xf>
    <xf numFmtId="0" fontId="149" fillId="0" borderId="39" xfId="69" applyFont="1" applyBorder="1" applyAlignment="1" applyProtection="1">
      <alignment horizontal="left" vertical="center" indent="1"/>
      <protection hidden="1"/>
    </xf>
    <xf numFmtId="0" fontId="149" fillId="0" borderId="37" xfId="69" applyFont="1" applyBorder="1" applyAlignment="1" applyProtection="1">
      <alignment vertical="center"/>
      <protection hidden="1"/>
    </xf>
    <xf numFmtId="0" fontId="149" fillId="0" borderId="37" xfId="69" applyFont="1" applyBorder="1" applyAlignment="1" applyProtection="1">
      <alignment horizontal="left" vertical="center"/>
      <protection hidden="1"/>
    </xf>
    <xf numFmtId="0" fontId="149" fillId="0" borderId="38" xfId="69" applyFont="1" applyBorder="1" applyAlignment="1" applyProtection="1">
      <alignment vertical="center"/>
      <protection hidden="1"/>
    </xf>
    <xf numFmtId="0" fontId="147" fillId="56" borderId="0" xfId="70" applyFont="1" applyFill="1" applyAlignment="1">
      <alignment vertical="center"/>
    </xf>
    <xf numFmtId="0" fontId="147" fillId="56" borderId="0" xfId="70" applyFont="1" applyFill="1" applyAlignment="1">
      <alignment horizontal="center" vertical="center"/>
    </xf>
    <xf numFmtId="0" fontId="106" fillId="56" borderId="0" xfId="70" applyFont="1" applyFill="1" applyAlignment="1">
      <alignment horizontal="center" vertical="center"/>
    </xf>
    <xf numFmtId="1" fontId="106" fillId="56" borderId="0" xfId="70" applyNumberFormat="1" applyFont="1" applyFill="1" applyAlignment="1">
      <alignment horizontal="center" vertical="center"/>
    </xf>
    <xf numFmtId="0" fontId="106" fillId="0" borderId="0" xfId="70" applyFont="1"/>
    <xf numFmtId="0" fontId="156" fillId="59" borderId="18" xfId="70" applyFont="1" applyFill="1" applyBorder="1" applyAlignment="1">
      <alignment horizontal="center" vertical="center" wrapText="1"/>
    </xf>
    <xf numFmtId="0" fontId="157" fillId="58" borderId="0" xfId="70" applyFont="1" applyFill="1" applyAlignment="1">
      <alignment horizontal="center" vertical="center"/>
    </xf>
    <xf numFmtId="0" fontId="157" fillId="56" borderId="33" xfId="70" applyFont="1" applyFill="1" applyBorder="1" applyAlignment="1">
      <alignment horizontal="center" vertical="center" wrapText="1"/>
    </xf>
    <xf numFmtId="0" fontId="157" fillId="0" borderId="33" xfId="70" applyFont="1" applyBorder="1" applyAlignment="1">
      <alignment horizontal="center" vertical="center" wrapText="1"/>
    </xf>
    <xf numFmtId="0" fontId="157" fillId="58" borderId="35" xfId="70" applyFont="1" applyFill="1" applyBorder="1" applyAlignment="1">
      <alignment horizontal="center" vertical="center" wrapText="1"/>
    </xf>
    <xf numFmtId="0" fontId="157" fillId="56" borderId="102" xfId="70" applyFont="1" applyFill="1" applyBorder="1" applyAlignment="1">
      <alignment vertical="center" wrapText="1"/>
    </xf>
    <xf numFmtId="0" fontId="157" fillId="56" borderId="103" xfId="70" applyFont="1" applyFill="1" applyBorder="1" applyAlignment="1">
      <alignment vertical="center" wrapText="1"/>
    </xf>
    <xf numFmtId="0" fontId="157" fillId="40" borderId="102" xfId="70" applyFont="1" applyFill="1" applyBorder="1" applyAlignment="1">
      <alignment vertical="center" wrapText="1"/>
    </xf>
    <xf numFmtId="0" fontId="157" fillId="40" borderId="103" xfId="70" applyFont="1" applyFill="1" applyBorder="1" applyAlignment="1">
      <alignment vertical="center" wrapText="1"/>
    </xf>
    <xf numFmtId="0" fontId="157" fillId="40" borderId="104" xfId="70" applyFont="1" applyFill="1" applyBorder="1" applyAlignment="1">
      <alignment vertical="center" wrapText="1"/>
    </xf>
    <xf numFmtId="0" fontId="157" fillId="40" borderId="105" xfId="70" applyFont="1" applyFill="1" applyBorder="1" applyAlignment="1">
      <alignment vertical="center" wrapText="1"/>
    </xf>
    <xf numFmtId="3" fontId="106" fillId="0" borderId="18" xfId="70" applyNumberFormat="1" applyFont="1" applyBorder="1" applyAlignment="1">
      <alignment horizontal="center" vertical="top" wrapText="1"/>
    </xf>
    <xf numFmtId="0" fontId="157" fillId="0" borderId="19" xfId="70" applyFont="1" applyBorder="1" applyAlignment="1">
      <alignment horizontal="center" vertical="top" wrapText="1"/>
    </xf>
    <xf numFmtId="0" fontId="157" fillId="58" borderId="0" xfId="70" applyFont="1" applyFill="1" applyAlignment="1">
      <alignment vertical="center" wrapText="1"/>
    </xf>
    <xf numFmtId="0" fontId="106" fillId="56" borderId="19" xfId="70" applyFont="1" applyFill="1" applyBorder="1" applyAlignment="1">
      <alignment horizontal="center" vertical="top" wrapText="1"/>
    </xf>
    <xf numFmtId="0" fontId="158" fillId="0" borderId="19" xfId="70" applyFont="1" applyBorder="1" applyAlignment="1">
      <alignment horizontal="center" vertical="top" wrapText="1"/>
    </xf>
    <xf numFmtId="0" fontId="106" fillId="0" borderId="19" xfId="70" applyFont="1" applyBorder="1" applyAlignment="1">
      <alignment horizontal="center" vertical="top" wrapText="1"/>
    </xf>
    <xf numFmtId="0" fontId="157" fillId="58" borderId="10" xfId="70" applyFont="1" applyFill="1" applyBorder="1" applyAlignment="1">
      <alignment vertical="top" wrapText="1"/>
    </xf>
    <xf numFmtId="0" fontId="157" fillId="56" borderId="37" xfId="70" applyFont="1" applyFill="1" applyBorder="1" applyAlignment="1">
      <alignment vertical="top" wrapText="1"/>
    </xf>
    <xf numFmtId="0" fontId="157" fillId="56" borderId="38" xfId="70" applyFont="1" applyFill="1" applyBorder="1" applyAlignment="1">
      <alignment vertical="top" wrapText="1"/>
    </xf>
    <xf numFmtId="0" fontId="157" fillId="0" borderId="37" xfId="70" applyFont="1" applyBorder="1" applyAlignment="1">
      <alignment vertical="top" wrapText="1"/>
    </xf>
    <xf numFmtId="0" fontId="157" fillId="0" borderId="38" xfId="70" applyFont="1" applyBorder="1" applyAlignment="1">
      <alignment vertical="top" wrapText="1"/>
    </xf>
    <xf numFmtId="0" fontId="157" fillId="0" borderId="18" xfId="70" applyFont="1" applyBorder="1" applyAlignment="1">
      <alignment vertical="top" wrapText="1"/>
    </xf>
    <xf numFmtId="0" fontId="106" fillId="0" borderId="18" xfId="70" applyFont="1" applyBorder="1" applyAlignment="1">
      <alignment horizontal="justify" vertical="center" wrapText="1"/>
    </xf>
    <xf numFmtId="0" fontId="106" fillId="0" borderId="18" xfId="70" applyFont="1" applyBorder="1" applyAlignment="1">
      <alignment horizontal="center" vertical="center" wrapText="1"/>
    </xf>
    <xf numFmtId="0" fontId="157" fillId="0" borderId="19" xfId="70" applyFont="1" applyBorder="1" applyAlignment="1">
      <alignment horizontal="center" vertical="center" wrapText="1"/>
    </xf>
    <xf numFmtId="0" fontId="157" fillId="58" borderId="0" xfId="70" applyFont="1" applyFill="1" applyAlignment="1">
      <alignment vertical="top" wrapText="1"/>
    </xf>
    <xf numFmtId="0" fontId="106" fillId="56" borderId="18" xfId="70" applyFont="1" applyFill="1" applyBorder="1" applyAlignment="1">
      <alignment horizontal="center" vertical="top" wrapText="1"/>
    </xf>
    <xf numFmtId="0" fontId="106" fillId="0" borderId="18" xfId="70" applyFont="1" applyBorder="1" applyAlignment="1">
      <alignment horizontal="center" vertical="top" wrapText="1"/>
    </xf>
    <xf numFmtId="0" fontId="106" fillId="0" borderId="18" xfId="70" applyFont="1" applyBorder="1" applyAlignment="1">
      <alignment vertical="center" shrinkToFit="1"/>
    </xf>
    <xf numFmtId="0" fontId="106" fillId="58" borderId="10" xfId="70" applyFont="1" applyFill="1" applyBorder="1" applyAlignment="1">
      <alignment horizontal="justify" vertical="top" wrapText="1"/>
    </xf>
    <xf numFmtId="0" fontId="106" fillId="58" borderId="10" xfId="70" applyFont="1" applyFill="1" applyBorder="1" applyAlignment="1">
      <alignment vertical="top" wrapText="1"/>
    </xf>
    <xf numFmtId="0" fontId="106" fillId="0" borderId="18" xfId="70" applyFont="1" applyBorder="1" applyAlignment="1">
      <alignment vertical="center" wrapText="1"/>
    </xf>
    <xf numFmtId="0" fontId="106" fillId="0" borderId="19" xfId="70" applyFont="1" applyBorder="1" applyAlignment="1">
      <alignment horizontal="center" vertical="center" wrapText="1"/>
    </xf>
    <xf numFmtId="0" fontId="157" fillId="0" borderId="18" xfId="70" applyFont="1" applyBorder="1" applyAlignment="1">
      <alignment vertical="center" wrapText="1"/>
    </xf>
    <xf numFmtId="3" fontId="106" fillId="0" borderId="18" xfId="70" applyNumberFormat="1" applyFont="1" applyBorder="1" applyAlignment="1">
      <alignment horizontal="center" vertical="center" wrapText="1"/>
    </xf>
    <xf numFmtId="0" fontId="106" fillId="0" borderId="18" xfId="70" applyFont="1" applyBorder="1" applyAlignment="1">
      <alignment horizontal="left" vertical="center" shrinkToFit="1"/>
    </xf>
    <xf numFmtId="0" fontId="106" fillId="58" borderId="10" xfId="70" applyFont="1" applyFill="1" applyBorder="1" applyAlignment="1">
      <alignment horizontal="left" vertical="top" wrapText="1"/>
    </xf>
    <xf numFmtId="0" fontId="157" fillId="0" borderId="18" xfId="70" applyFont="1" applyBorder="1" applyAlignment="1">
      <alignment horizontal="justify" vertical="center" wrapText="1"/>
    </xf>
    <xf numFmtId="0" fontId="157" fillId="58" borderId="10" xfId="70" applyFont="1" applyFill="1" applyBorder="1" applyAlignment="1">
      <alignment horizontal="justify" vertical="top" wrapText="1"/>
    </xf>
    <xf numFmtId="0" fontId="157" fillId="56" borderId="37" xfId="70" applyFont="1" applyFill="1" applyBorder="1" applyAlignment="1">
      <alignment vertical="center" wrapText="1"/>
    </xf>
    <xf numFmtId="0" fontId="157" fillId="56" borderId="38" xfId="70" applyFont="1" applyFill="1" applyBorder="1" applyAlignment="1">
      <alignment vertical="center" wrapText="1"/>
    </xf>
    <xf numFmtId="0" fontId="157" fillId="40" borderId="37" xfId="70" applyFont="1" applyFill="1" applyBorder="1" applyAlignment="1">
      <alignment vertical="center" wrapText="1"/>
    </xf>
    <xf numFmtId="0" fontId="157" fillId="40" borderId="38" xfId="70" applyFont="1" applyFill="1" applyBorder="1" applyAlignment="1">
      <alignment vertical="center" wrapText="1"/>
    </xf>
    <xf numFmtId="0" fontId="157" fillId="40" borderId="18" xfId="70" applyFont="1" applyFill="1" applyBorder="1" applyAlignment="1">
      <alignment vertical="center" wrapText="1"/>
    </xf>
    <xf numFmtId="0" fontId="106" fillId="0" borderId="0" xfId="70" applyFont="1" applyAlignment="1">
      <alignment vertical="center"/>
    </xf>
    <xf numFmtId="0" fontId="106" fillId="0" borderId="18" xfId="70" applyFont="1" applyBorder="1" applyAlignment="1">
      <alignment horizontal="left" vertical="center" wrapText="1"/>
    </xf>
    <xf numFmtId="0" fontId="157" fillId="0" borderId="18" xfId="70" applyFont="1" applyBorder="1" applyAlignment="1">
      <alignment horizontal="center" vertical="center" wrapText="1"/>
    </xf>
    <xf numFmtId="0" fontId="157" fillId="0" borderId="18" xfId="70" applyFont="1" applyBorder="1" applyAlignment="1">
      <alignment horizontal="left" vertical="center" shrinkToFit="1"/>
    </xf>
    <xf numFmtId="0" fontId="157" fillId="0" borderId="18" xfId="70" applyFont="1" applyBorder="1" applyAlignment="1">
      <alignment horizontal="left" vertical="center" wrapText="1"/>
    </xf>
    <xf numFmtId="0" fontId="157" fillId="58" borderId="10" xfId="70" applyFont="1" applyFill="1" applyBorder="1" applyAlignment="1">
      <alignment horizontal="left" vertical="top" wrapText="1"/>
    </xf>
    <xf numFmtId="0" fontId="157" fillId="0" borderId="91" xfId="70" applyFont="1" applyBorder="1" applyAlignment="1">
      <alignment horizontal="justify" vertical="center" wrapText="1"/>
    </xf>
    <xf numFmtId="0" fontId="106" fillId="0" borderId="91" xfId="70" applyFont="1" applyBorder="1" applyAlignment="1">
      <alignment horizontal="center" vertical="center" wrapText="1"/>
    </xf>
    <xf numFmtId="0" fontId="157" fillId="0" borderId="91" xfId="70" applyFont="1" applyBorder="1" applyAlignment="1">
      <alignment horizontal="center" vertical="center" wrapText="1"/>
    </xf>
    <xf numFmtId="0" fontId="106" fillId="56" borderId="91" xfId="70" applyFont="1" applyFill="1" applyBorder="1" applyAlignment="1">
      <alignment horizontal="center" vertical="top" wrapText="1"/>
    </xf>
    <xf numFmtId="0" fontId="106" fillId="0" borderId="91" xfId="70" applyFont="1" applyBorder="1" applyAlignment="1">
      <alignment horizontal="center" vertical="top" wrapText="1"/>
    </xf>
    <xf numFmtId="0" fontId="160" fillId="56" borderId="20" xfId="70" applyFont="1" applyFill="1" applyBorder="1" applyAlignment="1">
      <alignment vertical="center" wrapText="1"/>
    </xf>
    <xf numFmtId="0" fontId="160" fillId="0" borderId="20" xfId="70" applyFont="1" applyBorder="1" applyAlignment="1">
      <alignment vertical="center" wrapText="1"/>
    </xf>
    <xf numFmtId="0" fontId="160" fillId="58" borderId="10" xfId="70" applyFont="1" applyFill="1" applyBorder="1" applyAlignment="1">
      <alignment vertical="center" wrapText="1"/>
    </xf>
    <xf numFmtId="0" fontId="106" fillId="58" borderId="10" xfId="70" applyFont="1" applyFill="1" applyBorder="1" applyAlignment="1">
      <alignment horizontal="justify" vertical="center" wrapText="1"/>
    </xf>
    <xf numFmtId="0" fontId="106" fillId="58" borderId="28" xfId="70" applyFont="1" applyFill="1" applyBorder="1" applyAlignment="1">
      <alignment horizontal="justify" vertical="center" wrapText="1"/>
    </xf>
    <xf numFmtId="0" fontId="157" fillId="56" borderId="18" xfId="70" applyFont="1" applyFill="1" applyBorder="1" applyAlignment="1">
      <alignment horizontal="center" vertical="center" wrapText="1"/>
    </xf>
    <xf numFmtId="0" fontId="157" fillId="47" borderId="18" xfId="70" applyFont="1" applyFill="1" applyBorder="1" applyAlignment="1">
      <alignment horizontal="center" vertical="center" wrapText="1"/>
    </xf>
    <xf numFmtId="0" fontId="157" fillId="44" borderId="18" xfId="70" applyFont="1" applyFill="1" applyBorder="1" applyAlignment="1">
      <alignment horizontal="center" vertical="center" wrapText="1"/>
    </xf>
    <xf numFmtId="0" fontId="157" fillId="43" borderId="18" xfId="70" applyFont="1" applyFill="1" applyBorder="1" applyAlignment="1">
      <alignment horizontal="center" vertical="center" wrapText="1"/>
    </xf>
    <xf numFmtId="0" fontId="157" fillId="42" borderId="18" xfId="70" applyFont="1" applyFill="1" applyBorder="1" applyAlignment="1">
      <alignment horizontal="center" vertical="center" wrapText="1"/>
    </xf>
    <xf numFmtId="0" fontId="157" fillId="55" borderId="18" xfId="70" applyFont="1" applyFill="1" applyBorder="1" applyAlignment="1">
      <alignment horizontal="center" vertical="center" wrapText="1"/>
    </xf>
    <xf numFmtId="0" fontId="157" fillId="58" borderId="0" xfId="70" applyFont="1" applyFill="1" applyAlignment="1">
      <alignment horizontal="center" vertical="center" wrapText="1"/>
    </xf>
    <xf numFmtId="0" fontId="157" fillId="0" borderId="39" xfId="70" applyFont="1" applyBorder="1" applyAlignment="1">
      <alignment vertical="center" wrapText="1"/>
    </xf>
    <xf numFmtId="0" fontId="106" fillId="0" borderId="39" xfId="70" applyFont="1" applyBorder="1" applyAlignment="1">
      <alignment horizontal="center" vertical="center" wrapText="1"/>
    </xf>
    <xf numFmtId="0" fontId="157" fillId="0" borderId="39" xfId="70" applyFont="1" applyBorder="1" applyAlignment="1">
      <alignment horizontal="center" vertical="center" wrapText="1"/>
    </xf>
    <xf numFmtId="0" fontId="106" fillId="0" borderId="0" xfId="70" applyFont="1" applyAlignment="1">
      <alignment vertical="top"/>
    </xf>
    <xf numFmtId="0" fontId="157" fillId="0" borderId="39" xfId="70" applyFont="1" applyBorder="1" applyAlignment="1">
      <alignment horizontal="justify" vertical="center" wrapText="1"/>
    </xf>
    <xf numFmtId="0" fontId="157" fillId="58" borderId="27" xfId="70" applyFont="1" applyFill="1" applyBorder="1" applyAlignment="1">
      <alignment vertical="top" wrapText="1"/>
    </xf>
    <xf numFmtId="0" fontId="157" fillId="58" borderId="27" xfId="70" applyFont="1" applyFill="1" applyBorder="1" applyAlignment="1">
      <alignment horizontal="justify" vertical="top" wrapText="1"/>
    </xf>
    <xf numFmtId="0" fontId="106" fillId="0" borderId="10" xfId="70" applyFont="1" applyBorder="1" applyAlignment="1">
      <alignment vertical="top" wrapText="1"/>
    </xf>
    <xf numFmtId="3" fontId="106" fillId="0" borderId="39" xfId="70" applyNumberFormat="1" applyFont="1" applyBorder="1" applyAlignment="1">
      <alignment horizontal="center" vertical="center" wrapText="1"/>
    </xf>
    <xf numFmtId="0" fontId="106" fillId="0" borderId="20" xfId="70" applyFont="1" applyBorder="1" applyAlignment="1">
      <alignment vertical="top" wrapText="1"/>
    </xf>
    <xf numFmtId="0" fontId="157" fillId="0" borderId="29" xfId="70" applyFont="1" applyBorder="1" applyAlignment="1">
      <alignment vertical="center" wrapText="1"/>
    </xf>
    <xf numFmtId="3" fontId="106" fillId="0" borderId="29" xfId="70" applyNumberFormat="1" applyFont="1" applyBorder="1" applyAlignment="1">
      <alignment horizontal="center" vertical="center" wrapText="1"/>
    </xf>
    <xf numFmtId="0" fontId="157" fillId="0" borderId="29" xfId="70" applyFont="1" applyBorder="1" applyAlignment="1">
      <alignment horizontal="center" vertical="center" wrapText="1"/>
    </xf>
    <xf numFmtId="0" fontId="106" fillId="0" borderId="39" xfId="70" applyFont="1" applyBorder="1" applyAlignment="1">
      <alignment vertical="center" wrapText="1"/>
    </xf>
    <xf numFmtId="3" fontId="106" fillId="0" borderId="0" xfId="70" applyNumberFormat="1" applyFont="1" applyAlignment="1">
      <alignment horizontal="center" vertical="center" wrapText="1"/>
    </xf>
    <xf numFmtId="0" fontId="157" fillId="0" borderId="0" xfId="70" applyFont="1" applyAlignment="1">
      <alignment horizontal="center" vertical="center" wrapText="1"/>
    </xf>
    <xf numFmtId="0" fontId="106" fillId="0" borderId="0" xfId="70" applyFont="1" applyAlignment="1">
      <alignment vertical="top" wrapText="1"/>
    </xf>
    <xf numFmtId="0" fontId="106" fillId="56" borderId="0" xfId="70" applyFont="1" applyFill="1" applyAlignment="1">
      <alignment horizontal="center" vertical="top" wrapText="1"/>
    </xf>
    <xf numFmtId="0" fontId="106" fillId="0" borderId="0" xfId="70" applyFont="1" applyAlignment="1">
      <alignment horizontal="center" vertical="top" wrapText="1"/>
    </xf>
    <xf numFmtId="3" fontId="106" fillId="0" borderId="0" xfId="70" applyNumberFormat="1" applyFont="1" applyAlignment="1">
      <alignment horizontal="center" vertical="top" wrapText="1"/>
    </xf>
    <xf numFmtId="0" fontId="161" fillId="58" borderId="0" xfId="70" applyFont="1" applyFill="1" applyAlignment="1">
      <alignment vertical="center"/>
    </xf>
    <xf numFmtId="0" fontId="106" fillId="56" borderId="0" xfId="70" applyFont="1" applyFill="1" applyAlignment="1">
      <alignment vertical="top"/>
    </xf>
    <xf numFmtId="0" fontId="106" fillId="58" borderId="0" xfId="70" applyFont="1" applyFill="1" applyAlignment="1">
      <alignment vertical="top"/>
    </xf>
    <xf numFmtId="0" fontId="147" fillId="0" borderId="0" xfId="70" applyFont="1" applyAlignment="1">
      <alignment horizontal="justify" vertical="center"/>
    </xf>
    <xf numFmtId="0" fontId="106" fillId="0" borderId="0" xfId="70" applyFont="1" applyAlignment="1">
      <alignment horizontal="justify" vertical="center"/>
    </xf>
    <xf numFmtId="0" fontId="106" fillId="56" borderId="0" xfId="70" applyFont="1" applyFill="1" applyAlignment="1">
      <alignment horizontal="justify" vertical="center"/>
    </xf>
    <xf numFmtId="0" fontId="106" fillId="58" borderId="0" xfId="70" applyFont="1" applyFill="1" applyAlignment="1">
      <alignment horizontal="justify" vertical="center"/>
    </xf>
    <xf numFmtId="0" fontId="157" fillId="56" borderId="0" xfId="70" applyFont="1" applyFill="1" applyAlignment="1">
      <alignment vertical="center" wrapText="1"/>
    </xf>
    <xf numFmtId="0" fontId="157" fillId="0" borderId="0" xfId="70" applyFont="1" applyAlignment="1">
      <alignment vertical="center" wrapText="1"/>
    </xf>
    <xf numFmtId="0" fontId="164" fillId="56" borderId="0" xfId="70" applyFont="1" applyFill="1" applyAlignment="1">
      <alignment vertical="center" wrapText="1"/>
    </xf>
    <xf numFmtId="0" fontId="164" fillId="0" borderId="0" xfId="70" applyFont="1" applyAlignment="1">
      <alignment vertical="center" wrapText="1"/>
    </xf>
    <xf numFmtId="0" fontId="106" fillId="56" borderId="0" xfId="70" applyFont="1" applyFill="1" applyAlignment="1">
      <alignment vertical="center" wrapText="1"/>
    </xf>
    <xf numFmtId="0" fontId="150" fillId="0" borderId="0" xfId="70" applyFont="1" applyAlignment="1">
      <alignment horizontal="left" vertical="center" shrinkToFit="1"/>
    </xf>
    <xf numFmtId="0" fontId="164" fillId="58" borderId="0" xfId="70" applyFont="1" applyFill="1" applyAlignment="1">
      <alignment vertical="center" wrapText="1"/>
    </xf>
    <xf numFmtId="0" fontId="8" fillId="0" borderId="0" xfId="64" applyAlignment="1" applyProtection="1">
      <alignment wrapText="1"/>
      <protection hidden="1"/>
    </xf>
    <xf numFmtId="0" fontId="15" fillId="0" borderId="0" xfId="64" applyFont="1" applyProtection="1">
      <protection hidden="1"/>
    </xf>
    <xf numFmtId="43" fontId="15" fillId="0" borderId="0" xfId="64" applyNumberFormat="1" applyFont="1" applyAlignment="1" applyProtection="1">
      <alignment horizontal="right"/>
      <protection hidden="1"/>
    </xf>
    <xf numFmtId="0" fontId="106" fillId="54" borderId="0" xfId="0" applyFont="1" applyFill="1" applyAlignment="1">
      <alignment vertical="center"/>
    </xf>
    <xf numFmtId="166" fontId="106" fillId="55" borderId="0" xfId="29" applyNumberFormat="1" applyFont="1" applyFill="1" applyAlignment="1">
      <alignment vertical="center"/>
    </xf>
    <xf numFmtId="0" fontId="106" fillId="55" borderId="0" xfId="0" applyFont="1" applyFill="1" applyAlignment="1">
      <alignment vertical="center"/>
    </xf>
    <xf numFmtId="166" fontId="106" fillId="42" borderId="0" xfId="29" applyNumberFormat="1" applyFont="1" applyFill="1" applyAlignment="1">
      <alignment vertical="center"/>
    </xf>
    <xf numFmtId="0" fontId="106" fillId="42" borderId="0" xfId="0" applyFont="1" applyFill="1" applyAlignment="1">
      <alignment vertical="center"/>
    </xf>
    <xf numFmtId="166" fontId="106" fillId="39" borderId="0" xfId="29" applyNumberFormat="1" applyFont="1" applyFill="1" applyAlignment="1">
      <alignment vertical="center"/>
    </xf>
    <xf numFmtId="0" fontId="106" fillId="39" borderId="0" xfId="0" applyFont="1" applyFill="1" applyAlignment="1">
      <alignment vertical="center"/>
    </xf>
    <xf numFmtId="166" fontId="106" fillId="56" borderId="0" xfId="29" applyNumberFormat="1" applyFont="1" applyFill="1" applyAlignment="1">
      <alignment vertical="center"/>
    </xf>
    <xf numFmtId="0" fontId="106" fillId="56" borderId="0" xfId="0" applyFont="1" applyFill="1" applyAlignment="1">
      <alignment vertical="center"/>
    </xf>
    <xf numFmtId="166" fontId="106" fillId="43" borderId="0" xfId="29" applyNumberFormat="1" applyFont="1" applyFill="1" applyAlignment="1">
      <alignment vertical="center"/>
    </xf>
    <xf numFmtId="0" fontId="106" fillId="43" borderId="0" xfId="0" applyFont="1" applyFill="1" applyAlignment="1">
      <alignment vertical="center"/>
    </xf>
    <xf numFmtId="0" fontId="106" fillId="0" borderId="0" xfId="0" applyFont="1" applyAlignment="1">
      <alignment vertical="center"/>
    </xf>
    <xf numFmtId="0" fontId="147" fillId="0" borderId="18" xfId="0" applyFont="1" applyBorder="1" applyAlignment="1">
      <alignment horizontal="left" vertical="center" wrapText="1"/>
    </xf>
    <xf numFmtId="0" fontId="147" fillId="0" borderId="18" xfId="0" applyFont="1" applyBorder="1" applyAlignment="1">
      <alignment vertical="center" wrapText="1"/>
    </xf>
    <xf numFmtId="165" fontId="147" fillId="0" borderId="18" xfId="0" applyNumberFormat="1" applyFont="1" applyBorder="1" applyAlignment="1">
      <alignment horizontal="center" vertical="center" wrapText="1"/>
    </xf>
    <xf numFmtId="0" fontId="8" fillId="0" borderId="0" xfId="69" applyProtection="1">
      <protection hidden="1"/>
    </xf>
    <xf numFmtId="49" fontId="8" fillId="0" borderId="0" xfId="69" applyNumberFormat="1" applyProtection="1">
      <protection hidden="1"/>
    </xf>
    <xf numFmtId="166" fontId="14" fillId="0" borderId="0" xfId="66" applyNumberFormat="1" applyFont="1" applyProtection="1">
      <protection hidden="1"/>
    </xf>
    <xf numFmtId="0" fontId="14" fillId="0" borderId="0" xfId="69" applyFont="1" applyProtection="1">
      <protection hidden="1"/>
    </xf>
    <xf numFmtId="0" fontId="8" fillId="0" borderId="0" xfId="69"/>
    <xf numFmtId="49" fontId="8" fillId="0" borderId="0" xfId="69" applyNumberFormat="1"/>
    <xf numFmtId="0" fontId="111" fillId="0" borderId="0" xfId="64" applyFont="1" applyAlignment="1">
      <alignment horizontal="left" vertical="center" indent="1"/>
    </xf>
    <xf numFmtId="49" fontId="101" fillId="28" borderId="0" xfId="64" applyNumberFormat="1" applyFont="1" applyFill="1" applyAlignment="1">
      <alignment vertical="center"/>
    </xf>
    <xf numFmtId="0" fontId="101" fillId="28" borderId="0" xfId="64" applyFont="1" applyFill="1" applyAlignment="1">
      <alignment vertical="center"/>
    </xf>
    <xf numFmtId="0" fontId="14" fillId="28" borderId="0" xfId="64" applyFont="1" applyFill="1" applyAlignment="1">
      <alignment vertical="center"/>
    </xf>
    <xf numFmtId="0" fontId="14" fillId="0" borderId="0" xfId="64" applyFont="1" applyAlignment="1">
      <alignment vertical="center"/>
    </xf>
    <xf numFmtId="0" fontId="14" fillId="0" borderId="0" xfId="64" applyFont="1" applyAlignment="1">
      <alignment horizontal="left" vertical="center" indent="4"/>
    </xf>
    <xf numFmtId="0" fontId="14" fillId="0" borderId="0" xfId="64" applyFont="1"/>
    <xf numFmtId="49" fontId="55" fillId="0" borderId="0" xfId="64" applyNumberFormat="1" applyFont="1"/>
    <xf numFmtId="0" fontId="14" fillId="0" borderId="0" xfId="69" applyFont="1" applyAlignment="1">
      <alignment horizontal="left" vertical="center" indent="8"/>
    </xf>
    <xf numFmtId="0" fontId="14" fillId="0" borderId="0" xfId="69" applyFont="1" applyAlignment="1">
      <alignment horizontal="left" vertical="center" indent="2"/>
    </xf>
    <xf numFmtId="0" fontId="131" fillId="28" borderId="0" xfId="64" applyFont="1" applyFill="1" applyAlignment="1">
      <alignment horizontal="left" vertical="top" wrapText="1" indent="1"/>
    </xf>
    <xf numFmtId="0" fontId="79" fillId="0" borderId="0" xfId="0" applyFont="1" applyBorder="1" applyAlignment="1" applyProtection="1">
      <protection hidden="1"/>
    </xf>
    <xf numFmtId="0" fontId="143" fillId="0" borderId="80" xfId="0" applyFont="1" applyBorder="1" applyAlignment="1" applyProtection="1">
      <alignment horizontal="center" vertical="center"/>
      <protection hidden="1"/>
    </xf>
    <xf numFmtId="43" fontId="11" fillId="0" borderId="0" xfId="31" applyFont="1" applyBorder="1" applyAlignment="1" applyProtection="1">
      <alignment vertical="center"/>
      <protection hidden="1"/>
    </xf>
    <xf numFmtId="0" fontId="149" fillId="0" borderId="39" xfId="0" applyFont="1" applyBorder="1" applyAlignment="1" applyProtection="1">
      <alignment horizontal="left" vertical="center" indent="1"/>
      <protection hidden="1"/>
    </xf>
    <xf numFmtId="0" fontId="149" fillId="0" borderId="37" xfId="0" applyFont="1" applyBorder="1" applyAlignment="1" applyProtection="1">
      <alignment vertical="center"/>
      <protection hidden="1"/>
    </xf>
    <xf numFmtId="0" fontId="149" fillId="0" borderId="37" xfId="0" applyFont="1" applyBorder="1" applyAlignment="1" applyProtection="1">
      <alignment horizontal="left" vertical="center"/>
      <protection hidden="1"/>
    </xf>
    <xf numFmtId="0" fontId="167" fillId="59" borderId="19" xfId="0" applyFont="1" applyFill="1" applyBorder="1" applyAlignment="1">
      <alignment horizontal="center" vertical="center" wrapText="1"/>
    </xf>
    <xf numFmtId="0" fontId="167" fillId="59" borderId="87" xfId="0" applyFont="1" applyFill="1" applyBorder="1" applyAlignment="1">
      <alignment horizontal="center" vertical="center" wrapText="1"/>
    </xf>
    <xf numFmtId="0" fontId="170" fillId="0" borderId="0" xfId="0" applyFont="1"/>
    <xf numFmtId="165" fontId="11" fillId="24" borderId="0" xfId="33" applyNumberFormat="1" applyFont="1" applyFill="1" applyBorder="1" applyAlignment="1" applyProtection="1">
      <alignment horizontal="left"/>
      <protection locked="0"/>
    </xf>
    <xf numFmtId="0" fontId="172" fillId="0" borderId="0" xfId="0" applyFont="1" applyAlignment="1">
      <alignment horizontal="justify" vertical="center"/>
    </xf>
    <xf numFmtId="0" fontId="8" fillId="0" borderId="41" xfId="0" applyFont="1" applyBorder="1" applyAlignment="1">
      <alignment horizontal="center" vertical="center" wrapText="1"/>
    </xf>
    <xf numFmtId="0" fontId="173" fillId="0" borderId="45" xfId="0" applyFont="1" applyBorder="1" applyAlignment="1">
      <alignment horizontal="center" vertical="center" wrapText="1"/>
    </xf>
    <xf numFmtId="0" fontId="171" fillId="62" borderId="41" xfId="0" applyFont="1" applyFill="1" applyBorder="1" applyAlignment="1">
      <alignment horizontal="center" vertical="center" wrapText="1"/>
    </xf>
    <xf numFmtId="0" fontId="171" fillId="62" borderId="60" xfId="0" applyFont="1" applyFill="1" applyBorder="1" applyAlignment="1">
      <alignment horizontal="center" vertical="center" wrapText="1"/>
    </xf>
    <xf numFmtId="0" fontId="171" fillId="62" borderId="33" xfId="0" applyFont="1" applyFill="1" applyBorder="1" applyAlignment="1">
      <alignment horizontal="center" vertical="center" wrapText="1"/>
    </xf>
    <xf numFmtId="0" fontId="8" fillId="0" borderId="0" xfId="0" applyFont="1" applyFill="1"/>
    <xf numFmtId="0" fontId="8" fillId="27" borderId="0" xfId="0" applyFont="1" applyFill="1"/>
    <xf numFmtId="0" fontId="0" fillId="32" borderId="0" xfId="0" applyFill="1"/>
    <xf numFmtId="9" fontId="0" fillId="0" borderId="0" xfId="0" applyNumberFormat="1" applyFill="1"/>
    <xf numFmtId="0" fontId="13" fillId="0" borderId="0" xfId="0" applyFont="1" applyFill="1" applyBorder="1" applyAlignment="1">
      <alignment vertical="center" wrapText="1"/>
    </xf>
    <xf numFmtId="3" fontId="26" fillId="0" borderId="10" xfId="0" applyNumberFormat="1" applyFont="1" applyBorder="1" applyAlignment="1" applyProtection="1">
      <alignment horizontal="center" vertical="top" wrapText="1"/>
      <protection hidden="1"/>
    </xf>
    <xf numFmtId="0" fontId="20" fillId="30" borderId="48" xfId="0" applyFont="1" applyFill="1" applyBorder="1" applyAlignment="1" applyProtection="1">
      <alignment horizontal="center" vertical="center" shrinkToFit="1"/>
      <protection hidden="1"/>
    </xf>
    <xf numFmtId="43" fontId="20" fillId="30" borderId="48" xfId="29" applyFont="1" applyFill="1" applyBorder="1" applyAlignment="1" applyProtection="1">
      <alignment horizontal="center" vertical="center" shrinkToFit="1"/>
      <protection hidden="1"/>
    </xf>
    <xf numFmtId="0" fontId="20" fillId="0" borderId="0" xfId="0" applyFont="1" applyFill="1" applyBorder="1" applyAlignment="1" applyProtection="1">
      <alignment horizontal="center" vertical="center" shrinkToFit="1"/>
      <protection hidden="1"/>
    </xf>
    <xf numFmtId="0" fontId="20" fillId="30" borderId="50" xfId="0" applyFont="1" applyFill="1" applyBorder="1" applyAlignment="1" applyProtection="1">
      <alignment horizontal="center" vertical="center" shrinkToFit="1"/>
      <protection hidden="1"/>
    </xf>
    <xf numFmtId="0" fontId="20" fillId="30" borderId="51" xfId="0" applyFont="1" applyFill="1" applyBorder="1" applyAlignment="1" applyProtection="1">
      <alignment horizontal="center" vertical="center" shrinkToFit="1"/>
      <protection hidden="1"/>
    </xf>
    <xf numFmtId="43" fontId="20" fillId="30" borderId="51" xfId="29" applyFont="1" applyFill="1" applyBorder="1" applyAlignment="1" applyProtection="1">
      <alignment horizontal="center" vertical="center" shrinkToFit="1"/>
      <protection hidden="1"/>
    </xf>
    <xf numFmtId="43" fontId="20" fillId="30" borderId="50" xfId="29" applyFont="1" applyFill="1" applyBorder="1" applyAlignment="1" applyProtection="1">
      <alignment horizontal="center" vertical="center" shrinkToFit="1"/>
      <protection hidden="1"/>
    </xf>
    <xf numFmtId="43" fontId="20" fillId="30" borderId="50" xfId="29" applyNumberFormat="1" applyFont="1" applyFill="1" applyBorder="1" applyAlignment="1" applyProtection="1">
      <alignment vertical="center" shrinkToFit="1"/>
      <protection hidden="1"/>
    </xf>
    <xf numFmtId="43" fontId="20" fillId="30" borderId="50" xfId="29" applyFont="1" applyFill="1" applyBorder="1" applyAlignment="1" applyProtection="1">
      <alignment vertical="center" shrinkToFit="1"/>
      <protection hidden="1"/>
    </xf>
    <xf numFmtId="0" fontId="176" fillId="0" borderId="0" xfId="0" applyFont="1" applyAlignment="1" applyProtection="1">
      <alignment horizontal="right"/>
      <protection hidden="1"/>
    </xf>
    <xf numFmtId="0" fontId="147" fillId="0" borderId="18" xfId="0" quotePrefix="1" applyNumberFormat="1" applyFont="1" applyBorder="1" applyAlignment="1">
      <alignment horizontal="center" vertical="center" wrapText="1"/>
    </xf>
    <xf numFmtId="0" fontId="76" fillId="28" borderId="0" xfId="29" applyNumberFormat="1" applyFont="1" applyFill="1" applyAlignment="1">
      <alignment horizontal="center" vertical="center"/>
    </xf>
    <xf numFmtId="0" fontId="76" fillId="28" borderId="0" xfId="59" applyNumberFormat="1" applyFont="1" applyFill="1" applyAlignment="1">
      <alignment vertical="center"/>
    </xf>
    <xf numFmtId="0" fontId="76" fillId="34" borderId="0" xfId="59" applyFont="1" applyFill="1" applyAlignment="1">
      <alignment vertical="center"/>
    </xf>
    <xf numFmtId="43" fontId="76" fillId="34" borderId="0" xfId="29" applyFont="1" applyFill="1" applyAlignment="1">
      <alignment horizontal="center" vertical="center"/>
    </xf>
    <xf numFmtId="0" fontId="76" fillId="64" borderId="0" xfId="59" applyFont="1" applyFill="1" applyAlignment="1">
      <alignment vertical="center"/>
    </xf>
    <xf numFmtId="43" fontId="76" fillId="64" borderId="0" xfId="29" applyFont="1" applyFill="1" applyAlignment="1">
      <alignment horizontal="center" vertical="center"/>
    </xf>
    <xf numFmtId="0" fontId="174" fillId="63" borderId="41" xfId="0" applyFont="1" applyFill="1" applyBorder="1" applyAlignment="1">
      <alignment horizontal="center" vertical="center" wrapText="1"/>
    </xf>
    <xf numFmtId="0" fontId="171" fillId="63" borderId="60" xfId="0" applyFont="1" applyFill="1" applyBorder="1" applyAlignment="1">
      <alignment horizontal="center" vertical="center" wrapText="1"/>
    </xf>
    <xf numFmtId="0" fontId="13" fillId="0" borderId="45" xfId="0" applyFont="1" applyBorder="1" applyAlignment="1">
      <alignment horizontal="justify" vertical="center" wrapText="1"/>
    </xf>
    <xf numFmtId="0" fontId="177" fillId="0" borderId="11" xfId="0" applyFont="1" applyBorder="1" applyAlignment="1">
      <alignment horizontal="left" vertical="center" wrapText="1"/>
    </xf>
    <xf numFmtId="0" fontId="13" fillId="0" borderId="11" xfId="0" applyFont="1" applyBorder="1" applyAlignment="1">
      <alignment horizontal="left" vertical="center" wrapText="1"/>
    </xf>
    <xf numFmtId="0" fontId="13" fillId="0" borderId="11" xfId="0" applyFont="1" applyBorder="1" applyAlignment="1">
      <alignment horizontal="center" vertical="center" wrapText="1"/>
    </xf>
    <xf numFmtId="0" fontId="178" fillId="0" borderId="11" xfId="0" applyFont="1" applyBorder="1" applyAlignment="1">
      <alignment horizontal="center" vertical="center" wrapText="1"/>
    </xf>
    <xf numFmtId="0" fontId="13" fillId="0" borderId="44" xfId="0" applyFont="1" applyBorder="1" applyAlignment="1">
      <alignment horizontal="left" vertical="center" wrapText="1"/>
    </xf>
    <xf numFmtId="0" fontId="0" fillId="0" borderId="45" xfId="0" applyBorder="1" applyAlignment="1">
      <alignment vertical="top" wrapText="1"/>
    </xf>
    <xf numFmtId="0" fontId="13" fillId="0" borderId="35" xfId="0" applyFont="1" applyBorder="1" applyAlignment="1">
      <alignment horizontal="left" vertical="center" wrapText="1"/>
    </xf>
    <xf numFmtId="0" fontId="179" fillId="0" borderId="35" xfId="0" applyFont="1" applyBorder="1" applyAlignment="1">
      <alignment horizontal="left" vertical="center" wrapText="1" indent="3"/>
    </xf>
    <xf numFmtId="0" fontId="179" fillId="0" borderId="11" xfId="0" applyFont="1" applyBorder="1" applyAlignment="1">
      <alignment horizontal="left" vertical="center" wrapText="1" indent="3"/>
    </xf>
    <xf numFmtId="0" fontId="13" fillId="0" borderId="45" xfId="0" applyFont="1" applyBorder="1" applyAlignment="1">
      <alignment horizontal="left" vertical="center" wrapText="1"/>
    </xf>
    <xf numFmtId="0" fontId="181" fillId="28" borderId="0" xfId="0" applyNumberFormat="1" applyFont="1" applyFill="1" applyBorder="1" applyAlignment="1">
      <alignment horizontal="center" vertical="center"/>
    </xf>
    <xf numFmtId="0" fontId="183" fillId="0" borderId="0" xfId="0" applyFont="1" applyAlignment="1">
      <alignment horizontal="justify" vertical="center"/>
    </xf>
    <xf numFmtId="0" fontId="173" fillId="0" borderId="0" xfId="0" applyFont="1" applyAlignment="1">
      <alignment vertical="center"/>
    </xf>
    <xf numFmtId="0" fontId="173" fillId="0" borderId="0" xfId="0" applyFont="1" applyAlignment="1">
      <alignment horizontal="left" vertical="center" indent="4"/>
    </xf>
    <xf numFmtId="0" fontId="185" fillId="65" borderId="114" xfId="0" applyFont="1" applyFill="1" applyBorder="1" applyAlignment="1">
      <alignment horizontal="left" vertical="center" wrapText="1" indent="2"/>
    </xf>
    <xf numFmtId="0" fontId="185" fillId="65" borderId="115" xfId="0" applyFont="1" applyFill="1" applyBorder="1" applyAlignment="1">
      <alignment horizontal="left" vertical="center" wrapText="1" indent="2"/>
    </xf>
    <xf numFmtId="0" fontId="186" fillId="0" borderId="116" xfId="0" applyFont="1" applyBorder="1" applyAlignment="1">
      <alignment horizontal="left" vertical="center" wrapText="1" indent="2"/>
    </xf>
    <xf numFmtId="0" fontId="187" fillId="0" borderId="117" xfId="0" applyFont="1" applyBorder="1" applyAlignment="1">
      <alignment horizontal="left" vertical="center" wrapText="1" indent="2"/>
    </xf>
    <xf numFmtId="0" fontId="173" fillId="0" borderId="0" xfId="0" applyFont="1" applyAlignment="1">
      <alignment horizontal="left" vertical="center" indent="5"/>
    </xf>
    <xf numFmtId="0" fontId="182" fillId="0" borderId="0" xfId="72" applyAlignment="1">
      <alignment horizontal="left" vertical="center" indent="5"/>
    </xf>
    <xf numFmtId="0" fontId="188" fillId="0" borderId="0" xfId="0" applyFont="1" applyAlignment="1">
      <alignment horizontal="left" vertical="center" indent="5"/>
    </xf>
    <xf numFmtId="0" fontId="174" fillId="0" borderId="0" xfId="0" applyFont="1" applyAlignment="1">
      <alignment vertical="center"/>
    </xf>
    <xf numFmtId="0" fontId="4" fillId="0" borderId="0" xfId="73"/>
    <xf numFmtId="0" fontId="13" fillId="0" borderId="19" xfId="73" applyFont="1" applyBorder="1" applyAlignment="1">
      <alignment horizontal="center" vertical="center"/>
    </xf>
    <xf numFmtId="0" fontId="13" fillId="0" borderId="10" xfId="73" applyFont="1" applyBorder="1" applyAlignment="1">
      <alignment horizontal="center" vertical="center"/>
    </xf>
    <xf numFmtId="0" fontId="13" fillId="0" borderId="125" xfId="73" applyFont="1" applyBorder="1" applyAlignment="1">
      <alignment horizontal="center" vertical="center"/>
    </xf>
    <xf numFmtId="0" fontId="13" fillId="0" borderId="53" xfId="73" applyFont="1" applyBorder="1" applyAlignment="1">
      <alignment horizontal="center" vertical="center"/>
    </xf>
    <xf numFmtId="0" fontId="13" fillId="0" borderId="20" xfId="73" applyFont="1" applyBorder="1" applyAlignment="1">
      <alignment horizontal="center" vertical="center"/>
    </xf>
    <xf numFmtId="0" fontId="190" fillId="0" borderId="0" xfId="73" applyFont="1"/>
    <xf numFmtId="0" fontId="147" fillId="0" borderId="0" xfId="73" applyFont="1"/>
    <xf numFmtId="0" fontId="157" fillId="37" borderId="119" xfId="74" applyFont="1" applyFill="1" applyBorder="1" applyAlignment="1">
      <alignment horizontal="center"/>
    </xf>
    <xf numFmtId="0" fontId="157" fillId="37" borderId="120" xfId="74" applyFont="1" applyFill="1" applyBorder="1" applyAlignment="1">
      <alignment horizontal="center"/>
    </xf>
    <xf numFmtId="0" fontId="157" fillId="43" borderId="119" xfId="74" applyFont="1" applyFill="1" applyBorder="1" applyAlignment="1">
      <alignment horizontal="center"/>
    </xf>
    <xf numFmtId="0" fontId="106" fillId="0" borderId="19" xfId="73" applyFont="1" applyBorder="1" applyAlignment="1">
      <alignment horizontal="center" vertical="center"/>
    </xf>
    <xf numFmtId="0" fontId="106" fillId="0" borderId="10" xfId="73" applyFont="1" applyBorder="1" applyAlignment="1">
      <alignment horizontal="center" vertical="center"/>
    </xf>
    <xf numFmtId="0" fontId="106" fillId="0" borderId="125" xfId="73" applyFont="1" applyBorder="1" applyAlignment="1">
      <alignment horizontal="center" vertical="center"/>
    </xf>
    <xf numFmtId="0" fontId="106" fillId="0" borderId="53" xfId="73" applyFont="1" applyBorder="1" applyAlignment="1">
      <alignment horizontal="center" vertical="center"/>
    </xf>
    <xf numFmtId="0" fontId="106" fillId="0" borderId="20" xfId="73" applyFont="1" applyBorder="1" applyAlignment="1">
      <alignment horizontal="center" vertical="center"/>
    </xf>
    <xf numFmtId="0" fontId="147" fillId="66" borderId="0" xfId="73" applyFont="1" applyFill="1"/>
    <xf numFmtId="0" fontId="106" fillId="0" borderId="0" xfId="73" applyFont="1" applyFill="1" applyBorder="1" applyAlignment="1">
      <alignment horizontal="center" vertical="center"/>
    </xf>
    <xf numFmtId="2" fontId="106" fillId="0" borderId="0" xfId="73" applyNumberFormat="1" applyFont="1" applyFill="1" applyBorder="1" applyAlignment="1">
      <alignment horizontal="center"/>
    </xf>
    <xf numFmtId="0" fontId="157" fillId="43" borderId="39" xfId="73" applyFont="1" applyFill="1" applyBorder="1" applyAlignment="1"/>
    <xf numFmtId="0" fontId="157" fillId="43" borderId="37" xfId="73" applyFont="1" applyFill="1" applyBorder="1" applyAlignment="1"/>
    <xf numFmtId="0" fontId="183" fillId="37" borderId="39" xfId="73" applyFont="1" applyFill="1" applyBorder="1" applyAlignment="1"/>
    <xf numFmtId="0" fontId="183" fillId="37" borderId="37" xfId="73" applyFont="1" applyFill="1" applyBorder="1" applyAlignment="1"/>
    <xf numFmtId="0" fontId="157" fillId="37" borderId="39" xfId="73" applyFont="1" applyFill="1" applyBorder="1" applyAlignment="1"/>
    <xf numFmtId="0" fontId="157" fillId="37" borderId="37" xfId="73" applyFont="1" applyFill="1" applyBorder="1" applyAlignment="1"/>
    <xf numFmtId="0" fontId="183" fillId="43" borderId="39" xfId="73" applyFont="1" applyFill="1" applyBorder="1" applyAlignment="1"/>
    <xf numFmtId="0" fontId="183" fillId="43" borderId="37" xfId="73" applyFont="1" applyFill="1" applyBorder="1" applyAlignment="1"/>
    <xf numFmtId="0" fontId="102" fillId="0" borderId="18" xfId="0" applyFont="1" applyBorder="1" applyAlignment="1">
      <alignment horizontal="left" vertical="center" wrapText="1" indent="2"/>
    </xf>
    <xf numFmtId="0" fontId="106" fillId="28" borderId="0" xfId="0" applyFont="1" applyFill="1" applyAlignment="1">
      <alignment horizontal="center" vertical="center"/>
    </xf>
    <xf numFmtId="0" fontId="106" fillId="0" borderId="10" xfId="0" applyFont="1" applyBorder="1" applyAlignment="1">
      <alignment horizontal="center" vertical="center"/>
    </xf>
    <xf numFmtId="0" fontId="106" fillId="0" borderId="125" xfId="0" applyFont="1" applyBorder="1" applyAlignment="1">
      <alignment horizontal="center" vertical="center"/>
    </xf>
    <xf numFmtId="0" fontId="106" fillId="0" borderId="53" xfId="0" applyFont="1" applyBorder="1" applyAlignment="1">
      <alignment horizontal="center" vertical="center"/>
    </xf>
    <xf numFmtId="0" fontId="106" fillId="0" borderId="20" xfId="0" applyFont="1" applyBorder="1" applyAlignment="1">
      <alignment horizontal="center" vertical="center"/>
    </xf>
    <xf numFmtId="0" fontId="106" fillId="28" borderId="0" xfId="0" applyFont="1" applyFill="1" applyAlignment="1">
      <alignment vertical="center"/>
    </xf>
    <xf numFmtId="0" fontId="157" fillId="37" borderId="119" xfId="74" applyFont="1" applyFill="1" applyBorder="1" applyAlignment="1">
      <alignment horizontal="center" vertical="center"/>
    </xf>
    <xf numFmtId="0" fontId="157" fillId="37" borderId="120" xfId="74" applyFont="1" applyFill="1" applyBorder="1" applyAlignment="1">
      <alignment horizontal="center" vertical="center"/>
    </xf>
    <xf numFmtId="0" fontId="157" fillId="37" borderId="121" xfId="74" applyFont="1" applyFill="1" applyBorder="1" applyAlignment="1">
      <alignment horizontal="center" vertical="center"/>
    </xf>
    <xf numFmtId="0" fontId="157" fillId="37" borderId="39" xfId="0" applyFont="1" applyFill="1" applyBorder="1" applyAlignment="1">
      <alignment vertical="center"/>
    </xf>
    <xf numFmtId="0" fontId="157" fillId="37" borderId="37" xfId="0" applyFont="1" applyFill="1" applyBorder="1" applyAlignment="1">
      <alignment vertical="center"/>
    </xf>
    <xf numFmtId="0" fontId="157" fillId="37" borderId="38" xfId="0" applyFont="1" applyFill="1" applyBorder="1" applyAlignment="1">
      <alignment vertical="center"/>
    </xf>
    <xf numFmtId="0" fontId="192" fillId="67" borderId="0" xfId="0" applyFont="1" applyFill="1" applyAlignment="1">
      <alignment vertical="center"/>
    </xf>
    <xf numFmtId="0" fontId="191" fillId="67" borderId="0" xfId="0" applyFont="1" applyFill="1" applyAlignment="1">
      <alignment horizontal="left" vertical="center"/>
    </xf>
    <xf numFmtId="0" fontId="193" fillId="65" borderId="18" xfId="0" applyFont="1" applyFill="1" applyBorder="1" applyAlignment="1">
      <alignment horizontal="left" vertical="center" wrapText="1" indent="2"/>
    </xf>
    <xf numFmtId="0" fontId="106" fillId="0" borderId="0" xfId="0" applyFont="1" applyFill="1" applyAlignment="1">
      <alignment vertical="center"/>
    </xf>
    <xf numFmtId="0" fontId="192" fillId="0" borderId="0" xfId="0" applyFont="1" applyFill="1" applyAlignment="1">
      <alignment vertical="center"/>
    </xf>
    <xf numFmtId="0" fontId="106" fillId="0" borderId="0" xfId="0" applyFont="1" applyBorder="1" applyAlignment="1">
      <alignment horizontal="center" vertical="center"/>
    </xf>
    <xf numFmtId="2" fontId="106" fillId="0" borderId="0" xfId="0" applyNumberFormat="1" applyFont="1" applyBorder="1" applyAlignment="1">
      <alignment horizontal="center" vertical="center"/>
    </xf>
    <xf numFmtId="0" fontId="106" fillId="28" borderId="0" xfId="0" applyFont="1" applyFill="1" applyBorder="1" applyAlignment="1">
      <alignment vertical="center"/>
    </xf>
    <xf numFmtId="0" fontId="106" fillId="0" borderId="0" xfId="0" applyFont="1" applyFill="1" applyAlignment="1">
      <alignment horizontal="center" vertical="center"/>
    </xf>
    <xf numFmtId="0" fontId="106" fillId="0" borderId="0" xfId="0" applyFont="1" applyFill="1" applyBorder="1" applyAlignment="1">
      <alignment horizontal="center" vertical="center"/>
    </xf>
    <xf numFmtId="2" fontId="106" fillId="0" borderId="0" xfId="0" applyNumberFormat="1" applyFont="1" applyFill="1" applyBorder="1" applyAlignment="1">
      <alignment horizontal="center" vertical="center"/>
    </xf>
    <xf numFmtId="43" fontId="106" fillId="0" borderId="0" xfId="29" applyFont="1" applyFill="1" applyBorder="1" applyAlignment="1">
      <alignment vertical="center"/>
    </xf>
    <xf numFmtId="0" fontId="106" fillId="0" borderId="0" xfId="0" applyFont="1" applyFill="1" applyBorder="1" applyAlignment="1">
      <alignment vertical="center"/>
    </xf>
    <xf numFmtId="0" fontId="192" fillId="0" borderId="0" xfId="0" applyFont="1" applyFill="1" applyBorder="1" applyAlignment="1">
      <alignment vertical="center"/>
    </xf>
    <xf numFmtId="0" fontId="192" fillId="67" borderId="0" xfId="0" applyFont="1" applyFill="1" applyBorder="1" applyAlignment="1">
      <alignment vertical="center"/>
    </xf>
    <xf numFmtId="0" fontId="192" fillId="67" borderId="28" xfId="0" applyFont="1" applyFill="1" applyBorder="1" applyAlignment="1">
      <alignment vertical="center"/>
    </xf>
    <xf numFmtId="0" fontId="0" fillId="0" borderId="0" xfId="0" applyFill="1" applyBorder="1" applyAlignment="1" applyProtection="1">
      <alignment horizontal="left" vertical="center"/>
      <protection hidden="1"/>
    </xf>
    <xf numFmtId="43" fontId="11" fillId="24" borderId="0" xfId="29" applyFont="1" applyFill="1" applyBorder="1" applyAlignment="1" applyProtection="1">
      <alignment horizontal="center"/>
      <protection locked="0"/>
    </xf>
    <xf numFmtId="0" fontId="0" fillId="0" borderId="0" xfId="0" applyBorder="1" applyAlignment="1" applyProtection="1">
      <alignment horizontal="left" vertical="center"/>
      <protection hidden="1"/>
    </xf>
    <xf numFmtId="0" fontId="63" fillId="0" borderId="0" xfId="0" applyFont="1" applyAlignment="1" applyProtection="1">
      <alignment horizontal="left" indent="6"/>
      <protection hidden="1"/>
    </xf>
    <xf numFmtId="0" fontId="63" fillId="0" borderId="0" xfId="0" applyFont="1" applyAlignment="1" applyProtection="1">
      <alignment horizontal="left" vertical="center" indent="6"/>
      <protection hidden="1"/>
    </xf>
    <xf numFmtId="0" fontId="63" fillId="0" borderId="0" xfId="0" applyFont="1" applyBorder="1" applyAlignment="1" applyProtection="1">
      <alignment horizontal="left" vertical="top" indent="6"/>
      <protection hidden="1"/>
    </xf>
    <xf numFmtId="0" fontId="57" fillId="0" borderId="0" xfId="0" applyFont="1" applyFill="1" applyAlignment="1" applyProtection="1">
      <alignment horizontal="left" indent="4"/>
      <protection hidden="1"/>
    </xf>
    <xf numFmtId="0" fontId="57" fillId="0" borderId="0" xfId="0" applyFont="1" applyAlignment="1" applyProtection="1">
      <alignment horizontal="left" vertical="center" indent="4"/>
      <protection hidden="1"/>
    </xf>
    <xf numFmtId="0" fontId="194" fillId="0" borderId="0" xfId="0" applyFont="1" applyFill="1" applyAlignment="1" applyProtection="1">
      <alignment horizontal="left"/>
      <protection hidden="1"/>
    </xf>
    <xf numFmtId="0" fontId="193" fillId="65" borderId="18" xfId="0" applyFont="1" applyFill="1" applyBorder="1" applyAlignment="1">
      <alignment horizontal="center" vertical="center" wrapText="1"/>
    </xf>
    <xf numFmtId="0" fontId="102" fillId="0" borderId="18" xfId="0" applyFont="1" applyBorder="1" applyAlignment="1">
      <alignment horizontal="center" vertical="center" wrapText="1"/>
    </xf>
    <xf numFmtId="0" fontId="89" fillId="0" borderId="0" xfId="0" applyFont="1" applyFill="1" applyBorder="1" applyAlignment="1" applyProtection="1">
      <alignment horizontal="center"/>
      <protection hidden="1"/>
    </xf>
    <xf numFmtId="0" fontId="12" fillId="0" borderId="0" xfId="47" applyAlignment="1">
      <alignment horizontal="center"/>
    </xf>
    <xf numFmtId="0" fontId="13" fillId="0" borderId="0" xfId="60" applyFont="1" applyBorder="1" applyAlignment="1">
      <alignment horizontal="center"/>
    </xf>
    <xf numFmtId="0" fontId="13" fillId="0" borderId="18" xfId="60" applyFont="1" applyBorder="1" applyAlignment="1">
      <alignment horizontal="center"/>
    </xf>
    <xf numFmtId="0" fontId="13" fillId="0" borderId="0" xfId="60" applyFont="1" applyFill="1" applyBorder="1" applyAlignment="1">
      <alignment horizontal="center"/>
    </xf>
    <xf numFmtId="0" fontId="14" fillId="32" borderId="0" xfId="0" applyFont="1" applyFill="1" applyProtection="1">
      <protection hidden="1"/>
    </xf>
    <xf numFmtId="0" fontId="14" fillId="32" borderId="0" xfId="0" applyFont="1" applyFill="1" applyAlignment="1" applyProtection="1">
      <alignment vertical="center"/>
      <protection hidden="1"/>
    </xf>
    <xf numFmtId="0" fontId="17" fillId="32" borderId="0" xfId="0" applyFont="1" applyFill="1" applyAlignment="1" applyProtection="1">
      <alignment vertical="center"/>
      <protection hidden="1"/>
    </xf>
    <xf numFmtId="0" fontId="17" fillId="32" borderId="0" xfId="0" applyFont="1" applyFill="1" applyProtection="1">
      <protection hidden="1"/>
    </xf>
    <xf numFmtId="0" fontId="17" fillId="32" borderId="0" xfId="0" applyFont="1" applyFill="1" applyBorder="1" applyAlignment="1" applyProtection="1">
      <alignment vertical="center"/>
      <protection hidden="1"/>
    </xf>
    <xf numFmtId="0" fontId="89" fillId="0" borderId="0" xfId="0" applyFont="1" applyAlignment="1" applyProtection="1">
      <alignment horizontal="left" wrapText="1"/>
      <protection hidden="1"/>
    </xf>
    <xf numFmtId="43" fontId="11" fillId="0" borderId="10" xfId="29" applyFont="1" applyFill="1" applyBorder="1" applyAlignment="1" applyProtection="1">
      <alignment horizontal="right" vertical="center" shrinkToFit="1"/>
      <protection hidden="1"/>
    </xf>
    <xf numFmtId="43" fontId="11" fillId="0" borderId="68" xfId="29" applyFont="1" applyBorder="1" applyAlignment="1" applyProtection="1">
      <alignment horizontal="center" vertical="center"/>
      <protection hidden="1"/>
    </xf>
    <xf numFmtId="43" fontId="11" fillId="0" borderId="10" xfId="29" applyFont="1" applyBorder="1" applyAlignment="1" applyProtection="1">
      <alignment vertical="center"/>
      <protection hidden="1"/>
    </xf>
    <xf numFmtId="43" fontId="11" fillId="0" borderId="77" xfId="29" applyFont="1" applyBorder="1" applyAlignment="1" applyProtection="1">
      <alignment horizontal="center" vertical="center"/>
      <protection hidden="1"/>
    </xf>
    <xf numFmtId="43" fontId="11" fillId="0" borderId="10" xfId="29" applyFont="1" applyBorder="1" applyAlignment="1" applyProtection="1">
      <alignment horizontal="right" vertical="center"/>
      <protection hidden="1"/>
    </xf>
    <xf numFmtId="43" fontId="11" fillId="0" borderId="68" xfId="29" applyFont="1" applyFill="1" applyBorder="1" applyAlignment="1" applyProtection="1">
      <alignment horizontal="center" vertical="center"/>
      <protection hidden="1"/>
    </xf>
    <xf numFmtId="43" fontId="11" fillId="0" borderId="10" xfId="29" applyFont="1" applyBorder="1" applyAlignment="1" applyProtection="1">
      <alignment horizontal="right" vertical="center" shrinkToFit="1"/>
      <protection hidden="1"/>
    </xf>
    <xf numFmtId="43" fontId="11" fillId="0" borderId="76" xfId="29" applyFont="1" applyBorder="1" applyAlignment="1" applyProtection="1">
      <alignment vertical="center"/>
      <protection hidden="1"/>
    </xf>
    <xf numFmtId="0" fontId="0" fillId="0" borderId="28" xfId="0" applyBorder="1" applyAlignment="1">
      <alignment horizontal="center" shrinkToFit="1"/>
    </xf>
    <xf numFmtId="0" fontId="13" fillId="0" borderId="41" xfId="0" applyFont="1" applyBorder="1" applyAlignment="1">
      <alignment horizontal="justify" vertical="center" wrapText="1"/>
    </xf>
    <xf numFmtId="0" fontId="13" fillId="0" borderId="60" xfId="0" applyFont="1" applyBorder="1" applyAlignment="1">
      <alignment horizontal="left" vertical="center" wrapText="1"/>
    </xf>
    <xf numFmtId="0" fontId="8" fillId="0" borderId="0" xfId="0" applyFont="1"/>
    <xf numFmtId="2" fontId="13" fillId="0" borderId="24" xfId="0" applyNumberFormat="1" applyFont="1" applyBorder="1" applyAlignment="1">
      <alignment horizontal="center"/>
    </xf>
    <xf numFmtId="2" fontId="13" fillId="0" borderId="106" xfId="0" applyNumberFormat="1" applyFont="1" applyBorder="1" applyAlignment="1">
      <alignment horizontal="center"/>
    </xf>
    <xf numFmtId="2" fontId="13" fillId="0" borderId="26" xfId="0" applyNumberFormat="1" applyFont="1" applyBorder="1" applyAlignment="1">
      <alignment horizontal="center"/>
    </xf>
    <xf numFmtId="2" fontId="13" fillId="0" borderId="27" xfId="0" applyNumberFormat="1" applyFont="1" applyBorder="1" applyAlignment="1">
      <alignment horizontal="center"/>
    </xf>
    <xf numFmtId="2" fontId="13" fillId="0" borderId="0" xfId="0" applyNumberFormat="1" applyFont="1" applyAlignment="1">
      <alignment horizontal="center"/>
    </xf>
    <xf numFmtId="2" fontId="13" fillId="0" borderId="28" xfId="0" applyNumberFormat="1" applyFont="1" applyBorder="1" applyAlignment="1">
      <alignment horizontal="center"/>
    </xf>
    <xf numFmtId="2" fontId="13" fillId="0" borderId="135" xfId="0" applyNumberFormat="1" applyFont="1" applyBorder="1" applyAlignment="1">
      <alignment horizontal="center"/>
    </xf>
    <xf numFmtId="2" fontId="13" fillId="0" borderId="136" xfId="0" applyNumberFormat="1" applyFont="1" applyBorder="1" applyAlignment="1">
      <alignment horizontal="center"/>
    </xf>
    <xf numFmtId="2" fontId="13" fillId="0" borderId="137" xfId="0" applyNumberFormat="1" applyFont="1" applyBorder="1" applyAlignment="1">
      <alignment horizontal="center"/>
    </xf>
    <xf numFmtId="2" fontId="13" fillId="0" borderId="65" xfId="0" applyNumberFormat="1" applyFont="1" applyBorder="1" applyAlignment="1">
      <alignment horizontal="center"/>
    </xf>
    <xf numFmtId="2" fontId="13" fillId="0" borderId="66" xfId="0" applyNumberFormat="1" applyFont="1" applyBorder="1" applyAlignment="1">
      <alignment horizontal="center"/>
    </xf>
    <xf numFmtId="2" fontId="13" fillId="0" borderId="67" xfId="0" applyNumberFormat="1" applyFont="1" applyBorder="1" applyAlignment="1">
      <alignment horizontal="center"/>
    </xf>
    <xf numFmtId="2" fontId="13" fillId="0" borderId="29" xfId="0" applyNumberFormat="1" applyFont="1" applyBorder="1" applyAlignment="1">
      <alignment horizontal="center"/>
    </xf>
    <xf numFmtId="2" fontId="13" fillId="0" borderId="31" xfId="0" applyNumberFormat="1" applyFont="1" applyBorder="1" applyAlignment="1">
      <alignment horizontal="center"/>
    </xf>
    <xf numFmtId="2" fontId="13" fillId="0" borderId="30" xfId="0" applyNumberFormat="1" applyFont="1" applyBorder="1" applyAlignment="1">
      <alignment horizontal="center"/>
    </xf>
    <xf numFmtId="0" fontId="195" fillId="0" borderId="0" xfId="73" applyFont="1"/>
    <xf numFmtId="0" fontId="196" fillId="63" borderId="18" xfId="0" applyFont="1" applyFill="1" applyBorder="1" applyAlignment="1">
      <alignment horizontal="center" vertical="center" wrapText="1"/>
    </xf>
    <xf numFmtId="0" fontId="157" fillId="63" borderId="18" xfId="0" applyFont="1" applyFill="1" applyBorder="1" applyAlignment="1">
      <alignment horizontal="center" vertical="center" wrapText="1"/>
    </xf>
    <xf numFmtId="0" fontId="157" fillId="61" borderId="18" xfId="0" applyFont="1" applyFill="1" applyBorder="1" applyAlignment="1">
      <alignment horizontal="center" vertical="center" wrapText="1"/>
    </xf>
    <xf numFmtId="0" fontId="157" fillId="61" borderId="39" xfId="0" applyFont="1" applyFill="1" applyBorder="1" applyAlignment="1">
      <alignment horizontal="center" vertical="center" wrapText="1"/>
    </xf>
    <xf numFmtId="0" fontId="106" fillId="0" borderId="39" xfId="0" applyFont="1" applyBorder="1" applyAlignment="1">
      <alignment horizontal="center" vertical="center" wrapText="1"/>
    </xf>
    <xf numFmtId="165" fontId="106" fillId="0" borderId="18" xfId="0" applyNumberFormat="1" applyFont="1" applyBorder="1" applyAlignment="1" applyProtection="1">
      <alignment horizontal="center"/>
      <protection hidden="1"/>
    </xf>
    <xf numFmtId="0" fontId="0" fillId="33" borderId="18" xfId="0" applyFill="1" applyBorder="1" applyProtection="1">
      <protection hidden="1"/>
    </xf>
    <xf numFmtId="0" fontId="89" fillId="0" borderId="39" xfId="0" applyFont="1" applyBorder="1" applyAlignment="1" applyProtection="1">
      <alignment horizontal="center"/>
      <protection hidden="1"/>
    </xf>
    <xf numFmtId="0" fontId="0" fillId="0" borderId="24" xfId="0" applyBorder="1" applyProtection="1">
      <protection hidden="1"/>
    </xf>
    <xf numFmtId="0" fontId="0" fillId="0" borderId="106" xfId="0" applyBorder="1" applyProtection="1">
      <protection hidden="1"/>
    </xf>
    <xf numFmtId="2" fontId="106" fillId="37" borderId="123" xfId="0" applyNumberFormat="1" applyFont="1" applyFill="1" applyBorder="1" applyAlignment="1">
      <alignment horizontal="center" vertical="center"/>
    </xf>
    <xf numFmtId="2" fontId="106" fillId="37" borderId="127" xfId="0" applyNumberFormat="1" applyFont="1" applyFill="1" applyBorder="1" applyAlignment="1">
      <alignment horizontal="center" vertical="center"/>
    </xf>
    <xf numFmtId="2" fontId="106" fillId="37" borderId="130" xfId="0" applyNumberFormat="1" applyFont="1" applyFill="1" applyBorder="1" applyAlignment="1">
      <alignment horizontal="center" vertical="center"/>
    </xf>
    <xf numFmtId="2" fontId="106" fillId="37" borderId="133" xfId="0" applyNumberFormat="1" applyFont="1" applyFill="1" applyBorder="1" applyAlignment="1">
      <alignment horizontal="center" vertical="center"/>
    </xf>
    <xf numFmtId="2" fontId="106" fillId="64" borderId="123" xfId="0" applyNumberFormat="1" applyFont="1" applyFill="1" applyBorder="1" applyAlignment="1">
      <alignment horizontal="center" vertical="center"/>
    </xf>
    <xf numFmtId="2" fontId="106" fillId="64" borderId="124" xfId="0" applyNumberFormat="1" applyFont="1" applyFill="1" applyBorder="1" applyAlignment="1">
      <alignment horizontal="center" vertical="center"/>
    </xf>
    <xf numFmtId="2" fontId="106" fillId="64" borderId="127" xfId="0" applyNumberFormat="1" applyFont="1" applyFill="1" applyBorder="1" applyAlignment="1">
      <alignment horizontal="center" vertical="center"/>
    </xf>
    <xf numFmtId="2" fontId="106" fillId="64" borderId="128" xfId="0" applyNumberFormat="1" applyFont="1" applyFill="1" applyBorder="1" applyAlignment="1">
      <alignment horizontal="center" vertical="center"/>
    </xf>
    <xf numFmtId="2" fontId="106" fillId="64" borderId="130" xfId="0" applyNumberFormat="1" applyFont="1" applyFill="1" applyBorder="1" applyAlignment="1">
      <alignment horizontal="center" vertical="center"/>
    </xf>
    <xf numFmtId="2" fontId="106" fillId="64" borderId="131" xfId="0" applyNumberFormat="1" applyFont="1" applyFill="1" applyBorder="1" applyAlignment="1">
      <alignment horizontal="center" vertical="center"/>
    </xf>
    <xf numFmtId="2" fontId="106" fillId="64" borderId="133" xfId="0" applyNumberFormat="1" applyFont="1" applyFill="1" applyBorder="1" applyAlignment="1">
      <alignment horizontal="center" vertical="center"/>
    </xf>
    <xf numFmtId="2" fontId="106" fillId="64" borderId="134" xfId="0" applyNumberFormat="1" applyFont="1" applyFill="1" applyBorder="1" applyAlignment="1">
      <alignment horizontal="center" vertical="center"/>
    </xf>
    <xf numFmtId="2" fontId="106" fillId="37" borderId="138" xfId="0" applyNumberFormat="1" applyFont="1" applyFill="1" applyBorder="1" applyAlignment="1">
      <alignment horizontal="center" vertical="center"/>
    </xf>
    <xf numFmtId="2" fontId="106" fillId="37" borderId="139" xfId="0" applyNumberFormat="1" applyFont="1" applyFill="1" applyBorder="1" applyAlignment="1">
      <alignment horizontal="center" vertical="center"/>
    </xf>
    <xf numFmtId="2" fontId="106" fillId="37" borderId="140" xfId="0" applyNumberFormat="1" applyFont="1" applyFill="1" applyBorder="1" applyAlignment="1">
      <alignment horizontal="center" vertical="center"/>
    </xf>
    <xf numFmtId="2" fontId="106" fillId="37" borderId="141" xfId="0" applyNumberFormat="1" applyFont="1" applyFill="1" applyBorder="1" applyAlignment="1">
      <alignment horizontal="center" vertical="center"/>
    </xf>
    <xf numFmtId="2" fontId="106" fillId="64" borderId="138" xfId="0" applyNumberFormat="1" applyFont="1" applyFill="1" applyBorder="1" applyAlignment="1">
      <alignment horizontal="center" vertical="center"/>
    </xf>
    <xf numFmtId="2" fontId="106" fillId="64" borderId="139" xfId="0" applyNumberFormat="1" applyFont="1" applyFill="1" applyBorder="1" applyAlignment="1">
      <alignment horizontal="center" vertical="center"/>
    </xf>
    <xf numFmtId="2" fontId="106" fillId="64" borderId="140" xfId="0" applyNumberFormat="1" applyFont="1" applyFill="1" applyBorder="1" applyAlignment="1">
      <alignment horizontal="center" vertical="center"/>
    </xf>
    <xf numFmtId="2" fontId="106" fillId="64" borderId="141" xfId="0" applyNumberFormat="1" applyFont="1" applyFill="1" applyBorder="1" applyAlignment="1">
      <alignment horizontal="center" vertical="center"/>
    </xf>
    <xf numFmtId="2" fontId="106" fillId="37" borderId="27" xfId="0" applyNumberFormat="1" applyFont="1" applyFill="1" applyBorder="1" applyAlignment="1">
      <alignment horizontal="center" vertical="center"/>
    </xf>
    <xf numFmtId="2" fontId="106" fillId="37" borderId="0" xfId="0" applyNumberFormat="1" applyFont="1" applyFill="1" applyAlignment="1">
      <alignment horizontal="center" vertical="center"/>
    </xf>
    <xf numFmtId="2" fontId="106" fillId="37" borderId="28" xfId="0" applyNumberFormat="1" applyFont="1" applyFill="1" applyBorder="1" applyAlignment="1">
      <alignment horizontal="center" vertical="center"/>
    </xf>
    <xf numFmtId="2" fontId="106" fillId="37" borderId="135" xfId="0" applyNumberFormat="1" applyFont="1" applyFill="1" applyBorder="1" applyAlignment="1">
      <alignment horizontal="center" vertical="center"/>
    </xf>
    <xf numFmtId="2" fontId="106" fillId="37" borderId="136" xfId="0" applyNumberFormat="1" applyFont="1" applyFill="1" applyBorder="1" applyAlignment="1">
      <alignment horizontal="center" vertical="center"/>
    </xf>
    <xf numFmtId="2" fontId="106" fillId="37" borderId="137" xfId="0" applyNumberFormat="1" applyFont="1" applyFill="1" applyBorder="1" applyAlignment="1">
      <alignment horizontal="center" vertical="center"/>
    </xf>
    <xf numFmtId="2" fontId="106" fillId="37" borderId="65" xfId="0" applyNumberFormat="1" applyFont="1" applyFill="1" applyBorder="1" applyAlignment="1">
      <alignment horizontal="center" vertical="center"/>
    </xf>
    <xf numFmtId="2" fontId="106" fillId="37" borderId="66" xfId="0" applyNumberFormat="1" applyFont="1" applyFill="1" applyBorder="1" applyAlignment="1">
      <alignment horizontal="center" vertical="center"/>
    </xf>
    <xf numFmtId="2" fontId="106" fillId="37" borderId="67" xfId="0" applyNumberFormat="1" applyFont="1" applyFill="1" applyBorder="1" applyAlignment="1">
      <alignment horizontal="center" vertical="center"/>
    </xf>
    <xf numFmtId="2" fontId="106" fillId="37" borderId="29" xfId="0" applyNumberFormat="1" applyFont="1" applyFill="1" applyBorder="1" applyAlignment="1">
      <alignment horizontal="center" vertical="center"/>
    </xf>
    <xf numFmtId="2" fontId="106" fillId="37" borderId="31" xfId="0" applyNumberFormat="1" applyFont="1" applyFill="1" applyBorder="1" applyAlignment="1">
      <alignment horizontal="center" vertical="center"/>
    </xf>
    <xf numFmtId="2" fontId="106" fillId="37" borderId="30" xfId="0" applyNumberFormat="1" applyFont="1" applyFill="1" applyBorder="1" applyAlignment="1">
      <alignment horizontal="center" vertical="center"/>
    </xf>
    <xf numFmtId="2" fontId="106" fillId="64" borderId="27" xfId="0" applyNumberFormat="1" applyFont="1" applyFill="1" applyBorder="1" applyAlignment="1">
      <alignment horizontal="center" vertical="center"/>
    </xf>
    <xf numFmtId="2" fontId="106" fillId="64" borderId="0" xfId="0" applyNumberFormat="1" applyFont="1" applyFill="1" applyAlignment="1">
      <alignment horizontal="center" vertical="center"/>
    </xf>
    <xf numFmtId="2" fontId="106" fillId="64" borderId="28" xfId="0" applyNumberFormat="1" applyFont="1" applyFill="1" applyBorder="1" applyAlignment="1">
      <alignment horizontal="center" vertical="center"/>
    </xf>
    <xf numFmtId="2" fontId="106" fillId="64" borderId="135" xfId="0" applyNumberFormat="1" applyFont="1" applyFill="1" applyBorder="1" applyAlignment="1">
      <alignment horizontal="center" vertical="center"/>
    </xf>
    <xf numFmtId="2" fontId="106" fillId="64" borderId="136" xfId="0" applyNumberFormat="1" applyFont="1" applyFill="1" applyBorder="1" applyAlignment="1">
      <alignment horizontal="center" vertical="center"/>
    </xf>
    <xf numFmtId="2" fontId="106" fillId="64" borderId="137" xfId="0" applyNumberFormat="1" applyFont="1" applyFill="1" applyBorder="1" applyAlignment="1">
      <alignment horizontal="center" vertical="center"/>
    </xf>
    <xf numFmtId="2" fontId="106" fillId="64" borderId="65" xfId="0" applyNumberFormat="1" applyFont="1" applyFill="1" applyBorder="1" applyAlignment="1">
      <alignment horizontal="center" vertical="center"/>
    </xf>
    <xf numFmtId="2" fontId="106" fillId="64" borderId="66" xfId="0" applyNumberFormat="1" applyFont="1" applyFill="1" applyBorder="1" applyAlignment="1">
      <alignment horizontal="center" vertical="center"/>
    </xf>
    <xf numFmtId="2" fontId="106" fillId="64" borderId="67" xfId="0" applyNumberFormat="1" applyFont="1" applyFill="1" applyBorder="1" applyAlignment="1">
      <alignment horizontal="center" vertical="center"/>
    </xf>
    <xf numFmtId="2" fontId="106" fillId="64" borderId="29" xfId="0" applyNumberFormat="1" applyFont="1" applyFill="1" applyBorder="1" applyAlignment="1">
      <alignment horizontal="center" vertical="center"/>
    </xf>
    <xf numFmtId="2" fontId="106" fillId="64" borderId="31" xfId="0" applyNumberFormat="1" applyFont="1" applyFill="1" applyBorder="1" applyAlignment="1">
      <alignment horizontal="center" vertical="center"/>
    </xf>
    <xf numFmtId="2" fontId="106" fillId="64" borderId="30" xfId="0" applyNumberFormat="1" applyFont="1" applyFill="1" applyBorder="1" applyAlignment="1">
      <alignment horizontal="center" vertical="center"/>
    </xf>
    <xf numFmtId="0" fontId="190" fillId="0" borderId="0" xfId="0" applyFont="1" applyAlignment="1">
      <alignment horizontal="left" vertical="center"/>
    </xf>
    <xf numFmtId="0" fontId="157" fillId="52" borderId="119" xfId="74" applyFont="1" applyFill="1" applyBorder="1" applyAlignment="1">
      <alignment horizontal="center" vertical="center"/>
    </xf>
    <xf numFmtId="0" fontId="157" fillId="52" borderId="120" xfId="74" applyFont="1" applyFill="1" applyBorder="1" applyAlignment="1">
      <alignment horizontal="center" vertical="center"/>
    </xf>
    <xf numFmtId="0" fontId="157" fillId="52" borderId="121" xfId="74" applyFont="1" applyFill="1" applyBorder="1" applyAlignment="1">
      <alignment horizontal="center" vertical="center"/>
    </xf>
    <xf numFmtId="0" fontId="0" fillId="0" borderId="142" xfId="0" applyFill="1" applyBorder="1"/>
    <xf numFmtId="0" fontId="0" fillId="0" borderId="143" xfId="0" applyFill="1" applyBorder="1"/>
    <xf numFmtId="3" fontId="87" fillId="32" borderId="18" xfId="0" applyNumberFormat="1" applyFont="1" applyFill="1" applyBorder="1"/>
    <xf numFmtId="0" fontId="0" fillId="0" borderId="18" xfId="0" applyFill="1" applyBorder="1" applyAlignment="1">
      <alignment shrinkToFit="1"/>
    </xf>
    <xf numFmtId="3" fontId="0" fillId="0" borderId="18" xfId="0" applyNumberFormat="1" applyFill="1" applyBorder="1" applyAlignment="1">
      <alignment shrinkToFit="1"/>
    </xf>
    <xf numFmtId="0" fontId="12" fillId="0" borderId="18" xfId="0" applyFont="1" applyFill="1" applyBorder="1" applyAlignment="1">
      <alignment shrinkToFit="1"/>
    </xf>
    <xf numFmtId="0" fontId="12" fillId="0" borderId="18" xfId="0" applyFont="1" applyFill="1" applyBorder="1" applyAlignment="1">
      <alignment horizontal="center" shrinkToFit="1"/>
    </xf>
    <xf numFmtId="43" fontId="12" fillId="0" borderId="18" xfId="29" applyFont="1" applyFill="1" applyBorder="1" applyAlignment="1">
      <alignment shrinkToFit="1"/>
    </xf>
    <xf numFmtId="0" fontId="0" fillId="0" borderId="18" xfId="0" applyFill="1" applyBorder="1"/>
    <xf numFmtId="43" fontId="0" fillId="0" borderId="18" xfId="29" applyFont="1" applyFill="1" applyBorder="1" applyAlignment="1">
      <alignment shrinkToFit="1"/>
    </xf>
    <xf numFmtId="0" fontId="0" fillId="0" borderId="18" xfId="0" applyFill="1" applyBorder="1" applyAlignment="1">
      <alignment horizontal="center"/>
    </xf>
    <xf numFmtId="0" fontId="8" fillId="0" borderId="144" xfId="0" applyFont="1" applyFill="1" applyBorder="1"/>
    <xf numFmtId="0" fontId="0" fillId="0" borderId="145" xfId="0" applyFill="1" applyBorder="1" applyAlignment="1">
      <alignment horizontal="center"/>
    </xf>
    <xf numFmtId="3" fontId="0" fillId="0" borderId="145" xfId="0" applyNumberFormat="1" applyFill="1" applyBorder="1"/>
    <xf numFmtId="43" fontId="0" fillId="0" borderId="145" xfId="29" applyFont="1" applyFill="1" applyBorder="1"/>
    <xf numFmtId="0" fontId="72" fillId="0" borderId="145" xfId="0" applyFont="1" applyFill="1" applyBorder="1"/>
    <xf numFmtId="43" fontId="72" fillId="0" borderId="146" xfId="29" applyFont="1" applyFill="1" applyBorder="1"/>
    <xf numFmtId="0" fontId="0" fillId="0" borderId="147" xfId="0" applyFill="1" applyBorder="1"/>
    <xf numFmtId="0" fontId="0" fillId="0" borderId="37" xfId="0" applyFill="1" applyBorder="1" applyAlignment="1">
      <alignment horizontal="center"/>
    </xf>
    <xf numFmtId="43" fontId="0" fillId="0" borderId="37" xfId="29" applyFont="1" applyFill="1" applyBorder="1"/>
    <xf numFmtId="0" fontId="0" fillId="0" borderId="37" xfId="0" applyFill="1" applyBorder="1"/>
    <xf numFmtId="0" fontId="72" fillId="0" borderId="37" xfId="0" applyFont="1" applyFill="1" applyBorder="1"/>
    <xf numFmtId="0" fontId="72" fillId="0" borderId="95" xfId="0" applyFont="1" applyFill="1" applyBorder="1"/>
    <xf numFmtId="3" fontId="0" fillId="0" borderId="37" xfId="0" applyNumberFormat="1" applyFill="1" applyBorder="1"/>
    <xf numFmtId="43" fontId="72" fillId="0" borderId="37" xfId="0" applyNumberFormat="1" applyFont="1" applyFill="1" applyBorder="1"/>
    <xf numFmtId="43" fontId="72" fillId="0" borderId="37" xfId="29" applyFont="1" applyFill="1" applyBorder="1"/>
    <xf numFmtId="43" fontId="72" fillId="0" borderId="95" xfId="29" applyFont="1" applyFill="1" applyBorder="1"/>
    <xf numFmtId="3" fontId="0" fillId="0" borderId="37" xfId="0" applyNumberFormat="1" applyFill="1" applyBorder="1" applyAlignment="1">
      <alignment horizontal="center"/>
    </xf>
    <xf numFmtId="0" fontId="8" fillId="0" borderId="147" xfId="0" applyFont="1" applyBorder="1"/>
    <xf numFmtId="0" fontId="0" fillId="0" borderId="17" xfId="0" applyFill="1" applyBorder="1"/>
    <xf numFmtId="0" fontId="0" fillId="44" borderId="99" xfId="0" applyFill="1" applyBorder="1"/>
    <xf numFmtId="0" fontId="0" fillId="44" borderId="100" xfId="0" applyFill="1" applyBorder="1"/>
    <xf numFmtId="0" fontId="0" fillId="44" borderId="100" xfId="0" applyFill="1" applyBorder="1" applyAlignment="1">
      <alignment horizontal="center"/>
    </xf>
    <xf numFmtId="0" fontId="8" fillId="44" borderId="100" xfId="0" applyFont="1" applyFill="1" applyBorder="1" applyAlignment="1">
      <alignment horizontal="center" wrapText="1"/>
    </xf>
    <xf numFmtId="0" fontId="0" fillId="44" borderId="101" xfId="0" applyFill="1" applyBorder="1"/>
    <xf numFmtId="0" fontId="8" fillId="0" borderId="25" xfId="0" applyFont="1" applyFill="1" applyBorder="1"/>
    <xf numFmtId="0" fontId="0" fillId="0" borderId="36" xfId="0" applyFill="1" applyBorder="1"/>
    <xf numFmtId="0" fontId="0" fillId="0" borderId="17" xfId="0" applyFill="1" applyBorder="1" applyAlignment="1">
      <alignment horizontal="center"/>
    </xf>
    <xf numFmtId="3" fontId="0" fillId="0" borderId="17" xfId="0" applyNumberFormat="1" applyFill="1" applyBorder="1" applyAlignment="1">
      <alignment horizontal="center"/>
    </xf>
    <xf numFmtId="43" fontId="0" fillId="0" borderId="17" xfId="29" applyFont="1" applyFill="1" applyBorder="1"/>
    <xf numFmtId="0" fontId="72" fillId="0" borderId="17" xfId="0" applyFont="1" applyFill="1" applyBorder="1"/>
    <xf numFmtId="0" fontId="72" fillId="0" borderId="11" xfId="0" applyFont="1" applyFill="1" applyBorder="1"/>
    <xf numFmtId="1" fontId="0" fillId="0" borderId="19" xfId="0" applyNumberFormat="1" applyFill="1" applyBorder="1" applyAlignment="1">
      <alignment horizontal="center"/>
    </xf>
    <xf numFmtId="0" fontId="8" fillId="44" borderId="18" xfId="0" applyFont="1" applyFill="1" applyBorder="1" applyAlignment="1" applyProtection="1">
      <alignment horizontal="center"/>
      <protection hidden="1"/>
    </xf>
    <xf numFmtId="0" fontId="72" fillId="44" borderId="38" xfId="0" applyFont="1" applyFill="1" applyBorder="1" applyAlignment="1" applyProtection="1">
      <alignment horizontal="center"/>
      <protection hidden="1"/>
    </xf>
    <xf numFmtId="0" fontId="8" fillId="44" borderId="39" xfId="0" applyFont="1" applyFill="1" applyBorder="1" applyAlignment="1" applyProtection="1">
      <alignment horizontal="center"/>
      <protection hidden="1"/>
    </xf>
    <xf numFmtId="0" fontId="0" fillId="33" borderId="18" xfId="0" applyFill="1" applyBorder="1" applyAlignment="1" applyProtection="1">
      <alignment horizontal="center"/>
      <protection hidden="1"/>
    </xf>
    <xf numFmtId="0" fontId="0" fillId="33" borderId="18" xfId="0" applyFill="1" applyBorder="1" applyAlignment="1" applyProtection="1">
      <alignment horizontal="center" vertical="center"/>
      <protection hidden="1"/>
    </xf>
    <xf numFmtId="0" fontId="8" fillId="0" borderId="0" xfId="0" applyFont="1" applyAlignment="1" applyProtection="1">
      <alignment horizontal="center"/>
      <protection hidden="1"/>
    </xf>
    <xf numFmtId="43" fontId="8" fillId="0" borderId="0" xfId="0" applyNumberFormat="1" applyFont="1" applyAlignment="1" applyProtection="1">
      <alignment horizontal="center"/>
      <protection hidden="1"/>
    </xf>
    <xf numFmtId="0" fontId="8" fillId="33" borderId="39" xfId="0" applyFont="1" applyFill="1" applyBorder="1" applyProtection="1">
      <protection hidden="1"/>
    </xf>
    <xf numFmtId="0" fontId="14" fillId="33" borderId="0" xfId="0" applyFont="1" applyFill="1" applyProtection="1">
      <protection hidden="1"/>
    </xf>
    <xf numFmtId="0" fontId="19" fillId="33" borderId="0" xfId="0" applyFont="1" applyFill="1" applyBorder="1" applyAlignment="1" applyProtection="1">
      <alignment horizontal="left"/>
      <protection hidden="1"/>
    </xf>
    <xf numFmtId="0" fontId="14" fillId="33" borderId="0" xfId="0" applyFont="1" applyFill="1" applyAlignment="1" applyProtection="1">
      <alignment horizontal="center"/>
      <protection hidden="1"/>
    </xf>
    <xf numFmtId="4" fontId="14" fillId="33" borderId="0" xfId="0" applyNumberFormat="1" applyFont="1" applyFill="1" applyAlignment="1" applyProtection="1">
      <alignment horizontal="center"/>
      <protection hidden="1"/>
    </xf>
    <xf numFmtId="0" fontId="14" fillId="33" borderId="0" xfId="0" applyFont="1" applyFill="1" applyAlignment="1" applyProtection="1">
      <alignment vertical="center"/>
      <protection hidden="1"/>
    </xf>
    <xf numFmtId="0" fontId="14" fillId="33" borderId="0" xfId="0" applyFont="1" applyFill="1" applyAlignment="1" applyProtection="1">
      <alignment horizontal="center" vertical="center"/>
      <protection hidden="1"/>
    </xf>
    <xf numFmtId="0" fontId="14" fillId="33" borderId="18" xfId="64" applyFont="1" applyFill="1" applyBorder="1" applyAlignment="1" applyProtection="1">
      <alignment horizontal="center" vertical="center"/>
      <protection hidden="1"/>
    </xf>
    <xf numFmtId="0" fontId="14" fillId="33" borderId="0" xfId="0" applyFont="1" applyFill="1" applyAlignment="1" applyProtection="1">
      <alignment horizontal="center" vertical="center" wrapText="1"/>
      <protection hidden="1"/>
    </xf>
    <xf numFmtId="0" fontId="17" fillId="33" borderId="0" xfId="0" applyFont="1" applyFill="1" applyBorder="1" applyAlignment="1" applyProtection="1">
      <alignment vertical="center"/>
      <protection hidden="1"/>
    </xf>
    <xf numFmtId="0" fontId="17" fillId="33" borderId="0" xfId="0" applyFont="1" applyFill="1" applyBorder="1" applyAlignment="1" applyProtection="1">
      <alignment horizontal="left" vertical="center"/>
      <protection hidden="1"/>
    </xf>
    <xf numFmtId="166" fontId="14" fillId="33" borderId="0" xfId="29" applyNumberFormat="1" applyFont="1" applyFill="1" applyAlignment="1" applyProtection="1">
      <alignment vertical="center"/>
      <protection hidden="1"/>
    </xf>
    <xf numFmtId="166" fontId="14" fillId="33" borderId="0" xfId="29" applyNumberFormat="1" applyFont="1" applyFill="1" applyProtection="1">
      <protection hidden="1"/>
    </xf>
    <xf numFmtId="0" fontId="19" fillId="33" borderId="0" xfId="0" applyFont="1" applyFill="1" applyBorder="1" applyAlignment="1" applyProtection="1">
      <protection hidden="1"/>
    </xf>
    <xf numFmtId="0" fontId="15" fillId="33" borderId="0" xfId="0" applyFont="1" applyFill="1" applyBorder="1" applyAlignment="1" applyProtection="1">
      <alignment horizontal="left" vertical="center"/>
      <protection hidden="1"/>
    </xf>
    <xf numFmtId="0" fontId="157" fillId="0" borderId="19" xfId="70" applyFont="1" applyBorder="1" applyAlignment="1">
      <alignment vertical="top" wrapText="1"/>
    </xf>
    <xf numFmtId="0" fontId="8" fillId="0" borderId="37" xfId="0" applyFont="1" applyFill="1" applyBorder="1" applyAlignment="1">
      <alignment horizontal="center"/>
    </xf>
    <xf numFmtId="0" fontId="14" fillId="0" borderId="27" xfId="0" applyFont="1" applyBorder="1" applyAlignment="1" applyProtection="1">
      <alignment vertical="center"/>
      <protection hidden="1"/>
    </xf>
    <xf numFmtId="0" fontId="21" fillId="0" borderId="0" xfId="0" applyFont="1" applyBorder="1" applyAlignment="1" applyProtection="1">
      <alignment horizontal="left" vertical="center"/>
      <protection hidden="1"/>
    </xf>
    <xf numFmtId="0" fontId="79" fillId="0" borderId="0" xfId="0" applyFont="1" applyBorder="1" applyAlignment="1" applyProtection="1">
      <alignment vertical="center"/>
      <protection hidden="1"/>
    </xf>
    <xf numFmtId="0" fontId="21" fillId="0" borderId="0" xfId="0" applyFont="1" applyBorder="1" applyAlignment="1" applyProtection="1">
      <alignment vertical="center"/>
      <protection hidden="1"/>
    </xf>
    <xf numFmtId="43" fontId="14" fillId="0" borderId="0" xfId="29" applyFont="1" applyAlignment="1" applyProtection="1">
      <alignment vertical="center"/>
      <protection hidden="1"/>
    </xf>
    <xf numFmtId="0" fontId="79" fillId="0" borderId="28" xfId="0" applyFont="1" applyBorder="1" applyAlignment="1" applyProtection="1">
      <alignment vertical="center"/>
      <protection hidden="1"/>
    </xf>
    <xf numFmtId="0" fontId="14" fillId="33" borderId="0" xfId="0" applyFont="1" applyFill="1" applyBorder="1" applyAlignment="1" applyProtection="1">
      <alignment horizontal="center" vertical="center"/>
      <protection hidden="1"/>
    </xf>
    <xf numFmtId="0" fontId="19" fillId="0" borderId="0" xfId="0" applyFont="1" applyBorder="1" applyAlignment="1" applyProtection="1">
      <alignment vertical="center"/>
      <protection hidden="1"/>
    </xf>
    <xf numFmtId="0" fontId="15" fillId="0" borderId="0" xfId="0" applyFont="1" applyBorder="1" applyAlignment="1" applyProtection="1">
      <alignment vertical="center"/>
      <protection hidden="1"/>
    </xf>
    <xf numFmtId="0" fontId="21" fillId="28" borderId="0" xfId="0" applyFont="1" applyFill="1" applyBorder="1" applyAlignment="1" applyProtection="1">
      <alignment horizontal="left" vertical="center"/>
      <protection hidden="1"/>
    </xf>
    <xf numFmtId="0" fontId="21" fillId="0" borderId="0" xfId="0" applyFont="1" applyFill="1" applyBorder="1" applyAlignment="1" applyProtection="1">
      <alignment horizontal="left" vertical="center"/>
      <protection hidden="1"/>
    </xf>
    <xf numFmtId="0" fontId="14" fillId="0" borderId="0" xfId="0" applyFont="1" applyBorder="1" applyAlignment="1" applyProtection="1">
      <alignment horizontal="center" vertical="center"/>
      <protection hidden="1"/>
    </xf>
    <xf numFmtId="43" fontId="19" fillId="0" borderId="0" xfId="29" applyFont="1" applyFill="1" applyBorder="1" applyAlignment="1" applyProtection="1">
      <alignment horizontal="left" vertical="center"/>
      <protection hidden="1"/>
    </xf>
    <xf numFmtId="0" fontId="19" fillId="0" borderId="0" xfId="0" applyFont="1" applyFill="1" applyBorder="1" applyAlignment="1" applyProtection="1">
      <alignment horizontal="left" vertical="center"/>
      <protection hidden="1"/>
    </xf>
    <xf numFmtId="0" fontId="20" fillId="0" borderId="0" xfId="0" applyFont="1" applyFill="1" applyBorder="1" applyAlignment="1" applyProtection="1">
      <alignment vertical="center"/>
      <protection hidden="1"/>
    </xf>
    <xf numFmtId="0" fontId="19" fillId="0" borderId="0" xfId="0" applyFont="1" applyFill="1" applyBorder="1" applyAlignment="1" applyProtection="1">
      <alignment vertical="center"/>
      <protection hidden="1"/>
    </xf>
    <xf numFmtId="43" fontId="18" fillId="0" borderId="0" xfId="29" applyFont="1" applyFill="1" applyBorder="1" applyAlignment="1" applyProtection="1">
      <alignment horizontal="left" vertical="center"/>
      <protection hidden="1"/>
    </xf>
    <xf numFmtId="43" fontId="18" fillId="0" borderId="0" xfId="29" applyFont="1" applyBorder="1" applyAlignment="1" applyProtection="1">
      <alignment horizontal="left" vertical="center"/>
      <protection hidden="1"/>
    </xf>
    <xf numFmtId="0" fontId="55" fillId="0" borderId="0" xfId="47" applyFont="1" applyFill="1" applyAlignment="1">
      <alignment vertical="top" wrapText="1"/>
    </xf>
    <xf numFmtId="0" fontId="70" fillId="0" borderId="0" xfId="47" applyFont="1" applyFill="1" applyAlignment="1">
      <alignment vertical="center"/>
    </xf>
    <xf numFmtId="43" fontId="17" fillId="0" borderId="0" xfId="29" applyFont="1" applyFill="1" applyBorder="1" applyAlignment="1" applyProtection="1">
      <alignment horizontal="right" vertical="center"/>
      <protection hidden="1"/>
    </xf>
    <xf numFmtId="0" fontId="50" fillId="0" borderId="0" xfId="0" applyFont="1" applyFill="1" applyAlignment="1" applyProtection="1">
      <alignment horizontal="left" vertical="top" wrapText="1" indent="1"/>
      <protection hidden="1"/>
    </xf>
    <xf numFmtId="166" fontId="14" fillId="0" borderId="0" xfId="29" applyNumberFormat="1" applyFont="1" applyFill="1" applyAlignment="1" applyProtection="1">
      <alignment vertical="center"/>
      <protection hidden="1"/>
    </xf>
    <xf numFmtId="0" fontId="104" fillId="0" borderId="0" xfId="0" applyFont="1" applyAlignment="1">
      <alignment vertical="top" wrapText="1"/>
    </xf>
    <xf numFmtId="0" fontId="198" fillId="0" borderId="0" xfId="0" applyFont="1" applyAlignment="1">
      <alignment vertical="top" wrapText="1"/>
    </xf>
    <xf numFmtId="0" fontId="197" fillId="0" borderId="0" xfId="0" applyFont="1" applyAlignment="1" applyProtection="1">
      <alignment vertical="top" wrapText="1"/>
      <protection hidden="1"/>
    </xf>
    <xf numFmtId="0" fontId="198" fillId="0" borderId="0" xfId="0" applyFont="1" applyAlignment="1">
      <alignment horizontal="left" vertical="top" wrapText="1"/>
    </xf>
    <xf numFmtId="0" fontId="198" fillId="0" borderId="0" xfId="0" applyFont="1" applyAlignment="1">
      <alignment vertical="top"/>
    </xf>
    <xf numFmtId="0" fontId="199" fillId="0" borderId="0" xfId="0" applyFont="1" applyAlignment="1">
      <alignment vertical="top"/>
    </xf>
    <xf numFmtId="0" fontId="200" fillId="0" borderId="39" xfId="0" applyFont="1" applyBorder="1" applyAlignment="1" applyProtection="1">
      <alignment horizontal="left" vertical="center"/>
      <protection hidden="1"/>
    </xf>
    <xf numFmtId="0" fontId="201" fillId="0" borderId="37" xfId="0" applyFont="1" applyBorder="1" applyAlignment="1" applyProtection="1">
      <alignment vertical="center"/>
      <protection hidden="1"/>
    </xf>
    <xf numFmtId="0" fontId="200" fillId="0" borderId="37" xfId="0" applyFont="1" applyBorder="1" applyAlignment="1" applyProtection="1">
      <alignment vertical="center"/>
      <protection hidden="1"/>
    </xf>
    <xf numFmtId="0" fontId="200" fillId="0" borderId="37" xfId="0" applyFont="1" applyBorder="1" applyAlignment="1" applyProtection="1">
      <alignment horizontal="left" vertical="center"/>
      <protection hidden="1"/>
    </xf>
    <xf numFmtId="0" fontId="202" fillId="0" borderId="38" xfId="0" applyFont="1" applyBorder="1" applyProtection="1">
      <protection hidden="1"/>
    </xf>
    <xf numFmtId="166" fontId="202" fillId="0" borderId="0" xfId="29" applyNumberFormat="1" applyFont="1" applyProtection="1">
      <protection hidden="1"/>
    </xf>
    <xf numFmtId="0" fontId="201" fillId="0" borderId="0" xfId="0" applyFont="1" applyProtection="1">
      <protection hidden="1"/>
    </xf>
    <xf numFmtId="0" fontId="8" fillId="33" borderId="18" xfId="0" applyFont="1" applyFill="1" applyBorder="1" applyProtection="1">
      <protection hidden="1"/>
    </xf>
    <xf numFmtId="0" fontId="8" fillId="33" borderId="39" xfId="0" applyFont="1" applyFill="1" applyBorder="1" applyAlignment="1" applyProtection="1">
      <alignment horizontal="left"/>
      <protection hidden="1"/>
    </xf>
    <xf numFmtId="0" fontId="112" fillId="0" borderId="0" xfId="0" applyFont="1" applyFill="1" applyAlignment="1" applyProtection="1">
      <alignment horizontal="left" vertical="top"/>
      <protection hidden="1"/>
    </xf>
    <xf numFmtId="0" fontId="112" fillId="0" borderId="0" xfId="0" applyFont="1" applyFill="1" applyAlignment="1" applyProtection="1">
      <alignment horizontal="left" vertical="top" indent="1"/>
      <protection hidden="1"/>
    </xf>
    <xf numFmtId="0" fontId="0" fillId="32" borderId="0" xfId="0" applyFill="1" applyProtection="1">
      <protection hidden="1"/>
    </xf>
    <xf numFmtId="166" fontId="85" fillId="32" borderId="0" xfId="29" applyNumberFormat="1" applyFont="1" applyFill="1" applyAlignment="1" applyProtection="1">
      <alignment vertical="center"/>
      <protection hidden="1"/>
    </xf>
    <xf numFmtId="166" fontId="14" fillId="32" borderId="0" xfId="29" applyNumberFormat="1" applyFont="1" applyFill="1" applyProtection="1">
      <protection hidden="1"/>
    </xf>
    <xf numFmtId="166" fontId="202" fillId="32" borderId="0" xfId="29" applyNumberFormat="1" applyFont="1" applyFill="1" applyProtection="1">
      <protection hidden="1"/>
    </xf>
    <xf numFmtId="166" fontId="14" fillId="32" borderId="0" xfId="29" applyNumberFormat="1" applyFont="1" applyFill="1" applyAlignment="1" applyProtection="1">
      <alignment vertical="center"/>
      <protection hidden="1"/>
    </xf>
    <xf numFmtId="9" fontId="56" fillId="32" borderId="0" xfId="53" applyFont="1" applyFill="1" applyAlignment="1" applyProtection="1">
      <alignment vertical="center"/>
      <protection hidden="1"/>
    </xf>
    <xf numFmtId="10" fontId="56" fillId="32" borderId="0" xfId="53" applyNumberFormat="1" applyFont="1" applyFill="1" applyAlignment="1" applyProtection="1">
      <alignment vertical="center"/>
      <protection hidden="1"/>
    </xf>
    <xf numFmtId="166" fontId="14" fillId="32" borderId="0" xfId="33" applyNumberFormat="1" applyFont="1" applyFill="1" applyAlignment="1" applyProtection="1">
      <alignment vertical="center"/>
      <protection hidden="1"/>
    </xf>
    <xf numFmtId="0" fontId="104" fillId="33" borderId="0" xfId="0" applyFont="1" applyFill="1" applyAlignment="1">
      <alignment vertical="center"/>
    </xf>
    <xf numFmtId="0" fontId="198" fillId="33" borderId="0" xfId="0" applyFont="1" applyFill="1" applyAlignment="1">
      <alignment vertical="top" wrapText="1"/>
    </xf>
    <xf numFmtId="0" fontId="130" fillId="28" borderId="0" xfId="45" applyFont="1" applyFill="1" applyAlignment="1">
      <alignment horizontal="left" vertical="center" indent="1"/>
    </xf>
    <xf numFmtId="0" fontId="131" fillId="28" borderId="0" xfId="45" applyFont="1" applyFill="1" applyAlignment="1">
      <alignment horizontal="left" vertical="top" wrapText="1" indent="1"/>
    </xf>
    <xf numFmtId="166" fontId="18" fillId="0" borderId="0" xfId="29" applyNumberFormat="1" applyFont="1" applyFill="1" applyAlignment="1" applyProtection="1">
      <alignment horizontal="right" vertical="center"/>
      <protection hidden="1"/>
    </xf>
    <xf numFmtId="0" fontId="50" fillId="0" borderId="0" xfId="0" applyFont="1" applyFill="1" applyAlignment="1" applyProtection="1">
      <alignment horizontal="left" vertical="top" wrapText="1" indent="1"/>
      <protection hidden="1"/>
    </xf>
    <xf numFmtId="1" fontId="139" fillId="0" borderId="0" xfId="0" applyNumberFormat="1" applyFont="1" applyFill="1" applyAlignment="1" applyProtection="1">
      <alignment vertical="center"/>
      <protection hidden="1"/>
    </xf>
    <xf numFmtId="174" fontId="11" fillId="30" borderId="0" xfId="33" applyNumberFormat="1" applyFont="1" applyFill="1" applyBorder="1" applyAlignment="1" applyProtection="1">
      <alignment horizontal="left" vertical="center"/>
      <protection locked="0" hidden="1"/>
    </xf>
    <xf numFmtId="49" fontId="11" fillId="30" borderId="0" xfId="33" applyNumberFormat="1" applyFont="1" applyFill="1" applyBorder="1" applyAlignment="1" applyProtection="1">
      <alignment vertical="center"/>
      <protection locked="0" hidden="1"/>
    </xf>
    <xf numFmtId="0" fontId="14" fillId="0" borderId="27" xfId="69" applyFont="1" applyBorder="1" applyAlignment="1" applyProtection="1">
      <alignment horizontal="left" indent="1"/>
      <protection hidden="1"/>
    </xf>
    <xf numFmtId="0" fontId="14" fillId="0" borderId="0" xfId="69" applyFont="1" applyAlignment="1" applyProtection="1">
      <alignment horizontal="left" indent="7"/>
      <protection hidden="1"/>
    </xf>
    <xf numFmtId="0" fontId="17" fillId="0" borderId="0" xfId="0" applyFont="1" applyFill="1" applyAlignment="1" applyProtection="1">
      <alignment horizontal="left" vertical="top" indent="1"/>
      <protection hidden="1"/>
    </xf>
    <xf numFmtId="0" fontId="112" fillId="0" borderId="0" xfId="0" applyFont="1" applyFill="1" applyAlignment="1" applyProtection="1">
      <alignment vertical="top"/>
      <protection hidden="1"/>
    </xf>
    <xf numFmtId="0" fontId="50" fillId="0" borderId="0" xfId="0" applyFont="1" applyFill="1" applyProtection="1">
      <protection hidden="1"/>
    </xf>
    <xf numFmtId="0" fontId="50" fillId="0" borderId="0" xfId="0" applyFont="1" applyFill="1" applyAlignment="1" applyProtection="1">
      <alignment vertical="top" wrapText="1"/>
      <protection hidden="1"/>
    </xf>
    <xf numFmtId="0" fontId="112" fillId="0" borderId="0" xfId="0" applyFont="1" applyFill="1" applyAlignment="1" applyProtection="1">
      <alignment vertical="top" wrapText="1"/>
      <protection hidden="1"/>
    </xf>
    <xf numFmtId="0" fontId="112" fillId="0" borderId="0" xfId="0" applyFont="1" applyFill="1" applyAlignment="1" applyProtection="1">
      <alignment horizontal="left" vertical="top" wrapText="1" indent="1"/>
      <protection hidden="1"/>
    </xf>
    <xf numFmtId="0" fontId="112" fillId="0" borderId="0" xfId="0" applyFont="1" applyFill="1" applyProtection="1">
      <protection hidden="1"/>
    </xf>
    <xf numFmtId="43" fontId="8" fillId="0" borderId="145" xfId="0" applyNumberFormat="1" applyFont="1" applyFill="1" applyBorder="1"/>
    <xf numFmtId="0" fontId="204" fillId="34" borderId="0" xfId="59" applyFont="1" applyFill="1" applyAlignment="1">
      <alignment vertical="center"/>
    </xf>
    <xf numFmtId="0" fontId="118" fillId="28" borderId="0" xfId="59" applyFont="1" applyFill="1" applyAlignment="1">
      <alignment horizontal="center" vertical="center"/>
    </xf>
    <xf numFmtId="0" fontId="76" fillId="28" borderId="0" xfId="59" applyFont="1" applyFill="1" applyAlignment="1">
      <alignment horizontal="center" vertical="center"/>
    </xf>
    <xf numFmtId="3" fontId="76" fillId="28" borderId="0" xfId="59" applyNumberFormat="1" applyFont="1" applyFill="1" applyAlignment="1">
      <alignment horizontal="center" vertical="center"/>
    </xf>
    <xf numFmtId="0" fontId="13" fillId="69" borderId="0" xfId="60" applyFont="1" applyFill="1" applyBorder="1"/>
    <xf numFmtId="0" fontId="106" fillId="69" borderId="0" xfId="60" applyFont="1" applyFill="1" applyBorder="1"/>
    <xf numFmtId="0" fontId="8" fillId="0" borderId="0" xfId="0" applyFont="1" applyFill="1" applyProtection="1">
      <protection hidden="1"/>
    </xf>
    <xf numFmtId="0" fontId="130" fillId="33" borderId="0" xfId="64" applyFont="1" applyFill="1" applyAlignment="1">
      <alignment vertical="center"/>
    </xf>
    <xf numFmtId="0" fontId="131" fillId="33" borderId="0" xfId="64" applyFont="1" applyFill="1" applyAlignment="1">
      <alignment horizontal="left" vertical="top" wrapText="1"/>
    </xf>
    <xf numFmtId="0" fontId="205" fillId="0" borderId="0" xfId="47" applyFont="1" applyProtection="1">
      <protection hidden="1"/>
    </xf>
    <xf numFmtId="0" fontId="0" fillId="0" borderId="0" xfId="0" applyFill="1" applyAlignment="1">
      <alignment vertical="center"/>
    </xf>
    <xf numFmtId="0" fontId="8" fillId="0" borderId="18" xfId="0" applyFont="1" applyFill="1" applyBorder="1" applyAlignment="1">
      <alignment horizontal="center" vertical="center"/>
    </xf>
    <xf numFmtId="0" fontId="12" fillId="0" borderId="0" xfId="47" applyAlignment="1">
      <alignment horizontal="center"/>
    </xf>
    <xf numFmtId="0" fontId="106" fillId="0" borderId="18" xfId="0" applyFont="1" applyFill="1" applyBorder="1" applyAlignment="1">
      <alignment vertical="center" wrapText="1"/>
    </xf>
    <xf numFmtId="0" fontId="106" fillId="0" borderId="18" xfId="0" applyFont="1" applyFill="1" applyBorder="1" applyProtection="1">
      <protection hidden="1"/>
    </xf>
    <xf numFmtId="0" fontId="106" fillId="0" borderId="39" xfId="0" applyFont="1" applyFill="1" applyBorder="1" applyAlignment="1">
      <alignment horizontal="center" vertical="center" wrapText="1"/>
    </xf>
    <xf numFmtId="165" fontId="206" fillId="0" borderId="0" xfId="29" applyNumberFormat="1" applyFont="1" applyFill="1" applyAlignment="1" applyProtection="1">
      <alignment horizontal="left" vertical="center"/>
      <protection hidden="1"/>
    </xf>
    <xf numFmtId="1" fontId="14" fillId="33" borderId="18" xfId="64" applyNumberFormat="1" applyFont="1" applyFill="1" applyBorder="1" applyAlignment="1" applyProtection="1">
      <alignment horizontal="center" vertical="center"/>
      <protection hidden="1"/>
    </xf>
    <xf numFmtId="0" fontId="17" fillId="33" borderId="0" xfId="0" applyFont="1" applyFill="1" applyAlignment="1" applyProtection="1">
      <alignment vertical="center"/>
      <protection hidden="1"/>
    </xf>
    <xf numFmtId="0" fontId="102" fillId="0" borderId="18" xfId="0" applyFont="1" applyFill="1" applyBorder="1" applyProtection="1">
      <protection hidden="1"/>
    </xf>
    <xf numFmtId="0" fontId="130" fillId="0" borderId="0" xfId="45" applyFont="1" applyFill="1" applyAlignment="1">
      <alignment horizontal="left" vertical="center" indent="1"/>
    </xf>
    <xf numFmtId="0" fontId="131" fillId="0" borderId="0" xfId="45" applyFont="1" applyFill="1" applyAlignment="1">
      <alignment horizontal="left" vertical="top" wrapText="1" indent="1"/>
    </xf>
    <xf numFmtId="2" fontId="30" fillId="0" borderId="19" xfId="49" applyNumberFormat="1" applyFill="1" applyBorder="1" applyAlignment="1">
      <alignment horizontal="center"/>
    </xf>
    <xf numFmtId="2" fontId="30" fillId="0" borderId="10" xfId="49" applyNumberFormat="1" applyFill="1" applyBorder="1" applyAlignment="1">
      <alignment horizontal="center"/>
    </xf>
    <xf numFmtId="2" fontId="30" fillId="0" borderId="20" xfId="49" applyNumberFormat="1" applyFill="1" applyBorder="1" applyAlignment="1">
      <alignment horizontal="center"/>
    </xf>
    <xf numFmtId="43" fontId="181" fillId="34" borderId="0" xfId="59" applyNumberFormat="1" applyFont="1" applyFill="1" applyAlignment="1">
      <alignment horizontal="center" vertical="center"/>
    </xf>
    <xf numFmtId="0" fontId="181" fillId="64" borderId="0" xfId="59" applyFont="1" applyFill="1" applyAlignment="1">
      <alignment horizontal="center" vertical="center"/>
    </xf>
    <xf numFmtId="0" fontId="8" fillId="0" borderId="0" xfId="47" applyFont="1"/>
    <xf numFmtId="41" fontId="0" fillId="0" borderId="38" xfId="0" applyNumberFormat="1" applyFill="1" applyBorder="1" applyAlignment="1">
      <alignment horizontal="center" vertical="center"/>
    </xf>
    <xf numFmtId="0" fontId="0" fillId="0" borderId="145" xfId="0" applyFill="1" applyBorder="1"/>
    <xf numFmtId="0" fontId="108" fillId="0" borderId="18" xfId="0" applyFont="1" applyBorder="1" applyAlignment="1">
      <alignment horizontal="center" vertical="center"/>
    </xf>
    <xf numFmtId="43" fontId="108" fillId="0" borderId="18" xfId="29" applyFont="1" applyBorder="1" applyAlignment="1">
      <alignment horizontal="left" vertical="center"/>
    </xf>
    <xf numFmtId="43" fontId="108" fillId="0" borderId="18" xfId="29" applyFont="1" applyBorder="1" applyAlignment="1">
      <alignment vertical="center"/>
    </xf>
    <xf numFmtId="0" fontId="109" fillId="0" borderId="18" xfId="0" applyFont="1" applyFill="1" applyBorder="1" applyAlignment="1">
      <alignment horizontal="center" vertical="center"/>
    </xf>
    <xf numFmtId="43" fontId="109" fillId="0" borderId="18" xfId="29" applyFont="1" applyFill="1" applyBorder="1" applyAlignment="1">
      <alignment horizontal="left" vertical="center"/>
    </xf>
    <xf numFmtId="43" fontId="109" fillId="0" borderId="18" xfId="29" applyFont="1" applyFill="1" applyBorder="1" applyAlignment="1">
      <alignment horizontal="center" vertical="center"/>
    </xf>
    <xf numFmtId="0" fontId="110" fillId="0" borderId="18" xfId="0" applyFont="1" applyFill="1" applyBorder="1" applyAlignment="1">
      <alignment horizontal="center" vertical="center"/>
    </xf>
    <xf numFmtId="43" fontId="110" fillId="0" borderId="18" xfId="29" applyFont="1" applyFill="1" applyBorder="1" applyAlignment="1">
      <alignment horizontal="left" vertical="center"/>
    </xf>
    <xf numFmtId="43" fontId="110" fillId="0" borderId="18" xfId="29" applyFont="1" applyFill="1" applyBorder="1" applyAlignment="1">
      <alignment horizontal="center" vertical="center"/>
    </xf>
    <xf numFmtId="0" fontId="0" fillId="0" borderId="18" xfId="0" applyBorder="1" applyAlignment="1">
      <alignment horizontal="center"/>
    </xf>
    <xf numFmtId="0" fontId="76" fillId="0" borderId="18" xfId="59" applyFont="1" applyFill="1" applyBorder="1" applyAlignment="1">
      <alignment horizontal="center" vertical="center"/>
    </xf>
    <xf numFmtId="49" fontId="76" fillId="0" borderId="18" xfId="59" applyNumberFormat="1" applyFont="1" applyFill="1" applyBorder="1" applyAlignment="1">
      <alignment horizontal="center" vertical="center"/>
    </xf>
    <xf numFmtId="43" fontId="96" fillId="0" borderId="0" xfId="29" applyFont="1" applyFill="1" applyBorder="1" applyAlignment="1" applyProtection="1">
      <alignment horizontal="center"/>
      <protection hidden="1"/>
    </xf>
    <xf numFmtId="0" fontId="48" fillId="0" borderId="76" xfId="0" applyFont="1" applyFill="1" applyBorder="1" applyAlignment="1" applyProtection="1">
      <alignment horizontal="center" vertical="center"/>
      <protection hidden="1"/>
    </xf>
    <xf numFmtId="41" fontId="96" fillId="0" borderId="0" xfId="0" applyNumberFormat="1" applyFont="1" applyFill="1" applyAlignment="1" applyProtection="1">
      <alignment horizontal="left" indent="4"/>
      <protection hidden="1"/>
    </xf>
    <xf numFmtId="0" fontId="207" fillId="0" borderId="0" xfId="47" applyFont="1" applyProtection="1">
      <protection hidden="1"/>
    </xf>
    <xf numFmtId="0" fontId="208" fillId="0" borderId="0" xfId="0" applyFont="1" applyProtection="1">
      <protection hidden="1"/>
    </xf>
    <xf numFmtId="0" fontId="209" fillId="31" borderId="0" xfId="0" applyFont="1" applyFill="1" applyProtection="1">
      <protection hidden="1"/>
    </xf>
    <xf numFmtId="0" fontId="207" fillId="33" borderId="0" xfId="47" applyFont="1" applyFill="1"/>
    <xf numFmtId="0" fontId="210" fillId="0" borderId="0" xfId="45" applyFont="1"/>
    <xf numFmtId="0" fontId="210" fillId="0" borderId="0" xfId="47" applyFont="1"/>
    <xf numFmtId="0" fontId="207" fillId="0" borderId="0" xfId="47" applyFont="1"/>
    <xf numFmtId="0" fontId="157" fillId="50" borderId="118" xfId="74" applyFont="1" applyFill="1" applyBorder="1" applyAlignment="1">
      <alignment horizontal="center"/>
    </xf>
    <xf numFmtId="0" fontId="106" fillId="66" borderId="0" xfId="73" applyFont="1" applyFill="1"/>
    <xf numFmtId="0" fontId="106" fillId="0" borderId="0" xfId="73" applyFont="1"/>
    <xf numFmtId="0" fontId="106" fillId="0" borderId="0" xfId="73" applyFont="1" applyFill="1"/>
    <xf numFmtId="0" fontId="13" fillId="0" borderId="0" xfId="73" applyFont="1"/>
    <xf numFmtId="0" fontId="211" fillId="0" borderId="0" xfId="73" applyFont="1"/>
    <xf numFmtId="0" fontId="151" fillId="27" borderId="0" xfId="73" applyFont="1" applyFill="1"/>
    <xf numFmtId="0" fontId="212" fillId="27" borderId="0" xfId="73" applyFont="1" applyFill="1"/>
    <xf numFmtId="0" fontId="213" fillId="27" borderId="0" xfId="73" applyFont="1" applyFill="1"/>
    <xf numFmtId="0" fontId="214" fillId="27" borderId="0" xfId="73" applyFont="1" applyFill="1"/>
    <xf numFmtId="2" fontId="106" fillId="70" borderId="122" xfId="0" applyNumberFormat="1" applyFont="1" applyFill="1" applyBorder="1" applyAlignment="1">
      <alignment horizontal="center" vertical="center"/>
    </xf>
    <xf numFmtId="2" fontId="106" fillId="70" borderId="126" xfId="0" applyNumberFormat="1" applyFont="1" applyFill="1" applyBorder="1" applyAlignment="1">
      <alignment horizontal="center" vertical="center"/>
    </xf>
    <xf numFmtId="2" fontId="106" fillId="70" borderId="129" xfId="0" applyNumberFormat="1" applyFont="1" applyFill="1" applyBorder="1" applyAlignment="1">
      <alignment horizontal="center" vertical="center"/>
    </xf>
    <xf numFmtId="2" fontId="106" fillId="70" borderId="132" xfId="0" applyNumberFormat="1" applyFont="1" applyFill="1" applyBorder="1" applyAlignment="1">
      <alignment horizontal="center" vertical="center"/>
    </xf>
    <xf numFmtId="0" fontId="157" fillId="70" borderId="118" xfId="74" applyFont="1" applyFill="1" applyBorder="1" applyAlignment="1">
      <alignment horizontal="center" vertical="center"/>
    </xf>
    <xf numFmtId="2" fontId="106" fillId="70" borderId="123" xfId="0" applyNumberFormat="1" applyFont="1" applyFill="1" applyBorder="1" applyAlignment="1">
      <alignment horizontal="center" vertical="center"/>
    </xf>
    <xf numFmtId="2" fontId="106" fillId="70" borderId="124" xfId="0" applyNumberFormat="1" applyFont="1" applyFill="1" applyBorder="1" applyAlignment="1">
      <alignment horizontal="center" vertical="center"/>
    </xf>
    <xf numFmtId="2" fontId="147" fillId="37" borderId="123" xfId="0" applyNumberFormat="1" applyFont="1" applyFill="1" applyBorder="1" applyAlignment="1">
      <alignment horizontal="center" vertical="center"/>
    </xf>
    <xf numFmtId="2" fontId="147" fillId="37" borderId="124" xfId="0" applyNumberFormat="1" applyFont="1" applyFill="1" applyBorder="1" applyAlignment="1">
      <alignment horizontal="center" vertical="center"/>
    </xf>
    <xf numFmtId="2" fontId="147" fillId="37" borderId="127" xfId="0" applyNumberFormat="1" applyFont="1" applyFill="1" applyBorder="1" applyAlignment="1">
      <alignment horizontal="center" vertical="center"/>
    </xf>
    <xf numFmtId="2" fontId="147" fillId="37" borderId="128" xfId="0" applyNumberFormat="1" applyFont="1" applyFill="1" applyBorder="1" applyAlignment="1">
      <alignment horizontal="center" vertical="center"/>
    </xf>
    <xf numFmtId="2" fontId="147" fillId="37" borderId="130" xfId="0" applyNumberFormat="1" applyFont="1" applyFill="1" applyBorder="1" applyAlignment="1">
      <alignment horizontal="center" vertical="center"/>
    </xf>
    <xf numFmtId="2" fontId="147" fillId="37" borderId="131" xfId="0" applyNumberFormat="1" applyFont="1" applyFill="1" applyBorder="1" applyAlignment="1">
      <alignment horizontal="center" vertical="center"/>
    </xf>
    <xf numFmtId="2" fontId="147" fillId="37" borderId="133" xfId="0" applyNumberFormat="1" applyFont="1" applyFill="1" applyBorder="1" applyAlignment="1">
      <alignment horizontal="center" vertical="center"/>
    </xf>
    <xf numFmtId="2" fontId="147" fillId="37" borderId="134" xfId="0" applyNumberFormat="1" applyFont="1" applyFill="1" applyBorder="1" applyAlignment="1">
      <alignment horizontal="center" vertical="center"/>
    </xf>
    <xf numFmtId="2" fontId="106" fillId="70" borderId="138" xfId="0" applyNumberFormat="1" applyFont="1" applyFill="1" applyBorder="1" applyAlignment="1">
      <alignment horizontal="center" vertical="center"/>
    </xf>
    <xf numFmtId="2" fontId="106" fillId="70" borderId="27" xfId="0" applyNumberFormat="1" applyFont="1" applyFill="1" applyBorder="1" applyAlignment="1">
      <alignment horizontal="center" vertical="center"/>
    </xf>
    <xf numFmtId="2" fontId="106" fillId="70" borderId="135" xfId="0" applyNumberFormat="1" applyFont="1" applyFill="1" applyBorder="1" applyAlignment="1">
      <alignment horizontal="center" vertical="center"/>
    </xf>
    <xf numFmtId="2" fontId="106" fillId="70" borderId="65" xfId="0" applyNumberFormat="1" applyFont="1" applyFill="1" applyBorder="1" applyAlignment="1">
      <alignment horizontal="center" vertical="center"/>
    </xf>
    <xf numFmtId="2" fontId="106" fillId="70" borderId="29" xfId="0" applyNumberFormat="1" applyFont="1" applyFill="1" applyBorder="1" applyAlignment="1">
      <alignment horizontal="center" vertical="center"/>
    </xf>
    <xf numFmtId="0" fontId="27" fillId="27" borderId="0" xfId="0" applyFont="1" applyFill="1"/>
    <xf numFmtId="0" fontId="89" fillId="27" borderId="0" xfId="0" applyFont="1" applyFill="1"/>
    <xf numFmtId="0" fontId="215" fillId="27" borderId="0" xfId="0" applyFont="1" applyFill="1"/>
    <xf numFmtId="165" fontId="63" fillId="0" borderId="0" xfId="29" applyNumberFormat="1" applyFont="1" applyFill="1" applyBorder="1" applyAlignment="1" applyProtection="1">
      <alignment horizontal="left" indent="1"/>
      <protection hidden="1"/>
    </xf>
    <xf numFmtId="0" fontId="26" fillId="30" borderId="70" xfId="0" applyFont="1" applyFill="1" applyBorder="1" applyAlignment="1" applyProtection="1">
      <alignment horizontal="center"/>
      <protection locked="0"/>
    </xf>
    <xf numFmtId="1" fontId="0" fillId="0" borderId="18" xfId="0" applyNumberFormat="1" applyFill="1" applyBorder="1" applyAlignment="1">
      <alignment horizontal="center"/>
    </xf>
    <xf numFmtId="1" fontId="77" fillId="0" borderId="18" xfId="29" applyNumberFormat="1" applyFont="1" applyFill="1" applyBorder="1" applyAlignment="1">
      <alignment horizontal="center"/>
    </xf>
    <xf numFmtId="43" fontId="0" fillId="0" borderId="18" xfId="0" applyNumberFormat="1" applyFill="1" applyBorder="1" applyAlignment="1">
      <alignment horizontal="center"/>
    </xf>
    <xf numFmtId="9" fontId="0" fillId="0" borderId="18" xfId="0" applyNumberFormat="1" applyFill="1" applyBorder="1" applyAlignment="1">
      <alignment horizontal="center"/>
    </xf>
    <xf numFmtId="0" fontId="12" fillId="0" borderId="0" xfId="47" applyFill="1"/>
    <xf numFmtId="0" fontId="8" fillId="0" borderId="38" xfId="0" applyFont="1" applyFill="1" applyBorder="1" applyAlignment="1">
      <alignment horizontal="center" vertical="center"/>
    </xf>
    <xf numFmtId="0" fontId="0" fillId="0" borderId="18" xfId="0" applyFill="1" applyBorder="1" applyAlignment="1">
      <alignment vertical="center"/>
    </xf>
    <xf numFmtId="1" fontId="0" fillId="0" borderId="18" xfId="0" applyNumberFormat="1" applyFill="1" applyBorder="1" applyAlignment="1">
      <alignment horizontal="center" vertical="center"/>
    </xf>
    <xf numFmtId="0" fontId="0" fillId="0" borderId="18" xfId="0" applyFill="1" applyBorder="1" applyAlignment="1">
      <alignment horizontal="center" vertical="center"/>
    </xf>
    <xf numFmtId="43" fontId="0" fillId="0" borderId="18" xfId="0" applyNumberFormat="1" applyFill="1" applyBorder="1" applyAlignment="1">
      <alignment horizontal="center" vertical="center"/>
    </xf>
    <xf numFmtId="0" fontId="8" fillId="0" borderId="39" xfId="0" applyFont="1" applyFill="1" applyBorder="1" applyAlignment="1">
      <alignment wrapText="1"/>
    </xf>
    <xf numFmtId="0" fontId="14" fillId="0" borderId="18" xfId="0" applyFont="1" applyFill="1" applyBorder="1" applyProtection="1">
      <protection hidden="1"/>
    </xf>
    <xf numFmtId="1" fontId="8" fillId="0" borderId="18" xfId="0" applyNumberFormat="1" applyFont="1" applyFill="1" applyBorder="1" applyAlignment="1">
      <alignment horizontal="center"/>
    </xf>
    <xf numFmtId="0" fontId="8" fillId="68" borderId="18" xfId="0" applyFont="1" applyFill="1" applyBorder="1" applyProtection="1">
      <protection hidden="1"/>
    </xf>
    <xf numFmtId="0" fontId="106" fillId="66" borderId="0" xfId="0" applyFont="1" applyFill="1" applyAlignment="1">
      <alignment horizontal="center" vertical="center"/>
    </xf>
    <xf numFmtId="0" fontId="17" fillId="0" borderId="0" xfId="0" applyFont="1" applyFill="1" applyAlignment="1" applyProtection="1">
      <alignment vertical="center"/>
      <protection hidden="1"/>
    </xf>
    <xf numFmtId="3" fontId="78" fillId="0" borderId="0" xfId="0" applyNumberFormat="1" applyFont="1" applyFill="1" applyAlignment="1" applyProtection="1">
      <alignment vertical="center"/>
      <protection hidden="1"/>
    </xf>
    <xf numFmtId="0" fontId="8" fillId="0" borderId="0" xfId="0" applyFont="1" applyFill="1" applyAlignment="1" applyProtection="1">
      <alignment vertical="center"/>
      <protection hidden="1"/>
    </xf>
    <xf numFmtId="0" fontId="78" fillId="0" borderId="0" xfId="0" applyFont="1" applyFill="1" applyAlignment="1" applyProtection="1">
      <alignment vertical="center"/>
      <protection hidden="1"/>
    </xf>
    <xf numFmtId="0" fontId="201" fillId="0" borderId="18" xfId="0" applyFont="1" applyFill="1" applyBorder="1" applyProtection="1">
      <protection hidden="1"/>
    </xf>
    <xf numFmtId="0" fontId="201" fillId="0" borderId="0" xfId="0" applyFont="1" applyFill="1" applyProtection="1">
      <protection hidden="1"/>
    </xf>
    <xf numFmtId="0" fontId="101" fillId="0" borderId="18" xfId="0" applyFont="1" applyFill="1" applyBorder="1" applyAlignment="1">
      <alignment vertical="top"/>
    </xf>
    <xf numFmtId="0" fontId="101" fillId="0" borderId="18" xfId="0" applyFont="1" applyFill="1" applyBorder="1" applyAlignment="1">
      <alignment vertical="top" wrapText="1"/>
    </xf>
    <xf numFmtId="0" fontId="198" fillId="0" borderId="0" xfId="0" applyFont="1" applyFill="1" applyAlignment="1">
      <alignment vertical="top"/>
    </xf>
    <xf numFmtId="0" fontId="198" fillId="0" borderId="0" xfId="0" applyFont="1" applyFill="1" applyAlignment="1">
      <alignment vertical="top" wrapText="1"/>
    </xf>
    <xf numFmtId="0" fontId="197" fillId="0" borderId="0" xfId="0" applyFont="1" applyFill="1" applyAlignment="1" applyProtection="1">
      <alignment vertical="top" wrapText="1"/>
      <protection hidden="1"/>
    </xf>
    <xf numFmtId="0" fontId="13" fillId="0" borderId="0" xfId="60" applyFill="1"/>
    <xf numFmtId="0" fontId="13" fillId="0" borderId="18" xfId="60" applyFill="1" applyBorder="1" applyAlignment="1">
      <alignment horizontal="center"/>
    </xf>
    <xf numFmtId="0" fontId="13" fillId="0" borderId="18" xfId="0" applyFont="1" applyFill="1" applyBorder="1" applyAlignment="1" applyProtection="1">
      <alignment horizontal="right"/>
      <protection locked="0"/>
    </xf>
    <xf numFmtId="0" fontId="13" fillId="0" borderId="18" xfId="60" applyFill="1" applyBorder="1"/>
    <xf numFmtId="0" fontId="13" fillId="0" borderId="148" xfId="60" applyFill="1" applyBorder="1" applyAlignment="1">
      <alignment horizontal="center"/>
    </xf>
    <xf numFmtId="0" fontId="13" fillId="0" borderId="148" xfId="60" applyFill="1" applyBorder="1"/>
    <xf numFmtId="0" fontId="13" fillId="0" borderId="20" xfId="60" applyFill="1" applyBorder="1" applyAlignment="1">
      <alignment horizontal="center"/>
    </xf>
    <xf numFmtId="0" fontId="13" fillId="0" borderId="20" xfId="60" applyFill="1" applyBorder="1"/>
    <xf numFmtId="0" fontId="106" fillId="0" borderId="18" xfId="60" applyFont="1" applyFill="1" applyBorder="1" applyAlignment="1">
      <alignment horizontal="center"/>
    </xf>
    <xf numFmtId="0" fontId="106" fillId="0" borderId="18" xfId="0" applyFont="1" applyFill="1" applyBorder="1" applyAlignment="1" applyProtection="1">
      <alignment horizontal="right"/>
      <protection locked="0"/>
    </xf>
    <xf numFmtId="0" fontId="106" fillId="0" borderId="18" xfId="60" applyFont="1" applyFill="1" applyBorder="1"/>
    <xf numFmtId="0" fontId="106" fillId="0" borderId="148" xfId="60" applyFont="1" applyFill="1" applyBorder="1" applyAlignment="1">
      <alignment horizontal="center"/>
    </xf>
    <xf numFmtId="0" fontId="106" fillId="0" borderId="148" xfId="60" applyFont="1" applyFill="1" applyBorder="1"/>
    <xf numFmtId="0" fontId="106" fillId="0" borderId="20" xfId="60" applyFont="1" applyFill="1" applyBorder="1" applyAlignment="1">
      <alignment horizontal="center"/>
    </xf>
    <xf numFmtId="0" fontId="106" fillId="0" borderId="20" xfId="60" applyFont="1" applyFill="1" applyBorder="1"/>
    <xf numFmtId="0" fontId="0" fillId="28" borderId="37" xfId="0" applyFill="1" applyBorder="1"/>
    <xf numFmtId="0" fontId="0" fillId="28" borderId="37" xfId="0" applyFill="1" applyBorder="1" applyAlignment="1">
      <alignment horizontal="center"/>
    </xf>
    <xf numFmtId="43" fontId="0" fillId="28" borderId="37" xfId="29" applyNumberFormat="1" applyFont="1" applyFill="1" applyBorder="1"/>
    <xf numFmtId="0" fontId="72" fillId="28" borderId="37" xfId="0" applyFont="1" applyFill="1" applyBorder="1"/>
    <xf numFmtId="0" fontId="215" fillId="69" borderId="0" xfId="0" applyFont="1" applyFill="1"/>
    <xf numFmtId="0" fontId="0" fillId="69" borderId="0" xfId="0" applyFill="1"/>
    <xf numFmtId="0" fontId="63" fillId="0" borderId="0" xfId="0" applyFont="1" applyAlignment="1" applyProtection="1">
      <alignment horizontal="left" indent="2"/>
      <protection hidden="1"/>
    </xf>
    <xf numFmtId="0" fontId="63" fillId="0" borderId="0" xfId="0" applyFont="1" applyFill="1" applyAlignment="1" applyProtection="1">
      <alignment horizontal="left" indent="2"/>
      <protection hidden="1"/>
    </xf>
    <xf numFmtId="0" fontId="26" fillId="0" borderId="10" xfId="0" applyFont="1" applyFill="1" applyBorder="1" applyAlignment="1" applyProtection="1">
      <alignment horizontal="center" vertical="top" shrinkToFit="1"/>
      <protection hidden="1"/>
    </xf>
    <xf numFmtId="165" fontId="11" fillId="30" borderId="0" xfId="29" applyNumberFormat="1" applyFont="1" applyFill="1" applyBorder="1" applyAlignment="1" applyProtection="1">
      <alignment horizontal="center" vertical="center"/>
      <protection locked="0"/>
    </xf>
    <xf numFmtId="0" fontId="26" fillId="0" borderId="10" xfId="0" applyFont="1" applyBorder="1" applyAlignment="1" applyProtection="1">
      <alignment horizontal="center" vertical="top" shrinkToFit="1"/>
      <protection hidden="1"/>
    </xf>
    <xf numFmtId="43" fontId="27" fillId="0" borderId="0" xfId="0" applyNumberFormat="1" applyFont="1" applyAlignment="1" applyProtection="1">
      <alignment horizontal="right"/>
      <protection hidden="1"/>
    </xf>
    <xf numFmtId="0" fontId="8" fillId="0" borderId="0" xfId="0" quotePrefix="1" applyFont="1" applyAlignment="1" applyProtection="1">
      <alignment horizontal="left" indent="3"/>
      <protection hidden="1"/>
    </xf>
    <xf numFmtId="0" fontId="216" fillId="0" borderId="10" xfId="0" applyFont="1" applyBorder="1" applyAlignment="1" applyProtection="1">
      <alignment horizontal="center" vertical="center"/>
      <protection hidden="1"/>
    </xf>
    <xf numFmtId="0" fontId="106" fillId="40" borderId="18" xfId="60" applyFont="1" applyFill="1" applyBorder="1" applyAlignment="1">
      <alignment horizontal="center"/>
    </xf>
    <xf numFmtId="0" fontId="13" fillId="71" borderId="0" xfId="60" applyFont="1" applyFill="1"/>
    <xf numFmtId="0" fontId="13" fillId="0" borderId="149" xfId="60" applyFont="1" applyFill="1" applyBorder="1"/>
    <xf numFmtId="0" fontId="13" fillId="0" borderId="149" xfId="60" applyFill="1" applyBorder="1"/>
    <xf numFmtId="0" fontId="19" fillId="0" borderId="0" xfId="0" applyFont="1" applyAlignment="1" applyProtection="1">
      <alignment horizontal="center" vertical="center"/>
      <protection hidden="1"/>
    </xf>
    <xf numFmtId="0" fontId="15" fillId="0" borderId="0" xfId="0" applyFont="1" applyAlignment="1" applyProtection="1">
      <alignment horizontal="center" vertical="center"/>
      <protection hidden="1"/>
    </xf>
    <xf numFmtId="43" fontId="14" fillId="0" borderId="0" xfId="29" applyFont="1" applyAlignment="1" applyProtection="1">
      <alignment horizontal="center" vertical="center"/>
      <protection hidden="1"/>
    </xf>
    <xf numFmtId="0" fontId="20" fillId="0" borderId="0" xfId="0" applyFont="1" applyAlignment="1" applyProtection="1">
      <alignment horizontal="center" vertical="center"/>
      <protection hidden="1"/>
    </xf>
    <xf numFmtId="43" fontId="18" fillId="0" borderId="0" xfId="29" applyFont="1" applyFill="1" applyBorder="1" applyAlignment="1" applyProtection="1">
      <alignment horizontal="center" vertical="center"/>
      <protection hidden="1"/>
    </xf>
    <xf numFmtId="43" fontId="18" fillId="0" borderId="0" xfId="29" applyFont="1" applyBorder="1" applyAlignment="1" applyProtection="1">
      <alignment horizontal="center" vertical="center"/>
      <protection hidden="1"/>
    </xf>
    <xf numFmtId="0" fontId="14" fillId="57" borderId="0" xfId="0" applyFont="1" applyFill="1" applyAlignment="1" applyProtection="1">
      <alignment horizontal="center" vertical="center"/>
      <protection hidden="1"/>
    </xf>
    <xf numFmtId="0" fontId="17" fillId="0" borderId="0" xfId="0" applyFont="1" applyAlignment="1" applyProtection="1">
      <alignment horizontal="center" vertical="center"/>
      <protection hidden="1"/>
    </xf>
    <xf numFmtId="0" fontId="17" fillId="57" borderId="0" xfId="0" applyFont="1" applyFill="1" applyAlignment="1" applyProtection="1">
      <alignment horizontal="center" vertical="center"/>
      <protection hidden="1"/>
    </xf>
    <xf numFmtId="0" fontId="14" fillId="0" borderId="10" xfId="0" applyFont="1" applyFill="1" applyBorder="1" applyProtection="1">
      <protection hidden="1"/>
    </xf>
    <xf numFmtId="0" fontId="14" fillId="0" borderId="10" xfId="0" applyFont="1" applyFill="1" applyBorder="1" applyAlignment="1" applyProtection="1">
      <alignment horizontal="center"/>
      <protection hidden="1"/>
    </xf>
    <xf numFmtId="0" fontId="14" fillId="0" borderId="0" xfId="0" applyFont="1" applyFill="1" applyAlignment="1" applyProtection="1">
      <alignment horizontal="center"/>
      <protection hidden="1"/>
    </xf>
    <xf numFmtId="0" fontId="20" fillId="0" borderId="46" xfId="29" applyNumberFormat="1" applyFont="1" applyBorder="1" applyAlignment="1" applyProtection="1">
      <alignment horizontal="center" vertical="center" shrinkToFit="1"/>
      <protection hidden="1"/>
    </xf>
    <xf numFmtId="0" fontId="20" fillId="0" borderId="48" xfId="29" applyNumberFormat="1" applyFont="1" applyBorder="1" applyAlignment="1" applyProtection="1">
      <alignment horizontal="center" vertical="center" shrinkToFit="1"/>
      <protection hidden="1"/>
    </xf>
    <xf numFmtId="0" fontId="20" fillId="30" borderId="49" xfId="29" applyNumberFormat="1" applyFont="1" applyFill="1" applyBorder="1" applyAlignment="1" applyProtection="1">
      <alignment horizontal="center" vertical="center" shrinkToFit="1"/>
      <protection hidden="1"/>
    </xf>
    <xf numFmtId="0" fontId="20" fillId="0" borderId="49" xfId="29" applyNumberFormat="1" applyFont="1" applyFill="1" applyBorder="1" applyAlignment="1" applyProtection="1">
      <alignment horizontal="center" vertical="center" shrinkToFit="1"/>
      <protection hidden="1"/>
    </xf>
    <xf numFmtId="0" fontId="20" fillId="0" borderId="48" xfId="29" applyNumberFormat="1" applyFont="1" applyFill="1" applyBorder="1" applyAlignment="1" applyProtection="1">
      <alignment horizontal="center" vertical="center" shrinkToFit="1"/>
      <protection hidden="1"/>
    </xf>
    <xf numFmtId="0" fontId="20" fillId="30" borderId="48" xfId="29" applyNumberFormat="1" applyFont="1" applyFill="1" applyBorder="1" applyAlignment="1" applyProtection="1">
      <alignment horizontal="center" vertical="center" shrinkToFit="1"/>
      <protection hidden="1"/>
    </xf>
    <xf numFmtId="43" fontId="19" fillId="0" borderId="18" xfId="33" applyFont="1" applyFill="1" applyBorder="1" applyAlignment="1" applyProtection="1">
      <alignment horizontal="center" vertical="center" wrapText="1"/>
      <protection hidden="1"/>
    </xf>
    <xf numFmtId="0" fontId="20" fillId="0" borderId="47" xfId="29" applyNumberFormat="1" applyFont="1" applyFill="1" applyBorder="1" applyAlignment="1" applyProtection="1">
      <alignment horizontal="center" vertical="center" shrinkToFit="1"/>
      <protection hidden="1"/>
    </xf>
    <xf numFmtId="0" fontId="20" fillId="30" borderId="50" xfId="29" applyNumberFormat="1" applyFont="1" applyFill="1" applyBorder="1" applyAlignment="1" applyProtection="1">
      <alignment horizontal="center" vertical="center" shrinkToFit="1"/>
      <protection hidden="1"/>
    </xf>
    <xf numFmtId="0" fontId="13" fillId="72" borderId="0" xfId="60" applyFont="1" applyFill="1"/>
    <xf numFmtId="0" fontId="13" fillId="73" borderId="0" xfId="60" applyFont="1" applyFill="1"/>
    <xf numFmtId="0" fontId="20" fillId="33" borderId="10" xfId="0" applyFont="1" applyFill="1" applyBorder="1" applyAlignment="1" applyProtection="1">
      <alignment horizontal="center" vertical="center"/>
      <protection hidden="1"/>
    </xf>
    <xf numFmtId="0" fontId="20" fillId="33" borderId="27" xfId="0" applyFont="1" applyFill="1" applyBorder="1" applyAlignment="1" applyProtection="1">
      <alignment horizontal="center" vertical="center"/>
      <protection hidden="1"/>
    </xf>
    <xf numFmtId="0" fontId="20" fillId="33" borderId="0" xfId="0" applyFont="1" applyFill="1" applyBorder="1" applyAlignment="1" applyProtection="1">
      <alignment horizontal="center" vertical="center"/>
      <protection hidden="1"/>
    </xf>
    <xf numFmtId="0" fontId="20" fillId="33" borderId="0" xfId="0" applyFont="1" applyFill="1" applyAlignment="1" applyProtection="1">
      <alignment horizontal="center" vertical="center"/>
      <protection hidden="1"/>
    </xf>
    <xf numFmtId="0" fontId="20" fillId="33" borderId="0" xfId="0" applyFont="1" applyFill="1" applyAlignment="1" applyProtection="1">
      <alignment vertical="center"/>
      <protection hidden="1"/>
    </xf>
    <xf numFmtId="0" fontId="20" fillId="33" borderId="0" xfId="0" applyFont="1" applyFill="1" applyProtection="1">
      <protection hidden="1"/>
    </xf>
    <xf numFmtId="0" fontId="20" fillId="33" borderId="0" xfId="0" applyFont="1" applyFill="1" applyAlignment="1" applyProtection="1">
      <alignment horizontal="center"/>
      <protection hidden="1"/>
    </xf>
    <xf numFmtId="4" fontId="20" fillId="33" borderId="0" xfId="0" applyNumberFormat="1" applyFont="1" applyFill="1" applyAlignment="1" applyProtection="1">
      <alignment horizontal="center"/>
      <protection hidden="1"/>
    </xf>
    <xf numFmtId="0" fontId="20" fillId="33" borderId="18" xfId="64" applyFont="1" applyFill="1" applyBorder="1" applyAlignment="1" applyProtection="1">
      <alignment horizontal="center" vertical="center"/>
      <protection hidden="1"/>
    </xf>
    <xf numFmtId="1" fontId="20" fillId="33" borderId="18" xfId="64" applyNumberFormat="1" applyFont="1" applyFill="1" applyBorder="1" applyAlignment="1" applyProtection="1">
      <alignment horizontal="center" vertical="center"/>
      <protection hidden="1"/>
    </xf>
    <xf numFmtId="43" fontId="20" fillId="33" borderId="18" xfId="33" applyFont="1" applyFill="1" applyBorder="1" applyAlignment="1" applyProtection="1">
      <alignment horizontal="center" vertical="center" wrapText="1"/>
      <protection hidden="1"/>
    </xf>
    <xf numFmtId="0" fontId="0" fillId="64" borderId="0" xfId="0" applyFill="1"/>
    <xf numFmtId="0" fontId="0" fillId="34" borderId="0" xfId="0" applyFill="1"/>
    <xf numFmtId="0" fontId="14" fillId="33" borderId="0" xfId="0" applyFont="1" applyFill="1" applyAlignment="1" applyProtection="1">
      <alignment vertical="center" wrapText="1"/>
      <protection hidden="1"/>
    </xf>
    <xf numFmtId="0" fontId="217" fillId="29" borderId="34" xfId="0" applyFont="1" applyFill="1" applyBorder="1"/>
    <xf numFmtId="49" fontId="217" fillId="29" borderId="0" xfId="0" applyNumberFormat="1" applyFont="1" applyFill="1" applyBorder="1" applyAlignment="1">
      <alignment horizontal="center" vertical="center"/>
    </xf>
    <xf numFmtId="49" fontId="217" fillId="29" borderId="35" xfId="0" applyNumberFormat="1" applyFont="1" applyFill="1" applyBorder="1" applyAlignment="1">
      <alignment horizontal="center" vertical="center"/>
    </xf>
    <xf numFmtId="3" fontId="217" fillId="29" borderId="34" xfId="0" applyNumberFormat="1" applyFont="1" applyFill="1" applyBorder="1"/>
    <xf numFmtId="0" fontId="217" fillId="29" borderId="0" xfId="0" applyFont="1" applyFill="1" applyBorder="1" applyAlignment="1">
      <alignment horizontal="center"/>
    </xf>
    <xf numFmtId="0" fontId="217" fillId="29" borderId="35" xfId="0" applyFont="1" applyFill="1" applyBorder="1" applyAlignment="1">
      <alignment horizontal="center"/>
    </xf>
    <xf numFmtId="0" fontId="217" fillId="29" borderId="36" xfId="0" applyFont="1" applyFill="1" applyBorder="1"/>
    <xf numFmtId="0" fontId="217" fillId="29" borderId="17" xfId="0" applyFont="1" applyFill="1" applyBorder="1" applyAlignment="1">
      <alignment horizontal="center"/>
    </xf>
    <xf numFmtId="0" fontId="217" fillId="29" borderId="11" xfId="0" applyFont="1" applyFill="1" applyBorder="1" applyAlignment="1">
      <alignment horizontal="center"/>
    </xf>
    <xf numFmtId="1" fontId="0" fillId="0" borderId="35" xfId="0" applyNumberFormat="1" applyBorder="1"/>
    <xf numFmtId="0" fontId="0" fillId="0" borderId="35" xfId="0" applyBorder="1"/>
    <xf numFmtId="0" fontId="0" fillId="0" borderId="150" xfId="0" applyBorder="1"/>
    <xf numFmtId="0" fontId="80" fillId="0" borderId="0" xfId="0" applyFont="1" applyBorder="1" applyAlignment="1" applyProtection="1">
      <protection hidden="1"/>
    </xf>
    <xf numFmtId="0" fontId="21" fillId="0" borderId="0" xfId="0" applyFont="1" applyFill="1" applyBorder="1" applyAlignment="1" applyProtection="1">
      <alignment vertical="center"/>
      <protection hidden="1"/>
    </xf>
    <xf numFmtId="43" fontId="19" fillId="0" borderId="151" xfId="29" applyFont="1" applyFill="1" applyBorder="1" applyAlignment="1" applyProtection="1">
      <alignment horizontal="centerContinuous" vertical="center" shrinkToFit="1"/>
      <protection hidden="1"/>
    </xf>
    <xf numFmtId="43" fontId="19" fillId="0" borderId="63" xfId="29" applyFont="1" applyBorder="1" applyAlignment="1" applyProtection="1">
      <alignment horizontal="centerContinuous" vertical="center" shrinkToFit="1"/>
      <protection hidden="1"/>
    </xf>
    <xf numFmtId="43" fontId="20" fillId="0" borderId="24" xfId="29" applyNumberFormat="1" applyFont="1" applyFill="1" applyBorder="1" applyAlignment="1" applyProtection="1">
      <alignment vertical="center" shrinkToFit="1"/>
      <protection hidden="1"/>
    </xf>
    <xf numFmtId="43" fontId="20" fillId="27" borderId="63" xfId="29" applyFont="1" applyFill="1" applyBorder="1" applyAlignment="1" applyProtection="1">
      <alignment horizontal="center" vertical="center" shrinkToFit="1"/>
      <protection hidden="1"/>
    </xf>
    <xf numFmtId="0" fontId="122" fillId="49" borderId="0" xfId="0" applyFont="1" applyFill="1" applyBorder="1" applyAlignment="1" applyProtection="1">
      <alignment horizontal="centerContinuous" vertical="center"/>
      <protection hidden="1"/>
    </xf>
    <xf numFmtId="0" fontId="80" fillId="0" borderId="0" xfId="0" applyFont="1" applyBorder="1" applyAlignment="1" applyProtection="1">
      <alignment horizontal="centerContinuous"/>
      <protection hidden="1"/>
    </xf>
    <xf numFmtId="0" fontId="21" fillId="0" borderId="0" xfId="0" applyFont="1" applyFill="1" applyBorder="1" applyAlignment="1" applyProtection="1">
      <alignment horizontal="centerContinuous" vertical="center"/>
      <protection hidden="1"/>
    </xf>
    <xf numFmtId="1" fontId="11" fillId="28" borderId="0" xfId="0" applyNumberFormat="1" applyFont="1" applyFill="1" applyAlignment="1" applyProtection="1">
      <alignment horizontal="center" vertical="center"/>
    </xf>
    <xf numFmtId="43" fontId="20" fillId="0" borderId="53" xfId="29" applyNumberFormat="1" applyFont="1" applyFill="1" applyBorder="1" applyAlignment="1" applyProtection="1">
      <alignment vertical="center" shrinkToFit="1"/>
      <protection hidden="1"/>
    </xf>
    <xf numFmtId="43" fontId="20" fillId="0" borderId="53" xfId="29" applyFont="1" applyFill="1" applyBorder="1" applyAlignment="1" applyProtection="1">
      <alignment horizontal="center" vertical="center" shrinkToFit="1"/>
      <protection hidden="1"/>
    </xf>
    <xf numFmtId="0" fontId="14" fillId="0" borderId="26" xfId="0" applyFont="1" applyBorder="1" applyProtection="1">
      <protection hidden="1"/>
    </xf>
    <xf numFmtId="0" fontId="20" fillId="0" borderId="30" xfId="0" applyFont="1" applyFill="1" applyBorder="1" applyProtection="1">
      <protection hidden="1"/>
    </xf>
    <xf numFmtId="166" fontId="67" fillId="0" borderId="18" xfId="0" applyNumberFormat="1" applyFont="1" applyBorder="1" applyAlignment="1">
      <alignment horizontal="center" vertical="center"/>
    </xf>
    <xf numFmtId="0" fontId="218" fillId="74" borderId="0" xfId="67" applyFont="1" applyFill="1" applyAlignment="1">
      <alignment horizontal="center" vertical="center"/>
    </xf>
    <xf numFmtId="0" fontId="219" fillId="75" borderId="0" xfId="68" applyFont="1" applyFill="1" applyAlignment="1">
      <alignment horizontal="left"/>
    </xf>
    <xf numFmtId="0" fontId="219" fillId="75" borderId="0" xfId="68" applyFont="1" applyFill="1" applyAlignment="1">
      <alignment horizontal="center"/>
    </xf>
    <xf numFmtId="0" fontId="219" fillId="75" borderId="0" xfId="68" applyFont="1" applyFill="1"/>
    <xf numFmtId="166" fontId="218" fillId="0" borderId="0" xfId="29" applyNumberFormat="1" applyFont="1" applyFill="1" applyBorder="1" applyAlignment="1">
      <alignment vertical="center"/>
    </xf>
    <xf numFmtId="0" fontId="218" fillId="74" borderId="0" xfId="67" applyFont="1" applyFill="1" applyAlignment="1">
      <alignment vertical="center"/>
    </xf>
    <xf numFmtId="166" fontId="218" fillId="0" borderId="0" xfId="29" applyNumberFormat="1" applyFont="1" applyFill="1" applyBorder="1" applyAlignment="1">
      <alignment horizontal="center" vertical="center"/>
    </xf>
    <xf numFmtId="0" fontId="219" fillId="75" borderId="0" xfId="68" applyFont="1" applyFill="1" applyAlignment="1">
      <alignment horizontal="left" vertical="center"/>
    </xf>
    <xf numFmtId="0" fontId="219" fillId="75" borderId="0" xfId="68" applyFont="1" applyFill="1" applyAlignment="1">
      <alignment horizontal="center" vertical="center"/>
    </xf>
    <xf numFmtId="166" fontId="218" fillId="76" borderId="0" xfId="29" applyNumberFormat="1" applyFont="1" applyFill="1" applyBorder="1" applyAlignment="1">
      <alignment horizontal="center" vertical="center"/>
    </xf>
    <xf numFmtId="166" fontId="218" fillId="0" borderId="18" xfId="29" applyNumberFormat="1" applyFont="1" applyFill="1" applyBorder="1" applyAlignment="1">
      <alignment vertical="center"/>
    </xf>
    <xf numFmtId="43" fontId="219" fillId="75" borderId="0" xfId="68" applyNumberFormat="1" applyFont="1" applyFill="1" applyAlignment="1">
      <alignment horizontal="center" vertical="center"/>
    </xf>
    <xf numFmtId="0" fontId="219" fillId="76" borderId="0" xfId="68" applyFont="1" applyFill="1" applyAlignment="1">
      <alignment horizontal="center"/>
    </xf>
    <xf numFmtId="0" fontId="220" fillId="75" borderId="0" xfId="68" applyFont="1" applyFill="1" applyAlignment="1">
      <alignment horizontal="left" vertical="center"/>
    </xf>
    <xf numFmtId="1" fontId="220" fillId="75" borderId="0" xfId="68" applyNumberFormat="1" applyFont="1" applyFill="1" applyAlignment="1">
      <alignment horizontal="center" vertical="center"/>
    </xf>
    <xf numFmtId="1" fontId="218" fillId="76" borderId="0" xfId="67" applyNumberFormat="1" applyFont="1" applyFill="1" applyAlignment="1">
      <alignment horizontal="center" vertical="center"/>
    </xf>
    <xf numFmtId="0" fontId="220" fillId="75" borderId="0" xfId="75" applyFont="1" applyFill="1" applyAlignment="1">
      <alignment horizontal="left" vertical="center"/>
    </xf>
    <xf numFmtId="1" fontId="220" fillId="75" borderId="0" xfId="75" applyNumberFormat="1" applyFont="1" applyFill="1" applyAlignment="1">
      <alignment horizontal="center" vertical="center"/>
    </xf>
    <xf numFmtId="1" fontId="218" fillId="76" borderId="0" xfId="76" applyNumberFormat="1" applyFont="1" applyFill="1" applyAlignment="1">
      <alignment horizontal="center" vertical="center"/>
    </xf>
    <xf numFmtId="166" fontId="218" fillId="76" borderId="0" xfId="29" applyNumberFormat="1" applyFont="1" applyFill="1" applyBorder="1" applyAlignment="1">
      <alignment vertical="center"/>
    </xf>
    <xf numFmtId="0" fontId="218" fillId="76" borderId="0" xfId="67" applyFont="1" applyFill="1" applyAlignment="1">
      <alignment horizontal="center" vertical="center"/>
    </xf>
    <xf numFmtId="0" fontId="218" fillId="0" borderId="0" xfId="67" applyFont="1" applyAlignment="1">
      <alignment horizontal="center" vertical="center"/>
    </xf>
    <xf numFmtId="0" fontId="218" fillId="0" borderId="0" xfId="67" applyFont="1" applyAlignment="1">
      <alignment vertical="center"/>
    </xf>
    <xf numFmtId="0" fontId="218" fillId="74" borderId="18" xfId="76" applyFont="1" applyFill="1" applyBorder="1" applyAlignment="1">
      <alignment horizontal="center" vertical="center"/>
    </xf>
    <xf numFmtId="0" fontId="221" fillId="77" borderId="18" xfId="75" applyFont="1" applyFill="1" applyBorder="1" applyAlignment="1">
      <alignment horizontal="center" vertical="center"/>
    </xf>
    <xf numFmtId="0" fontId="221" fillId="78" borderId="18" xfId="75" applyFont="1" applyFill="1" applyBorder="1" applyAlignment="1">
      <alignment horizontal="center" vertical="center"/>
    </xf>
    <xf numFmtId="166" fontId="218" fillId="77" borderId="18" xfId="29" applyNumberFormat="1" applyFont="1" applyFill="1" applyBorder="1" applyAlignment="1">
      <alignment horizontal="center" vertical="center"/>
    </xf>
    <xf numFmtId="166" fontId="218" fillId="78" borderId="18" xfId="29" applyNumberFormat="1" applyFont="1" applyFill="1" applyBorder="1" applyAlignment="1">
      <alignment horizontal="center" vertical="center"/>
    </xf>
    <xf numFmtId="168" fontId="218" fillId="77" borderId="18" xfId="29" applyNumberFormat="1" applyFont="1" applyFill="1" applyBorder="1" applyAlignment="1">
      <alignment horizontal="center" vertical="center"/>
    </xf>
    <xf numFmtId="168" fontId="218" fillId="78" borderId="18" xfId="29" applyNumberFormat="1" applyFont="1" applyFill="1" applyBorder="1" applyAlignment="1">
      <alignment horizontal="center" vertical="center"/>
    </xf>
    <xf numFmtId="166" fontId="222" fillId="77" borderId="18" xfId="29" applyNumberFormat="1" applyFont="1" applyFill="1" applyBorder="1" applyAlignment="1">
      <alignment horizontal="center" vertical="center"/>
    </xf>
    <xf numFmtId="166" fontId="222" fillId="78" borderId="18" xfId="29" applyNumberFormat="1" applyFont="1" applyFill="1" applyBorder="1" applyAlignment="1">
      <alignment horizontal="center" vertical="center"/>
    </xf>
    <xf numFmtId="166" fontId="222" fillId="74" borderId="18" xfId="76" applyNumberFormat="1" applyFont="1" applyFill="1" applyBorder="1" applyAlignment="1">
      <alignment horizontal="center" vertical="center"/>
    </xf>
    <xf numFmtId="0" fontId="218" fillId="0" borderId="18" xfId="76" applyFont="1" applyBorder="1" applyAlignment="1">
      <alignment horizontal="center" vertical="center"/>
    </xf>
    <xf numFmtId="166" fontId="222" fillId="0" borderId="18" xfId="29" applyNumberFormat="1" applyFont="1" applyFill="1" applyBorder="1" applyAlignment="1">
      <alignment horizontal="center" vertical="center"/>
    </xf>
    <xf numFmtId="0" fontId="106" fillId="0" borderId="0" xfId="0" applyFont="1" applyAlignment="1">
      <alignment horizontal="left" wrapText="1" indent="1"/>
    </xf>
    <xf numFmtId="0" fontId="106" fillId="0" borderId="0" xfId="70" applyFont="1" applyBorder="1" applyAlignment="1">
      <alignment vertical="center" wrapText="1"/>
    </xf>
    <xf numFmtId="3" fontId="106" fillId="0" borderId="0" xfId="70" applyNumberFormat="1" applyFont="1" applyBorder="1" applyAlignment="1">
      <alignment horizontal="center" vertical="center" wrapText="1"/>
    </xf>
    <xf numFmtId="0" fontId="157" fillId="0" borderId="0" xfId="70" applyFont="1" applyBorder="1" applyAlignment="1">
      <alignment horizontal="center" vertical="center" wrapText="1"/>
    </xf>
    <xf numFmtId="0" fontId="106" fillId="0" borderId="0" xfId="70" applyFont="1" applyBorder="1" applyAlignment="1">
      <alignment vertical="top" wrapText="1"/>
    </xf>
    <xf numFmtId="0" fontId="157" fillId="58" borderId="0" xfId="70" applyFont="1" applyFill="1" applyBorder="1" applyAlignment="1">
      <alignment vertical="top" wrapText="1"/>
    </xf>
    <xf numFmtId="0" fontId="106" fillId="56" borderId="0" xfId="70" applyFont="1" applyFill="1" applyBorder="1" applyAlignment="1">
      <alignment horizontal="center" vertical="top" wrapText="1"/>
    </xf>
    <xf numFmtId="0" fontId="106" fillId="0" borderId="0" xfId="70" applyFont="1" applyBorder="1" applyAlignment="1">
      <alignment horizontal="center" vertical="top" wrapText="1"/>
    </xf>
    <xf numFmtId="3" fontId="106" fillId="0" borderId="0" xfId="70" applyNumberFormat="1" applyFont="1" applyBorder="1" applyAlignment="1">
      <alignment horizontal="center" vertical="top" wrapText="1"/>
    </xf>
    <xf numFmtId="0" fontId="223" fillId="0" borderId="0" xfId="70" applyFont="1" applyAlignment="1">
      <alignment vertical="center"/>
    </xf>
    <xf numFmtId="0" fontId="2" fillId="26" borderId="0" xfId="77" applyFill="1" applyAlignment="1">
      <alignment horizontal="center" vertical="center"/>
    </xf>
    <xf numFmtId="0" fontId="147" fillId="56" borderId="0" xfId="78" applyFont="1" applyFill="1" applyAlignment="1">
      <alignment horizontal="left"/>
    </xf>
    <xf numFmtId="0" fontId="147" fillId="56" borderId="0" xfId="78" applyFont="1" applyFill="1" applyAlignment="1">
      <alignment horizontal="center"/>
    </xf>
    <xf numFmtId="0" fontId="147" fillId="56" borderId="0" xfId="78" applyFont="1" applyFill="1"/>
    <xf numFmtId="166" fontId="2" fillId="0" borderId="0" xfId="29" applyNumberFormat="1" applyFont="1" applyFill="1" applyBorder="1" applyAlignment="1">
      <alignment vertical="center"/>
    </xf>
    <xf numFmtId="0" fontId="2" fillId="26" borderId="0" xfId="77" applyFill="1" applyAlignment="1">
      <alignment vertical="center"/>
    </xf>
    <xf numFmtId="166" fontId="2" fillId="0" borderId="0" xfId="29" applyNumberFormat="1" applyFont="1" applyFill="1" applyBorder="1" applyAlignment="1">
      <alignment horizontal="center" vertical="center"/>
    </xf>
    <xf numFmtId="0" fontId="147" fillId="56" borderId="0" xfId="78" applyFont="1" applyFill="1" applyAlignment="1">
      <alignment horizontal="left" vertical="center"/>
    </xf>
    <xf numFmtId="0" fontId="147" fillId="56" borderId="0" xfId="78" applyFont="1" applyFill="1" applyAlignment="1">
      <alignment horizontal="center" vertical="center"/>
    </xf>
    <xf numFmtId="166" fontId="2" fillId="57" borderId="0" xfId="29" applyNumberFormat="1" applyFont="1" applyFill="1" applyBorder="1" applyAlignment="1">
      <alignment horizontal="center" vertical="center"/>
    </xf>
    <xf numFmtId="166" fontId="2" fillId="0" borderId="18" xfId="29" applyNumberFormat="1" applyFont="1" applyFill="1" applyBorder="1" applyAlignment="1">
      <alignment vertical="center"/>
    </xf>
    <xf numFmtId="43" fontId="147" fillId="56" borderId="0" xfId="78" applyNumberFormat="1" applyFont="1" applyFill="1" applyAlignment="1">
      <alignment horizontal="center" vertical="center"/>
    </xf>
    <xf numFmtId="0" fontId="147" fillId="57" borderId="0" xfId="78" applyFont="1" applyFill="1" applyAlignment="1">
      <alignment horizontal="center"/>
    </xf>
    <xf numFmtId="0" fontId="106" fillId="56" borderId="0" xfId="78" applyFont="1" applyFill="1" applyAlignment="1">
      <alignment horizontal="left" vertical="center"/>
    </xf>
    <xf numFmtId="1" fontId="106" fillId="56" borderId="0" xfId="78" applyNumberFormat="1" applyFont="1" applyFill="1" applyAlignment="1">
      <alignment horizontal="center" vertical="center"/>
    </xf>
    <xf numFmtId="1" fontId="2" fillId="57" borderId="0" xfId="77" applyNumberFormat="1" applyFill="1" applyAlignment="1">
      <alignment horizontal="center" vertical="center"/>
    </xf>
    <xf numFmtId="166" fontId="2" fillId="57" borderId="0" xfId="29" applyNumberFormat="1" applyFont="1" applyFill="1" applyBorder="1" applyAlignment="1">
      <alignment vertical="center"/>
    </xf>
    <xf numFmtId="0" fontId="2" fillId="57" borderId="0" xfId="77" applyFill="1" applyAlignment="1">
      <alignment horizontal="center" vertical="center"/>
    </xf>
    <xf numFmtId="0" fontId="224" fillId="26" borderId="0" xfId="77" applyFont="1" applyFill="1" applyAlignment="1">
      <alignment vertical="center"/>
    </xf>
    <xf numFmtId="0" fontId="2" fillId="0" borderId="0" xfId="77" applyAlignment="1">
      <alignment horizontal="center" vertical="center"/>
    </xf>
    <xf numFmtId="0" fontId="2" fillId="0" borderId="0" xfId="77" applyAlignment="1">
      <alignment vertical="center"/>
    </xf>
    <xf numFmtId="0" fontId="2" fillId="26" borderId="18" xfId="77" applyFill="1" applyBorder="1" applyAlignment="1">
      <alignment horizontal="center" vertical="center"/>
    </xf>
    <xf numFmtId="0" fontId="112" fillId="42" borderId="18" xfId="78" applyFont="1" applyFill="1" applyBorder="1" applyAlignment="1">
      <alignment horizontal="center" vertical="center"/>
    </xf>
    <xf numFmtId="166" fontId="2" fillId="42" borderId="18" xfId="29" applyNumberFormat="1" applyFont="1" applyFill="1" applyBorder="1" applyAlignment="1">
      <alignment horizontal="center" vertical="center"/>
    </xf>
    <xf numFmtId="168" fontId="2" fillId="42" borderId="18" xfId="29" applyNumberFormat="1" applyFont="1" applyFill="1" applyBorder="1" applyAlignment="1">
      <alignment horizontal="center" vertical="center"/>
    </xf>
    <xf numFmtId="43" fontId="0" fillId="0" borderId="18" xfId="29" applyFont="1" applyFill="1" applyBorder="1"/>
    <xf numFmtId="0" fontId="2" fillId="0" borderId="18" xfId="77" applyBorder="1" applyAlignment="1">
      <alignment horizontal="center" vertical="center"/>
    </xf>
    <xf numFmtId="0" fontId="26" fillId="0" borderId="19" xfId="0" applyFont="1" applyBorder="1" applyAlignment="1" applyProtection="1">
      <alignment horizontal="center" vertical="center" wrapText="1"/>
      <protection hidden="1"/>
    </xf>
    <xf numFmtId="3" fontId="26" fillId="0" borderId="19" xfId="0" applyNumberFormat="1" applyFont="1" applyBorder="1" applyAlignment="1" applyProtection="1">
      <alignment horizontal="center" vertical="center" shrinkToFit="1"/>
      <protection hidden="1"/>
    </xf>
    <xf numFmtId="3" fontId="26" fillId="0" borderId="19" xfId="0" applyNumberFormat="1" applyFont="1" applyBorder="1" applyAlignment="1" applyProtection="1">
      <alignment horizontal="centerContinuous" vertical="center" shrinkToFit="1"/>
      <protection hidden="1"/>
    </xf>
    <xf numFmtId="3" fontId="11" fillId="30" borderId="19" xfId="0" applyNumberFormat="1" applyFont="1" applyFill="1" applyBorder="1" applyAlignment="1" applyProtection="1">
      <alignment horizontal="center" vertical="center"/>
      <protection locked="0"/>
    </xf>
    <xf numFmtId="43" fontId="11" fillId="0" borderId="19" xfId="29" applyFont="1" applyFill="1" applyBorder="1" applyAlignment="1" applyProtection="1">
      <alignment horizontal="center" vertical="center" shrinkToFit="1"/>
      <protection hidden="1"/>
    </xf>
    <xf numFmtId="3" fontId="26" fillId="0" borderId="154" xfId="0" applyNumberFormat="1" applyFont="1" applyBorder="1" applyAlignment="1" applyProtection="1">
      <alignment horizontal="center" vertical="center" shrinkToFit="1"/>
      <protection hidden="1"/>
    </xf>
    <xf numFmtId="3" fontId="11" fillId="30" borderId="155" xfId="0" applyNumberFormat="1" applyFont="1" applyFill="1" applyBorder="1" applyAlignment="1" applyProtection="1">
      <alignment horizontal="center" vertical="center"/>
      <protection locked="0"/>
    </xf>
    <xf numFmtId="3" fontId="26" fillId="0" borderId="158" xfId="0" applyNumberFormat="1" applyFont="1" applyBorder="1" applyAlignment="1" applyProtection="1">
      <alignment horizontal="centerContinuous" vertical="center" shrinkToFit="1"/>
      <protection hidden="1"/>
    </xf>
    <xf numFmtId="3" fontId="26" fillId="0" borderId="159" xfId="0" applyNumberFormat="1" applyFont="1" applyBorder="1" applyAlignment="1" applyProtection="1">
      <alignment horizontal="centerContinuous" vertical="center" shrinkToFit="1"/>
      <protection hidden="1"/>
    </xf>
    <xf numFmtId="0" fontId="89" fillId="0" borderId="32" xfId="0" applyFont="1" applyBorder="1" applyProtection="1">
      <protection hidden="1"/>
    </xf>
    <xf numFmtId="1" fontId="11" fillId="0" borderId="32" xfId="0" applyNumberFormat="1" applyFont="1" applyBorder="1" applyAlignment="1" applyProtection="1">
      <alignment horizontal="center" vertical="center"/>
      <protection hidden="1"/>
    </xf>
    <xf numFmtId="1" fontId="117" fillId="0" borderId="160" xfId="0" applyNumberFormat="1" applyFont="1" applyBorder="1" applyAlignment="1" applyProtection="1">
      <alignment horizontal="center" vertical="center"/>
      <protection hidden="1"/>
    </xf>
    <xf numFmtId="0" fontId="143" fillId="0" borderId="161" xfId="0" applyFont="1" applyBorder="1" applyAlignment="1" applyProtection="1">
      <alignment horizontal="center" vertical="center"/>
      <protection hidden="1"/>
    </xf>
    <xf numFmtId="43" fontId="11" fillId="0" borderId="161" xfId="66" applyFont="1" applyBorder="1" applyAlignment="1" applyProtection="1">
      <alignment vertical="center"/>
      <protection hidden="1"/>
    </xf>
    <xf numFmtId="43" fontId="49" fillId="0" borderId="162" xfId="29" applyFont="1" applyBorder="1" applyProtection="1">
      <protection hidden="1"/>
    </xf>
    <xf numFmtId="0" fontId="0" fillId="27" borderId="18" xfId="0" applyFill="1" applyBorder="1" applyProtection="1">
      <protection hidden="1"/>
    </xf>
    <xf numFmtId="0" fontId="0" fillId="0" borderId="18" xfId="0" applyBorder="1" applyProtection="1">
      <protection hidden="1"/>
    </xf>
    <xf numFmtId="3" fontId="0" fillId="39" borderId="18" xfId="0" applyNumberFormat="1" applyFill="1" applyBorder="1" applyProtection="1">
      <protection hidden="1"/>
    </xf>
    <xf numFmtId="0" fontId="0" fillId="39" borderId="18" xfId="0" applyFill="1" applyBorder="1" applyProtection="1">
      <protection hidden="1"/>
    </xf>
    <xf numFmtId="0" fontId="0" fillId="0" borderId="147" xfId="0" applyBorder="1"/>
    <xf numFmtId="0" fontId="0" fillId="0" borderId="37" xfId="0" applyBorder="1" applyAlignment="1">
      <alignment horizontal="center"/>
    </xf>
    <xf numFmtId="3" fontId="0" fillId="0" borderId="37" xfId="0" applyNumberFormat="1" applyBorder="1" applyAlignment="1">
      <alignment horizontal="center"/>
    </xf>
    <xf numFmtId="0" fontId="0" fillId="0" borderId="37" xfId="0" applyBorder="1"/>
    <xf numFmtId="0" fontId="72" fillId="0" borderId="37" xfId="0" applyFont="1" applyBorder="1"/>
    <xf numFmtId="0" fontId="8" fillId="0" borderId="0" xfId="69" applyAlignment="1">
      <alignment horizontal="center"/>
    </xf>
    <xf numFmtId="0" fontId="17" fillId="0" borderId="29" xfId="0" applyFont="1" applyBorder="1" applyAlignment="1" applyProtection="1">
      <alignment vertical="center"/>
      <protection hidden="1"/>
    </xf>
    <xf numFmtId="0" fontId="50" fillId="0" borderId="31" xfId="0" applyFont="1" applyBorder="1" applyAlignment="1" applyProtection="1">
      <alignment vertical="center"/>
      <protection hidden="1"/>
    </xf>
    <xf numFmtId="0" fontId="50" fillId="0" borderId="30" xfId="0" applyFont="1" applyBorder="1" applyAlignment="1" applyProtection="1">
      <alignment vertical="center"/>
      <protection hidden="1"/>
    </xf>
    <xf numFmtId="43" fontId="17" fillId="0" borderId="10" xfId="29" applyFont="1" applyBorder="1" applyAlignment="1" applyProtection="1">
      <alignment horizontal="right" vertical="center" shrinkToFit="1"/>
      <protection hidden="1"/>
    </xf>
    <xf numFmtId="0" fontId="147" fillId="58" borderId="0" xfId="79" applyFont="1" applyFill="1"/>
    <xf numFmtId="0" fontId="147" fillId="56" borderId="0" xfId="79" applyFont="1" applyFill="1"/>
    <xf numFmtId="0" fontId="147" fillId="0" borderId="0" xfId="79" applyFont="1"/>
    <xf numFmtId="0" fontId="147" fillId="56" borderId="0" xfId="79" applyFont="1" applyFill="1" applyAlignment="1">
      <alignment horizontal="center"/>
    </xf>
    <xf numFmtId="0" fontId="147" fillId="56" borderId="0" xfId="79" applyFont="1" applyFill="1" applyAlignment="1">
      <alignment vertical="center"/>
    </xf>
    <xf numFmtId="0" fontId="147" fillId="56" borderId="0" xfId="79" applyFont="1" applyFill="1" applyAlignment="1">
      <alignment horizontal="center" vertical="center"/>
    </xf>
    <xf numFmtId="0" fontId="106" fillId="56" borderId="0" xfId="79" applyFont="1" applyFill="1" applyAlignment="1">
      <alignment horizontal="center" vertical="center"/>
    </xf>
    <xf numFmtId="1" fontId="106" fillId="56" borderId="0" xfId="79" applyNumberFormat="1" applyFont="1" applyFill="1" applyAlignment="1">
      <alignment horizontal="center" vertical="center"/>
    </xf>
    <xf numFmtId="0" fontId="106" fillId="0" borderId="0" xfId="79" applyFont="1"/>
    <xf numFmtId="166" fontId="226" fillId="39" borderId="29" xfId="29" applyNumberFormat="1" applyFont="1" applyFill="1" applyBorder="1" applyAlignment="1" applyProtection="1">
      <alignment horizontal="left" vertical="center" shrinkToFit="1"/>
      <protection hidden="1"/>
    </xf>
    <xf numFmtId="0" fontId="226" fillId="39" borderId="38" xfId="69" applyFont="1" applyFill="1" applyBorder="1" applyAlignment="1" applyProtection="1">
      <alignment vertical="center" shrinkToFit="1"/>
      <protection hidden="1"/>
    </xf>
    <xf numFmtId="3" fontId="106" fillId="47" borderId="138" xfId="79" applyNumberFormat="1" applyFont="1" applyFill="1" applyBorder="1" applyAlignment="1">
      <alignment horizontal="center"/>
    </xf>
    <xf numFmtId="0" fontId="106" fillId="47" borderId="0" xfId="79" applyFont="1" applyFill="1" applyAlignment="1">
      <alignment horizontal="center"/>
    </xf>
    <xf numFmtId="0" fontId="106" fillId="47" borderId="166" xfId="79" applyFont="1" applyFill="1" applyBorder="1" applyAlignment="1">
      <alignment horizontal="center"/>
    </xf>
    <xf numFmtId="166" fontId="226" fillId="39" borderId="37" xfId="29" applyNumberFormat="1" applyFont="1" applyFill="1" applyBorder="1" applyAlignment="1" applyProtection="1">
      <alignment horizontal="left" vertical="center" shrinkToFit="1"/>
      <protection hidden="1"/>
    </xf>
    <xf numFmtId="0" fontId="106" fillId="47" borderId="138" xfId="79" applyFont="1" applyFill="1" applyBorder="1" applyAlignment="1">
      <alignment horizontal="center"/>
    </xf>
    <xf numFmtId="0" fontId="106" fillId="47" borderId="140" xfId="79" applyFont="1" applyFill="1" applyBorder="1" applyAlignment="1">
      <alignment horizontal="center"/>
    </xf>
    <xf numFmtId="0" fontId="106" fillId="47" borderId="66" xfId="79" applyFont="1" applyFill="1" applyBorder="1" applyAlignment="1">
      <alignment horizontal="center"/>
    </xf>
    <xf numFmtId="0" fontId="106" fillId="47" borderId="167" xfId="79" applyFont="1" applyFill="1" applyBorder="1" applyAlignment="1">
      <alignment horizontal="center"/>
    </xf>
    <xf numFmtId="0" fontId="156" fillId="59" borderId="18" xfId="79" applyFont="1" applyFill="1" applyBorder="1" applyAlignment="1">
      <alignment horizontal="center" vertical="center" wrapText="1"/>
    </xf>
    <xf numFmtId="0" fontId="157" fillId="58" borderId="0" xfId="79" applyFont="1" applyFill="1" applyAlignment="1">
      <alignment horizontal="center" vertical="center"/>
    </xf>
    <xf numFmtId="0" fontId="157" fillId="56" borderId="33" xfId="79" applyFont="1" applyFill="1" applyBorder="1" applyAlignment="1">
      <alignment horizontal="center" vertical="center" wrapText="1"/>
    </xf>
    <xf numFmtId="0" fontId="157" fillId="0" borderId="35" xfId="79" applyFont="1" applyBorder="1" applyAlignment="1">
      <alignment horizontal="center" vertical="center" wrapText="1"/>
    </xf>
    <xf numFmtId="0" fontId="157" fillId="58" borderId="35" xfId="79" applyFont="1" applyFill="1" applyBorder="1" applyAlignment="1">
      <alignment horizontal="center" vertical="center" wrapText="1"/>
    </xf>
    <xf numFmtId="0" fontId="157" fillId="56" borderId="102" xfId="79" applyFont="1" applyFill="1" applyBorder="1" applyAlignment="1">
      <alignment vertical="center" wrapText="1"/>
    </xf>
    <xf numFmtId="0" fontId="157" fillId="56" borderId="103" xfId="79" applyFont="1" applyFill="1" applyBorder="1" applyAlignment="1">
      <alignment vertical="center" wrapText="1"/>
    </xf>
    <xf numFmtId="0" fontId="157" fillId="40" borderId="102" xfId="79" applyFont="1" applyFill="1" applyBorder="1" applyAlignment="1">
      <alignment vertical="center" wrapText="1"/>
    </xf>
    <xf numFmtId="0" fontId="157" fillId="40" borderId="103" xfId="79" applyFont="1" applyFill="1" applyBorder="1" applyAlignment="1">
      <alignment vertical="center" wrapText="1"/>
    </xf>
    <xf numFmtId="0" fontId="157" fillId="40" borderId="104" xfId="79" applyFont="1" applyFill="1" applyBorder="1" applyAlignment="1">
      <alignment vertical="center" wrapText="1"/>
    </xf>
    <xf numFmtId="0" fontId="157" fillId="40" borderId="105" xfId="79" applyFont="1" applyFill="1" applyBorder="1" applyAlignment="1">
      <alignment vertical="center" wrapText="1"/>
    </xf>
    <xf numFmtId="0" fontId="157" fillId="0" borderId="19" xfId="79" applyFont="1" applyBorder="1" applyAlignment="1">
      <alignment vertical="top" wrapText="1"/>
    </xf>
    <xf numFmtId="3" fontId="106" fillId="0" borderId="18" xfId="79" applyNumberFormat="1" applyFont="1" applyBorder="1" applyAlignment="1">
      <alignment horizontal="center" vertical="top" wrapText="1"/>
    </xf>
    <xf numFmtId="0" fontId="157" fillId="0" borderId="19" xfId="79" applyFont="1" applyBorder="1" applyAlignment="1">
      <alignment horizontal="center" vertical="top" wrapText="1"/>
    </xf>
    <xf numFmtId="0" fontId="157" fillId="58" borderId="0" xfId="79" applyFont="1" applyFill="1" applyAlignment="1">
      <alignment vertical="center" wrapText="1"/>
    </xf>
    <xf numFmtId="0" fontId="106" fillId="56" borderId="19" xfId="79" applyFont="1" applyFill="1" applyBorder="1" applyAlignment="1">
      <alignment horizontal="center" vertical="top" wrapText="1"/>
    </xf>
    <xf numFmtId="0" fontId="158" fillId="0" borderId="19" xfId="79" applyFont="1" applyBorder="1" applyAlignment="1">
      <alignment horizontal="center" vertical="top" wrapText="1"/>
    </xf>
    <xf numFmtId="0" fontId="106" fillId="0" borderId="19" xfId="79" applyFont="1" applyBorder="1" applyAlignment="1">
      <alignment horizontal="center" vertical="top" wrapText="1"/>
    </xf>
    <xf numFmtId="0" fontId="157" fillId="58" borderId="10" xfId="79" applyFont="1" applyFill="1" applyBorder="1" applyAlignment="1">
      <alignment vertical="top" wrapText="1"/>
    </xf>
    <xf numFmtId="0" fontId="157" fillId="56" borderId="37" xfId="79" applyFont="1" applyFill="1" applyBorder="1" applyAlignment="1">
      <alignment vertical="top" wrapText="1"/>
    </xf>
    <xf numFmtId="0" fontId="157" fillId="56" borderId="38" xfId="79" applyFont="1" applyFill="1" applyBorder="1" applyAlignment="1">
      <alignment vertical="top" wrapText="1"/>
    </xf>
    <xf numFmtId="0" fontId="157" fillId="0" borderId="37" xfId="79" applyFont="1" applyBorder="1" applyAlignment="1">
      <alignment vertical="top" wrapText="1"/>
    </xf>
    <xf numFmtId="0" fontId="157" fillId="0" borderId="38" xfId="79" applyFont="1" applyBorder="1" applyAlignment="1">
      <alignment vertical="top" wrapText="1"/>
    </xf>
    <xf numFmtId="0" fontId="157" fillId="0" borderId="18" xfId="79" applyFont="1" applyBorder="1" applyAlignment="1">
      <alignment vertical="top" wrapText="1"/>
    </xf>
    <xf numFmtId="0" fontId="106" fillId="0" borderId="18" xfId="79" applyFont="1" applyBorder="1" applyAlignment="1">
      <alignment horizontal="justify" vertical="center" wrapText="1"/>
    </xf>
    <xf numFmtId="0" fontId="106" fillId="0" borderId="18" xfId="79" applyFont="1" applyBorder="1" applyAlignment="1">
      <alignment horizontal="center" vertical="center" wrapText="1"/>
    </xf>
    <xf numFmtId="0" fontId="157" fillId="0" borderId="19" xfId="79" applyFont="1" applyBorder="1" applyAlignment="1">
      <alignment horizontal="center" vertical="center" wrapText="1"/>
    </xf>
    <xf numFmtId="0" fontId="157" fillId="58" borderId="0" xfId="79" applyFont="1" applyFill="1" applyAlignment="1">
      <alignment vertical="top" wrapText="1"/>
    </xf>
    <xf numFmtId="0" fontId="106" fillId="56" borderId="18" xfId="79" applyFont="1" applyFill="1" applyBorder="1" applyAlignment="1">
      <alignment horizontal="center" vertical="top" wrapText="1"/>
    </xf>
    <xf numFmtId="0" fontId="106" fillId="0" borderId="18" xfId="79" applyFont="1" applyBorder="1" applyAlignment="1">
      <alignment horizontal="center" vertical="top" wrapText="1"/>
    </xf>
    <xf numFmtId="0" fontId="106" fillId="0" borderId="18" xfId="79" applyFont="1" applyBorder="1" applyAlignment="1">
      <alignment vertical="center" shrinkToFit="1"/>
    </xf>
    <xf numFmtId="0" fontId="106" fillId="58" borderId="10" xfId="79" applyFont="1" applyFill="1" applyBorder="1" applyAlignment="1">
      <alignment horizontal="justify" vertical="top" wrapText="1"/>
    </xf>
    <xf numFmtId="0" fontId="106" fillId="58" borderId="10" xfId="79" applyFont="1" applyFill="1" applyBorder="1" applyAlignment="1">
      <alignment vertical="top" wrapText="1"/>
    </xf>
    <xf numFmtId="0" fontId="106" fillId="0" borderId="18" xfId="79" applyFont="1" applyBorder="1" applyAlignment="1">
      <alignment vertical="center" wrapText="1"/>
    </xf>
    <xf numFmtId="0" fontId="157" fillId="0" borderId="18" xfId="79" applyFont="1" applyBorder="1" applyAlignment="1">
      <alignment vertical="center" wrapText="1"/>
    </xf>
    <xf numFmtId="0" fontId="106" fillId="0" borderId="18" xfId="79" applyFont="1" applyBorder="1" applyAlignment="1">
      <alignment horizontal="left" vertical="center" shrinkToFit="1"/>
    </xf>
    <xf numFmtId="0" fontId="106" fillId="58" borderId="10" xfId="79" applyFont="1" applyFill="1" applyBorder="1" applyAlignment="1">
      <alignment horizontal="left" vertical="top" wrapText="1"/>
    </xf>
    <xf numFmtId="0" fontId="157" fillId="0" borderId="18" xfId="79" applyFont="1" applyBorder="1" applyAlignment="1">
      <alignment horizontal="justify" vertical="center" wrapText="1"/>
    </xf>
    <xf numFmtId="0" fontId="157" fillId="58" borderId="10" xfId="79" applyFont="1" applyFill="1" applyBorder="1" applyAlignment="1">
      <alignment horizontal="justify" vertical="top" wrapText="1"/>
    </xf>
    <xf numFmtId="0" fontId="157" fillId="56" borderId="37" xfId="79" applyFont="1" applyFill="1" applyBorder="1" applyAlignment="1">
      <alignment vertical="center" wrapText="1"/>
    </xf>
    <xf numFmtId="0" fontId="157" fillId="56" borderId="38" xfId="79" applyFont="1" applyFill="1" applyBorder="1" applyAlignment="1">
      <alignment vertical="center" wrapText="1"/>
    </xf>
    <xf numFmtId="0" fontId="157" fillId="40" borderId="37" xfId="79" applyFont="1" applyFill="1" applyBorder="1" applyAlignment="1">
      <alignment vertical="center" wrapText="1"/>
    </xf>
    <xf numFmtId="0" fontId="157" fillId="40" borderId="38" xfId="79" applyFont="1" applyFill="1" applyBorder="1" applyAlignment="1">
      <alignment vertical="center" wrapText="1"/>
    </xf>
    <xf numFmtId="0" fontId="157" fillId="40" borderId="18" xfId="79" applyFont="1" applyFill="1" applyBorder="1" applyAlignment="1">
      <alignment vertical="center" wrapText="1"/>
    </xf>
    <xf numFmtId="0" fontId="106" fillId="0" borderId="0" xfId="79" applyFont="1" applyAlignment="1">
      <alignment vertical="center"/>
    </xf>
    <xf numFmtId="0" fontId="106" fillId="0" borderId="18" xfId="79" applyFont="1" applyBorder="1" applyAlignment="1">
      <alignment horizontal="left" vertical="center" wrapText="1"/>
    </xf>
    <xf numFmtId="0" fontId="157" fillId="0" borderId="18" xfId="79" applyFont="1" applyBorder="1" applyAlignment="1">
      <alignment horizontal="center" vertical="center" wrapText="1"/>
    </xf>
    <xf numFmtId="0" fontId="227" fillId="0" borderId="18" xfId="79" applyFont="1" applyBorder="1" applyAlignment="1">
      <alignment horizontal="center" vertical="center" wrapText="1"/>
    </xf>
    <xf numFmtId="0" fontId="157" fillId="0" borderId="18" xfId="79" applyFont="1" applyBorder="1" applyAlignment="1">
      <alignment horizontal="left" vertical="center" shrinkToFit="1"/>
    </xf>
    <xf numFmtId="0" fontId="157" fillId="0" borderId="18" xfId="79" applyFont="1" applyBorder="1" applyAlignment="1">
      <alignment horizontal="left" vertical="center" wrapText="1"/>
    </xf>
    <xf numFmtId="0" fontId="157" fillId="58" borderId="10" xfId="79" applyFont="1" applyFill="1" applyBorder="1" applyAlignment="1">
      <alignment horizontal="left" vertical="top" wrapText="1"/>
    </xf>
    <xf numFmtId="0" fontId="157" fillId="0" borderId="91" xfId="79" applyFont="1" applyBorder="1" applyAlignment="1">
      <alignment horizontal="justify" vertical="center" wrapText="1"/>
    </xf>
    <xf numFmtId="0" fontId="157" fillId="0" borderId="91" xfId="79" applyFont="1" applyBorder="1" applyAlignment="1">
      <alignment horizontal="center" vertical="center" wrapText="1"/>
    </xf>
    <xf numFmtId="0" fontId="106" fillId="56" borderId="91" xfId="79" applyFont="1" applyFill="1" applyBorder="1" applyAlignment="1">
      <alignment horizontal="center" vertical="top" wrapText="1"/>
    </xf>
    <xf numFmtId="0" fontId="106" fillId="0" borderId="91" xfId="79" applyFont="1" applyBorder="1" applyAlignment="1">
      <alignment horizontal="center" vertical="top" wrapText="1"/>
    </xf>
    <xf numFmtId="0" fontId="160" fillId="56" borderId="20" xfId="79" applyFont="1" applyFill="1" applyBorder="1" applyAlignment="1">
      <alignment vertical="center" wrapText="1"/>
    </xf>
    <xf numFmtId="0" fontId="160" fillId="0" borderId="20" xfId="79" applyFont="1" applyBorder="1" applyAlignment="1">
      <alignment vertical="center" wrapText="1"/>
    </xf>
    <xf numFmtId="0" fontId="160" fillId="58" borderId="10" xfId="79" applyFont="1" applyFill="1" applyBorder="1" applyAlignment="1">
      <alignment vertical="center" wrapText="1"/>
    </xf>
    <xf numFmtId="0" fontId="106" fillId="58" borderId="10" xfId="79" applyFont="1" applyFill="1" applyBorder="1" applyAlignment="1">
      <alignment horizontal="justify" vertical="center" wrapText="1"/>
    </xf>
    <xf numFmtId="0" fontId="106" fillId="58" borderId="28" xfId="79" applyFont="1" applyFill="1" applyBorder="1" applyAlignment="1">
      <alignment horizontal="justify" vertical="center" wrapText="1"/>
    </xf>
    <xf numFmtId="0" fontId="106" fillId="58" borderId="0" xfId="79" applyFont="1" applyFill="1" applyAlignment="1">
      <alignment horizontal="justify" vertical="center" wrapText="1"/>
    </xf>
    <xf numFmtId="0" fontId="106" fillId="56" borderId="0" xfId="79" applyFont="1" applyFill="1" applyAlignment="1">
      <alignment horizontal="center"/>
    </xf>
    <xf numFmtId="0" fontId="106" fillId="47" borderId="25" xfId="79" applyFont="1" applyFill="1" applyBorder="1" applyAlignment="1">
      <alignment horizontal="center"/>
    </xf>
    <xf numFmtId="0" fontId="106" fillId="44" borderId="0" xfId="79" applyFont="1" applyFill="1" applyAlignment="1">
      <alignment horizontal="center"/>
    </xf>
    <xf numFmtId="0" fontId="106" fillId="43" borderId="0" xfId="79" applyFont="1" applyFill="1" applyAlignment="1">
      <alignment horizontal="center"/>
    </xf>
    <xf numFmtId="0" fontId="106" fillId="42" borderId="0" xfId="79" applyFont="1" applyFill="1" applyAlignment="1">
      <alignment horizontal="center"/>
    </xf>
    <xf numFmtId="0" fontId="157" fillId="56" borderId="18" xfId="79" applyFont="1" applyFill="1" applyBorder="1" applyAlignment="1">
      <alignment horizontal="center" vertical="center" wrapText="1"/>
    </xf>
    <xf numFmtId="0" fontId="157" fillId="47" borderId="18" xfId="79" applyFont="1" applyFill="1" applyBorder="1" applyAlignment="1">
      <alignment horizontal="center" vertical="center" wrapText="1"/>
    </xf>
    <xf numFmtId="0" fontId="157" fillId="44" borderId="18" xfId="79" applyFont="1" applyFill="1" applyBorder="1" applyAlignment="1">
      <alignment horizontal="center" vertical="center" wrapText="1"/>
    </xf>
    <xf numFmtId="0" fontId="157" fillId="43" borderId="18" xfId="79" applyFont="1" applyFill="1" applyBorder="1" applyAlignment="1">
      <alignment horizontal="center" vertical="center" wrapText="1"/>
    </xf>
    <xf numFmtId="0" fontId="157" fillId="42" borderId="18" xfId="79" applyFont="1" applyFill="1" applyBorder="1" applyAlignment="1">
      <alignment horizontal="center" vertical="center" wrapText="1"/>
    </xf>
    <xf numFmtId="0" fontId="157" fillId="58" borderId="0" xfId="79" applyFont="1" applyFill="1" applyAlignment="1">
      <alignment horizontal="center" vertical="center" wrapText="1"/>
    </xf>
    <xf numFmtId="0" fontId="157" fillId="0" borderId="39" xfId="79" applyFont="1" applyBorder="1" applyAlignment="1">
      <alignment vertical="center" wrapText="1"/>
    </xf>
    <xf numFmtId="0" fontId="106" fillId="0" borderId="39" xfId="79" applyFont="1" applyBorder="1" applyAlignment="1">
      <alignment horizontal="center" vertical="center" wrapText="1"/>
    </xf>
    <xf numFmtId="0" fontId="227" fillId="0" borderId="39" xfId="79" applyFont="1" applyBorder="1" applyAlignment="1">
      <alignment horizontal="center" vertical="center" wrapText="1"/>
    </xf>
    <xf numFmtId="0" fontId="106" fillId="0" borderId="0" xfId="79" applyFont="1" applyAlignment="1">
      <alignment vertical="top"/>
    </xf>
    <xf numFmtId="3" fontId="106" fillId="0" borderId="39" xfId="79" applyNumberFormat="1" applyFont="1" applyBorder="1" applyAlignment="1">
      <alignment horizontal="center" vertical="center" wrapText="1"/>
    </xf>
    <xf numFmtId="0" fontId="157" fillId="0" borderId="39" xfId="79" applyFont="1" applyBorder="1" applyAlignment="1">
      <alignment horizontal="center" vertical="center" wrapText="1"/>
    </xf>
    <xf numFmtId="0" fontId="157" fillId="58" borderId="27" xfId="79" applyFont="1" applyFill="1" applyBorder="1" applyAlignment="1">
      <alignment vertical="top" wrapText="1"/>
    </xf>
    <xf numFmtId="0" fontId="157" fillId="58" borderId="27" xfId="79" applyFont="1" applyFill="1" applyBorder="1" applyAlignment="1">
      <alignment horizontal="justify" vertical="top" wrapText="1"/>
    </xf>
    <xf numFmtId="0" fontId="106" fillId="56" borderId="0" xfId="79" applyFont="1" applyFill="1" applyAlignment="1">
      <alignment horizontal="center" vertical="top" wrapText="1"/>
    </xf>
    <xf numFmtId="0" fontId="106" fillId="0" borderId="0" xfId="79" applyFont="1" applyAlignment="1">
      <alignment horizontal="center" vertical="top" wrapText="1"/>
    </xf>
    <xf numFmtId="0" fontId="147" fillId="0" borderId="0" xfId="79" applyFont="1" applyAlignment="1">
      <alignment vertical="center"/>
    </xf>
    <xf numFmtId="3" fontId="106" fillId="0" borderId="0" xfId="79" applyNumberFormat="1" applyFont="1" applyAlignment="1">
      <alignment horizontal="center" vertical="center" wrapText="1"/>
    </xf>
    <xf numFmtId="0" fontId="157" fillId="0" borderId="0" xfId="79" applyFont="1" applyAlignment="1">
      <alignment horizontal="center" vertical="center" wrapText="1"/>
    </xf>
    <xf numFmtId="0" fontId="106" fillId="0" borderId="0" xfId="79" applyFont="1" applyAlignment="1">
      <alignment vertical="top" wrapText="1"/>
    </xf>
    <xf numFmtId="0" fontId="106" fillId="58" borderId="0" xfId="79" applyFont="1" applyFill="1" applyAlignment="1">
      <alignment vertical="top"/>
    </xf>
    <xf numFmtId="0" fontId="106" fillId="56" borderId="0" xfId="79" applyFont="1" applyFill="1" applyAlignment="1">
      <alignment vertical="top"/>
    </xf>
    <xf numFmtId="0" fontId="223" fillId="0" borderId="0" xfId="79" applyFont="1" applyAlignment="1">
      <alignment horizontal="justify" vertical="center"/>
    </xf>
    <xf numFmtId="0" fontId="106" fillId="0" borderId="0" xfId="79" applyFont="1" applyAlignment="1">
      <alignment horizontal="justify" vertical="center"/>
    </xf>
    <xf numFmtId="0" fontId="106" fillId="56" borderId="0" xfId="79" applyFont="1" applyFill="1" applyAlignment="1">
      <alignment horizontal="justify" vertical="center"/>
    </xf>
    <xf numFmtId="0" fontId="106" fillId="58" borderId="0" xfId="79" applyFont="1" applyFill="1" applyAlignment="1">
      <alignment horizontal="justify" vertical="center"/>
    </xf>
    <xf numFmtId="0" fontId="157" fillId="56" borderId="0" xfId="79" applyFont="1" applyFill="1" applyAlignment="1">
      <alignment vertical="center" wrapText="1"/>
    </xf>
    <xf numFmtId="0" fontId="157" fillId="0" borderId="0" xfId="79" applyFont="1" applyAlignment="1">
      <alignment vertical="center" wrapText="1"/>
    </xf>
    <xf numFmtId="0" fontId="164" fillId="56" borderId="0" xfId="79" applyFont="1" applyFill="1" applyAlignment="1">
      <alignment vertical="center" wrapText="1"/>
    </xf>
    <xf numFmtId="0" fontId="164" fillId="0" borderId="0" xfId="79" applyFont="1" applyAlignment="1">
      <alignment vertical="center" wrapText="1"/>
    </xf>
    <xf numFmtId="0" fontId="106" fillId="56" borderId="0" xfId="79" applyFont="1" applyFill="1" applyAlignment="1">
      <alignment vertical="center" wrapText="1"/>
    </xf>
    <xf numFmtId="0" fontId="150" fillId="0" borderId="0" xfId="79" applyFont="1" applyAlignment="1">
      <alignment horizontal="left" vertical="center" shrinkToFit="1"/>
    </xf>
    <xf numFmtId="0" fontId="164" fillId="58" borderId="0" xfId="79" applyFont="1" applyFill="1" applyAlignment="1">
      <alignment vertical="center" wrapText="1"/>
    </xf>
    <xf numFmtId="0" fontId="55" fillId="0" borderId="0" xfId="64" applyFont="1" applyAlignment="1">
      <alignment horizontal="left" vertical="center" indent="1"/>
    </xf>
    <xf numFmtId="0" fontId="229" fillId="0" borderId="0" xfId="64" applyFont="1" applyAlignment="1">
      <alignment vertical="center"/>
    </xf>
    <xf numFmtId="0" fontId="86" fillId="0" borderId="0" xfId="64" applyFont="1" applyAlignment="1">
      <alignment horizontal="left" indent="1"/>
    </xf>
    <xf numFmtId="49" fontId="106" fillId="0" borderId="36" xfId="0" applyNumberFormat="1" applyFont="1" applyBorder="1" applyProtection="1">
      <protection hidden="1"/>
    </xf>
    <xf numFmtId="0" fontId="106" fillId="0" borderId="28" xfId="0" applyFont="1" applyBorder="1" applyProtection="1">
      <protection hidden="1"/>
    </xf>
    <xf numFmtId="0" fontId="112" fillId="0" borderId="28" xfId="0" applyFont="1" applyBorder="1" applyAlignment="1" applyProtection="1">
      <alignment horizontal="center"/>
      <protection hidden="1"/>
    </xf>
    <xf numFmtId="0" fontId="112" fillId="0" borderId="28" xfId="0" applyFont="1" applyBorder="1" applyProtection="1">
      <protection hidden="1"/>
    </xf>
    <xf numFmtId="0" fontId="0" fillId="0" borderId="28" xfId="0" applyBorder="1" applyAlignment="1" applyProtection="1">
      <alignment horizontal="center"/>
      <protection hidden="1"/>
    </xf>
    <xf numFmtId="0" fontId="0" fillId="0" borderId="0" xfId="0" applyBorder="1" applyAlignment="1" applyProtection="1">
      <alignment horizontal="center"/>
      <protection hidden="1"/>
    </xf>
    <xf numFmtId="3" fontId="0" fillId="39" borderId="0" xfId="0" applyNumberFormat="1" applyFill="1" applyBorder="1" applyProtection="1">
      <protection hidden="1"/>
    </xf>
    <xf numFmtId="0" fontId="0" fillId="39" borderId="0" xfId="0" applyFill="1" applyBorder="1" applyProtection="1">
      <protection hidden="1"/>
    </xf>
    <xf numFmtId="0" fontId="63" fillId="0" borderId="0" xfId="80" applyFont="1" applyProtection="1">
      <protection hidden="1"/>
    </xf>
    <xf numFmtId="170" fontId="63" fillId="0" borderId="0" xfId="81" applyNumberFormat="1" applyFont="1" applyProtection="1">
      <protection hidden="1"/>
    </xf>
    <xf numFmtId="0" fontId="95" fillId="0" borderId="0" xfId="80" applyFont="1" applyProtection="1">
      <protection hidden="1"/>
    </xf>
    <xf numFmtId="0" fontId="127" fillId="0" borderId="0" xfId="80" applyFont="1" applyAlignment="1" applyProtection="1">
      <alignment vertical="center"/>
      <protection hidden="1"/>
    </xf>
    <xf numFmtId="0" fontId="124" fillId="49" borderId="0" xfId="80" applyFont="1" applyFill="1" applyAlignment="1" applyProtection="1">
      <alignment vertical="center"/>
      <protection hidden="1"/>
    </xf>
    <xf numFmtId="0" fontId="128" fillId="0" borderId="0" xfId="80" applyFont="1" applyAlignment="1" applyProtection="1">
      <alignment horizontal="center" vertical="center"/>
      <protection hidden="1"/>
    </xf>
    <xf numFmtId="170" fontId="125" fillId="0" borderId="0" xfId="81" applyNumberFormat="1" applyFont="1" applyAlignment="1" applyProtection="1">
      <alignment vertical="center"/>
      <protection hidden="1"/>
    </xf>
    <xf numFmtId="166" fontId="125" fillId="0" borderId="0" xfId="82" applyNumberFormat="1" applyFont="1" applyAlignment="1" applyProtection="1">
      <alignment vertical="center"/>
      <protection hidden="1"/>
    </xf>
    <xf numFmtId="0" fontId="126" fillId="0" borderId="0" xfId="80" applyFont="1" applyAlignment="1" applyProtection="1">
      <alignment vertical="center"/>
      <protection hidden="1"/>
    </xf>
    <xf numFmtId="0" fontId="65" fillId="0" borderId="0" xfId="80" applyFont="1" applyAlignment="1" applyProtection="1">
      <alignment horizontal="center"/>
      <protection hidden="1"/>
    </xf>
    <xf numFmtId="166" fontId="63" fillId="0" borderId="0" xfId="82" applyNumberFormat="1" applyFont="1" applyFill="1" applyBorder="1" applyProtection="1">
      <protection hidden="1"/>
    </xf>
    <xf numFmtId="166" fontId="96" fillId="0" borderId="0" xfId="82" applyNumberFormat="1" applyFont="1" applyFill="1" applyBorder="1" applyProtection="1">
      <protection hidden="1"/>
    </xf>
    <xf numFmtId="170" fontId="96" fillId="0" borderId="0" xfId="81" applyNumberFormat="1" applyFont="1" applyFill="1" applyProtection="1">
      <protection hidden="1"/>
    </xf>
    <xf numFmtId="0" fontId="96" fillId="0" borderId="0" xfId="80" applyFont="1" applyProtection="1">
      <protection hidden="1"/>
    </xf>
    <xf numFmtId="0" fontId="63" fillId="0" borderId="0" xfId="80" applyFont="1" applyAlignment="1" applyProtection="1">
      <alignment vertical="center"/>
      <protection hidden="1"/>
    </xf>
    <xf numFmtId="0" fontId="26" fillId="0" borderId="39" xfId="80" applyFont="1" applyBorder="1" applyAlignment="1" applyProtection="1">
      <alignment horizontal="left" vertical="center"/>
      <protection hidden="1"/>
    </xf>
    <xf numFmtId="0" fontId="26" fillId="0" borderId="37" xfId="80" applyFont="1" applyBorder="1" applyAlignment="1" applyProtection="1">
      <alignment horizontal="left" vertical="center"/>
      <protection hidden="1"/>
    </xf>
    <xf numFmtId="0" fontId="26" fillId="0" borderId="37" xfId="80" applyFont="1" applyBorder="1" applyAlignment="1" applyProtection="1">
      <alignment vertical="center"/>
      <protection hidden="1"/>
    </xf>
    <xf numFmtId="0" fontId="63" fillId="0" borderId="37" xfId="80" applyFont="1" applyBorder="1" applyAlignment="1" applyProtection="1">
      <alignment vertical="center"/>
      <protection hidden="1"/>
    </xf>
    <xf numFmtId="0" fontId="26" fillId="0" borderId="38" xfId="80" applyFont="1" applyBorder="1" applyAlignment="1" applyProtection="1">
      <alignment horizontal="center" vertical="center"/>
      <protection hidden="1"/>
    </xf>
    <xf numFmtId="0" fontId="90" fillId="0" borderId="0" xfId="80" applyFont="1" applyAlignment="1" applyProtection="1">
      <alignment horizontal="center" vertical="center"/>
      <protection hidden="1"/>
    </xf>
    <xf numFmtId="170" fontId="96" fillId="0" borderId="0" xfId="81" applyNumberFormat="1" applyFont="1" applyAlignment="1" applyProtection="1">
      <alignment vertical="center"/>
      <protection hidden="1"/>
    </xf>
    <xf numFmtId="166" fontId="96" fillId="0" borderId="0" xfId="82" applyNumberFormat="1" applyFont="1" applyAlignment="1" applyProtection="1">
      <alignment vertical="center"/>
      <protection hidden="1"/>
    </xf>
    <xf numFmtId="0" fontId="95" fillId="0" borderId="0" xfId="80" applyFont="1" applyAlignment="1" applyProtection="1">
      <alignment vertical="center"/>
      <protection hidden="1"/>
    </xf>
    <xf numFmtId="0" fontId="26" fillId="0" borderId="0" xfId="80" applyFont="1" applyAlignment="1" applyProtection="1">
      <alignment horizontal="left" indent="3"/>
      <protection hidden="1"/>
    </xf>
    <xf numFmtId="0" fontId="26" fillId="0" borderId="0" xfId="80" applyFont="1" applyProtection="1">
      <protection hidden="1"/>
    </xf>
    <xf numFmtId="0" fontId="26" fillId="0" borderId="0" xfId="80" applyFont="1" applyAlignment="1" applyProtection="1">
      <alignment horizontal="left" indent="1"/>
      <protection hidden="1"/>
    </xf>
    <xf numFmtId="0" fontId="26" fillId="0" borderId="0" xfId="80" applyFont="1" applyAlignment="1" applyProtection="1">
      <alignment horizontal="left"/>
      <protection hidden="1"/>
    </xf>
    <xf numFmtId="166" fontId="96" fillId="0" borderId="0" xfId="82" applyNumberFormat="1" applyFont="1" applyBorder="1" applyProtection="1">
      <protection hidden="1"/>
    </xf>
    <xf numFmtId="170" fontId="96" fillId="0" borderId="0" xfId="81" applyNumberFormat="1" applyFont="1" applyProtection="1">
      <protection hidden="1"/>
    </xf>
    <xf numFmtId="0" fontId="26" fillId="0" borderId="0" xfId="80" applyFont="1" applyAlignment="1" applyProtection="1">
      <alignment vertical="center"/>
      <protection hidden="1"/>
    </xf>
    <xf numFmtId="0" fontId="66" fillId="0" borderId="0" xfId="80" applyFont="1" applyAlignment="1" applyProtection="1">
      <alignment horizontal="center" vertical="center"/>
      <protection hidden="1"/>
    </xf>
    <xf numFmtId="0" fontId="66" fillId="0" borderId="0" xfId="80" applyFont="1" applyAlignment="1" applyProtection="1">
      <alignment vertical="center"/>
      <protection hidden="1"/>
    </xf>
    <xf numFmtId="166" fontId="115" fillId="0" borderId="0" xfId="82" applyNumberFormat="1" applyFont="1" applyBorder="1" applyAlignment="1" applyProtection="1">
      <alignment horizontal="right" vertical="center"/>
      <protection hidden="1"/>
    </xf>
    <xf numFmtId="166" fontId="96" fillId="0" borderId="0" xfId="82" applyNumberFormat="1" applyFont="1" applyBorder="1" applyAlignment="1" applyProtection="1">
      <alignment vertical="center"/>
      <protection hidden="1"/>
    </xf>
    <xf numFmtId="0" fontId="96" fillId="0" borderId="0" xfId="80" applyFont="1" applyAlignment="1" applyProtection="1">
      <alignment vertical="center"/>
      <protection hidden="1"/>
    </xf>
    <xf numFmtId="0" fontId="63" fillId="0" borderId="0" xfId="80" quotePrefix="1" applyFont="1" applyAlignment="1" applyProtection="1">
      <alignment horizontal="left" vertical="center" indent="2"/>
      <protection hidden="1"/>
    </xf>
    <xf numFmtId="0" fontId="63" fillId="0" borderId="0" xfId="80" applyFont="1" applyAlignment="1" applyProtection="1">
      <alignment horizontal="center" vertical="center"/>
      <protection hidden="1"/>
    </xf>
    <xf numFmtId="166" fontId="26" fillId="0" borderId="0" xfId="82" applyNumberFormat="1" applyFont="1" applyBorder="1" applyAlignment="1" applyProtection="1">
      <alignment horizontal="right" vertical="center"/>
      <protection hidden="1"/>
    </xf>
    <xf numFmtId="170" fontId="96" fillId="0" borderId="0" xfId="81" applyNumberFormat="1" applyFont="1" applyBorder="1" applyAlignment="1" applyProtection="1">
      <alignment vertical="center"/>
      <protection hidden="1"/>
    </xf>
    <xf numFmtId="0" fontId="26" fillId="0" borderId="0" xfId="80" quotePrefix="1" applyFont="1" applyAlignment="1" applyProtection="1">
      <alignment horizontal="left" vertical="center" indent="2"/>
      <protection hidden="1"/>
    </xf>
    <xf numFmtId="0" fontId="67" fillId="0" borderId="0" xfId="80" quotePrefix="1" applyFont="1" applyAlignment="1" applyProtection="1">
      <alignment horizontal="left" vertical="center" indent="4"/>
      <protection hidden="1"/>
    </xf>
    <xf numFmtId="43" fontId="26" fillId="0" borderId="0" xfId="82" applyFont="1" applyBorder="1" applyAlignment="1" applyProtection="1">
      <alignment horizontal="right" vertical="center"/>
      <protection hidden="1"/>
    </xf>
    <xf numFmtId="9" fontId="96" fillId="0" borderId="0" xfId="81" applyFont="1" applyAlignment="1" applyProtection="1">
      <alignment vertical="center"/>
      <protection hidden="1"/>
    </xf>
    <xf numFmtId="0" fontId="26" fillId="0" borderId="0" xfId="80" applyFont="1" applyAlignment="1" applyProtection="1">
      <alignment horizontal="left" vertical="center" indent="4"/>
      <protection hidden="1"/>
    </xf>
    <xf numFmtId="0" fontId="63" fillId="0" borderId="0" xfId="80" quotePrefix="1" applyFont="1" applyAlignment="1" applyProtection="1">
      <alignment horizontal="left" vertical="center" indent="4"/>
      <protection hidden="1"/>
    </xf>
    <xf numFmtId="166" fontId="95" fillId="0" borderId="0" xfId="80" applyNumberFormat="1" applyFont="1" applyProtection="1">
      <protection hidden="1"/>
    </xf>
    <xf numFmtId="0" fontId="63" fillId="0" borderId="0" xfId="80" applyFont="1" applyAlignment="1" applyProtection="1">
      <alignment horizontal="left" vertical="center" indent="4"/>
      <protection hidden="1"/>
    </xf>
    <xf numFmtId="0" fontId="26" fillId="0" borderId="0" xfId="0" applyFont="1" applyAlignment="1" applyProtection="1">
      <alignment vertical="center"/>
      <protection hidden="1"/>
    </xf>
    <xf numFmtId="9" fontId="66" fillId="0" borderId="0" xfId="81" applyFont="1" applyBorder="1" applyAlignment="1" applyProtection="1">
      <alignment vertical="center"/>
      <protection hidden="1"/>
    </xf>
    <xf numFmtId="0" fontId="62" fillId="0" borderId="0" xfId="80" applyFont="1" applyAlignment="1" applyProtection="1">
      <alignment horizontal="left" vertical="center" indent="1"/>
      <protection hidden="1"/>
    </xf>
    <xf numFmtId="0" fontId="63" fillId="0" borderId="0" xfId="80" applyFont="1" applyAlignment="1" applyProtection="1">
      <alignment horizontal="left" wrapText="1" indent="4"/>
      <protection hidden="1"/>
    </xf>
    <xf numFmtId="166" fontId="97" fillId="0" borderId="0" xfId="82" applyNumberFormat="1" applyFont="1" applyBorder="1" applyAlignment="1" applyProtection="1">
      <alignment horizontal="right" vertical="center"/>
      <protection hidden="1"/>
    </xf>
    <xf numFmtId="0" fontId="63" fillId="0" borderId="0" xfId="80" applyFont="1" applyAlignment="1" applyProtection="1">
      <alignment vertical="center" wrapText="1"/>
      <protection hidden="1"/>
    </xf>
    <xf numFmtId="0" fontId="97" fillId="0" borderId="0" xfId="80" applyFont="1" applyAlignment="1" applyProtection="1">
      <alignment horizontal="left"/>
      <protection hidden="1"/>
    </xf>
    <xf numFmtId="0" fontId="26" fillId="0" borderId="0" xfId="80" quotePrefix="1" applyFont="1" applyAlignment="1" applyProtection="1">
      <alignment horizontal="left" vertical="center"/>
      <protection hidden="1"/>
    </xf>
    <xf numFmtId="170" fontId="63" fillId="0" borderId="0" xfId="81" applyNumberFormat="1" applyFont="1" applyAlignment="1" applyProtection="1">
      <alignment vertical="center"/>
      <protection hidden="1"/>
    </xf>
    <xf numFmtId="0" fontId="63" fillId="0" borderId="0" xfId="80" applyFont="1" applyAlignment="1" applyProtection="1">
      <alignment vertical="top"/>
      <protection hidden="1"/>
    </xf>
    <xf numFmtId="0" fontId="67" fillId="0" borderId="0" xfId="80" applyFont="1" applyAlignment="1" applyProtection="1">
      <alignment horizontal="left" vertical="top" indent="4"/>
      <protection hidden="1"/>
    </xf>
    <xf numFmtId="0" fontId="63" fillId="0" borderId="0" xfId="80" applyFont="1" applyAlignment="1" applyProtection="1">
      <alignment horizontal="center" vertical="top"/>
      <protection hidden="1"/>
    </xf>
    <xf numFmtId="166" fontId="97" fillId="0" borderId="0" xfId="82" applyNumberFormat="1" applyFont="1" applyBorder="1" applyAlignment="1" applyProtection="1">
      <alignment horizontal="right" vertical="top"/>
      <protection hidden="1"/>
    </xf>
    <xf numFmtId="0" fontId="95" fillId="0" borderId="0" xfId="80" applyFont="1" applyAlignment="1" applyProtection="1">
      <alignment vertical="top"/>
      <protection hidden="1"/>
    </xf>
    <xf numFmtId="9" fontId="66" fillId="0" borderId="0" xfId="81" applyFont="1" applyBorder="1" applyAlignment="1" applyProtection="1">
      <alignment vertical="top"/>
      <protection hidden="1"/>
    </xf>
    <xf numFmtId="170" fontId="63" fillId="0" borderId="0" xfId="81" applyNumberFormat="1" applyFont="1" applyAlignment="1" applyProtection="1">
      <alignment vertical="top"/>
      <protection hidden="1"/>
    </xf>
    <xf numFmtId="0" fontId="26" fillId="0" borderId="0" xfId="80" applyFont="1" applyAlignment="1" applyProtection="1">
      <alignment horizontal="left" vertical="center" indent="1"/>
      <protection hidden="1"/>
    </xf>
    <xf numFmtId="166" fontId="63" fillId="0" borderId="0" xfId="82" applyNumberFormat="1" applyFont="1" applyBorder="1" applyAlignment="1" applyProtection="1">
      <alignment vertical="center"/>
      <protection hidden="1"/>
    </xf>
    <xf numFmtId="170" fontId="96" fillId="0" borderId="0" xfId="81" applyNumberFormat="1" applyFont="1" applyFill="1" applyAlignment="1" applyProtection="1">
      <alignment vertical="center"/>
      <protection hidden="1"/>
    </xf>
    <xf numFmtId="166" fontId="96" fillId="0" borderId="0" xfId="82" applyNumberFormat="1" applyFont="1" applyFill="1" applyAlignment="1" applyProtection="1">
      <alignment vertical="center"/>
      <protection hidden="1"/>
    </xf>
    <xf numFmtId="0" fontId="97" fillId="0" borderId="0" xfId="80" applyFont="1" applyAlignment="1" applyProtection="1">
      <alignment vertical="center"/>
      <protection hidden="1"/>
    </xf>
    <xf numFmtId="0" fontId="63" fillId="0" borderId="0" xfId="80" applyFont="1" applyAlignment="1" applyProtection="1">
      <alignment vertical="center" shrinkToFit="1"/>
      <protection hidden="1"/>
    </xf>
    <xf numFmtId="43" fontId="111" fillId="0" borderId="0" xfId="80" applyNumberFormat="1" applyFont="1" applyAlignment="1" applyProtection="1">
      <alignment horizontal="right" vertical="center"/>
      <protection hidden="1"/>
    </xf>
    <xf numFmtId="0" fontId="233" fillId="0" borderId="0" xfId="64" applyFont="1" applyAlignment="1">
      <alignment horizontal="left" vertical="center" indent="1"/>
    </xf>
    <xf numFmtId="0" fontId="234" fillId="0" borderId="0" xfId="64" applyFont="1" applyAlignment="1">
      <alignment horizontal="left" vertical="center" indent="1"/>
    </xf>
    <xf numFmtId="49" fontId="235" fillId="0" borderId="0" xfId="64" applyNumberFormat="1" applyFont="1"/>
    <xf numFmtId="0" fontId="235" fillId="0" borderId="0" xfId="64" applyFont="1"/>
    <xf numFmtId="49" fontId="236" fillId="28" borderId="0" xfId="64" applyNumberFormat="1" applyFont="1" applyFill="1" applyAlignment="1">
      <alignment vertical="center"/>
    </xf>
    <xf numFmtId="0" fontId="236" fillId="28" borderId="0" xfId="64" applyFont="1" applyFill="1" applyAlignment="1">
      <alignment vertical="center"/>
    </xf>
    <xf numFmtId="0" fontId="237" fillId="28" borderId="0" xfId="64" applyFont="1" applyFill="1" applyAlignment="1">
      <alignment vertical="center"/>
    </xf>
    <xf numFmtId="0" fontId="237" fillId="0" borderId="0" xfId="64" applyFont="1" applyAlignment="1">
      <alignment vertical="center"/>
    </xf>
    <xf numFmtId="0" fontId="232" fillId="0" borderId="0" xfId="64" applyFont="1" applyAlignment="1">
      <alignment horizontal="center" vertical="center"/>
    </xf>
    <xf numFmtId="0" fontId="234" fillId="0" borderId="0" xfId="64" applyFont="1" applyAlignment="1">
      <alignment horizontal="left" vertical="center" wrapText="1" indent="1"/>
    </xf>
    <xf numFmtId="0" fontId="227" fillId="0" borderId="0" xfId="64" applyFont="1" applyAlignment="1">
      <alignment horizontal="left" vertical="center" indent="1"/>
    </xf>
    <xf numFmtId="0" fontId="201" fillId="0" borderId="0" xfId="0" applyFont="1"/>
    <xf numFmtId="167" fontId="0" fillId="0" borderId="0" xfId="29" applyNumberFormat="1" applyFont="1"/>
    <xf numFmtId="167" fontId="211" fillId="0" borderId="0" xfId="29" applyNumberFormat="1" applyFont="1"/>
    <xf numFmtId="0" fontId="26" fillId="0" borderId="26" xfId="0" applyFont="1" applyBorder="1" applyAlignment="1" applyProtection="1">
      <alignment horizontal="center" vertical="center" wrapText="1"/>
      <protection hidden="1"/>
    </xf>
    <xf numFmtId="3" fontId="26" fillId="0" borderId="18" xfId="0" applyNumberFormat="1" applyFont="1" applyBorder="1" applyAlignment="1" applyProtection="1">
      <alignment horizontal="center" vertical="center" shrinkToFit="1"/>
      <protection hidden="1"/>
    </xf>
    <xf numFmtId="3" fontId="26" fillId="0" borderId="18" xfId="0" applyNumberFormat="1" applyFont="1" applyBorder="1" applyAlignment="1" applyProtection="1">
      <alignment horizontal="centerContinuous" vertical="center" shrinkToFit="1"/>
      <protection hidden="1"/>
    </xf>
    <xf numFmtId="3" fontId="11" fillId="30" borderId="18" xfId="0" applyNumberFormat="1" applyFont="1" applyFill="1" applyBorder="1" applyAlignment="1" applyProtection="1">
      <alignment horizontal="center" vertical="center"/>
      <protection locked="0"/>
    </xf>
    <xf numFmtId="0" fontId="48" fillId="0" borderId="10" xfId="0" applyFont="1" applyBorder="1" applyAlignment="1" applyProtection="1">
      <alignment horizontal="center" vertical="center"/>
      <protection locked="0"/>
    </xf>
    <xf numFmtId="43" fontId="11" fillId="0" borderId="18" xfId="29" applyFont="1" applyFill="1" applyBorder="1" applyAlignment="1" applyProtection="1">
      <alignment horizontal="right" vertical="center" wrapText="1" shrinkToFit="1"/>
      <protection hidden="1"/>
    </xf>
    <xf numFmtId="0" fontId="238" fillId="0" borderId="0" xfId="0" applyFont="1" applyAlignment="1" applyProtection="1">
      <alignment horizontal="centerContinuous" vertical="center"/>
      <protection hidden="1"/>
    </xf>
    <xf numFmtId="0" fontId="0" fillId="0" borderId="38" xfId="0" applyBorder="1" applyAlignment="1" applyProtection="1">
      <alignment horizontal="centerContinuous"/>
      <protection hidden="1"/>
    </xf>
    <xf numFmtId="3" fontId="11" fillId="0" borderId="18" xfId="0" applyNumberFormat="1" applyFont="1" applyBorder="1" applyAlignment="1">
      <alignment horizontal="center" vertical="center"/>
    </xf>
    <xf numFmtId="0" fontId="0" fillId="0" borderId="39" xfId="0" applyBorder="1" applyProtection="1">
      <protection hidden="1"/>
    </xf>
    <xf numFmtId="0" fontId="26" fillId="0" borderId="18" xfId="0" applyFont="1" applyBorder="1" applyAlignment="1" applyProtection="1">
      <alignment horizontal="center" vertical="center" wrapText="1"/>
      <protection hidden="1"/>
    </xf>
    <xf numFmtId="0" fontId="238" fillId="0" borderId="24" xfId="0" applyFont="1" applyBorder="1" applyAlignment="1" applyProtection="1">
      <alignment horizontal="centerContinuous" vertical="center"/>
      <protection hidden="1"/>
    </xf>
    <xf numFmtId="0" fontId="0" fillId="0" borderId="28" xfId="0" applyBorder="1" applyAlignment="1" applyProtection="1">
      <alignment horizontal="centerContinuous"/>
      <protection hidden="1"/>
    </xf>
    <xf numFmtId="0" fontId="238" fillId="0" borderId="0" xfId="0" applyFont="1" applyAlignment="1" applyProtection="1">
      <alignment horizontal="center" vertical="center"/>
      <protection hidden="1"/>
    </xf>
    <xf numFmtId="0" fontId="238" fillId="0" borderId="169" xfId="0" applyFont="1" applyBorder="1" applyAlignment="1" applyProtection="1">
      <alignment horizontal="centerContinuous" vertical="center"/>
      <protection hidden="1"/>
    </xf>
    <xf numFmtId="0" fontId="0" fillId="0" borderId="170" xfId="0" applyBorder="1" applyAlignment="1" applyProtection="1">
      <alignment horizontal="centerContinuous"/>
      <protection hidden="1"/>
    </xf>
    <xf numFmtId="0" fontId="0" fillId="0" borderId="91" xfId="0" applyBorder="1" applyProtection="1">
      <protection hidden="1"/>
    </xf>
    <xf numFmtId="3" fontId="26" fillId="0" borderId="39" xfId="0" applyNumberFormat="1" applyFont="1" applyBorder="1" applyAlignment="1" applyProtection="1">
      <alignment horizontal="center" vertical="center" shrinkToFit="1"/>
      <protection hidden="1"/>
    </xf>
    <xf numFmtId="3" fontId="26" fillId="0" borderId="39" xfId="0" applyNumberFormat="1" applyFont="1" applyBorder="1" applyAlignment="1" applyProtection="1">
      <alignment horizontal="centerContinuous" vertical="center" shrinkToFit="1"/>
      <protection hidden="1"/>
    </xf>
    <xf numFmtId="3" fontId="11" fillId="30" borderId="39" xfId="0" applyNumberFormat="1" applyFont="1" applyFill="1" applyBorder="1" applyAlignment="1" applyProtection="1">
      <alignment horizontal="center" vertical="center"/>
      <protection locked="0"/>
    </xf>
    <xf numFmtId="0" fontId="48" fillId="0" borderId="18" xfId="0" applyFont="1" applyBorder="1" applyAlignment="1" applyProtection="1">
      <alignment horizontal="center" vertical="center"/>
      <protection locked="0"/>
    </xf>
    <xf numFmtId="0" fontId="239" fillId="0" borderId="0" xfId="0" applyFont="1" applyProtection="1">
      <protection hidden="1"/>
    </xf>
    <xf numFmtId="165" fontId="8" fillId="0" borderId="0" xfId="0" applyNumberFormat="1" applyFont="1" applyProtection="1">
      <protection hidden="1"/>
    </xf>
    <xf numFmtId="3" fontId="8" fillId="0" borderId="0" xfId="0" applyNumberFormat="1" applyFont="1" applyProtection="1">
      <protection hidden="1"/>
    </xf>
    <xf numFmtId="0" fontId="240" fillId="30" borderId="0" xfId="0" applyFont="1" applyFill="1" applyProtection="1">
      <protection hidden="1"/>
    </xf>
    <xf numFmtId="0" fontId="8" fillId="42" borderId="0" xfId="0" applyFont="1" applyFill="1" applyProtection="1">
      <protection hidden="1"/>
    </xf>
    <xf numFmtId="0" fontId="8" fillId="0" borderId="18" xfId="0" applyFont="1" applyBorder="1" applyAlignment="1">
      <alignment horizontal="center"/>
    </xf>
    <xf numFmtId="43" fontId="8" fillId="0" borderId="0" xfId="0" applyNumberFormat="1" applyFont="1" applyProtection="1">
      <protection hidden="1"/>
    </xf>
    <xf numFmtId="43" fontId="17" fillId="42" borderId="48" xfId="29" applyFont="1" applyFill="1" applyBorder="1" applyAlignment="1" applyProtection="1">
      <alignment horizontal="right" vertical="center" shrinkToFit="1"/>
      <protection hidden="1"/>
    </xf>
    <xf numFmtId="10" fontId="8" fillId="0" borderId="0" xfId="81" applyNumberFormat="1" applyFont="1" applyFill="1" applyAlignment="1">
      <alignment horizontal="center"/>
    </xf>
    <xf numFmtId="0" fontId="48" fillId="30" borderId="18" xfId="0" applyFont="1" applyFill="1" applyBorder="1" applyAlignment="1" applyProtection="1">
      <alignment horizontal="center" vertical="center"/>
      <protection locked="0"/>
    </xf>
    <xf numFmtId="43" fontId="11" fillId="0" borderId="172" xfId="29" applyFont="1" applyBorder="1" applyAlignment="1" applyProtection="1">
      <alignment horizontal="center" vertical="center"/>
      <protection hidden="1"/>
    </xf>
    <xf numFmtId="0" fontId="0" fillId="33" borderId="0" xfId="0" applyFill="1" applyProtection="1">
      <protection hidden="1"/>
    </xf>
    <xf numFmtId="0" fontId="8" fillId="33" borderId="0" xfId="0" applyFont="1" applyFill="1" applyProtection="1">
      <protection hidden="1"/>
    </xf>
    <xf numFmtId="0" fontId="89" fillId="33" borderId="0" xfId="0" applyFont="1" applyFill="1" applyProtection="1">
      <protection hidden="1"/>
    </xf>
    <xf numFmtId="0" fontId="12" fillId="33" borderId="0" xfId="0" applyFont="1" applyFill="1" applyProtection="1">
      <protection hidden="1"/>
    </xf>
    <xf numFmtId="0" fontId="10" fillId="0" borderId="0" xfId="49" applyFont="1" applyAlignment="1">
      <alignment horizontal="center"/>
    </xf>
    <xf numFmtId="0" fontId="27" fillId="0" borderId="0" xfId="49" applyFont="1" applyAlignment="1">
      <alignment horizontal="center" vertical="center" wrapText="1"/>
    </xf>
    <xf numFmtId="0" fontId="27" fillId="0" borderId="0" xfId="49" applyFont="1" applyAlignment="1">
      <alignment horizontal="center"/>
    </xf>
    <xf numFmtId="0" fontId="30" fillId="0" borderId="18" xfId="49" applyBorder="1" applyAlignment="1">
      <alignment horizontal="center"/>
    </xf>
    <xf numFmtId="0" fontId="13" fillId="0" borderId="43" xfId="0" applyFont="1" applyBorder="1" applyAlignment="1">
      <alignment horizontal="justify" vertical="center" wrapText="1"/>
    </xf>
    <xf numFmtId="0" fontId="13" fillId="0" borderId="44" xfId="0" applyFont="1" applyBorder="1" applyAlignment="1">
      <alignment horizontal="justify" vertical="center" wrapText="1"/>
    </xf>
    <xf numFmtId="0" fontId="13" fillId="0" borderId="45" xfId="0" applyFont="1" applyBorder="1" applyAlignment="1">
      <alignment horizontal="justify" vertical="center" wrapText="1"/>
    </xf>
    <xf numFmtId="0" fontId="13" fillId="0" borderId="43" xfId="0" applyFont="1" applyBorder="1" applyAlignment="1">
      <alignment horizontal="left" vertical="center" wrapText="1"/>
    </xf>
    <xf numFmtId="0" fontId="13" fillId="0" borderId="45" xfId="0" applyFont="1" applyBorder="1" applyAlignment="1">
      <alignment horizontal="left" vertical="center" wrapText="1"/>
    </xf>
    <xf numFmtId="0" fontId="135" fillId="49" borderId="0" xfId="0" applyFont="1" applyFill="1" applyAlignment="1" applyProtection="1">
      <alignment horizontal="center" vertical="center"/>
      <protection hidden="1"/>
    </xf>
    <xf numFmtId="0" fontId="136" fillId="49" borderId="0" xfId="0" applyFont="1" applyFill="1" applyAlignment="1" applyProtection="1">
      <alignment vertical="center"/>
      <protection hidden="1"/>
    </xf>
    <xf numFmtId="0" fontId="26" fillId="0" borderId="153" xfId="0" applyFont="1" applyBorder="1" applyAlignment="1" applyProtection="1">
      <alignment horizontal="center" vertical="center" wrapText="1"/>
      <protection hidden="1"/>
    </xf>
    <xf numFmtId="0" fontId="26" fillId="0" borderId="152" xfId="0" applyFont="1" applyBorder="1" applyAlignment="1" applyProtection="1">
      <alignment horizontal="center" vertical="center" wrapText="1"/>
      <protection hidden="1"/>
    </xf>
    <xf numFmtId="0" fontId="137" fillId="49" borderId="79" xfId="0" applyFont="1" applyFill="1" applyBorder="1" applyAlignment="1" applyProtection="1">
      <alignment horizontal="center" vertical="center"/>
      <protection hidden="1"/>
    </xf>
    <xf numFmtId="0" fontId="137" fillId="49" borderId="80" xfId="0" applyFont="1" applyFill="1" applyBorder="1" applyAlignment="1" applyProtection="1">
      <alignment horizontal="center" vertical="center"/>
      <protection hidden="1"/>
    </xf>
    <xf numFmtId="0" fontId="137" fillId="49" borderId="81" xfId="0" applyFont="1" applyFill="1" applyBorder="1" applyAlignment="1" applyProtection="1">
      <alignment horizontal="center" vertical="center"/>
      <protection hidden="1"/>
    </xf>
    <xf numFmtId="0" fontId="97" fillId="48" borderId="82" xfId="0" applyFont="1" applyFill="1" applyBorder="1" applyAlignment="1" applyProtection="1">
      <alignment horizontal="center" vertical="center" wrapText="1"/>
      <protection hidden="1"/>
    </xf>
    <xf numFmtId="0" fontId="97" fillId="48" borderId="78" xfId="0" applyFont="1" applyFill="1" applyBorder="1" applyAlignment="1" applyProtection="1">
      <alignment horizontal="center" vertical="center" wrapText="1"/>
      <protection hidden="1"/>
    </xf>
    <xf numFmtId="0" fontId="97" fillId="48" borderId="83" xfId="0" applyFont="1" applyFill="1" applyBorder="1" applyAlignment="1" applyProtection="1">
      <alignment horizontal="center" vertical="center"/>
      <protection hidden="1"/>
    </xf>
    <xf numFmtId="0" fontId="97" fillId="48" borderId="84" xfId="0" applyFont="1" applyFill="1" applyBorder="1" applyAlignment="1" applyProtection="1">
      <alignment horizontal="center" vertical="center"/>
      <protection hidden="1"/>
    </xf>
    <xf numFmtId="0" fontId="8" fillId="34" borderId="88" xfId="0" applyFont="1" applyFill="1" applyBorder="1" applyAlignment="1" applyProtection="1">
      <alignment horizontal="center" vertical="center"/>
      <protection hidden="1"/>
    </xf>
    <xf numFmtId="0" fontId="8" fillId="34" borderId="89" xfId="0" applyFont="1" applyFill="1" applyBorder="1" applyAlignment="1" applyProtection="1">
      <alignment horizontal="center" vertical="center"/>
      <protection hidden="1"/>
    </xf>
    <xf numFmtId="0" fontId="8" fillId="34" borderId="90" xfId="0" applyFont="1" applyFill="1" applyBorder="1" applyAlignment="1" applyProtection="1">
      <alignment horizontal="center" vertical="center"/>
      <protection hidden="1"/>
    </xf>
    <xf numFmtId="0" fontId="48" fillId="24" borderId="156" xfId="0" applyFont="1" applyFill="1" applyBorder="1" applyAlignment="1" applyProtection="1">
      <alignment horizontal="center" vertical="center"/>
      <protection locked="0"/>
    </xf>
    <xf numFmtId="0" fontId="48" fillId="24" borderId="76" xfId="0" applyFont="1" applyFill="1" applyBorder="1" applyAlignment="1" applyProtection="1">
      <alignment horizontal="center" vertical="center"/>
      <protection locked="0"/>
    </xf>
    <xf numFmtId="43" fontId="11" fillId="0" borderId="156" xfId="29" applyFont="1" applyFill="1" applyBorder="1" applyAlignment="1" applyProtection="1">
      <alignment horizontal="center" vertical="center" shrinkToFit="1"/>
      <protection hidden="1"/>
    </xf>
    <xf numFmtId="43" fontId="11" fillId="0" borderId="76" xfId="29" applyFont="1" applyFill="1" applyBorder="1" applyAlignment="1" applyProtection="1">
      <alignment horizontal="center" vertical="center" shrinkToFit="1"/>
      <protection hidden="1"/>
    </xf>
    <xf numFmtId="43" fontId="11" fillId="0" borderId="157" xfId="29" applyFont="1" applyBorder="1" applyAlignment="1" applyProtection="1">
      <alignment horizontal="center" vertical="center"/>
      <protection hidden="1"/>
    </xf>
    <xf numFmtId="43" fontId="11" fillId="0" borderId="77" xfId="29" applyFont="1" applyBorder="1" applyAlignment="1" applyProtection="1">
      <alignment horizontal="center" vertical="center"/>
      <protection hidden="1"/>
    </xf>
    <xf numFmtId="43" fontId="11" fillId="0" borderId="168" xfId="29" applyFont="1" applyBorder="1" applyAlignment="1" applyProtection="1">
      <alignment horizontal="center" vertical="center"/>
      <protection hidden="1"/>
    </xf>
    <xf numFmtId="43" fontId="11" fillId="0" borderId="171" xfId="29" applyFont="1" applyBorder="1" applyAlignment="1" applyProtection="1">
      <alignment horizontal="center" vertical="center"/>
      <protection hidden="1"/>
    </xf>
    <xf numFmtId="0" fontId="138" fillId="49" borderId="0" xfId="0" applyFont="1" applyFill="1" applyAlignment="1" applyProtection="1">
      <alignment horizontal="center" vertical="center" shrinkToFit="1"/>
      <protection hidden="1"/>
    </xf>
    <xf numFmtId="0" fontId="97" fillId="48" borderId="82" xfId="0" applyFont="1" applyFill="1" applyBorder="1" applyAlignment="1" applyProtection="1">
      <alignment horizontal="center" vertical="center"/>
      <protection hidden="1"/>
    </xf>
    <xf numFmtId="0" fontId="97" fillId="48" borderId="78" xfId="0" applyFont="1" applyFill="1" applyBorder="1" applyAlignment="1" applyProtection="1">
      <alignment horizontal="center" vertical="center"/>
      <protection hidden="1"/>
    </xf>
    <xf numFmtId="165" fontId="11" fillId="24" borderId="0" xfId="29" applyNumberFormat="1" applyFont="1" applyFill="1" applyBorder="1" applyAlignment="1" applyProtection="1">
      <alignment horizontal="left" indent="1"/>
      <protection locked="0"/>
    </xf>
    <xf numFmtId="0" fontId="12" fillId="0" borderId="0" xfId="0" applyFont="1" applyAlignment="1" applyProtection="1">
      <alignment horizontal="left" vertical="top" wrapText="1"/>
      <protection hidden="1"/>
    </xf>
    <xf numFmtId="0" fontId="97" fillId="48" borderId="85" xfId="0" applyFont="1" applyFill="1" applyBorder="1" applyAlignment="1" applyProtection="1">
      <alignment horizontal="center" vertical="center" wrapText="1"/>
      <protection hidden="1"/>
    </xf>
    <xf numFmtId="0" fontId="97" fillId="48" borderId="86" xfId="0" applyFont="1" applyFill="1" applyBorder="1" applyAlignment="1" applyProtection="1">
      <alignment horizontal="center" vertical="center" wrapText="1"/>
      <protection hidden="1"/>
    </xf>
    <xf numFmtId="1" fontId="203" fillId="0" borderId="0" xfId="0" applyNumberFormat="1" applyFont="1" applyFill="1" applyAlignment="1" applyProtection="1">
      <alignment horizontal="left" vertical="center" wrapText="1" indent="2"/>
      <protection hidden="1"/>
    </xf>
    <xf numFmtId="0" fontId="79" fillId="0" borderId="0" xfId="0" applyFont="1" applyFill="1" applyBorder="1" applyAlignment="1" applyProtection="1">
      <alignment horizontal="left" vertical="center" shrinkToFit="1"/>
      <protection hidden="1"/>
    </xf>
    <xf numFmtId="0" fontId="79" fillId="0" borderId="35" xfId="0" applyFont="1" applyFill="1" applyBorder="1" applyAlignment="1" applyProtection="1">
      <alignment horizontal="left" vertical="center" shrinkToFit="1"/>
      <protection hidden="1"/>
    </xf>
    <xf numFmtId="0" fontId="20" fillId="0" borderId="0" xfId="0" applyFont="1" applyBorder="1" applyAlignment="1" applyProtection="1">
      <alignment horizontal="left" wrapText="1"/>
      <protection hidden="1"/>
    </xf>
    <xf numFmtId="0" fontId="20" fillId="0" borderId="35" xfId="0" applyFont="1" applyBorder="1" applyAlignment="1" applyProtection="1">
      <alignment horizontal="left" wrapText="1"/>
      <protection hidden="1"/>
    </xf>
    <xf numFmtId="0" fontId="19" fillId="0" borderId="18" xfId="0" applyFont="1" applyBorder="1" applyAlignment="1" applyProtection="1">
      <alignment horizontal="center" vertical="center" wrapText="1"/>
      <protection hidden="1"/>
    </xf>
    <xf numFmtId="0" fontId="18" fillId="33" borderId="10" xfId="64" applyFont="1" applyFill="1" applyBorder="1" applyAlignment="1" applyProtection="1">
      <alignment horizontal="center" vertical="center" wrapText="1"/>
      <protection hidden="1"/>
    </xf>
    <xf numFmtId="0" fontId="19" fillId="0" borderId="19" xfId="0" applyFont="1" applyBorder="1" applyAlignment="1" applyProtection="1">
      <alignment horizontal="center" vertical="center"/>
      <protection hidden="1"/>
    </xf>
    <xf numFmtId="0" fontId="19" fillId="0" borderId="10" xfId="0" applyFont="1" applyBorder="1" applyAlignment="1" applyProtection="1">
      <alignment horizontal="center" vertical="center"/>
      <protection hidden="1"/>
    </xf>
    <xf numFmtId="0" fontId="19" fillId="0" borderId="20" xfId="0" applyFont="1" applyBorder="1" applyAlignment="1" applyProtection="1">
      <alignment horizontal="center" vertical="center"/>
      <protection hidden="1"/>
    </xf>
    <xf numFmtId="0" fontId="19" fillId="0" borderId="19" xfId="0" applyFont="1" applyBorder="1" applyAlignment="1" applyProtection="1">
      <alignment horizontal="center" vertical="center" wrapText="1"/>
      <protection hidden="1"/>
    </xf>
    <xf numFmtId="0" fontId="19" fillId="0" borderId="10" xfId="0" applyFont="1" applyBorder="1" applyAlignment="1" applyProtection="1">
      <alignment horizontal="center" vertical="center" wrapText="1"/>
      <protection hidden="1"/>
    </xf>
    <xf numFmtId="0" fontId="19" fillId="0" borderId="20" xfId="0" applyFont="1" applyBorder="1" applyAlignment="1" applyProtection="1">
      <alignment horizontal="center" vertical="center" wrapText="1"/>
      <protection hidden="1"/>
    </xf>
    <xf numFmtId="0" fontId="19" fillId="0" borderId="39" xfId="0" applyFont="1" applyBorder="1" applyAlignment="1" applyProtection="1">
      <alignment horizontal="center" vertical="center" wrapText="1"/>
      <protection hidden="1"/>
    </xf>
    <xf numFmtId="0" fontId="19" fillId="0" borderId="38" xfId="0" applyFont="1" applyBorder="1" applyAlignment="1" applyProtection="1">
      <alignment horizontal="center" vertical="center" wrapText="1"/>
      <protection hidden="1"/>
    </xf>
    <xf numFmtId="0" fontId="122" fillId="49" borderId="0" xfId="0" applyFont="1" applyFill="1" applyBorder="1" applyAlignment="1" applyProtection="1">
      <alignment horizontal="center" vertical="center"/>
      <protection hidden="1"/>
    </xf>
    <xf numFmtId="0" fontId="21" fillId="0" borderId="0" xfId="0" applyFont="1" applyBorder="1" applyAlignment="1" applyProtection="1">
      <alignment horizontal="center"/>
      <protection hidden="1"/>
    </xf>
    <xf numFmtId="0" fontId="21" fillId="0" borderId="0" xfId="0" applyFont="1" applyFill="1" applyBorder="1" applyAlignment="1" applyProtection="1">
      <alignment horizontal="center" vertical="center"/>
      <protection hidden="1"/>
    </xf>
    <xf numFmtId="0" fontId="19" fillId="0" borderId="19" xfId="0" applyFont="1" applyFill="1" applyBorder="1" applyAlignment="1" applyProtection="1">
      <alignment horizontal="center" vertical="center"/>
      <protection hidden="1"/>
    </xf>
    <xf numFmtId="0" fontId="19" fillId="0" borderId="10" xfId="0" applyFont="1" applyFill="1" applyBorder="1" applyAlignment="1" applyProtection="1">
      <alignment horizontal="center" vertical="center"/>
      <protection hidden="1"/>
    </xf>
    <xf numFmtId="0" fontId="19" fillId="0" borderId="20" xfId="0" applyFont="1" applyFill="1" applyBorder="1" applyAlignment="1" applyProtection="1">
      <alignment horizontal="center" vertical="center"/>
      <protection hidden="1"/>
    </xf>
    <xf numFmtId="0" fontId="19" fillId="0" borderId="39" xfId="0" applyFont="1" applyFill="1" applyBorder="1" applyAlignment="1" applyProtection="1">
      <alignment horizontal="center" vertical="center" wrapText="1"/>
      <protection hidden="1"/>
    </xf>
    <xf numFmtId="0" fontId="19" fillId="0" borderId="37" xfId="0" applyFont="1" applyFill="1" applyBorder="1" applyAlignment="1" applyProtection="1">
      <alignment horizontal="center" vertical="center" wrapText="1"/>
      <protection hidden="1"/>
    </xf>
    <xf numFmtId="0" fontId="19" fillId="0" borderId="38" xfId="0" applyFont="1" applyFill="1" applyBorder="1" applyAlignment="1" applyProtection="1">
      <alignment horizontal="center" vertical="center" wrapText="1"/>
      <protection hidden="1"/>
    </xf>
    <xf numFmtId="43" fontId="19" fillId="0" borderId="19" xfId="33" applyFont="1" applyFill="1" applyBorder="1" applyAlignment="1" applyProtection="1">
      <alignment horizontal="center" vertical="center" wrapText="1"/>
      <protection hidden="1"/>
    </xf>
    <xf numFmtId="43" fontId="19" fillId="0" borderId="20" xfId="33" applyFont="1" applyFill="1" applyBorder="1" applyAlignment="1" applyProtection="1">
      <alignment horizontal="center" vertical="center" wrapText="1"/>
      <protection hidden="1"/>
    </xf>
    <xf numFmtId="43" fontId="19" fillId="0" borderId="39" xfId="33" applyFont="1" applyFill="1" applyBorder="1" applyAlignment="1" applyProtection="1">
      <alignment horizontal="center" vertical="center" wrapText="1"/>
      <protection hidden="1"/>
    </xf>
    <xf numFmtId="43" fontId="19" fillId="0" borderId="38" xfId="33" applyFont="1" applyFill="1" applyBorder="1" applyAlignment="1" applyProtection="1">
      <alignment horizontal="center" vertical="center" wrapText="1"/>
      <protection hidden="1"/>
    </xf>
    <xf numFmtId="0" fontId="20" fillId="33" borderId="39" xfId="0" applyFont="1" applyFill="1" applyBorder="1" applyAlignment="1" applyProtection="1">
      <alignment horizontal="center" vertical="center"/>
      <protection hidden="1"/>
    </xf>
    <xf numFmtId="0" fontId="20" fillId="33" borderId="37" xfId="0" applyFont="1" applyFill="1" applyBorder="1" applyAlignment="1" applyProtection="1">
      <alignment horizontal="center" vertical="center"/>
      <protection hidden="1"/>
    </xf>
    <xf numFmtId="0" fontId="20" fillId="33" borderId="39" xfId="0" applyFont="1" applyFill="1" applyBorder="1" applyAlignment="1" applyProtection="1">
      <alignment horizontal="center" vertical="center" wrapText="1"/>
      <protection hidden="1"/>
    </xf>
    <xf numFmtId="0" fontId="20" fillId="33" borderId="37" xfId="0" applyFont="1" applyFill="1" applyBorder="1" applyAlignment="1" applyProtection="1">
      <alignment horizontal="center" vertical="center" wrapText="1"/>
      <protection hidden="1"/>
    </xf>
    <xf numFmtId="0" fontId="20" fillId="33" borderId="38" xfId="0" applyFont="1" applyFill="1" applyBorder="1" applyAlignment="1" applyProtection="1">
      <alignment horizontal="center" vertical="center" wrapText="1"/>
      <protection hidden="1"/>
    </xf>
    <xf numFmtId="0" fontId="19" fillId="0" borderId="18" xfId="0" applyFont="1" applyFill="1" applyBorder="1" applyAlignment="1" applyProtection="1">
      <alignment horizontal="center" vertical="center" wrapText="1"/>
      <protection hidden="1"/>
    </xf>
    <xf numFmtId="43" fontId="19" fillId="0" borderId="18" xfId="33" applyFont="1" applyFill="1" applyBorder="1" applyAlignment="1" applyProtection="1">
      <alignment horizontal="center" vertical="center" wrapText="1"/>
      <protection hidden="1"/>
    </xf>
    <xf numFmtId="43" fontId="20" fillId="33" borderId="18" xfId="33" applyFont="1" applyFill="1" applyBorder="1" applyAlignment="1" applyProtection="1">
      <alignment horizontal="center" vertical="center" wrapText="1"/>
      <protection hidden="1"/>
    </xf>
    <xf numFmtId="43" fontId="20" fillId="33" borderId="19" xfId="33" applyFont="1" applyFill="1" applyBorder="1" applyAlignment="1" applyProtection="1">
      <alignment horizontal="center" vertical="center" wrapText="1"/>
      <protection hidden="1"/>
    </xf>
    <xf numFmtId="43" fontId="20" fillId="33" borderId="20" xfId="33" applyFont="1" applyFill="1" applyBorder="1" applyAlignment="1" applyProtection="1">
      <alignment horizontal="center" vertical="center" wrapText="1"/>
      <protection hidden="1"/>
    </xf>
    <xf numFmtId="0" fontId="175" fillId="0" borderId="43" xfId="0" applyFont="1" applyBorder="1" applyAlignment="1">
      <alignment horizontal="center" vertical="center" wrapText="1"/>
    </xf>
    <xf numFmtId="0" fontId="175" fillId="0" borderId="44" xfId="0" applyFont="1" applyBorder="1" applyAlignment="1">
      <alignment horizontal="center" vertical="center" wrapText="1"/>
    </xf>
    <xf numFmtId="0" fontId="175" fillId="0" borderId="110" xfId="0" applyFont="1" applyBorder="1" applyAlignment="1">
      <alignment horizontal="center" vertical="center" wrapText="1"/>
    </xf>
    <xf numFmtId="0" fontId="173" fillId="0" borderId="40" xfId="0" applyFont="1" applyBorder="1" applyAlignment="1">
      <alignment horizontal="center" vertical="center" wrapText="1"/>
    </xf>
    <xf numFmtId="0" fontId="173" fillId="0" borderId="108" xfId="0" applyFont="1" applyBorder="1" applyAlignment="1">
      <alignment horizontal="center" vertical="center" wrapText="1"/>
    </xf>
    <xf numFmtId="0" fontId="173" fillId="0" borderId="111" xfId="0" applyFont="1" applyBorder="1" applyAlignment="1">
      <alignment horizontal="center" vertical="center" wrapText="1"/>
    </xf>
    <xf numFmtId="0" fontId="173" fillId="0" borderId="34" xfId="0" applyFont="1" applyBorder="1" applyAlignment="1">
      <alignment horizontal="center" vertical="center" wrapText="1"/>
    </xf>
    <xf numFmtId="0" fontId="173" fillId="0" borderId="107" xfId="0" applyFont="1" applyBorder="1" applyAlignment="1">
      <alignment horizontal="center" vertical="center" wrapText="1"/>
    </xf>
    <xf numFmtId="0" fontId="173" fillId="0" borderId="112" xfId="0" applyFont="1" applyBorder="1" applyAlignment="1">
      <alignment horizontal="center" vertical="center" wrapText="1"/>
    </xf>
    <xf numFmtId="0" fontId="173" fillId="0" borderId="36" xfId="0" applyFont="1" applyBorder="1" applyAlignment="1">
      <alignment horizontal="center" vertical="center" wrapText="1"/>
    </xf>
    <xf numFmtId="0" fontId="173" fillId="0" borderId="109" xfId="0" applyFont="1" applyBorder="1" applyAlignment="1">
      <alignment horizontal="center" vertical="center" wrapText="1"/>
    </xf>
    <xf numFmtId="0" fontId="173" fillId="0" borderId="113" xfId="0" applyFont="1" applyBorder="1" applyAlignment="1">
      <alignment horizontal="center" vertical="center" wrapText="1"/>
    </xf>
    <xf numFmtId="0" fontId="12" fillId="0" borderId="18" xfId="47" applyBorder="1" applyAlignment="1">
      <alignment horizontal="center"/>
    </xf>
    <xf numFmtId="0" fontId="12" fillId="0" borderId="0" xfId="47" applyAlignment="1">
      <alignment horizontal="center" wrapText="1"/>
    </xf>
    <xf numFmtId="0" fontId="12" fillId="0" borderId="0" xfId="47" applyAlignment="1">
      <alignment horizontal="center"/>
    </xf>
    <xf numFmtId="0" fontId="12" fillId="0" borderId="28" xfId="47" applyBorder="1" applyAlignment="1">
      <alignment horizontal="center"/>
    </xf>
    <xf numFmtId="0" fontId="14" fillId="0" borderId="25" xfId="64" applyFont="1" applyBorder="1" applyAlignment="1" applyProtection="1">
      <alignment horizontal="left" shrinkToFit="1"/>
      <protection hidden="1"/>
    </xf>
    <xf numFmtId="0" fontId="14" fillId="0" borderId="0" xfId="64" applyFont="1" applyAlignment="1" applyProtection="1">
      <alignment horizontal="left" shrinkToFit="1"/>
      <protection hidden="1"/>
    </xf>
    <xf numFmtId="0" fontId="106" fillId="0" borderId="39" xfId="79" applyFont="1" applyBorder="1" applyAlignment="1">
      <alignment horizontal="center" vertical="center" wrapText="1"/>
    </xf>
    <xf numFmtId="0" fontId="106" fillId="0" borderId="37" xfId="79" applyFont="1" applyBorder="1" applyAlignment="1">
      <alignment horizontal="center" vertical="center" wrapText="1"/>
    </xf>
    <xf numFmtId="0" fontId="106" fillId="0" borderId="38" xfId="79" applyFont="1" applyBorder="1" applyAlignment="1">
      <alignment horizontal="center" vertical="center" wrapText="1"/>
    </xf>
    <xf numFmtId="0" fontId="162" fillId="0" borderId="0" xfId="79" applyFont="1" applyAlignment="1">
      <alignment horizontal="left" vertical="center" wrapText="1"/>
    </xf>
    <xf numFmtId="0" fontId="162" fillId="0" borderId="0" xfId="79" applyFont="1" applyAlignment="1">
      <alignment horizontal="left" vertical="center"/>
    </xf>
    <xf numFmtId="0" fontId="150" fillId="0" borderId="0" xfId="79" applyFont="1" applyAlignment="1">
      <alignment horizontal="left" vertical="center" wrapText="1"/>
    </xf>
    <xf numFmtId="0" fontId="147" fillId="0" borderId="0" xfId="79" applyFont="1" applyAlignment="1">
      <alignment horizontal="left" vertical="center" shrinkToFit="1"/>
    </xf>
    <xf numFmtId="0" fontId="165" fillId="0" borderId="0" xfId="79" applyFont="1" applyAlignment="1">
      <alignment horizontal="left" vertical="center" wrapText="1"/>
    </xf>
    <xf numFmtId="0" fontId="166" fillId="0" borderId="0" xfId="79" applyFont="1" applyAlignment="1">
      <alignment horizontal="left" vertical="center"/>
    </xf>
    <xf numFmtId="0" fontId="15" fillId="0" borderId="39" xfId="64" quotePrefix="1" applyFont="1" applyBorder="1" applyAlignment="1" applyProtection="1">
      <alignment horizontal="center" vertical="center" wrapText="1"/>
      <protection hidden="1"/>
    </xf>
    <xf numFmtId="0" fontId="15" fillId="0" borderId="37" xfId="64" quotePrefix="1" applyFont="1" applyBorder="1" applyAlignment="1" applyProtection="1">
      <alignment horizontal="center" vertical="center" wrapText="1"/>
      <protection hidden="1"/>
    </xf>
    <xf numFmtId="0" fontId="15" fillId="0" borderId="38" xfId="64" quotePrefix="1" applyFont="1" applyBorder="1" applyAlignment="1" applyProtection="1">
      <alignment horizontal="center" vertical="center" wrapText="1"/>
      <protection hidden="1"/>
    </xf>
    <xf numFmtId="0" fontId="106" fillId="47" borderId="37" xfId="79" applyFont="1" applyFill="1" applyBorder="1" applyAlignment="1">
      <alignment horizontal="center" vertical="center"/>
    </xf>
    <xf numFmtId="0" fontId="106" fillId="0" borderId="0" xfId="79" applyFont="1" applyAlignment="1">
      <alignment horizontal="left" vertical="center"/>
    </xf>
    <xf numFmtId="0" fontId="149" fillId="0" borderId="0" xfId="69" applyFont="1" applyAlignment="1" applyProtection="1">
      <alignment horizontal="center" vertical="center"/>
      <protection hidden="1"/>
    </xf>
    <xf numFmtId="3" fontId="106" fillId="0" borderId="19" xfId="79" applyNumberFormat="1" applyFont="1" applyBorder="1" applyAlignment="1">
      <alignment horizontal="center" vertical="center" wrapText="1"/>
    </xf>
    <xf numFmtId="0" fontId="106" fillId="0" borderId="10" xfId="79" applyFont="1" applyBorder="1" applyAlignment="1">
      <alignment horizontal="center" vertical="center" wrapText="1"/>
    </xf>
    <xf numFmtId="0" fontId="106" fillId="56" borderId="19" xfId="79" applyFont="1" applyFill="1" applyBorder="1" applyAlignment="1">
      <alignment horizontal="center" vertical="center" wrapText="1"/>
    </xf>
    <xf numFmtId="0" fontId="106" fillId="56" borderId="10" xfId="79" applyFont="1" applyFill="1" applyBorder="1" applyAlignment="1">
      <alignment horizontal="center" vertical="center" wrapText="1"/>
    </xf>
    <xf numFmtId="0" fontId="106" fillId="0" borderId="19" xfId="79" applyFont="1" applyBorder="1" applyAlignment="1">
      <alignment horizontal="center" vertical="center" wrapText="1"/>
    </xf>
    <xf numFmtId="0" fontId="106" fillId="0" borderId="19" xfId="79" applyFont="1" applyBorder="1" applyAlignment="1">
      <alignment horizontal="center" vertical="top" wrapText="1"/>
    </xf>
    <xf numFmtId="0" fontId="106" fillId="0" borderId="10" xfId="79" applyFont="1" applyBorder="1" applyAlignment="1">
      <alignment horizontal="center" vertical="top" wrapText="1"/>
    </xf>
    <xf numFmtId="0" fontId="160" fillId="0" borderId="88" xfId="79" applyFont="1" applyBorder="1" applyAlignment="1">
      <alignment horizontal="left" vertical="center" wrapText="1"/>
    </xf>
    <xf numFmtId="0" fontId="160" fillId="0" borderId="89" xfId="79" applyFont="1" applyBorder="1" applyAlignment="1">
      <alignment horizontal="left" vertical="center" wrapText="1"/>
    </xf>
    <xf numFmtId="0" fontId="160" fillId="0" borderId="90" xfId="79" applyFont="1" applyBorder="1" applyAlignment="1">
      <alignment horizontal="left" vertical="center" wrapText="1"/>
    </xf>
    <xf numFmtId="0" fontId="106" fillId="56" borderId="0" xfId="79" applyFont="1" applyFill="1" applyAlignment="1">
      <alignment horizontal="center"/>
    </xf>
    <xf numFmtId="0" fontId="106" fillId="44" borderId="25" xfId="79" applyFont="1" applyFill="1" applyBorder="1" applyAlignment="1">
      <alignment horizontal="center" vertical="center"/>
    </xf>
    <xf numFmtId="0" fontId="106" fillId="56" borderId="18" xfId="79" applyFont="1" applyFill="1" applyBorder="1" applyAlignment="1">
      <alignment horizontal="center" vertical="center" wrapText="1"/>
    </xf>
    <xf numFmtId="3" fontId="158" fillId="0" borderId="19" xfId="79" applyNumberFormat="1" applyFont="1" applyBorder="1" applyAlignment="1">
      <alignment horizontal="center" vertical="top" wrapText="1"/>
    </xf>
    <xf numFmtId="3" fontId="158" fillId="0" borderId="10" xfId="79" applyNumberFormat="1" applyFont="1" applyBorder="1" applyAlignment="1">
      <alignment horizontal="center" vertical="top" wrapText="1"/>
    </xf>
    <xf numFmtId="3" fontId="158" fillId="0" borderId="87" xfId="79" applyNumberFormat="1" applyFont="1" applyBorder="1" applyAlignment="1">
      <alignment horizontal="center" vertical="top" wrapText="1"/>
    </xf>
    <xf numFmtId="0" fontId="157" fillId="0" borderId="39" xfId="79" applyFont="1" applyBorder="1" applyAlignment="1">
      <alignment horizontal="left" vertical="center" wrapText="1"/>
    </xf>
    <xf numFmtId="0" fontId="157" fillId="0" borderId="37" xfId="79" applyFont="1" applyBorder="1" applyAlignment="1">
      <alignment horizontal="left" vertical="center" wrapText="1"/>
    </xf>
    <xf numFmtId="0" fontId="111" fillId="60" borderId="39" xfId="79" applyFont="1" applyFill="1" applyBorder="1" applyAlignment="1">
      <alignment horizontal="left" vertical="center" wrapText="1"/>
    </xf>
    <xf numFmtId="0" fontId="111" fillId="60" borderId="37" xfId="79" applyFont="1" applyFill="1" applyBorder="1" applyAlignment="1">
      <alignment horizontal="left" vertical="center" wrapText="1"/>
    </xf>
    <xf numFmtId="3" fontId="106" fillId="0" borderId="19" xfId="79" applyNumberFormat="1" applyFont="1" applyBorder="1" applyAlignment="1">
      <alignment horizontal="center" vertical="top" wrapText="1"/>
    </xf>
    <xf numFmtId="0" fontId="111" fillId="60" borderId="38" xfId="79" applyFont="1" applyFill="1" applyBorder="1" applyAlignment="1">
      <alignment horizontal="left" vertical="center" wrapText="1"/>
    </xf>
    <xf numFmtId="3" fontId="106" fillId="0" borderId="10" xfId="79" applyNumberFormat="1" applyFont="1" applyBorder="1" applyAlignment="1">
      <alignment horizontal="center" vertical="center" wrapText="1"/>
    </xf>
    <xf numFmtId="3" fontId="106" fillId="0" borderId="87" xfId="79" applyNumberFormat="1" applyFont="1" applyBorder="1" applyAlignment="1">
      <alignment horizontal="center" vertical="center" wrapText="1"/>
    </xf>
    <xf numFmtId="3" fontId="106" fillId="56" borderId="19" xfId="79" applyNumberFormat="1" applyFont="1" applyFill="1" applyBorder="1" applyAlignment="1">
      <alignment horizontal="center" vertical="top" wrapText="1"/>
    </xf>
    <xf numFmtId="3" fontId="106" fillId="56" borderId="10" xfId="79" applyNumberFormat="1" applyFont="1" applyFill="1" applyBorder="1" applyAlignment="1">
      <alignment horizontal="center" vertical="top" wrapText="1"/>
    </xf>
    <xf numFmtId="3" fontId="106" fillId="56" borderId="87" xfId="79" applyNumberFormat="1" applyFont="1" applyFill="1" applyBorder="1" applyAlignment="1">
      <alignment horizontal="center" vertical="top" wrapText="1"/>
    </xf>
    <xf numFmtId="0" fontId="106" fillId="47" borderId="163" xfId="79" applyFont="1" applyFill="1" applyBorder="1" applyAlignment="1">
      <alignment horizontal="center"/>
    </xf>
    <xf numFmtId="0" fontId="106" fillId="47" borderId="164" xfId="79" applyFont="1" applyFill="1" applyBorder="1" applyAlignment="1">
      <alignment horizontal="center"/>
    </xf>
    <xf numFmtId="0" fontId="106" fillId="47" borderId="165" xfId="79" applyFont="1" applyFill="1" applyBorder="1" applyAlignment="1">
      <alignment horizontal="center"/>
    </xf>
    <xf numFmtId="0" fontId="149" fillId="0" borderId="37" xfId="69" applyFont="1" applyBorder="1" applyAlignment="1" applyProtection="1">
      <alignment horizontal="center" vertical="center"/>
      <protection hidden="1"/>
    </xf>
    <xf numFmtId="0" fontId="149" fillId="0" borderId="38" xfId="69" applyFont="1" applyBorder="1" applyAlignment="1" applyProtection="1">
      <alignment horizontal="center" vertical="center"/>
      <protection hidden="1"/>
    </xf>
    <xf numFmtId="0" fontId="226" fillId="39" borderId="25" xfId="69" applyFont="1" applyFill="1" applyBorder="1" applyAlignment="1" applyProtection="1">
      <alignment horizontal="center" vertical="center" shrinkToFit="1"/>
      <protection hidden="1"/>
    </xf>
    <xf numFmtId="0" fontId="226" fillId="39" borderId="26" xfId="69" applyFont="1" applyFill="1" applyBorder="1" applyAlignment="1" applyProtection="1">
      <alignment horizontal="center" vertical="center" shrinkToFit="1"/>
      <protection hidden="1"/>
    </xf>
    <xf numFmtId="0" fontId="148" fillId="49" borderId="0" xfId="69" applyFont="1" applyFill="1" applyAlignment="1" applyProtection="1">
      <alignment horizontal="center" vertical="center" shrinkToFit="1"/>
      <protection hidden="1"/>
    </xf>
    <xf numFmtId="0" fontId="225" fillId="0" borderId="37" xfId="69" applyFont="1" applyBorder="1" applyAlignment="1" applyProtection="1">
      <alignment horizontal="left" vertical="center" shrinkToFit="1"/>
      <protection hidden="1"/>
    </xf>
    <xf numFmtId="0" fontId="147" fillId="0" borderId="0" xfId="70" applyFont="1" applyAlignment="1">
      <alignment horizontal="left" vertical="center" shrinkToFit="1"/>
    </xf>
    <xf numFmtId="0" fontId="165" fillId="0" borderId="0" xfId="70" applyFont="1" applyAlignment="1">
      <alignment horizontal="left" vertical="center" wrapText="1"/>
    </xf>
    <xf numFmtId="0" fontId="166" fillId="0" borderId="0" xfId="70" applyFont="1" applyAlignment="1">
      <alignment horizontal="left" vertical="center"/>
    </xf>
    <xf numFmtId="3" fontId="106" fillId="0" borderId="18" xfId="70" applyNumberFormat="1" applyFont="1" applyBorder="1" applyAlignment="1">
      <alignment horizontal="center" vertical="center" wrapText="1"/>
    </xf>
    <xf numFmtId="0" fontId="162" fillId="0" borderId="0" xfId="70" applyFont="1" applyAlignment="1">
      <alignment horizontal="left" vertical="center" wrapText="1"/>
    </xf>
    <xf numFmtId="0" fontId="162" fillId="0" borderId="0" xfId="70" applyFont="1" applyAlignment="1">
      <alignment horizontal="left" vertical="center"/>
    </xf>
    <xf numFmtId="0" fontId="106" fillId="0" borderId="19" xfId="70" applyFont="1" applyBorder="1" applyAlignment="1">
      <alignment horizontal="center" vertical="center" wrapText="1"/>
    </xf>
    <xf numFmtId="0" fontId="106" fillId="0" borderId="10" xfId="70" applyFont="1" applyBorder="1" applyAlignment="1">
      <alignment horizontal="center" vertical="center" wrapText="1"/>
    </xf>
    <xf numFmtId="0" fontId="106" fillId="0" borderId="20" xfId="70" applyFont="1" applyBorder="1" applyAlignment="1">
      <alignment horizontal="center" vertical="center" wrapText="1"/>
    </xf>
    <xf numFmtId="0" fontId="160" fillId="0" borderId="88" xfId="70" applyFont="1" applyBorder="1" applyAlignment="1">
      <alignment horizontal="left" vertical="center" wrapText="1"/>
    </xf>
    <xf numFmtId="0" fontId="160" fillId="0" borderId="89" xfId="70" applyFont="1" applyBorder="1" applyAlignment="1">
      <alignment horizontal="left" vertical="center" wrapText="1"/>
    </xf>
    <xf numFmtId="0" fontId="160" fillId="0" borderId="90" xfId="70" applyFont="1" applyBorder="1" applyAlignment="1">
      <alignment horizontal="left" vertical="center" wrapText="1"/>
    </xf>
    <xf numFmtId="0" fontId="106" fillId="0" borderId="39" xfId="70" applyFont="1" applyBorder="1" applyAlignment="1">
      <alignment horizontal="center" vertical="center" wrapText="1"/>
    </xf>
    <xf numFmtId="0" fontId="106" fillId="0" borderId="37" xfId="70" applyFont="1" applyBorder="1" applyAlignment="1">
      <alignment horizontal="center" vertical="center" wrapText="1"/>
    </xf>
    <xf numFmtId="0" fontId="106" fillId="0" borderId="38" xfId="70" applyFont="1" applyBorder="1" applyAlignment="1">
      <alignment horizontal="center" vertical="center" wrapText="1"/>
    </xf>
    <xf numFmtId="0" fontId="150" fillId="0" borderId="0" xfId="70" applyFont="1" applyAlignment="1">
      <alignment horizontal="left" vertical="center" wrapText="1"/>
    </xf>
    <xf numFmtId="0" fontId="106" fillId="0" borderId="19" xfId="70" applyFont="1" applyBorder="1" applyAlignment="1">
      <alignment horizontal="center" vertical="top" wrapText="1"/>
    </xf>
    <xf numFmtId="0" fontId="106" fillId="0" borderId="10" xfId="70" applyFont="1" applyBorder="1" applyAlignment="1">
      <alignment horizontal="center" vertical="top" wrapText="1"/>
    </xf>
    <xf numFmtId="0" fontId="106" fillId="0" borderId="20" xfId="70" applyFont="1" applyBorder="1" applyAlignment="1">
      <alignment horizontal="center" vertical="top" wrapText="1"/>
    </xf>
    <xf numFmtId="3" fontId="106" fillId="0" borderId="19" xfId="70" applyNumberFormat="1" applyFont="1" applyBorder="1" applyAlignment="1">
      <alignment horizontal="center" vertical="center" wrapText="1"/>
    </xf>
    <xf numFmtId="3" fontId="106" fillId="0" borderId="20" xfId="70" applyNumberFormat="1" applyFont="1" applyBorder="1" applyAlignment="1">
      <alignment horizontal="center" vertical="center" wrapText="1"/>
    </xf>
    <xf numFmtId="3" fontId="106" fillId="56" borderId="19" xfId="70" applyNumberFormat="1" applyFont="1" applyFill="1" applyBorder="1" applyAlignment="1">
      <alignment horizontal="center" vertical="center" wrapText="1"/>
    </xf>
    <xf numFmtId="3" fontId="106" fillId="56" borderId="20" xfId="70" applyNumberFormat="1" applyFont="1" applyFill="1" applyBorder="1" applyAlignment="1">
      <alignment horizontal="center" vertical="center" wrapText="1"/>
    </xf>
    <xf numFmtId="0" fontId="106" fillId="56" borderId="19" xfId="70" applyFont="1" applyFill="1" applyBorder="1" applyAlignment="1">
      <alignment horizontal="center" vertical="center" wrapText="1"/>
    </xf>
    <xf numFmtId="0" fontId="106" fillId="56" borderId="10" xfId="70" applyFont="1" applyFill="1" applyBorder="1" applyAlignment="1">
      <alignment horizontal="center" vertical="center" wrapText="1"/>
    </xf>
    <xf numFmtId="0" fontId="106" fillId="56" borderId="20" xfId="70" applyFont="1" applyFill="1" applyBorder="1" applyAlignment="1">
      <alignment horizontal="center" vertical="center" wrapText="1"/>
    </xf>
    <xf numFmtId="0" fontId="106" fillId="0" borderId="18" xfId="70" applyFont="1" applyBorder="1" applyAlignment="1">
      <alignment horizontal="center" vertical="center" wrapText="1"/>
    </xf>
    <xf numFmtId="0" fontId="106" fillId="44" borderId="0" xfId="70" applyFont="1" applyFill="1" applyAlignment="1">
      <alignment horizontal="center"/>
    </xf>
    <xf numFmtId="0" fontId="106" fillId="43" borderId="0" xfId="70" applyFont="1" applyFill="1" applyAlignment="1">
      <alignment horizontal="center"/>
    </xf>
    <xf numFmtId="0" fontId="106" fillId="42" borderId="0" xfId="70" applyFont="1" applyFill="1" applyAlignment="1">
      <alignment horizontal="center"/>
    </xf>
    <xf numFmtId="0" fontId="106" fillId="56" borderId="0" xfId="70" applyFont="1" applyFill="1" applyAlignment="1">
      <alignment horizontal="center"/>
    </xf>
    <xf numFmtId="0" fontId="106" fillId="0" borderId="106" xfId="70" applyFont="1" applyBorder="1" applyAlignment="1">
      <alignment horizontal="left" vertical="center"/>
    </xf>
    <xf numFmtId="0" fontId="106" fillId="47" borderId="0" xfId="70" applyFont="1" applyFill="1" applyAlignment="1">
      <alignment horizontal="center"/>
    </xf>
    <xf numFmtId="0" fontId="106" fillId="56" borderId="18" xfId="70" applyFont="1" applyFill="1" applyBorder="1" applyAlignment="1">
      <alignment horizontal="center" vertical="center" wrapText="1"/>
    </xf>
    <xf numFmtId="0" fontId="106" fillId="55" borderId="0" xfId="70" applyFont="1" applyFill="1" applyAlignment="1">
      <alignment horizontal="center"/>
    </xf>
    <xf numFmtId="3" fontId="158" fillId="0" borderId="19" xfId="70" applyNumberFormat="1" applyFont="1" applyBorder="1" applyAlignment="1">
      <alignment horizontal="center" vertical="top" wrapText="1"/>
    </xf>
    <xf numFmtId="3" fontId="158" fillId="0" borderId="10" xfId="70" applyNumberFormat="1" applyFont="1" applyBorder="1" applyAlignment="1">
      <alignment horizontal="center" vertical="top" wrapText="1"/>
    </xf>
    <xf numFmtId="3" fontId="158" fillId="0" borderId="87" xfId="70" applyNumberFormat="1" applyFont="1" applyBorder="1" applyAlignment="1">
      <alignment horizontal="center" vertical="top" wrapText="1"/>
    </xf>
    <xf numFmtId="0" fontId="157" fillId="0" borderId="39" xfId="70" applyFont="1" applyBorder="1" applyAlignment="1">
      <alignment horizontal="left" vertical="center" wrapText="1"/>
    </xf>
    <xf numFmtId="0" fontId="157" fillId="0" borderId="37" xfId="70" applyFont="1" applyBorder="1" applyAlignment="1">
      <alignment horizontal="left" vertical="center" wrapText="1"/>
    </xf>
    <xf numFmtId="0" fontId="111" fillId="60" borderId="39" xfId="70" applyFont="1" applyFill="1" applyBorder="1" applyAlignment="1">
      <alignment horizontal="left" vertical="center" wrapText="1"/>
    </xf>
    <xf numFmtId="0" fontId="111" fillId="60" borderId="37" xfId="70" applyFont="1" applyFill="1" applyBorder="1" applyAlignment="1">
      <alignment horizontal="left" vertical="center" wrapText="1"/>
    </xf>
    <xf numFmtId="3" fontId="106" fillId="0" borderId="19" xfId="70" applyNumberFormat="1" applyFont="1" applyBorder="1" applyAlignment="1">
      <alignment horizontal="center" vertical="top" wrapText="1"/>
    </xf>
    <xf numFmtId="3" fontId="106" fillId="0" borderId="10" xfId="70" applyNumberFormat="1" applyFont="1" applyBorder="1" applyAlignment="1">
      <alignment horizontal="center" vertical="top" wrapText="1"/>
    </xf>
    <xf numFmtId="3" fontId="106" fillId="0" borderId="87" xfId="70" applyNumberFormat="1" applyFont="1" applyBorder="1" applyAlignment="1">
      <alignment horizontal="center" vertical="top" wrapText="1"/>
    </xf>
    <xf numFmtId="3" fontId="106" fillId="56" borderId="19" xfId="70" applyNumberFormat="1" applyFont="1" applyFill="1" applyBorder="1" applyAlignment="1">
      <alignment horizontal="center" vertical="top" wrapText="1"/>
    </xf>
    <xf numFmtId="3" fontId="106" fillId="56" borderId="10" xfId="70" applyNumberFormat="1" applyFont="1" applyFill="1" applyBorder="1" applyAlignment="1">
      <alignment horizontal="center" vertical="top" wrapText="1"/>
    </xf>
    <xf numFmtId="3" fontId="106" fillId="56" borderId="87" xfId="70" applyNumberFormat="1" applyFont="1" applyFill="1" applyBorder="1" applyAlignment="1">
      <alignment horizontal="center" vertical="top" wrapText="1"/>
    </xf>
    <xf numFmtId="0" fontId="111" fillId="60" borderId="38" xfId="70" applyFont="1" applyFill="1" applyBorder="1" applyAlignment="1">
      <alignment horizontal="left" vertical="center" wrapText="1"/>
    </xf>
    <xf numFmtId="0" fontId="149" fillId="0" borderId="37" xfId="69" applyFont="1" applyBorder="1" applyAlignment="1" applyProtection="1">
      <alignment horizontal="right" vertical="center" shrinkToFit="1"/>
      <protection hidden="1"/>
    </xf>
    <xf numFmtId="0" fontId="147" fillId="0" borderId="0" xfId="0" applyFont="1" applyAlignment="1">
      <alignment horizontal="left" vertical="top" wrapText="1"/>
    </xf>
    <xf numFmtId="0" fontId="15" fillId="0" borderId="39" xfId="0" quotePrefix="1" applyFont="1" applyBorder="1" applyAlignment="1" applyProtection="1">
      <alignment horizontal="center" vertical="center" wrapText="1"/>
      <protection hidden="1"/>
    </xf>
    <xf numFmtId="0" fontId="15" fillId="0" borderId="37" xfId="0" quotePrefix="1" applyFont="1" applyBorder="1" applyAlignment="1" applyProtection="1">
      <alignment horizontal="center" vertical="center" wrapText="1"/>
      <protection hidden="1"/>
    </xf>
    <xf numFmtId="0" fontId="15" fillId="0" borderId="38" xfId="0" quotePrefix="1" applyFont="1" applyBorder="1" applyAlignment="1" applyProtection="1">
      <alignment horizontal="center" vertical="center" wrapText="1"/>
      <protection hidden="1"/>
    </xf>
    <xf numFmtId="0" fontId="147" fillId="0" borderId="0" xfId="0" applyFont="1" applyAlignment="1">
      <alignment horizontal="left" vertical="center" shrinkToFit="1"/>
    </xf>
    <xf numFmtId="0" fontId="151" fillId="0" borderId="0" xfId="0" applyFont="1" applyAlignment="1">
      <alignment horizontal="center" vertical="center"/>
    </xf>
    <xf numFmtId="0" fontId="167" fillId="59" borderId="19" xfId="0" applyFont="1" applyFill="1" applyBorder="1" applyAlignment="1">
      <alignment horizontal="center" vertical="center" wrapText="1"/>
    </xf>
    <xf numFmtId="0" fontId="167" fillId="59" borderId="87" xfId="0" applyFont="1" applyFill="1" applyBorder="1" applyAlignment="1">
      <alignment horizontal="center" vertical="center" wrapText="1"/>
    </xf>
    <xf numFmtId="0" fontId="147" fillId="0" borderId="0" xfId="0" applyFont="1" applyBorder="1" applyAlignment="1">
      <alignment horizontal="left" vertical="top" wrapText="1"/>
    </xf>
    <xf numFmtId="0" fontId="147" fillId="0" borderId="0" xfId="0" quotePrefix="1" applyFont="1" applyAlignment="1">
      <alignment horizontal="left" vertical="top" wrapText="1"/>
    </xf>
    <xf numFmtId="0" fontId="150" fillId="0" borderId="106" xfId="0" applyFont="1" applyBorder="1" applyAlignment="1">
      <alignment horizontal="left" vertical="center" wrapText="1"/>
    </xf>
    <xf numFmtId="0" fontId="147" fillId="0" borderId="18" xfId="0" applyFont="1" applyBorder="1" applyAlignment="1">
      <alignment horizontal="center" vertical="center" wrapText="1"/>
    </xf>
    <xf numFmtId="0" fontId="106" fillId="42" borderId="0" xfId="0" applyFont="1" applyFill="1" applyAlignment="1">
      <alignment horizontal="center" vertical="top"/>
    </xf>
    <xf numFmtId="0" fontId="106" fillId="39" borderId="0" xfId="0" applyFont="1" applyFill="1" applyAlignment="1">
      <alignment horizontal="center" vertical="top"/>
    </xf>
    <xf numFmtId="0" fontId="106" fillId="56" borderId="0" xfId="0" applyFont="1" applyFill="1" applyAlignment="1">
      <alignment horizontal="center" vertical="top"/>
    </xf>
    <xf numFmtId="0" fontId="106" fillId="43" borderId="0" xfId="0" applyFont="1" applyFill="1" applyAlignment="1">
      <alignment horizontal="center" vertical="top"/>
    </xf>
    <xf numFmtId="0" fontId="150" fillId="0" borderId="39" xfId="0" applyFont="1" applyBorder="1" applyAlignment="1">
      <alignment horizontal="left" vertical="center" wrapText="1"/>
    </xf>
    <xf numFmtId="0" fontId="150" fillId="0" borderId="37" xfId="0" applyFont="1" applyBorder="1" applyAlignment="1">
      <alignment horizontal="left" vertical="center" wrapText="1"/>
    </xf>
    <xf numFmtId="0" fontId="150" fillId="0" borderId="38" xfId="0" applyFont="1" applyBorder="1" applyAlignment="1">
      <alignment horizontal="left" vertical="center" wrapText="1"/>
    </xf>
    <xf numFmtId="0" fontId="106" fillId="55" borderId="0" xfId="0" applyFont="1" applyFill="1" applyAlignment="1">
      <alignment horizontal="center" vertical="top"/>
    </xf>
    <xf numFmtId="0" fontId="150" fillId="0" borderId="18" xfId="0" applyFont="1" applyBorder="1" applyAlignment="1">
      <alignment horizontal="justify" vertical="top" wrapText="1"/>
    </xf>
    <xf numFmtId="0" fontId="150" fillId="0" borderId="18" xfId="0" applyFont="1" applyBorder="1" applyAlignment="1">
      <alignment horizontal="left" vertical="top" wrapText="1"/>
    </xf>
    <xf numFmtId="0" fontId="150" fillId="0" borderId="88" xfId="0" applyFont="1" applyBorder="1" applyAlignment="1">
      <alignment horizontal="justify" vertical="center" wrapText="1"/>
    </xf>
    <xf numFmtId="0" fontId="150" fillId="0" borderId="89" xfId="0" applyFont="1" applyBorder="1" applyAlignment="1">
      <alignment horizontal="justify" vertical="center" wrapText="1"/>
    </xf>
    <xf numFmtId="0" fontId="150" fillId="0" borderId="90" xfId="0" applyFont="1" applyBorder="1" applyAlignment="1">
      <alignment horizontal="justify" vertical="center" wrapText="1"/>
    </xf>
    <xf numFmtId="0" fontId="148" fillId="49" borderId="0" xfId="0" applyFont="1" applyFill="1" applyAlignment="1" applyProtection="1">
      <alignment horizontal="center" vertical="center"/>
      <protection hidden="1"/>
    </xf>
    <xf numFmtId="3" fontId="106" fillId="33" borderId="0" xfId="0" applyNumberFormat="1" applyFont="1" applyFill="1" applyAlignment="1">
      <alignment horizontal="center" vertical="center"/>
    </xf>
    <xf numFmtId="0" fontId="149" fillId="0" borderId="37" xfId="0" applyFont="1" applyBorder="1" applyAlignment="1" applyProtection="1">
      <alignment horizontal="center" vertical="center"/>
      <protection hidden="1"/>
    </xf>
    <xf numFmtId="0" fontId="149" fillId="0" borderId="37" xfId="0" applyFont="1" applyBorder="1" applyAlignment="1" applyProtection="1">
      <alignment horizontal="right" vertical="center"/>
      <protection hidden="1"/>
    </xf>
    <xf numFmtId="0" fontId="83" fillId="49" borderId="0" xfId="0" applyFont="1" applyFill="1" applyAlignment="1" applyProtection="1">
      <alignment horizontal="center" vertical="center"/>
      <protection hidden="1"/>
    </xf>
    <xf numFmtId="0" fontId="112" fillId="0" borderId="0" xfId="0" applyFont="1" applyFill="1" applyAlignment="1" applyProtection="1">
      <alignment horizontal="left" vertical="top" indent="1" shrinkToFit="1"/>
      <protection hidden="1"/>
    </xf>
    <xf numFmtId="0" fontId="0" fillId="0" borderId="0" xfId="0" applyFill="1" applyAlignment="1">
      <alignment horizontal="left" vertical="top" indent="1" shrinkToFit="1"/>
    </xf>
    <xf numFmtId="0" fontId="112" fillId="0" borderId="0" xfId="0" applyFont="1" applyFill="1" applyAlignment="1" applyProtection="1">
      <alignment vertical="top" shrinkToFit="1"/>
      <protection hidden="1"/>
    </xf>
    <xf numFmtId="0" fontId="0" fillId="0" borderId="0" xfId="0" applyFill="1" applyAlignment="1">
      <alignment shrinkToFit="1"/>
    </xf>
    <xf numFmtId="0" fontId="17" fillId="0" borderId="0" xfId="0" applyFont="1" applyFill="1" applyAlignment="1" applyProtection="1">
      <alignment horizontal="left" vertical="top" wrapText="1" indent="2"/>
      <protection hidden="1"/>
    </xf>
    <xf numFmtId="0" fontId="50" fillId="0" borderId="0" xfId="0" applyFont="1" applyFill="1" applyAlignment="1" applyProtection="1">
      <alignment horizontal="left" vertical="top" wrapText="1" indent="2"/>
      <protection hidden="1"/>
    </xf>
    <xf numFmtId="0" fontId="17" fillId="0" borderId="0" xfId="0" applyFont="1" applyFill="1" applyAlignment="1" applyProtection="1">
      <alignment horizontal="left" vertical="top" wrapText="1" indent="1"/>
      <protection hidden="1"/>
    </xf>
    <xf numFmtId="0" fontId="55" fillId="0" borderId="0" xfId="0" applyFont="1" applyFill="1" applyBorder="1" applyAlignment="1" applyProtection="1">
      <alignment horizontal="left" vertical="center" shrinkToFit="1"/>
      <protection hidden="1"/>
    </xf>
    <xf numFmtId="0" fontId="50" fillId="0" borderId="0" xfId="0" applyFont="1" applyFill="1" applyAlignment="1" applyProtection="1">
      <alignment horizontal="left" vertical="top" wrapText="1" indent="1"/>
      <protection hidden="1"/>
    </xf>
    <xf numFmtId="0" fontId="18" fillId="0" borderId="42" xfId="0" applyFont="1" applyFill="1" applyBorder="1" applyAlignment="1" applyProtection="1">
      <alignment horizontal="center" vertical="center" wrapText="1"/>
      <protection hidden="1"/>
    </xf>
    <xf numFmtId="0" fontId="18" fillId="0" borderId="59" xfId="0" applyFont="1" applyFill="1" applyBorder="1" applyAlignment="1" applyProtection="1">
      <alignment horizontal="center" vertical="center" wrapText="1"/>
      <protection hidden="1"/>
    </xf>
    <xf numFmtId="0" fontId="18" fillId="0" borderId="60" xfId="0" applyFont="1" applyFill="1" applyBorder="1" applyAlignment="1" applyProtection="1">
      <alignment horizontal="center" vertical="center" wrapText="1"/>
      <protection hidden="1"/>
    </xf>
    <xf numFmtId="0" fontId="106" fillId="28" borderId="0" xfId="71" applyFont="1" applyFill="1" applyAlignment="1">
      <alignment horizontal="left" shrinkToFit="1"/>
    </xf>
    <xf numFmtId="0" fontId="197" fillId="0" borderId="18" xfId="0" applyFont="1" applyFill="1" applyBorder="1" applyAlignment="1" applyProtection="1">
      <alignment horizontal="left" vertical="top" wrapText="1"/>
      <protection hidden="1"/>
    </xf>
    <xf numFmtId="0" fontId="198" fillId="0" borderId="18" xfId="0" applyFont="1" applyFill="1" applyBorder="1" applyAlignment="1">
      <alignment horizontal="left" vertical="top" wrapText="1"/>
    </xf>
    <xf numFmtId="0" fontId="197" fillId="0" borderId="0" xfId="0" applyFont="1" applyFill="1" applyAlignment="1" applyProtection="1">
      <alignment horizontal="left" vertical="top" wrapText="1"/>
      <protection hidden="1"/>
    </xf>
    <xf numFmtId="0" fontId="106" fillId="0" borderId="0" xfId="48" quotePrefix="1" applyFont="1" applyFill="1" applyBorder="1" applyAlignment="1" applyProtection="1">
      <alignment horizontal="left" vertical="center" shrinkToFit="1"/>
      <protection hidden="1"/>
    </xf>
    <xf numFmtId="0" fontId="106" fillId="0" borderId="0" xfId="0" applyFont="1" applyBorder="1" applyAlignment="1">
      <alignment vertical="center" shrinkToFit="1"/>
    </xf>
    <xf numFmtId="0" fontId="73" fillId="0" borderId="42" xfId="0" quotePrefix="1" applyFont="1" applyBorder="1" applyAlignment="1" applyProtection="1">
      <alignment horizontal="left" vertical="center" wrapText="1" shrinkToFit="1"/>
      <protection hidden="1"/>
    </xf>
    <xf numFmtId="0" fontId="73" fillId="0" borderId="59" xfId="0" quotePrefix="1" applyFont="1" applyBorder="1" applyAlignment="1" applyProtection="1">
      <alignment horizontal="left" vertical="center" wrapText="1" shrinkToFit="1"/>
      <protection hidden="1"/>
    </xf>
    <xf numFmtId="0" fontId="73" fillId="0" borderId="60" xfId="0" quotePrefix="1" applyFont="1" applyBorder="1" applyAlignment="1" applyProtection="1">
      <alignment horizontal="left" vertical="center" wrapText="1" shrinkToFit="1"/>
      <protection hidden="1"/>
    </xf>
    <xf numFmtId="0" fontId="124" fillId="49" borderId="0" xfId="0" applyFont="1" applyFill="1" applyBorder="1" applyAlignment="1" applyProtection="1">
      <alignment horizontal="center" vertical="center"/>
      <protection hidden="1"/>
    </xf>
    <xf numFmtId="0" fontId="26" fillId="0" borderId="37" xfId="48" applyFont="1" applyFill="1" applyBorder="1" applyAlignment="1" applyProtection="1">
      <alignment horizontal="center" vertical="center"/>
      <protection hidden="1"/>
    </xf>
    <xf numFmtId="0" fontId="97" fillId="0" borderId="0" xfId="48" applyFont="1" applyBorder="1" applyAlignment="1" applyProtection="1">
      <alignment horizontal="left" indent="2"/>
      <protection hidden="1"/>
    </xf>
    <xf numFmtId="0" fontId="67" fillId="0" borderId="0" xfId="48" applyFont="1" applyBorder="1" applyAlignment="1" applyProtection="1">
      <alignment horizontal="left" vertical="center" indent="4" shrinkToFit="1"/>
      <protection hidden="1"/>
    </xf>
    <xf numFmtId="0" fontId="0" fillId="0" borderId="0" xfId="0" applyBorder="1" applyAlignment="1">
      <alignment horizontal="left" indent="4" shrinkToFit="1"/>
    </xf>
    <xf numFmtId="43" fontId="97" fillId="0" borderId="0" xfId="33" applyFont="1" applyBorder="1" applyAlignment="1" applyProtection="1">
      <alignment vertical="center" shrinkToFit="1"/>
      <protection hidden="1"/>
    </xf>
    <xf numFmtId="0" fontId="0" fillId="0" borderId="0" xfId="0" applyBorder="1" applyAlignment="1">
      <alignment vertical="center" shrinkToFit="1"/>
    </xf>
    <xf numFmtId="171" fontId="97" fillId="0" borderId="0" xfId="33" applyNumberFormat="1" applyFont="1" applyBorder="1" applyAlignment="1" applyProtection="1">
      <alignment horizontal="center" vertical="top" shrinkToFit="1"/>
      <protection hidden="1"/>
    </xf>
    <xf numFmtId="0" fontId="75" fillId="51" borderId="0" xfId="45" applyFont="1" applyFill="1" applyBorder="1" applyAlignment="1" applyProtection="1">
      <alignment horizontal="center" vertical="center" shrinkToFit="1"/>
      <protection hidden="1"/>
    </xf>
    <xf numFmtId="0" fontId="14" fillId="50" borderId="24" xfId="45" applyFont="1" applyFill="1" applyBorder="1" applyAlignment="1" applyProtection="1">
      <alignment horizontal="left"/>
      <protection hidden="1"/>
    </xf>
    <xf numFmtId="0" fontId="14" fillId="50" borderId="26" xfId="45" applyFont="1" applyFill="1" applyBorder="1" applyAlignment="1" applyProtection="1">
      <alignment horizontal="left"/>
      <protection hidden="1"/>
    </xf>
    <xf numFmtId="0" fontId="14" fillId="0" borderId="24" xfId="45" applyFont="1" applyBorder="1" applyAlignment="1" applyProtection="1">
      <alignment horizontal="left" vertical="center" wrapText="1"/>
      <protection hidden="1"/>
    </xf>
    <xf numFmtId="0" fontId="14" fillId="0" borderId="26" xfId="45" applyFont="1" applyBorder="1" applyAlignment="1" applyProtection="1">
      <alignment horizontal="left" vertical="center" wrapText="1"/>
      <protection hidden="1"/>
    </xf>
    <xf numFmtId="0" fontId="47" fillId="0" borderId="0" xfId="45" applyFont="1" applyBorder="1" applyAlignment="1" applyProtection="1">
      <alignment horizontal="left" vertical="center" wrapText="1"/>
      <protection hidden="1"/>
    </xf>
    <xf numFmtId="0" fontId="47" fillId="36" borderId="39" xfId="45" applyFont="1" applyFill="1" applyBorder="1" applyAlignment="1" applyProtection="1">
      <alignment horizontal="left" vertical="top" wrapText="1"/>
      <protection hidden="1"/>
    </xf>
    <xf numFmtId="0" fontId="47" fillId="36" borderId="37" xfId="45" applyFont="1" applyFill="1" applyBorder="1" applyAlignment="1" applyProtection="1">
      <alignment horizontal="left" vertical="top" wrapText="1"/>
      <protection hidden="1"/>
    </xf>
    <xf numFmtId="0" fontId="47" fillId="36" borderId="38" xfId="45" applyFont="1" applyFill="1" applyBorder="1" applyAlignment="1" applyProtection="1">
      <alignment horizontal="left" vertical="top" wrapText="1"/>
      <protection hidden="1"/>
    </xf>
    <xf numFmtId="0" fontId="140" fillId="36" borderId="39" xfId="45" applyFont="1" applyFill="1" applyBorder="1" applyAlignment="1" applyProtection="1">
      <alignment horizontal="left" vertical="center" wrapText="1"/>
      <protection hidden="1"/>
    </xf>
    <xf numFmtId="0" fontId="140" fillId="36" borderId="37" xfId="45" applyFont="1" applyFill="1" applyBorder="1" applyAlignment="1" applyProtection="1">
      <alignment horizontal="left" vertical="center" wrapText="1"/>
      <protection hidden="1"/>
    </xf>
    <xf numFmtId="0" fontId="140" fillId="36" borderId="38" xfId="45" applyFont="1" applyFill="1" applyBorder="1" applyAlignment="1" applyProtection="1">
      <alignment horizontal="left" vertical="center" wrapText="1"/>
      <protection hidden="1"/>
    </xf>
    <xf numFmtId="1" fontId="140" fillId="36" borderId="39" xfId="45" applyNumberFormat="1" applyFont="1" applyFill="1" applyBorder="1" applyAlignment="1" applyProtection="1">
      <alignment horizontal="center" vertical="center" wrapText="1"/>
      <protection hidden="1"/>
    </xf>
    <xf numFmtId="1" fontId="140" fillId="36" borderId="37" xfId="45" applyNumberFormat="1" applyFont="1" applyFill="1" applyBorder="1" applyAlignment="1" applyProtection="1">
      <alignment horizontal="center" vertical="center" wrapText="1"/>
      <protection hidden="1"/>
    </xf>
    <xf numFmtId="1" fontId="140" fillId="36" borderId="38" xfId="45" applyNumberFormat="1" applyFont="1" applyFill="1" applyBorder="1" applyAlignment="1" applyProtection="1">
      <alignment horizontal="center" vertical="center" wrapText="1"/>
      <protection hidden="1"/>
    </xf>
    <xf numFmtId="166" fontId="141" fillId="36" borderId="39" xfId="34" applyNumberFormat="1" applyFont="1" applyFill="1" applyBorder="1" applyAlignment="1" applyProtection="1">
      <alignment horizontal="center" vertical="center"/>
      <protection hidden="1"/>
    </xf>
    <xf numFmtId="166" fontId="141" fillId="36" borderId="37" xfId="34" applyNumberFormat="1" applyFont="1" applyFill="1" applyBorder="1" applyAlignment="1" applyProtection="1">
      <alignment horizontal="center" vertical="center"/>
      <protection hidden="1"/>
    </xf>
    <xf numFmtId="166" fontId="141" fillId="36" borderId="38" xfId="34" applyNumberFormat="1" applyFont="1" applyFill="1" applyBorder="1" applyAlignment="1" applyProtection="1">
      <alignment horizontal="center" vertical="center"/>
      <protection hidden="1"/>
    </xf>
    <xf numFmtId="0" fontId="47" fillId="36" borderId="27" xfId="45" applyFont="1" applyFill="1" applyBorder="1" applyAlignment="1" applyProtection="1">
      <alignment horizontal="left" vertical="center" wrapText="1"/>
      <protection hidden="1"/>
    </xf>
    <xf numFmtId="0" fontId="47" fillId="36" borderId="0" xfId="45" applyFont="1" applyFill="1" applyBorder="1" applyAlignment="1" applyProtection="1">
      <alignment horizontal="left" vertical="center" wrapText="1"/>
      <protection hidden="1"/>
    </xf>
    <xf numFmtId="0" fontId="47" fillId="36" borderId="28" xfId="45" applyFont="1" applyFill="1" applyBorder="1" applyAlignment="1" applyProtection="1">
      <alignment horizontal="left" vertical="center" wrapText="1"/>
      <protection hidden="1"/>
    </xf>
    <xf numFmtId="0" fontId="17" fillId="0" borderId="0" xfId="45" applyFont="1" applyFill="1" applyBorder="1" applyAlignment="1" applyProtection="1">
      <alignment horizontal="center" vertical="center"/>
      <protection hidden="1"/>
    </xf>
    <xf numFmtId="0" fontId="17" fillId="0" borderId="28" xfId="45" applyFont="1" applyFill="1" applyBorder="1" applyAlignment="1" applyProtection="1">
      <alignment horizontal="center" vertical="center"/>
      <protection hidden="1"/>
    </xf>
    <xf numFmtId="0" fontId="12" fillId="46" borderId="18" xfId="45" applyFont="1" applyFill="1" applyBorder="1" applyAlignment="1" applyProtection="1">
      <alignment horizontal="center" vertical="center"/>
      <protection hidden="1"/>
    </xf>
    <xf numFmtId="0" fontId="19" fillId="33" borderId="18" xfId="45" applyFont="1" applyFill="1" applyBorder="1" applyAlignment="1" applyProtection="1">
      <alignment horizontal="center" vertical="center" wrapText="1"/>
      <protection hidden="1"/>
    </xf>
    <xf numFmtId="0" fontId="12" fillId="47" borderId="18" xfId="45" applyFont="1" applyFill="1" applyBorder="1" applyAlignment="1" applyProtection="1">
      <alignment horizontal="center" vertical="center"/>
      <protection hidden="1"/>
    </xf>
    <xf numFmtId="0" fontId="15" fillId="0" borderId="42" xfId="45" applyFont="1" applyFill="1" applyBorder="1" applyAlignment="1" applyProtection="1">
      <alignment horizontal="left" vertical="center" wrapText="1"/>
      <protection hidden="1"/>
    </xf>
    <xf numFmtId="0" fontId="15" fillId="0" borderId="59" xfId="45" applyFont="1" applyFill="1" applyBorder="1" applyAlignment="1" applyProtection="1">
      <alignment horizontal="left" vertical="center" wrapText="1"/>
      <protection hidden="1"/>
    </xf>
    <xf numFmtId="0" fontId="15" fillId="0" borderId="60" xfId="45" applyFont="1" applyFill="1" applyBorder="1" applyAlignment="1" applyProtection="1">
      <alignment horizontal="left" vertical="center" wrapText="1"/>
      <protection hidden="1"/>
    </xf>
    <xf numFmtId="0" fontId="17" fillId="0" borderId="0" xfId="45" applyFont="1" applyFill="1" applyBorder="1" applyAlignment="1" applyProtection="1">
      <alignment horizontal="left" wrapText="1" shrinkToFit="1"/>
      <protection hidden="1"/>
    </xf>
    <xf numFmtId="0" fontId="50" fillId="0" borderId="0" xfId="45" applyFont="1" applyFill="1" applyBorder="1" applyAlignment="1">
      <alignment wrapText="1" shrinkToFit="1"/>
    </xf>
    <xf numFmtId="0" fontId="112" fillId="0" borderId="31" xfId="45" applyFont="1" applyFill="1" applyBorder="1" applyAlignment="1" applyProtection="1">
      <alignment horizontal="center" vertical="center" wrapText="1" shrinkToFit="1"/>
      <protection hidden="1"/>
    </xf>
    <xf numFmtId="0" fontId="112" fillId="0" borderId="31" xfId="45" applyFont="1" applyFill="1" applyBorder="1" applyAlignment="1" applyProtection="1">
      <alignment horizontal="center" vertical="center" shrinkToFit="1"/>
      <protection hidden="1"/>
    </xf>
    <xf numFmtId="0" fontId="112" fillId="0" borderId="30" xfId="45" applyFont="1" applyFill="1" applyBorder="1" applyAlignment="1" applyProtection="1">
      <alignment horizontal="center" vertical="center" shrinkToFit="1"/>
      <protection hidden="1"/>
    </xf>
    <xf numFmtId="0" fontId="17" fillId="0" borderId="24" xfId="45" applyFont="1" applyBorder="1" applyAlignment="1" applyProtection="1">
      <alignment horizontal="left" vertical="center" indent="2"/>
      <protection hidden="1"/>
    </xf>
    <xf numFmtId="0" fontId="17" fillId="0" borderId="25" xfId="45" applyFont="1" applyBorder="1" applyAlignment="1" applyProtection="1">
      <alignment horizontal="left" vertical="center" indent="2"/>
      <protection hidden="1"/>
    </xf>
    <xf numFmtId="0" fontId="17" fillId="0" borderId="26" xfId="45" applyFont="1" applyBorder="1" applyAlignment="1" applyProtection="1">
      <alignment horizontal="left" vertical="center" indent="2"/>
      <protection hidden="1"/>
    </xf>
    <xf numFmtId="0" fontId="17" fillId="0" borderId="29" xfId="45" applyFont="1" applyBorder="1" applyAlignment="1" applyProtection="1">
      <alignment horizontal="left" vertical="center" indent="2"/>
      <protection hidden="1"/>
    </xf>
    <xf numFmtId="0" fontId="17" fillId="0" borderId="31" xfId="45" applyFont="1" applyBorder="1" applyAlignment="1" applyProtection="1">
      <alignment horizontal="left" vertical="center" indent="2"/>
      <protection hidden="1"/>
    </xf>
    <xf numFmtId="0" fontId="17" fillId="0" borderId="30" xfId="45" applyFont="1" applyBorder="1" applyAlignment="1" applyProtection="1">
      <alignment horizontal="left" vertical="center" indent="2"/>
      <protection hidden="1"/>
    </xf>
    <xf numFmtId="0" fontId="112" fillId="0" borderId="0" xfId="45" applyFont="1" applyBorder="1" applyAlignment="1" applyProtection="1">
      <alignment horizontal="left" vertical="center" wrapText="1" indent="2" shrinkToFit="1"/>
      <protection hidden="1"/>
    </xf>
    <xf numFmtId="0" fontId="112" fillId="0" borderId="28" xfId="45" applyFont="1" applyBorder="1" applyAlignment="1" applyProtection="1">
      <alignment horizontal="left" vertical="center" wrapText="1" indent="2" shrinkToFit="1"/>
      <protection hidden="1"/>
    </xf>
    <xf numFmtId="0" fontId="112" fillId="0" borderId="31" xfId="45" applyFont="1" applyBorder="1" applyAlignment="1" applyProtection="1">
      <alignment horizontal="left" vertical="center" wrapText="1" indent="2" shrinkToFit="1"/>
      <protection hidden="1"/>
    </xf>
    <xf numFmtId="0" fontId="112" fillId="0" borderId="30" xfId="45" applyFont="1" applyBorder="1" applyAlignment="1" applyProtection="1">
      <alignment horizontal="left" vertical="center" wrapText="1" indent="2" shrinkToFit="1"/>
      <protection hidden="1"/>
    </xf>
    <xf numFmtId="0" fontId="122" fillId="51" borderId="32" xfId="0" applyFont="1" applyFill="1" applyBorder="1" applyAlignment="1" applyProtection="1">
      <alignment horizontal="center" vertical="center" shrinkToFit="1"/>
      <protection hidden="1"/>
    </xf>
    <xf numFmtId="0" fontId="14" fillId="0" borderId="0" xfId="0" applyFont="1" applyFill="1" applyBorder="1" applyAlignment="1" applyProtection="1">
      <alignment horizontal="left" vertical="center" shrinkToFit="1"/>
      <protection hidden="1"/>
    </xf>
    <xf numFmtId="0" fontId="0" fillId="0" borderId="0" xfId="0" applyFill="1" applyBorder="1" applyAlignment="1" applyProtection="1">
      <alignment shrinkToFit="1"/>
      <protection hidden="1"/>
    </xf>
    <xf numFmtId="0" fontId="17" fillId="0" borderId="0" xfId="45" applyFont="1" applyBorder="1" applyAlignment="1" applyProtection="1">
      <alignment horizontal="left" vertical="center"/>
      <protection hidden="1"/>
    </xf>
    <xf numFmtId="0" fontId="17" fillId="0" borderId="0" xfId="45" applyFont="1" applyFill="1" applyBorder="1" applyAlignment="1" applyProtection="1">
      <alignment horizontal="center" vertical="center" shrinkToFit="1"/>
      <protection hidden="1"/>
    </xf>
    <xf numFmtId="0" fontId="106" fillId="36" borderId="42" xfId="44" applyFont="1" applyFill="1" applyBorder="1" applyAlignment="1">
      <alignment horizontal="center" vertical="center"/>
    </xf>
    <xf numFmtId="0" fontId="106" fillId="36" borderId="60" xfId="44" applyFont="1" applyFill="1" applyBorder="1" applyAlignment="1">
      <alignment horizontal="center" vertical="center"/>
    </xf>
    <xf numFmtId="0" fontId="106" fillId="0" borderId="26" xfId="44" applyFont="1" applyBorder="1" applyAlignment="1">
      <alignment horizontal="center" vertical="center"/>
    </xf>
    <xf numFmtId="0" fontId="106" fillId="0" borderId="28" xfId="44" applyFont="1" applyBorder="1" applyAlignment="1">
      <alignment horizontal="center" vertical="center"/>
    </xf>
    <xf numFmtId="0" fontId="106" fillId="0" borderId="30" xfId="44" applyFont="1" applyBorder="1" applyAlignment="1">
      <alignment horizontal="center" vertical="center"/>
    </xf>
    <xf numFmtId="0" fontId="134" fillId="0" borderId="18" xfId="44" applyFont="1" applyBorder="1" applyAlignment="1">
      <alignment horizontal="center" vertical="center" wrapText="1"/>
    </xf>
    <xf numFmtId="0" fontId="106" fillId="0" borderId="19" xfId="44" applyFont="1" applyBorder="1" applyAlignment="1">
      <alignment horizontal="center" vertical="center"/>
    </xf>
    <xf numFmtId="0" fontId="106" fillId="0" borderId="10" xfId="44" applyFont="1" applyBorder="1" applyAlignment="1">
      <alignment horizontal="center" vertical="center"/>
    </xf>
    <xf numFmtId="0" fontId="106" fillId="0" borderId="20" xfId="44" applyFont="1" applyBorder="1" applyAlignment="1">
      <alignment horizontal="center" vertical="center"/>
    </xf>
    <xf numFmtId="0" fontId="134" fillId="0" borderId="19" xfId="44" applyFont="1" applyBorder="1" applyAlignment="1">
      <alignment horizontal="center" vertical="center" wrapText="1"/>
    </xf>
    <xf numFmtId="0" fontId="134" fillId="0" borderId="10" xfId="44" applyFont="1" applyBorder="1" applyAlignment="1">
      <alignment horizontal="center" vertical="center" wrapText="1"/>
    </xf>
    <xf numFmtId="0" fontId="134" fillId="0" borderId="20" xfId="44" applyFont="1" applyBorder="1" applyAlignment="1">
      <alignment horizontal="center" vertical="center" wrapText="1"/>
    </xf>
    <xf numFmtId="0" fontId="106" fillId="0" borderId="18" xfId="44" applyFont="1" applyBorder="1" applyAlignment="1">
      <alignment horizontal="center" vertical="center"/>
    </xf>
    <xf numFmtId="0" fontId="106" fillId="0" borderId="0" xfId="80" quotePrefix="1" applyFont="1" applyAlignment="1" applyProtection="1">
      <alignment horizontal="left" vertical="center" shrinkToFit="1"/>
      <protection hidden="1"/>
    </xf>
    <xf numFmtId="0" fontId="106" fillId="0" borderId="0" xfId="0" applyFont="1" applyAlignment="1">
      <alignment vertical="center" shrinkToFit="1"/>
    </xf>
    <xf numFmtId="0" fontId="124" fillId="49" borderId="0" xfId="0" applyFont="1" applyFill="1" applyAlignment="1" applyProtection="1">
      <alignment horizontal="center" vertical="center"/>
      <protection hidden="1"/>
    </xf>
    <xf numFmtId="0" fontId="26" fillId="0" borderId="37" xfId="80" applyFont="1" applyBorder="1" applyAlignment="1" applyProtection="1">
      <alignment horizontal="center" vertical="center"/>
      <protection hidden="1"/>
    </xf>
    <xf numFmtId="0" fontId="106" fillId="28" borderId="0" xfId="83" applyFont="1" applyFill="1" applyAlignment="1">
      <alignment horizontal="left" shrinkToFit="1"/>
    </xf>
    <xf numFmtId="0" fontId="17" fillId="0" borderId="0" xfId="0" applyFont="1" applyAlignment="1" applyProtection="1">
      <alignment horizontal="left" vertical="top" wrapText="1"/>
      <protection hidden="1"/>
    </xf>
    <xf numFmtId="0" fontId="17" fillId="42" borderId="49" xfId="0" applyFont="1" applyFill="1" applyBorder="1" applyAlignment="1" applyProtection="1">
      <alignment vertical="center"/>
      <protection hidden="1"/>
    </xf>
    <xf numFmtId="0" fontId="17" fillId="42" borderId="55" xfId="0" applyFont="1" applyFill="1" applyBorder="1" applyAlignment="1" applyProtection="1">
      <alignment vertical="center"/>
      <protection hidden="1"/>
    </xf>
    <xf numFmtId="0" fontId="17" fillId="42" borderId="56" xfId="0" applyFont="1" applyFill="1" applyBorder="1" applyAlignment="1" applyProtection="1">
      <alignment vertical="center"/>
      <protection hidden="1"/>
    </xf>
    <xf numFmtId="0" fontId="17" fillId="42" borderId="49" xfId="0" applyFont="1" applyFill="1" applyBorder="1" applyAlignment="1" applyProtection="1">
      <alignment horizontal="center" vertical="center" wrapText="1"/>
      <protection hidden="1"/>
    </xf>
    <xf numFmtId="0" fontId="17" fillId="42" borderId="56" xfId="0" applyFont="1" applyFill="1" applyBorder="1" applyAlignment="1" applyProtection="1">
      <alignment horizontal="center" vertical="center" wrapText="1"/>
      <protection hidden="1"/>
    </xf>
    <xf numFmtId="165" fontId="17" fillId="42" borderId="49" xfId="29" applyNumberFormat="1" applyFont="1" applyFill="1" applyBorder="1" applyAlignment="1" applyProtection="1">
      <alignment horizontal="center" vertical="center" wrapText="1"/>
      <protection hidden="1"/>
    </xf>
    <xf numFmtId="165" fontId="17" fillId="42" borderId="56" xfId="29" applyNumberFormat="1" applyFont="1" applyFill="1" applyBorder="1" applyAlignment="1" applyProtection="1">
      <alignment horizontal="center" vertical="center" wrapText="1"/>
      <protection hidden="1"/>
    </xf>
    <xf numFmtId="165" fontId="17" fillId="42" borderId="51" xfId="29" applyNumberFormat="1" applyFont="1" applyFill="1" applyBorder="1" applyAlignment="1" applyProtection="1">
      <alignment horizontal="center" vertical="center" wrapText="1"/>
      <protection hidden="1"/>
    </xf>
    <xf numFmtId="165" fontId="17" fillId="42" borderId="58" xfId="29" applyNumberFormat="1" applyFont="1" applyFill="1" applyBorder="1" applyAlignment="1" applyProtection="1">
      <alignment horizontal="center" vertical="center" wrapText="1"/>
      <protection hidden="1"/>
    </xf>
    <xf numFmtId="0" fontId="17" fillId="0" borderId="51" xfId="0" applyFont="1" applyBorder="1" applyAlignment="1" applyProtection="1">
      <alignment horizontal="center" vertical="center" wrapText="1"/>
      <protection hidden="1"/>
    </xf>
    <xf numFmtId="0" fontId="17" fillId="0" borderId="58" xfId="0" applyFont="1" applyBorder="1" applyAlignment="1" applyProtection="1">
      <alignment horizontal="center" vertical="center" wrapText="1"/>
      <protection hidden="1"/>
    </xf>
    <xf numFmtId="165" fontId="17" fillId="0" borderId="51" xfId="29" applyNumberFormat="1" applyFont="1" applyBorder="1" applyAlignment="1" applyProtection="1">
      <alignment horizontal="center" vertical="center" wrapText="1"/>
      <protection hidden="1"/>
    </xf>
    <xf numFmtId="165" fontId="17" fillId="0" borderId="58" xfId="29" applyNumberFormat="1" applyFont="1" applyBorder="1" applyAlignment="1" applyProtection="1">
      <alignment horizontal="center" vertical="center" wrapText="1"/>
      <protection hidden="1"/>
    </xf>
    <xf numFmtId="0" fontId="168" fillId="28" borderId="0" xfId="71" applyFont="1" applyFill="1" applyAlignment="1">
      <alignment horizontal="left" shrinkToFit="1"/>
    </xf>
    <xf numFmtId="0" fontId="17" fillId="0" borderId="0" xfId="0" applyFont="1" applyAlignment="1" applyProtection="1">
      <alignment horizontal="left" vertical="center" wrapText="1"/>
      <protection hidden="1"/>
    </xf>
    <xf numFmtId="43" fontId="19" fillId="0" borderId="63" xfId="29" applyNumberFormat="1" applyFont="1" applyBorder="1" applyAlignment="1" applyProtection="1">
      <alignment horizontal="center" vertical="center" shrinkToFit="1"/>
      <protection hidden="1"/>
    </xf>
    <xf numFmtId="43" fontId="19" fillId="0" borderId="64" xfId="29" applyNumberFormat="1" applyFont="1" applyBorder="1" applyAlignment="1" applyProtection="1">
      <alignment horizontal="center" vertical="center" shrinkToFit="1"/>
      <protection hidden="1"/>
    </xf>
    <xf numFmtId="0" fontId="50" fillId="42" borderId="55" xfId="0" applyFont="1" applyFill="1" applyBorder="1" applyAlignment="1" applyProtection="1">
      <alignment vertical="center"/>
      <protection hidden="1"/>
    </xf>
    <xf numFmtId="0" fontId="50" fillId="42" borderId="56" xfId="0" applyFont="1" applyFill="1" applyBorder="1" applyAlignment="1" applyProtection="1">
      <alignment vertical="center"/>
      <protection hidden="1"/>
    </xf>
    <xf numFmtId="0" fontId="17" fillId="0" borderId="48" xfId="0" applyFont="1" applyBorder="1" applyAlignment="1" applyProtection="1">
      <alignment horizontal="center" vertical="center" wrapText="1"/>
      <protection hidden="1"/>
    </xf>
    <xf numFmtId="0" fontId="17" fillId="0" borderId="49" xfId="0" applyFont="1" applyBorder="1" applyAlignment="1" applyProtection="1">
      <alignment horizontal="center" vertical="center" wrapText="1"/>
      <protection hidden="1"/>
    </xf>
    <xf numFmtId="0" fontId="17" fillId="0" borderId="56" xfId="0" applyFont="1" applyBorder="1" applyAlignment="1" applyProtection="1">
      <alignment horizontal="center" vertical="center" wrapText="1"/>
      <protection hidden="1"/>
    </xf>
    <xf numFmtId="165" fontId="17" fillId="0" borderId="48" xfId="29" applyNumberFormat="1" applyFont="1" applyBorder="1" applyAlignment="1" applyProtection="1">
      <alignment horizontal="center" vertical="center" wrapText="1"/>
      <protection hidden="1"/>
    </xf>
    <xf numFmtId="0" fontId="18" fillId="29" borderId="39" xfId="0" applyFont="1" applyFill="1" applyBorder="1" applyAlignment="1" applyProtection="1">
      <alignment horizontal="center" vertical="center" wrapText="1"/>
      <protection hidden="1"/>
    </xf>
    <xf numFmtId="0" fontId="18" fillId="29" borderId="38" xfId="0" applyFont="1" applyFill="1" applyBorder="1" applyAlignment="1" applyProtection="1">
      <alignment horizontal="center" vertical="center" wrapText="1"/>
      <protection hidden="1"/>
    </xf>
    <xf numFmtId="0" fontId="17" fillId="0" borderId="47" xfId="0" applyFont="1" applyFill="1" applyBorder="1" applyAlignment="1" applyProtection="1">
      <alignment horizontal="center" vertical="center" wrapText="1"/>
      <protection hidden="1"/>
    </xf>
    <xf numFmtId="0" fontId="17" fillId="0" borderId="61" xfId="0" applyFont="1" applyFill="1" applyBorder="1" applyAlignment="1" applyProtection="1">
      <alignment horizontal="center" vertical="center" wrapText="1"/>
      <protection hidden="1"/>
    </xf>
    <xf numFmtId="0" fontId="17" fillId="0" borderId="0" xfId="0" applyFont="1" applyFill="1" applyBorder="1" applyAlignment="1" applyProtection="1">
      <alignment horizontal="left" vertical="center" shrinkToFit="1"/>
      <protection hidden="1"/>
    </xf>
    <xf numFmtId="0" fontId="50" fillId="0" borderId="0" xfId="0" applyFont="1" applyFill="1" applyAlignment="1" applyProtection="1">
      <alignment shrinkToFit="1"/>
      <protection hidden="1"/>
    </xf>
    <xf numFmtId="165" fontId="17" fillId="0" borderId="49" xfId="29" applyNumberFormat="1" applyFont="1" applyBorder="1" applyAlignment="1" applyProtection="1">
      <alignment horizontal="center" vertical="center" wrapText="1"/>
      <protection hidden="1"/>
    </xf>
    <xf numFmtId="165" fontId="17" fillId="0" borderId="56" xfId="29" applyNumberFormat="1" applyFont="1" applyBorder="1" applyAlignment="1" applyProtection="1">
      <alignment horizontal="center" vertical="center" wrapText="1"/>
      <protection hidden="1"/>
    </xf>
    <xf numFmtId="0" fontId="17" fillId="0" borderId="42" xfId="0" applyFont="1" applyFill="1" applyBorder="1" applyAlignment="1" applyProtection="1">
      <alignment horizontal="center" vertical="center" wrapText="1"/>
      <protection hidden="1"/>
    </xf>
    <xf numFmtId="0" fontId="17" fillId="0" borderId="59" xfId="0" applyFont="1" applyFill="1" applyBorder="1" applyAlignment="1" applyProtection="1">
      <alignment horizontal="center" vertical="center"/>
      <protection hidden="1"/>
    </xf>
    <xf numFmtId="0" fontId="17" fillId="0" borderId="60" xfId="0" applyFont="1" applyFill="1" applyBorder="1" applyAlignment="1" applyProtection="1">
      <alignment horizontal="center" vertical="center"/>
      <protection hidden="1"/>
    </xf>
    <xf numFmtId="0" fontId="17" fillId="0" borderId="57" xfId="0" applyFont="1" applyBorder="1" applyAlignment="1" applyProtection="1">
      <alignment horizontal="center" vertical="center" wrapText="1"/>
      <protection hidden="1"/>
    </xf>
    <xf numFmtId="0" fontId="17" fillId="0" borderId="49" xfId="0" applyFont="1" applyBorder="1" applyAlignment="1" applyProtection="1">
      <alignment vertical="center" wrapText="1"/>
      <protection hidden="1"/>
    </xf>
    <xf numFmtId="0" fontId="50" fillId="0" borderId="55" xfId="0" applyFont="1" applyBorder="1" applyAlignment="1" applyProtection="1">
      <alignment vertical="center" wrapText="1"/>
      <protection hidden="1"/>
    </xf>
    <xf numFmtId="0" fontId="50" fillId="0" borderId="56" xfId="0" applyFont="1" applyBorder="1" applyAlignment="1" applyProtection="1">
      <alignment vertical="center" wrapText="1"/>
      <protection hidden="1"/>
    </xf>
    <xf numFmtId="0" fontId="17" fillId="0" borderId="49" xfId="0" applyFont="1" applyFill="1" applyBorder="1" applyAlignment="1" applyProtection="1">
      <alignment vertical="center"/>
      <protection hidden="1"/>
    </xf>
    <xf numFmtId="0" fontId="50" fillId="0" borderId="55" xfId="0" applyFont="1" applyFill="1" applyBorder="1" applyAlignment="1" applyProtection="1">
      <alignment vertical="center"/>
      <protection hidden="1"/>
    </xf>
    <xf numFmtId="0" fontId="50" fillId="0" borderId="56" xfId="0" applyFont="1" applyFill="1" applyBorder="1" applyAlignment="1" applyProtection="1">
      <alignment vertical="center"/>
      <protection hidden="1"/>
    </xf>
    <xf numFmtId="0" fontId="17" fillId="0" borderId="48" xfId="0" applyFont="1" applyBorder="1" applyAlignment="1" applyProtection="1">
      <alignment vertical="center" wrapText="1"/>
      <protection hidden="1"/>
    </xf>
    <xf numFmtId="0" fontId="0" fillId="0" borderId="48" xfId="0" applyBorder="1" applyAlignment="1" applyProtection="1">
      <alignment vertical="center" wrapText="1"/>
      <protection hidden="1"/>
    </xf>
    <xf numFmtId="0" fontId="17" fillId="0" borderId="48" xfId="0" applyFont="1" applyBorder="1" applyAlignment="1" applyProtection="1">
      <alignment vertical="center" shrinkToFit="1"/>
      <protection hidden="1"/>
    </xf>
    <xf numFmtId="0" fontId="0" fillId="0" borderId="48" xfId="0" applyBorder="1" applyAlignment="1" applyProtection="1">
      <alignment vertical="center" shrinkToFit="1"/>
      <protection hidden="1"/>
    </xf>
    <xf numFmtId="3" fontId="17" fillId="0" borderId="27" xfId="46" applyNumberFormat="1" applyFont="1" applyBorder="1" applyAlignment="1" applyProtection="1">
      <alignment horizontal="left" vertical="top" wrapText="1" indent="2" shrinkToFit="1"/>
      <protection hidden="1"/>
    </xf>
    <xf numFmtId="3" fontId="17" fillId="0" borderId="0" xfId="46" applyNumberFormat="1" applyFont="1" applyAlignment="1" applyProtection="1">
      <alignment horizontal="left" vertical="top" wrapText="1" indent="2" shrinkToFit="1"/>
      <protection hidden="1"/>
    </xf>
    <xf numFmtId="3" fontId="17" fillId="0" borderId="28" xfId="46" applyNumberFormat="1" applyFont="1" applyBorder="1" applyAlignment="1" applyProtection="1">
      <alignment horizontal="left" vertical="top" wrapText="1" indent="2" shrinkToFit="1"/>
      <protection hidden="1"/>
    </xf>
    <xf numFmtId="0" fontId="122" fillId="49" borderId="0" xfId="0" applyFont="1" applyFill="1" applyAlignment="1" applyProtection="1">
      <alignment horizontal="center" vertical="center" shrinkToFit="1"/>
      <protection hidden="1"/>
    </xf>
    <xf numFmtId="0" fontId="17" fillId="0" borderId="49" xfId="0" applyFont="1" applyFill="1" applyBorder="1" applyAlignment="1" applyProtection="1">
      <alignment horizontal="center" vertical="center" wrapText="1"/>
      <protection hidden="1"/>
    </xf>
    <xf numFmtId="0" fontId="17" fillId="0" borderId="56" xfId="0" applyFont="1" applyFill="1" applyBorder="1" applyAlignment="1" applyProtection="1">
      <alignment horizontal="center" vertical="center" wrapText="1"/>
      <protection hidden="1"/>
    </xf>
    <xf numFmtId="165" fontId="17" fillId="0" borderId="47" xfId="29" applyNumberFormat="1" applyFont="1" applyBorder="1" applyAlignment="1" applyProtection="1">
      <alignment horizontal="center" vertical="center" wrapText="1"/>
      <protection hidden="1"/>
    </xf>
    <xf numFmtId="165" fontId="17" fillId="0" borderId="61" xfId="29" applyNumberFormat="1" applyFont="1" applyBorder="1" applyAlignment="1" applyProtection="1">
      <alignment horizontal="center" vertical="center" wrapText="1"/>
      <protection hidden="1"/>
    </xf>
    <xf numFmtId="165" fontId="17" fillId="0" borderId="49" xfId="29" applyNumberFormat="1" applyFont="1" applyFill="1" applyBorder="1" applyAlignment="1" applyProtection="1">
      <alignment horizontal="center" vertical="center" shrinkToFit="1"/>
      <protection hidden="1"/>
    </xf>
    <xf numFmtId="165" fontId="17" fillId="0" borderId="56" xfId="29" applyNumberFormat="1" applyFont="1" applyFill="1" applyBorder="1" applyAlignment="1" applyProtection="1">
      <alignment horizontal="center" vertical="center" shrinkToFit="1"/>
      <protection hidden="1"/>
    </xf>
    <xf numFmtId="3" fontId="17" fillId="0" borderId="27" xfId="46" applyNumberFormat="1" applyFont="1" applyBorder="1" applyAlignment="1" applyProtection="1">
      <alignment horizontal="left" vertical="center" wrapText="1" indent="2" shrinkToFit="1"/>
      <protection hidden="1"/>
    </xf>
    <xf numFmtId="3" fontId="17" fillId="0" borderId="0" xfId="46" applyNumberFormat="1" applyFont="1" applyAlignment="1" applyProtection="1">
      <alignment horizontal="left" vertical="center" wrapText="1" indent="2" shrinkToFit="1"/>
      <protection hidden="1"/>
    </xf>
    <xf numFmtId="3" fontId="17" fillId="0" borderId="28" xfId="46" applyNumberFormat="1" applyFont="1" applyBorder="1" applyAlignment="1" applyProtection="1">
      <alignment horizontal="left" vertical="center" wrapText="1" indent="2" shrinkToFit="1"/>
      <protection hidden="1"/>
    </xf>
    <xf numFmtId="0" fontId="19" fillId="0" borderId="24" xfId="0" applyFont="1" applyBorder="1" applyAlignment="1" applyProtection="1">
      <alignment horizontal="center"/>
      <protection hidden="1"/>
    </xf>
    <xf numFmtId="0" fontId="19" fillId="0" borderId="25" xfId="0" applyFont="1" applyBorder="1" applyAlignment="1" applyProtection="1">
      <alignment horizontal="center"/>
      <protection hidden="1"/>
    </xf>
    <xf numFmtId="0" fontId="19" fillId="0" borderId="26" xfId="0" applyFont="1" applyBorder="1" applyAlignment="1" applyProtection="1">
      <alignment horizontal="center"/>
      <protection hidden="1"/>
    </xf>
    <xf numFmtId="0" fontId="18" fillId="29" borderId="39" xfId="0" applyFont="1" applyFill="1" applyBorder="1" applyAlignment="1" applyProtection="1">
      <alignment horizontal="center" vertical="center"/>
      <protection hidden="1"/>
    </xf>
    <xf numFmtId="0" fontId="18" fillId="29" borderId="37" xfId="0" applyFont="1" applyFill="1" applyBorder="1" applyAlignment="1" applyProtection="1">
      <alignment horizontal="center" vertical="center"/>
      <protection hidden="1"/>
    </xf>
    <xf numFmtId="0" fontId="18" fillId="29" borderId="38" xfId="0" applyFont="1" applyFill="1" applyBorder="1" applyAlignment="1" applyProtection="1">
      <alignment horizontal="center" vertical="center"/>
      <protection hidden="1"/>
    </xf>
    <xf numFmtId="0" fontId="17" fillId="0" borderId="47" xfId="0" applyFont="1" applyFill="1" applyBorder="1" applyAlignment="1" applyProtection="1">
      <alignment vertical="center"/>
      <protection hidden="1"/>
    </xf>
    <xf numFmtId="0" fontId="50" fillId="0" borderId="62" xfId="0" applyFont="1" applyFill="1" applyBorder="1" applyAlignment="1" applyProtection="1">
      <alignment vertical="center"/>
      <protection hidden="1"/>
    </xf>
    <xf numFmtId="0" fontId="50" fillId="0" borderId="61" xfId="0" applyFont="1" applyFill="1" applyBorder="1" applyAlignment="1" applyProtection="1">
      <alignment vertical="center"/>
      <protection hidden="1"/>
    </xf>
    <xf numFmtId="0" fontId="17" fillId="0" borderId="49" xfId="0" applyFont="1" applyFill="1" applyBorder="1" applyAlignment="1" applyProtection="1">
      <alignment vertical="center" wrapText="1"/>
      <protection hidden="1"/>
    </xf>
    <xf numFmtId="0" fontId="50" fillId="0" borderId="55" xfId="0" applyFont="1" applyFill="1" applyBorder="1" applyAlignment="1" applyProtection="1">
      <alignment vertical="center" wrapText="1"/>
      <protection hidden="1"/>
    </xf>
    <xf numFmtId="0" fontId="50" fillId="0" borderId="56" xfId="0" applyFont="1" applyFill="1" applyBorder="1" applyAlignment="1" applyProtection="1">
      <alignment vertical="center" wrapText="1"/>
      <protection hidden="1"/>
    </xf>
    <xf numFmtId="3" fontId="17" fillId="0" borderId="29" xfId="46" applyNumberFormat="1" applyFont="1" applyBorder="1" applyAlignment="1" applyProtection="1">
      <alignment horizontal="left" vertical="top" wrapText="1" indent="2" shrinkToFit="1"/>
      <protection hidden="1"/>
    </xf>
    <xf numFmtId="3" fontId="17" fillId="0" borderId="31" xfId="46" applyNumberFormat="1" applyFont="1" applyBorder="1" applyAlignment="1" applyProtection="1">
      <alignment horizontal="left" vertical="top" wrapText="1" indent="2" shrinkToFit="1"/>
      <protection hidden="1"/>
    </xf>
    <xf numFmtId="3" fontId="17" fillId="0" borderId="30" xfId="46" applyNumberFormat="1" applyFont="1" applyBorder="1" applyAlignment="1" applyProtection="1">
      <alignment horizontal="left" vertical="top" wrapText="1" indent="2" shrinkToFit="1"/>
      <protection hidden="1"/>
    </xf>
    <xf numFmtId="0" fontId="231" fillId="49" borderId="0" xfId="69" applyFont="1" applyFill="1" applyAlignment="1" applyProtection="1">
      <alignment horizontal="center" vertical="center" shrinkToFit="1"/>
      <protection hidden="1"/>
    </xf>
    <xf numFmtId="0" fontId="55" fillId="28" borderId="0" xfId="64" applyFont="1" applyFill="1" applyAlignment="1">
      <alignment horizontal="left" vertical="top" wrapText="1" indent="2"/>
    </xf>
    <xf numFmtId="0" fontId="55" fillId="0" borderId="0" xfId="64" applyFont="1" applyAlignment="1" applyProtection="1">
      <alignment horizontal="left" indent="1" shrinkToFit="1"/>
      <protection hidden="1"/>
    </xf>
    <xf numFmtId="0" fontId="132" fillId="49" borderId="0" xfId="69" applyFont="1" applyFill="1" applyAlignment="1" applyProtection="1">
      <alignment horizontal="center" vertical="center" shrinkToFit="1"/>
      <protection hidden="1"/>
    </xf>
    <xf numFmtId="0" fontId="232" fillId="0" borderId="0" xfId="64" applyFont="1" applyAlignment="1">
      <alignment horizontal="center" vertical="center"/>
    </xf>
    <xf numFmtId="0" fontId="55" fillId="28" borderId="0" xfId="64" applyFont="1" applyFill="1" applyAlignment="1">
      <alignment horizontal="left" vertical="top" wrapText="1" indent="1"/>
    </xf>
    <xf numFmtId="0" fontId="55" fillId="28" borderId="0" xfId="64" applyFont="1" applyFill="1" applyAlignment="1">
      <alignment horizontal="left" vertical="center" wrapText="1"/>
    </xf>
    <xf numFmtId="0" fontId="64" fillId="0" borderId="0" xfId="64" applyFont="1" applyAlignment="1" applyProtection="1">
      <alignment horizontal="left" wrapText="1" indent="1" shrinkToFit="1"/>
      <protection hidden="1"/>
    </xf>
    <xf numFmtId="0" fontId="171" fillId="0" borderId="0" xfId="64" applyFont="1" applyAlignment="1">
      <alignment horizontal="left" vertical="top" wrapText="1"/>
    </xf>
    <xf numFmtId="0" fontId="174" fillId="0" borderId="0" xfId="64" applyFont="1" applyAlignment="1">
      <alignment horizontal="left" vertical="top" wrapText="1"/>
    </xf>
    <xf numFmtId="0" fontId="55" fillId="0" borderId="0" xfId="64" applyFont="1" applyAlignment="1" applyProtection="1">
      <alignment horizontal="left" wrapText="1" indent="1" shrinkToFit="1"/>
      <protection hidden="1"/>
    </xf>
    <xf numFmtId="0" fontId="133" fillId="49" borderId="0" xfId="69" applyFont="1" applyFill="1" applyAlignment="1" applyProtection="1">
      <alignment horizontal="center" vertical="center" shrinkToFit="1"/>
      <protection hidden="1"/>
    </xf>
    <xf numFmtId="0" fontId="173" fillId="0" borderId="0" xfId="64" applyFont="1" applyAlignment="1">
      <alignment horizontal="left" vertical="top" wrapText="1" readingOrder="1"/>
    </xf>
    <xf numFmtId="0" fontId="14" fillId="28" borderId="0" xfId="64" applyFont="1" applyFill="1" applyAlignment="1">
      <alignment horizontal="left" vertical="top" wrapText="1" indent="1"/>
    </xf>
    <xf numFmtId="0" fontId="15" fillId="0" borderId="0" xfId="64" applyFont="1" applyAlignment="1">
      <alignment horizontal="left" vertical="top" wrapText="1" indent="1"/>
    </xf>
    <xf numFmtId="0" fontId="15" fillId="0" borderId="0" xfId="64" applyFont="1" applyAlignment="1">
      <alignment horizontal="left" vertical="top" indent="1"/>
    </xf>
    <xf numFmtId="0" fontId="14" fillId="0" borderId="0" xfId="64" applyFont="1" applyAlignment="1">
      <alignment horizontal="center"/>
    </xf>
    <xf numFmtId="0" fontId="14" fillId="0" borderId="0" xfId="64" applyFont="1" applyAlignment="1">
      <alignment horizontal="left" vertical="top" wrapText="1" indent="1"/>
    </xf>
    <xf numFmtId="0" fontId="14" fillId="0" borderId="0" xfId="64" applyFont="1" applyAlignment="1">
      <alignment horizontal="left" vertical="top" indent="1"/>
    </xf>
    <xf numFmtId="0" fontId="231" fillId="49" borderId="0" xfId="64" applyFont="1" applyFill="1" applyAlignment="1" applyProtection="1">
      <alignment horizontal="center" vertical="center" shrinkToFit="1"/>
      <protection hidden="1"/>
    </xf>
    <xf numFmtId="0" fontId="101" fillId="0" borderId="0" xfId="64" applyFont="1" applyAlignment="1">
      <alignment horizontal="left" vertical="top" wrapText="1" indent="1"/>
    </xf>
    <xf numFmtId="0" fontId="8" fillId="0" borderId="0" xfId="64" applyAlignment="1">
      <alignment horizontal="left" indent="1" shrinkToFit="1"/>
    </xf>
    <xf numFmtId="0" fontId="132" fillId="49" borderId="0" xfId="48" applyFont="1" applyFill="1" applyBorder="1" applyAlignment="1" applyProtection="1">
      <alignment horizontal="center" vertical="center" shrinkToFit="1"/>
      <protection hidden="1"/>
    </xf>
    <xf numFmtId="0" fontId="25" fillId="0" borderId="0" xfId="48" applyFont="1" applyAlignment="1" applyProtection="1">
      <alignment horizontal="left" vertical="center" shrinkToFit="1"/>
      <protection hidden="1"/>
    </xf>
    <xf numFmtId="172" fontId="14" fillId="0" borderId="0" xfId="47" applyNumberFormat="1" applyFont="1" applyBorder="1" applyAlignment="1" applyProtection="1">
      <alignment horizontal="left"/>
      <protection hidden="1"/>
    </xf>
    <xf numFmtId="172" fontId="14" fillId="0" borderId="28" xfId="47" applyNumberFormat="1" applyFont="1" applyBorder="1" applyAlignment="1" applyProtection="1">
      <alignment horizontal="left"/>
      <protection hidden="1"/>
    </xf>
    <xf numFmtId="0" fontId="14" fillId="0" borderId="0" xfId="48" applyFont="1" applyFill="1" applyBorder="1" applyAlignment="1" applyProtection="1">
      <alignment horizontal="left" indent="1" shrinkToFit="1"/>
      <protection hidden="1"/>
    </xf>
    <xf numFmtId="0" fontId="12" fillId="0" borderId="0" xfId="48" applyFill="1" applyAlignment="1" applyProtection="1">
      <alignment horizontal="left" indent="1" shrinkToFit="1"/>
      <protection hidden="1"/>
    </xf>
    <xf numFmtId="0" fontId="64" fillId="0" borderId="0" xfId="48" applyFont="1" applyBorder="1" applyAlignment="1" applyProtection="1">
      <alignment horizontal="left" wrapText="1" shrinkToFit="1"/>
      <protection hidden="1"/>
    </xf>
    <xf numFmtId="0" fontId="14" fillId="0" borderId="0" xfId="47" applyFont="1" applyBorder="1" applyAlignment="1" applyProtection="1">
      <alignment horizontal="center" shrinkToFit="1"/>
      <protection hidden="1"/>
    </xf>
    <xf numFmtId="0" fontId="0" fillId="0" borderId="0" xfId="0" applyAlignment="1">
      <alignment horizontal="center" shrinkToFit="1"/>
    </xf>
    <xf numFmtId="0" fontId="0" fillId="0" borderId="28" xfId="0" applyBorder="1" applyAlignment="1">
      <alignment horizontal="center" shrinkToFit="1"/>
    </xf>
    <xf numFmtId="0" fontId="102" fillId="0" borderId="0" xfId="48" applyFont="1" applyBorder="1" applyAlignment="1" applyProtection="1">
      <alignment horizontal="left" indent="2" shrinkToFit="1"/>
      <protection hidden="1"/>
    </xf>
    <xf numFmtId="0" fontId="0" fillId="0" borderId="0" xfId="0" applyAlignment="1">
      <alignment horizontal="left" shrinkToFit="1"/>
    </xf>
    <xf numFmtId="0" fontId="14" fillId="0" borderId="0" xfId="0" applyFont="1" applyAlignment="1" applyProtection="1">
      <alignment horizontal="left" indent="1" shrinkToFit="1"/>
      <protection hidden="1"/>
    </xf>
    <xf numFmtId="0" fontId="0" fillId="0" borderId="0" xfId="0" applyAlignment="1" applyProtection="1">
      <alignment horizontal="left" indent="1" shrinkToFit="1"/>
      <protection hidden="1"/>
    </xf>
    <xf numFmtId="0" fontId="14" fillId="0" borderId="31" xfId="69" applyFont="1" applyBorder="1" applyAlignment="1" applyProtection="1">
      <alignment horizontal="center"/>
      <protection hidden="1"/>
    </xf>
    <xf numFmtId="174" fontId="14" fillId="0" borderId="37" xfId="69" applyNumberFormat="1" applyFont="1" applyBorder="1" applyAlignment="1" applyProtection="1">
      <alignment horizontal="center"/>
      <protection hidden="1"/>
    </xf>
    <xf numFmtId="0" fontId="183" fillId="37" borderId="19" xfId="73" applyFont="1" applyFill="1" applyBorder="1" applyAlignment="1">
      <alignment horizontal="center" vertical="center"/>
    </xf>
    <xf numFmtId="0" fontId="183" fillId="37" borderId="20" xfId="73" applyFont="1" applyFill="1" applyBorder="1" applyAlignment="1">
      <alignment horizontal="center" vertical="center"/>
    </xf>
    <xf numFmtId="0" fontId="183" fillId="43" borderId="19" xfId="73" applyFont="1" applyFill="1" applyBorder="1" applyAlignment="1">
      <alignment horizontal="center" vertical="center"/>
    </xf>
    <xf numFmtId="0" fontId="183" fillId="43" borderId="20" xfId="73" applyFont="1" applyFill="1" applyBorder="1" applyAlignment="1">
      <alignment horizontal="center" vertical="center"/>
    </xf>
    <xf numFmtId="0" fontId="157" fillId="37" borderId="19" xfId="73" applyFont="1" applyFill="1" applyBorder="1" applyAlignment="1">
      <alignment horizontal="center" vertical="center"/>
    </xf>
    <xf numFmtId="0" fontId="157" fillId="37" borderId="20" xfId="73" applyFont="1" applyFill="1" applyBorder="1" applyAlignment="1">
      <alignment horizontal="center" vertical="center"/>
    </xf>
    <xf numFmtId="0" fontId="157" fillId="43" borderId="19" xfId="73" applyFont="1" applyFill="1" applyBorder="1" applyAlignment="1">
      <alignment horizontal="center" vertical="center"/>
    </xf>
    <xf numFmtId="0" fontId="157" fillId="43" borderId="20" xfId="73" applyFont="1" applyFill="1" applyBorder="1" applyAlignment="1">
      <alignment horizontal="center" vertical="center"/>
    </xf>
    <xf numFmtId="0" fontId="157" fillId="37" borderId="19" xfId="0" applyFont="1" applyFill="1" applyBorder="1" applyAlignment="1">
      <alignment horizontal="center" vertical="center" wrapText="1"/>
    </xf>
    <xf numFmtId="0" fontId="157" fillId="37" borderId="20" xfId="0" applyFont="1" applyFill="1" applyBorder="1" applyAlignment="1">
      <alignment horizontal="center" vertical="center" wrapText="1"/>
    </xf>
    <xf numFmtId="0" fontId="157" fillId="37" borderId="19" xfId="0" applyFont="1" applyFill="1" applyBorder="1" applyAlignment="1">
      <alignment horizontal="center" vertical="center"/>
    </xf>
    <xf numFmtId="0" fontId="157" fillId="37" borderId="20" xfId="0" applyFont="1" applyFill="1" applyBorder="1" applyAlignment="1">
      <alignment horizontal="center" vertical="center"/>
    </xf>
    <xf numFmtId="0" fontId="157" fillId="37" borderId="39" xfId="0" applyFont="1" applyFill="1" applyBorder="1" applyAlignment="1">
      <alignment horizontal="center" vertical="center"/>
    </xf>
    <xf numFmtId="0" fontId="157" fillId="37" borderId="37" xfId="0" applyFont="1" applyFill="1" applyBorder="1" applyAlignment="1">
      <alignment horizontal="center" vertical="center"/>
    </xf>
    <xf numFmtId="0" fontId="157" fillId="37" borderId="38" xfId="0" applyFont="1" applyFill="1" applyBorder="1" applyAlignment="1">
      <alignment horizontal="center" vertical="center"/>
    </xf>
    <xf numFmtId="0" fontId="157" fillId="40" borderId="19" xfId="0" applyFont="1" applyFill="1" applyBorder="1" applyAlignment="1">
      <alignment horizontal="center" vertical="center" wrapText="1"/>
    </xf>
    <xf numFmtId="0" fontId="157" fillId="40" borderId="20" xfId="0" applyFont="1" applyFill="1" applyBorder="1" applyAlignment="1">
      <alignment horizontal="center" vertical="center"/>
    </xf>
    <xf numFmtId="0" fontId="157" fillId="40" borderId="19" xfId="0" applyFont="1" applyFill="1" applyBorder="1" applyAlignment="1">
      <alignment horizontal="center" vertical="center"/>
    </xf>
    <xf numFmtId="0" fontId="12" fillId="50" borderId="19" xfId="48" applyFont="1" applyFill="1" applyBorder="1" applyAlignment="1">
      <alignment horizontal="center" vertical="center"/>
    </xf>
    <xf numFmtId="0" fontId="12" fillId="0" borderId="20" xfId="48" applyBorder="1"/>
    <xf numFmtId="0" fontId="72" fillId="50" borderId="19" xfId="48" applyFont="1" applyFill="1" applyBorder="1" applyAlignment="1">
      <alignment horizontal="center" vertical="center"/>
    </xf>
    <xf numFmtId="0" fontId="72" fillId="50" borderId="20" xfId="48" applyFont="1" applyFill="1" applyBorder="1" applyAlignment="1">
      <alignment horizontal="center" vertical="center"/>
    </xf>
    <xf numFmtId="0" fontId="72" fillId="0" borderId="20" xfId="48" applyFont="1" applyBorder="1"/>
    <xf numFmtId="0" fontId="12" fillId="50" borderId="39" xfId="48" applyFont="1" applyFill="1" applyBorder="1" applyAlignment="1">
      <alignment horizontal="center" vertical="center"/>
    </xf>
    <xf numFmtId="0" fontId="12" fillId="0" borderId="37" xfId="48" applyBorder="1"/>
    <xf numFmtId="0" fontId="12" fillId="0" borderId="38" xfId="48" applyBorder="1"/>
    <xf numFmtId="0" fontId="12" fillId="50" borderId="39" xfId="48" applyFont="1" applyFill="1" applyBorder="1" applyAlignment="1">
      <alignment horizontal="center"/>
    </xf>
    <xf numFmtId="0" fontId="72" fillId="27" borderId="39" xfId="48" applyFont="1" applyFill="1" applyBorder="1" applyAlignment="1">
      <alignment horizontal="center"/>
    </xf>
    <xf numFmtId="0" fontId="72" fillId="27" borderId="37" xfId="48" applyFont="1" applyFill="1" applyBorder="1" applyAlignment="1">
      <alignment horizontal="center"/>
    </xf>
    <xf numFmtId="0" fontId="72" fillId="27" borderId="38" xfId="48" applyFont="1" applyFill="1" applyBorder="1" applyAlignment="1">
      <alignment horizontal="center"/>
    </xf>
    <xf numFmtId="0" fontId="12" fillId="50" borderId="20" xfId="48" applyFont="1" applyFill="1" applyBorder="1" applyAlignment="1">
      <alignment horizontal="center" vertical="center"/>
    </xf>
  </cellXfs>
  <cellStyles count="84">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AFE" xfId="25" xr:uid="{00000000-0005-0000-0000-000018000000}"/>
    <cellStyle name="Bad" xfId="26" builtinId="27" customBuiltin="1"/>
    <cellStyle name="Calculation" xfId="27" builtinId="22" customBuiltin="1"/>
    <cellStyle name="Check Cell" xfId="28" builtinId="23" customBuiltin="1"/>
    <cellStyle name="Comma" xfId="29" builtinId="3"/>
    <cellStyle name="Comma 2" xfId="30" xr:uid="{00000000-0005-0000-0000-00001D000000}"/>
    <cellStyle name="Comma 2 2" xfId="31" xr:uid="{00000000-0005-0000-0000-00001E000000}"/>
    <cellStyle name="Comma 2 2 2" xfId="66" xr:uid="{73BE7806-61CF-45DF-9457-56151C0B967A}"/>
    <cellStyle name="Comma 2 3" xfId="63" xr:uid="{F11AF9C3-EF73-4ECD-85A8-42447898EECE}"/>
    <cellStyle name="Comma 3" xfId="32" xr:uid="{00000000-0005-0000-0000-00001F000000}"/>
    <cellStyle name="Comma 4" xfId="33" xr:uid="{00000000-0005-0000-0000-000020000000}"/>
    <cellStyle name="Comma 4 2" xfId="82" xr:uid="{034795D6-3717-4EDC-9618-2788D685B043}"/>
    <cellStyle name="Comma 5" xfId="34" xr:uid="{00000000-0005-0000-0000-000021000000}"/>
    <cellStyle name="Explanatory Text" xfId="35" builtinId="53" customBuiltin="1"/>
    <cellStyle name="Good" xfId="36" builtinId="26" customBuiltin="1"/>
    <cellStyle name="Heading 1" xfId="37" builtinId="16" customBuiltin="1"/>
    <cellStyle name="Heading 2" xfId="38" builtinId="17" customBuiltin="1"/>
    <cellStyle name="Heading 3" xfId="39" builtinId="18" customBuiltin="1"/>
    <cellStyle name="Heading 4" xfId="40" builtinId="19" customBuiltin="1"/>
    <cellStyle name="Hyperlink" xfId="72" builtinId="8"/>
    <cellStyle name="Input" xfId="41" builtinId="20" customBuiltin="1"/>
    <cellStyle name="Linked Cell" xfId="42" builtinId="24" customBuiltin="1"/>
    <cellStyle name="Neutral" xfId="43" builtinId="28" customBuiltin="1"/>
    <cellStyle name="Normal" xfId="0" builtinId="0"/>
    <cellStyle name="Normal 2" xfId="44" xr:uid="{00000000-0005-0000-0000-00002C000000}"/>
    <cellStyle name="Normal 3" xfId="45" xr:uid="{00000000-0005-0000-0000-00002D000000}"/>
    <cellStyle name="Normal 3 2" xfId="46" xr:uid="{00000000-0005-0000-0000-00002E000000}"/>
    <cellStyle name="Normal 3 2 2" xfId="64" xr:uid="{C5E487C7-D7ED-47DA-BE27-ABBB0FA3226E}"/>
    <cellStyle name="Normal 3 3" xfId="47" xr:uid="{00000000-0005-0000-0000-00002F000000}"/>
    <cellStyle name="Normal 3 3 2" xfId="69" xr:uid="{3F5CE6AB-B69D-44C7-9F30-7E238A1F9F94}"/>
    <cellStyle name="Normal 3 4" xfId="62" xr:uid="{43D3540D-37E8-423D-BFBE-9FB3C90509AF}"/>
    <cellStyle name="Normal 3 5" xfId="74" xr:uid="{576F53F8-5BBE-497E-A0DE-87A0CD4611AE}"/>
    <cellStyle name="Normal 4" xfId="48" xr:uid="{00000000-0005-0000-0000-000030000000}"/>
    <cellStyle name="Normal 4 2" xfId="80" xr:uid="{FD24F59A-9568-4D55-96A8-31859C1033FE}"/>
    <cellStyle name="Normal 5" xfId="71" xr:uid="{BD3F7395-A9C6-4260-9397-98733D0E6747}"/>
    <cellStyle name="Normal 5 2" xfId="83" xr:uid="{3AA04E99-36A7-4E63-AFEE-B4860C76BA3E}"/>
    <cellStyle name="Normal 6" xfId="61" xr:uid="{42CBC46E-3F9F-4EB8-8D7F-5E3CDE576BE1}"/>
    <cellStyle name="Normal 6 2" xfId="68" xr:uid="{08F68DEF-CB75-4734-AF1F-36BCF22E921C}"/>
    <cellStyle name="Normal 6 2 2" xfId="75" xr:uid="{5D363013-0697-4587-9FDC-3581499FE1EC}"/>
    <cellStyle name="Normal 6 2 3" xfId="78" xr:uid="{64FA0CD5-136D-44C5-897E-1973E0D130BA}"/>
    <cellStyle name="Normal 6 3" xfId="70" xr:uid="{32FAA7CF-C796-409F-8B1E-A377280CF0B9}"/>
    <cellStyle name="Normal 6 3 2" xfId="79" xr:uid="{124D1BED-3053-473D-B77C-D20E8DFBC30F}"/>
    <cellStyle name="Normal 7" xfId="67" xr:uid="{5A2ECABA-C37E-4A01-9ECC-8922FEF5F87D}"/>
    <cellStyle name="Normal 7 2" xfId="65" xr:uid="{0EB53E05-451D-4705-B0A0-176ADDE0B7CC}"/>
    <cellStyle name="Normal 7 3" xfId="76" xr:uid="{7E869767-5A67-4B09-8054-37A46B90F3FC}"/>
    <cellStyle name="Normal 7 4" xfId="77" xr:uid="{87ED6077-85BA-42EC-AB88-59F74D9F392B}"/>
    <cellStyle name="Normal 8" xfId="73" xr:uid="{8FCDF7BF-3CC6-4433-84BC-3C077D0D385B}"/>
    <cellStyle name="Normal_Program Package-(by ind)" xfId="49" xr:uid="{00000000-0005-0000-0000-000031000000}"/>
    <cellStyle name="Normal_Program Package-2" xfId="50" xr:uid="{00000000-0005-0000-0000-000032000000}"/>
    <cellStyle name="Note" xfId="51" builtinId="10" customBuiltin="1"/>
    <cellStyle name="Output" xfId="52" builtinId="21" customBuiltin="1"/>
    <cellStyle name="Percent" xfId="53" builtinId="5"/>
    <cellStyle name="Percent 2" xfId="54" xr:uid="{00000000-0005-0000-0000-000036000000}"/>
    <cellStyle name="Percent 2 2" xfId="81" xr:uid="{14AC764B-13A8-48CD-9B0B-ACD8751D6C52}"/>
    <cellStyle name="Title" xfId="55" builtinId="15" customBuiltin="1"/>
    <cellStyle name="Total" xfId="56" builtinId="25" customBuiltin="1"/>
    <cellStyle name="Warning Text" xfId="57" builtinId="11" customBuiltin="1"/>
    <cellStyle name="ปกติ_09-08-01 Program 12PL-Agent" xfId="58" xr:uid="{00000000-0005-0000-0000-00003A000000}"/>
    <cellStyle name="ปกติ_Book2" xfId="59" xr:uid="{00000000-0005-0000-0000-00003B000000}"/>
    <cellStyle name="ปกติ_Table - PR60" xfId="60" xr:uid="{00000000-0005-0000-0000-00003C000000}"/>
  </cellStyles>
  <dxfs count="90">
    <dxf>
      <font>
        <color theme="0"/>
      </font>
      <fill>
        <patternFill patternType="none">
          <bgColor auto="1"/>
        </patternFill>
      </fill>
      <border>
        <left/>
        <right/>
        <top/>
        <bottom/>
        <vertical/>
        <horizontal/>
      </border>
    </dxf>
    <dxf>
      <font>
        <color theme="0"/>
      </font>
      <fill>
        <patternFill patternType="none">
          <bgColor indexed="65"/>
        </patternFill>
      </fill>
      <border>
        <left/>
        <right/>
        <top/>
        <bottom/>
      </border>
    </dxf>
    <dxf>
      <font>
        <color theme="0"/>
      </font>
      <fill>
        <patternFill patternType="none">
          <bgColor auto="1"/>
        </patternFill>
      </fill>
      <border>
        <left/>
        <right/>
        <top/>
        <bottom/>
        <vertical/>
        <horizontal/>
      </border>
    </dxf>
    <dxf>
      <font>
        <color theme="0"/>
      </font>
      <fill>
        <patternFill patternType="none">
          <bgColor indexed="65"/>
        </patternFill>
      </fill>
      <border>
        <left/>
        <right/>
        <top/>
        <bottom/>
      </border>
    </dxf>
    <dxf>
      <font>
        <color theme="0"/>
      </font>
      <fill>
        <patternFill patternType="none">
          <bgColor auto="1"/>
        </patternFill>
      </fill>
      <border>
        <left/>
        <right/>
        <top/>
        <bottom/>
        <vertical/>
        <horizontal/>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auto="1"/>
        </patternFill>
      </fill>
      <border>
        <left/>
        <right/>
        <top/>
        <bottom/>
        <vertical/>
        <horizontal/>
      </border>
    </dxf>
    <dxf>
      <font>
        <color theme="0"/>
      </font>
      <fill>
        <patternFill patternType="none">
          <bgColor indexed="65"/>
        </patternFill>
      </fill>
      <border>
        <left/>
        <right/>
        <top/>
        <bottom/>
      </border>
    </dxf>
    <dxf>
      <font>
        <color theme="0"/>
      </font>
      <fill>
        <patternFill patternType="none">
          <bgColor auto="1"/>
        </patternFill>
      </fill>
      <border>
        <left/>
        <right/>
        <top/>
        <bottom/>
        <vertical/>
        <horizontal/>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auto="1"/>
        </patternFill>
      </fill>
      <border>
        <left/>
        <right/>
        <top/>
        <bottom/>
      </border>
    </dxf>
    <dxf>
      <font>
        <color theme="0"/>
      </font>
      <fill>
        <patternFill patternType="none">
          <bgColor indexed="65"/>
        </patternFill>
      </fill>
      <border>
        <left/>
        <right/>
        <top/>
        <bottom/>
      </border>
    </dxf>
    <dxf>
      <border>
        <bottom/>
        <vertical/>
        <horizontal/>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auto="1"/>
        </patternFill>
      </fill>
      <border>
        <left/>
        <right/>
        <top/>
        <bottom/>
        <vertical/>
        <horizontal/>
      </border>
    </dxf>
    <dxf>
      <border>
        <left/>
        <right/>
        <top style="thin">
          <color auto="1"/>
        </top>
        <bottom/>
        <vertical/>
        <horizontal/>
      </border>
    </dxf>
    <dxf>
      <font>
        <color theme="0"/>
      </font>
      <fill>
        <patternFill patternType="none">
          <bgColor auto="1"/>
        </patternFill>
      </fill>
      <border>
        <left/>
        <right/>
        <top/>
        <bottom/>
        <vertical/>
        <horizontal/>
      </border>
    </dxf>
    <dxf>
      <border>
        <left/>
        <right/>
        <top style="thin">
          <color auto="1"/>
        </top>
        <bottom/>
        <vertical/>
        <horizontal/>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dxf>
    <dxf>
      <font>
        <color theme="0"/>
      </font>
      <fill>
        <patternFill patternType="none">
          <bgColor auto="1"/>
        </patternFill>
      </fill>
      <border>
        <left/>
        <right/>
        <top/>
        <bottom/>
        <vertical/>
        <horizontal/>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auto="1"/>
        </patternFill>
      </fill>
      <border>
        <left/>
        <right/>
        <top/>
        <bottom/>
        <vertical/>
        <horizontal/>
      </border>
    </dxf>
    <dxf>
      <font>
        <color theme="0"/>
      </font>
      <fill>
        <patternFill patternType="none">
          <bgColor indexed="65"/>
        </patternFill>
      </fill>
      <border>
        <left/>
        <right/>
        <top/>
        <bottom/>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indexed="65"/>
        </patternFill>
      </fill>
      <border>
        <left/>
        <right/>
        <top/>
        <bottom/>
      </border>
    </dxf>
    <dxf>
      <font>
        <color theme="0"/>
      </font>
      <fill>
        <patternFill patternType="none">
          <bgColor auto="1"/>
        </patternFill>
      </fill>
      <border>
        <left/>
        <right/>
        <top/>
        <bottom/>
        <vertical/>
        <horizontal/>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auto="1"/>
        </patternFill>
      </fill>
      <border>
        <left/>
        <right/>
        <top/>
        <bottom/>
        <vertical/>
        <horizontal/>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name val="Tahoma"/>
        <scheme val="none"/>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name val="Tahoma"/>
        <scheme val="none"/>
      </font>
      <fill>
        <patternFill patternType="none">
          <bgColor indexed="65"/>
        </patternFill>
      </fill>
      <border>
        <left/>
        <right/>
        <top/>
        <bottom/>
      </border>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ill>
        <patternFill>
          <bgColor theme="0" tint="-0.34998626667073579"/>
        </patternFill>
      </fill>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auto="1"/>
        </patternFill>
      </fill>
      <border>
        <left/>
        <right/>
        <top/>
        <bottom/>
        <vertical/>
        <horizontal/>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indexed="65"/>
        </patternFill>
      </fill>
      <border>
        <left/>
        <right/>
        <top/>
        <bottom/>
      </border>
    </dxf>
    <dxf>
      <font>
        <color theme="0"/>
      </font>
      <fill>
        <patternFill patternType="none">
          <bgColor auto="1"/>
        </patternFill>
      </fill>
      <border>
        <left/>
        <right/>
        <top/>
        <bottom/>
        <vertical/>
        <horizontal/>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auto="1"/>
        </patternFill>
      </fill>
      <border>
        <left/>
        <right/>
        <top/>
        <bottom/>
        <vertical/>
        <horizontal/>
      </border>
    </dxf>
    <dxf>
      <font>
        <color theme="0"/>
      </font>
      <fill>
        <patternFill patternType="none">
          <bgColor auto="1"/>
        </patternFill>
      </fill>
      <border>
        <left/>
        <right/>
        <top/>
        <bottom/>
        <vertical/>
        <horizontal/>
      </border>
    </dxf>
    <dxf>
      <font>
        <color theme="0"/>
      </font>
      <fill>
        <patternFill patternType="none">
          <bgColor indexed="65"/>
        </patternFill>
      </fill>
      <border>
        <left/>
        <right/>
        <top/>
        <bottom/>
      </border>
    </dxf>
    <dxf>
      <font>
        <color theme="0"/>
      </font>
      <fill>
        <patternFill patternType="none">
          <bgColor indexed="65"/>
        </patternFill>
      </fill>
      <border>
        <left/>
        <right/>
        <top/>
        <bottom/>
      </border>
    </dxf>
    <dxf>
      <font>
        <color theme="0"/>
      </font>
      <fill>
        <patternFill patternType="none">
          <bgColor auto="1"/>
        </patternFill>
      </fill>
      <border>
        <left/>
        <right/>
        <top/>
        <bottom/>
        <vertical/>
        <horizontal/>
      </border>
    </dxf>
    <dxf>
      <font>
        <color theme="0"/>
      </font>
      <fill>
        <patternFill patternType="none">
          <bgColor indexed="65"/>
        </patternFill>
      </fill>
      <border>
        <left/>
        <right/>
        <top/>
        <bottom/>
      </border>
    </dxf>
    <dxf>
      <font>
        <color theme="0"/>
      </font>
      <fill>
        <patternFill patternType="none">
          <bgColor auto="1"/>
        </patternFill>
      </fill>
      <border>
        <left/>
        <right/>
        <top/>
        <bottom/>
        <vertical/>
        <horizontal/>
      </border>
    </dxf>
  </dxfs>
  <tableStyles count="0" defaultTableStyle="TableStyleMedium9" defaultPivotStyle="PivotStyleLight16"/>
  <colors>
    <mruColors>
      <color rgb="FFFFCCFF"/>
      <color rgb="FFFF00FF"/>
      <color rgb="FFCCFFCC"/>
      <color rgb="FFFF99CC"/>
      <color rgb="FFCC66FF"/>
      <color rgb="FF66FFFF"/>
      <color rgb="FFCC99FF"/>
      <color rgb="FFCCC0DA"/>
      <color rgb="FFFFCC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externalLink" Target="externalLinks/externalLink4.xml"/><Relationship Id="rId50" Type="http://schemas.openxmlformats.org/officeDocument/2006/relationships/externalLink" Target="externalLinks/externalLink7.xml"/><Relationship Id="rId55" Type="http://schemas.openxmlformats.org/officeDocument/2006/relationships/externalLink" Target="externalLinks/externalLink12.xml"/><Relationship Id="rId63" Type="http://schemas.openxmlformats.org/officeDocument/2006/relationships/styles" Target="styles.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externalLink" Target="externalLinks/externalLink2.xml"/><Relationship Id="rId53" Type="http://schemas.openxmlformats.org/officeDocument/2006/relationships/externalLink" Target="externalLinks/externalLink10.xml"/><Relationship Id="rId58" Type="http://schemas.openxmlformats.org/officeDocument/2006/relationships/externalLink" Target="externalLinks/externalLink15.xml"/><Relationship Id="rId66"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6.xml"/><Relationship Id="rId57" Type="http://schemas.openxmlformats.org/officeDocument/2006/relationships/externalLink" Target="externalLinks/externalLink14.xml"/><Relationship Id="rId61" Type="http://schemas.openxmlformats.org/officeDocument/2006/relationships/externalLink" Target="externalLinks/externalLink1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xml"/><Relationship Id="rId52" Type="http://schemas.openxmlformats.org/officeDocument/2006/relationships/externalLink" Target="externalLinks/externalLink9.xml"/><Relationship Id="rId60" Type="http://schemas.openxmlformats.org/officeDocument/2006/relationships/externalLink" Target="externalLinks/externalLink1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externalLink" Target="externalLinks/externalLink5.xml"/><Relationship Id="rId56" Type="http://schemas.openxmlformats.org/officeDocument/2006/relationships/externalLink" Target="externalLinks/externalLink1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3.xml"/><Relationship Id="rId59" Type="http://schemas.openxmlformats.org/officeDocument/2006/relationships/externalLink" Target="externalLinks/externalLink16.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1.xml"/><Relationship Id="rId62" Type="http://schemas.openxmlformats.org/officeDocument/2006/relationships/theme" Target="theme/theme1.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_rels/drawing6.xml.rels><?xml version="1.0" encoding="UTF-8" standalone="yes"?>
<Relationships xmlns="http://schemas.openxmlformats.org/package/2006/relationships"><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8" Type="http://schemas.openxmlformats.org/officeDocument/2006/relationships/image" Target="../media/image13.png"/><Relationship Id="rId3" Type="http://schemas.openxmlformats.org/officeDocument/2006/relationships/image" Target="../media/image8.png"/><Relationship Id="rId7" Type="http://schemas.openxmlformats.org/officeDocument/2006/relationships/image" Target="../media/image12.png"/><Relationship Id="rId2" Type="http://schemas.openxmlformats.org/officeDocument/2006/relationships/image" Target="../media/image7.png"/><Relationship Id="rId1" Type="http://schemas.openxmlformats.org/officeDocument/2006/relationships/image" Target="../media/image6.png"/><Relationship Id="rId6" Type="http://schemas.openxmlformats.org/officeDocument/2006/relationships/image" Target="../media/image11.png"/><Relationship Id="rId5" Type="http://schemas.openxmlformats.org/officeDocument/2006/relationships/image" Target="../media/image10.png"/><Relationship Id="rId10" Type="http://schemas.openxmlformats.org/officeDocument/2006/relationships/image" Target="../media/image15.png"/><Relationship Id="rId4" Type="http://schemas.openxmlformats.org/officeDocument/2006/relationships/image" Target="../media/image9.png"/><Relationship Id="rId9" Type="http://schemas.openxmlformats.org/officeDocument/2006/relationships/image" Target="../media/image14.png"/></Relationships>
</file>

<file path=xl/drawings/_rels/drawing8.xml.rels><?xml version="1.0" encoding="UTF-8" standalone="yes"?>
<Relationships xmlns="http://schemas.openxmlformats.org/package/2006/relationships"><Relationship Id="rId1" Type="http://schemas.openxmlformats.org/officeDocument/2006/relationships/image" Target="../media/image5.png"/></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1" Type="http://schemas.openxmlformats.org/officeDocument/2006/relationships/image" Target="../media/image5.png"/></Relationships>
</file>

<file path=xl/drawings/_rels/drawing12.xml.rels><?xml version="1.0" encoding="UTF-8" standalone="yes"?>
<Relationships xmlns="http://schemas.openxmlformats.org/package/2006/relationships"><Relationship Id="rId1" Type="http://schemas.openxmlformats.org/officeDocument/2006/relationships/image" Target="../media/image5.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6.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5.png"/></Relationships>
</file>

<file path=xl/drawings/_rels/drawing16.xml.rels><?xml version="1.0" encoding="UTF-8" standalone="yes"?>
<Relationships xmlns="http://schemas.openxmlformats.org/package/2006/relationships"><Relationship Id="rId1" Type="http://schemas.openxmlformats.org/officeDocument/2006/relationships/image" Target="../media/image5.png"/></Relationships>
</file>

<file path=xl/drawings/_rels/drawing17.xml.rels><?xml version="1.0" encoding="UTF-8" standalone="yes"?>
<Relationships xmlns="http://schemas.openxmlformats.org/package/2006/relationships"><Relationship Id="rId1" Type="http://schemas.openxmlformats.org/officeDocument/2006/relationships/image" Target="../media/image5.png"/></Relationships>
</file>

<file path=xl/drawings/_rels/drawing18.xml.rels><?xml version="1.0" encoding="UTF-8" standalone="yes"?>
<Relationships xmlns="http://schemas.openxmlformats.org/package/2006/relationships"><Relationship Id="rId1" Type="http://schemas.openxmlformats.org/officeDocument/2006/relationships/image" Target="../media/image5.png"/></Relationships>
</file>

<file path=xl/drawings/_rels/drawing19.xml.rels><?xml version="1.0" encoding="UTF-8" standalone="yes"?>
<Relationships xmlns="http://schemas.openxmlformats.org/package/2006/relationships"><Relationship Id="rId1" Type="http://schemas.openxmlformats.org/officeDocument/2006/relationships/image" Target="../media/image5.png"/></Relationships>
</file>

<file path=xl/drawings/_rels/drawing20.xml.rels><?xml version="1.0" encoding="UTF-8" standalone="yes"?>
<Relationships xmlns="http://schemas.openxmlformats.org/package/2006/relationships"><Relationship Id="rId1" Type="http://schemas.openxmlformats.org/officeDocument/2006/relationships/image" Target="../media/image5.png"/></Relationships>
</file>

<file path=xl/drawings/_rels/drawing21.xml.rels><?xml version="1.0" encoding="UTF-8" standalone="yes"?>
<Relationships xmlns="http://schemas.openxmlformats.org/package/2006/relationships"><Relationship Id="rId1" Type="http://schemas.openxmlformats.org/officeDocument/2006/relationships/image" Target="../media/image5.png"/></Relationships>
</file>

<file path=xl/drawings/_rels/drawing22.xml.rels><?xml version="1.0" encoding="UTF-8" standalone="yes"?>
<Relationships xmlns="http://schemas.openxmlformats.org/package/2006/relationships"><Relationship Id="rId1" Type="http://schemas.openxmlformats.org/officeDocument/2006/relationships/image" Target="../media/image5.png"/></Relationships>
</file>

<file path=xl/drawings/_rels/drawing23.xml.rels><?xml version="1.0" encoding="UTF-8" standalone="yes"?>
<Relationships xmlns="http://schemas.openxmlformats.org/package/2006/relationships"><Relationship Id="rId1" Type="http://schemas.openxmlformats.org/officeDocument/2006/relationships/image" Target="../media/image5.png"/></Relationships>
</file>

<file path=xl/drawings/_rels/drawing24.xml.rels><?xml version="1.0" encoding="UTF-8" standalone="yes"?>
<Relationships xmlns="http://schemas.openxmlformats.org/package/2006/relationships"><Relationship Id="rId1" Type="http://schemas.openxmlformats.org/officeDocument/2006/relationships/image" Target="../media/image5.png"/></Relationships>
</file>

<file path=xl/drawings/_rels/drawing25.xml.rels><?xml version="1.0" encoding="UTF-8" standalone="yes"?>
<Relationships xmlns="http://schemas.openxmlformats.org/package/2006/relationships"><Relationship Id="rId1" Type="http://schemas.openxmlformats.org/officeDocument/2006/relationships/image" Target="../media/image5.png"/></Relationships>
</file>

<file path=xl/drawings/_rels/drawing26.xml.rels><?xml version="1.0" encoding="UTF-8" standalone="yes"?>
<Relationships xmlns="http://schemas.openxmlformats.org/package/2006/relationships"><Relationship Id="rId1" Type="http://schemas.openxmlformats.org/officeDocument/2006/relationships/image" Target="../media/image5.png"/></Relationships>
</file>

<file path=xl/drawings/_rels/drawing2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8.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xdr:col>
      <xdr:colOff>440119</xdr:colOff>
      <xdr:row>0</xdr:row>
      <xdr:rowOff>171450</xdr:rowOff>
    </xdr:from>
    <xdr:to>
      <xdr:col>5</xdr:col>
      <xdr:colOff>1563414</xdr:colOff>
      <xdr:row>10</xdr:row>
      <xdr:rowOff>144517</xdr:rowOff>
    </xdr:to>
    <xdr:sp macro="" textlink="">
      <xdr:nvSpPr>
        <xdr:cNvPr id="2" name="Rectangle 1">
          <a:extLst>
            <a:ext uri="{FF2B5EF4-FFF2-40B4-BE49-F238E27FC236}">
              <a16:creationId xmlns:a16="http://schemas.microsoft.com/office/drawing/2014/main" id="{00000000-0008-0000-0500-000002000000}"/>
            </a:ext>
          </a:extLst>
        </xdr:cNvPr>
        <xdr:cNvSpPr/>
      </xdr:nvSpPr>
      <xdr:spPr bwMode="auto">
        <a:xfrm>
          <a:off x="1659319" y="171450"/>
          <a:ext cx="5761970" cy="4030717"/>
        </a:xfrm>
        <a:prstGeom prst="rect">
          <a:avLst/>
        </a:prstGeom>
        <a:noFill/>
        <a:ln w="38100" cap="flat" cmpd="sng" algn="ctr">
          <a:solidFill>
            <a:srgbClr val="0000CC"/>
          </a:solidFill>
          <a:prstDash val="solid"/>
          <a:round/>
          <a:headEnd type="none" w="med" len="med"/>
          <a:tailEnd type="none" w="med" len="med"/>
        </a:ln>
        <a:effectLst/>
      </xdr:spPr>
      <xdr:txBody>
        <a:bodyPr vertOverflow="clip" wrap="square" lIns="18288" tIns="0" rIns="0" bIns="0" rtlCol="0" anchor="ctr" upright="1"/>
        <a:lstStyle/>
        <a:p>
          <a:pPr algn="l"/>
          <a:endParaRPr lang="th-TH" sz="1100"/>
        </a:p>
      </xdr:txBody>
    </xdr:sp>
    <xdr:clientData/>
  </xdr:twoCellAnchor>
  <mc:AlternateContent xmlns:mc="http://schemas.openxmlformats.org/markup-compatibility/2006">
    <mc:Choice xmlns:a14="http://schemas.microsoft.com/office/drawing/2010/main" Requires="a14">
      <xdr:twoCellAnchor editAs="oneCell">
        <xdr:from>
          <xdr:col>4</xdr:col>
          <xdr:colOff>266700</xdr:colOff>
          <xdr:row>6</xdr:row>
          <xdr:rowOff>107950</xdr:rowOff>
        </xdr:from>
        <xdr:to>
          <xdr:col>4</xdr:col>
          <xdr:colOff>2305050</xdr:colOff>
          <xdr:row>6</xdr:row>
          <xdr:rowOff>603250</xdr:rowOff>
        </xdr:to>
        <xdr:sp macro="" textlink="">
          <xdr:nvSpPr>
            <xdr:cNvPr id="119809" name="cmd_Start" hidden="1">
              <a:extLst>
                <a:ext uri="{63B3BB69-23CF-44E3-9099-C40C66FF867C}">
                  <a14:compatExt spid="_x0000_s119809"/>
                </a:ext>
                <a:ext uri="{FF2B5EF4-FFF2-40B4-BE49-F238E27FC236}">
                  <a16:creationId xmlns:a16="http://schemas.microsoft.com/office/drawing/2014/main" id="{00000000-0008-0000-0500-000001D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4</xdr:col>
      <xdr:colOff>0</xdr:colOff>
      <xdr:row>17</xdr:row>
      <xdr:rowOff>152400</xdr:rowOff>
    </xdr:from>
    <xdr:to>
      <xdr:col>16</xdr:col>
      <xdr:colOff>181396</xdr:colOff>
      <xdr:row>29</xdr:row>
      <xdr:rowOff>104486</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stretch>
          <a:fillRect/>
        </a:stretch>
      </xdr:blipFill>
      <xdr:spPr>
        <a:xfrm>
          <a:off x="6991350" y="6648450"/>
          <a:ext cx="8658646" cy="3323936"/>
        </a:xfrm>
        <a:prstGeom prst="rect">
          <a:avLst/>
        </a:prstGeom>
      </xdr:spPr>
    </xdr:pic>
    <xdr:clientData/>
  </xdr:twoCellAnchor>
  <xdr:twoCellAnchor editAs="oneCell">
    <xdr:from>
      <xdr:col>0</xdr:col>
      <xdr:colOff>209550</xdr:colOff>
      <xdr:row>31</xdr:row>
      <xdr:rowOff>76200</xdr:rowOff>
    </xdr:from>
    <xdr:to>
      <xdr:col>5</xdr:col>
      <xdr:colOff>18033</xdr:colOff>
      <xdr:row>36</xdr:row>
      <xdr:rowOff>104599</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stretch>
          <a:fillRect/>
        </a:stretch>
      </xdr:blipFill>
      <xdr:spPr>
        <a:xfrm>
          <a:off x="209550" y="10496550"/>
          <a:ext cx="8133333" cy="1409524"/>
        </a:xfrm>
        <a:prstGeom prst="rect">
          <a:avLst/>
        </a:prstGeom>
      </xdr:spPr>
    </xdr:pic>
    <xdr:clientData/>
  </xdr:twoCellAnchor>
  <xdr:twoCellAnchor editAs="oneCell">
    <xdr:from>
      <xdr:col>0</xdr:col>
      <xdr:colOff>104775</xdr:colOff>
      <xdr:row>36</xdr:row>
      <xdr:rowOff>104775</xdr:rowOff>
    </xdr:from>
    <xdr:to>
      <xdr:col>7</xdr:col>
      <xdr:colOff>265432</xdr:colOff>
      <xdr:row>49</xdr:row>
      <xdr:rowOff>161469</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stretch>
          <a:fillRect/>
        </a:stretch>
      </xdr:blipFill>
      <xdr:spPr>
        <a:xfrm>
          <a:off x="104775" y="11906250"/>
          <a:ext cx="10142857" cy="3647619"/>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1783</xdr:colOff>
      <xdr:row>1</xdr:row>
      <xdr:rowOff>4497</xdr:rowOff>
    </xdr:from>
    <xdr:to>
      <xdr:col>1</xdr:col>
      <xdr:colOff>380338</xdr:colOff>
      <xdr:row>2</xdr:row>
      <xdr:rowOff>37286</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1"/>
        <a:stretch>
          <a:fillRect/>
        </a:stretch>
      </xdr:blipFill>
      <xdr:spPr>
        <a:xfrm>
          <a:off x="1783" y="61647"/>
          <a:ext cx="988155" cy="47093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2072</xdr:colOff>
      <xdr:row>0</xdr:row>
      <xdr:rowOff>9570</xdr:rowOff>
    </xdr:from>
    <xdr:to>
      <xdr:col>0</xdr:col>
      <xdr:colOff>1095393</xdr:colOff>
      <xdr:row>1</xdr:row>
      <xdr:rowOff>29688</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a:blip xmlns:r="http://schemas.openxmlformats.org/officeDocument/2006/relationships" r:embed="rId1"/>
        <a:stretch>
          <a:fillRect/>
        </a:stretch>
      </xdr:blipFill>
      <xdr:spPr>
        <a:xfrm>
          <a:off x="2072" y="9570"/>
          <a:ext cx="1086971" cy="51803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145576</xdr:colOff>
      <xdr:row>0</xdr:row>
      <xdr:rowOff>54383</xdr:rowOff>
    </xdr:from>
    <xdr:to>
      <xdr:col>2</xdr:col>
      <xdr:colOff>575838</xdr:colOff>
      <xdr:row>2</xdr:row>
      <xdr:rowOff>35465</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a:stretch>
          <a:fillRect/>
        </a:stretch>
      </xdr:blipFill>
      <xdr:spPr>
        <a:xfrm>
          <a:off x="145576" y="54383"/>
          <a:ext cx="988155" cy="47093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145576</xdr:colOff>
      <xdr:row>0</xdr:row>
      <xdr:rowOff>54383</xdr:rowOff>
    </xdr:from>
    <xdr:to>
      <xdr:col>2</xdr:col>
      <xdr:colOff>575838</xdr:colOff>
      <xdr:row>2</xdr:row>
      <xdr:rowOff>35465</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145576" y="54383"/>
          <a:ext cx="982712" cy="47638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828675</xdr:colOff>
      <xdr:row>104</xdr:row>
      <xdr:rowOff>171450</xdr:rowOff>
    </xdr:from>
    <xdr:to>
      <xdr:col>11</xdr:col>
      <xdr:colOff>737160</xdr:colOff>
      <xdr:row>139</xdr:row>
      <xdr:rowOff>263525</xdr:rowOff>
    </xdr:to>
    <xdr:pic>
      <xdr:nvPicPr>
        <xdr:cNvPr id="54306" name="Picture 38">
          <a:extLst>
            <a:ext uri="{FF2B5EF4-FFF2-40B4-BE49-F238E27FC236}">
              <a16:creationId xmlns:a16="http://schemas.microsoft.com/office/drawing/2014/main" id="{00000000-0008-0000-0B00-000022D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28675" y="31108650"/>
          <a:ext cx="12258675" cy="9753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1">
              <a:solidFill>
                <a:srgbClr val="000000"/>
              </a:solidFill>
              <a:miter lim="800000"/>
              <a:headEnd/>
              <a:tailEnd/>
            </a14:hiddenLine>
          </a:ext>
        </a:extLst>
      </xdr:spPr>
    </xdr:pic>
    <xdr:clientData/>
  </xdr:twoCellAnchor>
  <xdr:twoCellAnchor editAs="oneCell">
    <xdr:from>
      <xdr:col>12</xdr:col>
      <xdr:colOff>497060</xdr:colOff>
      <xdr:row>36</xdr:row>
      <xdr:rowOff>117394</xdr:rowOff>
    </xdr:from>
    <xdr:to>
      <xdr:col>21</xdr:col>
      <xdr:colOff>85643</xdr:colOff>
      <xdr:row>45</xdr:row>
      <xdr:rowOff>258506</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a:blip xmlns:r="http://schemas.openxmlformats.org/officeDocument/2006/relationships" r:embed="rId2"/>
        <a:stretch>
          <a:fillRect/>
        </a:stretch>
      </xdr:blipFill>
      <xdr:spPr>
        <a:xfrm>
          <a:off x="13936835" y="10090069"/>
          <a:ext cx="5494083" cy="2726469"/>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15</xdr:col>
      <xdr:colOff>294727</xdr:colOff>
      <xdr:row>14</xdr:row>
      <xdr:rowOff>108134</xdr:rowOff>
    </xdr:from>
    <xdr:to>
      <xdr:col>26</xdr:col>
      <xdr:colOff>65743</xdr:colOff>
      <xdr:row>24</xdr:row>
      <xdr:rowOff>9524</xdr:rowOff>
    </xdr:to>
    <xdr:pic>
      <xdr:nvPicPr>
        <xdr:cNvPr id="6" name="Picture 5">
          <a:extLst>
            <a:ext uri="{FF2B5EF4-FFF2-40B4-BE49-F238E27FC236}">
              <a16:creationId xmlns:a16="http://schemas.microsoft.com/office/drawing/2014/main" id="{00000000-0008-0000-0B00-000006000000}"/>
            </a:ext>
          </a:extLst>
        </xdr:cNvPr>
        <xdr:cNvPicPr>
          <a:picLocks noChangeAspect="1"/>
        </xdr:cNvPicPr>
      </xdr:nvPicPr>
      <xdr:blipFill>
        <a:blip xmlns:r="http://schemas.openxmlformats.org/officeDocument/2006/relationships" r:embed="rId3"/>
        <a:stretch>
          <a:fillRect/>
        </a:stretch>
      </xdr:blipFill>
      <xdr:spPr>
        <a:xfrm>
          <a:off x="15001327" y="3994334"/>
          <a:ext cx="6476616" cy="2663640"/>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15</xdr:col>
      <xdr:colOff>168087</xdr:colOff>
      <xdr:row>0</xdr:row>
      <xdr:rowOff>120436</xdr:rowOff>
    </xdr:from>
    <xdr:to>
      <xdr:col>26</xdr:col>
      <xdr:colOff>183860</xdr:colOff>
      <xdr:row>12</xdr:row>
      <xdr:rowOff>64029</xdr:rowOff>
    </xdr:to>
    <xdr:pic>
      <xdr:nvPicPr>
        <xdr:cNvPr id="7" name="Picture 6">
          <a:extLst>
            <a:ext uri="{FF2B5EF4-FFF2-40B4-BE49-F238E27FC236}">
              <a16:creationId xmlns:a16="http://schemas.microsoft.com/office/drawing/2014/main" id="{00000000-0008-0000-0B00-000007000000}"/>
            </a:ext>
          </a:extLst>
        </xdr:cNvPr>
        <xdr:cNvPicPr>
          <a:picLocks noChangeAspect="1"/>
        </xdr:cNvPicPr>
      </xdr:nvPicPr>
      <xdr:blipFill>
        <a:blip xmlns:r="http://schemas.openxmlformats.org/officeDocument/2006/relationships" r:embed="rId4"/>
        <a:stretch>
          <a:fillRect/>
        </a:stretch>
      </xdr:blipFill>
      <xdr:spPr>
        <a:xfrm>
          <a:off x="14567646" y="120436"/>
          <a:ext cx="6672067" cy="330535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15</xdr:col>
      <xdr:colOff>51954</xdr:colOff>
      <xdr:row>12</xdr:row>
      <xdr:rowOff>89009</xdr:rowOff>
    </xdr:from>
    <xdr:to>
      <xdr:col>26</xdr:col>
      <xdr:colOff>69273</xdr:colOff>
      <xdr:row>13</xdr:row>
      <xdr:rowOff>110992</xdr:rowOff>
    </xdr:to>
    <xdr:pic>
      <xdr:nvPicPr>
        <xdr:cNvPr id="8" name="Picture 7">
          <a:extLst>
            <a:ext uri="{FF2B5EF4-FFF2-40B4-BE49-F238E27FC236}">
              <a16:creationId xmlns:a16="http://schemas.microsoft.com/office/drawing/2014/main" id="{00000000-0008-0000-0B00-000008000000}"/>
            </a:ext>
          </a:extLst>
        </xdr:cNvPr>
        <xdr:cNvPicPr>
          <a:picLocks noChangeAspect="1"/>
        </xdr:cNvPicPr>
      </xdr:nvPicPr>
      <xdr:blipFill>
        <a:blip xmlns:r="http://schemas.openxmlformats.org/officeDocument/2006/relationships" r:embed="rId5"/>
        <a:stretch>
          <a:fillRect/>
        </a:stretch>
      </xdr:blipFill>
      <xdr:spPr>
        <a:xfrm>
          <a:off x="14772409" y="3448736"/>
          <a:ext cx="6684819" cy="299073"/>
        </a:xfrm>
        <a:prstGeom prst="rect">
          <a:avLst/>
        </a:prstGeom>
      </xdr:spPr>
    </xdr:pic>
    <xdr:clientData/>
  </xdr:twoCellAnchor>
  <xdr:twoCellAnchor editAs="oneCell">
    <xdr:from>
      <xdr:col>12</xdr:col>
      <xdr:colOff>515629</xdr:colOff>
      <xdr:row>48</xdr:row>
      <xdr:rowOff>94689</xdr:rowOff>
    </xdr:from>
    <xdr:to>
      <xdr:col>23</xdr:col>
      <xdr:colOff>212378</xdr:colOff>
      <xdr:row>64</xdr:row>
      <xdr:rowOff>159918</xdr:rowOff>
    </xdr:to>
    <xdr:pic>
      <xdr:nvPicPr>
        <xdr:cNvPr id="9" name="Picture 8">
          <a:extLst>
            <a:ext uri="{FF2B5EF4-FFF2-40B4-BE49-F238E27FC236}">
              <a16:creationId xmlns:a16="http://schemas.microsoft.com/office/drawing/2014/main" id="{00000000-0008-0000-0B00-000009000000}"/>
            </a:ext>
          </a:extLst>
        </xdr:cNvPr>
        <xdr:cNvPicPr>
          <a:picLocks noChangeAspect="1"/>
        </xdr:cNvPicPr>
      </xdr:nvPicPr>
      <xdr:blipFill>
        <a:blip xmlns:r="http://schemas.openxmlformats.org/officeDocument/2006/relationships" r:embed="rId6"/>
        <a:stretch>
          <a:fillRect/>
        </a:stretch>
      </xdr:blipFill>
      <xdr:spPr>
        <a:xfrm>
          <a:off x="13955404" y="13382064"/>
          <a:ext cx="6821449" cy="4574477"/>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12</xdr:col>
      <xdr:colOff>525235</xdr:colOff>
      <xdr:row>66</xdr:row>
      <xdr:rowOff>134470</xdr:rowOff>
    </xdr:from>
    <xdr:to>
      <xdr:col>23</xdr:col>
      <xdr:colOff>57363</xdr:colOff>
      <xdr:row>79</xdr:row>
      <xdr:rowOff>216367</xdr:rowOff>
    </xdr:to>
    <xdr:pic>
      <xdr:nvPicPr>
        <xdr:cNvPr id="10" name="Picture 9">
          <a:extLst>
            <a:ext uri="{FF2B5EF4-FFF2-40B4-BE49-F238E27FC236}">
              <a16:creationId xmlns:a16="http://schemas.microsoft.com/office/drawing/2014/main" id="{00000000-0008-0000-0B00-00000A000000}"/>
            </a:ext>
          </a:extLst>
        </xdr:cNvPr>
        <xdr:cNvPicPr>
          <a:picLocks noChangeAspect="1"/>
        </xdr:cNvPicPr>
      </xdr:nvPicPr>
      <xdr:blipFill>
        <a:blip xmlns:r="http://schemas.openxmlformats.org/officeDocument/2006/relationships" r:embed="rId7"/>
        <a:stretch>
          <a:fillRect/>
        </a:stretch>
      </xdr:blipFill>
      <xdr:spPr>
        <a:xfrm>
          <a:off x="13965010" y="18393895"/>
          <a:ext cx="6656828" cy="3672822"/>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15</xdr:col>
      <xdr:colOff>246529</xdr:colOff>
      <xdr:row>24</xdr:row>
      <xdr:rowOff>224118</xdr:rowOff>
    </xdr:from>
    <xdr:to>
      <xdr:col>30</xdr:col>
      <xdr:colOff>167867</xdr:colOff>
      <xdr:row>31</xdr:row>
      <xdr:rowOff>1957</xdr:rowOff>
    </xdr:to>
    <xdr:pic>
      <xdr:nvPicPr>
        <xdr:cNvPr id="2" name="Picture 1">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8"/>
        <a:stretch>
          <a:fillRect/>
        </a:stretch>
      </xdr:blipFill>
      <xdr:spPr>
        <a:xfrm>
          <a:off x="15127941" y="7227794"/>
          <a:ext cx="8998103" cy="1750075"/>
        </a:xfrm>
        <a:prstGeom prst="rect">
          <a:avLst/>
        </a:prstGeom>
      </xdr:spPr>
    </xdr:pic>
    <xdr:clientData/>
  </xdr:twoCellAnchor>
  <xdr:twoCellAnchor editAs="oneCell">
    <xdr:from>
      <xdr:col>0</xdr:col>
      <xdr:colOff>447434</xdr:colOff>
      <xdr:row>43</xdr:row>
      <xdr:rowOff>76040</xdr:rowOff>
    </xdr:from>
    <xdr:to>
      <xdr:col>10</xdr:col>
      <xdr:colOff>665451</xdr:colOff>
      <xdr:row>53</xdr:row>
      <xdr:rowOff>217426</xdr:rowOff>
    </xdr:to>
    <xdr:pic>
      <xdr:nvPicPr>
        <xdr:cNvPr id="11" name="Picture 10">
          <a:extLst>
            <a:ext uri="{FF2B5EF4-FFF2-40B4-BE49-F238E27FC236}">
              <a16:creationId xmlns:a16="http://schemas.microsoft.com/office/drawing/2014/main" id="{00000000-0008-0000-0B00-00000B000000}"/>
            </a:ext>
          </a:extLst>
        </xdr:cNvPr>
        <xdr:cNvPicPr>
          <a:picLocks noChangeAspect="1"/>
        </xdr:cNvPicPr>
      </xdr:nvPicPr>
      <xdr:blipFill>
        <a:blip xmlns:r="http://schemas.openxmlformats.org/officeDocument/2006/relationships" r:embed="rId9"/>
        <a:stretch>
          <a:fillRect/>
        </a:stretch>
      </xdr:blipFill>
      <xdr:spPr>
        <a:xfrm>
          <a:off x="447434" y="11819004"/>
          <a:ext cx="11507410" cy="2862815"/>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414618</xdr:colOff>
      <xdr:row>57</xdr:row>
      <xdr:rowOff>168089</xdr:rowOff>
    </xdr:from>
    <xdr:to>
      <xdr:col>4</xdr:col>
      <xdr:colOff>476757</xdr:colOff>
      <xdr:row>66</xdr:row>
      <xdr:rowOff>265813</xdr:rowOff>
    </xdr:to>
    <xdr:pic>
      <xdr:nvPicPr>
        <xdr:cNvPr id="12" name="Picture 11">
          <a:extLst>
            <a:ext uri="{FF2B5EF4-FFF2-40B4-BE49-F238E27FC236}">
              <a16:creationId xmlns:a16="http://schemas.microsoft.com/office/drawing/2014/main" id="{00000000-0008-0000-0B00-00000C000000}"/>
            </a:ext>
          </a:extLst>
        </xdr:cNvPr>
        <xdr:cNvPicPr>
          <a:picLocks noChangeAspect="1"/>
        </xdr:cNvPicPr>
      </xdr:nvPicPr>
      <xdr:blipFill>
        <a:blip xmlns:r="http://schemas.openxmlformats.org/officeDocument/2006/relationships" r:embed="rId10"/>
        <a:stretch>
          <a:fillRect/>
        </a:stretch>
      </xdr:blipFill>
      <xdr:spPr>
        <a:xfrm>
          <a:off x="414618" y="16259736"/>
          <a:ext cx="4914286" cy="2619048"/>
        </a:xfrm>
        <a:prstGeom prst="rect">
          <a:avLst/>
        </a:prstGeom>
        <a:ln w="3810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48780</xdr:rowOff>
    </xdr:from>
    <xdr:to>
      <xdr:col>0</xdr:col>
      <xdr:colOff>991330</xdr:colOff>
      <xdr:row>2</xdr:row>
      <xdr:rowOff>26660</xdr:rowOff>
    </xdr:to>
    <xdr:pic>
      <xdr:nvPicPr>
        <xdr:cNvPr id="2" name="Picture 1">
          <a:extLst>
            <a:ext uri="{FF2B5EF4-FFF2-40B4-BE49-F238E27FC236}">
              <a16:creationId xmlns:a16="http://schemas.microsoft.com/office/drawing/2014/main" id="{69B1CE75-160A-4B53-B775-BB8C3D9358A6}"/>
            </a:ext>
          </a:extLst>
        </xdr:cNvPr>
        <xdr:cNvPicPr>
          <a:picLocks noChangeAspect="1"/>
        </xdr:cNvPicPr>
      </xdr:nvPicPr>
      <xdr:blipFill>
        <a:blip xmlns:r="http://schemas.openxmlformats.org/officeDocument/2006/relationships" r:embed="rId1"/>
        <a:stretch>
          <a:fillRect/>
        </a:stretch>
      </xdr:blipFill>
      <xdr:spPr>
        <a:xfrm>
          <a:off x="0" y="48780"/>
          <a:ext cx="991330" cy="48588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48780</xdr:rowOff>
    </xdr:from>
    <xdr:to>
      <xdr:col>0</xdr:col>
      <xdr:colOff>988155</xdr:colOff>
      <xdr:row>2</xdr:row>
      <xdr:rowOff>26660</xdr:rowOff>
    </xdr:to>
    <xdr:pic>
      <xdr:nvPicPr>
        <xdr:cNvPr id="3" name="Picture 2">
          <a:extLst>
            <a:ext uri="{FF2B5EF4-FFF2-40B4-BE49-F238E27FC236}">
              <a16:creationId xmlns:a16="http://schemas.microsoft.com/office/drawing/2014/main" id="{00000000-0008-0000-1000-000003000000}"/>
            </a:ext>
          </a:extLst>
        </xdr:cNvPr>
        <xdr:cNvPicPr>
          <a:picLocks noChangeAspect="1"/>
        </xdr:cNvPicPr>
      </xdr:nvPicPr>
      <xdr:blipFill>
        <a:blip xmlns:r="http://schemas.openxmlformats.org/officeDocument/2006/relationships" r:embed="rId1"/>
        <a:stretch>
          <a:fillRect/>
        </a:stretch>
      </xdr:blipFill>
      <xdr:spPr>
        <a:xfrm>
          <a:off x="0" y="48780"/>
          <a:ext cx="988155" cy="47093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37574</xdr:rowOff>
    </xdr:from>
    <xdr:to>
      <xdr:col>0</xdr:col>
      <xdr:colOff>988155</xdr:colOff>
      <xdr:row>2</xdr:row>
      <xdr:rowOff>15454</xdr:rowOff>
    </xdr:to>
    <xdr:pic>
      <xdr:nvPicPr>
        <xdr:cNvPr id="4" name="Picture 3">
          <a:extLst>
            <a:ext uri="{FF2B5EF4-FFF2-40B4-BE49-F238E27FC236}">
              <a16:creationId xmlns:a16="http://schemas.microsoft.com/office/drawing/2014/main" id="{00000000-0008-0000-1100-000004000000}"/>
            </a:ext>
          </a:extLst>
        </xdr:cNvPr>
        <xdr:cNvPicPr>
          <a:picLocks noChangeAspect="1"/>
        </xdr:cNvPicPr>
      </xdr:nvPicPr>
      <xdr:blipFill>
        <a:blip xmlns:r="http://schemas.openxmlformats.org/officeDocument/2006/relationships" r:embed="rId1"/>
        <a:stretch>
          <a:fillRect/>
        </a:stretch>
      </xdr:blipFill>
      <xdr:spPr>
        <a:xfrm>
          <a:off x="0" y="37574"/>
          <a:ext cx="988155" cy="470939"/>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xdr:col>
      <xdr:colOff>403412</xdr:colOff>
      <xdr:row>3</xdr:row>
      <xdr:rowOff>2563</xdr:rowOff>
    </xdr:to>
    <xdr:pic>
      <xdr:nvPicPr>
        <xdr:cNvPr id="3" name="Picture 2">
          <a:extLst>
            <a:ext uri="{FF2B5EF4-FFF2-40B4-BE49-F238E27FC236}">
              <a16:creationId xmlns:a16="http://schemas.microsoft.com/office/drawing/2014/main" id="{00000000-0008-0000-1200-000003000000}"/>
            </a:ext>
          </a:extLst>
        </xdr:cNvPr>
        <xdr:cNvPicPr>
          <a:picLocks noChangeAspect="1"/>
        </xdr:cNvPicPr>
      </xdr:nvPicPr>
      <xdr:blipFill>
        <a:blip xmlns:r="http://schemas.openxmlformats.org/officeDocument/2006/relationships" r:embed="rId1"/>
        <a:stretch>
          <a:fillRect/>
        </a:stretch>
      </xdr:blipFill>
      <xdr:spPr>
        <a:xfrm>
          <a:off x="0" y="44824"/>
          <a:ext cx="1086971" cy="518033"/>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171426</xdr:colOff>
      <xdr:row>0</xdr:row>
      <xdr:rowOff>82958</xdr:rowOff>
    </xdr:from>
    <xdr:to>
      <xdr:col>2</xdr:col>
      <xdr:colOff>292806</xdr:colOff>
      <xdr:row>2</xdr:row>
      <xdr:rowOff>30022</xdr:rowOff>
    </xdr:to>
    <xdr:pic>
      <xdr:nvPicPr>
        <xdr:cNvPr id="3" name="Picture 2">
          <a:extLst>
            <a:ext uri="{FF2B5EF4-FFF2-40B4-BE49-F238E27FC236}">
              <a16:creationId xmlns:a16="http://schemas.microsoft.com/office/drawing/2014/main" id="{00000000-0008-0000-1300-000003000000}"/>
            </a:ext>
          </a:extLst>
        </xdr:cNvPr>
        <xdr:cNvPicPr>
          <a:picLocks noChangeAspect="1"/>
        </xdr:cNvPicPr>
      </xdr:nvPicPr>
      <xdr:blipFill>
        <a:blip xmlns:r="http://schemas.openxmlformats.org/officeDocument/2006/relationships" r:embed="rId1"/>
        <a:stretch>
          <a:fillRect/>
        </a:stretch>
      </xdr:blipFill>
      <xdr:spPr>
        <a:xfrm>
          <a:off x="171426" y="82958"/>
          <a:ext cx="988155" cy="470939"/>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57150</xdr:colOff>
      <xdr:row>1</xdr:row>
      <xdr:rowOff>0</xdr:rowOff>
    </xdr:from>
    <xdr:to>
      <xdr:col>3</xdr:col>
      <xdr:colOff>409575</xdr:colOff>
      <xdr:row>2</xdr:row>
      <xdr:rowOff>9525</xdr:rowOff>
    </xdr:to>
    <xdr:pic>
      <xdr:nvPicPr>
        <xdr:cNvPr id="45305" name="Picture 22">
          <a:extLst>
            <a:ext uri="{FF2B5EF4-FFF2-40B4-BE49-F238E27FC236}">
              <a16:creationId xmlns:a16="http://schemas.microsoft.com/office/drawing/2014/main" id="{00000000-0008-0000-1400-0000F9B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38125" y="95250"/>
          <a:ext cx="1171575"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171426</xdr:colOff>
      <xdr:row>0</xdr:row>
      <xdr:rowOff>82958</xdr:rowOff>
    </xdr:from>
    <xdr:to>
      <xdr:col>2</xdr:col>
      <xdr:colOff>292806</xdr:colOff>
      <xdr:row>2</xdr:row>
      <xdr:rowOff>30022</xdr:rowOff>
    </xdr:to>
    <xdr:pic>
      <xdr:nvPicPr>
        <xdr:cNvPr id="2" name="Picture 1">
          <a:extLst>
            <a:ext uri="{FF2B5EF4-FFF2-40B4-BE49-F238E27FC236}">
              <a16:creationId xmlns:a16="http://schemas.microsoft.com/office/drawing/2014/main" id="{BD5446B3-8564-4F28-A3E9-CDB58BE6233F}"/>
            </a:ext>
          </a:extLst>
        </xdr:cNvPr>
        <xdr:cNvPicPr>
          <a:picLocks noChangeAspect="1"/>
        </xdr:cNvPicPr>
      </xdr:nvPicPr>
      <xdr:blipFill>
        <a:blip xmlns:r="http://schemas.openxmlformats.org/officeDocument/2006/relationships" r:embed="rId1"/>
        <a:stretch>
          <a:fillRect/>
        </a:stretch>
      </xdr:blipFill>
      <xdr:spPr>
        <a:xfrm>
          <a:off x="171426" y="82958"/>
          <a:ext cx="946880" cy="47411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0</xdr:row>
      <xdr:rowOff>47774</xdr:rowOff>
    </xdr:from>
    <xdr:to>
      <xdr:col>1</xdr:col>
      <xdr:colOff>113911</xdr:colOff>
      <xdr:row>2</xdr:row>
      <xdr:rowOff>16459</xdr:rowOff>
    </xdr:to>
    <xdr:pic>
      <xdr:nvPicPr>
        <xdr:cNvPr id="3" name="Picture 2">
          <a:extLst>
            <a:ext uri="{FF2B5EF4-FFF2-40B4-BE49-F238E27FC236}">
              <a16:creationId xmlns:a16="http://schemas.microsoft.com/office/drawing/2014/main" id="{00000000-0008-0000-1800-000003000000}"/>
            </a:ext>
          </a:extLst>
        </xdr:cNvPr>
        <xdr:cNvPicPr>
          <a:picLocks noChangeAspect="1"/>
        </xdr:cNvPicPr>
      </xdr:nvPicPr>
      <xdr:blipFill>
        <a:blip xmlns:r="http://schemas.openxmlformats.org/officeDocument/2006/relationships" r:embed="rId1"/>
        <a:stretch>
          <a:fillRect/>
        </a:stretch>
      </xdr:blipFill>
      <xdr:spPr>
        <a:xfrm>
          <a:off x="0" y="47774"/>
          <a:ext cx="898323" cy="428126"/>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816657</xdr:colOff>
      <xdr:row>2</xdr:row>
      <xdr:rowOff>36780</xdr:rowOff>
    </xdr:to>
    <xdr:pic>
      <xdr:nvPicPr>
        <xdr:cNvPr id="3" name="Picture 2">
          <a:extLst>
            <a:ext uri="{FF2B5EF4-FFF2-40B4-BE49-F238E27FC236}">
              <a16:creationId xmlns:a16="http://schemas.microsoft.com/office/drawing/2014/main" id="{00000000-0008-0000-1900-000003000000}"/>
            </a:ext>
          </a:extLst>
        </xdr:cNvPr>
        <xdr:cNvPicPr>
          <a:picLocks noChangeAspect="1"/>
        </xdr:cNvPicPr>
      </xdr:nvPicPr>
      <xdr:blipFill>
        <a:blip xmlns:r="http://schemas.openxmlformats.org/officeDocument/2006/relationships" r:embed="rId1"/>
        <a:stretch>
          <a:fillRect/>
        </a:stretch>
      </xdr:blipFill>
      <xdr:spPr>
        <a:xfrm>
          <a:off x="0" y="57150"/>
          <a:ext cx="816657" cy="38920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816657</xdr:colOff>
      <xdr:row>2</xdr:row>
      <xdr:rowOff>36780</xdr:rowOff>
    </xdr:to>
    <xdr:pic>
      <xdr:nvPicPr>
        <xdr:cNvPr id="2" name="Picture 1">
          <a:extLst>
            <a:ext uri="{FF2B5EF4-FFF2-40B4-BE49-F238E27FC236}">
              <a16:creationId xmlns:a16="http://schemas.microsoft.com/office/drawing/2014/main" id="{2AA73715-2CD0-4A0C-8810-7E49EFCE3173}"/>
            </a:ext>
          </a:extLst>
        </xdr:cNvPr>
        <xdr:cNvPicPr>
          <a:picLocks noChangeAspect="1"/>
        </xdr:cNvPicPr>
      </xdr:nvPicPr>
      <xdr:blipFill>
        <a:blip xmlns:r="http://schemas.openxmlformats.org/officeDocument/2006/relationships" r:embed="rId1"/>
        <a:stretch>
          <a:fillRect/>
        </a:stretch>
      </xdr:blipFill>
      <xdr:spPr>
        <a:xfrm>
          <a:off x="0" y="63500"/>
          <a:ext cx="816657" cy="39238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oneCellAnchor>
    <xdr:from>
      <xdr:col>0</xdr:col>
      <xdr:colOff>0</xdr:colOff>
      <xdr:row>1</xdr:row>
      <xdr:rowOff>0</xdr:rowOff>
    </xdr:from>
    <xdr:ext cx="816657" cy="397576"/>
    <xdr:pic>
      <xdr:nvPicPr>
        <xdr:cNvPr id="2" name="Picture 1">
          <a:extLst>
            <a:ext uri="{FF2B5EF4-FFF2-40B4-BE49-F238E27FC236}">
              <a16:creationId xmlns:a16="http://schemas.microsoft.com/office/drawing/2014/main" id="{7E49D132-1206-48F4-976C-11B692EDA013}"/>
            </a:ext>
          </a:extLst>
        </xdr:cNvPr>
        <xdr:cNvPicPr>
          <a:picLocks noChangeAspect="1"/>
        </xdr:cNvPicPr>
      </xdr:nvPicPr>
      <xdr:blipFill>
        <a:blip xmlns:r="http://schemas.openxmlformats.org/officeDocument/2006/relationships" r:embed="rId1"/>
        <a:stretch>
          <a:fillRect/>
        </a:stretch>
      </xdr:blipFill>
      <xdr:spPr>
        <a:xfrm>
          <a:off x="0" y="63500"/>
          <a:ext cx="816657" cy="397576"/>
        </a:xfrm>
        <a:prstGeom prst="rect">
          <a:avLst/>
        </a:prstGeom>
      </xdr:spPr>
    </xdr:pic>
    <xdr:clientData/>
  </xdr:oneCellAnchor>
</xdr:wsDr>
</file>

<file path=xl/drawings/drawing19.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816657</xdr:colOff>
      <xdr:row>2</xdr:row>
      <xdr:rowOff>36780</xdr:rowOff>
    </xdr:to>
    <xdr:pic>
      <xdr:nvPicPr>
        <xdr:cNvPr id="2" name="Picture 1">
          <a:extLst>
            <a:ext uri="{FF2B5EF4-FFF2-40B4-BE49-F238E27FC236}">
              <a16:creationId xmlns:a16="http://schemas.microsoft.com/office/drawing/2014/main" id="{F5EFDC55-1824-4599-84F8-3264474292BA}"/>
            </a:ext>
          </a:extLst>
        </xdr:cNvPr>
        <xdr:cNvPicPr>
          <a:picLocks noChangeAspect="1"/>
        </xdr:cNvPicPr>
      </xdr:nvPicPr>
      <xdr:blipFill>
        <a:blip xmlns:r="http://schemas.openxmlformats.org/officeDocument/2006/relationships" r:embed="rId1"/>
        <a:stretch>
          <a:fillRect/>
        </a:stretch>
      </xdr:blipFill>
      <xdr:spPr>
        <a:xfrm>
          <a:off x="0" y="63500"/>
          <a:ext cx="816657" cy="39238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xdr:col>
      <xdr:colOff>452182</xdr:colOff>
      <xdr:row>2</xdr:row>
      <xdr:rowOff>36780</xdr:rowOff>
    </xdr:to>
    <xdr:pic>
      <xdr:nvPicPr>
        <xdr:cNvPr id="2" name="Picture 1">
          <a:extLst>
            <a:ext uri="{FF2B5EF4-FFF2-40B4-BE49-F238E27FC236}">
              <a16:creationId xmlns:a16="http://schemas.microsoft.com/office/drawing/2014/main" id="{D5006CC7-FB54-4BE1-A71F-121B7B26BE55}"/>
            </a:ext>
          </a:extLst>
        </xdr:cNvPr>
        <xdr:cNvPicPr>
          <a:picLocks noChangeAspect="1"/>
        </xdr:cNvPicPr>
      </xdr:nvPicPr>
      <xdr:blipFill>
        <a:blip xmlns:r="http://schemas.openxmlformats.org/officeDocument/2006/relationships" r:embed="rId1"/>
        <a:stretch>
          <a:fillRect/>
        </a:stretch>
      </xdr:blipFill>
      <xdr:spPr>
        <a:xfrm>
          <a:off x="0" y="63500"/>
          <a:ext cx="820482" cy="39238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816657</xdr:colOff>
      <xdr:row>2</xdr:row>
      <xdr:rowOff>36780</xdr:rowOff>
    </xdr:to>
    <xdr:pic>
      <xdr:nvPicPr>
        <xdr:cNvPr id="3" name="Picture 2">
          <a:extLst>
            <a:ext uri="{FF2B5EF4-FFF2-40B4-BE49-F238E27FC236}">
              <a16:creationId xmlns:a16="http://schemas.microsoft.com/office/drawing/2014/main" id="{00000000-0008-0000-1A00-000003000000}"/>
            </a:ext>
          </a:extLst>
        </xdr:cNvPr>
        <xdr:cNvPicPr>
          <a:picLocks noChangeAspect="1"/>
        </xdr:cNvPicPr>
      </xdr:nvPicPr>
      <xdr:blipFill>
        <a:blip xmlns:r="http://schemas.openxmlformats.org/officeDocument/2006/relationships" r:embed="rId1"/>
        <a:stretch>
          <a:fillRect/>
        </a:stretch>
      </xdr:blipFill>
      <xdr:spPr>
        <a:xfrm>
          <a:off x="0" y="57150"/>
          <a:ext cx="816657" cy="38920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816657</xdr:colOff>
      <xdr:row>2</xdr:row>
      <xdr:rowOff>36780</xdr:rowOff>
    </xdr:to>
    <xdr:pic>
      <xdr:nvPicPr>
        <xdr:cNvPr id="6" name="Picture 5">
          <a:extLst>
            <a:ext uri="{FF2B5EF4-FFF2-40B4-BE49-F238E27FC236}">
              <a16:creationId xmlns:a16="http://schemas.microsoft.com/office/drawing/2014/main" id="{00000000-0008-0000-1B00-000006000000}"/>
            </a:ext>
          </a:extLst>
        </xdr:cNvPr>
        <xdr:cNvPicPr>
          <a:picLocks noChangeAspect="1"/>
        </xdr:cNvPicPr>
      </xdr:nvPicPr>
      <xdr:blipFill>
        <a:blip xmlns:r="http://schemas.openxmlformats.org/officeDocument/2006/relationships" r:embed="rId1"/>
        <a:stretch>
          <a:fillRect/>
        </a:stretch>
      </xdr:blipFill>
      <xdr:spPr>
        <a:xfrm>
          <a:off x="0" y="57150"/>
          <a:ext cx="816657" cy="38920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816657</xdr:colOff>
      <xdr:row>2</xdr:row>
      <xdr:rowOff>36780</xdr:rowOff>
    </xdr:to>
    <xdr:pic>
      <xdr:nvPicPr>
        <xdr:cNvPr id="3" name="Picture 2">
          <a:extLst>
            <a:ext uri="{FF2B5EF4-FFF2-40B4-BE49-F238E27FC236}">
              <a16:creationId xmlns:a16="http://schemas.microsoft.com/office/drawing/2014/main" id="{00000000-0008-0000-1C00-000003000000}"/>
            </a:ext>
          </a:extLst>
        </xdr:cNvPr>
        <xdr:cNvPicPr>
          <a:picLocks noChangeAspect="1"/>
        </xdr:cNvPicPr>
      </xdr:nvPicPr>
      <xdr:blipFill>
        <a:blip xmlns:r="http://schemas.openxmlformats.org/officeDocument/2006/relationships" r:embed="rId1"/>
        <a:stretch>
          <a:fillRect/>
        </a:stretch>
      </xdr:blipFill>
      <xdr:spPr>
        <a:xfrm>
          <a:off x="0" y="57150"/>
          <a:ext cx="816657" cy="389205"/>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0</xdr:col>
      <xdr:colOff>816657</xdr:colOff>
      <xdr:row>2</xdr:row>
      <xdr:rowOff>8205</xdr:rowOff>
    </xdr:to>
    <xdr:pic>
      <xdr:nvPicPr>
        <xdr:cNvPr id="3" name="Picture 2">
          <a:extLst>
            <a:ext uri="{FF2B5EF4-FFF2-40B4-BE49-F238E27FC236}">
              <a16:creationId xmlns:a16="http://schemas.microsoft.com/office/drawing/2014/main" id="{00000000-0008-0000-1D00-000003000000}"/>
            </a:ext>
          </a:extLst>
        </xdr:cNvPr>
        <xdr:cNvPicPr>
          <a:picLocks noChangeAspect="1"/>
        </xdr:cNvPicPr>
      </xdr:nvPicPr>
      <xdr:blipFill>
        <a:blip xmlns:r="http://schemas.openxmlformats.org/officeDocument/2006/relationships" r:embed="rId1"/>
        <a:stretch>
          <a:fillRect/>
        </a:stretch>
      </xdr:blipFill>
      <xdr:spPr>
        <a:xfrm>
          <a:off x="0" y="57150"/>
          <a:ext cx="816657" cy="389205"/>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11332</xdr:colOff>
      <xdr:row>0</xdr:row>
      <xdr:rowOff>54889</xdr:rowOff>
    </xdr:from>
    <xdr:to>
      <xdr:col>0</xdr:col>
      <xdr:colOff>827989</xdr:colOff>
      <xdr:row>2</xdr:row>
      <xdr:rowOff>24994</xdr:rowOff>
    </xdr:to>
    <xdr:pic>
      <xdr:nvPicPr>
        <xdr:cNvPr id="3" name="Picture 2">
          <a:extLst>
            <a:ext uri="{FF2B5EF4-FFF2-40B4-BE49-F238E27FC236}">
              <a16:creationId xmlns:a16="http://schemas.microsoft.com/office/drawing/2014/main" id="{00000000-0008-0000-1E00-000003000000}"/>
            </a:ext>
          </a:extLst>
        </xdr:cNvPr>
        <xdr:cNvPicPr>
          <a:picLocks noChangeAspect="1"/>
        </xdr:cNvPicPr>
      </xdr:nvPicPr>
      <xdr:blipFill>
        <a:blip xmlns:r="http://schemas.openxmlformats.org/officeDocument/2006/relationships" r:embed="rId1"/>
        <a:stretch>
          <a:fillRect/>
        </a:stretch>
      </xdr:blipFill>
      <xdr:spPr>
        <a:xfrm>
          <a:off x="11332" y="54889"/>
          <a:ext cx="816657" cy="38920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11332</xdr:colOff>
      <xdr:row>0</xdr:row>
      <xdr:rowOff>54889</xdr:rowOff>
    </xdr:from>
    <xdr:to>
      <xdr:col>1</xdr:col>
      <xdr:colOff>218389</xdr:colOff>
      <xdr:row>2</xdr:row>
      <xdr:rowOff>34519</xdr:rowOff>
    </xdr:to>
    <xdr:pic>
      <xdr:nvPicPr>
        <xdr:cNvPr id="3" name="Picture 2">
          <a:extLst>
            <a:ext uri="{FF2B5EF4-FFF2-40B4-BE49-F238E27FC236}">
              <a16:creationId xmlns:a16="http://schemas.microsoft.com/office/drawing/2014/main" id="{00000000-0008-0000-1F00-000003000000}"/>
            </a:ext>
          </a:extLst>
        </xdr:cNvPr>
        <xdr:cNvPicPr>
          <a:picLocks noChangeAspect="1"/>
        </xdr:cNvPicPr>
      </xdr:nvPicPr>
      <xdr:blipFill>
        <a:blip xmlns:r="http://schemas.openxmlformats.org/officeDocument/2006/relationships" r:embed="rId1"/>
        <a:stretch>
          <a:fillRect/>
        </a:stretch>
      </xdr:blipFill>
      <xdr:spPr>
        <a:xfrm>
          <a:off x="11332" y="54889"/>
          <a:ext cx="816657" cy="389205"/>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3</xdr:col>
      <xdr:colOff>123824</xdr:colOff>
      <xdr:row>0</xdr:row>
      <xdr:rowOff>0</xdr:rowOff>
    </xdr:from>
    <xdr:to>
      <xdr:col>13</xdr:col>
      <xdr:colOff>368989</xdr:colOff>
      <xdr:row>0</xdr:row>
      <xdr:rowOff>613669</xdr:rowOff>
    </xdr:to>
    <xdr:pic>
      <xdr:nvPicPr>
        <xdr:cNvPr id="2" name="Picture 1">
          <a:extLst>
            <a:ext uri="{FF2B5EF4-FFF2-40B4-BE49-F238E27FC236}">
              <a16:creationId xmlns:a16="http://schemas.microsoft.com/office/drawing/2014/main" id="{00000000-0008-0000-2000-000002000000}"/>
            </a:ext>
          </a:extLst>
        </xdr:cNvPr>
        <xdr:cNvPicPr>
          <a:picLocks noChangeAspect="1"/>
        </xdr:cNvPicPr>
      </xdr:nvPicPr>
      <xdr:blipFill>
        <a:blip xmlns:r="http://schemas.openxmlformats.org/officeDocument/2006/relationships" r:embed="rId1"/>
        <a:stretch>
          <a:fillRect/>
        </a:stretch>
      </xdr:blipFill>
      <xdr:spPr>
        <a:xfrm>
          <a:off x="2200274" y="0"/>
          <a:ext cx="6341165" cy="613669"/>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3</xdr:col>
      <xdr:colOff>112060</xdr:colOff>
      <xdr:row>0</xdr:row>
      <xdr:rowOff>0</xdr:rowOff>
    </xdr:from>
    <xdr:to>
      <xdr:col>13</xdr:col>
      <xdr:colOff>419837</xdr:colOff>
      <xdr:row>0</xdr:row>
      <xdr:rowOff>951615</xdr:rowOff>
    </xdr:to>
    <xdr:pic>
      <xdr:nvPicPr>
        <xdr:cNvPr id="2" name="Picture 1">
          <a:extLst>
            <a:ext uri="{FF2B5EF4-FFF2-40B4-BE49-F238E27FC236}">
              <a16:creationId xmlns:a16="http://schemas.microsoft.com/office/drawing/2014/main" id="{00000000-0008-0000-2100-000002000000}"/>
            </a:ext>
          </a:extLst>
        </xdr:cNvPr>
        <xdr:cNvPicPr>
          <a:picLocks noChangeAspect="1"/>
        </xdr:cNvPicPr>
      </xdr:nvPicPr>
      <xdr:blipFill>
        <a:blip xmlns:r="http://schemas.openxmlformats.org/officeDocument/2006/relationships" r:embed="rId1"/>
        <a:stretch>
          <a:fillRect/>
        </a:stretch>
      </xdr:blipFill>
      <xdr:spPr>
        <a:xfrm>
          <a:off x="3216089" y="0"/>
          <a:ext cx="6627895" cy="95161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Bongkotkan/My%20Documents/Re-pricing%20product/Pricing%20Model%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axa365.sharepoint.com/Documents%20and%20Settings/Bongkotkan/My%20Documents/Re-pricing%20product/Pricing%20Model%20.xls"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A:\PRODUCT%20SQUAD\4_Sales%20Proposal\SALES%20MATERIALS\Sales%20Proposal\Sale%20Proposal%20Excel%20-%20Agency'2025\&#3652;&#3621;&#3615;&#3660;&#3648;&#3619;&#3604;&#3604;&#3637;&#3657;_A2025-1.xlsx" TargetMode="External"/><Relationship Id="rId1" Type="http://schemas.openxmlformats.org/officeDocument/2006/relationships/externalLinkPath" Target="https://axa365.sharepoint.com/PRODUCT%20SQUAD/4_Sales%20Proposal/SALES%20MATERIALS/Sales%20Proposal/Sale%20Proposal%20Excel%20-%20Agency'2025/&#3652;&#3621;&#3615;&#3660;&#3648;&#3619;&#3604;&#3604;&#3637;&#3657;_A2025-1.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https://axa365-my.sharepoint.com/personal/rawich_boonkittiwattana_krungthai-axa_co_th/Documents/Desktop/2025/CI%20product%20for%20Agency/&#3652;&#3621;&#3615;&#3660;&#3648;&#3619;&#3604;&#3604;&#3637;&#3657;_A2025-2(Draft%20EasyCI)_20250922_1.xlsx" TargetMode="External"/><Relationship Id="rId1" Type="http://schemas.openxmlformats.org/officeDocument/2006/relationships/externalLinkPath" Target="https://axa365.sharepoint.com/personal/rawich_boonkittiwattana_krungthai-axa_co_th/Documents/Desktop/2025/CI%20product%20for%20Agency/&#3652;&#3621;&#3615;&#3660;&#3648;&#3619;&#3604;&#3604;&#3637;&#3657;_A2025-2(Draft%20EasyCI)_20250922_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WL%20-%20Stand%20alone%20Final--be%20check%20WLNP85/Testing%20ETI%20and%20RPU/Pricing%20Model%20-%20Whole%20Life%20(CH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axa365.sharepoint.com/WL%20-%20Stand%20alone%20Final--be%20check%20WLNP85/Testing%20ETI%20and%20RPU/Pricing%20Model%20-%20Whole%20Life%20(CH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L/06-10-18%20compare%20Retirement%20(Chg%20AV).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axa365.sharepoint.com/UL/06-10-18%20compare%20Retirement%20(Chg%20AV).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OCUME~1/MANEES~1/LOCALS~1/Temp/Temporary%20Directory%203%20for%20Data%20to%20MKT.zip/Pricing%20Model%2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s://axa365.sharepoint.com/DOCUME~1/MANEES~1/LOCALS~1/Temp/Temporary%20Directory%203%20for%20Data%20to%20MKT.zip/Pricing%20Model%20.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rogram%20Excel/Bank/2010/Tax%2009/Table%20-%20PR60.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axa365.sharepoint.com/Program%20Excel/Bank/2010/Tax%2009/Table%20-%20PR60.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rogram%20Excel/AD/Tax%2009/Table%20-%20PR6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ax%2009/Table%20-%20PR6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ttps://axa365.sharepoint.com/Program%20Excel/AD/Tax%2009/Table%20-%20PR60.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Repricing%202009/2009%20New%20Plan/Pricing%20Model-25EG%202009.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ttps://axa365.sharepoint.com/Repricing%202009/2009%20New%20Plan/Pricing%20Model-25EG%20200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GT-Product\Ordinary%20Life\Basic\GenLife%205\GL5_ProfitTest_ChangeExpRes%20(20051220)%20_%20T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rtality Table"/>
      <sheetName val="THRegulation"/>
      <sheetName val="Global Assumption"/>
      <sheetName val="Table"/>
      <sheetName val="Premium"/>
      <sheetName val="PremiumReport"/>
      <sheetName val="CVCalculation"/>
      <sheetName val="PolicyValueGrossCV"/>
      <sheetName val="GPolicyValueMDTA"/>
      <sheetName val="GPolicyValueFDTA"/>
      <sheetName val="Commutation Table"/>
      <sheetName val="PolicyValue"/>
      <sheetName val="Reserve"/>
      <sheetName val="PolicyValueFDTA"/>
      <sheetName val="PolicyValueMDTA"/>
      <sheetName val="PolicyValueTable"/>
      <sheetName val="Extra Premium"/>
      <sheetName val="SV RPU ETI"/>
      <sheetName val="Decrement"/>
    </sheetNames>
    <sheetDataSet>
      <sheetData sheetId="0"/>
      <sheetData sheetId="1"/>
      <sheetData sheetId="2" refreshError="1">
        <row r="13">
          <cell r="D13">
            <v>50</v>
          </cell>
        </row>
      </sheetData>
      <sheetData sheetId="3"/>
      <sheetData sheetId="4"/>
      <sheetData sheetId="5" refreshError="1">
        <row r="2">
          <cell r="A2">
            <v>1</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rtality Table"/>
      <sheetName val="THRegulation"/>
      <sheetName val="Global Assumption"/>
      <sheetName val="Table"/>
      <sheetName val="Premium"/>
      <sheetName val="PremiumReport"/>
      <sheetName val="CVCalculation"/>
      <sheetName val="PolicyValueGrossCV"/>
      <sheetName val="GPolicyValueMDTA"/>
      <sheetName val="GPolicyValueFDTA"/>
      <sheetName val="Commutation Table"/>
      <sheetName val="PolicyValue"/>
      <sheetName val="Reserve"/>
      <sheetName val="PolicyValueFDTA"/>
      <sheetName val="PolicyValueMDTA"/>
      <sheetName val="PolicyValueTable"/>
      <sheetName val="Extra Premium"/>
      <sheetName val="SV RPU ETI"/>
      <sheetName val="Decrement"/>
    </sheetNames>
    <sheetDataSet>
      <sheetData sheetId="0"/>
      <sheetData sheetId="1"/>
      <sheetData sheetId="2" refreshError="1">
        <row r="13">
          <cell r="D13">
            <v>50</v>
          </cell>
        </row>
      </sheetData>
      <sheetData sheetId="3"/>
      <sheetData sheetId="4"/>
      <sheetData sheetId="5" refreshError="1">
        <row r="2">
          <cell r="A2">
            <v>1</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PD01"/>
      <sheetName val="WPDD01"/>
      <sheetName val="Rate Rider"/>
      <sheetName val="Rate rider_MEX"/>
      <sheetName val="CI MED EX RATE"/>
      <sheetName val="iHealthy Ultra Rate"/>
      <sheetName val="Login"/>
      <sheetName val="Data support"/>
      <sheetName val="วิธีการใช้งาน"/>
      <sheetName val="Cal"/>
      <sheetName val="Product Category Tax Deduct"/>
      <sheetName val="กรอกข้อมูล"/>
      <sheetName val="ตารางแสดงผลประโยชน์"/>
      <sheetName val="ตารางมูลค่า"/>
      <sheetName val="TABCV(Female)"/>
      <sheetName val="TABCV(Male)"/>
      <sheetName val="ผลประโยชน์ โรคร้ายโซชิลด์"/>
      <sheetName val="ผลประโยชน์ ไอเฮลท์ตี้ อัลตร้า"/>
      <sheetName val="ผลประโยชน์ (MEX)"/>
      <sheetName val="ผลประโยชน์ (Rider)"/>
      <sheetName val="ผลประโยชน์ (cancer)"/>
      <sheetName val="Flexi Health_offshelf 30.12.21"/>
      <sheetName val="ข้อยกเว้น Flexi Health"/>
      <sheetName val="List"/>
      <sheetName val="Premium Flexi Health"/>
      <sheetName val="สรุปผลประโยชน์"/>
      <sheetName val="เงื่อนไขทั่วไปของกรมธรรม์"/>
      <sheetName val="ข้อยกเว้น Roke Rai So Shield"/>
      <sheetName val="นิยามโรค Roke Rai So Shield"/>
      <sheetName val="เงื่อนไขที่สำคัญ ข้อยกเว้น iHU"/>
      <sheetName val="เงื่อนไขที่สำคัญ ข้อยกเว้น MEX"/>
      <sheetName val="ข้อยกเว้นสัญญาเพิ่มเติม1-2"/>
      <sheetName val="ข้อยกเว้นสัญญาเพิ่มเติม2-2"/>
      <sheetName val="ช่องทางชำระเงิน"/>
      <sheetName val="ลงนาม"/>
      <sheetName val="Premium&amp;Maturity"/>
      <sheetName val="Rate WP"/>
      <sheetName val="Rate PB"/>
      <sheetName val="cancer"/>
    </sheetNames>
    <sheetDataSet>
      <sheetData sheetId="0"/>
      <sheetData sheetId="1"/>
      <sheetData sheetId="2"/>
      <sheetData sheetId="3"/>
      <sheetData sheetId="4"/>
      <sheetData sheetId="5"/>
      <sheetData sheetId="6"/>
      <sheetData sheetId="7"/>
      <sheetData sheetId="8"/>
      <sheetData sheetId="9"/>
      <sheetData sheetId="10"/>
      <sheetData sheetId="11">
        <row r="31">
          <cell r="M31" t="str">
            <v>Full Coverage</v>
          </cell>
        </row>
        <row r="32">
          <cell r="M32" t="str">
            <v>Deductible</v>
          </cell>
        </row>
        <row r="33">
          <cell r="M33" t="str">
            <v>Co-Payment</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WPD01"/>
      <sheetName val="WPDD01"/>
      <sheetName val="Rate Rider"/>
      <sheetName val="Rate rider_MEX"/>
      <sheetName val="CI MED EX RATE"/>
      <sheetName val="iHealthy Ultra Rate"/>
      <sheetName val="Login"/>
      <sheetName val="Data support"/>
      <sheetName val="Rate CI 123"/>
      <sheetName val="วิธีการใช้งาน"/>
      <sheetName val="Cal"/>
      <sheetName val="Product Category Tax Deduct"/>
      <sheetName val="กรอกข้อมูล"/>
      <sheetName val="ตารางแสดงผลประโยชน์"/>
      <sheetName val="ตารางมูลค่า"/>
      <sheetName val="TABCV(Female)"/>
      <sheetName val="TABCV(Male)"/>
      <sheetName val="ผลประโยชน์ โรคร้ายโซชิลด์"/>
      <sheetName val="ผลประโยชน์ ไอเฮลท์ตี้ อัลตร้า"/>
      <sheetName val="ผลประโยชน์ (MEX)"/>
      <sheetName val="ผลประโยชน์ (Rider)"/>
      <sheetName val="Flexi Health_offshelf 30.12.21"/>
      <sheetName val="ข้อยกเว้น Flexi Health"/>
      <sheetName val="List"/>
      <sheetName val="Premium Flexi Health"/>
      <sheetName val="ผลประโยชน์ (cancer)"/>
      <sheetName val="ผลประโยชน์ CI 123"/>
      <sheetName val="สรุปผลประโยชน์"/>
      <sheetName val="เงื่อนไขทั่วไปของกรมธรรม์"/>
      <sheetName val="ข้อยกเว้น CI 123"/>
      <sheetName val="รายชื่อโรค CI 123"/>
      <sheetName val="ข้อยกเว้น Roke Rai So Shield"/>
      <sheetName val="นิยามโรค Roke Rai So Shield"/>
      <sheetName val="เงื่อนไขที่สำคัญ ข้อยกเว้น iHU"/>
      <sheetName val="เงื่อนไขที่สำคัญ ข้อยกเว้น MEX"/>
      <sheetName val="ข้อยกเว้นสัญญาเพิ่มเติม1-2"/>
      <sheetName val="ข้อยกเว้นสัญญาเพิ่มเติม2-2"/>
      <sheetName val="ช่องทางชำระเงิน"/>
      <sheetName val="ลงนาม"/>
      <sheetName val="Premium&amp;Maturity"/>
      <sheetName val="Rate WP"/>
      <sheetName val="Rate PB"/>
      <sheetName val="cancer"/>
      <sheetName val="ข้อยกเว้น 123CI"/>
      <sheetName val="รายชื่อโรค 123CI"/>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33">
          <cell r="D33">
            <v>5000000</v>
          </cell>
          <cell r="F33">
            <v>13950</v>
          </cell>
        </row>
        <row r="34">
          <cell r="D34">
            <v>100000</v>
          </cell>
          <cell r="F34">
            <v>72</v>
          </cell>
        </row>
        <row r="35">
          <cell r="D35">
            <v>1250000</v>
          </cell>
          <cell r="F35">
            <v>2137.5</v>
          </cell>
        </row>
        <row r="36">
          <cell r="D36">
            <v>500000</v>
          </cell>
          <cell r="F36">
            <v>875</v>
          </cell>
        </row>
      </sheetData>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utation Table"/>
      <sheetName val="Mortality Table"/>
      <sheetName val="THRegulation"/>
      <sheetName val="Global Assumption"/>
      <sheetName val="Table"/>
      <sheetName val="Premium"/>
      <sheetName val="PRM-BK"/>
      <sheetName val="Audit Trail"/>
      <sheetName val="CVCalculation"/>
      <sheetName val="ETI-RPU"/>
      <sheetName val="Reserve"/>
      <sheetName val="Extra Premium"/>
      <sheetName val="SV RPU ETI"/>
      <sheetName val="Decrement"/>
      <sheetName val="Expense"/>
    </sheetNames>
    <sheetDataSet>
      <sheetData sheetId="0"/>
      <sheetData sheetId="1"/>
      <sheetData sheetId="2"/>
      <sheetData sheetId="3"/>
      <sheetData sheetId="4"/>
      <sheetData sheetId="5"/>
      <sheetData sheetId="6"/>
      <sheetData sheetId="7"/>
      <sheetData sheetId="8" refreshError="1">
        <row r="2">
          <cell r="C2">
            <v>8</v>
          </cell>
        </row>
      </sheetData>
      <sheetData sheetId="9"/>
      <sheetData sheetId="10"/>
      <sheetData sheetId="11"/>
      <sheetData sheetId="12"/>
      <sheetData sheetId="13"/>
      <sheetData sheetId="1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utation Table"/>
      <sheetName val="Mortality Table"/>
      <sheetName val="THRegulation"/>
      <sheetName val="Global Assumption"/>
      <sheetName val="Table"/>
      <sheetName val="Premium"/>
      <sheetName val="PRM-BK"/>
      <sheetName val="Audit Trail"/>
      <sheetName val="CVCalculation"/>
      <sheetName val="ETI-RPU"/>
      <sheetName val="Reserve"/>
      <sheetName val="Extra Premium"/>
      <sheetName val="SV RPU ETI"/>
      <sheetName val="Decrement"/>
      <sheetName val="Expense"/>
    </sheetNames>
    <sheetDataSet>
      <sheetData sheetId="0"/>
      <sheetData sheetId="1"/>
      <sheetData sheetId="2"/>
      <sheetData sheetId="3"/>
      <sheetData sheetId="4"/>
      <sheetData sheetId="5"/>
      <sheetData sheetId="6"/>
      <sheetData sheetId="7"/>
      <sheetData sheetId="8" refreshError="1">
        <row r="2">
          <cell r="C2">
            <v>8</v>
          </cell>
        </row>
      </sheetData>
      <sheetData sheetId="9"/>
      <sheetData sheetId="10"/>
      <sheetData sheetId="11"/>
      <sheetData sheetId="12"/>
      <sheetData sheetId="13"/>
      <sheetData sheetId="1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O97"/>
      <sheetName val="TB_DV"/>
      <sheetName val="TB_CV"/>
      <sheetName val="Premium"/>
      <sheetName val="UL-Retirement"/>
      <sheetName val="compare (EA60&amp;Retirement)"/>
      <sheetName val="Premium(Bumnan)"/>
      <sheetName val="CV(Bumnan)"/>
      <sheetName val="Sheet3"/>
    </sheetNames>
    <sheetDataSet>
      <sheetData sheetId="0"/>
      <sheetData sheetId="1"/>
      <sheetData sheetId="2"/>
      <sheetData sheetId="3" refreshError="1"/>
      <sheetData sheetId="4" refreshError="1"/>
      <sheetData sheetId="5"/>
      <sheetData sheetId="6" refreshError="1"/>
      <sheetData sheetId="7" refreshError="1"/>
      <sheetData sheetId="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MO97"/>
      <sheetName val="TB_DV"/>
      <sheetName val="TB_CV"/>
      <sheetName val="Premium"/>
      <sheetName val="UL-Retirement"/>
      <sheetName val="compare (EA60&amp;Retirement)"/>
      <sheetName val="Premium(Bumnan)"/>
      <sheetName val="CV(Bumnan)"/>
      <sheetName val="Sheet3"/>
    </sheetNames>
    <sheetDataSet>
      <sheetData sheetId="0"/>
      <sheetData sheetId="1"/>
      <sheetData sheetId="2"/>
      <sheetData sheetId="3" refreshError="1"/>
      <sheetData sheetId="4" refreshError="1"/>
      <sheetData sheetId="5"/>
      <sheetData sheetId="6" refreshError="1"/>
      <sheetData sheetId="7" refreshError="1"/>
      <sheetData sheetId="8"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rtality Table"/>
      <sheetName val="THRegulation"/>
      <sheetName val="Global Assumption"/>
      <sheetName val="Table"/>
      <sheetName val="Premium"/>
      <sheetName val="PremiumReport"/>
      <sheetName val="CVCalculation"/>
      <sheetName val="PolicyValueGrossCV"/>
      <sheetName val="GPolicyValueMDTA"/>
      <sheetName val="GPolicyValueFDTA"/>
      <sheetName val="Commutation Table"/>
      <sheetName val="PolicyValue"/>
      <sheetName val="Reserve"/>
      <sheetName val="PolicyValueFDTA"/>
      <sheetName val="PolicyValueMDTA"/>
      <sheetName val="PolicyValueTable"/>
      <sheetName val="Extra Premium"/>
      <sheetName val="SV RPU ETI"/>
      <sheetName val="Decrement"/>
    </sheetNames>
    <sheetDataSet>
      <sheetData sheetId="0"/>
      <sheetData sheetId="1"/>
      <sheetData sheetId="2" refreshError="1">
        <row r="13">
          <cell r="D13">
            <v>50</v>
          </cell>
        </row>
      </sheetData>
      <sheetData sheetId="3"/>
      <sheetData sheetId="4"/>
      <sheetData sheetId="5" refreshError="1">
        <row r="2">
          <cell r="A2">
            <v>1</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rtality Table"/>
      <sheetName val="THRegulation"/>
      <sheetName val="Global Assumption"/>
      <sheetName val="Table"/>
      <sheetName val="Premium"/>
      <sheetName val="PremiumReport"/>
      <sheetName val="CVCalculation"/>
      <sheetName val="PolicyValueGrossCV"/>
      <sheetName val="GPolicyValueMDTA"/>
      <sheetName val="GPolicyValueFDTA"/>
      <sheetName val="Commutation Table"/>
      <sheetName val="PolicyValue"/>
      <sheetName val="Reserve"/>
      <sheetName val="PolicyValueFDTA"/>
      <sheetName val="PolicyValueMDTA"/>
      <sheetName val="PolicyValueTable"/>
      <sheetName val="Extra Premium"/>
      <sheetName val="SV RPU ETI"/>
      <sheetName val="Decrement"/>
    </sheetNames>
    <sheetDataSet>
      <sheetData sheetId="0"/>
      <sheetData sheetId="1"/>
      <sheetData sheetId="2" refreshError="1">
        <row r="13">
          <cell r="D13">
            <v>50</v>
          </cell>
        </row>
      </sheetData>
      <sheetData sheetId="3"/>
      <sheetData sheetId="4"/>
      <sheetData sheetId="5" refreshError="1">
        <row r="2">
          <cell r="A2">
            <v>1</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FPBENCS"/>
      <sheetName val="LFPDVDGF"/>
      <sheetName val="LFPDVDG"/>
      <sheetName val="LFPISSAGE"/>
      <sheetName val="lfpprlvd"/>
      <sheetName val="LFPUNCV1"/>
      <sheetName val="LFPUNCV2"/>
      <sheetName val="TABCOMM"/>
      <sheetName val="TABCV1"/>
      <sheetName val="TABCV2"/>
      <sheetName val="Table Summary"/>
      <sheetName val="TABPR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2">
          <cell r="B2" t="str">
            <v>PR60</v>
          </cell>
        </row>
      </sheetData>
      <sheetData sheetId="1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FPBENCS"/>
      <sheetName val="LFPDVDGF"/>
      <sheetName val="LFPDVDG"/>
      <sheetName val="LFPISSAGE"/>
      <sheetName val="lfpprlvd"/>
      <sheetName val="LFPUNCV1"/>
      <sheetName val="LFPUNCV2"/>
      <sheetName val="TABCOMM"/>
      <sheetName val="TABCV1"/>
      <sheetName val="TABCV2"/>
      <sheetName val="Table Summary"/>
      <sheetName val="TABPR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2">
          <cell r="B2" t="str">
            <v>PR60</v>
          </cell>
        </row>
      </sheetData>
      <sheetData sheetId="1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FPBENCS"/>
      <sheetName val="LFPDVDGF"/>
      <sheetName val="LFPDVDG"/>
      <sheetName val="LFPISSAGE"/>
      <sheetName val="lfpprlvd"/>
      <sheetName val="LFPUNCV1"/>
      <sheetName val="LFPUNCV2"/>
      <sheetName val="TABCOMM"/>
      <sheetName val="TABCV1"/>
      <sheetName val="TABCV2"/>
      <sheetName val="Table Summary"/>
      <sheetName val="TABPR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2">
          <cell r="B2" t="str">
            <v>PR60</v>
          </cell>
        </row>
      </sheetData>
      <sheetData sheetId="1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FPBENCS"/>
      <sheetName val="LFPDVDGF"/>
      <sheetName val="LFPDVDG"/>
      <sheetName val="LFPISSAGE"/>
      <sheetName val="lfpprlvd"/>
      <sheetName val="LFPUNCV1"/>
      <sheetName val="LFPUNCV1 (2)"/>
      <sheetName val="LFPUNCV2"/>
      <sheetName val="TABCOMM"/>
      <sheetName val="TABCV1"/>
      <sheetName val="TABCV2"/>
      <sheetName val="TABPRL"/>
      <sheetName val="Table Summary"/>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ow r="2">
          <cell r="B2" t="str">
            <v>PR60</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FPBENCS"/>
      <sheetName val="LFPDVDGF"/>
      <sheetName val="LFPDVDG"/>
      <sheetName val="LFPISSAGE"/>
      <sheetName val="lfpprlvd"/>
      <sheetName val="LFPUNCV1"/>
      <sheetName val="LFPUNCV2"/>
      <sheetName val="TABCOMM"/>
      <sheetName val="TABCV1"/>
      <sheetName val="TABCV2"/>
      <sheetName val="Table Summary"/>
      <sheetName val="TABPR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2">
          <cell r="B2" t="str">
            <v>PR60</v>
          </cell>
        </row>
      </sheetData>
      <sheetData sheetId="1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rtality Table"/>
      <sheetName val="Commutation Table"/>
      <sheetName val="THRegulation"/>
      <sheetName val="Global Assumption"/>
      <sheetName val="Table"/>
      <sheetName val="Premium"/>
      <sheetName val="PremiumReport"/>
      <sheetName val="CVCalculation"/>
      <sheetName val="PolicyValue"/>
      <sheetName val="PolicyValueGrossCV"/>
      <sheetName val="GPolicyValueFDTA"/>
      <sheetName val="GPolicyValueMDTA"/>
      <sheetName val="Reserve"/>
      <sheetName val="PolicyValueFDTA"/>
      <sheetName val="PolicyValueMDTA"/>
      <sheetName val="PolicyValueTable"/>
      <sheetName val="Extra Premium"/>
      <sheetName val="SV RPU ETI"/>
      <sheetName val="Decrement"/>
    </sheetNames>
    <sheetDataSet>
      <sheetData sheetId="0"/>
      <sheetData sheetId="1"/>
      <sheetData sheetId="2"/>
      <sheetData sheetId="3" refreshError="1">
        <row r="8">
          <cell r="D8">
            <v>25</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rtality Table"/>
      <sheetName val="Commutation Table"/>
      <sheetName val="THRegulation"/>
      <sheetName val="Global Assumption"/>
      <sheetName val="Table"/>
      <sheetName val="Premium"/>
      <sheetName val="PremiumReport"/>
      <sheetName val="CVCalculation"/>
      <sheetName val="PolicyValue"/>
      <sheetName val="PolicyValueGrossCV"/>
      <sheetName val="GPolicyValueFDTA"/>
      <sheetName val="GPolicyValueMDTA"/>
      <sheetName val="Reserve"/>
      <sheetName val="PolicyValueFDTA"/>
      <sheetName val="PolicyValueMDTA"/>
      <sheetName val="PolicyValueTable"/>
      <sheetName val="Extra Premium"/>
      <sheetName val="SV RPU ETI"/>
      <sheetName val="Decrement"/>
    </sheetNames>
    <sheetDataSet>
      <sheetData sheetId="0"/>
      <sheetData sheetId="1"/>
      <sheetData sheetId="2"/>
      <sheetData sheetId="3" refreshError="1">
        <row r="8">
          <cell r="D8">
            <v>25</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e"/>
      <sheetName val="ProfitTest"/>
      <sheetName val="PremCal"/>
      <sheetName val="TV"/>
      <sheetName val="PremDOI"/>
      <sheetName val="DMN"/>
      <sheetName val="GL5_ProfitTest_ChangeExpRes (20"/>
    </sheetNames>
    <sheetDataSet>
      <sheetData sheetId="0"/>
      <sheetData sheetId="1" refreshError="1">
        <row r="8">
          <cell r="E8" t="str">
            <v>M</v>
          </cell>
        </row>
      </sheetData>
      <sheetData sheetId="2"/>
      <sheetData sheetId="3"/>
      <sheetData sheetId="4"/>
      <sheetData sheetId="5"/>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6.bin"/><Relationship Id="rId5" Type="http://schemas.openxmlformats.org/officeDocument/2006/relationships/image" Target="../media/image1.emf"/><Relationship Id="rId4" Type="http://schemas.openxmlformats.org/officeDocument/2006/relationships/control" Target="../activeX/activeX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9.bin"/><Relationship Id="rId4" Type="http://schemas.openxmlformats.org/officeDocument/2006/relationships/comments" Target="../comments1.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6.xml"/><Relationship Id="rId1" Type="http://schemas.openxmlformats.org/officeDocument/2006/relationships/printerSettings" Target="../printerSettings/printerSettings11.bin"/><Relationship Id="rId4" Type="http://schemas.openxmlformats.org/officeDocument/2006/relationships/comments" Target="../comments2.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7.xml"/><Relationship Id="rId1" Type="http://schemas.openxmlformats.org/officeDocument/2006/relationships/printerSettings" Target="../printerSettings/printerSettings13.bin"/><Relationship Id="rId4" Type="http://schemas.openxmlformats.org/officeDocument/2006/relationships/comments" Target="../comments3.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6.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7.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8.v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24.xml"/><Relationship Id="rId1" Type="http://schemas.openxmlformats.org/officeDocument/2006/relationships/printerSettings" Target="../printerSettings/printerSettings37.bin"/><Relationship Id="rId4" Type="http://schemas.openxmlformats.org/officeDocument/2006/relationships/comments" Target="../comments8.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3" Type="http://schemas.openxmlformats.org/officeDocument/2006/relationships/drawing" Target="../drawings/drawing26.xml"/><Relationship Id="rId2" Type="http://schemas.openxmlformats.org/officeDocument/2006/relationships/printerSettings" Target="../printerSettings/printerSettings39.bin"/><Relationship Id="rId1" Type="http://schemas.openxmlformats.org/officeDocument/2006/relationships/hyperlink" Target="http://www.ktb.co.th/" TargetMode="External"/></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8">
    <tabColor rgb="FFFFFF00"/>
  </sheetPr>
  <dimension ref="A1:S78"/>
  <sheetViews>
    <sheetView showGridLines="0" zoomScale="70" zoomScaleNormal="70" workbookViewId="0">
      <pane xSplit="3" ySplit="6" topLeftCell="D7" activePane="bottomRight" state="frozen"/>
      <selection activeCell="A37" sqref="A37"/>
      <selection pane="topRight" activeCell="A37" sqref="A37"/>
      <selection pane="bottomLeft" activeCell="A37" sqref="A37"/>
      <selection pane="bottomRight" activeCell="A37" sqref="A37"/>
    </sheetView>
  </sheetViews>
  <sheetFormatPr defaultColWidth="10.296875" defaultRowHeight="14"/>
  <cols>
    <col min="1" max="16384" width="10.296875" style="36"/>
  </cols>
  <sheetData>
    <row r="1" spans="1:19" s="57" customFormat="1" ht="21.5">
      <c r="A1" s="2023" t="s">
        <v>54</v>
      </c>
      <c r="B1" s="2023"/>
      <c r="C1" s="2023"/>
      <c r="D1" s="2023"/>
      <c r="E1" s="2023"/>
      <c r="F1" s="2023"/>
      <c r="G1" s="2023"/>
      <c r="H1" s="2023"/>
      <c r="I1" s="2023"/>
      <c r="J1" s="2023"/>
      <c r="K1" s="2023"/>
      <c r="L1" s="2023"/>
      <c r="M1" s="2023"/>
      <c r="N1" s="2023"/>
      <c r="O1" s="2023"/>
      <c r="P1" s="2023"/>
      <c r="Q1" s="2023"/>
      <c r="R1" s="2023"/>
      <c r="S1" s="2023"/>
    </row>
    <row r="2" spans="1:19" s="57" customFormat="1" ht="21.5">
      <c r="A2" s="2024" t="s">
        <v>117</v>
      </c>
      <c r="B2" s="2024"/>
      <c r="C2" s="2024"/>
      <c r="D2" s="2024"/>
      <c r="E2" s="2024"/>
      <c r="F2" s="2024"/>
      <c r="G2" s="2024"/>
      <c r="H2" s="2024"/>
      <c r="I2" s="2024"/>
      <c r="J2" s="2024"/>
      <c r="K2" s="2024"/>
      <c r="L2" s="2024"/>
      <c r="M2" s="2024"/>
      <c r="N2" s="2024"/>
      <c r="O2" s="2024"/>
      <c r="P2" s="2024"/>
      <c r="Q2" s="2024"/>
      <c r="R2" s="2024"/>
      <c r="S2" s="2024"/>
    </row>
    <row r="3" spans="1:19" s="57" customFormat="1" ht="21.5">
      <c r="A3" s="2025" t="s">
        <v>55</v>
      </c>
      <c r="B3" s="2025"/>
      <c r="C3" s="2025"/>
      <c r="D3" s="2025"/>
      <c r="E3" s="2025"/>
      <c r="F3" s="2025"/>
      <c r="G3" s="2025"/>
      <c r="H3" s="2025"/>
      <c r="I3" s="2025"/>
      <c r="J3" s="2025"/>
      <c r="K3" s="2025"/>
      <c r="L3" s="2025"/>
      <c r="M3" s="2025"/>
      <c r="N3" s="2025"/>
      <c r="O3" s="2025"/>
      <c r="P3" s="2025"/>
      <c r="Q3" s="2025"/>
      <c r="R3" s="2025"/>
      <c r="S3" s="2025"/>
    </row>
    <row r="5" spans="1:19">
      <c r="A5" s="58"/>
      <c r="B5" s="58"/>
      <c r="C5" s="58"/>
      <c r="D5" s="2026" t="s">
        <v>56</v>
      </c>
      <c r="E5" s="2026"/>
      <c r="F5" s="2026"/>
      <c r="G5" s="2026"/>
      <c r="H5" s="2026"/>
      <c r="I5" s="2026"/>
      <c r="J5" s="2026"/>
      <c r="K5" s="2026"/>
      <c r="L5" s="2026"/>
      <c r="M5" s="2026"/>
      <c r="N5" s="59"/>
      <c r="O5" s="59"/>
      <c r="P5" s="59"/>
      <c r="Q5" s="59"/>
      <c r="R5" s="59"/>
      <c r="S5" s="59"/>
    </row>
    <row r="6" spans="1:19" s="61" customFormat="1">
      <c r="A6" s="60" t="s">
        <v>22</v>
      </c>
      <c r="B6" s="60" t="s">
        <v>43</v>
      </c>
      <c r="C6" s="60"/>
      <c r="D6" s="60">
        <v>10</v>
      </c>
      <c r="E6" s="60">
        <v>11</v>
      </c>
      <c r="F6" s="60">
        <v>12</v>
      </c>
      <c r="G6" s="60">
        <v>13</v>
      </c>
      <c r="H6" s="60">
        <v>14</v>
      </c>
      <c r="I6" s="60">
        <v>15</v>
      </c>
      <c r="J6" s="60">
        <v>16</v>
      </c>
      <c r="K6" s="60">
        <v>17</v>
      </c>
      <c r="L6" s="60">
        <v>18</v>
      </c>
      <c r="M6" s="60">
        <v>19</v>
      </c>
      <c r="N6" s="60">
        <v>20</v>
      </c>
      <c r="O6" s="60">
        <v>21</v>
      </c>
      <c r="P6" s="60">
        <v>22</v>
      </c>
      <c r="Q6" s="60">
        <v>23</v>
      </c>
      <c r="R6" s="60">
        <v>24</v>
      </c>
      <c r="S6" s="60">
        <v>25</v>
      </c>
    </row>
    <row r="7" spans="1:19">
      <c r="A7" s="62">
        <v>20</v>
      </c>
      <c r="B7" s="63" t="s">
        <v>23</v>
      </c>
      <c r="C7" s="63" t="str">
        <f t="shared" ref="C7:C70" si="0">A7&amp;"-"&amp;LEFT(B7,1)</f>
        <v>20-M</v>
      </c>
      <c r="D7" s="1484">
        <v>1.33</v>
      </c>
      <c r="E7" s="1484">
        <v>1.48</v>
      </c>
      <c r="F7" s="1484">
        <v>1.63</v>
      </c>
      <c r="G7" s="1484">
        <v>1.77</v>
      </c>
      <c r="H7" s="1484">
        <v>1.92</v>
      </c>
      <c r="I7" s="1484">
        <v>2.0699999999999998</v>
      </c>
      <c r="J7" s="1484">
        <v>2.2200000000000002</v>
      </c>
      <c r="K7" s="1484">
        <v>2.37</v>
      </c>
      <c r="L7" s="1484">
        <v>2.52</v>
      </c>
      <c r="M7" s="1484">
        <v>2.67</v>
      </c>
      <c r="N7" s="1484">
        <v>2.82</v>
      </c>
      <c r="O7" s="1484">
        <v>2.98</v>
      </c>
      <c r="P7" s="1484">
        <v>3.14</v>
      </c>
      <c r="Q7" s="1484">
        <v>3.3</v>
      </c>
      <c r="R7" s="1484">
        <v>3.47</v>
      </c>
      <c r="S7" s="1484">
        <v>3.63</v>
      </c>
    </row>
    <row r="8" spans="1:19">
      <c r="A8" s="64">
        <v>21</v>
      </c>
      <c r="B8" s="64" t="s">
        <v>23</v>
      </c>
      <c r="C8" s="64" t="str">
        <f t="shared" si="0"/>
        <v>21-M</v>
      </c>
      <c r="D8" s="1485">
        <v>1.36</v>
      </c>
      <c r="E8" s="1485">
        <v>1.51</v>
      </c>
      <c r="F8" s="1485">
        <v>1.66</v>
      </c>
      <c r="G8" s="1485">
        <v>1.8</v>
      </c>
      <c r="H8" s="1485">
        <v>1.95</v>
      </c>
      <c r="I8" s="1485">
        <v>2.1</v>
      </c>
      <c r="J8" s="1485">
        <v>2.25</v>
      </c>
      <c r="K8" s="1485">
        <v>2.41</v>
      </c>
      <c r="L8" s="1485">
        <v>2.56</v>
      </c>
      <c r="M8" s="1485">
        <v>2.72</v>
      </c>
      <c r="N8" s="1485">
        <v>2.87</v>
      </c>
      <c r="O8" s="1485">
        <v>3.04</v>
      </c>
      <c r="P8" s="1485">
        <v>3.2</v>
      </c>
      <c r="Q8" s="1485">
        <v>3.37</v>
      </c>
      <c r="R8" s="1485">
        <v>3.54</v>
      </c>
      <c r="S8" s="1485">
        <v>3.72</v>
      </c>
    </row>
    <row r="9" spans="1:19">
      <c r="A9" s="64">
        <v>22</v>
      </c>
      <c r="B9" s="64" t="s">
        <v>23</v>
      </c>
      <c r="C9" s="64" t="str">
        <f t="shared" si="0"/>
        <v>22-M</v>
      </c>
      <c r="D9" s="1485">
        <v>1.37</v>
      </c>
      <c r="E9" s="1485">
        <v>1.52</v>
      </c>
      <c r="F9" s="1485">
        <v>1.67</v>
      </c>
      <c r="G9" s="1485">
        <v>1.83</v>
      </c>
      <c r="H9" s="1485">
        <v>1.98</v>
      </c>
      <c r="I9" s="1485">
        <v>2.13</v>
      </c>
      <c r="J9" s="1485">
        <v>2.2799999999999998</v>
      </c>
      <c r="K9" s="1485">
        <v>2.44</v>
      </c>
      <c r="L9" s="1485">
        <v>2.6</v>
      </c>
      <c r="M9" s="1485">
        <v>2.76</v>
      </c>
      <c r="N9" s="1485">
        <v>2.92</v>
      </c>
      <c r="O9" s="1485">
        <v>3.09</v>
      </c>
      <c r="P9" s="1485">
        <v>3.26</v>
      </c>
      <c r="Q9" s="1485">
        <v>3.43</v>
      </c>
      <c r="R9" s="1485">
        <v>3.61</v>
      </c>
      <c r="S9" s="1485">
        <v>3.79</v>
      </c>
    </row>
    <row r="10" spans="1:19">
      <c r="A10" s="64">
        <v>23</v>
      </c>
      <c r="B10" s="64" t="s">
        <v>23</v>
      </c>
      <c r="C10" s="64" t="str">
        <f t="shared" si="0"/>
        <v>23-M</v>
      </c>
      <c r="D10" s="1485">
        <v>1.38</v>
      </c>
      <c r="E10" s="1485">
        <v>1.54</v>
      </c>
      <c r="F10" s="1485">
        <v>1.69</v>
      </c>
      <c r="G10" s="1485">
        <v>1.84</v>
      </c>
      <c r="H10" s="1485">
        <v>1.99</v>
      </c>
      <c r="I10" s="1485">
        <v>2.15</v>
      </c>
      <c r="J10" s="1485">
        <v>2.31</v>
      </c>
      <c r="K10" s="1485">
        <v>2.4700000000000002</v>
      </c>
      <c r="L10" s="1485">
        <v>2.63</v>
      </c>
      <c r="M10" s="1485">
        <v>2.8</v>
      </c>
      <c r="N10" s="1485">
        <v>2.96</v>
      </c>
      <c r="O10" s="1485">
        <v>3.14</v>
      </c>
      <c r="P10" s="1485">
        <v>3.31</v>
      </c>
      <c r="Q10" s="1485">
        <v>3.5</v>
      </c>
      <c r="R10" s="1485">
        <v>3.68</v>
      </c>
      <c r="S10" s="1485">
        <v>3.88</v>
      </c>
    </row>
    <row r="11" spans="1:19">
      <c r="A11" s="64">
        <v>24</v>
      </c>
      <c r="B11" s="64" t="s">
        <v>23</v>
      </c>
      <c r="C11" s="64" t="str">
        <f t="shared" si="0"/>
        <v>24-M</v>
      </c>
      <c r="D11" s="1485">
        <v>1.39</v>
      </c>
      <c r="E11" s="1485">
        <v>1.54</v>
      </c>
      <c r="F11" s="1485">
        <v>1.7</v>
      </c>
      <c r="G11" s="1485">
        <v>1.85</v>
      </c>
      <c r="H11" s="1485">
        <v>2.0099999999999998</v>
      </c>
      <c r="I11" s="1485">
        <v>2.17</v>
      </c>
      <c r="J11" s="1485">
        <v>2.33</v>
      </c>
      <c r="K11" s="1485">
        <v>2.5</v>
      </c>
      <c r="L11" s="1485">
        <v>2.66</v>
      </c>
      <c r="M11" s="1485">
        <v>2.84</v>
      </c>
      <c r="N11" s="1485">
        <v>3.01</v>
      </c>
      <c r="O11" s="1485">
        <v>3.19</v>
      </c>
      <c r="P11" s="1485">
        <v>3.38</v>
      </c>
      <c r="Q11" s="1485">
        <v>3.57</v>
      </c>
      <c r="R11" s="1485">
        <v>3.76</v>
      </c>
      <c r="S11" s="1485">
        <v>3.97</v>
      </c>
    </row>
    <row r="12" spans="1:19">
      <c r="A12" s="65">
        <v>25</v>
      </c>
      <c r="B12" s="65" t="s">
        <v>23</v>
      </c>
      <c r="C12" s="65" t="str">
        <f t="shared" si="0"/>
        <v>25-M</v>
      </c>
      <c r="D12" s="1486">
        <v>1.4</v>
      </c>
      <c r="E12" s="1486">
        <v>1.55</v>
      </c>
      <c r="F12" s="1486">
        <v>1.71</v>
      </c>
      <c r="G12" s="1486">
        <v>1.87</v>
      </c>
      <c r="H12" s="1486">
        <v>2.0299999999999998</v>
      </c>
      <c r="I12" s="1486">
        <v>2.19</v>
      </c>
      <c r="J12" s="1486">
        <v>2.36</v>
      </c>
      <c r="K12" s="1486">
        <v>2.5299999999999998</v>
      </c>
      <c r="L12" s="1486">
        <v>2.71</v>
      </c>
      <c r="M12" s="1486">
        <v>2.88</v>
      </c>
      <c r="N12" s="1486">
        <v>3.07</v>
      </c>
      <c r="O12" s="1486">
        <v>3.26</v>
      </c>
      <c r="P12" s="1486">
        <v>3.45</v>
      </c>
      <c r="Q12" s="1486">
        <v>3.65</v>
      </c>
      <c r="R12" s="1486">
        <v>3.86</v>
      </c>
      <c r="S12" s="1486">
        <v>4.07</v>
      </c>
    </row>
    <row r="13" spans="1:19">
      <c r="A13" s="64">
        <v>26</v>
      </c>
      <c r="B13" s="64" t="s">
        <v>23</v>
      </c>
      <c r="C13" s="64" t="str">
        <f t="shared" si="0"/>
        <v>26-M</v>
      </c>
      <c r="D13" s="1485">
        <v>1.41</v>
      </c>
      <c r="E13" s="1485">
        <v>1.57</v>
      </c>
      <c r="F13" s="1485">
        <v>1.73</v>
      </c>
      <c r="G13" s="1485">
        <v>1.89</v>
      </c>
      <c r="H13" s="1485">
        <v>2.0499999999999998</v>
      </c>
      <c r="I13" s="1485">
        <v>2.2200000000000002</v>
      </c>
      <c r="J13" s="1485">
        <v>2.4</v>
      </c>
      <c r="K13" s="1485">
        <v>2.57</v>
      </c>
      <c r="L13" s="1485">
        <v>2.76</v>
      </c>
      <c r="M13" s="1485">
        <v>2.94</v>
      </c>
      <c r="N13" s="1485">
        <v>3.13</v>
      </c>
      <c r="O13" s="1485">
        <v>3.33</v>
      </c>
      <c r="P13" s="1485">
        <v>3.54</v>
      </c>
      <c r="Q13" s="1485">
        <v>3.74</v>
      </c>
      <c r="R13" s="1485">
        <v>3.96</v>
      </c>
      <c r="S13" s="1485">
        <v>4.18</v>
      </c>
    </row>
    <row r="14" spans="1:19">
      <c r="A14" s="64">
        <v>27</v>
      </c>
      <c r="B14" s="64" t="s">
        <v>23</v>
      </c>
      <c r="C14" s="64" t="str">
        <f t="shared" si="0"/>
        <v>27-M</v>
      </c>
      <c r="D14" s="1485">
        <v>1.42</v>
      </c>
      <c r="E14" s="1485">
        <v>1.58</v>
      </c>
      <c r="F14" s="1485">
        <v>1.75</v>
      </c>
      <c r="G14" s="1485">
        <v>1.91</v>
      </c>
      <c r="H14" s="1485">
        <v>2.09</v>
      </c>
      <c r="I14" s="1485">
        <v>2.2599999999999998</v>
      </c>
      <c r="J14" s="1485">
        <v>2.44</v>
      </c>
      <c r="K14" s="1485">
        <v>2.63</v>
      </c>
      <c r="L14" s="1485">
        <v>2.82</v>
      </c>
      <c r="M14" s="1485">
        <v>3.01</v>
      </c>
      <c r="N14" s="1485">
        <v>3.21</v>
      </c>
      <c r="O14" s="1485">
        <v>3.42</v>
      </c>
      <c r="P14" s="1485">
        <v>3.63</v>
      </c>
      <c r="Q14" s="1485">
        <v>3.85</v>
      </c>
      <c r="R14" s="1485">
        <v>4.08</v>
      </c>
      <c r="S14" s="1485">
        <v>4.32</v>
      </c>
    </row>
    <row r="15" spans="1:19">
      <c r="A15" s="64">
        <v>28</v>
      </c>
      <c r="B15" s="64" t="s">
        <v>23</v>
      </c>
      <c r="C15" s="64" t="str">
        <f t="shared" si="0"/>
        <v>28-M</v>
      </c>
      <c r="D15" s="1485">
        <v>1.44</v>
      </c>
      <c r="E15" s="1485">
        <v>1.6</v>
      </c>
      <c r="F15" s="1485">
        <v>1.77</v>
      </c>
      <c r="G15" s="1485">
        <v>1.95</v>
      </c>
      <c r="H15" s="1485">
        <v>2.13</v>
      </c>
      <c r="I15" s="1485">
        <v>2.31</v>
      </c>
      <c r="J15" s="1485">
        <v>2.5</v>
      </c>
      <c r="K15" s="1485">
        <v>2.69</v>
      </c>
      <c r="L15" s="1485">
        <v>2.89</v>
      </c>
      <c r="M15" s="1485">
        <v>3.1</v>
      </c>
      <c r="N15" s="1485">
        <v>3.31</v>
      </c>
      <c r="O15" s="1485">
        <v>3.53</v>
      </c>
      <c r="P15" s="1485">
        <v>3.75</v>
      </c>
      <c r="Q15" s="1485">
        <v>3.98</v>
      </c>
      <c r="R15" s="1485">
        <v>4.2300000000000004</v>
      </c>
      <c r="S15" s="1485">
        <v>4.4800000000000004</v>
      </c>
    </row>
    <row r="16" spans="1:19">
      <c r="A16" s="64">
        <v>29</v>
      </c>
      <c r="B16" s="64" t="s">
        <v>23</v>
      </c>
      <c r="C16" s="64" t="str">
        <f t="shared" si="0"/>
        <v>29-M</v>
      </c>
      <c r="D16" s="1485">
        <v>1.46</v>
      </c>
      <c r="E16" s="1485">
        <v>1.63</v>
      </c>
      <c r="F16" s="1485">
        <v>1.81</v>
      </c>
      <c r="G16" s="1485">
        <v>1.99</v>
      </c>
      <c r="H16" s="1485">
        <v>2.1800000000000002</v>
      </c>
      <c r="I16" s="1485">
        <v>2.37</v>
      </c>
      <c r="J16" s="1485">
        <v>2.57</v>
      </c>
      <c r="K16" s="1485">
        <v>2.77</v>
      </c>
      <c r="L16" s="1485">
        <v>2.98</v>
      </c>
      <c r="M16" s="1485">
        <v>3.2</v>
      </c>
      <c r="N16" s="1485">
        <v>3.42</v>
      </c>
      <c r="O16" s="1485">
        <v>3.65</v>
      </c>
      <c r="P16" s="1485">
        <v>3.89</v>
      </c>
      <c r="Q16" s="1485">
        <v>4.13</v>
      </c>
      <c r="R16" s="1485">
        <v>4.3899999999999997</v>
      </c>
      <c r="S16" s="1485">
        <v>4.66</v>
      </c>
    </row>
    <row r="17" spans="1:19">
      <c r="A17" s="65">
        <v>30</v>
      </c>
      <c r="B17" s="65" t="s">
        <v>23</v>
      </c>
      <c r="C17" s="65" t="str">
        <f t="shared" si="0"/>
        <v>30-M</v>
      </c>
      <c r="D17" s="1486">
        <v>1.49</v>
      </c>
      <c r="E17" s="1486">
        <v>1.67</v>
      </c>
      <c r="F17" s="1486">
        <v>1.86</v>
      </c>
      <c r="G17" s="1486">
        <v>2.0499999999999998</v>
      </c>
      <c r="H17" s="1486">
        <v>2.2400000000000002</v>
      </c>
      <c r="I17" s="1486">
        <v>2.44</v>
      </c>
      <c r="J17" s="1486">
        <v>2.65</v>
      </c>
      <c r="K17" s="1486">
        <v>2.87</v>
      </c>
      <c r="L17" s="1486">
        <v>3.09</v>
      </c>
      <c r="M17" s="1486">
        <v>3.31</v>
      </c>
      <c r="N17" s="1486">
        <v>3.55</v>
      </c>
      <c r="O17" s="1486">
        <v>3.79</v>
      </c>
      <c r="P17" s="1486">
        <v>4.04</v>
      </c>
      <c r="Q17" s="1486">
        <v>4.3099999999999996</v>
      </c>
      <c r="R17" s="1486">
        <v>4.58</v>
      </c>
      <c r="S17" s="1486">
        <v>4.8600000000000003</v>
      </c>
    </row>
    <row r="18" spans="1:19">
      <c r="A18" s="64">
        <v>31</v>
      </c>
      <c r="B18" s="64" t="s">
        <v>23</v>
      </c>
      <c r="C18" s="64" t="str">
        <f t="shared" si="0"/>
        <v>31-M</v>
      </c>
      <c r="D18" s="1485">
        <v>1.53</v>
      </c>
      <c r="E18" s="1485">
        <v>1.72</v>
      </c>
      <c r="F18" s="1485">
        <v>1.92</v>
      </c>
      <c r="G18" s="1485">
        <v>2.11</v>
      </c>
      <c r="H18" s="1485">
        <v>2.3199999999999998</v>
      </c>
      <c r="I18" s="1485">
        <v>2.5299999999999998</v>
      </c>
      <c r="J18" s="1485">
        <v>2.75</v>
      </c>
      <c r="K18" s="1485">
        <v>2.98</v>
      </c>
      <c r="L18" s="1485">
        <v>3.21</v>
      </c>
      <c r="M18" s="1485">
        <v>3.45</v>
      </c>
      <c r="N18" s="1485">
        <v>3.7</v>
      </c>
      <c r="O18" s="1485">
        <v>3.96</v>
      </c>
      <c r="P18" s="1485">
        <v>4.22</v>
      </c>
      <c r="Q18" s="1485">
        <v>4.5</v>
      </c>
      <c r="R18" s="1485">
        <v>4.8</v>
      </c>
      <c r="S18" s="1485">
        <v>5.0999999999999996</v>
      </c>
    </row>
    <row r="19" spans="1:19">
      <c r="A19" s="64">
        <v>32</v>
      </c>
      <c r="B19" s="64" t="s">
        <v>23</v>
      </c>
      <c r="C19" s="64" t="str">
        <f t="shared" si="0"/>
        <v>32-M</v>
      </c>
      <c r="D19" s="1485">
        <v>1.59</v>
      </c>
      <c r="E19" s="1485">
        <v>1.78</v>
      </c>
      <c r="F19" s="1485">
        <v>1.99</v>
      </c>
      <c r="G19" s="1485">
        <v>2.19</v>
      </c>
      <c r="H19" s="1485">
        <v>2.41</v>
      </c>
      <c r="I19" s="1485">
        <v>2.63</v>
      </c>
      <c r="J19" s="1485">
        <v>2.86</v>
      </c>
      <c r="K19" s="1485">
        <v>3.1</v>
      </c>
      <c r="L19" s="1485">
        <v>3.35</v>
      </c>
      <c r="M19" s="1485">
        <v>3.6</v>
      </c>
      <c r="N19" s="1485">
        <v>3.87</v>
      </c>
      <c r="O19" s="1485">
        <v>4.1399999999999997</v>
      </c>
      <c r="P19" s="1485">
        <v>4.43</v>
      </c>
      <c r="Q19" s="1485">
        <v>4.7300000000000004</v>
      </c>
      <c r="R19" s="1485">
        <v>5.04</v>
      </c>
      <c r="S19" s="1485">
        <v>5.37</v>
      </c>
    </row>
    <row r="20" spans="1:19">
      <c r="A20" s="64">
        <v>33</v>
      </c>
      <c r="B20" s="64" t="s">
        <v>23</v>
      </c>
      <c r="C20" s="64" t="str">
        <f t="shared" si="0"/>
        <v>33-M</v>
      </c>
      <c r="D20" s="1485">
        <v>1.65</v>
      </c>
      <c r="E20" s="1485">
        <v>1.85</v>
      </c>
      <c r="F20" s="1485">
        <v>2.0699999999999998</v>
      </c>
      <c r="G20" s="1485">
        <v>2.29</v>
      </c>
      <c r="H20" s="1485">
        <v>2.52</v>
      </c>
      <c r="I20" s="1485">
        <v>2.75</v>
      </c>
      <c r="J20" s="1485">
        <v>2.99</v>
      </c>
      <c r="K20" s="1485">
        <v>3.25</v>
      </c>
      <c r="L20" s="1485">
        <v>3.51</v>
      </c>
      <c r="M20" s="1485">
        <v>3.78</v>
      </c>
      <c r="N20" s="1485">
        <v>4.0599999999999996</v>
      </c>
      <c r="O20" s="1485">
        <v>4.3499999999999996</v>
      </c>
      <c r="P20" s="1485">
        <v>4.66</v>
      </c>
      <c r="Q20" s="1485">
        <v>4.9800000000000004</v>
      </c>
      <c r="R20" s="1485">
        <v>5.32</v>
      </c>
      <c r="S20" s="1485">
        <v>5.67</v>
      </c>
    </row>
    <row r="21" spans="1:19">
      <c r="A21" s="64">
        <v>34</v>
      </c>
      <c r="B21" s="64" t="s">
        <v>23</v>
      </c>
      <c r="C21" s="64" t="str">
        <f t="shared" si="0"/>
        <v>34-M</v>
      </c>
      <c r="D21" s="1485">
        <v>1.72</v>
      </c>
      <c r="E21" s="1485">
        <v>1.93</v>
      </c>
      <c r="F21" s="1485">
        <v>2.16</v>
      </c>
      <c r="G21" s="1485">
        <v>2.39</v>
      </c>
      <c r="H21" s="1485">
        <v>2.64</v>
      </c>
      <c r="I21" s="1485">
        <v>2.88</v>
      </c>
      <c r="J21" s="1485">
        <v>3.14</v>
      </c>
      <c r="K21" s="1485">
        <v>3.41</v>
      </c>
      <c r="L21" s="1485">
        <v>3.69</v>
      </c>
      <c r="M21" s="1485">
        <v>3.97</v>
      </c>
      <c r="N21" s="1485">
        <v>4.2699999999999996</v>
      </c>
      <c r="O21" s="1485">
        <v>4.59</v>
      </c>
      <c r="P21" s="1485">
        <v>4.92</v>
      </c>
      <c r="Q21" s="1485">
        <v>5.26</v>
      </c>
      <c r="R21" s="1485">
        <v>5.63</v>
      </c>
      <c r="S21" s="1485">
        <v>6.01</v>
      </c>
    </row>
    <row r="22" spans="1:19">
      <c r="A22" s="65">
        <v>35</v>
      </c>
      <c r="B22" s="65" t="s">
        <v>23</v>
      </c>
      <c r="C22" s="65" t="str">
        <f t="shared" si="0"/>
        <v>35-M</v>
      </c>
      <c r="D22" s="1486">
        <v>1.8</v>
      </c>
      <c r="E22" s="1486">
        <v>2.0299999999999998</v>
      </c>
      <c r="F22" s="1486">
        <v>2.27</v>
      </c>
      <c r="G22" s="1486">
        <v>2.5099999999999998</v>
      </c>
      <c r="H22" s="1486">
        <v>2.77</v>
      </c>
      <c r="I22" s="1486">
        <v>3.03</v>
      </c>
      <c r="J22" s="1486">
        <v>3.31</v>
      </c>
      <c r="K22" s="1486">
        <v>3.59</v>
      </c>
      <c r="L22" s="1486">
        <v>3.89</v>
      </c>
      <c r="M22" s="1486">
        <v>4.1900000000000004</v>
      </c>
      <c r="N22" s="1486">
        <v>4.5199999999999996</v>
      </c>
      <c r="O22" s="1486">
        <v>4.8499999999999996</v>
      </c>
      <c r="P22" s="1486">
        <v>5.21</v>
      </c>
      <c r="Q22" s="1486">
        <v>5.58</v>
      </c>
      <c r="R22" s="1486">
        <v>5.97</v>
      </c>
      <c r="S22" s="1486">
        <v>6.39</v>
      </c>
    </row>
    <row r="23" spans="1:19">
      <c r="A23" s="64">
        <v>36</v>
      </c>
      <c r="B23" s="64" t="s">
        <v>23</v>
      </c>
      <c r="C23" s="64" t="str">
        <f t="shared" si="0"/>
        <v>36-M</v>
      </c>
      <c r="D23" s="1485">
        <v>1.89</v>
      </c>
      <c r="E23" s="1485">
        <v>2.13</v>
      </c>
      <c r="F23" s="1485">
        <v>2.39</v>
      </c>
      <c r="G23" s="1485">
        <v>2.65</v>
      </c>
      <c r="H23" s="1485">
        <v>2.92</v>
      </c>
      <c r="I23" s="1485">
        <v>3.2</v>
      </c>
      <c r="J23" s="1485">
        <v>3.49</v>
      </c>
      <c r="K23" s="1485">
        <v>3.79</v>
      </c>
      <c r="L23" s="1485">
        <v>4.1100000000000003</v>
      </c>
      <c r="M23" s="1485">
        <v>4.4400000000000004</v>
      </c>
      <c r="N23" s="1485">
        <v>4.79</v>
      </c>
      <c r="O23" s="1485">
        <v>5.15</v>
      </c>
      <c r="P23" s="1485">
        <v>5.53</v>
      </c>
      <c r="Q23" s="1485">
        <v>5.93</v>
      </c>
      <c r="R23" s="1485">
        <v>6.36</v>
      </c>
      <c r="S23" s="1485">
        <v>6.81</v>
      </c>
    </row>
    <row r="24" spans="1:19">
      <c r="A24" s="64">
        <v>37</v>
      </c>
      <c r="B24" s="64" t="s">
        <v>23</v>
      </c>
      <c r="C24" s="64" t="str">
        <f t="shared" si="0"/>
        <v>37-M</v>
      </c>
      <c r="D24" s="1485">
        <v>1.99</v>
      </c>
      <c r="E24" s="1485">
        <v>2.25</v>
      </c>
      <c r="F24" s="1485">
        <v>2.52</v>
      </c>
      <c r="G24" s="1485">
        <v>2.79</v>
      </c>
      <c r="H24" s="1485">
        <v>3.08</v>
      </c>
      <c r="I24" s="1485">
        <v>3.38</v>
      </c>
      <c r="J24" s="1485">
        <v>3.69</v>
      </c>
      <c r="K24" s="1485">
        <v>4.01</v>
      </c>
      <c r="L24" s="1485">
        <v>4.3499999999999996</v>
      </c>
      <c r="M24" s="1485">
        <v>4.71</v>
      </c>
      <c r="N24" s="1485">
        <v>5.08</v>
      </c>
      <c r="O24" s="1485">
        <v>5.48</v>
      </c>
      <c r="P24" s="1485">
        <v>5.89</v>
      </c>
      <c r="Q24" s="1485">
        <v>6.33</v>
      </c>
      <c r="R24" s="1485">
        <v>6.79</v>
      </c>
      <c r="S24" s="1485">
        <v>7.28</v>
      </c>
    </row>
    <row r="25" spans="1:19">
      <c r="A25" s="64">
        <v>38</v>
      </c>
      <c r="B25" s="64" t="s">
        <v>23</v>
      </c>
      <c r="C25" s="64" t="str">
        <f t="shared" si="0"/>
        <v>38-M</v>
      </c>
      <c r="D25" s="1485">
        <v>2.1</v>
      </c>
      <c r="E25" s="1485">
        <v>2.38</v>
      </c>
      <c r="F25" s="1485">
        <v>2.66</v>
      </c>
      <c r="G25" s="1485">
        <v>2.95</v>
      </c>
      <c r="H25" s="1485">
        <v>3.26</v>
      </c>
      <c r="I25" s="1485">
        <v>3.58</v>
      </c>
      <c r="J25" s="1485">
        <v>3.91</v>
      </c>
      <c r="K25" s="1485">
        <v>4.26</v>
      </c>
      <c r="L25" s="1485">
        <v>4.63</v>
      </c>
      <c r="M25" s="1485">
        <v>5.01</v>
      </c>
      <c r="N25" s="1485">
        <v>5.42</v>
      </c>
      <c r="O25" s="1485">
        <v>5.84</v>
      </c>
      <c r="P25" s="1485">
        <v>6.29</v>
      </c>
      <c r="Q25" s="1485">
        <v>6.77</v>
      </c>
      <c r="R25" s="1485">
        <v>7.27</v>
      </c>
      <c r="S25" s="1485">
        <v>7.8</v>
      </c>
    </row>
    <row r="26" spans="1:19">
      <c r="A26" s="64">
        <v>39</v>
      </c>
      <c r="B26" s="64" t="s">
        <v>23</v>
      </c>
      <c r="C26" s="64" t="str">
        <f t="shared" si="0"/>
        <v>39-M</v>
      </c>
      <c r="D26" s="1485">
        <v>2.2200000000000002</v>
      </c>
      <c r="E26" s="1485">
        <v>2.5099999999999998</v>
      </c>
      <c r="F26" s="1485">
        <v>2.82</v>
      </c>
      <c r="G26" s="1485">
        <v>3.13</v>
      </c>
      <c r="H26" s="1485">
        <v>3.46</v>
      </c>
      <c r="I26" s="1485">
        <v>3.8</v>
      </c>
      <c r="J26" s="1485">
        <v>4.16</v>
      </c>
      <c r="K26" s="1485">
        <v>4.53</v>
      </c>
      <c r="L26" s="1485">
        <v>4.93</v>
      </c>
      <c r="M26" s="1485">
        <v>5.34</v>
      </c>
      <c r="N26" s="1485">
        <v>5.78</v>
      </c>
      <c r="O26" s="1485">
        <v>6.24</v>
      </c>
      <c r="P26" s="1485">
        <v>6.73</v>
      </c>
      <c r="Q26" s="1485">
        <v>7.25</v>
      </c>
      <c r="R26" s="1485">
        <v>7.8</v>
      </c>
      <c r="S26" s="1485">
        <v>8.3800000000000008</v>
      </c>
    </row>
    <row r="27" spans="1:19">
      <c r="A27" s="65">
        <v>40</v>
      </c>
      <c r="B27" s="65" t="s">
        <v>23</v>
      </c>
      <c r="C27" s="65" t="str">
        <f t="shared" si="0"/>
        <v>40-M</v>
      </c>
      <c r="D27" s="1486">
        <v>2.35</v>
      </c>
      <c r="E27" s="1486">
        <v>2.66</v>
      </c>
      <c r="F27" s="1486">
        <v>2.99</v>
      </c>
      <c r="G27" s="1486">
        <v>3.32</v>
      </c>
      <c r="H27" s="1486">
        <v>3.67</v>
      </c>
      <c r="I27" s="1486">
        <v>4.04</v>
      </c>
      <c r="J27" s="1486">
        <v>4.43</v>
      </c>
      <c r="K27" s="1486">
        <v>4.83</v>
      </c>
      <c r="L27" s="1486">
        <v>5.26</v>
      </c>
      <c r="M27" s="1486">
        <v>5.71</v>
      </c>
      <c r="N27" s="1486">
        <v>6.19</v>
      </c>
      <c r="O27" s="1486">
        <v>6.69</v>
      </c>
      <c r="P27" s="1486">
        <v>7.22</v>
      </c>
      <c r="Q27" s="1486">
        <v>7.79</v>
      </c>
      <c r="R27" s="1486">
        <v>8.39</v>
      </c>
      <c r="S27" s="1486">
        <v>9.0299999999999994</v>
      </c>
    </row>
    <row r="28" spans="1:19">
      <c r="A28" s="64">
        <v>41</v>
      </c>
      <c r="B28" s="64" t="s">
        <v>23</v>
      </c>
      <c r="C28" s="64" t="str">
        <f t="shared" si="0"/>
        <v>41-M</v>
      </c>
      <c r="D28" s="1485">
        <v>2.4900000000000002</v>
      </c>
      <c r="E28" s="1485">
        <v>2.82</v>
      </c>
      <c r="F28" s="1485">
        <v>3.17</v>
      </c>
      <c r="G28" s="1485">
        <v>3.53</v>
      </c>
      <c r="H28" s="1485">
        <v>3.91</v>
      </c>
      <c r="I28" s="1485">
        <v>4.3099999999999996</v>
      </c>
      <c r="J28" s="1485">
        <v>4.72</v>
      </c>
      <c r="K28" s="1485">
        <v>5.16</v>
      </c>
      <c r="L28" s="1485">
        <v>5.63</v>
      </c>
      <c r="M28" s="1485">
        <v>6.12</v>
      </c>
      <c r="N28" s="1485">
        <v>6.63</v>
      </c>
      <c r="O28" s="1485">
        <v>7.18</v>
      </c>
      <c r="P28" s="1485">
        <v>7.77</v>
      </c>
      <c r="Q28" s="1485">
        <v>8.39</v>
      </c>
      <c r="R28" s="1485">
        <v>9.0500000000000007</v>
      </c>
      <c r="S28" s="1485">
        <v>0</v>
      </c>
    </row>
    <row r="29" spans="1:19">
      <c r="A29" s="64">
        <v>42</v>
      </c>
      <c r="B29" s="64" t="s">
        <v>23</v>
      </c>
      <c r="C29" s="64" t="str">
        <f t="shared" si="0"/>
        <v>42-M</v>
      </c>
      <c r="D29" s="1485">
        <v>2.65</v>
      </c>
      <c r="E29" s="1485">
        <v>3</v>
      </c>
      <c r="F29" s="1485">
        <v>3.38</v>
      </c>
      <c r="G29" s="1485">
        <v>3.76</v>
      </c>
      <c r="H29" s="1485">
        <v>4.17</v>
      </c>
      <c r="I29" s="1485">
        <v>4.5999999999999996</v>
      </c>
      <c r="J29" s="1485">
        <v>5.05</v>
      </c>
      <c r="K29" s="1485">
        <v>5.53</v>
      </c>
      <c r="L29" s="1485">
        <v>6.04</v>
      </c>
      <c r="M29" s="1485">
        <v>6.57</v>
      </c>
      <c r="N29" s="1485">
        <v>7.14</v>
      </c>
      <c r="O29" s="1485">
        <v>7.74</v>
      </c>
      <c r="P29" s="1485">
        <v>8.3800000000000008</v>
      </c>
      <c r="Q29" s="1485">
        <v>9.06</v>
      </c>
      <c r="R29" s="1485">
        <v>0</v>
      </c>
      <c r="S29" s="1485">
        <v>0</v>
      </c>
    </row>
    <row r="30" spans="1:19">
      <c r="A30" s="64">
        <v>43</v>
      </c>
      <c r="B30" s="64" t="s">
        <v>23</v>
      </c>
      <c r="C30" s="64" t="str">
        <f t="shared" si="0"/>
        <v>43-M</v>
      </c>
      <c r="D30" s="1485">
        <v>2.82</v>
      </c>
      <c r="E30" s="1485">
        <v>3.2</v>
      </c>
      <c r="F30" s="1485">
        <v>3.6</v>
      </c>
      <c r="G30" s="1485">
        <v>4.0199999999999996</v>
      </c>
      <c r="H30" s="1485">
        <v>4.46</v>
      </c>
      <c r="I30" s="1485">
        <v>4.93</v>
      </c>
      <c r="J30" s="1485">
        <v>5.42</v>
      </c>
      <c r="K30" s="1485">
        <v>5.94</v>
      </c>
      <c r="L30" s="1485">
        <v>6.49</v>
      </c>
      <c r="M30" s="1485">
        <v>7.07</v>
      </c>
      <c r="N30" s="1485">
        <v>7.69</v>
      </c>
      <c r="O30" s="1485">
        <v>8.35</v>
      </c>
      <c r="P30" s="1485">
        <v>9.06</v>
      </c>
      <c r="Q30" s="1485">
        <v>0</v>
      </c>
      <c r="R30" s="1485">
        <v>0</v>
      </c>
      <c r="S30" s="1485">
        <v>0</v>
      </c>
    </row>
    <row r="31" spans="1:19">
      <c r="A31" s="64">
        <v>44</v>
      </c>
      <c r="B31" s="64" t="s">
        <v>23</v>
      </c>
      <c r="C31" s="64" t="str">
        <f t="shared" si="0"/>
        <v>44-M</v>
      </c>
      <c r="D31" s="1485">
        <v>3</v>
      </c>
      <c r="E31" s="1485">
        <v>3.41</v>
      </c>
      <c r="F31" s="1485">
        <v>3.85</v>
      </c>
      <c r="G31" s="1485">
        <v>4.3</v>
      </c>
      <c r="H31" s="1485">
        <v>4.78</v>
      </c>
      <c r="I31" s="1485">
        <v>5.29</v>
      </c>
      <c r="J31" s="1485">
        <v>5.82</v>
      </c>
      <c r="K31" s="1485">
        <v>6.39</v>
      </c>
      <c r="L31" s="1485">
        <v>6.99</v>
      </c>
      <c r="M31" s="1485">
        <v>7.63</v>
      </c>
      <c r="N31" s="1485">
        <v>8.32</v>
      </c>
      <c r="O31" s="1485">
        <v>9.0399999999999991</v>
      </c>
      <c r="P31" s="1485">
        <v>0</v>
      </c>
      <c r="Q31" s="1485">
        <v>0</v>
      </c>
      <c r="R31" s="1485">
        <v>0</v>
      </c>
      <c r="S31" s="1485">
        <v>0</v>
      </c>
    </row>
    <row r="32" spans="1:19">
      <c r="A32" s="65">
        <v>45</v>
      </c>
      <c r="B32" s="65" t="s">
        <v>23</v>
      </c>
      <c r="C32" s="65" t="str">
        <f t="shared" si="0"/>
        <v>45-M</v>
      </c>
      <c r="D32" s="1486">
        <v>3.2</v>
      </c>
      <c r="E32" s="1486">
        <v>3.65</v>
      </c>
      <c r="F32" s="1486">
        <v>4.12</v>
      </c>
      <c r="G32" s="1486">
        <v>4.6100000000000003</v>
      </c>
      <c r="H32" s="1486">
        <v>5.13</v>
      </c>
      <c r="I32" s="1486">
        <v>5.69</v>
      </c>
      <c r="J32" s="1486">
        <v>6.27</v>
      </c>
      <c r="K32" s="1486">
        <v>6.89</v>
      </c>
      <c r="L32" s="1486">
        <v>7.55</v>
      </c>
      <c r="M32" s="1486">
        <v>8.26</v>
      </c>
      <c r="N32" s="1486">
        <v>9.01</v>
      </c>
      <c r="O32" s="1486">
        <v>0</v>
      </c>
      <c r="P32" s="1486">
        <v>0</v>
      </c>
      <c r="Q32" s="1486">
        <v>0</v>
      </c>
      <c r="R32" s="1486">
        <v>0</v>
      </c>
      <c r="S32" s="1486">
        <v>0</v>
      </c>
    </row>
    <row r="33" spans="1:19">
      <c r="A33" s="64">
        <v>46</v>
      </c>
      <c r="B33" s="64" t="s">
        <v>23</v>
      </c>
      <c r="C33" s="64" t="str">
        <f t="shared" si="0"/>
        <v>46-M</v>
      </c>
      <c r="D33" s="1485">
        <v>3.43</v>
      </c>
      <c r="E33" s="1485">
        <v>3.91</v>
      </c>
      <c r="F33" s="1485">
        <v>4.42</v>
      </c>
      <c r="G33" s="1485">
        <v>4.95</v>
      </c>
      <c r="H33" s="1485">
        <v>5.52</v>
      </c>
      <c r="I33" s="1485">
        <v>6.13</v>
      </c>
      <c r="J33" s="1485">
        <v>6.77</v>
      </c>
      <c r="K33" s="1485">
        <v>7.45</v>
      </c>
      <c r="L33" s="1485">
        <v>8.18</v>
      </c>
      <c r="M33" s="1485">
        <v>8.9600000000000009</v>
      </c>
      <c r="N33" s="1485">
        <v>0</v>
      </c>
      <c r="O33" s="1485">
        <v>0</v>
      </c>
      <c r="P33" s="1485">
        <v>0</v>
      </c>
      <c r="Q33" s="1485">
        <v>0</v>
      </c>
      <c r="R33" s="1485">
        <v>0</v>
      </c>
      <c r="S33" s="1485">
        <v>0</v>
      </c>
    </row>
    <row r="34" spans="1:19">
      <c r="A34" s="64">
        <v>47</v>
      </c>
      <c r="B34" s="64" t="s">
        <v>23</v>
      </c>
      <c r="C34" s="64" t="str">
        <f t="shared" si="0"/>
        <v>47-M</v>
      </c>
      <c r="D34" s="1485">
        <v>3.7</v>
      </c>
      <c r="E34" s="1485">
        <v>4.22</v>
      </c>
      <c r="F34" s="1485">
        <v>4.78</v>
      </c>
      <c r="G34" s="1485">
        <v>5.37</v>
      </c>
      <c r="H34" s="1485">
        <v>5.99</v>
      </c>
      <c r="I34" s="1485">
        <v>6.65</v>
      </c>
      <c r="J34" s="1485">
        <v>7.36</v>
      </c>
      <c r="K34" s="1485">
        <v>8.11</v>
      </c>
      <c r="L34" s="1485">
        <v>8.91</v>
      </c>
      <c r="M34" s="1485">
        <v>0</v>
      </c>
      <c r="N34" s="1485">
        <v>0</v>
      </c>
      <c r="O34" s="1485">
        <v>0</v>
      </c>
      <c r="P34" s="1485">
        <v>0</v>
      </c>
      <c r="Q34" s="1485">
        <v>0</v>
      </c>
      <c r="R34" s="1485">
        <v>0</v>
      </c>
      <c r="S34" s="1485">
        <v>0</v>
      </c>
    </row>
    <row r="35" spans="1:19">
      <c r="A35" s="64">
        <v>48</v>
      </c>
      <c r="B35" s="64" t="s">
        <v>23</v>
      </c>
      <c r="C35" s="64" t="str">
        <f t="shared" si="0"/>
        <v>48-M</v>
      </c>
      <c r="D35" s="1485">
        <v>4</v>
      </c>
      <c r="E35" s="1485">
        <v>4.58</v>
      </c>
      <c r="F35" s="1485">
        <v>5.18</v>
      </c>
      <c r="G35" s="1485">
        <v>5.83</v>
      </c>
      <c r="H35" s="1485">
        <v>6.51</v>
      </c>
      <c r="I35" s="1485">
        <v>7.24</v>
      </c>
      <c r="J35" s="1485">
        <v>8.02</v>
      </c>
      <c r="K35" s="1485">
        <v>8.85</v>
      </c>
      <c r="L35" s="1485">
        <v>0</v>
      </c>
      <c r="M35" s="1485">
        <v>0</v>
      </c>
      <c r="N35" s="1485">
        <v>0</v>
      </c>
      <c r="O35" s="1485">
        <v>0</v>
      </c>
      <c r="P35" s="1485">
        <v>0</v>
      </c>
      <c r="Q35" s="1485">
        <v>0</v>
      </c>
      <c r="R35" s="1485">
        <v>0</v>
      </c>
      <c r="S35" s="1485">
        <v>0</v>
      </c>
    </row>
    <row r="36" spans="1:19">
      <c r="A36" s="64">
        <v>49</v>
      </c>
      <c r="B36" s="64" t="s">
        <v>23</v>
      </c>
      <c r="C36" s="64" t="str">
        <f t="shared" si="0"/>
        <v>49-M</v>
      </c>
      <c r="D36" s="1485">
        <v>4.34</v>
      </c>
      <c r="E36" s="1485">
        <v>4.97</v>
      </c>
      <c r="F36" s="1485">
        <v>5.64</v>
      </c>
      <c r="G36" s="1485">
        <v>6.35</v>
      </c>
      <c r="H36" s="1485">
        <v>7.1</v>
      </c>
      <c r="I36" s="1485">
        <v>7.9</v>
      </c>
      <c r="J36" s="1485">
        <v>8.76</v>
      </c>
      <c r="K36" s="1485">
        <v>0</v>
      </c>
      <c r="L36" s="1485">
        <v>0</v>
      </c>
      <c r="M36" s="1485">
        <v>0</v>
      </c>
      <c r="N36" s="1485">
        <v>0</v>
      </c>
      <c r="O36" s="1485">
        <v>0</v>
      </c>
      <c r="P36" s="1485">
        <v>0</v>
      </c>
      <c r="Q36" s="1485">
        <v>0</v>
      </c>
      <c r="R36" s="1485">
        <v>0</v>
      </c>
      <c r="S36" s="1485">
        <v>0</v>
      </c>
    </row>
    <row r="37" spans="1:19">
      <c r="A37" s="64">
        <v>50</v>
      </c>
      <c r="B37" s="64" t="s">
        <v>23</v>
      </c>
      <c r="C37" s="64" t="str">
        <f t="shared" si="0"/>
        <v>50-M</v>
      </c>
      <c r="D37" s="1485">
        <v>4.72</v>
      </c>
      <c r="E37" s="1485">
        <v>5.41</v>
      </c>
      <c r="F37" s="1485">
        <v>6.15</v>
      </c>
      <c r="G37" s="1485">
        <v>6.93</v>
      </c>
      <c r="H37" s="1485">
        <v>7.76</v>
      </c>
      <c r="I37" s="1485">
        <v>8.65</v>
      </c>
      <c r="J37" s="1485">
        <v>0</v>
      </c>
      <c r="K37" s="1485">
        <v>0</v>
      </c>
      <c r="L37" s="1485">
        <v>0</v>
      </c>
      <c r="M37" s="1485">
        <v>0</v>
      </c>
      <c r="N37" s="1485">
        <v>0</v>
      </c>
      <c r="O37" s="1485">
        <v>0</v>
      </c>
      <c r="P37" s="1485">
        <v>0</v>
      </c>
      <c r="Q37" s="1485">
        <v>0</v>
      </c>
      <c r="R37" s="1485">
        <v>0</v>
      </c>
      <c r="S37" s="1485">
        <v>0</v>
      </c>
    </row>
    <row r="38" spans="1:19">
      <c r="A38" s="64">
        <v>51</v>
      </c>
      <c r="B38" s="64" t="s">
        <v>23</v>
      </c>
      <c r="C38" s="64" t="str">
        <f t="shared" si="0"/>
        <v>51-M</v>
      </c>
      <c r="D38" s="1485">
        <v>5.15</v>
      </c>
      <c r="E38" s="1485">
        <v>5.91</v>
      </c>
      <c r="F38" s="1485">
        <v>6.72</v>
      </c>
      <c r="G38" s="1485">
        <v>7.58</v>
      </c>
      <c r="H38" s="1485">
        <v>8.5</v>
      </c>
      <c r="I38" s="1485">
        <v>0</v>
      </c>
      <c r="J38" s="1485">
        <v>0</v>
      </c>
      <c r="K38" s="1485">
        <v>0</v>
      </c>
      <c r="L38" s="1485">
        <v>0</v>
      </c>
      <c r="M38" s="1485">
        <v>0</v>
      </c>
      <c r="N38" s="1485">
        <v>0</v>
      </c>
      <c r="O38" s="1485">
        <v>0</v>
      </c>
      <c r="P38" s="1485">
        <v>0</v>
      </c>
      <c r="Q38" s="1485">
        <v>0</v>
      </c>
      <c r="R38" s="1485">
        <v>0</v>
      </c>
      <c r="S38" s="1485">
        <v>0</v>
      </c>
    </row>
    <row r="39" spans="1:19">
      <c r="A39" s="64">
        <v>52</v>
      </c>
      <c r="B39" s="64" t="s">
        <v>23</v>
      </c>
      <c r="C39" s="64" t="str">
        <f t="shared" si="0"/>
        <v>52-M</v>
      </c>
      <c r="D39" s="1485">
        <v>5.63</v>
      </c>
      <c r="E39" s="1485">
        <v>6.47</v>
      </c>
      <c r="F39" s="1485">
        <v>7.36</v>
      </c>
      <c r="G39" s="1485">
        <v>8.31</v>
      </c>
      <c r="H39" s="1485">
        <v>0</v>
      </c>
      <c r="I39" s="1485">
        <v>0</v>
      </c>
      <c r="J39" s="1485">
        <v>0</v>
      </c>
      <c r="K39" s="1485">
        <v>0</v>
      </c>
      <c r="L39" s="1485">
        <v>0</v>
      </c>
      <c r="M39" s="1485">
        <v>0</v>
      </c>
      <c r="N39" s="1485">
        <v>0</v>
      </c>
      <c r="O39" s="1485">
        <v>0</v>
      </c>
      <c r="P39" s="1485">
        <v>0</v>
      </c>
      <c r="Q39" s="1485">
        <v>0</v>
      </c>
      <c r="R39" s="1485">
        <v>0</v>
      </c>
      <c r="S39" s="1485">
        <v>0</v>
      </c>
    </row>
    <row r="40" spans="1:19">
      <c r="A40" s="64">
        <v>53</v>
      </c>
      <c r="B40" s="64" t="s">
        <v>23</v>
      </c>
      <c r="C40" s="64" t="str">
        <f t="shared" si="0"/>
        <v>53-M</v>
      </c>
      <c r="D40" s="1485">
        <v>6.18</v>
      </c>
      <c r="E40" s="1485">
        <v>7.1</v>
      </c>
      <c r="F40" s="1485">
        <v>8.09</v>
      </c>
      <c r="G40" s="1485">
        <v>0</v>
      </c>
      <c r="H40" s="1485">
        <v>0</v>
      </c>
      <c r="I40" s="1485">
        <v>0</v>
      </c>
      <c r="J40" s="1485">
        <v>0</v>
      </c>
      <c r="K40" s="1485">
        <v>0</v>
      </c>
      <c r="L40" s="1485">
        <v>0</v>
      </c>
      <c r="M40" s="1485">
        <v>0</v>
      </c>
      <c r="N40" s="1485">
        <v>0</v>
      </c>
      <c r="O40" s="1485">
        <v>0</v>
      </c>
      <c r="P40" s="1485">
        <v>0</v>
      </c>
      <c r="Q40" s="1485">
        <v>0</v>
      </c>
      <c r="R40" s="1485">
        <v>0</v>
      </c>
      <c r="S40" s="1485">
        <v>0</v>
      </c>
    </row>
    <row r="41" spans="1:19">
      <c r="A41" s="64">
        <v>54</v>
      </c>
      <c r="B41" s="64" t="s">
        <v>23</v>
      </c>
      <c r="C41" s="64" t="str">
        <f t="shared" si="0"/>
        <v>54-M</v>
      </c>
      <c r="D41" s="1485">
        <v>6.79</v>
      </c>
      <c r="E41" s="1485">
        <v>7.81</v>
      </c>
      <c r="F41" s="1485">
        <v>0</v>
      </c>
      <c r="G41" s="1485">
        <v>0</v>
      </c>
      <c r="H41" s="1485">
        <v>0</v>
      </c>
      <c r="I41" s="1485">
        <v>0</v>
      </c>
      <c r="J41" s="1485">
        <v>0</v>
      </c>
      <c r="K41" s="1485">
        <v>0</v>
      </c>
      <c r="L41" s="1485">
        <v>0</v>
      </c>
      <c r="M41" s="1485">
        <v>0</v>
      </c>
      <c r="N41" s="1485">
        <v>0</v>
      </c>
      <c r="O41" s="1485">
        <v>0</v>
      </c>
      <c r="P41" s="1485">
        <v>0</v>
      </c>
      <c r="Q41" s="1485">
        <v>0</v>
      </c>
      <c r="R41" s="1485">
        <v>0</v>
      </c>
      <c r="S41" s="1485">
        <v>0</v>
      </c>
    </row>
    <row r="42" spans="1:19">
      <c r="A42" s="64">
        <v>55</v>
      </c>
      <c r="B42" s="64" t="s">
        <v>23</v>
      </c>
      <c r="C42" s="64" t="str">
        <f t="shared" si="0"/>
        <v>55-M</v>
      </c>
      <c r="D42" s="1486">
        <v>7.48</v>
      </c>
      <c r="E42" s="1486">
        <v>0</v>
      </c>
      <c r="F42" s="1486">
        <v>0</v>
      </c>
      <c r="G42" s="1486">
        <v>0</v>
      </c>
      <c r="H42" s="1486">
        <v>0</v>
      </c>
      <c r="I42" s="1486">
        <v>0</v>
      </c>
      <c r="J42" s="1486">
        <v>0</v>
      </c>
      <c r="K42" s="1486">
        <v>0</v>
      </c>
      <c r="L42" s="1486"/>
      <c r="M42" s="1486"/>
      <c r="N42" s="1486"/>
      <c r="O42" s="1486"/>
      <c r="P42" s="1486"/>
      <c r="Q42" s="1486"/>
      <c r="R42" s="1486"/>
      <c r="S42" s="1486"/>
    </row>
    <row r="43" spans="1:19">
      <c r="A43" s="62">
        <v>20</v>
      </c>
      <c r="B43" s="63" t="s">
        <v>28</v>
      </c>
      <c r="C43" s="63" t="str">
        <f t="shared" si="0"/>
        <v>20-F</v>
      </c>
      <c r="D43" s="1484">
        <v>0.44</v>
      </c>
      <c r="E43" s="1484">
        <v>0.49</v>
      </c>
      <c r="F43" s="1484">
        <v>0.54</v>
      </c>
      <c r="G43" s="1484">
        <v>0.59</v>
      </c>
      <c r="H43" s="1484">
        <v>0.65</v>
      </c>
      <c r="I43" s="1484">
        <v>0.7</v>
      </c>
      <c r="J43" s="1484">
        <v>0.75</v>
      </c>
      <c r="K43" s="1484">
        <v>0.81</v>
      </c>
      <c r="L43" s="1484">
        <v>0.86</v>
      </c>
      <c r="M43" s="1484">
        <v>0.92</v>
      </c>
      <c r="N43" s="1484">
        <v>0.98</v>
      </c>
      <c r="O43" s="1484">
        <v>1.04</v>
      </c>
      <c r="P43" s="1484">
        <v>1.1000000000000001</v>
      </c>
      <c r="Q43" s="1484">
        <v>1.17</v>
      </c>
      <c r="R43" s="1484">
        <v>1.23</v>
      </c>
      <c r="S43" s="1484">
        <v>1.3</v>
      </c>
    </row>
    <row r="44" spans="1:19">
      <c r="A44" s="64">
        <v>21</v>
      </c>
      <c r="B44" s="64" t="s">
        <v>28</v>
      </c>
      <c r="C44" s="64" t="str">
        <f t="shared" si="0"/>
        <v>21-F</v>
      </c>
      <c r="D44" s="1485">
        <v>0.45</v>
      </c>
      <c r="E44" s="1485">
        <v>0.5</v>
      </c>
      <c r="F44" s="1485">
        <v>0.55000000000000004</v>
      </c>
      <c r="G44" s="1485">
        <v>0.61</v>
      </c>
      <c r="H44" s="1485">
        <v>0.66</v>
      </c>
      <c r="I44" s="1485">
        <v>0.72</v>
      </c>
      <c r="J44" s="1485">
        <v>0.77</v>
      </c>
      <c r="K44" s="1485">
        <v>0.83</v>
      </c>
      <c r="L44" s="1485">
        <v>0.89</v>
      </c>
      <c r="M44" s="1485">
        <v>0.95</v>
      </c>
      <c r="N44" s="1485">
        <v>1.01</v>
      </c>
      <c r="O44" s="1485">
        <v>1.07</v>
      </c>
      <c r="P44" s="1485">
        <v>1.1299999999999999</v>
      </c>
      <c r="Q44" s="1485">
        <v>1.2</v>
      </c>
      <c r="R44" s="1485">
        <v>1.27</v>
      </c>
      <c r="S44" s="1485">
        <v>1.34</v>
      </c>
    </row>
    <row r="45" spans="1:19">
      <c r="A45" s="64">
        <v>22</v>
      </c>
      <c r="B45" s="64" t="s">
        <v>28</v>
      </c>
      <c r="C45" s="64" t="str">
        <f t="shared" si="0"/>
        <v>22-F</v>
      </c>
      <c r="D45" s="1485">
        <v>0.46</v>
      </c>
      <c r="E45" s="1485">
        <v>0.51</v>
      </c>
      <c r="F45" s="1485">
        <v>0.56999999999999995</v>
      </c>
      <c r="G45" s="1485">
        <v>0.62</v>
      </c>
      <c r="H45" s="1485">
        <v>0.68</v>
      </c>
      <c r="I45" s="1485">
        <v>0.73</v>
      </c>
      <c r="J45" s="1485">
        <v>0.79</v>
      </c>
      <c r="K45" s="1485">
        <v>0.85</v>
      </c>
      <c r="L45" s="1485">
        <v>0.91</v>
      </c>
      <c r="M45" s="1485">
        <v>0.97</v>
      </c>
      <c r="N45" s="1485">
        <v>1.04</v>
      </c>
      <c r="O45" s="1485">
        <v>1.1000000000000001</v>
      </c>
      <c r="P45" s="1485">
        <v>1.17</v>
      </c>
      <c r="Q45" s="1485">
        <v>1.24</v>
      </c>
      <c r="R45" s="1485">
        <v>1.31</v>
      </c>
      <c r="S45" s="1485">
        <v>1.38</v>
      </c>
    </row>
    <row r="46" spans="1:19">
      <c r="A46" s="64">
        <v>23</v>
      </c>
      <c r="B46" s="64" t="s">
        <v>28</v>
      </c>
      <c r="C46" s="64" t="str">
        <f t="shared" si="0"/>
        <v>23-F</v>
      </c>
      <c r="D46" s="1485">
        <v>0.47</v>
      </c>
      <c r="E46" s="1485">
        <v>0.52</v>
      </c>
      <c r="F46" s="1485">
        <v>0.57999999999999996</v>
      </c>
      <c r="G46" s="1485">
        <v>0.63</v>
      </c>
      <c r="H46" s="1485">
        <v>0.69</v>
      </c>
      <c r="I46" s="1485">
        <v>0.75</v>
      </c>
      <c r="J46" s="1485">
        <v>0.81</v>
      </c>
      <c r="K46" s="1485">
        <v>0.87</v>
      </c>
      <c r="L46" s="1485">
        <v>0.94</v>
      </c>
      <c r="M46" s="1485">
        <v>1</v>
      </c>
      <c r="N46" s="1485">
        <v>1.07</v>
      </c>
      <c r="O46" s="1485">
        <v>1.1399999999999999</v>
      </c>
      <c r="P46" s="1485">
        <v>1.21</v>
      </c>
      <c r="Q46" s="1485">
        <v>1.28</v>
      </c>
      <c r="R46" s="1485">
        <v>1.35</v>
      </c>
      <c r="S46" s="1485">
        <v>1.43</v>
      </c>
    </row>
    <row r="47" spans="1:19">
      <c r="A47" s="64">
        <v>24</v>
      </c>
      <c r="B47" s="64" t="s">
        <v>28</v>
      </c>
      <c r="C47" s="64" t="str">
        <f t="shared" si="0"/>
        <v>24-F</v>
      </c>
      <c r="D47" s="1485">
        <v>0.48</v>
      </c>
      <c r="E47" s="1485">
        <v>0.53</v>
      </c>
      <c r="F47" s="1485">
        <v>0.59</v>
      </c>
      <c r="G47" s="1485">
        <v>0.65</v>
      </c>
      <c r="H47" s="1485">
        <v>0.71</v>
      </c>
      <c r="I47" s="1485">
        <v>0.77</v>
      </c>
      <c r="J47" s="1485">
        <v>0.84</v>
      </c>
      <c r="K47" s="1485">
        <v>0.9</v>
      </c>
      <c r="L47" s="1485">
        <v>0.97</v>
      </c>
      <c r="M47" s="1485">
        <v>1.03</v>
      </c>
      <c r="N47" s="1485">
        <v>1.1000000000000001</v>
      </c>
      <c r="O47" s="1485">
        <v>1.18</v>
      </c>
      <c r="P47" s="1485">
        <v>1.25</v>
      </c>
      <c r="Q47" s="1485">
        <v>1.32</v>
      </c>
      <c r="R47" s="1485">
        <v>1.4</v>
      </c>
      <c r="S47" s="1485">
        <v>1.48</v>
      </c>
    </row>
    <row r="48" spans="1:19">
      <c r="A48" s="65">
        <v>25</v>
      </c>
      <c r="B48" s="65" t="s">
        <v>28</v>
      </c>
      <c r="C48" s="65" t="str">
        <f t="shared" si="0"/>
        <v>25-F</v>
      </c>
      <c r="D48" s="1486">
        <v>0.49</v>
      </c>
      <c r="E48" s="1486">
        <v>0.55000000000000004</v>
      </c>
      <c r="F48" s="1486">
        <v>0.61</v>
      </c>
      <c r="G48" s="1486">
        <v>0.67</v>
      </c>
      <c r="H48" s="1486">
        <v>0.73</v>
      </c>
      <c r="I48" s="1486">
        <v>0.8</v>
      </c>
      <c r="J48" s="1486">
        <v>0.86</v>
      </c>
      <c r="K48" s="1486">
        <v>0.93</v>
      </c>
      <c r="L48" s="1486">
        <v>1</v>
      </c>
      <c r="M48" s="1486">
        <v>1.07</v>
      </c>
      <c r="N48" s="1486">
        <v>1.1399999999999999</v>
      </c>
      <c r="O48" s="1486">
        <v>1.22</v>
      </c>
      <c r="P48" s="1486">
        <v>1.29</v>
      </c>
      <c r="Q48" s="1486">
        <v>1.37</v>
      </c>
      <c r="R48" s="1486">
        <v>1.45</v>
      </c>
      <c r="S48" s="1486">
        <v>1.54</v>
      </c>
    </row>
    <row r="49" spans="1:19">
      <c r="A49" s="64">
        <v>26</v>
      </c>
      <c r="B49" s="64" t="s">
        <v>28</v>
      </c>
      <c r="C49" s="64" t="str">
        <f t="shared" si="0"/>
        <v>26-F</v>
      </c>
      <c r="D49" s="1485">
        <v>0.5</v>
      </c>
      <c r="E49" s="1485">
        <v>0.56000000000000005</v>
      </c>
      <c r="F49" s="1485">
        <v>0.63</v>
      </c>
      <c r="G49" s="1485">
        <v>0.69</v>
      </c>
      <c r="H49" s="1485">
        <v>0.75</v>
      </c>
      <c r="I49" s="1485">
        <v>0.82</v>
      </c>
      <c r="J49" s="1485">
        <v>0.89</v>
      </c>
      <c r="K49" s="1485">
        <v>0.96</v>
      </c>
      <c r="L49" s="1485">
        <v>1.03</v>
      </c>
      <c r="M49" s="1485">
        <v>1.1100000000000001</v>
      </c>
      <c r="N49" s="1485">
        <v>1.18</v>
      </c>
      <c r="O49" s="1485">
        <v>1.26</v>
      </c>
      <c r="P49" s="1485">
        <v>1.34</v>
      </c>
      <c r="Q49" s="1485">
        <v>1.43</v>
      </c>
      <c r="R49" s="1485">
        <v>1.51</v>
      </c>
      <c r="S49" s="1485">
        <v>1.6</v>
      </c>
    </row>
    <row r="50" spans="1:19">
      <c r="A50" s="64">
        <v>27</v>
      </c>
      <c r="B50" s="64" t="s">
        <v>28</v>
      </c>
      <c r="C50" s="64" t="str">
        <f t="shared" si="0"/>
        <v>27-F</v>
      </c>
      <c r="D50" s="1485">
        <v>0.52</v>
      </c>
      <c r="E50" s="1485">
        <v>0.57999999999999996</v>
      </c>
      <c r="F50" s="1485">
        <v>0.65</v>
      </c>
      <c r="G50" s="1485">
        <v>0.71</v>
      </c>
      <c r="H50" s="1485">
        <v>0.78</v>
      </c>
      <c r="I50" s="1485">
        <v>0.85</v>
      </c>
      <c r="J50" s="1485">
        <v>0.93</v>
      </c>
      <c r="K50" s="1485">
        <v>1</v>
      </c>
      <c r="L50" s="1485">
        <v>1.07</v>
      </c>
      <c r="M50" s="1485">
        <v>1.1499999999999999</v>
      </c>
      <c r="N50" s="1485">
        <v>1.23</v>
      </c>
      <c r="O50" s="1485">
        <v>1.31</v>
      </c>
      <c r="P50" s="1485">
        <v>1.4</v>
      </c>
      <c r="Q50" s="1485">
        <v>1.49</v>
      </c>
      <c r="R50" s="1485">
        <v>1.58</v>
      </c>
      <c r="S50" s="1485">
        <v>1.68</v>
      </c>
    </row>
    <row r="51" spans="1:19">
      <c r="A51" s="64">
        <v>28</v>
      </c>
      <c r="B51" s="64" t="s">
        <v>28</v>
      </c>
      <c r="C51" s="64" t="str">
        <f t="shared" si="0"/>
        <v>28-F</v>
      </c>
      <c r="D51" s="1485">
        <v>0.54</v>
      </c>
      <c r="E51" s="1485">
        <v>0.6</v>
      </c>
      <c r="F51" s="1485">
        <v>0.67</v>
      </c>
      <c r="G51" s="1485">
        <v>0.74</v>
      </c>
      <c r="H51" s="1485">
        <v>0.81</v>
      </c>
      <c r="I51" s="1485">
        <v>0.89</v>
      </c>
      <c r="J51" s="1485">
        <v>0.96</v>
      </c>
      <c r="K51" s="1485">
        <v>1.04</v>
      </c>
      <c r="L51" s="1485">
        <v>1.1200000000000001</v>
      </c>
      <c r="M51" s="1485">
        <v>1.2</v>
      </c>
      <c r="N51" s="1485">
        <v>1.28</v>
      </c>
      <c r="O51" s="1485">
        <v>1.37</v>
      </c>
      <c r="P51" s="1485">
        <v>1.46</v>
      </c>
      <c r="Q51" s="1485">
        <v>1.56</v>
      </c>
      <c r="R51" s="1485">
        <v>1.66</v>
      </c>
      <c r="S51" s="1485">
        <v>1.76</v>
      </c>
    </row>
    <row r="52" spans="1:19">
      <c r="A52" s="64">
        <v>29</v>
      </c>
      <c r="B52" s="64" t="s">
        <v>28</v>
      </c>
      <c r="C52" s="64" t="str">
        <f t="shared" si="0"/>
        <v>29-F</v>
      </c>
      <c r="D52" s="1485">
        <v>0.56000000000000005</v>
      </c>
      <c r="E52" s="1485">
        <v>0.63</v>
      </c>
      <c r="F52" s="1485">
        <v>0.7</v>
      </c>
      <c r="G52" s="1485">
        <v>0.77</v>
      </c>
      <c r="H52" s="1485">
        <v>0.85</v>
      </c>
      <c r="I52" s="1485">
        <v>0.93</v>
      </c>
      <c r="J52" s="1485">
        <v>1</v>
      </c>
      <c r="K52" s="1485">
        <v>1.0900000000000001</v>
      </c>
      <c r="L52" s="1485">
        <v>1.17</v>
      </c>
      <c r="M52" s="1485">
        <v>1.25</v>
      </c>
      <c r="N52" s="1485">
        <v>1.34</v>
      </c>
      <c r="O52" s="1485">
        <v>1.44</v>
      </c>
      <c r="P52" s="1485">
        <v>1.53</v>
      </c>
      <c r="Q52" s="1485">
        <v>1.63</v>
      </c>
      <c r="R52" s="1485">
        <v>1.74</v>
      </c>
      <c r="S52" s="1485">
        <v>1.85</v>
      </c>
    </row>
    <row r="53" spans="1:19">
      <c r="A53" s="65">
        <v>30</v>
      </c>
      <c r="B53" s="65" t="s">
        <v>28</v>
      </c>
      <c r="C53" s="65" t="str">
        <f t="shared" si="0"/>
        <v>30-F</v>
      </c>
      <c r="D53" s="1486">
        <v>0.57999999999999996</v>
      </c>
      <c r="E53" s="1486">
        <v>0.66</v>
      </c>
      <c r="F53" s="1486">
        <v>0.73</v>
      </c>
      <c r="G53" s="1486">
        <v>0.81</v>
      </c>
      <c r="H53" s="1486">
        <v>0.89</v>
      </c>
      <c r="I53" s="1486">
        <v>0.97</v>
      </c>
      <c r="J53" s="1486">
        <v>1.05</v>
      </c>
      <c r="K53" s="1486">
        <v>1.1399999999999999</v>
      </c>
      <c r="L53" s="1486">
        <v>1.22</v>
      </c>
      <c r="M53" s="1486">
        <v>1.31</v>
      </c>
      <c r="N53" s="1486">
        <v>1.41</v>
      </c>
      <c r="O53" s="1486">
        <v>1.51</v>
      </c>
      <c r="P53" s="1486">
        <v>1.61</v>
      </c>
      <c r="Q53" s="1486">
        <v>1.72</v>
      </c>
      <c r="R53" s="1486">
        <v>1.83</v>
      </c>
      <c r="S53" s="1486">
        <v>1.96</v>
      </c>
    </row>
    <row r="54" spans="1:19">
      <c r="A54" s="64">
        <v>31</v>
      </c>
      <c r="B54" s="64" t="s">
        <v>28</v>
      </c>
      <c r="C54" s="64" t="str">
        <f t="shared" si="0"/>
        <v>31-F</v>
      </c>
      <c r="D54" s="1485">
        <v>0.61</v>
      </c>
      <c r="E54" s="1485">
        <v>0.69</v>
      </c>
      <c r="F54" s="1485">
        <v>0.77</v>
      </c>
      <c r="G54" s="1485">
        <v>0.85</v>
      </c>
      <c r="H54" s="1485">
        <v>0.93</v>
      </c>
      <c r="I54" s="1485">
        <v>1.01</v>
      </c>
      <c r="J54" s="1485">
        <v>1.1000000000000001</v>
      </c>
      <c r="K54" s="1485">
        <v>1.19</v>
      </c>
      <c r="L54" s="1485">
        <v>1.28</v>
      </c>
      <c r="M54" s="1485">
        <v>1.38</v>
      </c>
      <c r="N54" s="1485">
        <v>1.48</v>
      </c>
      <c r="O54" s="1485">
        <v>1.59</v>
      </c>
      <c r="P54" s="1485">
        <v>1.7</v>
      </c>
      <c r="Q54" s="1485">
        <v>1.82</v>
      </c>
      <c r="R54" s="1485">
        <v>1.94</v>
      </c>
      <c r="S54" s="1485">
        <v>2.0699999999999998</v>
      </c>
    </row>
    <row r="55" spans="1:19">
      <c r="A55" s="64">
        <v>32</v>
      </c>
      <c r="B55" s="64" t="s">
        <v>28</v>
      </c>
      <c r="C55" s="64" t="str">
        <f t="shared" si="0"/>
        <v>32-F</v>
      </c>
      <c r="D55" s="1485">
        <v>0.64</v>
      </c>
      <c r="E55" s="1485">
        <v>0.72</v>
      </c>
      <c r="F55" s="1485">
        <v>0.8</v>
      </c>
      <c r="G55" s="1485">
        <v>0.89</v>
      </c>
      <c r="H55" s="1485">
        <v>0.97</v>
      </c>
      <c r="I55" s="1485">
        <v>1.06</v>
      </c>
      <c r="J55" s="1485">
        <v>1.1499999999999999</v>
      </c>
      <c r="K55" s="1485">
        <v>1.25</v>
      </c>
      <c r="L55" s="1485">
        <v>1.35</v>
      </c>
      <c r="M55" s="1485">
        <v>1.45</v>
      </c>
      <c r="N55" s="1485">
        <v>1.56</v>
      </c>
      <c r="O55" s="1485">
        <v>1.67</v>
      </c>
      <c r="P55" s="1485">
        <v>1.8</v>
      </c>
      <c r="Q55" s="1485">
        <v>1.92</v>
      </c>
      <c r="R55" s="1485">
        <v>2.06</v>
      </c>
      <c r="S55" s="1485">
        <v>2.21</v>
      </c>
    </row>
    <row r="56" spans="1:19">
      <c r="A56" s="64">
        <v>33</v>
      </c>
      <c r="B56" s="64" t="s">
        <v>28</v>
      </c>
      <c r="C56" s="64" t="str">
        <f t="shared" si="0"/>
        <v>33-F</v>
      </c>
      <c r="D56" s="1485">
        <v>0.67</v>
      </c>
      <c r="E56" s="1485">
        <v>0.75</v>
      </c>
      <c r="F56" s="1485">
        <v>0.84</v>
      </c>
      <c r="G56" s="1485">
        <v>0.93</v>
      </c>
      <c r="H56" s="1485">
        <v>1.02</v>
      </c>
      <c r="I56" s="1485">
        <v>1.1100000000000001</v>
      </c>
      <c r="J56" s="1485">
        <v>1.21</v>
      </c>
      <c r="K56" s="1485">
        <v>1.31</v>
      </c>
      <c r="L56" s="1485">
        <v>1.42</v>
      </c>
      <c r="M56" s="1485">
        <v>1.53</v>
      </c>
      <c r="N56" s="1485">
        <v>1.65</v>
      </c>
      <c r="O56" s="1485">
        <v>1.77</v>
      </c>
      <c r="P56" s="1485">
        <v>1.9</v>
      </c>
      <c r="Q56" s="1485">
        <v>2.04</v>
      </c>
      <c r="R56" s="1485">
        <v>2.19</v>
      </c>
      <c r="S56" s="1485">
        <v>2.36</v>
      </c>
    </row>
    <row r="57" spans="1:19">
      <c r="A57" s="64">
        <v>34</v>
      </c>
      <c r="B57" s="64" t="s">
        <v>28</v>
      </c>
      <c r="C57" s="64" t="str">
        <f t="shared" si="0"/>
        <v>34-F</v>
      </c>
      <c r="D57" s="1485">
        <v>0.7</v>
      </c>
      <c r="E57" s="1485">
        <v>0.79</v>
      </c>
      <c r="F57" s="1485">
        <v>0.88</v>
      </c>
      <c r="G57" s="1485">
        <v>0.97</v>
      </c>
      <c r="H57" s="1485">
        <v>1.07</v>
      </c>
      <c r="I57" s="1485">
        <v>1.17</v>
      </c>
      <c r="J57" s="1485">
        <v>1.27</v>
      </c>
      <c r="K57" s="1485">
        <v>1.38</v>
      </c>
      <c r="L57" s="1485">
        <v>1.5</v>
      </c>
      <c r="M57" s="1485">
        <v>1.62</v>
      </c>
      <c r="N57" s="1485">
        <v>1.74</v>
      </c>
      <c r="O57" s="1485">
        <v>1.88</v>
      </c>
      <c r="P57" s="1485">
        <v>2.02</v>
      </c>
      <c r="Q57" s="1485">
        <v>2.1800000000000002</v>
      </c>
      <c r="R57" s="1485">
        <v>2.35</v>
      </c>
      <c r="S57" s="1485">
        <v>2.5299999999999998</v>
      </c>
    </row>
    <row r="58" spans="1:19">
      <c r="A58" s="65">
        <v>35</v>
      </c>
      <c r="B58" s="65" t="s">
        <v>28</v>
      </c>
      <c r="C58" s="65" t="str">
        <f t="shared" si="0"/>
        <v>35-F</v>
      </c>
      <c r="D58" s="1486">
        <v>0.74</v>
      </c>
      <c r="E58" s="1486">
        <v>0.83</v>
      </c>
      <c r="F58" s="1486">
        <v>0.92</v>
      </c>
      <c r="G58" s="1486">
        <v>1.02</v>
      </c>
      <c r="H58" s="1486">
        <v>1.1299999999999999</v>
      </c>
      <c r="I58" s="1486">
        <v>1.23</v>
      </c>
      <c r="J58" s="1486">
        <v>1.34</v>
      </c>
      <c r="K58" s="1486">
        <v>1.46</v>
      </c>
      <c r="L58" s="1486">
        <v>1.58</v>
      </c>
      <c r="M58" s="1486">
        <v>1.71</v>
      </c>
      <c r="N58" s="1486">
        <v>1.85</v>
      </c>
      <c r="O58" s="1486">
        <v>2</v>
      </c>
      <c r="P58" s="1486">
        <v>2.16</v>
      </c>
      <c r="Q58" s="1486">
        <v>2.33</v>
      </c>
      <c r="R58" s="1486">
        <v>2.52</v>
      </c>
      <c r="S58" s="1486">
        <v>2.72</v>
      </c>
    </row>
    <row r="59" spans="1:19">
      <c r="A59" s="64">
        <v>36</v>
      </c>
      <c r="B59" s="64" t="s">
        <v>28</v>
      </c>
      <c r="C59" s="64" t="str">
        <f t="shared" si="0"/>
        <v>36-F</v>
      </c>
      <c r="D59" s="1485">
        <v>0.77</v>
      </c>
      <c r="E59" s="1485">
        <v>0.87</v>
      </c>
      <c r="F59" s="1485">
        <v>0.97</v>
      </c>
      <c r="G59" s="1485">
        <v>1.07</v>
      </c>
      <c r="H59" s="1485">
        <v>1.18</v>
      </c>
      <c r="I59" s="1485">
        <v>1.3</v>
      </c>
      <c r="J59" s="1485">
        <v>1.42</v>
      </c>
      <c r="K59" s="1485">
        <v>1.54</v>
      </c>
      <c r="L59" s="1485">
        <v>1.68</v>
      </c>
      <c r="M59" s="1485">
        <v>1.82</v>
      </c>
      <c r="N59" s="1485">
        <v>1.97</v>
      </c>
      <c r="O59" s="1485">
        <v>2.14</v>
      </c>
      <c r="P59" s="1485">
        <v>2.31</v>
      </c>
      <c r="Q59" s="1485">
        <v>2.5</v>
      </c>
      <c r="R59" s="1485">
        <v>2.71</v>
      </c>
      <c r="S59" s="1485">
        <v>2.93</v>
      </c>
    </row>
    <row r="60" spans="1:19">
      <c r="A60" s="64">
        <v>37</v>
      </c>
      <c r="B60" s="64" t="s">
        <v>28</v>
      </c>
      <c r="C60" s="64" t="str">
        <f t="shared" si="0"/>
        <v>37-F</v>
      </c>
      <c r="D60" s="1485">
        <v>0.81</v>
      </c>
      <c r="E60" s="1485">
        <v>0.91</v>
      </c>
      <c r="F60" s="1485">
        <v>1.02</v>
      </c>
      <c r="G60" s="1485">
        <v>1.1299999999999999</v>
      </c>
      <c r="H60" s="1485">
        <v>1.25</v>
      </c>
      <c r="I60" s="1485">
        <v>1.37</v>
      </c>
      <c r="J60" s="1485">
        <v>1.5</v>
      </c>
      <c r="K60" s="1485">
        <v>1.64</v>
      </c>
      <c r="L60" s="1485">
        <v>1.78</v>
      </c>
      <c r="M60" s="1485">
        <v>1.94</v>
      </c>
      <c r="N60" s="1485">
        <v>2.11</v>
      </c>
      <c r="O60" s="1485">
        <v>2.29</v>
      </c>
      <c r="P60" s="1485">
        <v>2.4900000000000002</v>
      </c>
      <c r="Q60" s="1485">
        <v>2.7</v>
      </c>
      <c r="R60" s="1485">
        <v>2.93</v>
      </c>
      <c r="S60" s="1485">
        <v>3.18</v>
      </c>
    </row>
    <row r="61" spans="1:19">
      <c r="A61" s="64">
        <v>38</v>
      </c>
      <c r="B61" s="64" t="s">
        <v>28</v>
      </c>
      <c r="C61" s="64" t="str">
        <f t="shared" si="0"/>
        <v>38-F</v>
      </c>
      <c r="D61" s="1485">
        <v>0.85</v>
      </c>
      <c r="E61" s="1485">
        <v>0.96</v>
      </c>
      <c r="F61" s="1485">
        <v>1.07</v>
      </c>
      <c r="G61" s="1485">
        <v>1.19</v>
      </c>
      <c r="H61" s="1485">
        <v>1.32</v>
      </c>
      <c r="I61" s="1485">
        <v>1.45</v>
      </c>
      <c r="J61" s="1485">
        <v>1.59</v>
      </c>
      <c r="K61" s="1485">
        <v>1.74</v>
      </c>
      <c r="L61" s="1485">
        <v>1.91</v>
      </c>
      <c r="M61" s="1485">
        <v>2.08</v>
      </c>
      <c r="N61" s="1485">
        <v>2.27</v>
      </c>
      <c r="O61" s="1485">
        <v>2.4700000000000002</v>
      </c>
      <c r="P61" s="1485">
        <v>2.69</v>
      </c>
      <c r="Q61" s="1485">
        <v>2.93</v>
      </c>
      <c r="R61" s="1485">
        <v>3.18</v>
      </c>
      <c r="S61" s="1485">
        <v>3.46</v>
      </c>
    </row>
    <row r="62" spans="1:19">
      <c r="A62" s="64">
        <v>39</v>
      </c>
      <c r="B62" s="64" t="s">
        <v>28</v>
      </c>
      <c r="C62" s="64" t="str">
        <f t="shared" si="0"/>
        <v>39-F</v>
      </c>
      <c r="D62" s="1485">
        <v>0.89</v>
      </c>
      <c r="E62" s="1485">
        <v>1.01</v>
      </c>
      <c r="F62" s="1485">
        <v>1.1299999999999999</v>
      </c>
      <c r="G62" s="1485">
        <v>1.26</v>
      </c>
      <c r="H62" s="1485">
        <v>1.4</v>
      </c>
      <c r="I62" s="1485">
        <v>1.54</v>
      </c>
      <c r="J62" s="1485">
        <v>1.7</v>
      </c>
      <c r="K62" s="1485">
        <v>1.87</v>
      </c>
      <c r="L62" s="1485">
        <v>2.0499999999999998</v>
      </c>
      <c r="M62" s="1485">
        <v>2.2400000000000002</v>
      </c>
      <c r="N62" s="1485">
        <v>2.4500000000000002</v>
      </c>
      <c r="O62" s="1485">
        <v>2.68</v>
      </c>
      <c r="P62" s="1485">
        <v>2.92</v>
      </c>
      <c r="Q62" s="1485">
        <v>3.19</v>
      </c>
      <c r="R62" s="1485">
        <v>3.47</v>
      </c>
      <c r="S62" s="1485">
        <v>3.79</v>
      </c>
    </row>
    <row r="63" spans="1:19">
      <c r="A63" s="65">
        <v>40</v>
      </c>
      <c r="B63" s="65" t="s">
        <v>28</v>
      </c>
      <c r="C63" s="65" t="str">
        <f t="shared" si="0"/>
        <v>40-F</v>
      </c>
      <c r="D63" s="1486">
        <v>0.94</v>
      </c>
      <c r="E63" s="1486">
        <v>1.07</v>
      </c>
      <c r="F63" s="1486">
        <v>1.2</v>
      </c>
      <c r="G63" s="1486">
        <v>1.34</v>
      </c>
      <c r="H63" s="1486">
        <v>1.49</v>
      </c>
      <c r="I63" s="1486">
        <v>1.65</v>
      </c>
      <c r="J63" s="1486">
        <v>1.82</v>
      </c>
      <c r="K63" s="1486">
        <v>2.0099999999999998</v>
      </c>
      <c r="L63" s="1486">
        <v>2.21</v>
      </c>
      <c r="M63" s="1486">
        <v>2.42</v>
      </c>
      <c r="N63" s="1486">
        <v>2.66</v>
      </c>
      <c r="O63" s="1486">
        <v>2.91</v>
      </c>
      <c r="P63" s="1486">
        <v>3.19</v>
      </c>
      <c r="Q63" s="1486">
        <v>3.48</v>
      </c>
      <c r="R63" s="1486">
        <v>3.81</v>
      </c>
      <c r="S63" s="1486">
        <v>4.1500000000000004</v>
      </c>
    </row>
    <row r="64" spans="1:19">
      <c r="A64" s="64">
        <v>41</v>
      </c>
      <c r="B64" s="64" t="s">
        <v>28</v>
      </c>
      <c r="C64" s="64" t="str">
        <f t="shared" si="0"/>
        <v>41-F</v>
      </c>
      <c r="D64" s="1485">
        <v>0.99</v>
      </c>
      <c r="E64" s="1485">
        <v>1.1299999999999999</v>
      </c>
      <c r="F64" s="1485">
        <v>1.28</v>
      </c>
      <c r="G64" s="1485">
        <v>1.43</v>
      </c>
      <c r="H64" s="1485">
        <v>1.6</v>
      </c>
      <c r="I64" s="1485">
        <v>1.77</v>
      </c>
      <c r="J64" s="1485">
        <v>1.97</v>
      </c>
      <c r="K64" s="1485">
        <v>2.17</v>
      </c>
      <c r="L64" s="1485">
        <v>2.39</v>
      </c>
      <c r="M64" s="1485">
        <v>2.64</v>
      </c>
      <c r="N64" s="1485">
        <v>2.9</v>
      </c>
      <c r="O64" s="1485">
        <v>3.18</v>
      </c>
      <c r="P64" s="1485">
        <v>3.49</v>
      </c>
      <c r="Q64" s="1485">
        <v>3.82</v>
      </c>
      <c r="R64" s="1485">
        <v>4.1900000000000004</v>
      </c>
      <c r="S64" s="1485">
        <v>0</v>
      </c>
    </row>
    <row r="65" spans="1:19">
      <c r="A65" s="64">
        <v>42</v>
      </c>
      <c r="B65" s="64" t="s">
        <v>28</v>
      </c>
      <c r="C65" s="64" t="str">
        <f t="shared" si="0"/>
        <v>42-F</v>
      </c>
      <c r="D65" s="1485">
        <v>1.06</v>
      </c>
      <c r="E65" s="1485">
        <v>1.21</v>
      </c>
      <c r="F65" s="1485">
        <v>1.37</v>
      </c>
      <c r="G65" s="1485">
        <v>1.54</v>
      </c>
      <c r="H65" s="1485">
        <v>1.73</v>
      </c>
      <c r="I65" s="1485">
        <v>1.92</v>
      </c>
      <c r="J65" s="1485">
        <v>2.14</v>
      </c>
      <c r="K65" s="1485">
        <v>2.37</v>
      </c>
      <c r="L65" s="1485">
        <v>2.62</v>
      </c>
      <c r="M65" s="1485">
        <v>2.89</v>
      </c>
      <c r="N65" s="1485">
        <v>3.18</v>
      </c>
      <c r="O65" s="1485">
        <v>3.5</v>
      </c>
      <c r="P65" s="1485">
        <v>3.85</v>
      </c>
      <c r="Q65" s="1485">
        <v>4.22</v>
      </c>
      <c r="R65" s="1485">
        <v>0</v>
      </c>
      <c r="S65" s="1485">
        <v>0</v>
      </c>
    </row>
    <row r="66" spans="1:19">
      <c r="A66" s="64">
        <v>43</v>
      </c>
      <c r="B66" s="64" t="s">
        <v>28</v>
      </c>
      <c r="C66" s="64" t="str">
        <f t="shared" si="0"/>
        <v>43-F</v>
      </c>
      <c r="D66" s="1485">
        <v>1.1399999999999999</v>
      </c>
      <c r="E66" s="1485">
        <v>1.31</v>
      </c>
      <c r="F66" s="1485">
        <v>1.49</v>
      </c>
      <c r="G66" s="1485">
        <v>1.68</v>
      </c>
      <c r="H66" s="1485">
        <v>1.88</v>
      </c>
      <c r="I66" s="1485">
        <v>2.1</v>
      </c>
      <c r="J66" s="1485">
        <v>2.34</v>
      </c>
      <c r="K66" s="1485">
        <v>2.6</v>
      </c>
      <c r="L66" s="1485">
        <v>2.88</v>
      </c>
      <c r="M66" s="1485">
        <v>3.18</v>
      </c>
      <c r="N66" s="1485">
        <v>3.51</v>
      </c>
      <c r="O66" s="1485">
        <v>3.87</v>
      </c>
      <c r="P66" s="1485">
        <v>4.26</v>
      </c>
      <c r="Q66" s="1485">
        <v>0</v>
      </c>
      <c r="R66" s="1485">
        <v>0</v>
      </c>
      <c r="S66" s="1485">
        <v>0</v>
      </c>
    </row>
    <row r="67" spans="1:19">
      <c r="A67" s="64">
        <v>44</v>
      </c>
      <c r="B67" s="64" t="s">
        <v>28</v>
      </c>
      <c r="C67" s="64" t="str">
        <f t="shared" si="0"/>
        <v>44-F</v>
      </c>
      <c r="D67" s="1485">
        <v>1.24</v>
      </c>
      <c r="E67" s="1485">
        <v>1.42</v>
      </c>
      <c r="F67" s="1485">
        <v>1.62</v>
      </c>
      <c r="G67" s="1485">
        <v>1.83</v>
      </c>
      <c r="H67" s="1485">
        <v>2.06</v>
      </c>
      <c r="I67" s="1485">
        <v>2.31</v>
      </c>
      <c r="J67" s="1485">
        <v>2.57</v>
      </c>
      <c r="K67" s="1485">
        <v>2.87</v>
      </c>
      <c r="L67" s="1485">
        <v>3.18</v>
      </c>
      <c r="M67" s="1485">
        <v>3.52</v>
      </c>
      <c r="N67" s="1485">
        <v>3.89</v>
      </c>
      <c r="O67" s="1485">
        <v>4.3</v>
      </c>
      <c r="P67" s="1485">
        <v>0</v>
      </c>
      <c r="Q67" s="1485">
        <v>0</v>
      </c>
      <c r="R67" s="1485">
        <v>0</v>
      </c>
      <c r="S67" s="1485">
        <v>0</v>
      </c>
    </row>
    <row r="68" spans="1:19">
      <c r="A68" s="65">
        <v>45</v>
      </c>
      <c r="B68" s="65" t="s">
        <v>28</v>
      </c>
      <c r="C68" s="65" t="str">
        <f t="shared" si="0"/>
        <v>45-F</v>
      </c>
      <c r="D68" s="1486">
        <v>1.35</v>
      </c>
      <c r="E68" s="1486">
        <v>1.55</v>
      </c>
      <c r="F68" s="1486">
        <v>1.77</v>
      </c>
      <c r="G68" s="1486">
        <v>2.0099999999999998</v>
      </c>
      <c r="H68" s="1486">
        <v>2.27</v>
      </c>
      <c r="I68" s="1486">
        <v>2.5499999999999998</v>
      </c>
      <c r="J68" s="1486">
        <v>2.85</v>
      </c>
      <c r="K68" s="1486">
        <v>3.17</v>
      </c>
      <c r="L68" s="1486">
        <v>3.53</v>
      </c>
      <c r="M68" s="1486">
        <v>3.91</v>
      </c>
      <c r="N68" s="1486">
        <v>4.33</v>
      </c>
      <c r="O68" s="1486">
        <v>0</v>
      </c>
      <c r="P68" s="1486">
        <v>0</v>
      </c>
      <c r="Q68" s="1486">
        <v>0</v>
      </c>
      <c r="R68" s="1486">
        <v>0</v>
      </c>
      <c r="S68" s="1486">
        <v>0</v>
      </c>
    </row>
    <row r="69" spans="1:19">
      <c r="A69" s="64">
        <v>46</v>
      </c>
      <c r="B69" s="64" t="s">
        <v>28</v>
      </c>
      <c r="C69" s="64" t="str">
        <f t="shared" si="0"/>
        <v>46-F</v>
      </c>
      <c r="D69" s="1485">
        <v>1.48</v>
      </c>
      <c r="E69" s="1485">
        <v>1.71</v>
      </c>
      <c r="F69" s="1485">
        <v>1.95</v>
      </c>
      <c r="G69" s="1485">
        <v>2.2200000000000002</v>
      </c>
      <c r="H69" s="1485">
        <v>2.5099999999999998</v>
      </c>
      <c r="I69" s="1485">
        <v>2.82</v>
      </c>
      <c r="J69" s="1485">
        <v>3.16</v>
      </c>
      <c r="K69" s="1485">
        <v>3.53</v>
      </c>
      <c r="L69" s="1485">
        <v>3.93</v>
      </c>
      <c r="M69" s="1485">
        <v>4.3600000000000003</v>
      </c>
      <c r="N69" s="1485">
        <v>0</v>
      </c>
      <c r="O69" s="1485">
        <v>0</v>
      </c>
      <c r="P69" s="1485">
        <v>0</v>
      </c>
      <c r="Q69" s="1485">
        <v>0</v>
      </c>
      <c r="R69" s="1485">
        <v>0</v>
      </c>
      <c r="S69" s="1485">
        <v>0</v>
      </c>
    </row>
    <row r="70" spans="1:19">
      <c r="A70" s="64">
        <v>47</v>
      </c>
      <c r="B70" s="64" t="s">
        <v>28</v>
      </c>
      <c r="C70" s="64" t="str">
        <f t="shared" si="0"/>
        <v>47-F</v>
      </c>
      <c r="D70" s="1485">
        <v>1.63</v>
      </c>
      <c r="E70" s="1485">
        <v>1.89</v>
      </c>
      <c r="F70" s="1485">
        <v>2.17</v>
      </c>
      <c r="G70" s="1485">
        <v>2.4700000000000002</v>
      </c>
      <c r="H70" s="1485">
        <v>2.79</v>
      </c>
      <c r="I70" s="1485">
        <v>3.15</v>
      </c>
      <c r="J70" s="1485">
        <v>3.53</v>
      </c>
      <c r="K70" s="1485">
        <v>3.94</v>
      </c>
      <c r="L70" s="1485">
        <v>4.3899999999999997</v>
      </c>
      <c r="M70" s="1485">
        <v>0</v>
      </c>
      <c r="N70" s="1485">
        <v>0</v>
      </c>
      <c r="O70" s="1485">
        <v>0</v>
      </c>
      <c r="P70" s="1485">
        <v>0</v>
      </c>
      <c r="Q70" s="1485">
        <v>0</v>
      </c>
      <c r="R70" s="1485">
        <v>0</v>
      </c>
      <c r="S70" s="1485">
        <v>0</v>
      </c>
    </row>
    <row r="71" spans="1:19">
      <c r="A71" s="64">
        <v>48</v>
      </c>
      <c r="B71" s="64" t="s">
        <v>28</v>
      </c>
      <c r="C71" s="64" t="str">
        <f t="shared" ref="C71:C78" si="1">A71&amp;"-"&amp;LEFT(B71,1)</f>
        <v>48-F</v>
      </c>
      <c r="D71" s="1485">
        <v>1.81</v>
      </c>
      <c r="E71" s="1485">
        <v>2.1</v>
      </c>
      <c r="F71" s="1485">
        <v>2.42</v>
      </c>
      <c r="G71" s="1485">
        <v>2.76</v>
      </c>
      <c r="H71" s="1485">
        <v>3.12</v>
      </c>
      <c r="I71" s="1485">
        <v>3.52</v>
      </c>
      <c r="J71" s="1485">
        <v>3.95</v>
      </c>
      <c r="K71" s="1485">
        <v>4.42</v>
      </c>
      <c r="L71" s="1485">
        <v>0</v>
      </c>
      <c r="M71" s="1485">
        <v>0</v>
      </c>
      <c r="N71" s="1485">
        <v>0</v>
      </c>
      <c r="O71" s="1485">
        <v>0</v>
      </c>
      <c r="P71" s="1485">
        <v>0</v>
      </c>
      <c r="Q71" s="1485">
        <v>0</v>
      </c>
      <c r="R71" s="1485">
        <v>0</v>
      </c>
      <c r="S71" s="1485">
        <v>0</v>
      </c>
    </row>
    <row r="72" spans="1:19">
      <c r="A72" s="64">
        <v>49</v>
      </c>
      <c r="B72" s="64" t="s">
        <v>28</v>
      </c>
      <c r="C72" s="64" t="str">
        <f t="shared" si="1"/>
        <v>49-F</v>
      </c>
      <c r="D72" s="1485">
        <v>2.0299999999999998</v>
      </c>
      <c r="E72" s="1485">
        <v>2.35</v>
      </c>
      <c r="F72" s="1485">
        <v>2.71</v>
      </c>
      <c r="G72" s="1485">
        <v>3.09</v>
      </c>
      <c r="H72" s="1485">
        <v>3.5</v>
      </c>
      <c r="I72" s="1485">
        <v>3.95</v>
      </c>
      <c r="J72" s="1485">
        <v>4.4400000000000004</v>
      </c>
      <c r="K72" s="1485">
        <v>0</v>
      </c>
      <c r="L72" s="1485">
        <v>0</v>
      </c>
      <c r="M72" s="1485">
        <v>0</v>
      </c>
      <c r="N72" s="1485">
        <v>0</v>
      </c>
      <c r="O72" s="1485">
        <v>0</v>
      </c>
      <c r="P72" s="1485">
        <v>0</v>
      </c>
      <c r="Q72" s="1485">
        <v>0</v>
      </c>
      <c r="R72" s="1485">
        <v>0</v>
      </c>
      <c r="S72" s="1485">
        <v>0</v>
      </c>
    </row>
    <row r="73" spans="1:19">
      <c r="A73" s="65">
        <v>50</v>
      </c>
      <c r="B73" s="65" t="s">
        <v>28</v>
      </c>
      <c r="C73" s="65" t="str">
        <f t="shared" si="1"/>
        <v>50-F</v>
      </c>
      <c r="D73" s="1486">
        <v>2.2799999999999998</v>
      </c>
      <c r="E73" s="1486">
        <v>2.64</v>
      </c>
      <c r="F73" s="1486">
        <v>3.04</v>
      </c>
      <c r="G73" s="1486">
        <v>3.47</v>
      </c>
      <c r="H73" s="1486">
        <v>3.94</v>
      </c>
      <c r="I73" s="1486">
        <v>4.4400000000000004</v>
      </c>
      <c r="J73" s="1486">
        <v>0</v>
      </c>
      <c r="K73" s="1486">
        <v>0</v>
      </c>
      <c r="L73" s="1486">
        <v>0</v>
      </c>
      <c r="M73" s="1486">
        <v>0</v>
      </c>
      <c r="N73" s="1486">
        <v>0</v>
      </c>
      <c r="O73" s="1486">
        <v>0</v>
      </c>
      <c r="P73" s="1486">
        <v>0</v>
      </c>
      <c r="Q73" s="1486">
        <v>0</v>
      </c>
      <c r="R73" s="1486">
        <v>0</v>
      </c>
      <c r="S73" s="1486">
        <v>0</v>
      </c>
    </row>
    <row r="74" spans="1:19">
      <c r="A74" s="64">
        <v>51</v>
      </c>
      <c r="B74" s="64" t="s">
        <v>28</v>
      </c>
      <c r="C74" s="64" t="str">
        <f t="shared" si="1"/>
        <v>51-F</v>
      </c>
      <c r="D74" s="1485">
        <v>2.56</v>
      </c>
      <c r="E74" s="1485">
        <v>2.98</v>
      </c>
      <c r="F74" s="1485">
        <v>3.43</v>
      </c>
      <c r="G74" s="1485">
        <v>3.91</v>
      </c>
      <c r="H74" s="1485">
        <v>4.4400000000000004</v>
      </c>
      <c r="I74" s="1485">
        <v>0</v>
      </c>
      <c r="J74" s="1485">
        <v>0</v>
      </c>
      <c r="K74" s="1485">
        <v>0</v>
      </c>
      <c r="L74" s="1485">
        <v>0</v>
      </c>
      <c r="M74" s="1485">
        <v>0</v>
      </c>
      <c r="N74" s="1485">
        <v>0</v>
      </c>
      <c r="O74" s="1485">
        <v>0</v>
      </c>
      <c r="P74" s="1485">
        <v>0</v>
      </c>
      <c r="Q74" s="1485">
        <v>0</v>
      </c>
      <c r="R74" s="1485">
        <v>0</v>
      </c>
      <c r="S74" s="1485">
        <v>0</v>
      </c>
    </row>
    <row r="75" spans="1:19">
      <c r="A75" s="64">
        <v>52</v>
      </c>
      <c r="B75" s="64" t="s">
        <v>28</v>
      </c>
      <c r="C75" s="64" t="str">
        <f t="shared" si="1"/>
        <v>52-F</v>
      </c>
      <c r="D75" s="1485">
        <v>2.89</v>
      </c>
      <c r="E75" s="1485">
        <v>3.36</v>
      </c>
      <c r="F75" s="1485">
        <v>3.87</v>
      </c>
      <c r="G75" s="1485">
        <v>4.41</v>
      </c>
      <c r="H75" s="1485">
        <v>0</v>
      </c>
      <c r="I75" s="1485">
        <v>0</v>
      </c>
      <c r="J75" s="1485">
        <v>0</v>
      </c>
      <c r="K75" s="1485">
        <v>0</v>
      </c>
      <c r="L75" s="1485">
        <v>0</v>
      </c>
      <c r="M75" s="1485">
        <v>0</v>
      </c>
      <c r="N75" s="1485">
        <v>0</v>
      </c>
      <c r="O75" s="1485">
        <v>0</v>
      </c>
      <c r="P75" s="1485">
        <v>0</v>
      </c>
      <c r="Q75" s="1485">
        <v>0</v>
      </c>
      <c r="R75" s="1485">
        <v>0</v>
      </c>
      <c r="S75" s="1485">
        <v>0</v>
      </c>
    </row>
    <row r="76" spans="1:19">
      <c r="A76" s="64">
        <v>53</v>
      </c>
      <c r="B76" s="64" t="s">
        <v>28</v>
      </c>
      <c r="C76" s="64" t="str">
        <f t="shared" si="1"/>
        <v>53-F</v>
      </c>
      <c r="D76" s="1485">
        <v>3.27</v>
      </c>
      <c r="E76" s="1485">
        <v>3.79</v>
      </c>
      <c r="F76" s="1485">
        <v>4.3600000000000003</v>
      </c>
      <c r="G76" s="1485">
        <v>0</v>
      </c>
      <c r="H76" s="1485">
        <v>0</v>
      </c>
      <c r="I76" s="1485">
        <v>0</v>
      </c>
      <c r="J76" s="1485">
        <v>0</v>
      </c>
      <c r="K76" s="1485">
        <v>0</v>
      </c>
      <c r="L76" s="1485">
        <v>0</v>
      </c>
      <c r="M76" s="1485">
        <v>0</v>
      </c>
      <c r="N76" s="1485">
        <v>0</v>
      </c>
      <c r="O76" s="1485">
        <v>0</v>
      </c>
      <c r="P76" s="1485">
        <v>0</v>
      </c>
      <c r="Q76" s="1485">
        <v>0</v>
      </c>
      <c r="R76" s="1485">
        <v>0</v>
      </c>
      <c r="S76" s="1485">
        <v>0</v>
      </c>
    </row>
    <row r="77" spans="1:19">
      <c r="A77" s="64">
        <v>54</v>
      </c>
      <c r="B77" s="64" t="s">
        <v>28</v>
      </c>
      <c r="C77" s="64" t="str">
        <f t="shared" si="1"/>
        <v>54-F</v>
      </c>
      <c r="D77" s="1485">
        <v>3.69</v>
      </c>
      <c r="E77" s="1485">
        <v>4.28</v>
      </c>
      <c r="F77" s="1485">
        <v>0</v>
      </c>
      <c r="G77" s="1485">
        <v>0</v>
      </c>
      <c r="H77" s="1485">
        <v>0</v>
      </c>
      <c r="I77" s="1485">
        <v>0</v>
      </c>
      <c r="J77" s="1485">
        <v>0</v>
      </c>
      <c r="K77" s="1485">
        <v>0</v>
      </c>
      <c r="L77" s="1485">
        <v>0</v>
      </c>
      <c r="M77" s="1485">
        <v>0</v>
      </c>
      <c r="N77" s="1485">
        <v>0</v>
      </c>
      <c r="O77" s="1485">
        <v>0</v>
      </c>
      <c r="P77" s="1485">
        <v>0</v>
      </c>
      <c r="Q77" s="1485">
        <v>0</v>
      </c>
      <c r="R77" s="1485">
        <v>0</v>
      </c>
      <c r="S77" s="1485">
        <v>0</v>
      </c>
    </row>
    <row r="78" spans="1:19">
      <c r="A78" s="65">
        <v>55</v>
      </c>
      <c r="B78" s="65" t="s">
        <v>28</v>
      </c>
      <c r="C78" s="65" t="str">
        <f t="shared" si="1"/>
        <v>55-F</v>
      </c>
      <c r="D78" s="1486">
        <v>4.17</v>
      </c>
      <c r="E78" s="1486">
        <v>0</v>
      </c>
      <c r="F78" s="1486">
        <v>0</v>
      </c>
      <c r="G78" s="1486">
        <v>0</v>
      </c>
      <c r="H78" s="1486">
        <v>0</v>
      </c>
      <c r="I78" s="1486">
        <v>0</v>
      </c>
      <c r="J78" s="1486">
        <v>0</v>
      </c>
      <c r="K78" s="1486">
        <v>0</v>
      </c>
      <c r="L78" s="1486">
        <v>0</v>
      </c>
      <c r="M78" s="1486">
        <v>0</v>
      </c>
      <c r="N78" s="1486">
        <v>0</v>
      </c>
      <c r="O78" s="1486">
        <v>0</v>
      </c>
      <c r="P78" s="1486">
        <v>0</v>
      </c>
      <c r="Q78" s="1486">
        <v>0</v>
      </c>
      <c r="R78" s="1486">
        <v>0</v>
      </c>
      <c r="S78" s="1486">
        <v>0</v>
      </c>
    </row>
  </sheetData>
  <mergeCells count="4">
    <mergeCell ref="A1:S1"/>
    <mergeCell ref="A2:S2"/>
    <mergeCell ref="A3:S3"/>
    <mergeCell ref="D5:M5"/>
  </mergeCells>
  <pageMargins left="0.7" right="0.7" top="0.75" bottom="0.75" header="0.3" footer="0.3"/>
  <pageSetup paperSize="9" orientation="portrait" r:id="rId1"/>
  <headerFooter>
    <oddFooter>&amp;C&amp;1#&amp;"Calibri"&amp;10&amp;K000000Internal</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2">
    <tabColor rgb="FFFFFF00"/>
  </sheetPr>
  <dimension ref="A1:S78"/>
  <sheetViews>
    <sheetView showGridLines="0" zoomScale="70" zoomScaleNormal="70" workbookViewId="0">
      <selection activeCell="A37" sqref="A37"/>
    </sheetView>
  </sheetViews>
  <sheetFormatPr defaultColWidth="10.296875" defaultRowHeight="14"/>
  <cols>
    <col min="1" max="16384" width="10.296875" style="36"/>
  </cols>
  <sheetData>
    <row r="1" spans="1:19" s="57" customFormat="1" ht="21.5">
      <c r="A1" s="2023" t="s">
        <v>54</v>
      </c>
      <c r="B1" s="2023"/>
      <c r="C1" s="2023"/>
      <c r="D1" s="2023"/>
      <c r="E1" s="2023"/>
      <c r="F1" s="2023"/>
      <c r="G1" s="2023"/>
      <c r="H1" s="2023"/>
      <c r="I1" s="2023"/>
      <c r="J1" s="2023"/>
      <c r="K1" s="2023"/>
      <c r="L1" s="2023"/>
      <c r="M1" s="2023"/>
      <c r="N1" s="2023"/>
      <c r="O1" s="2023"/>
      <c r="P1" s="2023"/>
      <c r="Q1" s="2023"/>
      <c r="R1" s="2023"/>
      <c r="S1" s="2023"/>
    </row>
    <row r="2" spans="1:19" s="57" customFormat="1" ht="21.5">
      <c r="A2" s="2024" t="s">
        <v>118</v>
      </c>
      <c r="B2" s="2024"/>
      <c r="C2" s="2024"/>
      <c r="D2" s="2024"/>
      <c r="E2" s="2024"/>
      <c r="F2" s="2024"/>
      <c r="G2" s="2024"/>
      <c r="H2" s="2024"/>
      <c r="I2" s="2024"/>
      <c r="J2" s="2024"/>
      <c r="K2" s="2024"/>
      <c r="L2" s="2024"/>
      <c r="M2" s="2024"/>
      <c r="N2" s="2024"/>
      <c r="O2" s="2024"/>
      <c r="P2" s="2024"/>
      <c r="Q2" s="2024"/>
      <c r="R2" s="2024"/>
      <c r="S2" s="2024"/>
    </row>
    <row r="3" spans="1:19" s="57" customFormat="1" ht="21.5">
      <c r="A3" s="2025" t="s">
        <v>55</v>
      </c>
      <c r="B3" s="2025"/>
      <c r="C3" s="2025"/>
      <c r="D3" s="2025"/>
      <c r="E3" s="2025"/>
      <c r="F3" s="2025"/>
      <c r="G3" s="2025"/>
      <c r="H3" s="2025"/>
      <c r="I3" s="2025"/>
      <c r="J3" s="2025"/>
      <c r="K3" s="2025"/>
      <c r="L3" s="2025"/>
      <c r="M3" s="2025"/>
      <c r="N3" s="2025"/>
      <c r="O3" s="2025"/>
      <c r="P3" s="2025"/>
      <c r="Q3" s="2025"/>
      <c r="R3" s="2025"/>
      <c r="S3" s="2025"/>
    </row>
    <row r="5" spans="1:19">
      <c r="A5" s="58"/>
      <c r="B5" s="58"/>
      <c r="C5" s="58"/>
      <c r="D5" s="2026" t="s">
        <v>56</v>
      </c>
      <c r="E5" s="2026"/>
      <c r="F5" s="2026"/>
      <c r="G5" s="2026"/>
      <c r="H5" s="2026"/>
      <c r="I5" s="2026"/>
      <c r="J5" s="2026"/>
      <c r="K5" s="2026"/>
      <c r="L5" s="2026"/>
      <c r="M5" s="2026"/>
      <c r="N5" s="59"/>
      <c r="O5" s="59"/>
      <c r="P5" s="59"/>
      <c r="Q5" s="59"/>
      <c r="R5" s="59"/>
      <c r="S5" s="59"/>
    </row>
    <row r="6" spans="1:19" s="61" customFormat="1">
      <c r="A6" s="60" t="s">
        <v>22</v>
      </c>
      <c r="B6" s="60" t="s">
        <v>43</v>
      </c>
      <c r="C6" s="60"/>
      <c r="D6" s="60">
        <v>10</v>
      </c>
      <c r="E6" s="60">
        <v>11</v>
      </c>
      <c r="F6" s="60">
        <v>12</v>
      </c>
      <c r="G6" s="60">
        <v>13</v>
      </c>
      <c r="H6" s="60">
        <v>14</v>
      </c>
      <c r="I6" s="60">
        <v>15</v>
      </c>
      <c r="J6" s="60">
        <v>16</v>
      </c>
      <c r="K6" s="60">
        <v>17</v>
      </c>
      <c r="L6" s="60">
        <v>18</v>
      </c>
      <c r="M6" s="60">
        <v>19</v>
      </c>
      <c r="N6" s="60">
        <v>20</v>
      </c>
      <c r="O6" s="60">
        <v>21</v>
      </c>
      <c r="P6" s="60">
        <v>22</v>
      </c>
      <c r="Q6" s="60">
        <v>23</v>
      </c>
      <c r="R6" s="60">
        <v>24</v>
      </c>
      <c r="S6" s="60">
        <v>25</v>
      </c>
    </row>
    <row r="7" spans="1:19">
      <c r="A7" s="62">
        <v>20</v>
      </c>
      <c r="B7" s="63" t="s">
        <v>23</v>
      </c>
      <c r="C7" s="63" t="str">
        <f t="shared" ref="C7:C43" si="0">A7&amp;"-"&amp;LEFT(B7,1)</f>
        <v>20-M</v>
      </c>
      <c r="D7" s="1484">
        <v>1.53</v>
      </c>
      <c r="E7" s="1484">
        <v>1.7</v>
      </c>
      <c r="F7" s="1484">
        <v>1.87</v>
      </c>
      <c r="G7" s="1484">
        <v>2.04</v>
      </c>
      <c r="H7" s="1484">
        <v>2.21</v>
      </c>
      <c r="I7" s="1484">
        <v>2.38</v>
      </c>
      <c r="J7" s="1484">
        <v>2.5499999999999998</v>
      </c>
      <c r="K7" s="1484">
        <v>2.72</v>
      </c>
      <c r="L7" s="1484">
        <v>2.9</v>
      </c>
      <c r="M7" s="1484">
        <v>3.07</v>
      </c>
      <c r="N7" s="1484">
        <v>3.25</v>
      </c>
      <c r="O7" s="1484">
        <v>3.43</v>
      </c>
      <c r="P7" s="1484">
        <v>3.61</v>
      </c>
      <c r="Q7" s="1484">
        <v>3.8</v>
      </c>
      <c r="R7" s="1484">
        <v>3.99</v>
      </c>
      <c r="S7" s="1484">
        <v>4.18</v>
      </c>
    </row>
    <row r="8" spans="1:19">
      <c r="A8" s="64">
        <v>21</v>
      </c>
      <c r="B8" s="64" t="s">
        <v>23</v>
      </c>
      <c r="C8" s="64" t="str">
        <f t="shared" si="0"/>
        <v>21-M</v>
      </c>
      <c r="D8" s="1485">
        <v>1.56</v>
      </c>
      <c r="E8" s="1485">
        <v>1.73</v>
      </c>
      <c r="F8" s="1485">
        <v>1.9</v>
      </c>
      <c r="G8" s="1485">
        <v>2.08</v>
      </c>
      <c r="H8" s="1485">
        <v>2.25</v>
      </c>
      <c r="I8" s="1485">
        <v>2.42</v>
      </c>
      <c r="J8" s="1485">
        <v>2.59</v>
      </c>
      <c r="K8" s="1485">
        <v>2.77</v>
      </c>
      <c r="L8" s="1485">
        <v>2.95</v>
      </c>
      <c r="M8" s="1485">
        <v>3.13</v>
      </c>
      <c r="N8" s="1485">
        <v>3.31</v>
      </c>
      <c r="O8" s="1485">
        <v>3.49</v>
      </c>
      <c r="P8" s="1485">
        <v>3.68</v>
      </c>
      <c r="Q8" s="1485">
        <v>3.88</v>
      </c>
      <c r="R8" s="1485">
        <v>4.07</v>
      </c>
      <c r="S8" s="1485">
        <v>4.28</v>
      </c>
    </row>
    <row r="9" spans="1:19">
      <c r="A9" s="64">
        <v>22</v>
      </c>
      <c r="B9" s="64" t="s">
        <v>23</v>
      </c>
      <c r="C9" s="64" t="str">
        <f t="shared" si="0"/>
        <v>22-M</v>
      </c>
      <c r="D9" s="1485">
        <v>1.58</v>
      </c>
      <c r="E9" s="1485">
        <v>1.75</v>
      </c>
      <c r="F9" s="1485">
        <v>1.93</v>
      </c>
      <c r="G9" s="1485">
        <v>2.1</v>
      </c>
      <c r="H9" s="1485">
        <v>2.27</v>
      </c>
      <c r="I9" s="1485">
        <v>2.4500000000000002</v>
      </c>
      <c r="J9" s="1485">
        <v>2.63</v>
      </c>
      <c r="K9" s="1485">
        <v>2.81</v>
      </c>
      <c r="L9" s="1485">
        <v>2.99</v>
      </c>
      <c r="M9" s="1485">
        <v>3.17</v>
      </c>
      <c r="N9" s="1485">
        <v>3.36</v>
      </c>
      <c r="O9" s="1485">
        <v>3.55</v>
      </c>
      <c r="P9" s="1485">
        <v>3.75</v>
      </c>
      <c r="Q9" s="1485">
        <v>3.95</v>
      </c>
      <c r="R9" s="1485">
        <v>4.16</v>
      </c>
      <c r="S9" s="1485">
        <v>4.37</v>
      </c>
    </row>
    <row r="10" spans="1:19">
      <c r="A10" s="64">
        <v>23</v>
      </c>
      <c r="B10" s="64" t="s">
        <v>23</v>
      </c>
      <c r="C10" s="64" t="str">
        <f t="shared" si="0"/>
        <v>23-M</v>
      </c>
      <c r="D10" s="1485">
        <v>1.59</v>
      </c>
      <c r="E10" s="1485">
        <v>1.77</v>
      </c>
      <c r="F10" s="1485">
        <v>1.94</v>
      </c>
      <c r="G10" s="1485">
        <v>2.12</v>
      </c>
      <c r="H10" s="1485">
        <v>2.2999999999999998</v>
      </c>
      <c r="I10" s="1485">
        <v>2.4700000000000002</v>
      </c>
      <c r="J10" s="1485">
        <v>2.66</v>
      </c>
      <c r="K10" s="1485">
        <v>2.84</v>
      </c>
      <c r="L10" s="1485">
        <v>3.03</v>
      </c>
      <c r="M10" s="1485">
        <v>3.22</v>
      </c>
      <c r="N10" s="1485">
        <v>3.41</v>
      </c>
      <c r="O10" s="1485">
        <v>3.61</v>
      </c>
      <c r="P10" s="1485">
        <v>3.81</v>
      </c>
      <c r="Q10" s="1485">
        <v>4.0199999999999996</v>
      </c>
      <c r="R10" s="1485">
        <v>4.24</v>
      </c>
      <c r="S10" s="1485">
        <v>4.46</v>
      </c>
    </row>
    <row r="11" spans="1:19">
      <c r="A11" s="64">
        <v>24</v>
      </c>
      <c r="B11" s="64" t="s">
        <v>23</v>
      </c>
      <c r="C11" s="64" t="str">
        <f t="shared" si="0"/>
        <v>24-M</v>
      </c>
      <c r="D11" s="1485">
        <v>1.6</v>
      </c>
      <c r="E11" s="1485">
        <v>1.78</v>
      </c>
      <c r="F11" s="1485">
        <v>1.95</v>
      </c>
      <c r="G11" s="1485">
        <v>2.13</v>
      </c>
      <c r="H11" s="1485">
        <v>2.31</v>
      </c>
      <c r="I11" s="1485">
        <v>2.5</v>
      </c>
      <c r="J11" s="1485">
        <v>2.68</v>
      </c>
      <c r="K11" s="1485">
        <v>2.87</v>
      </c>
      <c r="L11" s="1485">
        <v>3.07</v>
      </c>
      <c r="M11" s="1485">
        <v>3.26</v>
      </c>
      <c r="N11" s="1485">
        <v>3.47</v>
      </c>
      <c r="O11" s="1485">
        <v>3.67</v>
      </c>
      <c r="P11" s="1485">
        <v>3.89</v>
      </c>
      <c r="Q11" s="1485">
        <v>4.1100000000000003</v>
      </c>
      <c r="R11" s="1485">
        <v>4.33</v>
      </c>
      <c r="S11" s="1485">
        <v>4.57</v>
      </c>
    </row>
    <row r="12" spans="1:19">
      <c r="A12" s="65">
        <v>25</v>
      </c>
      <c r="B12" s="65" t="s">
        <v>23</v>
      </c>
      <c r="C12" s="65" t="str">
        <f t="shared" si="0"/>
        <v>25-M</v>
      </c>
      <c r="D12" s="1486">
        <v>1.61</v>
      </c>
      <c r="E12" s="1486">
        <v>1.79</v>
      </c>
      <c r="F12" s="1486">
        <v>1.97</v>
      </c>
      <c r="G12" s="1486">
        <v>2.15</v>
      </c>
      <c r="H12" s="1486">
        <v>2.34</v>
      </c>
      <c r="I12" s="1486">
        <v>2.52</v>
      </c>
      <c r="J12" s="1486">
        <v>2.72</v>
      </c>
      <c r="K12" s="1486">
        <v>2.91</v>
      </c>
      <c r="L12" s="1486">
        <v>3.11</v>
      </c>
      <c r="M12" s="1486">
        <v>3.32</v>
      </c>
      <c r="N12" s="1486">
        <v>3.53</v>
      </c>
      <c r="O12" s="1486">
        <v>3.75</v>
      </c>
      <c r="P12" s="1486">
        <v>3.97</v>
      </c>
      <c r="Q12" s="1486">
        <v>4.2</v>
      </c>
      <c r="R12" s="1486">
        <v>4.4400000000000004</v>
      </c>
      <c r="S12" s="1486">
        <v>4.68</v>
      </c>
    </row>
    <row r="13" spans="1:19">
      <c r="A13" s="64">
        <v>26</v>
      </c>
      <c r="B13" s="64" t="s">
        <v>23</v>
      </c>
      <c r="C13" s="64" t="str">
        <f t="shared" si="0"/>
        <v>26-M</v>
      </c>
      <c r="D13" s="1485">
        <v>1.62</v>
      </c>
      <c r="E13" s="1485">
        <v>1.8</v>
      </c>
      <c r="F13" s="1485">
        <v>1.99</v>
      </c>
      <c r="G13" s="1485">
        <v>2.17</v>
      </c>
      <c r="H13" s="1485">
        <v>2.36</v>
      </c>
      <c r="I13" s="1485">
        <v>2.56</v>
      </c>
      <c r="J13" s="1485">
        <v>2.76</v>
      </c>
      <c r="K13" s="1485">
        <v>2.96</v>
      </c>
      <c r="L13" s="1485">
        <v>3.17</v>
      </c>
      <c r="M13" s="1485">
        <v>3.39</v>
      </c>
      <c r="N13" s="1485">
        <v>3.61</v>
      </c>
      <c r="O13" s="1485">
        <v>3.83</v>
      </c>
      <c r="P13" s="1485">
        <v>4.07</v>
      </c>
      <c r="Q13" s="1485">
        <v>4.3099999999999996</v>
      </c>
      <c r="R13" s="1485">
        <v>4.5599999999999996</v>
      </c>
      <c r="S13" s="1485">
        <v>4.82</v>
      </c>
    </row>
    <row r="14" spans="1:19">
      <c r="A14" s="64">
        <v>27</v>
      </c>
      <c r="B14" s="64" t="s">
        <v>23</v>
      </c>
      <c r="C14" s="64" t="str">
        <f t="shared" si="0"/>
        <v>27-M</v>
      </c>
      <c r="D14" s="1485">
        <v>1.63</v>
      </c>
      <c r="E14" s="1485">
        <v>1.82</v>
      </c>
      <c r="F14" s="1485">
        <v>2.0099999999999998</v>
      </c>
      <c r="G14" s="1485">
        <v>2.2000000000000002</v>
      </c>
      <c r="H14" s="1485">
        <v>2.4</v>
      </c>
      <c r="I14" s="1485">
        <v>2.6</v>
      </c>
      <c r="J14" s="1485">
        <v>2.81</v>
      </c>
      <c r="K14" s="1485">
        <v>3.02</v>
      </c>
      <c r="L14" s="1485">
        <v>3.24</v>
      </c>
      <c r="M14" s="1485">
        <v>3.47</v>
      </c>
      <c r="N14" s="1485">
        <v>3.7</v>
      </c>
      <c r="O14" s="1485">
        <v>3.94</v>
      </c>
      <c r="P14" s="1485">
        <v>4.18</v>
      </c>
      <c r="Q14" s="1485">
        <v>4.4400000000000004</v>
      </c>
      <c r="R14" s="1485">
        <v>4.7</v>
      </c>
      <c r="S14" s="1485">
        <v>4.97</v>
      </c>
    </row>
    <row r="15" spans="1:19">
      <c r="A15" s="64">
        <v>28</v>
      </c>
      <c r="B15" s="64" t="s">
        <v>23</v>
      </c>
      <c r="C15" s="64" t="str">
        <f t="shared" si="0"/>
        <v>28-M</v>
      </c>
      <c r="D15" s="1485">
        <v>1.65</v>
      </c>
      <c r="E15" s="1485">
        <v>1.85</v>
      </c>
      <c r="F15" s="1485">
        <v>2.04</v>
      </c>
      <c r="G15" s="1485">
        <v>2.2400000000000002</v>
      </c>
      <c r="H15" s="1485">
        <v>2.4500000000000002</v>
      </c>
      <c r="I15" s="1485">
        <v>2.66</v>
      </c>
      <c r="J15" s="1485">
        <v>2.87</v>
      </c>
      <c r="K15" s="1485">
        <v>3.1</v>
      </c>
      <c r="L15" s="1485">
        <v>3.33</v>
      </c>
      <c r="M15" s="1485">
        <v>3.56</v>
      </c>
      <c r="N15" s="1485">
        <v>3.81</v>
      </c>
      <c r="O15" s="1485">
        <v>4.0599999999999996</v>
      </c>
      <c r="P15" s="1485">
        <v>4.32</v>
      </c>
      <c r="Q15" s="1485">
        <v>4.59</v>
      </c>
      <c r="R15" s="1485">
        <v>4.8600000000000003</v>
      </c>
      <c r="S15" s="1485">
        <v>5.15</v>
      </c>
    </row>
    <row r="16" spans="1:19">
      <c r="A16" s="64">
        <v>29</v>
      </c>
      <c r="B16" s="64" t="s">
        <v>23</v>
      </c>
      <c r="C16" s="64" t="str">
        <f t="shared" si="0"/>
        <v>29-M</v>
      </c>
      <c r="D16" s="1485">
        <v>1.68</v>
      </c>
      <c r="E16" s="1485">
        <v>1.88</v>
      </c>
      <c r="F16" s="1485">
        <v>2.08</v>
      </c>
      <c r="G16" s="1485">
        <v>2.29</v>
      </c>
      <c r="H16" s="1485">
        <v>2.5099999999999998</v>
      </c>
      <c r="I16" s="1485">
        <v>2.73</v>
      </c>
      <c r="J16" s="1485">
        <v>2.95</v>
      </c>
      <c r="K16" s="1485">
        <v>3.19</v>
      </c>
      <c r="L16" s="1485">
        <v>3.43</v>
      </c>
      <c r="M16" s="1485">
        <v>3.68</v>
      </c>
      <c r="N16" s="1485">
        <v>3.93</v>
      </c>
      <c r="O16" s="1485">
        <v>4.2</v>
      </c>
      <c r="P16" s="1485">
        <v>4.47</v>
      </c>
      <c r="Q16" s="1485">
        <v>4.76</v>
      </c>
      <c r="R16" s="1485">
        <v>5.05</v>
      </c>
      <c r="S16" s="1485">
        <v>5.36</v>
      </c>
    </row>
    <row r="17" spans="1:19">
      <c r="A17" s="65">
        <v>30</v>
      </c>
      <c r="B17" s="65" t="s">
        <v>23</v>
      </c>
      <c r="C17" s="65" t="str">
        <f t="shared" si="0"/>
        <v>30-M</v>
      </c>
      <c r="D17" s="1486">
        <v>1.72</v>
      </c>
      <c r="E17" s="1486">
        <v>1.93</v>
      </c>
      <c r="F17" s="1486">
        <v>2.14</v>
      </c>
      <c r="G17" s="1486">
        <v>2.36</v>
      </c>
      <c r="H17" s="1486">
        <v>2.58</v>
      </c>
      <c r="I17" s="1486">
        <v>2.81</v>
      </c>
      <c r="J17" s="1486">
        <v>3.05</v>
      </c>
      <c r="K17" s="1486">
        <v>3.3</v>
      </c>
      <c r="L17" s="1486">
        <v>3.55</v>
      </c>
      <c r="M17" s="1486">
        <v>3.81</v>
      </c>
      <c r="N17" s="1486">
        <v>4.08</v>
      </c>
      <c r="O17" s="1486">
        <v>4.3600000000000003</v>
      </c>
      <c r="P17" s="1486">
        <v>4.6500000000000004</v>
      </c>
      <c r="Q17" s="1486">
        <v>4.96</v>
      </c>
      <c r="R17" s="1486">
        <v>5.27</v>
      </c>
      <c r="S17" s="1486">
        <v>5.6</v>
      </c>
    </row>
    <row r="18" spans="1:19">
      <c r="A18" s="64">
        <v>31</v>
      </c>
      <c r="B18" s="64" t="s">
        <v>23</v>
      </c>
      <c r="C18" s="64" t="str">
        <f t="shared" si="0"/>
        <v>31-M</v>
      </c>
      <c r="D18" s="1485">
        <v>1.77</v>
      </c>
      <c r="E18" s="1485">
        <v>1.98</v>
      </c>
      <c r="F18" s="1485">
        <v>2.2000000000000002</v>
      </c>
      <c r="G18" s="1485">
        <v>2.4300000000000002</v>
      </c>
      <c r="H18" s="1485">
        <v>2.67</v>
      </c>
      <c r="I18" s="1485">
        <v>2.91</v>
      </c>
      <c r="J18" s="1485">
        <v>3.17</v>
      </c>
      <c r="K18" s="1485">
        <v>3.42</v>
      </c>
      <c r="L18" s="1485">
        <v>3.69</v>
      </c>
      <c r="M18" s="1485">
        <v>3.97</v>
      </c>
      <c r="N18" s="1485">
        <v>4.25</v>
      </c>
      <c r="O18" s="1485">
        <v>4.55</v>
      </c>
      <c r="P18" s="1485">
        <v>4.8600000000000003</v>
      </c>
      <c r="Q18" s="1485">
        <v>5.18</v>
      </c>
      <c r="R18" s="1485">
        <v>5.52</v>
      </c>
      <c r="S18" s="1485">
        <v>5.87</v>
      </c>
    </row>
    <row r="19" spans="1:19">
      <c r="A19" s="64">
        <v>32</v>
      </c>
      <c r="B19" s="64" t="s">
        <v>23</v>
      </c>
      <c r="C19" s="64" t="str">
        <f t="shared" si="0"/>
        <v>32-M</v>
      </c>
      <c r="D19" s="1485">
        <v>1.82</v>
      </c>
      <c r="E19" s="1485">
        <v>2.0499999999999998</v>
      </c>
      <c r="F19" s="1485">
        <v>2.2799999999999998</v>
      </c>
      <c r="G19" s="1485">
        <v>2.52</v>
      </c>
      <c r="H19" s="1485">
        <v>2.77</v>
      </c>
      <c r="I19" s="1485">
        <v>3.03</v>
      </c>
      <c r="J19" s="1485">
        <v>3.3</v>
      </c>
      <c r="K19" s="1485">
        <v>3.57</v>
      </c>
      <c r="L19" s="1485">
        <v>3.85</v>
      </c>
      <c r="M19" s="1485">
        <v>4.1500000000000004</v>
      </c>
      <c r="N19" s="1485">
        <v>4.45</v>
      </c>
      <c r="O19" s="1485">
        <v>4.7699999999999996</v>
      </c>
      <c r="P19" s="1485">
        <v>5.0999999999999996</v>
      </c>
      <c r="Q19" s="1485">
        <v>5.44</v>
      </c>
      <c r="R19" s="1485">
        <v>5.8</v>
      </c>
      <c r="S19" s="1485">
        <v>6.18</v>
      </c>
    </row>
    <row r="20" spans="1:19">
      <c r="A20" s="64">
        <v>33</v>
      </c>
      <c r="B20" s="64" t="s">
        <v>23</v>
      </c>
      <c r="C20" s="64" t="str">
        <f t="shared" si="0"/>
        <v>33-M</v>
      </c>
      <c r="D20" s="1485">
        <v>1.89</v>
      </c>
      <c r="E20" s="1485">
        <v>2.13</v>
      </c>
      <c r="F20" s="1485">
        <v>2.38</v>
      </c>
      <c r="G20" s="1485">
        <v>2.63</v>
      </c>
      <c r="H20" s="1485">
        <v>2.9</v>
      </c>
      <c r="I20" s="1485">
        <v>3.17</v>
      </c>
      <c r="J20" s="1485">
        <v>3.45</v>
      </c>
      <c r="K20" s="1485">
        <v>3.74</v>
      </c>
      <c r="L20" s="1485">
        <v>4.04</v>
      </c>
      <c r="M20" s="1485">
        <v>4.3499999999999996</v>
      </c>
      <c r="N20" s="1485">
        <v>4.67</v>
      </c>
      <c r="O20" s="1485">
        <v>5.01</v>
      </c>
      <c r="P20" s="1485">
        <v>5.36</v>
      </c>
      <c r="Q20" s="1485">
        <v>5.73</v>
      </c>
      <c r="R20" s="1485">
        <v>6.12</v>
      </c>
      <c r="S20" s="1485">
        <v>6.52</v>
      </c>
    </row>
    <row r="21" spans="1:19">
      <c r="A21" s="64">
        <v>34</v>
      </c>
      <c r="B21" s="64" t="s">
        <v>23</v>
      </c>
      <c r="C21" s="64" t="str">
        <f t="shared" si="0"/>
        <v>34-M</v>
      </c>
      <c r="D21" s="1485">
        <v>1.97</v>
      </c>
      <c r="E21" s="1485">
        <v>2.2200000000000002</v>
      </c>
      <c r="F21" s="1485">
        <v>2.4900000000000002</v>
      </c>
      <c r="G21" s="1485">
        <v>2.75</v>
      </c>
      <c r="H21" s="1485">
        <v>3.03</v>
      </c>
      <c r="I21" s="1485">
        <v>3.32</v>
      </c>
      <c r="J21" s="1485">
        <v>3.61</v>
      </c>
      <c r="K21" s="1485">
        <v>3.92</v>
      </c>
      <c r="L21" s="1485">
        <v>4.24</v>
      </c>
      <c r="M21" s="1485">
        <v>4.57</v>
      </c>
      <c r="N21" s="1485">
        <v>4.92</v>
      </c>
      <c r="O21" s="1485">
        <v>5.28</v>
      </c>
      <c r="P21" s="1485">
        <v>5.66</v>
      </c>
      <c r="Q21" s="1485">
        <v>6.06</v>
      </c>
      <c r="R21" s="1485">
        <v>6.48</v>
      </c>
      <c r="S21" s="1485">
        <v>6.91</v>
      </c>
    </row>
    <row r="22" spans="1:19">
      <c r="A22" s="65">
        <v>35</v>
      </c>
      <c r="B22" s="65" t="s">
        <v>23</v>
      </c>
      <c r="C22" s="65" t="str">
        <f t="shared" si="0"/>
        <v>35-M</v>
      </c>
      <c r="D22" s="1486">
        <v>2.0699999999999998</v>
      </c>
      <c r="E22" s="1486">
        <v>2.33</v>
      </c>
      <c r="F22" s="1486">
        <v>2.61</v>
      </c>
      <c r="G22" s="1486">
        <v>2.89</v>
      </c>
      <c r="H22" s="1486">
        <v>3.19</v>
      </c>
      <c r="I22" s="1486">
        <v>3.49</v>
      </c>
      <c r="J22" s="1486">
        <v>3.8</v>
      </c>
      <c r="K22" s="1486">
        <v>4.13</v>
      </c>
      <c r="L22" s="1486">
        <v>4.47</v>
      </c>
      <c r="M22" s="1486">
        <v>4.83</v>
      </c>
      <c r="N22" s="1486">
        <v>5.2</v>
      </c>
      <c r="O22" s="1486">
        <v>5.59</v>
      </c>
      <c r="P22" s="1486">
        <v>5.99</v>
      </c>
      <c r="Q22" s="1486">
        <v>6.42</v>
      </c>
      <c r="R22" s="1486">
        <v>6.87</v>
      </c>
      <c r="S22" s="1486">
        <v>7.35</v>
      </c>
    </row>
    <row r="23" spans="1:19">
      <c r="A23" s="64">
        <v>36</v>
      </c>
      <c r="B23" s="64" t="s">
        <v>23</v>
      </c>
      <c r="C23" s="64" t="str">
        <f t="shared" si="0"/>
        <v>36-M</v>
      </c>
      <c r="D23" s="1485">
        <v>2.17</v>
      </c>
      <c r="E23" s="1485">
        <v>2.4500000000000002</v>
      </c>
      <c r="F23" s="1485">
        <v>2.75</v>
      </c>
      <c r="G23" s="1485">
        <v>3.05</v>
      </c>
      <c r="H23" s="1485">
        <v>3.36</v>
      </c>
      <c r="I23" s="1485">
        <v>3.68</v>
      </c>
      <c r="J23" s="1485">
        <v>4.01</v>
      </c>
      <c r="K23" s="1485">
        <v>4.3600000000000003</v>
      </c>
      <c r="L23" s="1485">
        <v>4.7300000000000004</v>
      </c>
      <c r="M23" s="1485">
        <v>5.1100000000000003</v>
      </c>
      <c r="N23" s="1485">
        <v>5.51</v>
      </c>
      <c r="O23" s="1485">
        <v>5.93</v>
      </c>
      <c r="P23" s="1485">
        <v>6.37</v>
      </c>
      <c r="Q23" s="1485">
        <v>6.83</v>
      </c>
      <c r="R23" s="1485">
        <v>7.32</v>
      </c>
      <c r="S23" s="1485">
        <v>7.83</v>
      </c>
    </row>
    <row r="24" spans="1:19">
      <c r="A24" s="64">
        <v>37</v>
      </c>
      <c r="B24" s="64" t="s">
        <v>23</v>
      </c>
      <c r="C24" s="64" t="str">
        <f t="shared" si="0"/>
        <v>37-M</v>
      </c>
      <c r="D24" s="1485">
        <v>2.29</v>
      </c>
      <c r="E24" s="1485">
        <v>2.59</v>
      </c>
      <c r="F24" s="1485">
        <v>2.9</v>
      </c>
      <c r="G24" s="1485">
        <v>3.21</v>
      </c>
      <c r="H24" s="1485">
        <v>3.54</v>
      </c>
      <c r="I24" s="1485">
        <v>3.89</v>
      </c>
      <c r="J24" s="1485">
        <v>4.25</v>
      </c>
      <c r="K24" s="1485">
        <v>4.62</v>
      </c>
      <c r="L24" s="1485">
        <v>5.01</v>
      </c>
      <c r="M24" s="1485">
        <v>5.42</v>
      </c>
      <c r="N24" s="1485">
        <v>5.85</v>
      </c>
      <c r="O24" s="1485">
        <v>6.3</v>
      </c>
      <c r="P24" s="1485">
        <v>6.78</v>
      </c>
      <c r="Q24" s="1485">
        <v>7.28</v>
      </c>
      <c r="R24" s="1485">
        <v>7.81</v>
      </c>
      <c r="S24" s="1485">
        <v>8.3800000000000008</v>
      </c>
    </row>
    <row r="25" spans="1:19">
      <c r="A25" s="64">
        <v>38</v>
      </c>
      <c r="B25" s="64" t="s">
        <v>23</v>
      </c>
      <c r="C25" s="64" t="str">
        <f t="shared" si="0"/>
        <v>38-M</v>
      </c>
      <c r="D25" s="1485">
        <v>2.42</v>
      </c>
      <c r="E25" s="1485">
        <v>2.73</v>
      </c>
      <c r="F25" s="1485">
        <v>3.06</v>
      </c>
      <c r="G25" s="1485">
        <v>3.4</v>
      </c>
      <c r="H25" s="1485">
        <v>3.75</v>
      </c>
      <c r="I25" s="1485">
        <v>4.12</v>
      </c>
      <c r="J25" s="1485">
        <v>4.5</v>
      </c>
      <c r="K25" s="1485">
        <v>4.9000000000000004</v>
      </c>
      <c r="L25" s="1485">
        <v>5.33</v>
      </c>
      <c r="M25" s="1485">
        <v>5.77</v>
      </c>
      <c r="N25" s="1485">
        <v>6.23</v>
      </c>
      <c r="O25" s="1485">
        <v>6.72</v>
      </c>
      <c r="P25" s="1485">
        <v>7.24</v>
      </c>
      <c r="Q25" s="1485">
        <v>7.79</v>
      </c>
      <c r="R25" s="1485">
        <v>8.36</v>
      </c>
      <c r="S25" s="1485">
        <v>8.98</v>
      </c>
    </row>
    <row r="26" spans="1:19">
      <c r="A26" s="64">
        <v>39</v>
      </c>
      <c r="B26" s="64" t="s">
        <v>23</v>
      </c>
      <c r="C26" s="64" t="str">
        <f t="shared" si="0"/>
        <v>39-M</v>
      </c>
      <c r="D26" s="1485">
        <v>2.56</v>
      </c>
      <c r="E26" s="1485">
        <v>2.89</v>
      </c>
      <c r="F26" s="1485">
        <v>3.24</v>
      </c>
      <c r="G26" s="1485">
        <v>3.6</v>
      </c>
      <c r="H26" s="1485">
        <v>3.98</v>
      </c>
      <c r="I26" s="1485">
        <v>4.37</v>
      </c>
      <c r="J26" s="1485">
        <v>4.78</v>
      </c>
      <c r="K26" s="1485">
        <v>5.22</v>
      </c>
      <c r="L26" s="1485">
        <v>5.67</v>
      </c>
      <c r="M26" s="1485">
        <v>6.15</v>
      </c>
      <c r="N26" s="1485">
        <v>6.65</v>
      </c>
      <c r="O26" s="1485">
        <v>7.19</v>
      </c>
      <c r="P26" s="1485">
        <v>7.75</v>
      </c>
      <c r="Q26" s="1485">
        <v>8.34</v>
      </c>
      <c r="R26" s="1485">
        <v>8.98</v>
      </c>
      <c r="S26" s="1485">
        <v>9.65</v>
      </c>
    </row>
    <row r="27" spans="1:19">
      <c r="A27" s="65">
        <v>40</v>
      </c>
      <c r="B27" s="65" t="s">
        <v>23</v>
      </c>
      <c r="C27" s="65" t="str">
        <f t="shared" si="0"/>
        <v>40-M</v>
      </c>
      <c r="D27" s="1486">
        <v>2.71</v>
      </c>
      <c r="E27" s="1486">
        <v>3.06</v>
      </c>
      <c r="F27" s="1486">
        <v>3.43</v>
      </c>
      <c r="G27" s="1486">
        <v>3.82</v>
      </c>
      <c r="H27" s="1486">
        <v>4.2300000000000004</v>
      </c>
      <c r="I27" s="1486">
        <v>4.6500000000000004</v>
      </c>
      <c r="J27" s="1486">
        <v>5.09</v>
      </c>
      <c r="K27" s="1486">
        <v>5.56</v>
      </c>
      <c r="L27" s="1486">
        <v>6.05</v>
      </c>
      <c r="M27" s="1486">
        <v>6.57</v>
      </c>
      <c r="N27" s="1486">
        <v>7.12</v>
      </c>
      <c r="O27" s="1486">
        <v>7.7</v>
      </c>
      <c r="P27" s="1486">
        <v>8.31</v>
      </c>
      <c r="Q27" s="1486">
        <v>8.9600000000000009</v>
      </c>
      <c r="R27" s="1486">
        <v>9.66</v>
      </c>
      <c r="S27" s="1486">
        <v>10.39</v>
      </c>
    </row>
    <row r="28" spans="1:19">
      <c r="A28" s="64">
        <v>41</v>
      </c>
      <c r="B28" s="64" t="s">
        <v>23</v>
      </c>
      <c r="C28" s="64" t="str">
        <f t="shared" si="0"/>
        <v>41-M</v>
      </c>
      <c r="D28" s="1485">
        <v>2.87</v>
      </c>
      <c r="E28" s="1485">
        <v>3.25</v>
      </c>
      <c r="F28" s="1485">
        <v>3.65</v>
      </c>
      <c r="G28" s="1485">
        <v>4.0599999999999996</v>
      </c>
      <c r="H28" s="1485">
        <v>4.5</v>
      </c>
      <c r="I28" s="1485">
        <v>4.95</v>
      </c>
      <c r="J28" s="1485">
        <v>5.44</v>
      </c>
      <c r="K28" s="1485">
        <v>5.94</v>
      </c>
      <c r="L28" s="1485">
        <v>6.48</v>
      </c>
      <c r="M28" s="1485">
        <v>7.04</v>
      </c>
      <c r="N28" s="1485">
        <v>7.64</v>
      </c>
      <c r="O28" s="1485">
        <v>8.27</v>
      </c>
      <c r="P28" s="1485">
        <v>8.94</v>
      </c>
      <c r="Q28" s="1485">
        <v>9.65</v>
      </c>
      <c r="R28" s="1485">
        <v>10.41</v>
      </c>
      <c r="S28" s="1485">
        <v>0</v>
      </c>
    </row>
    <row r="29" spans="1:19">
      <c r="A29" s="64">
        <v>42</v>
      </c>
      <c r="B29" s="64" t="s">
        <v>23</v>
      </c>
      <c r="C29" s="64" t="str">
        <f t="shared" si="0"/>
        <v>42-M</v>
      </c>
      <c r="D29" s="1485">
        <v>3.05</v>
      </c>
      <c r="E29" s="1485">
        <v>3.46</v>
      </c>
      <c r="F29" s="1485">
        <v>3.88</v>
      </c>
      <c r="G29" s="1485">
        <v>4.33</v>
      </c>
      <c r="H29" s="1485">
        <v>4.8</v>
      </c>
      <c r="I29" s="1485">
        <v>5.3</v>
      </c>
      <c r="J29" s="1485">
        <v>5.82</v>
      </c>
      <c r="K29" s="1485">
        <v>6.37</v>
      </c>
      <c r="L29" s="1485">
        <v>6.95</v>
      </c>
      <c r="M29" s="1485">
        <v>7.56</v>
      </c>
      <c r="N29" s="1485">
        <v>8.2100000000000009</v>
      </c>
      <c r="O29" s="1485">
        <v>8.91</v>
      </c>
      <c r="P29" s="1485">
        <v>9.64</v>
      </c>
      <c r="Q29" s="1485">
        <v>10.42</v>
      </c>
      <c r="R29" s="1485">
        <v>0</v>
      </c>
      <c r="S29" s="1485">
        <v>0</v>
      </c>
    </row>
    <row r="30" spans="1:19">
      <c r="A30" s="64">
        <v>43</v>
      </c>
      <c r="B30" s="64" t="s">
        <v>23</v>
      </c>
      <c r="C30" s="64" t="str">
        <f t="shared" si="0"/>
        <v>43-M</v>
      </c>
      <c r="D30" s="1485">
        <v>3.24</v>
      </c>
      <c r="E30" s="1485">
        <v>3.68</v>
      </c>
      <c r="F30" s="1485">
        <v>4.1399999999999997</v>
      </c>
      <c r="G30" s="1485">
        <v>4.63</v>
      </c>
      <c r="H30" s="1485">
        <v>5.13</v>
      </c>
      <c r="I30" s="1485">
        <v>5.67</v>
      </c>
      <c r="J30" s="1485">
        <v>6.24</v>
      </c>
      <c r="K30" s="1485">
        <v>6.84</v>
      </c>
      <c r="L30" s="1485">
        <v>7.47</v>
      </c>
      <c r="M30" s="1485">
        <v>8.14</v>
      </c>
      <c r="N30" s="1485">
        <v>8.86</v>
      </c>
      <c r="O30" s="1485">
        <v>9.6199999999999992</v>
      </c>
      <c r="P30" s="1485">
        <v>10.42</v>
      </c>
      <c r="Q30" s="1485">
        <v>0</v>
      </c>
      <c r="R30" s="1485">
        <v>0</v>
      </c>
      <c r="S30" s="1485">
        <v>0</v>
      </c>
    </row>
    <row r="31" spans="1:19">
      <c r="A31" s="64">
        <v>44</v>
      </c>
      <c r="B31" s="64" t="s">
        <v>23</v>
      </c>
      <c r="C31" s="64" t="str">
        <f t="shared" si="0"/>
        <v>44-M</v>
      </c>
      <c r="D31" s="1485">
        <v>3.46</v>
      </c>
      <c r="E31" s="1485">
        <v>3.93</v>
      </c>
      <c r="F31" s="1485">
        <v>4.43</v>
      </c>
      <c r="G31" s="1485">
        <v>4.95</v>
      </c>
      <c r="H31" s="1485">
        <v>5.5</v>
      </c>
      <c r="I31" s="1485">
        <v>6.09</v>
      </c>
      <c r="J31" s="1485">
        <v>6.7</v>
      </c>
      <c r="K31" s="1485">
        <v>7.36</v>
      </c>
      <c r="L31" s="1485">
        <v>8.0500000000000007</v>
      </c>
      <c r="M31" s="1485">
        <v>8.7899999999999991</v>
      </c>
      <c r="N31" s="1485">
        <v>9.57</v>
      </c>
      <c r="O31" s="1485">
        <v>10.41</v>
      </c>
      <c r="P31" s="1485">
        <v>0</v>
      </c>
      <c r="Q31" s="1485">
        <v>0</v>
      </c>
      <c r="R31" s="1485">
        <v>0</v>
      </c>
      <c r="S31" s="1485">
        <v>0</v>
      </c>
    </row>
    <row r="32" spans="1:19">
      <c r="A32" s="65">
        <v>45</v>
      </c>
      <c r="B32" s="65" t="s">
        <v>23</v>
      </c>
      <c r="C32" s="65" t="str">
        <f t="shared" si="0"/>
        <v>45-M</v>
      </c>
      <c r="D32" s="1486">
        <v>3.69</v>
      </c>
      <c r="E32" s="1486">
        <v>4.2</v>
      </c>
      <c r="F32" s="1486">
        <v>4.74</v>
      </c>
      <c r="G32" s="1486">
        <v>5.31</v>
      </c>
      <c r="H32" s="1486">
        <v>5.91</v>
      </c>
      <c r="I32" s="1486">
        <v>6.54</v>
      </c>
      <c r="J32" s="1486">
        <v>7.22</v>
      </c>
      <c r="K32" s="1486">
        <v>7.93</v>
      </c>
      <c r="L32" s="1486">
        <v>8.6999999999999993</v>
      </c>
      <c r="M32" s="1486">
        <v>9.51</v>
      </c>
      <c r="N32" s="1486">
        <v>10.37</v>
      </c>
      <c r="O32" s="1486">
        <v>0</v>
      </c>
      <c r="P32" s="1486">
        <v>0</v>
      </c>
      <c r="Q32" s="1486">
        <v>0</v>
      </c>
      <c r="R32" s="1486">
        <v>0</v>
      </c>
      <c r="S32" s="1486">
        <v>0</v>
      </c>
    </row>
    <row r="33" spans="1:19">
      <c r="A33" s="64">
        <v>46</v>
      </c>
      <c r="B33" s="64" t="s">
        <v>23</v>
      </c>
      <c r="C33" s="64" t="str">
        <f t="shared" si="0"/>
        <v>46-M</v>
      </c>
      <c r="D33" s="1485">
        <v>3.94</v>
      </c>
      <c r="E33" s="1485">
        <v>4.5</v>
      </c>
      <c r="F33" s="1485">
        <v>5.08</v>
      </c>
      <c r="G33" s="1485">
        <v>5.7</v>
      </c>
      <c r="H33" s="1485">
        <v>6.36</v>
      </c>
      <c r="I33" s="1485">
        <v>7.05</v>
      </c>
      <c r="J33" s="1485">
        <v>7.79</v>
      </c>
      <c r="K33" s="1485">
        <v>8.58</v>
      </c>
      <c r="L33" s="1485">
        <v>9.42</v>
      </c>
      <c r="M33" s="1485">
        <v>10.31</v>
      </c>
      <c r="N33" s="1485">
        <v>0</v>
      </c>
      <c r="O33" s="1485">
        <v>0</v>
      </c>
      <c r="P33" s="1485">
        <v>0</v>
      </c>
      <c r="Q33" s="1485">
        <v>0</v>
      </c>
      <c r="R33" s="1485">
        <v>0</v>
      </c>
      <c r="S33" s="1485">
        <v>0</v>
      </c>
    </row>
    <row r="34" spans="1:19">
      <c r="A34" s="64">
        <v>47</v>
      </c>
      <c r="B34" s="64" t="s">
        <v>23</v>
      </c>
      <c r="C34" s="64" t="str">
        <f t="shared" si="0"/>
        <v>47-M</v>
      </c>
      <c r="D34" s="1485">
        <v>4.25</v>
      </c>
      <c r="E34" s="1485">
        <v>4.8600000000000003</v>
      </c>
      <c r="F34" s="1485">
        <v>5.5</v>
      </c>
      <c r="G34" s="1485">
        <v>6.18</v>
      </c>
      <c r="H34" s="1485">
        <v>6.9</v>
      </c>
      <c r="I34" s="1485">
        <v>7.66</v>
      </c>
      <c r="J34" s="1485">
        <v>8.4700000000000006</v>
      </c>
      <c r="K34" s="1485">
        <v>9.34</v>
      </c>
      <c r="L34" s="1485">
        <v>10.26</v>
      </c>
      <c r="M34" s="1485">
        <v>0</v>
      </c>
      <c r="N34" s="1485">
        <v>0</v>
      </c>
      <c r="O34" s="1485">
        <v>0</v>
      </c>
      <c r="P34" s="1485">
        <v>0</v>
      </c>
      <c r="Q34" s="1485">
        <v>0</v>
      </c>
      <c r="R34" s="1485">
        <v>0</v>
      </c>
      <c r="S34" s="1485">
        <v>0</v>
      </c>
    </row>
    <row r="35" spans="1:19">
      <c r="A35" s="64">
        <v>48</v>
      </c>
      <c r="B35" s="64" t="s">
        <v>23</v>
      </c>
      <c r="C35" s="64" t="str">
        <f t="shared" si="0"/>
        <v>48-M</v>
      </c>
      <c r="D35" s="1485">
        <v>4.6100000000000003</v>
      </c>
      <c r="E35" s="1485">
        <v>5.27</v>
      </c>
      <c r="F35" s="1485">
        <v>5.97</v>
      </c>
      <c r="G35" s="1485">
        <v>6.71</v>
      </c>
      <c r="H35" s="1485">
        <v>7.5</v>
      </c>
      <c r="I35" s="1485">
        <v>8.34</v>
      </c>
      <c r="J35" s="1485">
        <v>9.23</v>
      </c>
      <c r="K35" s="1485">
        <v>10.19</v>
      </c>
      <c r="L35" s="1485">
        <v>0</v>
      </c>
      <c r="M35" s="1485">
        <v>0</v>
      </c>
      <c r="N35" s="1485">
        <v>0</v>
      </c>
      <c r="O35" s="1485">
        <v>0</v>
      </c>
      <c r="P35" s="1485">
        <v>0</v>
      </c>
      <c r="Q35" s="1485">
        <v>0</v>
      </c>
      <c r="R35" s="1485">
        <v>0</v>
      </c>
      <c r="S35" s="1485">
        <v>0</v>
      </c>
    </row>
    <row r="36" spans="1:19">
      <c r="A36" s="64">
        <v>49</v>
      </c>
      <c r="B36" s="64" t="s">
        <v>23</v>
      </c>
      <c r="C36" s="64" t="str">
        <f t="shared" si="0"/>
        <v>49-M</v>
      </c>
      <c r="D36" s="1485">
        <v>5</v>
      </c>
      <c r="E36" s="1485">
        <v>5.72</v>
      </c>
      <c r="F36" s="1485">
        <v>6.49</v>
      </c>
      <c r="G36" s="1485">
        <v>7.3</v>
      </c>
      <c r="H36" s="1485">
        <v>8.17</v>
      </c>
      <c r="I36" s="1485">
        <v>9.1</v>
      </c>
      <c r="J36" s="1485">
        <v>10.09</v>
      </c>
      <c r="K36" s="1485">
        <v>0</v>
      </c>
      <c r="L36" s="1485">
        <v>0</v>
      </c>
      <c r="M36" s="1485">
        <v>0</v>
      </c>
      <c r="N36" s="1485">
        <v>0</v>
      </c>
      <c r="O36" s="1485">
        <v>0</v>
      </c>
      <c r="P36" s="1485">
        <v>0</v>
      </c>
      <c r="Q36" s="1485">
        <v>0</v>
      </c>
      <c r="R36" s="1485">
        <v>0</v>
      </c>
      <c r="S36" s="1485">
        <v>0</v>
      </c>
    </row>
    <row r="37" spans="1:19">
      <c r="A37" s="64">
        <v>50</v>
      </c>
      <c r="B37" s="64" t="s">
        <v>23</v>
      </c>
      <c r="C37" s="64" t="str">
        <f t="shared" ref="C37:C42" si="1">A37&amp;"-"&amp;LEFT(B37,1)</f>
        <v>50-M</v>
      </c>
      <c r="D37" s="1485">
        <v>5.44</v>
      </c>
      <c r="E37" s="1485">
        <v>6.23</v>
      </c>
      <c r="F37" s="1485">
        <v>7.07</v>
      </c>
      <c r="G37" s="1485">
        <v>7.97</v>
      </c>
      <c r="H37" s="1485">
        <v>8.93</v>
      </c>
      <c r="I37" s="1485">
        <v>9.9499999999999993</v>
      </c>
      <c r="J37" s="1485">
        <v>0</v>
      </c>
      <c r="K37" s="1485">
        <v>0</v>
      </c>
      <c r="L37" s="1485">
        <v>0</v>
      </c>
      <c r="M37" s="1485">
        <v>0</v>
      </c>
      <c r="N37" s="1485">
        <v>0</v>
      </c>
      <c r="O37" s="1485">
        <v>0</v>
      </c>
      <c r="P37" s="1485">
        <v>0</v>
      </c>
      <c r="Q37" s="1485">
        <v>0</v>
      </c>
      <c r="R37" s="1485">
        <v>0</v>
      </c>
      <c r="S37" s="1485">
        <v>0</v>
      </c>
    </row>
    <row r="38" spans="1:19">
      <c r="A38" s="64">
        <v>51</v>
      </c>
      <c r="B38" s="64" t="s">
        <v>23</v>
      </c>
      <c r="C38" s="64" t="str">
        <f t="shared" si="1"/>
        <v>51-M</v>
      </c>
      <c r="D38" s="1485">
        <v>5.93</v>
      </c>
      <c r="E38" s="1485">
        <v>6.8</v>
      </c>
      <c r="F38" s="1485">
        <v>7.73</v>
      </c>
      <c r="G38" s="1485">
        <v>8.73</v>
      </c>
      <c r="H38" s="1485">
        <v>9.7799999999999994</v>
      </c>
      <c r="I38" s="1485">
        <v>0</v>
      </c>
      <c r="J38" s="1485">
        <v>0</v>
      </c>
      <c r="K38" s="1485">
        <v>0</v>
      </c>
      <c r="L38" s="1485">
        <v>0</v>
      </c>
      <c r="M38" s="1485">
        <v>0</v>
      </c>
      <c r="N38" s="1485">
        <v>0</v>
      </c>
      <c r="O38" s="1485">
        <v>0</v>
      </c>
      <c r="P38" s="1485">
        <v>0</v>
      </c>
      <c r="Q38" s="1485">
        <v>0</v>
      </c>
      <c r="R38" s="1485">
        <v>0</v>
      </c>
      <c r="S38" s="1485">
        <v>0</v>
      </c>
    </row>
    <row r="39" spans="1:19">
      <c r="A39" s="64">
        <v>52</v>
      </c>
      <c r="B39" s="64" t="s">
        <v>23</v>
      </c>
      <c r="C39" s="64" t="str">
        <f t="shared" si="1"/>
        <v>52-M</v>
      </c>
      <c r="D39" s="1485">
        <v>6.48</v>
      </c>
      <c r="E39" s="1485">
        <v>7.45</v>
      </c>
      <c r="F39" s="1485">
        <v>8.48</v>
      </c>
      <c r="G39" s="1485">
        <v>9.57</v>
      </c>
      <c r="H39" s="1485">
        <v>0</v>
      </c>
      <c r="I39" s="1485">
        <v>0</v>
      </c>
      <c r="J39" s="1485">
        <v>0</v>
      </c>
      <c r="K39" s="1485">
        <v>0</v>
      </c>
      <c r="L39" s="1485">
        <v>0</v>
      </c>
      <c r="M39" s="1485">
        <v>0</v>
      </c>
      <c r="N39" s="1485">
        <v>0</v>
      </c>
      <c r="O39" s="1485">
        <v>0</v>
      </c>
      <c r="P39" s="1485">
        <v>0</v>
      </c>
      <c r="Q39" s="1485">
        <v>0</v>
      </c>
      <c r="R39" s="1485">
        <v>0</v>
      </c>
      <c r="S39" s="1485">
        <v>0</v>
      </c>
    </row>
    <row r="40" spans="1:19">
      <c r="A40" s="64">
        <v>53</v>
      </c>
      <c r="B40" s="64" t="s">
        <v>23</v>
      </c>
      <c r="C40" s="64" t="str">
        <f t="shared" si="1"/>
        <v>53-M</v>
      </c>
      <c r="D40" s="1485">
        <v>7.11</v>
      </c>
      <c r="E40" s="1485">
        <v>8.17</v>
      </c>
      <c r="F40" s="1485">
        <v>9.31</v>
      </c>
      <c r="G40" s="1485">
        <v>0</v>
      </c>
      <c r="H40" s="1485">
        <v>0</v>
      </c>
      <c r="I40" s="1485">
        <v>0</v>
      </c>
      <c r="J40" s="1485">
        <v>0</v>
      </c>
      <c r="K40" s="1485">
        <v>0</v>
      </c>
      <c r="L40" s="1485">
        <v>0</v>
      </c>
      <c r="M40" s="1485">
        <v>0</v>
      </c>
      <c r="N40" s="1485">
        <v>0</v>
      </c>
      <c r="O40" s="1485">
        <v>0</v>
      </c>
      <c r="P40" s="1485">
        <v>0</v>
      </c>
      <c r="Q40" s="1485">
        <v>0</v>
      </c>
      <c r="R40" s="1485">
        <v>0</v>
      </c>
      <c r="S40" s="1485">
        <v>0</v>
      </c>
    </row>
    <row r="41" spans="1:19">
      <c r="A41" s="64">
        <v>54</v>
      </c>
      <c r="B41" s="64" t="s">
        <v>23</v>
      </c>
      <c r="C41" s="64" t="str">
        <f t="shared" si="1"/>
        <v>54-M</v>
      </c>
      <c r="D41" s="1485">
        <v>7.81</v>
      </c>
      <c r="E41" s="1485">
        <v>8.99</v>
      </c>
      <c r="F41" s="1485">
        <v>0</v>
      </c>
      <c r="G41" s="1485">
        <v>0</v>
      </c>
      <c r="H41" s="1485">
        <v>0</v>
      </c>
      <c r="I41" s="1485">
        <v>0</v>
      </c>
      <c r="J41" s="1485">
        <v>0</v>
      </c>
      <c r="K41" s="1485">
        <v>0</v>
      </c>
      <c r="L41" s="1485">
        <v>0</v>
      </c>
      <c r="M41" s="1485">
        <v>0</v>
      </c>
      <c r="N41" s="1485">
        <v>0</v>
      </c>
      <c r="O41" s="1485">
        <v>0</v>
      </c>
      <c r="P41" s="1485">
        <v>0</v>
      </c>
      <c r="Q41" s="1485">
        <v>0</v>
      </c>
      <c r="R41" s="1485">
        <v>0</v>
      </c>
      <c r="S41" s="1485">
        <v>0</v>
      </c>
    </row>
    <row r="42" spans="1:19">
      <c r="A42" s="64">
        <v>55</v>
      </c>
      <c r="B42" s="64" t="s">
        <v>23</v>
      </c>
      <c r="C42" s="64" t="str">
        <f t="shared" si="1"/>
        <v>55-M</v>
      </c>
      <c r="D42" s="1486">
        <v>8.61</v>
      </c>
      <c r="E42" s="1486"/>
      <c r="F42" s="1486"/>
      <c r="G42" s="1486"/>
      <c r="H42" s="1486"/>
      <c r="I42" s="1486"/>
      <c r="J42" s="1486"/>
      <c r="K42" s="1486"/>
      <c r="L42" s="1486"/>
      <c r="M42" s="1486"/>
      <c r="N42" s="1486"/>
      <c r="O42" s="1486"/>
      <c r="P42" s="1486"/>
      <c r="Q42" s="1486"/>
      <c r="R42" s="1486"/>
      <c r="S42" s="1486"/>
    </row>
    <row r="43" spans="1:19">
      <c r="A43" s="62">
        <v>20</v>
      </c>
      <c r="B43" s="63" t="s">
        <v>28</v>
      </c>
      <c r="C43" s="63" t="str">
        <f t="shared" si="0"/>
        <v>20-F</v>
      </c>
      <c r="D43" s="1484">
        <v>0.51</v>
      </c>
      <c r="E43" s="1484">
        <v>0.56999999999999995</v>
      </c>
      <c r="F43" s="1484">
        <v>0.62</v>
      </c>
      <c r="G43" s="1484">
        <v>0.68</v>
      </c>
      <c r="H43" s="1484">
        <v>0.74</v>
      </c>
      <c r="I43" s="1484">
        <v>0.8</v>
      </c>
      <c r="J43" s="1484">
        <v>0.87</v>
      </c>
      <c r="K43" s="1484">
        <v>0.93</v>
      </c>
      <c r="L43" s="1484">
        <v>0.99</v>
      </c>
      <c r="M43" s="1484">
        <v>1.06</v>
      </c>
      <c r="N43" s="1484">
        <v>1.1299999999999999</v>
      </c>
      <c r="O43" s="1484">
        <v>1.2</v>
      </c>
      <c r="P43" s="1484">
        <v>1.27</v>
      </c>
      <c r="Q43" s="1484">
        <v>1.34</v>
      </c>
      <c r="R43" s="1484">
        <v>1.41</v>
      </c>
      <c r="S43" s="1484">
        <v>1.49</v>
      </c>
    </row>
    <row r="44" spans="1:19">
      <c r="A44" s="64">
        <v>21</v>
      </c>
      <c r="B44" s="64" t="s">
        <v>28</v>
      </c>
      <c r="C44" s="64" t="str">
        <f t="shared" ref="C44:C72" si="2">A44&amp;"-"&amp;LEFT(B44,1)</f>
        <v>21-F</v>
      </c>
      <c r="D44" s="1485">
        <v>0.52</v>
      </c>
      <c r="E44" s="1485">
        <v>0.57999999999999996</v>
      </c>
      <c r="F44" s="1485">
        <v>0.64</v>
      </c>
      <c r="G44" s="1485">
        <v>0.7</v>
      </c>
      <c r="H44" s="1485">
        <v>0.76</v>
      </c>
      <c r="I44" s="1485">
        <v>0.82</v>
      </c>
      <c r="J44" s="1485">
        <v>0.89</v>
      </c>
      <c r="K44" s="1485">
        <v>0.95</v>
      </c>
      <c r="L44" s="1485">
        <v>1.02</v>
      </c>
      <c r="M44" s="1485">
        <v>1.0900000000000001</v>
      </c>
      <c r="N44" s="1485">
        <v>1.1599999999999999</v>
      </c>
      <c r="O44" s="1485">
        <v>1.23</v>
      </c>
      <c r="P44" s="1485">
        <v>1.31</v>
      </c>
      <c r="Q44" s="1485">
        <v>1.38</v>
      </c>
      <c r="R44" s="1485">
        <v>1.46</v>
      </c>
      <c r="S44" s="1485">
        <v>1.54</v>
      </c>
    </row>
    <row r="45" spans="1:19">
      <c r="A45" s="64">
        <v>22</v>
      </c>
      <c r="B45" s="64" t="s">
        <v>28</v>
      </c>
      <c r="C45" s="64" t="str">
        <f t="shared" si="2"/>
        <v>22-F</v>
      </c>
      <c r="D45" s="1485">
        <v>0.53</v>
      </c>
      <c r="E45" s="1485">
        <v>0.59</v>
      </c>
      <c r="F45" s="1485">
        <v>0.65</v>
      </c>
      <c r="G45" s="1485">
        <v>0.71</v>
      </c>
      <c r="H45" s="1485">
        <v>0.78</v>
      </c>
      <c r="I45" s="1485">
        <v>0.84</v>
      </c>
      <c r="J45" s="1485">
        <v>0.91</v>
      </c>
      <c r="K45" s="1485">
        <v>0.98</v>
      </c>
      <c r="L45" s="1485">
        <v>1.05</v>
      </c>
      <c r="M45" s="1485">
        <v>1.1200000000000001</v>
      </c>
      <c r="N45" s="1485">
        <v>1.19</v>
      </c>
      <c r="O45" s="1485">
        <v>1.27</v>
      </c>
      <c r="P45" s="1485">
        <v>1.35</v>
      </c>
      <c r="Q45" s="1485">
        <v>1.42</v>
      </c>
      <c r="R45" s="1485">
        <v>1.5</v>
      </c>
      <c r="S45" s="1485">
        <v>1.59</v>
      </c>
    </row>
    <row r="46" spans="1:19">
      <c r="A46" s="64">
        <v>23</v>
      </c>
      <c r="B46" s="64" t="s">
        <v>28</v>
      </c>
      <c r="C46" s="64" t="str">
        <f t="shared" si="2"/>
        <v>23-F</v>
      </c>
      <c r="D46" s="1485">
        <v>0.54</v>
      </c>
      <c r="E46" s="1485">
        <v>0.6</v>
      </c>
      <c r="F46" s="1485">
        <v>0.66</v>
      </c>
      <c r="G46" s="1485">
        <v>0.73</v>
      </c>
      <c r="H46" s="1485">
        <v>0.8</v>
      </c>
      <c r="I46" s="1485">
        <v>0.86</v>
      </c>
      <c r="J46" s="1485">
        <v>0.93</v>
      </c>
      <c r="K46" s="1485">
        <v>1.01</v>
      </c>
      <c r="L46" s="1485">
        <v>1.08</v>
      </c>
      <c r="M46" s="1485">
        <v>1.1499999999999999</v>
      </c>
      <c r="N46" s="1485">
        <v>1.23</v>
      </c>
      <c r="O46" s="1485">
        <v>1.31</v>
      </c>
      <c r="P46" s="1485">
        <v>1.39</v>
      </c>
      <c r="Q46" s="1485">
        <v>1.47</v>
      </c>
      <c r="R46" s="1485">
        <v>1.56</v>
      </c>
      <c r="S46" s="1485">
        <v>1.64</v>
      </c>
    </row>
    <row r="47" spans="1:19">
      <c r="A47" s="64">
        <v>24</v>
      </c>
      <c r="B47" s="64" t="s">
        <v>28</v>
      </c>
      <c r="C47" s="64" t="str">
        <f t="shared" si="2"/>
        <v>24-F</v>
      </c>
      <c r="D47" s="1485">
        <v>0.55000000000000004</v>
      </c>
      <c r="E47" s="1485">
        <v>0.61</v>
      </c>
      <c r="F47" s="1485">
        <v>0.68</v>
      </c>
      <c r="G47" s="1485">
        <v>0.75</v>
      </c>
      <c r="H47" s="1485">
        <v>0.82</v>
      </c>
      <c r="I47" s="1485">
        <v>0.89</v>
      </c>
      <c r="J47" s="1485">
        <v>0.96</v>
      </c>
      <c r="K47" s="1485">
        <v>1.04</v>
      </c>
      <c r="L47" s="1485">
        <v>1.1100000000000001</v>
      </c>
      <c r="M47" s="1485">
        <v>1.19</v>
      </c>
      <c r="N47" s="1485">
        <v>1.27</v>
      </c>
      <c r="O47" s="1485">
        <v>1.35</v>
      </c>
      <c r="P47" s="1485">
        <v>1.44</v>
      </c>
      <c r="Q47" s="1485">
        <v>1.52</v>
      </c>
      <c r="R47" s="1485">
        <v>1.61</v>
      </c>
      <c r="S47" s="1485">
        <v>1.7</v>
      </c>
    </row>
    <row r="48" spans="1:19">
      <c r="A48" s="65">
        <v>25</v>
      </c>
      <c r="B48" s="65" t="s">
        <v>28</v>
      </c>
      <c r="C48" s="65" t="str">
        <f t="shared" si="2"/>
        <v>25-F</v>
      </c>
      <c r="D48" s="1486">
        <v>0.56000000000000005</v>
      </c>
      <c r="E48" s="1486">
        <v>0.63</v>
      </c>
      <c r="F48" s="1486">
        <v>0.7</v>
      </c>
      <c r="G48" s="1486">
        <v>0.77</v>
      </c>
      <c r="H48" s="1486">
        <v>0.84</v>
      </c>
      <c r="I48" s="1486">
        <v>0.92</v>
      </c>
      <c r="J48" s="1486">
        <v>0.99</v>
      </c>
      <c r="K48" s="1486">
        <v>1.07</v>
      </c>
      <c r="L48" s="1486">
        <v>1.1499999999999999</v>
      </c>
      <c r="M48" s="1486">
        <v>1.23</v>
      </c>
      <c r="N48" s="1486">
        <v>1.31</v>
      </c>
      <c r="O48" s="1486">
        <v>1.4</v>
      </c>
      <c r="P48" s="1486">
        <v>1.49</v>
      </c>
      <c r="Q48" s="1486">
        <v>1.58</v>
      </c>
      <c r="R48" s="1486">
        <v>1.67</v>
      </c>
      <c r="S48" s="1486">
        <v>1.77</v>
      </c>
    </row>
    <row r="49" spans="1:19">
      <c r="A49" s="64">
        <v>26</v>
      </c>
      <c r="B49" s="64" t="s">
        <v>28</v>
      </c>
      <c r="C49" s="64" t="str">
        <f t="shared" si="2"/>
        <v>26-F</v>
      </c>
      <c r="D49" s="1485">
        <v>0.57999999999999996</v>
      </c>
      <c r="E49" s="1485">
        <v>0.65</v>
      </c>
      <c r="F49" s="1485">
        <v>0.72</v>
      </c>
      <c r="G49" s="1485">
        <v>0.79</v>
      </c>
      <c r="H49" s="1485">
        <v>0.87</v>
      </c>
      <c r="I49" s="1485">
        <v>0.95</v>
      </c>
      <c r="J49" s="1485">
        <v>1.03</v>
      </c>
      <c r="K49" s="1485">
        <v>1.1100000000000001</v>
      </c>
      <c r="L49" s="1485">
        <v>1.19</v>
      </c>
      <c r="M49" s="1485">
        <v>1.28</v>
      </c>
      <c r="N49" s="1485">
        <v>1.36</v>
      </c>
      <c r="O49" s="1485">
        <v>1.45</v>
      </c>
      <c r="P49" s="1485">
        <v>1.55</v>
      </c>
      <c r="Q49" s="1485">
        <v>1.64</v>
      </c>
      <c r="R49" s="1485">
        <v>1.74</v>
      </c>
      <c r="S49" s="1485">
        <v>1.84</v>
      </c>
    </row>
    <row r="50" spans="1:19">
      <c r="A50" s="64">
        <v>27</v>
      </c>
      <c r="B50" s="64" t="s">
        <v>28</v>
      </c>
      <c r="C50" s="64" t="str">
        <f t="shared" si="2"/>
        <v>27-F</v>
      </c>
      <c r="D50" s="1485">
        <v>0.59</v>
      </c>
      <c r="E50" s="1485">
        <v>0.67</v>
      </c>
      <c r="F50" s="1485">
        <v>0.74</v>
      </c>
      <c r="G50" s="1485">
        <v>0.82</v>
      </c>
      <c r="H50" s="1485">
        <v>0.9</v>
      </c>
      <c r="I50" s="1485">
        <v>0.98</v>
      </c>
      <c r="J50" s="1485">
        <v>1.06</v>
      </c>
      <c r="K50" s="1485">
        <v>1.1499999999999999</v>
      </c>
      <c r="L50" s="1485">
        <v>1.24</v>
      </c>
      <c r="M50" s="1485">
        <v>1.33</v>
      </c>
      <c r="N50" s="1485">
        <v>1.42</v>
      </c>
      <c r="O50" s="1485">
        <v>1.51</v>
      </c>
      <c r="P50" s="1485">
        <v>1.61</v>
      </c>
      <c r="Q50" s="1485">
        <v>1.71</v>
      </c>
      <c r="R50" s="1485">
        <v>1.82</v>
      </c>
      <c r="S50" s="1485">
        <v>1.93</v>
      </c>
    </row>
    <row r="51" spans="1:19">
      <c r="A51" s="64">
        <v>28</v>
      </c>
      <c r="B51" s="64" t="s">
        <v>28</v>
      </c>
      <c r="C51" s="64" t="str">
        <f t="shared" si="2"/>
        <v>28-F</v>
      </c>
      <c r="D51" s="1485">
        <v>0.62</v>
      </c>
      <c r="E51" s="1485">
        <v>0.69</v>
      </c>
      <c r="F51" s="1485">
        <v>0.77</v>
      </c>
      <c r="G51" s="1485">
        <v>0.85</v>
      </c>
      <c r="H51" s="1485">
        <v>0.94</v>
      </c>
      <c r="I51" s="1485">
        <v>1.02</v>
      </c>
      <c r="J51" s="1485">
        <v>1.1100000000000001</v>
      </c>
      <c r="K51" s="1485">
        <v>1.2</v>
      </c>
      <c r="L51" s="1485">
        <v>1.29</v>
      </c>
      <c r="M51" s="1485">
        <v>1.38</v>
      </c>
      <c r="N51" s="1485">
        <v>1.48</v>
      </c>
      <c r="O51" s="1485">
        <v>1.58</v>
      </c>
      <c r="P51" s="1485">
        <v>1.68</v>
      </c>
      <c r="Q51" s="1485">
        <v>1.79</v>
      </c>
      <c r="R51" s="1485">
        <v>1.9</v>
      </c>
      <c r="S51" s="1485">
        <v>2.02</v>
      </c>
    </row>
    <row r="52" spans="1:19">
      <c r="A52" s="64">
        <v>29</v>
      </c>
      <c r="B52" s="64" t="s">
        <v>28</v>
      </c>
      <c r="C52" s="64" t="str">
        <f t="shared" si="2"/>
        <v>29-F</v>
      </c>
      <c r="D52" s="1485">
        <v>0.64</v>
      </c>
      <c r="E52" s="1485">
        <v>0.72</v>
      </c>
      <c r="F52" s="1485">
        <v>0.8</v>
      </c>
      <c r="G52" s="1485">
        <v>0.89</v>
      </c>
      <c r="H52" s="1485">
        <v>0.98</v>
      </c>
      <c r="I52" s="1485">
        <v>1.06</v>
      </c>
      <c r="J52" s="1485">
        <v>1.1499999999999999</v>
      </c>
      <c r="K52" s="1485">
        <v>1.25</v>
      </c>
      <c r="L52" s="1485">
        <v>1.34</v>
      </c>
      <c r="M52" s="1485">
        <v>1.44</v>
      </c>
      <c r="N52" s="1485">
        <v>1.55</v>
      </c>
      <c r="O52" s="1485">
        <v>1.65</v>
      </c>
      <c r="P52" s="1485">
        <v>1.76</v>
      </c>
      <c r="Q52" s="1485">
        <v>1.88</v>
      </c>
      <c r="R52" s="1485">
        <v>2</v>
      </c>
      <c r="S52" s="1485">
        <v>2.13</v>
      </c>
    </row>
    <row r="53" spans="1:19">
      <c r="A53" s="65">
        <v>30</v>
      </c>
      <c r="B53" s="65" t="s">
        <v>28</v>
      </c>
      <c r="C53" s="65" t="str">
        <f t="shared" si="2"/>
        <v>30-F</v>
      </c>
      <c r="D53" s="1486">
        <v>0.67</v>
      </c>
      <c r="E53" s="1486">
        <v>0.75</v>
      </c>
      <c r="F53" s="1486">
        <v>0.84</v>
      </c>
      <c r="G53" s="1486">
        <v>0.93</v>
      </c>
      <c r="H53" s="1486">
        <v>1.02</v>
      </c>
      <c r="I53" s="1486">
        <v>1.1100000000000001</v>
      </c>
      <c r="J53" s="1486">
        <v>1.21</v>
      </c>
      <c r="K53" s="1486">
        <v>1.31</v>
      </c>
      <c r="L53" s="1486">
        <v>1.41</v>
      </c>
      <c r="M53" s="1486">
        <v>1.51</v>
      </c>
      <c r="N53" s="1486">
        <v>1.62</v>
      </c>
      <c r="O53" s="1486">
        <v>1.73</v>
      </c>
      <c r="P53" s="1486">
        <v>1.85</v>
      </c>
      <c r="Q53" s="1486">
        <v>1.98</v>
      </c>
      <c r="R53" s="1486">
        <v>2.11</v>
      </c>
      <c r="S53" s="1486">
        <v>2.25</v>
      </c>
    </row>
    <row r="54" spans="1:19">
      <c r="A54" s="64">
        <v>31</v>
      </c>
      <c r="B54" s="64" t="s">
        <v>28</v>
      </c>
      <c r="C54" s="64" t="str">
        <f t="shared" si="2"/>
        <v>31-F</v>
      </c>
      <c r="D54" s="1485">
        <v>0.7</v>
      </c>
      <c r="E54" s="1485">
        <v>0.79</v>
      </c>
      <c r="F54" s="1485">
        <v>0.88</v>
      </c>
      <c r="G54" s="1485">
        <v>0.97</v>
      </c>
      <c r="H54" s="1485">
        <v>1.07</v>
      </c>
      <c r="I54" s="1485">
        <v>1.1599999999999999</v>
      </c>
      <c r="J54" s="1485">
        <v>1.26</v>
      </c>
      <c r="K54" s="1485">
        <v>1.37</v>
      </c>
      <c r="L54" s="1485">
        <v>1.48</v>
      </c>
      <c r="M54" s="1485">
        <v>1.59</v>
      </c>
      <c r="N54" s="1485">
        <v>1.7</v>
      </c>
      <c r="O54" s="1485">
        <v>1.83</v>
      </c>
      <c r="P54" s="1485">
        <v>1.95</v>
      </c>
      <c r="Q54" s="1485">
        <v>2.09</v>
      </c>
      <c r="R54" s="1485">
        <v>2.23</v>
      </c>
      <c r="S54" s="1485">
        <v>2.39</v>
      </c>
    </row>
    <row r="55" spans="1:19">
      <c r="A55" s="64">
        <v>32</v>
      </c>
      <c r="B55" s="64" t="s">
        <v>28</v>
      </c>
      <c r="C55" s="64" t="str">
        <f t="shared" si="2"/>
        <v>32-F</v>
      </c>
      <c r="D55" s="1485">
        <v>0.74</v>
      </c>
      <c r="E55" s="1485">
        <v>0.83</v>
      </c>
      <c r="F55" s="1485">
        <v>0.92</v>
      </c>
      <c r="G55" s="1485">
        <v>1.02</v>
      </c>
      <c r="H55" s="1485">
        <v>1.1200000000000001</v>
      </c>
      <c r="I55" s="1485">
        <v>1.22</v>
      </c>
      <c r="J55" s="1485">
        <v>1.33</v>
      </c>
      <c r="K55" s="1485">
        <v>1.44</v>
      </c>
      <c r="L55" s="1485">
        <v>1.55</v>
      </c>
      <c r="M55" s="1485">
        <v>1.67</v>
      </c>
      <c r="N55" s="1485">
        <v>1.8</v>
      </c>
      <c r="O55" s="1485">
        <v>1.93</v>
      </c>
      <c r="P55" s="1485">
        <v>2.0699999999999998</v>
      </c>
      <c r="Q55" s="1485">
        <v>2.21</v>
      </c>
      <c r="R55" s="1485">
        <v>2.37</v>
      </c>
      <c r="S55" s="1485">
        <v>2.54</v>
      </c>
    </row>
    <row r="56" spans="1:19">
      <c r="A56" s="64">
        <v>33</v>
      </c>
      <c r="B56" s="64" t="s">
        <v>28</v>
      </c>
      <c r="C56" s="64" t="str">
        <f t="shared" si="2"/>
        <v>33-F</v>
      </c>
      <c r="D56" s="1485">
        <v>0.77</v>
      </c>
      <c r="E56" s="1485">
        <v>0.87</v>
      </c>
      <c r="F56" s="1485">
        <v>0.97</v>
      </c>
      <c r="G56" s="1485">
        <v>1.07</v>
      </c>
      <c r="H56" s="1485">
        <v>1.17</v>
      </c>
      <c r="I56" s="1485">
        <v>1.28</v>
      </c>
      <c r="J56" s="1485">
        <v>1.39</v>
      </c>
      <c r="K56" s="1485">
        <v>1.51</v>
      </c>
      <c r="L56" s="1485">
        <v>1.63</v>
      </c>
      <c r="M56" s="1485">
        <v>1.76</v>
      </c>
      <c r="N56" s="1485">
        <v>1.9</v>
      </c>
      <c r="O56" s="1485">
        <v>2.04</v>
      </c>
      <c r="P56" s="1485">
        <v>2.19</v>
      </c>
      <c r="Q56" s="1485">
        <v>2.35</v>
      </c>
      <c r="R56" s="1485">
        <v>2.52</v>
      </c>
      <c r="S56" s="1485">
        <v>2.71</v>
      </c>
    </row>
    <row r="57" spans="1:19">
      <c r="A57" s="64">
        <v>34</v>
      </c>
      <c r="B57" s="64" t="s">
        <v>28</v>
      </c>
      <c r="C57" s="64" t="str">
        <f t="shared" si="2"/>
        <v>34-F</v>
      </c>
      <c r="D57" s="1485">
        <v>0.81</v>
      </c>
      <c r="E57" s="1485">
        <v>0.91</v>
      </c>
      <c r="F57" s="1485">
        <v>1.01</v>
      </c>
      <c r="G57" s="1485">
        <v>1.1200000000000001</v>
      </c>
      <c r="H57" s="1485">
        <v>1.23</v>
      </c>
      <c r="I57" s="1485">
        <v>1.35</v>
      </c>
      <c r="J57" s="1485">
        <v>1.47</v>
      </c>
      <c r="K57" s="1485">
        <v>1.59</v>
      </c>
      <c r="L57" s="1485">
        <v>1.72</v>
      </c>
      <c r="M57" s="1485">
        <v>1.86</v>
      </c>
      <c r="N57" s="1485">
        <v>2.0099999999999998</v>
      </c>
      <c r="O57" s="1485">
        <v>2.16</v>
      </c>
      <c r="P57" s="1485">
        <v>2.33</v>
      </c>
      <c r="Q57" s="1485">
        <v>2.5099999999999998</v>
      </c>
      <c r="R57" s="1485">
        <v>2.7</v>
      </c>
      <c r="S57" s="1485">
        <v>2.9</v>
      </c>
    </row>
    <row r="58" spans="1:19">
      <c r="A58" s="65">
        <v>35</v>
      </c>
      <c r="B58" s="65" t="s">
        <v>28</v>
      </c>
      <c r="C58" s="65" t="str">
        <f t="shared" si="2"/>
        <v>35-F</v>
      </c>
      <c r="D58" s="1486">
        <v>0.85</v>
      </c>
      <c r="E58" s="1486">
        <v>0.95</v>
      </c>
      <c r="F58" s="1486">
        <v>1.06</v>
      </c>
      <c r="G58" s="1486">
        <v>1.18</v>
      </c>
      <c r="H58" s="1486">
        <v>1.29</v>
      </c>
      <c r="I58" s="1486">
        <v>1.42</v>
      </c>
      <c r="J58" s="1486">
        <v>1.54</v>
      </c>
      <c r="K58" s="1486">
        <v>1.68</v>
      </c>
      <c r="L58" s="1486">
        <v>1.82</v>
      </c>
      <c r="M58" s="1486">
        <v>1.97</v>
      </c>
      <c r="N58" s="1486">
        <v>2.13</v>
      </c>
      <c r="O58" s="1486">
        <v>2.2999999999999998</v>
      </c>
      <c r="P58" s="1486">
        <v>2.48</v>
      </c>
      <c r="Q58" s="1486">
        <v>2.68</v>
      </c>
      <c r="R58" s="1486">
        <v>2.89</v>
      </c>
      <c r="S58" s="1486">
        <v>3.12</v>
      </c>
    </row>
    <row r="59" spans="1:19">
      <c r="A59" s="64">
        <v>36</v>
      </c>
      <c r="B59" s="64" t="s">
        <v>28</v>
      </c>
      <c r="C59" s="64" t="str">
        <f t="shared" si="2"/>
        <v>36-F</v>
      </c>
      <c r="D59" s="1485">
        <v>0.89</v>
      </c>
      <c r="E59" s="1485">
        <v>1</v>
      </c>
      <c r="F59" s="1485">
        <v>1.1200000000000001</v>
      </c>
      <c r="G59" s="1485">
        <v>1.24</v>
      </c>
      <c r="H59" s="1485">
        <v>1.36</v>
      </c>
      <c r="I59" s="1485">
        <v>1.49</v>
      </c>
      <c r="J59" s="1485">
        <v>1.63</v>
      </c>
      <c r="K59" s="1485">
        <v>1.78</v>
      </c>
      <c r="L59" s="1485">
        <v>1.93</v>
      </c>
      <c r="M59" s="1485">
        <v>2.09</v>
      </c>
      <c r="N59" s="1485">
        <v>2.27</v>
      </c>
      <c r="O59" s="1485">
        <v>2.46</v>
      </c>
      <c r="P59" s="1485">
        <v>2.66</v>
      </c>
      <c r="Q59" s="1485">
        <v>2.88</v>
      </c>
      <c r="R59" s="1485">
        <v>3.12</v>
      </c>
      <c r="S59" s="1485">
        <v>3.37</v>
      </c>
    </row>
    <row r="60" spans="1:19">
      <c r="A60" s="64">
        <v>37</v>
      </c>
      <c r="B60" s="64" t="s">
        <v>28</v>
      </c>
      <c r="C60" s="64" t="str">
        <f t="shared" si="2"/>
        <v>37-F</v>
      </c>
      <c r="D60" s="1485">
        <v>0.93</v>
      </c>
      <c r="E60" s="1485">
        <v>1.05</v>
      </c>
      <c r="F60" s="1485">
        <v>1.17</v>
      </c>
      <c r="G60" s="1485">
        <v>1.3</v>
      </c>
      <c r="H60" s="1485">
        <v>1.44</v>
      </c>
      <c r="I60" s="1485">
        <v>1.58</v>
      </c>
      <c r="J60" s="1485">
        <v>1.73</v>
      </c>
      <c r="K60" s="1485">
        <v>1.88</v>
      </c>
      <c r="L60" s="1485">
        <v>2.0499999999999998</v>
      </c>
      <c r="M60" s="1485">
        <v>2.23</v>
      </c>
      <c r="N60" s="1485">
        <v>2.4300000000000002</v>
      </c>
      <c r="O60" s="1485">
        <v>2.64</v>
      </c>
      <c r="P60" s="1485">
        <v>2.86</v>
      </c>
      <c r="Q60" s="1485">
        <v>3.11</v>
      </c>
      <c r="R60" s="1485">
        <v>3.37</v>
      </c>
      <c r="S60" s="1485">
        <v>3.66</v>
      </c>
    </row>
    <row r="61" spans="1:19">
      <c r="A61" s="64">
        <v>38</v>
      </c>
      <c r="B61" s="64" t="s">
        <v>28</v>
      </c>
      <c r="C61" s="64" t="str">
        <f t="shared" si="2"/>
        <v>38-F</v>
      </c>
      <c r="D61" s="1485">
        <v>0.98</v>
      </c>
      <c r="E61" s="1485">
        <v>1.1000000000000001</v>
      </c>
      <c r="F61" s="1485">
        <v>1.23</v>
      </c>
      <c r="G61" s="1485">
        <v>1.37</v>
      </c>
      <c r="H61" s="1485">
        <v>1.52</v>
      </c>
      <c r="I61" s="1485">
        <v>1.67</v>
      </c>
      <c r="J61" s="1485">
        <v>1.83</v>
      </c>
      <c r="K61" s="1485">
        <v>2.0099999999999998</v>
      </c>
      <c r="L61" s="1485">
        <v>2.19</v>
      </c>
      <c r="M61" s="1485">
        <v>2.39</v>
      </c>
      <c r="N61" s="1485">
        <v>2.61</v>
      </c>
      <c r="O61" s="1485">
        <v>2.84</v>
      </c>
      <c r="P61" s="1485">
        <v>3.09</v>
      </c>
      <c r="Q61" s="1485">
        <v>3.37</v>
      </c>
      <c r="R61" s="1485">
        <v>3.66</v>
      </c>
      <c r="S61" s="1485">
        <v>3.98</v>
      </c>
    </row>
    <row r="62" spans="1:19">
      <c r="A62" s="64">
        <v>39</v>
      </c>
      <c r="B62" s="64" t="s">
        <v>28</v>
      </c>
      <c r="C62" s="64" t="str">
        <f t="shared" si="2"/>
        <v>39-F</v>
      </c>
      <c r="D62" s="1485">
        <v>1.03</v>
      </c>
      <c r="E62" s="1485">
        <v>1.1599999999999999</v>
      </c>
      <c r="F62" s="1485">
        <v>1.3</v>
      </c>
      <c r="G62" s="1485">
        <v>1.45</v>
      </c>
      <c r="H62" s="1485">
        <v>1.61</v>
      </c>
      <c r="I62" s="1485">
        <v>1.78</v>
      </c>
      <c r="J62" s="1485">
        <v>1.96</v>
      </c>
      <c r="K62" s="1485">
        <v>2.15</v>
      </c>
      <c r="L62" s="1485">
        <v>2.35</v>
      </c>
      <c r="M62" s="1485">
        <v>2.58</v>
      </c>
      <c r="N62" s="1485">
        <v>2.82</v>
      </c>
      <c r="O62" s="1485">
        <v>3.08</v>
      </c>
      <c r="P62" s="1485">
        <v>3.36</v>
      </c>
      <c r="Q62" s="1485">
        <v>3.66</v>
      </c>
      <c r="R62" s="1485">
        <v>3.99</v>
      </c>
      <c r="S62" s="1485">
        <v>4.3499999999999996</v>
      </c>
    </row>
    <row r="63" spans="1:19">
      <c r="A63" s="65">
        <v>40</v>
      </c>
      <c r="B63" s="65" t="s">
        <v>28</v>
      </c>
      <c r="C63" s="65" t="str">
        <f t="shared" si="2"/>
        <v>40-F</v>
      </c>
      <c r="D63" s="1486">
        <v>1.08</v>
      </c>
      <c r="E63" s="1486">
        <v>1.23</v>
      </c>
      <c r="F63" s="1486">
        <v>1.38</v>
      </c>
      <c r="G63" s="1486">
        <v>1.54</v>
      </c>
      <c r="H63" s="1486">
        <v>1.71</v>
      </c>
      <c r="I63" s="1486">
        <v>1.9</v>
      </c>
      <c r="J63" s="1486">
        <v>2.1</v>
      </c>
      <c r="K63" s="1486">
        <v>2.31</v>
      </c>
      <c r="L63" s="1486">
        <v>2.54</v>
      </c>
      <c r="M63" s="1486">
        <v>2.79</v>
      </c>
      <c r="N63" s="1486">
        <v>3.06</v>
      </c>
      <c r="O63" s="1486">
        <v>3.35</v>
      </c>
      <c r="P63" s="1486">
        <v>3.66</v>
      </c>
      <c r="Q63" s="1486">
        <v>4.01</v>
      </c>
      <c r="R63" s="1486">
        <v>4.38</v>
      </c>
      <c r="S63" s="1486">
        <v>4.78</v>
      </c>
    </row>
    <row r="64" spans="1:19">
      <c r="A64" s="64">
        <v>41</v>
      </c>
      <c r="B64" s="64" t="s">
        <v>28</v>
      </c>
      <c r="C64" s="64" t="str">
        <f t="shared" si="2"/>
        <v>41-F</v>
      </c>
      <c r="D64" s="1485">
        <v>1.1399999999999999</v>
      </c>
      <c r="E64" s="1485">
        <v>1.3</v>
      </c>
      <c r="F64" s="1485">
        <v>1.47</v>
      </c>
      <c r="G64" s="1485">
        <v>1.65</v>
      </c>
      <c r="H64" s="1485">
        <v>1.84</v>
      </c>
      <c r="I64" s="1485">
        <v>2.04</v>
      </c>
      <c r="J64" s="1485">
        <v>2.2599999999999998</v>
      </c>
      <c r="K64" s="1485">
        <v>2.5</v>
      </c>
      <c r="L64" s="1485">
        <v>2.75</v>
      </c>
      <c r="M64" s="1485">
        <v>3.03</v>
      </c>
      <c r="N64" s="1485">
        <v>3.33</v>
      </c>
      <c r="O64" s="1485">
        <v>3.66</v>
      </c>
      <c r="P64" s="1485">
        <v>4.01</v>
      </c>
      <c r="Q64" s="1485">
        <v>4.4000000000000004</v>
      </c>
      <c r="R64" s="1485">
        <v>4.8099999999999996</v>
      </c>
      <c r="S64" s="1485">
        <v>0</v>
      </c>
    </row>
    <row r="65" spans="1:19">
      <c r="A65" s="64">
        <v>42</v>
      </c>
      <c r="B65" s="64" t="s">
        <v>28</v>
      </c>
      <c r="C65" s="64" t="str">
        <f t="shared" si="2"/>
        <v>42-F</v>
      </c>
      <c r="D65" s="1485">
        <v>1.22</v>
      </c>
      <c r="E65" s="1485">
        <v>1.4</v>
      </c>
      <c r="F65" s="1485">
        <v>1.58</v>
      </c>
      <c r="G65" s="1485">
        <v>1.78</v>
      </c>
      <c r="H65" s="1485">
        <v>1.99</v>
      </c>
      <c r="I65" s="1485">
        <v>2.21</v>
      </c>
      <c r="J65" s="1485">
        <v>2.46</v>
      </c>
      <c r="K65" s="1485">
        <v>2.73</v>
      </c>
      <c r="L65" s="1485">
        <v>3.01</v>
      </c>
      <c r="M65" s="1485">
        <v>3.33</v>
      </c>
      <c r="N65" s="1485">
        <v>3.66</v>
      </c>
      <c r="O65" s="1485">
        <v>4.03</v>
      </c>
      <c r="P65" s="1485">
        <v>4.43</v>
      </c>
      <c r="Q65" s="1485">
        <v>4.8600000000000003</v>
      </c>
      <c r="R65" s="1485">
        <v>0</v>
      </c>
      <c r="S65" s="1485">
        <v>0</v>
      </c>
    </row>
    <row r="66" spans="1:19">
      <c r="A66" s="64">
        <v>43</v>
      </c>
      <c r="B66" s="64" t="s">
        <v>28</v>
      </c>
      <c r="C66" s="64" t="str">
        <f t="shared" si="2"/>
        <v>43-F</v>
      </c>
      <c r="D66" s="1485">
        <v>1.32</v>
      </c>
      <c r="E66" s="1485">
        <v>1.51</v>
      </c>
      <c r="F66" s="1485">
        <v>1.71</v>
      </c>
      <c r="G66" s="1485">
        <v>1.93</v>
      </c>
      <c r="H66" s="1485">
        <v>2.16</v>
      </c>
      <c r="I66" s="1485">
        <v>2.42</v>
      </c>
      <c r="J66" s="1485">
        <v>2.69</v>
      </c>
      <c r="K66" s="1485">
        <v>2.99</v>
      </c>
      <c r="L66" s="1485">
        <v>3.31</v>
      </c>
      <c r="M66" s="1485">
        <v>3.66</v>
      </c>
      <c r="N66" s="1485">
        <v>4.04</v>
      </c>
      <c r="O66" s="1485">
        <v>4.45</v>
      </c>
      <c r="P66" s="1485">
        <v>4.9000000000000004</v>
      </c>
      <c r="Q66" s="1485">
        <v>0</v>
      </c>
      <c r="R66" s="1485">
        <v>0</v>
      </c>
      <c r="S66" s="1485">
        <v>0</v>
      </c>
    </row>
    <row r="67" spans="1:19">
      <c r="A67" s="64">
        <v>44</v>
      </c>
      <c r="B67" s="64" t="s">
        <v>28</v>
      </c>
      <c r="C67" s="64" t="str">
        <f t="shared" si="2"/>
        <v>44-F</v>
      </c>
      <c r="D67" s="1485">
        <v>1.42</v>
      </c>
      <c r="E67" s="1485">
        <v>1.63</v>
      </c>
      <c r="F67" s="1485">
        <v>1.86</v>
      </c>
      <c r="G67" s="1485">
        <v>2.1</v>
      </c>
      <c r="H67" s="1485">
        <v>2.37</v>
      </c>
      <c r="I67" s="1485">
        <v>2.65</v>
      </c>
      <c r="J67" s="1485">
        <v>2.96</v>
      </c>
      <c r="K67" s="1485">
        <v>3.3</v>
      </c>
      <c r="L67" s="1485">
        <v>3.66</v>
      </c>
      <c r="M67" s="1485">
        <v>4.05</v>
      </c>
      <c r="N67" s="1485">
        <v>4.4800000000000004</v>
      </c>
      <c r="O67" s="1485">
        <v>4.9400000000000004</v>
      </c>
      <c r="P67" s="1485">
        <v>0</v>
      </c>
      <c r="Q67" s="1485">
        <v>0</v>
      </c>
      <c r="R67" s="1485">
        <v>0</v>
      </c>
      <c r="S67" s="1485">
        <v>0</v>
      </c>
    </row>
    <row r="68" spans="1:19">
      <c r="A68" s="65">
        <v>45</v>
      </c>
      <c r="B68" s="65" t="s">
        <v>28</v>
      </c>
      <c r="C68" s="65" t="str">
        <f t="shared" si="2"/>
        <v>45-F</v>
      </c>
      <c r="D68" s="1486">
        <v>1.55</v>
      </c>
      <c r="E68" s="1486">
        <v>1.79</v>
      </c>
      <c r="F68" s="1486">
        <v>2.04</v>
      </c>
      <c r="G68" s="1486">
        <v>2.31</v>
      </c>
      <c r="H68" s="1486">
        <v>2.61</v>
      </c>
      <c r="I68" s="1486">
        <v>2.93</v>
      </c>
      <c r="J68" s="1486">
        <v>3.28</v>
      </c>
      <c r="K68" s="1486">
        <v>3.65</v>
      </c>
      <c r="L68" s="1486">
        <v>4.0599999999999996</v>
      </c>
      <c r="M68" s="1486">
        <v>4.5</v>
      </c>
      <c r="N68" s="1486">
        <v>4.9800000000000004</v>
      </c>
      <c r="O68" s="1486">
        <v>0</v>
      </c>
      <c r="P68" s="1486">
        <v>0</v>
      </c>
      <c r="Q68" s="1486">
        <v>0</v>
      </c>
      <c r="R68" s="1486">
        <v>0</v>
      </c>
      <c r="S68" s="1486">
        <v>0</v>
      </c>
    </row>
    <row r="69" spans="1:19">
      <c r="A69" s="64">
        <v>46</v>
      </c>
      <c r="B69" s="64" t="s">
        <v>28</v>
      </c>
      <c r="C69" s="64" t="str">
        <f t="shared" si="2"/>
        <v>46-F</v>
      </c>
      <c r="D69" s="1485">
        <v>1.7</v>
      </c>
      <c r="E69" s="1485">
        <v>1.96</v>
      </c>
      <c r="F69" s="1485">
        <v>2.25</v>
      </c>
      <c r="G69" s="1485">
        <v>2.5499999999999998</v>
      </c>
      <c r="H69" s="1485">
        <v>2.89</v>
      </c>
      <c r="I69" s="1485">
        <v>3.25</v>
      </c>
      <c r="J69" s="1485">
        <v>3.64</v>
      </c>
      <c r="K69" s="1485">
        <v>4.0599999999999996</v>
      </c>
      <c r="L69" s="1485">
        <v>4.5199999999999996</v>
      </c>
      <c r="M69" s="1485">
        <v>5.0199999999999996</v>
      </c>
      <c r="N69" s="1485">
        <v>0</v>
      </c>
      <c r="O69" s="1485">
        <v>0</v>
      </c>
      <c r="P69" s="1485">
        <v>0</v>
      </c>
      <c r="Q69" s="1485">
        <v>0</v>
      </c>
      <c r="R69" s="1485">
        <v>0</v>
      </c>
      <c r="S69" s="1485">
        <v>0</v>
      </c>
    </row>
    <row r="70" spans="1:19">
      <c r="A70" s="64">
        <v>47</v>
      </c>
      <c r="B70" s="64" t="s">
        <v>28</v>
      </c>
      <c r="C70" s="64" t="str">
        <f t="shared" si="2"/>
        <v>47-F</v>
      </c>
      <c r="D70" s="1485">
        <v>1.88</v>
      </c>
      <c r="E70" s="1485">
        <v>2.17</v>
      </c>
      <c r="F70" s="1485">
        <v>2.4900000000000002</v>
      </c>
      <c r="G70" s="1485">
        <v>2.84</v>
      </c>
      <c r="H70" s="1485">
        <v>3.21</v>
      </c>
      <c r="I70" s="1485">
        <v>3.62</v>
      </c>
      <c r="J70" s="1485">
        <v>4.0599999999999996</v>
      </c>
      <c r="K70" s="1485">
        <v>4.54</v>
      </c>
      <c r="L70" s="1485">
        <v>5.05</v>
      </c>
      <c r="M70" s="1485">
        <v>0</v>
      </c>
      <c r="N70" s="1485">
        <v>0</v>
      </c>
      <c r="O70" s="1485">
        <v>0</v>
      </c>
      <c r="P70" s="1485">
        <v>0</v>
      </c>
      <c r="Q70" s="1485">
        <v>0</v>
      </c>
      <c r="R70" s="1485">
        <v>0</v>
      </c>
      <c r="S70" s="1485">
        <v>0</v>
      </c>
    </row>
    <row r="71" spans="1:19">
      <c r="A71" s="64">
        <v>48</v>
      </c>
      <c r="B71" s="64" t="s">
        <v>28</v>
      </c>
      <c r="C71" s="64" t="str">
        <f t="shared" si="2"/>
        <v>48-F</v>
      </c>
      <c r="D71" s="1485">
        <v>2.09</v>
      </c>
      <c r="E71" s="1485">
        <v>2.42</v>
      </c>
      <c r="F71" s="1485">
        <v>2.78</v>
      </c>
      <c r="G71" s="1485">
        <v>3.17</v>
      </c>
      <c r="H71" s="1485">
        <v>3.59</v>
      </c>
      <c r="I71" s="1485">
        <v>4.05</v>
      </c>
      <c r="J71" s="1485">
        <v>4.55</v>
      </c>
      <c r="K71" s="1485">
        <v>5.08</v>
      </c>
      <c r="L71" s="1485">
        <v>0</v>
      </c>
      <c r="M71" s="1485">
        <v>0</v>
      </c>
      <c r="N71" s="1485">
        <v>0</v>
      </c>
      <c r="O71" s="1485">
        <v>0</v>
      </c>
      <c r="P71" s="1485">
        <v>0</v>
      </c>
      <c r="Q71" s="1485">
        <v>0</v>
      </c>
      <c r="R71" s="1485">
        <v>0</v>
      </c>
      <c r="S71" s="1485">
        <v>0</v>
      </c>
    </row>
    <row r="72" spans="1:19">
      <c r="A72" s="64">
        <v>49</v>
      </c>
      <c r="B72" s="64" t="s">
        <v>28</v>
      </c>
      <c r="C72" s="64" t="str">
        <f t="shared" si="2"/>
        <v>49-F</v>
      </c>
      <c r="D72" s="1485">
        <v>2.33</v>
      </c>
      <c r="E72" s="1485">
        <v>2.71</v>
      </c>
      <c r="F72" s="1485">
        <v>3.11</v>
      </c>
      <c r="G72" s="1485">
        <v>3.55</v>
      </c>
      <c r="H72" s="1485">
        <v>4.03</v>
      </c>
      <c r="I72" s="1485">
        <v>4.54</v>
      </c>
      <c r="J72" s="1485">
        <v>5.0999999999999996</v>
      </c>
      <c r="K72" s="1485">
        <v>0</v>
      </c>
      <c r="L72" s="1485">
        <v>0</v>
      </c>
      <c r="M72" s="1485">
        <v>0</v>
      </c>
      <c r="N72" s="1485">
        <v>0</v>
      </c>
      <c r="O72" s="1485">
        <v>0</v>
      </c>
      <c r="P72" s="1485">
        <v>0</v>
      </c>
      <c r="Q72" s="1485">
        <v>0</v>
      </c>
      <c r="R72" s="1485">
        <v>0</v>
      </c>
      <c r="S72" s="1485">
        <v>0</v>
      </c>
    </row>
    <row r="73" spans="1:19">
      <c r="A73" s="64">
        <v>50</v>
      </c>
      <c r="B73" s="64" t="s">
        <v>28</v>
      </c>
      <c r="C73" s="64" t="str">
        <f t="shared" ref="C73:C78" si="3">A73&amp;"-"&amp;LEFT(B73,1)</f>
        <v>50-F</v>
      </c>
      <c r="D73" s="1485">
        <v>2.62</v>
      </c>
      <c r="E73" s="1485">
        <v>3.04</v>
      </c>
      <c r="F73" s="1485">
        <v>3.5</v>
      </c>
      <c r="G73" s="1485">
        <v>4</v>
      </c>
      <c r="H73" s="1485">
        <v>4.53</v>
      </c>
      <c r="I73" s="1485">
        <v>5.1100000000000003</v>
      </c>
      <c r="J73" s="1485">
        <v>0</v>
      </c>
      <c r="K73" s="1485">
        <v>0</v>
      </c>
      <c r="L73" s="1485">
        <v>0</v>
      </c>
      <c r="M73" s="1485">
        <v>0</v>
      </c>
      <c r="N73" s="1485">
        <v>0</v>
      </c>
      <c r="O73" s="1485">
        <v>0</v>
      </c>
      <c r="P73" s="1485">
        <v>0</v>
      </c>
      <c r="Q73" s="1485">
        <v>0</v>
      </c>
      <c r="R73" s="1485">
        <v>0</v>
      </c>
      <c r="S73" s="1485">
        <v>0</v>
      </c>
    </row>
    <row r="74" spans="1:19">
      <c r="A74" s="64">
        <v>51</v>
      </c>
      <c r="B74" s="64" t="s">
        <v>28</v>
      </c>
      <c r="C74" s="64" t="str">
        <f t="shared" si="3"/>
        <v>51-F</v>
      </c>
      <c r="D74" s="1485">
        <v>2.95</v>
      </c>
      <c r="E74" s="1485">
        <v>3.43</v>
      </c>
      <c r="F74" s="1485">
        <v>3.94</v>
      </c>
      <c r="G74" s="1485">
        <v>4.5</v>
      </c>
      <c r="H74" s="1485">
        <v>5.0999999999999996</v>
      </c>
      <c r="I74" s="1485">
        <v>0</v>
      </c>
      <c r="J74" s="1485">
        <v>0</v>
      </c>
      <c r="K74" s="1485">
        <v>0</v>
      </c>
      <c r="L74" s="1485">
        <v>0</v>
      </c>
      <c r="M74" s="1485">
        <v>0</v>
      </c>
      <c r="N74" s="1485">
        <v>0</v>
      </c>
      <c r="O74" s="1485">
        <v>0</v>
      </c>
      <c r="P74" s="1485">
        <v>0</v>
      </c>
      <c r="Q74" s="1485">
        <v>0</v>
      </c>
      <c r="R74" s="1485">
        <v>0</v>
      </c>
      <c r="S74" s="1485">
        <v>0</v>
      </c>
    </row>
    <row r="75" spans="1:19">
      <c r="A75" s="64">
        <v>52</v>
      </c>
      <c r="B75" s="64" t="s">
        <v>28</v>
      </c>
      <c r="C75" s="64" t="str">
        <f t="shared" si="3"/>
        <v>52-F</v>
      </c>
      <c r="D75" s="1485">
        <v>3.33</v>
      </c>
      <c r="E75" s="1485">
        <v>3.87</v>
      </c>
      <c r="F75" s="1485">
        <v>4.45</v>
      </c>
      <c r="G75" s="1485">
        <v>5.08</v>
      </c>
      <c r="H75" s="1485">
        <v>0</v>
      </c>
      <c r="I75" s="1485">
        <v>0</v>
      </c>
      <c r="J75" s="1485">
        <v>0</v>
      </c>
      <c r="K75" s="1485">
        <v>0</v>
      </c>
      <c r="L75" s="1485">
        <v>0</v>
      </c>
      <c r="M75" s="1485">
        <v>0</v>
      </c>
      <c r="N75" s="1485">
        <v>0</v>
      </c>
      <c r="O75" s="1485">
        <v>0</v>
      </c>
      <c r="P75" s="1485">
        <v>0</v>
      </c>
      <c r="Q75" s="1485">
        <v>0</v>
      </c>
      <c r="R75" s="1485">
        <v>0</v>
      </c>
      <c r="S75" s="1485">
        <v>0</v>
      </c>
    </row>
    <row r="76" spans="1:19">
      <c r="A76" s="64">
        <v>53</v>
      </c>
      <c r="B76" s="64" t="s">
        <v>28</v>
      </c>
      <c r="C76" s="64" t="str">
        <f t="shared" si="3"/>
        <v>53-F</v>
      </c>
      <c r="D76" s="1485">
        <v>3.76</v>
      </c>
      <c r="E76" s="1485">
        <v>4.3600000000000003</v>
      </c>
      <c r="F76" s="1485">
        <v>5.0199999999999996</v>
      </c>
      <c r="G76" s="1485">
        <v>0</v>
      </c>
      <c r="H76" s="1485">
        <v>0</v>
      </c>
      <c r="I76" s="1485">
        <v>0</v>
      </c>
      <c r="J76" s="1485">
        <v>0</v>
      </c>
      <c r="K76" s="1485">
        <v>0</v>
      </c>
      <c r="L76" s="1485">
        <v>0</v>
      </c>
      <c r="M76" s="1485">
        <v>0</v>
      </c>
      <c r="N76" s="1485">
        <v>0</v>
      </c>
      <c r="O76" s="1485">
        <v>0</v>
      </c>
      <c r="P76" s="1485">
        <v>0</v>
      </c>
      <c r="Q76" s="1485">
        <v>0</v>
      </c>
      <c r="R76" s="1485">
        <v>0</v>
      </c>
      <c r="S76" s="1485">
        <v>0</v>
      </c>
    </row>
    <row r="77" spans="1:19">
      <c r="A77" s="64">
        <v>54</v>
      </c>
      <c r="B77" s="64" t="s">
        <v>28</v>
      </c>
      <c r="C77" s="64" t="str">
        <f t="shared" si="3"/>
        <v>54-F</v>
      </c>
      <c r="D77" s="1485">
        <v>4.25</v>
      </c>
      <c r="E77" s="1485">
        <v>4.93</v>
      </c>
      <c r="F77" s="1485">
        <v>0</v>
      </c>
      <c r="G77" s="1485">
        <v>0</v>
      </c>
      <c r="H77" s="1485">
        <v>0</v>
      </c>
      <c r="I77" s="1485">
        <v>0</v>
      </c>
      <c r="J77" s="1485">
        <v>0</v>
      </c>
      <c r="K77" s="1485">
        <v>0</v>
      </c>
      <c r="L77" s="1485">
        <v>0</v>
      </c>
      <c r="M77" s="1485">
        <v>0</v>
      </c>
      <c r="N77" s="1485">
        <v>0</v>
      </c>
      <c r="O77" s="1485">
        <v>0</v>
      </c>
      <c r="P77" s="1485">
        <v>0</v>
      </c>
      <c r="Q77" s="1485">
        <v>0</v>
      </c>
      <c r="R77" s="1485">
        <v>0</v>
      </c>
      <c r="S77" s="1485">
        <v>0</v>
      </c>
    </row>
    <row r="78" spans="1:19">
      <c r="A78" s="64">
        <v>55</v>
      </c>
      <c r="B78" s="64" t="s">
        <v>28</v>
      </c>
      <c r="C78" s="64" t="str">
        <f t="shared" si="3"/>
        <v>55-F</v>
      </c>
      <c r="D78" s="1486">
        <v>4.79</v>
      </c>
      <c r="E78" s="1486">
        <v>0</v>
      </c>
      <c r="F78" s="1486">
        <v>0</v>
      </c>
      <c r="G78" s="1486">
        <v>0</v>
      </c>
      <c r="H78" s="1486">
        <v>0</v>
      </c>
      <c r="I78" s="1486">
        <v>0</v>
      </c>
      <c r="J78" s="1486">
        <v>0</v>
      </c>
      <c r="K78" s="1486">
        <v>0</v>
      </c>
      <c r="L78" s="1486">
        <v>0</v>
      </c>
      <c r="M78" s="1486">
        <v>0</v>
      </c>
      <c r="N78" s="1486">
        <v>0</v>
      </c>
      <c r="O78" s="1486">
        <v>0</v>
      </c>
      <c r="P78" s="1486">
        <v>0</v>
      </c>
      <c r="Q78" s="1486">
        <v>0</v>
      </c>
      <c r="R78" s="1486">
        <v>0</v>
      </c>
      <c r="S78" s="1486">
        <v>0</v>
      </c>
    </row>
  </sheetData>
  <mergeCells count="4">
    <mergeCell ref="A1:S1"/>
    <mergeCell ref="A2:S2"/>
    <mergeCell ref="A3:S3"/>
    <mergeCell ref="D5:M5"/>
  </mergeCells>
  <phoneticPr fontId="53" type="noConversion"/>
  <pageMargins left="0.75" right="0.75" top="1" bottom="1" header="0.5" footer="0.5"/>
  <pageSetup paperSize="9" orientation="portrait" horizontalDpi="300" verticalDpi="300" r:id="rId1"/>
  <headerFooter alignWithMargins="0">
    <oddFooter>&amp;C&amp;1#&amp;"Calibri"&amp;10&amp;K000000Internal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0">
    <tabColor rgb="FFFFFF00"/>
  </sheetPr>
  <dimension ref="A1:AL427"/>
  <sheetViews>
    <sheetView zoomScale="70" zoomScaleNormal="70" workbookViewId="0">
      <pane ySplit="4" topLeftCell="A5" activePane="bottomLeft" state="frozen"/>
      <selection activeCell="AE3" sqref="AE3"/>
      <selection pane="bottomLeft" activeCell="AE3" sqref="AE3"/>
    </sheetView>
  </sheetViews>
  <sheetFormatPr defaultColWidth="10.296875" defaultRowHeight="14"/>
  <cols>
    <col min="1" max="1" width="8.296875" style="36" customWidth="1"/>
    <col min="2" max="2" width="7.09765625" style="36" bestFit="1" customWidth="1"/>
    <col min="3" max="3" width="6.69921875" style="36" bestFit="1" customWidth="1"/>
    <col min="4" max="5" width="7.8984375" style="36" bestFit="1" customWidth="1"/>
    <col min="6" max="7" width="7.8984375" style="36" customWidth="1"/>
    <col min="8" max="8" width="7" style="36" customWidth="1"/>
    <col min="9" max="9" width="10.296875" style="36" customWidth="1"/>
    <col min="10" max="10" width="9.3984375" style="36" customWidth="1"/>
    <col min="11" max="14" width="8" style="36" bestFit="1" customWidth="1"/>
    <col min="15" max="15" width="7.69921875" style="36" customWidth="1"/>
    <col min="16" max="18" width="7.3984375" style="36" bestFit="1" customWidth="1"/>
    <col min="19" max="19" width="7.8984375" style="36" bestFit="1" customWidth="1"/>
    <col min="20" max="21" width="10.296875" style="101" customWidth="1"/>
    <col min="22" max="22" width="18.296875" style="389" customWidth="1"/>
    <col min="23" max="23" width="6.59765625" style="389" customWidth="1"/>
    <col min="24" max="24" width="19.296875" style="389" customWidth="1"/>
    <col min="25" max="26" width="8.69921875" style="389" bestFit="1" customWidth="1"/>
    <col min="27" max="27" width="10.296875" style="36" customWidth="1"/>
    <col min="28" max="28" width="2.09765625" style="36" bestFit="1" customWidth="1"/>
    <col min="29" max="29" width="5.59765625" style="36" bestFit="1" customWidth="1"/>
    <col min="30" max="30" width="7.09765625" style="36" bestFit="1" customWidth="1"/>
    <col min="31" max="32" width="10.296875" style="36" customWidth="1"/>
    <col min="33" max="33" width="180.296875" style="36" customWidth="1"/>
    <col min="34" max="34" width="11.59765625" style="36" customWidth="1"/>
    <col min="35" max="16384" width="10.296875" style="36"/>
  </cols>
  <sheetData>
    <row r="1" spans="1:38">
      <c r="A1" s="56" t="s">
        <v>20</v>
      </c>
      <c r="I1" s="56" t="s">
        <v>95</v>
      </c>
      <c r="V1" s="387" t="s">
        <v>353</v>
      </c>
      <c r="W1" s="388"/>
      <c r="X1" s="388"/>
      <c r="Y1" s="388"/>
      <c r="Z1" s="388"/>
    </row>
    <row r="2" spans="1:38">
      <c r="I2" s="50"/>
      <c r="J2" s="50" t="s">
        <v>40</v>
      </c>
      <c r="K2" s="51" t="s">
        <v>34</v>
      </c>
      <c r="L2" s="51"/>
      <c r="M2" s="51"/>
      <c r="N2" s="51"/>
      <c r="O2" s="51"/>
      <c r="P2" s="51"/>
      <c r="Q2" s="51"/>
      <c r="R2" s="51"/>
      <c r="S2" s="52"/>
      <c r="V2" s="388"/>
      <c r="W2" s="388" t="s">
        <v>22</v>
      </c>
      <c r="X2" s="388"/>
      <c r="Y2" s="388" t="s">
        <v>13</v>
      </c>
      <c r="Z2" s="388" t="s">
        <v>14</v>
      </c>
      <c r="AC2" s="55" t="s">
        <v>38</v>
      </c>
      <c r="AD2" s="55" t="s">
        <v>39</v>
      </c>
      <c r="AG2" s="36" t="s">
        <v>73</v>
      </c>
      <c r="AH2" s="36">
        <v>1000</v>
      </c>
      <c r="AI2" s="36">
        <v>2200</v>
      </c>
      <c r="AJ2" s="36">
        <v>3200</v>
      </c>
      <c r="AK2" s="36">
        <v>4200</v>
      </c>
      <c r="AL2" s="36">
        <v>6200</v>
      </c>
    </row>
    <row r="3" spans="1:38">
      <c r="A3" s="35" t="s">
        <v>33</v>
      </c>
      <c r="B3" s="104" t="s">
        <v>34</v>
      </c>
      <c r="C3" s="105"/>
      <c r="D3" s="105"/>
      <c r="E3" s="105"/>
      <c r="F3" s="105"/>
      <c r="G3" s="106"/>
      <c r="I3" s="53"/>
      <c r="J3" s="50" t="s">
        <v>41</v>
      </c>
      <c r="K3" s="51"/>
      <c r="L3" s="51"/>
      <c r="M3" s="51"/>
      <c r="N3" s="80"/>
      <c r="O3" s="50" t="s">
        <v>42</v>
      </c>
      <c r="P3" s="51"/>
      <c r="Q3" s="51"/>
      <c r="R3" s="51"/>
      <c r="S3" s="52"/>
      <c r="V3" s="390"/>
      <c r="W3" s="390"/>
      <c r="X3" s="390"/>
      <c r="Y3" s="390"/>
      <c r="Z3" s="390"/>
      <c r="AB3" s="36">
        <v>1</v>
      </c>
      <c r="AC3" s="36">
        <v>3</v>
      </c>
      <c r="AD3" s="36">
        <v>6.5</v>
      </c>
      <c r="AG3" s="78" t="s">
        <v>80</v>
      </c>
      <c r="AH3" s="84">
        <v>1000</v>
      </c>
      <c r="AI3" s="77">
        <v>2200</v>
      </c>
      <c r="AJ3" s="77">
        <v>3200</v>
      </c>
      <c r="AK3" s="77">
        <v>4200</v>
      </c>
      <c r="AL3" s="77">
        <v>6200</v>
      </c>
    </row>
    <row r="4" spans="1:38" ht="28">
      <c r="A4" s="35" t="s">
        <v>35</v>
      </c>
      <c r="B4" s="107">
        <v>500</v>
      </c>
      <c r="C4" s="108">
        <v>1000</v>
      </c>
      <c r="D4" s="108">
        <v>2000</v>
      </c>
      <c r="E4" s="108">
        <v>3000</v>
      </c>
      <c r="F4" s="114">
        <v>4000</v>
      </c>
      <c r="G4" s="115">
        <v>5000</v>
      </c>
      <c r="I4" s="50" t="s">
        <v>35</v>
      </c>
      <c r="J4" s="66" t="s">
        <v>57</v>
      </c>
      <c r="K4" s="67" t="s">
        <v>58</v>
      </c>
      <c r="L4" s="67" t="s">
        <v>59</v>
      </c>
      <c r="M4" s="67" t="s">
        <v>60</v>
      </c>
      <c r="N4" s="67" t="s">
        <v>96</v>
      </c>
      <c r="O4" s="66" t="s">
        <v>61</v>
      </c>
      <c r="P4" s="67" t="s">
        <v>62</v>
      </c>
      <c r="Q4" s="67" t="s">
        <v>63</v>
      </c>
      <c r="R4" s="67" t="s">
        <v>64</v>
      </c>
      <c r="S4" s="68" t="s">
        <v>97</v>
      </c>
      <c r="V4" s="390"/>
      <c r="W4" s="390"/>
      <c r="X4" s="390"/>
      <c r="Y4" s="390"/>
      <c r="Z4" s="390"/>
      <c r="AB4" s="36">
        <v>2</v>
      </c>
      <c r="AC4" s="36">
        <v>4.05</v>
      </c>
      <c r="AD4" s="36">
        <v>7.5</v>
      </c>
      <c r="AG4" s="78" t="s">
        <v>108</v>
      </c>
      <c r="AH4" s="84">
        <v>2000</v>
      </c>
      <c r="AI4" s="77">
        <v>4400</v>
      </c>
      <c r="AJ4" s="77">
        <v>6400</v>
      </c>
      <c r="AK4" s="77">
        <v>8400</v>
      </c>
      <c r="AL4" s="77">
        <v>12400</v>
      </c>
    </row>
    <row r="5" spans="1:38">
      <c r="A5" s="37">
        <v>6</v>
      </c>
      <c r="B5" s="109">
        <v>475</v>
      </c>
      <c r="C5" s="103">
        <v>950</v>
      </c>
      <c r="D5" s="103">
        <v>0</v>
      </c>
      <c r="E5" s="103">
        <v>0</v>
      </c>
      <c r="F5" s="103">
        <v>0</v>
      </c>
      <c r="G5" s="110">
        <v>0</v>
      </c>
      <c r="I5" s="54">
        <v>0</v>
      </c>
      <c r="J5" s="704">
        <v>10631</v>
      </c>
      <c r="K5" s="705">
        <v>16683</v>
      </c>
      <c r="L5" s="705">
        <v>22437</v>
      </c>
      <c r="M5" s="705">
        <v>26774</v>
      </c>
      <c r="N5" s="705">
        <v>34740</v>
      </c>
      <c r="O5" s="704">
        <v>10631</v>
      </c>
      <c r="P5" s="705">
        <v>16683</v>
      </c>
      <c r="Q5" s="705">
        <v>22437</v>
      </c>
      <c r="R5" s="705">
        <v>26774</v>
      </c>
      <c r="S5" s="705">
        <v>34740</v>
      </c>
      <c r="V5" s="390"/>
      <c r="W5" s="390"/>
      <c r="X5" s="390"/>
      <c r="Y5" s="390"/>
      <c r="Z5" s="390"/>
      <c r="AB5" s="36">
        <v>3</v>
      </c>
      <c r="AC5" s="36">
        <v>5.0999999999999996</v>
      </c>
      <c r="AD5" s="36">
        <v>8.5</v>
      </c>
      <c r="AG5" s="78" t="s">
        <v>81</v>
      </c>
      <c r="AH5" s="36">
        <v>600</v>
      </c>
      <c r="AI5" s="77">
        <v>800</v>
      </c>
      <c r="AJ5" s="77">
        <v>900</v>
      </c>
      <c r="AK5" s="77">
        <v>1000</v>
      </c>
      <c r="AL5" s="77">
        <v>1200</v>
      </c>
    </row>
    <row r="6" spans="1:38">
      <c r="A6" s="37">
        <v>7</v>
      </c>
      <c r="B6" s="109">
        <v>475</v>
      </c>
      <c r="C6" s="103">
        <v>950</v>
      </c>
      <c r="D6" s="103">
        <v>0</v>
      </c>
      <c r="E6" s="103">
        <v>0</v>
      </c>
      <c r="F6" s="103">
        <v>0</v>
      </c>
      <c r="G6" s="110">
        <v>0</v>
      </c>
      <c r="I6" s="54">
        <v>1</v>
      </c>
      <c r="J6" s="704">
        <v>10631</v>
      </c>
      <c r="K6" s="705">
        <v>16683</v>
      </c>
      <c r="L6" s="705">
        <v>22437</v>
      </c>
      <c r="M6" s="705">
        <v>26774</v>
      </c>
      <c r="N6" s="705">
        <v>34740</v>
      </c>
      <c r="O6" s="704">
        <v>10631</v>
      </c>
      <c r="P6" s="705">
        <v>16683</v>
      </c>
      <c r="Q6" s="705">
        <v>22437</v>
      </c>
      <c r="R6" s="705">
        <v>26774</v>
      </c>
      <c r="S6" s="705">
        <v>34740</v>
      </c>
      <c r="V6" s="390"/>
      <c r="W6" s="390"/>
      <c r="X6" s="390"/>
      <c r="Y6" s="390"/>
      <c r="Z6" s="390"/>
      <c r="AB6" s="36">
        <v>4</v>
      </c>
      <c r="AC6" s="36">
        <v>6</v>
      </c>
      <c r="AD6" s="36">
        <v>10.5</v>
      </c>
      <c r="AG6" s="78" t="s">
        <v>82</v>
      </c>
      <c r="AH6" s="36">
        <v>900</v>
      </c>
      <c r="AI6" s="77">
        <v>1200</v>
      </c>
      <c r="AJ6" s="77">
        <v>1300</v>
      </c>
      <c r="AK6" s="77">
        <v>1400</v>
      </c>
      <c r="AL6" s="77">
        <v>1600</v>
      </c>
    </row>
    <row r="7" spans="1:38">
      <c r="A7" s="37">
        <v>8</v>
      </c>
      <c r="B7" s="109">
        <v>475</v>
      </c>
      <c r="C7" s="103">
        <v>950</v>
      </c>
      <c r="D7" s="103">
        <v>0</v>
      </c>
      <c r="E7" s="103">
        <v>0</v>
      </c>
      <c r="F7" s="103">
        <v>0</v>
      </c>
      <c r="G7" s="110">
        <v>0</v>
      </c>
      <c r="I7" s="54">
        <v>2</v>
      </c>
      <c r="J7" s="704">
        <v>10631</v>
      </c>
      <c r="K7" s="705">
        <v>16683</v>
      </c>
      <c r="L7" s="705">
        <v>22437</v>
      </c>
      <c r="M7" s="705">
        <v>26774</v>
      </c>
      <c r="N7" s="705">
        <v>34740</v>
      </c>
      <c r="O7" s="704">
        <v>10631</v>
      </c>
      <c r="P7" s="705">
        <v>16683</v>
      </c>
      <c r="Q7" s="705">
        <v>22437</v>
      </c>
      <c r="R7" s="705">
        <v>26774</v>
      </c>
      <c r="S7" s="705">
        <v>34740</v>
      </c>
      <c r="V7" s="390"/>
      <c r="W7" s="390"/>
      <c r="X7" s="390"/>
      <c r="Y7" s="390"/>
      <c r="Z7" s="390"/>
      <c r="AG7" s="78" t="s">
        <v>99</v>
      </c>
      <c r="AH7" s="36">
        <v>40000</v>
      </c>
      <c r="AI7" s="77">
        <v>65000</v>
      </c>
      <c r="AJ7" s="77">
        <v>85000</v>
      </c>
      <c r="AK7" s="77">
        <v>100000</v>
      </c>
      <c r="AL7" s="77">
        <v>120000</v>
      </c>
    </row>
    <row r="8" spans="1:38">
      <c r="A8" s="37">
        <v>9</v>
      </c>
      <c r="B8" s="109">
        <v>475</v>
      </c>
      <c r="C8" s="103">
        <v>950</v>
      </c>
      <c r="D8" s="103">
        <v>0</v>
      </c>
      <c r="E8" s="103">
        <v>0</v>
      </c>
      <c r="F8" s="103">
        <v>0</v>
      </c>
      <c r="G8" s="110">
        <v>0</v>
      </c>
      <c r="I8" s="54">
        <v>3</v>
      </c>
      <c r="J8" s="704">
        <v>10631</v>
      </c>
      <c r="K8" s="705">
        <v>16683</v>
      </c>
      <c r="L8" s="705">
        <v>22437</v>
      </c>
      <c r="M8" s="705">
        <v>26774</v>
      </c>
      <c r="N8" s="705">
        <v>34740</v>
      </c>
      <c r="O8" s="704">
        <v>10631</v>
      </c>
      <c r="P8" s="705">
        <v>16683</v>
      </c>
      <c r="Q8" s="705">
        <v>22437</v>
      </c>
      <c r="R8" s="705">
        <v>26774</v>
      </c>
      <c r="S8" s="705">
        <v>34740</v>
      </c>
      <c r="V8" s="390"/>
      <c r="W8" s="390"/>
      <c r="X8" s="390"/>
      <c r="Y8" s="390"/>
      <c r="Z8" s="390"/>
      <c r="AG8" s="78" t="s">
        <v>100</v>
      </c>
      <c r="AI8" s="77"/>
      <c r="AJ8" s="77"/>
      <c r="AK8" s="77"/>
      <c r="AL8" s="77"/>
    </row>
    <row r="9" spans="1:38">
      <c r="A9" s="37">
        <v>10</v>
      </c>
      <c r="B9" s="109">
        <v>475</v>
      </c>
      <c r="C9" s="103">
        <v>950</v>
      </c>
      <c r="D9" s="103">
        <v>0</v>
      </c>
      <c r="E9" s="103">
        <v>0</v>
      </c>
      <c r="F9" s="103">
        <v>0</v>
      </c>
      <c r="G9" s="110">
        <v>0</v>
      </c>
      <c r="I9" s="54">
        <v>4</v>
      </c>
      <c r="J9" s="704">
        <v>10631</v>
      </c>
      <c r="K9" s="705">
        <v>16683</v>
      </c>
      <c r="L9" s="705">
        <v>22437</v>
      </c>
      <c r="M9" s="705">
        <v>26774</v>
      </c>
      <c r="N9" s="705">
        <v>34740</v>
      </c>
      <c r="O9" s="704">
        <v>10631</v>
      </c>
      <c r="P9" s="705">
        <v>16683</v>
      </c>
      <c r="Q9" s="705">
        <v>22437</v>
      </c>
      <c r="R9" s="705">
        <v>26774</v>
      </c>
      <c r="S9" s="705">
        <v>34740</v>
      </c>
      <c r="V9" s="390"/>
      <c r="W9" s="390"/>
      <c r="X9" s="390"/>
      <c r="Y9" s="390"/>
      <c r="Z9" s="390"/>
      <c r="AG9" s="78" t="s">
        <v>101</v>
      </c>
      <c r="AI9" s="77"/>
      <c r="AJ9" s="77"/>
      <c r="AK9" s="77"/>
      <c r="AL9" s="77"/>
    </row>
    <row r="10" spans="1:38">
      <c r="A10" s="37">
        <v>11</v>
      </c>
      <c r="B10" s="109">
        <v>475</v>
      </c>
      <c r="C10" s="103">
        <v>950</v>
      </c>
      <c r="D10" s="103">
        <v>0</v>
      </c>
      <c r="E10" s="103">
        <v>0</v>
      </c>
      <c r="F10" s="103">
        <v>0</v>
      </c>
      <c r="G10" s="110">
        <v>0</v>
      </c>
      <c r="I10" s="54">
        <v>5</v>
      </c>
      <c r="J10" s="704">
        <v>10631</v>
      </c>
      <c r="K10" s="705">
        <v>16683</v>
      </c>
      <c r="L10" s="705">
        <v>22437</v>
      </c>
      <c r="M10" s="705">
        <v>26774</v>
      </c>
      <c r="N10" s="705">
        <v>34740</v>
      </c>
      <c r="O10" s="704">
        <v>10631</v>
      </c>
      <c r="P10" s="705">
        <v>16683</v>
      </c>
      <c r="Q10" s="705">
        <v>22437</v>
      </c>
      <c r="R10" s="705">
        <v>26774</v>
      </c>
      <c r="S10" s="705">
        <v>34740</v>
      </c>
      <c r="V10" s="390"/>
      <c r="W10" s="390"/>
      <c r="X10" s="390"/>
      <c r="Y10" s="390"/>
      <c r="Z10" s="390"/>
      <c r="AG10" s="78" t="s">
        <v>109</v>
      </c>
      <c r="AH10" s="36">
        <v>6750</v>
      </c>
      <c r="AI10" s="77">
        <v>9750</v>
      </c>
      <c r="AJ10" s="77">
        <v>13500</v>
      </c>
      <c r="AK10" s="77">
        <v>15000</v>
      </c>
      <c r="AL10" s="77">
        <v>18000</v>
      </c>
    </row>
    <row r="11" spans="1:38">
      <c r="A11" s="37">
        <v>12</v>
      </c>
      <c r="B11" s="109">
        <v>475</v>
      </c>
      <c r="C11" s="103">
        <v>950</v>
      </c>
      <c r="D11" s="103">
        <v>0</v>
      </c>
      <c r="E11" s="103">
        <v>0</v>
      </c>
      <c r="F11" s="103">
        <v>0</v>
      </c>
      <c r="G11" s="110">
        <v>0</v>
      </c>
      <c r="I11" s="54">
        <v>6</v>
      </c>
      <c r="J11" s="704">
        <v>5893</v>
      </c>
      <c r="K11" s="705">
        <v>9248</v>
      </c>
      <c r="L11" s="705">
        <v>12438</v>
      </c>
      <c r="M11" s="705">
        <v>14842</v>
      </c>
      <c r="N11" s="705">
        <v>19258</v>
      </c>
      <c r="O11" s="704">
        <v>5893</v>
      </c>
      <c r="P11" s="705">
        <v>9248</v>
      </c>
      <c r="Q11" s="705">
        <v>12438</v>
      </c>
      <c r="R11" s="705">
        <v>14842</v>
      </c>
      <c r="S11" s="705">
        <v>19258</v>
      </c>
      <c r="V11" s="390"/>
      <c r="W11" s="390"/>
      <c r="X11" s="390"/>
      <c r="Y11" s="390"/>
      <c r="Z11" s="390"/>
      <c r="AG11" s="78" t="s">
        <v>102</v>
      </c>
      <c r="AH11" s="36">
        <v>13500</v>
      </c>
      <c r="AI11" s="77">
        <v>19500</v>
      </c>
      <c r="AJ11" s="77">
        <v>27000</v>
      </c>
      <c r="AK11" s="77">
        <v>30000</v>
      </c>
      <c r="AL11" s="77">
        <v>36000</v>
      </c>
    </row>
    <row r="12" spans="1:38">
      <c r="A12" s="37">
        <v>13</v>
      </c>
      <c r="B12" s="109">
        <v>475</v>
      </c>
      <c r="C12" s="103">
        <v>950</v>
      </c>
      <c r="D12" s="103">
        <v>0</v>
      </c>
      <c r="E12" s="103">
        <v>0</v>
      </c>
      <c r="F12" s="103">
        <v>0</v>
      </c>
      <c r="G12" s="110">
        <v>0</v>
      </c>
      <c r="I12" s="54">
        <v>7</v>
      </c>
      <c r="J12" s="704">
        <v>5893</v>
      </c>
      <c r="K12" s="705">
        <v>9248</v>
      </c>
      <c r="L12" s="705">
        <v>12438</v>
      </c>
      <c r="M12" s="705">
        <v>14842</v>
      </c>
      <c r="N12" s="705">
        <v>19258</v>
      </c>
      <c r="O12" s="704">
        <v>5893</v>
      </c>
      <c r="P12" s="705">
        <v>9248</v>
      </c>
      <c r="Q12" s="705">
        <v>12438</v>
      </c>
      <c r="R12" s="705">
        <v>14842</v>
      </c>
      <c r="S12" s="705">
        <v>19258</v>
      </c>
      <c r="V12" s="390"/>
      <c r="W12" s="390"/>
      <c r="X12" s="390"/>
      <c r="Y12" s="390"/>
      <c r="Z12" s="390"/>
      <c r="AG12" s="78" t="s">
        <v>103</v>
      </c>
      <c r="AH12" s="36">
        <v>15000</v>
      </c>
      <c r="AI12" s="77">
        <v>20000</v>
      </c>
      <c r="AJ12" s="77">
        <v>30000</v>
      </c>
      <c r="AK12" s="77">
        <v>35000</v>
      </c>
      <c r="AL12" s="77">
        <v>45000</v>
      </c>
    </row>
    <row r="13" spans="1:38">
      <c r="A13" s="37">
        <v>14</v>
      </c>
      <c r="B13" s="109">
        <v>475</v>
      </c>
      <c r="C13" s="103">
        <v>950</v>
      </c>
      <c r="D13" s="103">
        <v>0</v>
      </c>
      <c r="E13" s="103">
        <v>0</v>
      </c>
      <c r="F13" s="103">
        <v>0</v>
      </c>
      <c r="G13" s="110">
        <v>0</v>
      </c>
      <c r="I13" s="54">
        <v>8</v>
      </c>
      <c r="J13" s="704">
        <v>5893</v>
      </c>
      <c r="K13" s="705">
        <v>9248</v>
      </c>
      <c r="L13" s="705">
        <v>12438</v>
      </c>
      <c r="M13" s="705">
        <v>14842</v>
      </c>
      <c r="N13" s="705">
        <v>19258</v>
      </c>
      <c r="O13" s="704">
        <v>5893</v>
      </c>
      <c r="P13" s="705">
        <v>9248</v>
      </c>
      <c r="Q13" s="705">
        <v>12438</v>
      </c>
      <c r="R13" s="705">
        <v>14842</v>
      </c>
      <c r="S13" s="705">
        <v>19258</v>
      </c>
      <c r="V13" s="390"/>
      <c r="W13" s="390"/>
      <c r="X13" s="390"/>
      <c r="Y13" s="390"/>
      <c r="Z13" s="390"/>
      <c r="AG13" s="78" t="s">
        <v>104</v>
      </c>
      <c r="AI13" s="77"/>
      <c r="AJ13" s="77"/>
      <c r="AK13" s="77"/>
      <c r="AL13" s="77"/>
    </row>
    <row r="14" spans="1:38">
      <c r="A14" s="37">
        <v>15</v>
      </c>
      <c r="B14" s="109">
        <v>475</v>
      </c>
      <c r="C14" s="103">
        <v>950</v>
      </c>
      <c r="D14" s="103">
        <v>0</v>
      </c>
      <c r="E14" s="103">
        <v>0</v>
      </c>
      <c r="F14" s="103">
        <v>0</v>
      </c>
      <c r="G14" s="110">
        <v>0</v>
      </c>
      <c r="I14" s="54">
        <v>9</v>
      </c>
      <c r="J14" s="704">
        <v>5893</v>
      </c>
      <c r="K14" s="705">
        <v>9248</v>
      </c>
      <c r="L14" s="705">
        <v>12438</v>
      </c>
      <c r="M14" s="705">
        <v>14842</v>
      </c>
      <c r="N14" s="705">
        <v>19258</v>
      </c>
      <c r="O14" s="704">
        <v>5893</v>
      </c>
      <c r="P14" s="705">
        <v>9248</v>
      </c>
      <c r="Q14" s="705">
        <v>12438</v>
      </c>
      <c r="R14" s="705">
        <v>14842</v>
      </c>
      <c r="S14" s="705">
        <v>19258</v>
      </c>
      <c r="V14" s="390"/>
      <c r="W14" s="390"/>
      <c r="X14" s="390"/>
      <c r="Y14" s="390"/>
      <c r="Z14" s="390"/>
      <c r="AG14" s="78" t="s">
        <v>110</v>
      </c>
      <c r="AH14" s="36">
        <v>4000</v>
      </c>
      <c r="AI14" s="77">
        <v>6000</v>
      </c>
      <c r="AJ14" s="77">
        <v>8000</v>
      </c>
      <c r="AK14" s="77">
        <v>10000</v>
      </c>
      <c r="AL14" s="77">
        <v>14000</v>
      </c>
    </row>
    <row r="15" spans="1:38">
      <c r="A15" s="37">
        <v>16</v>
      </c>
      <c r="B15" s="109">
        <v>650</v>
      </c>
      <c r="C15" s="103">
        <v>1300</v>
      </c>
      <c r="D15" s="103">
        <v>2600</v>
      </c>
      <c r="E15" s="103">
        <v>3900</v>
      </c>
      <c r="F15" s="103">
        <v>5200</v>
      </c>
      <c r="G15" s="110">
        <v>6500</v>
      </c>
      <c r="I15" s="54">
        <v>10</v>
      </c>
      <c r="J15" s="704">
        <v>5893</v>
      </c>
      <c r="K15" s="705">
        <v>9248</v>
      </c>
      <c r="L15" s="705">
        <v>12438</v>
      </c>
      <c r="M15" s="705">
        <v>14842</v>
      </c>
      <c r="N15" s="705">
        <v>19258</v>
      </c>
      <c r="O15" s="704">
        <v>5893</v>
      </c>
      <c r="P15" s="705">
        <v>9248</v>
      </c>
      <c r="Q15" s="705">
        <v>12438</v>
      </c>
      <c r="R15" s="705">
        <v>14842</v>
      </c>
      <c r="S15" s="705">
        <v>19258</v>
      </c>
      <c r="V15" s="390"/>
      <c r="W15" s="390"/>
      <c r="X15" s="390"/>
      <c r="Y15" s="390"/>
      <c r="Z15" s="390"/>
      <c r="AG15" s="78" t="s">
        <v>105</v>
      </c>
      <c r="AH15" s="36">
        <v>3500</v>
      </c>
      <c r="AI15" s="77">
        <v>6000</v>
      </c>
      <c r="AJ15" s="77">
        <v>9000</v>
      </c>
      <c r="AK15" s="77">
        <v>10000</v>
      </c>
      <c r="AL15" s="77">
        <v>12000</v>
      </c>
    </row>
    <row r="16" spans="1:38">
      <c r="A16" s="37">
        <v>17</v>
      </c>
      <c r="B16" s="109">
        <v>650</v>
      </c>
      <c r="C16" s="103">
        <v>1300</v>
      </c>
      <c r="D16" s="103">
        <v>2600</v>
      </c>
      <c r="E16" s="103">
        <v>3900</v>
      </c>
      <c r="F16" s="103">
        <v>5200</v>
      </c>
      <c r="G16" s="110">
        <v>6500</v>
      </c>
      <c r="I16" s="54">
        <v>11</v>
      </c>
      <c r="J16" s="81">
        <v>5354</v>
      </c>
      <c r="K16" s="82">
        <v>8401</v>
      </c>
      <c r="L16" s="82">
        <v>11299</v>
      </c>
      <c r="M16" s="82">
        <v>13483</v>
      </c>
      <c r="N16" s="82">
        <v>17495</v>
      </c>
      <c r="O16" s="81">
        <v>5354</v>
      </c>
      <c r="P16" s="82">
        <v>8401</v>
      </c>
      <c r="Q16" s="82">
        <v>11299</v>
      </c>
      <c r="R16" s="82">
        <v>13483</v>
      </c>
      <c r="S16" s="83">
        <v>17495</v>
      </c>
      <c r="V16" s="390"/>
      <c r="W16" s="390"/>
      <c r="X16" s="390"/>
      <c r="Y16" s="390"/>
      <c r="Z16" s="390"/>
      <c r="AG16" s="78" t="s">
        <v>106</v>
      </c>
      <c r="AH16" s="36" t="s">
        <v>74</v>
      </c>
      <c r="AI16" s="77" t="s">
        <v>74</v>
      </c>
      <c r="AJ16" s="77" t="s">
        <v>74</v>
      </c>
      <c r="AK16" s="77" t="s">
        <v>74</v>
      </c>
      <c r="AL16" s="77" t="s">
        <v>74</v>
      </c>
    </row>
    <row r="17" spans="1:38">
      <c r="A17" s="37">
        <v>18</v>
      </c>
      <c r="B17" s="109">
        <v>650</v>
      </c>
      <c r="C17" s="103">
        <v>1300</v>
      </c>
      <c r="D17" s="103">
        <v>2600</v>
      </c>
      <c r="E17" s="103">
        <v>3900</v>
      </c>
      <c r="F17" s="103">
        <v>5200</v>
      </c>
      <c r="G17" s="110">
        <v>6500</v>
      </c>
      <c r="I17" s="54">
        <v>12</v>
      </c>
      <c r="J17" s="81">
        <v>5354</v>
      </c>
      <c r="K17" s="82">
        <v>8401</v>
      </c>
      <c r="L17" s="82">
        <v>11299</v>
      </c>
      <c r="M17" s="82">
        <v>13483</v>
      </c>
      <c r="N17" s="82">
        <v>17495</v>
      </c>
      <c r="O17" s="81">
        <v>5354</v>
      </c>
      <c r="P17" s="82">
        <v>8401</v>
      </c>
      <c r="Q17" s="82">
        <v>11299</v>
      </c>
      <c r="R17" s="82">
        <v>13483</v>
      </c>
      <c r="S17" s="83">
        <v>17495</v>
      </c>
      <c r="V17" s="390"/>
      <c r="W17" s="390"/>
      <c r="X17" s="390"/>
      <c r="Y17" s="390"/>
      <c r="Z17" s="390"/>
      <c r="AG17" s="78" t="s">
        <v>107</v>
      </c>
      <c r="AH17" s="36">
        <v>280000</v>
      </c>
      <c r="AI17" s="77">
        <v>480000</v>
      </c>
      <c r="AJ17" s="77">
        <v>650000</v>
      </c>
      <c r="AK17" s="77">
        <v>800000</v>
      </c>
      <c r="AL17" s="77">
        <v>1100000</v>
      </c>
    </row>
    <row r="18" spans="1:38">
      <c r="A18" s="37">
        <v>19</v>
      </c>
      <c r="B18" s="109">
        <v>650</v>
      </c>
      <c r="C18" s="103">
        <v>1300</v>
      </c>
      <c r="D18" s="103">
        <v>2600</v>
      </c>
      <c r="E18" s="103">
        <v>3900</v>
      </c>
      <c r="F18" s="103">
        <v>5200</v>
      </c>
      <c r="G18" s="110">
        <v>6500</v>
      </c>
      <c r="I18" s="54">
        <v>13</v>
      </c>
      <c r="J18" s="81">
        <v>5354</v>
      </c>
      <c r="K18" s="82">
        <v>8401</v>
      </c>
      <c r="L18" s="82">
        <v>11299</v>
      </c>
      <c r="M18" s="82">
        <v>13483</v>
      </c>
      <c r="N18" s="82">
        <v>17495</v>
      </c>
      <c r="O18" s="81">
        <v>5354</v>
      </c>
      <c r="P18" s="82">
        <v>8401</v>
      </c>
      <c r="Q18" s="82">
        <v>11299</v>
      </c>
      <c r="R18" s="82">
        <v>13483</v>
      </c>
      <c r="S18" s="83">
        <v>17495</v>
      </c>
      <c r="V18" s="390"/>
      <c r="W18" s="390"/>
      <c r="X18" s="390"/>
      <c r="Y18" s="390"/>
      <c r="Z18" s="390"/>
      <c r="AG18" s="78"/>
      <c r="AI18" s="77"/>
      <c r="AJ18" s="77"/>
      <c r="AK18" s="77"/>
      <c r="AL18" s="77"/>
    </row>
    <row r="19" spans="1:38">
      <c r="A19" s="37">
        <v>20</v>
      </c>
      <c r="B19" s="109">
        <v>650</v>
      </c>
      <c r="C19" s="103">
        <v>1300</v>
      </c>
      <c r="D19" s="103">
        <v>2600</v>
      </c>
      <c r="E19" s="103">
        <v>3900</v>
      </c>
      <c r="F19" s="103">
        <v>5200</v>
      </c>
      <c r="G19" s="110">
        <v>6500</v>
      </c>
      <c r="I19" s="54">
        <v>14</v>
      </c>
      <c r="J19" s="81">
        <v>5354</v>
      </c>
      <c r="K19" s="82">
        <v>8401</v>
      </c>
      <c r="L19" s="82">
        <v>11299</v>
      </c>
      <c r="M19" s="82">
        <v>13483</v>
      </c>
      <c r="N19" s="82">
        <v>17495</v>
      </c>
      <c r="O19" s="81">
        <v>5354</v>
      </c>
      <c r="P19" s="82">
        <v>8401</v>
      </c>
      <c r="Q19" s="82">
        <v>11299</v>
      </c>
      <c r="R19" s="82">
        <v>13483</v>
      </c>
      <c r="S19" s="83">
        <v>17495</v>
      </c>
      <c r="V19" s="390"/>
      <c r="W19" s="390"/>
      <c r="X19" s="390"/>
      <c r="Y19" s="390"/>
      <c r="Z19" s="390"/>
      <c r="AG19" s="78"/>
      <c r="AI19" s="77"/>
      <c r="AJ19" s="77"/>
      <c r="AK19" s="77"/>
      <c r="AL19" s="77"/>
    </row>
    <row r="20" spans="1:38">
      <c r="A20" s="37">
        <v>21</v>
      </c>
      <c r="B20" s="109">
        <v>650</v>
      </c>
      <c r="C20" s="103">
        <v>1300</v>
      </c>
      <c r="D20" s="103">
        <v>2600</v>
      </c>
      <c r="E20" s="103">
        <v>3900</v>
      </c>
      <c r="F20" s="103">
        <v>5200</v>
      </c>
      <c r="G20" s="110">
        <v>6500</v>
      </c>
      <c r="I20" s="54">
        <v>15</v>
      </c>
      <c r="J20" s="81">
        <v>5354</v>
      </c>
      <c r="K20" s="82">
        <v>8401</v>
      </c>
      <c r="L20" s="82">
        <v>11299</v>
      </c>
      <c r="M20" s="82">
        <v>13483</v>
      </c>
      <c r="N20" s="82">
        <v>17495</v>
      </c>
      <c r="O20" s="81">
        <v>5354</v>
      </c>
      <c r="P20" s="82">
        <v>8401</v>
      </c>
      <c r="Q20" s="82">
        <v>11299</v>
      </c>
      <c r="R20" s="82">
        <v>13483</v>
      </c>
      <c r="S20" s="83">
        <v>17495</v>
      </c>
      <c r="V20" s="390"/>
      <c r="W20" s="390"/>
      <c r="X20" s="390"/>
      <c r="Y20" s="390"/>
      <c r="Z20" s="390"/>
      <c r="AG20" s="78"/>
      <c r="AI20" s="77"/>
      <c r="AJ20" s="77"/>
      <c r="AK20" s="77"/>
      <c r="AL20" s="77"/>
    </row>
    <row r="21" spans="1:38">
      <c r="A21" s="37">
        <v>22</v>
      </c>
      <c r="B21" s="109">
        <v>650</v>
      </c>
      <c r="C21" s="103">
        <v>1300</v>
      </c>
      <c r="D21" s="103">
        <v>2600</v>
      </c>
      <c r="E21" s="103">
        <v>3900</v>
      </c>
      <c r="F21" s="103">
        <v>5200</v>
      </c>
      <c r="G21" s="110">
        <v>6500</v>
      </c>
      <c r="I21" s="54">
        <v>16</v>
      </c>
      <c r="J21" s="81">
        <v>4237</v>
      </c>
      <c r="K21" s="82">
        <v>6648</v>
      </c>
      <c r="L21" s="82">
        <v>8942</v>
      </c>
      <c r="M21" s="82">
        <v>10670</v>
      </c>
      <c r="N21" s="82">
        <v>13845</v>
      </c>
      <c r="O21" s="81">
        <v>4622</v>
      </c>
      <c r="P21" s="82">
        <v>7253</v>
      </c>
      <c r="Q21" s="82">
        <v>9755</v>
      </c>
      <c r="R21" s="82">
        <v>11640</v>
      </c>
      <c r="S21" s="83">
        <v>15103</v>
      </c>
      <c r="V21" s="390"/>
      <c r="W21" s="390"/>
      <c r="X21" s="390"/>
      <c r="Y21" s="390"/>
      <c r="Z21" s="390"/>
      <c r="AG21" s="78"/>
      <c r="AI21" s="77"/>
      <c r="AJ21" s="77"/>
      <c r="AK21" s="77"/>
      <c r="AL21" s="77"/>
    </row>
    <row r="22" spans="1:38">
      <c r="A22" s="37">
        <v>23</v>
      </c>
      <c r="B22" s="109">
        <v>650</v>
      </c>
      <c r="C22" s="103">
        <v>1300</v>
      </c>
      <c r="D22" s="103">
        <v>2600</v>
      </c>
      <c r="E22" s="103">
        <v>3900</v>
      </c>
      <c r="F22" s="103">
        <v>5200</v>
      </c>
      <c r="G22" s="110">
        <v>6500</v>
      </c>
      <c r="I22" s="54">
        <v>17</v>
      </c>
      <c r="J22" s="81">
        <v>4237</v>
      </c>
      <c r="K22" s="82">
        <v>6648</v>
      </c>
      <c r="L22" s="82">
        <v>8942</v>
      </c>
      <c r="M22" s="82">
        <v>10670</v>
      </c>
      <c r="N22" s="82">
        <v>13845</v>
      </c>
      <c r="O22" s="81">
        <v>4622</v>
      </c>
      <c r="P22" s="82">
        <v>7253</v>
      </c>
      <c r="Q22" s="82">
        <v>9755</v>
      </c>
      <c r="R22" s="82">
        <v>11640</v>
      </c>
      <c r="S22" s="83">
        <v>15103</v>
      </c>
      <c r="V22" s="390"/>
      <c r="W22" s="390"/>
      <c r="X22" s="390"/>
      <c r="Y22" s="390"/>
      <c r="Z22" s="390"/>
      <c r="AG22" s="78"/>
      <c r="AI22" s="77"/>
      <c r="AJ22" s="77"/>
      <c r="AK22" s="77"/>
      <c r="AL22" s="77"/>
    </row>
    <row r="23" spans="1:38">
      <c r="A23" s="37">
        <v>24</v>
      </c>
      <c r="B23" s="109">
        <v>650</v>
      </c>
      <c r="C23" s="103">
        <v>1300</v>
      </c>
      <c r="D23" s="103">
        <v>2600</v>
      </c>
      <c r="E23" s="103">
        <v>3900</v>
      </c>
      <c r="F23" s="103">
        <v>5200</v>
      </c>
      <c r="G23" s="110">
        <v>6500</v>
      </c>
      <c r="I23" s="54">
        <v>18</v>
      </c>
      <c r="J23" s="81">
        <v>4237</v>
      </c>
      <c r="K23" s="82">
        <v>6648</v>
      </c>
      <c r="L23" s="82">
        <v>8942</v>
      </c>
      <c r="M23" s="82">
        <v>10670</v>
      </c>
      <c r="N23" s="82">
        <v>13845</v>
      </c>
      <c r="O23" s="81">
        <v>4622</v>
      </c>
      <c r="P23" s="82">
        <v>7253</v>
      </c>
      <c r="Q23" s="82">
        <v>9755</v>
      </c>
      <c r="R23" s="82">
        <v>11640</v>
      </c>
      <c r="S23" s="83">
        <v>15103</v>
      </c>
      <c r="V23" s="390"/>
      <c r="W23" s="390"/>
      <c r="X23" s="390"/>
      <c r="Y23" s="390"/>
      <c r="Z23" s="390"/>
      <c r="AG23" s="78"/>
      <c r="AI23" s="77"/>
      <c r="AJ23" s="77"/>
      <c r="AK23" s="77"/>
      <c r="AL23" s="77"/>
    </row>
    <row r="24" spans="1:38">
      <c r="A24" s="37">
        <v>25</v>
      </c>
      <c r="B24" s="109">
        <v>650</v>
      </c>
      <c r="C24" s="103">
        <v>1300</v>
      </c>
      <c r="D24" s="103">
        <v>2600</v>
      </c>
      <c r="E24" s="103">
        <v>3900</v>
      </c>
      <c r="F24" s="103">
        <v>5200</v>
      </c>
      <c r="G24" s="110">
        <v>6500</v>
      </c>
      <c r="I24" s="54">
        <v>19</v>
      </c>
      <c r="J24" s="81">
        <v>4237</v>
      </c>
      <c r="K24" s="82">
        <v>6648</v>
      </c>
      <c r="L24" s="82">
        <v>8942</v>
      </c>
      <c r="M24" s="82">
        <v>10670</v>
      </c>
      <c r="N24" s="82">
        <v>13845</v>
      </c>
      <c r="O24" s="81">
        <v>4622</v>
      </c>
      <c r="P24" s="82">
        <v>7253</v>
      </c>
      <c r="Q24" s="82">
        <v>9755</v>
      </c>
      <c r="R24" s="82">
        <v>11640</v>
      </c>
      <c r="S24" s="83">
        <v>15103</v>
      </c>
      <c r="V24" s="390"/>
      <c r="W24" s="390"/>
      <c r="X24" s="390"/>
      <c r="Y24" s="390"/>
      <c r="Z24" s="390"/>
      <c r="AG24" s="78"/>
      <c r="AI24" s="77"/>
      <c r="AJ24" s="77"/>
      <c r="AK24" s="77"/>
      <c r="AL24" s="77"/>
    </row>
    <row r="25" spans="1:38">
      <c r="A25" s="37">
        <v>26</v>
      </c>
      <c r="B25" s="109">
        <v>650</v>
      </c>
      <c r="C25" s="103">
        <v>1300</v>
      </c>
      <c r="D25" s="103">
        <v>2600</v>
      </c>
      <c r="E25" s="103">
        <v>3900</v>
      </c>
      <c r="F25" s="103">
        <v>5200</v>
      </c>
      <c r="G25" s="110">
        <v>6500</v>
      </c>
      <c r="I25" s="54">
        <v>20</v>
      </c>
      <c r="J25" s="81">
        <v>4237</v>
      </c>
      <c r="K25" s="82">
        <v>6648</v>
      </c>
      <c r="L25" s="82">
        <v>8942</v>
      </c>
      <c r="M25" s="82">
        <v>10670</v>
      </c>
      <c r="N25" s="82">
        <v>13845</v>
      </c>
      <c r="O25" s="81">
        <v>4622</v>
      </c>
      <c r="P25" s="82">
        <v>7253</v>
      </c>
      <c r="Q25" s="82">
        <v>9755</v>
      </c>
      <c r="R25" s="82">
        <v>11640</v>
      </c>
      <c r="S25" s="83">
        <v>15103</v>
      </c>
      <c r="V25" s="390"/>
      <c r="W25" s="390"/>
      <c r="X25" s="390"/>
      <c r="Y25" s="390"/>
      <c r="Z25" s="390"/>
      <c r="AG25" s="78"/>
      <c r="AI25" s="77"/>
      <c r="AJ25" s="77"/>
      <c r="AK25" s="77"/>
      <c r="AL25" s="77"/>
    </row>
    <row r="26" spans="1:38">
      <c r="A26" s="37">
        <v>27</v>
      </c>
      <c r="B26" s="109">
        <v>650</v>
      </c>
      <c r="C26" s="103">
        <v>1300</v>
      </c>
      <c r="D26" s="103">
        <v>2600</v>
      </c>
      <c r="E26" s="103">
        <v>3900</v>
      </c>
      <c r="F26" s="103">
        <v>5200</v>
      </c>
      <c r="G26" s="110">
        <v>6500</v>
      </c>
      <c r="I26" s="54">
        <v>21</v>
      </c>
      <c r="J26" s="81">
        <v>3852</v>
      </c>
      <c r="K26" s="82">
        <v>6044</v>
      </c>
      <c r="L26" s="82">
        <v>8129</v>
      </c>
      <c r="M26" s="82">
        <v>9700</v>
      </c>
      <c r="N26" s="82">
        <v>12586</v>
      </c>
      <c r="O26" s="81">
        <v>5008</v>
      </c>
      <c r="P26" s="82">
        <v>7857</v>
      </c>
      <c r="Q26" s="82">
        <v>10568</v>
      </c>
      <c r="R26" s="82">
        <v>12610</v>
      </c>
      <c r="S26" s="83">
        <v>16362</v>
      </c>
      <c r="V26" s="390"/>
      <c r="W26" s="390"/>
      <c r="X26" s="390"/>
      <c r="Y26" s="390"/>
      <c r="Z26" s="390"/>
      <c r="AG26" s="78"/>
      <c r="AI26" s="77"/>
      <c r="AJ26" s="77"/>
      <c r="AK26" s="77"/>
      <c r="AL26" s="77"/>
    </row>
    <row r="27" spans="1:38">
      <c r="A27" s="37">
        <v>28</v>
      </c>
      <c r="B27" s="109">
        <v>650</v>
      </c>
      <c r="C27" s="103">
        <v>1300</v>
      </c>
      <c r="D27" s="103">
        <v>2600</v>
      </c>
      <c r="E27" s="103">
        <v>3900</v>
      </c>
      <c r="F27" s="103">
        <v>5200</v>
      </c>
      <c r="G27" s="110">
        <v>6500</v>
      </c>
      <c r="I27" s="54">
        <v>22</v>
      </c>
      <c r="J27" s="81">
        <v>3852</v>
      </c>
      <c r="K27" s="82">
        <v>6044</v>
      </c>
      <c r="L27" s="82">
        <v>8129</v>
      </c>
      <c r="M27" s="82">
        <v>9700</v>
      </c>
      <c r="N27" s="82">
        <v>12586</v>
      </c>
      <c r="O27" s="81">
        <v>5008</v>
      </c>
      <c r="P27" s="82">
        <v>7857</v>
      </c>
      <c r="Q27" s="82">
        <v>10568</v>
      </c>
      <c r="R27" s="82">
        <v>12610</v>
      </c>
      <c r="S27" s="83">
        <v>16362</v>
      </c>
      <c r="V27" s="390"/>
      <c r="W27" s="390"/>
      <c r="X27" s="390"/>
      <c r="Y27" s="390"/>
      <c r="Z27" s="390"/>
      <c r="AG27" s="78"/>
      <c r="AI27" s="77"/>
      <c r="AJ27" s="77"/>
      <c r="AK27" s="77"/>
      <c r="AL27" s="77"/>
    </row>
    <row r="28" spans="1:38">
      <c r="A28" s="37">
        <v>29</v>
      </c>
      <c r="B28" s="109">
        <v>650</v>
      </c>
      <c r="C28" s="103">
        <v>1300</v>
      </c>
      <c r="D28" s="103">
        <v>2600</v>
      </c>
      <c r="E28" s="103">
        <v>3900</v>
      </c>
      <c r="F28" s="103">
        <v>5200</v>
      </c>
      <c r="G28" s="110">
        <v>6500</v>
      </c>
      <c r="I28" s="54">
        <v>23</v>
      </c>
      <c r="J28" s="81">
        <v>3852</v>
      </c>
      <c r="K28" s="82">
        <v>6044</v>
      </c>
      <c r="L28" s="82">
        <v>8129</v>
      </c>
      <c r="M28" s="82">
        <v>9700</v>
      </c>
      <c r="N28" s="82">
        <v>12586</v>
      </c>
      <c r="O28" s="81">
        <v>5008</v>
      </c>
      <c r="P28" s="82">
        <v>7857</v>
      </c>
      <c r="Q28" s="82">
        <v>10568</v>
      </c>
      <c r="R28" s="82">
        <v>12610</v>
      </c>
      <c r="S28" s="83">
        <v>16362</v>
      </c>
      <c r="V28" s="390"/>
      <c r="W28" s="390"/>
      <c r="X28" s="390"/>
      <c r="Y28" s="390"/>
      <c r="Z28" s="390"/>
      <c r="AG28" s="78"/>
      <c r="AI28" s="77"/>
      <c r="AJ28" s="77"/>
      <c r="AK28" s="77"/>
      <c r="AL28" s="77"/>
    </row>
    <row r="29" spans="1:38">
      <c r="A29" s="37">
        <v>30</v>
      </c>
      <c r="B29" s="109">
        <v>650</v>
      </c>
      <c r="C29" s="103">
        <v>1300</v>
      </c>
      <c r="D29" s="103">
        <v>2600</v>
      </c>
      <c r="E29" s="103">
        <v>3900</v>
      </c>
      <c r="F29" s="103">
        <v>5200</v>
      </c>
      <c r="G29" s="110">
        <v>6500</v>
      </c>
      <c r="I29" s="54">
        <v>24</v>
      </c>
      <c r="J29" s="81">
        <v>3852</v>
      </c>
      <c r="K29" s="82">
        <v>6044</v>
      </c>
      <c r="L29" s="82">
        <v>8129</v>
      </c>
      <c r="M29" s="82">
        <v>9700</v>
      </c>
      <c r="N29" s="82">
        <v>12586</v>
      </c>
      <c r="O29" s="81">
        <v>5008</v>
      </c>
      <c r="P29" s="82">
        <v>7857</v>
      </c>
      <c r="Q29" s="82">
        <v>10568</v>
      </c>
      <c r="R29" s="82">
        <v>12610</v>
      </c>
      <c r="S29" s="83">
        <v>16362</v>
      </c>
      <c r="V29" s="390"/>
      <c r="W29" s="390"/>
      <c r="X29" s="390"/>
      <c r="Y29" s="390"/>
      <c r="Z29" s="390"/>
      <c r="AG29" s="78"/>
      <c r="AI29" s="77"/>
      <c r="AJ29" s="77"/>
      <c r="AK29" s="77"/>
      <c r="AL29" s="77"/>
    </row>
    <row r="30" spans="1:38">
      <c r="A30" s="37">
        <v>31</v>
      </c>
      <c r="B30" s="109">
        <v>650</v>
      </c>
      <c r="C30" s="103">
        <v>1300</v>
      </c>
      <c r="D30" s="103">
        <v>2600</v>
      </c>
      <c r="E30" s="103">
        <v>3900</v>
      </c>
      <c r="F30" s="103">
        <v>5200</v>
      </c>
      <c r="G30" s="110">
        <v>6500</v>
      </c>
      <c r="I30" s="54">
        <v>25</v>
      </c>
      <c r="J30" s="81">
        <v>3852</v>
      </c>
      <c r="K30" s="82">
        <v>6044</v>
      </c>
      <c r="L30" s="82">
        <v>8129</v>
      </c>
      <c r="M30" s="82">
        <v>9700</v>
      </c>
      <c r="N30" s="82">
        <v>12586</v>
      </c>
      <c r="O30" s="81">
        <v>5008</v>
      </c>
      <c r="P30" s="82">
        <v>7857</v>
      </c>
      <c r="Q30" s="82">
        <v>10568</v>
      </c>
      <c r="R30" s="82">
        <v>12610</v>
      </c>
      <c r="S30" s="83">
        <v>16362</v>
      </c>
      <c r="V30" s="390"/>
      <c r="W30" s="390"/>
      <c r="X30" s="390"/>
      <c r="Y30" s="390"/>
      <c r="Z30" s="390"/>
      <c r="AG30" s="78"/>
      <c r="AI30" s="77"/>
      <c r="AJ30" s="77"/>
      <c r="AK30" s="77"/>
      <c r="AL30" s="77"/>
    </row>
    <row r="31" spans="1:38">
      <c r="A31" s="37">
        <v>32</v>
      </c>
      <c r="B31" s="109">
        <v>650</v>
      </c>
      <c r="C31" s="103">
        <v>1300</v>
      </c>
      <c r="D31" s="103">
        <v>2600</v>
      </c>
      <c r="E31" s="103">
        <v>3900</v>
      </c>
      <c r="F31" s="103">
        <v>5200</v>
      </c>
      <c r="G31" s="110">
        <v>6500</v>
      </c>
      <c r="I31" s="54">
        <v>26</v>
      </c>
      <c r="J31" s="81">
        <v>3852</v>
      </c>
      <c r="K31" s="82">
        <v>6044</v>
      </c>
      <c r="L31" s="82">
        <v>8129</v>
      </c>
      <c r="M31" s="82">
        <v>9700</v>
      </c>
      <c r="N31" s="82">
        <v>12586</v>
      </c>
      <c r="O31" s="81">
        <v>5008</v>
      </c>
      <c r="P31" s="82">
        <v>7857</v>
      </c>
      <c r="Q31" s="82">
        <v>10568</v>
      </c>
      <c r="R31" s="82">
        <v>12610</v>
      </c>
      <c r="S31" s="83">
        <v>16362</v>
      </c>
      <c r="V31" s="390"/>
      <c r="W31" s="390"/>
      <c r="X31" s="390"/>
      <c r="Y31" s="390"/>
      <c r="Z31" s="390"/>
      <c r="AG31" s="78"/>
      <c r="AI31" s="77"/>
      <c r="AJ31" s="77"/>
      <c r="AK31" s="77"/>
      <c r="AL31" s="77"/>
    </row>
    <row r="32" spans="1:38">
      <c r="A32" s="37">
        <v>33</v>
      </c>
      <c r="B32" s="109">
        <v>650</v>
      </c>
      <c r="C32" s="103">
        <v>1300</v>
      </c>
      <c r="D32" s="103">
        <v>2600</v>
      </c>
      <c r="E32" s="103">
        <v>3900</v>
      </c>
      <c r="F32" s="103">
        <v>5200</v>
      </c>
      <c r="G32" s="110">
        <v>6500</v>
      </c>
      <c r="I32" s="54">
        <v>27</v>
      </c>
      <c r="J32" s="81">
        <v>3852</v>
      </c>
      <c r="K32" s="82">
        <v>6044</v>
      </c>
      <c r="L32" s="82">
        <v>8129</v>
      </c>
      <c r="M32" s="82">
        <v>9700</v>
      </c>
      <c r="N32" s="82">
        <v>12586</v>
      </c>
      <c r="O32" s="81">
        <v>5008</v>
      </c>
      <c r="P32" s="82">
        <v>7857</v>
      </c>
      <c r="Q32" s="82">
        <v>10568</v>
      </c>
      <c r="R32" s="82">
        <v>12610</v>
      </c>
      <c r="S32" s="83">
        <v>16362</v>
      </c>
      <c r="V32" s="390"/>
      <c r="W32" s="390"/>
      <c r="X32" s="390"/>
      <c r="Y32" s="390"/>
      <c r="Z32" s="390"/>
      <c r="AG32" s="78"/>
      <c r="AI32" s="77"/>
      <c r="AJ32" s="77"/>
      <c r="AK32" s="77"/>
      <c r="AL32" s="77"/>
    </row>
    <row r="33" spans="1:38">
      <c r="A33" s="37">
        <v>34</v>
      </c>
      <c r="B33" s="109">
        <v>650</v>
      </c>
      <c r="C33" s="103">
        <v>1300</v>
      </c>
      <c r="D33" s="103">
        <v>2600</v>
      </c>
      <c r="E33" s="103">
        <v>3900</v>
      </c>
      <c r="F33" s="103">
        <v>5200</v>
      </c>
      <c r="G33" s="110">
        <v>6500</v>
      </c>
      <c r="I33" s="54">
        <v>28</v>
      </c>
      <c r="J33" s="81">
        <v>3852</v>
      </c>
      <c r="K33" s="82">
        <v>6044</v>
      </c>
      <c r="L33" s="82">
        <v>8129</v>
      </c>
      <c r="M33" s="82">
        <v>9700</v>
      </c>
      <c r="N33" s="82">
        <v>12586</v>
      </c>
      <c r="O33" s="81">
        <v>5008</v>
      </c>
      <c r="P33" s="82">
        <v>7857</v>
      </c>
      <c r="Q33" s="82">
        <v>10568</v>
      </c>
      <c r="R33" s="82">
        <v>12610</v>
      </c>
      <c r="S33" s="83">
        <v>16362</v>
      </c>
      <c r="V33" s="390"/>
      <c r="W33" s="390"/>
      <c r="X33" s="390"/>
      <c r="Y33" s="390"/>
      <c r="Z33" s="390"/>
      <c r="AG33" s="78"/>
      <c r="AI33" s="77"/>
      <c r="AJ33" s="77"/>
      <c r="AK33" s="77"/>
      <c r="AL33" s="77"/>
    </row>
    <row r="34" spans="1:38">
      <c r="A34" s="37">
        <v>35</v>
      </c>
      <c r="B34" s="109">
        <v>650</v>
      </c>
      <c r="C34" s="103">
        <v>1300</v>
      </c>
      <c r="D34" s="103">
        <v>2600</v>
      </c>
      <c r="E34" s="103">
        <v>3900</v>
      </c>
      <c r="F34" s="103">
        <v>5200</v>
      </c>
      <c r="G34" s="110">
        <v>6500</v>
      </c>
      <c r="I34" s="54">
        <v>29</v>
      </c>
      <c r="J34" s="81">
        <v>3852</v>
      </c>
      <c r="K34" s="82">
        <v>6044</v>
      </c>
      <c r="L34" s="82">
        <v>8129</v>
      </c>
      <c r="M34" s="82">
        <v>9700</v>
      </c>
      <c r="N34" s="82">
        <v>12586</v>
      </c>
      <c r="O34" s="81">
        <v>5008</v>
      </c>
      <c r="P34" s="82">
        <v>7857</v>
      </c>
      <c r="Q34" s="82">
        <v>10568</v>
      </c>
      <c r="R34" s="82">
        <v>12610</v>
      </c>
      <c r="S34" s="83">
        <v>16362</v>
      </c>
      <c r="V34" s="390"/>
      <c r="W34" s="390"/>
      <c r="X34" s="390"/>
      <c r="Y34" s="390"/>
      <c r="Z34" s="390"/>
      <c r="AG34" s="78"/>
      <c r="AI34" s="77"/>
      <c r="AJ34" s="77"/>
      <c r="AK34" s="77"/>
      <c r="AL34" s="77"/>
    </row>
    <row r="35" spans="1:38">
      <c r="A35" s="37">
        <v>36</v>
      </c>
      <c r="B35" s="109">
        <v>650</v>
      </c>
      <c r="C35" s="103">
        <v>1300</v>
      </c>
      <c r="D35" s="103">
        <v>2600</v>
      </c>
      <c r="E35" s="103">
        <v>3900</v>
      </c>
      <c r="F35" s="103">
        <v>5200</v>
      </c>
      <c r="G35" s="110">
        <v>6500</v>
      </c>
      <c r="I35" s="54">
        <v>30</v>
      </c>
      <c r="J35" s="81">
        <v>3852</v>
      </c>
      <c r="K35" s="82">
        <v>6044</v>
      </c>
      <c r="L35" s="82">
        <v>8129</v>
      </c>
      <c r="M35" s="82">
        <v>9700</v>
      </c>
      <c r="N35" s="82">
        <v>12586</v>
      </c>
      <c r="O35" s="81">
        <v>5008</v>
      </c>
      <c r="P35" s="82">
        <v>7857</v>
      </c>
      <c r="Q35" s="82">
        <v>10568</v>
      </c>
      <c r="R35" s="82">
        <v>12610</v>
      </c>
      <c r="S35" s="83">
        <v>16362</v>
      </c>
      <c r="V35" s="390"/>
      <c r="W35" s="390"/>
      <c r="X35" s="390"/>
      <c r="Y35" s="390"/>
      <c r="Z35" s="390"/>
      <c r="AG35" s="78"/>
      <c r="AI35" s="77"/>
      <c r="AJ35" s="77"/>
      <c r="AK35" s="77"/>
      <c r="AL35" s="77"/>
    </row>
    <row r="36" spans="1:38">
      <c r="A36" s="37">
        <v>37</v>
      </c>
      <c r="B36" s="109">
        <v>650</v>
      </c>
      <c r="C36" s="103">
        <v>1300</v>
      </c>
      <c r="D36" s="103">
        <v>2600</v>
      </c>
      <c r="E36" s="103">
        <v>3900</v>
      </c>
      <c r="F36" s="103">
        <v>5200</v>
      </c>
      <c r="G36" s="110">
        <v>6500</v>
      </c>
      <c r="I36" s="54">
        <v>31</v>
      </c>
      <c r="J36" s="81">
        <v>3852</v>
      </c>
      <c r="K36" s="82">
        <v>6044</v>
      </c>
      <c r="L36" s="82">
        <v>8129</v>
      </c>
      <c r="M36" s="82">
        <v>9700</v>
      </c>
      <c r="N36" s="82">
        <v>12586</v>
      </c>
      <c r="O36" s="81">
        <v>5008</v>
      </c>
      <c r="P36" s="82">
        <v>7857</v>
      </c>
      <c r="Q36" s="82">
        <v>10568</v>
      </c>
      <c r="R36" s="82">
        <v>12610</v>
      </c>
      <c r="S36" s="83">
        <v>16362</v>
      </c>
      <c r="V36" s="390"/>
      <c r="W36" s="390"/>
      <c r="X36" s="390"/>
      <c r="Y36" s="390"/>
      <c r="Z36" s="390"/>
      <c r="AG36" s="78"/>
      <c r="AI36" s="77"/>
      <c r="AJ36" s="77"/>
      <c r="AK36" s="77"/>
      <c r="AL36" s="77"/>
    </row>
    <row r="37" spans="1:38">
      <c r="A37" s="37">
        <v>38</v>
      </c>
      <c r="B37" s="109">
        <v>650</v>
      </c>
      <c r="C37" s="103">
        <v>1300</v>
      </c>
      <c r="D37" s="103">
        <v>2600</v>
      </c>
      <c r="E37" s="103">
        <v>3900</v>
      </c>
      <c r="F37" s="103">
        <v>5200</v>
      </c>
      <c r="G37" s="110">
        <v>6500</v>
      </c>
      <c r="I37" s="54">
        <v>32</v>
      </c>
      <c r="J37" s="81">
        <v>3852</v>
      </c>
      <c r="K37" s="82">
        <v>6044</v>
      </c>
      <c r="L37" s="82">
        <v>8129</v>
      </c>
      <c r="M37" s="82">
        <v>9700</v>
      </c>
      <c r="N37" s="82">
        <v>12586</v>
      </c>
      <c r="O37" s="81">
        <v>5008</v>
      </c>
      <c r="P37" s="82">
        <v>7857</v>
      </c>
      <c r="Q37" s="82">
        <v>10568</v>
      </c>
      <c r="R37" s="82">
        <v>12610</v>
      </c>
      <c r="S37" s="83">
        <v>16362</v>
      </c>
      <c r="V37" s="390"/>
      <c r="W37" s="390"/>
      <c r="X37" s="390"/>
      <c r="Y37" s="390"/>
      <c r="Z37" s="390"/>
      <c r="AG37" s="78"/>
      <c r="AI37" s="77"/>
      <c r="AJ37" s="77"/>
      <c r="AK37" s="77"/>
      <c r="AL37" s="77"/>
    </row>
    <row r="38" spans="1:38">
      <c r="A38" s="37">
        <v>39</v>
      </c>
      <c r="B38" s="109">
        <v>650</v>
      </c>
      <c r="C38" s="103">
        <v>1300</v>
      </c>
      <c r="D38" s="103">
        <v>2600</v>
      </c>
      <c r="E38" s="103">
        <v>3900</v>
      </c>
      <c r="F38" s="103">
        <v>5200</v>
      </c>
      <c r="G38" s="110">
        <v>6500</v>
      </c>
      <c r="I38" s="54">
        <v>33</v>
      </c>
      <c r="J38" s="81">
        <v>3852</v>
      </c>
      <c r="K38" s="82">
        <v>6044</v>
      </c>
      <c r="L38" s="82">
        <v>8129</v>
      </c>
      <c r="M38" s="82">
        <v>9700</v>
      </c>
      <c r="N38" s="82">
        <v>12586</v>
      </c>
      <c r="O38" s="81">
        <v>5008</v>
      </c>
      <c r="P38" s="82">
        <v>7857</v>
      </c>
      <c r="Q38" s="82">
        <v>10568</v>
      </c>
      <c r="R38" s="82">
        <v>12610</v>
      </c>
      <c r="S38" s="83">
        <v>16362</v>
      </c>
      <c r="V38" s="390"/>
      <c r="W38" s="390"/>
      <c r="X38" s="390"/>
      <c r="Y38" s="390"/>
      <c r="Z38" s="390"/>
      <c r="AG38" s="78"/>
      <c r="AI38" s="77"/>
      <c r="AJ38" s="77"/>
      <c r="AK38" s="77"/>
      <c r="AL38" s="77"/>
    </row>
    <row r="39" spans="1:38">
      <c r="A39" s="37">
        <v>40</v>
      </c>
      <c r="B39" s="109">
        <v>650</v>
      </c>
      <c r="C39" s="103">
        <v>1300</v>
      </c>
      <c r="D39" s="103">
        <v>2600</v>
      </c>
      <c r="E39" s="103">
        <v>3900</v>
      </c>
      <c r="F39" s="103">
        <v>5200</v>
      </c>
      <c r="G39" s="110">
        <v>6500</v>
      </c>
      <c r="I39" s="54">
        <v>34</v>
      </c>
      <c r="J39" s="81">
        <v>3852</v>
      </c>
      <c r="K39" s="82">
        <v>6044</v>
      </c>
      <c r="L39" s="82">
        <v>8129</v>
      </c>
      <c r="M39" s="82">
        <v>9700</v>
      </c>
      <c r="N39" s="82">
        <v>12586</v>
      </c>
      <c r="O39" s="81">
        <v>5008</v>
      </c>
      <c r="P39" s="82">
        <v>7857</v>
      </c>
      <c r="Q39" s="82">
        <v>10568</v>
      </c>
      <c r="R39" s="82">
        <v>12610</v>
      </c>
      <c r="S39" s="83">
        <v>16362</v>
      </c>
      <c r="V39" s="390"/>
      <c r="W39" s="390"/>
      <c r="X39" s="390"/>
      <c r="Y39" s="390"/>
      <c r="Z39" s="390"/>
      <c r="AG39" s="78"/>
      <c r="AI39" s="77"/>
      <c r="AJ39" s="77"/>
      <c r="AK39" s="77"/>
      <c r="AL39" s="77"/>
    </row>
    <row r="40" spans="1:38">
      <c r="A40" s="37">
        <v>41</v>
      </c>
      <c r="B40" s="109">
        <v>750</v>
      </c>
      <c r="C40" s="103">
        <v>1500</v>
      </c>
      <c r="D40" s="103">
        <v>3000</v>
      </c>
      <c r="E40" s="103">
        <v>4500</v>
      </c>
      <c r="F40" s="103">
        <v>6000</v>
      </c>
      <c r="G40" s="110">
        <v>7500</v>
      </c>
      <c r="I40" s="54">
        <v>35</v>
      </c>
      <c r="J40" s="81">
        <v>3852</v>
      </c>
      <c r="K40" s="82">
        <v>6044</v>
      </c>
      <c r="L40" s="82">
        <v>8129</v>
      </c>
      <c r="M40" s="82">
        <v>9700</v>
      </c>
      <c r="N40" s="82">
        <v>12586</v>
      </c>
      <c r="O40" s="81">
        <v>5008</v>
      </c>
      <c r="P40" s="82">
        <v>7857</v>
      </c>
      <c r="Q40" s="82">
        <v>10568</v>
      </c>
      <c r="R40" s="82">
        <v>12610</v>
      </c>
      <c r="S40" s="83">
        <v>16362</v>
      </c>
      <c r="V40" s="390"/>
      <c r="W40" s="390"/>
      <c r="X40" s="390"/>
      <c r="Y40" s="390"/>
      <c r="Z40" s="390"/>
      <c r="AG40" s="78"/>
      <c r="AI40" s="77"/>
      <c r="AJ40" s="77"/>
      <c r="AK40" s="77"/>
      <c r="AL40" s="77"/>
    </row>
    <row r="41" spans="1:38">
      <c r="A41" s="37">
        <v>42</v>
      </c>
      <c r="B41" s="109">
        <v>750</v>
      </c>
      <c r="C41" s="103">
        <v>1500</v>
      </c>
      <c r="D41" s="103">
        <v>3000</v>
      </c>
      <c r="E41" s="103">
        <v>4500</v>
      </c>
      <c r="F41" s="103">
        <v>6000</v>
      </c>
      <c r="G41" s="110">
        <v>7500</v>
      </c>
      <c r="I41" s="54">
        <v>36</v>
      </c>
      <c r="J41" s="81">
        <v>4622</v>
      </c>
      <c r="K41" s="82">
        <v>7253</v>
      </c>
      <c r="L41" s="82">
        <v>9755</v>
      </c>
      <c r="M41" s="82">
        <v>11640</v>
      </c>
      <c r="N41" s="82">
        <v>15103</v>
      </c>
      <c r="O41" s="81">
        <v>6009</v>
      </c>
      <c r="P41" s="82">
        <v>9429</v>
      </c>
      <c r="Q41" s="82">
        <v>12681</v>
      </c>
      <c r="R41" s="82">
        <v>15132</v>
      </c>
      <c r="S41" s="83">
        <v>19634</v>
      </c>
      <c r="V41" s="390"/>
      <c r="W41" s="390"/>
      <c r="X41" s="390"/>
      <c r="Y41" s="390"/>
      <c r="Z41" s="390"/>
      <c r="AG41" s="78"/>
      <c r="AI41" s="77"/>
      <c r="AJ41" s="77"/>
      <c r="AK41" s="77"/>
      <c r="AL41" s="77"/>
    </row>
    <row r="42" spans="1:38">
      <c r="A42" s="37">
        <v>43</v>
      </c>
      <c r="B42" s="109">
        <v>750</v>
      </c>
      <c r="C42" s="103">
        <v>1500</v>
      </c>
      <c r="D42" s="103">
        <v>3000</v>
      </c>
      <c r="E42" s="103">
        <v>4500</v>
      </c>
      <c r="F42" s="103">
        <v>6000</v>
      </c>
      <c r="G42" s="110">
        <v>7500</v>
      </c>
      <c r="I42" s="54">
        <v>37</v>
      </c>
      <c r="J42" s="81">
        <v>4622</v>
      </c>
      <c r="K42" s="82">
        <v>7253</v>
      </c>
      <c r="L42" s="82">
        <v>9755</v>
      </c>
      <c r="M42" s="82">
        <v>11640</v>
      </c>
      <c r="N42" s="82">
        <v>15103</v>
      </c>
      <c r="O42" s="81">
        <v>6009</v>
      </c>
      <c r="P42" s="82">
        <v>9429</v>
      </c>
      <c r="Q42" s="82">
        <v>12681</v>
      </c>
      <c r="R42" s="82">
        <v>15132</v>
      </c>
      <c r="S42" s="83">
        <v>19634</v>
      </c>
      <c r="V42" s="390"/>
      <c r="W42" s="390"/>
      <c r="X42" s="390"/>
      <c r="Y42" s="390"/>
      <c r="Z42" s="390"/>
      <c r="AG42" s="78"/>
      <c r="AI42" s="77"/>
      <c r="AJ42" s="77"/>
      <c r="AK42" s="77"/>
      <c r="AL42" s="77"/>
    </row>
    <row r="43" spans="1:38">
      <c r="A43" s="37">
        <v>44</v>
      </c>
      <c r="B43" s="109">
        <v>750</v>
      </c>
      <c r="C43" s="103">
        <v>1500</v>
      </c>
      <c r="D43" s="103">
        <v>3000</v>
      </c>
      <c r="E43" s="103">
        <v>4500</v>
      </c>
      <c r="F43" s="103">
        <v>6000</v>
      </c>
      <c r="G43" s="110">
        <v>7500</v>
      </c>
      <c r="I43" s="54">
        <v>38</v>
      </c>
      <c r="J43" s="81">
        <v>4622</v>
      </c>
      <c r="K43" s="82">
        <v>7253</v>
      </c>
      <c r="L43" s="82">
        <v>9755</v>
      </c>
      <c r="M43" s="82">
        <v>11640</v>
      </c>
      <c r="N43" s="82">
        <v>15103</v>
      </c>
      <c r="O43" s="81">
        <v>6009</v>
      </c>
      <c r="P43" s="82">
        <v>9429</v>
      </c>
      <c r="Q43" s="82">
        <v>12681</v>
      </c>
      <c r="R43" s="82">
        <v>15132</v>
      </c>
      <c r="S43" s="83">
        <v>19634</v>
      </c>
      <c r="V43" s="391" t="s">
        <v>130</v>
      </c>
      <c r="W43" s="391">
        <v>20</v>
      </c>
      <c r="X43" s="391" t="s">
        <v>131</v>
      </c>
      <c r="Y43" s="391">
        <v>2.35</v>
      </c>
      <c r="Z43" s="391">
        <v>1.92</v>
      </c>
      <c r="AG43" s="78"/>
      <c r="AI43" s="77"/>
      <c r="AJ43" s="77"/>
      <c r="AK43" s="77"/>
      <c r="AL43" s="77"/>
    </row>
    <row r="44" spans="1:38">
      <c r="A44" s="37">
        <v>45</v>
      </c>
      <c r="B44" s="109">
        <v>750</v>
      </c>
      <c r="C44" s="103">
        <v>1500</v>
      </c>
      <c r="D44" s="103">
        <v>3000</v>
      </c>
      <c r="E44" s="103">
        <v>4500</v>
      </c>
      <c r="F44" s="103">
        <v>6000</v>
      </c>
      <c r="G44" s="110">
        <v>7500</v>
      </c>
      <c r="I44" s="54">
        <v>39</v>
      </c>
      <c r="J44" s="81">
        <v>4622</v>
      </c>
      <c r="K44" s="82">
        <v>7253</v>
      </c>
      <c r="L44" s="82">
        <v>9755</v>
      </c>
      <c r="M44" s="82">
        <v>11640</v>
      </c>
      <c r="N44" s="82">
        <v>15103</v>
      </c>
      <c r="O44" s="81">
        <v>6009</v>
      </c>
      <c r="P44" s="82">
        <v>9429</v>
      </c>
      <c r="Q44" s="82">
        <v>12681</v>
      </c>
      <c r="R44" s="82">
        <v>15132</v>
      </c>
      <c r="S44" s="83">
        <v>19634</v>
      </c>
      <c r="V44" s="391" t="s">
        <v>130</v>
      </c>
      <c r="W44" s="391">
        <v>21</v>
      </c>
      <c r="X44" s="391" t="s">
        <v>132</v>
      </c>
      <c r="Y44" s="391">
        <v>2.4500000000000002</v>
      </c>
      <c r="Z44" s="391">
        <v>2.0099999999999998</v>
      </c>
      <c r="AG44" s="78"/>
      <c r="AI44" s="77"/>
      <c r="AJ44" s="77"/>
      <c r="AK44" s="77"/>
      <c r="AL44" s="77"/>
    </row>
    <row r="45" spans="1:38">
      <c r="A45" s="37">
        <v>46</v>
      </c>
      <c r="B45" s="109">
        <v>750</v>
      </c>
      <c r="C45" s="103">
        <v>1500</v>
      </c>
      <c r="D45" s="103">
        <v>3000</v>
      </c>
      <c r="E45" s="103">
        <v>4500</v>
      </c>
      <c r="F45" s="103">
        <v>6000</v>
      </c>
      <c r="G45" s="110">
        <v>7500</v>
      </c>
      <c r="I45" s="54">
        <v>40</v>
      </c>
      <c r="J45" s="81">
        <v>4622</v>
      </c>
      <c r="K45" s="82">
        <v>7253</v>
      </c>
      <c r="L45" s="82">
        <v>9755</v>
      </c>
      <c r="M45" s="82">
        <v>11640</v>
      </c>
      <c r="N45" s="82">
        <v>15103</v>
      </c>
      <c r="O45" s="81">
        <v>6009</v>
      </c>
      <c r="P45" s="82">
        <v>9429</v>
      </c>
      <c r="Q45" s="82">
        <v>12681</v>
      </c>
      <c r="R45" s="82">
        <v>15132</v>
      </c>
      <c r="S45" s="83">
        <v>19634</v>
      </c>
      <c r="V45" s="391" t="s">
        <v>130</v>
      </c>
      <c r="W45" s="391">
        <v>22</v>
      </c>
      <c r="X45" s="391" t="s">
        <v>133</v>
      </c>
      <c r="Y45" s="391">
        <v>2.54</v>
      </c>
      <c r="Z45" s="391">
        <v>2.1</v>
      </c>
      <c r="AG45" s="78"/>
      <c r="AI45" s="77"/>
      <c r="AJ45" s="77"/>
      <c r="AK45" s="77"/>
      <c r="AL45" s="77"/>
    </row>
    <row r="46" spans="1:38">
      <c r="A46" s="37">
        <v>47</v>
      </c>
      <c r="B46" s="109">
        <v>750</v>
      </c>
      <c r="C46" s="103">
        <v>1500</v>
      </c>
      <c r="D46" s="103">
        <v>3000</v>
      </c>
      <c r="E46" s="103">
        <v>4500</v>
      </c>
      <c r="F46" s="103">
        <v>6000</v>
      </c>
      <c r="G46" s="110">
        <v>7500</v>
      </c>
      <c r="I46" s="54">
        <v>41</v>
      </c>
      <c r="J46" s="81">
        <v>5008</v>
      </c>
      <c r="K46" s="82">
        <v>7857</v>
      </c>
      <c r="L46" s="82">
        <v>10568</v>
      </c>
      <c r="M46" s="82">
        <v>12610</v>
      </c>
      <c r="N46" s="82">
        <v>16362</v>
      </c>
      <c r="O46" s="81">
        <v>6510</v>
      </c>
      <c r="P46" s="82">
        <v>10214</v>
      </c>
      <c r="Q46" s="82">
        <v>13738</v>
      </c>
      <c r="R46" s="82">
        <v>16393</v>
      </c>
      <c r="S46" s="83">
        <v>21270</v>
      </c>
      <c r="V46" s="391" t="s">
        <v>130</v>
      </c>
      <c r="W46" s="391">
        <v>23</v>
      </c>
      <c r="X46" s="391" t="s">
        <v>134</v>
      </c>
      <c r="Y46" s="391">
        <v>2.61</v>
      </c>
      <c r="Z46" s="391">
        <v>2.1800000000000002</v>
      </c>
      <c r="AG46" s="78"/>
      <c r="AI46" s="77"/>
      <c r="AJ46" s="77"/>
      <c r="AK46" s="77"/>
      <c r="AL46" s="77"/>
    </row>
    <row r="47" spans="1:38">
      <c r="A47" s="37">
        <v>48</v>
      </c>
      <c r="B47" s="109">
        <v>750</v>
      </c>
      <c r="C47" s="103">
        <v>1500</v>
      </c>
      <c r="D47" s="103">
        <v>3000</v>
      </c>
      <c r="E47" s="103">
        <v>4500</v>
      </c>
      <c r="F47" s="103">
        <v>6000</v>
      </c>
      <c r="G47" s="110">
        <v>7500</v>
      </c>
      <c r="I47" s="54">
        <v>42</v>
      </c>
      <c r="J47" s="81">
        <v>5008</v>
      </c>
      <c r="K47" s="82">
        <v>7857</v>
      </c>
      <c r="L47" s="82">
        <v>10568</v>
      </c>
      <c r="M47" s="82">
        <v>12610</v>
      </c>
      <c r="N47" s="82">
        <v>16362</v>
      </c>
      <c r="O47" s="81">
        <v>6510</v>
      </c>
      <c r="P47" s="82">
        <v>10214</v>
      </c>
      <c r="Q47" s="82">
        <v>13738</v>
      </c>
      <c r="R47" s="82">
        <v>16393</v>
      </c>
      <c r="S47" s="83">
        <v>21270</v>
      </c>
      <c r="V47" s="391" t="s">
        <v>130</v>
      </c>
      <c r="W47" s="391">
        <v>24</v>
      </c>
      <c r="X47" s="391" t="s">
        <v>135</v>
      </c>
      <c r="Y47" s="391">
        <v>2.66</v>
      </c>
      <c r="Z47" s="391">
        <v>2.2400000000000002</v>
      </c>
      <c r="AG47" s="78"/>
      <c r="AI47" s="77"/>
      <c r="AJ47" s="77"/>
      <c r="AK47" s="77"/>
      <c r="AL47" s="77"/>
    </row>
    <row r="48" spans="1:38">
      <c r="A48" s="37">
        <v>49</v>
      </c>
      <c r="B48" s="109">
        <v>750</v>
      </c>
      <c r="C48" s="103">
        <v>1500</v>
      </c>
      <c r="D48" s="103">
        <v>3000</v>
      </c>
      <c r="E48" s="103">
        <v>4500</v>
      </c>
      <c r="F48" s="103">
        <v>6000</v>
      </c>
      <c r="G48" s="110">
        <v>7500</v>
      </c>
      <c r="I48" s="54">
        <v>43</v>
      </c>
      <c r="J48" s="81">
        <v>5008</v>
      </c>
      <c r="K48" s="82">
        <v>7857</v>
      </c>
      <c r="L48" s="82">
        <v>10568</v>
      </c>
      <c r="M48" s="82">
        <v>12610</v>
      </c>
      <c r="N48" s="82">
        <v>16362</v>
      </c>
      <c r="O48" s="81">
        <v>6510</v>
      </c>
      <c r="P48" s="82">
        <v>10214</v>
      </c>
      <c r="Q48" s="82">
        <v>13738</v>
      </c>
      <c r="R48" s="82">
        <v>16393</v>
      </c>
      <c r="S48" s="83">
        <v>21270</v>
      </c>
      <c r="V48" s="391" t="s">
        <v>130</v>
      </c>
      <c r="W48" s="391">
        <v>25</v>
      </c>
      <c r="X48" s="391" t="s">
        <v>136</v>
      </c>
      <c r="Y48" s="391">
        <v>2.7</v>
      </c>
      <c r="Z48" s="391">
        <v>2.2799999999999998</v>
      </c>
      <c r="AG48" s="78"/>
      <c r="AI48" s="77"/>
      <c r="AJ48" s="77"/>
      <c r="AK48" s="77"/>
      <c r="AL48" s="77"/>
    </row>
    <row r="49" spans="1:38">
      <c r="A49" s="37">
        <v>50</v>
      </c>
      <c r="B49" s="109">
        <v>750</v>
      </c>
      <c r="C49" s="103">
        <v>1500</v>
      </c>
      <c r="D49" s="103">
        <v>3000</v>
      </c>
      <c r="E49" s="103">
        <v>4500</v>
      </c>
      <c r="F49" s="103">
        <v>6000</v>
      </c>
      <c r="G49" s="110">
        <v>7500</v>
      </c>
      <c r="I49" s="54">
        <v>44</v>
      </c>
      <c r="J49" s="81">
        <v>5008</v>
      </c>
      <c r="K49" s="82">
        <v>7857</v>
      </c>
      <c r="L49" s="82">
        <v>10568</v>
      </c>
      <c r="M49" s="82">
        <v>12610</v>
      </c>
      <c r="N49" s="82">
        <v>16362</v>
      </c>
      <c r="O49" s="81">
        <v>6510</v>
      </c>
      <c r="P49" s="82">
        <v>10214</v>
      </c>
      <c r="Q49" s="82">
        <v>13738</v>
      </c>
      <c r="R49" s="82">
        <v>16393</v>
      </c>
      <c r="S49" s="83">
        <v>21270</v>
      </c>
      <c r="V49" s="391" t="s">
        <v>130</v>
      </c>
      <c r="W49" s="391">
        <v>26</v>
      </c>
      <c r="X49" s="391" t="s">
        <v>137</v>
      </c>
      <c r="Y49" s="391">
        <v>2.77</v>
      </c>
      <c r="Z49" s="391">
        <v>2.34</v>
      </c>
      <c r="AG49" s="78"/>
      <c r="AI49" s="77"/>
      <c r="AJ49" s="77"/>
      <c r="AK49" s="77"/>
      <c r="AL49" s="77"/>
    </row>
    <row r="50" spans="1:38">
      <c r="A50" s="37">
        <v>51</v>
      </c>
      <c r="B50" s="109">
        <v>1000</v>
      </c>
      <c r="C50" s="103">
        <v>2000</v>
      </c>
      <c r="D50" s="103">
        <v>4000</v>
      </c>
      <c r="E50" s="103">
        <v>6000</v>
      </c>
      <c r="F50" s="103">
        <v>8000</v>
      </c>
      <c r="G50" s="110">
        <v>10000</v>
      </c>
      <c r="I50" s="54">
        <v>45</v>
      </c>
      <c r="J50" s="81">
        <v>5008</v>
      </c>
      <c r="K50" s="82">
        <v>7857</v>
      </c>
      <c r="L50" s="82">
        <v>10568</v>
      </c>
      <c r="M50" s="82">
        <v>12610</v>
      </c>
      <c r="N50" s="82">
        <v>16362</v>
      </c>
      <c r="O50" s="81">
        <v>6510</v>
      </c>
      <c r="P50" s="82">
        <v>10214</v>
      </c>
      <c r="Q50" s="82">
        <v>13738</v>
      </c>
      <c r="R50" s="82">
        <v>16393</v>
      </c>
      <c r="S50" s="83">
        <v>21270</v>
      </c>
      <c r="V50" s="391" t="s">
        <v>130</v>
      </c>
      <c r="W50" s="391">
        <v>27</v>
      </c>
      <c r="X50" s="391" t="s">
        <v>138</v>
      </c>
      <c r="Y50" s="391">
        <v>2.85</v>
      </c>
      <c r="Z50" s="391">
        <v>2.4</v>
      </c>
      <c r="AG50" s="78"/>
      <c r="AI50" s="77"/>
      <c r="AJ50" s="77"/>
      <c r="AK50" s="77"/>
      <c r="AL50" s="77"/>
    </row>
    <row r="51" spans="1:38">
      <c r="A51" s="37">
        <v>52</v>
      </c>
      <c r="B51" s="109">
        <v>1000</v>
      </c>
      <c r="C51" s="103">
        <v>2000</v>
      </c>
      <c r="D51" s="103">
        <v>4000</v>
      </c>
      <c r="E51" s="103">
        <v>6000</v>
      </c>
      <c r="F51" s="103">
        <v>8000</v>
      </c>
      <c r="G51" s="110">
        <v>10000</v>
      </c>
      <c r="I51" s="54">
        <v>46</v>
      </c>
      <c r="J51" s="81">
        <v>5585</v>
      </c>
      <c r="K51" s="82">
        <v>8764</v>
      </c>
      <c r="L51" s="82">
        <v>11787</v>
      </c>
      <c r="M51" s="82">
        <v>14065</v>
      </c>
      <c r="N51" s="82">
        <v>18250</v>
      </c>
      <c r="O51" s="81">
        <v>7280</v>
      </c>
      <c r="P51" s="82">
        <v>11423</v>
      </c>
      <c r="Q51" s="82">
        <v>15364</v>
      </c>
      <c r="R51" s="82">
        <v>18333</v>
      </c>
      <c r="S51" s="83">
        <v>23788</v>
      </c>
      <c r="V51" s="391" t="s">
        <v>130</v>
      </c>
      <c r="W51" s="391">
        <v>28</v>
      </c>
      <c r="X51" s="391" t="s">
        <v>139</v>
      </c>
      <c r="Y51" s="391">
        <v>2.97</v>
      </c>
      <c r="Z51" s="391">
        <v>2.4900000000000002</v>
      </c>
      <c r="AG51" s="78"/>
      <c r="AI51" s="77"/>
      <c r="AJ51" s="77"/>
      <c r="AK51" s="77"/>
      <c r="AL51" s="77"/>
    </row>
    <row r="52" spans="1:38">
      <c r="A52" s="37">
        <v>53</v>
      </c>
      <c r="B52" s="109">
        <v>1000</v>
      </c>
      <c r="C52" s="103">
        <v>2000</v>
      </c>
      <c r="D52" s="103">
        <v>4000</v>
      </c>
      <c r="E52" s="103">
        <v>6000</v>
      </c>
      <c r="F52" s="103">
        <v>8000</v>
      </c>
      <c r="G52" s="110">
        <v>10000</v>
      </c>
      <c r="I52" s="54">
        <v>47</v>
      </c>
      <c r="J52" s="81">
        <v>5585</v>
      </c>
      <c r="K52" s="82">
        <v>8764</v>
      </c>
      <c r="L52" s="82">
        <v>11787</v>
      </c>
      <c r="M52" s="82">
        <v>14065</v>
      </c>
      <c r="N52" s="82">
        <v>18250</v>
      </c>
      <c r="O52" s="81">
        <v>7280</v>
      </c>
      <c r="P52" s="82">
        <v>11423</v>
      </c>
      <c r="Q52" s="82">
        <v>15364</v>
      </c>
      <c r="R52" s="82">
        <v>18333</v>
      </c>
      <c r="S52" s="83">
        <v>23788</v>
      </c>
      <c r="V52" s="391" t="s">
        <v>130</v>
      </c>
      <c r="W52" s="391">
        <v>29</v>
      </c>
      <c r="X52" s="391" t="s">
        <v>140</v>
      </c>
      <c r="Y52" s="391">
        <v>3.09</v>
      </c>
      <c r="Z52" s="391">
        <v>2.6</v>
      </c>
      <c r="AG52" s="78"/>
      <c r="AI52" s="77"/>
      <c r="AJ52" s="77"/>
      <c r="AK52" s="77"/>
      <c r="AL52" s="77"/>
    </row>
    <row r="53" spans="1:38">
      <c r="A53" s="37">
        <v>54</v>
      </c>
      <c r="B53" s="109">
        <v>1000</v>
      </c>
      <c r="C53" s="103">
        <v>2000</v>
      </c>
      <c r="D53" s="103">
        <v>4000</v>
      </c>
      <c r="E53" s="103">
        <v>6000</v>
      </c>
      <c r="F53" s="103">
        <v>8000</v>
      </c>
      <c r="G53" s="110">
        <v>10000</v>
      </c>
      <c r="I53" s="54">
        <v>48</v>
      </c>
      <c r="J53" s="81">
        <v>5585</v>
      </c>
      <c r="K53" s="82">
        <v>8764</v>
      </c>
      <c r="L53" s="82">
        <v>11787</v>
      </c>
      <c r="M53" s="82">
        <v>14065</v>
      </c>
      <c r="N53" s="82">
        <v>18250</v>
      </c>
      <c r="O53" s="81">
        <v>7280</v>
      </c>
      <c r="P53" s="82">
        <v>11423</v>
      </c>
      <c r="Q53" s="82">
        <v>15364</v>
      </c>
      <c r="R53" s="82">
        <v>18333</v>
      </c>
      <c r="S53" s="83">
        <v>23788</v>
      </c>
      <c r="V53" s="391" t="s">
        <v>130</v>
      </c>
      <c r="W53" s="391">
        <v>30</v>
      </c>
      <c r="X53" s="391" t="s">
        <v>141</v>
      </c>
      <c r="Y53" s="391">
        <v>3.22</v>
      </c>
      <c r="Z53" s="391">
        <v>2.68</v>
      </c>
      <c r="AG53" s="78"/>
      <c r="AI53" s="77"/>
      <c r="AJ53" s="77"/>
      <c r="AK53" s="77"/>
      <c r="AL53" s="77"/>
    </row>
    <row r="54" spans="1:38">
      <c r="A54" s="37">
        <v>55</v>
      </c>
      <c r="B54" s="109">
        <v>1000</v>
      </c>
      <c r="C54" s="103">
        <v>2000</v>
      </c>
      <c r="D54" s="103">
        <v>4000</v>
      </c>
      <c r="E54" s="103">
        <v>6000</v>
      </c>
      <c r="F54" s="103">
        <v>8000</v>
      </c>
      <c r="G54" s="110">
        <v>10000</v>
      </c>
      <c r="I54" s="54">
        <v>49</v>
      </c>
      <c r="J54" s="81">
        <v>5585</v>
      </c>
      <c r="K54" s="82">
        <v>8764</v>
      </c>
      <c r="L54" s="82">
        <v>11787</v>
      </c>
      <c r="M54" s="82">
        <v>14065</v>
      </c>
      <c r="N54" s="82">
        <v>18250</v>
      </c>
      <c r="O54" s="81">
        <v>7280</v>
      </c>
      <c r="P54" s="82">
        <v>11423</v>
      </c>
      <c r="Q54" s="82">
        <v>15364</v>
      </c>
      <c r="R54" s="82">
        <v>18333</v>
      </c>
      <c r="S54" s="83">
        <v>23788</v>
      </c>
      <c r="V54" s="391" t="s">
        <v>130</v>
      </c>
      <c r="W54" s="391">
        <v>31</v>
      </c>
      <c r="X54" s="391" t="s">
        <v>142</v>
      </c>
      <c r="Y54" s="391">
        <v>3.35</v>
      </c>
      <c r="Z54" s="391">
        <v>2.75</v>
      </c>
      <c r="AG54" s="78"/>
      <c r="AI54" s="77"/>
      <c r="AJ54" s="77"/>
      <c r="AK54" s="77"/>
      <c r="AL54" s="77"/>
    </row>
    <row r="55" spans="1:38">
      <c r="A55" s="37">
        <v>56</v>
      </c>
      <c r="B55" s="109">
        <v>1000</v>
      </c>
      <c r="C55" s="103">
        <v>2000</v>
      </c>
      <c r="D55" s="103">
        <v>4000</v>
      </c>
      <c r="E55" s="103">
        <v>6000</v>
      </c>
      <c r="F55" s="103">
        <v>8000</v>
      </c>
      <c r="G55" s="110">
        <v>10000</v>
      </c>
      <c r="I55" s="54">
        <v>50</v>
      </c>
      <c r="J55" s="81">
        <v>5585</v>
      </c>
      <c r="K55" s="82">
        <v>8764</v>
      </c>
      <c r="L55" s="82">
        <v>11787</v>
      </c>
      <c r="M55" s="82">
        <v>14065</v>
      </c>
      <c r="N55" s="82">
        <v>18250</v>
      </c>
      <c r="O55" s="81">
        <v>7280</v>
      </c>
      <c r="P55" s="82">
        <v>11423</v>
      </c>
      <c r="Q55" s="82">
        <v>15364</v>
      </c>
      <c r="R55" s="82">
        <v>18333</v>
      </c>
      <c r="S55" s="83">
        <v>23788</v>
      </c>
      <c r="V55" s="391" t="s">
        <v>130</v>
      </c>
      <c r="W55" s="391">
        <v>32</v>
      </c>
      <c r="X55" s="391" t="s">
        <v>143</v>
      </c>
      <c r="Y55" s="391">
        <v>3.46</v>
      </c>
      <c r="Z55" s="391">
        <v>2.82</v>
      </c>
      <c r="AG55" s="78"/>
      <c r="AI55" s="77"/>
      <c r="AJ55" s="77"/>
      <c r="AK55" s="77"/>
      <c r="AL55" s="77"/>
    </row>
    <row r="56" spans="1:38">
      <c r="A56" s="37">
        <v>57</v>
      </c>
      <c r="B56" s="109">
        <v>1000</v>
      </c>
      <c r="C56" s="103">
        <v>2000</v>
      </c>
      <c r="D56" s="103">
        <v>4000</v>
      </c>
      <c r="E56" s="103">
        <v>6000</v>
      </c>
      <c r="F56" s="103">
        <v>8000</v>
      </c>
      <c r="G56" s="110">
        <v>10000</v>
      </c>
      <c r="I56" s="54">
        <v>51</v>
      </c>
      <c r="J56" s="81">
        <v>6548</v>
      </c>
      <c r="K56" s="82">
        <v>10275</v>
      </c>
      <c r="L56" s="82">
        <v>13819</v>
      </c>
      <c r="M56" s="82">
        <v>16490</v>
      </c>
      <c r="N56" s="82">
        <v>21396</v>
      </c>
      <c r="O56" s="81">
        <v>8513</v>
      </c>
      <c r="P56" s="82">
        <v>13357</v>
      </c>
      <c r="Q56" s="82">
        <v>17965</v>
      </c>
      <c r="R56" s="82">
        <v>21437</v>
      </c>
      <c r="S56" s="83">
        <v>27815</v>
      </c>
      <c r="V56" s="391" t="s">
        <v>130</v>
      </c>
      <c r="W56" s="391">
        <v>33</v>
      </c>
      <c r="X56" s="391" t="s">
        <v>144</v>
      </c>
      <c r="Y56" s="391">
        <v>3.62</v>
      </c>
      <c r="Z56" s="391">
        <v>2.92</v>
      </c>
      <c r="AG56" s="78"/>
      <c r="AI56" s="77"/>
      <c r="AJ56" s="77"/>
      <c r="AK56" s="77"/>
      <c r="AL56" s="77"/>
    </row>
    <row r="57" spans="1:38">
      <c r="A57" s="37">
        <v>58</v>
      </c>
      <c r="B57" s="109">
        <v>1000</v>
      </c>
      <c r="C57" s="103">
        <v>2000</v>
      </c>
      <c r="D57" s="103">
        <v>4000</v>
      </c>
      <c r="E57" s="103">
        <v>6000</v>
      </c>
      <c r="F57" s="103">
        <v>8000</v>
      </c>
      <c r="G57" s="110">
        <v>10000</v>
      </c>
      <c r="I57" s="54">
        <v>52</v>
      </c>
      <c r="J57" s="81">
        <v>6548</v>
      </c>
      <c r="K57" s="82">
        <v>10275</v>
      </c>
      <c r="L57" s="82">
        <v>13819</v>
      </c>
      <c r="M57" s="82">
        <v>16490</v>
      </c>
      <c r="N57" s="82">
        <v>21396</v>
      </c>
      <c r="O57" s="81">
        <v>8513</v>
      </c>
      <c r="P57" s="82">
        <v>13357</v>
      </c>
      <c r="Q57" s="82">
        <v>17965</v>
      </c>
      <c r="R57" s="82">
        <v>21437</v>
      </c>
      <c r="S57" s="83">
        <v>27815</v>
      </c>
      <c r="V57" s="391" t="s">
        <v>130</v>
      </c>
      <c r="W57" s="391">
        <v>34</v>
      </c>
      <c r="X57" s="391" t="s">
        <v>145</v>
      </c>
      <c r="Y57" s="391">
        <v>3.82</v>
      </c>
      <c r="Z57" s="391">
        <v>3.05</v>
      </c>
      <c r="AG57" s="78"/>
      <c r="AI57" s="77"/>
      <c r="AJ57" s="77"/>
      <c r="AK57" s="77"/>
      <c r="AL57" s="77"/>
    </row>
    <row r="58" spans="1:38">
      <c r="A58" s="37">
        <v>59</v>
      </c>
      <c r="B58" s="109">
        <v>1000</v>
      </c>
      <c r="C58" s="103">
        <v>2000</v>
      </c>
      <c r="D58" s="103">
        <v>4000</v>
      </c>
      <c r="E58" s="103">
        <v>6000</v>
      </c>
      <c r="F58" s="103">
        <v>8000</v>
      </c>
      <c r="G58" s="110">
        <v>10000</v>
      </c>
      <c r="I58" s="54">
        <v>53</v>
      </c>
      <c r="J58" s="81">
        <v>6548</v>
      </c>
      <c r="K58" s="82">
        <v>10275</v>
      </c>
      <c r="L58" s="82">
        <v>13819</v>
      </c>
      <c r="M58" s="82">
        <v>16490</v>
      </c>
      <c r="N58" s="82">
        <v>21396</v>
      </c>
      <c r="O58" s="81">
        <v>8513</v>
      </c>
      <c r="P58" s="82">
        <v>13357</v>
      </c>
      <c r="Q58" s="82">
        <v>17965</v>
      </c>
      <c r="R58" s="82">
        <v>21437</v>
      </c>
      <c r="S58" s="83">
        <v>27815</v>
      </c>
      <c r="V58" s="391" t="s">
        <v>130</v>
      </c>
      <c r="W58" s="391">
        <v>35</v>
      </c>
      <c r="X58" s="391" t="s">
        <v>146</v>
      </c>
      <c r="Y58" s="391">
        <v>4.03</v>
      </c>
      <c r="Z58" s="391">
        <v>3.21</v>
      </c>
      <c r="AG58" s="78"/>
      <c r="AI58" s="77"/>
      <c r="AJ58" s="77"/>
      <c r="AK58" s="77"/>
      <c r="AL58" s="77"/>
    </row>
    <row r="59" spans="1:38">
      <c r="A59" s="37">
        <v>60</v>
      </c>
      <c r="B59" s="109">
        <v>1000</v>
      </c>
      <c r="C59" s="103">
        <v>2000</v>
      </c>
      <c r="D59" s="103">
        <v>4000</v>
      </c>
      <c r="E59" s="103">
        <v>6000</v>
      </c>
      <c r="F59" s="103">
        <v>8000</v>
      </c>
      <c r="G59" s="110">
        <v>10000</v>
      </c>
      <c r="I59" s="54">
        <v>54</v>
      </c>
      <c r="J59" s="81">
        <v>6548</v>
      </c>
      <c r="K59" s="82">
        <v>10275</v>
      </c>
      <c r="L59" s="82">
        <v>13819</v>
      </c>
      <c r="M59" s="82">
        <v>16490</v>
      </c>
      <c r="N59" s="82">
        <v>21396</v>
      </c>
      <c r="O59" s="81">
        <v>8513</v>
      </c>
      <c r="P59" s="82">
        <v>13357</v>
      </c>
      <c r="Q59" s="82">
        <v>17965</v>
      </c>
      <c r="R59" s="82">
        <v>21437</v>
      </c>
      <c r="S59" s="83">
        <v>27815</v>
      </c>
      <c r="V59" s="391" t="s">
        <v>130</v>
      </c>
      <c r="W59" s="391">
        <v>36</v>
      </c>
      <c r="X59" s="391" t="s">
        <v>147</v>
      </c>
      <c r="Y59" s="391">
        <v>4.2699999999999996</v>
      </c>
      <c r="Z59" s="391">
        <v>3.39</v>
      </c>
      <c r="AG59" s="78"/>
      <c r="AI59" s="77"/>
      <c r="AJ59" s="77"/>
      <c r="AK59" s="77"/>
      <c r="AL59" s="77"/>
    </row>
    <row r="60" spans="1:38">
      <c r="A60" s="37">
        <v>61</v>
      </c>
      <c r="B60" s="109">
        <v>1750</v>
      </c>
      <c r="C60" s="103">
        <v>3500</v>
      </c>
      <c r="D60" s="103">
        <v>7000</v>
      </c>
      <c r="E60" s="103">
        <v>10500</v>
      </c>
      <c r="F60" s="103">
        <v>14000</v>
      </c>
      <c r="G60" s="110">
        <v>17500</v>
      </c>
      <c r="I60" s="54">
        <v>55</v>
      </c>
      <c r="J60" s="81">
        <v>6548</v>
      </c>
      <c r="K60" s="82">
        <v>10275</v>
      </c>
      <c r="L60" s="82">
        <v>13819</v>
      </c>
      <c r="M60" s="82">
        <v>16490</v>
      </c>
      <c r="N60" s="82">
        <v>21396</v>
      </c>
      <c r="O60" s="81">
        <v>8513</v>
      </c>
      <c r="P60" s="82">
        <v>13357</v>
      </c>
      <c r="Q60" s="82">
        <v>17965</v>
      </c>
      <c r="R60" s="82">
        <v>21437</v>
      </c>
      <c r="S60" s="83">
        <v>27815</v>
      </c>
      <c r="V60" s="391" t="s">
        <v>130</v>
      </c>
      <c r="W60" s="391">
        <v>37</v>
      </c>
      <c r="X60" s="391" t="s">
        <v>148</v>
      </c>
      <c r="Y60" s="391">
        <v>4.53</v>
      </c>
      <c r="Z60" s="391">
        <v>3.59</v>
      </c>
      <c r="AG60" s="78"/>
      <c r="AI60" s="77"/>
      <c r="AJ60" s="77"/>
      <c r="AK60" s="77"/>
      <c r="AL60" s="77"/>
    </row>
    <row r="61" spans="1:38">
      <c r="A61" s="37">
        <v>62</v>
      </c>
      <c r="B61" s="109">
        <v>1750</v>
      </c>
      <c r="C61" s="103">
        <v>3500</v>
      </c>
      <c r="D61" s="103">
        <v>7000</v>
      </c>
      <c r="E61" s="103">
        <v>10500</v>
      </c>
      <c r="F61" s="103">
        <v>14000</v>
      </c>
      <c r="G61" s="110">
        <v>17500</v>
      </c>
      <c r="I61" s="54">
        <v>56</v>
      </c>
      <c r="J61" s="81">
        <v>8706</v>
      </c>
      <c r="K61" s="82">
        <v>13659</v>
      </c>
      <c r="L61" s="82">
        <v>18372</v>
      </c>
      <c r="M61" s="82">
        <v>21922</v>
      </c>
      <c r="N61" s="82">
        <v>28444</v>
      </c>
      <c r="O61" s="81">
        <v>11286</v>
      </c>
      <c r="P61" s="82">
        <v>17709</v>
      </c>
      <c r="Q61" s="82">
        <v>23818</v>
      </c>
      <c r="R61" s="82">
        <v>28421</v>
      </c>
      <c r="S61" s="83">
        <v>36877</v>
      </c>
      <c r="V61" s="391" t="s">
        <v>130</v>
      </c>
      <c r="W61" s="391">
        <v>38</v>
      </c>
      <c r="X61" s="391" t="s">
        <v>149</v>
      </c>
      <c r="Y61" s="391">
        <v>4.8499999999999996</v>
      </c>
      <c r="Z61" s="391">
        <v>3.86</v>
      </c>
      <c r="AG61" s="78"/>
      <c r="AI61" s="77"/>
      <c r="AJ61" s="77"/>
      <c r="AK61" s="77"/>
      <c r="AL61" s="77"/>
    </row>
    <row r="62" spans="1:38">
      <c r="A62" s="37">
        <v>63</v>
      </c>
      <c r="B62" s="109">
        <v>1750</v>
      </c>
      <c r="C62" s="103">
        <v>3500</v>
      </c>
      <c r="D62" s="103">
        <v>7000</v>
      </c>
      <c r="E62" s="103">
        <v>10500</v>
      </c>
      <c r="F62" s="103">
        <v>14000</v>
      </c>
      <c r="G62" s="110">
        <v>17500</v>
      </c>
      <c r="I62" s="54">
        <v>57</v>
      </c>
      <c r="J62" s="81">
        <v>8706</v>
      </c>
      <c r="K62" s="82">
        <v>13659</v>
      </c>
      <c r="L62" s="82">
        <v>18372</v>
      </c>
      <c r="M62" s="82">
        <v>21922</v>
      </c>
      <c r="N62" s="82">
        <v>28444</v>
      </c>
      <c r="O62" s="81">
        <v>11286</v>
      </c>
      <c r="P62" s="82">
        <v>17709</v>
      </c>
      <c r="Q62" s="82">
        <v>23818</v>
      </c>
      <c r="R62" s="82">
        <v>28421</v>
      </c>
      <c r="S62" s="83">
        <v>36877</v>
      </c>
      <c r="V62" s="391" t="s">
        <v>130</v>
      </c>
      <c r="W62" s="391">
        <v>39</v>
      </c>
      <c r="X62" s="391" t="s">
        <v>150</v>
      </c>
      <c r="Y62" s="391">
        <v>5.18</v>
      </c>
      <c r="Z62" s="391">
        <v>4.16</v>
      </c>
      <c r="AG62" s="78"/>
      <c r="AI62" s="77"/>
      <c r="AJ62" s="77"/>
      <c r="AK62" s="77"/>
      <c r="AL62" s="77"/>
    </row>
    <row r="63" spans="1:38">
      <c r="A63" s="37">
        <v>64</v>
      </c>
      <c r="B63" s="109">
        <v>1750</v>
      </c>
      <c r="C63" s="103">
        <v>3500</v>
      </c>
      <c r="D63" s="103">
        <v>7000</v>
      </c>
      <c r="E63" s="103">
        <v>10500</v>
      </c>
      <c r="F63" s="103">
        <v>14000</v>
      </c>
      <c r="G63" s="110">
        <v>17500</v>
      </c>
      <c r="I63" s="54">
        <v>58</v>
      </c>
      <c r="J63" s="81">
        <v>8706</v>
      </c>
      <c r="K63" s="82">
        <v>13659</v>
      </c>
      <c r="L63" s="82">
        <v>18372</v>
      </c>
      <c r="M63" s="82">
        <v>21922</v>
      </c>
      <c r="N63" s="82">
        <v>28444</v>
      </c>
      <c r="O63" s="81">
        <v>11286</v>
      </c>
      <c r="P63" s="82">
        <v>17709</v>
      </c>
      <c r="Q63" s="82">
        <v>23818</v>
      </c>
      <c r="R63" s="82">
        <v>28421</v>
      </c>
      <c r="S63" s="83">
        <v>36877</v>
      </c>
      <c r="V63" s="391" t="s">
        <v>130</v>
      </c>
      <c r="W63" s="391">
        <v>40</v>
      </c>
      <c r="X63" s="391" t="s">
        <v>151</v>
      </c>
      <c r="Y63" s="392">
        <v>5.52</v>
      </c>
      <c r="Z63" s="392">
        <v>4.45</v>
      </c>
      <c r="AG63" s="78"/>
      <c r="AI63" s="77"/>
      <c r="AJ63" s="77"/>
      <c r="AK63" s="77"/>
      <c r="AL63" s="77"/>
    </row>
    <row r="64" spans="1:38">
      <c r="A64" s="37">
        <v>65</v>
      </c>
      <c r="B64" s="109">
        <v>1750</v>
      </c>
      <c r="C64" s="103">
        <v>3500</v>
      </c>
      <c r="D64" s="103">
        <v>7000</v>
      </c>
      <c r="E64" s="103">
        <v>10500</v>
      </c>
      <c r="F64" s="103">
        <v>14000</v>
      </c>
      <c r="G64" s="110">
        <v>17500</v>
      </c>
      <c r="I64" s="54">
        <v>59</v>
      </c>
      <c r="J64" s="81">
        <v>8706</v>
      </c>
      <c r="K64" s="82">
        <v>13659</v>
      </c>
      <c r="L64" s="82">
        <v>18372</v>
      </c>
      <c r="M64" s="82">
        <v>21922</v>
      </c>
      <c r="N64" s="82">
        <v>28444</v>
      </c>
      <c r="O64" s="81">
        <v>11286</v>
      </c>
      <c r="P64" s="82">
        <v>17709</v>
      </c>
      <c r="Q64" s="82">
        <v>23818</v>
      </c>
      <c r="R64" s="82">
        <v>28421</v>
      </c>
      <c r="S64" s="83">
        <v>36877</v>
      </c>
      <c r="V64" s="391" t="s">
        <v>130</v>
      </c>
      <c r="W64" s="391">
        <v>41</v>
      </c>
      <c r="X64" s="391" t="s">
        <v>152</v>
      </c>
      <c r="Y64" s="392">
        <v>5.9</v>
      </c>
      <c r="Z64" s="392">
        <v>4.71</v>
      </c>
    </row>
    <row r="65" spans="1:26">
      <c r="A65" s="37">
        <v>66</v>
      </c>
      <c r="B65" s="109">
        <v>2335</v>
      </c>
      <c r="C65" s="103">
        <v>4670</v>
      </c>
      <c r="D65" s="103">
        <v>9340</v>
      </c>
      <c r="E65" s="103">
        <v>14010</v>
      </c>
      <c r="F65" s="103">
        <v>18680</v>
      </c>
      <c r="G65" s="110">
        <v>23350</v>
      </c>
      <c r="I65" s="54">
        <v>60</v>
      </c>
      <c r="J65" s="81">
        <v>8706</v>
      </c>
      <c r="K65" s="82">
        <v>13659</v>
      </c>
      <c r="L65" s="82">
        <v>18372</v>
      </c>
      <c r="M65" s="82">
        <v>21922</v>
      </c>
      <c r="N65" s="82">
        <v>28444</v>
      </c>
      <c r="O65" s="81">
        <v>11286</v>
      </c>
      <c r="P65" s="82">
        <v>17709</v>
      </c>
      <c r="Q65" s="82">
        <v>23818</v>
      </c>
      <c r="R65" s="82">
        <v>28421</v>
      </c>
      <c r="S65" s="83">
        <v>36877</v>
      </c>
      <c r="V65" s="391" t="s">
        <v>130</v>
      </c>
      <c r="W65" s="391">
        <v>42</v>
      </c>
      <c r="X65" s="391" t="s">
        <v>153</v>
      </c>
      <c r="Y65" s="392">
        <v>6.28</v>
      </c>
      <c r="Z65" s="392">
        <v>4.97</v>
      </c>
    </row>
    <row r="66" spans="1:26">
      <c r="A66" s="37">
        <v>67</v>
      </c>
      <c r="B66" s="109">
        <v>2335</v>
      </c>
      <c r="C66" s="103">
        <v>4670</v>
      </c>
      <c r="D66" s="103">
        <v>9340</v>
      </c>
      <c r="E66" s="103">
        <v>14010</v>
      </c>
      <c r="F66" s="103">
        <v>18680</v>
      </c>
      <c r="G66" s="110">
        <v>23350</v>
      </c>
      <c r="I66" s="54">
        <v>61</v>
      </c>
      <c r="J66" s="81">
        <v>10362</v>
      </c>
      <c r="K66" s="82">
        <v>16258</v>
      </c>
      <c r="L66" s="82">
        <v>21867</v>
      </c>
      <c r="M66" s="82">
        <v>26093</v>
      </c>
      <c r="N66" s="82">
        <v>33856</v>
      </c>
      <c r="O66" s="81">
        <v>13443</v>
      </c>
      <c r="P66" s="82">
        <v>21094</v>
      </c>
      <c r="Q66" s="82">
        <v>28370</v>
      </c>
      <c r="R66" s="82">
        <v>33853</v>
      </c>
      <c r="S66" s="83">
        <v>43925</v>
      </c>
      <c r="V66" s="391" t="s">
        <v>130</v>
      </c>
      <c r="W66" s="391">
        <v>43</v>
      </c>
      <c r="X66" s="391" t="s">
        <v>154</v>
      </c>
      <c r="Y66" s="392">
        <v>6.79</v>
      </c>
      <c r="Z66" s="392">
        <v>5.34</v>
      </c>
    </row>
    <row r="67" spans="1:26">
      <c r="A67" s="37">
        <v>68</v>
      </c>
      <c r="B67" s="109">
        <v>2335</v>
      </c>
      <c r="C67" s="103">
        <v>4670</v>
      </c>
      <c r="D67" s="103">
        <v>9340</v>
      </c>
      <c r="E67" s="103">
        <v>14010</v>
      </c>
      <c r="F67" s="103">
        <v>18680</v>
      </c>
      <c r="G67" s="110">
        <v>23350</v>
      </c>
      <c r="I67" s="54">
        <v>62</v>
      </c>
      <c r="J67" s="81">
        <v>10978</v>
      </c>
      <c r="K67" s="82">
        <v>17225</v>
      </c>
      <c r="L67" s="82">
        <v>23168</v>
      </c>
      <c r="M67" s="82">
        <v>27645</v>
      </c>
      <c r="N67" s="82">
        <v>35870</v>
      </c>
      <c r="O67" s="81">
        <v>14214</v>
      </c>
      <c r="P67" s="82">
        <v>22302</v>
      </c>
      <c r="Q67" s="82">
        <v>29996</v>
      </c>
      <c r="R67" s="82">
        <v>35793</v>
      </c>
      <c r="S67" s="83">
        <v>46442</v>
      </c>
      <c r="V67" s="391" t="s">
        <v>130</v>
      </c>
      <c r="W67" s="391">
        <v>44</v>
      </c>
      <c r="X67" s="391" t="s">
        <v>155</v>
      </c>
      <c r="Y67" s="392">
        <v>7.39</v>
      </c>
      <c r="Z67" s="392">
        <v>5.8</v>
      </c>
    </row>
    <row r="68" spans="1:26">
      <c r="A68" s="37">
        <v>69</v>
      </c>
      <c r="B68" s="109">
        <v>2335</v>
      </c>
      <c r="C68" s="103">
        <v>4670</v>
      </c>
      <c r="D68" s="103">
        <v>9340</v>
      </c>
      <c r="E68" s="103">
        <v>14010</v>
      </c>
      <c r="F68" s="103">
        <v>18680</v>
      </c>
      <c r="G68" s="110">
        <v>23350</v>
      </c>
      <c r="I68" s="54">
        <v>63</v>
      </c>
      <c r="J68" s="81">
        <v>11672</v>
      </c>
      <c r="K68" s="82">
        <v>18313</v>
      </c>
      <c r="L68" s="82">
        <v>24631</v>
      </c>
      <c r="M68" s="82">
        <v>29391</v>
      </c>
      <c r="N68" s="82">
        <v>38136</v>
      </c>
      <c r="O68" s="81">
        <v>15138</v>
      </c>
      <c r="P68" s="82">
        <v>23753</v>
      </c>
      <c r="Q68" s="82">
        <v>31947</v>
      </c>
      <c r="R68" s="82">
        <v>38121</v>
      </c>
      <c r="S68" s="83">
        <v>49463</v>
      </c>
      <c r="V68" s="391" t="s">
        <v>130</v>
      </c>
      <c r="W68" s="391">
        <v>45</v>
      </c>
      <c r="X68" s="391" t="s">
        <v>156</v>
      </c>
      <c r="Y68" s="392">
        <v>8.09</v>
      </c>
      <c r="Z68" s="392">
        <v>6.38</v>
      </c>
    </row>
    <row r="69" spans="1:26">
      <c r="A69" s="37">
        <v>70</v>
      </c>
      <c r="B69" s="109">
        <v>2335</v>
      </c>
      <c r="C69" s="103">
        <v>4670</v>
      </c>
      <c r="D69" s="103">
        <v>9340</v>
      </c>
      <c r="E69" s="103">
        <v>14010</v>
      </c>
      <c r="F69" s="103">
        <v>18680</v>
      </c>
      <c r="G69" s="110">
        <v>23350</v>
      </c>
      <c r="I69" s="54">
        <v>64</v>
      </c>
      <c r="J69" s="81">
        <v>12288</v>
      </c>
      <c r="K69" s="82">
        <v>19280</v>
      </c>
      <c r="L69" s="82">
        <v>25932</v>
      </c>
      <c r="M69" s="82">
        <v>30943</v>
      </c>
      <c r="N69" s="82">
        <v>40149</v>
      </c>
      <c r="O69" s="81">
        <v>15909</v>
      </c>
      <c r="P69" s="82">
        <v>24962</v>
      </c>
      <c r="Q69" s="82">
        <v>33573</v>
      </c>
      <c r="R69" s="82">
        <v>40061</v>
      </c>
      <c r="S69" s="83">
        <v>51980</v>
      </c>
      <c r="V69" s="391" t="s">
        <v>130</v>
      </c>
      <c r="W69" s="391">
        <v>46</v>
      </c>
      <c r="X69" s="391" t="s">
        <v>157</v>
      </c>
      <c r="Y69" s="392">
        <v>8.67</v>
      </c>
      <c r="Z69" s="392">
        <v>6.82</v>
      </c>
    </row>
    <row r="70" spans="1:26">
      <c r="A70" s="37">
        <v>71</v>
      </c>
      <c r="B70" s="109">
        <v>3210</v>
      </c>
      <c r="C70" s="103">
        <v>6420</v>
      </c>
      <c r="D70" s="103">
        <v>12840</v>
      </c>
      <c r="E70" s="103">
        <v>19260</v>
      </c>
      <c r="F70" s="103">
        <v>25680</v>
      </c>
      <c r="G70" s="110">
        <v>32100</v>
      </c>
      <c r="I70" s="54">
        <v>65</v>
      </c>
      <c r="J70" s="81">
        <v>12866</v>
      </c>
      <c r="K70" s="82">
        <v>20187</v>
      </c>
      <c r="L70" s="82">
        <v>27151</v>
      </c>
      <c r="M70" s="82">
        <v>32398</v>
      </c>
      <c r="N70" s="82">
        <v>42037</v>
      </c>
      <c r="O70" s="81">
        <v>16833</v>
      </c>
      <c r="P70" s="82">
        <v>26412</v>
      </c>
      <c r="Q70" s="82">
        <v>35524</v>
      </c>
      <c r="R70" s="82">
        <v>42389</v>
      </c>
      <c r="S70" s="83">
        <v>55001</v>
      </c>
      <c r="V70" s="391" t="s">
        <v>130</v>
      </c>
      <c r="W70" s="391">
        <v>47</v>
      </c>
      <c r="X70" s="391" t="s">
        <v>158</v>
      </c>
      <c r="Y70" s="392">
        <v>9.33</v>
      </c>
      <c r="Z70" s="392">
        <v>7.36</v>
      </c>
    </row>
    <row r="71" spans="1:26">
      <c r="A71" s="37">
        <v>72</v>
      </c>
      <c r="B71" s="109">
        <v>3210</v>
      </c>
      <c r="C71" s="103">
        <v>6420</v>
      </c>
      <c r="D71" s="103">
        <v>12840</v>
      </c>
      <c r="E71" s="103">
        <v>19260</v>
      </c>
      <c r="F71" s="103">
        <v>25680</v>
      </c>
      <c r="G71" s="110">
        <v>32100</v>
      </c>
      <c r="I71" s="54">
        <v>66</v>
      </c>
      <c r="J71" s="81">
        <v>14792</v>
      </c>
      <c r="K71" s="82">
        <v>23209</v>
      </c>
      <c r="L71" s="82">
        <v>31215</v>
      </c>
      <c r="M71" s="82">
        <v>37248</v>
      </c>
      <c r="N71" s="82">
        <v>48330</v>
      </c>
      <c r="O71" s="81">
        <v>19183</v>
      </c>
      <c r="P71" s="82">
        <v>30099</v>
      </c>
      <c r="Q71" s="82">
        <v>40482</v>
      </c>
      <c r="R71" s="82">
        <v>48306</v>
      </c>
      <c r="S71" s="83">
        <v>62678</v>
      </c>
      <c r="V71" s="391" t="s">
        <v>130</v>
      </c>
      <c r="W71" s="391">
        <v>48</v>
      </c>
      <c r="X71" s="391" t="s">
        <v>159</v>
      </c>
      <c r="Y71" s="392">
        <v>10.14</v>
      </c>
      <c r="Z71" s="392">
        <v>8.06</v>
      </c>
    </row>
    <row r="72" spans="1:26">
      <c r="A72" s="37">
        <v>73</v>
      </c>
      <c r="B72" s="109">
        <v>3210</v>
      </c>
      <c r="C72" s="103">
        <v>6420</v>
      </c>
      <c r="D72" s="103">
        <v>12840</v>
      </c>
      <c r="E72" s="103">
        <v>19260</v>
      </c>
      <c r="F72" s="103">
        <v>25680</v>
      </c>
      <c r="G72" s="110">
        <v>32100</v>
      </c>
      <c r="I72" s="54">
        <v>67</v>
      </c>
      <c r="J72" s="81">
        <v>16101</v>
      </c>
      <c r="K72" s="82">
        <v>25264</v>
      </c>
      <c r="L72" s="82">
        <v>33979</v>
      </c>
      <c r="M72" s="82">
        <v>40546</v>
      </c>
      <c r="N72" s="82">
        <v>52609</v>
      </c>
      <c r="O72" s="81">
        <v>20878</v>
      </c>
      <c r="P72" s="82">
        <v>32758</v>
      </c>
      <c r="Q72" s="82">
        <v>44059</v>
      </c>
      <c r="R72" s="82">
        <v>52574</v>
      </c>
      <c r="S72" s="83">
        <v>68216</v>
      </c>
      <c r="V72" s="391" t="s">
        <v>130</v>
      </c>
      <c r="W72" s="391">
        <v>49</v>
      </c>
      <c r="X72" s="391" t="s">
        <v>160</v>
      </c>
      <c r="Y72" s="392">
        <v>11.05</v>
      </c>
      <c r="Z72" s="392">
        <v>8.9</v>
      </c>
    </row>
    <row r="73" spans="1:26">
      <c r="A73" s="37">
        <v>74</v>
      </c>
      <c r="B73" s="111">
        <v>3210</v>
      </c>
      <c r="C73" s="112">
        <v>6420</v>
      </c>
      <c r="D73" s="112">
        <v>12840</v>
      </c>
      <c r="E73" s="112">
        <v>19260</v>
      </c>
      <c r="F73" s="112">
        <v>25680</v>
      </c>
      <c r="G73" s="113">
        <v>32100</v>
      </c>
      <c r="I73" s="54">
        <v>68</v>
      </c>
      <c r="J73" s="81">
        <v>17411</v>
      </c>
      <c r="K73" s="82">
        <v>27319</v>
      </c>
      <c r="L73" s="82">
        <v>36743</v>
      </c>
      <c r="M73" s="82">
        <v>43844</v>
      </c>
      <c r="N73" s="82">
        <v>56889</v>
      </c>
      <c r="O73" s="81">
        <v>22688</v>
      </c>
      <c r="P73" s="82">
        <v>35599</v>
      </c>
      <c r="Q73" s="82">
        <v>47880</v>
      </c>
      <c r="R73" s="82">
        <v>57133</v>
      </c>
      <c r="S73" s="83">
        <v>74132</v>
      </c>
      <c r="V73" s="391" t="s">
        <v>130</v>
      </c>
      <c r="W73" s="391">
        <v>50</v>
      </c>
      <c r="X73" s="391" t="s">
        <v>161</v>
      </c>
      <c r="Y73" s="392">
        <v>12.04</v>
      </c>
      <c r="Z73" s="392">
        <v>9.76</v>
      </c>
    </row>
    <row r="74" spans="1:26">
      <c r="I74" s="54">
        <v>69</v>
      </c>
      <c r="J74" s="81">
        <v>18798</v>
      </c>
      <c r="K74" s="82">
        <v>29495</v>
      </c>
      <c r="L74" s="82">
        <v>39670</v>
      </c>
      <c r="M74" s="82">
        <v>47336</v>
      </c>
      <c r="N74" s="82">
        <v>61420</v>
      </c>
      <c r="O74" s="81">
        <v>24383</v>
      </c>
      <c r="P74" s="82">
        <v>38259</v>
      </c>
      <c r="Q74" s="82">
        <v>51457</v>
      </c>
      <c r="R74" s="82">
        <v>61401</v>
      </c>
      <c r="S74" s="83">
        <v>79669</v>
      </c>
      <c r="V74" s="391" t="s">
        <v>130</v>
      </c>
      <c r="W74" s="391">
        <v>51</v>
      </c>
      <c r="X74" s="391" t="s">
        <v>162</v>
      </c>
      <c r="Y74" s="392">
        <v>13.1</v>
      </c>
      <c r="Z74" s="392">
        <v>10.46</v>
      </c>
    </row>
    <row r="75" spans="1:26">
      <c r="I75" s="54">
        <v>70</v>
      </c>
      <c r="J75" s="81">
        <v>20107</v>
      </c>
      <c r="K75" s="82">
        <v>31550</v>
      </c>
      <c r="L75" s="82">
        <v>42433</v>
      </c>
      <c r="M75" s="82">
        <v>50634</v>
      </c>
      <c r="N75" s="82">
        <v>65699</v>
      </c>
      <c r="O75" s="81">
        <v>26194</v>
      </c>
      <c r="P75" s="82">
        <v>41099</v>
      </c>
      <c r="Q75" s="82">
        <v>55277</v>
      </c>
      <c r="R75" s="82">
        <v>65960</v>
      </c>
      <c r="S75" s="83">
        <v>85585</v>
      </c>
      <c r="V75" s="391" t="s">
        <v>130</v>
      </c>
      <c r="W75" s="391">
        <v>52</v>
      </c>
      <c r="X75" s="391" t="s">
        <v>163</v>
      </c>
      <c r="Y75" s="392">
        <v>14.23</v>
      </c>
      <c r="Z75" s="392">
        <v>11.22</v>
      </c>
    </row>
    <row r="76" spans="1:26">
      <c r="I76" s="54">
        <v>71</v>
      </c>
      <c r="J76" s="81">
        <v>21956</v>
      </c>
      <c r="K76" s="82">
        <v>34451</v>
      </c>
      <c r="L76" s="82">
        <v>46335</v>
      </c>
      <c r="M76" s="82">
        <v>55290</v>
      </c>
      <c r="N76" s="82">
        <v>71740</v>
      </c>
      <c r="O76" s="81">
        <v>28543</v>
      </c>
      <c r="P76" s="82">
        <v>44786</v>
      </c>
      <c r="Q76" s="82">
        <v>60236</v>
      </c>
      <c r="R76" s="82">
        <v>71877</v>
      </c>
      <c r="S76" s="83">
        <v>93262</v>
      </c>
      <c r="V76" s="391" t="s">
        <v>130</v>
      </c>
      <c r="W76" s="391">
        <v>53</v>
      </c>
      <c r="X76" s="391" t="s">
        <v>164</v>
      </c>
      <c r="Y76" s="392">
        <v>15.55</v>
      </c>
      <c r="Z76" s="392">
        <v>12.15</v>
      </c>
    </row>
    <row r="77" spans="1:26">
      <c r="I77" s="54">
        <v>72</v>
      </c>
      <c r="J77" s="81">
        <v>23844</v>
      </c>
      <c r="K77" s="82">
        <v>37412</v>
      </c>
      <c r="L77" s="82">
        <v>50319</v>
      </c>
      <c r="M77" s="82">
        <v>60043</v>
      </c>
      <c r="N77" s="82">
        <v>77907</v>
      </c>
      <c r="O77" s="81">
        <v>31047</v>
      </c>
      <c r="P77" s="82">
        <v>48715</v>
      </c>
      <c r="Q77" s="82">
        <v>65520</v>
      </c>
      <c r="R77" s="82">
        <v>78182</v>
      </c>
      <c r="S77" s="83">
        <v>101443</v>
      </c>
      <c r="V77" s="391" t="s">
        <v>130</v>
      </c>
      <c r="W77" s="391">
        <v>54</v>
      </c>
      <c r="X77" s="391" t="s">
        <v>165</v>
      </c>
      <c r="Y77" s="392">
        <v>17.16</v>
      </c>
      <c r="Z77" s="392">
        <v>13.21</v>
      </c>
    </row>
    <row r="78" spans="1:26">
      <c r="I78" s="54">
        <v>73</v>
      </c>
      <c r="J78" s="81">
        <v>25770</v>
      </c>
      <c r="K78" s="82">
        <v>40434</v>
      </c>
      <c r="L78" s="82">
        <v>54383</v>
      </c>
      <c r="M78" s="82">
        <v>64893</v>
      </c>
      <c r="N78" s="82">
        <v>84200</v>
      </c>
      <c r="O78" s="81">
        <v>33512</v>
      </c>
      <c r="P78" s="82">
        <v>52583</v>
      </c>
      <c r="Q78" s="82">
        <v>70722</v>
      </c>
      <c r="R78" s="82">
        <v>84390</v>
      </c>
      <c r="S78" s="83">
        <v>109498</v>
      </c>
      <c r="V78" s="391" t="s">
        <v>130</v>
      </c>
      <c r="W78" s="391">
        <v>55</v>
      </c>
      <c r="X78" s="391" t="s">
        <v>166</v>
      </c>
      <c r="Y78" s="392">
        <v>19.010000000000002</v>
      </c>
      <c r="Z78" s="392">
        <v>14.37</v>
      </c>
    </row>
    <row r="79" spans="1:26">
      <c r="I79" s="54">
        <v>74</v>
      </c>
      <c r="J79" s="81">
        <v>27696</v>
      </c>
      <c r="K79" s="82">
        <v>43456</v>
      </c>
      <c r="L79" s="82">
        <v>58448</v>
      </c>
      <c r="M79" s="82">
        <v>69743</v>
      </c>
      <c r="N79" s="82">
        <v>90493</v>
      </c>
      <c r="O79" s="81">
        <v>36016</v>
      </c>
      <c r="P79" s="82">
        <v>56511</v>
      </c>
      <c r="Q79" s="82">
        <v>76006</v>
      </c>
      <c r="R79" s="82">
        <v>90695</v>
      </c>
      <c r="S79" s="83">
        <v>117679</v>
      </c>
      <c r="V79" s="391" t="s">
        <v>130</v>
      </c>
      <c r="W79" s="391">
        <v>56</v>
      </c>
      <c r="X79" s="391" t="s">
        <v>167</v>
      </c>
      <c r="Y79" s="392">
        <v>20.59</v>
      </c>
      <c r="Z79" s="392">
        <v>15.57</v>
      </c>
    </row>
    <row r="80" spans="1:26">
      <c r="V80" s="391" t="s">
        <v>130</v>
      </c>
      <c r="W80" s="391">
        <v>57</v>
      </c>
      <c r="X80" s="391" t="s">
        <v>168</v>
      </c>
      <c r="Y80" s="392">
        <v>22.25</v>
      </c>
      <c r="Z80" s="392">
        <v>16.88</v>
      </c>
    </row>
    <row r="81" spans="22:26">
      <c r="V81" s="391" t="s">
        <v>130</v>
      </c>
      <c r="W81" s="391">
        <v>58</v>
      </c>
      <c r="X81" s="391" t="s">
        <v>169</v>
      </c>
      <c r="Y81" s="392">
        <v>24.02</v>
      </c>
      <c r="Z81" s="392">
        <v>18.34</v>
      </c>
    </row>
    <row r="82" spans="22:26">
      <c r="V82" s="391" t="s">
        <v>130</v>
      </c>
      <c r="W82" s="391">
        <v>59</v>
      </c>
      <c r="X82" s="391" t="s">
        <v>170</v>
      </c>
      <c r="Y82" s="392">
        <v>25.89</v>
      </c>
      <c r="Z82" s="392">
        <v>19.93</v>
      </c>
    </row>
    <row r="83" spans="22:26">
      <c r="V83" s="391" t="s">
        <v>130</v>
      </c>
      <c r="W83" s="391">
        <v>60</v>
      </c>
      <c r="X83" s="391" t="s">
        <v>171</v>
      </c>
      <c r="Y83" s="392">
        <v>28.03</v>
      </c>
      <c r="Z83" s="392">
        <v>21.67</v>
      </c>
    </row>
    <row r="84" spans="22:26">
      <c r="V84" s="391" t="s">
        <v>130</v>
      </c>
      <c r="W84" s="391">
        <v>61</v>
      </c>
      <c r="X84" s="391" t="s">
        <v>172</v>
      </c>
      <c r="Y84" s="392">
        <v>30.11</v>
      </c>
      <c r="Z84" s="392">
        <v>23.32</v>
      </c>
    </row>
    <row r="85" spans="22:26">
      <c r="V85" s="391" t="s">
        <v>130</v>
      </c>
      <c r="W85" s="391">
        <v>62</v>
      </c>
      <c r="X85" s="391" t="s">
        <v>173</v>
      </c>
      <c r="Y85" s="392">
        <v>32.369999999999997</v>
      </c>
      <c r="Z85" s="392">
        <v>25.14</v>
      </c>
    </row>
    <row r="86" spans="22:26">
      <c r="V86" s="391" t="s">
        <v>130</v>
      </c>
      <c r="W86" s="391">
        <v>63</v>
      </c>
      <c r="X86" s="391" t="s">
        <v>174</v>
      </c>
      <c r="Y86" s="392">
        <v>35.06</v>
      </c>
      <c r="Z86" s="392">
        <v>27.39</v>
      </c>
    </row>
    <row r="87" spans="22:26">
      <c r="V87" s="391" t="s">
        <v>130</v>
      </c>
      <c r="W87" s="391">
        <v>64</v>
      </c>
      <c r="X87" s="391" t="s">
        <v>175</v>
      </c>
      <c r="Y87" s="392">
        <v>38.01</v>
      </c>
      <c r="Z87" s="392">
        <v>29.69</v>
      </c>
    </row>
    <row r="88" spans="22:26">
      <c r="V88" s="391" t="s">
        <v>130</v>
      </c>
      <c r="W88" s="391">
        <v>65</v>
      </c>
      <c r="X88" s="391" t="s">
        <v>176</v>
      </c>
      <c r="Y88" s="392">
        <v>41.2</v>
      </c>
      <c r="Z88" s="392">
        <v>32.15</v>
      </c>
    </row>
    <row r="89" spans="22:26">
      <c r="V89" s="391" t="s">
        <v>130</v>
      </c>
      <c r="W89" s="391">
        <v>66</v>
      </c>
      <c r="X89" s="391" t="s">
        <v>177</v>
      </c>
      <c r="Y89" s="392">
        <v>43.22</v>
      </c>
      <c r="Z89" s="392">
        <v>34.49</v>
      </c>
    </row>
    <row r="90" spans="22:26">
      <c r="V90" s="391" t="s">
        <v>130</v>
      </c>
      <c r="W90" s="391">
        <v>67</v>
      </c>
      <c r="X90" s="391" t="s">
        <v>178</v>
      </c>
      <c r="Y90" s="392">
        <v>45.33</v>
      </c>
      <c r="Z90" s="392">
        <v>36.9</v>
      </c>
    </row>
    <row r="91" spans="22:26">
      <c r="V91" s="391" t="s">
        <v>130</v>
      </c>
      <c r="W91" s="391">
        <v>68</v>
      </c>
      <c r="X91" s="391" t="s">
        <v>179</v>
      </c>
      <c r="Y91" s="392">
        <v>49.44</v>
      </c>
      <c r="Z91" s="392">
        <v>40.04</v>
      </c>
    </row>
    <row r="92" spans="22:26">
      <c r="V92" s="391" t="s">
        <v>130</v>
      </c>
      <c r="W92" s="391">
        <v>69</v>
      </c>
      <c r="X92" s="391" t="s">
        <v>180</v>
      </c>
      <c r="Y92" s="392">
        <v>58.34</v>
      </c>
      <c r="Z92" s="392">
        <v>48.03</v>
      </c>
    </row>
    <row r="93" spans="22:26">
      <c r="V93" s="391" t="s">
        <v>130</v>
      </c>
      <c r="W93" s="391">
        <v>70</v>
      </c>
      <c r="X93" s="391" t="s">
        <v>181</v>
      </c>
      <c r="Y93" s="392">
        <v>65.739999999999995</v>
      </c>
      <c r="Z93" s="392">
        <v>52.9</v>
      </c>
    </row>
    <row r="94" spans="22:26">
      <c r="V94" s="391" t="s">
        <v>130</v>
      </c>
      <c r="W94" s="391">
        <v>71</v>
      </c>
      <c r="X94" s="391" t="s">
        <v>182</v>
      </c>
      <c r="Y94" s="392">
        <v>73.77</v>
      </c>
      <c r="Z94" s="392">
        <v>58.36</v>
      </c>
    </row>
    <row r="95" spans="22:26">
      <c r="V95" s="391" t="s">
        <v>130</v>
      </c>
      <c r="W95" s="391">
        <v>72</v>
      </c>
      <c r="X95" s="391" t="s">
        <v>183</v>
      </c>
      <c r="Y95" s="392">
        <v>81.760000000000005</v>
      </c>
      <c r="Z95" s="392">
        <v>64.09</v>
      </c>
    </row>
    <row r="96" spans="22:26">
      <c r="V96" s="391" t="s">
        <v>130</v>
      </c>
      <c r="W96" s="391">
        <v>73</v>
      </c>
      <c r="X96" s="391" t="s">
        <v>184</v>
      </c>
      <c r="Y96" s="392">
        <v>89.14</v>
      </c>
      <c r="Z96" s="392">
        <v>69.989999999999995</v>
      </c>
    </row>
    <row r="97" spans="22:26">
      <c r="V97" s="391" t="s">
        <v>130</v>
      </c>
      <c r="W97" s="391">
        <v>74</v>
      </c>
      <c r="X97" s="391" t="s">
        <v>185</v>
      </c>
      <c r="Y97" s="392">
        <v>101</v>
      </c>
      <c r="Z97" s="392">
        <v>82.81</v>
      </c>
    </row>
    <row r="98" spans="22:26">
      <c r="V98" s="393" t="s">
        <v>188</v>
      </c>
      <c r="W98" s="393">
        <v>20</v>
      </c>
      <c r="X98" s="393" t="s">
        <v>192</v>
      </c>
      <c r="Y98" s="393">
        <v>3.43</v>
      </c>
      <c r="Z98" s="393">
        <v>1.84</v>
      </c>
    </row>
    <row r="99" spans="22:26">
      <c r="V99" s="393" t="s">
        <v>188</v>
      </c>
      <c r="W99" s="393">
        <v>21</v>
      </c>
      <c r="X99" s="393" t="s">
        <v>193</v>
      </c>
      <c r="Y99" s="393">
        <v>3.44</v>
      </c>
      <c r="Z99" s="393">
        <v>1.86</v>
      </c>
    </row>
    <row r="100" spans="22:26">
      <c r="V100" s="393" t="s">
        <v>188</v>
      </c>
      <c r="W100" s="393">
        <v>22</v>
      </c>
      <c r="X100" s="393" t="s">
        <v>194</v>
      </c>
      <c r="Y100" s="393">
        <v>3.47</v>
      </c>
      <c r="Z100" s="393">
        <v>1.88</v>
      </c>
    </row>
    <row r="101" spans="22:26">
      <c r="V101" s="393" t="s">
        <v>188</v>
      </c>
      <c r="W101" s="393">
        <v>23</v>
      </c>
      <c r="X101" s="393" t="s">
        <v>195</v>
      </c>
      <c r="Y101" s="393">
        <v>3.5</v>
      </c>
      <c r="Z101" s="393">
        <v>1.9</v>
      </c>
    </row>
    <row r="102" spans="22:26">
      <c r="V102" s="393" t="s">
        <v>188</v>
      </c>
      <c r="W102" s="393">
        <v>24</v>
      </c>
      <c r="X102" s="393" t="s">
        <v>196</v>
      </c>
      <c r="Y102" s="393">
        <v>3.58</v>
      </c>
      <c r="Z102" s="393">
        <v>1.91</v>
      </c>
    </row>
    <row r="103" spans="22:26">
      <c r="V103" s="393" t="s">
        <v>188</v>
      </c>
      <c r="W103" s="393">
        <v>25</v>
      </c>
      <c r="X103" s="393" t="s">
        <v>197</v>
      </c>
      <c r="Y103" s="393">
        <v>3.61</v>
      </c>
      <c r="Z103" s="393">
        <v>1.93</v>
      </c>
    </row>
    <row r="104" spans="22:26">
      <c r="V104" s="393" t="s">
        <v>188</v>
      </c>
      <c r="W104" s="393">
        <v>26</v>
      </c>
      <c r="X104" s="393" t="s">
        <v>198</v>
      </c>
      <c r="Y104" s="393">
        <v>3.65</v>
      </c>
      <c r="Z104" s="393">
        <v>1.95</v>
      </c>
    </row>
    <row r="105" spans="22:26">
      <c r="V105" s="393" t="s">
        <v>188</v>
      </c>
      <c r="W105" s="393">
        <v>27</v>
      </c>
      <c r="X105" s="393" t="s">
        <v>199</v>
      </c>
      <c r="Y105" s="393">
        <v>3.7</v>
      </c>
      <c r="Z105" s="393">
        <v>1.97</v>
      </c>
    </row>
    <row r="106" spans="22:26">
      <c r="V106" s="393" t="s">
        <v>188</v>
      </c>
      <c r="W106" s="393">
        <v>28</v>
      </c>
      <c r="X106" s="393" t="s">
        <v>200</v>
      </c>
      <c r="Y106" s="393">
        <v>3.76</v>
      </c>
      <c r="Z106" s="393">
        <v>1.99</v>
      </c>
    </row>
    <row r="107" spans="22:26">
      <c r="V107" s="393" t="s">
        <v>188</v>
      </c>
      <c r="W107" s="393">
        <v>29</v>
      </c>
      <c r="X107" s="393" t="s">
        <v>201</v>
      </c>
      <c r="Y107" s="393">
        <v>3.84</v>
      </c>
      <c r="Z107" s="393">
        <v>2.0099999999999998</v>
      </c>
    </row>
    <row r="108" spans="22:26">
      <c r="V108" s="393" t="s">
        <v>188</v>
      </c>
      <c r="W108" s="393">
        <v>30</v>
      </c>
      <c r="X108" s="393" t="s">
        <v>202</v>
      </c>
      <c r="Y108" s="393">
        <v>3.93</v>
      </c>
      <c r="Z108" s="393">
        <v>2.04</v>
      </c>
    </row>
    <row r="109" spans="22:26">
      <c r="V109" s="393" t="s">
        <v>188</v>
      </c>
      <c r="W109" s="393">
        <v>31</v>
      </c>
      <c r="X109" s="393" t="s">
        <v>203</v>
      </c>
      <c r="Y109" s="393">
        <v>4.05</v>
      </c>
      <c r="Z109" s="393">
        <v>2.08</v>
      </c>
    </row>
    <row r="110" spans="22:26">
      <c r="V110" s="393" t="s">
        <v>188</v>
      </c>
      <c r="W110" s="393">
        <v>32</v>
      </c>
      <c r="X110" s="393" t="s">
        <v>204</v>
      </c>
      <c r="Y110" s="393">
        <v>4.18</v>
      </c>
      <c r="Z110" s="393">
        <v>2.13</v>
      </c>
    </row>
    <row r="111" spans="22:26">
      <c r="V111" s="393" t="s">
        <v>188</v>
      </c>
      <c r="W111" s="393">
        <v>33</v>
      </c>
      <c r="X111" s="393" t="s">
        <v>205</v>
      </c>
      <c r="Y111" s="393">
        <v>4.32</v>
      </c>
      <c r="Z111" s="393">
        <v>2.1800000000000002</v>
      </c>
    </row>
    <row r="112" spans="22:26">
      <c r="V112" s="393" t="s">
        <v>188</v>
      </c>
      <c r="W112" s="393">
        <v>34</v>
      </c>
      <c r="X112" s="393" t="s">
        <v>206</v>
      </c>
      <c r="Y112" s="393">
        <v>4.4800000000000004</v>
      </c>
      <c r="Z112" s="393">
        <v>2.2400000000000002</v>
      </c>
    </row>
    <row r="113" spans="22:26">
      <c r="V113" s="393" t="s">
        <v>188</v>
      </c>
      <c r="W113" s="393">
        <v>35</v>
      </c>
      <c r="X113" s="393" t="s">
        <v>207</v>
      </c>
      <c r="Y113" s="393">
        <v>4.6500000000000004</v>
      </c>
      <c r="Z113" s="393">
        <v>2.31</v>
      </c>
    </row>
    <row r="114" spans="22:26">
      <c r="V114" s="393" t="s">
        <v>188</v>
      </c>
      <c r="W114" s="393">
        <v>36</v>
      </c>
      <c r="X114" s="393" t="s">
        <v>208</v>
      </c>
      <c r="Y114" s="393">
        <v>5.45</v>
      </c>
      <c r="Z114" s="393">
        <v>2.39</v>
      </c>
    </row>
    <row r="115" spans="22:26">
      <c r="V115" s="393" t="s">
        <v>188</v>
      </c>
      <c r="W115" s="393">
        <v>37</v>
      </c>
      <c r="X115" s="393" t="s">
        <v>209</v>
      </c>
      <c r="Y115" s="393">
        <v>5.67</v>
      </c>
      <c r="Z115" s="393">
        <v>2.48</v>
      </c>
    </row>
    <row r="116" spans="22:26">
      <c r="V116" s="393" t="s">
        <v>188</v>
      </c>
      <c r="W116" s="393">
        <v>38</v>
      </c>
      <c r="X116" s="393" t="s">
        <v>210</v>
      </c>
      <c r="Y116" s="393">
        <v>5.91</v>
      </c>
      <c r="Z116" s="393">
        <v>2.58</v>
      </c>
    </row>
    <row r="117" spans="22:26">
      <c r="V117" s="393" t="s">
        <v>188</v>
      </c>
      <c r="W117" s="393">
        <v>39</v>
      </c>
      <c r="X117" s="393" t="s">
        <v>211</v>
      </c>
      <c r="Y117" s="393">
        <v>6.18</v>
      </c>
      <c r="Z117" s="393">
        <v>2.7</v>
      </c>
    </row>
    <row r="118" spans="22:26">
      <c r="V118" s="393" t="s">
        <v>188</v>
      </c>
      <c r="W118" s="393">
        <v>40</v>
      </c>
      <c r="X118" s="393" t="s">
        <v>212</v>
      </c>
      <c r="Y118" s="393">
        <v>6.47</v>
      </c>
      <c r="Z118" s="393">
        <v>2.82</v>
      </c>
    </row>
    <row r="119" spans="22:26">
      <c r="V119" s="393" t="s">
        <v>188</v>
      </c>
      <c r="W119" s="393">
        <v>41</v>
      </c>
      <c r="X119" s="393" t="s">
        <v>213</v>
      </c>
      <c r="Y119" s="393">
        <v>6.79</v>
      </c>
      <c r="Z119" s="393">
        <v>2.96</v>
      </c>
    </row>
    <row r="120" spans="22:26">
      <c r="V120" s="393" t="s">
        <v>188</v>
      </c>
      <c r="W120" s="393">
        <v>42</v>
      </c>
      <c r="X120" s="393" t="s">
        <v>214</v>
      </c>
      <c r="Y120" s="393">
        <v>7.14</v>
      </c>
      <c r="Z120" s="393">
        <v>3.74</v>
      </c>
    </row>
    <row r="121" spans="22:26">
      <c r="V121" s="393" t="s">
        <v>188</v>
      </c>
      <c r="W121" s="393">
        <v>43</v>
      </c>
      <c r="X121" s="393" t="s">
        <v>215</v>
      </c>
      <c r="Y121" s="393">
        <v>7.54</v>
      </c>
      <c r="Z121" s="393">
        <v>3.92</v>
      </c>
    </row>
    <row r="122" spans="22:26">
      <c r="V122" s="393" t="s">
        <v>188</v>
      </c>
      <c r="W122" s="393">
        <v>44</v>
      </c>
      <c r="X122" s="393" t="s">
        <v>216</v>
      </c>
      <c r="Y122" s="393">
        <v>7.97</v>
      </c>
      <c r="Z122" s="393">
        <v>4.12</v>
      </c>
    </row>
    <row r="123" spans="22:26">
      <c r="V123" s="393" t="s">
        <v>188</v>
      </c>
      <c r="W123" s="393">
        <v>45</v>
      </c>
      <c r="X123" s="393" t="s">
        <v>217</v>
      </c>
      <c r="Y123" s="393">
        <v>8.44</v>
      </c>
      <c r="Z123" s="393">
        <v>4.33</v>
      </c>
    </row>
    <row r="124" spans="22:26">
      <c r="V124" s="393" t="s">
        <v>188</v>
      </c>
      <c r="W124" s="393">
        <v>46</v>
      </c>
      <c r="X124" s="393" t="s">
        <v>218</v>
      </c>
      <c r="Y124" s="393">
        <v>8.9600000000000009</v>
      </c>
      <c r="Z124" s="393">
        <v>4.57</v>
      </c>
    </row>
    <row r="125" spans="22:26">
      <c r="V125" s="393" t="s">
        <v>188</v>
      </c>
      <c r="W125" s="393">
        <v>47</v>
      </c>
      <c r="X125" s="393" t="s">
        <v>219</v>
      </c>
      <c r="Y125" s="393">
        <v>9.51</v>
      </c>
      <c r="Z125" s="393">
        <v>4.83</v>
      </c>
    </row>
    <row r="126" spans="22:26">
      <c r="V126" s="393" t="s">
        <v>188</v>
      </c>
      <c r="W126" s="393">
        <v>48</v>
      </c>
      <c r="X126" s="393" t="s">
        <v>220</v>
      </c>
      <c r="Y126" s="393">
        <v>10.119999999999999</v>
      </c>
      <c r="Z126" s="393">
        <v>5.12</v>
      </c>
    </row>
    <row r="127" spans="22:26">
      <c r="V127" s="393" t="s">
        <v>188</v>
      </c>
      <c r="W127" s="393">
        <v>49</v>
      </c>
      <c r="X127" s="393" t="s">
        <v>221</v>
      </c>
      <c r="Y127" s="393">
        <v>10.77</v>
      </c>
      <c r="Z127" s="393">
        <v>5.44</v>
      </c>
    </row>
    <row r="128" spans="22:26">
      <c r="V128" s="393" t="s">
        <v>188</v>
      </c>
      <c r="W128" s="393">
        <v>50</v>
      </c>
      <c r="X128" s="393" t="s">
        <v>222</v>
      </c>
      <c r="Y128" s="393">
        <v>11.48</v>
      </c>
      <c r="Z128" s="393">
        <v>5.81</v>
      </c>
    </row>
    <row r="129" spans="22:26">
      <c r="V129" s="393" t="s">
        <v>188</v>
      </c>
      <c r="W129" s="393">
        <v>51</v>
      </c>
      <c r="X129" s="393" t="s">
        <v>223</v>
      </c>
      <c r="Y129" s="393">
        <v>12.25</v>
      </c>
      <c r="Z129" s="393">
        <v>6.23</v>
      </c>
    </row>
    <row r="130" spans="22:26">
      <c r="V130" s="393" t="s">
        <v>188</v>
      </c>
      <c r="W130" s="393">
        <v>52</v>
      </c>
      <c r="X130" s="393" t="s">
        <v>224</v>
      </c>
      <c r="Y130" s="393">
        <v>13.09</v>
      </c>
      <c r="Z130" s="393">
        <v>6.7</v>
      </c>
    </row>
    <row r="131" spans="22:26">
      <c r="V131" s="393" t="s">
        <v>188</v>
      </c>
      <c r="W131" s="393">
        <v>53</v>
      </c>
      <c r="X131" s="393" t="s">
        <v>225</v>
      </c>
      <c r="Y131" s="393">
        <v>14.01</v>
      </c>
      <c r="Z131" s="393">
        <v>7.24</v>
      </c>
    </row>
    <row r="132" spans="22:26">
      <c r="V132" s="393" t="s">
        <v>188</v>
      </c>
      <c r="W132" s="393">
        <v>54</v>
      </c>
      <c r="X132" s="393" t="s">
        <v>226</v>
      </c>
      <c r="Y132" s="393">
        <v>15.04</v>
      </c>
      <c r="Z132" s="393">
        <v>7.85</v>
      </c>
    </row>
    <row r="133" spans="22:26">
      <c r="V133" s="393" t="s">
        <v>188</v>
      </c>
      <c r="W133" s="393">
        <v>55</v>
      </c>
      <c r="X133" s="393" t="s">
        <v>227</v>
      </c>
      <c r="Y133" s="393">
        <v>16.2</v>
      </c>
      <c r="Z133" s="393">
        <v>8.5399999999999991</v>
      </c>
    </row>
    <row r="134" spans="22:26">
      <c r="V134" s="393" t="s">
        <v>188</v>
      </c>
      <c r="W134" s="393">
        <v>56</v>
      </c>
      <c r="X134" s="393" t="s">
        <v>228</v>
      </c>
      <c r="Y134" s="393">
        <v>17.5</v>
      </c>
      <c r="Z134" s="393">
        <v>9.32</v>
      </c>
    </row>
    <row r="135" spans="22:26">
      <c r="V135" s="393" t="s">
        <v>188</v>
      </c>
      <c r="W135" s="393">
        <v>57</v>
      </c>
      <c r="X135" s="393" t="s">
        <v>229</v>
      </c>
      <c r="Y135" s="393">
        <v>18.98</v>
      </c>
      <c r="Z135" s="393">
        <v>10.19</v>
      </c>
    </row>
    <row r="136" spans="22:26">
      <c r="V136" s="393" t="s">
        <v>188</v>
      </c>
      <c r="W136" s="393">
        <v>58</v>
      </c>
      <c r="X136" s="393" t="s">
        <v>230</v>
      </c>
      <c r="Y136" s="393">
        <v>20.65</v>
      </c>
      <c r="Z136" s="393">
        <v>11.18</v>
      </c>
    </row>
    <row r="137" spans="22:26">
      <c r="V137" s="393" t="s">
        <v>188</v>
      </c>
      <c r="W137" s="393">
        <v>59</v>
      </c>
      <c r="X137" s="393" t="s">
        <v>231</v>
      </c>
      <c r="Y137" s="393">
        <v>22.54</v>
      </c>
      <c r="Z137" s="393">
        <v>12.31</v>
      </c>
    </row>
    <row r="138" spans="22:26">
      <c r="V138" s="394" t="s">
        <v>189</v>
      </c>
      <c r="W138" s="394">
        <v>20</v>
      </c>
      <c r="X138" s="394" t="s">
        <v>232</v>
      </c>
      <c r="Y138" s="394">
        <v>3.38</v>
      </c>
      <c r="Z138" s="394">
        <v>1.79</v>
      </c>
    </row>
    <row r="139" spans="22:26">
      <c r="V139" s="394" t="s">
        <v>189</v>
      </c>
      <c r="W139" s="394">
        <v>21</v>
      </c>
      <c r="X139" s="394" t="s">
        <v>233</v>
      </c>
      <c r="Y139" s="394">
        <v>3.43</v>
      </c>
      <c r="Z139" s="394">
        <v>1.81</v>
      </c>
    </row>
    <row r="140" spans="22:26">
      <c r="V140" s="394" t="s">
        <v>189</v>
      </c>
      <c r="W140" s="394">
        <v>22</v>
      </c>
      <c r="X140" s="394" t="s">
        <v>234</v>
      </c>
      <c r="Y140" s="394">
        <v>3.47</v>
      </c>
      <c r="Z140" s="394">
        <v>1.83</v>
      </c>
    </row>
    <row r="141" spans="22:26">
      <c r="V141" s="394" t="s">
        <v>189</v>
      </c>
      <c r="W141" s="394">
        <v>23</v>
      </c>
      <c r="X141" s="394" t="s">
        <v>235</v>
      </c>
      <c r="Y141" s="394">
        <v>3.52</v>
      </c>
      <c r="Z141" s="394">
        <v>1.85</v>
      </c>
    </row>
    <row r="142" spans="22:26">
      <c r="V142" s="394" t="s">
        <v>189</v>
      </c>
      <c r="W142" s="394">
        <v>24</v>
      </c>
      <c r="X142" s="394" t="s">
        <v>236</v>
      </c>
      <c r="Y142" s="394">
        <v>3.58</v>
      </c>
      <c r="Z142" s="394">
        <v>1.88</v>
      </c>
    </row>
    <row r="143" spans="22:26">
      <c r="V143" s="394" t="s">
        <v>189</v>
      </c>
      <c r="W143" s="394">
        <v>25</v>
      </c>
      <c r="X143" s="394" t="s">
        <v>237</v>
      </c>
      <c r="Y143" s="394">
        <v>3.64</v>
      </c>
      <c r="Z143" s="394">
        <v>1.9</v>
      </c>
    </row>
    <row r="144" spans="22:26">
      <c r="V144" s="394" t="s">
        <v>189</v>
      </c>
      <c r="W144" s="394">
        <v>26</v>
      </c>
      <c r="X144" s="394" t="s">
        <v>238</v>
      </c>
      <c r="Y144" s="394">
        <v>3.72</v>
      </c>
      <c r="Z144" s="394">
        <v>1.93</v>
      </c>
    </row>
    <row r="145" spans="22:26">
      <c r="V145" s="394" t="s">
        <v>189</v>
      </c>
      <c r="W145" s="394">
        <v>27</v>
      </c>
      <c r="X145" s="394" t="s">
        <v>239</v>
      </c>
      <c r="Y145" s="394">
        <v>3.81</v>
      </c>
      <c r="Z145" s="394">
        <v>1.97</v>
      </c>
    </row>
    <row r="146" spans="22:26">
      <c r="V146" s="394" t="s">
        <v>189</v>
      </c>
      <c r="W146" s="394">
        <v>28</v>
      </c>
      <c r="X146" s="394" t="s">
        <v>240</v>
      </c>
      <c r="Y146" s="394">
        <v>3.92</v>
      </c>
      <c r="Z146" s="394">
        <v>2.0099999999999998</v>
      </c>
    </row>
    <row r="147" spans="22:26">
      <c r="V147" s="394" t="s">
        <v>189</v>
      </c>
      <c r="W147" s="394">
        <v>29</v>
      </c>
      <c r="X147" s="394" t="s">
        <v>241</v>
      </c>
      <c r="Y147" s="394">
        <v>4.04</v>
      </c>
      <c r="Z147" s="394">
        <v>2.0499999999999998</v>
      </c>
    </row>
    <row r="148" spans="22:26">
      <c r="V148" s="394" t="s">
        <v>189</v>
      </c>
      <c r="W148" s="394">
        <v>30</v>
      </c>
      <c r="X148" s="394" t="s">
        <v>242</v>
      </c>
      <c r="Y148" s="394">
        <v>4.18</v>
      </c>
      <c r="Z148" s="394">
        <v>2.11</v>
      </c>
    </row>
    <row r="149" spans="22:26">
      <c r="V149" s="394" t="s">
        <v>189</v>
      </c>
      <c r="W149" s="394">
        <v>31</v>
      </c>
      <c r="X149" s="394" t="s">
        <v>243</v>
      </c>
      <c r="Y149" s="394">
        <v>4.34</v>
      </c>
      <c r="Z149" s="394">
        <v>2.17</v>
      </c>
    </row>
    <row r="150" spans="22:26">
      <c r="V150" s="394" t="s">
        <v>189</v>
      </c>
      <c r="W150" s="394">
        <v>32</v>
      </c>
      <c r="X150" s="394" t="s">
        <v>244</v>
      </c>
      <c r="Y150" s="394">
        <v>4.51</v>
      </c>
      <c r="Z150" s="394">
        <v>2.2400000000000002</v>
      </c>
    </row>
    <row r="151" spans="22:26">
      <c r="V151" s="394" t="s">
        <v>189</v>
      </c>
      <c r="W151" s="394">
        <v>33</v>
      </c>
      <c r="X151" s="394" t="s">
        <v>245</v>
      </c>
      <c r="Y151" s="394">
        <v>4.7</v>
      </c>
      <c r="Z151" s="394">
        <v>2.33</v>
      </c>
    </row>
    <row r="152" spans="22:26">
      <c r="V152" s="394" t="s">
        <v>189</v>
      </c>
      <c r="W152" s="394">
        <v>34</v>
      </c>
      <c r="X152" s="394" t="s">
        <v>246</v>
      </c>
      <c r="Y152" s="394">
        <v>4.9000000000000004</v>
      </c>
      <c r="Z152" s="394">
        <v>2.42</v>
      </c>
    </row>
    <row r="153" spans="22:26">
      <c r="V153" s="394" t="s">
        <v>189</v>
      </c>
      <c r="W153" s="394">
        <v>35</v>
      </c>
      <c r="X153" s="394" t="s">
        <v>247</v>
      </c>
      <c r="Y153" s="394">
        <v>5.13</v>
      </c>
      <c r="Z153" s="394">
        <v>2.5299999999999998</v>
      </c>
    </row>
    <row r="154" spans="22:26">
      <c r="V154" s="394" t="s">
        <v>189</v>
      </c>
      <c r="W154" s="394">
        <v>36</v>
      </c>
      <c r="X154" s="394" t="s">
        <v>248</v>
      </c>
      <c r="Y154" s="394">
        <v>5.38</v>
      </c>
      <c r="Z154" s="394">
        <v>2.65</v>
      </c>
    </row>
    <row r="155" spans="22:26">
      <c r="V155" s="394" t="s">
        <v>189</v>
      </c>
      <c r="W155" s="394">
        <v>37</v>
      </c>
      <c r="X155" s="394" t="s">
        <v>249</v>
      </c>
      <c r="Y155" s="394">
        <v>5.65</v>
      </c>
      <c r="Z155" s="394">
        <v>2.78</v>
      </c>
    </row>
    <row r="156" spans="22:26">
      <c r="V156" s="394" t="s">
        <v>189</v>
      </c>
      <c r="W156" s="394">
        <v>38</v>
      </c>
      <c r="X156" s="394" t="s">
        <v>250</v>
      </c>
      <c r="Y156" s="394">
        <v>5.95</v>
      </c>
      <c r="Z156" s="394">
        <v>2.92</v>
      </c>
    </row>
    <row r="157" spans="22:26">
      <c r="V157" s="394" t="s">
        <v>189</v>
      </c>
      <c r="W157" s="394">
        <v>39</v>
      </c>
      <c r="X157" s="394" t="s">
        <v>251</v>
      </c>
      <c r="Y157" s="394">
        <v>6.28</v>
      </c>
      <c r="Z157" s="394">
        <v>3.07</v>
      </c>
    </row>
    <row r="158" spans="22:26">
      <c r="V158" s="394" t="s">
        <v>189</v>
      </c>
      <c r="W158" s="394">
        <v>40</v>
      </c>
      <c r="X158" s="394" t="s">
        <v>252</v>
      </c>
      <c r="Y158" s="394">
        <v>6.64</v>
      </c>
      <c r="Z158" s="394">
        <v>3.24</v>
      </c>
    </row>
    <row r="159" spans="22:26">
      <c r="V159" s="394" t="s">
        <v>189</v>
      </c>
      <c r="W159" s="394">
        <v>41</v>
      </c>
      <c r="X159" s="394" t="s">
        <v>253</v>
      </c>
      <c r="Y159" s="394">
        <v>7.03</v>
      </c>
      <c r="Z159" s="394">
        <v>3.43</v>
      </c>
    </row>
    <row r="160" spans="22:26">
      <c r="V160" s="394" t="s">
        <v>189</v>
      </c>
      <c r="W160" s="394">
        <v>42</v>
      </c>
      <c r="X160" s="394" t="s">
        <v>254</v>
      </c>
      <c r="Y160" s="394">
        <v>7.46</v>
      </c>
      <c r="Z160" s="394">
        <v>3.63</v>
      </c>
    </row>
    <row r="161" spans="22:26">
      <c r="V161" s="394" t="s">
        <v>189</v>
      </c>
      <c r="W161" s="394">
        <v>43</v>
      </c>
      <c r="X161" s="394" t="s">
        <v>255</v>
      </c>
      <c r="Y161" s="394">
        <v>7.93</v>
      </c>
      <c r="Z161" s="394">
        <v>3.85</v>
      </c>
    </row>
    <row r="162" spans="22:26">
      <c r="V162" s="394" t="s">
        <v>189</v>
      </c>
      <c r="W162" s="394">
        <v>44</v>
      </c>
      <c r="X162" s="394" t="s">
        <v>256</v>
      </c>
      <c r="Y162" s="394">
        <v>8.44</v>
      </c>
      <c r="Z162" s="394">
        <v>4.0999999999999996</v>
      </c>
    </row>
    <row r="163" spans="22:26">
      <c r="V163" s="394" t="s">
        <v>189</v>
      </c>
      <c r="W163" s="394">
        <v>45</v>
      </c>
      <c r="X163" s="394" t="s">
        <v>257</v>
      </c>
      <c r="Y163" s="394">
        <v>8.99</v>
      </c>
      <c r="Z163" s="394">
        <v>4.37</v>
      </c>
    </row>
    <row r="164" spans="22:26">
      <c r="V164" s="394" t="s">
        <v>189</v>
      </c>
      <c r="W164" s="394">
        <v>46</v>
      </c>
      <c r="X164" s="394" t="s">
        <v>258</v>
      </c>
      <c r="Y164" s="394">
        <v>9.6</v>
      </c>
      <c r="Z164" s="394">
        <v>4.68</v>
      </c>
    </row>
    <row r="165" spans="22:26">
      <c r="V165" s="394" t="s">
        <v>189</v>
      </c>
      <c r="W165" s="394">
        <v>47</v>
      </c>
      <c r="X165" s="394" t="s">
        <v>259</v>
      </c>
      <c r="Y165" s="394">
        <v>10.26</v>
      </c>
      <c r="Z165" s="394">
        <v>5.03</v>
      </c>
    </row>
    <row r="166" spans="22:26">
      <c r="V166" s="394" t="s">
        <v>189</v>
      </c>
      <c r="W166" s="394">
        <v>48</v>
      </c>
      <c r="X166" s="394" t="s">
        <v>260</v>
      </c>
      <c r="Y166" s="394">
        <v>10.98</v>
      </c>
      <c r="Z166" s="394">
        <v>5.41</v>
      </c>
    </row>
    <row r="167" spans="22:26">
      <c r="V167" s="394" t="s">
        <v>189</v>
      </c>
      <c r="W167" s="394">
        <v>49</v>
      </c>
      <c r="X167" s="394" t="s">
        <v>261</v>
      </c>
      <c r="Y167" s="394">
        <v>11.77</v>
      </c>
      <c r="Z167" s="394">
        <v>5.85</v>
      </c>
    </row>
    <row r="168" spans="22:26">
      <c r="V168" s="394" t="s">
        <v>189</v>
      </c>
      <c r="W168" s="394">
        <v>50</v>
      </c>
      <c r="X168" s="394" t="s">
        <v>262</v>
      </c>
      <c r="Y168" s="394">
        <v>12.64</v>
      </c>
      <c r="Z168" s="394">
        <v>6.35</v>
      </c>
    </row>
    <row r="169" spans="22:26">
      <c r="V169" s="394" t="s">
        <v>189</v>
      </c>
      <c r="W169" s="394">
        <v>51</v>
      </c>
      <c r="X169" s="394" t="s">
        <v>263</v>
      </c>
      <c r="Y169" s="394">
        <v>13.61</v>
      </c>
      <c r="Z169" s="394">
        <v>6.91</v>
      </c>
    </row>
    <row r="170" spans="22:26">
      <c r="V170" s="394" t="s">
        <v>189</v>
      </c>
      <c r="W170" s="394">
        <v>52</v>
      </c>
      <c r="X170" s="394" t="s">
        <v>264</v>
      </c>
      <c r="Y170" s="394">
        <v>14.69</v>
      </c>
      <c r="Z170" s="394">
        <v>7.54</v>
      </c>
    </row>
    <row r="171" spans="22:26">
      <c r="V171" s="394" t="s">
        <v>189</v>
      </c>
      <c r="W171" s="394">
        <v>53</v>
      </c>
      <c r="X171" s="394" t="s">
        <v>265</v>
      </c>
      <c r="Y171" s="394">
        <v>15.9</v>
      </c>
      <c r="Z171" s="394">
        <v>8.26</v>
      </c>
    </row>
    <row r="172" spans="22:26">
      <c r="V172" s="394" t="s">
        <v>189</v>
      </c>
      <c r="W172" s="394">
        <v>54</v>
      </c>
      <c r="X172" s="394" t="s">
        <v>266</v>
      </c>
      <c r="Y172" s="394">
        <v>17.260000000000002</v>
      </c>
      <c r="Z172" s="394">
        <v>9.07</v>
      </c>
    </row>
    <row r="173" spans="22:26">
      <c r="V173" s="394" t="s">
        <v>189</v>
      </c>
      <c r="W173" s="394">
        <v>55</v>
      </c>
      <c r="X173" s="394" t="s">
        <v>267</v>
      </c>
      <c r="Y173" s="394">
        <v>18.79</v>
      </c>
      <c r="Z173" s="394">
        <v>9.99</v>
      </c>
    </row>
    <row r="174" spans="22:26">
      <c r="V174" s="394" t="s">
        <v>189</v>
      </c>
      <c r="W174" s="394">
        <v>56</v>
      </c>
      <c r="X174" s="394" t="s">
        <v>268</v>
      </c>
      <c r="Y174" s="394">
        <v>20.51</v>
      </c>
      <c r="Z174" s="394">
        <v>11.05</v>
      </c>
    </row>
    <row r="175" spans="22:26">
      <c r="V175" s="394" t="s">
        <v>189</v>
      </c>
      <c r="W175" s="394">
        <v>57</v>
      </c>
      <c r="X175" s="394" t="s">
        <v>269</v>
      </c>
      <c r="Y175" s="394">
        <v>22.45</v>
      </c>
      <c r="Z175" s="394">
        <v>12.26</v>
      </c>
    </row>
    <row r="176" spans="22:26">
      <c r="V176" s="394" t="s">
        <v>189</v>
      </c>
      <c r="W176" s="394">
        <v>58</v>
      </c>
      <c r="X176" s="394" t="s">
        <v>270</v>
      </c>
      <c r="Y176" s="394">
        <v>24.64</v>
      </c>
      <c r="Z176" s="394">
        <v>13.66</v>
      </c>
    </row>
    <row r="177" spans="22:26">
      <c r="V177" s="394" t="s">
        <v>189</v>
      </c>
      <c r="W177" s="394">
        <v>59</v>
      </c>
      <c r="X177" s="394" t="s">
        <v>271</v>
      </c>
      <c r="Y177" s="394">
        <v>27.1</v>
      </c>
      <c r="Z177" s="394">
        <v>15.28</v>
      </c>
    </row>
    <row r="178" spans="22:26">
      <c r="V178" s="395" t="s">
        <v>190</v>
      </c>
      <c r="W178" s="395">
        <v>20</v>
      </c>
      <c r="X178" s="395" t="s">
        <v>272</v>
      </c>
      <c r="Y178" s="395">
        <v>3.39</v>
      </c>
      <c r="Z178" s="395">
        <v>1.76</v>
      </c>
    </row>
    <row r="179" spans="22:26">
      <c r="V179" s="395" t="s">
        <v>190</v>
      </c>
      <c r="W179" s="395">
        <v>21</v>
      </c>
      <c r="X179" s="395" t="s">
        <v>273</v>
      </c>
      <c r="Y179" s="395">
        <v>3.44</v>
      </c>
      <c r="Z179" s="395">
        <v>1.78</v>
      </c>
    </row>
    <row r="180" spans="22:26">
      <c r="V180" s="395" t="s">
        <v>190</v>
      </c>
      <c r="W180" s="395">
        <v>22</v>
      </c>
      <c r="X180" s="395" t="s">
        <v>274</v>
      </c>
      <c r="Y180" s="395">
        <v>3.5</v>
      </c>
      <c r="Z180" s="395">
        <v>1.81</v>
      </c>
    </row>
    <row r="181" spans="22:26">
      <c r="V181" s="395" t="s">
        <v>190</v>
      </c>
      <c r="W181" s="395">
        <v>23</v>
      </c>
      <c r="X181" s="395" t="s">
        <v>275</v>
      </c>
      <c r="Y181" s="395">
        <v>3.56</v>
      </c>
      <c r="Z181" s="395">
        <v>1.83</v>
      </c>
    </row>
    <row r="182" spans="22:26">
      <c r="V182" s="395" t="s">
        <v>190</v>
      </c>
      <c r="W182" s="395">
        <v>24</v>
      </c>
      <c r="X182" s="395" t="s">
        <v>276</v>
      </c>
      <c r="Y182" s="395">
        <v>3.7</v>
      </c>
      <c r="Z182" s="395">
        <v>1.86</v>
      </c>
    </row>
    <row r="183" spans="22:26">
      <c r="V183" s="395" t="s">
        <v>190</v>
      </c>
      <c r="W183" s="395">
        <v>25</v>
      </c>
      <c r="X183" s="395" t="s">
        <v>277</v>
      </c>
      <c r="Y183" s="395">
        <v>3.78</v>
      </c>
      <c r="Z183" s="395">
        <v>1.89</v>
      </c>
    </row>
    <row r="184" spans="22:26">
      <c r="V184" s="395" t="s">
        <v>190</v>
      </c>
      <c r="W184" s="395">
        <v>26</v>
      </c>
      <c r="X184" s="395" t="s">
        <v>278</v>
      </c>
      <c r="Y184" s="395">
        <v>3.87</v>
      </c>
      <c r="Z184" s="395">
        <v>1.97</v>
      </c>
    </row>
    <row r="185" spans="22:26">
      <c r="V185" s="395" t="s">
        <v>190</v>
      </c>
      <c r="W185" s="395">
        <v>27</v>
      </c>
      <c r="X185" s="395" t="s">
        <v>279</v>
      </c>
      <c r="Y185" s="395">
        <v>3.98</v>
      </c>
      <c r="Z185" s="395">
        <v>2.0099999999999998</v>
      </c>
    </row>
    <row r="186" spans="22:26">
      <c r="V186" s="395" t="s">
        <v>190</v>
      </c>
      <c r="W186" s="395">
        <v>28</v>
      </c>
      <c r="X186" s="395" t="s">
        <v>280</v>
      </c>
      <c r="Y186" s="395">
        <v>4.0999999999999996</v>
      </c>
      <c r="Z186" s="395">
        <v>2.06</v>
      </c>
    </row>
    <row r="187" spans="22:26">
      <c r="V187" s="395" t="s">
        <v>190</v>
      </c>
      <c r="W187" s="395">
        <v>29</v>
      </c>
      <c r="X187" s="395" t="s">
        <v>281</v>
      </c>
      <c r="Y187" s="395">
        <v>4.24</v>
      </c>
      <c r="Z187" s="395">
        <v>2.12</v>
      </c>
    </row>
    <row r="188" spans="22:26">
      <c r="V188" s="395" t="s">
        <v>190</v>
      </c>
      <c r="W188" s="395">
        <v>30</v>
      </c>
      <c r="X188" s="395" t="s">
        <v>282</v>
      </c>
      <c r="Y188" s="395">
        <v>4.4000000000000004</v>
      </c>
      <c r="Z188" s="395">
        <v>2.1800000000000002</v>
      </c>
    </row>
    <row r="189" spans="22:26">
      <c r="V189" s="395" t="s">
        <v>190</v>
      </c>
      <c r="W189" s="395">
        <v>31</v>
      </c>
      <c r="X189" s="395" t="s">
        <v>283</v>
      </c>
      <c r="Y189" s="395">
        <v>4.57</v>
      </c>
      <c r="Z189" s="395">
        <v>2.2599999999999998</v>
      </c>
    </row>
    <row r="190" spans="22:26">
      <c r="V190" s="395" t="s">
        <v>190</v>
      </c>
      <c r="W190" s="395">
        <v>32</v>
      </c>
      <c r="X190" s="395" t="s">
        <v>284</v>
      </c>
      <c r="Y190" s="395">
        <v>4.7699999999999996</v>
      </c>
      <c r="Z190" s="395">
        <v>2.35</v>
      </c>
    </row>
    <row r="191" spans="22:26">
      <c r="V191" s="395" t="s">
        <v>190</v>
      </c>
      <c r="W191" s="395">
        <v>33</v>
      </c>
      <c r="X191" s="395" t="s">
        <v>285</v>
      </c>
      <c r="Y191" s="395">
        <v>4.9800000000000004</v>
      </c>
      <c r="Z191" s="395">
        <v>2.44</v>
      </c>
    </row>
    <row r="192" spans="22:26">
      <c r="V192" s="395" t="s">
        <v>190</v>
      </c>
      <c r="W192" s="395">
        <v>34</v>
      </c>
      <c r="X192" s="395" t="s">
        <v>286</v>
      </c>
      <c r="Y192" s="395">
        <v>5.21</v>
      </c>
      <c r="Z192" s="395">
        <v>2.5499999999999998</v>
      </c>
    </row>
    <row r="193" spans="22:26">
      <c r="V193" s="395" t="s">
        <v>190</v>
      </c>
      <c r="W193" s="395">
        <v>35</v>
      </c>
      <c r="X193" s="395" t="s">
        <v>287</v>
      </c>
      <c r="Y193" s="395">
        <v>5.47</v>
      </c>
      <c r="Z193" s="395">
        <v>2.67</v>
      </c>
    </row>
    <row r="194" spans="22:26">
      <c r="V194" s="395" t="s">
        <v>190</v>
      </c>
      <c r="W194" s="395">
        <v>36</v>
      </c>
      <c r="X194" s="395" t="s">
        <v>288</v>
      </c>
      <c r="Y194" s="395">
        <v>5.75</v>
      </c>
      <c r="Z194" s="395">
        <v>2.8</v>
      </c>
    </row>
    <row r="195" spans="22:26">
      <c r="V195" s="395" t="s">
        <v>190</v>
      </c>
      <c r="W195" s="395">
        <v>37</v>
      </c>
      <c r="X195" s="395" t="s">
        <v>289</v>
      </c>
      <c r="Y195" s="395">
        <v>6.06</v>
      </c>
      <c r="Z195" s="395">
        <v>2.95</v>
      </c>
    </row>
    <row r="196" spans="22:26">
      <c r="V196" s="395" t="s">
        <v>190</v>
      </c>
      <c r="W196" s="395">
        <v>38</v>
      </c>
      <c r="X196" s="395" t="s">
        <v>290</v>
      </c>
      <c r="Y196" s="395">
        <v>6.4</v>
      </c>
      <c r="Z196" s="395">
        <v>3.11</v>
      </c>
    </row>
    <row r="197" spans="22:26">
      <c r="V197" s="395" t="s">
        <v>190</v>
      </c>
      <c r="W197" s="395">
        <v>39</v>
      </c>
      <c r="X197" s="395" t="s">
        <v>291</v>
      </c>
      <c r="Y197" s="395">
        <v>6.76</v>
      </c>
      <c r="Z197" s="395">
        <v>3.28</v>
      </c>
    </row>
    <row r="198" spans="22:26">
      <c r="V198" s="395" t="s">
        <v>190</v>
      </c>
      <c r="W198" s="395">
        <v>40</v>
      </c>
      <c r="X198" s="395" t="s">
        <v>292</v>
      </c>
      <c r="Y198" s="395">
        <v>7.17</v>
      </c>
      <c r="Z198" s="395">
        <v>3.47</v>
      </c>
    </row>
    <row r="199" spans="22:26">
      <c r="V199" s="395" t="s">
        <v>190</v>
      </c>
      <c r="W199" s="395">
        <v>41</v>
      </c>
      <c r="X199" s="395" t="s">
        <v>293</v>
      </c>
      <c r="Y199" s="395">
        <v>7.61</v>
      </c>
      <c r="Z199" s="395">
        <v>3.68</v>
      </c>
    </row>
    <row r="200" spans="22:26">
      <c r="V200" s="395" t="s">
        <v>190</v>
      </c>
      <c r="W200" s="395">
        <v>42</v>
      </c>
      <c r="X200" s="395" t="s">
        <v>294</v>
      </c>
      <c r="Y200" s="395">
        <v>8.09</v>
      </c>
      <c r="Z200" s="395">
        <v>3.91</v>
      </c>
    </row>
    <row r="201" spans="22:26">
      <c r="V201" s="395" t="s">
        <v>190</v>
      </c>
      <c r="W201" s="395">
        <v>43</v>
      </c>
      <c r="X201" s="395" t="s">
        <v>295</v>
      </c>
      <c r="Y201" s="395">
        <v>8.61</v>
      </c>
      <c r="Z201" s="395">
        <v>4.17</v>
      </c>
    </row>
    <row r="202" spans="22:26">
      <c r="V202" s="395" t="s">
        <v>190</v>
      </c>
      <c r="W202" s="395">
        <v>44</v>
      </c>
      <c r="X202" s="395" t="s">
        <v>296</v>
      </c>
      <c r="Y202" s="395">
        <v>9.18</v>
      </c>
      <c r="Z202" s="395">
        <v>4.46</v>
      </c>
    </row>
    <row r="203" spans="22:26">
      <c r="V203" s="395" t="s">
        <v>190</v>
      </c>
      <c r="W203" s="395">
        <v>45</v>
      </c>
      <c r="X203" s="395" t="s">
        <v>297</v>
      </c>
      <c r="Y203" s="395">
        <v>9.8000000000000007</v>
      </c>
      <c r="Z203" s="395">
        <v>4.78</v>
      </c>
    </row>
    <row r="204" spans="22:26">
      <c r="V204" s="395" t="s">
        <v>190</v>
      </c>
      <c r="W204" s="395">
        <v>46</v>
      </c>
      <c r="X204" s="395" t="s">
        <v>298</v>
      </c>
      <c r="Y204" s="395">
        <v>10.48</v>
      </c>
      <c r="Z204" s="395">
        <v>5.14</v>
      </c>
    </row>
    <row r="205" spans="22:26">
      <c r="V205" s="395" t="s">
        <v>190</v>
      </c>
      <c r="W205" s="395">
        <v>47</v>
      </c>
      <c r="X205" s="395" t="s">
        <v>299</v>
      </c>
      <c r="Y205" s="395">
        <v>11.22</v>
      </c>
      <c r="Z205" s="395">
        <v>5.54</v>
      </c>
    </row>
    <row r="206" spans="22:26">
      <c r="V206" s="395" t="s">
        <v>190</v>
      </c>
      <c r="W206" s="395">
        <v>48</v>
      </c>
      <c r="X206" s="395" t="s">
        <v>300</v>
      </c>
      <c r="Y206" s="395">
        <v>12.05</v>
      </c>
      <c r="Z206" s="395">
        <v>6</v>
      </c>
    </row>
    <row r="207" spans="22:26">
      <c r="V207" s="395" t="s">
        <v>190</v>
      </c>
      <c r="W207" s="395">
        <v>49</v>
      </c>
      <c r="X207" s="395" t="s">
        <v>301</v>
      </c>
      <c r="Y207" s="395">
        <v>12.96</v>
      </c>
      <c r="Z207" s="395">
        <v>6.51</v>
      </c>
    </row>
    <row r="208" spans="22:26">
      <c r="V208" s="395" t="s">
        <v>190</v>
      </c>
      <c r="W208" s="395">
        <v>50</v>
      </c>
      <c r="X208" s="395" t="s">
        <v>302</v>
      </c>
      <c r="Y208" s="395">
        <v>13.97</v>
      </c>
      <c r="Z208" s="395">
        <v>7.09</v>
      </c>
    </row>
    <row r="209" spans="22:26">
      <c r="V209" s="395" t="s">
        <v>190</v>
      </c>
      <c r="W209" s="395">
        <v>51</v>
      </c>
      <c r="X209" s="395" t="s">
        <v>303</v>
      </c>
      <c r="Y209" s="395">
        <v>15.09</v>
      </c>
      <c r="Z209" s="395">
        <v>7.75</v>
      </c>
    </row>
    <row r="210" spans="22:26">
      <c r="V210" s="395" t="s">
        <v>190</v>
      </c>
      <c r="W210" s="395">
        <v>52</v>
      </c>
      <c r="X210" s="395" t="s">
        <v>304</v>
      </c>
      <c r="Y210" s="395">
        <v>16.350000000000001</v>
      </c>
      <c r="Z210" s="395">
        <v>8.49</v>
      </c>
    </row>
    <row r="211" spans="22:26">
      <c r="V211" s="395" t="s">
        <v>190</v>
      </c>
      <c r="W211" s="395">
        <v>53</v>
      </c>
      <c r="X211" s="395" t="s">
        <v>305</v>
      </c>
      <c r="Y211" s="395">
        <v>17.760000000000002</v>
      </c>
      <c r="Z211" s="395">
        <v>9.34</v>
      </c>
    </row>
    <row r="212" spans="22:26">
      <c r="V212" s="395" t="s">
        <v>190</v>
      </c>
      <c r="W212" s="395">
        <v>54</v>
      </c>
      <c r="X212" s="395" t="s">
        <v>306</v>
      </c>
      <c r="Y212" s="395">
        <v>19.34</v>
      </c>
      <c r="Z212" s="395">
        <v>10.31</v>
      </c>
    </row>
    <row r="213" spans="22:26">
      <c r="V213" s="395" t="s">
        <v>190</v>
      </c>
      <c r="W213" s="395">
        <v>55</v>
      </c>
      <c r="X213" s="395" t="s">
        <v>307</v>
      </c>
      <c r="Y213" s="395">
        <v>21.12</v>
      </c>
      <c r="Z213" s="395">
        <v>11.42</v>
      </c>
    </row>
    <row r="214" spans="22:26">
      <c r="V214" s="395" t="s">
        <v>190</v>
      </c>
      <c r="W214" s="395">
        <v>56</v>
      </c>
      <c r="X214" s="395" t="s">
        <v>308</v>
      </c>
      <c r="Y214" s="395">
        <v>23.12</v>
      </c>
      <c r="Z214" s="395">
        <v>12.69</v>
      </c>
    </row>
    <row r="215" spans="22:26">
      <c r="V215" s="395" t="s">
        <v>190</v>
      </c>
      <c r="W215" s="395">
        <v>57</v>
      </c>
      <c r="X215" s="395" t="s">
        <v>309</v>
      </c>
      <c r="Y215" s="395">
        <v>25.38</v>
      </c>
      <c r="Z215" s="395">
        <v>14.17</v>
      </c>
    </row>
    <row r="216" spans="22:26">
      <c r="V216" s="395" t="s">
        <v>190</v>
      </c>
      <c r="W216" s="395">
        <v>58</v>
      </c>
      <c r="X216" s="395" t="s">
        <v>310</v>
      </c>
      <c r="Y216" s="395">
        <v>27.92</v>
      </c>
      <c r="Z216" s="395">
        <v>15.88</v>
      </c>
    </row>
    <row r="217" spans="22:26">
      <c r="V217" s="395" t="s">
        <v>190</v>
      </c>
      <c r="W217" s="395">
        <v>59</v>
      </c>
      <c r="X217" s="395" t="s">
        <v>311</v>
      </c>
      <c r="Y217" s="395">
        <v>30.78</v>
      </c>
      <c r="Z217" s="395">
        <v>17.86</v>
      </c>
    </row>
    <row r="218" spans="22:26">
      <c r="V218" s="396" t="s">
        <v>191</v>
      </c>
      <c r="W218" s="396">
        <v>20</v>
      </c>
      <c r="X218" s="396" t="s">
        <v>312</v>
      </c>
      <c r="Y218" s="396">
        <v>3.42</v>
      </c>
      <c r="Z218" s="396">
        <v>1.74</v>
      </c>
    </row>
    <row r="219" spans="22:26">
      <c r="V219" s="396" t="s">
        <v>191</v>
      </c>
      <c r="W219" s="396">
        <v>21</v>
      </c>
      <c r="X219" s="396" t="s">
        <v>313</v>
      </c>
      <c r="Y219" s="396">
        <v>3.49</v>
      </c>
      <c r="Z219" s="396">
        <v>1.76</v>
      </c>
    </row>
    <row r="220" spans="22:26">
      <c r="V220" s="396" t="s">
        <v>191</v>
      </c>
      <c r="W220" s="396">
        <v>22</v>
      </c>
      <c r="X220" s="396" t="s">
        <v>314</v>
      </c>
      <c r="Y220" s="396">
        <v>3.56</v>
      </c>
      <c r="Z220" s="396">
        <v>1.79</v>
      </c>
    </row>
    <row r="221" spans="22:26">
      <c r="V221" s="396" t="s">
        <v>191</v>
      </c>
      <c r="W221" s="396">
        <v>23</v>
      </c>
      <c r="X221" s="396" t="s">
        <v>315</v>
      </c>
      <c r="Y221" s="396">
        <v>3.64</v>
      </c>
      <c r="Z221" s="396">
        <v>1.83</v>
      </c>
    </row>
    <row r="222" spans="22:26">
      <c r="V222" s="396" t="s">
        <v>191</v>
      </c>
      <c r="W222" s="396">
        <v>24</v>
      </c>
      <c r="X222" s="396" t="s">
        <v>316</v>
      </c>
      <c r="Y222" s="396">
        <v>3.73</v>
      </c>
      <c r="Z222" s="396">
        <v>1.86</v>
      </c>
    </row>
    <row r="223" spans="22:26">
      <c r="V223" s="396" t="s">
        <v>191</v>
      </c>
      <c r="W223" s="396">
        <v>25</v>
      </c>
      <c r="X223" s="396" t="s">
        <v>317</v>
      </c>
      <c r="Y223" s="396">
        <v>3.83</v>
      </c>
      <c r="Z223" s="396">
        <v>1.9</v>
      </c>
    </row>
    <row r="224" spans="22:26">
      <c r="V224" s="396" t="s">
        <v>191</v>
      </c>
      <c r="W224" s="396">
        <v>26</v>
      </c>
      <c r="X224" s="396" t="s">
        <v>318</v>
      </c>
      <c r="Y224" s="396">
        <v>3.95</v>
      </c>
      <c r="Z224" s="396">
        <v>1.95</v>
      </c>
    </row>
    <row r="225" spans="22:26">
      <c r="V225" s="396" t="s">
        <v>191</v>
      </c>
      <c r="W225" s="396">
        <v>27</v>
      </c>
      <c r="X225" s="396" t="s">
        <v>319</v>
      </c>
      <c r="Y225" s="396">
        <v>4.07</v>
      </c>
      <c r="Z225" s="396">
        <v>2.0099999999999998</v>
      </c>
    </row>
    <row r="226" spans="22:26">
      <c r="V226" s="396" t="s">
        <v>191</v>
      </c>
      <c r="W226" s="396">
        <v>28</v>
      </c>
      <c r="X226" s="396" t="s">
        <v>320</v>
      </c>
      <c r="Y226" s="396">
        <v>4.22</v>
      </c>
      <c r="Z226" s="396">
        <v>2.0699999999999998</v>
      </c>
    </row>
    <row r="227" spans="22:26">
      <c r="V227" s="396" t="s">
        <v>191</v>
      </c>
      <c r="W227" s="396">
        <v>29</v>
      </c>
      <c r="X227" s="396" t="s">
        <v>321</v>
      </c>
      <c r="Y227" s="396">
        <v>4.38</v>
      </c>
      <c r="Z227" s="396">
        <v>2.14</v>
      </c>
    </row>
    <row r="228" spans="22:26">
      <c r="V228" s="396" t="s">
        <v>191</v>
      </c>
      <c r="W228" s="396">
        <v>30</v>
      </c>
      <c r="X228" s="396" t="s">
        <v>322</v>
      </c>
      <c r="Y228" s="396">
        <v>4.5599999999999996</v>
      </c>
      <c r="Z228" s="396">
        <v>2.2200000000000002</v>
      </c>
    </row>
    <row r="229" spans="22:26">
      <c r="V229" s="396" t="s">
        <v>191</v>
      </c>
      <c r="W229" s="396">
        <v>31</v>
      </c>
      <c r="X229" s="396" t="s">
        <v>323</v>
      </c>
      <c r="Y229" s="396">
        <v>4.7699999999999996</v>
      </c>
      <c r="Z229" s="396">
        <v>2.31</v>
      </c>
    </row>
    <row r="230" spans="22:26">
      <c r="V230" s="396" t="s">
        <v>191</v>
      </c>
      <c r="W230" s="396">
        <v>32</v>
      </c>
      <c r="X230" s="396" t="s">
        <v>324</v>
      </c>
      <c r="Y230" s="396">
        <v>4.99</v>
      </c>
      <c r="Z230" s="396">
        <v>2.41</v>
      </c>
    </row>
    <row r="231" spans="22:26">
      <c r="V231" s="396" t="s">
        <v>191</v>
      </c>
      <c r="W231" s="396">
        <v>33</v>
      </c>
      <c r="X231" s="396" t="s">
        <v>325</v>
      </c>
      <c r="Y231" s="396">
        <v>5.23</v>
      </c>
      <c r="Z231" s="396">
        <v>2.52</v>
      </c>
    </row>
    <row r="232" spans="22:26">
      <c r="V232" s="396" t="s">
        <v>191</v>
      </c>
      <c r="W232" s="396">
        <v>34</v>
      </c>
      <c r="X232" s="396" t="s">
        <v>326</v>
      </c>
      <c r="Y232" s="396">
        <v>5.5</v>
      </c>
      <c r="Z232" s="396">
        <v>2.65</v>
      </c>
    </row>
    <row r="233" spans="22:26">
      <c r="V233" s="396" t="s">
        <v>191</v>
      </c>
      <c r="W233" s="396">
        <v>35</v>
      </c>
      <c r="X233" s="396" t="s">
        <v>327</v>
      </c>
      <c r="Y233" s="396">
        <v>5.8</v>
      </c>
      <c r="Z233" s="396">
        <v>2.78</v>
      </c>
    </row>
    <row r="234" spans="22:26">
      <c r="V234" s="396" t="s">
        <v>191</v>
      </c>
      <c r="W234" s="396">
        <v>36</v>
      </c>
      <c r="X234" s="396" t="s">
        <v>328</v>
      </c>
      <c r="Y234" s="396">
        <v>6.12</v>
      </c>
      <c r="Z234" s="396">
        <v>2.93</v>
      </c>
    </row>
    <row r="235" spans="22:26">
      <c r="V235" s="396" t="s">
        <v>191</v>
      </c>
      <c r="W235" s="396">
        <v>37</v>
      </c>
      <c r="X235" s="396" t="s">
        <v>329</v>
      </c>
      <c r="Y235" s="396">
        <v>6.47</v>
      </c>
      <c r="Z235" s="396">
        <v>3.1</v>
      </c>
    </row>
    <row r="236" spans="22:26">
      <c r="V236" s="396" t="s">
        <v>191</v>
      </c>
      <c r="W236" s="396">
        <v>38</v>
      </c>
      <c r="X236" s="396" t="s">
        <v>330</v>
      </c>
      <c r="Y236" s="396">
        <v>6.86</v>
      </c>
      <c r="Z236" s="396">
        <v>3.28</v>
      </c>
    </row>
    <row r="237" spans="22:26">
      <c r="V237" s="396" t="s">
        <v>191</v>
      </c>
      <c r="W237" s="396">
        <v>39</v>
      </c>
      <c r="X237" s="396" t="s">
        <v>331</v>
      </c>
      <c r="Y237" s="396">
        <v>7.27</v>
      </c>
      <c r="Z237" s="396">
        <v>3.49</v>
      </c>
    </row>
    <row r="238" spans="22:26">
      <c r="V238" s="396" t="s">
        <v>191</v>
      </c>
      <c r="W238" s="396">
        <v>40</v>
      </c>
      <c r="X238" s="396" t="s">
        <v>332</v>
      </c>
      <c r="Y238" s="396">
        <v>7.73</v>
      </c>
      <c r="Z238" s="396">
        <v>3.71</v>
      </c>
    </row>
    <row r="239" spans="22:26">
      <c r="V239" s="396" t="s">
        <v>191</v>
      </c>
      <c r="W239" s="396">
        <v>41</v>
      </c>
      <c r="X239" s="396" t="s">
        <v>333</v>
      </c>
      <c r="Y239" s="396">
        <v>8.2200000000000006</v>
      </c>
      <c r="Z239" s="396">
        <v>3.96</v>
      </c>
    </row>
    <row r="240" spans="22:26">
      <c r="V240" s="396" t="s">
        <v>191</v>
      </c>
      <c r="W240" s="396">
        <v>42</v>
      </c>
      <c r="X240" s="396" t="s">
        <v>334</v>
      </c>
      <c r="Y240" s="396">
        <v>8.76</v>
      </c>
      <c r="Z240" s="396">
        <v>4.24</v>
      </c>
    </row>
    <row r="241" spans="22:26">
      <c r="V241" s="396" t="s">
        <v>191</v>
      </c>
      <c r="W241" s="396">
        <v>43</v>
      </c>
      <c r="X241" s="396" t="s">
        <v>335</v>
      </c>
      <c r="Y241" s="396">
        <v>9.36</v>
      </c>
      <c r="Z241" s="396">
        <v>4.55</v>
      </c>
    </row>
    <row r="242" spans="22:26">
      <c r="V242" s="396" t="s">
        <v>191</v>
      </c>
      <c r="W242" s="396">
        <v>44</v>
      </c>
      <c r="X242" s="396" t="s">
        <v>336</v>
      </c>
      <c r="Y242" s="396">
        <v>10.01</v>
      </c>
      <c r="Z242" s="396">
        <v>4.9000000000000004</v>
      </c>
    </row>
    <row r="243" spans="22:26">
      <c r="V243" s="396" t="s">
        <v>191</v>
      </c>
      <c r="W243" s="396">
        <v>45</v>
      </c>
      <c r="X243" s="396" t="s">
        <v>337</v>
      </c>
      <c r="Y243" s="396">
        <v>10.73</v>
      </c>
      <c r="Z243" s="396">
        <v>5.29</v>
      </c>
    </row>
    <row r="244" spans="22:26">
      <c r="V244" s="396" t="s">
        <v>191</v>
      </c>
      <c r="W244" s="396">
        <v>46</v>
      </c>
      <c r="X244" s="396" t="s">
        <v>338</v>
      </c>
      <c r="Y244" s="396">
        <v>11.52</v>
      </c>
      <c r="Z244" s="396">
        <v>5.73</v>
      </c>
    </row>
    <row r="245" spans="22:26">
      <c r="V245" s="396" t="s">
        <v>191</v>
      </c>
      <c r="W245" s="396">
        <v>47</v>
      </c>
      <c r="X245" s="396" t="s">
        <v>339</v>
      </c>
      <c r="Y245" s="396">
        <v>12.4</v>
      </c>
      <c r="Z245" s="396">
        <v>6.22</v>
      </c>
    </row>
    <row r="246" spans="22:26">
      <c r="V246" s="396" t="s">
        <v>191</v>
      </c>
      <c r="W246" s="396">
        <v>48</v>
      </c>
      <c r="X246" s="396" t="s">
        <v>340</v>
      </c>
      <c r="Y246" s="396">
        <v>13.37</v>
      </c>
      <c r="Z246" s="396">
        <v>6.78</v>
      </c>
    </row>
    <row r="247" spans="22:26">
      <c r="V247" s="396" t="s">
        <v>191</v>
      </c>
      <c r="W247" s="396">
        <v>49</v>
      </c>
      <c r="X247" s="396" t="s">
        <v>341</v>
      </c>
      <c r="Y247" s="396">
        <v>14.46</v>
      </c>
      <c r="Z247" s="396">
        <v>7.41</v>
      </c>
    </row>
    <row r="248" spans="22:26">
      <c r="V248" s="396" t="s">
        <v>191</v>
      </c>
      <c r="W248" s="396">
        <v>50</v>
      </c>
      <c r="X248" s="396" t="s">
        <v>342</v>
      </c>
      <c r="Y248" s="396">
        <v>15.66</v>
      </c>
      <c r="Z248" s="396">
        <v>8.1199999999999992</v>
      </c>
    </row>
    <row r="249" spans="22:26">
      <c r="V249" s="396" t="s">
        <v>191</v>
      </c>
      <c r="W249" s="396">
        <v>51</v>
      </c>
      <c r="X249" s="396" t="s">
        <v>343</v>
      </c>
      <c r="Y249" s="396">
        <v>17.010000000000002</v>
      </c>
      <c r="Z249" s="396">
        <v>8.93</v>
      </c>
    </row>
    <row r="250" spans="22:26">
      <c r="V250" s="396" t="s">
        <v>191</v>
      </c>
      <c r="W250" s="396">
        <v>52</v>
      </c>
      <c r="X250" s="396" t="s">
        <v>344</v>
      </c>
      <c r="Y250" s="396">
        <v>18.52</v>
      </c>
      <c r="Z250" s="396">
        <v>9.8699999999999992</v>
      </c>
    </row>
    <row r="251" spans="22:26">
      <c r="V251" s="396" t="s">
        <v>191</v>
      </c>
      <c r="W251" s="396">
        <v>53</v>
      </c>
      <c r="X251" s="396" t="s">
        <v>345</v>
      </c>
      <c r="Y251" s="396">
        <v>20.2</v>
      </c>
      <c r="Z251" s="396">
        <v>10.94</v>
      </c>
    </row>
    <row r="252" spans="22:26">
      <c r="V252" s="396" t="s">
        <v>191</v>
      </c>
      <c r="W252" s="396">
        <v>54</v>
      </c>
      <c r="X252" s="396" t="s">
        <v>346</v>
      </c>
      <c r="Y252" s="396">
        <v>22.1</v>
      </c>
      <c r="Z252" s="396">
        <v>12.17</v>
      </c>
    </row>
    <row r="253" spans="22:26">
      <c r="V253" s="396" t="s">
        <v>191</v>
      </c>
      <c r="W253" s="396">
        <v>55</v>
      </c>
      <c r="X253" s="396" t="s">
        <v>347</v>
      </c>
      <c r="Y253" s="396">
        <v>24.22</v>
      </c>
      <c r="Z253" s="396">
        <v>13.6</v>
      </c>
    </row>
    <row r="254" spans="22:26">
      <c r="V254" s="396" t="s">
        <v>191</v>
      </c>
      <c r="W254" s="396">
        <v>56</v>
      </c>
      <c r="X254" s="396" t="s">
        <v>348</v>
      </c>
      <c r="Y254" s="396">
        <v>26.61</v>
      </c>
      <c r="Z254" s="396">
        <v>15.24</v>
      </c>
    </row>
    <row r="255" spans="22:26">
      <c r="V255" s="396" t="s">
        <v>191</v>
      </c>
      <c r="W255" s="396">
        <v>57</v>
      </c>
      <c r="X255" s="396" t="s">
        <v>349</v>
      </c>
      <c r="Y255" s="396">
        <v>29.29</v>
      </c>
      <c r="Z255" s="396">
        <v>17.14</v>
      </c>
    </row>
    <row r="256" spans="22:26">
      <c r="V256" s="396" t="s">
        <v>191</v>
      </c>
      <c r="W256" s="396">
        <v>58</v>
      </c>
      <c r="X256" s="396" t="s">
        <v>350</v>
      </c>
      <c r="Y256" s="396">
        <v>32.299999999999997</v>
      </c>
      <c r="Z256" s="396">
        <v>19.32</v>
      </c>
    </row>
    <row r="257" spans="22:26">
      <c r="V257" s="396" t="s">
        <v>191</v>
      </c>
      <c r="W257" s="396">
        <v>59</v>
      </c>
      <c r="X257" s="396" t="s">
        <v>351</v>
      </c>
      <c r="Y257" s="396">
        <v>35.659999999999997</v>
      </c>
      <c r="Z257" s="396">
        <v>21.82</v>
      </c>
    </row>
    <row r="258" spans="22:26">
      <c r="V258" s="397" t="s">
        <v>354</v>
      </c>
      <c r="W258" s="397">
        <v>0</v>
      </c>
      <c r="X258" s="397" t="str">
        <f>V258&amp;"-"&amp;W258</f>
        <v>CPR-0</v>
      </c>
      <c r="Y258" s="398">
        <v>0.36</v>
      </c>
      <c r="Z258" s="398">
        <v>0.32</v>
      </c>
    </row>
    <row r="259" spans="22:26">
      <c r="V259" s="397" t="s">
        <v>354</v>
      </c>
      <c r="W259" s="397">
        <v>1</v>
      </c>
      <c r="X259" s="397" t="str">
        <f t="shared" ref="X259:X322" si="0">V259&amp;"-"&amp;W259</f>
        <v>CPR-1</v>
      </c>
      <c r="Y259" s="398">
        <v>0.36</v>
      </c>
      <c r="Z259" s="398">
        <v>0.32</v>
      </c>
    </row>
    <row r="260" spans="22:26">
      <c r="V260" s="397" t="s">
        <v>354</v>
      </c>
      <c r="W260" s="397">
        <v>2</v>
      </c>
      <c r="X260" s="397" t="str">
        <f t="shared" si="0"/>
        <v>CPR-2</v>
      </c>
      <c r="Y260" s="398">
        <v>0.36</v>
      </c>
      <c r="Z260" s="398">
        <v>0.32</v>
      </c>
    </row>
    <row r="261" spans="22:26">
      <c r="V261" s="397" t="s">
        <v>354</v>
      </c>
      <c r="W261" s="397">
        <v>3</v>
      </c>
      <c r="X261" s="397" t="str">
        <f t="shared" si="0"/>
        <v>CPR-3</v>
      </c>
      <c r="Y261" s="398">
        <v>0.33</v>
      </c>
      <c r="Z261" s="398">
        <v>0.28999999999999998</v>
      </c>
    </row>
    <row r="262" spans="22:26">
      <c r="V262" s="397" t="s">
        <v>354</v>
      </c>
      <c r="W262" s="397">
        <v>4</v>
      </c>
      <c r="X262" s="397" t="str">
        <f t="shared" si="0"/>
        <v>CPR-4</v>
      </c>
      <c r="Y262" s="398">
        <v>0.28999999999999998</v>
      </c>
      <c r="Z262" s="398">
        <v>0.25</v>
      </c>
    </row>
    <row r="263" spans="22:26">
      <c r="V263" s="397" t="s">
        <v>354</v>
      </c>
      <c r="W263" s="397">
        <v>5</v>
      </c>
      <c r="X263" s="397" t="str">
        <f t="shared" si="0"/>
        <v>CPR-5</v>
      </c>
      <c r="Y263" s="398">
        <v>0.24</v>
      </c>
      <c r="Z263" s="398">
        <v>0.21</v>
      </c>
    </row>
    <row r="264" spans="22:26">
      <c r="V264" s="397" t="s">
        <v>354</v>
      </c>
      <c r="W264" s="397">
        <v>6</v>
      </c>
      <c r="X264" s="397" t="str">
        <f t="shared" si="0"/>
        <v>CPR-6</v>
      </c>
      <c r="Y264" s="398">
        <v>0.19</v>
      </c>
      <c r="Z264" s="398">
        <v>0.16</v>
      </c>
    </row>
    <row r="265" spans="22:26">
      <c r="V265" s="397" t="s">
        <v>354</v>
      </c>
      <c r="W265" s="397">
        <v>7</v>
      </c>
      <c r="X265" s="397" t="str">
        <f t="shared" si="0"/>
        <v>CPR-7</v>
      </c>
      <c r="Y265" s="398">
        <v>0.16</v>
      </c>
      <c r="Z265" s="398">
        <v>0.13</v>
      </c>
    </row>
    <row r="266" spans="22:26">
      <c r="V266" s="397" t="s">
        <v>354</v>
      </c>
      <c r="W266" s="397">
        <v>8</v>
      </c>
      <c r="X266" s="397" t="str">
        <f t="shared" si="0"/>
        <v>CPR-8</v>
      </c>
      <c r="Y266" s="398">
        <v>0.13</v>
      </c>
      <c r="Z266" s="398">
        <v>0.12</v>
      </c>
    </row>
    <row r="267" spans="22:26">
      <c r="V267" s="397" t="s">
        <v>354</v>
      </c>
      <c r="W267" s="397">
        <v>9</v>
      </c>
      <c r="X267" s="397" t="str">
        <f t="shared" si="0"/>
        <v>CPR-9</v>
      </c>
      <c r="Y267" s="398">
        <v>0.13</v>
      </c>
      <c r="Z267" s="398">
        <v>0.12</v>
      </c>
    </row>
    <row r="268" spans="22:26">
      <c r="V268" s="397" t="s">
        <v>354</v>
      </c>
      <c r="W268" s="397">
        <v>10</v>
      </c>
      <c r="X268" s="397" t="str">
        <f t="shared" si="0"/>
        <v>CPR-10</v>
      </c>
      <c r="Y268" s="398">
        <v>0.13</v>
      </c>
      <c r="Z268" s="398">
        <v>0.13</v>
      </c>
    </row>
    <row r="269" spans="22:26">
      <c r="V269" s="397" t="s">
        <v>354</v>
      </c>
      <c r="W269" s="397">
        <v>11</v>
      </c>
      <c r="X269" s="397" t="str">
        <f t="shared" si="0"/>
        <v>CPR-11</v>
      </c>
      <c r="Y269" s="398">
        <v>0.15</v>
      </c>
      <c r="Z269" s="398">
        <v>0.15</v>
      </c>
    </row>
    <row r="270" spans="22:26">
      <c r="V270" s="397" t="s">
        <v>354</v>
      </c>
      <c r="W270" s="397">
        <v>12</v>
      </c>
      <c r="X270" s="397" t="str">
        <f t="shared" si="0"/>
        <v>CPR-12</v>
      </c>
      <c r="Y270" s="398">
        <v>0.15</v>
      </c>
      <c r="Z270" s="398">
        <v>0.16</v>
      </c>
    </row>
    <row r="271" spans="22:26">
      <c r="V271" s="397" t="s">
        <v>354</v>
      </c>
      <c r="W271" s="397">
        <v>13</v>
      </c>
      <c r="X271" s="397" t="str">
        <f t="shared" si="0"/>
        <v>CPR-13</v>
      </c>
      <c r="Y271" s="398">
        <v>0.16</v>
      </c>
      <c r="Z271" s="398">
        <v>0.19</v>
      </c>
    </row>
    <row r="272" spans="22:26">
      <c r="V272" s="397" t="s">
        <v>354</v>
      </c>
      <c r="W272" s="397">
        <v>14</v>
      </c>
      <c r="X272" s="397" t="str">
        <f t="shared" si="0"/>
        <v>CPR-14</v>
      </c>
      <c r="Y272" s="398">
        <v>0.16</v>
      </c>
      <c r="Z272" s="398">
        <v>0.2</v>
      </c>
    </row>
    <row r="273" spans="22:26">
      <c r="V273" s="397" t="s">
        <v>354</v>
      </c>
      <c r="W273" s="397">
        <v>15</v>
      </c>
      <c r="X273" s="397" t="str">
        <f t="shared" si="0"/>
        <v>CPR-15</v>
      </c>
      <c r="Y273" s="398">
        <v>0.16</v>
      </c>
      <c r="Z273" s="398">
        <v>0.23</v>
      </c>
    </row>
    <row r="274" spans="22:26">
      <c r="V274" s="397" t="s">
        <v>354</v>
      </c>
      <c r="W274" s="397">
        <v>16</v>
      </c>
      <c r="X274" s="397" t="str">
        <f t="shared" si="0"/>
        <v>CPR-16</v>
      </c>
      <c r="Y274" s="398">
        <v>0.16</v>
      </c>
      <c r="Z274" s="398">
        <v>0.25</v>
      </c>
    </row>
    <row r="275" spans="22:26">
      <c r="V275" s="397" t="s">
        <v>354</v>
      </c>
      <c r="W275" s="397">
        <v>17</v>
      </c>
      <c r="X275" s="397" t="str">
        <f t="shared" si="0"/>
        <v>CPR-17</v>
      </c>
      <c r="Y275" s="398">
        <v>0.16</v>
      </c>
      <c r="Z275" s="398">
        <v>0.31</v>
      </c>
    </row>
    <row r="276" spans="22:26">
      <c r="V276" s="397" t="s">
        <v>354</v>
      </c>
      <c r="W276" s="397">
        <v>18</v>
      </c>
      <c r="X276" s="397" t="str">
        <f t="shared" si="0"/>
        <v>CPR-18</v>
      </c>
      <c r="Y276" s="398">
        <v>0.16</v>
      </c>
      <c r="Z276" s="398">
        <v>0.36</v>
      </c>
    </row>
    <row r="277" spans="22:26">
      <c r="V277" s="397" t="s">
        <v>354</v>
      </c>
      <c r="W277" s="397">
        <v>19</v>
      </c>
      <c r="X277" s="397" t="str">
        <f t="shared" si="0"/>
        <v>CPR-19</v>
      </c>
      <c r="Y277" s="398">
        <v>0.16</v>
      </c>
      <c r="Z277" s="398">
        <v>0.43</v>
      </c>
    </row>
    <row r="278" spans="22:26">
      <c r="V278" s="397" t="s">
        <v>354</v>
      </c>
      <c r="W278" s="397">
        <v>20</v>
      </c>
      <c r="X278" s="397" t="str">
        <f t="shared" si="0"/>
        <v>CPR-20</v>
      </c>
      <c r="Y278" s="398">
        <v>0.16</v>
      </c>
      <c r="Z278" s="398">
        <v>0.52</v>
      </c>
    </row>
    <row r="279" spans="22:26">
      <c r="V279" s="397" t="s">
        <v>354</v>
      </c>
      <c r="W279" s="397">
        <v>21</v>
      </c>
      <c r="X279" s="397" t="str">
        <f t="shared" si="0"/>
        <v>CPR-21</v>
      </c>
      <c r="Y279" s="398">
        <v>0.16</v>
      </c>
      <c r="Z279" s="398">
        <v>0.6</v>
      </c>
    </row>
    <row r="280" spans="22:26">
      <c r="V280" s="397" t="s">
        <v>354</v>
      </c>
      <c r="W280" s="397">
        <v>22</v>
      </c>
      <c r="X280" s="397" t="str">
        <f t="shared" si="0"/>
        <v>CPR-22</v>
      </c>
      <c r="Y280" s="398">
        <v>0.17</v>
      </c>
      <c r="Z280" s="398">
        <v>0.69</v>
      </c>
    </row>
    <row r="281" spans="22:26">
      <c r="V281" s="397" t="s">
        <v>354</v>
      </c>
      <c r="W281" s="397">
        <v>23</v>
      </c>
      <c r="X281" s="397" t="str">
        <f t="shared" si="0"/>
        <v>CPR-23</v>
      </c>
      <c r="Y281" s="398">
        <v>0.17</v>
      </c>
      <c r="Z281" s="398">
        <v>0.76</v>
      </c>
    </row>
    <row r="282" spans="22:26">
      <c r="V282" s="397" t="s">
        <v>354</v>
      </c>
      <c r="W282" s="397">
        <v>24</v>
      </c>
      <c r="X282" s="397" t="str">
        <f t="shared" si="0"/>
        <v>CPR-24</v>
      </c>
      <c r="Y282" s="398">
        <v>0.19</v>
      </c>
      <c r="Z282" s="398">
        <v>0.83</v>
      </c>
    </row>
    <row r="283" spans="22:26">
      <c r="V283" s="397" t="s">
        <v>354</v>
      </c>
      <c r="W283" s="397">
        <v>25</v>
      </c>
      <c r="X283" s="397" t="str">
        <f t="shared" si="0"/>
        <v>CPR-25</v>
      </c>
      <c r="Y283" s="398">
        <v>0.19</v>
      </c>
      <c r="Z283" s="398">
        <v>0.89</v>
      </c>
    </row>
    <row r="284" spans="22:26">
      <c r="V284" s="397" t="s">
        <v>354</v>
      </c>
      <c r="W284" s="397">
        <v>26</v>
      </c>
      <c r="X284" s="397" t="str">
        <f t="shared" si="0"/>
        <v>CPR-26</v>
      </c>
      <c r="Y284" s="398">
        <v>0.2</v>
      </c>
      <c r="Z284" s="398">
        <v>0.95</v>
      </c>
    </row>
    <row r="285" spans="22:26">
      <c r="V285" s="397" t="s">
        <v>354</v>
      </c>
      <c r="W285" s="397">
        <v>27</v>
      </c>
      <c r="X285" s="397" t="str">
        <f t="shared" si="0"/>
        <v>CPR-27</v>
      </c>
      <c r="Y285" s="398">
        <v>0.21</v>
      </c>
      <c r="Z285" s="398">
        <v>0.99</v>
      </c>
    </row>
    <row r="286" spans="22:26">
      <c r="V286" s="397" t="s">
        <v>354</v>
      </c>
      <c r="W286" s="397">
        <v>28</v>
      </c>
      <c r="X286" s="397" t="str">
        <f t="shared" si="0"/>
        <v>CPR-28</v>
      </c>
      <c r="Y286" s="398">
        <v>0.23</v>
      </c>
      <c r="Z286" s="398">
        <v>1.04</v>
      </c>
    </row>
    <row r="287" spans="22:26">
      <c r="V287" s="397" t="s">
        <v>354</v>
      </c>
      <c r="W287" s="397">
        <v>29</v>
      </c>
      <c r="X287" s="397" t="str">
        <f t="shared" si="0"/>
        <v>CPR-29</v>
      </c>
      <c r="Y287" s="398">
        <v>0.25</v>
      </c>
      <c r="Z287" s="398">
        <v>1.08</v>
      </c>
    </row>
    <row r="288" spans="22:26">
      <c r="V288" s="397" t="s">
        <v>354</v>
      </c>
      <c r="W288" s="397">
        <v>30</v>
      </c>
      <c r="X288" s="397" t="str">
        <f t="shared" si="0"/>
        <v>CPR-30</v>
      </c>
      <c r="Y288" s="398">
        <v>0.28000000000000003</v>
      </c>
      <c r="Z288" s="398">
        <v>1.0900000000000001</v>
      </c>
    </row>
    <row r="289" spans="22:26">
      <c r="V289" s="397" t="s">
        <v>354</v>
      </c>
      <c r="W289" s="397">
        <v>31</v>
      </c>
      <c r="X289" s="397" t="str">
        <f t="shared" si="0"/>
        <v>CPR-31</v>
      </c>
      <c r="Y289" s="398">
        <v>0.32</v>
      </c>
      <c r="Z289" s="398">
        <v>1.0900000000000001</v>
      </c>
    </row>
    <row r="290" spans="22:26">
      <c r="V290" s="397" t="s">
        <v>354</v>
      </c>
      <c r="W290" s="397">
        <v>32</v>
      </c>
      <c r="X290" s="397" t="str">
        <f t="shared" si="0"/>
        <v>CPR-32</v>
      </c>
      <c r="Y290" s="398">
        <v>0.36</v>
      </c>
      <c r="Z290" s="398">
        <v>1.23</v>
      </c>
    </row>
    <row r="291" spans="22:26">
      <c r="V291" s="397" t="s">
        <v>354</v>
      </c>
      <c r="W291" s="397">
        <v>33</v>
      </c>
      <c r="X291" s="397" t="str">
        <f t="shared" si="0"/>
        <v>CPR-33</v>
      </c>
      <c r="Y291" s="398">
        <v>0.43</v>
      </c>
      <c r="Z291" s="398">
        <v>1.41</v>
      </c>
    </row>
    <row r="292" spans="22:26">
      <c r="V292" s="397" t="s">
        <v>354</v>
      </c>
      <c r="W292" s="397">
        <v>34</v>
      </c>
      <c r="X292" s="397" t="str">
        <f t="shared" si="0"/>
        <v>CPR-34</v>
      </c>
      <c r="Y292" s="398">
        <v>0.51</v>
      </c>
      <c r="Z292" s="398">
        <v>1.63</v>
      </c>
    </row>
    <row r="293" spans="22:26">
      <c r="V293" s="397" t="s">
        <v>354</v>
      </c>
      <c r="W293" s="397">
        <v>35</v>
      </c>
      <c r="X293" s="397" t="str">
        <f t="shared" si="0"/>
        <v>CPR-35</v>
      </c>
      <c r="Y293" s="398">
        <v>0.56999999999999995</v>
      </c>
      <c r="Z293" s="398">
        <v>1.87</v>
      </c>
    </row>
    <row r="294" spans="22:26">
      <c r="V294" s="397" t="s">
        <v>354</v>
      </c>
      <c r="W294" s="397">
        <v>36</v>
      </c>
      <c r="X294" s="397" t="str">
        <f t="shared" si="0"/>
        <v>CPR-36</v>
      </c>
      <c r="Y294" s="398">
        <v>0.65</v>
      </c>
      <c r="Z294" s="398">
        <v>2.11</v>
      </c>
    </row>
    <row r="295" spans="22:26">
      <c r="V295" s="397" t="s">
        <v>354</v>
      </c>
      <c r="W295" s="397">
        <v>37</v>
      </c>
      <c r="X295" s="397" t="str">
        <f t="shared" si="0"/>
        <v>CPR-37</v>
      </c>
      <c r="Y295" s="398">
        <v>0.72</v>
      </c>
      <c r="Z295" s="398">
        <v>2.33</v>
      </c>
    </row>
    <row r="296" spans="22:26">
      <c r="V296" s="397" t="s">
        <v>354</v>
      </c>
      <c r="W296" s="397">
        <v>38</v>
      </c>
      <c r="X296" s="397" t="str">
        <f t="shared" si="0"/>
        <v>CPR-38</v>
      </c>
      <c r="Y296" s="398">
        <v>0.77</v>
      </c>
      <c r="Z296" s="398">
        <v>2.5499999999999998</v>
      </c>
    </row>
    <row r="297" spans="22:26">
      <c r="V297" s="397" t="s">
        <v>354</v>
      </c>
      <c r="W297" s="397">
        <v>39</v>
      </c>
      <c r="X297" s="397" t="str">
        <f t="shared" si="0"/>
        <v>CPR-39</v>
      </c>
      <c r="Y297" s="398">
        <v>0.81</v>
      </c>
      <c r="Z297" s="398">
        <v>2.73</v>
      </c>
    </row>
    <row r="298" spans="22:26">
      <c r="V298" s="397" t="s">
        <v>354</v>
      </c>
      <c r="W298" s="397">
        <v>40</v>
      </c>
      <c r="X298" s="397" t="str">
        <f t="shared" si="0"/>
        <v>CPR-40</v>
      </c>
      <c r="Y298" s="398">
        <v>0.87</v>
      </c>
      <c r="Z298" s="398">
        <v>2.93</v>
      </c>
    </row>
    <row r="299" spans="22:26">
      <c r="V299" s="397" t="s">
        <v>354</v>
      </c>
      <c r="W299" s="397">
        <v>41</v>
      </c>
      <c r="X299" s="397" t="str">
        <f t="shared" si="0"/>
        <v>CPR-41</v>
      </c>
      <c r="Y299" s="398">
        <v>0.93</v>
      </c>
      <c r="Z299" s="398">
        <v>3.13</v>
      </c>
    </row>
    <row r="300" spans="22:26">
      <c r="V300" s="397" t="s">
        <v>354</v>
      </c>
      <c r="W300" s="397">
        <v>42</v>
      </c>
      <c r="X300" s="397" t="str">
        <f t="shared" si="0"/>
        <v>CPR-42</v>
      </c>
      <c r="Y300" s="398">
        <v>1.01</v>
      </c>
      <c r="Z300" s="398">
        <v>3.37</v>
      </c>
    </row>
    <row r="301" spans="22:26">
      <c r="V301" s="397" t="s">
        <v>354</v>
      </c>
      <c r="W301" s="397">
        <v>43</v>
      </c>
      <c r="X301" s="397" t="str">
        <f t="shared" si="0"/>
        <v>CPR-43</v>
      </c>
      <c r="Y301" s="398">
        <v>1.1100000000000001</v>
      </c>
      <c r="Z301" s="398">
        <v>3.63</v>
      </c>
    </row>
    <row r="302" spans="22:26">
      <c r="V302" s="397" t="s">
        <v>354</v>
      </c>
      <c r="W302" s="397">
        <v>44</v>
      </c>
      <c r="X302" s="397" t="str">
        <f t="shared" si="0"/>
        <v>CPR-44</v>
      </c>
      <c r="Y302" s="398">
        <v>1.24</v>
      </c>
      <c r="Z302" s="398">
        <v>3.91</v>
      </c>
    </row>
    <row r="303" spans="22:26">
      <c r="V303" s="397" t="s">
        <v>354</v>
      </c>
      <c r="W303" s="397">
        <v>45</v>
      </c>
      <c r="X303" s="397" t="str">
        <f t="shared" si="0"/>
        <v>CPR-45</v>
      </c>
      <c r="Y303" s="398">
        <v>1.29</v>
      </c>
      <c r="Z303" s="398">
        <v>4.1900000000000004</v>
      </c>
    </row>
    <row r="304" spans="22:26">
      <c r="V304" s="397" t="s">
        <v>354</v>
      </c>
      <c r="W304" s="397">
        <v>46</v>
      </c>
      <c r="X304" s="397" t="str">
        <f t="shared" si="0"/>
        <v>CPR-46</v>
      </c>
      <c r="Y304" s="398">
        <v>1.41</v>
      </c>
      <c r="Z304" s="398">
        <v>4.47</v>
      </c>
    </row>
    <row r="305" spans="22:26">
      <c r="V305" s="397" t="s">
        <v>354</v>
      </c>
      <c r="W305" s="397">
        <v>47</v>
      </c>
      <c r="X305" s="397" t="str">
        <f t="shared" si="0"/>
        <v>CPR-47</v>
      </c>
      <c r="Y305" s="398">
        <v>1.53</v>
      </c>
      <c r="Z305" s="398">
        <v>4.71</v>
      </c>
    </row>
    <row r="306" spans="22:26">
      <c r="V306" s="397" t="s">
        <v>354</v>
      </c>
      <c r="W306" s="397">
        <v>48</v>
      </c>
      <c r="X306" s="397" t="str">
        <f t="shared" si="0"/>
        <v>CPR-48</v>
      </c>
      <c r="Y306" s="398">
        <v>1.64</v>
      </c>
      <c r="Z306" s="398">
        <v>4.92</v>
      </c>
    </row>
    <row r="307" spans="22:26">
      <c r="V307" s="397" t="s">
        <v>354</v>
      </c>
      <c r="W307" s="397">
        <v>49</v>
      </c>
      <c r="X307" s="397" t="str">
        <f t="shared" si="0"/>
        <v>CPR-49</v>
      </c>
      <c r="Y307" s="398">
        <v>1.75</v>
      </c>
      <c r="Z307" s="398">
        <v>5.09</v>
      </c>
    </row>
    <row r="308" spans="22:26">
      <c r="V308" s="397" t="s">
        <v>354</v>
      </c>
      <c r="W308" s="397">
        <v>50</v>
      </c>
      <c r="X308" s="397" t="str">
        <f t="shared" si="0"/>
        <v>CPR-50</v>
      </c>
      <c r="Y308" s="398">
        <v>2.04</v>
      </c>
      <c r="Z308" s="398">
        <v>5.24</v>
      </c>
    </row>
    <row r="309" spans="22:26">
      <c r="V309" s="397" t="s">
        <v>354</v>
      </c>
      <c r="W309" s="397">
        <v>51</v>
      </c>
      <c r="X309" s="397" t="str">
        <f t="shared" si="0"/>
        <v>CPR-51</v>
      </c>
      <c r="Y309" s="398">
        <v>2.33</v>
      </c>
      <c r="Z309" s="398">
        <v>5.39</v>
      </c>
    </row>
    <row r="310" spans="22:26">
      <c r="V310" s="397" t="s">
        <v>354</v>
      </c>
      <c r="W310" s="397">
        <v>52</v>
      </c>
      <c r="X310" s="397" t="str">
        <f t="shared" si="0"/>
        <v>CPR-52</v>
      </c>
      <c r="Y310" s="398">
        <v>2.56</v>
      </c>
      <c r="Z310" s="398">
        <v>5.4</v>
      </c>
    </row>
    <row r="311" spans="22:26">
      <c r="V311" s="397" t="s">
        <v>354</v>
      </c>
      <c r="W311" s="397">
        <v>53</v>
      </c>
      <c r="X311" s="397" t="str">
        <f t="shared" si="0"/>
        <v>CPR-53</v>
      </c>
      <c r="Y311" s="398">
        <v>2.84</v>
      </c>
      <c r="Z311" s="398">
        <v>5.41</v>
      </c>
    </row>
    <row r="312" spans="22:26">
      <c r="V312" s="397" t="s">
        <v>354</v>
      </c>
      <c r="W312" s="397">
        <v>54</v>
      </c>
      <c r="X312" s="397" t="str">
        <f t="shared" si="0"/>
        <v>CPR-54</v>
      </c>
      <c r="Y312" s="398">
        <v>3.2</v>
      </c>
      <c r="Z312" s="398">
        <v>5.43</v>
      </c>
    </row>
    <row r="313" spans="22:26">
      <c r="V313" s="397" t="s">
        <v>354</v>
      </c>
      <c r="W313" s="397">
        <v>55</v>
      </c>
      <c r="X313" s="397" t="str">
        <f t="shared" si="0"/>
        <v>CPR-55</v>
      </c>
      <c r="Y313" s="398">
        <v>3.43</v>
      </c>
      <c r="Z313" s="398">
        <v>5.43</v>
      </c>
    </row>
    <row r="314" spans="22:26">
      <c r="V314" s="397" t="s">
        <v>354</v>
      </c>
      <c r="W314" s="397">
        <v>56</v>
      </c>
      <c r="X314" s="397" t="str">
        <f t="shared" si="0"/>
        <v>CPR-56</v>
      </c>
      <c r="Y314" s="398">
        <v>3.88</v>
      </c>
      <c r="Z314" s="398">
        <v>5.44</v>
      </c>
    </row>
    <row r="315" spans="22:26">
      <c r="V315" s="397" t="s">
        <v>354</v>
      </c>
      <c r="W315" s="397">
        <v>57</v>
      </c>
      <c r="X315" s="397" t="str">
        <f t="shared" si="0"/>
        <v>CPR-57</v>
      </c>
      <c r="Y315" s="398">
        <v>4.41</v>
      </c>
      <c r="Z315" s="398">
        <v>5.64</v>
      </c>
    </row>
    <row r="316" spans="22:26">
      <c r="V316" s="397" t="s">
        <v>354</v>
      </c>
      <c r="W316" s="397">
        <v>58</v>
      </c>
      <c r="X316" s="397" t="str">
        <f t="shared" si="0"/>
        <v>CPR-58</v>
      </c>
      <c r="Y316" s="398">
        <v>5</v>
      </c>
      <c r="Z316" s="398">
        <v>5.99</v>
      </c>
    </row>
    <row r="317" spans="22:26">
      <c r="V317" s="397" t="s">
        <v>354</v>
      </c>
      <c r="W317" s="397">
        <v>59</v>
      </c>
      <c r="X317" s="397" t="str">
        <f t="shared" si="0"/>
        <v>CPR-59</v>
      </c>
      <c r="Y317" s="398">
        <v>5.64</v>
      </c>
      <c r="Z317" s="398">
        <v>6.47</v>
      </c>
    </row>
    <row r="318" spans="22:26">
      <c r="V318" s="397" t="s">
        <v>354</v>
      </c>
      <c r="W318" s="397">
        <v>60</v>
      </c>
      <c r="X318" s="397" t="str">
        <f t="shared" si="0"/>
        <v>CPR-60</v>
      </c>
      <c r="Y318" s="398">
        <v>5.76</v>
      </c>
      <c r="Z318" s="398">
        <v>6.68</v>
      </c>
    </row>
    <row r="319" spans="22:26">
      <c r="V319" s="397" t="s">
        <v>354</v>
      </c>
      <c r="W319" s="397">
        <v>61</v>
      </c>
      <c r="X319" s="397" t="str">
        <f t="shared" si="0"/>
        <v>CPR-61</v>
      </c>
      <c r="Y319" s="398">
        <v>6.44</v>
      </c>
      <c r="Z319" s="398">
        <v>6.88</v>
      </c>
    </row>
    <row r="320" spans="22:26">
      <c r="V320" s="397" t="s">
        <v>354</v>
      </c>
      <c r="W320" s="397">
        <v>62</v>
      </c>
      <c r="X320" s="397" t="str">
        <f t="shared" si="0"/>
        <v>CPR-62</v>
      </c>
      <c r="Y320" s="398">
        <v>7.15</v>
      </c>
      <c r="Z320" s="398">
        <v>7.37</v>
      </c>
    </row>
    <row r="321" spans="22:26">
      <c r="V321" s="397" t="s">
        <v>354</v>
      </c>
      <c r="W321" s="397">
        <v>63</v>
      </c>
      <c r="X321" s="397" t="str">
        <f t="shared" si="0"/>
        <v>CPR-63</v>
      </c>
      <c r="Y321" s="398">
        <v>7.89</v>
      </c>
      <c r="Z321" s="398">
        <v>7.81</v>
      </c>
    </row>
    <row r="322" spans="22:26">
      <c r="V322" s="397" t="s">
        <v>354</v>
      </c>
      <c r="W322" s="397">
        <v>64</v>
      </c>
      <c r="X322" s="397" t="str">
        <f t="shared" si="0"/>
        <v>CPR-64</v>
      </c>
      <c r="Y322" s="398">
        <v>8.69</v>
      </c>
      <c r="Z322" s="398">
        <v>8.1999999999999993</v>
      </c>
    </row>
    <row r="323" spans="22:26">
      <c r="V323" s="397" t="s">
        <v>354</v>
      </c>
      <c r="W323" s="397">
        <v>65</v>
      </c>
      <c r="X323" s="397" t="str">
        <f t="shared" ref="X323:X386" si="1">V323&amp;"-"&amp;W323</f>
        <v>CPR-65</v>
      </c>
      <c r="Y323" s="398">
        <v>9.5500000000000007</v>
      </c>
      <c r="Z323" s="398">
        <v>8.43</v>
      </c>
    </row>
    <row r="324" spans="22:26">
      <c r="V324" s="397" t="s">
        <v>354</v>
      </c>
      <c r="W324" s="397">
        <v>66</v>
      </c>
      <c r="X324" s="397" t="str">
        <f t="shared" si="1"/>
        <v>CPR-66</v>
      </c>
      <c r="Y324" s="398">
        <v>10.55</v>
      </c>
      <c r="Z324" s="398">
        <v>8.65</v>
      </c>
    </row>
    <row r="325" spans="22:26">
      <c r="V325" s="397" t="s">
        <v>354</v>
      </c>
      <c r="W325" s="397">
        <v>67</v>
      </c>
      <c r="X325" s="397" t="str">
        <f t="shared" si="1"/>
        <v>CPR-67</v>
      </c>
      <c r="Y325" s="398">
        <v>11.65</v>
      </c>
      <c r="Z325" s="398">
        <v>9.23</v>
      </c>
    </row>
    <row r="326" spans="22:26">
      <c r="V326" s="397" t="s">
        <v>354</v>
      </c>
      <c r="W326" s="397">
        <v>68</v>
      </c>
      <c r="X326" s="397" t="str">
        <f t="shared" si="1"/>
        <v>CPR-68</v>
      </c>
      <c r="Y326" s="398">
        <v>12.88</v>
      </c>
      <c r="Z326" s="398">
        <v>9.85</v>
      </c>
    </row>
    <row r="327" spans="22:26">
      <c r="V327" s="397" t="s">
        <v>354</v>
      </c>
      <c r="W327" s="397">
        <v>69</v>
      </c>
      <c r="X327" s="397" t="str">
        <f t="shared" si="1"/>
        <v>CPR-69</v>
      </c>
      <c r="Y327" s="398">
        <v>14.2</v>
      </c>
      <c r="Z327" s="398">
        <v>10.55</v>
      </c>
    </row>
    <row r="328" spans="22:26">
      <c r="V328" s="397" t="s">
        <v>354</v>
      </c>
      <c r="W328" s="397">
        <v>70</v>
      </c>
      <c r="X328" s="397" t="str">
        <f t="shared" si="1"/>
        <v>CPR-70</v>
      </c>
      <c r="Y328" s="398">
        <v>15.6</v>
      </c>
      <c r="Z328" s="398">
        <v>11.29</v>
      </c>
    </row>
    <row r="329" spans="22:26">
      <c r="V329" s="397" t="s">
        <v>354</v>
      </c>
      <c r="W329" s="397">
        <v>71</v>
      </c>
      <c r="X329" s="397" t="str">
        <f t="shared" si="1"/>
        <v>CPR-71</v>
      </c>
      <c r="Y329" s="398">
        <v>17.05</v>
      </c>
      <c r="Z329" s="398">
        <v>12.12</v>
      </c>
    </row>
    <row r="330" spans="22:26">
      <c r="V330" s="397" t="s">
        <v>354</v>
      </c>
      <c r="W330" s="397">
        <v>72</v>
      </c>
      <c r="X330" s="397" t="str">
        <f t="shared" si="1"/>
        <v>CPR-72</v>
      </c>
      <c r="Y330" s="398">
        <v>18.55</v>
      </c>
      <c r="Z330" s="398">
        <v>13.03</v>
      </c>
    </row>
    <row r="331" spans="22:26">
      <c r="V331" s="397" t="s">
        <v>354</v>
      </c>
      <c r="W331" s="397">
        <v>73</v>
      </c>
      <c r="X331" s="397" t="str">
        <f t="shared" si="1"/>
        <v>CPR-73</v>
      </c>
      <c r="Y331" s="398">
        <v>20.04</v>
      </c>
      <c r="Z331" s="398">
        <v>13.97</v>
      </c>
    </row>
    <row r="332" spans="22:26">
      <c r="V332" s="397" t="s">
        <v>354</v>
      </c>
      <c r="W332" s="397">
        <v>74</v>
      </c>
      <c r="X332" s="397" t="str">
        <f t="shared" si="1"/>
        <v>CPR-74</v>
      </c>
      <c r="Y332" s="398">
        <v>21.52</v>
      </c>
      <c r="Z332" s="398">
        <v>15</v>
      </c>
    </row>
    <row r="333" spans="22:26">
      <c r="V333" s="397" t="s">
        <v>354</v>
      </c>
      <c r="W333" s="397">
        <v>75</v>
      </c>
      <c r="X333" s="397" t="str">
        <f t="shared" si="1"/>
        <v>CPR-75</v>
      </c>
      <c r="Y333" s="398">
        <v>22.97</v>
      </c>
      <c r="Z333" s="398">
        <v>16.09</v>
      </c>
    </row>
    <row r="334" spans="22:26">
      <c r="V334" s="397" t="s">
        <v>354</v>
      </c>
      <c r="W334" s="397">
        <v>76</v>
      </c>
      <c r="X334" s="397" t="str">
        <f t="shared" si="1"/>
        <v>CPR-76</v>
      </c>
      <c r="Y334" s="398">
        <v>24.24</v>
      </c>
      <c r="Z334" s="398">
        <v>16.95</v>
      </c>
    </row>
    <row r="335" spans="22:26">
      <c r="V335" s="397" t="s">
        <v>354</v>
      </c>
      <c r="W335" s="397">
        <v>77</v>
      </c>
      <c r="X335" s="397" t="str">
        <f t="shared" si="1"/>
        <v>CPR-77</v>
      </c>
      <c r="Y335" s="398">
        <v>25.41</v>
      </c>
      <c r="Z335" s="398">
        <v>17.8</v>
      </c>
    </row>
    <row r="336" spans="22:26">
      <c r="V336" s="397" t="s">
        <v>354</v>
      </c>
      <c r="W336" s="397">
        <v>78</v>
      </c>
      <c r="X336" s="397" t="str">
        <f t="shared" si="1"/>
        <v>CPR-78</v>
      </c>
      <c r="Y336" s="398">
        <v>26.48</v>
      </c>
      <c r="Z336" s="398">
        <v>18.670000000000002</v>
      </c>
    </row>
    <row r="337" spans="22:26">
      <c r="V337" s="397" t="s">
        <v>354</v>
      </c>
      <c r="W337" s="397">
        <v>79</v>
      </c>
      <c r="X337" s="397" t="str">
        <f t="shared" si="1"/>
        <v>CPR-79</v>
      </c>
      <c r="Y337" s="398">
        <v>27.44</v>
      </c>
      <c r="Z337" s="398">
        <v>19.52</v>
      </c>
    </row>
    <row r="338" spans="22:26">
      <c r="V338" s="397" t="s">
        <v>354</v>
      </c>
      <c r="W338" s="399">
        <v>80</v>
      </c>
      <c r="X338" s="397" t="str">
        <f t="shared" si="1"/>
        <v>CPR-80</v>
      </c>
      <c r="Y338" s="399">
        <v>28.28</v>
      </c>
      <c r="Z338" s="399">
        <v>20.329999999999998</v>
      </c>
    </row>
    <row r="339" spans="22:26">
      <c r="V339" s="397" t="s">
        <v>354</v>
      </c>
      <c r="W339" s="399">
        <v>81</v>
      </c>
      <c r="X339" s="397" t="str">
        <f t="shared" si="1"/>
        <v>CPR-81</v>
      </c>
      <c r="Y339" s="399">
        <v>29.01</v>
      </c>
      <c r="Z339" s="399">
        <v>21.08</v>
      </c>
    </row>
    <row r="340" spans="22:26">
      <c r="V340" s="397" t="s">
        <v>354</v>
      </c>
      <c r="W340" s="399">
        <v>82</v>
      </c>
      <c r="X340" s="397" t="str">
        <f t="shared" si="1"/>
        <v>CPR-82</v>
      </c>
      <c r="Y340" s="399">
        <v>29.65</v>
      </c>
      <c r="Z340" s="399">
        <v>21.75</v>
      </c>
    </row>
    <row r="341" spans="22:26">
      <c r="V341" s="397" t="s">
        <v>354</v>
      </c>
      <c r="W341" s="399">
        <v>83</v>
      </c>
      <c r="X341" s="397" t="str">
        <f t="shared" si="1"/>
        <v>CPR-83</v>
      </c>
      <c r="Y341" s="399">
        <v>30.21</v>
      </c>
      <c r="Z341" s="399">
        <v>22.32</v>
      </c>
    </row>
    <row r="342" spans="22:26">
      <c r="V342" s="397" t="s">
        <v>354</v>
      </c>
      <c r="W342" s="399">
        <v>84</v>
      </c>
      <c r="X342" s="397" t="str">
        <f t="shared" si="1"/>
        <v>CPR-84</v>
      </c>
      <c r="Y342" s="399">
        <v>30.69</v>
      </c>
      <c r="Z342" s="399">
        <v>22.8</v>
      </c>
    </row>
    <row r="343" spans="22:26">
      <c r="V343" s="405" t="s">
        <v>355</v>
      </c>
      <c r="W343" s="405">
        <v>0</v>
      </c>
      <c r="X343" s="406" t="str">
        <f t="shared" si="1"/>
        <v>HIC-0</v>
      </c>
      <c r="Y343" s="407">
        <v>47.64</v>
      </c>
      <c r="Z343" s="407">
        <v>62.87</v>
      </c>
    </row>
    <row r="344" spans="22:26">
      <c r="V344" s="405" t="s">
        <v>355</v>
      </c>
      <c r="W344" s="405">
        <v>1</v>
      </c>
      <c r="X344" s="406" t="str">
        <f t="shared" si="1"/>
        <v>HIC-1</v>
      </c>
      <c r="Y344" s="407">
        <v>73.13</v>
      </c>
      <c r="Z344" s="407">
        <v>53.43</v>
      </c>
    </row>
    <row r="345" spans="22:26">
      <c r="V345" s="405" t="s">
        <v>355</v>
      </c>
      <c r="W345" s="405">
        <v>2</v>
      </c>
      <c r="X345" s="406" t="str">
        <f t="shared" si="1"/>
        <v>HIC-2</v>
      </c>
      <c r="Y345" s="407">
        <v>84.6</v>
      </c>
      <c r="Z345" s="407">
        <v>44.48</v>
      </c>
    </row>
    <row r="346" spans="22:26">
      <c r="V346" s="405" t="s">
        <v>355</v>
      </c>
      <c r="W346" s="405">
        <v>3</v>
      </c>
      <c r="X346" s="406" t="str">
        <f t="shared" si="1"/>
        <v>HIC-3</v>
      </c>
      <c r="Y346" s="407">
        <v>107.12</v>
      </c>
      <c r="Z346" s="407">
        <v>38.81</v>
      </c>
    </row>
    <row r="347" spans="22:26">
      <c r="V347" s="405" t="s">
        <v>355</v>
      </c>
      <c r="W347" s="405">
        <v>4</v>
      </c>
      <c r="X347" s="406" t="str">
        <f t="shared" si="1"/>
        <v>HIC-4</v>
      </c>
      <c r="Y347" s="407">
        <v>109.79</v>
      </c>
      <c r="Z347" s="407">
        <v>33.43</v>
      </c>
    </row>
    <row r="348" spans="22:26">
      <c r="V348" s="405" t="s">
        <v>355</v>
      </c>
      <c r="W348" s="405">
        <v>5</v>
      </c>
      <c r="X348" s="406" t="str">
        <f t="shared" si="1"/>
        <v>HIC-5</v>
      </c>
      <c r="Y348" s="407">
        <v>96.15</v>
      </c>
      <c r="Z348" s="407">
        <v>29.37</v>
      </c>
    </row>
    <row r="349" spans="22:26">
      <c r="V349" s="405" t="s">
        <v>355</v>
      </c>
      <c r="W349" s="405">
        <v>6</v>
      </c>
      <c r="X349" s="406" t="str">
        <f t="shared" si="1"/>
        <v>HIC-6</v>
      </c>
      <c r="Y349" s="407">
        <v>74.489999999999995</v>
      </c>
      <c r="Z349" s="407">
        <v>27.51</v>
      </c>
    </row>
    <row r="350" spans="22:26">
      <c r="V350" s="405" t="s">
        <v>355</v>
      </c>
      <c r="W350" s="405">
        <v>7</v>
      </c>
      <c r="X350" s="406" t="str">
        <f t="shared" si="1"/>
        <v>HIC-7</v>
      </c>
      <c r="Y350" s="407">
        <v>53.49</v>
      </c>
      <c r="Z350" s="407">
        <v>28.44</v>
      </c>
    </row>
    <row r="351" spans="22:26">
      <c r="V351" s="405" t="s">
        <v>355</v>
      </c>
      <c r="W351" s="405">
        <v>8</v>
      </c>
      <c r="X351" s="406" t="str">
        <f t="shared" si="1"/>
        <v>HIC-8</v>
      </c>
      <c r="Y351" s="407">
        <v>38.39</v>
      </c>
      <c r="Z351" s="407">
        <v>32.159999999999997</v>
      </c>
    </row>
    <row r="352" spans="22:26">
      <c r="V352" s="405" t="s">
        <v>355</v>
      </c>
      <c r="W352" s="405">
        <v>9</v>
      </c>
      <c r="X352" s="406" t="str">
        <f t="shared" si="1"/>
        <v>HIC-9</v>
      </c>
      <c r="Y352" s="407">
        <v>28.89</v>
      </c>
      <c r="Z352" s="407">
        <v>36.69</v>
      </c>
    </row>
    <row r="353" spans="22:26">
      <c r="V353" s="405" t="s">
        <v>355</v>
      </c>
      <c r="W353" s="405">
        <v>10</v>
      </c>
      <c r="X353" s="406" t="str">
        <f t="shared" si="1"/>
        <v>HIC-10</v>
      </c>
      <c r="Y353" s="407">
        <v>23.45</v>
      </c>
      <c r="Z353" s="407">
        <v>40.200000000000003</v>
      </c>
    </row>
    <row r="354" spans="22:26">
      <c r="V354" s="405" t="s">
        <v>355</v>
      </c>
      <c r="W354" s="405">
        <v>11</v>
      </c>
      <c r="X354" s="406" t="str">
        <f t="shared" si="1"/>
        <v>HIC-11</v>
      </c>
      <c r="Y354" s="407">
        <v>20.93</v>
      </c>
      <c r="Z354" s="407">
        <v>40.76</v>
      </c>
    </row>
    <row r="355" spans="22:26">
      <c r="V355" s="405" t="s">
        <v>355</v>
      </c>
      <c r="W355" s="405">
        <v>12</v>
      </c>
      <c r="X355" s="406" t="str">
        <f t="shared" si="1"/>
        <v>HIC-12</v>
      </c>
      <c r="Y355" s="407">
        <v>20.91</v>
      </c>
      <c r="Z355" s="407">
        <v>37.56</v>
      </c>
    </row>
    <row r="356" spans="22:26">
      <c r="V356" s="405" t="s">
        <v>355</v>
      </c>
      <c r="W356" s="405">
        <v>13</v>
      </c>
      <c r="X356" s="406" t="str">
        <f t="shared" si="1"/>
        <v>HIC-13</v>
      </c>
      <c r="Y356" s="407">
        <v>23.45</v>
      </c>
      <c r="Z356" s="407">
        <v>30.89</v>
      </c>
    </row>
    <row r="357" spans="22:26">
      <c r="V357" s="405" t="s">
        <v>355</v>
      </c>
      <c r="W357" s="405">
        <v>14</v>
      </c>
      <c r="X357" s="406" t="str">
        <f t="shared" si="1"/>
        <v>HIC-14</v>
      </c>
      <c r="Y357" s="407">
        <v>26.72</v>
      </c>
      <c r="Z357" s="407">
        <v>23.08</v>
      </c>
    </row>
    <row r="358" spans="22:26">
      <c r="V358" s="405" t="s">
        <v>355</v>
      </c>
      <c r="W358" s="405">
        <v>15</v>
      </c>
      <c r="X358" s="406" t="str">
        <f t="shared" si="1"/>
        <v>HIC-15</v>
      </c>
      <c r="Y358" s="407">
        <v>28.61</v>
      </c>
      <c r="Z358" s="407">
        <v>16.09</v>
      </c>
    </row>
    <row r="359" spans="22:26">
      <c r="V359" s="405" t="s">
        <v>355</v>
      </c>
      <c r="W359" s="405">
        <v>16</v>
      </c>
      <c r="X359" s="406" t="str">
        <f t="shared" si="1"/>
        <v>HIC-16</v>
      </c>
      <c r="Y359" s="407">
        <v>28.89</v>
      </c>
      <c r="Z359" s="407">
        <v>10.87</v>
      </c>
    </row>
    <row r="360" spans="22:26">
      <c r="V360" s="405" t="s">
        <v>355</v>
      </c>
      <c r="W360" s="405">
        <v>17</v>
      </c>
      <c r="X360" s="406" t="str">
        <f t="shared" si="1"/>
        <v>HIC-17</v>
      </c>
      <c r="Y360" s="407">
        <v>27.51</v>
      </c>
      <c r="Z360" s="407">
        <v>7.44</v>
      </c>
    </row>
    <row r="361" spans="22:26">
      <c r="V361" s="405" t="s">
        <v>355</v>
      </c>
      <c r="W361" s="405">
        <v>18</v>
      </c>
      <c r="X361" s="406" t="str">
        <f t="shared" si="1"/>
        <v>HIC-18</v>
      </c>
      <c r="Y361" s="407">
        <v>24.63</v>
      </c>
      <c r="Z361" s="407">
        <v>5.71</v>
      </c>
    </row>
    <row r="362" spans="22:26">
      <c r="V362" s="405" t="s">
        <v>355</v>
      </c>
      <c r="W362" s="405">
        <v>19</v>
      </c>
      <c r="X362" s="406" t="str">
        <f t="shared" si="1"/>
        <v>HIC-19</v>
      </c>
      <c r="Y362" s="407">
        <v>21.01</v>
      </c>
      <c r="Z362" s="407">
        <v>4.99</v>
      </c>
    </row>
    <row r="363" spans="22:26">
      <c r="V363" s="405" t="s">
        <v>355</v>
      </c>
      <c r="W363" s="405">
        <v>20</v>
      </c>
      <c r="X363" s="406" t="str">
        <f t="shared" si="1"/>
        <v>HIC-20</v>
      </c>
      <c r="Y363" s="407">
        <v>17.48</v>
      </c>
      <c r="Z363" s="407">
        <v>4.8</v>
      </c>
    </row>
    <row r="364" spans="22:26">
      <c r="V364" s="405" t="s">
        <v>355</v>
      </c>
      <c r="W364" s="405">
        <v>21</v>
      </c>
      <c r="X364" s="406" t="str">
        <f t="shared" si="1"/>
        <v>HIC-21</v>
      </c>
      <c r="Y364" s="407">
        <v>14.52</v>
      </c>
      <c r="Z364" s="407">
        <v>4.83</v>
      </c>
    </row>
    <row r="365" spans="22:26">
      <c r="V365" s="405" t="s">
        <v>355</v>
      </c>
      <c r="W365" s="405">
        <v>22</v>
      </c>
      <c r="X365" s="406" t="str">
        <f t="shared" si="1"/>
        <v>HIC-22</v>
      </c>
      <c r="Y365" s="407">
        <v>12.52</v>
      </c>
      <c r="Z365" s="407">
        <v>4.88</v>
      </c>
    </row>
    <row r="366" spans="22:26">
      <c r="V366" s="405" t="s">
        <v>355</v>
      </c>
      <c r="W366" s="405">
        <v>23</v>
      </c>
      <c r="X366" s="406" t="str">
        <f t="shared" si="1"/>
        <v>HIC-23</v>
      </c>
      <c r="Y366" s="407">
        <v>11.61</v>
      </c>
      <c r="Z366" s="407">
        <v>4.8099999999999996</v>
      </c>
    </row>
    <row r="367" spans="22:26">
      <c r="V367" s="405" t="s">
        <v>355</v>
      </c>
      <c r="W367" s="405">
        <v>24</v>
      </c>
      <c r="X367" s="406" t="str">
        <f t="shared" si="1"/>
        <v>HIC-24</v>
      </c>
      <c r="Y367" s="407">
        <v>11.48</v>
      </c>
      <c r="Z367" s="407">
        <v>4.6399999999999997</v>
      </c>
    </row>
    <row r="368" spans="22:26">
      <c r="V368" s="405" t="s">
        <v>355</v>
      </c>
      <c r="W368" s="405">
        <v>25</v>
      </c>
      <c r="X368" s="406" t="str">
        <f t="shared" si="1"/>
        <v>HIC-25</v>
      </c>
      <c r="Y368" s="407">
        <v>11.2</v>
      </c>
      <c r="Z368" s="407">
        <v>4.4000000000000004</v>
      </c>
    </row>
    <row r="369" spans="22:26">
      <c r="V369" s="405" t="s">
        <v>355</v>
      </c>
      <c r="W369" s="405">
        <v>26</v>
      </c>
      <c r="X369" s="406" t="str">
        <f t="shared" si="1"/>
        <v>HIC-26</v>
      </c>
      <c r="Y369" s="407">
        <v>10.81</v>
      </c>
      <c r="Z369" s="407">
        <v>3.87</v>
      </c>
    </row>
    <row r="370" spans="22:26">
      <c r="V370" s="405" t="s">
        <v>355</v>
      </c>
      <c r="W370" s="405">
        <v>27</v>
      </c>
      <c r="X370" s="406" t="str">
        <f t="shared" si="1"/>
        <v>HIC-27</v>
      </c>
      <c r="Y370" s="407">
        <v>10.8</v>
      </c>
      <c r="Z370" s="407">
        <v>3.52</v>
      </c>
    </row>
    <row r="371" spans="22:26">
      <c r="V371" s="405" t="s">
        <v>355</v>
      </c>
      <c r="W371" s="405">
        <v>28</v>
      </c>
      <c r="X371" s="406" t="str">
        <f t="shared" si="1"/>
        <v>HIC-28</v>
      </c>
      <c r="Y371" s="407">
        <v>11.04</v>
      </c>
      <c r="Z371" s="407">
        <v>3.53</v>
      </c>
    </row>
    <row r="372" spans="22:26">
      <c r="V372" s="405" t="s">
        <v>355</v>
      </c>
      <c r="W372" s="405">
        <v>29</v>
      </c>
      <c r="X372" s="406" t="str">
        <f t="shared" si="1"/>
        <v>HIC-29</v>
      </c>
      <c r="Y372" s="407">
        <v>11.47</v>
      </c>
      <c r="Z372" s="407">
        <v>3.87</v>
      </c>
    </row>
    <row r="373" spans="22:26">
      <c r="V373" s="405" t="s">
        <v>355</v>
      </c>
      <c r="W373" s="405">
        <v>30</v>
      </c>
      <c r="X373" s="406" t="str">
        <f t="shared" si="1"/>
        <v>HIC-30</v>
      </c>
      <c r="Y373" s="407">
        <v>11.39</v>
      </c>
      <c r="Z373" s="407">
        <v>4.29</v>
      </c>
    </row>
    <row r="374" spans="22:26">
      <c r="V374" s="405" t="s">
        <v>355</v>
      </c>
      <c r="W374" s="405">
        <v>31</v>
      </c>
      <c r="X374" s="406" t="str">
        <f t="shared" si="1"/>
        <v>HIC-31</v>
      </c>
      <c r="Y374" s="407">
        <v>10.97</v>
      </c>
      <c r="Z374" s="407">
        <v>4.7300000000000004</v>
      </c>
    </row>
    <row r="375" spans="22:26">
      <c r="V375" s="405" t="s">
        <v>355</v>
      </c>
      <c r="W375" s="405">
        <v>32</v>
      </c>
      <c r="X375" s="406" t="str">
        <f t="shared" si="1"/>
        <v>HIC-32</v>
      </c>
      <c r="Y375" s="407">
        <v>10.56</v>
      </c>
      <c r="Z375" s="407">
        <v>5.27</v>
      </c>
    </row>
    <row r="376" spans="22:26">
      <c r="V376" s="405" t="s">
        <v>355</v>
      </c>
      <c r="W376" s="405">
        <v>33</v>
      </c>
      <c r="X376" s="406" t="str">
        <f t="shared" si="1"/>
        <v>HIC-33</v>
      </c>
      <c r="Y376" s="407">
        <v>10.44</v>
      </c>
      <c r="Z376" s="407">
        <v>6.05</v>
      </c>
    </row>
    <row r="377" spans="22:26">
      <c r="V377" s="405" t="s">
        <v>355</v>
      </c>
      <c r="W377" s="405">
        <v>34</v>
      </c>
      <c r="X377" s="406" t="str">
        <f t="shared" si="1"/>
        <v>HIC-34</v>
      </c>
      <c r="Y377" s="407">
        <v>10.68</v>
      </c>
      <c r="Z377" s="407">
        <v>7.21</v>
      </c>
    </row>
    <row r="378" spans="22:26">
      <c r="V378" s="405" t="s">
        <v>355</v>
      </c>
      <c r="W378" s="405">
        <v>35</v>
      </c>
      <c r="X378" s="406" t="str">
        <f t="shared" si="1"/>
        <v>HIC-35</v>
      </c>
      <c r="Y378" s="407">
        <v>11.11</v>
      </c>
      <c r="Z378" s="407">
        <v>8.81</v>
      </c>
    </row>
    <row r="379" spans="22:26">
      <c r="V379" s="405" t="s">
        <v>355</v>
      </c>
      <c r="W379" s="405">
        <v>36</v>
      </c>
      <c r="X379" s="406" t="str">
        <f t="shared" si="1"/>
        <v>HIC-36</v>
      </c>
      <c r="Y379" s="407">
        <v>11.56</v>
      </c>
      <c r="Z379" s="407">
        <v>10.84</v>
      </c>
    </row>
    <row r="380" spans="22:26">
      <c r="V380" s="405" t="s">
        <v>355</v>
      </c>
      <c r="W380" s="405">
        <v>37</v>
      </c>
      <c r="X380" s="406" t="str">
        <f t="shared" si="1"/>
        <v>HIC-37</v>
      </c>
      <c r="Y380" s="407">
        <v>11.84</v>
      </c>
      <c r="Z380" s="407">
        <v>13.11</v>
      </c>
    </row>
    <row r="381" spans="22:26">
      <c r="V381" s="405" t="s">
        <v>355</v>
      </c>
      <c r="W381" s="405">
        <v>38</v>
      </c>
      <c r="X381" s="406" t="str">
        <f t="shared" si="1"/>
        <v>HIC-38</v>
      </c>
      <c r="Y381" s="407">
        <v>12.04</v>
      </c>
      <c r="Z381" s="407">
        <v>15.41</v>
      </c>
    </row>
    <row r="382" spans="22:26">
      <c r="V382" s="405" t="s">
        <v>355</v>
      </c>
      <c r="W382" s="405">
        <v>39</v>
      </c>
      <c r="X382" s="406" t="str">
        <f t="shared" si="1"/>
        <v>HIC-39</v>
      </c>
      <c r="Y382" s="407">
        <v>12.37</v>
      </c>
      <c r="Z382" s="407">
        <v>18</v>
      </c>
    </row>
    <row r="383" spans="22:26">
      <c r="V383" s="405" t="s">
        <v>355</v>
      </c>
      <c r="W383" s="405">
        <v>40</v>
      </c>
      <c r="X383" s="406" t="str">
        <f t="shared" si="1"/>
        <v>HIC-40</v>
      </c>
      <c r="Y383" s="407">
        <v>12.99</v>
      </c>
      <c r="Z383" s="407">
        <v>20.97</v>
      </c>
    </row>
    <row r="384" spans="22:26">
      <c r="V384" s="405" t="s">
        <v>355</v>
      </c>
      <c r="W384" s="405">
        <v>41</v>
      </c>
      <c r="X384" s="406" t="str">
        <f t="shared" si="1"/>
        <v>HIC-41</v>
      </c>
      <c r="Y384" s="407">
        <v>14.04</v>
      </c>
      <c r="Z384" s="407">
        <v>24.61</v>
      </c>
    </row>
    <row r="385" spans="22:26">
      <c r="V385" s="405" t="s">
        <v>355</v>
      </c>
      <c r="W385" s="405">
        <v>42</v>
      </c>
      <c r="X385" s="406" t="str">
        <f t="shared" si="1"/>
        <v>HIC-42</v>
      </c>
      <c r="Y385" s="407">
        <v>15.75</v>
      </c>
      <c r="Z385" s="407">
        <v>29.31</v>
      </c>
    </row>
    <row r="386" spans="22:26">
      <c r="V386" s="405" t="s">
        <v>355</v>
      </c>
      <c r="W386" s="405">
        <v>43</v>
      </c>
      <c r="X386" s="406" t="str">
        <f t="shared" si="1"/>
        <v>HIC-43</v>
      </c>
      <c r="Y386" s="407">
        <v>18.37</v>
      </c>
      <c r="Z386" s="407">
        <v>35.590000000000003</v>
      </c>
    </row>
    <row r="387" spans="22:26">
      <c r="V387" s="405" t="s">
        <v>355</v>
      </c>
      <c r="W387" s="405">
        <v>44</v>
      </c>
      <c r="X387" s="406" t="str">
        <f t="shared" ref="X387:X427" si="2">V387&amp;"-"&amp;W387</f>
        <v>HIC-44</v>
      </c>
      <c r="Y387" s="407">
        <v>22.08</v>
      </c>
      <c r="Z387" s="407">
        <v>41.77</v>
      </c>
    </row>
    <row r="388" spans="22:26">
      <c r="V388" s="405" t="s">
        <v>355</v>
      </c>
      <c r="W388" s="405">
        <v>45</v>
      </c>
      <c r="X388" s="406" t="str">
        <f t="shared" si="2"/>
        <v>HIC-45</v>
      </c>
      <c r="Y388" s="407">
        <v>25.53</v>
      </c>
      <c r="Z388" s="407">
        <v>48.2</v>
      </c>
    </row>
    <row r="389" spans="22:26">
      <c r="V389" s="405" t="s">
        <v>355</v>
      </c>
      <c r="W389" s="405">
        <v>46</v>
      </c>
      <c r="X389" s="406" t="str">
        <f t="shared" si="2"/>
        <v>HIC-46</v>
      </c>
      <c r="Y389" s="407">
        <v>28.93</v>
      </c>
      <c r="Z389" s="407">
        <v>54.25</v>
      </c>
    </row>
    <row r="390" spans="22:26">
      <c r="V390" s="405" t="s">
        <v>355</v>
      </c>
      <c r="W390" s="405">
        <v>47</v>
      </c>
      <c r="X390" s="406" t="str">
        <f t="shared" si="2"/>
        <v>HIC-47</v>
      </c>
      <c r="Y390" s="407">
        <v>31.93</v>
      </c>
      <c r="Z390" s="407">
        <v>59.15</v>
      </c>
    </row>
    <row r="391" spans="22:26">
      <c r="V391" s="405" t="s">
        <v>355</v>
      </c>
      <c r="W391" s="405">
        <v>48</v>
      </c>
      <c r="X391" s="406" t="str">
        <f t="shared" si="2"/>
        <v>HIC-48</v>
      </c>
      <c r="Y391" s="407">
        <v>34.270000000000003</v>
      </c>
      <c r="Z391" s="407">
        <v>62.23</v>
      </c>
    </row>
    <row r="392" spans="22:26">
      <c r="V392" s="405" t="s">
        <v>355</v>
      </c>
      <c r="W392" s="405">
        <v>49</v>
      </c>
      <c r="X392" s="406" t="str">
        <f t="shared" si="2"/>
        <v>HIC-49</v>
      </c>
      <c r="Y392" s="407">
        <v>36.159999999999997</v>
      </c>
      <c r="Z392" s="407">
        <v>63.73</v>
      </c>
    </row>
    <row r="393" spans="22:26">
      <c r="V393" s="405" t="s">
        <v>355</v>
      </c>
      <c r="W393" s="405">
        <v>50</v>
      </c>
      <c r="X393" s="406" t="str">
        <f t="shared" si="2"/>
        <v>HIC-50</v>
      </c>
      <c r="Y393" s="407">
        <v>38.03</v>
      </c>
      <c r="Z393" s="407">
        <v>64.319999999999993</v>
      </c>
    </row>
    <row r="394" spans="22:26">
      <c r="V394" s="405" t="s">
        <v>355</v>
      </c>
      <c r="W394" s="405">
        <v>51</v>
      </c>
      <c r="X394" s="406" t="str">
        <f t="shared" si="2"/>
        <v>HIC-51</v>
      </c>
      <c r="Y394" s="407">
        <v>41.75</v>
      </c>
      <c r="Z394" s="407">
        <v>67.13</v>
      </c>
    </row>
    <row r="395" spans="22:26">
      <c r="V395" s="405" t="s">
        <v>355</v>
      </c>
      <c r="W395" s="405">
        <v>52</v>
      </c>
      <c r="X395" s="406" t="str">
        <f t="shared" si="2"/>
        <v>HIC-52</v>
      </c>
      <c r="Y395" s="407">
        <v>47.03</v>
      </c>
      <c r="Z395" s="407">
        <v>71.08</v>
      </c>
    </row>
    <row r="396" spans="22:26">
      <c r="V396" s="405" t="s">
        <v>355</v>
      </c>
      <c r="W396" s="405">
        <v>53</v>
      </c>
      <c r="X396" s="406" t="str">
        <f t="shared" si="2"/>
        <v>HIC-53</v>
      </c>
      <c r="Y396" s="407">
        <v>54.67</v>
      </c>
      <c r="Z396" s="407">
        <v>77.11</v>
      </c>
    </row>
    <row r="397" spans="22:26">
      <c r="V397" s="405" t="s">
        <v>355</v>
      </c>
      <c r="W397" s="405">
        <v>54</v>
      </c>
      <c r="X397" s="406" t="str">
        <f t="shared" si="2"/>
        <v>HIC-54</v>
      </c>
      <c r="Y397" s="407">
        <v>64.650000000000006</v>
      </c>
      <c r="Z397" s="407">
        <v>85.23</v>
      </c>
    </row>
    <row r="398" spans="22:26">
      <c r="V398" s="405" t="s">
        <v>355</v>
      </c>
      <c r="W398" s="405">
        <v>55</v>
      </c>
      <c r="X398" s="406" t="str">
        <f t="shared" si="2"/>
        <v>HIC-55</v>
      </c>
      <c r="Y398" s="407">
        <v>76.489999999999995</v>
      </c>
      <c r="Z398" s="407">
        <v>95.03</v>
      </c>
    </row>
    <row r="399" spans="22:26">
      <c r="V399" s="405" t="s">
        <v>355</v>
      </c>
      <c r="W399" s="405">
        <v>56</v>
      </c>
      <c r="X399" s="406" t="str">
        <f t="shared" si="2"/>
        <v>HIC-56</v>
      </c>
      <c r="Y399" s="407">
        <v>89.28</v>
      </c>
      <c r="Z399" s="407">
        <v>105.95</v>
      </c>
    </row>
    <row r="400" spans="22:26">
      <c r="V400" s="405" t="s">
        <v>355</v>
      </c>
      <c r="W400" s="405">
        <v>57</v>
      </c>
      <c r="X400" s="406" t="str">
        <f t="shared" si="2"/>
        <v>HIC-57</v>
      </c>
      <c r="Y400" s="407">
        <v>101.65</v>
      </c>
      <c r="Z400" s="407">
        <v>117.2</v>
      </c>
    </row>
    <row r="401" spans="22:26">
      <c r="V401" s="405" t="s">
        <v>355</v>
      </c>
      <c r="W401" s="405">
        <v>58</v>
      </c>
      <c r="X401" s="406" t="str">
        <f t="shared" si="2"/>
        <v>HIC-58</v>
      </c>
      <c r="Y401" s="407">
        <v>112.19</v>
      </c>
      <c r="Z401" s="407">
        <v>127.95</v>
      </c>
    </row>
    <row r="402" spans="22:26">
      <c r="V402" s="405" t="s">
        <v>355</v>
      </c>
      <c r="W402" s="405">
        <v>59</v>
      </c>
      <c r="X402" s="406" t="str">
        <f t="shared" si="2"/>
        <v>HIC-59</v>
      </c>
      <c r="Y402" s="407">
        <v>121.09</v>
      </c>
      <c r="Z402" s="407">
        <v>138.16999999999999</v>
      </c>
    </row>
    <row r="403" spans="22:26">
      <c r="V403" s="405" t="s">
        <v>355</v>
      </c>
      <c r="W403" s="405">
        <v>60</v>
      </c>
      <c r="X403" s="406" t="str">
        <f t="shared" si="2"/>
        <v>HIC-60</v>
      </c>
      <c r="Y403" s="407">
        <v>129.36000000000001</v>
      </c>
      <c r="Z403" s="407">
        <v>148.11000000000001</v>
      </c>
    </row>
    <row r="404" spans="22:26">
      <c r="V404" s="405" t="s">
        <v>355</v>
      </c>
      <c r="W404" s="405">
        <v>61</v>
      </c>
      <c r="X404" s="406" t="str">
        <f t="shared" si="2"/>
        <v>HIC-61</v>
      </c>
      <c r="Y404" s="407">
        <v>138.44</v>
      </c>
      <c r="Z404" s="407">
        <v>158.09</v>
      </c>
    </row>
    <row r="405" spans="22:26">
      <c r="V405" s="405" t="s">
        <v>355</v>
      </c>
      <c r="W405" s="405">
        <v>62</v>
      </c>
      <c r="X405" s="406" t="str">
        <f t="shared" si="2"/>
        <v>HIC-62</v>
      </c>
      <c r="Y405" s="407">
        <v>150.28</v>
      </c>
      <c r="Z405" s="407">
        <v>168.56</v>
      </c>
    </row>
    <row r="406" spans="22:26">
      <c r="V406" s="405" t="s">
        <v>355</v>
      </c>
      <c r="W406" s="405">
        <v>63</v>
      </c>
      <c r="X406" s="406" t="str">
        <f t="shared" si="2"/>
        <v>HIC-63</v>
      </c>
      <c r="Y406" s="407">
        <v>166.76</v>
      </c>
      <c r="Z406" s="407">
        <v>179.85</v>
      </c>
    </row>
    <row r="407" spans="22:26">
      <c r="V407" s="405" t="s">
        <v>355</v>
      </c>
      <c r="W407" s="405">
        <v>64</v>
      </c>
      <c r="X407" s="406" t="str">
        <f t="shared" si="2"/>
        <v>HIC-64</v>
      </c>
      <c r="Y407" s="407">
        <v>187.57</v>
      </c>
      <c r="Z407" s="407">
        <v>191.71</v>
      </c>
    </row>
    <row r="408" spans="22:26">
      <c r="V408" s="405" t="s">
        <v>355</v>
      </c>
      <c r="W408" s="405">
        <v>65</v>
      </c>
      <c r="X408" s="406" t="str">
        <f t="shared" si="2"/>
        <v>HIC-65</v>
      </c>
      <c r="Y408" s="407">
        <v>211.25</v>
      </c>
      <c r="Z408" s="407">
        <v>203.51</v>
      </c>
    </row>
    <row r="409" spans="22:26">
      <c r="V409" s="405" t="s">
        <v>355</v>
      </c>
      <c r="W409" s="405">
        <v>66</v>
      </c>
      <c r="X409" s="406" t="str">
        <f t="shared" si="2"/>
        <v>HIC-66</v>
      </c>
      <c r="Y409" s="407">
        <v>235.65</v>
      </c>
      <c r="Z409" s="407">
        <v>214.56</v>
      </c>
    </row>
    <row r="410" spans="22:26">
      <c r="V410" s="405" t="s">
        <v>355</v>
      </c>
      <c r="W410" s="405">
        <v>67</v>
      </c>
      <c r="X410" s="406" t="str">
        <f t="shared" si="2"/>
        <v>HIC-67</v>
      </c>
      <c r="Y410" s="407">
        <v>257.77</v>
      </c>
      <c r="Z410" s="407">
        <v>224.01</v>
      </c>
    </row>
    <row r="411" spans="22:26">
      <c r="V411" s="405" t="s">
        <v>355</v>
      </c>
      <c r="W411" s="405">
        <v>68</v>
      </c>
      <c r="X411" s="406" t="str">
        <f t="shared" si="2"/>
        <v>HIC-68</v>
      </c>
      <c r="Y411" s="407">
        <v>274.68</v>
      </c>
      <c r="Z411" s="407">
        <v>231.25</v>
      </c>
    </row>
    <row r="412" spans="22:26">
      <c r="V412" s="405" t="s">
        <v>355</v>
      </c>
      <c r="W412" s="405">
        <v>69</v>
      </c>
      <c r="X412" s="406" t="str">
        <f t="shared" si="2"/>
        <v>HIC-69</v>
      </c>
      <c r="Y412" s="407">
        <v>286.67</v>
      </c>
      <c r="Z412" s="407">
        <v>236.67</v>
      </c>
    </row>
    <row r="413" spans="22:26">
      <c r="V413" s="405" t="s">
        <v>355</v>
      </c>
      <c r="W413" s="405">
        <v>70</v>
      </c>
      <c r="X413" s="406" t="str">
        <f t="shared" si="2"/>
        <v>HIC-70</v>
      </c>
      <c r="Y413" s="407">
        <v>294.44</v>
      </c>
      <c r="Z413" s="407">
        <v>244.76</v>
      </c>
    </row>
    <row r="414" spans="22:26">
      <c r="V414" s="405" t="s">
        <v>355</v>
      </c>
      <c r="W414" s="405">
        <v>71</v>
      </c>
      <c r="X414" s="406" t="str">
        <f t="shared" si="2"/>
        <v>HIC-71</v>
      </c>
      <c r="Y414" s="407">
        <v>300.83999999999997</v>
      </c>
      <c r="Z414" s="407">
        <v>252.97</v>
      </c>
    </row>
    <row r="415" spans="22:26">
      <c r="V415" s="405" t="s">
        <v>355</v>
      </c>
      <c r="W415" s="405">
        <v>72</v>
      </c>
      <c r="X415" s="406" t="str">
        <f t="shared" si="2"/>
        <v>HIC-72</v>
      </c>
      <c r="Y415" s="407">
        <v>308.29000000000002</v>
      </c>
      <c r="Z415" s="407">
        <v>262.44</v>
      </c>
    </row>
    <row r="416" spans="22:26">
      <c r="V416" s="405" t="s">
        <v>355</v>
      </c>
      <c r="W416" s="405">
        <v>73</v>
      </c>
      <c r="X416" s="406" t="str">
        <f t="shared" si="2"/>
        <v>HIC-73</v>
      </c>
      <c r="Y416" s="407">
        <v>318.83999999999997</v>
      </c>
      <c r="Z416" s="407">
        <v>274.12</v>
      </c>
    </row>
    <row r="417" spans="22:26">
      <c r="V417" s="405" t="s">
        <v>355</v>
      </c>
      <c r="W417" s="405">
        <v>74</v>
      </c>
      <c r="X417" s="406" t="str">
        <f t="shared" si="2"/>
        <v>HIC-74</v>
      </c>
      <c r="Y417" s="407">
        <v>332.07</v>
      </c>
      <c r="Z417" s="407">
        <v>287.37</v>
      </c>
    </row>
    <row r="418" spans="22:26">
      <c r="V418" s="405" t="s">
        <v>355</v>
      </c>
      <c r="W418" s="405">
        <v>75</v>
      </c>
      <c r="X418" s="406" t="str">
        <f t="shared" si="2"/>
        <v>HIC-75</v>
      </c>
      <c r="Y418" s="407">
        <v>346.84</v>
      </c>
      <c r="Z418" s="407">
        <v>301.13</v>
      </c>
    </row>
    <row r="419" spans="22:26">
      <c r="V419" s="405" t="s">
        <v>355</v>
      </c>
      <c r="W419" s="405">
        <v>76</v>
      </c>
      <c r="X419" s="406" t="str">
        <f t="shared" si="2"/>
        <v>HIC-76</v>
      </c>
      <c r="Y419" s="407">
        <v>361.85</v>
      </c>
      <c r="Z419" s="407">
        <v>314.19</v>
      </c>
    </row>
    <row r="420" spans="22:26">
      <c r="V420" s="405" t="s">
        <v>355</v>
      </c>
      <c r="W420" s="405">
        <v>77</v>
      </c>
      <c r="X420" s="406" t="str">
        <f t="shared" si="2"/>
        <v>HIC-77</v>
      </c>
      <c r="Y420" s="407">
        <v>375.75</v>
      </c>
      <c r="Z420" s="407">
        <v>325.24</v>
      </c>
    </row>
    <row r="421" spans="22:26">
      <c r="V421" s="405" t="s">
        <v>355</v>
      </c>
      <c r="W421" s="405">
        <v>78</v>
      </c>
      <c r="X421" s="406" t="str">
        <f t="shared" si="2"/>
        <v>HIC-78</v>
      </c>
      <c r="Y421" s="407">
        <v>387.35</v>
      </c>
      <c r="Z421" s="407">
        <v>333.21</v>
      </c>
    </row>
    <row r="422" spans="22:26">
      <c r="V422" s="405" t="s">
        <v>355</v>
      </c>
      <c r="W422" s="405">
        <v>79</v>
      </c>
      <c r="X422" s="406" t="str">
        <f t="shared" si="2"/>
        <v>HIC-79</v>
      </c>
      <c r="Y422" s="407">
        <v>396.4</v>
      </c>
      <c r="Z422" s="407">
        <v>338.68</v>
      </c>
    </row>
    <row r="423" spans="22:26">
      <c r="V423" s="405" t="s">
        <v>355</v>
      </c>
      <c r="W423" s="405">
        <v>80</v>
      </c>
      <c r="X423" s="406" t="str">
        <f t="shared" si="2"/>
        <v>HIC-80</v>
      </c>
      <c r="Y423" s="407">
        <v>402.89</v>
      </c>
      <c r="Z423" s="407">
        <v>342.57</v>
      </c>
    </row>
    <row r="424" spans="22:26">
      <c r="V424" s="405" t="s">
        <v>355</v>
      </c>
      <c r="W424" s="405">
        <v>81</v>
      </c>
      <c r="X424" s="406" t="str">
        <f t="shared" si="2"/>
        <v>HIC-81</v>
      </c>
      <c r="Y424" s="407">
        <v>406.93</v>
      </c>
      <c r="Z424" s="407">
        <v>345.73</v>
      </c>
    </row>
    <row r="425" spans="22:26">
      <c r="V425" s="405" t="s">
        <v>355</v>
      </c>
      <c r="W425" s="405">
        <v>82</v>
      </c>
      <c r="X425" s="406" t="str">
        <f t="shared" si="2"/>
        <v>HIC-82</v>
      </c>
      <c r="Y425" s="407">
        <v>408.59</v>
      </c>
      <c r="Z425" s="407">
        <v>349.04</v>
      </c>
    </row>
    <row r="426" spans="22:26">
      <c r="V426" s="405" t="s">
        <v>355</v>
      </c>
      <c r="W426" s="405">
        <v>83</v>
      </c>
      <c r="X426" s="406" t="str">
        <f t="shared" si="2"/>
        <v>HIC-83</v>
      </c>
      <c r="Y426" s="407">
        <v>408.33</v>
      </c>
      <c r="Z426" s="407">
        <v>353.29</v>
      </c>
    </row>
    <row r="427" spans="22:26">
      <c r="V427" s="405" t="s">
        <v>355</v>
      </c>
      <c r="W427" s="405">
        <v>84</v>
      </c>
      <c r="X427" s="406" t="str">
        <f t="shared" si="2"/>
        <v>HIC-84</v>
      </c>
      <c r="Y427" s="407">
        <v>406.07</v>
      </c>
      <c r="Z427" s="407">
        <v>357.4</v>
      </c>
    </row>
  </sheetData>
  <phoneticPr fontId="30" type="noConversion"/>
  <pageMargins left="0.75" right="0.75" top="1" bottom="1" header="0.5" footer="0.5"/>
  <pageSetup paperSize="9" orientation="portrait" r:id="rId1"/>
  <headerFooter alignWithMargins="0">
    <oddFooter>&amp;C&amp;1#&amp;"Calibri"&amp;10&amp;K000000Internal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6EACD-5107-499F-8690-E37F9D06D8B1}">
  <sheetPr codeName="Sheet21">
    <tabColor rgb="FFFFFF00"/>
  </sheetPr>
  <dimension ref="A1:K16383"/>
  <sheetViews>
    <sheetView workbookViewId="0">
      <pane xSplit="1" ySplit="5" topLeftCell="B63" activePane="bottomRight" state="frozen"/>
      <selection activeCell="AE3" sqref="AE3"/>
      <selection pane="topRight" activeCell="AE3" sqref="AE3"/>
      <selection pane="bottomLeft" activeCell="AE3" sqref="AE3"/>
      <selection pane="bottomRight" activeCell="AE3" sqref="AE3"/>
    </sheetView>
  </sheetViews>
  <sheetFormatPr defaultColWidth="9.09765625" defaultRowHeight="14.5"/>
  <cols>
    <col min="1" max="1" width="12.8984375" style="763" customWidth="1"/>
    <col min="2" max="16384" width="9.09765625" style="763"/>
  </cols>
  <sheetData>
    <row r="1" spans="1:11">
      <c r="A1" s="760" t="s">
        <v>564</v>
      </c>
      <c r="B1" s="761" t="s">
        <v>999</v>
      </c>
      <c r="C1" s="761" t="s">
        <v>1000</v>
      </c>
      <c r="D1" s="761" t="s">
        <v>1001</v>
      </c>
      <c r="E1" s="761" t="s">
        <v>1002</v>
      </c>
      <c r="F1" s="761" t="s">
        <v>1003</v>
      </c>
      <c r="G1" s="762" t="s">
        <v>999</v>
      </c>
      <c r="H1" s="762" t="s">
        <v>1000</v>
      </c>
      <c r="I1" s="762" t="s">
        <v>1001</v>
      </c>
      <c r="J1" s="762" t="s">
        <v>1002</v>
      </c>
      <c r="K1" s="762" t="s">
        <v>1003</v>
      </c>
    </row>
    <row r="2" spans="1:11">
      <c r="A2" s="760" t="s">
        <v>1004</v>
      </c>
      <c r="B2" s="761" t="s">
        <v>984</v>
      </c>
      <c r="C2" s="761" t="s">
        <v>984</v>
      </c>
      <c r="D2" s="761" t="s">
        <v>984</v>
      </c>
      <c r="E2" s="761" t="s">
        <v>984</v>
      </c>
      <c r="F2" s="761" t="s">
        <v>984</v>
      </c>
      <c r="G2" s="762" t="s">
        <v>984</v>
      </c>
      <c r="H2" s="762" t="s">
        <v>984</v>
      </c>
      <c r="I2" s="762" t="s">
        <v>984</v>
      </c>
      <c r="J2" s="762" t="s">
        <v>984</v>
      </c>
      <c r="K2" s="762" t="s">
        <v>984</v>
      </c>
    </row>
    <row r="3" spans="1:11">
      <c r="A3" s="760" t="s">
        <v>567</v>
      </c>
      <c r="B3" s="761" t="s">
        <v>14</v>
      </c>
      <c r="C3" s="761" t="s">
        <v>14</v>
      </c>
      <c r="D3" s="761" t="s">
        <v>14</v>
      </c>
      <c r="E3" s="761" t="s">
        <v>14</v>
      </c>
      <c r="F3" s="761" t="s">
        <v>14</v>
      </c>
      <c r="G3" s="762" t="s">
        <v>13</v>
      </c>
      <c r="H3" s="762" t="s">
        <v>13</v>
      </c>
      <c r="I3" s="762" t="s">
        <v>13</v>
      </c>
      <c r="J3" s="762" t="s">
        <v>13</v>
      </c>
      <c r="K3" s="762" t="s">
        <v>13</v>
      </c>
    </row>
    <row r="4" spans="1:11">
      <c r="A4" s="760" t="s">
        <v>1005</v>
      </c>
      <c r="B4" s="761">
        <v>20210801</v>
      </c>
      <c r="C4" s="761">
        <v>20210801</v>
      </c>
      <c r="D4" s="761">
        <v>20210801</v>
      </c>
      <c r="E4" s="761">
        <v>20210801</v>
      </c>
      <c r="F4" s="761">
        <v>20210801</v>
      </c>
      <c r="G4" s="762">
        <v>20210801</v>
      </c>
      <c r="H4" s="762">
        <v>20210801</v>
      </c>
      <c r="I4" s="762">
        <v>20210801</v>
      </c>
      <c r="J4" s="762">
        <v>20210801</v>
      </c>
      <c r="K4" s="762">
        <v>20210801</v>
      </c>
    </row>
    <row r="5" spans="1:11">
      <c r="B5" s="761" t="s">
        <v>1006</v>
      </c>
      <c r="C5" s="761" t="s">
        <v>62</v>
      </c>
      <c r="D5" s="761" t="s">
        <v>63</v>
      </c>
      <c r="E5" s="761" t="s">
        <v>64</v>
      </c>
      <c r="F5" s="761" t="s">
        <v>97</v>
      </c>
      <c r="G5" s="762" t="s">
        <v>1007</v>
      </c>
      <c r="H5" s="762" t="s">
        <v>58</v>
      </c>
      <c r="I5" s="762" t="s">
        <v>59</v>
      </c>
      <c r="J5" s="762" t="s">
        <v>60</v>
      </c>
      <c r="K5" s="762" t="s">
        <v>96</v>
      </c>
    </row>
    <row r="6" spans="1:11">
      <c r="A6" s="760">
        <v>0</v>
      </c>
      <c r="B6" s="764">
        <v>25781</v>
      </c>
      <c r="C6" s="764">
        <v>40182</v>
      </c>
      <c r="D6" s="764">
        <v>54257</v>
      </c>
      <c r="E6" s="765">
        <v>0</v>
      </c>
      <c r="F6" s="765">
        <v>0</v>
      </c>
      <c r="G6" s="766">
        <v>31209</v>
      </c>
      <c r="H6" s="766">
        <v>48642</v>
      </c>
      <c r="I6" s="766">
        <v>65680</v>
      </c>
      <c r="J6" s="765">
        <v>0</v>
      </c>
      <c r="K6" s="765">
        <v>0</v>
      </c>
    </row>
    <row r="7" spans="1:11">
      <c r="A7" s="760">
        <v>1</v>
      </c>
      <c r="B7" s="764">
        <v>25781</v>
      </c>
      <c r="C7" s="764">
        <v>40182</v>
      </c>
      <c r="D7" s="764">
        <v>54257</v>
      </c>
      <c r="E7" s="765">
        <v>0</v>
      </c>
      <c r="F7" s="765">
        <v>0</v>
      </c>
      <c r="G7" s="766">
        <v>29995</v>
      </c>
      <c r="H7" s="766">
        <v>46749</v>
      </c>
      <c r="I7" s="766">
        <v>63125</v>
      </c>
      <c r="J7" s="765">
        <v>0</v>
      </c>
      <c r="K7" s="765">
        <v>0</v>
      </c>
    </row>
    <row r="8" spans="1:11">
      <c r="A8" s="760">
        <v>2</v>
      </c>
      <c r="B8" s="764">
        <v>25781</v>
      </c>
      <c r="C8" s="764">
        <v>40182</v>
      </c>
      <c r="D8" s="764">
        <v>54257</v>
      </c>
      <c r="E8" s="765">
        <v>0</v>
      </c>
      <c r="F8" s="765">
        <v>0</v>
      </c>
      <c r="G8" s="766">
        <v>29995</v>
      </c>
      <c r="H8" s="766">
        <v>46749</v>
      </c>
      <c r="I8" s="766">
        <v>63125</v>
      </c>
      <c r="J8" s="765">
        <v>0</v>
      </c>
      <c r="K8" s="765">
        <v>0</v>
      </c>
    </row>
    <row r="9" spans="1:11">
      <c r="A9" s="760">
        <v>3</v>
      </c>
      <c r="B9" s="764">
        <v>20282</v>
      </c>
      <c r="C9" s="764">
        <v>31612</v>
      </c>
      <c r="D9" s="764">
        <v>42684</v>
      </c>
      <c r="E9" s="765">
        <v>0</v>
      </c>
      <c r="F9" s="765">
        <v>0</v>
      </c>
      <c r="G9" s="766">
        <v>23781</v>
      </c>
      <c r="H9" s="766">
        <v>37066</v>
      </c>
      <c r="I9" s="766">
        <v>50049</v>
      </c>
      <c r="J9" s="765">
        <v>0</v>
      </c>
      <c r="K9" s="765">
        <v>0</v>
      </c>
    </row>
    <row r="10" spans="1:11">
      <c r="A10" s="760">
        <v>4</v>
      </c>
      <c r="B10" s="764">
        <v>14926</v>
      </c>
      <c r="C10" s="764">
        <v>23263</v>
      </c>
      <c r="D10" s="764">
        <v>31412</v>
      </c>
      <c r="E10" s="765">
        <v>0</v>
      </c>
      <c r="F10" s="765">
        <v>0</v>
      </c>
      <c r="G10" s="766">
        <v>18640</v>
      </c>
      <c r="H10" s="766">
        <v>29051</v>
      </c>
      <c r="I10" s="766">
        <v>39228</v>
      </c>
      <c r="J10" s="765">
        <v>0</v>
      </c>
      <c r="K10" s="765">
        <v>0</v>
      </c>
    </row>
    <row r="11" spans="1:11">
      <c r="A11" s="760">
        <v>5</v>
      </c>
      <c r="B11" s="764">
        <v>12498</v>
      </c>
      <c r="C11" s="764">
        <v>19479</v>
      </c>
      <c r="D11" s="764">
        <v>26302</v>
      </c>
      <c r="E11" s="765">
        <v>0</v>
      </c>
      <c r="F11" s="765">
        <v>0</v>
      </c>
      <c r="G11" s="766">
        <v>14569</v>
      </c>
      <c r="H11" s="766">
        <v>22707</v>
      </c>
      <c r="I11" s="766">
        <v>30661</v>
      </c>
      <c r="J11" s="765">
        <v>0</v>
      </c>
      <c r="K11" s="765">
        <v>0</v>
      </c>
    </row>
    <row r="12" spans="1:11">
      <c r="A12" s="760">
        <v>6</v>
      </c>
      <c r="B12" s="764">
        <v>10641</v>
      </c>
      <c r="C12" s="764">
        <v>16585</v>
      </c>
      <c r="D12" s="764">
        <v>22394</v>
      </c>
      <c r="E12" s="765">
        <v>0</v>
      </c>
      <c r="F12" s="765">
        <v>0</v>
      </c>
      <c r="G12" s="766">
        <v>12641</v>
      </c>
      <c r="H12" s="766">
        <v>19702</v>
      </c>
      <c r="I12" s="766">
        <v>26603</v>
      </c>
      <c r="J12" s="765">
        <v>0</v>
      </c>
      <c r="K12" s="765">
        <v>0</v>
      </c>
    </row>
    <row r="13" spans="1:11">
      <c r="A13" s="760">
        <v>7</v>
      </c>
      <c r="B13" s="764">
        <v>9427</v>
      </c>
      <c r="C13" s="764">
        <v>14693</v>
      </c>
      <c r="D13" s="764">
        <v>19839</v>
      </c>
      <c r="E13" s="765">
        <v>0</v>
      </c>
      <c r="F13" s="765">
        <v>0</v>
      </c>
      <c r="G13" s="766">
        <v>9855</v>
      </c>
      <c r="H13" s="766">
        <v>15361</v>
      </c>
      <c r="I13" s="766">
        <v>20741</v>
      </c>
      <c r="J13" s="765">
        <v>0</v>
      </c>
      <c r="K13" s="765">
        <v>0</v>
      </c>
    </row>
    <row r="14" spans="1:11">
      <c r="A14" s="760">
        <v>8</v>
      </c>
      <c r="B14" s="764">
        <v>7856</v>
      </c>
      <c r="C14" s="764">
        <v>12244</v>
      </c>
      <c r="D14" s="764">
        <v>16533</v>
      </c>
      <c r="E14" s="765">
        <v>0</v>
      </c>
      <c r="F14" s="765">
        <v>0</v>
      </c>
      <c r="G14" s="766">
        <v>8141</v>
      </c>
      <c r="H14" s="766">
        <v>12689</v>
      </c>
      <c r="I14" s="766">
        <v>17134</v>
      </c>
      <c r="J14" s="765">
        <v>0</v>
      </c>
      <c r="K14" s="765">
        <v>0</v>
      </c>
    </row>
    <row r="15" spans="1:11">
      <c r="A15" s="760">
        <v>9</v>
      </c>
      <c r="B15" s="764">
        <v>6856</v>
      </c>
      <c r="C15" s="764">
        <v>10686</v>
      </c>
      <c r="D15" s="764">
        <v>14429</v>
      </c>
      <c r="E15" s="765">
        <v>0</v>
      </c>
      <c r="F15" s="765">
        <v>0</v>
      </c>
      <c r="G15" s="766">
        <v>6999</v>
      </c>
      <c r="H15" s="766">
        <v>10908</v>
      </c>
      <c r="I15" s="766">
        <v>14729</v>
      </c>
      <c r="J15" s="765">
        <v>0</v>
      </c>
      <c r="K15" s="765">
        <v>0</v>
      </c>
    </row>
    <row r="16" spans="1:11">
      <c r="A16" s="760">
        <v>10</v>
      </c>
      <c r="B16" s="764">
        <v>5713</v>
      </c>
      <c r="C16" s="764">
        <v>8905</v>
      </c>
      <c r="D16" s="764">
        <v>12024</v>
      </c>
      <c r="E16" s="765">
        <v>0</v>
      </c>
      <c r="F16" s="765">
        <v>0</v>
      </c>
      <c r="G16" s="766">
        <v>5856</v>
      </c>
      <c r="H16" s="766">
        <v>9127</v>
      </c>
      <c r="I16" s="766">
        <v>12324</v>
      </c>
      <c r="J16" s="765">
        <v>0</v>
      </c>
      <c r="K16" s="765">
        <v>0</v>
      </c>
    </row>
    <row r="17" spans="1:11">
      <c r="A17" s="760">
        <v>11</v>
      </c>
      <c r="B17" s="764">
        <v>7641</v>
      </c>
      <c r="C17" s="764">
        <v>11910</v>
      </c>
      <c r="D17" s="764">
        <v>16082</v>
      </c>
      <c r="E17" s="764">
        <v>19184</v>
      </c>
      <c r="F17" s="764">
        <v>26299</v>
      </c>
      <c r="G17" s="766">
        <v>7689</v>
      </c>
      <c r="H17" s="766">
        <v>11984</v>
      </c>
      <c r="I17" s="766">
        <v>16182</v>
      </c>
      <c r="J17" s="766">
        <v>19304</v>
      </c>
      <c r="K17" s="766">
        <v>26462</v>
      </c>
    </row>
    <row r="18" spans="1:11">
      <c r="A18" s="760">
        <v>12</v>
      </c>
      <c r="B18" s="764">
        <v>7641</v>
      </c>
      <c r="C18" s="764">
        <v>11910</v>
      </c>
      <c r="D18" s="764">
        <v>16082</v>
      </c>
      <c r="E18" s="764">
        <v>19184</v>
      </c>
      <c r="F18" s="764">
        <v>26299</v>
      </c>
      <c r="G18" s="766">
        <v>7665</v>
      </c>
      <c r="H18" s="766">
        <v>11947</v>
      </c>
      <c r="I18" s="766">
        <v>16132</v>
      </c>
      <c r="J18" s="766">
        <v>19244</v>
      </c>
      <c r="K18" s="766">
        <v>26381</v>
      </c>
    </row>
    <row r="19" spans="1:11">
      <c r="A19" s="760">
        <v>13</v>
      </c>
      <c r="B19" s="764">
        <v>7641</v>
      </c>
      <c r="C19" s="764">
        <v>11910</v>
      </c>
      <c r="D19" s="764">
        <v>16082</v>
      </c>
      <c r="E19" s="764">
        <v>19184</v>
      </c>
      <c r="F19" s="764">
        <v>26299</v>
      </c>
      <c r="G19" s="766">
        <v>7641</v>
      </c>
      <c r="H19" s="766">
        <v>11910</v>
      </c>
      <c r="I19" s="766">
        <v>16082</v>
      </c>
      <c r="J19" s="766">
        <v>19184</v>
      </c>
      <c r="K19" s="766">
        <v>26299</v>
      </c>
    </row>
    <row r="20" spans="1:11">
      <c r="A20" s="760">
        <v>14</v>
      </c>
      <c r="B20" s="764">
        <v>7427</v>
      </c>
      <c r="C20" s="764">
        <v>11576</v>
      </c>
      <c r="D20" s="764">
        <v>15631</v>
      </c>
      <c r="E20" s="764">
        <v>18646</v>
      </c>
      <c r="F20" s="764">
        <v>25561</v>
      </c>
      <c r="G20" s="766">
        <v>7327</v>
      </c>
      <c r="H20" s="766">
        <v>11420</v>
      </c>
      <c r="I20" s="766">
        <v>15420</v>
      </c>
      <c r="J20" s="766">
        <v>18395</v>
      </c>
      <c r="K20" s="766">
        <v>25217</v>
      </c>
    </row>
    <row r="21" spans="1:11">
      <c r="A21" s="760">
        <v>15</v>
      </c>
      <c r="B21" s="764">
        <v>7213</v>
      </c>
      <c r="C21" s="764">
        <v>11242</v>
      </c>
      <c r="D21" s="764">
        <v>15180</v>
      </c>
      <c r="E21" s="764">
        <v>18108</v>
      </c>
      <c r="F21" s="764">
        <v>24824</v>
      </c>
      <c r="G21" s="766">
        <v>7013</v>
      </c>
      <c r="H21" s="766">
        <v>10930</v>
      </c>
      <c r="I21" s="766">
        <v>14759</v>
      </c>
      <c r="J21" s="766">
        <v>17606</v>
      </c>
      <c r="K21" s="766">
        <v>24136</v>
      </c>
    </row>
    <row r="22" spans="1:11">
      <c r="A22" s="760">
        <v>16</v>
      </c>
      <c r="B22" s="764">
        <v>6999</v>
      </c>
      <c r="C22" s="764">
        <v>10908</v>
      </c>
      <c r="D22" s="764">
        <v>14729</v>
      </c>
      <c r="E22" s="764">
        <v>17570</v>
      </c>
      <c r="F22" s="764">
        <v>24087</v>
      </c>
      <c r="G22" s="766">
        <v>6699</v>
      </c>
      <c r="H22" s="766">
        <v>10441</v>
      </c>
      <c r="I22" s="766">
        <v>14098</v>
      </c>
      <c r="J22" s="766">
        <v>16817</v>
      </c>
      <c r="K22" s="766">
        <v>23054</v>
      </c>
    </row>
    <row r="23" spans="1:11">
      <c r="A23" s="760">
        <v>17</v>
      </c>
      <c r="B23" s="764">
        <v>6785</v>
      </c>
      <c r="C23" s="764">
        <v>10574</v>
      </c>
      <c r="D23" s="764">
        <v>14278</v>
      </c>
      <c r="E23" s="764">
        <v>17033</v>
      </c>
      <c r="F23" s="764">
        <v>23349</v>
      </c>
      <c r="G23" s="766">
        <v>6385</v>
      </c>
      <c r="H23" s="766">
        <v>9951</v>
      </c>
      <c r="I23" s="766">
        <v>13437</v>
      </c>
      <c r="J23" s="766">
        <v>16028</v>
      </c>
      <c r="K23" s="766">
        <v>21973</v>
      </c>
    </row>
    <row r="24" spans="1:11">
      <c r="A24" s="760">
        <v>18</v>
      </c>
      <c r="B24" s="764">
        <v>6570</v>
      </c>
      <c r="C24" s="764">
        <v>10240</v>
      </c>
      <c r="D24" s="764">
        <v>13827</v>
      </c>
      <c r="E24" s="764">
        <v>16495</v>
      </c>
      <c r="F24" s="764">
        <v>22612</v>
      </c>
      <c r="G24" s="766">
        <v>6070</v>
      </c>
      <c r="H24" s="766">
        <v>9461</v>
      </c>
      <c r="I24" s="766">
        <v>12775</v>
      </c>
      <c r="J24" s="766">
        <v>15240</v>
      </c>
      <c r="K24" s="766">
        <v>20891</v>
      </c>
    </row>
    <row r="25" spans="1:11">
      <c r="A25" s="760">
        <v>19</v>
      </c>
      <c r="B25" s="764">
        <v>6685</v>
      </c>
      <c r="C25" s="764">
        <v>10418</v>
      </c>
      <c r="D25" s="764">
        <v>14068</v>
      </c>
      <c r="E25" s="764">
        <v>16782</v>
      </c>
      <c r="F25" s="764">
        <v>23005</v>
      </c>
      <c r="G25" s="766">
        <v>5956</v>
      </c>
      <c r="H25" s="766">
        <v>9283</v>
      </c>
      <c r="I25" s="766">
        <v>12535</v>
      </c>
      <c r="J25" s="766">
        <v>14953</v>
      </c>
      <c r="K25" s="766">
        <v>20498</v>
      </c>
    </row>
    <row r="26" spans="1:11">
      <c r="A26" s="760">
        <v>20</v>
      </c>
      <c r="B26" s="764">
        <v>6799</v>
      </c>
      <c r="C26" s="764">
        <v>10597</v>
      </c>
      <c r="D26" s="764">
        <v>14308</v>
      </c>
      <c r="E26" s="764">
        <v>17068</v>
      </c>
      <c r="F26" s="764">
        <v>23398</v>
      </c>
      <c r="G26" s="766">
        <v>5842</v>
      </c>
      <c r="H26" s="766">
        <v>9105</v>
      </c>
      <c r="I26" s="766">
        <v>12294</v>
      </c>
      <c r="J26" s="766">
        <v>14666</v>
      </c>
      <c r="K26" s="766">
        <v>20105</v>
      </c>
    </row>
    <row r="27" spans="1:11">
      <c r="A27" s="760">
        <v>21</v>
      </c>
      <c r="B27" s="764">
        <v>6913</v>
      </c>
      <c r="C27" s="764">
        <v>10775</v>
      </c>
      <c r="D27" s="764">
        <v>14549</v>
      </c>
      <c r="E27" s="764">
        <v>17355</v>
      </c>
      <c r="F27" s="764">
        <v>23792</v>
      </c>
      <c r="G27" s="766">
        <v>5728</v>
      </c>
      <c r="H27" s="766">
        <v>8927</v>
      </c>
      <c r="I27" s="766">
        <v>12054</v>
      </c>
      <c r="J27" s="766">
        <v>14379</v>
      </c>
      <c r="K27" s="766">
        <v>19712</v>
      </c>
    </row>
    <row r="28" spans="1:11">
      <c r="A28" s="760">
        <v>22</v>
      </c>
      <c r="B28" s="764">
        <v>7027</v>
      </c>
      <c r="C28" s="764">
        <v>10953</v>
      </c>
      <c r="D28" s="764">
        <v>14789</v>
      </c>
      <c r="E28" s="764">
        <v>17642</v>
      </c>
      <c r="F28" s="764">
        <v>24185</v>
      </c>
      <c r="G28" s="766">
        <v>5613</v>
      </c>
      <c r="H28" s="766">
        <v>8749</v>
      </c>
      <c r="I28" s="766">
        <v>11813</v>
      </c>
      <c r="J28" s="766">
        <v>14092</v>
      </c>
      <c r="K28" s="766">
        <v>19318</v>
      </c>
    </row>
    <row r="29" spans="1:11">
      <c r="A29" s="760">
        <v>23</v>
      </c>
      <c r="B29" s="764">
        <v>7142</v>
      </c>
      <c r="C29" s="764">
        <v>11131</v>
      </c>
      <c r="D29" s="764">
        <v>15030</v>
      </c>
      <c r="E29" s="764">
        <v>17929</v>
      </c>
      <c r="F29" s="764">
        <v>24578</v>
      </c>
      <c r="G29" s="766">
        <v>5499</v>
      </c>
      <c r="H29" s="766">
        <v>8571</v>
      </c>
      <c r="I29" s="766">
        <v>11573</v>
      </c>
      <c r="J29" s="766">
        <v>13805</v>
      </c>
      <c r="K29" s="766">
        <v>18925</v>
      </c>
    </row>
    <row r="30" spans="1:11">
      <c r="A30" s="760">
        <v>24</v>
      </c>
      <c r="B30" s="764">
        <v>7142</v>
      </c>
      <c r="C30" s="764">
        <v>11131</v>
      </c>
      <c r="D30" s="764">
        <v>15030</v>
      </c>
      <c r="E30" s="764">
        <v>17929</v>
      </c>
      <c r="F30" s="764">
        <v>24578</v>
      </c>
      <c r="G30" s="766">
        <v>5499</v>
      </c>
      <c r="H30" s="766">
        <v>8571</v>
      </c>
      <c r="I30" s="766">
        <v>11573</v>
      </c>
      <c r="J30" s="766">
        <v>13805</v>
      </c>
      <c r="K30" s="766">
        <v>18925</v>
      </c>
    </row>
    <row r="31" spans="1:11">
      <c r="A31" s="760">
        <v>25</v>
      </c>
      <c r="B31" s="764">
        <v>7142</v>
      </c>
      <c r="C31" s="764">
        <v>11131</v>
      </c>
      <c r="D31" s="764">
        <v>15030</v>
      </c>
      <c r="E31" s="764">
        <v>17929</v>
      </c>
      <c r="F31" s="764">
        <v>24578</v>
      </c>
      <c r="G31" s="766">
        <v>5499</v>
      </c>
      <c r="H31" s="766">
        <v>8571</v>
      </c>
      <c r="I31" s="766">
        <v>11573</v>
      </c>
      <c r="J31" s="766">
        <v>13805</v>
      </c>
      <c r="K31" s="766">
        <v>18925</v>
      </c>
    </row>
    <row r="32" spans="1:11">
      <c r="A32" s="760">
        <v>26</v>
      </c>
      <c r="B32" s="764">
        <v>7142</v>
      </c>
      <c r="C32" s="764">
        <v>11131</v>
      </c>
      <c r="D32" s="764">
        <v>15030</v>
      </c>
      <c r="E32" s="764">
        <v>17929</v>
      </c>
      <c r="F32" s="764">
        <v>24578</v>
      </c>
      <c r="G32" s="766">
        <v>5499</v>
      </c>
      <c r="H32" s="766">
        <v>8571</v>
      </c>
      <c r="I32" s="766">
        <v>11573</v>
      </c>
      <c r="J32" s="766">
        <v>13805</v>
      </c>
      <c r="K32" s="766">
        <v>18925</v>
      </c>
    </row>
    <row r="33" spans="1:11">
      <c r="A33" s="760">
        <v>27</v>
      </c>
      <c r="B33" s="764">
        <v>7142</v>
      </c>
      <c r="C33" s="764">
        <v>11131</v>
      </c>
      <c r="D33" s="764">
        <v>15030</v>
      </c>
      <c r="E33" s="764">
        <v>17929</v>
      </c>
      <c r="F33" s="764">
        <v>24578</v>
      </c>
      <c r="G33" s="766">
        <v>5499</v>
      </c>
      <c r="H33" s="766">
        <v>8571</v>
      </c>
      <c r="I33" s="766">
        <v>11573</v>
      </c>
      <c r="J33" s="766">
        <v>13805</v>
      </c>
      <c r="K33" s="766">
        <v>18925</v>
      </c>
    </row>
    <row r="34" spans="1:11">
      <c r="A34" s="760">
        <v>28</v>
      </c>
      <c r="B34" s="764">
        <v>7142</v>
      </c>
      <c r="C34" s="764">
        <v>11131</v>
      </c>
      <c r="D34" s="764">
        <v>15030</v>
      </c>
      <c r="E34" s="764">
        <v>17929</v>
      </c>
      <c r="F34" s="764">
        <v>24578</v>
      </c>
      <c r="G34" s="766">
        <v>5499</v>
      </c>
      <c r="H34" s="766">
        <v>8571</v>
      </c>
      <c r="I34" s="766">
        <v>11573</v>
      </c>
      <c r="J34" s="766">
        <v>13805</v>
      </c>
      <c r="K34" s="766">
        <v>18925</v>
      </c>
    </row>
    <row r="35" spans="1:11">
      <c r="A35" s="760">
        <v>29</v>
      </c>
      <c r="B35" s="764">
        <v>7142</v>
      </c>
      <c r="C35" s="764">
        <v>11131</v>
      </c>
      <c r="D35" s="764">
        <v>15030</v>
      </c>
      <c r="E35" s="764">
        <v>17929</v>
      </c>
      <c r="F35" s="764">
        <v>24578</v>
      </c>
      <c r="G35" s="766">
        <v>5499</v>
      </c>
      <c r="H35" s="766">
        <v>8571</v>
      </c>
      <c r="I35" s="766">
        <v>11573</v>
      </c>
      <c r="J35" s="766">
        <v>13805</v>
      </c>
      <c r="K35" s="766">
        <v>18925</v>
      </c>
    </row>
    <row r="36" spans="1:11">
      <c r="A36" s="760">
        <v>30</v>
      </c>
      <c r="B36" s="764">
        <v>7142</v>
      </c>
      <c r="C36" s="764">
        <v>11131</v>
      </c>
      <c r="D36" s="764">
        <v>15030</v>
      </c>
      <c r="E36" s="764">
        <v>17929</v>
      </c>
      <c r="F36" s="764">
        <v>24578</v>
      </c>
      <c r="G36" s="766">
        <v>5499</v>
      </c>
      <c r="H36" s="766">
        <v>8571</v>
      </c>
      <c r="I36" s="766">
        <v>11573</v>
      </c>
      <c r="J36" s="766">
        <v>13805</v>
      </c>
      <c r="K36" s="766">
        <v>18925</v>
      </c>
    </row>
    <row r="37" spans="1:11">
      <c r="A37" s="760">
        <v>31</v>
      </c>
      <c r="B37" s="764">
        <v>7142</v>
      </c>
      <c r="C37" s="764">
        <v>11131</v>
      </c>
      <c r="D37" s="764">
        <v>15030</v>
      </c>
      <c r="E37" s="764">
        <v>17929</v>
      </c>
      <c r="F37" s="764">
        <v>24578</v>
      </c>
      <c r="G37" s="766">
        <v>5499</v>
      </c>
      <c r="H37" s="766">
        <v>8571</v>
      </c>
      <c r="I37" s="766">
        <v>11573</v>
      </c>
      <c r="J37" s="766">
        <v>13805</v>
      </c>
      <c r="K37" s="766">
        <v>18925</v>
      </c>
    </row>
    <row r="38" spans="1:11">
      <c r="A38" s="760">
        <v>32</v>
      </c>
      <c r="B38" s="764">
        <v>7142</v>
      </c>
      <c r="C38" s="764">
        <v>11131</v>
      </c>
      <c r="D38" s="764">
        <v>15030</v>
      </c>
      <c r="E38" s="764">
        <v>17929</v>
      </c>
      <c r="F38" s="764">
        <v>24578</v>
      </c>
      <c r="G38" s="766">
        <v>5499</v>
      </c>
      <c r="H38" s="766">
        <v>8571</v>
      </c>
      <c r="I38" s="766">
        <v>11573</v>
      </c>
      <c r="J38" s="766">
        <v>13805</v>
      </c>
      <c r="K38" s="766">
        <v>18925</v>
      </c>
    </row>
    <row r="39" spans="1:11">
      <c r="A39" s="760">
        <v>33</v>
      </c>
      <c r="B39" s="764">
        <v>7142</v>
      </c>
      <c r="C39" s="764">
        <v>11131</v>
      </c>
      <c r="D39" s="764">
        <v>15030</v>
      </c>
      <c r="E39" s="764">
        <v>17929</v>
      </c>
      <c r="F39" s="764">
        <v>24578</v>
      </c>
      <c r="G39" s="766">
        <v>5499</v>
      </c>
      <c r="H39" s="766">
        <v>8571</v>
      </c>
      <c r="I39" s="766">
        <v>11573</v>
      </c>
      <c r="J39" s="766">
        <v>13805</v>
      </c>
      <c r="K39" s="766">
        <v>18925</v>
      </c>
    </row>
    <row r="40" spans="1:11">
      <c r="A40" s="760">
        <v>34</v>
      </c>
      <c r="B40" s="764">
        <v>7427</v>
      </c>
      <c r="C40" s="764">
        <v>11576</v>
      </c>
      <c r="D40" s="764">
        <v>15631</v>
      </c>
      <c r="E40" s="764">
        <v>18646</v>
      </c>
      <c r="F40" s="764">
        <v>25561</v>
      </c>
      <c r="G40" s="766">
        <v>5713</v>
      </c>
      <c r="H40" s="766">
        <v>8905</v>
      </c>
      <c r="I40" s="766">
        <v>12024</v>
      </c>
      <c r="J40" s="766">
        <v>14343</v>
      </c>
      <c r="K40" s="766">
        <v>19662</v>
      </c>
    </row>
    <row r="41" spans="1:11">
      <c r="A41" s="760">
        <v>35</v>
      </c>
      <c r="B41" s="764">
        <v>7713</v>
      </c>
      <c r="C41" s="764">
        <v>12021</v>
      </c>
      <c r="D41" s="764">
        <v>16232</v>
      </c>
      <c r="E41" s="764">
        <v>19363</v>
      </c>
      <c r="F41" s="764">
        <v>26544</v>
      </c>
      <c r="G41" s="766">
        <v>5928</v>
      </c>
      <c r="H41" s="766">
        <v>9239</v>
      </c>
      <c r="I41" s="766">
        <v>12475</v>
      </c>
      <c r="J41" s="766">
        <v>14881</v>
      </c>
      <c r="K41" s="766">
        <v>20400</v>
      </c>
    </row>
    <row r="42" spans="1:11">
      <c r="A42" s="760">
        <v>36</v>
      </c>
      <c r="B42" s="764">
        <v>7999</v>
      </c>
      <c r="C42" s="764">
        <v>12467</v>
      </c>
      <c r="D42" s="764">
        <v>16833</v>
      </c>
      <c r="E42" s="764">
        <v>20080</v>
      </c>
      <c r="F42" s="764">
        <v>27527</v>
      </c>
      <c r="G42" s="766">
        <v>6142</v>
      </c>
      <c r="H42" s="766">
        <v>9572</v>
      </c>
      <c r="I42" s="766">
        <v>12926</v>
      </c>
      <c r="J42" s="766">
        <v>15419</v>
      </c>
      <c r="K42" s="766">
        <v>21137</v>
      </c>
    </row>
    <row r="43" spans="1:11">
      <c r="A43" s="760">
        <v>37</v>
      </c>
      <c r="B43" s="764">
        <v>8284</v>
      </c>
      <c r="C43" s="764">
        <v>12912</v>
      </c>
      <c r="D43" s="764">
        <v>17434</v>
      </c>
      <c r="E43" s="764">
        <v>20798</v>
      </c>
      <c r="F43" s="764">
        <v>28511</v>
      </c>
      <c r="G43" s="766">
        <v>6356</v>
      </c>
      <c r="H43" s="766">
        <v>9906</v>
      </c>
      <c r="I43" s="766">
        <v>13376</v>
      </c>
      <c r="J43" s="766">
        <v>15957</v>
      </c>
      <c r="K43" s="766">
        <v>21875</v>
      </c>
    </row>
    <row r="44" spans="1:11">
      <c r="A44" s="760">
        <v>38</v>
      </c>
      <c r="B44" s="764">
        <v>8570</v>
      </c>
      <c r="C44" s="764">
        <v>13357</v>
      </c>
      <c r="D44" s="764">
        <v>18036</v>
      </c>
      <c r="E44" s="764">
        <v>21515</v>
      </c>
      <c r="F44" s="764">
        <v>29494</v>
      </c>
      <c r="G44" s="766">
        <v>6570</v>
      </c>
      <c r="H44" s="766">
        <v>10240</v>
      </c>
      <c r="I44" s="766">
        <v>13827</v>
      </c>
      <c r="J44" s="766">
        <v>16495</v>
      </c>
      <c r="K44" s="766">
        <v>22612</v>
      </c>
    </row>
    <row r="45" spans="1:11">
      <c r="A45" s="760">
        <v>39</v>
      </c>
      <c r="B45" s="764">
        <v>8713</v>
      </c>
      <c r="C45" s="764">
        <v>13580</v>
      </c>
      <c r="D45" s="764">
        <v>18336</v>
      </c>
      <c r="E45" s="764">
        <v>21873</v>
      </c>
      <c r="F45" s="764">
        <v>29985</v>
      </c>
      <c r="G45" s="766">
        <v>6685</v>
      </c>
      <c r="H45" s="766">
        <v>10418</v>
      </c>
      <c r="I45" s="766">
        <v>14068</v>
      </c>
      <c r="J45" s="766">
        <v>16782</v>
      </c>
      <c r="K45" s="766">
        <v>23005</v>
      </c>
    </row>
    <row r="46" spans="1:11">
      <c r="A46" s="760">
        <v>40</v>
      </c>
      <c r="B46" s="764">
        <v>8856</v>
      </c>
      <c r="C46" s="764">
        <v>13802</v>
      </c>
      <c r="D46" s="764">
        <v>18637</v>
      </c>
      <c r="E46" s="764">
        <v>22232</v>
      </c>
      <c r="F46" s="764">
        <v>30477</v>
      </c>
      <c r="G46" s="766">
        <v>6799</v>
      </c>
      <c r="H46" s="766">
        <v>10597</v>
      </c>
      <c r="I46" s="766">
        <v>14308</v>
      </c>
      <c r="J46" s="766">
        <v>17068</v>
      </c>
      <c r="K46" s="766">
        <v>23398</v>
      </c>
    </row>
    <row r="47" spans="1:11">
      <c r="A47" s="760">
        <v>41</v>
      </c>
      <c r="B47" s="764">
        <v>8998</v>
      </c>
      <c r="C47" s="764">
        <v>14025</v>
      </c>
      <c r="D47" s="764">
        <v>18937</v>
      </c>
      <c r="E47" s="764">
        <v>22590</v>
      </c>
      <c r="F47" s="764">
        <v>30968</v>
      </c>
      <c r="G47" s="766">
        <v>6913</v>
      </c>
      <c r="H47" s="766">
        <v>10775</v>
      </c>
      <c r="I47" s="766">
        <v>14549</v>
      </c>
      <c r="J47" s="766">
        <v>17355</v>
      </c>
      <c r="K47" s="766">
        <v>23792</v>
      </c>
    </row>
    <row r="48" spans="1:11">
      <c r="A48" s="760">
        <v>42</v>
      </c>
      <c r="B48" s="764">
        <v>9141</v>
      </c>
      <c r="C48" s="764">
        <v>14247</v>
      </c>
      <c r="D48" s="764">
        <v>19238</v>
      </c>
      <c r="E48" s="764">
        <v>22949</v>
      </c>
      <c r="F48" s="764">
        <v>31460</v>
      </c>
      <c r="G48" s="766">
        <v>7027</v>
      </c>
      <c r="H48" s="766">
        <v>10953</v>
      </c>
      <c r="I48" s="766">
        <v>14789</v>
      </c>
      <c r="J48" s="766">
        <v>17642</v>
      </c>
      <c r="K48" s="766">
        <v>24185</v>
      </c>
    </row>
    <row r="49" spans="1:11">
      <c r="A49" s="760">
        <v>43</v>
      </c>
      <c r="B49" s="764">
        <v>9284</v>
      </c>
      <c r="C49" s="764">
        <v>14470</v>
      </c>
      <c r="D49" s="764">
        <v>19539</v>
      </c>
      <c r="E49" s="764">
        <v>23308</v>
      </c>
      <c r="F49" s="764">
        <v>31952</v>
      </c>
      <c r="G49" s="766">
        <v>7142</v>
      </c>
      <c r="H49" s="766">
        <v>11131</v>
      </c>
      <c r="I49" s="766">
        <v>15030</v>
      </c>
      <c r="J49" s="766">
        <v>17929</v>
      </c>
      <c r="K49" s="766">
        <v>24578</v>
      </c>
    </row>
    <row r="50" spans="1:11">
      <c r="A50" s="760">
        <v>44</v>
      </c>
      <c r="B50" s="764">
        <v>9498</v>
      </c>
      <c r="C50" s="764">
        <v>14804</v>
      </c>
      <c r="D50" s="764">
        <v>19990</v>
      </c>
      <c r="E50" s="764">
        <v>23846</v>
      </c>
      <c r="F50" s="764">
        <v>32689</v>
      </c>
      <c r="G50" s="766">
        <v>7313</v>
      </c>
      <c r="H50" s="766">
        <v>11398</v>
      </c>
      <c r="I50" s="766">
        <v>15390</v>
      </c>
      <c r="J50" s="766">
        <v>18359</v>
      </c>
      <c r="K50" s="766">
        <v>25168</v>
      </c>
    </row>
    <row r="51" spans="1:11">
      <c r="A51" s="760">
        <v>45</v>
      </c>
      <c r="B51" s="764">
        <v>9713</v>
      </c>
      <c r="C51" s="764">
        <v>15138</v>
      </c>
      <c r="D51" s="764">
        <v>20440</v>
      </c>
      <c r="E51" s="764">
        <v>24383</v>
      </c>
      <c r="F51" s="764">
        <v>33426</v>
      </c>
      <c r="G51" s="766">
        <v>7484</v>
      </c>
      <c r="H51" s="766">
        <v>11665</v>
      </c>
      <c r="I51" s="766">
        <v>15751</v>
      </c>
      <c r="J51" s="766">
        <v>18790</v>
      </c>
      <c r="K51" s="766">
        <v>25758</v>
      </c>
    </row>
    <row r="52" spans="1:11">
      <c r="A52" s="760">
        <v>46</v>
      </c>
      <c r="B52" s="764">
        <v>9927</v>
      </c>
      <c r="C52" s="764">
        <v>15472</v>
      </c>
      <c r="D52" s="764">
        <v>20891</v>
      </c>
      <c r="E52" s="764">
        <v>24921</v>
      </c>
      <c r="F52" s="764">
        <v>34164</v>
      </c>
      <c r="G52" s="766">
        <v>7656</v>
      </c>
      <c r="H52" s="766">
        <v>11932</v>
      </c>
      <c r="I52" s="766">
        <v>16112</v>
      </c>
      <c r="J52" s="766">
        <v>19220</v>
      </c>
      <c r="K52" s="766">
        <v>26348</v>
      </c>
    </row>
    <row r="53" spans="1:11">
      <c r="A53" s="760">
        <v>47</v>
      </c>
      <c r="B53" s="764">
        <v>10141</v>
      </c>
      <c r="C53" s="764">
        <v>15806</v>
      </c>
      <c r="D53" s="764">
        <v>21342</v>
      </c>
      <c r="E53" s="764">
        <v>25459</v>
      </c>
      <c r="F53" s="764">
        <v>34901</v>
      </c>
      <c r="G53" s="766">
        <v>7827</v>
      </c>
      <c r="H53" s="766">
        <v>12199</v>
      </c>
      <c r="I53" s="766">
        <v>16473</v>
      </c>
      <c r="J53" s="766">
        <v>19650</v>
      </c>
      <c r="K53" s="766">
        <v>26938</v>
      </c>
    </row>
    <row r="54" spans="1:11">
      <c r="A54" s="760">
        <v>48</v>
      </c>
      <c r="B54" s="764">
        <v>10355</v>
      </c>
      <c r="C54" s="764">
        <v>16140</v>
      </c>
      <c r="D54" s="764">
        <v>21793</v>
      </c>
      <c r="E54" s="764">
        <v>25997</v>
      </c>
      <c r="F54" s="764">
        <v>35638</v>
      </c>
      <c r="G54" s="766">
        <v>7999</v>
      </c>
      <c r="H54" s="766">
        <v>12467</v>
      </c>
      <c r="I54" s="766">
        <v>16833</v>
      </c>
      <c r="J54" s="766">
        <v>20080</v>
      </c>
      <c r="K54" s="766">
        <v>27527</v>
      </c>
    </row>
    <row r="55" spans="1:11">
      <c r="A55" s="760">
        <v>49</v>
      </c>
      <c r="B55" s="764">
        <v>10712</v>
      </c>
      <c r="C55" s="764">
        <v>16696</v>
      </c>
      <c r="D55" s="764">
        <v>22545</v>
      </c>
      <c r="E55" s="764">
        <v>26893</v>
      </c>
      <c r="F55" s="764">
        <v>36867</v>
      </c>
      <c r="G55" s="766">
        <v>8270</v>
      </c>
      <c r="H55" s="766">
        <v>12889</v>
      </c>
      <c r="I55" s="766">
        <v>17404</v>
      </c>
      <c r="J55" s="766">
        <v>20762</v>
      </c>
      <c r="K55" s="766">
        <v>28461</v>
      </c>
    </row>
    <row r="56" spans="1:11">
      <c r="A56" s="760">
        <v>50</v>
      </c>
      <c r="B56" s="764">
        <v>11069</v>
      </c>
      <c r="C56" s="764">
        <v>17253</v>
      </c>
      <c r="D56" s="764">
        <v>23296</v>
      </c>
      <c r="E56" s="764">
        <v>27790</v>
      </c>
      <c r="F56" s="764">
        <v>38096</v>
      </c>
      <c r="G56" s="766">
        <v>8541</v>
      </c>
      <c r="H56" s="766">
        <v>13312</v>
      </c>
      <c r="I56" s="766">
        <v>17976</v>
      </c>
      <c r="J56" s="766">
        <v>21443</v>
      </c>
      <c r="K56" s="766">
        <v>29395</v>
      </c>
    </row>
    <row r="57" spans="1:11">
      <c r="A57" s="760">
        <v>51</v>
      </c>
      <c r="B57" s="764">
        <v>11427</v>
      </c>
      <c r="C57" s="764">
        <v>17809</v>
      </c>
      <c r="D57" s="764">
        <v>24048</v>
      </c>
      <c r="E57" s="764">
        <v>28686</v>
      </c>
      <c r="F57" s="764">
        <v>39325</v>
      </c>
      <c r="G57" s="766">
        <v>8813</v>
      </c>
      <c r="H57" s="766">
        <v>13735</v>
      </c>
      <c r="I57" s="766">
        <v>18547</v>
      </c>
      <c r="J57" s="766">
        <v>22124</v>
      </c>
      <c r="K57" s="766">
        <v>30329</v>
      </c>
    </row>
    <row r="58" spans="1:11">
      <c r="A58" s="760">
        <v>52</v>
      </c>
      <c r="B58" s="764">
        <v>11784</v>
      </c>
      <c r="C58" s="764">
        <v>18366</v>
      </c>
      <c r="D58" s="764">
        <v>24799</v>
      </c>
      <c r="E58" s="764">
        <v>29583</v>
      </c>
      <c r="F58" s="764">
        <v>40554</v>
      </c>
      <c r="G58" s="766">
        <v>9084</v>
      </c>
      <c r="H58" s="766">
        <v>14158</v>
      </c>
      <c r="I58" s="766">
        <v>19118</v>
      </c>
      <c r="J58" s="766">
        <v>22806</v>
      </c>
      <c r="K58" s="766">
        <v>31263</v>
      </c>
    </row>
    <row r="59" spans="1:11">
      <c r="A59" s="760">
        <v>53</v>
      </c>
      <c r="B59" s="764">
        <v>12141</v>
      </c>
      <c r="C59" s="764">
        <v>18922</v>
      </c>
      <c r="D59" s="764">
        <v>25551</v>
      </c>
      <c r="E59" s="764">
        <v>30479</v>
      </c>
      <c r="F59" s="764">
        <v>41783</v>
      </c>
      <c r="G59" s="766">
        <v>9355</v>
      </c>
      <c r="H59" s="766">
        <v>14581</v>
      </c>
      <c r="I59" s="766">
        <v>19689</v>
      </c>
      <c r="J59" s="766">
        <v>23487</v>
      </c>
      <c r="K59" s="766">
        <v>32197</v>
      </c>
    </row>
    <row r="60" spans="1:11">
      <c r="A60" s="760">
        <v>54</v>
      </c>
      <c r="B60" s="764">
        <v>12926</v>
      </c>
      <c r="C60" s="764">
        <v>20147</v>
      </c>
      <c r="D60" s="764">
        <v>27204</v>
      </c>
      <c r="E60" s="764">
        <v>32451</v>
      </c>
      <c r="F60" s="764">
        <v>44486</v>
      </c>
      <c r="G60" s="766">
        <v>9970</v>
      </c>
      <c r="H60" s="766">
        <v>15539</v>
      </c>
      <c r="I60" s="766">
        <v>20981</v>
      </c>
      <c r="J60" s="766">
        <v>25029</v>
      </c>
      <c r="K60" s="766">
        <v>34311</v>
      </c>
    </row>
    <row r="61" spans="1:11">
      <c r="A61" s="760">
        <v>55</v>
      </c>
      <c r="B61" s="764">
        <v>13712</v>
      </c>
      <c r="C61" s="764">
        <v>21371</v>
      </c>
      <c r="D61" s="764">
        <v>28857</v>
      </c>
      <c r="E61" s="764">
        <v>34424</v>
      </c>
      <c r="F61" s="764">
        <v>47190</v>
      </c>
      <c r="G61" s="766">
        <v>10584</v>
      </c>
      <c r="H61" s="766">
        <v>16496</v>
      </c>
      <c r="I61" s="766">
        <v>22274</v>
      </c>
      <c r="J61" s="766">
        <v>26571</v>
      </c>
      <c r="K61" s="766">
        <v>36425</v>
      </c>
    </row>
    <row r="62" spans="1:11">
      <c r="A62" s="760">
        <v>56</v>
      </c>
      <c r="B62" s="764">
        <v>14497</v>
      </c>
      <c r="C62" s="764">
        <v>22596</v>
      </c>
      <c r="D62" s="764">
        <v>30510</v>
      </c>
      <c r="E62" s="764">
        <v>36396</v>
      </c>
      <c r="F62" s="764">
        <v>49894</v>
      </c>
      <c r="G62" s="766">
        <v>11198</v>
      </c>
      <c r="H62" s="766">
        <v>17453</v>
      </c>
      <c r="I62" s="766">
        <v>23567</v>
      </c>
      <c r="J62" s="766">
        <v>28113</v>
      </c>
      <c r="K62" s="766">
        <v>38538</v>
      </c>
    </row>
    <row r="63" spans="1:11">
      <c r="A63" s="760">
        <v>57</v>
      </c>
      <c r="B63" s="764">
        <v>15283</v>
      </c>
      <c r="C63" s="764">
        <v>23820</v>
      </c>
      <c r="D63" s="764">
        <v>32164</v>
      </c>
      <c r="E63" s="764">
        <v>38368</v>
      </c>
      <c r="F63" s="764">
        <v>52597</v>
      </c>
      <c r="G63" s="766">
        <v>11812</v>
      </c>
      <c r="H63" s="766">
        <v>18410</v>
      </c>
      <c r="I63" s="766">
        <v>24859</v>
      </c>
      <c r="J63" s="766">
        <v>29654</v>
      </c>
      <c r="K63" s="766">
        <v>40652</v>
      </c>
    </row>
    <row r="64" spans="1:11">
      <c r="A64" s="760">
        <v>58</v>
      </c>
      <c r="B64" s="764">
        <v>16069</v>
      </c>
      <c r="C64" s="764">
        <v>25044</v>
      </c>
      <c r="D64" s="764">
        <v>33817</v>
      </c>
      <c r="E64" s="764">
        <v>40340</v>
      </c>
      <c r="F64" s="764">
        <v>55301</v>
      </c>
      <c r="G64" s="766">
        <v>12426</v>
      </c>
      <c r="H64" s="766">
        <v>19368</v>
      </c>
      <c r="I64" s="766">
        <v>26152</v>
      </c>
      <c r="J64" s="766">
        <v>31196</v>
      </c>
      <c r="K64" s="766">
        <v>42766</v>
      </c>
    </row>
    <row r="65" spans="1:11">
      <c r="A65" s="760">
        <v>59</v>
      </c>
      <c r="B65" s="764">
        <v>17068</v>
      </c>
      <c r="C65" s="764">
        <v>26603</v>
      </c>
      <c r="D65" s="764">
        <v>35921</v>
      </c>
      <c r="E65" s="764">
        <v>42850</v>
      </c>
      <c r="F65" s="764">
        <v>58742</v>
      </c>
      <c r="G65" s="766">
        <v>14283</v>
      </c>
      <c r="H65" s="766">
        <v>22262</v>
      </c>
      <c r="I65" s="766">
        <v>30059</v>
      </c>
      <c r="J65" s="766">
        <v>35858</v>
      </c>
      <c r="K65" s="766">
        <v>49156</v>
      </c>
    </row>
    <row r="66" spans="1:11">
      <c r="A66" s="760">
        <v>60</v>
      </c>
      <c r="B66" s="764">
        <v>18068</v>
      </c>
      <c r="C66" s="764">
        <v>28161</v>
      </c>
      <c r="D66" s="764">
        <v>38025</v>
      </c>
      <c r="E66" s="764">
        <v>45360</v>
      </c>
      <c r="F66" s="764">
        <v>62183</v>
      </c>
      <c r="G66" s="766">
        <v>16140</v>
      </c>
      <c r="H66" s="766">
        <v>25156</v>
      </c>
      <c r="I66" s="766">
        <v>33967</v>
      </c>
      <c r="J66" s="766">
        <v>40519</v>
      </c>
      <c r="K66" s="766">
        <v>55547</v>
      </c>
    </row>
    <row r="67" spans="1:11">
      <c r="A67" s="760">
        <v>61</v>
      </c>
      <c r="B67" s="764">
        <v>19068</v>
      </c>
      <c r="C67" s="764">
        <v>29719</v>
      </c>
      <c r="D67" s="764">
        <v>40129</v>
      </c>
      <c r="E67" s="764">
        <v>47870</v>
      </c>
      <c r="F67" s="764">
        <v>65624</v>
      </c>
      <c r="G67" s="766">
        <v>17997</v>
      </c>
      <c r="H67" s="766">
        <v>28050</v>
      </c>
      <c r="I67" s="766">
        <v>37875</v>
      </c>
      <c r="J67" s="766">
        <v>45181</v>
      </c>
      <c r="K67" s="766">
        <v>61937</v>
      </c>
    </row>
    <row r="68" spans="1:11">
      <c r="A68" s="760">
        <v>62</v>
      </c>
      <c r="B68" s="764">
        <v>20068</v>
      </c>
      <c r="C68" s="764">
        <v>31278</v>
      </c>
      <c r="D68" s="764">
        <v>42233</v>
      </c>
      <c r="E68" s="764">
        <v>50380</v>
      </c>
      <c r="F68" s="764">
        <v>69064</v>
      </c>
      <c r="G68" s="766">
        <v>19854</v>
      </c>
      <c r="H68" s="766">
        <v>30944</v>
      </c>
      <c r="I68" s="766">
        <v>41783</v>
      </c>
      <c r="J68" s="766">
        <v>49843</v>
      </c>
      <c r="K68" s="766">
        <v>68327</v>
      </c>
    </row>
    <row r="69" spans="1:11">
      <c r="A69" s="760">
        <v>63</v>
      </c>
      <c r="B69" s="764">
        <v>21068</v>
      </c>
      <c r="C69" s="764">
        <v>32836</v>
      </c>
      <c r="D69" s="764">
        <v>44338</v>
      </c>
      <c r="E69" s="764">
        <v>52890</v>
      </c>
      <c r="F69" s="764">
        <v>72505</v>
      </c>
      <c r="G69" s="766">
        <v>21710</v>
      </c>
      <c r="H69" s="766">
        <v>33838</v>
      </c>
      <c r="I69" s="766">
        <v>45690</v>
      </c>
      <c r="J69" s="766">
        <v>54504</v>
      </c>
      <c r="K69" s="766">
        <v>74717</v>
      </c>
    </row>
    <row r="70" spans="1:11">
      <c r="A70" s="760">
        <v>64</v>
      </c>
      <c r="B70" s="764">
        <v>22167</v>
      </c>
      <c r="C70" s="764">
        <v>34550</v>
      </c>
      <c r="D70" s="764">
        <v>46652</v>
      </c>
      <c r="E70" s="764">
        <v>55651</v>
      </c>
      <c r="F70" s="764">
        <v>76290</v>
      </c>
      <c r="G70" s="766">
        <v>22953</v>
      </c>
      <c r="H70" s="766">
        <v>35774</v>
      </c>
      <c r="I70" s="766">
        <v>48305</v>
      </c>
      <c r="J70" s="766">
        <v>57624</v>
      </c>
      <c r="K70" s="766">
        <v>78994</v>
      </c>
    </row>
    <row r="71" spans="1:11">
      <c r="A71" s="760">
        <v>65</v>
      </c>
      <c r="B71" s="764">
        <v>23267</v>
      </c>
      <c r="C71" s="764">
        <v>36264</v>
      </c>
      <c r="D71" s="764">
        <v>48967</v>
      </c>
      <c r="E71" s="764">
        <v>58413</v>
      </c>
      <c r="F71" s="764">
        <v>80075</v>
      </c>
      <c r="G71" s="766">
        <v>24196</v>
      </c>
      <c r="H71" s="766">
        <v>37711</v>
      </c>
      <c r="I71" s="766">
        <v>50921</v>
      </c>
      <c r="J71" s="766">
        <v>60743</v>
      </c>
      <c r="K71" s="766">
        <v>83271</v>
      </c>
    </row>
    <row r="72" spans="1:11">
      <c r="A72" s="760">
        <v>66</v>
      </c>
      <c r="B72" s="764">
        <v>24367</v>
      </c>
      <c r="C72" s="764">
        <v>37978</v>
      </c>
      <c r="D72" s="764">
        <v>51281</v>
      </c>
      <c r="E72" s="764">
        <v>61174</v>
      </c>
      <c r="F72" s="764">
        <v>83861</v>
      </c>
      <c r="G72" s="766">
        <v>25438</v>
      </c>
      <c r="H72" s="766">
        <v>39648</v>
      </c>
      <c r="I72" s="766">
        <v>53536</v>
      </c>
      <c r="J72" s="766">
        <v>63863</v>
      </c>
      <c r="K72" s="766">
        <v>87547</v>
      </c>
    </row>
    <row r="73" spans="1:11">
      <c r="A73" s="760">
        <v>67</v>
      </c>
      <c r="B73" s="764">
        <v>25467</v>
      </c>
      <c r="C73" s="764">
        <v>39692</v>
      </c>
      <c r="D73" s="764">
        <v>53596</v>
      </c>
      <c r="E73" s="764">
        <v>63935</v>
      </c>
      <c r="F73" s="764">
        <v>87646</v>
      </c>
      <c r="G73" s="766">
        <v>26681</v>
      </c>
      <c r="H73" s="766">
        <v>41585</v>
      </c>
      <c r="I73" s="766">
        <v>56151</v>
      </c>
      <c r="J73" s="766">
        <v>66983</v>
      </c>
      <c r="K73" s="766">
        <v>91824</v>
      </c>
    </row>
    <row r="74" spans="1:11">
      <c r="A74" s="760">
        <v>68</v>
      </c>
      <c r="B74" s="764">
        <v>26567</v>
      </c>
      <c r="C74" s="764">
        <v>41407</v>
      </c>
      <c r="D74" s="764">
        <v>55911</v>
      </c>
      <c r="E74" s="764">
        <v>66696</v>
      </c>
      <c r="F74" s="764">
        <v>91431</v>
      </c>
      <c r="G74" s="766">
        <v>27924</v>
      </c>
      <c r="H74" s="766">
        <v>43521</v>
      </c>
      <c r="I74" s="766">
        <v>58766</v>
      </c>
      <c r="J74" s="766">
        <v>70102</v>
      </c>
      <c r="K74" s="766">
        <v>96100</v>
      </c>
    </row>
    <row r="75" spans="1:11">
      <c r="A75" s="760">
        <v>69</v>
      </c>
      <c r="B75" s="764">
        <v>28324</v>
      </c>
      <c r="C75" s="764">
        <v>44145</v>
      </c>
      <c r="D75" s="764">
        <v>59608</v>
      </c>
      <c r="E75" s="764">
        <v>71106</v>
      </c>
      <c r="F75" s="764">
        <v>97477</v>
      </c>
      <c r="G75" s="766">
        <v>29752</v>
      </c>
      <c r="H75" s="766">
        <v>46371</v>
      </c>
      <c r="I75" s="766">
        <v>62614</v>
      </c>
      <c r="J75" s="766">
        <v>74692</v>
      </c>
      <c r="K75" s="766">
        <v>102392</v>
      </c>
    </row>
    <row r="76" spans="1:11">
      <c r="A76" s="760">
        <v>70</v>
      </c>
      <c r="B76" s="764">
        <v>30080</v>
      </c>
      <c r="C76" s="764">
        <v>46883</v>
      </c>
      <c r="D76" s="764">
        <v>63305</v>
      </c>
      <c r="E76" s="764">
        <v>75517</v>
      </c>
      <c r="F76" s="764">
        <v>103523</v>
      </c>
      <c r="G76" s="766">
        <v>31580</v>
      </c>
      <c r="H76" s="766">
        <v>49220</v>
      </c>
      <c r="I76" s="766">
        <v>66461</v>
      </c>
      <c r="J76" s="766">
        <v>79282</v>
      </c>
      <c r="K76" s="766">
        <v>108684</v>
      </c>
    </row>
    <row r="77" spans="1:11">
      <c r="A77" s="760">
        <v>71</v>
      </c>
      <c r="B77" s="764">
        <v>31837</v>
      </c>
      <c r="C77" s="764">
        <v>49621</v>
      </c>
      <c r="D77" s="764">
        <v>67002</v>
      </c>
      <c r="E77" s="764">
        <v>79927</v>
      </c>
      <c r="F77" s="764">
        <v>109569</v>
      </c>
      <c r="G77" s="766">
        <v>33408</v>
      </c>
      <c r="H77" s="766">
        <v>52070</v>
      </c>
      <c r="I77" s="766">
        <v>70309</v>
      </c>
      <c r="J77" s="766">
        <v>83872</v>
      </c>
      <c r="K77" s="766">
        <v>114976</v>
      </c>
    </row>
    <row r="78" spans="1:11">
      <c r="A78" s="760">
        <v>72</v>
      </c>
      <c r="B78" s="764">
        <v>33594</v>
      </c>
      <c r="C78" s="764">
        <v>52359</v>
      </c>
      <c r="D78" s="764">
        <v>70700</v>
      </c>
      <c r="E78" s="764">
        <v>84338</v>
      </c>
      <c r="F78" s="764">
        <v>115615</v>
      </c>
      <c r="G78" s="766">
        <v>35237</v>
      </c>
      <c r="H78" s="766">
        <v>54919</v>
      </c>
      <c r="I78" s="766">
        <v>74157</v>
      </c>
      <c r="J78" s="766">
        <v>88461</v>
      </c>
      <c r="K78" s="766">
        <v>121268</v>
      </c>
    </row>
    <row r="79" spans="1:11">
      <c r="A79" s="760">
        <v>73</v>
      </c>
      <c r="B79" s="764">
        <v>35351</v>
      </c>
      <c r="C79" s="764">
        <v>55098</v>
      </c>
      <c r="D79" s="764">
        <v>74397</v>
      </c>
      <c r="E79" s="764">
        <v>88748</v>
      </c>
      <c r="F79" s="764">
        <v>121662</v>
      </c>
      <c r="G79" s="766">
        <v>37065</v>
      </c>
      <c r="H79" s="766">
        <v>57769</v>
      </c>
      <c r="I79" s="766">
        <v>78004</v>
      </c>
      <c r="J79" s="766">
        <v>93051</v>
      </c>
      <c r="K79" s="766">
        <v>127560</v>
      </c>
    </row>
    <row r="80" spans="1:11">
      <c r="A80" s="760">
        <v>74</v>
      </c>
      <c r="B80" s="764">
        <v>37436</v>
      </c>
      <c r="C80" s="764">
        <v>58348</v>
      </c>
      <c r="D80" s="764">
        <v>78786</v>
      </c>
      <c r="E80" s="764">
        <v>93984</v>
      </c>
      <c r="F80" s="764">
        <v>128838</v>
      </c>
      <c r="G80" s="766">
        <v>39264</v>
      </c>
      <c r="H80" s="766">
        <v>61197</v>
      </c>
      <c r="I80" s="766">
        <v>82633</v>
      </c>
      <c r="J80" s="766">
        <v>98573</v>
      </c>
      <c r="K80" s="766">
        <v>135130</v>
      </c>
    </row>
    <row r="81" spans="1:11">
      <c r="A81" s="760">
        <v>75</v>
      </c>
      <c r="B81" s="764">
        <v>39521</v>
      </c>
      <c r="C81" s="764">
        <v>61598</v>
      </c>
      <c r="D81" s="764">
        <v>83174</v>
      </c>
      <c r="E81" s="764">
        <v>99219</v>
      </c>
      <c r="F81" s="764">
        <v>136015</v>
      </c>
      <c r="G81" s="766">
        <v>41464</v>
      </c>
      <c r="H81" s="766">
        <v>64625</v>
      </c>
      <c r="I81" s="766">
        <v>87262</v>
      </c>
      <c r="J81" s="766">
        <v>104096</v>
      </c>
      <c r="K81" s="766">
        <v>142701</v>
      </c>
    </row>
    <row r="82" spans="1:11">
      <c r="A82" s="760">
        <v>76</v>
      </c>
      <c r="B82" s="764">
        <v>41607</v>
      </c>
      <c r="C82" s="764">
        <v>64848</v>
      </c>
      <c r="D82" s="764">
        <v>87563</v>
      </c>
      <c r="E82" s="764">
        <v>104454</v>
      </c>
      <c r="F82" s="764">
        <v>143192</v>
      </c>
      <c r="G82" s="766">
        <v>43664</v>
      </c>
      <c r="H82" s="766">
        <v>68054</v>
      </c>
      <c r="I82" s="766">
        <v>91892</v>
      </c>
      <c r="J82" s="766">
        <v>109618</v>
      </c>
      <c r="K82" s="766">
        <v>150271</v>
      </c>
    </row>
    <row r="83" spans="1:11">
      <c r="A83" s="760">
        <v>77</v>
      </c>
      <c r="B83" s="764">
        <v>43692</v>
      </c>
      <c r="C83" s="764">
        <v>68098</v>
      </c>
      <c r="D83" s="764">
        <v>91952</v>
      </c>
      <c r="E83" s="764">
        <v>109689</v>
      </c>
      <c r="F83" s="764">
        <v>150369</v>
      </c>
      <c r="G83" s="766">
        <v>45863</v>
      </c>
      <c r="H83" s="766">
        <v>71482</v>
      </c>
      <c r="I83" s="766">
        <v>96521</v>
      </c>
      <c r="J83" s="766">
        <v>115140</v>
      </c>
      <c r="K83" s="766">
        <v>157841</v>
      </c>
    </row>
    <row r="84" spans="1:11">
      <c r="A84" s="760">
        <v>78</v>
      </c>
      <c r="B84" s="764">
        <v>45778</v>
      </c>
      <c r="C84" s="764">
        <v>71348</v>
      </c>
      <c r="D84" s="764">
        <v>96340</v>
      </c>
      <c r="E84" s="764">
        <v>114925</v>
      </c>
      <c r="F84" s="764">
        <v>157546</v>
      </c>
      <c r="G84" s="766">
        <v>48063</v>
      </c>
      <c r="H84" s="766">
        <v>74910</v>
      </c>
      <c r="I84" s="766">
        <v>101150</v>
      </c>
      <c r="J84" s="766">
        <v>120662</v>
      </c>
      <c r="K84" s="766">
        <v>165411</v>
      </c>
    </row>
    <row r="85" spans="1:11">
      <c r="A85" s="760">
        <v>79</v>
      </c>
      <c r="B85" s="764">
        <v>48477</v>
      </c>
      <c r="C85" s="764">
        <v>75556</v>
      </c>
      <c r="D85" s="764">
        <v>102022</v>
      </c>
      <c r="E85" s="764">
        <v>121702</v>
      </c>
      <c r="F85" s="764">
        <v>166836</v>
      </c>
      <c r="G85" s="766">
        <v>51734</v>
      </c>
      <c r="H85" s="766">
        <v>80632</v>
      </c>
      <c r="I85" s="766">
        <v>108875</v>
      </c>
      <c r="J85" s="766">
        <v>129877</v>
      </c>
      <c r="K85" s="766">
        <v>178044</v>
      </c>
    </row>
    <row r="86" spans="1:11">
      <c r="A86" s="760">
        <v>80</v>
      </c>
      <c r="B86" s="764">
        <v>51177</v>
      </c>
      <c r="C86" s="764">
        <v>79763</v>
      </c>
      <c r="D86" s="764">
        <v>107703</v>
      </c>
      <c r="E86" s="764">
        <v>128479</v>
      </c>
      <c r="F86" s="764">
        <v>176127</v>
      </c>
      <c r="G86" s="766">
        <v>55404</v>
      </c>
      <c r="H86" s="766">
        <v>86353</v>
      </c>
      <c r="I86" s="766">
        <v>116600</v>
      </c>
      <c r="J86" s="766">
        <v>139093</v>
      </c>
      <c r="K86" s="766">
        <v>190677</v>
      </c>
    </row>
    <row r="87" spans="1:11">
      <c r="A87" s="760">
        <v>81</v>
      </c>
      <c r="B87" s="764">
        <v>53876</v>
      </c>
      <c r="C87" s="764">
        <v>83971</v>
      </c>
      <c r="D87" s="764">
        <v>113384</v>
      </c>
      <c r="E87" s="764">
        <v>135256</v>
      </c>
      <c r="F87" s="764">
        <v>185417</v>
      </c>
      <c r="G87" s="766">
        <v>59075</v>
      </c>
      <c r="H87" s="766">
        <v>92074</v>
      </c>
      <c r="I87" s="766">
        <v>124326</v>
      </c>
      <c r="J87" s="766">
        <v>148308</v>
      </c>
      <c r="K87" s="766">
        <v>203310</v>
      </c>
    </row>
    <row r="88" spans="1:11">
      <c r="A88" s="760">
        <v>82</v>
      </c>
      <c r="B88" s="764">
        <v>56576</v>
      </c>
      <c r="C88" s="764">
        <v>88178</v>
      </c>
      <c r="D88" s="764">
        <v>119065</v>
      </c>
      <c r="E88" s="764">
        <v>142033</v>
      </c>
      <c r="F88" s="764">
        <v>194708</v>
      </c>
      <c r="G88" s="766">
        <v>62746</v>
      </c>
      <c r="H88" s="766">
        <v>97795</v>
      </c>
      <c r="I88" s="766">
        <v>132051</v>
      </c>
      <c r="J88" s="766">
        <v>157524</v>
      </c>
      <c r="K88" s="766">
        <v>215943</v>
      </c>
    </row>
    <row r="89" spans="1:11">
      <c r="A89" s="760">
        <v>83</v>
      </c>
      <c r="B89" s="764">
        <v>59275</v>
      </c>
      <c r="C89" s="764">
        <v>92386</v>
      </c>
      <c r="D89" s="764">
        <v>124747</v>
      </c>
      <c r="E89" s="764">
        <v>148810</v>
      </c>
      <c r="F89" s="764">
        <v>203998</v>
      </c>
      <c r="G89" s="766">
        <v>66417</v>
      </c>
      <c r="H89" s="766">
        <v>103517</v>
      </c>
      <c r="I89" s="766">
        <v>139776</v>
      </c>
      <c r="J89" s="766">
        <v>166739</v>
      </c>
      <c r="K89" s="766">
        <v>228576</v>
      </c>
    </row>
    <row r="90" spans="1:11">
      <c r="A90" s="760">
        <v>84</v>
      </c>
      <c r="B90" s="764">
        <v>62846</v>
      </c>
      <c r="C90" s="764">
        <v>97951</v>
      </c>
      <c r="D90" s="764">
        <v>132261</v>
      </c>
      <c r="E90" s="764">
        <v>157775</v>
      </c>
      <c r="F90" s="764">
        <v>216287</v>
      </c>
      <c r="G90" s="766">
        <v>71416</v>
      </c>
      <c r="H90" s="766">
        <v>111308</v>
      </c>
      <c r="I90" s="766">
        <v>150297</v>
      </c>
      <c r="J90" s="766">
        <v>179290</v>
      </c>
      <c r="K90" s="766">
        <v>245781</v>
      </c>
    </row>
    <row r="91" spans="1:11">
      <c r="A91" s="760">
        <v>85</v>
      </c>
      <c r="B91" s="764">
        <v>66417</v>
      </c>
      <c r="C91" s="764">
        <v>103517</v>
      </c>
      <c r="D91" s="764">
        <v>139776</v>
      </c>
      <c r="E91" s="764">
        <v>166739</v>
      </c>
      <c r="F91" s="764">
        <v>228576</v>
      </c>
      <c r="G91" s="766">
        <v>76415</v>
      </c>
      <c r="H91" s="766">
        <v>119100</v>
      </c>
      <c r="I91" s="766">
        <v>160818</v>
      </c>
      <c r="J91" s="766">
        <v>191840</v>
      </c>
      <c r="K91" s="766">
        <v>262986</v>
      </c>
    </row>
    <row r="92" spans="1:11">
      <c r="A92" s="760">
        <v>86</v>
      </c>
      <c r="B92" s="764">
        <v>69987</v>
      </c>
      <c r="C92" s="764">
        <v>109082</v>
      </c>
      <c r="D92" s="764">
        <v>147291</v>
      </c>
      <c r="E92" s="764">
        <v>175704</v>
      </c>
      <c r="F92" s="764">
        <v>240866</v>
      </c>
      <c r="G92" s="766">
        <v>81414</v>
      </c>
      <c r="H92" s="766">
        <v>126891</v>
      </c>
      <c r="I92" s="766">
        <v>171339</v>
      </c>
      <c r="J92" s="766">
        <v>204390</v>
      </c>
      <c r="K92" s="766">
        <v>280190</v>
      </c>
    </row>
    <row r="93" spans="1:11">
      <c r="A93" s="760">
        <v>87</v>
      </c>
      <c r="B93" s="764">
        <v>73558</v>
      </c>
      <c r="C93" s="764">
        <v>114647</v>
      </c>
      <c r="D93" s="764">
        <v>154806</v>
      </c>
      <c r="E93" s="764">
        <v>184668</v>
      </c>
      <c r="F93" s="764">
        <v>253155</v>
      </c>
      <c r="G93" s="766">
        <v>86413</v>
      </c>
      <c r="H93" s="766">
        <v>134683</v>
      </c>
      <c r="I93" s="766">
        <v>181859</v>
      </c>
      <c r="J93" s="766">
        <v>216940</v>
      </c>
      <c r="K93" s="766">
        <v>297395</v>
      </c>
    </row>
    <row r="94" spans="1:11">
      <c r="A94" s="760">
        <v>88</v>
      </c>
      <c r="B94" s="764">
        <v>77129</v>
      </c>
      <c r="C94" s="764">
        <v>120213</v>
      </c>
      <c r="D94" s="764">
        <v>162321</v>
      </c>
      <c r="E94" s="764">
        <v>193633</v>
      </c>
      <c r="F94" s="764">
        <v>265444</v>
      </c>
      <c r="G94" s="766">
        <v>91412</v>
      </c>
      <c r="H94" s="766">
        <v>142474</v>
      </c>
      <c r="I94" s="766">
        <v>192380</v>
      </c>
      <c r="J94" s="766">
        <v>229491</v>
      </c>
      <c r="K94" s="766">
        <v>314600</v>
      </c>
    </row>
    <row r="95" spans="1:11">
      <c r="A95" s="760">
        <v>89</v>
      </c>
      <c r="B95" s="764">
        <v>81700</v>
      </c>
      <c r="C95" s="764">
        <v>127336</v>
      </c>
      <c r="D95" s="764">
        <v>171940</v>
      </c>
      <c r="E95" s="764">
        <v>205107</v>
      </c>
      <c r="F95" s="764">
        <v>281174</v>
      </c>
      <c r="G95" s="766">
        <v>98268</v>
      </c>
      <c r="H95" s="766">
        <v>153160</v>
      </c>
      <c r="I95" s="766">
        <v>206809</v>
      </c>
      <c r="J95" s="766">
        <v>246702</v>
      </c>
      <c r="K95" s="766">
        <v>338195</v>
      </c>
    </row>
    <row r="96" spans="1:11">
      <c r="A96" s="760"/>
      <c r="B96" s="760"/>
      <c r="C96" s="760"/>
      <c r="D96" s="760"/>
      <c r="E96" s="760"/>
      <c r="F96" s="760"/>
      <c r="G96" s="760"/>
      <c r="H96" s="760"/>
      <c r="I96" s="760"/>
      <c r="J96" s="760"/>
      <c r="K96" s="760"/>
    </row>
    <row r="97" spans="1:11">
      <c r="A97" s="760"/>
      <c r="B97" s="760"/>
      <c r="C97" s="760"/>
      <c r="D97" s="760"/>
      <c r="E97" s="760"/>
      <c r="F97" s="760"/>
      <c r="G97" s="760"/>
      <c r="H97" s="760"/>
      <c r="I97" s="760"/>
      <c r="J97" s="760"/>
      <c r="K97" s="760"/>
    </row>
    <row r="98" spans="1:11">
      <c r="A98" s="760"/>
      <c r="B98" s="760"/>
      <c r="C98" s="760"/>
      <c r="D98" s="760"/>
      <c r="E98" s="760"/>
      <c r="F98" s="760"/>
      <c r="G98" s="760"/>
      <c r="H98" s="760"/>
      <c r="I98" s="760"/>
      <c r="J98" s="760"/>
      <c r="K98" s="760"/>
    </row>
    <row r="99" spans="1:11">
      <c r="A99" s="760"/>
      <c r="B99" s="760"/>
      <c r="C99" s="760"/>
      <c r="D99" s="760"/>
      <c r="E99" s="760"/>
      <c r="F99" s="760"/>
      <c r="G99" s="760"/>
      <c r="H99" s="760"/>
      <c r="I99" s="760"/>
      <c r="J99" s="760"/>
      <c r="K99" s="760"/>
    </row>
    <row r="100" spans="1:11">
      <c r="A100" s="760"/>
      <c r="B100" s="760"/>
      <c r="C100" s="760"/>
      <c r="D100" s="760"/>
      <c r="E100" s="760"/>
      <c r="F100" s="760"/>
      <c r="G100" s="760"/>
      <c r="H100" s="760"/>
      <c r="I100" s="760"/>
      <c r="J100" s="760"/>
      <c r="K100" s="760"/>
    </row>
    <row r="101" spans="1:11">
      <c r="A101" s="760"/>
      <c r="B101" s="760"/>
      <c r="C101" s="760"/>
      <c r="D101" s="760"/>
      <c r="E101" s="760"/>
      <c r="F101" s="760"/>
      <c r="G101" s="760"/>
      <c r="H101" s="760"/>
      <c r="I101" s="760"/>
      <c r="J101" s="760"/>
      <c r="K101" s="760"/>
    </row>
    <row r="102" spans="1:11">
      <c r="A102" s="760"/>
      <c r="B102" s="760"/>
      <c r="C102" s="760"/>
      <c r="D102" s="760"/>
      <c r="E102" s="760"/>
      <c r="F102" s="760"/>
      <c r="G102" s="760"/>
      <c r="H102" s="760"/>
      <c r="I102" s="760"/>
      <c r="J102" s="760"/>
      <c r="K102" s="760"/>
    </row>
    <row r="103" spans="1:11">
      <c r="A103" s="760"/>
      <c r="B103" s="760"/>
      <c r="C103" s="760"/>
      <c r="D103" s="760"/>
      <c r="E103" s="760"/>
      <c r="F103" s="760"/>
      <c r="G103" s="760"/>
      <c r="H103" s="760"/>
      <c r="I103" s="760"/>
      <c r="J103" s="760"/>
      <c r="K103" s="760"/>
    </row>
    <row r="104" spans="1:11">
      <c r="A104" s="760"/>
      <c r="B104" s="760"/>
      <c r="C104" s="760"/>
      <c r="D104" s="760"/>
      <c r="E104" s="760"/>
      <c r="F104" s="760"/>
      <c r="G104" s="760"/>
      <c r="H104" s="760"/>
      <c r="I104" s="760"/>
      <c r="J104" s="760"/>
      <c r="K104" s="760"/>
    </row>
    <row r="105" spans="1:11">
      <c r="A105" s="760"/>
      <c r="B105" s="760"/>
      <c r="C105" s="760"/>
      <c r="D105" s="760"/>
      <c r="E105" s="760"/>
      <c r="F105" s="760"/>
      <c r="G105" s="760"/>
      <c r="H105" s="760"/>
      <c r="I105" s="760"/>
      <c r="J105" s="760"/>
      <c r="K105" s="760"/>
    </row>
    <row r="106" spans="1:11">
      <c r="A106" s="760"/>
      <c r="B106" s="760"/>
      <c r="C106" s="760"/>
      <c r="D106" s="760"/>
      <c r="E106" s="760"/>
      <c r="F106" s="760"/>
      <c r="G106" s="760"/>
      <c r="H106" s="760"/>
      <c r="I106" s="760"/>
      <c r="J106" s="760"/>
      <c r="K106" s="760"/>
    </row>
    <row r="107" spans="1:11">
      <c r="A107" s="760"/>
      <c r="B107" s="760"/>
      <c r="C107" s="760"/>
      <c r="D107" s="760"/>
      <c r="E107" s="760"/>
      <c r="F107" s="760"/>
      <c r="G107" s="760"/>
      <c r="H107" s="760"/>
      <c r="I107" s="760"/>
      <c r="J107" s="760"/>
      <c r="K107" s="760"/>
    </row>
    <row r="108" spans="1:11">
      <c r="A108" s="760"/>
      <c r="B108" s="760"/>
      <c r="C108" s="760"/>
      <c r="D108" s="760"/>
      <c r="E108" s="760"/>
      <c r="F108" s="760"/>
      <c r="G108" s="760"/>
      <c r="H108" s="760"/>
      <c r="I108" s="760"/>
      <c r="J108" s="760"/>
      <c r="K108" s="760"/>
    </row>
    <row r="109" spans="1:11">
      <c r="A109" s="760"/>
      <c r="B109" s="760"/>
      <c r="C109" s="760"/>
      <c r="D109" s="760"/>
      <c r="E109" s="760"/>
      <c r="F109" s="760"/>
      <c r="G109" s="760"/>
      <c r="H109" s="760"/>
      <c r="I109" s="760"/>
      <c r="J109" s="760"/>
      <c r="K109" s="760"/>
    </row>
    <row r="110" spans="1:11">
      <c r="A110" s="760"/>
      <c r="B110" s="760"/>
      <c r="C110" s="760"/>
      <c r="D110" s="760"/>
      <c r="E110" s="760"/>
      <c r="F110" s="760"/>
      <c r="G110" s="760"/>
      <c r="H110" s="760"/>
      <c r="I110" s="760"/>
      <c r="J110" s="760"/>
      <c r="K110" s="760"/>
    </row>
    <row r="111" spans="1:11">
      <c r="A111" s="760"/>
      <c r="B111" s="760"/>
      <c r="C111" s="760"/>
      <c r="D111" s="760"/>
      <c r="E111" s="760"/>
      <c r="F111" s="760"/>
      <c r="G111" s="760"/>
      <c r="H111" s="760"/>
      <c r="I111" s="760"/>
      <c r="J111" s="760"/>
      <c r="K111" s="760"/>
    </row>
    <row r="112" spans="1:11">
      <c r="A112" s="760"/>
      <c r="B112" s="760"/>
      <c r="C112" s="760"/>
      <c r="D112" s="760"/>
      <c r="E112" s="760"/>
      <c r="F112" s="760"/>
      <c r="G112" s="760"/>
      <c r="H112" s="760"/>
      <c r="I112" s="760"/>
      <c r="J112" s="760"/>
      <c r="K112" s="760"/>
    </row>
    <row r="113" spans="1:11">
      <c r="A113" s="760"/>
      <c r="B113" s="760"/>
      <c r="C113" s="760"/>
      <c r="D113" s="760"/>
      <c r="E113" s="760"/>
      <c r="F113" s="760"/>
      <c r="G113" s="760"/>
      <c r="H113" s="760"/>
      <c r="I113" s="760"/>
      <c r="J113" s="760"/>
      <c r="K113" s="760"/>
    </row>
    <row r="114" spans="1:11">
      <c r="A114" s="760"/>
      <c r="B114" s="760"/>
      <c r="C114" s="760"/>
      <c r="D114" s="760"/>
      <c r="E114" s="760"/>
      <c r="F114" s="760"/>
      <c r="G114" s="760"/>
      <c r="H114" s="760"/>
      <c r="I114" s="760"/>
      <c r="J114" s="760"/>
      <c r="K114" s="760"/>
    </row>
    <row r="115" spans="1:11">
      <c r="A115" s="760"/>
      <c r="B115" s="760"/>
      <c r="C115" s="760"/>
      <c r="D115" s="760"/>
      <c r="E115" s="760"/>
      <c r="F115" s="760"/>
      <c r="G115" s="760"/>
      <c r="H115" s="760"/>
      <c r="I115" s="760"/>
      <c r="J115" s="760"/>
      <c r="K115" s="760"/>
    </row>
    <row r="116" spans="1:11">
      <c r="A116" s="760"/>
      <c r="B116" s="760"/>
      <c r="C116" s="760"/>
      <c r="D116" s="760"/>
      <c r="E116" s="760"/>
      <c r="F116" s="760"/>
      <c r="G116" s="760"/>
      <c r="H116" s="760"/>
      <c r="I116" s="760"/>
      <c r="J116" s="760"/>
      <c r="K116" s="760"/>
    </row>
    <row r="117" spans="1:11">
      <c r="A117" s="760"/>
      <c r="B117" s="760"/>
      <c r="C117" s="760"/>
      <c r="D117" s="760"/>
      <c r="E117" s="760"/>
      <c r="F117" s="760"/>
      <c r="G117" s="760"/>
      <c r="H117" s="760"/>
      <c r="I117" s="760"/>
      <c r="J117" s="760"/>
      <c r="K117" s="760"/>
    </row>
    <row r="118" spans="1:11">
      <c r="A118" s="760"/>
      <c r="B118" s="760"/>
      <c r="C118" s="760"/>
      <c r="D118" s="760"/>
      <c r="E118" s="760"/>
      <c r="F118" s="760"/>
      <c r="G118" s="760"/>
      <c r="H118" s="760"/>
      <c r="I118" s="760"/>
      <c r="J118" s="760"/>
      <c r="K118" s="760"/>
    </row>
    <row r="119" spans="1:11">
      <c r="A119" s="760"/>
      <c r="B119" s="760"/>
      <c r="C119" s="760"/>
      <c r="D119" s="760"/>
      <c r="E119" s="760"/>
      <c r="F119" s="760"/>
      <c r="G119" s="760"/>
      <c r="H119" s="760"/>
      <c r="I119" s="760"/>
      <c r="J119" s="760"/>
      <c r="K119" s="760"/>
    </row>
    <row r="120" spans="1:11">
      <c r="A120" s="760"/>
      <c r="B120" s="760"/>
      <c r="C120" s="760"/>
      <c r="D120" s="760"/>
      <c r="E120" s="760"/>
      <c r="F120" s="760"/>
      <c r="G120" s="760"/>
      <c r="H120" s="760"/>
      <c r="I120" s="760"/>
      <c r="J120" s="760"/>
      <c r="K120" s="760"/>
    </row>
    <row r="121" spans="1:11">
      <c r="A121" s="760"/>
      <c r="B121" s="760"/>
      <c r="C121" s="760"/>
      <c r="D121" s="760"/>
      <c r="E121" s="760"/>
      <c r="F121" s="760"/>
      <c r="G121" s="760"/>
      <c r="H121" s="760"/>
      <c r="I121" s="760"/>
      <c r="J121" s="760"/>
      <c r="K121" s="760"/>
    </row>
    <row r="122" spans="1:11">
      <c r="A122" s="760"/>
      <c r="B122" s="760"/>
      <c r="C122" s="760"/>
      <c r="D122" s="760"/>
      <c r="E122" s="760"/>
      <c r="F122" s="760"/>
      <c r="G122" s="760"/>
      <c r="H122" s="760"/>
      <c r="I122" s="760"/>
      <c r="J122" s="760"/>
      <c r="K122" s="760"/>
    </row>
    <row r="123" spans="1:11">
      <c r="A123" s="760"/>
      <c r="B123" s="760"/>
      <c r="C123" s="760"/>
      <c r="D123" s="760"/>
      <c r="E123" s="760"/>
      <c r="F123" s="760"/>
      <c r="G123" s="760"/>
      <c r="H123" s="760"/>
      <c r="I123" s="760"/>
      <c r="J123" s="760"/>
      <c r="K123" s="760"/>
    </row>
    <row r="124" spans="1:11">
      <c r="A124" s="760"/>
      <c r="B124" s="760"/>
      <c r="C124" s="760"/>
      <c r="D124" s="760"/>
      <c r="E124" s="760"/>
      <c r="F124" s="760"/>
      <c r="G124" s="760"/>
      <c r="H124" s="760"/>
      <c r="I124" s="760"/>
      <c r="J124" s="760"/>
      <c r="K124" s="760"/>
    </row>
    <row r="125" spans="1:11">
      <c r="A125" s="760"/>
      <c r="B125" s="760"/>
      <c r="C125" s="760"/>
      <c r="D125" s="760"/>
      <c r="E125" s="760"/>
      <c r="F125" s="760"/>
      <c r="G125" s="760"/>
      <c r="H125" s="760"/>
      <c r="I125" s="760"/>
      <c r="J125" s="760"/>
      <c r="K125" s="760"/>
    </row>
    <row r="126" spans="1:11">
      <c r="A126" s="760"/>
      <c r="B126" s="760"/>
      <c r="C126" s="760"/>
      <c r="D126" s="760"/>
      <c r="E126" s="760"/>
      <c r="F126" s="760"/>
      <c r="G126" s="760"/>
      <c r="H126" s="760"/>
      <c r="I126" s="760"/>
      <c r="J126" s="760"/>
      <c r="K126" s="760"/>
    </row>
    <row r="127" spans="1:11">
      <c r="A127" s="760"/>
      <c r="B127" s="760"/>
      <c r="C127" s="760"/>
      <c r="D127" s="760"/>
      <c r="E127" s="760"/>
      <c r="F127" s="760"/>
      <c r="G127" s="760"/>
      <c r="H127" s="760"/>
      <c r="I127" s="760"/>
      <c r="J127" s="760"/>
      <c r="K127" s="760"/>
    </row>
    <row r="128" spans="1:11">
      <c r="A128" s="760"/>
      <c r="B128" s="760"/>
      <c r="C128" s="760"/>
      <c r="D128" s="760"/>
      <c r="E128" s="760"/>
      <c r="F128" s="760"/>
      <c r="G128" s="760"/>
      <c r="H128" s="760"/>
      <c r="I128" s="760"/>
      <c r="J128" s="760"/>
      <c r="K128" s="760"/>
    </row>
    <row r="129" spans="1:11">
      <c r="A129" s="760"/>
      <c r="B129" s="760"/>
      <c r="C129" s="760"/>
      <c r="D129" s="760"/>
      <c r="E129" s="760"/>
      <c r="F129" s="760"/>
      <c r="G129" s="760"/>
      <c r="H129" s="760"/>
      <c r="I129" s="760"/>
      <c r="J129" s="760"/>
      <c r="K129" s="760"/>
    </row>
    <row r="130" spans="1:11">
      <c r="A130" s="760"/>
      <c r="B130" s="760"/>
      <c r="C130" s="760"/>
      <c r="D130" s="760"/>
      <c r="E130" s="760"/>
      <c r="F130" s="760"/>
      <c r="G130" s="760"/>
      <c r="H130" s="760"/>
      <c r="I130" s="760"/>
      <c r="J130" s="760"/>
      <c r="K130" s="760"/>
    </row>
    <row r="131" spans="1:11">
      <c r="A131" s="760"/>
      <c r="B131" s="760"/>
      <c r="C131" s="760"/>
      <c r="D131" s="760"/>
      <c r="E131" s="760"/>
      <c r="F131" s="760"/>
      <c r="G131" s="760"/>
      <c r="H131" s="760"/>
      <c r="I131" s="760"/>
      <c r="J131" s="760"/>
      <c r="K131" s="760"/>
    </row>
    <row r="132" spans="1:11">
      <c r="A132" s="760"/>
      <c r="B132" s="760"/>
      <c r="C132" s="760"/>
      <c r="D132" s="760"/>
      <c r="E132" s="760"/>
      <c r="F132" s="760"/>
      <c r="G132" s="760"/>
      <c r="H132" s="760"/>
      <c r="I132" s="760"/>
      <c r="J132" s="760"/>
      <c r="K132" s="760"/>
    </row>
    <row r="133" spans="1:11">
      <c r="A133" s="760"/>
      <c r="B133" s="760"/>
      <c r="C133" s="760"/>
      <c r="D133" s="760"/>
      <c r="E133" s="760"/>
      <c r="F133" s="760"/>
      <c r="G133" s="760"/>
      <c r="H133" s="760"/>
      <c r="I133" s="760"/>
      <c r="J133" s="760"/>
      <c r="K133" s="760"/>
    </row>
    <row r="134" spans="1:11">
      <c r="A134" s="760"/>
      <c r="B134" s="760"/>
      <c r="C134" s="760"/>
      <c r="D134" s="760"/>
      <c r="E134" s="760"/>
      <c r="F134" s="760"/>
      <c r="G134" s="760"/>
      <c r="H134" s="760"/>
      <c r="I134" s="760"/>
      <c r="J134" s="760"/>
      <c r="K134" s="760"/>
    </row>
    <row r="135" spans="1:11">
      <c r="A135" s="760"/>
      <c r="B135" s="760"/>
      <c r="C135" s="760"/>
      <c r="D135" s="760"/>
      <c r="E135" s="760"/>
      <c r="F135" s="760"/>
      <c r="G135" s="760"/>
      <c r="H135" s="760"/>
      <c r="I135" s="760"/>
      <c r="J135" s="760"/>
      <c r="K135" s="760"/>
    </row>
    <row r="136" spans="1:11">
      <c r="A136" s="760"/>
      <c r="B136" s="760"/>
      <c r="C136" s="760"/>
      <c r="D136" s="760"/>
      <c r="E136" s="760"/>
      <c r="F136" s="760"/>
      <c r="G136" s="760"/>
      <c r="H136" s="760"/>
      <c r="I136" s="760"/>
      <c r="J136" s="760"/>
      <c r="K136" s="760"/>
    </row>
    <row r="137" spans="1:11">
      <c r="A137" s="760"/>
      <c r="B137" s="760"/>
      <c r="C137" s="760"/>
      <c r="D137" s="760"/>
      <c r="E137" s="760"/>
      <c r="F137" s="760"/>
      <c r="G137" s="760"/>
      <c r="H137" s="760"/>
      <c r="I137" s="760"/>
      <c r="J137" s="760"/>
      <c r="K137" s="760"/>
    </row>
    <row r="138" spans="1:11">
      <c r="A138" s="760"/>
      <c r="B138" s="760"/>
      <c r="C138" s="760"/>
      <c r="D138" s="760"/>
      <c r="E138" s="760"/>
      <c r="F138" s="760"/>
      <c r="G138" s="760"/>
      <c r="H138" s="760"/>
      <c r="I138" s="760"/>
      <c r="J138" s="760"/>
      <c r="K138" s="760"/>
    </row>
    <row r="139" spans="1:11">
      <c r="A139" s="760"/>
      <c r="B139" s="760"/>
      <c r="C139" s="760"/>
      <c r="D139" s="760"/>
      <c r="E139" s="760"/>
      <c r="F139" s="760"/>
      <c r="G139" s="760"/>
      <c r="H139" s="760"/>
      <c r="I139" s="760"/>
      <c r="J139" s="760"/>
      <c r="K139" s="760"/>
    </row>
    <row r="140" spans="1:11">
      <c r="A140" s="760"/>
      <c r="B140" s="760"/>
      <c r="C140" s="760"/>
      <c r="D140" s="760"/>
      <c r="E140" s="760"/>
      <c r="F140" s="760"/>
      <c r="G140" s="760"/>
      <c r="H140" s="760"/>
      <c r="I140" s="760"/>
      <c r="J140" s="760"/>
      <c r="K140" s="760"/>
    </row>
    <row r="141" spans="1:11">
      <c r="A141" s="760"/>
      <c r="B141" s="760"/>
      <c r="C141" s="760"/>
      <c r="D141" s="760"/>
      <c r="E141" s="760"/>
      <c r="F141" s="760"/>
      <c r="G141" s="760"/>
      <c r="H141" s="760"/>
      <c r="I141" s="760"/>
      <c r="J141" s="760"/>
      <c r="K141" s="760"/>
    </row>
    <row r="142" spans="1:11">
      <c r="A142" s="760"/>
      <c r="B142" s="760"/>
      <c r="C142" s="760"/>
      <c r="D142" s="760"/>
      <c r="E142" s="760"/>
      <c r="F142" s="760"/>
      <c r="G142" s="760"/>
      <c r="H142" s="760"/>
      <c r="I142" s="760"/>
      <c r="J142" s="760"/>
      <c r="K142" s="760"/>
    </row>
    <row r="143" spans="1:11">
      <c r="A143" s="760"/>
      <c r="B143" s="760"/>
      <c r="C143" s="760"/>
      <c r="D143" s="760"/>
      <c r="E143" s="760"/>
      <c r="F143" s="760"/>
      <c r="G143" s="760"/>
      <c r="H143" s="760"/>
      <c r="I143" s="760"/>
      <c r="J143" s="760"/>
      <c r="K143" s="760"/>
    </row>
    <row r="144" spans="1:11">
      <c r="A144" s="760"/>
      <c r="B144" s="760"/>
      <c r="C144" s="760"/>
      <c r="D144" s="760"/>
      <c r="E144" s="760"/>
      <c r="F144" s="760"/>
      <c r="G144" s="760"/>
      <c r="H144" s="760"/>
      <c r="I144" s="760"/>
      <c r="J144" s="760"/>
      <c r="K144" s="760"/>
    </row>
    <row r="145" spans="1:11">
      <c r="A145" s="760"/>
      <c r="B145" s="760"/>
      <c r="C145" s="760"/>
      <c r="D145" s="760"/>
      <c r="E145" s="760"/>
      <c r="F145" s="760"/>
      <c r="G145" s="760"/>
      <c r="H145" s="760"/>
      <c r="I145" s="760"/>
      <c r="J145" s="760"/>
      <c r="K145" s="760"/>
    </row>
    <row r="146" spans="1:11">
      <c r="A146" s="760"/>
      <c r="B146" s="760"/>
      <c r="C146" s="760"/>
      <c r="D146" s="760"/>
      <c r="E146" s="760"/>
      <c r="F146" s="760"/>
      <c r="G146" s="760"/>
      <c r="H146" s="760"/>
      <c r="I146" s="760"/>
      <c r="J146" s="760"/>
      <c r="K146" s="760"/>
    </row>
    <row r="147" spans="1:11">
      <c r="A147" s="760"/>
      <c r="B147" s="760"/>
      <c r="C147" s="760"/>
      <c r="D147" s="760"/>
      <c r="E147" s="760"/>
      <c r="F147" s="760"/>
      <c r="G147" s="760"/>
      <c r="H147" s="760"/>
      <c r="I147" s="760"/>
      <c r="J147" s="760"/>
      <c r="K147" s="760"/>
    </row>
    <row r="148" spans="1:11">
      <c r="A148" s="760"/>
      <c r="B148" s="760"/>
      <c r="C148" s="760"/>
      <c r="D148" s="760"/>
      <c r="E148" s="760"/>
      <c r="F148" s="760"/>
      <c r="G148" s="760"/>
      <c r="H148" s="760"/>
      <c r="I148" s="760"/>
      <c r="J148" s="760"/>
      <c r="K148" s="760"/>
    </row>
    <row r="149" spans="1:11">
      <c r="A149" s="760"/>
      <c r="B149" s="760"/>
      <c r="C149" s="760"/>
      <c r="D149" s="760"/>
      <c r="E149" s="760"/>
      <c r="F149" s="760"/>
      <c r="G149" s="760"/>
      <c r="H149" s="760"/>
      <c r="I149" s="760"/>
      <c r="J149" s="760"/>
      <c r="K149" s="760"/>
    </row>
    <row r="150" spans="1:11">
      <c r="A150" s="760"/>
      <c r="B150" s="760"/>
      <c r="C150" s="760"/>
      <c r="D150" s="760"/>
      <c r="E150" s="760"/>
      <c r="F150" s="760"/>
      <c r="G150" s="760"/>
      <c r="H150" s="760"/>
      <c r="I150" s="760"/>
      <c r="J150" s="760"/>
      <c r="K150" s="760"/>
    </row>
    <row r="151" spans="1:11">
      <c r="A151" s="760"/>
      <c r="B151" s="760"/>
      <c r="C151" s="760"/>
      <c r="D151" s="760"/>
      <c r="E151" s="760"/>
      <c r="F151" s="760"/>
      <c r="G151" s="760"/>
      <c r="H151" s="760"/>
      <c r="I151" s="760"/>
      <c r="J151" s="760"/>
      <c r="K151" s="760"/>
    </row>
    <row r="152" spans="1:11">
      <c r="A152" s="760"/>
      <c r="B152" s="760"/>
      <c r="C152" s="760"/>
      <c r="D152" s="760"/>
      <c r="E152" s="760"/>
      <c r="F152" s="760"/>
      <c r="G152" s="760"/>
      <c r="H152" s="760"/>
      <c r="I152" s="760"/>
      <c r="J152" s="760"/>
      <c r="K152" s="760"/>
    </row>
    <row r="153" spans="1:11">
      <c r="A153" s="760"/>
      <c r="B153" s="760"/>
      <c r="C153" s="760"/>
      <c r="D153" s="760"/>
      <c r="E153" s="760"/>
      <c r="F153" s="760"/>
      <c r="G153" s="760"/>
      <c r="H153" s="760"/>
      <c r="I153" s="760"/>
      <c r="J153" s="760"/>
      <c r="K153" s="760"/>
    </row>
    <row r="154" spans="1:11">
      <c r="A154" s="760"/>
      <c r="B154" s="760"/>
      <c r="C154" s="760"/>
      <c r="D154" s="760"/>
      <c r="E154" s="760"/>
      <c r="F154" s="760"/>
      <c r="G154" s="760"/>
      <c r="H154" s="760"/>
      <c r="I154" s="760"/>
      <c r="J154" s="760"/>
      <c r="K154" s="760"/>
    </row>
    <row r="155" spans="1:11">
      <c r="A155" s="760"/>
      <c r="B155" s="760"/>
      <c r="C155" s="760"/>
      <c r="D155" s="760"/>
      <c r="E155" s="760"/>
      <c r="F155" s="760"/>
      <c r="G155" s="760"/>
      <c r="H155" s="760"/>
      <c r="I155" s="760"/>
      <c r="J155" s="760"/>
      <c r="K155" s="760"/>
    </row>
    <row r="156" spans="1:11">
      <c r="A156" s="760"/>
      <c r="B156" s="760"/>
      <c r="C156" s="760"/>
      <c r="D156" s="760"/>
      <c r="E156" s="760"/>
      <c r="F156" s="760"/>
      <c r="G156" s="760"/>
      <c r="H156" s="760"/>
      <c r="I156" s="760"/>
      <c r="J156" s="760"/>
      <c r="K156" s="760"/>
    </row>
    <row r="157" spans="1:11">
      <c r="A157" s="760"/>
      <c r="B157" s="760"/>
      <c r="C157" s="760"/>
      <c r="D157" s="760"/>
      <c r="E157" s="760"/>
      <c r="F157" s="760"/>
      <c r="G157" s="760"/>
      <c r="H157" s="760"/>
      <c r="I157" s="760"/>
      <c r="J157" s="760"/>
      <c r="K157" s="760"/>
    </row>
    <row r="158" spans="1:11">
      <c r="A158" s="760"/>
      <c r="B158" s="760"/>
      <c r="C158" s="760"/>
      <c r="D158" s="760"/>
      <c r="E158" s="760"/>
      <c r="F158" s="760"/>
      <c r="G158" s="760"/>
      <c r="H158" s="760"/>
      <c r="I158" s="760"/>
      <c r="J158" s="760"/>
      <c r="K158" s="760"/>
    </row>
    <row r="159" spans="1:11">
      <c r="A159" s="760"/>
      <c r="B159" s="760"/>
      <c r="C159" s="760"/>
      <c r="D159" s="760"/>
      <c r="E159" s="760"/>
      <c r="F159" s="760"/>
      <c r="G159" s="760"/>
      <c r="H159" s="760"/>
      <c r="I159" s="760"/>
      <c r="J159" s="760"/>
      <c r="K159" s="760"/>
    </row>
    <row r="160" spans="1:11">
      <c r="A160" s="760"/>
      <c r="B160" s="760"/>
      <c r="C160" s="760"/>
      <c r="D160" s="760"/>
      <c r="E160" s="760"/>
      <c r="F160" s="760"/>
      <c r="G160" s="760"/>
      <c r="H160" s="760"/>
      <c r="I160" s="760"/>
      <c r="J160" s="760"/>
      <c r="K160" s="760"/>
    </row>
    <row r="161" spans="1:11">
      <c r="A161" s="760"/>
      <c r="B161" s="760"/>
      <c r="C161" s="760"/>
      <c r="D161" s="760"/>
      <c r="E161" s="760"/>
      <c r="F161" s="760"/>
      <c r="G161" s="760"/>
      <c r="H161" s="760"/>
      <c r="I161" s="760"/>
      <c r="J161" s="760"/>
      <c r="K161" s="760"/>
    </row>
    <row r="162" spans="1:11">
      <c r="A162" s="760"/>
      <c r="B162" s="760"/>
      <c r="C162" s="760"/>
      <c r="D162" s="760"/>
      <c r="E162" s="760"/>
      <c r="F162" s="760"/>
      <c r="G162" s="760"/>
      <c r="H162" s="760"/>
      <c r="I162" s="760"/>
      <c r="J162" s="760"/>
      <c r="K162" s="760"/>
    </row>
    <row r="163" spans="1:11">
      <c r="A163" s="760"/>
      <c r="B163" s="760"/>
      <c r="C163" s="760"/>
      <c r="D163" s="760"/>
      <c r="E163" s="760"/>
      <c r="F163" s="760"/>
      <c r="G163" s="760"/>
      <c r="H163" s="760"/>
      <c r="I163" s="760"/>
      <c r="J163" s="760"/>
      <c r="K163" s="760"/>
    </row>
    <row r="164" spans="1:11">
      <c r="A164" s="760"/>
      <c r="B164" s="760"/>
      <c r="C164" s="760"/>
      <c r="D164" s="760"/>
      <c r="E164" s="760"/>
      <c r="F164" s="760"/>
      <c r="G164" s="760"/>
      <c r="H164" s="760"/>
      <c r="I164" s="760"/>
      <c r="J164" s="760"/>
      <c r="K164" s="760"/>
    </row>
    <row r="165" spans="1:11">
      <c r="A165" s="760"/>
      <c r="B165" s="760"/>
      <c r="C165" s="760"/>
      <c r="D165" s="760"/>
      <c r="E165" s="760"/>
      <c r="F165" s="760"/>
      <c r="G165" s="760"/>
      <c r="H165" s="760"/>
      <c r="I165" s="760"/>
      <c r="J165" s="760"/>
      <c r="K165" s="760"/>
    </row>
    <row r="166" spans="1:11">
      <c r="A166" s="760"/>
      <c r="B166" s="760"/>
      <c r="C166" s="760"/>
      <c r="D166" s="760"/>
      <c r="E166" s="760"/>
      <c r="F166" s="760"/>
      <c r="G166" s="760"/>
      <c r="H166" s="760"/>
      <c r="I166" s="760"/>
      <c r="J166" s="760"/>
      <c r="K166" s="760"/>
    </row>
    <row r="167" spans="1:11">
      <c r="A167" s="760"/>
      <c r="B167" s="760"/>
      <c r="C167" s="760"/>
      <c r="D167" s="760"/>
      <c r="E167" s="760"/>
      <c r="F167" s="760"/>
      <c r="G167" s="760"/>
      <c r="H167" s="760"/>
      <c r="I167" s="760"/>
      <c r="J167" s="760"/>
      <c r="K167" s="760"/>
    </row>
    <row r="168" spans="1:11">
      <c r="A168" s="760"/>
      <c r="B168" s="760"/>
      <c r="C168" s="760"/>
      <c r="D168" s="760"/>
      <c r="E168" s="760"/>
      <c r="F168" s="760"/>
      <c r="G168" s="760"/>
      <c r="H168" s="760"/>
      <c r="I168" s="760"/>
      <c r="J168" s="760"/>
      <c r="K168" s="760"/>
    </row>
    <row r="169" spans="1:11">
      <c r="A169" s="760"/>
      <c r="B169" s="760"/>
      <c r="C169" s="760"/>
      <c r="D169" s="760"/>
      <c r="E169" s="760"/>
      <c r="F169" s="760"/>
      <c r="G169" s="760"/>
      <c r="H169" s="760"/>
      <c r="I169" s="760"/>
      <c r="J169" s="760"/>
      <c r="K169" s="760"/>
    </row>
    <row r="170" spans="1:11">
      <c r="A170" s="760"/>
      <c r="B170" s="760"/>
      <c r="C170" s="760"/>
      <c r="D170" s="760"/>
      <c r="E170" s="760"/>
      <c r="F170" s="760"/>
      <c r="G170" s="760"/>
      <c r="H170" s="760"/>
      <c r="I170" s="760"/>
      <c r="J170" s="760"/>
      <c r="K170" s="760"/>
    </row>
    <row r="171" spans="1:11">
      <c r="A171" s="760"/>
      <c r="B171" s="760"/>
      <c r="C171" s="760"/>
      <c r="D171" s="760"/>
      <c r="E171" s="760"/>
      <c r="F171" s="760"/>
      <c r="G171" s="760"/>
      <c r="H171" s="760"/>
      <c r="I171" s="760"/>
      <c r="J171" s="760"/>
      <c r="K171" s="760"/>
    </row>
    <row r="172" spans="1:11">
      <c r="A172" s="760"/>
      <c r="B172" s="760"/>
      <c r="C172" s="760"/>
      <c r="D172" s="760"/>
      <c r="E172" s="760"/>
      <c r="F172" s="760"/>
      <c r="G172" s="760"/>
      <c r="H172" s="760"/>
      <c r="I172" s="760"/>
      <c r="J172" s="760"/>
      <c r="K172" s="760"/>
    </row>
    <row r="173" spans="1:11">
      <c r="A173" s="760"/>
      <c r="B173" s="760"/>
      <c r="C173" s="760"/>
      <c r="D173" s="760"/>
      <c r="E173" s="760"/>
      <c r="F173" s="760"/>
      <c r="G173" s="760"/>
      <c r="H173" s="760"/>
      <c r="I173" s="760"/>
      <c r="J173" s="760"/>
      <c r="K173" s="760"/>
    </row>
    <row r="174" spans="1:11">
      <c r="A174" s="760"/>
      <c r="B174" s="760"/>
      <c r="C174" s="760"/>
      <c r="D174" s="760"/>
      <c r="E174" s="760"/>
      <c r="F174" s="760"/>
      <c r="G174" s="760"/>
      <c r="H174" s="760"/>
      <c r="I174" s="760"/>
      <c r="J174" s="760"/>
      <c r="K174" s="760"/>
    </row>
    <row r="175" spans="1:11">
      <c r="A175" s="760"/>
      <c r="B175" s="760"/>
      <c r="C175" s="760"/>
      <c r="D175" s="760"/>
      <c r="E175" s="760"/>
      <c r="F175" s="760"/>
      <c r="G175" s="760"/>
      <c r="H175" s="760"/>
      <c r="I175" s="760"/>
      <c r="J175" s="760"/>
      <c r="K175" s="760"/>
    </row>
    <row r="176" spans="1:11">
      <c r="A176" s="760"/>
      <c r="B176" s="760"/>
      <c r="C176" s="760"/>
      <c r="D176" s="760"/>
      <c r="E176" s="760"/>
      <c r="F176" s="760"/>
      <c r="G176" s="760"/>
      <c r="H176" s="760"/>
      <c r="I176" s="760"/>
      <c r="J176" s="760"/>
      <c r="K176" s="760"/>
    </row>
    <row r="177" spans="1:11">
      <c r="A177" s="760"/>
      <c r="B177" s="760"/>
      <c r="C177" s="760"/>
      <c r="D177" s="760"/>
      <c r="E177" s="760"/>
      <c r="F177" s="760"/>
      <c r="G177" s="760"/>
      <c r="H177" s="760"/>
      <c r="I177" s="760"/>
      <c r="J177" s="760"/>
      <c r="K177" s="760"/>
    </row>
    <row r="178" spans="1:11">
      <c r="A178" s="760"/>
      <c r="B178" s="760"/>
      <c r="C178" s="760"/>
      <c r="D178" s="760"/>
      <c r="E178" s="760"/>
      <c r="F178" s="760"/>
      <c r="G178" s="760"/>
      <c r="H178" s="760"/>
      <c r="I178" s="760"/>
      <c r="J178" s="760"/>
      <c r="K178" s="760"/>
    </row>
    <row r="179" spans="1:11">
      <c r="A179" s="760"/>
      <c r="B179" s="760"/>
      <c r="C179" s="760"/>
      <c r="D179" s="760"/>
      <c r="E179" s="760"/>
      <c r="F179" s="760"/>
      <c r="G179" s="760"/>
      <c r="H179" s="760"/>
      <c r="I179" s="760"/>
      <c r="J179" s="760"/>
      <c r="K179" s="760"/>
    </row>
    <row r="180" spans="1:11">
      <c r="A180" s="760"/>
      <c r="B180" s="760"/>
      <c r="C180" s="760"/>
      <c r="D180" s="760"/>
      <c r="E180" s="760"/>
      <c r="F180" s="760"/>
      <c r="G180" s="760"/>
      <c r="H180" s="760"/>
      <c r="I180" s="760"/>
      <c r="J180" s="760"/>
      <c r="K180" s="760"/>
    </row>
    <row r="181" spans="1:11">
      <c r="A181" s="760"/>
      <c r="B181" s="760"/>
      <c r="C181" s="760"/>
      <c r="D181" s="760"/>
      <c r="E181" s="760"/>
      <c r="F181" s="760"/>
      <c r="G181" s="760"/>
      <c r="H181" s="760"/>
      <c r="I181" s="760"/>
      <c r="J181" s="760"/>
      <c r="K181" s="760"/>
    </row>
    <row r="182" spans="1:11">
      <c r="A182" s="760"/>
      <c r="B182" s="760"/>
      <c r="C182" s="760"/>
      <c r="D182" s="760"/>
      <c r="E182" s="760"/>
      <c r="F182" s="760"/>
      <c r="G182" s="760"/>
      <c r="H182" s="760"/>
      <c r="I182" s="760"/>
      <c r="J182" s="760"/>
      <c r="K182" s="760"/>
    </row>
    <row r="183" spans="1:11">
      <c r="A183" s="760"/>
      <c r="B183" s="760"/>
      <c r="C183" s="760"/>
      <c r="D183" s="760"/>
      <c r="E183" s="760"/>
      <c r="F183" s="760"/>
      <c r="G183" s="760"/>
      <c r="H183" s="760"/>
      <c r="I183" s="760"/>
      <c r="J183" s="760"/>
      <c r="K183" s="760"/>
    </row>
    <row r="184" spans="1:11">
      <c r="A184" s="760"/>
      <c r="B184" s="760"/>
      <c r="C184" s="760"/>
      <c r="D184" s="760"/>
      <c r="E184" s="760"/>
      <c r="F184" s="760"/>
      <c r="G184" s="760"/>
      <c r="H184" s="760"/>
      <c r="I184" s="760"/>
      <c r="J184" s="760"/>
      <c r="K184" s="760"/>
    </row>
    <row r="185" spans="1:11">
      <c r="A185" s="760"/>
      <c r="B185" s="760"/>
      <c r="C185" s="760"/>
      <c r="D185" s="760"/>
      <c r="E185" s="760"/>
      <c r="F185" s="760"/>
      <c r="G185" s="760"/>
      <c r="H185" s="760"/>
      <c r="I185" s="760"/>
      <c r="J185" s="760"/>
      <c r="K185" s="760"/>
    </row>
    <row r="186" spans="1:11">
      <c r="A186" s="760"/>
      <c r="B186" s="760"/>
      <c r="C186" s="760"/>
      <c r="D186" s="760"/>
      <c r="E186" s="760"/>
      <c r="F186" s="760"/>
      <c r="G186" s="760"/>
      <c r="H186" s="760"/>
      <c r="I186" s="760"/>
      <c r="J186" s="760"/>
      <c r="K186" s="760"/>
    </row>
    <row r="187" spans="1:11">
      <c r="A187" s="760"/>
      <c r="B187" s="760"/>
      <c r="C187" s="760"/>
      <c r="D187" s="760"/>
      <c r="E187" s="760"/>
      <c r="F187" s="760"/>
      <c r="G187" s="760"/>
      <c r="H187" s="760"/>
      <c r="I187" s="760"/>
      <c r="J187" s="760"/>
      <c r="K187" s="760"/>
    </row>
    <row r="188" spans="1:11">
      <c r="A188" s="760"/>
      <c r="B188" s="760"/>
      <c r="C188" s="760"/>
      <c r="D188" s="760"/>
      <c r="E188" s="760"/>
      <c r="F188" s="760"/>
      <c r="G188" s="760"/>
      <c r="H188" s="760"/>
      <c r="I188" s="760"/>
      <c r="J188" s="760"/>
      <c r="K188" s="760"/>
    </row>
    <row r="189" spans="1:11">
      <c r="A189" s="760"/>
      <c r="B189" s="760"/>
      <c r="C189" s="760"/>
      <c r="D189" s="760"/>
      <c r="E189" s="760"/>
      <c r="F189" s="760"/>
      <c r="G189" s="760"/>
      <c r="H189" s="760"/>
      <c r="I189" s="760"/>
      <c r="J189" s="760"/>
      <c r="K189" s="760"/>
    </row>
    <row r="190" spans="1:11">
      <c r="A190" s="760"/>
      <c r="B190" s="760"/>
      <c r="C190" s="760"/>
      <c r="D190" s="760"/>
      <c r="E190" s="760"/>
      <c r="F190" s="760"/>
      <c r="G190" s="760"/>
      <c r="H190" s="760"/>
      <c r="I190" s="760"/>
      <c r="J190" s="760"/>
      <c r="K190" s="760"/>
    </row>
    <row r="191" spans="1:11">
      <c r="A191" s="760"/>
      <c r="B191" s="760"/>
      <c r="C191" s="760"/>
      <c r="D191" s="760"/>
      <c r="E191" s="760"/>
      <c r="F191" s="760"/>
      <c r="G191" s="760"/>
      <c r="H191" s="760"/>
      <c r="I191" s="760"/>
      <c r="J191" s="760"/>
      <c r="K191" s="760"/>
    </row>
    <row r="192" spans="1:11">
      <c r="A192" s="760"/>
      <c r="B192" s="760"/>
      <c r="C192" s="760"/>
      <c r="D192" s="760"/>
      <c r="E192" s="760"/>
      <c r="F192" s="760"/>
      <c r="G192" s="760"/>
      <c r="H192" s="760"/>
      <c r="I192" s="760"/>
      <c r="J192" s="760"/>
      <c r="K192" s="760"/>
    </row>
    <row r="193" spans="1:11">
      <c r="A193" s="760"/>
      <c r="B193" s="760"/>
      <c r="C193" s="760"/>
      <c r="D193" s="760"/>
      <c r="E193" s="760"/>
      <c r="F193" s="760"/>
      <c r="G193" s="760"/>
      <c r="H193" s="760"/>
      <c r="I193" s="760"/>
      <c r="J193" s="760"/>
      <c r="K193" s="760"/>
    </row>
    <row r="194" spans="1:11">
      <c r="A194" s="760"/>
      <c r="B194" s="760"/>
      <c r="C194" s="760"/>
      <c r="D194" s="760"/>
      <c r="E194" s="760"/>
      <c r="F194" s="760"/>
      <c r="G194" s="760"/>
      <c r="H194" s="760"/>
      <c r="I194" s="760"/>
      <c r="J194" s="760"/>
      <c r="K194" s="760"/>
    </row>
    <row r="195" spans="1:11">
      <c r="A195" s="760"/>
      <c r="B195" s="760"/>
      <c r="C195" s="760"/>
      <c r="D195" s="760"/>
      <c r="E195" s="760"/>
      <c r="F195" s="760"/>
      <c r="G195" s="760"/>
      <c r="H195" s="760"/>
      <c r="I195" s="760"/>
      <c r="J195" s="760"/>
      <c r="K195" s="760"/>
    </row>
    <row r="196" spans="1:11">
      <c r="A196" s="760"/>
      <c r="B196" s="760"/>
      <c r="C196" s="760"/>
      <c r="D196" s="760"/>
      <c r="E196" s="760"/>
      <c r="F196" s="760"/>
      <c r="G196" s="760"/>
      <c r="H196" s="760"/>
      <c r="I196" s="760"/>
      <c r="J196" s="760"/>
      <c r="K196" s="760"/>
    </row>
    <row r="197" spans="1:11">
      <c r="A197" s="760"/>
      <c r="B197" s="760"/>
      <c r="C197" s="760"/>
      <c r="D197" s="760"/>
      <c r="E197" s="760"/>
      <c r="F197" s="760"/>
      <c r="G197" s="760"/>
      <c r="H197" s="760"/>
      <c r="I197" s="760"/>
      <c r="J197" s="760"/>
      <c r="K197" s="760"/>
    </row>
    <row r="198" spans="1:11">
      <c r="A198" s="760"/>
      <c r="B198" s="760"/>
      <c r="C198" s="760"/>
      <c r="D198" s="760"/>
      <c r="E198" s="760"/>
      <c r="F198" s="760"/>
      <c r="G198" s="760"/>
      <c r="H198" s="760"/>
      <c r="I198" s="760"/>
      <c r="J198" s="760"/>
      <c r="K198" s="760"/>
    </row>
    <row r="199" spans="1:11">
      <c r="A199" s="760"/>
      <c r="B199" s="760"/>
      <c r="C199" s="760"/>
      <c r="D199" s="760"/>
      <c r="E199" s="760"/>
      <c r="F199" s="760"/>
      <c r="G199" s="760"/>
      <c r="H199" s="760"/>
      <c r="I199" s="760"/>
      <c r="J199" s="760"/>
      <c r="K199" s="760"/>
    </row>
    <row r="200" spans="1:11">
      <c r="A200" s="760"/>
      <c r="B200" s="760"/>
      <c r="C200" s="760"/>
      <c r="D200" s="760"/>
      <c r="E200" s="760"/>
      <c r="F200" s="760"/>
      <c r="G200" s="760"/>
      <c r="H200" s="760"/>
      <c r="I200" s="760"/>
      <c r="J200" s="760"/>
      <c r="K200" s="760"/>
    </row>
    <row r="201" spans="1:11">
      <c r="A201" s="760"/>
      <c r="B201" s="760"/>
      <c r="C201" s="760"/>
      <c r="D201" s="760"/>
      <c r="E201" s="760"/>
      <c r="F201" s="760"/>
      <c r="G201" s="760"/>
      <c r="H201" s="760"/>
      <c r="I201" s="760"/>
      <c r="J201" s="760"/>
      <c r="K201" s="760"/>
    </row>
    <row r="202" spans="1:11">
      <c r="A202" s="760"/>
      <c r="B202" s="760"/>
      <c r="C202" s="760"/>
      <c r="D202" s="760"/>
      <c r="E202" s="760"/>
      <c r="F202" s="760"/>
      <c r="G202" s="760"/>
      <c r="H202" s="760"/>
      <c r="I202" s="760"/>
      <c r="J202" s="760"/>
      <c r="K202" s="760"/>
    </row>
    <row r="203" spans="1:11">
      <c r="A203" s="760"/>
      <c r="B203" s="760"/>
      <c r="C203" s="760"/>
      <c r="D203" s="760"/>
      <c r="E203" s="760"/>
      <c r="F203" s="760"/>
      <c r="G203" s="760"/>
      <c r="H203" s="760"/>
      <c r="I203" s="760"/>
      <c r="J203" s="760"/>
      <c r="K203" s="760"/>
    </row>
    <row r="204" spans="1:11">
      <c r="A204" s="760"/>
      <c r="B204" s="760"/>
      <c r="C204" s="760"/>
      <c r="D204" s="760"/>
      <c r="E204" s="760"/>
      <c r="F204" s="760"/>
      <c r="G204" s="760"/>
      <c r="H204" s="760"/>
      <c r="I204" s="760"/>
      <c r="J204" s="760"/>
      <c r="K204" s="760"/>
    </row>
    <row r="205" spans="1:11">
      <c r="A205" s="760"/>
      <c r="B205" s="760"/>
      <c r="C205" s="760"/>
      <c r="D205" s="760"/>
      <c r="E205" s="760"/>
      <c r="F205" s="760"/>
      <c r="G205" s="760"/>
      <c r="H205" s="760"/>
      <c r="I205" s="760"/>
      <c r="J205" s="760"/>
      <c r="K205" s="760"/>
    </row>
    <row r="206" spans="1:11">
      <c r="A206" s="760"/>
      <c r="B206" s="760"/>
      <c r="C206" s="760"/>
      <c r="D206" s="760"/>
      <c r="E206" s="760"/>
      <c r="F206" s="760"/>
      <c r="G206" s="760"/>
      <c r="H206" s="760"/>
      <c r="I206" s="760"/>
      <c r="J206" s="760"/>
      <c r="K206" s="760"/>
    </row>
    <row r="207" spans="1:11">
      <c r="A207" s="760"/>
      <c r="B207" s="760"/>
      <c r="C207" s="760"/>
      <c r="D207" s="760"/>
      <c r="E207" s="760"/>
      <c r="F207" s="760"/>
      <c r="G207" s="760"/>
      <c r="H207" s="760"/>
      <c r="I207" s="760"/>
      <c r="J207" s="760"/>
      <c r="K207" s="760"/>
    </row>
    <row r="208" spans="1:11">
      <c r="A208" s="760"/>
      <c r="B208" s="760"/>
      <c r="C208" s="760"/>
      <c r="D208" s="760"/>
      <c r="E208" s="760"/>
      <c r="F208" s="760"/>
      <c r="G208" s="760"/>
      <c r="H208" s="760"/>
      <c r="I208" s="760"/>
      <c r="J208" s="760"/>
      <c r="K208" s="760"/>
    </row>
    <row r="209" spans="1:11">
      <c r="A209" s="760"/>
      <c r="B209" s="760"/>
      <c r="C209" s="760"/>
      <c r="D209" s="760"/>
      <c r="E209" s="760"/>
      <c r="F209" s="760"/>
      <c r="G209" s="760"/>
      <c r="H209" s="760"/>
      <c r="I209" s="760"/>
      <c r="J209" s="760"/>
      <c r="K209" s="760"/>
    </row>
    <row r="210" spans="1:11">
      <c r="A210" s="760"/>
      <c r="B210" s="760"/>
      <c r="C210" s="760"/>
      <c r="D210" s="760"/>
      <c r="E210" s="760"/>
      <c r="F210" s="760"/>
      <c r="G210" s="760"/>
      <c r="H210" s="760"/>
      <c r="I210" s="760"/>
      <c r="J210" s="760"/>
      <c r="K210" s="760"/>
    </row>
    <row r="211" spans="1:11">
      <c r="A211" s="760"/>
      <c r="B211" s="760"/>
      <c r="C211" s="760"/>
      <c r="D211" s="760"/>
      <c r="E211" s="760"/>
      <c r="F211" s="760"/>
      <c r="G211" s="760"/>
      <c r="H211" s="760"/>
      <c r="I211" s="760"/>
      <c r="J211" s="760"/>
      <c r="K211" s="760"/>
    </row>
    <row r="212" spans="1:11">
      <c r="A212" s="760"/>
      <c r="B212" s="760"/>
      <c r="C212" s="760"/>
      <c r="D212" s="760"/>
      <c r="E212" s="760"/>
      <c r="F212" s="760"/>
      <c r="G212" s="760"/>
      <c r="H212" s="760"/>
      <c r="I212" s="760"/>
      <c r="J212" s="760"/>
      <c r="K212" s="760"/>
    </row>
    <row r="213" spans="1:11">
      <c r="A213" s="760"/>
      <c r="B213" s="760"/>
      <c r="C213" s="760"/>
      <c r="D213" s="760"/>
      <c r="E213" s="760"/>
      <c r="F213" s="760"/>
      <c r="G213" s="760"/>
      <c r="H213" s="760"/>
      <c r="I213" s="760"/>
      <c r="J213" s="760"/>
      <c r="K213" s="760"/>
    </row>
    <row r="214" spans="1:11">
      <c r="A214" s="760"/>
      <c r="B214" s="760"/>
      <c r="C214" s="760"/>
      <c r="D214" s="760"/>
      <c r="E214" s="760"/>
      <c r="F214" s="760"/>
      <c r="G214" s="760"/>
      <c r="H214" s="760"/>
      <c r="I214" s="760"/>
      <c r="J214" s="760"/>
      <c r="K214" s="760"/>
    </row>
    <row r="215" spans="1:11">
      <c r="A215" s="760"/>
      <c r="B215" s="760"/>
      <c r="C215" s="760"/>
      <c r="D215" s="760"/>
      <c r="E215" s="760"/>
      <c r="F215" s="760"/>
      <c r="G215" s="760"/>
      <c r="H215" s="760"/>
      <c r="I215" s="760"/>
      <c r="J215" s="760"/>
      <c r="K215" s="760"/>
    </row>
    <row r="216" spans="1:11">
      <c r="A216" s="760"/>
      <c r="B216" s="760"/>
      <c r="C216" s="760"/>
      <c r="D216" s="760"/>
      <c r="E216" s="760"/>
      <c r="F216" s="760"/>
      <c r="G216" s="760"/>
      <c r="H216" s="760"/>
      <c r="I216" s="760"/>
      <c r="J216" s="760"/>
      <c r="K216" s="760"/>
    </row>
    <row r="217" spans="1:11">
      <c r="A217" s="760"/>
      <c r="B217" s="760"/>
      <c r="C217" s="760"/>
      <c r="D217" s="760"/>
      <c r="E217" s="760"/>
      <c r="F217" s="760"/>
      <c r="G217" s="760"/>
      <c r="H217" s="760"/>
      <c r="I217" s="760"/>
      <c r="J217" s="760"/>
      <c r="K217" s="760"/>
    </row>
    <row r="218" spans="1:11">
      <c r="A218" s="760"/>
      <c r="B218" s="760"/>
      <c r="C218" s="760"/>
      <c r="D218" s="760"/>
      <c r="E218" s="760"/>
      <c r="F218" s="760"/>
      <c r="G218" s="760"/>
      <c r="H218" s="760"/>
      <c r="I218" s="760"/>
      <c r="J218" s="760"/>
      <c r="K218" s="760"/>
    </row>
    <row r="219" spans="1:11">
      <c r="A219" s="760"/>
      <c r="B219" s="760"/>
      <c r="C219" s="760"/>
      <c r="D219" s="760"/>
      <c r="E219" s="760"/>
      <c r="F219" s="760"/>
      <c r="G219" s="760"/>
      <c r="H219" s="760"/>
      <c r="I219" s="760"/>
      <c r="J219" s="760"/>
      <c r="K219" s="760"/>
    </row>
    <row r="220" spans="1:11">
      <c r="A220" s="760"/>
      <c r="B220" s="760"/>
      <c r="C220" s="760"/>
      <c r="D220" s="760"/>
      <c r="E220" s="760"/>
      <c r="F220" s="760"/>
      <c r="G220" s="760"/>
      <c r="H220" s="760"/>
      <c r="I220" s="760"/>
      <c r="J220" s="760"/>
      <c r="K220" s="760"/>
    </row>
    <row r="221" spans="1:11">
      <c r="A221" s="760"/>
      <c r="B221" s="760"/>
      <c r="C221" s="760"/>
      <c r="D221" s="760"/>
      <c r="E221" s="760"/>
      <c r="F221" s="760"/>
      <c r="G221" s="760"/>
      <c r="H221" s="760"/>
      <c r="I221" s="760"/>
      <c r="J221" s="760"/>
      <c r="K221" s="760"/>
    </row>
    <row r="222" spans="1:11">
      <c r="A222" s="760"/>
      <c r="B222" s="760"/>
      <c r="C222" s="760"/>
      <c r="D222" s="760"/>
      <c r="E222" s="760"/>
      <c r="F222" s="760"/>
      <c r="G222" s="760"/>
      <c r="H222" s="760"/>
      <c r="I222" s="760"/>
      <c r="J222" s="760"/>
      <c r="K222" s="760"/>
    </row>
    <row r="223" spans="1:11">
      <c r="A223" s="760"/>
      <c r="B223" s="760"/>
      <c r="C223" s="760"/>
      <c r="D223" s="760"/>
      <c r="E223" s="760"/>
      <c r="F223" s="760"/>
      <c r="G223" s="760"/>
      <c r="H223" s="760"/>
      <c r="I223" s="760"/>
      <c r="J223" s="760"/>
      <c r="K223" s="760"/>
    </row>
    <row r="224" spans="1:11">
      <c r="A224" s="760"/>
      <c r="B224" s="760"/>
      <c r="C224" s="760"/>
      <c r="D224" s="760"/>
      <c r="E224" s="760"/>
      <c r="F224" s="760"/>
      <c r="G224" s="760"/>
      <c r="H224" s="760"/>
      <c r="I224" s="760"/>
      <c r="J224" s="760"/>
      <c r="K224" s="760"/>
    </row>
    <row r="225" spans="1:11">
      <c r="A225" s="760"/>
      <c r="B225" s="760"/>
      <c r="C225" s="760"/>
      <c r="D225" s="760"/>
      <c r="E225" s="760"/>
      <c r="F225" s="760"/>
      <c r="G225" s="760"/>
      <c r="H225" s="760"/>
      <c r="I225" s="760"/>
      <c r="J225" s="760"/>
      <c r="K225" s="760"/>
    </row>
    <row r="226" spans="1:11">
      <c r="A226" s="760"/>
      <c r="B226" s="760"/>
      <c r="C226" s="760"/>
      <c r="D226" s="760"/>
      <c r="E226" s="760"/>
      <c r="F226" s="760"/>
      <c r="G226" s="760"/>
      <c r="H226" s="760"/>
      <c r="I226" s="760"/>
      <c r="J226" s="760"/>
      <c r="K226" s="760"/>
    </row>
    <row r="227" spans="1:11">
      <c r="A227" s="760"/>
      <c r="B227" s="760"/>
      <c r="C227" s="760"/>
      <c r="D227" s="760"/>
      <c r="E227" s="760"/>
      <c r="F227" s="760"/>
      <c r="G227" s="760"/>
      <c r="H227" s="760"/>
      <c r="I227" s="760"/>
      <c r="J227" s="760"/>
      <c r="K227" s="760"/>
    </row>
    <row r="228" spans="1:11">
      <c r="A228" s="760"/>
      <c r="B228" s="760"/>
      <c r="C228" s="760"/>
      <c r="D228" s="760"/>
      <c r="E228" s="760"/>
      <c r="F228" s="760"/>
      <c r="G228" s="760"/>
      <c r="H228" s="760"/>
      <c r="I228" s="760"/>
      <c r="J228" s="760"/>
      <c r="K228" s="760"/>
    </row>
    <row r="229" spans="1:11">
      <c r="A229" s="760"/>
      <c r="B229" s="760"/>
      <c r="C229" s="760"/>
      <c r="D229" s="760"/>
      <c r="E229" s="760"/>
      <c r="F229" s="760"/>
      <c r="G229" s="760"/>
      <c r="H229" s="760"/>
      <c r="I229" s="760"/>
      <c r="J229" s="760"/>
      <c r="K229" s="760"/>
    </row>
    <row r="230" spans="1:11">
      <c r="A230" s="760"/>
      <c r="B230" s="760"/>
      <c r="C230" s="760"/>
      <c r="D230" s="760"/>
      <c r="E230" s="760"/>
      <c r="F230" s="760"/>
      <c r="G230" s="760"/>
      <c r="H230" s="760"/>
      <c r="I230" s="760"/>
      <c r="J230" s="760"/>
      <c r="K230" s="760"/>
    </row>
    <row r="231" spans="1:11">
      <c r="A231" s="760"/>
      <c r="B231" s="760"/>
      <c r="C231" s="760"/>
      <c r="D231" s="760"/>
      <c r="E231" s="760"/>
      <c r="F231" s="760"/>
      <c r="G231" s="760"/>
      <c r="H231" s="760"/>
      <c r="I231" s="760"/>
      <c r="J231" s="760"/>
      <c r="K231" s="760"/>
    </row>
    <row r="232" spans="1:11">
      <c r="A232" s="760"/>
      <c r="B232" s="760"/>
      <c r="C232" s="760"/>
      <c r="D232" s="760"/>
      <c r="E232" s="760"/>
      <c r="F232" s="760"/>
      <c r="G232" s="760"/>
      <c r="H232" s="760"/>
      <c r="I232" s="760"/>
      <c r="J232" s="760"/>
      <c r="K232" s="760"/>
    </row>
    <row r="233" spans="1:11">
      <c r="A233" s="760"/>
      <c r="B233" s="760"/>
      <c r="C233" s="760"/>
      <c r="D233" s="760"/>
      <c r="E233" s="760"/>
      <c r="F233" s="760"/>
      <c r="G233" s="760"/>
      <c r="H233" s="760"/>
      <c r="I233" s="760"/>
      <c r="J233" s="760"/>
      <c r="K233" s="760"/>
    </row>
    <row r="234" spans="1:11">
      <c r="A234" s="760"/>
      <c r="B234" s="760"/>
      <c r="C234" s="760"/>
      <c r="D234" s="760"/>
      <c r="E234" s="760"/>
      <c r="F234" s="760"/>
      <c r="G234" s="760"/>
      <c r="H234" s="760"/>
      <c r="I234" s="760"/>
      <c r="J234" s="760"/>
      <c r="K234" s="760"/>
    </row>
    <row r="235" spans="1:11">
      <c r="A235" s="760"/>
      <c r="B235" s="760"/>
      <c r="C235" s="760"/>
      <c r="D235" s="760"/>
      <c r="E235" s="760"/>
      <c r="F235" s="760"/>
      <c r="G235" s="760"/>
      <c r="H235" s="760"/>
      <c r="I235" s="760"/>
      <c r="J235" s="760"/>
      <c r="K235" s="760"/>
    </row>
    <row r="236" spans="1:11">
      <c r="A236" s="760"/>
      <c r="B236" s="760"/>
      <c r="C236" s="760"/>
      <c r="D236" s="760"/>
      <c r="E236" s="760"/>
      <c r="F236" s="760"/>
      <c r="G236" s="760"/>
      <c r="H236" s="760"/>
      <c r="I236" s="760"/>
      <c r="J236" s="760"/>
      <c r="K236" s="760"/>
    </row>
    <row r="237" spans="1:11">
      <c r="A237" s="760"/>
      <c r="B237" s="760"/>
      <c r="C237" s="760"/>
      <c r="D237" s="760"/>
      <c r="E237" s="760"/>
      <c r="F237" s="760"/>
      <c r="G237" s="760"/>
      <c r="H237" s="760"/>
      <c r="I237" s="760"/>
      <c r="J237" s="760"/>
      <c r="K237" s="760"/>
    </row>
    <row r="238" spans="1:11">
      <c r="A238" s="760"/>
      <c r="B238" s="760"/>
      <c r="C238" s="760"/>
      <c r="D238" s="760"/>
      <c r="E238" s="760"/>
      <c r="F238" s="760"/>
      <c r="G238" s="760"/>
      <c r="H238" s="760"/>
      <c r="I238" s="760"/>
      <c r="J238" s="760"/>
      <c r="K238" s="760"/>
    </row>
    <row r="239" spans="1:11">
      <c r="A239" s="760"/>
      <c r="B239" s="760"/>
      <c r="C239" s="760"/>
      <c r="D239" s="760"/>
      <c r="E239" s="760"/>
      <c r="F239" s="760"/>
      <c r="G239" s="760"/>
      <c r="H239" s="760"/>
      <c r="I239" s="760"/>
      <c r="J239" s="760"/>
      <c r="K239" s="760"/>
    </row>
    <row r="240" spans="1:11">
      <c r="A240" s="760"/>
      <c r="B240" s="760"/>
      <c r="C240" s="760"/>
      <c r="D240" s="760"/>
      <c r="E240" s="760"/>
      <c r="F240" s="760"/>
      <c r="G240" s="760"/>
      <c r="H240" s="760"/>
      <c r="I240" s="760"/>
      <c r="J240" s="760"/>
      <c r="K240" s="760"/>
    </row>
    <row r="241" spans="1:11">
      <c r="A241" s="760"/>
      <c r="B241" s="760"/>
      <c r="C241" s="760"/>
      <c r="D241" s="760"/>
      <c r="E241" s="760"/>
      <c r="F241" s="760"/>
      <c r="G241" s="760"/>
      <c r="H241" s="760"/>
      <c r="I241" s="760"/>
      <c r="J241" s="760"/>
      <c r="K241" s="760"/>
    </row>
    <row r="242" spans="1:11">
      <c r="A242" s="760"/>
      <c r="B242" s="760"/>
      <c r="C242" s="760"/>
      <c r="D242" s="760"/>
      <c r="E242" s="760"/>
      <c r="F242" s="760"/>
      <c r="G242" s="760"/>
      <c r="H242" s="760"/>
      <c r="I242" s="760"/>
      <c r="J242" s="760"/>
      <c r="K242" s="760"/>
    </row>
    <row r="243" spans="1:11">
      <c r="A243" s="760"/>
      <c r="B243" s="760"/>
      <c r="C243" s="760"/>
      <c r="D243" s="760"/>
      <c r="E243" s="760"/>
      <c r="F243" s="760"/>
      <c r="G243" s="760"/>
      <c r="H243" s="760"/>
      <c r="I243" s="760"/>
      <c r="J243" s="760"/>
      <c r="K243" s="760"/>
    </row>
    <row r="244" spans="1:11">
      <c r="A244" s="760"/>
      <c r="B244" s="760"/>
      <c r="C244" s="760"/>
      <c r="D244" s="760"/>
      <c r="E244" s="760"/>
      <c r="F244" s="760"/>
      <c r="G244" s="760"/>
      <c r="H244" s="760"/>
      <c r="I244" s="760"/>
      <c r="J244" s="760"/>
      <c r="K244" s="760"/>
    </row>
    <row r="245" spans="1:11">
      <c r="A245" s="760"/>
      <c r="B245" s="760"/>
      <c r="C245" s="760"/>
      <c r="D245" s="760"/>
      <c r="E245" s="760"/>
      <c r="F245" s="760"/>
      <c r="G245" s="760"/>
      <c r="H245" s="760"/>
      <c r="I245" s="760"/>
      <c r="J245" s="760"/>
      <c r="K245" s="760"/>
    </row>
    <row r="246" spans="1:11">
      <c r="A246" s="760"/>
      <c r="B246" s="760"/>
      <c r="C246" s="760"/>
      <c r="D246" s="760"/>
      <c r="E246" s="760"/>
      <c r="F246" s="760"/>
      <c r="G246" s="760"/>
      <c r="H246" s="760"/>
      <c r="I246" s="760"/>
      <c r="J246" s="760"/>
      <c r="K246" s="760"/>
    </row>
    <row r="247" spans="1:11">
      <c r="A247" s="760"/>
      <c r="B247" s="760"/>
      <c r="C247" s="760"/>
      <c r="D247" s="760"/>
      <c r="E247" s="760"/>
      <c r="F247" s="760"/>
      <c r="G247" s="760"/>
      <c r="H247" s="760"/>
      <c r="I247" s="760"/>
      <c r="J247" s="760"/>
      <c r="K247" s="760"/>
    </row>
    <row r="248" spans="1:11">
      <c r="A248" s="760"/>
      <c r="B248" s="760"/>
      <c r="C248" s="760"/>
      <c r="D248" s="760"/>
      <c r="E248" s="760"/>
      <c r="F248" s="760"/>
      <c r="G248" s="760"/>
      <c r="H248" s="760"/>
      <c r="I248" s="760"/>
      <c r="J248" s="760"/>
      <c r="K248" s="760"/>
    </row>
    <row r="249" spans="1:11">
      <c r="A249" s="760"/>
      <c r="B249" s="760"/>
      <c r="C249" s="760"/>
      <c r="D249" s="760"/>
      <c r="E249" s="760"/>
      <c r="F249" s="760"/>
      <c r="G249" s="760"/>
      <c r="H249" s="760"/>
      <c r="I249" s="760"/>
      <c r="J249" s="760"/>
      <c r="K249" s="760"/>
    </row>
    <row r="250" spans="1:11">
      <c r="A250" s="760"/>
      <c r="B250" s="760"/>
      <c r="C250" s="760"/>
      <c r="D250" s="760"/>
      <c r="E250" s="760"/>
      <c r="F250" s="760"/>
      <c r="G250" s="760"/>
      <c r="H250" s="760"/>
      <c r="I250" s="760"/>
      <c r="J250" s="760"/>
      <c r="K250" s="760"/>
    </row>
    <row r="251" spans="1:11">
      <c r="A251" s="760"/>
      <c r="B251" s="760"/>
      <c r="C251" s="760"/>
      <c r="D251" s="760"/>
      <c r="E251" s="760"/>
      <c r="F251" s="760"/>
      <c r="G251" s="760"/>
      <c r="H251" s="760"/>
      <c r="I251" s="760"/>
      <c r="J251" s="760"/>
      <c r="K251" s="760"/>
    </row>
    <row r="252" spans="1:11">
      <c r="A252" s="760"/>
      <c r="B252" s="760"/>
      <c r="C252" s="760"/>
      <c r="D252" s="760"/>
      <c r="E252" s="760"/>
      <c r="F252" s="760"/>
      <c r="G252" s="760"/>
      <c r="H252" s="760"/>
      <c r="I252" s="760"/>
      <c r="J252" s="760"/>
      <c r="K252" s="760"/>
    </row>
    <row r="253" spans="1:11">
      <c r="A253" s="760"/>
      <c r="B253" s="760"/>
      <c r="C253" s="760"/>
      <c r="D253" s="760"/>
      <c r="E253" s="760"/>
      <c r="F253" s="760"/>
      <c r="G253" s="760"/>
      <c r="H253" s="760"/>
      <c r="I253" s="760"/>
      <c r="J253" s="760"/>
      <c r="K253" s="760"/>
    </row>
    <row r="254" spans="1:11">
      <c r="A254" s="760"/>
      <c r="B254" s="760"/>
      <c r="C254" s="760"/>
      <c r="D254" s="760"/>
      <c r="E254" s="760"/>
      <c r="F254" s="760"/>
      <c r="G254" s="760"/>
      <c r="H254" s="760"/>
      <c r="I254" s="760"/>
      <c r="J254" s="760"/>
      <c r="K254" s="760"/>
    </row>
    <row r="255" spans="1:11">
      <c r="A255" s="760"/>
      <c r="B255" s="760"/>
      <c r="C255" s="760"/>
      <c r="D255" s="760"/>
      <c r="E255" s="760"/>
      <c r="F255" s="760"/>
      <c r="G255" s="760"/>
      <c r="H255" s="760"/>
      <c r="I255" s="760"/>
      <c r="J255" s="760"/>
      <c r="K255" s="760"/>
    </row>
    <row r="256" spans="1:11">
      <c r="A256" s="760"/>
      <c r="B256" s="760"/>
      <c r="C256" s="760"/>
      <c r="D256" s="760"/>
      <c r="E256" s="760"/>
      <c r="F256" s="760"/>
      <c r="G256" s="760"/>
      <c r="H256" s="760"/>
      <c r="I256" s="760"/>
      <c r="J256" s="760"/>
      <c r="K256" s="760"/>
    </row>
    <row r="257" spans="1:11">
      <c r="A257" s="760"/>
      <c r="B257" s="760"/>
      <c r="C257" s="760"/>
      <c r="D257" s="760"/>
      <c r="E257" s="760"/>
      <c r="F257" s="760"/>
      <c r="G257" s="760"/>
      <c r="H257" s="760"/>
      <c r="I257" s="760"/>
      <c r="J257" s="760"/>
      <c r="K257" s="760"/>
    </row>
    <row r="258" spans="1:11">
      <c r="A258" s="760"/>
      <c r="B258" s="760"/>
      <c r="C258" s="760"/>
      <c r="D258" s="760"/>
      <c r="E258" s="760"/>
      <c r="F258" s="760"/>
      <c r="G258" s="760"/>
      <c r="H258" s="760"/>
      <c r="I258" s="760"/>
      <c r="J258" s="760"/>
      <c r="K258" s="760"/>
    </row>
    <row r="259" spans="1:11">
      <c r="A259" s="760"/>
      <c r="B259" s="760"/>
      <c r="C259" s="760"/>
      <c r="D259" s="760"/>
      <c r="E259" s="760"/>
      <c r="F259" s="760"/>
      <c r="G259" s="760"/>
      <c r="H259" s="760"/>
      <c r="I259" s="760"/>
      <c r="J259" s="760"/>
      <c r="K259" s="760"/>
    </row>
    <row r="260" spans="1:11">
      <c r="A260" s="760"/>
      <c r="B260" s="760"/>
      <c r="C260" s="760"/>
      <c r="D260" s="760"/>
      <c r="E260" s="760"/>
      <c r="F260" s="760"/>
      <c r="G260" s="760"/>
      <c r="H260" s="760"/>
      <c r="I260" s="760"/>
      <c r="J260" s="760"/>
      <c r="K260" s="760"/>
    </row>
    <row r="261" spans="1:11">
      <c r="A261" s="760"/>
      <c r="B261" s="760"/>
      <c r="C261" s="760"/>
      <c r="D261" s="760"/>
      <c r="E261" s="760"/>
      <c r="F261" s="760"/>
      <c r="G261" s="760"/>
      <c r="H261" s="760"/>
      <c r="I261" s="760"/>
      <c r="J261" s="760"/>
      <c r="K261" s="760"/>
    </row>
    <row r="262" spans="1:11">
      <c r="A262" s="760"/>
      <c r="B262" s="760"/>
      <c r="C262" s="760"/>
      <c r="D262" s="760"/>
      <c r="E262" s="760"/>
      <c r="F262" s="760"/>
      <c r="G262" s="760"/>
      <c r="H262" s="760"/>
      <c r="I262" s="760"/>
      <c r="J262" s="760"/>
      <c r="K262" s="760"/>
    </row>
    <row r="263" spans="1:11">
      <c r="A263" s="760"/>
      <c r="B263" s="760"/>
      <c r="C263" s="760"/>
      <c r="D263" s="760"/>
      <c r="E263" s="760"/>
      <c r="F263" s="760"/>
      <c r="G263" s="760"/>
      <c r="H263" s="760"/>
      <c r="I263" s="760"/>
      <c r="J263" s="760"/>
      <c r="K263" s="760"/>
    </row>
    <row r="264" spans="1:11">
      <c r="A264" s="760"/>
      <c r="B264" s="760"/>
      <c r="C264" s="760"/>
      <c r="D264" s="760"/>
      <c r="E264" s="760"/>
      <c r="F264" s="760"/>
      <c r="G264" s="760"/>
      <c r="H264" s="760"/>
      <c r="I264" s="760"/>
      <c r="J264" s="760"/>
      <c r="K264" s="760"/>
    </row>
    <row r="265" spans="1:11">
      <c r="A265" s="760"/>
      <c r="B265" s="760"/>
      <c r="C265" s="760"/>
      <c r="D265" s="760"/>
      <c r="E265" s="760"/>
      <c r="F265" s="760"/>
      <c r="G265" s="760"/>
      <c r="H265" s="760"/>
      <c r="I265" s="760"/>
      <c r="J265" s="760"/>
      <c r="K265" s="760"/>
    </row>
    <row r="266" spans="1:11">
      <c r="A266" s="760"/>
      <c r="B266" s="760"/>
      <c r="C266" s="760"/>
      <c r="D266" s="760"/>
      <c r="E266" s="760"/>
      <c r="F266" s="760"/>
      <c r="G266" s="760"/>
      <c r="H266" s="760"/>
      <c r="I266" s="760"/>
      <c r="J266" s="760"/>
      <c r="K266" s="760"/>
    </row>
    <row r="267" spans="1:11">
      <c r="A267" s="760"/>
      <c r="B267" s="760"/>
      <c r="C267" s="760"/>
      <c r="D267" s="760"/>
      <c r="E267" s="760"/>
      <c r="F267" s="760"/>
      <c r="G267" s="760"/>
      <c r="H267" s="760"/>
      <c r="I267" s="760"/>
      <c r="J267" s="760"/>
      <c r="K267" s="760"/>
    </row>
    <row r="268" spans="1:11">
      <c r="A268" s="760"/>
      <c r="B268" s="760"/>
      <c r="C268" s="760"/>
      <c r="D268" s="760"/>
      <c r="E268" s="760"/>
      <c r="F268" s="760"/>
      <c r="G268" s="760"/>
      <c r="H268" s="760"/>
      <c r="I268" s="760"/>
      <c r="J268" s="760"/>
      <c r="K268" s="760"/>
    </row>
    <row r="269" spans="1:11">
      <c r="A269" s="760"/>
      <c r="B269" s="760"/>
      <c r="C269" s="760"/>
      <c r="D269" s="760"/>
      <c r="E269" s="760"/>
      <c r="F269" s="760"/>
      <c r="G269" s="760"/>
      <c r="H269" s="760"/>
      <c r="I269" s="760"/>
      <c r="J269" s="760"/>
      <c r="K269" s="760"/>
    </row>
    <row r="270" spans="1:11">
      <c r="A270" s="760"/>
      <c r="B270" s="760"/>
      <c r="C270" s="760"/>
      <c r="D270" s="760"/>
      <c r="E270" s="760"/>
      <c r="F270" s="760"/>
      <c r="G270" s="760"/>
      <c r="H270" s="760"/>
      <c r="I270" s="760"/>
      <c r="J270" s="760"/>
      <c r="K270" s="760"/>
    </row>
    <row r="271" spans="1:11">
      <c r="A271" s="760"/>
      <c r="B271" s="760"/>
      <c r="C271" s="760"/>
      <c r="D271" s="760"/>
      <c r="E271" s="760"/>
      <c r="F271" s="760"/>
      <c r="G271" s="760"/>
      <c r="H271" s="760"/>
      <c r="I271" s="760"/>
      <c r="J271" s="760"/>
      <c r="K271" s="760"/>
    </row>
    <row r="272" spans="1:11">
      <c r="A272" s="760"/>
      <c r="B272" s="760"/>
      <c r="C272" s="760"/>
      <c r="D272" s="760"/>
      <c r="E272" s="760"/>
      <c r="F272" s="760"/>
      <c r="G272" s="760"/>
      <c r="H272" s="760"/>
      <c r="I272" s="760"/>
      <c r="J272" s="760"/>
      <c r="K272" s="760"/>
    </row>
    <row r="273" spans="1:11">
      <c r="A273" s="760"/>
      <c r="B273" s="760"/>
      <c r="C273" s="760"/>
      <c r="D273" s="760"/>
      <c r="E273" s="760"/>
      <c r="F273" s="760"/>
      <c r="G273" s="760"/>
      <c r="H273" s="760"/>
      <c r="I273" s="760"/>
      <c r="J273" s="760"/>
      <c r="K273" s="760"/>
    </row>
    <row r="274" spans="1:11">
      <c r="A274" s="760"/>
      <c r="B274" s="760"/>
      <c r="C274" s="760"/>
      <c r="D274" s="760"/>
      <c r="E274" s="760"/>
      <c r="F274" s="760"/>
      <c r="G274" s="760"/>
      <c r="H274" s="760"/>
      <c r="I274" s="760"/>
      <c r="J274" s="760"/>
      <c r="K274" s="760"/>
    </row>
    <row r="275" spans="1:11">
      <c r="A275" s="760"/>
      <c r="B275" s="760"/>
      <c r="C275" s="760"/>
      <c r="D275" s="760"/>
      <c r="E275" s="760"/>
      <c r="F275" s="760"/>
      <c r="G275" s="760"/>
      <c r="H275" s="760"/>
      <c r="I275" s="760"/>
      <c r="J275" s="760"/>
      <c r="K275" s="760"/>
    </row>
    <row r="276" spans="1:11">
      <c r="A276" s="760"/>
      <c r="B276" s="760"/>
      <c r="C276" s="760"/>
      <c r="D276" s="760"/>
      <c r="E276" s="760"/>
      <c r="F276" s="760"/>
      <c r="G276" s="760"/>
      <c r="H276" s="760"/>
      <c r="I276" s="760"/>
      <c r="J276" s="760"/>
      <c r="K276" s="760"/>
    </row>
    <row r="277" spans="1:11">
      <c r="A277" s="760"/>
      <c r="B277" s="760"/>
      <c r="C277" s="760"/>
      <c r="D277" s="760"/>
      <c r="E277" s="760"/>
      <c r="F277" s="760"/>
      <c r="G277" s="760"/>
      <c r="H277" s="760"/>
      <c r="I277" s="760"/>
      <c r="J277" s="760"/>
      <c r="K277" s="760"/>
    </row>
    <row r="278" spans="1:11">
      <c r="A278" s="760"/>
      <c r="B278" s="760"/>
      <c r="C278" s="760"/>
      <c r="D278" s="760"/>
      <c r="E278" s="760"/>
      <c r="F278" s="760"/>
      <c r="G278" s="760"/>
      <c r="H278" s="760"/>
      <c r="I278" s="760"/>
      <c r="J278" s="760"/>
      <c r="K278" s="760"/>
    </row>
    <row r="279" spans="1:11">
      <c r="A279" s="760"/>
      <c r="B279" s="760"/>
      <c r="C279" s="760"/>
      <c r="D279" s="760"/>
      <c r="E279" s="760"/>
      <c r="F279" s="760"/>
      <c r="G279" s="760"/>
      <c r="H279" s="760"/>
      <c r="I279" s="760"/>
      <c r="J279" s="760"/>
      <c r="K279" s="760"/>
    </row>
    <row r="280" spans="1:11">
      <c r="A280" s="760"/>
      <c r="B280" s="760"/>
      <c r="C280" s="760"/>
      <c r="D280" s="760"/>
      <c r="E280" s="760"/>
      <c r="F280" s="760"/>
      <c r="G280" s="760"/>
      <c r="H280" s="760"/>
      <c r="I280" s="760"/>
      <c r="J280" s="760"/>
      <c r="K280" s="760"/>
    </row>
    <row r="281" spans="1:11">
      <c r="A281" s="760"/>
      <c r="B281" s="760"/>
      <c r="C281" s="760"/>
      <c r="D281" s="760"/>
      <c r="E281" s="760"/>
      <c r="F281" s="760"/>
      <c r="G281" s="760"/>
      <c r="H281" s="760"/>
      <c r="I281" s="760"/>
      <c r="J281" s="760"/>
      <c r="K281" s="760"/>
    </row>
    <row r="282" spans="1:11">
      <c r="A282" s="760"/>
      <c r="B282" s="760"/>
      <c r="C282" s="760"/>
      <c r="D282" s="760"/>
      <c r="E282" s="760"/>
      <c r="F282" s="760"/>
      <c r="G282" s="760"/>
      <c r="H282" s="760"/>
      <c r="I282" s="760"/>
      <c r="J282" s="760"/>
      <c r="K282" s="760"/>
    </row>
    <row r="283" spans="1:11">
      <c r="A283" s="760"/>
      <c r="B283" s="760"/>
      <c r="C283" s="760"/>
      <c r="D283" s="760"/>
      <c r="E283" s="760"/>
      <c r="F283" s="760"/>
      <c r="G283" s="760"/>
      <c r="H283" s="760"/>
      <c r="I283" s="760"/>
      <c r="J283" s="760"/>
      <c r="K283" s="760"/>
    </row>
    <row r="284" spans="1:11">
      <c r="A284" s="760"/>
      <c r="B284" s="760"/>
      <c r="C284" s="760"/>
      <c r="D284" s="760"/>
      <c r="E284" s="760"/>
      <c r="F284" s="760"/>
      <c r="G284" s="760"/>
      <c r="H284" s="760"/>
      <c r="I284" s="760"/>
      <c r="J284" s="760"/>
      <c r="K284" s="760"/>
    </row>
    <row r="285" spans="1:11">
      <c r="A285" s="760"/>
      <c r="B285" s="760"/>
      <c r="C285" s="760"/>
      <c r="D285" s="760"/>
      <c r="E285" s="760"/>
      <c r="F285" s="760"/>
      <c r="G285" s="760"/>
      <c r="H285" s="760"/>
      <c r="I285" s="760"/>
      <c r="J285" s="760"/>
      <c r="K285" s="760"/>
    </row>
    <row r="286" spans="1:11">
      <c r="A286" s="760"/>
      <c r="B286" s="760"/>
      <c r="C286" s="760"/>
      <c r="D286" s="760"/>
      <c r="E286" s="760"/>
      <c r="F286" s="760"/>
      <c r="G286" s="760"/>
      <c r="H286" s="760"/>
      <c r="I286" s="760"/>
      <c r="J286" s="760"/>
      <c r="K286" s="760"/>
    </row>
    <row r="287" spans="1:11">
      <c r="A287" s="760"/>
      <c r="B287" s="760"/>
      <c r="C287" s="760"/>
      <c r="D287" s="760"/>
      <c r="E287" s="760"/>
      <c r="F287" s="760"/>
      <c r="G287" s="760"/>
      <c r="H287" s="760"/>
      <c r="I287" s="760"/>
      <c r="J287" s="760"/>
      <c r="K287" s="760"/>
    </row>
    <row r="288" spans="1:11">
      <c r="A288" s="760"/>
      <c r="B288" s="760"/>
      <c r="C288" s="760"/>
      <c r="D288" s="760"/>
      <c r="E288" s="760"/>
      <c r="F288" s="760"/>
      <c r="G288" s="760"/>
      <c r="H288" s="760"/>
      <c r="I288" s="760"/>
      <c r="J288" s="760"/>
      <c r="K288" s="760"/>
    </row>
    <row r="289" spans="1:11">
      <c r="A289" s="760"/>
      <c r="B289" s="760"/>
      <c r="C289" s="760"/>
      <c r="D289" s="760"/>
      <c r="E289" s="760"/>
      <c r="F289" s="760"/>
      <c r="G289" s="760"/>
      <c r="H289" s="760"/>
      <c r="I289" s="760"/>
      <c r="J289" s="760"/>
      <c r="K289" s="760"/>
    </row>
    <row r="290" spans="1:11">
      <c r="A290" s="760"/>
      <c r="B290" s="760"/>
      <c r="C290" s="760"/>
      <c r="D290" s="760"/>
      <c r="E290" s="760"/>
      <c r="F290" s="760"/>
      <c r="G290" s="760"/>
      <c r="H290" s="760"/>
      <c r="I290" s="760"/>
      <c r="J290" s="760"/>
      <c r="K290" s="760"/>
    </row>
    <row r="291" spans="1:11">
      <c r="A291" s="760"/>
      <c r="B291" s="760"/>
      <c r="C291" s="760"/>
      <c r="D291" s="760"/>
      <c r="E291" s="760"/>
      <c r="F291" s="760"/>
      <c r="G291" s="760"/>
      <c r="H291" s="760"/>
      <c r="I291" s="760"/>
      <c r="J291" s="760"/>
      <c r="K291" s="760"/>
    </row>
    <row r="292" spans="1:11">
      <c r="A292" s="760"/>
      <c r="B292" s="760"/>
      <c r="C292" s="760"/>
      <c r="D292" s="760"/>
      <c r="E292" s="760"/>
      <c r="F292" s="760"/>
      <c r="G292" s="760"/>
      <c r="H292" s="760"/>
      <c r="I292" s="760"/>
      <c r="J292" s="760"/>
      <c r="K292" s="760"/>
    </row>
    <row r="293" spans="1:11">
      <c r="A293" s="760"/>
      <c r="B293" s="760"/>
      <c r="C293" s="760"/>
      <c r="D293" s="760"/>
      <c r="E293" s="760"/>
      <c r="F293" s="760"/>
      <c r="G293" s="760"/>
      <c r="H293" s="760"/>
      <c r="I293" s="760"/>
      <c r="J293" s="760"/>
      <c r="K293" s="760"/>
    </row>
    <row r="294" spans="1:11">
      <c r="A294" s="760"/>
      <c r="B294" s="760"/>
      <c r="C294" s="760"/>
      <c r="D294" s="760"/>
      <c r="E294" s="760"/>
      <c r="F294" s="760"/>
      <c r="G294" s="760"/>
      <c r="H294" s="760"/>
      <c r="I294" s="760"/>
      <c r="J294" s="760"/>
      <c r="K294" s="760"/>
    </row>
    <row r="295" spans="1:11">
      <c r="A295" s="760"/>
      <c r="B295" s="760"/>
      <c r="C295" s="760"/>
      <c r="D295" s="760"/>
      <c r="E295" s="760"/>
      <c r="F295" s="760"/>
      <c r="G295" s="760"/>
      <c r="H295" s="760"/>
      <c r="I295" s="760"/>
      <c r="J295" s="760"/>
      <c r="K295" s="760"/>
    </row>
    <row r="296" spans="1:11">
      <c r="A296" s="760"/>
      <c r="B296" s="760"/>
      <c r="C296" s="760"/>
      <c r="D296" s="760"/>
      <c r="E296" s="760"/>
      <c r="F296" s="760"/>
      <c r="G296" s="760"/>
      <c r="H296" s="760"/>
      <c r="I296" s="760"/>
      <c r="J296" s="760"/>
      <c r="K296" s="760"/>
    </row>
    <row r="297" spans="1:11">
      <c r="A297" s="760"/>
      <c r="B297" s="760"/>
      <c r="C297" s="760"/>
      <c r="D297" s="760"/>
      <c r="E297" s="760"/>
      <c r="F297" s="760"/>
      <c r="G297" s="760"/>
      <c r="H297" s="760"/>
      <c r="I297" s="760"/>
      <c r="J297" s="760"/>
      <c r="K297" s="760"/>
    </row>
    <row r="298" spans="1:11">
      <c r="A298" s="760"/>
      <c r="B298" s="760"/>
      <c r="C298" s="760"/>
      <c r="D298" s="760"/>
      <c r="E298" s="760"/>
      <c r="F298" s="760"/>
      <c r="G298" s="760"/>
      <c r="H298" s="760"/>
      <c r="I298" s="760"/>
      <c r="J298" s="760"/>
      <c r="K298" s="760"/>
    </row>
    <row r="299" spans="1:11">
      <c r="A299" s="760"/>
      <c r="B299" s="760"/>
      <c r="C299" s="760"/>
      <c r="D299" s="760"/>
      <c r="E299" s="760"/>
      <c r="F299" s="760"/>
      <c r="G299" s="760"/>
      <c r="H299" s="760"/>
      <c r="I299" s="760"/>
      <c r="J299" s="760"/>
      <c r="K299" s="760"/>
    </row>
    <row r="300" spans="1:11">
      <c r="A300" s="760"/>
      <c r="B300" s="760"/>
      <c r="C300" s="760"/>
      <c r="D300" s="760"/>
      <c r="E300" s="760"/>
      <c r="F300" s="760"/>
      <c r="G300" s="760"/>
      <c r="H300" s="760"/>
      <c r="I300" s="760"/>
      <c r="J300" s="760"/>
      <c r="K300" s="760"/>
    </row>
    <row r="301" spans="1:11">
      <c r="A301" s="760"/>
      <c r="B301" s="760"/>
      <c r="C301" s="760"/>
      <c r="D301" s="760"/>
      <c r="E301" s="760"/>
      <c r="F301" s="760"/>
      <c r="G301" s="760"/>
      <c r="H301" s="760"/>
      <c r="I301" s="760"/>
      <c r="J301" s="760"/>
      <c r="K301" s="760"/>
    </row>
    <row r="302" spans="1:11">
      <c r="A302" s="760"/>
      <c r="B302" s="760"/>
      <c r="C302" s="760"/>
      <c r="D302" s="760"/>
      <c r="E302" s="760"/>
      <c r="F302" s="760"/>
      <c r="G302" s="760"/>
      <c r="H302" s="760"/>
      <c r="I302" s="760"/>
      <c r="J302" s="760"/>
      <c r="K302" s="760"/>
    </row>
    <row r="303" spans="1:11">
      <c r="A303" s="760"/>
      <c r="B303" s="760"/>
      <c r="C303" s="760"/>
      <c r="D303" s="760"/>
      <c r="E303" s="760"/>
      <c r="F303" s="760"/>
      <c r="G303" s="760"/>
      <c r="H303" s="760"/>
      <c r="I303" s="760"/>
      <c r="J303" s="760"/>
      <c r="K303" s="760"/>
    </row>
    <row r="304" spans="1:11">
      <c r="A304" s="760"/>
      <c r="B304" s="760"/>
      <c r="C304" s="760"/>
      <c r="D304" s="760"/>
      <c r="E304" s="760"/>
      <c r="F304" s="760"/>
      <c r="G304" s="760"/>
      <c r="H304" s="760"/>
      <c r="I304" s="760"/>
      <c r="J304" s="760"/>
      <c r="K304" s="760"/>
    </row>
    <row r="305" spans="1:11">
      <c r="A305" s="760"/>
      <c r="B305" s="760"/>
      <c r="C305" s="760"/>
      <c r="D305" s="760"/>
      <c r="E305" s="760"/>
      <c r="F305" s="760"/>
      <c r="G305" s="760"/>
      <c r="H305" s="760"/>
      <c r="I305" s="760"/>
      <c r="J305" s="760"/>
      <c r="K305" s="760"/>
    </row>
    <row r="306" spans="1:11">
      <c r="A306" s="760"/>
      <c r="B306" s="760"/>
      <c r="C306" s="760"/>
      <c r="D306" s="760"/>
      <c r="E306" s="760"/>
      <c r="F306" s="760"/>
      <c r="G306" s="760"/>
      <c r="H306" s="760"/>
      <c r="I306" s="760"/>
      <c r="J306" s="760"/>
      <c r="K306" s="760"/>
    </row>
    <row r="307" spans="1:11">
      <c r="A307" s="760"/>
      <c r="B307" s="760"/>
      <c r="C307" s="760"/>
      <c r="D307" s="760"/>
      <c r="E307" s="760"/>
      <c r="F307" s="760"/>
      <c r="G307" s="760"/>
      <c r="H307" s="760"/>
      <c r="I307" s="760"/>
      <c r="J307" s="760"/>
      <c r="K307" s="760"/>
    </row>
    <row r="308" spans="1:11">
      <c r="A308" s="760"/>
      <c r="B308" s="760"/>
      <c r="C308" s="760"/>
      <c r="D308" s="760"/>
      <c r="E308" s="760"/>
      <c r="F308" s="760"/>
      <c r="G308" s="760"/>
      <c r="H308" s="760"/>
      <c r="I308" s="760"/>
      <c r="J308" s="760"/>
      <c r="K308" s="760"/>
    </row>
    <row r="309" spans="1:11">
      <c r="A309" s="760"/>
      <c r="B309" s="760"/>
      <c r="C309" s="760"/>
      <c r="D309" s="760"/>
      <c r="E309" s="760"/>
      <c r="F309" s="760"/>
      <c r="G309" s="760"/>
      <c r="H309" s="760"/>
      <c r="I309" s="760"/>
      <c r="J309" s="760"/>
      <c r="K309" s="760"/>
    </row>
    <row r="310" spans="1:11">
      <c r="A310" s="760"/>
      <c r="B310" s="760"/>
      <c r="C310" s="760"/>
      <c r="D310" s="760"/>
      <c r="E310" s="760"/>
      <c r="F310" s="760"/>
      <c r="G310" s="760"/>
      <c r="H310" s="760"/>
      <c r="I310" s="760"/>
      <c r="J310" s="760"/>
      <c r="K310" s="760"/>
    </row>
    <row r="311" spans="1:11">
      <c r="A311" s="760"/>
      <c r="B311" s="760"/>
      <c r="C311" s="760"/>
      <c r="D311" s="760"/>
      <c r="E311" s="760"/>
      <c r="F311" s="760"/>
      <c r="G311" s="760"/>
      <c r="H311" s="760"/>
      <c r="I311" s="760"/>
      <c r="J311" s="760"/>
      <c r="K311" s="760"/>
    </row>
    <row r="312" spans="1:11">
      <c r="A312" s="760"/>
      <c r="B312" s="760"/>
      <c r="C312" s="760"/>
      <c r="D312" s="760"/>
      <c r="E312" s="760"/>
      <c r="F312" s="760"/>
      <c r="G312" s="760"/>
      <c r="H312" s="760"/>
      <c r="I312" s="760"/>
      <c r="J312" s="760"/>
      <c r="K312" s="760"/>
    </row>
    <row r="313" spans="1:11">
      <c r="A313" s="760"/>
      <c r="B313" s="760"/>
      <c r="C313" s="760"/>
      <c r="D313" s="760"/>
      <c r="E313" s="760"/>
      <c r="F313" s="760"/>
      <c r="G313" s="760"/>
      <c r="H313" s="760"/>
      <c r="I313" s="760"/>
      <c r="J313" s="760"/>
      <c r="K313" s="760"/>
    </row>
    <row r="314" spans="1:11">
      <c r="A314" s="760"/>
      <c r="B314" s="760"/>
      <c r="C314" s="760"/>
      <c r="D314" s="760"/>
      <c r="E314" s="760"/>
      <c r="F314" s="760"/>
      <c r="G314" s="760"/>
      <c r="H314" s="760"/>
      <c r="I314" s="760"/>
      <c r="J314" s="760"/>
      <c r="K314" s="760"/>
    </row>
    <row r="315" spans="1:11">
      <c r="A315" s="760"/>
      <c r="B315" s="760"/>
      <c r="C315" s="760"/>
      <c r="D315" s="760"/>
      <c r="E315" s="760"/>
      <c r="F315" s="760"/>
      <c r="G315" s="760"/>
      <c r="H315" s="760"/>
      <c r="I315" s="760"/>
      <c r="J315" s="760"/>
      <c r="K315" s="760"/>
    </row>
    <row r="316" spans="1:11">
      <c r="A316" s="760"/>
      <c r="B316" s="760"/>
      <c r="C316" s="760"/>
      <c r="D316" s="760"/>
      <c r="E316" s="760"/>
      <c r="F316" s="760"/>
      <c r="G316" s="760"/>
      <c r="H316" s="760"/>
      <c r="I316" s="760"/>
      <c r="J316" s="760"/>
      <c r="K316" s="760"/>
    </row>
    <row r="317" spans="1:11">
      <c r="A317" s="760"/>
      <c r="B317" s="760"/>
      <c r="C317" s="760"/>
      <c r="D317" s="760"/>
      <c r="E317" s="760"/>
      <c r="F317" s="760"/>
      <c r="G317" s="760"/>
      <c r="H317" s="760"/>
      <c r="I317" s="760"/>
      <c r="J317" s="760"/>
      <c r="K317" s="760"/>
    </row>
    <row r="318" spans="1:11">
      <c r="A318" s="760"/>
      <c r="B318" s="760"/>
      <c r="C318" s="760"/>
      <c r="D318" s="760"/>
      <c r="E318" s="760"/>
      <c r="F318" s="760"/>
      <c r="G318" s="760"/>
      <c r="H318" s="760"/>
      <c r="I318" s="760"/>
      <c r="J318" s="760"/>
      <c r="K318" s="760"/>
    </row>
    <row r="319" spans="1:11">
      <c r="A319" s="760"/>
      <c r="B319" s="760"/>
      <c r="C319" s="760"/>
      <c r="D319" s="760"/>
      <c r="E319" s="760"/>
      <c r="F319" s="760"/>
      <c r="G319" s="760"/>
      <c r="H319" s="760"/>
      <c r="I319" s="760"/>
      <c r="J319" s="760"/>
      <c r="K319" s="760"/>
    </row>
    <row r="320" spans="1:11">
      <c r="A320" s="760"/>
      <c r="B320" s="760"/>
      <c r="C320" s="760"/>
      <c r="D320" s="760"/>
      <c r="E320" s="760"/>
      <c r="F320" s="760"/>
      <c r="G320" s="760"/>
      <c r="H320" s="760"/>
      <c r="I320" s="760"/>
      <c r="J320" s="760"/>
      <c r="K320" s="760"/>
    </row>
    <row r="321" spans="1:11">
      <c r="A321" s="760"/>
      <c r="B321" s="760"/>
      <c r="C321" s="760"/>
      <c r="D321" s="760"/>
      <c r="E321" s="760"/>
      <c r="F321" s="760"/>
      <c r="G321" s="760"/>
      <c r="H321" s="760"/>
      <c r="I321" s="760"/>
      <c r="J321" s="760"/>
      <c r="K321" s="760"/>
    </row>
    <row r="322" spans="1:11">
      <c r="A322" s="760"/>
      <c r="B322" s="760"/>
      <c r="C322" s="760"/>
      <c r="D322" s="760"/>
      <c r="E322" s="760"/>
      <c r="F322" s="760"/>
      <c r="G322" s="760"/>
      <c r="H322" s="760"/>
      <c r="I322" s="760"/>
      <c r="J322" s="760"/>
      <c r="K322" s="760"/>
    </row>
    <row r="323" spans="1:11">
      <c r="A323" s="760"/>
      <c r="B323" s="760"/>
      <c r="C323" s="760"/>
      <c r="D323" s="760"/>
      <c r="E323" s="760"/>
      <c r="F323" s="760"/>
      <c r="G323" s="760"/>
      <c r="H323" s="760"/>
      <c r="I323" s="760"/>
      <c r="J323" s="760"/>
      <c r="K323" s="760"/>
    </row>
    <row r="324" spans="1:11">
      <c r="A324" s="760"/>
      <c r="B324" s="760"/>
      <c r="C324" s="760"/>
      <c r="D324" s="760"/>
      <c r="E324" s="760"/>
      <c r="F324" s="760"/>
      <c r="G324" s="760"/>
      <c r="H324" s="760"/>
      <c r="I324" s="760"/>
      <c r="J324" s="760"/>
      <c r="K324" s="760"/>
    </row>
    <row r="325" spans="1:11">
      <c r="A325" s="760"/>
      <c r="B325" s="760"/>
      <c r="C325" s="760"/>
      <c r="D325" s="760"/>
      <c r="E325" s="760"/>
      <c r="F325" s="760"/>
      <c r="G325" s="760"/>
      <c r="H325" s="760"/>
      <c r="I325" s="760"/>
      <c r="J325" s="760"/>
      <c r="K325" s="760"/>
    </row>
    <row r="326" spans="1:11">
      <c r="A326" s="760"/>
      <c r="B326" s="760"/>
      <c r="C326" s="760"/>
      <c r="D326" s="760"/>
      <c r="E326" s="760"/>
      <c r="F326" s="760"/>
      <c r="G326" s="760"/>
      <c r="H326" s="760"/>
      <c r="I326" s="760"/>
      <c r="J326" s="760"/>
      <c r="K326" s="760"/>
    </row>
    <row r="327" spans="1:11">
      <c r="A327" s="760"/>
      <c r="B327" s="760"/>
      <c r="C327" s="760"/>
      <c r="D327" s="760"/>
      <c r="E327" s="760"/>
      <c r="F327" s="760"/>
      <c r="G327" s="760"/>
      <c r="H327" s="760"/>
      <c r="I327" s="760"/>
      <c r="J327" s="760"/>
      <c r="K327" s="760"/>
    </row>
    <row r="328" spans="1:11">
      <c r="A328" s="760"/>
      <c r="B328" s="760"/>
      <c r="C328" s="760"/>
      <c r="D328" s="760"/>
      <c r="E328" s="760"/>
      <c r="F328" s="760"/>
      <c r="G328" s="760"/>
      <c r="H328" s="760"/>
      <c r="I328" s="760"/>
      <c r="J328" s="760"/>
      <c r="K328" s="760"/>
    </row>
    <row r="329" spans="1:11">
      <c r="A329" s="760"/>
      <c r="B329" s="760"/>
      <c r="C329" s="760"/>
      <c r="D329" s="760"/>
      <c r="E329" s="760"/>
      <c r="F329" s="760"/>
      <c r="G329" s="760"/>
      <c r="H329" s="760"/>
      <c r="I329" s="760"/>
      <c r="J329" s="760"/>
      <c r="K329" s="760"/>
    </row>
    <row r="330" spans="1:11">
      <c r="A330" s="760"/>
      <c r="B330" s="760"/>
      <c r="C330" s="760"/>
      <c r="D330" s="760"/>
      <c r="E330" s="760"/>
      <c r="F330" s="760"/>
      <c r="G330" s="760"/>
      <c r="H330" s="760"/>
      <c r="I330" s="760"/>
      <c r="J330" s="760"/>
      <c r="K330" s="760"/>
    </row>
    <row r="331" spans="1:11">
      <c r="A331" s="760"/>
      <c r="B331" s="760"/>
      <c r="C331" s="760"/>
      <c r="D331" s="760"/>
      <c r="E331" s="760"/>
      <c r="F331" s="760"/>
      <c r="G331" s="760"/>
      <c r="H331" s="760"/>
      <c r="I331" s="760"/>
      <c r="J331" s="760"/>
      <c r="K331" s="760"/>
    </row>
    <row r="332" spans="1:11">
      <c r="A332" s="760"/>
      <c r="B332" s="760"/>
      <c r="C332" s="760"/>
      <c r="D332" s="760"/>
      <c r="E332" s="760"/>
      <c r="F332" s="760"/>
      <c r="G332" s="760"/>
      <c r="H332" s="760"/>
      <c r="I332" s="760"/>
      <c r="J332" s="760"/>
      <c r="K332" s="760"/>
    </row>
    <row r="333" spans="1:11">
      <c r="A333" s="760"/>
      <c r="B333" s="760"/>
      <c r="C333" s="760"/>
      <c r="D333" s="760"/>
      <c r="E333" s="760"/>
      <c r="F333" s="760"/>
      <c r="G333" s="760"/>
      <c r="H333" s="760"/>
      <c r="I333" s="760"/>
      <c r="J333" s="760"/>
      <c r="K333" s="760"/>
    </row>
    <row r="334" spans="1:11">
      <c r="A334" s="760"/>
      <c r="B334" s="760"/>
      <c r="C334" s="760"/>
      <c r="D334" s="760"/>
      <c r="E334" s="760"/>
      <c r="F334" s="760"/>
      <c r="G334" s="760"/>
      <c r="H334" s="760"/>
      <c r="I334" s="760"/>
      <c r="J334" s="760"/>
      <c r="K334" s="760"/>
    </row>
    <row r="335" spans="1:11">
      <c r="A335" s="760"/>
      <c r="B335" s="760"/>
      <c r="C335" s="760"/>
      <c r="D335" s="760"/>
      <c r="E335" s="760"/>
      <c r="F335" s="760"/>
      <c r="G335" s="760"/>
      <c r="H335" s="760"/>
      <c r="I335" s="760"/>
      <c r="J335" s="760"/>
      <c r="K335" s="760"/>
    </row>
    <row r="336" spans="1:11">
      <c r="A336" s="760"/>
      <c r="B336" s="760"/>
      <c r="C336" s="760"/>
      <c r="D336" s="760"/>
      <c r="E336" s="760"/>
      <c r="F336" s="760"/>
      <c r="G336" s="760"/>
      <c r="H336" s="760"/>
      <c r="I336" s="760"/>
      <c r="J336" s="760"/>
      <c r="K336" s="760"/>
    </row>
    <row r="337" spans="1:11">
      <c r="A337" s="760"/>
      <c r="B337" s="760"/>
      <c r="C337" s="760"/>
      <c r="D337" s="760"/>
      <c r="E337" s="760"/>
      <c r="F337" s="760"/>
      <c r="G337" s="760"/>
      <c r="H337" s="760"/>
      <c r="I337" s="760"/>
      <c r="J337" s="760"/>
      <c r="K337" s="760"/>
    </row>
    <row r="338" spans="1:11">
      <c r="A338" s="760"/>
      <c r="B338" s="760"/>
      <c r="C338" s="760"/>
      <c r="D338" s="760"/>
      <c r="E338" s="760"/>
      <c r="F338" s="760"/>
      <c r="G338" s="760"/>
      <c r="H338" s="760"/>
      <c r="I338" s="760"/>
      <c r="J338" s="760"/>
      <c r="K338" s="760"/>
    </row>
    <row r="339" spans="1:11">
      <c r="A339" s="760"/>
      <c r="B339" s="760"/>
      <c r="C339" s="760"/>
      <c r="D339" s="760"/>
      <c r="E339" s="760"/>
      <c r="F339" s="760"/>
      <c r="G339" s="760"/>
      <c r="H339" s="760"/>
      <c r="I339" s="760"/>
      <c r="J339" s="760"/>
      <c r="K339" s="760"/>
    </row>
    <row r="340" spans="1:11">
      <c r="A340" s="760"/>
      <c r="B340" s="760"/>
      <c r="C340" s="760"/>
      <c r="D340" s="760"/>
      <c r="E340" s="760"/>
      <c r="F340" s="760"/>
      <c r="G340" s="760"/>
      <c r="H340" s="760"/>
      <c r="I340" s="760"/>
      <c r="J340" s="760"/>
      <c r="K340" s="760"/>
    </row>
    <row r="341" spans="1:11">
      <c r="A341" s="760"/>
      <c r="B341" s="760"/>
      <c r="C341" s="760"/>
      <c r="D341" s="760"/>
      <c r="E341" s="760"/>
      <c r="F341" s="760"/>
      <c r="G341" s="760"/>
      <c r="H341" s="760"/>
      <c r="I341" s="760"/>
      <c r="J341" s="760"/>
      <c r="K341" s="760"/>
    </row>
    <row r="342" spans="1:11">
      <c r="A342" s="760"/>
      <c r="B342" s="760"/>
      <c r="C342" s="760"/>
      <c r="D342" s="760"/>
      <c r="E342" s="760"/>
      <c r="F342" s="760"/>
      <c r="G342" s="760"/>
      <c r="H342" s="760"/>
      <c r="I342" s="760"/>
      <c r="J342" s="760"/>
      <c r="K342" s="760"/>
    </row>
    <row r="343" spans="1:11">
      <c r="A343" s="760"/>
      <c r="B343" s="760"/>
      <c r="C343" s="760"/>
      <c r="D343" s="760"/>
      <c r="E343" s="760"/>
      <c r="F343" s="760"/>
      <c r="G343" s="760"/>
      <c r="H343" s="760"/>
      <c r="I343" s="760"/>
      <c r="J343" s="760"/>
      <c r="K343" s="760"/>
    </row>
    <row r="344" spans="1:11">
      <c r="A344" s="760"/>
      <c r="B344" s="760"/>
      <c r="C344" s="760"/>
      <c r="D344" s="760"/>
      <c r="E344" s="760"/>
      <c r="F344" s="760"/>
      <c r="G344" s="760"/>
      <c r="H344" s="760"/>
      <c r="I344" s="760"/>
      <c r="J344" s="760"/>
      <c r="K344" s="760"/>
    </row>
    <row r="345" spans="1:11">
      <c r="A345" s="760"/>
      <c r="B345" s="760"/>
      <c r="C345" s="760"/>
      <c r="D345" s="760"/>
      <c r="E345" s="760"/>
      <c r="F345" s="760"/>
      <c r="G345" s="760"/>
      <c r="H345" s="760"/>
      <c r="I345" s="760"/>
      <c r="J345" s="760"/>
      <c r="K345" s="760"/>
    </row>
    <row r="346" spans="1:11">
      <c r="A346" s="760"/>
      <c r="B346" s="760"/>
      <c r="C346" s="760"/>
      <c r="D346" s="760"/>
      <c r="E346" s="760"/>
      <c r="F346" s="760"/>
      <c r="G346" s="760"/>
      <c r="H346" s="760"/>
      <c r="I346" s="760"/>
      <c r="J346" s="760"/>
      <c r="K346" s="760"/>
    </row>
    <row r="347" spans="1:11">
      <c r="A347" s="760"/>
      <c r="B347" s="760"/>
      <c r="C347" s="760"/>
      <c r="D347" s="760"/>
      <c r="E347" s="760"/>
      <c r="F347" s="760"/>
      <c r="G347" s="760"/>
      <c r="H347" s="760"/>
      <c r="I347" s="760"/>
      <c r="J347" s="760"/>
      <c r="K347" s="760"/>
    </row>
    <row r="348" spans="1:11">
      <c r="A348" s="760"/>
      <c r="B348" s="760"/>
      <c r="C348" s="760"/>
      <c r="D348" s="760"/>
      <c r="E348" s="760"/>
      <c r="F348" s="760"/>
      <c r="G348" s="760"/>
      <c r="H348" s="760"/>
      <c r="I348" s="760"/>
      <c r="J348" s="760"/>
      <c r="K348" s="760"/>
    </row>
    <row r="349" spans="1:11">
      <c r="A349" s="760"/>
      <c r="B349" s="760"/>
      <c r="C349" s="760"/>
      <c r="D349" s="760"/>
      <c r="E349" s="760"/>
      <c r="F349" s="760"/>
      <c r="G349" s="760"/>
      <c r="H349" s="760"/>
      <c r="I349" s="760"/>
      <c r="J349" s="760"/>
      <c r="K349" s="760"/>
    </row>
    <row r="350" spans="1:11">
      <c r="A350" s="760"/>
      <c r="B350" s="760"/>
      <c r="C350" s="760"/>
      <c r="D350" s="760"/>
      <c r="E350" s="760"/>
      <c r="F350" s="760"/>
      <c r="G350" s="760"/>
      <c r="H350" s="760"/>
      <c r="I350" s="760"/>
      <c r="J350" s="760"/>
      <c r="K350" s="760"/>
    </row>
    <row r="351" spans="1:11">
      <c r="A351" s="760"/>
      <c r="B351" s="760"/>
      <c r="C351" s="760"/>
      <c r="D351" s="760"/>
      <c r="E351" s="760"/>
      <c r="F351" s="760"/>
      <c r="G351" s="760"/>
      <c r="H351" s="760"/>
      <c r="I351" s="760"/>
      <c r="J351" s="760"/>
      <c r="K351" s="760"/>
    </row>
    <row r="352" spans="1:11">
      <c r="A352" s="760"/>
      <c r="B352" s="760"/>
      <c r="C352" s="760"/>
      <c r="D352" s="760"/>
      <c r="E352" s="760"/>
      <c r="F352" s="760"/>
      <c r="G352" s="760"/>
      <c r="H352" s="760"/>
      <c r="I352" s="760"/>
      <c r="J352" s="760"/>
      <c r="K352" s="760"/>
    </row>
    <row r="353" spans="1:11">
      <c r="A353" s="760"/>
      <c r="B353" s="760"/>
      <c r="C353" s="760"/>
      <c r="D353" s="760"/>
      <c r="E353" s="760"/>
      <c r="F353" s="760"/>
      <c r="G353" s="760"/>
      <c r="H353" s="760"/>
      <c r="I353" s="760"/>
      <c r="J353" s="760"/>
      <c r="K353" s="760"/>
    </row>
    <row r="354" spans="1:11">
      <c r="A354" s="760"/>
      <c r="B354" s="760"/>
      <c r="C354" s="760"/>
      <c r="D354" s="760"/>
      <c r="E354" s="760"/>
      <c r="F354" s="760"/>
      <c r="G354" s="760"/>
      <c r="H354" s="760"/>
      <c r="I354" s="760"/>
      <c r="J354" s="760"/>
      <c r="K354" s="760"/>
    </row>
    <row r="355" spans="1:11">
      <c r="A355" s="760"/>
      <c r="B355" s="760"/>
      <c r="C355" s="760"/>
      <c r="D355" s="760"/>
      <c r="E355" s="760"/>
      <c r="F355" s="760"/>
      <c r="G355" s="760"/>
      <c r="H355" s="760"/>
      <c r="I355" s="760"/>
      <c r="J355" s="760"/>
      <c r="K355" s="760"/>
    </row>
    <row r="356" spans="1:11">
      <c r="A356" s="760"/>
      <c r="B356" s="760"/>
      <c r="C356" s="760"/>
      <c r="D356" s="760"/>
      <c r="E356" s="760"/>
      <c r="F356" s="760"/>
      <c r="G356" s="760"/>
      <c r="H356" s="760"/>
      <c r="I356" s="760"/>
      <c r="J356" s="760"/>
      <c r="K356" s="760"/>
    </row>
    <row r="357" spans="1:11">
      <c r="A357" s="760"/>
      <c r="B357" s="760"/>
      <c r="C357" s="760"/>
      <c r="D357" s="760"/>
      <c r="E357" s="760"/>
      <c r="F357" s="760"/>
      <c r="G357" s="760"/>
      <c r="H357" s="760"/>
      <c r="I357" s="760"/>
      <c r="J357" s="760"/>
      <c r="K357" s="760"/>
    </row>
    <row r="358" spans="1:11">
      <c r="A358" s="760"/>
      <c r="B358" s="760"/>
      <c r="C358" s="760"/>
      <c r="D358" s="760"/>
      <c r="E358" s="760"/>
      <c r="F358" s="760"/>
      <c r="G358" s="760"/>
      <c r="H358" s="760"/>
      <c r="I358" s="760"/>
      <c r="J358" s="760"/>
      <c r="K358" s="760"/>
    </row>
    <row r="359" spans="1:11">
      <c r="A359" s="760"/>
      <c r="B359" s="760"/>
      <c r="C359" s="760"/>
      <c r="D359" s="760"/>
      <c r="E359" s="760"/>
      <c r="F359" s="760"/>
      <c r="G359" s="760"/>
      <c r="H359" s="760"/>
      <c r="I359" s="760"/>
      <c r="J359" s="760"/>
      <c r="K359" s="760"/>
    </row>
    <row r="360" spans="1:11">
      <c r="A360" s="760"/>
      <c r="B360" s="760"/>
      <c r="C360" s="760"/>
      <c r="D360" s="760"/>
      <c r="E360" s="760"/>
      <c r="F360" s="760"/>
      <c r="G360" s="760"/>
      <c r="H360" s="760"/>
      <c r="I360" s="760"/>
      <c r="J360" s="760"/>
      <c r="K360" s="760"/>
    </row>
    <row r="361" spans="1:11">
      <c r="A361" s="760"/>
      <c r="B361" s="760"/>
      <c r="C361" s="760"/>
      <c r="D361" s="760"/>
      <c r="E361" s="760"/>
      <c r="F361" s="760"/>
      <c r="G361" s="760"/>
      <c r="H361" s="760"/>
      <c r="I361" s="760"/>
      <c r="J361" s="760"/>
      <c r="K361" s="760"/>
    </row>
    <row r="362" spans="1:11">
      <c r="A362" s="760"/>
      <c r="B362" s="760"/>
      <c r="C362" s="760"/>
      <c r="D362" s="760"/>
      <c r="E362" s="760"/>
      <c r="F362" s="760"/>
      <c r="G362" s="760"/>
      <c r="H362" s="760"/>
      <c r="I362" s="760"/>
      <c r="J362" s="760"/>
      <c r="K362" s="760"/>
    </row>
    <row r="363" spans="1:11">
      <c r="A363" s="760"/>
      <c r="B363" s="760"/>
      <c r="C363" s="760"/>
      <c r="D363" s="760"/>
      <c r="E363" s="760"/>
      <c r="F363" s="760"/>
      <c r="G363" s="760"/>
      <c r="H363" s="760"/>
      <c r="I363" s="760"/>
      <c r="J363" s="760"/>
      <c r="K363" s="760"/>
    </row>
    <row r="364" spans="1:11">
      <c r="A364" s="760"/>
      <c r="B364" s="760"/>
      <c r="C364" s="760"/>
      <c r="D364" s="760"/>
      <c r="E364" s="760"/>
      <c r="F364" s="760"/>
      <c r="G364" s="760"/>
      <c r="H364" s="760"/>
      <c r="I364" s="760"/>
      <c r="J364" s="760"/>
      <c r="K364" s="760"/>
    </row>
    <row r="365" spans="1:11">
      <c r="A365" s="760"/>
      <c r="B365" s="760"/>
      <c r="C365" s="760"/>
      <c r="D365" s="760"/>
      <c r="E365" s="760"/>
      <c r="F365" s="760"/>
      <c r="G365" s="760"/>
      <c r="H365" s="760"/>
      <c r="I365" s="760"/>
      <c r="J365" s="760"/>
      <c r="K365" s="760"/>
    </row>
    <row r="366" spans="1:11">
      <c r="A366" s="760"/>
      <c r="B366" s="760"/>
      <c r="C366" s="760"/>
      <c r="D366" s="760"/>
      <c r="E366" s="760"/>
      <c r="F366" s="760"/>
      <c r="G366" s="760"/>
      <c r="H366" s="760"/>
      <c r="I366" s="760"/>
      <c r="J366" s="760"/>
      <c r="K366" s="760"/>
    </row>
    <row r="367" spans="1:11">
      <c r="A367" s="760"/>
      <c r="B367" s="760"/>
      <c r="C367" s="760"/>
      <c r="D367" s="760"/>
      <c r="E367" s="760"/>
      <c r="F367" s="760"/>
      <c r="G367" s="760"/>
      <c r="H367" s="760"/>
      <c r="I367" s="760"/>
      <c r="J367" s="760"/>
      <c r="K367" s="760"/>
    </row>
    <row r="368" spans="1:11">
      <c r="A368" s="760"/>
      <c r="B368" s="760"/>
      <c r="C368" s="760"/>
      <c r="D368" s="760"/>
      <c r="E368" s="760"/>
      <c r="F368" s="760"/>
      <c r="G368" s="760"/>
      <c r="H368" s="760"/>
      <c r="I368" s="760"/>
      <c r="J368" s="760"/>
      <c r="K368" s="760"/>
    </row>
    <row r="369" spans="1:11">
      <c r="A369" s="760"/>
      <c r="B369" s="760"/>
      <c r="C369" s="760"/>
      <c r="D369" s="760"/>
      <c r="E369" s="760"/>
      <c r="F369" s="760"/>
      <c r="G369" s="760"/>
      <c r="H369" s="760"/>
      <c r="I369" s="760"/>
      <c r="J369" s="760"/>
      <c r="K369" s="760"/>
    </row>
    <row r="370" spans="1:11">
      <c r="A370" s="760"/>
      <c r="B370" s="760"/>
      <c r="C370" s="760"/>
      <c r="D370" s="760"/>
      <c r="E370" s="760"/>
      <c r="F370" s="760"/>
      <c r="G370" s="760"/>
      <c r="H370" s="760"/>
      <c r="I370" s="760"/>
      <c r="J370" s="760"/>
      <c r="K370" s="760"/>
    </row>
    <row r="371" spans="1:11">
      <c r="A371" s="760"/>
      <c r="B371" s="760"/>
      <c r="C371" s="760"/>
      <c r="D371" s="760"/>
      <c r="E371" s="760"/>
      <c r="F371" s="760"/>
      <c r="G371" s="760"/>
      <c r="H371" s="760"/>
      <c r="I371" s="760"/>
      <c r="J371" s="760"/>
      <c r="K371" s="760"/>
    </row>
    <row r="372" spans="1:11">
      <c r="A372" s="760"/>
      <c r="B372" s="760"/>
      <c r="C372" s="760"/>
      <c r="D372" s="760"/>
      <c r="E372" s="760"/>
      <c r="F372" s="760"/>
      <c r="G372" s="760"/>
      <c r="H372" s="760"/>
      <c r="I372" s="760"/>
      <c r="J372" s="760"/>
      <c r="K372" s="760"/>
    </row>
    <row r="373" spans="1:11">
      <c r="A373" s="760"/>
      <c r="B373" s="760"/>
      <c r="C373" s="760"/>
      <c r="D373" s="760"/>
      <c r="E373" s="760"/>
      <c r="F373" s="760"/>
      <c r="G373" s="760"/>
      <c r="H373" s="760"/>
      <c r="I373" s="760"/>
      <c r="J373" s="760"/>
      <c r="K373" s="760"/>
    </row>
    <row r="374" spans="1:11">
      <c r="A374" s="760"/>
      <c r="B374" s="760"/>
      <c r="C374" s="760"/>
      <c r="D374" s="760"/>
      <c r="E374" s="760"/>
      <c r="F374" s="760"/>
      <c r="G374" s="760"/>
      <c r="H374" s="760"/>
      <c r="I374" s="760"/>
      <c r="J374" s="760"/>
      <c r="K374" s="760"/>
    </row>
    <row r="375" spans="1:11">
      <c r="A375" s="760"/>
      <c r="B375" s="760"/>
      <c r="C375" s="760"/>
      <c r="D375" s="760"/>
      <c r="E375" s="760"/>
      <c r="F375" s="760"/>
      <c r="G375" s="760"/>
      <c r="H375" s="760"/>
      <c r="I375" s="760"/>
      <c r="J375" s="760"/>
      <c r="K375" s="760"/>
    </row>
    <row r="376" spans="1:11">
      <c r="A376" s="760"/>
      <c r="B376" s="760"/>
      <c r="C376" s="760"/>
      <c r="D376" s="760"/>
      <c r="E376" s="760"/>
      <c r="F376" s="760"/>
      <c r="G376" s="760"/>
      <c r="H376" s="760"/>
      <c r="I376" s="760"/>
      <c r="J376" s="760"/>
      <c r="K376" s="760"/>
    </row>
    <row r="377" spans="1:11">
      <c r="A377" s="760"/>
      <c r="B377" s="760"/>
      <c r="C377" s="760"/>
      <c r="D377" s="760"/>
      <c r="E377" s="760"/>
      <c r="F377" s="760"/>
      <c r="G377" s="760"/>
      <c r="H377" s="760"/>
      <c r="I377" s="760"/>
      <c r="J377" s="760"/>
      <c r="K377" s="760"/>
    </row>
    <row r="378" spans="1:11">
      <c r="A378" s="760"/>
      <c r="B378" s="760"/>
      <c r="C378" s="760"/>
      <c r="D378" s="760"/>
      <c r="E378" s="760"/>
      <c r="F378" s="760"/>
      <c r="G378" s="760"/>
      <c r="H378" s="760"/>
      <c r="I378" s="760"/>
      <c r="J378" s="760"/>
      <c r="K378" s="760"/>
    </row>
    <row r="379" spans="1:11">
      <c r="A379" s="760"/>
      <c r="B379" s="760"/>
      <c r="C379" s="760"/>
      <c r="D379" s="760"/>
      <c r="E379" s="760"/>
      <c r="F379" s="760"/>
      <c r="G379" s="760"/>
      <c r="H379" s="760"/>
      <c r="I379" s="760"/>
      <c r="J379" s="760"/>
      <c r="K379" s="760"/>
    </row>
    <row r="380" spans="1:11">
      <c r="A380" s="760"/>
      <c r="B380" s="760"/>
      <c r="C380" s="760"/>
      <c r="D380" s="760"/>
      <c r="E380" s="760"/>
      <c r="F380" s="760"/>
      <c r="G380" s="760"/>
      <c r="H380" s="760"/>
      <c r="I380" s="760"/>
      <c r="J380" s="760"/>
      <c r="K380" s="760"/>
    </row>
    <row r="381" spans="1:11">
      <c r="A381" s="760"/>
      <c r="B381" s="760"/>
      <c r="C381" s="760"/>
      <c r="D381" s="760"/>
      <c r="E381" s="760"/>
      <c r="F381" s="760"/>
      <c r="G381" s="760"/>
      <c r="H381" s="760"/>
      <c r="I381" s="760"/>
      <c r="J381" s="760"/>
      <c r="K381" s="760"/>
    </row>
    <row r="382" spans="1:11">
      <c r="A382" s="760"/>
      <c r="B382" s="760"/>
      <c r="C382" s="760"/>
      <c r="D382" s="760"/>
      <c r="E382" s="760"/>
      <c r="F382" s="760"/>
      <c r="G382" s="760"/>
      <c r="H382" s="760"/>
      <c r="I382" s="760"/>
      <c r="J382" s="760"/>
      <c r="K382" s="760"/>
    </row>
    <row r="383" spans="1:11">
      <c r="A383" s="760"/>
      <c r="B383" s="760"/>
      <c r="C383" s="760"/>
      <c r="D383" s="760"/>
      <c r="E383" s="760"/>
      <c r="F383" s="760"/>
      <c r="G383" s="760"/>
      <c r="H383" s="760"/>
      <c r="I383" s="760"/>
      <c r="J383" s="760"/>
      <c r="K383" s="760"/>
    </row>
    <row r="384" spans="1:11">
      <c r="A384" s="760"/>
      <c r="B384" s="760"/>
      <c r="C384" s="760"/>
      <c r="D384" s="760"/>
      <c r="E384" s="760"/>
      <c r="F384" s="760"/>
      <c r="G384" s="760"/>
      <c r="H384" s="760"/>
      <c r="I384" s="760"/>
      <c r="J384" s="760"/>
      <c r="K384" s="760"/>
    </row>
    <row r="385" spans="1:11">
      <c r="A385" s="760"/>
      <c r="B385" s="760"/>
      <c r="C385" s="760"/>
      <c r="D385" s="760"/>
      <c r="E385" s="760"/>
      <c r="F385" s="760"/>
      <c r="G385" s="760"/>
      <c r="H385" s="760"/>
      <c r="I385" s="760"/>
      <c r="J385" s="760"/>
      <c r="K385" s="760"/>
    </row>
    <row r="386" spans="1:11">
      <c r="A386" s="760"/>
      <c r="B386" s="760"/>
      <c r="C386" s="760"/>
      <c r="D386" s="760"/>
      <c r="E386" s="760"/>
      <c r="F386" s="760"/>
      <c r="G386" s="760"/>
      <c r="H386" s="760"/>
      <c r="I386" s="760"/>
      <c r="J386" s="760"/>
      <c r="K386" s="760"/>
    </row>
    <row r="387" spans="1:11">
      <c r="A387" s="760"/>
      <c r="B387" s="760"/>
      <c r="C387" s="760"/>
      <c r="D387" s="760"/>
      <c r="E387" s="760"/>
      <c r="F387" s="760"/>
      <c r="G387" s="760"/>
      <c r="H387" s="760"/>
      <c r="I387" s="760"/>
      <c r="J387" s="760"/>
      <c r="K387" s="760"/>
    </row>
    <row r="388" spans="1:11">
      <c r="A388" s="760"/>
      <c r="B388" s="760"/>
      <c r="C388" s="760"/>
      <c r="D388" s="760"/>
      <c r="E388" s="760"/>
      <c r="F388" s="760"/>
      <c r="G388" s="760"/>
      <c r="H388" s="760"/>
      <c r="I388" s="760"/>
      <c r="J388" s="760"/>
      <c r="K388" s="760"/>
    </row>
    <row r="389" spans="1:11">
      <c r="A389" s="760"/>
      <c r="B389" s="760"/>
      <c r="C389" s="760"/>
      <c r="D389" s="760"/>
      <c r="E389" s="760"/>
      <c r="F389" s="760"/>
      <c r="G389" s="760"/>
      <c r="H389" s="760"/>
      <c r="I389" s="760"/>
      <c r="J389" s="760"/>
      <c r="K389" s="760"/>
    </row>
    <row r="390" spans="1:11">
      <c r="A390" s="760"/>
      <c r="B390" s="760"/>
      <c r="C390" s="760"/>
      <c r="D390" s="760"/>
      <c r="E390" s="760"/>
      <c r="F390" s="760"/>
      <c r="G390" s="760"/>
      <c r="H390" s="760"/>
      <c r="I390" s="760"/>
      <c r="J390" s="760"/>
      <c r="K390" s="760"/>
    </row>
    <row r="391" spans="1:11">
      <c r="A391" s="760"/>
      <c r="B391" s="760"/>
      <c r="C391" s="760"/>
      <c r="D391" s="760"/>
      <c r="E391" s="760"/>
      <c r="F391" s="760"/>
      <c r="G391" s="760"/>
      <c r="H391" s="760"/>
      <c r="I391" s="760"/>
      <c r="J391" s="760"/>
      <c r="K391" s="760"/>
    </row>
    <row r="392" spans="1:11">
      <c r="A392" s="760"/>
      <c r="B392" s="760"/>
      <c r="C392" s="760"/>
      <c r="D392" s="760"/>
      <c r="E392" s="760"/>
      <c r="F392" s="760"/>
      <c r="G392" s="760"/>
      <c r="H392" s="760"/>
      <c r="I392" s="760"/>
      <c r="J392" s="760"/>
      <c r="K392" s="760"/>
    </row>
    <row r="393" spans="1:11">
      <c r="A393" s="760"/>
      <c r="B393" s="760"/>
      <c r="C393" s="760"/>
      <c r="D393" s="760"/>
      <c r="E393" s="760"/>
      <c r="F393" s="760"/>
      <c r="G393" s="760"/>
      <c r="H393" s="760"/>
      <c r="I393" s="760"/>
      <c r="J393" s="760"/>
      <c r="K393" s="760"/>
    </row>
    <row r="394" spans="1:11">
      <c r="A394" s="760"/>
      <c r="B394" s="760"/>
      <c r="C394" s="760"/>
      <c r="D394" s="760"/>
      <c r="E394" s="760"/>
      <c r="F394" s="760"/>
      <c r="G394" s="760"/>
      <c r="H394" s="760"/>
      <c r="I394" s="760"/>
      <c r="J394" s="760"/>
      <c r="K394" s="760"/>
    </row>
    <row r="395" spans="1:11">
      <c r="A395" s="760"/>
      <c r="B395" s="760"/>
      <c r="C395" s="760"/>
      <c r="D395" s="760"/>
      <c r="E395" s="760"/>
      <c r="F395" s="760"/>
      <c r="G395" s="760"/>
      <c r="H395" s="760"/>
      <c r="I395" s="760"/>
      <c r="J395" s="760"/>
      <c r="K395" s="760"/>
    </row>
    <row r="396" spans="1:11">
      <c r="A396" s="760"/>
      <c r="B396" s="760"/>
      <c r="C396" s="760"/>
      <c r="D396" s="760"/>
      <c r="E396" s="760"/>
      <c r="F396" s="760"/>
      <c r="G396" s="760"/>
      <c r="H396" s="760"/>
      <c r="I396" s="760"/>
      <c r="J396" s="760"/>
      <c r="K396" s="760"/>
    </row>
    <row r="397" spans="1:11">
      <c r="A397" s="760"/>
      <c r="B397" s="760"/>
      <c r="C397" s="760"/>
      <c r="D397" s="760"/>
      <c r="E397" s="760"/>
      <c r="F397" s="760"/>
      <c r="G397" s="760"/>
      <c r="H397" s="760"/>
      <c r="I397" s="760"/>
      <c r="J397" s="760"/>
      <c r="K397" s="760"/>
    </row>
    <row r="398" spans="1:11">
      <c r="A398" s="760"/>
      <c r="B398" s="760"/>
      <c r="C398" s="760"/>
      <c r="D398" s="760"/>
      <c r="E398" s="760"/>
      <c r="F398" s="760"/>
      <c r="G398" s="760"/>
      <c r="H398" s="760"/>
      <c r="I398" s="760"/>
      <c r="J398" s="760"/>
      <c r="K398" s="760"/>
    </row>
    <row r="399" spans="1:11">
      <c r="A399" s="760"/>
      <c r="B399" s="760"/>
      <c r="C399" s="760"/>
      <c r="D399" s="760"/>
      <c r="E399" s="760"/>
      <c r="F399" s="760"/>
      <c r="G399" s="760"/>
      <c r="H399" s="760"/>
      <c r="I399" s="760"/>
      <c r="J399" s="760"/>
      <c r="K399" s="760"/>
    </row>
    <row r="400" spans="1:11">
      <c r="A400" s="760"/>
      <c r="B400" s="760"/>
      <c r="C400" s="760"/>
      <c r="D400" s="760"/>
      <c r="E400" s="760"/>
      <c r="F400" s="760"/>
      <c r="G400" s="760"/>
      <c r="H400" s="760"/>
      <c r="I400" s="760"/>
      <c r="J400" s="760"/>
      <c r="K400" s="760"/>
    </row>
    <row r="401" spans="1:11">
      <c r="A401" s="760"/>
      <c r="B401" s="760"/>
      <c r="C401" s="760"/>
      <c r="D401" s="760"/>
      <c r="E401" s="760"/>
      <c r="F401" s="760"/>
      <c r="G401" s="760"/>
      <c r="H401" s="760"/>
      <c r="I401" s="760"/>
      <c r="J401" s="760"/>
      <c r="K401" s="760"/>
    </row>
    <row r="402" spans="1:11">
      <c r="A402" s="760"/>
      <c r="B402" s="760"/>
      <c r="C402" s="760"/>
      <c r="D402" s="760"/>
      <c r="E402" s="760"/>
      <c r="F402" s="760"/>
      <c r="G402" s="760"/>
      <c r="H402" s="760"/>
      <c r="I402" s="760"/>
      <c r="J402" s="760"/>
      <c r="K402" s="760"/>
    </row>
    <row r="403" spans="1:11">
      <c r="A403" s="760"/>
      <c r="B403" s="760"/>
      <c r="C403" s="760"/>
      <c r="D403" s="760"/>
      <c r="E403" s="760"/>
      <c r="F403" s="760"/>
      <c r="G403" s="760"/>
      <c r="H403" s="760"/>
      <c r="I403" s="760"/>
      <c r="J403" s="760"/>
      <c r="K403" s="760"/>
    </row>
    <row r="404" spans="1:11">
      <c r="A404" s="760"/>
      <c r="B404" s="760"/>
      <c r="C404" s="760"/>
      <c r="D404" s="760"/>
      <c r="E404" s="760"/>
      <c r="F404" s="760"/>
      <c r="G404" s="760"/>
      <c r="H404" s="760"/>
      <c r="I404" s="760"/>
      <c r="J404" s="760"/>
      <c r="K404" s="760"/>
    </row>
    <row r="405" spans="1:11">
      <c r="A405" s="760"/>
      <c r="B405" s="760"/>
      <c r="C405" s="760"/>
      <c r="D405" s="760"/>
      <c r="E405" s="760"/>
      <c r="F405" s="760"/>
      <c r="G405" s="760"/>
      <c r="H405" s="760"/>
      <c r="I405" s="760"/>
      <c r="J405" s="760"/>
      <c r="K405" s="760"/>
    </row>
    <row r="406" spans="1:11">
      <c r="A406" s="760"/>
      <c r="B406" s="760"/>
      <c r="C406" s="760"/>
      <c r="D406" s="760"/>
      <c r="E406" s="760"/>
      <c r="F406" s="760"/>
      <c r="G406" s="760"/>
      <c r="H406" s="760"/>
      <c r="I406" s="760"/>
      <c r="J406" s="760"/>
      <c r="K406" s="760"/>
    </row>
    <row r="407" spans="1:11">
      <c r="A407" s="760"/>
      <c r="B407" s="760"/>
      <c r="C407" s="760"/>
      <c r="D407" s="760"/>
      <c r="E407" s="760"/>
      <c r="F407" s="760"/>
      <c r="G407" s="760"/>
      <c r="H407" s="760"/>
      <c r="I407" s="760"/>
      <c r="J407" s="760"/>
      <c r="K407" s="760"/>
    </row>
    <row r="408" spans="1:11">
      <c r="A408" s="760"/>
      <c r="B408" s="760"/>
      <c r="C408" s="760"/>
      <c r="D408" s="760"/>
      <c r="E408" s="760"/>
      <c r="F408" s="760"/>
      <c r="G408" s="760"/>
      <c r="H408" s="760"/>
      <c r="I408" s="760"/>
      <c r="J408" s="760"/>
      <c r="K408" s="760"/>
    </row>
    <row r="409" spans="1:11">
      <c r="A409" s="760"/>
      <c r="B409" s="760"/>
      <c r="C409" s="760"/>
      <c r="D409" s="760"/>
      <c r="E409" s="760"/>
      <c r="F409" s="760"/>
      <c r="G409" s="760"/>
      <c r="H409" s="760"/>
      <c r="I409" s="760"/>
      <c r="J409" s="760"/>
      <c r="K409" s="760"/>
    </row>
    <row r="410" spans="1:11">
      <c r="A410" s="760"/>
      <c r="B410" s="760"/>
      <c r="C410" s="760"/>
      <c r="D410" s="760"/>
      <c r="E410" s="760"/>
      <c r="F410" s="760"/>
      <c r="G410" s="760"/>
      <c r="H410" s="760"/>
      <c r="I410" s="760"/>
      <c r="J410" s="760"/>
      <c r="K410" s="760"/>
    </row>
    <row r="411" spans="1:11">
      <c r="A411" s="760"/>
      <c r="B411" s="760"/>
      <c r="C411" s="760"/>
      <c r="D411" s="760"/>
      <c r="E411" s="760"/>
      <c r="F411" s="760"/>
      <c r="G411" s="760"/>
      <c r="H411" s="760"/>
      <c r="I411" s="760"/>
      <c r="J411" s="760"/>
      <c r="K411" s="760"/>
    </row>
    <row r="412" spans="1:11">
      <c r="A412" s="760"/>
      <c r="B412" s="760"/>
      <c r="C412" s="760"/>
      <c r="D412" s="760"/>
      <c r="E412" s="760"/>
      <c r="F412" s="760"/>
      <c r="G412" s="760"/>
      <c r="H412" s="760"/>
      <c r="I412" s="760"/>
      <c r="J412" s="760"/>
      <c r="K412" s="760"/>
    </row>
    <row r="413" spans="1:11">
      <c r="A413" s="760"/>
      <c r="B413" s="760"/>
      <c r="C413" s="760"/>
      <c r="D413" s="760"/>
      <c r="E413" s="760"/>
      <c r="F413" s="760"/>
      <c r="G413" s="760"/>
      <c r="H413" s="760"/>
      <c r="I413" s="760"/>
      <c r="J413" s="760"/>
      <c r="K413" s="760"/>
    </row>
    <row r="414" spans="1:11">
      <c r="A414" s="760"/>
      <c r="B414" s="760"/>
      <c r="C414" s="760"/>
      <c r="D414" s="760"/>
      <c r="E414" s="760"/>
      <c r="F414" s="760"/>
      <c r="G414" s="760"/>
      <c r="H414" s="760"/>
      <c r="I414" s="760"/>
      <c r="J414" s="760"/>
      <c r="K414" s="760"/>
    </row>
    <row r="415" spans="1:11">
      <c r="A415" s="760"/>
      <c r="B415" s="760"/>
      <c r="C415" s="760"/>
      <c r="D415" s="760"/>
      <c r="E415" s="760"/>
      <c r="F415" s="760"/>
      <c r="G415" s="760"/>
      <c r="H415" s="760"/>
      <c r="I415" s="760"/>
      <c r="J415" s="760"/>
      <c r="K415" s="760"/>
    </row>
    <row r="416" spans="1:11">
      <c r="A416" s="760"/>
      <c r="B416" s="760"/>
      <c r="C416" s="760"/>
      <c r="D416" s="760"/>
      <c r="E416" s="760"/>
      <c r="F416" s="760"/>
      <c r="G416" s="760"/>
      <c r="H416" s="760"/>
      <c r="I416" s="760"/>
      <c r="J416" s="760"/>
      <c r="K416" s="760"/>
    </row>
    <row r="417" spans="1:11">
      <c r="A417" s="760"/>
      <c r="B417" s="760"/>
      <c r="C417" s="760"/>
      <c r="D417" s="760"/>
      <c r="E417" s="760"/>
      <c r="F417" s="760"/>
      <c r="G417" s="760"/>
      <c r="H417" s="760"/>
      <c r="I417" s="760"/>
      <c r="J417" s="760"/>
      <c r="K417" s="760"/>
    </row>
    <row r="418" spans="1:11">
      <c r="A418" s="760"/>
      <c r="B418" s="760"/>
      <c r="C418" s="760"/>
      <c r="D418" s="760"/>
      <c r="E418" s="760"/>
      <c r="F418" s="760"/>
      <c r="G418" s="760"/>
      <c r="H418" s="760"/>
      <c r="I418" s="760"/>
      <c r="J418" s="760"/>
      <c r="K418" s="760"/>
    </row>
    <row r="419" spans="1:11">
      <c r="A419" s="760"/>
      <c r="B419" s="760"/>
      <c r="C419" s="760"/>
      <c r="D419" s="760"/>
      <c r="E419" s="760"/>
      <c r="F419" s="760"/>
      <c r="G419" s="760"/>
      <c r="H419" s="760"/>
      <c r="I419" s="760"/>
      <c r="J419" s="760"/>
      <c r="K419" s="760"/>
    </row>
    <row r="420" spans="1:11">
      <c r="A420" s="760"/>
      <c r="B420" s="760"/>
      <c r="C420" s="760"/>
      <c r="D420" s="760"/>
      <c r="E420" s="760"/>
      <c r="F420" s="760"/>
      <c r="G420" s="760"/>
      <c r="H420" s="760"/>
      <c r="I420" s="760"/>
      <c r="J420" s="760"/>
      <c r="K420" s="760"/>
    </row>
    <row r="421" spans="1:11">
      <c r="A421" s="760"/>
      <c r="B421" s="760"/>
      <c r="C421" s="760"/>
      <c r="D421" s="760"/>
      <c r="E421" s="760"/>
      <c r="F421" s="760"/>
      <c r="G421" s="760"/>
      <c r="H421" s="760"/>
      <c r="I421" s="760"/>
      <c r="J421" s="760"/>
      <c r="K421" s="760"/>
    </row>
    <row r="422" spans="1:11">
      <c r="A422" s="760"/>
      <c r="B422" s="760"/>
      <c r="C422" s="760"/>
      <c r="D422" s="760"/>
      <c r="E422" s="760"/>
      <c r="F422" s="760"/>
      <c r="G422" s="760"/>
      <c r="H422" s="760"/>
      <c r="I422" s="760"/>
      <c r="J422" s="760"/>
      <c r="K422" s="760"/>
    </row>
    <row r="423" spans="1:11">
      <c r="A423" s="760"/>
      <c r="B423" s="760"/>
      <c r="C423" s="760"/>
      <c r="D423" s="760"/>
      <c r="E423" s="760"/>
      <c r="F423" s="760"/>
      <c r="G423" s="760"/>
      <c r="H423" s="760"/>
      <c r="I423" s="760"/>
      <c r="J423" s="760"/>
      <c r="K423" s="760"/>
    </row>
    <row r="424" spans="1:11">
      <c r="A424" s="760"/>
      <c r="B424" s="760"/>
      <c r="C424" s="760"/>
      <c r="D424" s="760"/>
      <c r="E424" s="760"/>
      <c r="F424" s="760"/>
      <c r="G424" s="760"/>
      <c r="H424" s="760"/>
      <c r="I424" s="760"/>
      <c r="J424" s="760"/>
      <c r="K424" s="760"/>
    </row>
    <row r="425" spans="1:11">
      <c r="A425" s="760"/>
      <c r="B425" s="760"/>
      <c r="C425" s="760"/>
      <c r="D425" s="760"/>
      <c r="E425" s="760"/>
      <c r="F425" s="760"/>
      <c r="G425" s="760"/>
      <c r="H425" s="760"/>
      <c r="I425" s="760"/>
      <c r="J425" s="760"/>
      <c r="K425" s="760"/>
    </row>
    <row r="426" spans="1:11">
      <c r="A426" s="760"/>
      <c r="B426" s="760"/>
      <c r="C426" s="760"/>
      <c r="D426" s="760"/>
      <c r="E426" s="760"/>
      <c r="F426" s="760"/>
      <c r="G426" s="760"/>
      <c r="H426" s="760"/>
      <c r="I426" s="760"/>
      <c r="J426" s="760"/>
      <c r="K426" s="760"/>
    </row>
    <row r="427" spans="1:11">
      <c r="A427" s="760"/>
      <c r="B427" s="760"/>
      <c r="C427" s="760"/>
      <c r="D427" s="760"/>
      <c r="E427" s="760"/>
      <c r="F427" s="760"/>
      <c r="G427" s="760"/>
      <c r="H427" s="760"/>
      <c r="I427" s="760"/>
      <c r="J427" s="760"/>
      <c r="K427" s="760"/>
    </row>
    <row r="428" spans="1:11">
      <c r="A428" s="760"/>
      <c r="B428" s="760"/>
      <c r="C428" s="760"/>
      <c r="D428" s="760"/>
      <c r="E428" s="760"/>
      <c r="F428" s="760"/>
      <c r="G428" s="760"/>
      <c r="H428" s="760"/>
      <c r="I428" s="760"/>
      <c r="J428" s="760"/>
      <c r="K428" s="760"/>
    </row>
    <row r="429" spans="1:11">
      <c r="A429" s="760"/>
      <c r="B429" s="760"/>
      <c r="C429" s="760"/>
      <c r="D429" s="760"/>
      <c r="E429" s="760"/>
      <c r="F429" s="760"/>
      <c r="G429" s="760"/>
      <c r="H429" s="760"/>
      <c r="I429" s="760"/>
      <c r="J429" s="760"/>
      <c r="K429" s="760"/>
    </row>
    <row r="430" spans="1:11">
      <c r="A430" s="760"/>
      <c r="B430" s="760"/>
      <c r="C430" s="760"/>
      <c r="D430" s="760"/>
      <c r="E430" s="760"/>
      <c r="F430" s="760"/>
      <c r="G430" s="760"/>
      <c r="H430" s="760"/>
      <c r="I430" s="760"/>
      <c r="J430" s="760"/>
      <c r="K430" s="760"/>
    </row>
    <row r="431" spans="1:11">
      <c r="A431" s="760"/>
      <c r="B431" s="760"/>
      <c r="C431" s="760"/>
      <c r="D431" s="760"/>
      <c r="E431" s="760"/>
      <c r="F431" s="760"/>
      <c r="G431" s="760"/>
      <c r="H431" s="760"/>
      <c r="I431" s="760"/>
      <c r="J431" s="760"/>
      <c r="K431" s="760"/>
    </row>
    <row r="432" spans="1:11">
      <c r="A432" s="760"/>
      <c r="B432" s="760"/>
      <c r="C432" s="760"/>
      <c r="D432" s="760"/>
      <c r="E432" s="760"/>
      <c r="F432" s="760"/>
      <c r="G432" s="760"/>
      <c r="H432" s="760"/>
      <c r="I432" s="760"/>
      <c r="J432" s="760"/>
      <c r="K432" s="760"/>
    </row>
    <row r="433" spans="1:11">
      <c r="A433" s="760"/>
      <c r="B433" s="760"/>
      <c r="C433" s="760"/>
      <c r="D433" s="760"/>
      <c r="E433" s="760"/>
      <c r="F433" s="760"/>
      <c r="G433" s="760"/>
      <c r="H433" s="760"/>
      <c r="I433" s="760"/>
      <c r="J433" s="760"/>
      <c r="K433" s="760"/>
    </row>
    <row r="434" spans="1:11">
      <c r="A434" s="760"/>
      <c r="B434" s="760"/>
      <c r="C434" s="760"/>
      <c r="D434" s="760"/>
      <c r="E434" s="760"/>
      <c r="F434" s="760"/>
      <c r="G434" s="760"/>
      <c r="H434" s="760"/>
      <c r="I434" s="760"/>
      <c r="J434" s="760"/>
      <c r="K434" s="760"/>
    </row>
    <row r="435" spans="1:11">
      <c r="A435" s="760"/>
      <c r="B435" s="760"/>
      <c r="C435" s="760"/>
      <c r="D435" s="760"/>
      <c r="E435" s="760"/>
      <c r="F435" s="760"/>
      <c r="G435" s="760"/>
      <c r="H435" s="760"/>
      <c r="I435" s="760"/>
      <c r="J435" s="760"/>
      <c r="K435" s="760"/>
    </row>
    <row r="436" spans="1:11">
      <c r="A436" s="760"/>
      <c r="B436" s="760"/>
      <c r="C436" s="760"/>
      <c r="D436" s="760"/>
      <c r="E436" s="760"/>
      <c r="F436" s="760"/>
      <c r="G436" s="760"/>
      <c r="H436" s="760"/>
      <c r="I436" s="760"/>
      <c r="J436" s="760"/>
      <c r="K436" s="760"/>
    </row>
    <row r="437" spans="1:11">
      <c r="A437" s="760"/>
      <c r="B437" s="760"/>
      <c r="C437" s="760"/>
      <c r="D437" s="760"/>
      <c r="E437" s="760"/>
      <c r="F437" s="760"/>
      <c r="G437" s="760"/>
      <c r="H437" s="760"/>
      <c r="I437" s="760"/>
      <c r="J437" s="760"/>
      <c r="K437" s="760"/>
    </row>
    <row r="438" spans="1:11">
      <c r="A438" s="760"/>
      <c r="B438" s="760"/>
      <c r="C438" s="760"/>
      <c r="D438" s="760"/>
      <c r="E438" s="760"/>
      <c r="F438" s="760"/>
      <c r="G438" s="760"/>
      <c r="H438" s="760"/>
      <c r="I438" s="760"/>
      <c r="J438" s="760"/>
      <c r="K438" s="760"/>
    </row>
    <row r="439" spans="1:11">
      <c r="A439" s="760"/>
      <c r="B439" s="760"/>
      <c r="C439" s="760"/>
      <c r="D439" s="760"/>
      <c r="E439" s="760"/>
      <c r="F439" s="760"/>
      <c r="G439" s="760"/>
      <c r="H439" s="760"/>
      <c r="I439" s="760"/>
      <c r="J439" s="760"/>
      <c r="K439" s="760"/>
    </row>
    <row r="440" spans="1:11">
      <c r="A440" s="760"/>
      <c r="B440" s="760"/>
      <c r="C440" s="760"/>
      <c r="D440" s="760"/>
      <c r="E440" s="760"/>
      <c r="F440" s="760"/>
      <c r="G440" s="760"/>
      <c r="H440" s="760"/>
      <c r="I440" s="760"/>
      <c r="J440" s="760"/>
      <c r="K440" s="760"/>
    </row>
    <row r="441" spans="1:11">
      <c r="A441" s="760"/>
      <c r="B441" s="760"/>
      <c r="C441" s="760"/>
      <c r="D441" s="760"/>
      <c r="E441" s="760"/>
      <c r="F441" s="760"/>
      <c r="G441" s="760"/>
      <c r="H441" s="760"/>
      <c r="I441" s="760"/>
      <c r="J441" s="760"/>
      <c r="K441" s="760"/>
    </row>
    <row r="442" spans="1:11">
      <c r="A442" s="760"/>
      <c r="B442" s="760"/>
      <c r="C442" s="760"/>
      <c r="D442" s="760"/>
      <c r="E442" s="760"/>
      <c r="F442" s="760"/>
      <c r="G442" s="760"/>
      <c r="H442" s="760"/>
      <c r="I442" s="760"/>
      <c r="J442" s="760"/>
      <c r="K442" s="760"/>
    </row>
    <row r="443" spans="1:11">
      <c r="A443" s="760"/>
      <c r="B443" s="760"/>
      <c r="C443" s="760"/>
      <c r="D443" s="760"/>
      <c r="E443" s="760"/>
      <c r="F443" s="760"/>
      <c r="G443" s="760"/>
      <c r="H443" s="760"/>
      <c r="I443" s="760"/>
      <c r="J443" s="760"/>
      <c r="K443" s="760"/>
    </row>
    <row r="444" spans="1:11">
      <c r="A444" s="760"/>
      <c r="B444" s="760"/>
      <c r="C444" s="760"/>
      <c r="D444" s="760"/>
      <c r="E444" s="760"/>
      <c r="F444" s="760"/>
      <c r="G444" s="760"/>
      <c r="H444" s="760"/>
      <c r="I444" s="760"/>
      <c r="J444" s="760"/>
      <c r="K444" s="760"/>
    </row>
    <row r="445" spans="1:11">
      <c r="A445" s="760"/>
      <c r="B445" s="760"/>
      <c r="C445" s="760"/>
      <c r="D445" s="760"/>
      <c r="E445" s="760"/>
      <c r="F445" s="760"/>
      <c r="G445" s="760"/>
      <c r="H445" s="760"/>
      <c r="I445" s="760"/>
      <c r="J445" s="760"/>
      <c r="K445" s="760"/>
    </row>
    <row r="446" spans="1:11">
      <c r="A446" s="760"/>
      <c r="B446" s="760"/>
      <c r="C446" s="760"/>
      <c r="D446" s="760"/>
      <c r="E446" s="760"/>
      <c r="F446" s="760"/>
      <c r="G446" s="760"/>
      <c r="H446" s="760"/>
      <c r="I446" s="760"/>
      <c r="J446" s="760"/>
      <c r="K446" s="760"/>
    </row>
    <row r="447" spans="1:11">
      <c r="A447" s="760"/>
      <c r="B447" s="760"/>
      <c r="C447" s="760"/>
      <c r="D447" s="760"/>
      <c r="E447" s="760"/>
      <c r="F447" s="760"/>
      <c r="G447" s="760"/>
      <c r="H447" s="760"/>
      <c r="I447" s="760"/>
      <c r="J447" s="760"/>
      <c r="K447" s="760"/>
    </row>
    <row r="448" spans="1:11">
      <c r="A448" s="760"/>
      <c r="B448" s="760"/>
      <c r="C448" s="760"/>
      <c r="D448" s="760"/>
      <c r="E448" s="760"/>
      <c r="F448" s="760"/>
      <c r="G448" s="760"/>
      <c r="H448" s="760"/>
      <c r="I448" s="760"/>
      <c r="J448" s="760"/>
      <c r="K448" s="760"/>
    </row>
    <row r="449" spans="1:11">
      <c r="A449" s="760"/>
      <c r="B449" s="760"/>
      <c r="C449" s="760"/>
      <c r="D449" s="760"/>
      <c r="E449" s="760"/>
      <c r="F449" s="760"/>
      <c r="G449" s="760"/>
      <c r="H449" s="760"/>
      <c r="I449" s="760"/>
      <c r="J449" s="760"/>
      <c r="K449" s="760"/>
    </row>
    <row r="450" spans="1:11">
      <c r="A450" s="760"/>
      <c r="B450" s="760"/>
      <c r="C450" s="760"/>
      <c r="D450" s="760"/>
      <c r="E450" s="760"/>
      <c r="F450" s="760"/>
      <c r="G450" s="760"/>
      <c r="H450" s="760"/>
      <c r="I450" s="760"/>
      <c r="J450" s="760"/>
      <c r="K450" s="760"/>
    </row>
    <row r="451" spans="1:11">
      <c r="A451" s="760"/>
      <c r="B451" s="760"/>
      <c r="C451" s="760"/>
      <c r="D451" s="760"/>
      <c r="E451" s="760"/>
      <c r="F451" s="760"/>
      <c r="G451" s="760"/>
      <c r="H451" s="760"/>
      <c r="I451" s="760"/>
      <c r="J451" s="760"/>
      <c r="K451" s="760"/>
    </row>
    <row r="452" spans="1:11">
      <c r="A452" s="760"/>
      <c r="B452" s="760"/>
      <c r="C452" s="760"/>
      <c r="D452" s="760"/>
      <c r="E452" s="760"/>
      <c r="F452" s="760"/>
      <c r="G452" s="760"/>
      <c r="H452" s="760"/>
      <c r="I452" s="760"/>
      <c r="J452" s="760"/>
      <c r="K452" s="760"/>
    </row>
    <row r="453" spans="1:11">
      <c r="A453" s="760"/>
      <c r="B453" s="760"/>
      <c r="C453" s="760"/>
      <c r="D453" s="760"/>
      <c r="E453" s="760"/>
      <c r="F453" s="760"/>
      <c r="G453" s="760"/>
      <c r="H453" s="760"/>
      <c r="I453" s="760"/>
      <c r="J453" s="760"/>
      <c r="K453" s="760"/>
    </row>
    <row r="454" spans="1:11">
      <c r="A454" s="760"/>
      <c r="B454" s="760"/>
      <c r="C454" s="760"/>
      <c r="D454" s="760"/>
      <c r="E454" s="760"/>
      <c r="F454" s="760"/>
      <c r="G454" s="760"/>
      <c r="H454" s="760"/>
      <c r="I454" s="760"/>
      <c r="J454" s="760"/>
      <c r="K454" s="760"/>
    </row>
    <row r="455" spans="1:11">
      <c r="A455" s="760"/>
      <c r="B455" s="760"/>
      <c r="C455" s="760"/>
      <c r="D455" s="760"/>
      <c r="E455" s="760"/>
      <c r="F455" s="760"/>
      <c r="G455" s="760"/>
      <c r="H455" s="760"/>
      <c r="I455" s="760"/>
      <c r="J455" s="760"/>
      <c r="K455" s="760"/>
    </row>
    <row r="456" spans="1:11">
      <c r="A456" s="760"/>
      <c r="B456" s="760"/>
      <c r="C456" s="760"/>
      <c r="D456" s="760"/>
      <c r="E456" s="760"/>
      <c r="F456" s="760"/>
      <c r="G456" s="760"/>
      <c r="H456" s="760"/>
      <c r="I456" s="760"/>
      <c r="J456" s="760"/>
      <c r="K456" s="760"/>
    </row>
    <row r="457" spans="1:11">
      <c r="A457" s="760"/>
      <c r="B457" s="760"/>
      <c r="C457" s="760"/>
      <c r="D457" s="760"/>
      <c r="E457" s="760"/>
      <c r="F457" s="760"/>
      <c r="G457" s="760"/>
      <c r="H457" s="760"/>
      <c r="I457" s="760"/>
      <c r="J457" s="760"/>
      <c r="K457" s="760"/>
    </row>
    <row r="458" spans="1:11">
      <c r="A458" s="760"/>
      <c r="B458" s="760"/>
      <c r="C458" s="760"/>
      <c r="D458" s="760"/>
      <c r="E458" s="760"/>
      <c r="F458" s="760"/>
      <c r="G458" s="760"/>
      <c r="H458" s="760"/>
      <c r="I458" s="760"/>
      <c r="J458" s="760"/>
      <c r="K458" s="760"/>
    </row>
    <row r="459" spans="1:11">
      <c r="A459" s="760"/>
      <c r="B459" s="760"/>
      <c r="C459" s="760"/>
      <c r="D459" s="760"/>
      <c r="E459" s="760"/>
      <c r="F459" s="760"/>
      <c r="G459" s="760"/>
      <c r="H459" s="760"/>
      <c r="I459" s="760"/>
      <c r="J459" s="760"/>
      <c r="K459" s="760"/>
    </row>
    <row r="460" spans="1:11">
      <c r="A460" s="760"/>
      <c r="B460" s="760"/>
      <c r="C460" s="760"/>
      <c r="D460" s="760"/>
      <c r="E460" s="760"/>
      <c r="F460" s="760"/>
      <c r="G460" s="760"/>
      <c r="H460" s="760"/>
      <c r="I460" s="760"/>
      <c r="J460" s="760"/>
      <c r="K460" s="760"/>
    </row>
    <row r="461" spans="1:11">
      <c r="A461" s="760"/>
      <c r="B461" s="760"/>
      <c r="C461" s="760"/>
      <c r="D461" s="760"/>
      <c r="E461" s="760"/>
      <c r="F461" s="760"/>
      <c r="G461" s="760"/>
      <c r="H461" s="760"/>
      <c r="I461" s="760"/>
      <c r="J461" s="760"/>
      <c r="K461" s="760"/>
    </row>
    <row r="462" spans="1:11">
      <c r="A462" s="760"/>
      <c r="B462" s="760"/>
      <c r="C462" s="760"/>
      <c r="D462" s="760"/>
      <c r="E462" s="760"/>
      <c r="F462" s="760"/>
      <c r="G462" s="760"/>
      <c r="H462" s="760"/>
      <c r="I462" s="760"/>
      <c r="J462" s="760"/>
      <c r="K462" s="760"/>
    </row>
    <row r="463" spans="1:11">
      <c r="A463" s="760"/>
      <c r="B463" s="760"/>
      <c r="C463" s="760"/>
      <c r="D463" s="760"/>
      <c r="E463" s="760"/>
      <c r="F463" s="760"/>
      <c r="G463" s="760"/>
      <c r="H463" s="760"/>
      <c r="I463" s="760"/>
      <c r="J463" s="760"/>
      <c r="K463" s="760"/>
    </row>
    <row r="464" spans="1:11">
      <c r="A464" s="760"/>
      <c r="B464" s="760"/>
      <c r="C464" s="760"/>
      <c r="D464" s="760"/>
      <c r="E464" s="760"/>
      <c r="F464" s="760"/>
      <c r="G464" s="760"/>
      <c r="H464" s="760"/>
      <c r="I464" s="760"/>
      <c r="J464" s="760"/>
      <c r="K464" s="760"/>
    </row>
    <row r="465" spans="1:11">
      <c r="A465" s="760"/>
      <c r="B465" s="760"/>
      <c r="C465" s="760"/>
      <c r="D465" s="760"/>
      <c r="E465" s="760"/>
      <c r="F465" s="760"/>
      <c r="G465" s="760"/>
      <c r="H465" s="760"/>
      <c r="I465" s="760"/>
      <c r="J465" s="760"/>
      <c r="K465" s="760"/>
    </row>
    <row r="466" spans="1:11">
      <c r="A466" s="760"/>
      <c r="B466" s="760"/>
      <c r="C466" s="760"/>
      <c r="D466" s="760"/>
      <c r="E466" s="760"/>
      <c r="F466" s="760"/>
      <c r="G466" s="760"/>
      <c r="H466" s="760"/>
      <c r="I466" s="760"/>
      <c r="J466" s="760"/>
      <c r="K466" s="760"/>
    </row>
    <row r="467" spans="1:11">
      <c r="A467" s="760"/>
      <c r="B467" s="760"/>
      <c r="C467" s="760"/>
      <c r="D467" s="760"/>
      <c r="E467" s="760"/>
      <c r="F467" s="760"/>
      <c r="G467" s="760"/>
      <c r="H467" s="760"/>
      <c r="I467" s="760"/>
      <c r="J467" s="760"/>
      <c r="K467" s="760"/>
    </row>
    <row r="468" spans="1:11">
      <c r="A468" s="760"/>
      <c r="B468" s="760"/>
      <c r="C468" s="760"/>
      <c r="D468" s="760"/>
      <c r="E468" s="760"/>
      <c r="F468" s="760"/>
      <c r="G468" s="760"/>
      <c r="H468" s="760"/>
      <c r="I468" s="760"/>
      <c r="J468" s="760"/>
      <c r="K468" s="760"/>
    </row>
    <row r="469" spans="1:11">
      <c r="A469" s="760"/>
      <c r="B469" s="760"/>
      <c r="C469" s="760"/>
      <c r="D469" s="760"/>
      <c r="E469" s="760"/>
      <c r="F469" s="760"/>
      <c r="G469" s="760"/>
      <c r="H469" s="760"/>
      <c r="I469" s="760"/>
      <c r="J469" s="760"/>
      <c r="K469" s="760"/>
    </row>
    <row r="470" spans="1:11">
      <c r="A470" s="760"/>
      <c r="B470" s="760"/>
      <c r="C470" s="760"/>
      <c r="D470" s="760"/>
      <c r="E470" s="760"/>
      <c r="F470" s="760"/>
      <c r="G470" s="760"/>
      <c r="H470" s="760"/>
      <c r="I470" s="760"/>
      <c r="J470" s="760"/>
      <c r="K470" s="760"/>
    </row>
    <row r="471" spans="1:11">
      <c r="A471" s="760"/>
      <c r="B471" s="760"/>
      <c r="C471" s="760"/>
      <c r="D471" s="760"/>
      <c r="E471" s="760"/>
      <c r="F471" s="760"/>
      <c r="G471" s="760"/>
      <c r="H471" s="760"/>
      <c r="I471" s="760"/>
      <c r="J471" s="760"/>
      <c r="K471" s="760"/>
    </row>
    <row r="472" spans="1:11">
      <c r="A472" s="760"/>
      <c r="B472" s="760"/>
      <c r="C472" s="760"/>
      <c r="D472" s="760"/>
      <c r="E472" s="760"/>
      <c r="F472" s="760"/>
      <c r="G472" s="760"/>
      <c r="H472" s="760"/>
      <c r="I472" s="760"/>
      <c r="J472" s="760"/>
      <c r="K472" s="760"/>
    </row>
    <row r="473" spans="1:11">
      <c r="A473" s="760"/>
      <c r="B473" s="760"/>
      <c r="C473" s="760"/>
      <c r="D473" s="760"/>
      <c r="E473" s="760"/>
      <c r="F473" s="760"/>
      <c r="G473" s="760"/>
      <c r="H473" s="760"/>
      <c r="I473" s="760"/>
      <c r="J473" s="760"/>
      <c r="K473" s="760"/>
    </row>
    <row r="474" spans="1:11">
      <c r="A474" s="760"/>
      <c r="B474" s="760"/>
      <c r="C474" s="760"/>
      <c r="D474" s="760"/>
      <c r="E474" s="760"/>
      <c r="F474" s="760"/>
      <c r="G474" s="760"/>
      <c r="H474" s="760"/>
      <c r="I474" s="760"/>
      <c r="J474" s="760"/>
      <c r="K474" s="760"/>
    </row>
    <row r="475" spans="1:11">
      <c r="A475" s="760"/>
      <c r="B475" s="760"/>
      <c r="C475" s="760"/>
      <c r="D475" s="760"/>
      <c r="E475" s="760"/>
      <c r="F475" s="760"/>
      <c r="G475" s="760"/>
      <c r="H475" s="760"/>
      <c r="I475" s="760"/>
      <c r="J475" s="760"/>
      <c r="K475" s="760"/>
    </row>
    <row r="476" spans="1:11">
      <c r="A476" s="760"/>
      <c r="B476" s="760"/>
      <c r="C476" s="760"/>
      <c r="D476" s="760"/>
      <c r="E476" s="760"/>
      <c r="F476" s="760"/>
      <c r="G476" s="760"/>
      <c r="H476" s="760"/>
      <c r="I476" s="760"/>
      <c r="J476" s="760"/>
      <c r="K476" s="760"/>
    </row>
    <row r="477" spans="1:11">
      <c r="A477" s="760"/>
      <c r="B477" s="760"/>
      <c r="C477" s="760"/>
      <c r="D477" s="760"/>
      <c r="E477" s="760"/>
      <c r="F477" s="760"/>
      <c r="G477" s="760"/>
      <c r="H477" s="760"/>
      <c r="I477" s="760"/>
      <c r="J477" s="760"/>
      <c r="K477" s="760"/>
    </row>
    <row r="478" spans="1:11">
      <c r="A478" s="760"/>
      <c r="B478" s="760"/>
      <c r="C478" s="760"/>
      <c r="D478" s="760"/>
      <c r="E478" s="760"/>
      <c r="F478" s="760"/>
      <c r="G478" s="760"/>
      <c r="H478" s="760"/>
      <c r="I478" s="760"/>
      <c r="J478" s="760"/>
      <c r="K478" s="760"/>
    </row>
    <row r="479" spans="1:11">
      <c r="A479" s="760"/>
      <c r="B479" s="760"/>
      <c r="C479" s="760"/>
      <c r="D479" s="760"/>
      <c r="E479" s="760"/>
      <c r="F479" s="760"/>
      <c r="G479" s="760"/>
      <c r="H479" s="760"/>
      <c r="I479" s="760"/>
      <c r="J479" s="760"/>
      <c r="K479" s="760"/>
    </row>
    <row r="480" spans="1:11">
      <c r="A480" s="760"/>
      <c r="B480" s="760"/>
      <c r="C480" s="760"/>
      <c r="D480" s="760"/>
      <c r="E480" s="760"/>
      <c r="F480" s="760"/>
      <c r="G480" s="760"/>
      <c r="H480" s="760"/>
      <c r="I480" s="760"/>
      <c r="J480" s="760"/>
      <c r="K480" s="760"/>
    </row>
    <row r="481" spans="1:11">
      <c r="A481" s="760"/>
      <c r="B481" s="760"/>
      <c r="C481" s="760"/>
      <c r="D481" s="760"/>
      <c r="E481" s="760"/>
      <c r="F481" s="760"/>
      <c r="G481" s="760"/>
      <c r="H481" s="760"/>
      <c r="I481" s="760"/>
      <c r="J481" s="760"/>
      <c r="K481" s="760"/>
    </row>
    <row r="482" spans="1:11">
      <c r="A482" s="760"/>
      <c r="B482" s="760"/>
      <c r="C482" s="760"/>
      <c r="D482" s="760"/>
      <c r="E482" s="760"/>
      <c r="F482" s="760"/>
      <c r="G482" s="760"/>
      <c r="H482" s="760"/>
      <c r="I482" s="760"/>
      <c r="J482" s="760"/>
      <c r="K482" s="760"/>
    </row>
    <row r="483" spans="1:11">
      <c r="A483" s="760"/>
      <c r="B483" s="760"/>
      <c r="C483" s="760"/>
      <c r="D483" s="760"/>
      <c r="E483" s="760"/>
      <c r="F483" s="760"/>
      <c r="G483" s="760"/>
      <c r="H483" s="760"/>
      <c r="I483" s="760"/>
      <c r="J483" s="760"/>
      <c r="K483" s="760"/>
    </row>
    <row r="484" spans="1:11">
      <c r="A484" s="760"/>
      <c r="B484" s="760"/>
      <c r="C484" s="760"/>
      <c r="D484" s="760"/>
      <c r="E484" s="760"/>
      <c r="F484" s="760"/>
      <c r="G484" s="760"/>
      <c r="H484" s="760"/>
      <c r="I484" s="760"/>
      <c r="J484" s="760"/>
      <c r="K484" s="760"/>
    </row>
    <row r="485" spans="1:11">
      <c r="A485" s="760"/>
      <c r="B485" s="760"/>
      <c r="C485" s="760"/>
      <c r="D485" s="760"/>
      <c r="E485" s="760"/>
      <c r="F485" s="760"/>
      <c r="G485" s="760"/>
      <c r="H485" s="760"/>
      <c r="I485" s="760"/>
      <c r="J485" s="760"/>
      <c r="K485" s="760"/>
    </row>
    <row r="486" spans="1:11">
      <c r="A486" s="760"/>
      <c r="B486" s="760"/>
      <c r="C486" s="760"/>
      <c r="D486" s="760"/>
      <c r="E486" s="760"/>
      <c r="F486" s="760"/>
      <c r="G486" s="760"/>
      <c r="H486" s="760"/>
      <c r="I486" s="760"/>
      <c r="J486" s="760"/>
      <c r="K486" s="760"/>
    </row>
    <row r="487" spans="1:11">
      <c r="A487" s="760"/>
      <c r="B487" s="760"/>
      <c r="C487" s="760"/>
      <c r="D487" s="760"/>
      <c r="E487" s="760"/>
      <c r="F487" s="760"/>
      <c r="G487" s="760"/>
      <c r="H487" s="760"/>
      <c r="I487" s="760"/>
      <c r="J487" s="760"/>
      <c r="K487" s="760"/>
    </row>
    <row r="488" spans="1:11">
      <c r="A488" s="760"/>
      <c r="B488" s="760"/>
      <c r="C488" s="760"/>
      <c r="D488" s="760"/>
      <c r="E488" s="760"/>
      <c r="F488" s="760"/>
      <c r="G488" s="760"/>
      <c r="H488" s="760"/>
      <c r="I488" s="760"/>
      <c r="J488" s="760"/>
      <c r="K488" s="760"/>
    </row>
    <row r="489" spans="1:11">
      <c r="A489" s="760"/>
      <c r="B489" s="760"/>
      <c r="C489" s="760"/>
      <c r="D489" s="760"/>
      <c r="E489" s="760"/>
      <c r="F489" s="760"/>
      <c r="G489" s="760"/>
      <c r="H489" s="760"/>
      <c r="I489" s="760"/>
      <c r="J489" s="760"/>
      <c r="K489" s="760"/>
    </row>
    <row r="490" spans="1:11">
      <c r="A490" s="760"/>
      <c r="B490" s="760"/>
      <c r="C490" s="760"/>
      <c r="D490" s="760"/>
      <c r="E490" s="760"/>
      <c r="F490" s="760"/>
      <c r="G490" s="760"/>
      <c r="H490" s="760"/>
      <c r="I490" s="760"/>
      <c r="J490" s="760"/>
      <c r="K490" s="760"/>
    </row>
    <row r="491" spans="1:11">
      <c r="A491" s="760"/>
      <c r="B491" s="760"/>
      <c r="C491" s="760"/>
      <c r="D491" s="760"/>
      <c r="E491" s="760"/>
      <c r="F491" s="760"/>
      <c r="G491" s="760"/>
      <c r="H491" s="760"/>
      <c r="I491" s="760"/>
      <c r="J491" s="760"/>
      <c r="K491" s="760"/>
    </row>
    <row r="492" spans="1:11">
      <c r="A492" s="760"/>
      <c r="B492" s="760"/>
      <c r="C492" s="760"/>
      <c r="D492" s="760"/>
      <c r="E492" s="760"/>
      <c r="F492" s="760"/>
      <c r="G492" s="760"/>
      <c r="H492" s="760"/>
      <c r="I492" s="760"/>
      <c r="J492" s="760"/>
      <c r="K492" s="760"/>
    </row>
    <row r="493" spans="1:11">
      <c r="A493" s="760"/>
      <c r="B493" s="760"/>
      <c r="C493" s="760"/>
      <c r="D493" s="760"/>
      <c r="E493" s="760"/>
      <c r="F493" s="760"/>
      <c r="G493" s="760"/>
      <c r="H493" s="760"/>
      <c r="I493" s="760"/>
      <c r="J493" s="760"/>
      <c r="K493" s="760"/>
    </row>
    <row r="494" spans="1:11">
      <c r="A494" s="760"/>
      <c r="B494" s="760"/>
      <c r="C494" s="760"/>
      <c r="D494" s="760"/>
      <c r="E494" s="760"/>
      <c r="F494" s="760"/>
      <c r="G494" s="760"/>
      <c r="H494" s="760"/>
      <c r="I494" s="760"/>
      <c r="J494" s="760"/>
      <c r="K494" s="760"/>
    </row>
    <row r="495" spans="1:11">
      <c r="A495" s="760"/>
      <c r="B495" s="760"/>
      <c r="C495" s="760"/>
      <c r="D495" s="760"/>
      <c r="E495" s="760"/>
      <c r="F495" s="760"/>
      <c r="G495" s="760"/>
      <c r="H495" s="760"/>
      <c r="I495" s="760"/>
      <c r="J495" s="760"/>
      <c r="K495" s="760"/>
    </row>
    <row r="496" spans="1:11">
      <c r="A496" s="760"/>
      <c r="B496" s="760"/>
      <c r="C496" s="760"/>
      <c r="D496" s="760"/>
      <c r="E496" s="760"/>
      <c r="F496" s="760"/>
      <c r="G496" s="760"/>
      <c r="H496" s="760"/>
      <c r="I496" s="760"/>
      <c r="J496" s="760"/>
      <c r="K496" s="760"/>
    </row>
    <row r="497" spans="1:11">
      <c r="A497" s="760"/>
      <c r="B497" s="760"/>
      <c r="C497" s="760"/>
      <c r="D497" s="760"/>
      <c r="E497" s="760"/>
      <c r="F497" s="760"/>
      <c r="G497" s="760"/>
      <c r="H497" s="760"/>
      <c r="I497" s="760"/>
      <c r="J497" s="760"/>
      <c r="K497" s="760"/>
    </row>
    <row r="498" spans="1:11">
      <c r="A498" s="760"/>
      <c r="B498" s="760"/>
      <c r="C498" s="760"/>
      <c r="D498" s="760"/>
      <c r="E498" s="760"/>
      <c r="F498" s="760"/>
      <c r="G498" s="760"/>
      <c r="H498" s="760"/>
      <c r="I498" s="760"/>
      <c r="J498" s="760"/>
      <c r="K498" s="760"/>
    </row>
    <row r="499" spans="1:11">
      <c r="A499" s="760"/>
      <c r="B499" s="760"/>
      <c r="C499" s="760"/>
      <c r="D499" s="760"/>
      <c r="E499" s="760"/>
      <c r="F499" s="760"/>
      <c r="G499" s="760"/>
      <c r="H499" s="760"/>
      <c r="I499" s="760"/>
      <c r="J499" s="760"/>
      <c r="K499" s="760"/>
    </row>
    <row r="500" spans="1:11">
      <c r="A500" s="760"/>
      <c r="B500" s="760"/>
      <c r="C500" s="760"/>
      <c r="D500" s="760"/>
      <c r="E500" s="760"/>
      <c r="F500" s="760"/>
      <c r="G500" s="760"/>
      <c r="H500" s="760"/>
      <c r="I500" s="760"/>
      <c r="J500" s="760"/>
      <c r="K500" s="760"/>
    </row>
    <row r="501" spans="1:11">
      <c r="A501" s="760"/>
      <c r="B501" s="760"/>
      <c r="C501" s="760"/>
      <c r="D501" s="760"/>
      <c r="E501" s="760"/>
      <c r="F501" s="760"/>
      <c r="G501" s="760"/>
      <c r="H501" s="760"/>
      <c r="I501" s="760"/>
      <c r="J501" s="760"/>
      <c r="K501" s="760"/>
    </row>
    <row r="502" spans="1:11">
      <c r="A502" s="760"/>
      <c r="B502" s="760"/>
      <c r="C502" s="760"/>
      <c r="D502" s="760"/>
      <c r="E502" s="760"/>
      <c r="F502" s="760"/>
      <c r="G502" s="760"/>
      <c r="H502" s="760"/>
      <c r="I502" s="760"/>
      <c r="J502" s="760"/>
      <c r="K502" s="760"/>
    </row>
    <row r="503" spans="1:11">
      <c r="A503" s="760"/>
      <c r="B503" s="760"/>
      <c r="C503" s="760"/>
      <c r="D503" s="760"/>
      <c r="E503" s="760"/>
      <c r="F503" s="760"/>
      <c r="G503" s="760"/>
      <c r="H503" s="760"/>
      <c r="I503" s="760"/>
      <c r="J503" s="760"/>
      <c r="K503" s="760"/>
    </row>
    <row r="504" spans="1:11">
      <c r="A504" s="760"/>
      <c r="B504" s="760"/>
      <c r="C504" s="760"/>
      <c r="D504" s="760"/>
      <c r="E504" s="760"/>
      <c r="F504" s="760"/>
      <c r="G504" s="760"/>
      <c r="H504" s="760"/>
      <c r="I504" s="760"/>
      <c r="J504" s="760"/>
      <c r="K504" s="760"/>
    </row>
    <row r="505" spans="1:11">
      <c r="A505" s="760"/>
      <c r="B505" s="760"/>
      <c r="C505" s="760"/>
      <c r="D505" s="760"/>
      <c r="E505" s="760"/>
      <c r="F505" s="760"/>
      <c r="G505" s="760"/>
      <c r="H505" s="760"/>
      <c r="I505" s="760"/>
      <c r="J505" s="760"/>
      <c r="K505" s="760"/>
    </row>
    <row r="506" spans="1:11">
      <c r="A506" s="760"/>
      <c r="B506" s="760"/>
      <c r="C506" s="760"/>
      <c r="D506" s="760"/>
      <c r="E506" s="760"/>
      <c r="F506" s="760"/>
      <c r="G506" s="760"/>
      <c r="H506" s="760"/>
      <c r="I506" s="760"/>
      <c r="J506" s="760"/>
      <c r="K506" s="760"/>
    </row>
    <row r="507" spans="1:11">
      <c r="A507" s="760"/>
      <c r="B507" s="760"/>
      <c r="C507" s="760"/>
      <c r="D507" s="760"/>
      <c r="E507" s="760"/>
      <c r="F507" s="760"/>
      <c r="G507" s="760"/>
      <c r="H507" s="760"/>
      <c r="I507" s="760"/>
      <c r="J507" s="760"/>
      <c r="K507" s="760"/>
    </row>
    <row r="508" spans="1:11">
      <c r="A508" s="760"/>
      <c r="B508" s="760"/>
      <c r="C508" s="760"/>
      <c r="D508" s="760"/>
      <c r="E508" s="760"/>
      <c r="F508" s="760"/>
      <c r="G508" s="760"/>
      <c r="H508" s="760"/>
      <c r="I508" s="760"/>
      <c r="J508" s="760"/>
      <c r="K508" s="760"/>
    </row>
    <row r="509" spans="1:11">
      <c r="A509" s="760"/>
      <c r="B509" s="760"/>
      <c r="C509" s="760"/>
      <c r="D509" s="760"/>
      <c r="E509" s="760"/>
      <c r="F509" s="760"/>
      <c r="G509" s="760"/>
      <c r="H509" s="760"/>
      <c r="I509" s="760"/>
      <c r="J509" s="760"/>
      <c r="K509" s="760"/>
    </row>
    <row r="510" spans="1:11">
      <c r="A510" s="760"/>
      <c r="B510" s="760"/>
      <c r="C510" s="760"/>
      <c r="D510" s="760"/>
      <c r="E510" s="760"/>
      <c r="F510" s="760"/>
      <c r="G510" s="760"/>
      <c r="H510" s="760"/>
      <c r="I510" s="760"/>
      <c r="J510" s="760"/>
      <c r="K510" s="760"/>
    </row>
    <row r="511" spans="1:11">
      <c r="A511" s="760"/>
      <c r="B511" s="760"/>
      <c r="C511" s="760"/>
      <c r="D511" s="760"/>
      <c r="E511" s="760"/>
      <c r="F511" s="760"/>
      <c r="G511" s="760"/>
      <c r="H511" s="760"/>
      <c r="I511" s="760"/>
      <c r="J511" s="760"/>
      <c r="K511" s="760"/>
    </row>
    <row r="512" spans="1:11">
      <c r="A512" s="760"/>
      <c r="B512" s="760"/>
      <c r="C512" s="760"/>
      <c r="D512" s="760"/>
      <c r="E512" s="760"/>
      <c r="F512" s="760"/>
      <c r="G512" s="760"/>
      <c r="H512" s="760"/>
      <c r="I512" s="760"/>
      <c r="J512" s="760"/>
      <c r="K512" s="760"/>
    </row>
    <row r="513" spans="1:11">
      <c r="A513" s="760"/>
      <c r="B513" s="760"/>
      <c r="C513" s="760"/>
      <c r="D513" s="760"/>
      <c r="E513" s="760"/>
      <c r="F513" s="760"/>
      <c r="G513" s="760"/>
      <c r="H513" s="760"/>
      <c r="I513" s="760"/>
      <c r="J513" s="760"/>
      <c r="K513" s="760"/>
    </row>
    <row r="514" spans="1:11">
      <c r="A514" s="760"/>
      <c r="B514" s="760"/>
      <c r="C514" s="760"/>
      <c r="D514" s="760"/>
      <c r="E514" s="760"/>
      <c r="F514" s="760"/>
      <c r="G514" s="760"/>
      <c r="H514" s="760"/>
      <c r="I514" s="760"/>
      <c r="J514" s="760"/>
      <c r="K514" s="760"/>
    </row>
    <row r="515" spans="1:11">
      <c r="A515" s="760"/>
      <c r="B515" s="760"/>
      <c r="C515" s="760"/>
      <c r="D515" s="760"/>
      <c r="E515" s="760"/>
      <c r="F515" s="760"/>
      <c r="G515" s="760"/>
      <c r="H515" s="760"/>
      <c r="I515" s="760"/>
      <c r="J515" s="760"/>
      <c r="K515" s="760"/>
    </row>
    <row r="516" spans="1:11">
      <c r="A516" s="760"/>
      <c r="B516" s="760"/>
      <c r="C516" s="760"/>
      <c r="D516" s="760"/>
      <c r="E516" s="760"/>
      <c r="F516" s="760"/>
      <c r="G516" s="760"/>
      <c r="H516" s="760"/>
      <c r="I516" s="760"/>
      <c r="J516" s="760"/>
      <c r="K516" s="760"/>
    </row>
    <row r="517" spans="1:11">
      <c r="A517" s="760"/>
      <c r="B517" s="760"/>
      <c r="C517" s="760"/>
      <c r="D517" s="760"/>
      <c r="E517" s="760"/>
      <c r="F517" s="760"/>
      <c r="G517" s="760"/>
      <c r="H517" s="760"/>
      <c r="I517" s="760"/>
      <c r="J517" s="760"/>
      <c r="K517" s="760"/>
    </row>
    <row r="518" spans="1:11">
      <c r="A518" s="760"/>
      <c r="B518" s="760"/>
      <c r="C518" s="760"/>
      <c r="D518" s="760"/>
      <c r="E518" s="760"/>
      <c r="F518" s="760"/>
      <c r="G518" s="760"/>
      <c r="H518" s="760"/>
      <c r="I518" s="760"/>
      <c r="J518" s="760"/>
      <c r="K518" s="760"/>
    </row>
    <row r="519" spans="1:11">
      <c r="A519" s="760"/>
      <c r="B519" s="760"/>
      <c r="C519" s="760"/>
      <c r="D519" s="760"/>
      <c r="E519" s="760"/>
      <c r="F519" s="760"/>
      <c r="G519" s="760"/>
      <c r="H519" s="760"/>
      <c r="I519" s="760"/>
      <c r="J519" s="760"/>
      <c r="K519" s="760"/>
    </row>
    <row r="520" spans="1:11">
      <c r="A520" s="760"/>
      <c r="B520" s="760"/>
      <c r="C520" s="760"/>
      <c r="D520" s="760"/>
      <c r="E520" s="760"/>
      <c r="F520" s="760"/>
      <c r="G520" s="760"/>
      <c r="H520" s="760"/>
      <c r="I520" s="760"/>
      <c r="J520" s="760"/>
      <c r="K520" s="760"/>
    </row>
    <row r="521" spans="1:11">
      <c r="A521" s="760"/>
      <c r="B521" s="760"/>
      <c r="C521" s="760"/>
      <c r="D521" s="760"/>
      <c r="E521" s="760"/>
      <c r="F521" s="760"/>
      <c r="G521" s="760"/>
      <c r="H521" s="760"/>
      <c r="I521" s="760"/>
      <c r="J521" s="760"/>
      <c r="K521" s="760"/>
    </row>
    <row r="522" spans="1:11">
      <c r="A522" s="760"/>
      <c r="B522" s="760"/>
      <c r="C522" s="760"/>
      <c r="D522" s="760"/>
      <c r="E522" s="760"/>
      <c r="F522" s="760"/>
      <c r="G522" s="760"/>
      <c r="H522" s="760"/>
      <c r="I522" s="760"/>
      <c r="J522" s="760"/>
      <c r="K522" s="760"/>
    </row>
    <row r="523" spans="1:11">
      <c r="A523" s="760"/>
      <c r="B523" s="760"/>
      <c r="C523" s="760"/>
      <c r="D523" s="760"/>
      <c r="E523" s="760"/>
      <c r="F523" s="760"/>
      <c r="G523" s="760"/>
      <c r="H523" s="760"/>
      <c r="I523" s="760"/>
      <c r="J523" s="760"/>
      <c r="K523" s="760"/>
    </row>
    <row r="524" spans="1:11">
      <c r="A524" s="760"/>
      <c r="B524" s="760"/>
      <c r="C524" s="760"/>
      <c r="D524" s="760"/>
      <c r="E524" s="760"/>
      <c r="F524" s="760"/>
      <c r="G524" s="760"/>
      <c r="H524" s="760"/>
      <c r="I524" s="760"/>
      <c r="J524" s="760"/>
      <c r="K524" s="760"/>
    </row>
    <row r="525" spans="1:11">
      <c r="A525" s="760"/>
      <c r="B525" s="760"/>
      <c r="C525" s="760"/>
      <c r="D525" s="760"/>
      <c r="E525" s="760"/>
      <c r="F525" s="760"/>
      <c r="G525" s="760"/>
      <c r="H525" s="760"/>
      <c r="I525" s="760"/>
      <c r="J525" s="760"/>
      <c r="K525" s="760"/>
    </row>
    <row r="526" spans="1:11">
      <c r="A526" s="760"/>
      <c r="B526" s="760"/>
      <c r="C526" s="760"/>
      <c r="D526" s="760"/>
      <c r="E526" s="760"/>
      <c r="F526" s="760"/>
      <c r="G526" s="760"/>
      <c r="H526" s="760"/>
      <c r="I526" s="760"/>
      <c r="J526" s="760"/>
      <c r="K526" s="760"/>
    </row>
    <row r="527" spans="1:11">
      <c r="A527" s="760"/>
      <c r="B527" s="760"/>
      <c r="C527" s="760"/>
      <c r="D527" s="760"/>
      <c r="E527" s="760"/>
      <c r="F527" s="760"/>
      <c r="G527" s="760"/>
      <c r="H527" s="760"/>
      <c r="I527" s="760"/>
      <c r="J527" s="760"/>
      <c r="K527" s="760"/>
    </row>
    <row r="528" spans="1:11">
      <c r="A528" s="760"/>
      <c r="B528" s="760"/>
      <c r="C528" s="760"/>
      <c r="D528" s="760"/>
      <c r="E528" s="760"/>
      <c r="F528" s="760"/>
      <c r="G528" s="760"/>
      <c r="H528" s="760"/>
      <c r="I528" s="760"/>
      <c r="J528" s="760"/>
      <c r="K528" s="760"/>
    </row>
    <row r="529" spans="1:11">
      <c r="A529" s="760"/>
      <c r="B529" s="760"/>
      <c r="C529" s="760"/>
      <c r="D529" s="760"/>
      <c r="E529" s="760"/>
      <c r="F529" s="760"/>
      <c r="G529" s="760"/>
      <c r="H529" s="760"/>
      <c r="I529" s="760"/>
      <c r="J529" s="760"/>
      <c r="K529" s="760"/>
    </row>
    <row r="530" spans="1:11">
      <c r="A530" s="760"/>
      <c r="B530" s="760"/>
      <c r="C530" s="760"/>
      <c r="D530" s="760"/>
      <c r="E530" s="760"/>
      <c r="F530" s="760"/>
      <c r="G530" s="760"/>
      <c r="H530" s="760"/>
      <c r="I530" s="760"/>
      <c r="J530" s="760"/>
      <c r="K530" s="760"/>
    </row>
    <row r="531" spans="1:11">
      <c r="A531" s="760"/>
      <c r="B531" s="760"/>
      <c r="C531" s="760"/>
      <c r="D531" s="760"/>
      <c r="E531" s="760"/>
      <c r="F531" s="760"/>
      <c r="G531" s="760"/>
      <c r="H531" s="760"/>
      <c r="I531" s="760"/>
      <c r="J531" s="760"/>
      <c r="K531" s="760"/>
    </row>
    <row r="532" spans="1:11">
      <c r="A532" s="760"/>
      <c r="B532" s="760"/>
      <c r="C532" s="760"/>
      <c r="D532" s="760"/>
      <c r="E532" s="760"/>
      <c r="F532" s="760"/>
      <c r="G532" s="760"/>
      <c r="H532" s="760"/>
      <c r="I532" s="760"/>
      <c r="J532" s="760"/>
      <c r="K532" s="760"/>
    </row>
    <row r="533" spans="1:11">
      <c r="A533" s="760"/>
      <c r="B533" s="760"/>
      <c r="C533" s="760"/>
      <c r="D533" s="760"/>
      <c r="E533" s="760"/>
      <c r="F533" s="760"/>
      <c r="G533" s="760"/>
      <c r="H533" s="760"/>
      <c r="I533" s="760"/>
      <c r="J533" s="760"/>
      <c r="K533" s="760"/>
    </row>
    <row r="534" spans="1:11">
      <c r="A534" s="760"/>
      <c r="B534" s="760"/>
      <c r="C534" s="760"/>
      <c r="D534" s="760"/>
      <c r="E534" s="760"/>
      <c r="F534" s="760"/>
      <c r="G534" s="760"/>
      <c r="H534" s="760"/>
      <c r="I534" s="760"/>
      <c r="J534" s="760"/>
      <c r="K534" s="760"/>
    </row>
    <row r="535" spans="1:11">
      <c r="A535" s="760"/>
      <c r="B535" s="760"/>
      <c r="C535" s="760"/>
      <c r="D535" s="760"/>
      <c r="E535" s="760"/>
      <c r="F535" s="760"/>
      <c r="G535" s="760"/>
      <c r="H535" s="760"/>
      <c r="I535" s="760"/>
      <c r="J535" s="760"/>
      <c r="K535" s="760"/>
    </row>
    <row r="536" spans="1:11">
      <c r="A536" s="760"/>
      <c r="B536" s="760"/>
      <c r="C536" s="760"/>
      <c r="D536" s="760"/>
      <c r="E536" s="760"/>
      <c r="F536" s="760"/>
      <c r="G536" s="760"/>
      <c r="H536" s="760"/>
      <c r="I536" s="760"/>
      <c r="J536" s="760"/>
      <c r="K536" s="760"/>
    </row>
    <row r="537" spans="1:11">
      <c r="A537" s="760"/>
      <c r="B537" s="760"/>
      <c r="C537" s="760"/>
      <c r="D537" s="760"/>
      <c r="E537" s="760"/>
      <c r="F537" s="760"/>
      <c r="G537" s="760"/>
      <c r="H537" s="760"/>
      <c r="I537" s="760"/>
      <c r="J537" s="760"/>
      <c r="K537" s="760"/>
    </row>
    <row r="538" spans="1:11">
      <c r="A538" s="760"/>
      <c r="B538" s="760"/>
      <c r="C538" s="760"/>
      <c r="D538" s="760"/>
      <c r="E538" s="760"/>
      <c r="F538" s="760"/>
      <c r="G538" s="760"/>
      <c r="H538" s="760"/>
      <c r="I538" s="760"/>
      <c r="J538" s="760"/>
      <c r="K538" s="760"/>
    </row>
    <row r="539" spans="1:11">
      <c r="A539" s="760"/>
      <c r="B539" s="760"/>
      <c r="C539" s="760"/>
      <c r="D539" s="760"/>
      <c r="E539" s="760"/>
      <c r="F539" s="760"/>
      <c r="G539" s="760"/>
      <c r="H539" s="760"/>
      <c r="I539" s="760"/>
      <c r="J539" s="760"/>
      <c r="K539" s="760"/>
    </row>
    <row r="540" spans="1:11">
      <c r="A540" s="760"/>
      <c r="B540" s="760"/>
      <c r="C540" s="760"/>
      <c r="D540" s="760"/>
      <c r="E540" s="760"/>
      <c r="F540" s="760"/>
      <c r="G540" s="760"/>
      <c r="H540" s="760"/>
      <c r="I540" s="760"/>
      <c r="J540" s="760"/>
      <c r="K540" s="760"/>
    </row>
    <row r="541" spans="1:11">
      <c r="A541" s="760"/>
      <c r="B541" s="760"/>
      <c r="C541" s="760"/>
      <c r="D541" s="760"/>
      <c r="E541" s="760"/>
      <c r="F541" s="760"/>
      <c r="G541" s="760"/>
      <c r="H541" s="760"/>
      <c r="I541" s="760"/>
      <c r="J541" s="760"/>
      <c r="K541" s="760"/>
    </row>
    <row r="542" spans="1:11">
      <c r="A542" s="760"/>
      <c r="B542" s="760"/>
      <c r="C542" s="760"/>
      <c r="D542" s="760"/>
      <c r="E542" s="760"/>
      <c r="F542" s="760"/>
      <c r="G542" s="760"/>
      <c r="H542" s="760"/>
      <c r="I542" s="760"/>
      <c r="J542" s="760"/>
      <c r="K542" s="760"/>
    </row>
    <row r="543" spans="1:11">
      <c r="A543" s="760"/>
      <c r="B543" s="760"/>
      <c r="C543" s="760"/>
      <c r="D543" s="760"/>
      <c r="E543" s="760"/>
      <c r="F543" s="760"/>
      <c r="G543" s="760"/>
      <c r="H543" s="760"/>
      <c r="I543" s="760"/>
      <c r="J543" s="760"/>
      <c r="K543" s="760"/>
    </row>
    <row r="544" spans="1:11">
      <c r="A544" s="760"/>
      <c r="B544" s="760"/>
      <c r="C544" s="760"/>
      <c r="D544" s="760"/>
      <c r="E544" s="760"/>
      <c r="F544" s="760"/>
      <c r="G544" s="760"/>
      <c r="H544" s="760"/>
      <c r="I544" s="760"/>
      <c r="J544" s="760"/>
      <c r="K544" s="760"/>
    </row>
    <row r="545" spans="1:11">
      <c r="A545" s="760"/>
      <c r="B545" s="760"/>
      <c r="C545" s="760"/>
      <c r="D545" s="760"/>
      <c r="E545" s="760"/>
      <c r="F545" s="760"/>
      <c r="G545" s="760"/>
      <c r="H545" s="760"/>
      <c r="I545" s="760"/>
      <c r="J545" s="760"/>
      <c r="K545" s="760"/>
    </row>
    <row r="546" spans="1:11">
      <c r="A546" s="760"/>
      <c r="B546" s="760"/>
      <c r="C546" s="760"/>
      <c r="D546" s="760"/>
      <c r="E546" s="760"/>
      <c r="F546" s="760"/>
      <c r="G546" s="760"/>
      <c r="H546" s="760"/>
      <c r="I546" s="760"/>
      <c r="J546" s="760"/>
      <c r="K546" s="760"/>
    </row>
    <row r="547" spans="1:11">
      <c r="A547" s="760"/>
      <c r="B547" s="760"/>
      <c r="C547" s="760"/>
      <c r="D547" s="760"/>
      <c r="E547" s="760"/>
      <c r="F547" s="760"/>
      <c r="G547" s="760"/>
      <c r="H547" s="760"/>
      <c r="I547" s="760"/>
      <c r="J547" s="760"/>
      <c r="K547" s="760"/>
    </row>
    <row r="548" spans="1:11">
      <c r="A548" s="760"/>
      <c r="B548" s="760"/>
      <c r="C548" s="760"/>
      <c r="D548" s="760"/>
      <c r="E548" s="760"/>
      <c r="F548" s="760"/>
      <c r="G548" s="760"/>
      <c r="H548" s="760"/>
      <c r="I548" s="760"/>
      <c r="J548" s="760"/>
      <c r="K548" s="760"/>
    </row>
    <row r="549" spans="1:11">
      <c r="A549" s="760"/>
      <c r="B549" s="760"/>
      <c r="C549" s="760"/>
      <c r="D549" s="760"/>
      <c r="E549" s="760"/>
      <c r="F549" s="760"/>
      <c r="G549" s="760"/>
      <c r="H549" s="760"/>
      <c r="I549" s="760"/>
      <c r="J549" s="760"/>
      <c r="K549" s="760"/>
    </row>
    <row r="550" spans="1:11">
      <c r="A550" s="760"/>
      <c r="B550" s="760"/>
      <c r="C550" s="760"/>
      <c r="D550" s="760"/>
      <c r="E550" s="760"/>
      <c r="F550" s="760"/>
      <c r="G550" s="760"/>
      <c r="H550" s="760"/>
      <c r="I550" s="760"/>
      <c r="J550" s="760"/>
      <c r="K550" s="760"/>
    </row>
    <row r="551" spans="1:11">
      <c r="A551" s="760"/>
      <c r="B551" s="760"/>
      <c r="C551" s="760"/>
      <c r="D551" s="760"/>
      <c r="E551" s="760"/>
      <c r="F551" s="760"/>
      <c r="G551" s="760"/>
      <c r="H551" s="760"/>
      <c r="I551" s="760"/>
      <c r="J551" s="760"/>
      <c r="K551" s="760"/>
    </row>
    <row r="552" spans="1:11">
      <c r="A552" s="760"/>
      <c r="B552" s="760"/>
      <c r="C552" s="760"/>
      <c r="D552" s="760"/>
      <c r="E552" s="760"/>
      <c r="F552" s="760"/>
      <c r="G552" s="760"/>
      <c r="H552" s="760"/>
      <c r="I552" s="760"/>
      <c r="J552" s="760"/>
      <c r="K552" s="760"/>
    </row>
    <row r="553" spans="1:11">
      <c r="A553" s="760"/>
      <c r="B553" s="760"/>
      <c r="C553" s="760"/>
      <c r="D553" s="760"/>
      <c r="E553" s="760"/>
      <c r="F553" s="760"/>
      <c r="G553" s="760"/>
      <c r="H553" s="760"/>
      <c r="I553" s="760"/>
      <c r="J553" s="760"/>
      <c r="K553" s="760"/>
    </row>
    <row r="554" spans="1:11">
      <c r="A554" s="760"/>
      <c r="B554" s="760"/>
      <c r="C554" s="760"/>
      <c r="D554" s="760"/>
      <c r="E554" s="760"/>
      <c r="F554" s="760"/>
      <c r="G554" s="760"/>
      <c r="H554" s="760"/>
      <c r="I554" s="760"/>
      <c r="J554" s="760"/>
      <c r="K554" s="760"/>
    </row>
    <row r="555" spans="1:11">
      <c r="A555" s="760"/>
      <c r="B555" s="760"/>
      <c r="C555" s="760"/>
      <c r="D555" s="760"/>
      <c r="E555" s="760"/>
      <c r="F555" s="760"/>
      <c r="G555" s="760"/>
      <c r="H555" s="760"/>
      <c r="I555" s="760"/>
      <c r="J555" s="760"/>
      <c r="K555" s="760"/>
    </row>
    <row r="556" spans="1:11">
      <c r="A556" s="760"/>
      <c r="B556" s="760"/>
      <c r="C556" s="760"/>
      <c r="D556" s="760"/>
      <c r="E556" s="760"/>
      <c r="F556" s="760"/>
      <c r="G556" s="760"/>
      <c r="H556" s="760"/>
      <c r="I556" s="760"/>
      <c r="J556" s="760"/>
      <c r="K556" s="760"/>
    </row>
    <row r="557" spans="1:11">
      <c r="A557" s="760"/>
      <c r="B557" s="760"/>
      <c r="C557" s="760"/>
      <c r="D557" s="760"/>
      <c r="E557" s="760"/>
      <c r="F557" s="760"/>
      <c r="G557" s="760"/>
      <c r="H557" s="760"/>
      <c r="I557" s="760"/>
      <c r="J557" s="760"/>
      <c r="K557" s="760"/>
    </row>
    <row r="558" spans="1:11">
      <c r="A558" s="760"/>
      <c r="B558" s="760"/>
      <c r="C558" s="760"/>
      <c r="D558" s="760"/>
      <c r="E558" s="760"/>
      <c r="F558" s="760"/>
      <c r="G558" s="760"/>
      <c r="H558" s="760"/>
      <c r="I558" s="760"/>
      <c r="J558" s="760"/>
      <c r="K558" s="760"/>
    </row>
    <row r="559" spans="1:11">
      <c r="A559" s="760"/>
      <c r="B559" s="760"/>
      <c r="C559" s="760"/>
      <c r="D559" s="760"/>
      <c r="E559" s="760"/>
      <c r="F559" s="760"/>
      <c r="G559" s="760"/>
      <c r="H559" s="760"/>
      <c r="I559" s="760"/>
      <c r="J559" s="760"/>
      <c r="K559" s="760"/>
    </row>
    <row r="560" spans="1:11">
      <c r="A560" s="760"/>
      <c r="B560" s="760"/>
      <c r="C560" s="760"/>
      <c r="D560" s="760"/>
      <c r="E560" s="760"/>
      <c r="F560" s="760"/>
      <c r="G560" s="760"/>
      <c r="H560" s="760"/>
      <c r="I560" s="760"/>
      <c r="J560" s="760"/>
      <c r="K560" s="760"/>
    </row>
    <row r="561" spans="1:11">
      <c r="A561" s="760"/>
      <c r="B561" s="760"/>
      <c r="C561" s="760"/>
      <c r="D561" s="760"/>
      <c r="E561" s="760"/>
      <c r="F561" s="760"/>
      <c r="G561" s="760"/>
      <c r="H561" s="760"/>
      <c r="I561" s="760"/>
      <c r="J561" s="760"/>
      <c r="K561" s="760"/>
    </row>
    <row r="562" spans="1:11">
      <c r="A562" s="760"/>
      <c r="B562" s="760"/>
      <c r="C562" s="760"/>
      <c r="D562" s="760"/>
      <c r="E562" s="760"/>
      <c r="F562" s="760"/>
      <c r="G562" s="760"/>
      <c r="H562" s="760"/>
      <c r="I562" s="760"/>
      <c r="J562" s="760"/>
      <c r="K562" s="760"/>
    </row>
    <row r="563" spans="1:11">
      <c r="A563" s="760"/>
      <c r="B563" s="760"/>
      <c r="C563" s="760"/>
      <c r="D563" s="760"/>
      <c r="E563" s="760"/>
      <c r="F563" s="760"/>
      <c r="G563" s="760"/>
      <c r="H563" s="760"/>
      <c r="I563" s="760"/>
      <c r="J563" s="760"/>
      <c r="K563" s="760"/>
    </row>
    <row r="564" spans="1:11">
      <c r="A564" s="760"/>
      <c r="B564" s="760"/>
      <c r="C564" s="760"/>
      <c r="D564" s="760"/>
      <c r="E564" s="760"/>
      <c r="F564" s="760"/>
      <c r="G564" s="760"/>
      <c r="H564" s="760"/>
      <c r="I564" s="760"/>
      <c r="J564" s="760"/>
      <c r="K564" s="760"/>
    </row>
    <row r="565" spans="1:11">
      <c r="A565" s="760"/>
      <c r="B565" s="760"/>
      <c r="C565" s="760"/>
      <c r="D565" s="760"/>
      <c r="E565" s="760"/>
      <c r="F565" s="760"/>
      <c r="G565" s="760"/>
      <c r="H565" s="760"/>
      <c r="I565" s="760"/>
      <c r="J565" s="760"/>
      <c r="K565" s="760"/>
    </row>
    <row r="566" spans="1:11">
      <c r="A566" s="760"/>
      <c r="B566" s="760"/>
      <c r="C566" s="760"/>
      <c r="D566" s="760"/>
      <c r="E566" s="760"/>
      <c r="F566" s="760"/>
      <c r="G566" s="760"/>
      <c r="H566" s="760"/>
      <c r="I566" s="760"/>
      <c r="J566" s="760"/>
      <c r="K566" s="760"/>
    </row>
    <row r="567" spans="1:11">
      <c r="A567" s="760"/>
      <c r="B567" s="760"/>
      <c r="C567" s="760"/>
      <c r="D567" s="760"/>
      <c r="E567" s="760"/>
      <c r="F567" s="760"/>
      <c r="G567" s="760"/>
      <c r="H567" s="760"/>
      <c r="I567" s="760"/>
      <c r="J567" s="760"/>
      <c r="K567" s="760"/>
    </row>
    <row r="568" spans="1:11">
      <c r="A568" s="760"/>
      <c r="B568" s="760"/>
      <c r="C568" s="760"/>
      <c r="D568" s="760"/>
      <c r="E568" s="760"/>
      <c r="F568" s="760"/>
      <c r="G568" s="760"/>
      <c r="H568" s="760"/>
      <c r="I568" s="760"/>
      <c r="J568" s="760"/>
      <c r="K568" s="760"/>
    </row>
    <row r="569" spans="1:11">
      <c r="A569" s="760"/>
      <c r="B569" s="760"/>
      <c r="C569" s="760"/>
      <c r="D569" s="760"/>
      <c r="E569" s="760"/>
      <c r="F569" s="760"/>
      <c r="G569" s="760"/>
      <c r="H569" s="760"/>
      <c r="I569" s="760"/>
      <c r="J569" s="760"/>
      <c r="K569" s="760"/>
    </row>
    <row r="570" spans="1:11">
      <c r="A570" s="760"/>
      <c r="B570" s="760"/>
      <c r="C570" s="760"/>
      <c r="D570" s="760"/>
      <c r="E570" s="760"/>
      <c r="F570" s="760"/>
      <c r="G570" s="760"/>
      <c r="H570" s="760"/>
      <c r="I570" s="760"/>
      <c r="J570" s="760"/>
      <c r="K570" s="760"/>
    </row>
    <row r="571" spans="1:11">
      <c r="A571" s="760"/>
      <c r="B571" s="760"/>
      <c r="C571" s="760"/>
      <c r="D571" s="760"/>
      <c r="E571" s="760"/>
      <c r="F571" s="760"/>
      <c r="G571" s="760"/>
      <c r="H571" s="760"/>
      <c r="I571" s="760"/>
      <c r="J571" s="760"/>
      <c r="K571" s="760"/>
    </row>
    <row r="572" spans="1:11">
      <c r="A572" s="760"/>
      <c r="B572" s="760"/>
      <c r="C572" s="760"/>
      <c r="D572" s="760"/>
      <c r="E572" s="760"/>
      <c r="F572" s="760"/>
      <c r="G572" s="760"/>
      <c r="H572" s="760"/>
      <c r="I572" s="760"/>
      <c r="J572" s="760"/>
      <c r="K572" s="760"/>
    </row>
    <row r="573" spans="1:11">
      <c r="A573" s="760"/>
      <c r="B573" s="760"/>
      <c r="C573" s="760"/>
      <c r="D573" s="760"/>
      <c r="E573" s="760"/>
      <c r="F573" s="760"/>
      <c r="G573" s="760"/>
      <c r="H573" s="760"/>
      <c r="I573" s="760"/>
      <c r="J573" s="760"/>
      <c r="K573" s="760"/>
    </row>
    <row r="574" spans="1:11">
      <c r="A574" s="760"/>
      <c r="B574" s="760"/>
      <c r="C574" s="760"/>
      <c r="D574" s="760"/>
      <c r="E574" s="760"/>
      <c r="F574" s="760"/>
      <c r="G574" s="760"/>
      <c r="H574" s="760"/>
      <c r="I574" s="760"/>
      <c r="J574" s="760"/>
      <c r="K574" s="760"/>
    </row>
    <row r="575" spans="1:11">
      <c r="A575" s="760"/>
      <c r="B575" s="760"/>
      <c r="C575" s="760"/>
      <c r="D575" s="760"/>
      <c r="E575" s="760"/>
      <c r="F575" s="760"/>
      <c r="G575" s="760"/>
      <c r="H575" s="760"/>
      <c r="I575" s="760"/>
      <c r="J575" s="760"/>
      <c r="K575" s="760"/>
    </row>
    <row r="576" spans="1:11">
      <c r="A576" s="760"/>
      <c r="B576" s="760"/>
      <c r="C576" s="760"/>
      <c r="D576" s="760"/>
      <c r="E576" s="760"/>
      <c r="F576" s="760"/>
      <c r="G576" s="760"/>
      <c r="H576" s="760"/>
      <c r="I576" s="760"/>
      <c r="J576" s="760"/>
      <c r="K576" s="760"/>
    </row>
    <row r="577" spans="1:11">
      <c r="A577" s="760"/>
      <c r="B577" s="760"/>
      <c r="C577" s="760"/>
      <c r="D577" s="760"/>
      <c r="E577" s="760"/>
      <c r="F577" s="760"/>
      <c r="G577" s="760"/>
      <c r="H577" s="760"/>
      <c r="I577" s="760"/>
      <c r="J577" s="760"/>
      <c r="K577" s="760"/>
    </row>
    <row r="578" spans="1:11">
      <c r="A578" s="760"/>
      <c r="B578" s="760"/>
      <c r="C578" s="760"/>
      <c r="D578" s="760"/>
      <c r="E578" s="760"/>
      <c r="F578" s="760"/>
      <c r="G578" s="760"/>
      <c r="H578" s="760"/>
      <c r="I578" s="760"/>
      <c r="J578" s="760"/>
      <c r="K578" s="760"/>
    </row>
    <row r="579" spans="1:11">
      <c r="A579" s="760"/>
      <c r="B579" s="760"/>
      <c r="C579" s="760"/>
      <c r="D579" s="760"/>
      <c r="E579" s="760"/>
      <c r="F579" s="760"/>
      <c r="G579" s="760"/>
      <c r="H579" s="760"/>
      <c r="I579" s="760"/>
      <c r="J579" s="760"/>
      <c r="K579" s="760"/>
    </row>
    <row r="580" spans="1:11">
      <c r="A580" s="760"/>
      <c r="B580" s="760"/>
      <c r="C580" s="760"/>
      <c r="D580" s="760"/>
      <c r="E580" s="760"/>
      <c r="F580" s="760"/>
      <c r="G580" s="760"/>
      <c r="H580" s="760"/>
      <c r="I580" s="760"/>
      <c r="J580" s="760"/>
      <c r="K580" s="760"/>
    </row>
    <row r="581" spans="1:11">
      <c r="A581" s="760"/>
      <c r="B581" s="760"/>
      <c r="C581" s="760"/>
      <c r="D581" s="760"/>
      <c r="E581" s="760"/>
      <c r="F581" s="760"/>
      <c r="G581" s="760"/>
      <c r="H581" s="760"/>
      <c r="I581" s="760"/>
      <c r="J581" s="760"/>
      <c r="K581" s="760"/>
    </row>
    <row r="582" spans="1:11">
      <c r="A582" s="760"/>
      <c r="B582" s="760"/>
      <c r="C582" s="760"/>
      <c r="D582" s="760"/>
      <c r="E582" s="760"/>
      <c r="F582" s="760"/>
      <c r="G582" s="760"/>
      <c r="H582" s="760"/>
      <c r="I582" s="760"/>
      <c r="J582" s="760"/>
      <c r="K582" s="760"/>
    </row>
    <row r="583" spans="1:11">
      <c r="A583" s="760"/>
      <c r="B583" s="760"/>
      <c r="C583" s="760"/>
      <c r="D583" s="760"/>
      <c r="E583" s="760"/>
      <c r="F583" s="760"/>
      <c r="G583" s="760"/>
      <c r="H583" s="760"/>
      <c r="I583" s="760"/>
      <c r="J583" s="760"/>
      <c r="K583" s="760"/>
    </row>
    <row r="584" spans="1:11">
      <c r="A584" s="760"/>
      <c r="B584" s="760"/>
      <c r="C584" s="760"/>
      <c r="D584" s="760"/>
      <c r="E584" s="760"/>
      <c r="F584" s="760"/>
      <c r="G584" s="760"/>
      <c r="H584" s="760"/>
      <c r="I584" s="760"/>
      <c r="J584" s="760"/>
      <c r="K584" s="760"/>
    </row>
    <row r="585" spans="1:11">
      <c r="A585" s="760"/>
      <c r="B585" s="760"/>
      <c r="C585" s="760"/>
      <c r="D585" s="760"/>
      <c r="E585" s="760"/>
      <c r="F585" s="760"/>
      <c r="G585" s="760"/>
      <c r="H585" s="760"/>
      <c r="I585" s="760"/>
      <c r="J585" s="760"/>
      <c r="K585" s="760"/>
    </row>
    <row r="586" spans="1:11">
      <c r="A586" s="760"/>
      <c r="B586" s="760"/>
      <c r="C586" s="760"/>
      <c r="D586" s="760"/>
      <c r="E586" s="760"/>
      <c r="F586" s="760"/>
      <c r="G586" s="760"/>
      <c r="H586" s="760"/>
      <c r="I586" s="760"/>
      <c r="J586" s="760"/>
      <c r="K586" s="760"/>
    </row>
    <row r="587" spans="1:11">
      <c r="A587" s="760"/>
      <c r="B587" s="760"/>
      <c r="C587" s="760"/>
      <c r="D587" s="760"/>
      <c r="E587" s="760"/>
      <c r="F587" s="760"/>
      <c r="G587" s="760"/>
      <c r="H587" s="760"/>
      <c r="I587" s="760"/>
      <c r="J587" s="760"/>
      <c r="K587" s="760"/>
    </row>
    <row r="588" spans="1:11">
      <c r="A588" s="760"/>
      <c r="B588" s="760"/>
      <c r="C588" s="760"/>
      <c r="D588" s="760"/>
      <c r="E588" s="760"/>
      <c r="F588" s="760"/>
      <c r="G588" s="760"/>
      <c r="H588" s="760"/>
      <c r="I588" s="760"/>
      <c r="J588" s="760"/>
      <c r="K588" s="760"/>
    </row>
    <row r="589" spans="1:11">
      <c r="A589" s="760"/>
      <c r="B589" s="760"/>
      <c r="C589" s="760"/>
      <c r="D589" s="760"/>
      <c r="E589" s="760"/>
      <c r="F589" s="760"/>
      <c r="G589" s="760"/>
      <c r="H589" s="760"/>
      <c r="I589" s="760"/>
      <c r="J589" s="760"/>
      <c r="K589" s="760"/>
    </row>
    <row r="590" spans="1:11">
      <c r="A590" s="760"/>
      <c r="B590" s="760"/>
      <c r="C590" s="760"/>
      <c r="D590" s="760"/>
      <c r="E590" s="760"/>
      <c r="F590" s="760"/>
      <c r="G590" s="760"/>
      <c r="H590" s="760"/>
      <c r="I590" s="760"/>
      <c r="J590" s="760"/>
      <c r="K590" s="760"/>
    </row>
    <row r="591" spans="1:11">
      <c r="A591" s="760"/>
      <c r="B591" s="760"/>
      <c r="C591" s="760"/>
      <c r="D591" s="760"/>
      <c r="E591" s="760"/>
      <c r="F591" s="760"/>
      <c r="G591" s="760"/>
      <c r="H591" s="760"/>
      <c r="I591" s="760"/>
      <c r="J591" s="760"/>
      <c r="K591" s="760"/>
    </row>
    <row r="592" spans="1:11">
      <c r="A592" s="760"/>
      <c r="B592" s="760"/>
      <c r="C592" s="760"/>
      <c r="D592" s="760"/>
      <c r="E592" s="760"/>
      <c r="F592" s="760"/>
      <c r="G592" s="760"/>
      <c r="H592" s="760"/>
      <c r="I592" s="760"/>
      <c r="J592" s="760"/>
      <c r="K592" s="760"/>
    </row>
    <row r="593" spans="1:11">
      <c r="A593" s="760"/>
      <c r="B593" s="760"/>
      <c r="C593" s="760"/>
      <c r="D593" s="760"/>
      <c r="E593" s="760"/>
      <c r="F593" s="760"/>
      <c r="G593" s="760"/>
      <c r="H593" s="760"/>
      <c r="I593" s="760"/>
      <c r="J593" s="760"/>
      <c r="K593" s="760"/>
    </row>
    <row r="594" spans="1:11">
      <c r="A594" s="760"/>
      <c r="B594" s="760"/>
      <c r="C594" s="760"/>
      <c r="D594" s="760"/>
      <c r="E594" s="760"/>
      <c r="F594" s="760"/>
      <c r="G594" s="760"/>
      <c r="H594" s="760"/>
      <c r="I594" s="760"/>
      <c r="J594" s="760"/>
      <c r="K594" s="760"/>
    </row>
    <row r="595" spans="1:11">
      <c r="A595" s="760"/>
      <c r="B595" s="760"/>
      <c r="C595" s="760"/>
      <c r="D595" s="760"/>
      <c r="E595" s="760"/>
      <c r="F595" s="760"/>
      <c r="G595" s="760"/>
      <c r="H595" s="760"/>
      <c r="I595" s="760"/>
      <c r="J595" s="760"/>
      <c r="K595" s="760"/>
    </row>
    <row r="596" spans="1:11">
      <c r="A596" s="760"/>
      <c r="B596" s="760"/>
      <c r="C596" s="760"/>
      <c r="D596" s="760"/>
      <c r="E596" s="760"/>
      <c r="F596" s="760"/>
      <c r="G596" s="760"/>
      <c r="H596" s="760"/>
      <c r="I596" s="760"/>
      <c r="J596" s="760"/>
      <c r="K596" s="760"/>
    </row>
    <row r="597" spans="1:11">
      <c r="A597" s="760"/>
      <c r="B597" s="760"/>
      <c r="C597" s="760"/>
      <c r="D597" s="760"/>
      <c r="E597" s="760"/>
      <c r="F597" s="760"/>
      <c r="G597" s="760"/>
      <c r="H597" s="760"/>
      <c r="I597" s="760"/>
      <c r="J597" s="760"/>
      <c r="K597" s="760"/>
    </row>
    <row r="598" spans="1:11">
      <c r="A598" s="760"/>
      <c r="B598" s="760"/>
      <c r="C598" s="760"/>
      <c r="D598" s="760"/>
      <c r="E598" s="760"/>
      <c r="F598" s="760"/>
      <c r="G598" s="760"/>
      <c r="H598" s="760"/>
      <c r="I598" s="760"/>
      <c r="J598" s="760"/>
      <c r="K598" s="760"/>
    </row>
    <row r="599" spans="1:11">
      <c r="A599" s="760"/>
      <c r="B599" s="760"/>
      <c r="C599" s="760"/>
      <c r="D599" s="760"/>
      <c r="E599" s="760"/>
      <c r="F599" s="760"/>
      <c r="G599" s="760"/>
      <c r="H599" s="760"/>
      <c r="I599" s="760"/>
      <c r="J599" s="760"/>
      <c r="K599" s="760"/>
    </row>
    <row r="600" spans="1:11">
      <c r="A600" s="760"/>
      <c r="B600" s="760"/>
      <c r="C600" s="760"/>
      <c r="D600" s="760"/>
      <c r="E600" s="760"/>
      <c r="F600" s="760"/>
      <c r="G600" s="760"/>
      <c r="H600" s="760"/>
      <c r="I600" s="760"/>
      <c r="J600" s="760"/>
      <c r="K600" s="760"/>
    </row>
    <row r="601" spans="1:11">
      <c r="A601" s="760"/>
      <c r="B601" s="760"/>
      <c r="C601" s="760"/>
      <c r="D601" s="760"/>
      <c r="E601" s="760"/>
      <c r="F601" s="760"/>
      <c r="G601" s="760"/>
      <c r="H601" s="760"/>
      <c r="I601" s="760"/>
      <c r="J601" s="760"/>
      <c r="K601" s="760"/>
    </row>
    <row r="602" spans="1:11">
      <c r="A602" s="760"/>
      <c r="B602" s="760"/>
      <c r="C602" s="760"/>
      <c r="D602" s="760"/>
      <c r="E602" s="760"/>
      <c r="F602" s="760"/>
      <c r="G602" s="760"/>
      <c r="H602" s="760"/>
      <c r="I602" s="760"/>
      <c r="J602" s="760"/>
      <c r="K602" s="760"/>
    </row>
    <row r="603" spans="1:11">
      <c r="A603" s="760"/>
      <c r="B603" s="760"/>
      <c r="C603" s="760"/>
      <c r="D603" s="760"/>
      <c r="E603" s="760"/>
      <c r="F603" s="760"/>
      <c r="G603" s="760"/>
      <c r="H603" s="760"/>
      <c r="I603" s="760"/>
      <c r="J603" s="760"/>
      <c r="K603" s="760"/>
    </row>
    <row r="604" spans="1:11">
      <c r="A604" s="760"/>
      <c r="B604" s="760"/>
      <c r="C604" s="760"/>
      <c r="D604" s="760"/>
      <c r="E604" s="760"/>
      <c r="F604" s="760"/>
      <c r="G604" s="760"/>
      <c r="H604" s="760"/>
      <c r="I604" s="760"/>
      <c r="J604" s="760"/>
      <c r="K604" s="760"/>
    </row>
    <row r="605" spans="1:11">
      <c r="A605" s="760"/>
      <c r="B605" s="760"/>
      <c r="C605" s="760"/>
      <c r="D605" s="760"/>
      <c r="E605" s="760"/>
      <c r="F605" s="760"/>
      <c r="G605" s="760"/>
      <c r="H605" s="760"/>
      <c r="I605" s="760"/>
      <c r="J605" s="760"/>
      <c r="K605" s="760"/>
    </row>
    <row r="606" spans="1:11">
      <c r="A606" s="760"/>
      <c r="B606" s="760"/>
      <c r="C606" s="760"/>
      <c r="D606" s="760"/>
      <c r="E606" s="760"/>
      <c r="F606" s="760"/>
      <c r="G606" s="760"/>
      <c r="H606" s="760"/>
      <c r="I606" s="760"/>
      <c r="J606" s="760"/>
      <c r="K606" s="760"/>
    </row>
    <row r="607" spans="1:11">
      <c r="A607" s="760"/>
      <c r="B607" s="760"/>
      <c r="C607" s="760"/>
      <c r="D607" s="760"/>
      <c r="E607" s="760"/>
      <c r="F607" s="760"/>
      <c r="G607" s="760"/>
      <c r="H607" s="760"/>
      <c r="I607" s="760"/>
      <c r="J607" s="760"/>
      <c r="K607" s="760"/>
    </row>
    <row r="608" spans="1:11">
      <c r="A608" s="760"/>
      <c r="B608" s="760"/>
      <c r="C608" s="760"/>
      <c r="D608" s="760"/>
      <c r="E608" s="760"/>
      <c r="F608" s="760"/>
      <c r="G608" s="760"/>
      <c r="H608" s="760"/>
      <c r="I608" s="760"/>
      <c r="J608" s="760"/>
      <c r="K608" s="760"/>
    </row>
    <row r="609" spans="1:11">
      <c r="A609" s="760"/>
      <c r="B609" s="760"/>
      <c r="C609" s="760"/>
      <c r="D609" s="760"/>
      <c r="E609" s="760"/>
      <c r="F609" s="760"/>
      <c r="G609" s="760"/>
      <c r="H609" s="760"/>
      <c r="I609" s="760"/>
      <c r="J609" s="760"/>
      <c r="K609" s="760"/>
    </row>
    <row r="610" spans="1:11">
      <c r="A610" s="760"/>
      <c r="B610" s="760"/>
      <c r="C610" s="760"/>
      <c r="D610" s="760"/>
      <c r="E610" s="760"/>
      <c r="F610" s="760"/>
      <c r="G610" s="760"/>
      <c r="H610" s="760"/>
      <c r="I610" s="760"/>
      <c r="J610" s="760"/>
      <c r="K610" s="760"/>
    </row>
    <row r="611" spans="1:11">
      <c r="A611" s="760"/>
      <c r="B611" s="760"/>
      <c r="C611" s="760"/>
      <c r="D611" s="760"/>
      <c r="E611" s="760"/>
      <c r="F611" s="760"/>
      <c r="G611" s="760"/>
      <c r="H611" s="760"/>
      <c r="I611" s="760"/>
      <c r="J611" s="760"/>
      <c r="K611" s="760"/>
    </row>
    <row r="612" spans="1:11">
      <c r="A612" s="760"/>
      <c r="B612" s="760"/>
      <c r="C612" s="760"/>
      <c r="D612" s="760"/>
      <c r="E612" s="760"/>
      <c r="F612" s="760"/>
      <c r="G612" s="760"/>
      <c r="H612" s="760"/>
      <c r="I612" s="760"/>
      <c r="J612" s="760"/>
      <c r="K612" s="760"/>
    </row>
    <row r="613" spans="1:11">
      <c r="A613" s="760"/>
      <c r="B613" s="760"/>
      <c r="C613" s="760"/>
      <c r="D613" s="760"/>
      <c r="E613" s="760"/>
      <c r="F613" s="760"/>
      <c r="G613" s="760"/>
      <c r="H613" s="760"/>
      <c r="I613" s="760"/>
      <c r="J613" s="760"/>
      <c r="K613" s="760"/>
    </row>
    <row r="614" spans="1:11">
      <c r="A614" s="760"/>
      <c r="B614" s="760"/>
      <c r="C614" s="760"/>
      <c r="D614" s="760"/>
      <c r="E614" s="760"/>
      <c r="F614" s="760"/>
      <c r="G614" s="760"/>
      <c r="H614" s="760"/>
      <c r="I614" s="760"/>
      <c r="J614" s="760"/>
      <c r="K614" s="760"/>
    </row>
    <row r="615" spans="1:11">
      <c r="A615" s="760"/>
      <c r="B615" s="760"/>
      <c r="C615" s="760"/>
      <c r="D615" s="760"/>
      <c r="E615" s="760"/>
      <c r="F615" s="760"/>
      <c r="G615" s="760"/>
      <c r="H615" s="760"/>
      <c r="I615" s="760"/>
      <c r="J615" s="760"/>
      <c r="K615" s="760"/>
    </row>
    <row r="616" spans="1:11">
      <c r="A616" s="760"/>
      <c r="B616" s="760"/>
      <c r="C616" s="760"/>
      <c r="D616" s="760"/>
      <c r="E616" s="760"/>
      <c r="F616" s="760"/>
      <c r="G616" s="760"/>
      <c r="H616" s="760"/>
      <c r="I616" s="760"/>
      <c r="J616" s="760"/>
      <c r="K616" s="760"/>
    </row>
    <row r="617" spans="1:11">
      <c r="A617" s="760"/>
      <c r="B617" s="760"/>
      <c r="C617" s="760"/>
      <c r="D617" s="760"/>
      <c r="E617" s="760"/>
      <c r="F617" s="760"/>
      <c r="G617" s="760"/>
      <c r="H617" s="760"/>
      <c r="I617" s="760"/>
      <c r="J617" s="760"/>
      <c r="K617" s="760"/>
    </row>
    <row r="618" spans="1:11">
      <c r="A618" s="760"/>
      <c r="B618" s="760"/>
      <c r="C618" s="760"/>
      <c r="D618" s="760"/>
      <c r="E618" s="760"/>
      <c r="F618" s="760"/>
      <c r="G618" s="760"/>
      <c r="H618" s="760"/>
      <c r="I618" s="760"/>
      <c r="J618" s="760"/>
      <c r="K618" s="760"/>
    </row>
    <row r="619" spans="1:11">
      <c r="A619" s="760"/>
      <c r="B619" s="760"/>
      <c r="C619" s="760"/>
      <c r="D619" s="760"/>
      <c r="E619" s="760"/>
      <c r="F619" s="760"/>
      <c r="G619" s="760"/>
      <c r="H619" s="760"/>
      <c r="I619" s="760"/>
      <c r="J619" s="760"/>
      <c r="K619" s="760"/>
    </row>
    <row r="620" spans="1:11">
      <c r="A620" s="760"/>
      <c r="B620" s="760"/>
      <c r="C620" s="760"/>
      <c r="D620" s="760"/>
      <c r="E620" s="760"/>
      <c r="F620" s="760"/>
      <c r="G620" s="760"/>
      <c r="H620" s="760"/>
      <c r="I620" s="760"/>
      <c r="J620" s="760"/>
      <c r="K620" s="760"/>
    </row>
    <row r="621" spans="1:11">
      <c r="A621" s="760"/>
      <c r="B621" s="760"/>
      <c r="C621" s="760"/>
      <c r="D621" s="760"/>
      <c r="E621" s="760"/>
      <c r="F621" s="760"/>
      <c r="G621" s="760"/>
      <c r="H621" s="760"/>
      <c r="I621" s="760"/>
      <c r="J621" s="760"/>
      <c r="K621" s="760"/>
    </row>
    <row r="622" spans="1:11">
      <c r="A622" s="760"/>
      <c r="B622" s="760"/>
      <c r="C622" s="760"/>
      <c r="D622" s="760"/>
      <c r="E622" s="760"/>
      <c r="F622" s="760"/>
      <c r="G622" s="760"/>
      <c r="H622" s="760"/>
      <c r="I622" s="760"/>
      <c r="J622" s="760"/>
      <c r="K622" s="760"/>
    </row>
    <row r="623" spans="1:11">
      <c r="A623" s="760"/>
      <c r="B623" s="760"/>
      <c r="C623" s="760"/>
      <c r="D623" s="760"/>
      <c r="E623" s="760"/>
      <c r="F623" s="760"/>
      <c r="G623" s="760"/>
      <c r="H623" s="760"/>
      <c r="I623" s="760"/>
      <c r="J623" s="760"/>
      <c r="K623" s="760"/>
    </row>
    <row r="624" spans="1:11">
      <c r="A624" s="760"/>
      <c r="B624" s="760"/>
      <c r="C624" s="760"/>
      <c r="D624" s="760"/>
      <c r="E624" s="760"/>
      <c r="F624" s="760"/>
      <c r="G624" s="760"/>
      <c r="H624" s="760"/>
      <c r="I624" s="760"/>
      <c r="J624" s="760"/>
      <c r="K624" s="760"/>
    </row>
    <row r="625" spans="1:11">
      <c r="A625" s="760"/>
      <c r="B625" s="760"/>
      <c r="C625" s="760"/>
      <c r="D625" s="760"/>
      <c r="E625" s="760"/>
      <c r="F625" s="760"/>
      <c r="G625" s="760"/>
      <c r="H625" s="760"/>
      <c r="I625" s="760"/>
      <c r="J625" s="760"/>
      <c r="K625" s="760"/>
    </row>
    <row r="626" spans="1:11">
      <c r="A626" s="760"/>
      <c r="B626" s="760"/>
      <c r="C626" s="760"/>
      <c r="D626" s="760"/>
      <c r="E626" s="760"/>
      <c r="F626" s="760"/>
      <c r="G626" s="760"/>
      <c r="H626" s="760"/>
      <c r="I626" s="760"/>
      <c r="J626" s="760"/>
      <c r="K626" s="760"/>
    </row>
    <row r="627" spans="1:11">
      <c r="A627" s="760"/>
      <c r="B627" s="760"/>
      <c r="C627" s="760"/>
      <c r="D627" s="760"/>
      <c r="E627" s="760"/>
      <c r="F627" s="760"/>
      <c r="G627" s="760"/>
      <c r="H627" s="760"/>
      <c r="I627" s="760"/>
      <c r="J627" s="760"/>
      <c r="K627" s="760"/>
    </row>
    <row r="628" spans="1:11">
      <c r="A628" s="760"/>
      <c r="B628" s="760"/>
      <c r="C628" s="760"/>
      <c r="D628" s="760"/>
      <c r="E628" s="760"/>
      <c r="F628" s="760"/>
      <c r="G628" s="760"/>
      <c r="H628" s="760"/>
      <c r="I628" s="760"/>
      <c r="J628" s="760"/>
      <c r="K628" s="760"/>
    </row>
    <row r="629" spans="1:11">
      <c r="A629" s="760"/>
      <c r="B629" s="760"/>
      <c r="C629" s="760"/>
      <c r="D629" s="760"/>
      <c r="E629" s="760"/>
      <c r="F629" s="760"/>
      <c r="G629" s="760"/>
      <c r="H629" s="760"/>
      <c r="I629" s="760"/>
      <c r="J629" s="760"/>
      <c r="K629" s="760"/>
    </row>
    <row r="630" spans="1:11">
      <c r="A630" s="760"/>
      <c r="B630" s="760"/>
      <c r="C630" s="760"/>
      <c r="D630" s="760"/>
      <c r="E630" s="760"/>
      <c r="F630" s="760"/>
      <c r="G630" s="760"/>
      <c r="H630" s="760"/>
      <c r="I630" s="760"/>
      <c r="J630" s="760"/>
      <c r="K630" s="760"/>
    </row>
    <row r="631" spans="1:11">
      <c r="A631" s="760"/>
      <c r="B631" s="760"/>
      <c r="C631" s="760"/>
      <c r="D631" s="760"/>
      <c r="E631" s="760"/>
      <c r="F631" s="760"/>
      <c r="G631" s="760"/>
      <c r="H631" s="760"/>
      <c r="I631" s="760"/>
      <c r="J631" s="760"/>
      <c r="K631" s="760"/>
    </row>
    <row r="632" spans="1:11">
      <c r="A632" s="760"/>
      <c r="B632" s="760"/>
      <c r="C632" s="760"/>
      <c r="D632" s="760"/>
      <c r="E632" s="760"/>
      <c r="F632" s="760"/>
      <c r="G632" s="760"/>
      <c r="H632" s="760"/>
      <c r="I632" s="760"/>
      <c r="J632" s="760"/>
      <c r="K632" s="760"/>
    </row>
    <row r="633" spans="1:11">
      <c r="A633" s="760"/>
      <c r="B633" s="760"/>
      <c r="C633" s="760"/>
      <c r="D633" s="760"/>
      <c r="E633" s="760"/>
      <c r="F633" s="760"/>
      <c r="G633" s="760"/>
      <c r="H633" s="760"/>
      <c r="I633" s="760"/>
      <c r="J633" s="760"/>
      <c r="K633" s="760"/>
    </row>
    <row r="634" spans="1:11">
      <c r="A634" s="760"/>
      <c r="B634" s="760"/>
      <c r="C634" s="760"/>
      <c r="D634" s="760"/>
      <c r="E634" s="760"/>
      <c r="F634" s="760"/>
      <c r="G634" s="760"/>
      <c r="H634" s="760"/>
      <c r="I634" s="760"/>
      <c r="J634" s="760"/>
      <c r="K634" s="760"/>
    </row>
    <row r="635" spans="1:11">
      <c r="A635" s="760"/>
      <c r="B635" s="760"/>
      <c r="C635" s="760"/>
      <c r="D635" s="760"/>
      <c r="E635" s="760"/>
      <c r="F635" s="760"/>
      <c r="G635" s="760"/>
      <c r="H635" s="760"/>
      <c r="I635" s="760"/>
      <c r="J635" s="760"/>
      <c r="K635" s="760"/>
    </row>
    <row r="636" spans="1:11">
      <c r="A636" s="760"/>
      <c r="B636" s="760"/>
      <c r="C636" s="760"/>
      <c r="D636" s="760"/>
      <c r="E636" s="760"/>
      <c r="F636" s="760"/>
      <c r="G636" s="760"/>
      <c r="H636" s="760"/>
      <c r="I636" s="760"/>
      <c r="J636" s="760"/>
      <c r="K636" s="760"/>
    </row>
    <row r="637" spans="1:11">
      <c r="A637" s="760"/>
      <c r="B637" s="760"/>
      <c r="C637" s="760"/>
      <c r="D637" s="760"/>
      <c r="E637" s="760"/>
      <c r="F637" s="760"/>
      <c r="G637" s="760"/>
      <c r="H637" s="760"/>
      <c r="I637" s="760"/>
      <c r="J637" s="760"/>
      <c r="K637" s="760"/>
    </row>
    <row r="638" spans="1:11">
      <c r="A638" s="760"/>
      <c r="B638" s="760"/>
      <c r="C638" s="760"/>
      <c r="D638" s="760"/>
      <c r="E638" s="760"/>
      <c r="F638" s="760"/>
      <c r="G638" s="760"/>
      <c r="H638" s="760"/>
      <c r="I638" s="760"/>
      <c r="J638" s="760"/>
      <c r="K638" s="760"/>
    </row>
    <row r="639" spans="1:11">
      <c r="A639" s="760"/>
      <c r="B639" s="760"/>
      <c r="C639" s="760"/>
      <c r="D639" s="760"/>
      <c r="E639" s="760"/>
      <c r="F639" s="760"/>
      <c r="G639" s="760"/>
      <c r="H639" s="760"/>
      <c r="I639" s="760"/>
      <c r="J639" s="760"/>
      <c r="K639" s="760"/>
    </row>
    <row r="640" spans="1:11">
      <c r="A640" s="760"/>
      <c r="B640" s="760"/>
      <c r="C640" s="760"/>
      <c r="D640" s="760"/>
      <c r="E640" s="760"/>
      <c r="F640" s="760"/>
      <c r="G640" s="760"/>
      <c r="H640" s="760"/>
      <c r="I640" s="760"/>
      <c r="J640" s="760"/>
      <c r="K640" s="760"/>
    </row>
    <row r="641" spans="1:11">
      <c r="A641" s="760"/>
      <c r="B641" s="760"/>
      <c r="C641" s="760"/>
      <c r="D641" s="760"/>
      <c r="E641" s="760"/>
      <c r="F641" s="760"/>
      <c r="G641" s="760"/>
      <c r="H641" s="760"/>
      <c r="I641" s="760"/>
      <c r="J641" s="760"/>
      <c r="K641" s="760"/>
    </row>
    <row r="642" spans="1:11">
      <c r="A642" s="760"/>
      <c r="B642" s="760"/>
      <c r="C642" s="760"/>
      <c r="D642" s="760"/>
      <c r="E642" s="760"/>
      <c r="F642" s="760"/>
      <c r="G642" s="760"/>
      <c r="H642" s="760"/>
      <c r="I642" s="760"/>
      <c r="J642" s="760"/>
      <c r="K642" s="760"/>
    </row>
    <row r="643" spans="1:11">
      <c r="A643" s="760"/>
      <c r="B643" s="760"/>
      <c r="C643" s="760"/>
      <c r="D643" s="760"/>
      <c r="E643" s="760"/>
      <c r="F643" s="760"/>
      <c r="G643" s="760"/>
      <c r="H643" s="760"/>
      <c r="I643" s="760"/>
      <c r="J643" s="760"/>
      <c r="K643" s="760"/>
    </row>
    <row r="644" spans="1:11">
      <c r="A644" s="760"/>
      <c r="B644" s="760"/>
      <c r="C644" s="760"/>
      <c r="D644" s="760"/>
      <c r="E644" s="760"/>
      <c r="F644" s="760"/>
      <c r="G644" s="760"/>
      <c r="H644" s="760"/>
      <c r="I644" s="760"/>
      <c r="J644" s="760"/>
      <c r="K644" s="760"/>
    </row>
    <row r="645" spans="1:11">
      <c r="A645" s="760"/>
      <c r="B645" s="760"/>
      <c r="C645" s="760"/>
      <c r="D645" s="760"/>
      <c r="E645" s="760"/>
      <c r="F645" s="760"/>
      <c r="G645" s="760"/>
      <c r="H645" s="760"/>
      <c r="I645" s="760"/>
      <c r="J645" s="760"/>
      <c r="K645" s="760"/>
    </row>
    <row r="646" spans="1:11">
      <c r="A646" s="760"/>
      <c r="B646" s="760"/>
      <c r="C646" s="760"/>
      <c r="D646" s="760"/>
      <c r="E646" s="760"/>
      <c r="F646" s="760"/>
      <c r="G646" s="760"/>
      <c r="H646" s="760"/>
      <c r="I646" s="760"/>
      <c r="J646" s="760"/>
      <c r="K646" s="760"/>
    </row>
    <row r="647" spans="1:11">
      <c r="A647" s="760"/>
      <c r="B647" s="760"/>
      <c r="C647" s="760"/>
      <c r="D647" s="760"/>
      <c r="E647" s="760"/>
      <c r="F647" s="760"/>
      <c r="G647" s="760"/>
      <c r="H647" s="760"/>
      <c r="I647" s="760"/>
      <c r="J647" s="760"/>
      <c r="K647" s="760"/>
    </row>
    <row r="648" spans="1:11">
      <c r="A648" s="760"/>
      <c r="B648" s="760"/>
      <c r="C648" s="760"/>
      <c r="D648" s="760"/>
      <c r="E648" s="760"/>
      <c r="F648" s="760"/>
      <c r="G648" s="760"/>
      <c r="H648" s="760"/>
      <c r="I648" s="760"/>
      <c r="J648" s="760"/>
      <c r="K648" s="760"/>
    </row>
    <row r="649" spans="1:11">
      <c r="A649" s="760"/>
      <c r="B649" s="760"/>
      <c r="C649" s="760"/>
      <c r="D649" s="760"/>
      <c r="E649" s="760"/>
      <c r="F649" s="760"/>
      <c r="G649" s="760"/>
      <c r="H649" s="760"/>
      <c r="I649" s="760"/>
      <c r="J649" s="760"/>
      <c r="K649" s="760"/>
    </row>
    <row r="650" spans="1:11">
      <c r="A650" s="760"/>
      <c r="B650" s="760"/>
      <c r="C650" s="760"/>
      <c r="D650" s="760"/>
      <c r="E650" s="760"/>
      <c r="F650" s="760"/>
      <c r="G650" s="760"/>
      <c r="H650" s="760"/>
      <c r="I650" s="760"/>
      <c r="J650" s="760"/>
      <c r="K650" s="760"/>
    </row>
    <row r="651" spans="1:11">
      <c r="A651" s="760"/>
      <c r="B651" s="760"/>
      <c r="C651" s="760"/>
      <c r="D651" s="760"/>
      <c r="E651" s="760"/>
      <c r="F651" s="760"/>
      <c r="G651" s="760"/>
      <c r="H651" s="760"/>
      <c r="I651" s="760"/>
      <c r="J651" s="760"/>
      <c r="K651" s="760"/>
    </row>
    <row r="652" spans="1:11">
      <c r="A652" s="760"/>
      <c r="B652" s="760"/>
      <c r="C652" s="760"/>
      <c r="D652" s="760"/>
      <c r="E652" s="760"/>
      <c r="F652" s="760"/>
      <c r="G652" s="760"/>
      <c r="H652" s="760"/>
      <c r="I652" s="760"/>
      <c r="J652" s="760"/>
      <c r="K652" s="760"/>
    </row>
    <row r="653" spans="1:11">
      <c r="A653" s="760"/>
      <c r="B653" s="760"/>
      <c r="C653" s="760"/>
      <c r="D653" s="760"/>
      <c r="E653" s="760"/>
      <c r="F653" s="760"/>
      <c r="G653" s="760"/>
      <c r="H653" s="760"/>
      <c r="I653" s="760"/>
      <c r="J653" s="760"/>
      <c r="K653" s="760"/>
    </row>
    <row r="654" spans="1:11">
      <c r="A654" s="760"/>
      <c r="B654" s="760"/>
      <c r="C654" s="760"/>
      <c r="D654" s="760"/>
      <c r="E654" s="760"/>
      <c r="F654" s="760"/>
      <c r="G654" s="760"/>
      <c r="H654" s="760"/>
      <c r="I654" s="760"/>
      <c r="J654" s="760"/>
      <c r="K654" s="760"/>
    </row>
    <row r="655" spans="1:11">
      <c r="A655" s="760"/>
      <c r="B655" s="760"/>
      <c r="C655" s="760"/>
      <c r="D655" s="760"/>
      <c r="E655" s="760"/>
      <c r="F655" s="760"/>
      <c r="G655" s="760"/>
      <c r="H655" s="760"/>
      <c r="I655" s="760"/>
      <c r="J655" s="760"/>
      <c r="K655" s="760"/>
    </row>
    <row r="656" spans="1:11">
      <c r="A656" s="760"/>
      <c r="B656" s="760"/>
      <c r="C656" s="760"/>
      <c r="D656" s="760"/>
      <c r="E656" s="760"/>
      <c r="F656" s="760"/>
      <c r="G656" s="760"/>
      <c r="H656" s="760"/>
      <c r="I656" s="760"/>
      <c r="J656" s="760"/>
      <c r="K656" s="760"/>
    </row>
    <row r="657" spans="1:11">
      <c r="A657" s="760"/>
      <c r="B657" s="760"/>
      <c r="C657" s="760"/>
      <c r="D657" s="760"/>
      <c r="E657" s="760"/>
      <c r="F657" s="760"/>
      <c r="G657" s="760"/>
      <c r="H657" s="760"/>
      <c r="I657" s="760"/>
      <c r="J657" s="760"/>
      <c r="K657" s="760"/>
    </row>
    <row r="658" spans="1:11">
      <c r="A658" s="760"/>
      <c r="B658" s="760"/>
      <c r="C658" s="760"/>
      <c r="D658" s="760"/>
      <c r="E658" s="760"/>
      <c r="F658" s="760"/>
      <c r="G658" s="760"/>
      <c r="H658" s="760"/>
      <c r="I658" s="760"/>
      <c r="J658" s="760"/>
      <c r="K658" s="760"/>
    </row>
    <row r="659" spans="1:11">
      <c r="A659" s="760"/>
      <c r="B659" s="760"/>
      <c r="C659" s="760"/>
      <c r="D659" s="760"/>
      <c r="E659" s="760"/>
      <c r="F659" s="760"/>
      <c r="G659" s="760"/>
      <c r="H659" s="760"/>
      <c r="I659" s="760"/>
      <c r="J659" s="760"/>
      <c r="K659" s="760"/>
    </row>
    <row r="660" spans="1:11">
      <c r="A660" s="760"/>
      <c r="B660" s="760"/>
      <c r="C660" s="760"/>
      <c r="D660" s="760"/>
      <c r="E660" s="760"/>
      <c r="F660" s="760"/>
      <c r="G660" s="760"/>
      <c r="H660" s="760"/>
      <c r="I660" s="760"/>
      <c r="J660" s="760"/>
      <c r="K660" s="760"/>
    </row>
    <row r="661" spans="1:11">
      <c r="A661" s="760"/>
      <c r="B661" s="760"/>
      <c r="C661" s="760"/>
      <c r="D661" s="760"/>
      <c r="E661" s="760"/>
      <c r="F661" s="760"/>
      <c r="G661" s="760"/>
      <c r="H661" s="760"/>
      <c r="I661" s="760"/>
      <c r="J661" s="760"/>
      <c r="K661" s="760"/>
    </row>
    <row r="662" spans="1:11">
      <c r="A662" s="760"/>
      <c r="B662" s="760"/>
      <c r="C662" s="760"/>
      <c r="D662" s="760"/>
      <c r="E662" s="760"/>
      <c r="F662" s="760"/>
      <c r="G662" s="760"/>
      <c r="H662" s="760"/>
      <c r="I662" s="760"/>
      <c r="J662" s="760"/>
      <c r="K662" s="760"/>
    </row>
    <row r="663" spans="1:11">
      <c r="A663" s="760"/>
      <c r="B663" s="760"/>
      <c r="C663" s="760"/>
      <c r="D663" s="760"/>
      <c r="E663" s="760"/>
      <c r="F663" s="760"/>
      <c r="G663" s="760"/>
      <c r="H663" s="760"/>
      <c r="I663" s="760"/>
      <c r="J663" s="760"/>
      <c r="K663" s="760"/>
    </row>
    <row r="664" spans="1:11">
      <c r="A664" s="760"/>
      <c r="B664" s="760"/>
      <c r="C664" s="760"/>
      <c r="D664" s="760"/>
      <c r="E664" s="760"/>
      <c r="F664" s="760"/>
      <c r="G664" s="760"/>
      <c r="H664" s="760"/>
      <c r="I664" s="760"/>
      <c r="J664" s="760"/>
      <c r="K664" s="760"/>
    </row>
    <row r="665" spans="1:11">
      <c r="A665" s="760"/>
      <c r="B665" s="760"/>
      <c r="C665" s="760"/>
      <c r="D665" s="760"/>
      <c r="E665" s="760"/>
      <c r="F665" s="760"/>
      <c r="G665" s="760"/>
      <c r="H665" s="760"/>
      <c r="I665" s="760"/>
      <c r="J665" s="760"/>
      <c r="K665" s="760"/>
    </row>
    <row r="666" spans="1:11">
      <c r="A666" s="760"/>
      <c r="B666" s="760"/>
      <c r="C666" s="760"/>
      <c r="D666" s="760"/>
      <c r="E666" s="760"/>
      <c r="F666" s="760"/>
      <c r="G666" s="760"/>
      <c r="H666" s="760"/>
      <c r="I666" s="760"/>
      <c r="J666" s="760"/>
      <c r="K666" s="760"/>
    </row>
    <row r="667" spans="1:11">
      <c r="A667" s="760"/>
      <c r="B667" s="760"/>
      <c r="C667" s="760"/>
      <c r="D667" s="760"/>
      <c r="E667" s="760"/>
      <c r="F667" s="760"/>
      <c r="G667" s="760"/>
      <c r="H667" s="760"/>
      <c r="I667" s="760"/>
      <c r="J667" s="760"/>
      <c r="K667" s="760"/>
    </row>
    <row r="668" spans="1:11">
      <c r="A668" s="760"/>
      <c r="B668" s="760"/>
      <c r="C668" s="760"/>
      <c r="D668" s="760"/>
      <c r="E668" s="760"/>
      <c r="F668" s="760"/>
      <c r="G668" s="760"/>
      <c r="H668" s="760"/>
      <c r="I668" s="760"/>
      <c r="J668" s="760"/>
      <c r="K668" s="760"/>
    </row>
    <row r="669" spans="1:11">
      <c r="A669" s="760"/>
      <c r="B669" s="760"/>
      <c r="C669" s="760"/>
      <c r="D669" s="760"/>
      <c r="E669" s="760"/>
      <c r="F669" s="760"/>
      <c r="G669" s="760"/>
      <c r="H669" s="760"/>
      <c r="I669" s="760"/>
      <c r="J669" s="760"/>
      <c r="K669" s="760"/>
    </row>
    <row r="670" spans="1:11">
      <c r="A670" s="760"/>
      <c r="B670" s="760"/>
      <c r="C670" s="760"/>
      <c r="D670" s="760"/>
      <c r="E670" s="760"/>
      <c r="F670" s="760"/>
      <c r="G670" s="760"/>
      <c r="H670" s="760"/>
      <c r="I670" s="760"/>
      <c r="J670" s="760"/>
      <c r="K670" s="760"/>
    </row>
    <row r="671" spans="1:11">
      <c r="A671" s="760"/>
      <c r="B671" s="760"/>
      <c r="C671" s="760"/>
      <c r="D671" s="760"/>
      <c r="E671" s="760"/>
      <c r="F671" s="760"/>
      <c r="G671" s="760"/>
      <c r="H671" s="760"/>
      <c r="I671" s="760"/>
      <c r="J671" s="760"/>
      <c r="K671" s="760"/>
    </row>
    <row r="672" spans="1:11">
      <c r="A672" s="760"/>
      <c r="B672" s="760"/>
      <c r="C672" s="760"/>
      <c r="D672" s="760"/>
      <c r="E672" s="760"/>
      <c r="F672" s="760"/>
      <c r="G672" s="760"/>
      <c r="H672" s="760"/>
      <c r="I672" s="760"/>
      <c r="J672" s="760"/>
      <c r="K672" s="760"/>
    </row>
    <row r="673" spans="1:11">
      <c r="A673" s="760"/>
      <c r="B673" s="760"/>
      <c r="C673" s="760"/>
      <c r="D673" s="760"/>
      <c r="E673" s="760"/>
      <c r="F673" s="760"/>
      <c r="G673" s="760"/>
      <c r="H673" s="760"/>
      <c r="I673" s="760"/>
      <c r="J673" s="760"/>
      <c r="K673" s="760"/>
    </row>
    <row r="674" spans="1:11">
      <c r="A674" s="760"/>
      <c r="B674" s="760"/>
      <c r="C674" s="760"/>
      <c r="D674" s="760"/>
      <c r="E674" s="760"/>
      <c r="F674" s="760"/>
      <c r="G674" s="760"/>
      <c r="H674" s="760"/>
      <c r="I674" s="760"/>
      <c r="J674" s="760"/>
      <c r="K674" s="760"/>
    </row>
    <row r="675" spans="1:11">
      <c r="A675" s="760"/>
      <c r="B675" s="760"/>
      <c r="C675" s="760"/>
      <c r="D675" s="760"/>
      <c r="E675" s="760"/>
      <c r="F675" s="760"/>
      <c r="G675" s="760"/>
      <c r="H675" s="760"/>
      <c r="I675" s="760"/>
      <c r="J675" s="760"/>
      <c r="K675" s="760"/>
    </row>
    <row r="676" spans="1:11">
      <c r="A676" s="760"/>
      <c r="B676" s="760"/>
      <c r="C676" s="760"/>
      <c r="D676" s="760"/>
      <c r="E676" s="760"/>
      <c r="F676" s="760"/>
      <c r="G676" s="760"/>
      <c r="H676" s="760"/>
      <c r="I676" s="760"/>
      <c r="J676" s="760"/>
      <c r="K676" s="760"/>
    </row>
    <row r="677" spans="1:11">
      <c r="A677" s="760"/>
      <c r="B677" s="760"/>
      <c r="C677" s="760"/>
      <c r="D677" s="760"/>
      <c r="E677" s="760"/>
      <c r="F677" s="760"/>
      <c r="G677" s="760"/>
      <c r="H677" s="760"/>
      <c r="I677" s="760"/>
      <c r="J677" s="760"/>
      <c r="K677" s="760"/>
    </row>
    <row r="678" spans="1:11">
      <c r="A678" s="760"/>
      <c r="B678" s="760"/>
      <c r="C678" s="760"/>
      <c r="D678" s="760"/>
      <c r="E678" s="760"/>
      <c r="F678" s="760"/>
      <c r="G678" s="760"/>
      <c r="H678" s="760"/>
      <c r="I678" s="760"/>
      <c r="J678" s="760"/>
      <c r="K678" s="760"/>
    </row>
    <row r="679" spans="1:11">
      <c r="A679" s="760"/>
      <c r="B679" s="760"/>
      <c r="C679" s="760"/>
      <c r="D679" s="760"/>
      <c r="E679" s="760"/>
      <c r="F679" s="760"/>
      <c r="G679" s="760"/>
      <c r="H679" s="760"/>
      <c r="I679" s="760"/>
      <c r="J679" s="760"/>
      <c r="K679" s="760"/>
    </row>
    <row r="680" spans="1:11">
      <c r="A680" s="760"/>
      <c r="B680" s="760"/>
      <c r="C680" s="760"/>
      <c r="D680" s="760"/>
      <c r="E680" s="760"/>
      <c r="F680" s="760"/>
      <c r="G680" s="760"/>
      <c r="H680" s="760"/>
      <c r="I680" s="760"/>
      <c r="J680" s="760"/>
      <c r="K680" s="760"/>
    </row>
    <row r="681" spans="1:11">
      <c r="A681" s="760"/>
      <c r="B681" s="760"/>
      <c r="C681" s="760"/>
      <c r="D681" s="760"/>
      <c r="E681" s="760"/>
      <c r="F681" s="760"/>
      <c r="G681" s="760"/>
      <c r="H681" s="760"/>
      <c r="I681" s="760"/>
      <c r="J681" s="760"/>
      <c r="K681" s="760"/>
    </row>
    <row r="682" spans="1:11">
      <c r="A682" s="760"/>
      <c r="B682" s="760"/>
      <c r="C682" s="760"/>
      <c r="D682" s="760"/>
      <c r="E682" s="760"/>
      <c r="F682" s="760"/>
      <c r="G682" s="760"/>
      <c r="H682" s="760"/>
      <c r="I682" s="760"/>
      <c r="J682" s="760"/>
      <c r="K682" s="760"/>
    </row>
    <row r="683" spans="1:11">
      <c r="A683" s="760"/>
      <c r="B683" s="760"/>
      <c r="C683" s="760"/>
      <c r="D683" s="760"/>
      <c r="E683" s="760"/>
      <c r="F683" s="760"/>
      <c r="G683" s="760"/>
      <c r="H683" s="760"/>
      <c r="I683" s="760"/>
      <c r="J683" s="760"/>
      <c r="K683" s="760"/>
    </row>
    <row r="684" spans="1:11">
      <c r="A684" s="760"/>
      <c r="B684" s="760"/>
      <c r="C684" s="760"/>
      <c r="D684" s="760"/>
      <c r="E684" s="760"/>
      <c r="F684" s="760"/>
      <c r="G684" s="760"/>
      <c r="H684" s="760"/>
      <c r="I684" s="760"/>
      <c r="J684" s="760"/>
      <c r="K684" s="760"/>
    </row>
    <row r="685" spans="1:11">
      <c r="A685" s="760"/>
      <c r="B685" s="760"/>
      <c r="C685" s="760"/>
      <c r="D685" s="760"/>
      <c r="E685" s="760"/>
      <c r="F685" s="760"/>
      <c r="G685" s="760"/>
      <c r="H685" s="760"/>
      <c r="I685" s="760"/>
      <c r="J685" s="760"/>
      <c r="K685" s="760"/>
    </row>
    <row r="686" spans="1:11">
      <c r="A686" s="760"/>
      <c r="B686" s="760"/>
      <c r="C686" s="760"/>
      <c r="D686" s="760"/>
      <c r="E686" s="760"/>
      <c r="F686" s="760"/>
      <c r="G686" s="760"/>
      <c r="H686" s="760"/>
      <c r="I686" s="760"/>
      <c r="J686" s="760"/>
      <c r="K686" s="760"/>
    </row>
    <row r="687" spans="1:11">
      <c r="A687" s="760"/>
      <c r="B687" s="760"/>
      <c r="C687" s="760"/>
      <c r="D687" s="760"/>
      <c r="E687" s="760"/>
      <c r="F687" s="760"/>
      <c r="G687" s="760"/>
      <c r="H687" s="760"/>
      <c r="I687" s="760"/>
      <c r="J687" s="760"/>
      <c r="K687" s="760"/>
    </row>
    <row r="688" spans="1:11">
      <c r="A688" s="760"/>
      <c r="B688" s="760"/>
      <c r="C688" s="760"/>
      <c r="D688" s="760"/>
      <c r="E688" s="760"/>
      <c r="F688" s="760"/>
      <c r="G688" s="760"/>
      <c r="H688" s="760"/>
      <c r="I688" s="760"/>
      <c r="J688" s="760"/>
      <c r="K688" s="760"/>
    </row>
    <row r="689" spans="1:11">
      <c r="A689" s="760"/>
      <c r="B689" s="760"/>
      <c r="C689" s="760"/>
      <c r="D689" s="760"/>
      <c r="E689" s="760"/>
      <c r="F689" s="760"/>
      <c r="G689" s="760"/>
      <c r="H689" s="760"/>
      <c r="I689" s="760"/>
      <c r="J689" s="760"/>
      <c r="K689" s="760"/>
    </row>
    <row r="690" spans="1:11">
      <c r="A690" s="760"/>
      <c r="B690" s="760"/>
      <c r="C690" s="760"/>
      <c r="D690" s="760"/>
      <c r="E690" s="760"/>
      <c r="F690" s="760"/>
      <c r="G690" s="760"/>
      <c r="H690" s="760"/>
      <c r="I690" s="760"/>
      <c r="J690" s="760"/>
      <c r="K690" s="760"/>
    </row>
    <row r="691" spans="1:11">
      <c r="A691" s="760"/>
      <c r="B691" s="760"/>
      <c r="C691" s="760"/>
      <c r="D691" s="760"/>
      <c r="E691" s="760"/>
      <c r="F691" s="760"/>
      <c r="G691" s="760"/>
      <c r="H691" s="760"/>
      <c r="I691" s="760"/>
      <c r="J691" s="760"/>
      <c r="K691" s="760"/>
    </row>
    <row r="692" spans="1:11">
      <c r="A692" s="760"/>
      <c r="B692" s="760"/>
      <c r="C692" s="760"/>
      <c r="D692" s="760"/>
      <c r="E692" s="760"/>
      <c r="F692" s="760"/>
      <c r="G692" s="760"/>
      <c r="H692" s="760"/>
      <c r="I692" s="760"/>
      <c r="J692" s="760"/>
      <c r="K692" s="760"/>
    </row>
    <row r="693" spans="1:11">
      <c r="A693" s="760"/>
      <c r="B693" s="760"/>
      <c r="C693" s="760"/>
      <c r="D693" s="760"/>
      <c r="E693" s="760"/>
      <c r="F693" s="760"/>
      <c r="G693" s="760"/>
      <c r="H693" s="760"/>
      <c r="I693" s="760"/>
      <c r="J693" s="760"/>
      <c r="K693" s="760"/>
    </row>
    <row r="694" spans="1:11">
      <c r="A694" s="760"/>
      <c r="B694" s="760"/>
      <c r="C694" s="760"/>
      <c r="D694" s="760"/>
      <c r="E694" s="760"/>
      <c r="F694" s="760"/>
      <c r="G694" s="760"/>
      <c r="H694" s="760"/>
      <c r="I694" s="760"/>
      <c r="J694" s="760"/>
      <c r="K694" s="760"/>
    </row>
    <row r="695" spans="1:11">
      <c r="A695" s="760"/>
      <c r="B695" s="760"/>
      <c r="C695" s="760"/>
      <c r="D695" s="760"/>
      <c r="E695" s="760"/>
      <c r="F695" s="760"/>
      <c r="G695" s="760"/>
      <c r="H695" s="760"/>
      <c r="I695" s="760"/>
      <c r="J695" s="760"/>
      <c r="K695" s="760"/>
    </row>
    <row r="696" spans="1:11">
      <c r="A696" s="760"/>
      <c r="B696" s="760"/>
      <c r="C696" s="760"/>
      <c r="D696" s="760"/>
      <c r="E696" s="760"/>
      <c r="F696" s="760"/>
      <c r="G696" s="760"/>
      <c r="H696" s="760"/>
      <c r="I696" s="760"/>
      <c r="J696" s="760"/>
      <c r="K696" s="760"/>
    </row>
    <row r="697" spans="1:11">
      <c r="A697" s="760"/>
      <c r="B697" s="760"/>
      <c r="C697" s="760"/>
      <c r="D697" s="760"/>
      <c r="E697" s="760"/>
      <c r="F697" s="760"/>
      <c r="G697" s="760"/>
      <c r="H697" s="760"/>
      <c r="I697" s="760"/>
      <c r="J697" s="760"/>
      <c r="K697" s="760"/>
    </row>
    <row r="698" spans="1:11">
      <c r="A698" s="760"/>
      <c r="B698" s="760"/>
      <c r="C698" s="760"/>
      <c r="D698" s="760"/>
      <c r="E698" s="760"/>
      <c r="F698" s="760"/>
      <c r="G698" s="760"/>
      <c r="H698" s="760"/>
      <c r="I698" s="760"/>
      <c r="J698" s="760"/>
      <c r="K698" s="760"/>
    </row>
    <row r="699" spans="1:11">
      <c r="A699" s="760"/>
      <c r="B699" s="760"/>
      <c r="C699" s="760"/>
      <c r="D699" s="760"/>
      <c r="E699" s="760"/>
      <c r="F699" s="760"/>
      <c r="G699" s="760"/>
      <c r="H699" s="760"/>
      <c r="I699" s="760"/>
      <c r="J699" s="760"/>
      <c r="K699" s="760"/>
    </row>
    <row r="700" spans="1:11">
      <c r="A700" s="760"/>
      <c r="B700" s="760"/>
      <c r="C700" s="760"/>
      <c r="D700" s="760"/>
      <c r="E700" s="760"/>
      <c r="F700" s="760"/>
      <c r="G700" s="760"/>
      <c r="H700" s="760"/>
      <c r="I700" s="760"/>
      <c r="J700" s="760"/>
      <c r="K700" s="760"/>
    </row>
    <row r="701" spans="1:11">
      <c r="A701" s="760"/>
      <c r="B701" s="760"/>
      <c r="C701" s="760"/>
      <c r="D701" s="760"/>
      <c r="E701" s="760"/>
      <c r="F701" s="760"/>
      <c r="G701" s="760"/>
      <c r="H701" s="760"/>
      <c r="I701" s="760"/>
      <c r="J701" s="760"/>
      <c r="K701" s="760"/>
    </row>
    <row r="702" spans="1:11">
      <c r="A702" s="760"/>
      <c r="B702" s="760"/>
      <c r="C702" s="760"/>
      <c r="D702" s="760"/>
      <c r="E702" s="760"/>
      <c r="F702" s="760"/>
      <c r="G702" s="760"/>
      <c r="H702" s="760"/>
      <c r="I702" s="760"/>
      <c r="J702" s="760"/>
      <c r="K702" s="760"/>
    </row>
    <row r="703" spans="1:11">
      <c r="A703" s="760"/>
      <c r="B703" s="760"/>
      <c r="C703" s="760"/>
      <c r="D703" s="760"/>
      <c r="E703" s="760"/>
      <c r="F703" s="760"/>
      <c r="G703" s="760"/>
      <c r="H703" s="760"/>
      <c r="I703" s="760"/>
      <c r="J703" s="760"/>
      <c r="K703" s="760"/>
    </row>
    <row r="704" spans="1:11">
      <c r="A704" s="760"/>
      <c r="B704" s="760"/>
      <c r="C704" s="760"/>
      <c r="D704" s="760"/>
      <c r="E704" s="760"/>
      <c r="F704" s="760"/>
      <c r="G704" s="760"/>
      <c r="H704" s="760"/>
      <c r="I704" s="760"/>
      <c r="J704" s="760"/>
      <c r="K704" s="760"/>
    </row>
    <row r="705" spans="1:11">
      <c r="A705" s="760"/>
      <c r="B705" s="760"/>
      <c r="C705" s="760"/>
      <c r="D705" s="760"/>
      <c r="E705" s="760"/>
      <c r="F705" s="760"/>
      <c r="G705" s="760"/>
      <c r="H705" s="760"/>
      <c r="I705" s="760"/>
      <c r="J705" s="760"/>
      <c r="K705" s="760"/>
    </row>
    <row r="706" spans="1:11">
      <c r="A706" s="760"/>
      <c r="B706" s="760"/>
      <c r="C706" s="760"/>
      <c r="D706" s="760"/>
      <c r="E706" s="760"/>
      <c r="F706" s="760"/>
      <c r="G706" s="760"/>
      <c r="H706" s="760"/>
      <c r="I706" s="760"/>
      <c r="J706" s="760"/>
      <c r="K706" s="760"/>
    </row>
    <row r="707" spans="1:11">
      <c r="A707" s="760"/>
      <c r="B707" s="760"/>
      <c r="C707" s="760"/>
      <c r="D707" s="760"/>
      <c r="E707" s="760"/>
      <c r="F707" s="760"/>
      <c r="G707" s="760"/>
      <c r="H707" s="760"/>
      <c r="I707" s="760"/>
      <c r="J707" s="760"/>
      <c r="K707" s="760"/>
    </row>
    <row r="708" spans="1:11">
      <c r="A708" s="760"/>
      <c r="B708" s="760"/>
      <c r="C708" s="760"/>
      <c r="D708" s="760"/>
      <c r="E708" s="760"/>
      <c r="F708" s="760"/>
      <c r="G708" s="760"/>
      <c r="H708" s="760"/>
      <c r="I708" s="760"/>
      <c r="J708" s="760"/>
      <c r="K708" s="760"/>
    </row>
    <row r="709" spans="1:11">
      <c r="A709" s="760"/>
      <c r="B709" s="760"/>
      <c r="C709" s="760"/>
      <c r="D709" s="760"/>
      <c r="E709" s="760"/>
      <c r="F709" s="760"/>
      <c r="G709" s="760"/>
      <c r="H709" s="760"/>
      <c r="I709" s="760"/>
      <c r="J709" s="760"/>
      <c r="K709" s="760"/>
    </row>
    <row r="710" spans="1:11">
      <c r="A710" s="760"/>
      <c r="B710" s="760"/>
      <c r="C710" s="760"/>
      <c r="D710" s="760"/>
      <c r="E710" s="760"/>
      <c r="F710" s="760"/>
      <c r="G710" s="760"/>
      <c r="H710" s="760"/>
      <c r="I710" s="760"/>
      <c r="J710" s="760"/>
      <c r="K710" s="760"/>
    </row>
    <row r="711" spans="1:11">
      <c r="A711" s="760"/>
      <c r="B711" s="760"/>
      <c r="C711" s="760"/>
      <c r="D711" s="760"/>
      <c r="E711" s="760"/>
      <c r="F711" s="760"/>
      <c r="G711" s="760"/>
      <c r="H711" s="760"/>
      <c r="I711" s="760"/>
      <c r="J711" s="760"/>
      <c r="K711" s="760"/>
    </row>
    <row r="712" spans="1:11">
      <c r="A712" s="760"/>
      <c r="B712" s="760"/>
      <c r="C712" s="760"/>
      <c r="D712" s="760"/>
      <c r="E712" s="760"/>
      <c r="F712" s="760"/>
      <c r="G712" s="760"/>
      <c r="H712" s="760"/>
      <c r="I712" s="760"/>
      <c r="J712" s="760"/>
      <c r="K712" s="760"/>
    </row>
    <row r="713" spans="1:11">
      <c r="A713" s="760"/>
      <c r="B713" s="760"/>
      <c r="C713" s="760"/>
      <c r="D713" s="760"/>
      <c r="E713" s="760"/>
      <c r="F713" s="760"/>
      <c r="G713" s="760"/>
      <c r="H713" s="760"/>
      <c r="I713" s="760"/>
      <c r="J713" s="760"/>
      <c r="K713" s="760"/>
    </row>
    <row r="714" spans="1:11">
      <c r="A714" s="760"/>
      <c r="B714" s="760"/>
      <c r="C714" s="760"/>
      <c r="D714" s="760"/>
      <c r="E714" s="760"/>
      <c r="F714" s="760"/>
      <c r="G714" s="760"/>
      <c r="H714" s="760"/>
      <c r="I714" s="760"/>
      <c r="J714" s="760"/>
      <c r="K714" s="760"/>
    </row>
    <row r="715" spans="1:11">
      <c r="A715" s="760"/>
      <c r="B715" s="760"/>
      <c r="C715" s="760"/>
      <c r="D715" s="760"/>
      <c r="E715" s="760"/>
      <c r="F715" s="760"/>
      <c r="G715" s="760"/>
      <c r="H715" s="760"/>
      <c r="I715" s="760"/>
      <c r="J715" s="760"/>
      <c r="K715" s="760"/>
    </row>
    <row r="716" spans="1:11">
      <c r="A716" s="760"/>
      <c r="B716" s="760"/>
      <c r="C716" s="760"/>
      <c r="D716" s="760"/>
      <c r="E716" s="760"/>
      <c r="F716" s="760"/>
      <c r="G716" s="760"/>
      <c r="H716" s="760"/>
      <c r="I716" s="760"/>
      <c r="J716" s="760"/>
      <c r="K716" s="760"/>
    </row>
    <row r="717" spans="1:11">
      <c r="A717" s="760"/>
      <c r="B717" s="760"/>
      <c r="C717" s="760"/>
      <c r="D717" s="760"/>
      <c r="E717" s="760"/>
      <c r="F717" s="760"/>
      <c r="G717" s="760"/>
      <c r="H717" s="760"/>
      <c r="I717" s="760"/>
      <c r="J717" s="760"/>
      <c r="K717" s="760"/>
    </row>
    <row r="718" spans="1:11">
      <c r="A718" s="760"/>
      <c r="B718" s="760"/>
      <c r="C718" s="760"/>
      <c r="D718" s="760"/>
      <c r="E718" s="760"/>
      <c r="F718" s="760"/>
      <c r="G718" s="760"/>
      <c r="H718" s="760"/>
      <c r="I718" s="760"/>
      <c r="J718" s="760"/>
      <c r="K718" s="760"/>
    </row>
    <row r="719" spans="1:11">
      <c r="A719" s="760"/>
      <c r="B719" s="760"/>
      <c r="C719" s="760"/>
      <c r="D719" s="760"/>
      <c r="E719" s="760"/>
      <c r="F719" s="760"/>
      <c r="G719" s="760"/>
      <c r="H719" s="760"/>
      <c r="I719" s="760"/>
      <c r="J719" s="760"/>
      <c r="K719" s="760"/>
    </row>
    <row r="720" spans="1:11">
      <c r="A720" s="760"/>
      <c r="B720" s="760"/>
      <c r="C720" s="760"/>
      <c r="D720" s="760"/>
      <c r="E720" s="760"/>
      <c r="F720" s="760"/>
      <c r="G720" s="760"/>
      <c r="H720" s="760"/>
      <c r="I720" s="760"/>
      <c r="J720" s="760"/>
      <c r="K720" s="760"/>
    </row>
    <row r="721" spans="1:11">
      <c r="A721" s="760"/>
      <c r="B721" s="760"/>
      <c r="C721" s="760"/>
      <c r="D721" s="760"/>
      <c r="E721" s="760"/>
      <c r="F721" s="760"/>
      <c r="G721" s="760"/>
      <c r="H721" s="760"/>
      <c r="I721" s="760"/>
      <c r="J721" s="760"/>
      <c r="K721" s="760"/>
    </row>
    <row r="722" spans="1:11">
      <c r="A722" s="760"/>
      <c r="B722" s="760"/>
      <c r="C722" s="760"/>
      <c r="D722" s="760"/>
      <c r="E722" s="760"/>
      <c r="F722" s="760"/>
      <c r="G722" s="760"/>
      <c r="H722" s="760"/>
      <c r="I722" s="760"/>
      <c r="J722" s="760"/>
      <c r="K722" s="760"/>
    </row>
    <row r="723" spans="1:11">
      <c r="A723" s="760"/>
      <c r="B723" s="760"/>
      <c r="C723" s="760"/>
      <c r="D723" s="760"/>
      <c r="E723" s="760"/>
      <c r="F723" s="760"/>
      <c r="G723" s="760"/>
      <c r="H723" s="760"/>
      <c r="I723" s="760"/>
      <c r="J723" s="760"/>
      <c r="K723" s="760"/>
    </row>
    <row r="724" spans="1:11">
      <c r="A724" s="760"/>
      <c r="B724" s="760"/>
      <c r="C724" s="760"/>
      <c r="D724" s="760"/>
      <c r="E724" s="760"/>
      <c r="F724" s="760"/>
      <c r="G724" s="760"/>
      <c r="H724" s="760"/>
      <c r="I724" s="760"/>
      <c r="J724" s="760"/>
      <c r="K724" s="760"/>
    </row>
    <row r="725" spans="1:11">
      <c r="A725" s="760"/>
      <c r="B725" s="760"/>
      <c r="C725" s="760"/>
      <c r="D725" s="760"/>
      <c r="E725" s="760"/>
      <c r="F725" s="760"/>
      <c r="G725" s="760"/>
      <c r="H725" s="760"/>
      <c r="I725" s="760"/>
      <c r="J725" s="760"/>
      <c r="K725" s="760"/>
    </row>
    <row r="726" spans="1:11">
      <c r="A726" s="760"/>
      <c r="B726" s="760"/>
      <c r="C726" s="760"/>
      <c r="D726" s="760"/>
      <c r="E726" s="760"/>
      <c r="F726" s="760"/>
      <c r="G726" s="760"/>
      <c r="H726" s="760"/>
      <c r="I726" s="760"/>
      <c r="J726" s="760"/>
      <c r="K726" s="760"/>
    </row>
    <row r="727" spans="1:11">
      <c r="A727" s="760"/>
      <c r="B727" s="760"/>
      <c r="C727" s="760"/>
      <c r="D727" s="760"/>
      <c r="E727" s="760"/>
      <c r="F727" s="760"/>
      <c r="G727" s="760"/>
      <c r="H727" s="760"/>
      <c r="I727" s="760"/>
      <c r="J727" s="760"/>
      <c r="K727" s="760"/>
    </row>
    <row r="728" spans="1:11">
      <c r="A728" s="760"/>
      <c r="B728" s="760"/>
      <c r="C728" s="760"/>
      <c r="D728" s="760"/>
      <c r="E728" s="760"/>
      <c r="F728" s="760"/>
      <c r="G728" s="760"/>
      <c r="H728" s="760"/>
      <c r="I728" s="760"/>
      <c r="J728" s="760"/>
      <c r="K728" s="760"/>
    </row>
    <row r="729" spans="1:11">
      <c r="A729" s="760"/>
      <c r="B729" s="760"/>
      <c r="C729" s="760"/>
      <c r="D729" s="760"/>
      <c r="E729" s="760"/>
      <c r="F729" s="760"/>
      <c r="G729" s="760"/>
      <c r="H729" s="760"/>
      <c r="I729" s="760"/>
      <c r="J729" s="760"/>
      <c r="K729" s="760"/>
    </row>
    <row r="730" spans="1:11">
      <c r="A730" s="760"/>
      <c r="B730" s="760"/>
      <c r="C730" s="760"/>
      <c r="D730" s="760"/>
      <c r="E730" s="760"/>
      <c r="F730" s="760"/>
      <c r="G730" s="760"/>
      <c r="H730" s="760"/>
      <c r="I730" s="760"/>
      <c r="J730" s="760"/>
      <c r="K730" s="760"/>
    </row>
    <row r="731" spans="1:11">
      <c r="A731" s="760"/>
      <c r="B731" s="760"/>
      <c r="C731" s="760"/>
      <c r="D731" s="760"/>
      <c r="E731" s="760"/>
      <c r="F731" s="760"/>
      <c r="G731" s="760"/>
      <c r="H731" s="760"/>
      <c r="I731" s="760"/>
      <c r="J731" s="760"/>
      <c r="K731" s="760"/>
    </row>
    <row r="732" spans="1:11">
      <c r="A732" s="760"/>
      <c r="B732" s="760"/>
      <c r="C732" s="760"/>
      <c r="D732" s="760"/>
      <c r="E732" s="760"/>
      <c r="F732" s="760"/>
      <c r="G732" s="760"/>
      <c r="H732" s="760"/>
      <c r="I732" s="760"/>
      <c r="J732" s="760"/>
      <c r="K732" s="760"/>
    </row>
    <row r="733" spans="1:11">
      <c r="A733" s="760"/>
      <c r="B733" s="760"/>
      <c r="C733" s="760"/>
      <c r="D733" s="760"/>
      <c r="E733" s="760"/>
      <c r="F733" s="760"/>
      <c r="G733" s="760"/>
      <c r="H733" s="760"/>
      <c r="I733" s="760"/>
      <c r="J733" s="760"/>
      <c r="K733" s="760"/>
    </row>
    <row r="734" spans="1:11">
      <c r="A734" s="760"/>
      <c r="B734" s="760"/>
      <c r="C734" s="760"/>
      <c r="D734" s="760"/>
      <c r="E734" s="760"/>
      <c r="F734" s="760"/>
      <c r="G734" s="760"/>
      <c r="H734" s="760"/>
      <c r="I734" s="760"/>
      <c r="J734" s="760"/>
      <c r="K734" s="760"/>
    </row>
    <row r="735" spans="1:11">
      <c r="A735" s="760"/>
      <c r="B735" s="760"/>
      <c r="C735" s="760"/>
      <c r="D735" s="760"/>
      <c r="E735" s="760"/>
      <c r="F735" s="760"/>
      <c r="G735" s="760"/>
      <c r="H735" s="760"/>
      <c r="I735" s="760"/>
      <c r="J735" s="760"/>
      <c r="K735" s="760"/>
    </row>
    <row r="736" spans="1:11">
      <c r="A736" s="760"/>
      <c r="B736" s="760"/>
      <c r="C736" s="760"/>
      <c r="D736" s="760"/>
      <c r="E736" s="760"/>
      <c r="F736" s="760"/>
      <c r="G736" s="760"/>
      <c r="H736" s="760"/>
      <c r="I736" s="760"/>
      <c r="J736" s="760"/>
      <c r="K736" s="760"/>
    </row>
    <row r="737" spans="1:11">
      <c r="A737" s="760"/>
      <c r="B737" s="760"/>
      <c r="C737" s="760"/>
      <c r="D737" s="760"/>
      <c r="E737" s="760"/>
      <c r="F737" s="760"/>
      <c r="G737" s="760"/>
      <c r="H737" s="760"/>
      <c r="I737" s="760"/>
      <c r="J737" s="760"/>
      <c r="K737" s="760"/>
    </row>
    <row r="738" spans="1:11">
      <c r="A738" s="760"/>
      <c r="B738" s="760"/>
      <c r="C738" s="760"/>
      <c r="D738" s="760"/>
      <c r="E738" s="760"/>
      <c r="F738" s="760"/>
      <c r="G738" s="760"/>
      <c r="H738" s="760"/>
      <c r="I738" s="760"/>
      <c r="J738" s="760"/>
      <c r="K738" s="760"/>
    </row>
    <row r="739" spans="1:11">
      <c r="A739" s="760"/>
      <c r="B739" s="760"/>
      <c r="C739" s="760"/>
      <c r="D739" s="760"/>
      <c r="E739" s="760"/>
      <c r="F739" s="760"/>
      <c r="G739" s="760"/>
      <c r="H739" s="760"/>
      <c r="I739" s="760"/>
      <c r="J739" s="760"/>
      <c r="K739" s="760"/>
    </row>
    <row r="740" spans="1:11">
      <c r="A740" s="760"/>
      <c r="B740" s="760"/>
      <c r="C740" s="760"/>
      <c r="D740" s="760"/>
      <c r="E740" s="760"/>
      <c r="F740" s="760"/>
      <c r="G740" s="760"/>
      <c r="H740" s="760"/>
      <c r="I740" s="760"/>
      <c r="J740" s="760"/>
      <c r="K740" s="760"/>
    </row>
    <row r="741" spans="1:11">
      <c r="A741" s="760"/>
      <c r="B741" s="760"/>
      <c r="C741" s="760"/>
      <c r="D741" s="760"/>
      <c r="E741" s="760"/>
      <c r="F741" s="760"/>
      <c r="G741" s="760"/>
      <c r="H741" s="760"/>
      <c r="I741" s="760"/>
      <c r="J741" s="760"/>
      <c r="K741" s="760"/>
    </row>
    <row r="742" spans="1:11">
      <c r="A742" s="760"/>
      <c r="B742" s="760"/>
      <c r="C742" s="760"/>
      <c r="D742" s="760"/>
      <c r="E742" s="760"/>
      <c r="F742" s="760"/>
      <c r="G742" s="760"/>
      <c r="H742" s="760"/>
      <c r="I742" s="760"/>
      <c r="J742" s="760"/>
      <c r="K742" s="760"/>
    </row>
    <row r="743" spans="1:11">
      <c r="A743" s="760"/>
      <c r="B743" s="760"/>
      <c r="C743" s="760"/>
      <c r="D743" s="760"/>
      <c r="E743" s="760"/>
      <c r="F743" s="760"/>
      <c r="G743" s="760"/>
      <c r="H743" s="760"/>
      <c r="I743" s="760"/>
      <c r="J743" s="760"/>
      <c r="K743" s="760"/>
    </row>
    <row r="744" spans="1:11">
      <c r="A744" s="760"/>
      <c r="B744" s="760"/>
      <c r="C744" s="760"/>
      <c r="D744" s="760"/>
      <c r="E744" s="760"/>
      <c r="F744" s="760"/>
      <c r="G744" s="760"/>
      <c r="H744" s="760"/>
      <c r="I744" s="760"/>
      <c r="J744" s="760"/>
      <c r="K744" s="760"/>
    </row>
    <row r="745" spans="1:11">
      <c r="A745" s="760"/>
      <c r="B745" s="760"/>
      <c r="C745" s="760"/>
      <c r="D745" s="760"/>
      <c r="E745" s="760"/>
      <c r="F745" s="760"/>
      <c r="G745" s="760"/>
      <c r="H745" s="760"/>
      <c r="I745" s="760"/>
      <c r="J745" s="760"/>
      <c r="K745" s="760"/>
    </row>
    <row r="746" spans="1:11">
      <c r="A746" s="760"/>
      <c r="B746" s="760"/>
      <c r="C746" s="760"/>
      <c r="D746" s="760"/>
      <c r="E746" s="760"/>
      <c r="F746" s="760"/>
      <c r="G746" s="760"/>
      <c r="H746" s="760"/>
      <c r="I746" s="760"/>
      <c r="J746" s="760"/>
      <c r="K746" s="760"/>
    </row>
    <row r="747" spans="1:11">
      <c r="A747" s="760"/>
      <c r="B747" s="760"/>
      <c r="C747" s="760"/>
      <c r="D747" s="760"/>
      <c r="E747" s="760"/>
      <c r="F747" s="760"/>
      <c r="G747" s="760"/>
      <c r="H747" s="760"/>
      <c r="I747" s="760"/>
      <c r="J747" s="760"/>
      <c r="K747" s="760"/>
    </row>
    <row r="748" spans="1:11">
      <c r="A748" s="760"/>
      <c r="B748" s="760"/>
      <c r="C748" s="760"/>
      <c r="D748" s="760"/>
      <c r="E748" s="760"/>
      <c r="F748" s="760"/>
      <c r="G748" s="760"/>
      <c r="H748" s="760"/>
      <c r="I748" s="760"/>
      <c r="J748" s="760"/>
      <c r="K748" s="760"/>
    </row>
    <row r="749" spans="1:11">
      <c r="A749" s="760"/>
      <c r="B749" s="760"/>
      <c r="C749" s="760"/>
      <c r="D749" s="760"/>
      <c r="E749" s="760"/>
      <c r="F749" s="760"/>
      <c r="G749" s="760"/>
      <c r="H749" s="760"/>
      <c r="I749" s="760"/>
      <c r="J749" s="760"/>
      <c r="K749" s="760"/>
    </row>
    <row r="750" spans="1:11">
      <c r="A750" s="760"/>
      <c r="B750" s="760"/>
      <c r="C750" s="760"/>
      <c r="D750" s="760"/>
      <c r="E750" s="760"/>
      <c r="F750" s="760"/>
      <c r="G750" s="760"/>
      <c r="H750" s="760"/>
      <c r="I750" s="760"/>
      <c r="J750" s="760"/>
      <c r="K750" s="760"/>
    </row>
    <row r="751" spans="1:11">
      <c r="A751" s="760"/>
      <c r="B751" s="760"/>
      <c r="C751" s="760"/>
      <c r="D751" s="760"/>
      <c r="E751" s="760"/>
      <c r="F751" s="760"/>
      <c r="G751" s="760"/>
      <c r="H751" s="760"/>
      <c r="I751" s="760"/>
      <c r="J751" s="760"/>
      <c r="K751" s="760"/>
    </row>
    <row r="752" spans="1:11">
      <c r="A752" s="760"/>
      <c r="B752" s="760"/>
      <c r="C752" s="760"/>
      <c r="D752" s="760"/>
      <c r="E752" s="760"/>
      <c r="F752" s="760"/>
      <c r="G752" s="760"/>
      <c r="H752" s="760"/>
      <c r="I752" s="760"/>
      <c r="J752" s="760"/>
      <c r="K752" s="760"/>
    </row>
    <row r="753" spans="1:11">
      <c r="A753" s="760"/>
      <c r="B753" s="760"/>
      <c r="C753" s="760"/>
      <c r="D753" s="760"/>
      <c r="E753" s="760"/>
      <c r="F753" s="760"/>
      <c r="G753" s="760"/>
      <c r="H753" s="760"/>
      <c r="I753" s="760"/>
      <c r="J753" s="760"/>
      <c r="K753" s="760"/>
    </row>
    <row r="754" spans="1:11">
      <c r="A754" s="760"/>
      <c r="B754" s="760"/>
      <c r="C754" s="760"/>
      <c r="D754" s="760"/>
      <c r="E754" s="760"/>
      <c r="F754" s="760"/>
      <c r="G754" s="760"/>
      <c r="H754" s="760"/>
      <c r="I754" s="760"/>
      <c r="J754" s="760"/>
      <c r="K754" s="760"/>
    </row>
    <row r="755" spans="1:11">
      <c r="A755" s="760"/>
      <c r="B755" s="760"/>
      <c r="C755" s="760"/>
      <c r="D755" s="760"/>
      <c r="E755" s="760"/>
      <c r="F755" s="760"/>
      <c r="G755" s="760"/>
      <c r="H755" s="760"/>
      <c r="I755" s="760"/>
      <c r="J755" s="760"/>
      <c r="K755" s="760"/>
    </row>
    <row r="756" spans="1:11">
      <c r="A756" s="760"/>
      <c r="B756" s="760"/>
      <c r="C756" s="760"/>
      <c r="D756" s="760"/>
      <c r="E756" s="760"/>
      <c r="F756" s="760"/>
      <c r="G756" s="760"/>
      <c r="H756" s="760"/>
      <c r="I756" s="760"/>
      <c r="J756" s="760"/>
      <c r="K756" s="760"/>
    </row>
    <row r="757" spans="1:11">
      <c r="A757" s="760"/>
      <c r="B757" s="760"/>
      <c r="C757" s="760"/>
      <c r="D757" s="760"/>
      <c r="E757" s="760"/>
      <c r="F757" s="760"/>
      <c r="G757" s="760"/>
      <c r="H757" s="760"/>
      <c r="I757" s="760"/>
      <c r="J757" s="760"/>
      <c r="K757" s="760"/>
    </row>
    <row r="758" spans="1:11">
      <c r="A758" s="760"/>
      <c r="B758" s="760"/>
      <c r="C758" s="760"/>
      <c r="D758" s="760"/>
      <c r="E758" s="760"/>
      <c r="F758" s="760"/>
      <c r="G758" s="760"/>
      <c r="H758" s="760"/>
      <c r="I758" s="760"/>
      <c r="J758" s="760"/>
      <c r="K758" s="760"/>
    </row>
    <row r="759" spans="1:11">
      <c r="A759" s="760"/>
      <c r="B759" s="760"/>
      <c r="C759" s="760"/>
      <c r="D759" s="760"/>
      <c r="E759" s="760"/>
      <c r="F759" s="760"/>
      <c r="G759" s="760"/>
      <c r="H759" s="760"/>
      <c r="I759" s="760"/>
      <c r="J759" s="760"/>
      <c r="K759" s="760"/>
    </row>
    <row r="760" spans="1:11">
      <c r="A760" s="760"/>
      <c r="B760" s="760"/>
      <c r="C760" s="760"/>
      <c r="D760" s="760"/>
      <c r="E760" s="760"/>
      <c r="F760" s="760"/>
      <c r="G760" s="760"/>
      <c r="H760" s="760"/>
      <c r="I760" s="760"/>
      <c r="J760" s="760"/>
      <c r="K760" s="760"/>
    </row>
    <row r="761" spans="1:11">
      <c r="A761" s="760"/>
      <c r="B761" s="760"/>
      <c r="C761" s="760"/>
      <c r="D761" s="760"/>
      <c r="E761" s="760"/>
      <c r="F761" s="760"/>
      <c r="G761" s="760"/>
      <c r="H761" s="760"/>
      <c r="I761" s="760"/>
      <c r="J761" s="760"/>
      <c r="K761" s="760"/>
    </row>
    <row r="762" spans="1:11">
      <c r="A762" s="760"/>
      <c r="B762" s="760"/>
      <c r="C762" s="760"/>
      <c r="D762" s="760"/>
      <c r="E762" s="760"/>
      <c r="F762" s="760"/>
      <c r="G762" s="760"/>
      <c r="H762" s="760"/>
      <c r="I762" s="760"/>
      <c r="J762" s="760"/>
      <c r="K762" s="760"/>
    </row>
    <row r="763" spans="1:11">
      <c r="A763" s="760"/>
      <c r="B763" s="760"/>
      <c r="C763" s="760"/>
      <c r="D763" s="760"/>
      <c r="E763" s="760"/>
      <c r="F763" s="760"/>
      <c r="G763" s="760"/>
      <c r="H763" s="760"/>
      <c r="I763" s="760"/>
      <c r="J763" s="760"/>
      <c r="K763" s="760"/>
    </row>
    <row r="764" spans="1:11">
      <c r="A764" s="760"/>
      <c r="B764" s="760"/>
      <c r="C764" s="760"/>
      <c r="D764" s="760"/>
      <c r="E764" s="760"/>
      <c r="F764" s="760"/>
      <c r="G764" s="760"/>
      <c r="H764" s="760"/>
      <c r="I764" s="760"/>
      <c r="J764" s="760"/>
      <c r="K764" s="760"/>
    </row>
    <row r="765" spans="1:11">
      <c r="A765" s="760"/>
      <c r="B765" s="760"/>
      <c r="C765" s="760"/>
      <c r="D765" s="760"/>
      <c r="E765" s="760"/>
      <c r="F765" s="760"/>
      <c r="G765" s="760"/>
      <c r="H765" s="760"/>
      <c r="I765" s="760"/>
      <c r="J765" s="760"/>
      <c r="K765" s="760"/>
    </row>
    <row r="766" spans="1:11">
      <c r="A766" s="760"/>
      <c r="B766" s="760"/>
      <c r="C766" s="760"/>
      <c r="D766" s="760"/>
      <c r="E766" s="760"/>
      <c r="F766" s="760"/>
      <c r="G766" s="760"/>
      <c r="H766" s="760"/>
      <c r="I766" s="760"/>
      <c r="J766" s="760"/>
      <c r="K766" s="760"/>
    </row>
    <row r="767" spans="1:11">
      <c r="A767" s="760"/>
      <c r="B767" s="760"/>
      <c r="C767" s="760"/>
      <c r="D767" s="760"/>
      <c r="E767" s="760"/>
      <c r="F767" s="760"/>
      <c r="G767" s="760"/>
      <c r="H767" s="760"/>
      <c r="I767" s="760"/>
      <c r="J767" s="760"/>
      <c r="K767" s="760"/>
    </row>
    <row r="768" spans="1:11">
      <c r="A768" s="760"/>
      <c r="B768" s="760"/>
      <c r="C768" s="760"/>
      <c r="D768" s="760"/>
      <c r="E768" s="760"/>
      <c r="F768" s="760"/>
      <c r="G768" s="760"/>
      <c r="H768" s="760"/>
      <c r="I768" s="760"/>
      <c r="J768" s="760"/>
      <c r="K768" s="760"/>
    </row>
    <row r="769" spans="1:11">
      <c r="A769" s="760"/>
      <c r="B769" s="760"/>
      <c r="C769" s="760"/>
      <c r="D769" s="760"/>
      <c r="E769" s="760"/>
      <c r="F769" s="760"/>
      <c r="G769" s="760"/>
      <c r="H769" s="760"/>
      <c r="I769" s="760"/>
      <c r="J769" s="760"/>
      <c r="K769" s="760"/>
    </row>
    <row r="770" spans="1:11">
      <c r="A770" s="760"/>
      <c r="B770" s="760"/>
      <c r="C770" s="760"/>
      <c r="D770" s="760"/>
      <c r="E770" s="760"/>
      <c r="F770" s="760"/>
      <c r="G770" s="760"/>
      <c r="H770" s="760"/>
      <c r="I770" s="760"/>
      <c r="J770" s="760"/>
      <c r="K770" s="760"/>
    </row>
    <row r="771" spans="1:11">
      <c r="A771" s="760"/>
      <c r="B771" s="760"/>
      <c r="C771" s="760"/>
      <c r="D771" s="760"/>
      <c r="E771" s="760"/>
      <c r="F771" s="760"/>
      <c r="G771" s="760"/>
      <c r="H771" s="760"/>
      <c r="I771" s="760"/>
      <c r="J771" s="760"/>
      <c r="K771" s="760"/>
    </row>
    <row r="772" spans="1:11">
      <c r="A772" s="760"/>
      <c r="B772" s="760"/>
      <c r="C772" s="760"/>
      <c r="D772" s="760"/>
      <c r="E772" s="760"/>
      <c r="F772" s="760"/>
      <c r="G772" s="760"/>
      <c r="H772" s="760"/>
      <c r="I772" s="760"/>
      <c r="J772" s="760"/>
      <c r="K772" s="760"/>
    </row>
    <row r="773" spans="1:11">
      <c r="A773" s="760"/>
      <c r="B773" s="760"/>
      <c r="C773" s="760"/>
      <c r="D773" s="760"/>
      <c r="E773" s="760"/>
      <c r="F773" s="760"/>
      <c r="G773" s="760"/>
      <c r="H773" s="760"/>
      <c r="I773" s="760"/>
      <c r="J773" s="760"/>
      <c r="K773" s="760"/>
    </row>
    <row r="774" spans="1:11">
      <c r="A774" s="760"/>
      <c r="B774" s="760"/>
      <c r="C774" s="760"/>
      <c r="D774" s="760"/>
      <c r="E774" s="760"/>
      <c r="F774" s="760"/>
      <c r="G774" s="760"/>
      <c r="H774" s="760"/>
      <c r="I774" s="760"/>
      <c r="J774" s="760"/>
      <c r="K774" s="760"/>
    </row>
    <row r="775" spans="1:11">
      <c r="A775" s="760"/>
      <c r="B775" s="760"/>
      <c r="C775" s="760"/>
      <c r="D775" s="760"/>
      <c r="E775" s="760"/>
      <c r="F775" s="760"/>
      <c r="G775" s="760"/>
      <c r="H775" s="760"/>
      <c r="I775" s="760"/>
      <c r="J775" s="760"/>
      <c r="K775" s="760"/>
    </row>
    <row r="776" spans="1:11">
      <c r="A776" s="760"/>
      <c r="B776" s="760"/>
      <c r="C776" s="760"/>
      <c r="D776" s="760"/>
      <c r="E776" s="760"/>
      <c r="F776" s="760"/>
      <c r="G776" s="760"/>
      <c r="H776" s="760"/>
      <c r="I776" s="760"/>
      <c r="J776" s="760"/>
      <c r="K776" s="760"/>
    </row>
    <row r="777" spans="1:11">
      <c r="A777" s="760"/>
      <c r="B777" s="760"/>
      <c r="C777" s="760"/>
      <c r="D777" s="760"/>
      <c r="E777" s="760"/>
      <c r="F777" s="760"/>
      <c r="G777" s="760"/>
      <c r="H777" s="760"/>
      <c r="I777" s="760"/>
      <c r="J777" s="760"/>
      <c r="K777" s="760"/>
    </row>
    <row r="778" spans="1:11">
      <c r="A778" s="760"/>
      <c r="B778" s="760"/>
      <c r="C778" s="760"/>
      <c r="D778" s="760"/>
      <c r="E778" s="760"/>
      <c r="F778" s="760"/>
      <c r="G778" s="760"/>
      <c r="H778" s="760"/>
      <c r="I778" s="760"/>
      <c r="J778" s="760"/>
      <c r="K778" s="760"/>
    </row>
    <row r="779" spans="1:11">
      <c r="A779" s="760"/>
      <c r="B779" s="760"/>
      <c r="C779" s="760"/>
      <c r="D779" s="760"/>
      <c r="E779" s="760"/>
      <c r="F779" s="760"/>
      <c r="G779" s="760"/>
      <c r="H779" s="760"/>
      <c r="I779" s="760"/>
      <c r="J779" s="760"/>
      <c r="K779" s="760"/>
    </row>
    <row r="780" spans="1:11">
      <c r="A780" s="760"/>
      <c r="B780" s="760"/>
      <c r="C780" s="760"/>
      <c r="D780" s="760"/>
      <c r="E780" s="760"/>
      <c r="F780" s="760"/>
      <c r="G780" s="760"/>
      <c r="H780" s="760"/>
      <c r="I780" s="760"/>
      <c r="J780" s="760"/>
      <c r="K780" s="760"/>
    </row>
    <row r="781" spans="1:11">
      <c r="A781" s="760"/>
      <c r="B781" s="760"/>
      <c r="C781" s="760"/>
      <c r="D781" s="760"/>
      <c r="E781" s="760"/>
      <c r="F781" s="760"/>
      <c r="G781" s="760"/>
      <c r="H781" s="760"/>
      <c r="I781" s="760"/>
      <c r="J781" s="760"/>
      <c r="K781" s="760"/>
    </row>
    <row r="782" spans="1:11">
      <c r="A782" s="760"/>
      <c r="B782" s="760"/>
      <c r="C782" s="760"/>
      <c r="D782" s="760"/>
      <c r="E782" s="760"/>
      <c r="F782" s="760"/>
      <c r="G782" s="760"/>
      <c r="H782" s="760"/>
      <c r="I782" s="760"/>
      <c r="J782" s="760"/>
      <c r="K782" s="760"/>
    </row>
    <row r="783" spans="1:11">
      <c r="A783" s="760"/>
      <c r="B783" s="760"/>
      <c r="C783" s="760"/>
      <c r="D783" s="760"/>
      <c r="E783" s="760"/>
      <c r="F783" s="760"/>
      <c r="G783" s="760"/>
      <c r="H783" s="760"/>
      <c r="I783" s="760"/>
      <c r="J783" s="760"/>
      <c r="K783" s="760"/>
    </row>
    <row r="784" spans="1:11">
      <c r="A784" s="760"/>
      <c r="B784" s="760"/>
      <c r="C784" s="760"/>
      <c r="D784" s="760"/>
      <c r="E784" s="760"/>
      <c r="F784" s="760"/>
      <c r="G784" s="760"/>
      <c r="H784" s="760"/>
      <c r="I784" s="760"/>
      <c r="J784" s="760"/>
      <c r="K784" s="760"/>
    </row>
    <row r="785" spans="1:11">
      <c r="A785" s="760"/>
      <c r="B785" s="760"/>
      <c r="C785" s="760"/>
      <c r="D785" s="760"/>
      <c r="E785" s="760"/>
      <c r="F785" s="760"/>
      <c r="G785" s="760"/>
      <c r="H785" s="760"/>
      <c r="I785" s="760"/>
      <c r="J785" s="760"/>
      <c r="K785" s="760"/>
    </row>
    <row r="786" spans="1:11">
      <c r="A786" s="760"/>
      <c r="B786" s="760"/>
      <c r="C786" s="760"/>
      <c r="D786" s="760"/>
      <c r="E786" s="760"/>
      <c r="F786" s="760"/>
      <c r="G786" s="760"/>
      <c r="H786" s="760"/>
      <c r="I786" s="760"/>
      <c r="J786" s="760"/>
      <c r="K786" s="760"/>
    </row>
    <row r="787" spans="1:11">
      <c r="A787" s="760"/>
      <c r="B787" s="760"/>
      <c r="C787" s="760"/>
      <c r="D787" s="760"/>
      <c r="E787" s="760"/>
      <c r="F787" s="760"/>
      <c r="G787" s="760"/>
      <c r="H787" s="760"/>
      <c r="I787" s="760"/>
      <c r="J787" s="760"/>
      <c r="K787" s="760"/>
    </row>
    <row r="788" spans="1:11">
      <c r="A788" s="760"/>
      <c r="B788" s="760"/>
      <c r="C788" s="760"/>
      <c r="D788" s="760"/>
      <c r="E788" s="760"/>
      <c r="F788" s="760"/>
      <c r="G788" s="760"/>
      <c r="H788" s="760"/>
      <c r="I788" s="760"/>
      <c r="J788" s="760"/>
      <c r="K788" s="760"/>
    </row>
    <row r="789" spans="1:11">
      <c r="A789" s="760"/>
      <c r="B789" s="760"/>
      <c r="C789" s="760"/>
      <c r="D789" s="760"/>
      <c r="E789" s="760"/>
      <c r="F789" s="760"/>
      <c r="G789" s="760"/>
      <c r="H789" s="760"/>
      <c r="I789" s="760"/>
      <c r="J789" s="760"/>
      <c r="K789" s="760"/>
    </row>
    <row r="790" spans="1:11">
      <c r="A790" s="760"/>
      <c r="B790" s="760"/>
      <c r="C790" s="760"/>
      <c r="D790" s="760"/>
      <c r="E790" s="760"/>
      <c r="F790" s="760"/>
      <c r="G790" s="760"/>
      <c r="H790" s="760"/>
      <c r="I790" s="760"/>
      <c r="J790" s="760"/>
      <c r="K790" s="760"/>
    </row>
    <row r="791" spans="1:11">
      <c r="A791" s="760"/>
      <c r="B791" s="760"/>
      <c r="C791" s="760"/>
      <c r="D791" s="760"/>
      <c r="E791" s="760"/>
      <c r="F791" s="760"/>
      <c r="G791" s="760"/>
      <c r="H791" s="760"/>
      <c r="I791" s="760"/>
      <c r="J791" s="760"/>
      <c r="K791" s="760"/>
    </row>
    <row r="792" spans="1:11">
      <c r="A792" s="760"/>
      <c r="B792" s="760"/>
      <c r="C792" s="760"/>
      <c r="D792" s="760"/>
      <c r="E792" s="760"/>
      <c r="F792" s="760"/>
      <c r="G792" s="760"/>
      <c r="H792" s="760"/>
      <c r="I792" s="760"/>
      <c r="J792" s="760"/>
      <c r="K792" s="760"/>
    </row>
    <row r="793" spans="1:11">
      <c r="A793" s="760"/>
      <c r="B793" s="760"/>
      <c r="C793" s="760"/>
      <c r="D793" s="760"/>
      <c r="E793" s="760"/>
      <c r="F793" s="760"/>
      <c r="G793" s="760"/>
      <c r="H793" s="760"/>
      <c r="I793" s="760"/>
      <c r="J793" s="760"/>
      <c r="K793" s="760"/>
    </row>
    <row r="794" spans="1:11">
      <c r="A794" s="760"/>
      <c r="B794" s="760"/>
      <c r="C794" s="760"/>
      <c r="D794" s="760"/>
      <c r="E794" s="760"/>
      <c r="F794" s="760"/>
      <c r="G794" s="760"/>
      <c r="H794" s="760"/>
      <c r="I794" s="760"/>
      <c r="J794" s="760"/>
      <c r="K794" s="760"/>
    </row>
    <row r="795" spans="1:11">
      <c r="A795" s="760"/>
      <c r="B795" s="760"/>
      <c r="C795" s="760"/>
      <c r="D795" s="760"/>
      <c r="E795" s="760"/>
      <c r="F795" s="760"/>
      <c r="G795" s="760"/>
      <c r="H795" s="760"/>
      <c r="I795" s="760"/>
      <c r="J795" s="760"/>
      <c r="K795" s="760"/>
    </row>
    <row r="796" spans="1:11">
      <c r="A796" s="760"/>
      <c r="B796" s="760"/>
      <c r="C796" s="760"/>
      <c r="D796" s="760"/>
      <c r="E796" s="760"/>
      <c r="F796" s="760"/>
      <c r="G796" s="760"/>
      <c r="H796" s="760"/>
      <c r="I796" s="760"/>
      <c r="J796" s="760"/>
      <c r="K796" s="760"/>
    </row>
    <row r="797" spans="1:11">
      <c r="A797" s="760"/>
      <c r="B797" s="760"/>
      <c r="C797" s="760"/>
      <c r="D797" s="760"/>
      <c r="E797" s="760"/>
      <c r="F797" s="760"/>
      <c r="G797" s="760"/>
      <c r="H797" s="760"/>
      <c r="I797" s="760"/>
      <c r="J797" s="760"/>
      <c r="K797" s="760"/>
    </row>
    <row r="798" spans="1:11">
      <c r="A798" s="760"/>
      <c r="B798" s="760"/>
      <c r="C798" s="760"/>
      <c r="D798" s="760"/>
      <c r="E798" s="760"/>
      <c r="F798" s="760"/>
      <c r="G798" s="760"/>
      <c r="H798" s="760"/>
      <c r="I798" s="760"/>
      <c r="J798" s="760"/>
      <c r="K798" s="760"/>
    </row>
    <row r="799" spans="1:11">
      <c r="A799" s="760"/>
      <c r="B799" s="760"/>
      <c r="C799" s="760"/>
      <c r="D799" s="760"/>
      <c r="E799" s="760"/>
      <c r="F799" s="760"/>
      <c r="G799" s="760"/>
      <c r="H799" s="760"/>
      <c r="I799" s="760"/>
      <c r="J799" s="760"/>
      <c r="K799" s="760"/>
    </row>
    <row r="800" spans="1:11">
      <c r="A800" s="760"/>
      <c r="B800" s="760"/>
      <c r="C800" s="760"/>
      <c r="D800" s="760"/>
      <c r="E800" s="760"/>
      <c r="F800" s="760"/>
      <c r="G800" s="760"/>
      <c r="H800" s="760"/>
      <c r="I800" s="760"/>
      <c r="J800" s="760"/>
      <c r="K800" s="760"/>
    </row>
    <row r="801" spans="1:11">
      <c r="A801" s="760"/>
      <c r="B801" s="760"/>
      <c r="C801" s="760"/>
      <c r="D801" s="760"/>
      <c r="E801" s="760"/>
      <c r="F801" s="760"/>
      <c r="G801" s="760"/>
      <c r="H801" s="760"/>
      <c r="I801" s="760"/>
      <c r="J801" s="760"/>
      <c r="K801" s="760"/>
    </row>
    <row r="802" spans="1:11">
      <c r="A802" s="760"/>
      <c r="B802" s="760"/>
      <c r="C802" s="760"/>
      <c r="D802" s="760"/>
      <c r="E802" s="760"/>
      <c r="F802" s="760"/>
      <c r="G802" s="760"/>
      <c r="H802" s="760"/>
      <c r="I802" s="760"/>
      <c r="J802" s="760"/>
      <c r="K802" s="760"/>
    </row>
    <row r="803" spans="1:11">
      <c r="A803" s="760"/>
      <c r="B803" s="760"/>
      <c r="C803" s="760"/>
      <c r="D803" s="760"/>
      <c r="E803" s="760"/>
      <c r="F803" s="760"/>
      <c r="G803" s="760"/>
      <c r="H803" s="760"/>
      <c r="I803" s="760"/>
      <c r="J803" s="760"/>
      <c r="K803" s="760"/>
    </row>
    <row r="804" spans="1:11">
      <c r="A804" s="760"/>
      <c r="B804" s="760"/>
      <c r="C804" s="760"/>
      <c r="D804" s="760"/>
      <c r="E804" s="760"/>
      <c r="F804" s="760"/>
      <c r="G804" s="760"/>
      <c r="H804" s="760"/>
      <c r="I804" s="760"/>
      <c r="J804" s="760"/>
      <c r="K804" s="760"/>
    </row>
    <row r="805" spans="1:11">
      <c r="A805" s="760"/>
      <c r="B805" s="760"/>
      <c r="C805" s="760"/>
      <c r="D805" s="760"/>
      <c r="E805" s="760"/>
      <c r="F805" s="760"/>
      <c r="G805" s="760"/>
      <c r="H805" s="760"/>
      <c r="I805" s="760"/>
      <c r="J805" s="760"/>
      <c r="K805" s="760"/>
    </row>
    <row r="806" spans="1:11">
      <c r="A806" s="760"/>
      <c r="B806" s="760"/>
      <c r="C806" s="760"/>
      <c r="D806" s="760"/>
      <c r="E806" s="760"/>
      <c r="F806" s="760"/>
      <c r="G806" s="760"/>
      <c r="H806" s="760"/>
      <c r="I806" s="760"/>
      <c r="J806" s="760"/>
      <c r="K806" s="760"/>
    </row>
    <row r="807" spans="1:11">
      <c r="A807" s="760"/>
      <c r="B807" s="760"/>
      <c r="C807" s="760"/>
      <c r="D807" s="760"/>
      <c r="E807" s="760"/>
      <c r="F807" s="760"/>
      <c r="G807" s="760"/>
      <c r="H807" s="760"/>
      <c r="I807" s="760"/>
      <c r="J807" s="760"/>
      <c r="K807" s="760"/>
    </row>
    <row r="808" spans="1:11">
      <c r="A808" s="760"/>
      <c r="B808" s="760"/>
      <c r="C808" s="760"/>
      <c r="D808" s="760"/>
      <c r="E808" s="760"/>
      <c r="F808" s="760"/>
      <c r="G808" s="760"/>
      <c r="H808" s="760"/>
      <c r="I808" s="760"/>
      <c r="J808" s="760"/>
      <c r="K808" s="760"/>
    </row>
    <row r="809" spans="1:11">
      <c r="A809" s="760"/>
      <c r="B809" s="760"/>
      <c r="C809" s="760"/>
      <c r="D809" s="760"/>
      <c r="E809" s="760"/>
      <c r="F809" s="760"/>
      <c r="G809" s="760"/>
      <c r="H809" s="760"/>
      <c r="I809" s="760"/>
      <c r="J809" s="760"/>
      <c r="K809" s="760"/>
    </row>
    <row r="810" spans="1:11">
      <c r="A810" s="760"/>
      <c r="B810" s="760"/>
      <c r="C810" s="760"/>
      <c r="D810" s="760"/>
      <c r="E810" s="760"/>
      <c r="F810" s="760"/>
      <c r="G810" s="760"/>
      <c r="H810" s="760"/>
      <c r="I810" s="760"/>
      <c r="J810" s="760"/>
      <c r="K810" s="760"/>
    </row>
    <row r="811" spans="1:11">
      <c r="A811" s="760"/>
      <c r="B811" s="760"/>
      <c r="C811" s="760"/>
      <c r="D811" s="760"/>
      <c r="E811" s="760"/>
      <c r="F811" s="760"/>
      <c r="G811" s="760"/>
      <c r="H811" s="760"/>
      <c r="I811" s="760"/>
      <c r="J811" s="760"/>
      <c r="K811" s="760"/>
    </row>
    <row r="812" spans="1:11">
      <c r="A812" s="760"/>
      <c r="B812" s="760"/>
      <c r="C812" s="760"/>
      <c r="D812" s="760"/>
      <c r="E812" s="760"/>
      <c r="F812" s="760"/>
      <c r="G812" s="760"/>
      <c r="H812" s="760"/>
      <c r="I812" s="760"/>
      <c r="J812" s="760"/>
      <c r="K812" s="760"/>
    </row>
    <row r="813" spans="1:11">
      <c r="A813" s="760"/>
      <c r="B813" s="760"/>
      <c r="C813" s="760"/>
      <c r="D813" s="760"/>
      <c r="E813" s="760"/>
      <c r="F813" s="760"/>
      <c r="G813" s="760"/>
      <c r="H813" s="760"/>
      <c r="I813" s="760"/>
      <c r="J813" s="760"/>
      <c r="K813" s="760"/>
    </row>
    <row r="814" spans="1:11">
      <c r="A814" s="760"/>
      <c r="B814" s="760"/>
      <c r="C814" s="760"/>
      <c r="D814" s="760"/>
      <c r="E814" s="760"/>
      <c r="F814" s="760"/>
      <c r="G814" s="760"/>
      <c r="H814" s="760"/>
      <c r="I814" s="760"/>
      <c r="J814" s="760"/>
      <c r="K814" s="760"/>
    </row>
    <row r="815" spans="1:11">
      <c r="A815" s="760"/>
      <c r="B815" s="760"/>
      <c r="C815" s="760"/>
      <c r="D815" s="760"/>
      <c r="E815" s="760"/>
      <c r="F815" s="760"/>
      <c r="G815" s="760"/>
      <c r="H815" s="760"/>
      <c r="I815" s="760"/>
      <c r="J815" s="760"/>
      <c r="K815" s="760"/>
    </row>
    <row r="816" spans="1:11">
      <c r="A816" s="760"/>
      <c r="B816" s="760"/>
      <c r="C816" s="760"/>
      <c r="D816" s="760"/>
      <c r="E816" s="760"/>
      <c r="F816" s="760"/>
      <c r="G816" s="760"/>
      <c r="H816" s="760"/>
      <c r="I816" s="760"/>
      <c r="J816" s="760"/>
      <c r="K816" s="760"/>
    </row>
    <row r="817" spans="1:11">
      <c r="A817" s="760"/>
      <c r="B817" s="760"/>
      <c r="C817" s="760"/>
      <c r="D817" s="760"/>
      <c r="E817" s="760"/>
      <c r="F817" s="760"/>
      <c r="G817" s="760"/>
      <c r="H817" s="760"/>
      <c r="I817" s="760"/>
      <c r="J817" s="760"/>
      <c r="K817" s="760"/>
    </row>
    <row r="818" spans="1:11">
      <c r="A818" s="760"/>
      <c r="B818" s="760"/>
      <c r="C818" s="760"/>
      <c r="D818" s="760"/>
      <c r="E818" s="760"/>
      <c r="F818" s="760"/>
      <c r="G818" s="760"/>
      <c r="H818" s="760"/>
      <c r="I818" s="760"/>
      <c r="J818" s="760"/>
      <c r="K818" s="760"/>
    </row>
    <row r="819" spans="1:11">
      <c r="A819" s="760"/>
      <c r="B819" s="760"/>
      <c r="C819" s="760"/>
      <c r="D819" s="760"/>
      <c r="E819" s="760"/>
      <c r="F819" s="760"/>
      <c r="G819" s="760"/>
      <c r="H819" s="760"/>
      <c r="I819" s="760"/>
      <c r="J819" s="760"/>
      <c r="K819" s="760"/>
    </row>
    <row r="820" spans="1:11">
      <c r="A820" s="760"/>
      <c r="B820" s="760"/>
      <c r="C820" s="760"/>
      <c r="D820" s="760"/>
      <c r="E820" s="760"/>
      <c r="F820" s="760"/>
      <c r="G820" s="760"/>
      <c r="H820" s="760"/>
      <c r="I820" s="760"/>
      <c r="J820" s="760"/>
      <c r="K820" s="760"/>
    </row>
    <row r="821" spans="1:11">
      <c r="A821" s="760"/>
      <c r="B821" s="760"/>
      <c r="C821" s="760"/>
      <c r="D821" s="760"/>
      <c r="E821" s="760"/>
      <c r="F821" s="760"/>
      <c r="G821" s="760"/>
      <c r="H821" s="760"/>
      <c r="I821" s="760"/>
      <c r="J821" s="760"/>
      <c r="K821" s="760"/>
    </row>
    <row r="822" spans="1:11">
      <c r="A822" s="760"/>
      <c r="B822" s="760"/>
      <c r="C822" s="760"/>
      <c r="D822" s="760"/>
      <c r="E822" s="760"/>
      <c r="F822" s="760"/>
      <c r="G822" s="760"/>
      <c r="H822" s="760"/>
      <c r="I822" s="760"/>
      <c r="J822" s="760"/>
      <c r="K822" s="760"/>
    </row>
    <row r="823" spans="1:11">
      <c r="A823" s="760"/>
      <c r="B823" s="760"/>
      <c r="C823" s="760"/>
      <c r="D823" s="760"/>
      <c r="E823" s="760"/>
      <c r="F823" s="760"/>
      <c r="G823" s="760"/>
      <c r="H823" s="760"/>
      <c r="I823" s="760"/>
      <c r="J823" s="760"/>
      <c r="K823" s="760"/>
    </row>
    <row r="824" spans="1:11">
      <c r="A824" s="760"/>
      <c r="B824" s="760"/>
      <c r="C824" s="760"/>
      <c r="D824" s="760"/>
      <c r="E824" s="760"/>
      <c r="F824" s="760"/>
      <c r="G824" s="760"/>
      <c r="H824" s="760"/>
      <c r="I824" s="760"/>
      <c r="J824" s="760"/>
      <c r="K824" s="760"/>
    </row>
    <row r="825" spans="1:11">
      <c r="A825" s="760"/>
      <c r="B825" s="760"/>
      <c r="C825" s="760"/>
      <c r="D825" s="760"/>
      <c r="E825" s="760"/>
      <c r="F825" s="760"/>
      <c r="G825" s="760"/>
      <c r="H825" s="760"/>
      <c r="I825" s="760"/>
      <c r="J825" s="760"/>
      <c r="K825" s="760"/>
    </row>
    <row r="826" spans="1:11">
      <c r="A826" s="760"/>
      <c r="B826" s="760"/>
      <c r="C826" s="760"/>
      <c r="D826" s="760"/>
      <c r="E826" s="760"/>
      <c r="F826" s="760"/>
      <c r="G826" s="760"/>
      <c r="H826" s="760"/>
      <c r="I826" s="760"/>
      <c r="J826" s="760"/>
      <c r="K826" s="760"/>
    </row>
    <row r="827" spans="1:11">
      <c r="A827" s="760"/>
      <c r="B827" s="760"/>
      <c r="C827" s="760"/>
      <c r="D827" s="760"/>
      <c r="E827" s="760"/>
      <c r="F827" s="760"/>
      <c r="G827" s="760"/>
      <c r="H827" s="760"/>
      <c r="I827" s="760"/>
      <c r="J827" s="760"/>
      <c r="K827" s="760"/>
    </row>
    <row r="828" spans="1:11">
      <c r="A828" s="760"/>
      <c r="B828" s="760"/>
      <c r="C828" s="760"/>
      <c r="D828" s="760"/>
      <c r="E828" s="760"/>
      <c r="F828" s="760"/>
      <c r="G828" s="760"/>
      <c r="H828" s="760"/>
      <c r="I828" s="760"/>
      <c r="J828" s="760"/>
      <c r="K828" s="760"/>
    </row>
    <row r="829" spans="1:11">
      <c r="A829" s="760"/>
      <c r="B829" s="760"/>
      <c r="C829" s="760"/>
      <c r="D829" s="760"/>
      <c r="E829" s="760"/>
      <c r="F829" s="760"/>
      <c r="G829" s="760"/>
      <c r="H829" s="760"/>
      <c r="I829" s="760"/>
      <c r="J829" s="760"/>
      <c r="K829" s="760"/>
    </row>
    <row r="830" spans="1:11">
      <c r="A830" s="760"/>
      <c r="B830" s="760"/>
      <c r="C830" s="760"/>
      <c r="D830" s="760"/>
      <c r="E830" s="760"/>
      <c r="F830" s="760"/>
      <c r="G830" s="760"/>
      <c r="H830" s="760"/>
      <c r="I830" s="760"/>
      <c r="J830" s="760"/>
      <c r="K830" s="760"/>
    </row>
    <row r="831" spans="1:11">
      <c r="A831" s="760"/>
      <c r="B831" s="760"/>
      <c r="C831" s="760"/>
      <c r="D831" s="760"/>
      <c r="E831" s="760"/>
      <c r="F831" s="760"/>
      <c r="G831" s="760"/>
      <c r="H831" s="760"/>
      <c r="I831" s="760"/>
      <c r="J831" s="760"/>
      <c r="K831" s="760"/>
    </row>
    <row r="832" spans="1:11">
      <c r="A832" s="760"/>
      <c r="B832" s="760"/>
      <c r="C832" s="760"/>
      <c r="D832" s="760"/>
      <c r="E832" s="760"/>
      <c r="F832" s="760"/>
      <c r="G832" s="760"/>
      <c r="H832" s="760"/>
      <c r="I832" s="760"/>
      <c r="J832" s="760"/>
      <c r="K832" s="760"/>
    </row>
    <row r="833" spans="1:11">
      <c r="A833" s="760"/>
      <c r="B833" s="760"/>
      <c r="C833" s="760"/>
      <c r="D833" s="760"/>
      <c r="E833" s="760"/>
      <c r="F833" s="760"/>
      <c r="G833" s="760"/>
      <c r="H833" s="760"/>
      <c r="I833" s="760"/>
      <c r="J833" s="760"/>
      <c r="K833" s="760"/>
    </row>
    <row r="834" spans="1:11">
      <c r="A834" s="760"/>
      <c r="B834" s="760"/>
      <c r="C834" s="760"/>
      <c r="D834" s="760"/>
      <c r="E834" s="760"/>
      <c r="F834" s="760"/>
      <c r="G834" s="760"/>
      <c r="H834" s="760"/>
      <c r="I834" s="760"/>
      <c r="J834" s="760"/>
      <c r="K834" s="760"/>
    </row>
    <row r="835" spans="1:11">
      <c r="A835" s="760"/>
      <c r="B835" s="760"/>
      <c r="C835" s="760"/>
      <c r="D835" s="760"/>
      <c r="E835" s="760"/>
      <c r="F835" s="760"/>
      <c r="G835" s="760"/>
      <c r="H835" s="760"/>
      <c r="I835" s="760"/>
      <c r="J835" s="760"/>
      <c r="K835" s="760"/>
    </row>
    <row r="836" spans="1:11">
      <c r="A836" s="760"/>
      <c r="B836" s="760"/>
      <c r="C836" s="760"/>
      <c r="D836" s="760"/>
      <c r="E836" s="760"/>
      <c r="F836" s="760"/>
      <c r="G836" s="760"/>
      <c r="H836" s="760"/>
      <c r="I836" s="760"/>
      <c r="J836" s="760"/>
      <c r="K836" s="760"/>
    </row>
    <row r="837" spans="1:11">
      <c r="A837" s="760"/>
      <c r="B837" s="760"/>
      <c r="C837" s="760"/>
      <c r="D837" s="760"/>
      <c r="E837" s="760"/>
      <c r="F837" s="760"/>
      <c r="G837" s="760"/>
      <c r="H837" s="760"/>
      <c r="I837" s="760"/>
      <c r="J837" s="760"/>
      <c r="K837" s="760"/>
    </row>
    <row r="838" spans="1:11">
      <c r="A838" s="760"/>
      <c r="B838" s="760"/>
      <c r="C838" s="760"/>
      <c r="D838" s="760"/>
      <c r="E838" s="760"/>
      <c r="F838" s="760"/>
      <c r="G838" s="760"/>
      <c r="H838" s="760"/>
      <c r="I838" s="760"/>
      <c r="J838" s="760"/>
      <c r="K838" s="760"/>
    </row>
    <row r="839" spans="1:11">
      <c r="A839" s="760"/>
      <c r="B839" s="760"/>
      <c r="C839" s="760"/>
      <c r="D839" s="760"/>
      <c r="E839" s="760"/>
      <c r="F839" s="760"/>
      <c r="G839" s="760"/>
      <c r="H839" s="760"/>
      <c r="I839" s="760"/>
      <c r="J839" s="760"/>
      <c r="K839" s="760"/>
    </row>
    <row r="840" spans="1:11">
      <c r="A840" s="760"/>
      <c r="B840" s="760"/>
      <c r="C840" s="760"/>
      <c r="D840" s="760"/>
      <c r="E840" s="760"/>
      <c r="F840" s="760"/>
      <c r="G840" s="760"/>
      <c r="H840" s="760"/>
      <c r="I840" s="760"/>
      <c r="J840" s="760"/>
      <c r="K840" s="760"/>
    </row>
    <row r="841" spans="1:11">
      <c r="A841" s="760"/>
      <c r="B841" s="760"/>
      <c r="C841" s="760"/>
      <c r="D841" s="760"/>
      <c r="E841" s="760"/>
      <c r="F841" s="760"/>
      <c r="G841" s="760"/>
      <c r="H841" s="760"/>
      <c r="I841" s="760"/>
      <c r="J841" s="760"/>
      <c r="K841" s="760"/>
    </row>
    <row r="842" spans="1:11">
      <c r="A842" s="760"/>
      <c r="B842" s="760"/>
      <c r="C842" s="760"/>
      <c r="D842" s="760"/>
      <c r="E842" s="760"/>
      <c r="F842" s="760"/>
      <c r="G842" s="760"/>
      <c r="H842" s="760"/>
      <c r="I842" s="760"/>
      <c r="J842" s="760"/>
      <c r="K842" s="760"/>
    </row>
    <row r="843" spans="1:11">
      <c r="A843" s="760"/>
      <c r="B843" s="760"/>
      <c r="C843" s="760"/>
      <c r="D843" s="760"/>
      <c r="E843" s="760"/>
      <c r="F843" s="760"/>
      <c r="G843" s="760"/>
      <c r="H843" s="760"/>
      <c r="I843" s="760"/>
      <c r="J843" s="760"/>
      <c r="K843" s="760"/>
    </row>
    <row r="844" spans="1:11">
      <c r="A844" s="760"/>
      <c r="B844" s="760"/>
      <c r="C844" s="760"/>
      <c r="D844" s="760"/>
      <c r="E844" s="760"/>
      <c r="F844" s="760"/>
      <c r="G844" s="760"/>
      <c r="H844" s="760"/>
      <c r="I844" s="760"/>
      <c r="J844" s="760"/>
      <c r="K844" s="760"/>
    </row>
    <row r="845" spans="1:11">
      <c r="A845" s="760"/>
      <c r="B845" s="760"/>
      <c r="C845" s="760"/>
      <c r="D845" s="760"/>
      <c r="E845" s="760"/>
      <c r="F845" s="760"/>
      <c r="G845" s="760"/>
      <c r="H845" s="760"/>
      <c r="I845" s="760"/>
      <c r="J845" s="760"/>
      <c r="K845" s="760"/>
    </row>
    <row r="846" spans="1:11">
      <c r="A846" s="760"/>
      <c r="B846" s="760"/>
      <c r="C846" s="760"/>
      <c r="D846" s="760"/>
      <c r="E846" s="760"/>
      <c r="F846" s="760"/>
      <c r="G846" s="760"/>
      <c r="H846" s="760"/>
      <c r="I846" s="760"/>
      <c r="J846" s="760"/>
      <c r="K846" s="760"/>
    </row>
    <row r="847" spans="1:11">
      <c r="A847" s="760"/>
      <c r="B847" s="760"/>
      <c r="C847" s="760"/>
      <c r="D847" s="760"/>
      <c r="E847" s="760"/>
      <c r="F847" s="760"/>
      <c r="G847" s="760"/>
      <c r="H847" s="760"/>
      <c r="I847" s="760"/>
      <c r="J847" s="760"/>
      <c r="K847" s="760"/>
    </row>
    <row r="848" spans="1:11">
      <c r="A848" s="760"/>
      <c r="B848" s="760"/>
      <c r="C848" s="760"/>
      <c r="D848" s="760"/>
      <c r="E848" s="760"/>
      <c r="F848" s="760"/>
      <c r="G848" s="760"/>
      <c r="H848" s="760"/>
      <c r="I848" s="760"/>
      <c r="J848" s="760"/>
      <c r="K848" s="760"/>
    </row>
    <row r="849" spans="1:11">
      <c r="A849" s="760"/>
      <c r="B849" s="760"/>
      <c r="C849" s="760"/>
      <c r="D849" s="760"/>
      <c r="E849" s="760"/>
      <c r="F849" s="760"/>
      <c r="G849" s="760"/>
      <c r="H849" s="760"/>
      <c r="I849" s="760"/>
      <c r="J849" s="760"/>
      <c r="K849" s="760"/>
    </row>
    <row r="850" spans="1:11">
      <c r="A850" s="760"/>
      <c r="B850" s="760"/>
      <c r="C850" s="760"/>
      <c r="D850" s="760"/>
      <c r="E850" s="760"/>
      <c r="F850" s="760"/>
      <c r="G850" s="760"/>
      <c r="H850" s="760"/>
      <c r="I850" s="760"/>
      <c r="J850" s="760"/>
      <c r="K850" s="760"/>
    </row>
    <row r="851" spans="1:11">
      <c r="A851" s="760"/>
      <c r="B851" s="760"/>
      <c r="C851" s="760"/>
      <c r="D851" s="760"/>
      <c r="E851" s="760"/>
      <c r="F851" s="760"/>
      <c r="G851" s="760"/>
      <c r="H851" s="760"/>
      <c r="I851" s="760"/>
      <c r="J851" s="760"/>
      <c r="K851" s="760"/>
    </row>
    <row r="852" spans="1:11">
      <c r="A852" s="760"/>
      <c r="B852" s="760"/>
      <c r="C852" s="760"/>
      <c r="D852" s="760"/>
      <c r="E852" s="760"/>
      <c r="F852" s="760"/>
      <c r="G852" s="760"/>
      <c r="H852" s="760"/>
      <c r="I852" s="760"/>
      <c r="J852" s="760"/>
      <c r="K852" s="760"/>
    </row>
    <row r="853" spans="1:11">
      <c r="A853" s="760"/>
      <c r="B853" s="760"/>
      <c r="C853" s="760"/>
      <c r="D853" s="760"/>
      <c r="E853" s="760"/>
      <c r="F853" s="760"/>
      <c r="G853" s="760"/>
      <c r="H853" s="760"/>
      <c r="I853" s="760"/>
      <c r="J853" s="760"/>
      <c r="K853" s="760"/>
    </row>
    <row r="854" spans="1:11">
      <c r="A854" s="760"/>
      <c r="B854" s="760"/>
      <c r="C854" s="760"/>
      <c r="D854" s="760"/>
      <c r="E854" s="760"/>
      <c r="F854" s="760"/>
      <c r="G854" s="760"/>
      <c r="H854" s="760"/>
      <c r="I854" s="760"/>
      <c r="J854" s="760"/>
      <c r="K854" s="760"/>
    </row>
    <row r="855" spans="1:11">
      <c r="A855" s="760"/>
      <c r="B855" s="760"/>
      <c r="C855" s="760"/>
      <c r="D855" s="760"/>
      <c r="E855" s="760"/>
      <c r="F855" s="760"/>
      <c r="G855" s="760"/>
      <c r="H855" s="760"/>
      <c r="I855" s="760"/>
      <c r="J855" s="760"/>
      <c r="K855" s="760"/>
    </row>
    <row r="856" spans="1:11">
      <c r="A856" s="760"/>
      <c r="B856" s="760"/>
      <c r="C856" s="760"/>
      <c r="D856" s="760"/>
      <c r="E856" s="760"/>
      <c r="F856" s="760"/>
      <c r="G856" s="760"/>
      <c r="H856" s="760"/>
      <c r="I856" s="760"/>
      <c r="J856" s="760"/>
      <c r="K856" s="760"/>
    </row>
    <row r="857" spans="1:11">
      <c r="A857" s="760"/>
      <c r="B857" s="760"/>
      <c r="C857" s="760"/>
      <c r="D857" s="760"/>
      <c r="E857" s="760"/>
      <c r="F857" s="760"/>
      <c r="G857" s="760"/>
      <c r="H857" s="760"/>
      <c r="I857" s="760"/>
      <c r="J857" s="760"/>
      <c r="K857" s="760"/>
    </row>
    <row r="858" spans="1:11">
      <c r="A858" s="760"/>
      <c r="B858" s="760"/>
      <c r="C858" s="760"/>
      <c r="D858" s="760"/>
      <c r="E858" s="760"/>
      <c r="F858" s="760"/>
      <c r="G858" s="760"/>
      <c r="H858" s="760"/>
      <c r="I858" s="760"/>
      <c r="J858" s="760"/>
      <c r="K858" s="760"/>
    </row>
    <row r="859" spans="1:11">
      <c r="A859" s="760"/>
      <c r="B859" s="760"/>
      <c r="C859" s="760"/>
      <c r="D859" s="760"/>
      <c r="E859" s="760"/>
      <c r="F859" s="760"/>
      <c r="G859" s="760"/>
      <c r="H859" s="760"/>
      <c r="I859" s="760"/>
      <c r="J859" s="760"/>
      <c r="K859" s="760"/>
    </row>
    <row r="860" spans="1:11">
      <c r="A860" s="760"/>
      <c r="B860" s="760"/>
      <c r="C860" s="760"/>
      <c r="D860" s="760"/>
      <c r="E860" s="760"/>
      <c r="F860" s="760"/>
      <c r="G860" s="760"/>
      <c r="H860" s="760"/>
      <c r="I860" s="760"/>
      <c r="J860" s="760"/>
      <c r="K860" s="760"/>
    </row>
    <row r="861" spans="1:11">
      <c r="A861" s="760"/>
      <c r="B861" s="760"/>
      <c r="C861" s="760"/>
      <c r="D861" s="760"/>
      <c r="E861" s="760"/>
      <c r="F861" s="760"/>
      <c r="G861" s="760"/>
      <c r="H861" s="760"/>
      <c r="I861" s="760"/>
      <c r="J861" s="760"/>
      <c r="K861" s="760"/>
    </row>
    <row r="862" spans="1:11">
      <c r="A862" s="760"/>
      <c r="B862" s="760"/>
      <c r="C862" s="760"/>
      <c r="D862" s="760"/>
      <c r="E862" s="760"/>
      <c r="F862" s="760"/>
      <c r="G862" s="760"/>
      <c r="H862" s="760"/>
      <c r="I862" s="760"/>
      <c r="J862" s="760"/>
      <c r="K862" s="760"/>
    </row>
    <row r="863" spans="1:11">
      <c r="A863" s="760"/>
      <c r="B863" s="760"/>
      <c r="C863" s="760"/>
      <c r="D863" s="760"/>
      <c r="E863" s="760"/>
      <c r="F863" s="760"/>
      <c r="G863" s="760"/>
      <c r="H863" s="760"/>
      <c r="I863" s="760"/>
      <c r="J863" s="760"/>
      <c r="K863" s="760"/>
    </row>
    <row r="864" spans="1:11">
      <c r="A864" s="760"/>
      <c r="B864" s="760"/>
      <c r="C864" s="760"/>
      <c r="D864" s="760"/>
      <c r="E864" s="760"/>
      <c r="F864" s="760"/>
      <c r="G864" s="760"/>
      <c r="H864" s="760"/>
      <c r="I864" s="760"/>
      <c r="J864" s="760"/>
      <c r="K864" s="760"/>
    </row>
    <row r="865" spans="1:11">
      <c r="A865" s="760"/>
      <c r="B865" s="760"/>
      <c r="C865" s="760"/>
      <c r="D865" s="760"/>
      <c r="E865" s="760"/>
      <c r="F865" s="760"/>
      <c r="G865" s="760"/>
      <c r="H865" s="760"/>
      <c r="I865" s="760"/>
      <c r="J865" s="760"/>
      <c r="K865" s="760"/>
    </row>
    <row r="866" spans="1:11">
      <c r="A866" s="760"/>
      <c r="B866" s="760"/>
      <c r="C866" s="760"/>
      <c r="D866" s="760"/>
      <c r="E866" s="760"/>
      <c r="F866" s="760"/>
      <c r="G866" s="760"/>
      <c r="H866" s="760"/>
      <c r="I866" s="760"/>
      <c r="J866" s="760"/>
      <c r="K866" s="760"/>
    </row>
    <row r="867" spans="1:11">
      <c r="A867" s="760"/>
      <c r="B867" s="760"/>
      <c r="C867" s="760"/>
      <c r="D867" s="760"/>
      <c r="E867" s="760"/>
      <c r="F867" s="760"/>
      <c r="G867" s="760"/>
      <c r="H867" s="760"/>
      <c r="I867" s="760"/>
      <c r="J867" s="760"/>
      <c r="K867" s="760"/>
    </row>
    <row r="868" spans="1:11">
      <c r="A868" s="760"/>
      <c r="B868" s="760"/>
      <c r="C868" s="760"/>
      <c r="D868" s="760"/>
      <c r="E868" s="760"/>
      <c r="F868" s="760"/>
      <c r="G868" s="760"/>
      <c r="H868" s="760"/>
      <c r="I868" s="760"/>
      <c r="J868" s="760"/>
      <c r="K868" s="760"/>
    </row>
    <row r="869" spans="1:11">
      <c r="A869" s="760"/>
      <c r="B869" s="760"/>
      <c r="C869" s="760"/>
      <c r="D869" s="760"/>
      <c r="E869" s="760"/>
      <c r="F869" s="760"/>
      <c r="G869" s="760"/>
      <c r="H869" s="760"/>
      <c r="I869" s="760"/>
      <c r="J869" s="760"/>
      <c r="K869" s="760"/>
    </row>
    <row r="870" spans="1:11">
      <c r="A870" s="760"/>
      <c r="B870" s="760"/>
      <c r="C870" s="760"/>
      <c r="D870" s="760"/>
      <c r="E870" s="760"/>
      <c r="F870" s="760"/>
      <c r="G870" s="760"/>
      <c r="H870" s="760"/>
      <c r="I870" s="760"/>
      <c r="J870" s="760"/>
      <c r="K870" s="760"/>
    </row>
    <row r="871" spans="1:11">
      <c r="A871" s="760"/>
      <c r="B871" s="760"/>
      <c r="C871" s="760"/>
      <c r="D871" s="760"/>
      <c r="E871" s="760"/>
      <c r="F871" s="760"/>
      <c r="G871" s="760"/>
      <c r="H871" s="760"/>
      <c r="I871" s="760"/>
      <c r="J871" s="760"/>
      <c r="K871" s="760"/>
    </row>
    <row r="872" spans="1:11">
      <c r="A872" s="760"/>
      <c r="B872" s="760"/>
      <c r="C872" s="760"/>
      <c r="D872" s="760"/>
      <c r="E872" s="760"/>
      <c r="F872" s="760"/>
      <c r="G872" s="760"/>
      <c r="H872" s="760"/>
      <c r="I872" s="760"/>
      <c r="J872" s="760"/>
      <c r="K872" s="760"/>
    </row>
    <row r="873" spans="1:11">
      <c r="A873" s="760"/>
      <c r="B873" s="760"/>
      <c r="C873" s="760"/>
      <c r="D873" s="760"/>
      <c r="E873" s="760"/>
      <c r="F873" s="760"/>
      <c r="G873" s="760"/>
      <c r="H873" s="760"/>
      <c r="I873" s="760"/>
      <c r="J873" s="760"/>
      <c r="K873" s="760"/>
    </row>
    <row r="874" spans="1:11">
      <c r="A874" s="760"/>
      <c r="B874" s="760"/>
      <c r="C874" s="760"/>
      <c r="D874" s="760"/>
      <c r="E874" s="760"/>
      <c r="F874" s="760"/>
      <c r="G874" s="760"/>
      <c r="H874" s="760"/>
      <c r="I874" s="760"/>
      <c r="J874" s="760"/>
      <c r="K874" s="760"/>
    </row>
    <row r="875" spans="1:11">
      <c r="A875" s="760"/>
      <c r="B875" s="760"/>
      <c r="C875" s="760"/>
      <c r="D875" s="760"/>
      <c r="E875" s="760"/>
      <c r="F875" s="760"/>
      <c r="G875" s="760"/>
      <c r="H875" s="760"/>
      <c r="I875" s="760"/>
      <c r="J875" s="760"/>
      <c r="K875" s="760"/>
    </row>
    <row r="876" spans="1:11">
      <c r="A876" s="760"/>
      <c r="B876" s="760"/>
      <c r="C876" s="760"/>
      <c r="D876" s="760"/>
      <c r="E876" s="760"/>
      <c r="F876" s="760"/>
      <c r="G876" s="760"/>
      <c r="H876" s="760"/>
      <c r="I876" s="760"/>
      <c r="J876" s="760"/>
      <c r="K876" s="760"/>
    </row>
    <row r="877" spans="1:11">
      <c r="A877" s="760"/>
      <c r="B877" s="760"/>
      <c r="C877" s="760"/>
      <c r="D877" s="760"/>
      <c r="E877" s="760"/>
      <c r="F877" s="760"/>
      <c r="G877" s="760"/>
      <c r="H877" s="760"/>
      <c r="I877" s="760"/>
      <c r="J877" s="760"/>
      <c r="K877" s="760"/>
    </row>
    <row r="878" spans="1:11">
      <c r="A878" s="760"/>
      <c r="B878" s="760"/>
      <c r="C878" s="760"/>
      <c r="D878" s="760"/>
      <c r="E878" s="760"/>
      <c r="F878" s="760"/>
      <c r="G878" s="760"/>
      <c r="H878" s="760"/>
      <c r="I878" s="760"/>
      <c r="J878" s="760"/>
      <c r="K878" s="760"/>
    </row>
    <row r="879" spans="1:11">
      <c r="A879" s="760"/>
      <c r="B879" s="760"/>
      <c r="C879" s="760"/>
      <c r="D879" s="760"/>
      <c r="E879" s="760"/>
      <c r="F879" s="760"/>
      <c r="G879" s="760"/>
      <c r="H879" s="760"/>
      <c r="I879" s="760"/>
      <c r="J879" s="760"/>
      <c r="K879" s="760"/>
    </row>
    <row r="880" spans="1:11">
      <c r="A880" s="760"/>
      <c r="B880" s="760"/>
      <c r="C880" s="760"/>
      <c r="D880" s="760"/>
      <c r="E880" s="760"/>
      <c r="F880" s="760"/>
      <c r="G880" s="760"/>
      <c r="H880" s="760"/>
      <c r="I880" s="760"/>
      <c r="J880" s="760"/>
      <c r="K880" s="760"/>
    </row>
    <row r="881" spans="1:11">
      <c r="A881" s="760"/>
      <c r="B881" s="760"/>
      <c r="C881" s="760"/>
      <c r="D881" s="760"/>
      <c r="E881" s="760"/>
      <c r="F881" s="760"/>
      <c r="G881" s="760"/>
      <c r="H881" s="760"/>
      <c r="I881" s="760"/>
      <c r="J881" s="760"/>
      <c r="K881" s="760"/>
    </row>
    <row r="882" spans="1:11">
      <c r="A882" s="760"/>
      <c r="B882" s="760"/>
      <c r="C882" s="760"/>
      <c r="D882" s="760"/>
      <c r="E882" s="760"/>
      <c r="F882" s="760"/>
      <c r="G882" s="760"/>
      <c r="H882" s="760"/>
      <c r="I882" s="760"/>
      <c r="J882" s="760"/>
      <c r="K882" s="760"/>
    </row>
    <row r="883" spans="1:11">
      <c r="A883" s="760"/>
      <c r="B883" s="760"/>
      <c r="C883" s="760"/>
      <c r="D883" s="760"/>
      <c r="E883" s="760"/>
      <c r="F883" s="760"/>
      <c r="G883" s="760"/>
      <c r="H883" s="760"/>
      <c r="I883" s="760"/>
      <c r="J883" s="760"/>
      <c r="K883" s="760"/>
    </row>
    <row r="884" spans="1:11">
      <c r="A884" s="760"/>
      <c r="B884" s="760"/>
      <c r="C884" s="760"/>
      <c r="D884" s="760"/>
      <c r="E884" s="760"/>
      <c r="F884" s="760"/>
      <c r="G884" s="760"/>
      <c r="H884" s="760"/>
      <c r="I884" s="760"/>
      <c r="J884" s="760"/>
      <c r="K884" s="760"/>
    </row>
    <row r="885" spans="1:11">
      <c r="A885" s="760"/>
      <c r="B885" s="760"/>
      <c r="C885" s="760"/>
      <c r="D885" s="760"/>
      <c r="E885" s="760"/>
      <c r="F885" s="760"/>
      <c r="G885" s="760"/>
      <c r="H885" s="760"/>
      <c r="I885" s="760"/>
      <c r="J885" s="760"/>
      <c r="K885" s="760"/>
    </row>
    <row r="886" spans="1:11">
      <c r="A886" s="760"/>
      <c r="B886" s="760"/>
      <c r="C886" s="760"/>
      <c r="D886" s="760"/>
      <c r="E886" s="760"/>
      <c r="F886" s="760"/>
      <c r="G886" s="760"/>
      <c r="H886" s="760"/>
      <c r="I886" s="760"/>
      <c r="J886" s="760"/>
      <c r="K886" s="760"/>
    </row>
    <row r="887" spans="1:11">
      <c r="A887" s="760"/>
      <c r="B887" s="760"/>
      <c r="C887" s="760"/>
      <c r="D887" s="760"/>
      <c r="E887" s="760"/>
      <c r="F887" s="760"/>
      <c r="G887" s="760"/>
      <c r="H887" s="760"/>
      <c r="I887" s="760"/>
      <c r="J887" s="760"/>
      <c r="K887" s="760"/>
    </row>
    <row r="888" spans="1:11">
      <c r="A888" s="760"/>
      <c r="B888" s="760"/>
      <c r="C888" s="760"/>
      <c r="D888" s="760"/>
      <c r="E888" s="760"/>
      <c r="F888" s="760"/>
      <c r="G888" s="760"/>
      <c r="H888" s="760"/>
      <c r="I888" s="760"/>
      <c r="J888" s="760"/>
      <c r="K888" s="760"/>
    </row>
    <row r="889" spans="1:11">
      <c r="A889" s="760"/>
      <c r="B889" s="760"/>
      <c r="C889" s="760"/>
      <c r="D889" s="760"/>
      <c r="E889" s="760"/>
      <c r="F889" s="760"/>
      <c r="G889" s="760"/>
      <c r="H889" s="760"/>
      <c r="I889" s="760"/>
      <c r="J889" s="760"/>
      <c r="K889" s="760"/>
    </row>
    <row r="890" spans="1:11">
      <c r="A890" s="760"/>
      <c r="B890" s="760"/>
      <c r="C890" s="760"/>
      <c r="D890" s="760"/>
      <c r="E890" s="760"/>
      <c r="F890" s="760"/>
      <c r="G890" s="760"/>
      <c r="H890" s="760"/>
      <c r="I890" s="760"/>
      <c r="J890" s="760"/>
      <c r="K890" s="760"/>
    </row>
    <row r="891" spans="1:11">
      <c r="A891" s="760"/>
      <c r="B891" s="760"/>
      <c r="C891" s="760"/>
      <c r="D891" s="760"/>
      <c r="E891" s="760"/>
      <c r="F891" s="760"/>
      <c r="G891" s="760"/>
      <c r="H891" s="760"/>
      <c r="I891" s="760"/>
      <c r="J891" s="760"/>
      <c r="K891" s="760"/>
    </row>
    <row r="892" spans="1:11">
      <c r="A892" s="760"/>
      <c r="B892" s="760"/>
      <c r="C892" s="760"/>
      <c r="D892" s="760"/>
      <c r="E892" s="760"/>
      <c r="F892" s="760"/>
      <c r="G892" s="760"/>
      <c r="H892" s="760"/>
      <c r="I892" s="760"/>
      <c r="J892" s="760"/>
      <c r="K892" s="760"/>
    </row>
    <row r="893" spans="1:11">
      <c r="A893" s="760"/>
      <c r="B893" s="760"/>
      <c r="C893" s="760"/>
      <c r="D893" s="760"/>
      <c r="E893" s="760"/>
      <c r="F893" s="760"/>
      <c r="G893" s="760"/>
      <c r="H893" s="760"/>
      <c r="I893" s="760"/>
      <c r="J893" s="760"/>
      <c r="K893" s="760"/>
    </row>
    <row r="894" spans="1:11">
      <c r="A894" s="760"/>
      <c r="B894" s="760"/>
      <c r="C894" s="760"/>
      <c r="D894" s="760"/>
      <c r="E894" s="760"/>
      <c r="F894" s="760"/>
      <c r="G894" s="760"/>
      <c r="H894" s="760"/>
      <c r="I894" s="760"/>
      <c r="J894" s="760"/>
      <c r="K894" s="760"/>
    </row>
    <row r="895" spans="1:11">
      <c r="A895" s="760"/>
      <c r="B895" s="760"/>
      <c r="C895" s="760"/>
      <c r="D895" s="760"/>
      <c r="E895" s="760"/>
      <c r="F895" s="760"/>
      <c r="G895" s="760"/>
      <c r="H895" s="760"/>
      <c r="I895" s="760"/>
      <c r="J895" s="760"/>
      <c r="K895" s="760"/>
    </row>
    <row r="896" spans="1:11">
      <c r="A896" s="760"/>
      <c r="B896" s="760"/>
      <c r="C896" s="760"/>
      <c r="D896" s="760"/>
      <c r="E896" s="760"/>
      <c r="F896" s="760"/>
      <c r="G896" s="760"/>
      <c r="H896" s="760"/>
      <c r="I896" s="760"/>
      <c r="J896" s="760"/>
      <c r="K896" s="760"/>
    </row>
    <row r="897" spans="1:11">
      <c r="A897" s="760"/>
      <c r="B897" s="760"/>
      <c r="C897" s="760"/>
      <c r="D897" s="760"/>
      <c r="E897" s="760"/>
      <c r="F897" s="760"/>
      <c r="G897" s="760"/>
      <c r="H897" s="760"/>
      <c r="I897" s="760"/>
      <c r="J897" s="760"/>
      <c r="K897" s="760"/>
    </row>
    <row r="898" spans="1:11">
      <c r="A898" s="760"/>
      <c r="B898" s="760"/>
      <c r="C898" s="760"/>
      <c r="D898" s="760"/>
      <c r="E898" s="760"/>
      <c r="F898" s="760"/>
      <c r="G898" s="760"/>
      <c r="H898" s="760"/>
      <c r="I898" s="760"/>
      <c r="J898" s="760"/>
      <c r="K898" s="760"/>
    </row>
    <row r="899" spans="1:11">
      <c r="A899" s="760"/>
      <c r="B899" s="760"/>
      <c r="C899" s="760"/>
      <c r="D899" s="760"/>
      <c r="E899" s="760"/>
      <c r="F899" s="760"/>
      <c r="G899" s="760"/>
      <c r="H899" s="760"/>
      <c r="I899" s="760"/>
      <c r="J899" s="760"/>
      <c r="K899" s="760"/>
    </row>
    <row r="900" spans="1:11">
      <c r="A900" s="760"/>
      <c r="B900" s="760"/>
      <c r="C900" s="760"/>
      <c r="D900" s="760"/>
      <c r="E900" s="760"/>
      <c r="F900" s="760"/>
      <c r="G900" s="760"/>
      <c r="H900" s="760"/>
      <c r="I900" s="760"/>
      <c r="J900" s="760"/>
      <c r="K900" s="760"/>
    </row>
    <row r="901" spans="1:11">
      <c r="A901" s="760"/>
      <c r="B901" s="760"/>
      <c r="C901" s="760"/>
      <c r="D901" s="760"/>
      <c r="E901" s="760"/>
      <c r="F901" s="760"/>
      <c r="G901" s="760"/>
      <c r="H901" s="760"/>
      <c r="I901" s="760"/>
      <c r="J901" s="760"/>
      <c r="K901" s="760"/>
    </row>
    <row r="902" spans="1:11">
      <c r="A902" s="760"/>
      <c r="B902" s="760"/>
      <c r="C902" s="760"/>
      <c r="D902" s="760"/>
      <c r="E902" s="760"/>
      <c r="F902" s="760"/>
      <c r="G902" s="760"/>
      <c r="H902" s="760"/>
      <c r="I902" s="760"/>
      <c r="J902" s="760"/>
      <c r="K902" s="760"/>
    </row>
    <row r="903" spans="1:11">
      <c r="A903" s="760"/>
      <c r="B903" s="760"/>
      <c r="C903" s="760"/>
      <c r="D903" s="760"/>
      <c r="E903" s="760"/>
      <c r="F903" s="760"/>
      <c r="G903" s="760"/>
      <c r="H903" s="760"/>
      <c r="I903" s="760"/>
      <c r="J903" s="760"/>
      <c r="K903" s="760"/>
    </row>
    <row r="904" spans="1:11">
      <c r="A904" s="760"/>
      <c r="B904" s="760"/>
      <c r="C904" s="760"/>
      <c r="D904" s="760"/>
      <c r="E904" s="760"/>
      <c r="F904" s="760"/>
      <c r="G904" s="760"/>
      <c r="H904" s="760"/>
      <c r="I904" s="760"/>
      <c r="J904" s="760"/>
      <c r="K904" s="760"/>
    </row>
    <row r="905" spans="1:11">
      <c r="A905" s="760"/>
      <c r="B905" s="760"/>
      <c r="C905" s="760"/>
      <c r="D905" s="760"/>
      <c r="E905" s="760"/>
      <c r="F905" s="760"/>
      <c r="G905" s="760"/>
      <c r="H905" s="760"/>
      <c r="I905" s="760"/>
      <c r="J905" s="760"/>
      <c r="K905" s="760"/>
    </row>
    <row r="906" spans="1:11">
      <c r="A906" s="760"/>
      <c r="B906" s="760"/>
      <c r="C906" s="760"/>
      <c r="D906" s="760"/>
      <c r="E906" s="760"/>
      <c r="F906" s="760"/>
      <c r="G906" s="760"/>
      <c r="H906" s="760"/>
      <c r="I906" s="760"/>
      <c r="J906" s="760"/>
      <c r="K906" s="760"/>
    </row>
    <row r="907" spans="1:11">
      <c r="A907" s="760"/>
      <c r="B907" s="760"/>
      <c r="C907" s="760"/>
      <c r="D907" s="760"/>
      <c r="E907" s="760"/>
      <c r="F907" s="760"/>
      <c r="G907" s="760"/>
      <c r="H907" s="760"/>
      <c r="I907" s="760"/>
      <c r="J907" s="760"/>
      <c r="K907" s="760"/>
    </row>
    <row r="908" spans="1:11">
      <c r="A908" s="760"/>
      <c r="B908" s="760"/>
      <c r="C908" s="760"/>
      <c r="D908" s="760"/>
      <c r="E908" s="760"/>
      <c r="F908" s="760"/>
      <c r="G908" s="760"/>
      <c r="H908" s="760"/>
      <c r="I908" s="760"/>
      <c r="J908" s="760"/>
      <c r="K908" s="760"/>
    </row>
    <row r="909" spans="1:11">
      <c r="A909" s="760"/>
      <c r="B909" s="760"/>
      <c r="C909" s="760"/>
      <c r="D909" s="760"/>
      <c r="E909" s="760"/>
      <c r="F909" s="760"/>
      <c r="G909" s="760"/>
      <c r="H909" s="760"/>
      <c r="I909" s="760"/>
      <c r="J909" s="760"/>
      <c r="K909" s="760"/>
    </row>
    <row r="910" spans="1:11">
      <c r="A910" s="760"/>
      <c r="B910" s="760"/>
      <c r="C910" s="760"/>
      <c r="D910" s="760"/>
      <c r="E910" s="760"/>
      <c r="F910" s="760"/>
      <c r="G910" s="760"/>
      <c r="H910" s="760"/>
      <c r="I910" s="760"/>
      <c r="J910" s="760"/>
      <c r="K910" s="760"/>
    </row>
    <row r="911" spans="1:11">
      <c r="A911" s="760"/>
      <c r="B911" s="760"/>
      <c r="C911" s="760"/>
      <c r="D911" s="760"/>
      <c r="E911" s="760"/>
      <c r="F911" s="760"/>
      <c r="G911" s="760"/>
      <c r="H911" s="760"/>
      <c r="I911" s="760"/>
      <c r="J911" s="760"/>
      <c r="K911" s="760"/>
    </row>
    <row r="912" spans="1:11">
      <c r="A912" s="760"/>
      <c r="B912" s="760"/>
      <c r="C912" s="760"/>
      <c r="D912" s="760"/>
      <c r="E912" s="760"/>
      <c r="F912" s="760"/>
      <c r="G912" s="760"/>
      <c r="H912" s="760"/>
      <c r="I912" s="760"/>
      <c r="J912" s="760"/>
      <c r="K912" s="760"/>
    </row>
    <row r="913" spans="1:11">
      <c r="A913" s="760"/>
      <c r="B913" s="760"/>
      <c r="C913" s="760"/>
      <c r="D913" s="760"/>
      <c r="E913" s="760"/>
      <c r="F913" s="760"/>
      <c r="G913" s="760"/>
      <c r="H913" s="760"/>
      <c r="I913" s="760"/>
      <c r="J913" s="760"/>
      <c r="K913" s="760"/>
    </row>
    <row r="914" spans="1:11">
      <c r="A914" s="760"/>
      <c r="B914" s="760"/>
      <c r="C914" s="760"/>
      <c r="D914" s="760"/>
      <c r="E914" s="760"/>
      <c r="F914" s="760"/>
      <c r="G914" s="760"/>
      <c r="H914" s="760"/>
      <c r="I914" s="760"/>
      <c r="J914" s="760"/>
      <c r="K914" s="760"/>
    </row>
    <row r="915" spans="1:11">
      <c r="A915" s="760"/>
      <c r="B915" s="760"/>
      <c r="C915" s="760"/>
      <c r="D915" s="760"/>
      <c r="E915" s="760"/>
      <c r="F915" s="760"/>
      <c r="G915" s="760"/>
      <c r="H915" s="760"/>
      <c r="I915" s="760"/>
      <c r="J915" s="760"/>
      <c r="K915" s="760"/>
    </row>
    <row r="916" spans="1:11">
      <c r="A916" s="760"/>
      <c r="B916" s="760"/>
      <c r="C916" s="760"/>
      <c r="D916" s="760"/>
      <c r="E916" s="760"/>
      <c r="F916" s="760"/>
      <c r="G916" s="760"/>
      <c r="H916" s="760"/>
      <c r="I916" s="760"/>
      <c r="J916" s="760"/>
      <c r="K916" s="760"/>
    </row>
    <row r="917" spans="1:11">
      <c r="A917" s="760"/>
      <c r="B917" s="760"/>
      <c r="C917" s="760"/>
      <c r="D917" s="760"/>
      <c r="E917" s="760"/>
      <c r="F917" s="760"/>
      <c r="G917" s="760"/>
      <c r="H917" s="760"/>
      <c r="I917" s="760"/>
      <c r="J917" s="760"/>
      <c r="K917" s="760"/>
    </row>
    <row r="918" spans="1:11">
      <c r="A918" s="760"/>
      <c r="B918" s="760"/>
      <c r="C918" s="760"/>
      <c r="D918" s="760"/>
      <c r="E918" s="760"/>
      <c r="F918" s="760"/>
      <c r="G918" s="760"/>
      <c r="H918" s="760"/>
      <c r="I918" s="760"/>
      <c r="J918" s="760"/>
      <c r="K918" s="760"/>
    </row>
    <row r="919" spans="1:11">
      <c r="A919" s="760"/>
      <c r="B919" s="760"/>
      <c r="C919" s="760"/>
      <c r="D919" s="760"/>
      <c r="E919" s="760"/>
      <c r="F919" s="760"/>
      <c r="G919" s="760"/>
      <c r="H919" s="760"/>
      <c r="I919" s="760"/>
      <c r="J919" s="760"/>
      <c r="K919" s="760"/>
    </row>
    <row r="920" spans="1:11">
      <c r="A920" s="760"/>
      <c r="B920" s="760"/>
      <c r="C920" s="760"/>
      <c r="D920" s="760"/>
      <c r="E920" s="760"/>
      <c r="F920" s="760"/>
      <c r="G920" s="760"/>
      <c r="H920" s="760"/>
      <c r="I920" s="760"/>
      <c r="J920" s="760"/>
      <c r="K920" s="760"/>
    </row>
    <row r="921" spans="1:11">
      <c r="A921" s="760"/>
      <c r="B921" s="760"/>
      <c r="C921" s="760"/>
      <c r="D921" s="760"/>
      <c r="E921" s="760"/>
      <c r="F921" s="760"/>
      <c r="G921" s="760"/>
      <c r="H921" s="760"/>
      <c r="I921" s="760"/>
      <c r="J921" s="760"/>
      <c r="K921" s="760"/>
    </row>
    <row r="922" spans="1:11">
      <c r="A922" s="760"/>
      <c r="B922" s="760"/>
      <c r="C922" s="760"/>
      <c r="D922" s="760"/>
      <c r="E922" s="760"/>
      <c r="F922" s="760"/>
      <c r="G922" s="760"/>
      <c r="H922" s="760"/>
      <c r="I922" s="760"/>
      <c r="J922" s="760"/>
      <c r="K922" s="760"/>
    </row>
    <row r="923" spans="1:11">
      <c r="A923" s="760"/>
      <c r="B923" s="760"/>
      <c r="C923" s="760"/>
      <c r="D923" s="760"/>
      <c r="E923" s="760"/>
      <c r="F923" s="760"/>
      <c r="G923" s="760"/>
      <c r="H923" s="760"/>
      <c r="I923" s="760"/>
      <c r="J923" s="760"/>
      <c r="K923" s="760"/>
    </row>
    <row r="924" spans="1:11">
      <c r="A924" s="760"/>
      <c r="B924" s="760"/>
      <c r="C924" s="760"/>
      <c r="D924" s="760"/>
      <c r="E924" s="760"/>
      <c r="F924" s="760"/>
      <c r="G924" s="760"/>
      <c r="H924" s="760"/>
      <c r="I924" s="760"/>
      <c r="J924" s="760"/>
      <c r="K924" s="760"/>
    </row>
    <row r="925" spans="1:11">
      <c r="A925" s="760"/>
      <c r="B925" s="760"/>
      <c r="C925" s="760"/>
      <c r="D925" s="760"/>
      <c r="E925" s="760"/>
      <c r="F925" s="760"/>
      <c r="G925" s="760"/>
      <c r="H925" s="760"/>
      <c r="I925" s="760"/>
      <c r="J925" s="760"/>
      <c r="K925" s="760"/>
    </row>
    <row r="926" spans="1:11">
      <c r="A926" s="760"/>
      <c r="B926" s="760"/>
      <c r="C926" s="760"/>
      <c r="D926" s="760"/>
      <c r="E926" s="760"/>
      <c r="F926" s="760"/>
      <c r="G926" s="760"/>
      <c r="H926" s="760"/>
      <c r="I926" s="760"/>
      <c r="J926" s="760"/>
      <c r="K926" s="760"/>
    </row>
    <row r="927" spans="1:11">
      <c r="A927" s="760"/>
      <c r="B927" s="760"/>
      <c r="C927" s="760"/>
      <c r="D927" s="760"/>
      <c r="E927" s="760"/>
      <c r="F927" s="760"/>
      <c r="G927" s="760"/>
      <c r="H927" s="760"/>
      <c r="I927" s="760"/>
      <c r="J927" s="760"/>
      <c r="K927" s="760"/>
    </row>
    <row r="928" spans="1:11">
      <c r="A928" s="760"/>
      <c r="B928" s="760"/>
      <c r="C928" s="760"/>
      <c r="D928" s="760"/>
      <c r="E928" s="760"/>
      <c r="F928" s="760"/>
      <c r="G928" s="760"/>
      <c r="H928" s="760"/>
      <c r="I928" s="760"/>
      <c r="J928" s="760"/>
      <c r="K928" s="760"/>
    </row>
    <row r="929" spans="1:11">
      <c r="A929" s="760"/>
      <c r="B929" s="760"/>
      <c r="C929" s="760"/>
      <c r="D929" s="760"/>
      <c r="E929" s="760"/>
      <c r="F929" s="760"/>
      <c r="G929" s="760"/>
      <c r="H929" s="760"/>
      <c r="I929" s="760"/>
      <c r="J929" s="760"/>
      <c r="K929" s="760"/>
    </row>
    <row r="930" spans="1:11">
      <c r="A930" s="760"/>
      <c r="B930" s="760"/>
      <c r="C930" s="760"/>
      <c r="D930" s="760"/>
      <c r="E930" s="760"/>
      <c r="F930" s="760"/>
      <c r="G930" s="760"/>
      <c r="H930" s="760"/>
      <c r="I930" s="760"/>
      <c r="J930" s="760"/>
      <c r="K930" s="760"/>
    </row>
    <row r="931" spans="1:11">
      <c r="A931" s="760"/>
      <c r="B931" s="760"/>
      <c r="C931" s="760"/>
      <c r="D931" s="760"/>
      <c r="E931" s="760"/>
      <c r="F931" s="760"/>
      <c r="G931" s="760"/>
      <c r="H931" s="760"/>
      <c r="I931" s="760"/>
      <c r="J931" s="760"/>
      <c r="K931" s="760"/>
    </row>
    <row r="932" spans="1:11">
      <c r="A932" s="760"/>
      <c r="B932" s="760"/>
      <c r="C932" s="760"/>
      <c r="D932" s="760"/>
      <c r="E932" s="760"/>
      <c r="F932" s="760"/>
      <c r="G932" s="760"/>
      <c r="H932" s="760"/>
      <c r="I932" s="760"/>
      <c r="J932" s="760"/>
      <c r="K932" s="760"/>
    </row>
    <row r="933" spans="1:11">
      <c r="A933" s="760"/>
      <c r="B933" s="760"/>
      <c r="C933" s="760"/>
      <c r="D933" s="760"/>
      <c r="E933" s="760"/>
      <c r="F933" s="760"/>
      <c r="G933" s="760"/>
      <c r="H933" s="760"/>
      <c r="I933" s="760"/>
      <c r="J933" s="760"/>
      <c r="K933" s="760"/>
    </row>
    <row r="934" spans="1:11">
      <c r="A934" s="760"/>
      <c r="B934" s="760"/>
      <c r="C934" s="760"/>
      <c r="D934" s="760"/>
      <c r="E934" s="760"/>
      <c r="F934" s="760"/>
      <c r="G934" s="760"/>
      <c r="H934" s="760"/>
      <c r="I934" s="760"/>
      <c r="J934" s="760"/>
      <c r="K934" s="760"/>
    </row>
    <row r="935" spans="1:11">
      <c r="A935" s="760"/>
      <c r="B935" s="760"/>
      <c r="C935" s="760"/>
      <c r="D935" s="760"/>
      <c r="E935" s="760"/>
      <c r="F935" s="760"/>
      <c r="G935" s="760"/>
      <c r="H935" s="760"/>
      <c r="I935" s="760"/>
      <c r="J935" s="760"/>
      <c r="K935" s="760"/>
    </row>
    <row r="936" spans="1:11">
      <c r="A936" s="760"/>
      <c r="B936" s="760"/>
      <c r="C936" s="760"/>
      <c r="D936" s="760"/>
      <c r="E936" s="760"/>
      <c r="F936" s="760"/>
      <c r="G936" s="760"/>
      <c r="H936" s="760"/>
      <c r="I936" s="760"/>
      <c r="J936" s="760"/>
      <c r="K936" s="760"/>
    </row>
    <row r="937" spans="1:11">
      <c r="A937" s="760"/>
      <c r="B937" s="760"/>
      <c r="C937" s="760"/>
      <c r="D937" s="760"/>
      <c r="E937" s="760"/>
      <c r="F937" s="760"/>
      <c r="G937" s="760"/>
      <c r="H937" s="760"/>
      <c r="I937" s="760"/>
      <c r="J937" s="760"/>
      <c r="K937" s="760"/>
    </row>
    <row r="938" spans="1:11">
      <c r="A938" s="760"/>
      <c r="B938" s="760"/>
      <c r="C938" s="760"/>
      <c r="D938" s="760"/>
      <c r="E938" s="760"/>
      <c r="F938" s="760"/>
      <c r="G938" s="760"/>
      <c r="H938" s="760"/>
      <c r="I938" s="760"/>
      <c r="J938" s="760"/>
      <c r="K938" s="760"/>
    </row>
    <row r="939" spans="1:11">
      <c r="A939" s="760"/>
      <c r="B939" s="760"/>
      <c r="C939" s="760"/>
      <c r="D939" s="760"/>
      <c r="E939" s="760"/>
      <c r="F939" s="760"/>
      <c r="G939" s="760"/>
      <c r="H939" s="760"/>
      <c r="I939" s="760"/>
      <c r="J939" s="760"/>
      <c r="K939" s="760"/>
    </row>
    <row r="940" spans="1:11">
      <c r="A940" s="760"/>
      <c r="B940" s="760"/>
      <c r="C940" s="760"/>
      <c r="D940" s="760"/>
      <c r="E940" s="760"/>
      <c r="F940" s="760"/>
      <c r="G940" s="760"/>
      <c r="H940" s="760"/>
      <c r="I940" s="760"/>
      <c r="J940" s="760"/>
      <c r="K940" s="760"/>
    </row>
    <row r="941" spans="1:11">
      <c r="A941" s="760"/>
      <c r="B941" s="760"/>
      <c r="C941" s="760"/>
      <c r="D941" s="760"/>
      <c r="E941" s="760"/>
      <c r="F941" s="760"/>
      <c r="G941" s="760"/>
      <c r="H941" s="760"/>
      <c r="I941" s="760"/>
      <c r="J941" s="760"/>
      <c r="K941" s="760"/>
    </row>
    <row r="942" spans="1:11">
      <c r="A942" s="760"/>
      <c r="B942" s="760"/>
      <c r="C942" s="760"/>
      <c r="D942" s="760"/>
      <c r="E942" s="760"/>
      <c r="F942" s="760"/>
      <c r="G942" s="760"/>
      <c r="H942" s="760"/>
      <c r="I942" s="760"/>
      <c r="J942" s="760"/>
      <c r="K942" s="760"/>
    </row>
    <row r="943" spans="1:11">
      <c r="A943" s="760"/>
      <c r="B943" s="760"/>
      <c r="C943" s="760"/>
      <c r="D943" s="760"/>
      <c r="E943" s="760"/>
      <c r="F943" s="760"/>
      <c r="G943" s="760"/>
      <c r="H943" s="760"/>
      <c r="I943" s="760"/>
      <c r="J943" s="760"/>
      <c r="K943" s="760"/>
    </row>
    <row r="944" spans="1:11">
      <c r="A944" s="760"/>
      <c r="B944" s="760"/>
      <c r="C944" s="760"/>
      <c r="D944" s="760"/>
      <c r="E944" s="760"/>
      <c r="F944" s="760"/>
      <c r="G944" s="760"/>
      <c r="H944" s="760"/>
      <c r="I944" s="760"/>
      <c r="J944" s="760"/>
      <c r="K944" s="760"/>
    </row>
    <row r="945" spans="1:11">
      <c r="A945" s="760"/>
      <c r="B945" s="760"/>
      <c r="C945" s="760"/>
      <c r="D945" s="760"/>
      <c r="E945" s="760"/>
      <c r="F945" s="760"/>
      <c r="G945" s="760"/>
      <c r="H945" s="760"/>
      <c r="I945" s="760"/>
      <c r="J945" s="760"/>
      <c r="K945" s="760"/>
    </row>
    <row r="946" spans="1:11">
      <c r="A946" s="760"/>
      <c r="B946" s="760"/>
      <c r="C946" s="760"/>
      <c r="D946" s="760"/>
      <c r="E946" s="760"/>
      <c r="F946" s="760"/>
      <c r="G946" s="760"/>
      <c r="H946" s="760"/>
      <c r="I946" s="760"/>
      <c r="J946" s="760"/>
      <c r="K946" s="760"/>
    </row>
    <row r="947" spans="1:11">
      <c r="A947" s="760"/>
      <c r="B947" s="760"/>
      <c r="C947" s="760"/>
      <c r="D947" s="760"/>
      <c r="E947" s="760"/>
      <c r="F947" s="760"/>
      <c r="G947" s="760"/>
      <c r="H947" s="760"/>
      <c r="I947" s="760"/>
      <c r="J947" s="760"/>
      <c r="K947" s="760"/>
    </row>
    <row r="948" spans="1:11">
      <c r="A948" s="760"/>
      <c r="B948" s="760"/>
      <c r="C948" s="760"/>
      <c r="D948" s="760"/>
      <c r="E948" s="760"/>
      <c r="F948" s="760"/>
      <c r="G948" s="760"/>
      <c r="H948" s="760"/>
      <c r="I948" s="760"/>
      <c r="J948" s="760"/>
      <c r="K948" s="760"/>
    </row>
    <row r="949" spans="1:11">
      <c r="A949" s="760"/>
      <c r="B949" s="760"/>
      <c r="C949" s="760"/>
      <c r="D949" s="760"/>
      <c r="E949" s="760"/>
      <c r="F949" s="760"/>
      <c r="G949" s="760"/>
      <c r="H949" s="760"/>
      <c r="I949" s="760"/>
      <c r="J949" s="760"/>
      <c r="K949" s="760"/>
    </row>
    <row r="950" spans="1:11">
      <c r="A950" s="760"/>
      <c r="B950" s="760"/>
      <c r="C950" s="760"/>
      <c r="D950" s="760"/>
      <c r="E950" s="760"/>
      <c r="F950" s="760"/>
      <c r="G950" s="760"/>
      <c r="H950" s="760"/>
      <c r="I950" s="760"/>
      <c r="J950" s="760"/>
      <c r="K950" s="760"/>
    </row>
    <row r="951" spans="1:11">
      <c r="A951" s="760"/>
      <c r="B951" s="760"/>
      <c r="C951" s="760"/>
      <c r="D951" s="760"/>
      <c r="E951" s="760"/>
      <c r="F951" s="760"/>
      <c r="G951" s="760"/>
      <c r="H951" s="760"/>
      <c r="I951" s="760"/>
      <c r="J951" s="760"/>
      <c r="K951" s="760"/>
    </row>
    <row r="952" spans="1:11">
      <c r="A952" s="760"/>
      <c r="B952" s="760"/>
      <c r="C952" s="760"/>
      <c r="D952" s="760"/>
      <c r="E952" s="760"/>
      <c r="F952" s="760"/>
      <c r="G952" s="760"/>
      <c r="H952" s="760"/>
      <c r="I952" s="760"/>
      <c r="J952" s="760"/>
      <c r="K952" s="760"/>
    </row>
    <row r="953" spans="1:11">
      <c r="A953" s="760"/>
      <c r="B953" s="760"/>
      <c r="C953" s="760"/>
      <c r="D953" s="760"/>
      <c r="E953" s="760"/>
      <c r="F953" s="760"/>
      <c r="G953" s="760"/>
      <c r="H953" s="760"/>
      <c r="I953" s="760"/>
      <c r="J953" s="760"/>
      <c r="K953" s="760"/>
    </row>
    <row r="954" spans="1:11">
      <c r="A954" s="760"/>
      <c r="B954" s="760"/>
      <c r="C954" s="760"/>
      <c r="D954" s="760"/>
      <c r="E954" s="760"/>
      <c r="F954" s="760"/>
      <c r="G954" s="760"/>
      <c r="H954" s="760"/>
      <c r="I954" s="760"/>
      <c r="J954" s="760"/>
      <c r="K954" s="760"/>
    </row>
    <row r="955" spans="1:11">
      <c r="A955" s="760"/>
      <c r="B955" s="760"/>
      <c r="C955" s="760"/>
      <c r="D955" s="760"/>
      <c r="E955" s="760"/>
      <c r="F955" s="760"/>
      <c r="G955" s="760"/>
      <c r="H955" s="760"/>
      <c r="I955" s="760"/>
      <c r="J955" s="760"/>
      <c r="K955" s="760"/>
    </row>
    <row r="956" spans="1:11">
      <c r="A956" s="760"/>
      <c r="B956" s="760"/>
      <c r="C956" s="760"/>
      <c r="D956" s="760"/>
      <c r="E956" s="760"/>
      <c r="F956" s="760"/>
      <c r="G956" s="760"/>
      <c r="H956" s="760"/>
      <c r="I956" s="760"/>
      <c r="J956" s="760"/>
      <c r="K956" s="760"/>
    </row>
    <row r="957" spans="1:11">
      <c r="A957" s="760"/>
      <c r="B957" s="760"/>
      <c r="C957" s="760"/>
      <c r="D957" s="760"/>
      <c r="E957" s="760"/>
      <c r="F957" s="760"/>
      <c r="G957" s="760"/>
      <c r="H957" s="760"/>
      <c r="I957" s="760"/>
      <c r="J957" s="760"/>
      <c r="K957" s="760"/>
    </row>
    <row r="958" spans="1:11">
      <c r="A958" s="760"/>
      <c r="B958" s="760"/>
      <c r="C958" s="760"/>
      <c r="D958" s="760"/>
      <c r="E958" s="760"/>
      <c r="F958" s="760"/>
      <c r="G958" s="760"/>
      <c r="H958" s="760"/>
      <c r="I958" s="760"/>
      <c r="J958" s="760"/>
      <c r="K958" s="760"/>
    </row>
    <row r="959" spans="1:11">
      <c r="A959" s="760"/>
      <c r="B959" s="760"/>
      <c r="C959" s="760"/>
      <c r="D959" s="760"/>
      <c r="E959" s="760"/>
      <c r="F959" s="760"/>
      <c r="G959" s="760"/>
      <c r="H959" s="760"/>
      <c r="I959" s="760"/>
      <c r="J959" s="760"/>
      <c r="K959" s="760"/>
    </row>
    <row r="960" spans="1:11">
      <c r="A960" s="760"/>
      <c r="B960" s="760"/>
      <c r="C960" s="760"/>
      <c r="D960" s="760"/>
      <c r="E960" s="760"/>
      <c r="F960" s="760"/>
      <c r="G960" s="760"/>
      <c r="H960" s="760"/>
      <c r="I960" s="760"/>
      <c r="J960" s="760"/>
      <c r="K960" s="760"/>
    </row>
    <row r="961" spans="1:11">
      <c r="A961" s="760"/>
      <c r="B961" s="760"/>
      <c r="C961" s="760"/>
      <c r="D961" s="760"/>
      <c r="E961" s="760"/>
      <c r="F961" s="760"/>
      <c r="G961" s="760"/>
      <c r="H961" s="760"/>
      <c r="I961" s="760"/>
      <c r="J961" s="760"/>
      <c r="K961" s="760"/>
    </row>
    <row r="962" spans="1:11">
      <c r="A962" s="760"/>
      <c r="B962" s="760"/>
      <c r="C962" s="760"/>
      <c r="D962" s="760"/>
      <c r="E962" s="760"/>
      <c r="F962" s="760"/>
      <c r="G962" s="760"/>
      <c r="H962" s="760"/>
      <c r="I962" s="760"/>
      <c r="J962" s="760"/>
      <c r="K962" s="760"/>
    </row>
    <row r="963" spans="1:11">
      <c r="A963" s="760"/>
      <c r="B963" s="760"/>
      <c r="C963" s="760"/>
      <c r="D963" s="760"/>
      <c r="E963" s="760"/>
      <c r="F963" s="760"/>
      <c r="G963" s="760"/>
      <c r="H963" s="760"/>
      <c r="I963" s="760"/>
      <c r="J963" s="760"/>
      <c r="K963" s="760"/>
    </row>
    <row r="964" spans="1:11">
      <c r="A964" s="760"/>
      <c r="B964" s="760"/>
      <c r="C964" s="760"/>
      <c r="D964" s="760"/>
      <c r="E964" s="760"/>
      <c r="F964" s="760"/>
      <c r="G964" s="760"/>
      <c r="H964" s="760"/>
      <c r="I964" s="760"/>
      <c r="J964" s="760"/>
      <c r="K964" s="760"/>
    </row>
    <row r="965" spans="1:11">
      <c r="A965" s="760"/>
      <c r="B965" s="760"/>
      <c r="C965" s="760"/>
      <c r="D965" s="760"/>
      <c r="E965" s="760"/>
      <c r="F965" s="760"/>
      <c r="G965" s="760"/>
      <c r="H965" s="760"/>
      <c r="I965" s="760"/>
      <c r="J965" s="760"/>
      <c r="K965" s="760"/>
    </row>
    <row r="966" spans="1:11">
      <c r="A966" s="760"/>
      <c r="B966" s="760"/>
      <c r="C966" s="760"/>
      <c r="D966" s="760"/>
      <c r="E966" s="760"/>
      <c r="F966" s="760"/>
      <c r="G966" s="760"/>
      <c r="H966" s="760"/>
      <c r="I966" s="760"/>
      <c r="J966" s="760"/>
      <c r="K966" s="760"/>
    </row>
    <row r="967" spans="1:11">
      <c r="A967" s="760"/>
      <c r="B967" s="760"/>
      <c r="C967" s="760"/>
      <c r="D967" s="760"/>
      <c r="E967" s="760"/>
      <c r="F967" s="760"/>
      <c r="G967" s="760"/>
      <c r="H967" s="760"/>
      <c r="I967" s="760"/>
      <c r="J967" s="760"/>
      <c r="K967" s="760"/>
    </row>
    <row r="968" spans="1:11">
      <c r="A968" s="760"/>
      <c r="B968" s="760"/>
      <c r="C968" s="760"/>
      <c r="D968" s="760"/>
      <c r="E968" s="760"/>
      <c r="F968" s="760"/>
      <c r="G968" s="760"/>
      <c r="H968" s="760"/>
      <c r="I968" s="760"/>
      <c r="J968" s="760"/>
      <c r="K968" s="760"/>
    </row>
    <row r="969" spans="1:11">
      <c r="A969" s="760"/>
      <c r="B969" s="760"/>
      <c r="C969" s="760"/>
      <c r="D969" s="760"/>
      <c r="E969" s="760"/>
      <c r="F969" s="760"/>
      <c r="G969" s="760"/>
      <c r="H969" s="760"/>
      <c r="I969" s="760"/>
      <c r="J969" s="760"/>
      <c r="K969" s="760"/>
    </row>
    <row r="970" spans="1:11">
      <c r="A970" s="760"/>
      <c r="B970" s="760"/>
      <c r="C970" s="760"/>
      <c r="D970" s="760"/>
      <c r="E970" s="760"/>
      <c r="F970" s="760"/>
      <c r="G970" s="760"/>
      <c r="H970" s="760"/>
      <c r="I970" s="760"/>
      <c r="J970" s="760"/>
      <c r="K970" s="760"/>
    </row>
    <row r="971" spans="1:11">
      <c r="A971" s="760"/>
      <c r="B971" s="760"/>
      <c r="C971" s="760"/>
      <c r="D971" s="760"/>
      <c r="E971" s="760"/>
      <c r="F971" s="760"/>
      <c r="G971" s="760"/>
      <c r="H971" s="760"/>
      <c r="I971" s="760"/>
      <c r="J971" s="760"/>
      <c r="K971" s="760"/>
    </row>
    <row r="972" spans="1:11">
      <c r="A972" s="760"/>
      <c r="B972" s="760"/>
      <c r="C972" s="760"/>
      <c r="D972" s="760"/>
      <c r="E972" s="760"/>
      <c r="F972" s="760"/>
      <c r="G972" s="760"/>
      <c r="H972" s="760"/>
      <c r="I972" s="760"/>
      <c r="J972" s="760"/>
      <c r="K972" s="760"/>
    </row>
    <row r="973" spans="1:11">
      <c r="A973" s="760"/>
      <c r="B973" s="760"/>
      <c r="C973" s="760"/>
      <c r="D973" s="760"/>
      <c r="E973" s="760"/>
      <c r="F973" s="760"/>
      <c r="G973" s="760"/>
      <c r="H973" s="760"/>
      <c r="I973" s="760"/>
      <c r="J973" s="760"/>
      <c r="K973" s="760"/>
    </row>
    <row r="974" spans="1:11">
      <c r="A974" s="760"/>
      <c r="B974" s="760"/>
      <c r="C974" s="760"/>
      <c r="D974" s="760"/>
      <c r="E974" s="760"/>
      <c r="F974" s="760"/>
      <c r="G974" s="760"/>
      <c r="H974" s="760"/>
      <c r="I974" s="760"/>
      <c r="J974" s="760"/>
      <c r="K974" s="760"/>
    </row>
    <row r="975" spans="1:11">
      <c r="A975" s="760"/>
      <c r="B975" s="760"/>
      <c r="C975" s="760"/>
      <c r="D975" s="760"/>
      <c r="E975" s="760"/>
      <c r="F975" s="760"/>
      <c r="G975" s="760"/>
      <c r="H975" s="760"/>
      <c r="I975" s="760"/>
      <c r="J975" s="760"/>
      <c r="K975" s="760"/>
    </row>
    <row r="976" spans="1:11">
      <c r="A976" s="760"/>
      <c r="B976" s="760"/>
      <c r="C976" s="760"/>
      <c r="D976" s="760"/>
      <c r="E976" s="760"/>
      <c r="F976" s="760"/>
      <c r="G976" s="760"/>
      <c r="H976" s="760"/>
      <c r="I976" s="760"/>
      <c r="J976" s="760"/>
      <c r="K976" s="760"/>
    </row>
    <row r="977" spans="1:11">
      <c r="A977" s="760"/>
      <c r="B977" s="760"/>
      <c r="C977" s="760"/>
      <c r="D977" s="760"/>
      <c r="E977" s="760"/>
      <c r="F977" s="760"/>
      <c r="G977" s="760"/>
      <c r="H977" s="760"/>
      <c r="I977" s="760"/>
      <c r="J977" s="760"/>
      <c r="K977" s="760"/>
    </row>
    <row r="978" spans="1:11">
      <c r="A978" s="760"/>
      <c r="B978" s="760"/>
      <c r="C978" s="760"/>
      <c r="D978" s="760"/>
      <c r="E978" s="760"/>
      <c r="F978" s="760"/>
      <c r="G978" s="760"/>
      <c r="H978" s="760"/>
      <c r="I978" s="760"/>
      <c r="J978" s="760"/>
      <c r="K978" s="760"/>
    </row>
    <row r="979" spans="1:11">
      <c r="A979" s="760"/>
      <c r="B979" s="760"/>
      <c r="C979" s="760"/>
      <c r="D979" s="760"/>
      <c r="E979" s="760"/>
      <c r="F979" s="760"/>
      <c r="G979" s="760"/>
      <c r="H979" s="760"/>
      <c r="I979" s="760"/>
      <c r="J979" s="760"/>
      <c r="K979" s="760"/>
    </row>
    <row r="980" spans="1:11">
      <c r="A980" s="760"/>
      <c r="B980" s="760"/>
      <c r="C980" s="760"/>
      <c r="D980" s="760"/>
      <c r="E980" s="760"/>
      <c r="F980" s="760"/>
      <c r="G980" s="760"/>
      <c r="H980" s="760"/>
      <c r="I980" s="760"/>
      <c r="J980" s="760"/>
      <c r="K980" s="760"/>
    </row>
    <row r="981" spans="1:11">
      <c r="A981" s="760"/>
      <c r="B981" s="760"/>
      <c r="C981" s="760"/>
      <c r="D981" s="760"/>
      <c r="E981" s="760"/>
      <c r="F981" s="760"/>
      <c r="G981" s="760"/>
      <c r="H981" s="760"/>
      <c r="I981" s="760"/>
      <c r="J981" s="760"/>
      <c r="K981" s="760"/>
    </row>
    <row r="982" spans="1:11">
      <c r="A982" s="760"/>
      <c r="B982" s="760"/>
      <c r="C982" s="760"/>
      <c r="D982" s="760"/>
      <c r="E982" s="760"/>
      <c r="F982" s="760"/>
      <c r="G982" s="760"/>
      <c r="H982" s="760"/>
      <c r="I982" s="760"/>
      <c r="J982" s="760"/>
      <c r="K982" s="760"/>
    </row>
    <row r="983" spans="1:11">
      <c r="A983" s="760"/>
      <c r="B983" s="760"/>
      <c r="C983" s="760"/>
      <c r="D983" s="760"/>
      <c r="E983" s="760"/>
      <c r="F983" s="760"/>
      <c r="G983" s="760"/>
      <c r="H983" s="760"/>
      <c r="I983" s="760"/>
      <c r="J983" s="760"/>
      <c r="K983" s="760"/>
    </row>
    <row r="984" spans="1:11">
      <c r="A984" s="760"/>
      <c r="B984" s="760"/>
      <c r="C984" s="760"/>
      <c r="D984" s="760"/>
      <c r="E984" s="760"/>
      <c r="F984" s="760"/>
      <c r="G984" s="760"/>
      <c r="H984" s="760"/>
      <c r="I984" s="760"/>
      <c r="J984" s="760"/>
      <c r="K984" s="760"/>
    </row>
    <row r="985" spans="1:11">
      <c r="A985" s="760"/>
      <c r="B985" s="760"/>
      <c r="C985" s="760"/>
      <c r="D985" s="760"/>
      <c r="E985" s="760"/>
      <c r="F985" s="760"/>
      <c r="G985" s="760"/>
      <c r="H985" s="760"/>
      <c r="I985" s="760"/>
      <c r="J985" s="760"/>
      <c r="K985" s="760"/>
    </row>
    <row r="986" spans="1:11">
      <c r="A986" s="760"/>
      <c r="B986" s="760"/>
      <c r="C986" s="760"/>
      <c r="D986" s="760"/>
      <c r="E986" s="760"/>
      <c r="F986" s="760"/>
      <c r="G986" s="760"/>
      <c r="H986" s="760"/>
      <c r="I986" s="760"/>
      <c r="J986" s="760"/>
      <c r="K986" s="760"/>
    </row>
    <row r="987" spans="1:11">
      <c r="A987" s="760"/>
      <c r="B987" s="760"/>
      <c r="C987" s="760"/>
      <c r="D987" s="760"/>
      <c r="E987" s="760"/>
      <c r="F987" s="760"/>
      <c r="G987" s="760"/>
      <c r="H987" s="760"/>
      <c r="I987" s="760"/>
      <c r="J987" s="760"/>
      <c r="K987" s="760"/>
    </row>
    <row r="988" spans="1:11">
      <c r="A988" s="760"/>
      <c r="B988" s="760"/>
      <c r="C988" s="760"/>
      <c r="D988" s="760"/>
      <c r="E988" s="760"/>
      <c r="F988" s="760"/>
      <c r="G988" s="760"/>
      <c r="H988" s="760"/>
      <c r="I988" s="760"/>
      <c r="J988" s="760"/>
      <c r="K988" s="760"/>
    </row>
    <row r="989" spans="1:11">
      <c r="A989" s="760"/>
      <c r="B989" s="760"/>
      <c r="C989" s="760"/>
      <c r="D989" s="760"/>
      <c r="E989" s="760"/>
      <c r="F989" s="760"/>
      <c r="G989" s="760"/>
      <c r="H989" s="760"/>
      <c r="I989" s="760"/>
      <c r="J989" s="760"/>
      <c r="K989" s="760"/>
    </row>
    <row r="990" spans="1:11">
      <c r="A990" s="760"/>
      <c r="B990" s="760"/>
      <c r="C990" s="760"/>
      <c r="D990" s="760"/>
      <c r="E990" s="760"/>
      <c r="F990" s="760"/>
      <c r="G990" s="760"/>
      <c r="H990" s="760"/>
      <c r="I990" s="760"/>
      <c r="J990" s="760"/>
      <c r="K990" s="760"/>
    </row>
    <row r="991" spans="1:11">
      <c r="A991" s="760"/>
      <c r="B991" s="760"/>
      <c r="C991" s="760"/>
      <c r="D991" s="760"/>
      <c r="E991" s="760"/>
      <c r="F991" s="760"/>
      <c r="G991" s="760"/>
      <c r="H991" s="760"/>
      <c r="I991" s="760"/>
      <c r="J991" s="760"/>
      <c r="K991" s="760"/>
    </row>
    <row r="992" spans="1:11">
      <c r="A992" s="760"/>
      <c r="B992" s="760"/>
      <c r="C992" s="760"/>
      <c r="D992" s="760"/>
      <c r="E992" s="760"/>
      <c r="F992" s="760"/>
      <c r="G992" s="760"/>
      <c r="H992" s="760"/>
      <c r="I992" s="760"/>
      <c r="J992" s="760"/>
      <c r="K992" s="760"/>
    </row>
    <row r="993" spans="1:11">
      <c r="A993" s="760"/>
      <c r="B993" s="760"/>
      <c r="C993" s="760"/>
      <c r="D993" s="760"/>
      <c r="E993" s="760"/>
      <c r="F993" s="760"/>
      <c r="G993" s="760"/>
      <c r="H993" s="760"/>
      <c r="I993" s="760"/>
      <c r="J993" s="760"/>
      <c r="K993" s="760"/>
    </row>
    <row r="994" spans="1:11">
      <c r="A994" s="760"/>
      <c r="B994" s="760"/>
      <c r="C994" s="760"/>
      <c r="D994" s="760"/>
      <c r="E994" s="760"/>
      <c r="F994" s="760"/>
      <c r="G994" s="760"/>
      <c r="H994" s="760"/>
      <c r="I994" s="760"/>
      <c r="J994" s="760"/>
      <c r="K994" s="760"/>
    </row>
    <row r="995" spans="1:11">
      <c r="A995" s="760"/>
      <c r="B995" s="760"/>
      <c r="C995" s="760"/>
      <c r="D995" s="760"/>
      <c r="E995" s="760"/>
      <c r="F995" s="760"/>
      <c r="G995" s="760"/>
      <c r="H995" s="760"/>
      <c r="I995" s="760"/>
      <c r="J995" s="760"/>
      <c r="K995" s="760"/>
    </row>
    <row r="996" spans="1:11">
      <c r="A996" s="760"/>
      <c r="B996" s="760"/>
      <c r="C996" s="760"/>
      <c r="D996" s="760"/>
      <c r="E996" s="760"/>
      <c r="F996" s="760"/>
      <c r="G996" s="760"/>
      <c r="H996" s="760"/>
      <c r="I996" s="760"/>
      <c r="J996" s="760"/>
      <c r="K996" s="760"/>
    </row>
    <row r="997" spans="1:11">
      <c r="A997" s="760"/>
      <c r="B997" s="760"/>
      <c r="C997" s="760"/>
      <c r="D997" s="760"/>
      <c r="E997" s="760"/>
      <c r="F997" s="760"/>
      <c r="G997" s="760"/>
      <c r="H997" s="760"/>
      <c r="I997" s="760"/>
      <c r="J997" s="760"/>
      <c r="K997" s="760"/>
    </row>
    <row r="998" spans="1:11">
      <c r="A998" s="760"/>
      <c r="B998" s="760"/>
      <c r="C998" s="760"/>
      <c r="D998" s="760"/>
      <c r="E998" s="760"/>
      <c r="F998" s="760"/>
      <c r="G998" s="760"/>
      <c r="H998" s="760"/>
      <c r="I998" s="760"/>
      <c r="J998" s="760"/>
      <c r="K998" s="760"/>
    </row>
    <row r="999" spans="1:11">
      <c r="A999" s="760"/>
      <c r="B999" s="760"/>
      <c r="C999" s="760"/>
      <c r="D999" s="760"/>
      <c r="E999" s="760"/>
      <c r="F999" s="760"/>
      <c r="G999" s="760"/>
      <c r="H999" s="760"/>
      <c r="I999" s="760"/>
      <c r="J999" s="760"/>
      <c r="K999" s="760"/>
    </row>
    <row r="1000" spans="1:11">
      <c r="A1000" s="760"/>
      <c r="B1000" s="760"/>
      <c r="C1000" s="760"/>
      <c r="D1000" s="760"/>
      <c r="E1000" s="760"/>
      <c r="F1000" s="760"/>
      <c r="G1000" s="760"/>
      <c r="H1000" s="760"/>
      <c r="I1000" s="760"/>
      <c r="J1000" s="760"/>
      <c r="K1000" s="760"/>
    </row>
    <row r="1001" spans="1:11">
      <c r="A1001" s="760"/>
      <c r="B1001" s="760"/>
      <c r="C1001" s="760"/>
      <c r="D1001" s="760"/>
      <c r="E1001" s="760"/>
      <c r="F1001" s="760"/>
      <c r="G1001" s="760"/>
      <c r="H1001" s="760"/>
      <c r="I1001" s="760"/>
      <c r="J1001" s="760"/>
      <c r="K1001" s="760"/>
    </row>
    <row r="1002" spans="1:11">
      <c r="A1002" s="760"/>
      <c r="B1002" s="760"/>
      <c r="C1002" s="760"/>
      <c r="D1002" s="760"/>
      <c r="E1002" s="760"/>
      <c r="F1002" s="760"/>
      <c r="G1002" s="760"/>
      <c r="H1002" s="760"/>
      <c r="I1002" s="760"/>
      <c r="J1002" s="760"/>
      <c r="K1002" s="760"/>
    </row>
    <row r="1003" spans="1:11">
      <c r="A1003" s="760"/>
      <c r="B1003" s="760"/>
      <c r="C1003" s="760"/>
      <c r="D1003" s="760"/>
      <c r="E1003" s="760"/>
      <c r="F1003" s="760"/>
      <c r="G1003" s="760"/>
      <c r="H1003" s="760"/>
      <c r="I1003" s="760"/>
      <c r="J1003" s="760"/>
      <c r="K1003" s="760"/>
    </row>
    <row r="1004" spans="1:11">
      <c r="A1004" s="760"/>
      <c r="B1004" s="760"/>
      <c r="C1004" s="760"/>
      <c r="D1004" s="760"/>
      <c r="E1004" s="760"/>
      <c r="F1004" s="760"/>
      <c r="G1004" s="760"/>
      <c r="H1004" s="760"/>
      <c r="I1004" s="760"/>
      <c r="J1004" s="760"/>
      <c r="K1004" s="760"/>
    </row>
    <row r="1005" spans="1:11">
      <c r="A1005" s="760"/>
      <c r="B1005" s="760"/>
      <c r="C1005" s="760"/>
      <c r="D1005" s="760"/>
      <c r="E1005" s="760"/>
      <c r="F1005" s="760"/>
      <c r="G1005" s="760"/>
      <c r="H1005" s="760"/>
      <c r="I1005" s="760"/>
      <c r="J1005" s="760"/>
      <c r="K1005" s="760"/>
    </row>
    <row r="1006" spans="1:11">
      <c r="A1006" s="760"/>
      <c r="B1006" s="760"/>
      <c r="C1006" s="760"/>
      <c r="D1006" s="760"/>
      <c r="E1006" s="760"/>
      <c r="F1006" s="760"/>
      <c r="G1006" s="760"/>
      <c r="H1006" s="760"/>
      <c r="I1006" s="760"/>
      <c r="J1006" s="760"/>
      <c r="K1006" s="760"/>
    </row>
    <row r="1007" spans="1:11">
      <c r="A1007" s="760"/>
      <c r="B1007" s="760"/>
      <c r="C1007" s="760"/>
      <c r="D1007" s="760"/>
      <c r="E1007" s="760"/>
      <c r="F1007" s="760"/>
      <c r="G1007" s="760"/>
      <c r="H1007" s="760"/>
      <c r="I1007" s="760"/>
      <c r="J1007" s="760"/>
      <c r="K1007" s="760"/>
    </row>
    <row r="1008" spans="1:11">
      <c r="A1008" s="760"/>
      <c r="B1008" s="760"/>
      <c r="C1008" s="760"/>
      <c r="D1008" s="760"/>
      <c r="E1008" s="760"/>
      <c r="F1008" s="760"/>
      <c r="G1008" s="760"/>
      <c r="H1008" s="760"/>
      <c r="I1008" s="760"/>
      <c r="J1008" s="760"/>
      <c r="K1008" s="760"/>
    </row>
    <row r="1009" spans="1:11">
      <c r="A1009" s="760"/>
      <c r="B1009" s="760"/>
      <c r="C1009" s="760"/>
      <c r="D1009" s="760"/>
      <c r="E1009" s="760"/>
      <c r="F1009" s="760"/>
      <c r="G1009" s="760"/>
      <c r="H1009" s="760"/>
      <c r="I1009" s="760"/>
      <c r="J1009" s="760"/>
      <c r="K1009" s="760"/>
    </row>
    <row r="1010" spans="1:11">
      <c r="A1010" s="760"/>
      <c r="B1010" s="760"/>
      <c r="C1010" s="760"/>
      <c r="D1010" s="760"/>
      <c r="E1010" s="760"/>
      <c r="F1010" s="760"/>
      <c r="G1010" s="760"/>
      <c r="H1010" s="760"/>
      <c r="I1010" s="760"/>
      <c r="J1010" s="760"/>
      <c r="K1010" s="760"/>
    </row>
    <row r="1011" spans="1:11">
      <c r="A1011" s="760"/>
      <c r="B1011" s="760"/>
      <c r="C1011" s="760"/>
      <c r="D1011" s="760"/>
      <c r="E1011" s="760"/>
      <c r="F1011" s="760"/>
      <c r="G1011" s="760"/>
      <c r="H1011" s="760"/>
      <c r="I1011" s="760"/>
      <c r="J1011" s="760"/>
      <c r="K1011" s="760"/>
    </row>
    <row r="1012" spans="1:11">
      <c r="A1012" s="760"/>
      <c r="B1012" s="760"/>
      <c r="C1012" s="760"/>
      <c r="D1012" s="760"/>
      <c r="E1012" s="760"/>
      <c r="F1012" s="760"/>
      <c r="G1012" s="760"/>
      <c r="H1012" s="760"/>
      <c r="I1012" s="760"/>
      <c r="J1012" s="760"/>
      <c r="K1012" s="760"/>
    </row>
    <row r="1013" spans="1:11">
      <c r="A1013" s="760"/>
      <c r="B1013" s="760"/>
      <c r="C1013" s="760"/>
      <c r="D1013" s="760"/>
      <c r="E1013" s="760"/>
      <c r="F1013" s="760"/>
      <c r="G1013" s="760"/>
      <c r="H1013" s="760"/>
      <c r="I1013" s="760"/>
      <c r="J1013" s="760"/>
      <c r="K1013" s="760"/>
    </row>
    <row r="1014" spans="1:11">
      <c r="A1014" s="760"/>
      <c r="B1014" s="760"/>
      <c r="C1014" s="760"/>
      <c r="D1014" s="760"/>
      <c r="E1014" s="760"/>
      <c r="F1014" s="760"/>
      <c r="G1014" s="760"/>
      <c r="H1014" s="760"/>
      <c r="I1014" s="760"/>
      <c r="J1014" s="760"/>
      <c r="K1014" s="760"/>
    </row>
    <row r="1015" spans="1:11">
      <c r="A1015" s="760"/>
      <c r="B1015" s="760"/>
      <c r="C1015" s="760"/>
      <c r="D1015" s="760"/>
      <c r="E1015" s="760"/>
      <c r="F1015" s="760"/>
      <c r="G1015" s="760"/>
      <c r="H1015" s="760"/>
      <c r="I1015" s="760"/>
      <c r="J1015" s="760"/>
      <c r="K1015" s="760"/>
    </row>
    <row r="1016" spans="1:11">
      <c r="A1016" s="760"/>
      <c r="B1016" s="760"/>
      <c r="C1016" s="760"/>
      <c r="D1016" s="760"/>
      <c r="E1016" s="760"/>
      <c r="F1016" s="760"/>
      <c r="G1016" s="760"/>
      <c r="H1016" s="760"/>
      <c r="I1016" s="760"/>
      <c r="J1016" s="760"/>
      <c r="K1016" s="760"/>
    </row>
    <row r="1017" spans="1:11">
      <c r="A1017" s="760"/>
      <c r="B1017" s="760"/>
      <c r="C1017" s="760"/>
      <c r="D1017" s="760"/>
      <c r="E1017" s="760"/>
      <c r="F1017" s="760"/>
      <c r="G1017" s="760"/>
      <c r="H1017" s="760"/>
      <c r="I1017" s="760"/>
      <c r="J1017" s="760"/>
      <c r="K1017" s="760"/>
    </row>
    <row r="1018" spans="1:11">
      <c r="A1018" s="760"/>
      <c r="B1018" s="760"/>
      <c r="C1018" s="760"/>
      <c r="D1018" s="760"/>
      <c r="E1018" s="760"/>
      <c r="F1018" s="760"/>
      <c r="G1018" s="760"/>
      <c r="H1018" s="760"/>
      <c r="I1018" s="760"/>
      <c r="J1018" s="760"/>
      <c r="K1018" s="760"/>
    </row>
    <row r="1019" spans="1:11">
      <c r="A1019" s="760"/>
      <c r="B1019" s="760"/>
      <c r="C1019" s="760"/>
      <c r="D1019" s="760"/>
      <c r="E1019" s="760"/>
      <c r="F1019" s="760"/>
      <c r="G1019" s="760"/>
      <c r="H1019" s="760"/>
      <c r="I1019" s="760"/>
      <c r="J1019" s="760"/>
      <c r="K1019" s="760"/>
    </row>
    <row r="1020" spans="1:11">
      <c r="A1020" s="760"/>
      <c r="B1020" s="760"/>
      <c r="C1020" s="760"/>
      <c r="D1020" s="760"/>
      <c r="E1020" s="760"/>
      <c r="F1020" s="760"/>
      <c r="G1020" s="760"/>
      <c r="H1020" s="760"/>
      <c r="I1020" s="760"/>
      <c r="J1020" s="760"/>
      <c r="K1020" s="760"/>
    </row>
    <row r="1021" spans="1:11">
      <c r="A1021" s="760"/>
      <c r="B1021" s="760"/>
      <c r="C1021" s="760"/>
      <c r="D1021" s="760"/>
      <c r="E1021" s="760"/>
      <c r="F1021" s="760"/>
      <c r="G1021" s="760"/>
      <c r="H1021" s="760"/>
      <c r="I1021" s="760"/>
      <c r="J1021" s="760"/>
      <c r="K1021" s="760"/>
    </row>
    <row r="1022" spans="1:11">
      <c r="A1022" s="760"/>
      <c r="B1022" s="760"/>
      <c r="C1022" s="760"/>
      <c r="D1022" s="760"/>
      <c r="E1022" s="760"/>
      <c r="F1022" s="760"/>
      <c r="G1022" s="760"/>
      <c r="H1022" s="760"/>
      <c r="I1022" s="760"/>
      <c r="J1022" s="760"/>
      <c r="K1022" s="760"/>
    </row>
    <row r="1023" spans="1:11">
      <c r="A1023" s="760"/>
      <c r="B1023" s="760"/>
      <c r="C1023" s="760"/>
      <c r="D1023" s="760"/>
      <c r="E1023" s="760"/>
      <c r="F1023" s="760"/>
      <c r="G1023" s="760"/>
      <c r="H1023" s="760"/>
      <c r="I1023" s="760"/>
      <c r="J1023" s="760"/>
      <c r="K1023" s="760"/>
    </row>
    <row r="1024" spans="1:11">
      <c r="A1024" s="760"/>
      <c r="B1024" s="760"/>
      <c r="C1024" s="760"/>
      <c r="D1024" s="760"/>
      <c r="E1024" s="760"/>
      <c r="F1024" s="760"/>
      <c r="G1024" s="760"/>
      <c r="H1024" s="760"/>
      <c r="I1024" s="760"/>
      <c r="J1024" s="760"/>
      <c r="K1024" s="760"/>
    </row>
    <row r="1025" spans="1:11">
      <c r="A1025" s="760"/>
      <c r="B1025" s="760"/>
      <c r="C1025" s="760"/>
      <c r="D1025" s="760"/>
      <c r="E1025" s="760"/>
      <c r="F1025" s="760"/>
      <c r="G1025" s="760"/>
      <c r="H1025" s="760"/>
      <c r="I1025" s="760"/>
      <c r="J1025" s="760"/>
      <c r="K1025" s="760"/>
    </row>
    <row r="1026" spans="1:11">
      <c r="A1026" s="760"/>
      <c r="B1026" s="760"/>
      <c r="C1026" s="760"/>
      <c r="D1026" s="760"/>
      <c r="E1026" s="760"/>
      <c r="F1026" s="760"/>
      <c r="G1026" s="760"/>
      <c r="H1026" s="760"/>
      <c r="I1026" s="760"/>
      <c r="J1026" s="760"/>
      <c r="K1026" s="760"/>
    </row>
    <row r="1027" spans="1:11">
      <c r="A1027" s="760"/>
      <c r="B1027" s="760"/>
      <c r="C1027" s="760"/>
      <c r="D1027" s="760"/>
      <c r="E1027" s="760"/>
      <c r="F1027" s="760"/>
      <c r="G1027" s="760"/>
      <c r="H1027" s="760"/>
      <c r="I1027" s="760"/>
      <c r="J1027" s="760"/>
      <c r="K1027" s="760"/>
    </row>
    <row r="1028" spans="1:11">
      <c r="A1028" s="760"/>
      <c r="B1028" s="760"/>
      <c r="C1028" s="760"/>
      <c r="D1028" s="760"/>
      <c r="E1028" s="760"/>
      <c r="F1028" s="760"/>
      <c r="G1028" s="760"/>
      <c r="H1028" s="760"/>
      <c r="I1028" s="760"/>
      <c r="J1028" s="760"/>
      <c r="K1028" s="760"/>
    </row>
    <row r="1029" spans="1:11">
      <c r="A1029" s="760"/>
      <c r="B1029" s="760"/>
      <c r="C1029" s="760"/>
      <c r="D1029" s="760"/>
      <c r="E1029" s="760"/>
      <c r="F1029" s="760"/>
      <c r="G1029" s="760"/>
      <c r="H1029" s="760"/>
      <c r="I1029" s="760"/>
      <c r="J1029" s="760"/>
      <c r="K1029" s="760"/>
    </row>
    <row r="1030" spans="1:11">
      <c r="A1030" s="760"/>
      <c r="B1030" s="760"/>
      <c r="C1030" s="760"/>
      <c r="D1030" s="760"/>
      <c r="E1030" s="760"/>
      <c r="F1030" s="760"/>
      <c r="G1030" s="760"/>
      <c r="H1030" s="760"/>
      <c r="I1030" s="760"/>
      <c r="J1030" s="760"/>
      <c r="K1030" s="760"/>
    </row>
    <row r="1031" spans="1:11">
      <c r="A1031" s="760"/>
      <c r="B1031" s="760"/>
      <c r="C1031" s="760"/>
      <c r="D1031" s="760"/>
      <c r="E1031" s="760"/>
      <c r="F1031" s="760"/>
      <c r="G1031" s="760"/>
      <c r="H1031" s="760"/>
      <c r="I1031" s="760"/>
      <c r="J1031" s="760"/>
      <c r="K1031" s="760"/>
    </row>
    <row r="1032" spans="1:11">
      <c r="A1032" s="760"/>
      <c r="B1032" s="760"/>
      <c r="C1032" s="760"/>
      <c r="D1032" s="760"/>
      <c r="E1032" s="760"/>
      <c r="F1032" s="760"/>
      <c r="G1032" s="760"/>
      <c r="H1032" s="760"/>
      <c r="I1032" s="760"/>
      <c r="J1032" s="760"/>
      <c r="K1032" s="760"/>
    </row>
    <row r="1033" spans="1:11">
      <c r="A1033" s="760"/>
      <c r="B1033" s="760"/>
      <c r="C1033" s="760"/>
      <c r="D1033" s="760"/>
      <c r="E1033" s="760"/>
      <c r="F1033" s="760"/>
      <c r="G1033" s="760"/>
      <c r="H1033" s="760"/>
      <c r="I1033" s="760"/>
      <c r="J1033" s="760"/>
      <c r="K1033" s="760"/>
    </row>
    <row r="1034" spans="1:11">
      <c r="A1034" s="760"/>
      <c r="B1034" s="760"/>
      <c r="C1034" s="760"/>
      <c r="D1034" s="760"/>
      <c r="E1034" s="760"/>
      <c r="F1034" s="760"/>
      <c r="G1034" s="760"/>
      <c r="H1034" s="760"/>
      <c r="I1034" s="760"/>
      <c r="J1034" s="760"/>
      <c r="K1034" s="760"/>
    </row>
    <row r="1035" spans="1:11">
      <c r="A1035" s="760"/>
      <c r="B1035" s="760"/>
      <c r="C1035" s="760"/>
      <c r="D1035" s="760"/>
      <c r="E1035" s="760"/>
      <c r="F1035" s="760"/>
      <c r="G1035" s="760"/>
      <c r="H1035" s="760"/>
      <c r="I1035" s="760"/>
      <c r="J1035" s="760"/>
      <c r="K1035" s="760"/>
    </row>
    <row r="1036" spans="1:11">
      <c r="A1036" s="760"/>
      <c r="B1036" s="760"/>
      <c r="C1036" s="760"/>
      <c r="D1036" s="760"/>
      <c r="E1036" s="760"/>
      <c r="F1036" s="760"/>
      <c r="G1036" s="760"/>
      <c r="H1036" s="760"/>
      <c r="I1036" s="760"/>
      <c r="J1036" s="760"/>
      <c r="K1036" s="760"/>
    </row>
    <row r="1037" spans="1:11">
      <c r="A1037" s="760"/>
      <c r="B1037" s="760"/>
      <c r="C1037" s="760"/>
      <c r="D1037" s="760"/>
      <c r="E1037" s="760"/>
      <c r="F1037" s="760"/>
      <c r="G1037" s="760"/>
      <c r="H1037" s="760"/>
      <c r="I1037" s="760"/>
      <c r="J1037" s="760"/>
      <c r="K1037" s="760"/>
    </row>
    <row r="1038" spans="1:11">
      <c r="A1038" s="760"/>
      <c r="B1038" s="760"/>
      <c r="C1038" s="760"/>
      <c r="D1038" s="760"/>
      <c r="E1038" s="760"/>
      <c r="F1038" s="760"/>
      <c r="G1038" s="760"/>
      <c r="H1038" s="760"/>
      <c r="I1038" s="760"/>
      <c r="J1038" s="760"/>
      <c r="K1038" s="760"/>
    </row>
    <row r="1039" spans="1:11">
      <c r="A1039" s="760"/>
      <c r="B1039" s="760"/>
      <c r="C1039" s="760"/>
      <c r="D1039" s="760"/>
      <c r="E1039" s="760"/>
      <c r="F1039" s="760"/>
      <c r="G1039" s="760"/>
      <c r="H1039" s="760"/>
      <c r="I1039" s="760"/>
      <c r="J1039" s="760"/>
      <c r="K1039" s="760"/>
    </row>
    <row r="1040" spans="1:11">
      <c r="A1040" s="760"/>
      <c r="B1040" s="760"/>
      <c r="C1040" s="760"/>
      <c r="D1040" s="760"/>
      <c r="E1040" s="760"/>
      <c r="F1040" s="760"/>
      <c r="G1040" s="760"/>
      <c r="H1040" s="760"/>
      <c r="I1040" s="760"/>
      <c r="J1040" s="760"/>
      <c r="K1040" s="760"/>
    </row>
    <row r="1041" spans="1:11">
      <c r="A1041" s="760"/>
      <c r="B1041" s="760"/>
      <c r="C1041" s="760"/>
      <c r="D1041" s="760"/>
      <c r="E1041" s="760"/>
      <c r="F1041" s="760"/>
      <c r="G1041" s="760"/>
      <c r="H1041" s="760"/>
      <c r="I1041" s="760"/>
      <c r="J1041" s="760"/>
      <c r="K1041" s="760"/>
    </row>
    <row r="1042" spans="1:11">
      <c r="A1042" s="760"/>
      <c r="B1042" s="760"/>
      <c r="C1042" s="760"/>
      <c r="D1042" s="760"/>
      <c r="E1042" s="760"/>
      <c r="F1042" s="760"/>
      <c r="G1042" s="760"/>
      <c r="H1042" s="760"/>
      <c r="I1042" s="760"/>
      <c r="J1042" s="760"/>
      <c r="K1042" s="760"/>
    </row>
    <row r="1043" spans="1:11">
      <c r="A1043" s="760"/>
      <c r="B1043" s="760"/>
      <c r="C1043" s="760"/>
      <c r="D1043" s="760"/>
      <c r="E1043" s="760"/>
      <c r="F1043" s="760"/>
      <c r="G1043" s="760"/>
      <c r="H1043" s="760"/>
      <c r="I1043" s="760"/>
      <c r="J1043" s="760"/>
      <c r="K1043" s="760"/>
    </row>
    <row r="1044" spans="1:11">
      <c r="A1044" s="760"/>
      <c r="B1044" s="760"/>
      <c r="C1044" s="760"/>
      <c r="D1044" s="760"/>
      <c r="E1044" s="760"/>
      <c r="F1044" s="760"/>
      <c r="G1044" s="760"/>
      <c r="H1044" s="760"/>
      <c r="I1044" s="760"/>
      <c r="J1044" s="760"/>
      <c r="K1044" s="760"/>
    </row>
    <row r="1045" spans="1:11">
      <c r="A1045" s="760"/>
      <c r="B1045" s="760"/>
      <c r="C1045" s="760"/>
      <c r="D1045" s="760"/>
      <c r="E1045" s="760"/>
      <c r="F1045" s="760"/>
      <c r="G1045" s="760"/>
      <c r="H1045" s="760"/>
      <c r="I1045" s="760"/>
      <c r="J1045" s="760"/>
      <c r="K1045" s="760"/>
    </row>
    <row r="1046" spans="1:11">
      <c r="A1046" s="760"/>
      <c r="B1046" s="760"/>
      <c r="C1046" s="760"/>
      <c r="D1046" s="760"/>
      <c r="E1046" s="760"/>
      <c r="F1046" s="760"/>
      <c r="G1046" s="760"/>
      <c r="H1046" s="760"/>
      <c r="I1046" s="760"/>
      <c r="J1046" s="760"/>
      <c r="K1046" s="760"/>
    </row>
    <row r="1047" spans="1:11">
      <c r="A1047" s="760"/>
      <c r="B1047" s="760"/>
      <c r="C1047" s="760"/>
      <c r="D1047" s="760"/>
      <c r="E1047" s="760"/>
      <c r="F1047" s="760"/>
      <c r="G1047" s="760"/>
      <c r="H1047" s="760"/>
      <c r="I1047" s="760"/>
      <c r="J1047" s="760"/>
      <c r="K1047" s="760"/>
    </row>
    <row r="1048" spans="1:11">
      <c r="A1048" s="760"/>
      <c r="B1048" s="760"/>
      <c r="C1048" s="760"/>
      <c r="D1048" s="760"/>
      <c r="E1048" s="760"/>
      <c r="F1048" s="760"/>
      <c r="G1048" s="760"/>
      <c r="H1048" s="760"/>
      <c r="I1048" s="760"/>
      <c r="J1048" s="760"/>
      <c r="K1048" s="760"/>
    </row>
    <row r="1049" spans="1:11">
      <c r="A1049" s="760"/>
      <c r="B1049" s="760"/>
      <c r="C1049" s="760"/>
      <c r="D1049" s="760"/>
      <c r="E1049" s="760"/>
      <c r="F1049" s="760"/>
      <c r="G1049" s="760"/>
      <c r="H1049" s="760"/>
      <c r="I1049" s="760"/>
      <c r="J1049" s="760"/>
      <c r="K1049" s="760"/>
    </row>
    <row r="1050" spans="1:11">
      <c r="A1050" s="760"/>
      <c r="B1050" s="760"/>
      <c r="C1050" s="760"/>
      <c r="D1050" s="760"/>
      <c r="E1050" s="760"/>
      <c r="F1050" s="760"/>
      <c r="G1050" s="760"/>
      <c r="H1050" s="760"/>
      <c r="I1050" s="760"/>
      <c r="J1050" s="760"/>
      <c r="K1050" s="760"/>
    </row>
    <row r="1051" spans="1:11">
      <c r="A1051" s="760"/>
      <c r="B1051" s="760"/>
      <c r="C1051" s="760"/>
      <c r="D1051" s="760"/>
      <c r="E1051" s="760"/>
      <c r="F1051" s="760"/>
      <c r="G1051" s="760"/>
      <c r="H1051" s="760"/>
      <c r="I1051" s="760"/>
      <c r="J1051" s="760"/>
      <c r="K1051" s="760"/>
    </row>
    <row r="1052" spans="1:11">
      <c r="A1052" s="760"/>
      <c r="B1052" s="760"/>
      <c r="C1052" s="760"/>
      <c r="D1052" s="760"/>
      <c r="E1052" s="760"/>
      <c r="F1052" s="760"/>
      <c r="G1052" s="760"/>
      <c r="H1052" s="760"/>
      <c r="I1052" s="760"/>
      <c r="J1052" s="760"/>
      <c r="K1052" s="760"/>
    </row>
    <row r="1053" spans="1:11">
      <c r="A1053" s="760"/>
      <c r="B1053" s="760"/>
      <c r="C1053" s="760"/>
      <c r="D1053" s="760"/>
      <c r="E1053" s="760"/>
      <c r="F1053" s="760"/>
      <c r="G1053" s="760"/>
      <c r="H1053" s="760"/>
      <c r="I1053" s="760"/>
      <c r="J1053" s="760"/>
      <c r="K1053" s="760"/>
    </row>
    <row r="1054" spans="1:11">
      <c r="A1054" s="760"/>
      <c r="B1054" s="760"/>
      <c r="C1054" s="760"/>
      <c r="D1054" s="760"/>
      <c r="E1054" s="760"/>
      <c r="F1054" s="760"/>
      <c r="G1054" s="760"/>
      <c r="H1054" s="760"/>
      <c r="I1054" s="760"/>
      <c r="J1054" s="760"/>
      <c r="K1054" s="760"/>
    </row>
    <row r="1055" spans="1:11">
      <c r="A1055" s="760"/>
      <c r="B1055" s="760"/>
      <c r="C1055" s="760"/>
      <c r="D1055" s="760"/>
      <c r="E1055" s="760"/>
      <c r="F1055" s="760"/>
      <c r="G1055" s="760"/>
      <c r="H1055" s="760"/>
      <c r="I1055" s="760"/>
      <c r="J1055" s="760"/>
      <c r="K1055" s="760"/>
    </row>
    <row r="1056" spans="1:11">
      <c r="A1056" s="760"/>
      <c r="B1056" s="760"/>
      <c r="C1056" s="760"/>
      <c r="D1056" s="760"/>
      <c r="E1056" s="760"/>
      <c r="F1056" s="760"/>
      <c r="G1056" s="760"/>
      <c r="H1056" s="760"/>
      <c r="I1056" s="760"/>
      <c r="J1056" s="760"/>
      <c r="K1056" s="760"/>
    </row>
    <row r="1057" spans="1:11">
      <c r="A1057" s="760"/>
      <c r="B1057" s="760"/>
      <c r="C1057" s="760"/>
      <c r="D1057" s="760"/>
      <c r="E1057" s="760"/>
      <c r="F1057" s="760"/>
      <c r="G1057" s="760"/>
      <c r="H1057" s="760"/>
      <c r="I1057" s="760"/>
      <c r="J1057" s="760"/>
      <c r="K1057" s="760"/>
    </row>
    <row r="1058" spans="1:11">
      <c r="A1058" s="760"/>
      <c r="B1058" s="760"/>
      <c r="C1058" s="760"/>
      <c r="D1058" s="760"/>
      <c r="E1058" s="760"/>
      <c r="F1058" s="760"/>
      <c r="G1058" s="760"/>
      <c r="H1058" s="760"/>
      <c r="I1058" s="760"/>
      <c r="J1058" s="760"/>
      <c r="K1058" s="760"/>
    </row>
    <row r="1059" spans="1:11">
      <c r="A1059" s="760"/>
      <c r="B1059" s="760"/>
      <c r="C1059" s="760"/>
      <c r="D1059" s="760"/>
      <c r="E1059" s="760"/>
      <c r="F1059" s="760"/>
      <c r="G1059" s="760"/>
      <c r="H1059" s="760"/>
      <c r="I1059" s="760"/>
      <c r="J1059" s="760"/>
      <c r="K1059" s="760"/>
    </row>
    <row r="1060" spans="1:11">
      <c r="A1060" s="760"/>
      <c r="B1060" s="760"/>
      <c r="C1060" s="760"/>
      <c r="D1060" s="760"/>
      <c r="E1060" s="760"/>
      <c r="F1060" s="760"/>
      <c r="G1060" s="760"/>
      <c r="H1060" s="760"/>
      <c r="I1060" s="760"/>
      <c r="J1060" s="760"/>
      <c r="K1060" s="760"/>
    </row>
    <row r="1061" spans="1:11">
      <c r="A1061" s="760"/>
      <c r="B1061" s="760"/>
      <c r="C1061" s="760"/>
      <c r="D1061" s="760"/>
      <c r="E1061" s="760"/>
      <c r="F1061" s="760"/>
      <c r="G1061" s="760"/>
      <c r="H1061" s="760"/>
      <c r="I1061" s="760"/>
      <c r="J1061" s="760"/>
      <c r="K1061" s="760"/>
    </row>
    <row r="1062" spans="1:11">
      <c r="A1062" s="760"/>
      <c r="B1062" s="760"/>
      <c r="C1062" s="760"/>
      <c r="D1062" s="760"/>
      <c r="E1062" s="760"/>
      <c r="F1062" s="760"/>
      <c r="G1062" s="760"/>
      <c r="H1062" s="760"/>
      <c r="I1062" s="760"/>
      <c r="J1062" s="760"/>
      <c r="K1062" s="760"/>
    </row>
    <row r="1063" spans="1:11">
      <c r="A1063" s="760"/>
      <c r="B1063" s="760"/>
      <c r="C1063" s="760"/>
      <c r="D1063" s="760"/>
      <c r="E1063" s="760"/>
      <c r="F1063" s="760"/>
      <c r="G1063" s="760"/>
      <c r="H1063" s="760"/>
      <c r="I1063" s="760"/>
      <c r="J1063" s="760"/>
      <c r="K1063" s="760"/>
    </row>
    <row r="1064" spans="1:11">
      <c r="A1064" s="760"/>
      <c r="B1064" s="760"/>
      <c r="C1064" s="760"/>
      <c r="D1064" s="760"/>
      <c r="E1064" s="760"/>
      <c r="F1064" s="760"/>
      <c r="G1064" s="760"/>
      <c r="H1064" s="760"/>
      <c r="I1064" s="760"/>
      <c r="J1064" s="760"/>
      <c r="K1064" s="760"/>
    </row>
    <row r="1065" spans="1:11">
      <c r="A1065" s="760"/>
      <c r="B1065" s="760"/>
      <c r="C1065" s="760"/>
      <c r="D1065" s="760"/>
      <c r="E1065" s="760"/>
      <c r="F1065" s="760"/>
      <c r="G1065" s="760"/>
      <c r="H1065" s="760"/>
      <c r="I1065" s="760"/>
      <c r="J1065" s="760"/>
      <c r="K1065" s="760"/>
    </row>
    <row r="1066" spans="1:11">
      <c r="A1066" s="760"/>
      <c r="B1066" s="760"/>
      <c r="C1066" s="760"/>
      <c r="D1066" s="760"/>
      <c r="E1066" s="760"/>
      <c r="F1066" s="760"/>
      <c r="G1066" s="760"/>
      <c r="H1066" s="760"/>
      <c r="I1066" s="760"/>
      <c r="J1066" s="760"/>
      <c r="K1066" s="760"/>
    </row>
    <row r="1067" spans="1:11">
      <c r="A1067" s="760"/>
      <c r="B1067" s="760"/>
      <c r="C1067" s="760"/>
      <c r="D1067" s="760"/>
      <c r="E1067" s="760"/>
      <c r="F1067" s="760"/>
      <c r="G1067" s="760"/>
      <c r="H1067" s="760"/>
      <c r="I1067" s="760"/>
      <c r="J1067" s="760"/>
      <c r="K1067" s="760"/>
    </row>
    <row r="1068" spans="1:11">
      <c r="A1068" s="760"/>
      <c r="B1068" s="760"/>
      <c r="C1068" s="760"/>
      <c r="D1068" s="760"/>
      <c r="E1068" s="760"/>
      <c r="F1068" s="760"/>
      <c r="G1068" s="760"/>
      <c r="H1068" s="760"/>
      <c r="I1068" s="760"/>
      <c r="J1068" s="760"/>
      <c r="K1068" s="760"/>
    </row>
    <row r="1069" spans="1:11">
      <c r="A1069" s="760"/>
      <c r="B1069" s="760"/>
      <c r="C1069" s="760"/>
      <c r="D1069" s="760"/>
      <c r="E1069" s="760"/>
      <c r="F1069" s="760"/>
      <c r="G1069" s="760"/>
      <c r="H1069" s="760"/>
      <c r="I1069" s="760"/>
      <c r="J1069" s="760"/>
      <c r="K1069" s="760"/>
    </row>
    <row r="1070" spans="1:11">
      <c r="A1070" s="760"/>
      <c r="B1070" s="760"/>
      <c r="C1070" s="760"/>
      <c r="D1070" s="760"/>
      <c r="E1070" s="760"/>
      <c r="F1070" s="760"/>
      <c r="G1070" s="760"/>
      <c r="H1070" s="760"/>
      <c r="I1070" s="760"/>
      <c r="J1070" s="760"/>
      <c r="K1070" s="760"/>
    </row>
    <row r="1071" spans="1:11">
      <c r="A1071" s="760"/>
      <c r="B1071" s="760"/>
      <c r="C1071" s="760"/>
      <c r="D1071" s="760"/>
      <c r="E1071" s="760"/>
      <c r="F1071" s="760"/>
      <c r="G1071" s="760"/>
      <c r="H1071" s="760"/>
      <c r="I1071" s="760"/>
      <c r="J1071" s="760"/>
      <c r="K1071" s="760"/>
    </row>
    <row r="1072" spans="1:11">
      <c r="A1072" s="760"/>
      <c r="B1072" s="760"/>
      <c r="C1072" s="760"/>
      <c r="D1072" s="760"/>
      <c r="E1072" s="760"/>
      <c r="F1072" s="760"/>
      <c r="G1072" s="760"/>
      <c r="H1072" s="760"/>
      <c r="I1072" s="760"/>
      <c r="J1072" s="760"/>
      <c r="K1072" s="760"/>
    </row>
    <row r="1073" spans="1:11">
      <c r="A1073" s="760"/>
      <c r="B1073" s="760"/>
      <c r="C1073" s="760"/>
      <c r="D1073" s="760"/>
      <c r="E1073" s="760"/>
      <c r="F1073" s="760"/>
      <c r="G1073" s="760"/>
      <c r="H1073" s="760"/>
      <c r="I1073" s="760"/>
      <c r="J1073" s="760"/>
      <c r="K1073" s="760"/>
    </row>
    <row r="1074" spans="1:11">
      <c r="A1074" s="760"/>
      <c r="B1074" s="760"/>
      <c r="C1074" s="760"/>
      <c r="D1074" s="760"/>
      <c r="E1074" s="760"/>
      <c r="F1074" s="760"/>
      <c r="G1074" s="760"/>
      <c r="H1074" s="760"/>
      <c r="I1074" s="760"/>
      <c r="J1074" s="760"/>
      <c r="K1074" s="760"/>
    </row>
    <row r="1075" spans="1:11">
      <c r="A1075" s="760"/>
      <c r="B1075" s="760"/>
      <c r="C1075" s="760"/>
      <c r="D1075" s="760"/>
      <c r="E1075" s="760"/>
      <c r="F1075" s="760"/>
      <c r="G1075" s="760"/>
      <c r="H1075" s="760"/>
      <c r="I1075" s="760"/>
      <c r="J1075" s="760"/>
      <c r="K1075" s="760"/>
    </row>
    <row r="1076" spans="1:11">
      <c r="A1076" s="760"/>
      <c r="B1076" s="760"/>
      <c r="C1076" s="760"/>
      <c r="D1076" s="760"/>
      <c r="E1076" s="760"/>
      <c r="F1076" s="760"/>
      <c r="G1076" s="760"/>
      <c r="H1076" s="760"/>
      <c r="I1076" s="760"/>
      <c r="J1076" s="760"/>
      <c r="K1076" s="760"/>
    </row>
    <row r="1077" spans="1:11">
      <c r="A1077" s="760"/>
      <c r="B1077" s="760"/>
      <c r="C1077" s="760"/>
      <c r="D1077" s="760"/>
      <c r="E1077" s="760"/>
      <c r="F1077" s="760"/>
      <c r="G1077" s="760"/>
      <c r="H1077" s="760"/>
      <c r="I1077" s="760"/>
      <c r="J1077" s="760"/>
      <c r="K1077" s="760"/>
    </row>
    <row r="1078" spans="1:11">
      <c r="A1078" s="760"/>
      <c r="B1078" s="760"/>
      <c r="C1078" s="760"/>
      <c r="D1078" s="760"/>
      <c r="E1078" s="760"/>
      <c r="F1078" s="760"/>
      <c r="G1078" s="760"/>
      <c r="H1078" s="760"/>
      <c r="I1078" s="760"/>
      <c r="J1078" s="760"/>
      <c r="K1078" s="760"/>
    </row>
    <row r="1079" spans="1:11">
      <c r="A1079" s="760"/>
      <c r="B1079" s="760"/>
      <c r="C1079" s="760"/>
      <c r="D1079" s="760"/>
      <c r="E1079" s="760"/>
      <c r="F1079" s="760"/>
      <c r="G1079" s="760"/>
      <c r="H1079" s="760"/>
      <c r="I1079" s="760"/>
      <c r="J1079" s="760"/>
      <c r="K1079" s="760"/>
    </row>
    <row r="1080" spans="1:11">
      <c r="A1080" s="760"/>
      <c r="B1080" s="760"/>
      <c r="C1080" s="760"/>
      <c r="D1080" s="760"/>
      <c r="E1080" s="760"/>
      <c r="F1080" s="760"/>
      <c r="G1080" s="760"/>
      <c r="H1080" s="760"/>
      <c r="I1080" s="760"/>
      <c r="J1080" s="760"/>
      <c r="K1080" s="760"/>
    </row>
    <row r="1081" spans="1:11">
      <c r="A1081" s="760"/>
      <c r="B1081" s="760"/>
      <c r="C1081" s="760"/>
      <c r="D1081" s="760"/>
      <c r="E1081" s="760"/>
      <c r="F1081" s="760"/>
      <c r="G1081" s="760"/>
      <c r="H1081" s="760"/>
      <c r="I1081" s="760"/>
      <c r="J1081" s="760"/>
      <c r="K1081" s="760"/>
    </row>
    <row r="1082" spans="1:11">
      <c r="A1082" s="760"/>
      <c r="B1082" s="760"/>
      <c r="C1082" s="760"/>
      <c r="D1082" s="760"/>
      <c r="E1082" s="760"/>
      <c r="F1082" s="760"/>
      <c r="G1082" s="760"/>
      <c r="H1082" s="760"/>
      <c r="I1082" s="760"/>
      <c r="J1082" s="760"/>
      <c r="K1082" s="760"/>
    </row>
    <row r="1083" spans="1:11">
      <c r="A1083" s="760"/>
      <c r="B1083" s="760"/>
      <c r="C1083" s="760"/>
      <c r="D1083" s="760"/>
      <c r="E1083" s="760"/>
      <c r="F1083" s="760"/>
      <c r="G1083" s="760"/>
      <c r="H1083" s="760"/>
      <c r="I1083" s="760"/>
      <c r="J1083" s="760"/>
      <c r="K1083" s="760"/>
    </row>
    <row r="1084" spans="1:11">
      <c r="A1084" s="760"/>
      <c r="B1084" s="760"/>
      <c r="C1084" s="760"/>
      <c r="D1084" s="760"/>
      <c r="E1084" s="760"/>
      <c r="F1084" s="760"/>
      <c r="G1084" s="760"/>
      <c r="H1084" s="760"/>
      <c r="I1084" s="760"/>
      <c r="J1084" s="760"/>
      <c r="K1084" s="760"/>
    </row>
    <row r="1085" spans="1:11">
      <c r="A1085" s="760"/>
      <c r="B1085" s="760"/>
      <c r="C1085" s="760"/>
      <c r="D1085" s="760"/>
      <c r="E1085" s="760"/>
      <c r="F1085" s="760"/>
      <c r="G1085" s="760"/>
      <c r="H1085" s="760"/>
      <c r="I1085" s="760"/>
      <c r="J1085" s="760"/>
      <c r="K1085" s="760"/>
    </row>
    <row r="1086" spans="1:11">
      <c r="A1086" s="760"/>
      <c r="B1086" s="760"/>
      <c r="C1086" s="760"/>
      <c r="D1086" s="760"/>
      <c r="E1086" s="760"/>
      <c r="F1086" s="760"/>
      <c r="G1086" s="760"/>
      <c r="H1086" s="760"/>
      <c r="I1086" s="760"/>
      <c r="J1086" s="760"/>
      <c r="K1086" s="760"/>
    </row>
    <row r="1087" spans="1:11">
      <c r="A1087" s="760"/>
      <c r="B1087" s="760"/>
      <c r="C1087" s="760"/>
      <c r="D1087" s="760"/>
      <c r="E1087" s="760"/>
      <c r="F1087" s="760"/>
      <c r="G1087" s="760"/>
      <c r="H1087" s="760"/>
      <c r="I1087" s="760"/>
      <c r="J1087" s="760"/>
      <c r="K1087" s="760"/>
    </row>
    <row r="1088" spans="1:11">
      <c r="A1088" s="760"/>
      <c r="B1088" s="760"/>
      <c r="C1088" s="760"/>
      <c r="D1088" s="760"/>
      <c r="E1088" s="760"/>
      <c r="F1088" s="760"/>
      <c r="G1088" s="760"/>
      <c r="H1088" s="760"/>
      <c r="I1088" s="760"/>
      <c r="J1088" s="760"/>
      <c r="K1088" s="760"/>
    </row>
    <row r="1089" spans="1:11">
      <c r="A1089" s="760"/>
      <c r="B1089" s="760"/>
      <c r="C1089" s="760"/>
      <c r="D1089" s="760"/>
      <c r="E1089" s="760"/>
      <c r="F1089" s="760"/>
      <c r="G1089" s="760"/>
      <c r="H1089" s="760"/>
      <c r="I1089" s="760"/>
      <c r="J1089" s="760"/>
      <c r="K1089" s="760"/>
    </row>
    <row r="1090" spans="1:11">
      <c r="A1090" s="760"/>
      <c r="B1090" s="760"/>
      <c r="C1090" s="760"/>
      <c r="D1090" s="760"/>
      <c r="E1090" s="760"/>
      <c r="F1090" s="760"/>
      <c r="G1090" s="760"/>
      <c r="H1090" s="760"/>
      <c r="I1090" s="760"/>
      <c r="J1090" s="760"/>
      <c r="K1090" s="760"/>
    </row>
    <row r="1091" spans="1:11">
      <c r="A1091" s="760"/>
      <c r="B1091" s="760"/>
      <c r="C1091" s="760"/>
      <c r="D1091" s="760"/>
      <c r="E1091" s="760"/>
      <c r="F1091" s="760"/>
      <c r="G1091" s="760"/>
      <c r="H1091" s="760"/>
      <c r="I1091" s="760"/>
      <c r="J1091" s="760"/>
      <c r="K1091" s="760"/>
    </row>
    <row r="1092" spans="1:11">
      <c r="A1092" s="760"/>
      <c r="B1092" s="760"/>
      <c r="C1092" s="760"/>
      <c r="D1092" s="760"/>
      <c r="E1092" s="760"/>
      <c r="F1092" s="760"/>
      <c r="G1092" s="760"/>
      <c r="H1092" s="760"/>
      <c r="I1092" s="760"/>
      <c r="J1092" s="760"/>
      <c r="K1092" s="760"/>
    </row>
    <row r="1093" spans="1:11">
      <c r="A1093" s="760"/>
      <c r="B1093" s="760"/>
      <c r="C1093" s="760"/>
      <c r="D1093" s="760"/>
      <c r="E1093" s="760"/>
      <c r="F1093" s="760"/>
      <c r="G1093" s="760"/>
      <c r="H1093" s="760"/>
      <c r="I1093" s="760"/>
      <c r="J1093" s="760"/>
      <c r="K1093" s="760"/>
    </row>
    <row r="1094" spans="1:11">
      <c r="A1094" s="760"/>
      <c r="B1094" s="760"/>
      <c r="C1094" s="760"/>
      <c r="D1094" s="760"/>
      <c r="E1094" s="760"/>
      <c r="F1094" s="760"/>
      <c r="G1094" s="760"/>
      <c r="H1094" s="760"/>
      <c r="I1094" s="760"/>
      <c r="J1094" s="760"/>
      <c r="K1094" s="760"/>
    </row>
    <row r="1095" spans="1:11">
      <c r="A1095" s="760"/>
      <c r="B1095" s="760"/>
      <c r="C1095" s="760"/>
      <c r="D1095" s="760"/>
      <c r="E1095" s="760"/>
      <c r="F1095" s="760"/>
      <c r="G1095" s="760"/>
      <c r="H1095" s="760"/>
      <c r="I1095" s="760"/>
      <c r="J1095" s="760"/>
      <c r="K1095" s="760"/>
    </row>
    <row r="1096" spans="1:11">
      <c r="A1096" s="760"/>
      <c r="B1096" s="760"/>
      <c r="C1096" s="760"/>
      <c r="D1096" s="760"/>
      <c r="E1096" s="760"/>
      <c r="F1096" s="760"/>
      <c r="G1096" s="760"/>
      <c r="H1096" s="760"/>
      <c r="I1096" s="760"/>
      <c r="J1096" s="760"/>
      <c r="K1096" s="760"/>
    </row>
    <row r="1097" spans="1:11">
      <c r="A1097" s="760"/>
      <c r="B1097" s="760"/>
      <c r="C1097" s="760"/>
      <c r="D1097" s="760"/>
      <c r="E1097" s="760"/>
      <c r="F1097" s="760"/>
      <c r="G1097" s="760"/>
      <c r="H1097" s="760"/>
      <c r="I1097" s="760"/>
      <c r="J1097" s="760"/>
      <c r="K1097" s="760"/>
    </row>
    <row r="1098" spans="1:11">
      <c r="A1098" s="760"/>
      <c r="B1098" s="760"/>
      <c r="C1098" s="760"/>
      <c r="D1098" s="760"/>
      <c r="E1098" s="760"/>
      <c r="F1098" s="760"/>
      <c r="G1098" s="760"/>
      <c r="H1098" s="760"/>
      <c r="I1098" s="760"/>
      <c r="J1098" s="760"/>
      <c r="K1098" s="760"/>
    </row>
    <row r="1099" spans="1:11">
      <c r="A1099" s="760"/>
      <c r="B1099" s="760"/>
      <c r="C1099" s="760"/>
      <c r="D1099" s="760"/>
      <c r="E1099" s="760"/>
      <c r="F1099" s="760"/>
      <c r="G1099" s="760"/>
      <c r="H1099" s="760"/>
      <c r="I1099" s="760"/>
      <c r="J1099" s="760"/>
      <c r="K1099" s="760"/>
    </row>
    <row r="1100" spans="1:11">
      <c r="A1100" s="760"/>
      <c r="B1100" s="760"/>
      <c r="C1100" s="760"/>
      <c r="D1100" s="760"/>
      <c r="E1100" s="760"/>
      <c r="F1100" s="760"/>
      <c r="G1100" s="760"/>
      <c r="H1100" s="760"/>
      <c r="I1100" s="760"/>
      <c r="J1100" s="760"/>
      <c r="K1100" s="760"/>
    </row>
    <row r="1101" spans="1:11">
      <c r="A1101" s="760"/>
      <c r="B1101" s="760"/>
      <c r="C1101" s="760"/>
      <c r="D1101" s="760"/>
      <c r="E1101" s="760"/>
      <c r="F1101" s="760"/>
      <c r="G1101" s="760"/>
      <c r="H1101" s="760"/>
      <c r="I1101" s="760"/>
      <c r="J1101" s="760"/>
      <c r="K1101" s="760"/>
    </row>
    <row r="1102" spans="1:11">
      <c r="A1102" s="760"/>
      <c r="B1102" s="760"/>
      <c r="C1102" s="760"/>
      <c r="D1102" s="760"/>
      <c r="E1102" s="760"/>
      <c r="F1102" s="760"/>
      <c r="G1102" s="760"/>
      <c r="H1102" s="760"/>
      <c r="I1102" s="760"/>
      <c r="J1102" s="760"/>
      <c r="K1102" s="760"/>
    </row>
    <row r="1103" spans="1:11">
      <c r="A1103" s="760"/>
      <c r="B1103" s="760"/>
      <c r="C1103" s="760"/>
      <c r="D1103" s="760"/>
      <c r="E1103" s="760"/>
      <c r="F1103" s="760"/>
      <c r="G1103" s="760"/>
      <c r="H1103" s="760"/>
      <c r="I1103" s="760"/>
      <c r="J1103" s="760"/>
      <c r="K1103" s="760"/>
    </row>
    <row r="1104" spans="1:11">
      <c r="A1104" s="760"/>
      <c r="B1104" s="760"/>
      <c r="C1104" s="760"/>
      <c r="D1104" s="760"/>
      <c r="E1104" s="760"/>
      <c r="F1104" s="760"/>
      <c r="G1104" s="760"/>
      <c r="H1104" s="760"/>
      <c r="I1104" s="760"/>
      <c r="J1104" s="760"/>
      <c r="K1104" s="760"/>
    </row>
    <row r="1105" spans="1:11">
      <c r="A1105" s="760"/>
      <c r="B1105" s="760"/>
      <c r="C1105" s="760"/>
      <c r="D1105" s="760"/>
      <c r="E1105" s="760"/>
      <c r="F1105" s="760"/>
      <c r="G1105" s="760"/>
      <c r="H1105" s="760"/>
      <c r="I1105" s="760"/>
      <c r="J1105" s="760"/>
      <c r="K1105" s="760"/>
    </row>
    <row r="1106" spans="1:11">
      <c r="A1106" s="760"/>
      <c r="B1106" s="760"/>
      <c r="C1106" s="760"/>
      <c r="D1106" s="760"/>
      <c r="E1106" s="760"/>
      <c r="F1106" s="760"/>
      <c r="G1106" s="760"/>
      <c r="H1106" s="760"/>
      <c r="I1106" s="760"/>
      <c r="J1106" s="760"/>
      <c r="K1106" s="760"/>
    </row>
    <row r="1107" spans="1:11">
      <c r="A1107" s="760"/>
      <c r="B1107" s="760"/>
      <c r="C1107" s="760"/>
      <c r="D1107" s="760"/>
      <c r="E1107" s="760"/>
      <c r="F1107" s="760"/>
      <c r="G1107" s="760"/>
      <c r="H1107" s="760"/>
      <c r="I1107" s="760"/>
      <c r="J1107" s="760"/>
      <c r="K1107" s="760"/>
    </row>
    <row r="1108" spans="1:11">
      <c r="A1108" s="760"/>
      <c r="B1108" s="760"/>
      <c r="C1108" s="760"/>
      <c r="D1108" s="760"/>
      <c r="E1108" s="760"/>
      <c r="F1108" s="760"/>
      <c r="G1108" s="760"/>
      <c r="H1108" s="760"/>
      <c r="I1108" s="760"/>
      <c r="J1108" s="760"/>
      <c r="K1108" s="760"/>
    </row>
    <row r="1109" spans="1:11">
      <c r="A1109" s="760"/>
      <c r="B1109" s="760"/>
      <c r="C1109" s="760"/>
      <c r="D1109" s="760"/>
      <c r="E1109" s="760"/>
      <c r="F1109" s="760"/>
      <c r="G1109" s="760"/>
      <c r="H1109" s="760"/>
      <c r="I1109" s="760"/>
      <c r="J1109" s="760"/>
      <c r="K1109" s="760"/>
    </row>
    <row r="1110" spans="1:11">
      <c r="A1110" s="760"/>
      <c r="B1110" s="760"/>
      <c r="C1110" s="760"/>
      <c r="D1110" s="760"/>
      <c r="E1110" s="760"/>
      <c r="F1110" s="760"/>
      <c r="G1110" s="760"/>
      <c r="H1110" s="760"/>
      <c r="I1110" s="760"/>
      <c r="J1110" s="760"/>
      <c r="K1110" s="760"/>
    </row>
    <row r="1111" spans="1:11">
      <c r="A1111" s="760"/>
      <c r="B1111" s="760"/>
      <c r="C1111" s="760"/>
      <c r="D1111" s="760"/>
      <c r="E1111" s="760"/>
      <c r="F1111" s="760"/>
      <c r="G1111" s="760"/>
      <c r="H1111" s="760"/>
      <c r="I1111" s="760"/>
      <c r="J1111" s="760"/>
      <c r="K1111" s="760"/>
    </row>
    <row r="1112" spans="1:11">
      <c r="A1112" s="760"/>
      <c r="B1112" s="760"/>
      <c r="C1112" s="760"/>
      <c r="D1112" s="760"/>
      <c r="E1112" s="760"/>
      <c r="F1112" s="760"/>
      <c r="G1112" s="760"/>
      <c r="H1112" s="760"/>
      <c r="I1112" s="760"/>
      <c r="J1112" s="760"/>
      <c r="K1112" s="760"/>
    </row>
    <row r="1113" spans="1:11">
      <c r="A1113" s="760"/>
      <c r="B1113" s="760"/>
      <c r="C1113" s="760"/>
      <c r="D1113" s="760"/>
      <c r="E1113" s="760"/>
      <c r="F1113" s="760"/>
      <c r="G1113" s="760"/>
      <c r="H1113" s="760"/>
      <c r="I1113" s="760"/>
      <c r="J1113" s="760"/>
      <c r="K1113" s="760"/>
    </row>
    <row r="1114" spans="1:11">
      <c r="A1114" s="760"/>
      <c r="B1114" s="760"/>
      <c r="C1114" s="760"/>
      <c r="D1114" s="760"/>
      <c r="E1114" s="760"/>
      <c r="F1114" s="760"/>
      <c r="G1114" s="760"/>
      <c r="H1114" s="760"/>
      <c r="I1114" s="760"/>
      <c r="J1114" s="760"/>
      <c r="K1114" s="760"/>
    </row>
    <row r="1115" spans="1:11">
      <c r="A1115" s="760"/>
      <c r="B1115" s="760"/>
      <c r="C1115" s="760"/>
      <c r="D1115" s="760"/>
      <c r="E1115" s="760"/>
      <c r="F1115" s="760"/>
      <c r="G1115" s="760"/>
      <c r="H1115" s="760"/>
      <c r="I1115" s="760"/>
      <c r="J1115" s="760"/>
      <c r="K1115" s="760"/>
    </row>
    <row r="1116" spans="1:11">
      <c r="A1116" s="760"/>
      <c r="B1116" s="760"/>
      <c r="C1116" s="760"/>
      <c r="D1116" s="760"/>
      <c r="E1116" s="760"/>
      <c r="F1116" s="760"/>
      <c r="G1116" s="760"/>
      <c r="H1116" s="760"/>
      <c r="I1116" s="760"/>
      <c r="J1116" s="760"/>
      <c r="K1116" s="760"/>
    </row>
    <row r="1117" spans="1:11">
      <c r="A1117" s="760"/>
      <c r="B1117" s="760"/>
      <c r="C1117" s="760"/>
      <c r="D1117" s="760"/>
      <c r="E1117" s="760"/>
      <c r="F1117" s="760"/>
      <c r="G1117" s="760"/>
      <c r="H1117" s="760"/>
      <c r="I1117" s="760"/>
      <c r="J1117" s="760"/>
      <c r="K1117" s="760"/>
    </row>
    <row r="1118" spans="1:11">
      <c r="A1118" s="760"/>
      <c r="B1118" s="760"/>
      <c r="C1118" s="760"/>
      <c r="D1118" s="760"/>
      <c r="E1118" s="760"/>
      <c r="F1118" s="760"/>
      <c r="G1118" s="760"/>
      <c r="H1118" s="760"/>
      <c r="I1118" s="760"/>
      <c r="J1118" s="760"/>
      <c r="K1118" s="760"/>
    </row>
    <row r="1119" spans="1:11">
      <c r="A1119" s="760"/>
      <c r="B1119" s="760"/>
      <c r="C1119" s="760"/>
      <c r="D1119" s="760"/>
      <c r="E1119" s="760"/>
      <c r="F1119" s="760"/>
      <c r="G1119" s="760"/>
      <c r="H1119" s="760"/>
      <c r="I1119" s="760"/>
      <c r="J1119" s="760"/>
      <c r="K1119" s="760"/>
    </row>
    <row r="1120" spans="1:11">
      <c r="A1120" s="760"/>
      <c r="B1120" s="760"/>
      <c r="C1120" s="760"/>
      <c r="D1120" s="760"/>
      <c r="E1120" s="760"/>
      <c r="F1120" s="760"/>
      <c r="G1120" s="760"/>
      <c r="H1120" s="760"/>
      <c r="I1120" s="760"/>
      <c r="J1120" s="760"/>
      <c r="K1120" s="760"/>
    </row>
    <row r="1121" spans="1:11">
      <c r="A1121" s="760"/>
      <c r="B1121" s="760"/>
      <c r="C1121" s="760"/>
      <c r="D1121" s="760"/>
      <c r="E1121" s="760"/>
      <c r="F1121" s="760"/>
      <c r="G1121" s="760"/>
      <c r="H1121" s="760"/>
      <c r="I1121" s="760"/>
      <c r="J1121" s="760"/>
      <c r="K1121" s="760"/>
    </row>
    <row r="1122" spans="1:11">
      <c r="A1122" s="760"/>
      <c r="B1122" s="760"/>
      <c r="C1122" s="760"/>
      <c r="D1122" s="760"/>
      <c r="E1122" s="760"/>
      <c r="F1122" s="760"/>
      <c r="G1122" s="760"/>
      <c r="H1122" s="760"/>
      <c r="I1122" s="760"/>
      <c r="J1122" s="760"/>
      <c r="K1122" s="760"/>
    </row>
    <row r="1123" spans="1:11">
      <c r="A1123" s="760"/>
      <c r="B1123" s="760"/>
      <c r="C1123" s="760"/>
      <c r="D1123" s="760"/>
      <c r="E1123" s="760"/>
      <c r="F1123" s="760"/>
      <c r="G1123" s="760"/>
      <c r="H1123" s="760"/>
      <c r="I1123" s="760"/>
      <c r="J1123" s="760"/>
      <c r="K1123" s="760"/>
    </row>
    <row r="1124" spans="1:11">
      <c r="A1124" s="760"/>
      <c r="B1124" s="760"/>
      <c r="C1124" s="760"/>
      <c r="D1124" s="760"/>
      <c r="E1124" s="760"/>
      <c r="F1124" s="760"/>
      <c r="G1124" s="760"/>
      <c r="H1124" s="760"/>
      <c r="I1124" s="760"/>
      <c r="J1124" s="760"/>
      <c r="K1124" s="760"/>
    </row>
    <row r="1125" spans="1:11">
      <c r="A1125" s="760"/>
      <c r="B1125" s="760"/>
      <c r="C1125" s="760"/>
      <c r="D1125" s="760"/>
      <c r="E1125" s="760"/>
      <c r="F1125" s="760"/>
      <c r="G1125" s="760"/>
      <c r="H1125" s="760"/>
      <c r="I1125" s="760"/>
      <c r="J1125" s="760"/>
      <c r="K1125" s="760"/>
    </row>
    <row r="1126" spans="1:11">
      <c r="A1126" s="760"/>
      <c r="B1126" s="760"/>
      <c r="C1126" s="760"/>
      <c r="D1126" s="760"/>
      <c r="E1126" s="760"/>
      <c r="F1126" s="760"/>
      <c r="G1126" s="760"/>
      <c r="H1126" s="760"/>
      <c r="I1126" s="760"/>
      <c r="J1126" s="760"/>
      <c r="K1126" s="760"/>
    </row>
    <row r="1127" spans="1:11">
      <c r="A1127" s="760"/>
      <c r="B1127" s="760"/>
      <c r="C1127" s="760"/>
      <c r="D1127" s="760"/>
      <c r="E1127" s="760"/>
      <c r="F1127" s="760"/>
      <c r="G1127" s="760"/>
      <c r="H1127" s="760"/>
      <c r="I1127" s="760"/>
      <c r="J1127" s="760"/>
      <c r="K1127" s="760"/>
    </row>
    <row r="1128" spans="1:11">
      <c r="A1128" s="760"/>
      <c r="B1128" s="760"/>
      <c r="C1128" s="760"/>
      <c r="D1128" s="760"/>
      <c r="E1128" s="760"/>
      <c r="F1128" s="760"/>
      <c r="G1128" s="760"/>
      <c r="H1128" s="760"/>
      <c r="I1128" s="760"/>
      <c r="J1128" s="760"/>
      <c r="K1128" s="760"/>
    </row>
    <row r="1129" spans="1:11">
      <c r="A1129" s="760"/>
      <c r="B1129" s="760"/>
      <c r="C1129" s="760"/>
      <c r="D1129" s="760"/>
      <c r="E1129" s="760"/>
      <c r="F1129" s="760"/>
      <c r="G1129" s="760"/>
      <c r="H1129" s="760"/>
      <c r="I1129" s="760"/>
      <c r="J1129" s="760"/>
      <c r="K1129" s="760"/>
    </row>
    <row r="1130" spans="1:11">
      <c r="A1130" s="760"/>
      <c r="B1130" s="760"/>
      <c r="C1130" s="760"/>
      <c r="D1130" s="760"/>
      <c r="E1130" s="760"/>
      <c r="F1130" s="760"/>
      <c r="G1130" s="760"/>
      <c r="H1130" s="760"/>
      <c r="I1130" s="760"/>
      <c r="J1130" s="760"/>
      <c r="K1130" s="760"/>
    </row>
    <row r="1131" spans="1:11">
      <c r="A1131" s="760"/>
      <c r="B1131" s="760"/>
      <c r="C1131" s="760"/>
      <c r="D1131" s="760"/>
      <c r="E1131" s="760"/>
      <c r="F1131" s="760"/>
      <c r="G1131" s="760"/>
      <c r="H1131" s="760"/>
      <c r="I1131" s="760"/>
      <c r="J1131" s="760"/>
      <c r="K1131" s="760"/>
    </row>
    <row r="1132" spans="1:11">
      <c r="A1132" s="760"/>
      <c r="B1132" s="760"/>
      <c r="C1132" s="760"/>
      <c r="D1132" s="760"/>
      <c r="E1132" s="760"/>
      <c r="F1132" s="760"/>
      <c r="G1132" s="760"/>
      <c r="H1132" s="760"/>
      <c r="I1132" s="760"/>
      <c r="J1132" s="760"/>
      <c r="K1132" s="760"/>
    </row>
    <row r="1133" spans="1:11">
      <c r="A1133" s="760"/>
      <c r="B1133" s="760"/>
      <c r="C1133" s="760"/>
      <c r="D1133" s="760"/>
      <c r="E1133" s="760"/>
      <c r="F1133" s="760"/>
      <c r="G1133" s="760"/>
      <c r="H1133" s="760"/>
      <c r="I1133" s="760"/>
      <c r="J1133" s="760"/>
      <c r="K1133" s="760"/>
    </row>
    <row r="1134" spans="1:11">
      <c r="A1134" s="760"/>
      <c r="B1134" s="760"/>
      <c r="C1134" s="760"/>
      <c r="D1134" s="760"/>
      <c r="E1134" s="760"/>
      <c r="F1134" s="760"/>
      <c r="G1134" s="760"/>
      <c r="H1134" s="760"/>
      <c r="I1134" s="760"/>
      <c r="J1134" s="760"/>
      <c r="K1134" s="760"/>
    </row>
    <row r="1135" spans="1:11">
      <c r="A1135" s="760"/>
      <c r="B1135" s="760"/>
      <c r="C1135" s="760"/>
      <c r="D1135" s="760"/>
      <c r="E1135" s="760"/>
      <c r="F1135" s="760"/>
      <c r="G1135" s="760"/>
      <c r="H1135" s="760"/>
      <c r="I1135" s="760"/>
      <c r="J1135" s="760"/>
      <c r="K1135" s="760"/>
    </row>
    <row r="1136" spans="1:11">
      <c r="A1136" s="760"/>
      <c r="B1136" s="760"/>
      <c r="C1136" s="760"/>
      <c r="D1136" s="760"/>
      <c r="E1136" s="760"/>
      <c r="F1136" s="760"/>
      <c r="G1136" s="760"/>
      <c r="H1136" s="760"/>
      <c r="I1136" s="760"/>
      <c r="J1136" s="760"/>
      <c r="K1136" s="760"/>
    </row>
    <row r="1137" spans="1:11">
      <c r="A1137" s="760"/>
      <c r="B1137" s="760"/>
      <c r="C1137" s="760"/>
      <c r="D1137" s="760"/>
      <c r="E1137" s="760"/>
      <c r="F1137" s="760"/>
      <c r="G1137" s="760"/>
      <c r="H1137" s="760"/>
      <c r="I1137" s="760"/>
      <c r="J1137" s="760"/>
      <c r="K1137" s="760"/>
    </row>
    <row r="1138" spans="1:11">
      <c r="A1138" s="760"/>
      <c r="B1138" s="760"/>
      <c r="C1138" s="760"/>
      <c r="D1138" s="760"/>
      <c r="E1138" s="760"/>
      <c r="F1138" s="760"/>
      <c r="G1138" s="760"/>
      <c r="H1138" s="760"/>
      <c r="I1138" s="760"/>
      <c r="J1138" s="760"/>
      <c r="K1138" s="760"/>
    </row>
    <row r="1139" spans="1:11">
      <c r="A1139" s="760"/>
      <c r="B1139" s="760"/>
      <c r="C1139" s="760"/>
      <c r="D1139" s="760"/>
      <c r="E1139" s="760"/>
      <c r="F1139" s="760"/>
      <c r="G1139" s="760"/>
      <c r="H1139" s="760"/>
      <c r="I1139" s="760"/>
      <c r="J1139" s="760"/>
      <c r="K1139" s="760"/>
    </row>
    <row r="1140" spans="1:11">
      <c r="A1140" s="760"/>
      <c r="B1140" s="760"/>
      <c r="C1140" s="760"/>
      <c r="D1140" s="760"/>
      <c r="E1140" s="760"/>
      <c r="F1140" s="760"/>
      <c r="G1140" s="760"/>
      <c r="H1140" s="760"/>
      <c r="I1140" s="760"/>
      <c r="J1140" s="760"/>
      <c r="K1140" s="760"/>
    </row>
    <row r="1141" spans="1:11">
      <c r="A1141" s="760"/>
      <c r="B1141" s="760"/>
      <c r="C1141" s="760"/>
      <c r="D1141" s="760"/>
      <c r="E1141" s="760"/>
      <c r="F1141" s="760"/>
      <c r="G1141" s="760"/>
      <c r="H1141" s="760"/>
      <c r="I1141" s="760"/>
      <c r="J1141" s="760"/>
      <c r="K1141" s="760"/>
    </row>
    <row r="1142" spans="1:11">
      <c r="A1142" s="760"/>
      <c r="B1142" s="760"/>
      <c r="C1142" s="760"/>
      <c r="D1142" s="760"/>
      <c r="E1142" s="760"/>
      <c r="F1142" s="760"/>
      <c r="G1142" s="760"/>
      <c r="H1142" s="760"/>
      <c r="I1142" s="760"/>
      <c r="J1142" s="760"/>
      <c r="K1142" s="760"/>
    </row>
    <row r="1143" spans="1:11">
      <c r="A1143" s="760"/>
      <c r="B1143" s="760"/>
      <c r="C1143" s="760"/>
      <c r="D1143" s="760"/>
      <c r="E1143" s="760"/>
      <c r="F1143" s="760"/>
      <c r="G1143" s="760"/>
      <c r="H1143" s="760"/>
      <c r="I1143" s="760"/>
      <c r="J1143" s="760"/>
      <c r="K1143" s="760"/>
    </row>
    <row r="1144" spans="1:11">
      <c r="A1144" s="760"/>
      <c r="B1144" s="760"/>
      <c r="C1144" s="760"/>
      <c r="D1144" s="760"/>
      <c r="E1144" s="760"/>
      <c r="F1144" s="760"/>
      <c r="G1144" s="760"/>
      <c r="H1144" s="760"/>
      <c r="I1144" s="760"/>
      <c r="J1144" s="760"/>
      <c r="K1144" s="760"/>
    </row>
    <row r="1145" spans="1:11">
      <c r="A1145" s="760"/>
      <c r="B1145" s="760"/>
      <c r="C1145" s="760"/>
      <c r="D1145" s="760"/>
      <c r="E1145" s="760"/>
      <c r="F1145" s="760"/>
      <c r="G1145" s="760"/>
      <c r="H1145" s="760"/>
      <c r="I1145" s="760"/>
      <c r="J1145" s="760"/>
      <c r="K1145" s="760"/>
    </row>
    <row r="1146" spans="1:11">
      <c r="A1146" s="760"/>
      <c r="B1146" s="760"/>
      <c r="C1146" s="760"/>
      <c r="D1146" s="760"/>
      <c r="E1146" s="760"/>
      <c r="F1146" s="760"/>
      <c r="G1146" s="760"/>
      <c r="H1146" s="760"/>
      <c r="I1146" s="760"/>
      <c r="J1146" s="760"/>
      <c r="K1146" s="760"/>
    </row>
    <row r="1147" spans="1:11">
      <c r="A1147" s="760"/>
      <c r="B1147" s="760"/>
      <c r="C1147" s="760"/>
      <c r="D1147" s="760"/>
      <c r="E1147" s="760"/>
      <c r="F1147" s="760"/>
      <c r="G1147" s="760"/>
      <c r="H1147" s="760"/>
      <c r="I1147" s="760"/>
      <c r="J1147" s="760"/>
      <c r="K1147" s="760"/>
    </row>
    <row r="1148" spans="1:11">
      <c r="A1148" s="760"/>
      <c r="B1148" s="760"/>
      <c r="C1148" s="760"/>
      <c r="D1148" s="760"/>
      <c r="E1148" s="760"/>
      <c r="F1148" s="760"/>
      <c r="G1148" s="760"/>
      <c r="H1148" s="760"/>
      <c r="I1148" s="760"/>
      <c r="J1148" s="760"/>
      <c r="K1148" s="760"/>
    </row>
    <row r="1149" spans="1:11">
      <c r="A1149" s="760"/>
      <c r="B1149" s="760"/>
      <c r="C1149" s="760"/>
      <c r="D1149" s="760"/>
      <c r="E1149" s="760"/>
      <c r="F1149" s="760"/>
      <c r="G1149" s="760"/>
      <c r="H1149" s="760"/>
      <c r="I1149" s="760"/>
      <c r="J1149" s="760"/>
      <c r="K1149" s="760"/>
    </row>
    <row r="1150" spans="1:11">
      <c r="A1150" s="760"/>
      <c r="B1150" s="760"/>
      <c r="C1150" s="760"/>
      <c r="D1150" s="760"/>
      <c r="E1150" s="760"/>
      <c r="F1150" s="760"/>
      <c r="G1150" s="760"/>
      <c r="H1150" s="760"/>
      <c r="I1150" s="760"/>
      <c r="J1150" s="760"/>
      <c r="K1150" s="760"/>
    </row>
    <row r="1151" spans="1:11">
      <c r="A1151" s="760"/>
      <c r="B1151" s="760"/>
      <c r="C1151" s="760"/>
      <c r="D1151" s="760"/>
      <c r="E1151" s="760"/>
      <c r="F1151" s="760"/>
      <c r="G1151" s="760"/>
      <c r="H1151" s="760"/>
      <c r="I1151" s="760"/>
      <c r="J1151" s="760"/>
      <c r="K1151" s="760"/>
    </row>
    <row r="1152" spans="1:11">
      <c r="A1152" s="760"/>
      <c r="B1152" s="760"/>
      <c r="C1152" s="760"/>
      <c r="D1152" s="760"/>
      <c r="E1152" s="760"/>
      <c r="F1152" s="760"/>
      <c r="G1152" s="760"/>
      <c r="H1152" s="760"/>
      <c r="I1152" s="760"/>
      <c r="J1152" s="760"/>
      <c r="K1152" s="760"/>
    </row>
    <row r="1153" spans="1:11">
      <c r="A1153" s="760"/>
      <c r="B1153" s="760"/>
      <c r="C1153" s="760"/>
      <c r="D1153" s="760"/>
      <c r="E1153" s="760"/>
      <c r="F1153" s="760"/>
      <c r="G1153" s="760"/>
      <c r="H1153" s="760"/>
      <c r="I1153" s="760"/>
      <c r="J1153" s="760"/>
      <c r="K1153" s="760"/>
    </row>
    <row r="1154" spans="1:11">
      <c r="A1154" s="760"/>
      <c r="B1154" s="760"/>
      <c r="C1154" s="760"/>
      <c r="D1154" s="760"/>
      <c r="E1154" s="760"/>
      <c r="F1154" s="760"/>
      <c r="G1154" s="760"/>
      <c r="H1154" s="760"/>
      <c r="I1154" s="760"/>
      <c r="J1154" s="760"/>
      <c r="K1154" s="760"/>
    </row>
    <row r="1155" spans="1:11">
      <c r="A1155" s="760"/>
      <c r="B1155" s="760"/>
      <c r="C1155" s="760"/>
      <c r="D1155" s="760"/>
      <c r="E1155" s="760"/>
      <c r="F1155" s="760"/>
      <c r="G1155" s="760"/>
      <c r="H1155" s="760"/>
      <c r="I1155" s="760"/>
      <c r="J1155" s="760"/>
      <c r="K1155" s="760"/>
    </row>
    <row r="1156" spans="1:11">
      <c r="A1156" s="760"/>
      <c r="B1156" s="760"/>
      <c r="C1156" s="760"/>
      <c r="D1156" s="760"/>
      <c r="E1156" s="760"/>
      <c r="F1156" s="760"/>
      <c r="G1156" s="760"/>
      <c r="H1156" s="760"/>
      <c r="I1156" s="760"/>
      <c r="J1156" s="760"/>
      <c r="K1156" s="760"/>
    </row>
    <row r="1157" spans="1:11">
      <c r="A1157" s="760"/>
      <c r="B1157" s="760"/>
      <c r="C1157" s="760"/>
      <c r="D1157" s="760"/>
      <c r="E1157" s="760"/>
      <c r="F1157" s="760"/>
      <c r="G1157" s="760"/>
      <c r="H1157" s="760"/>
      <c r="I1157" s="760"/>
      <c r="J1157" s="760"/>
      <c r="K1157" s="760"/>
    </row>
    <row r="1158" spans="1:11">
      <c r="A1158" s="760"/>
      <c r="B1158" s="760"/>
      <c r="C1158" s="760"/>
      <c r="D1158" s="760"/>
      <c r="E1158" s="760"/>
      <c r="F1158" s="760"/>
      <c r="G1158" s="760"/>
      <c r="H1158" s="760"/>
      <c r="I1158" s="760"/>
      <c r="J1158" s="760"/>
      <c r="K1158" s="760"/>
    </row>
    <row r="1159" spans="1:11">
      <c r="A1159" s="760"/>
      <c r="B1159" s="760"/>
      <c r="C1159" s="760"/>
      <c r="D1159" s="760"/>
      <c r="E1159" s="760"/>
      <c r="F1159" s="760"/>
      <c r="G1159" s="760"/>
      <c r="H1159" s="760"/>
      <c r="I1159" s="760"/>
      <c r="J1159" s="760"/>
      <c r="K1159" s="760"/>
    </row>
    <row r="1160" spans="1:11">
      <c r="A1160" s="760"/>
      <c r="B1160" s="760"/>
      <c r="C1160" s="760"/>
      <c r="D1160" s="760"/>
      <c r="E1160" s="760"/>
      <c r="F1160" s="760"/>
      <c r="G1160" s="760"/>
      <c r="H1160" s="760"/>
      <c r="I1160" s="760"/>
      <c r="J1160" s="760"/>
      <c r="K1160" s="760"/>
    </row>
    <row r="1161" spans="1:11">
      <c r="A1161" s="760"/>
      <c r="B1161" s="760"/>
      <c r="C1161" s="760"/>
      <c r="D1161" s="760"/>
      <c r="E1161" s="760"/>
      <c r="F1161" s="760"/>
      <c r="G1161" s="760"/>
      <c r="H1161" s="760"/>
      <c r="I1161" s="760"/>
      <c r="J1161" s="760"/>
      <c r="K1161" s="760"/>
    </row>
    <row r="1162" spans="1:11">
      <c r="A1162" s="760"/>
      <c r="B1162" s="760"/>
      <c r="C1162" s="760"/>
      <c r="D1162" s="760"/>
      <c r="E1162" s="760"/>
      <c r="F1162" s="760"/>
      <c r="G1162" s="760"/>
      <c r="H1162" s="760"/>
      <c r="I1162" s="760"/>
      <c r="J1162" s="760"/>
      <c r="K1162" s="760"/>
    </row>
    <row r="1163" spans="1:11">
      <c r="A1163" s="760"/>
      <c r="B1163" s="760"/>
      <c r="C1163" s="760"/>
      <c r="D1163" s="760"/>
      <c r="E1163" s="760"/>
      <c r="F1163" s="760"/>
      <c r="G1163" s="760"/>
      <c r="H1163" s="760"/>
      <c r="I1163" s="760"/>
      <c r="J1163" s="760"/>
      <c r="K1163" s="760"/>
    </row>
    <row r="1164" spans="1:11">
      <c r="A1164" s="760"/>
      <c r="B1164" s="760"/>
      <c r="C1164" s="760"/>
      <c r="D1164" s="760"/>
      <c r="E1164" s="760"/>
      <c r="F1164" s="760"/>
      <c r="G1164" s="760"/>
      <c r="H1164" s="760"/>
      <c r="I1164" s="760"/>
      <c r="J1164" s="760"/>
      <c r="K1164" s="760"/>
    </row>
    <row r="1165" spans="1:11">
      <c r="A1165" s="760"/>
      <c r="B1165" s="760"/>
      <c r="C1165" s="760"/>
      <c r="D1165" s="760"/>
      <c r="E1165" s="760"/>
      <c r="F1165" s="760"/>
      <c r="G1165" s="760"/>
      <c r="H1165" s="760"/>
      <c r="I1165" s="760"/>
      <c r="J1165" s="760"/>
      <c r="K1165" s="760"/>
    </row>
    <row r="1166" spans="1:11">
      <c r="A1166" s="760"/>
      <c r="B1166" s="760"/>
      <c r="C1166" s="760"/>
      <c r="D1166" s="760"/>
      <c r="E1166" s="760"/>
      <c r="F1166" s="760"/>
      <c r="G1166" s="760"/>
      <c r="H1166" s="760"/>
      <c r="I1166" s="760"/>
      <c r="J1166" s="760"/>
      <c r="K1166" s="760"/>
    </row>
    <row r="1167" spans="1:11">
      <c r="A1167" s="760"/>
      <c r="B1167" s="760"/>
      <c r="C1167" s="760"/>
      <c r="D1167" s="760"/>
      <c r="E1167" s="760"/>
      <c r="F1167" s="760"/>
      <c r="G1167" s="760"/>
      <c r="H1167" s="760"/>
      <c r="I1167" s="760"/>
      <c r="J1167" s="760"/>
      <c r="K1167" s="760"/>
    </row>
    <row r="1168" spans="1:11">
      <c r="A1168" s="760"/>
      <c r="B1168" s="760"/>
      <c r="C1168" s="760"/>
      <c r="D1168" s="760"/>
      <c r="E1168" s="760"/>
      <c r="F1168" s="760"/>
      <c r="G1168" s="760"/>
      <c r="H1168" s="760"/>
      <c r="I1168" s="760"/>
      <c r="J1168" s="760"/>
      <c r="K1168" s="760"/>
    </row>
    <row r="1169" spans="1:11">
      <c r="A1169" s="760"/>
      <c r="B1169" s="760"/>
      <c r="C1169" s="760"/>
      <c r="D1169" s="760"/>
      <c r="E1169" s="760"/>
      <c r="F1169" s="760"/>
      <c r="G1169" s="760"/>
      <c r="H1169" s="760"/>
      <c r="I1169" s="760"/>
      <c r="J1169" s="760"/>
      <c r="K1169" s="760"/>
    </row>
    <row r="1170" spans="1:11">
      <c r="A1170" s="760"/>
      <c r="B1170" s="760"/>
      <c r="C1170" s="760"/>
      <c r="D1170" s="760"/>
      <c r="E1170" s="760"/>
      <c r="F1170" s="760"/>
      <c r="G1170" s="760"/>
      <c r="H1170" s="760"/>
      <c r="I1170" s="760"/>
      <c r="J1170" s="760"/>
      <c r="K1170" s="760"/>
    </row>
    <row r="1171" spans="1:11">
      <c r="A1171" s="760"/>
      <c r="B1171" s="760"/>
      <c r="C1171" s="760"/>
      <c r="D1171" s="760"/>
      <c r="E1171" s="760"/>
      <c r="F1171" s="760"/>
      <c r="G1171" s="760"/>
      <c r="H1171" s="760"/>
      <c r="I1171" s="760"/>
      <c r="J1171" s="760"/>
      <c r="K1171" s="760"/>
    </row>
    <row r="1172" spans="1:11">
      <c r="A1172" s="760"/>
      <c r="B1172" s="760"/>
      <c r="C1172" s="760"/>
      <c r="D1172" s="760"/>
      <c r="E1172" s="760"/>
      <c r="F1172" s="760"/>
      <c r="G1172" s="760"/>
      <c r="H1172" s="760"/>
      <c r="I1172" s="760"/>
      <c r="J1172" s="760"/>
      <c r="K1172" s="760"/>
    </row>
    <row r="1173" spans="1:11">
      <c r="A1173" s="760"/>
      <c r="B1173" s="760"/>
      <c r="C1173" s="760"/>
      <c r="D1173" s="760"/>
      <c r="E1173" s="760"/>
      <c r="F1173" s="760"/>
      <c r="G1173" s="760"/>
      <c r="H1173" s="760"/>
      <c r="I1173" s="760"/>
      <c r="J1173" s="760"/>
      <c r="K1173" s="760"/>
    </row>
    <row r="1174" spans="1:11">
      <c r="A1174" s="760"/>
      <c r="B1174" s="760"/>
      <c r="C1174" s="760"/>
      <c r="D1174" s="760"/>
      <c r="E1174" s="760"/>
      <c r="F1174" s="760"/>
      <c r="G1174" s="760"/>
      <c r="H1174" s="760"/>
      <c r="I1174" s="760"/>
      <c r="J1174" s="760"/>
      <c r="K1174" s="760"/>
    </row>
    <row r="1175" spans="1:11">
      <c r="A1175" s="760"/>
      <c r="B1175" s="760"/>
      <c r="C1175" s="760"/>
      <c r="D1175" s="760"/>
      <c r="E1175" s="760"/>
      <c r="F1175" s="760"/>
      <c r="G1175" s="760"/>
      <c r="H1175" s="760"/>
      <c r="I1175" s="760"/>
      <c r="J1175" s="760"/>
      <c r="K1175" s="760"/>
    </row>
    <row r="1176" spans="1:11">
      <c r="A1176" s="760"/>
      <c r="B1176" s="760"/>
      <c r="C1176" s="760"/>
      <c r="D1176" s="760"/>
      <c r="E1176" s="760"/>
      <c r="F1176" s="760"/>
      <c r="G1176" s="760"/>
      <c r="H1176" s="760"/>
      <c r="I1176" s="760"/>
      <c r="J1176" s="760"/>
      <c r="K1176" s="760"/>
    </row>
    <row r="1177" spans="1:11">
      <c r="A1177" s="760"/>
      <c r="B1177" s="760"/>
      <c r="C1177" s="760"/>
      <c r="D1177" s="760"/>
      <c r="E1177" s="760"/>
      <c r="F1177" s="760"/>
      <c r="G1177" s="760"/>
      <c r="H1177" s="760"/>
      <c r="I1177" s="760"/>
      <c r="J1177" s="760"/>
      <c r="K1177" s="760"/>
    </row>
    <row r="1178" spans="1:11">
      <c r="A1178" s="760"/>
      <c r="B1178" s="760"/>
      <c r="C1178" s="760"/>
      <c r="D1178" s="760"/>
      <c r="E1178" s="760"/>
      <c r="F1178" s="760"/>
      <c r="G1178" s="760"/>
      <c r="H1178" s="760"/>
      <c r="I1178" s="760"/>
      <c r="J1178" s="760"/>
      <c r="K1178" s="760"/>
    </row>
    <row r="1179" spans="1:11">
      <c r="A1179" s="760"/>
      <c r="B1179" s="760"/>
      <c r="C1179" s="760"/>
      <c r="D1179" s="760"/>
      <c r="E1179" s="760"/>
      <c r="F1179" s="760"/>
      <c r="G1179" s="760"/>
      <c r="H1179" s="760"/>
      <c r="I1179" s="760"/>
      <c r="J1179" s="760"/>
      <c r="K1179" s="760"/>
    </row>
    <row r="1180" spans="1:11">
      <c r="A1180" s="760"/>
      <c r="B1180" s="760"/>
      <c r="C1180" s="760"/>
      <c r="D1180" s="760"/>
      <c r="E1180" s="760"/>
      <c r="F1180" s="760"/>
      <c r="G1180" s="760"/>
      <c r="H1180" s="760"/>
      <c r="I1180" s="760"/>
      <c r="J1180" s="760"/>
      <c r="K1180" s="760"/>
    </row>
    <row r="1181" spans="1:11">
      <c r="A1181" s="760"/>
      <c r="B1181" s="760"/>
      <c r="C1181" s="760"/>
      <c r="D1181" s="760"/>
      <c r="E1181" s="760"/>
      <c r="F1181" s="760"/>
      <c r="G1181" s="760"/>
      <c r="H1181" s="760"/>
      <c r="I1181" s="760"/>
      <c r="J1181" s="760"/>
      <c r="K1181" s="760"/>
    </row>
    <row r="1182" spans="1:11">
      <c r="A1182" s="760"/>
      <c r="B1182" s="760"/>
      <c r="C1182" s="760"/>
      <c r="D1182" s="760"/>
      <c r="E1182" s="760"/>
      <c r="F1182" s="760"/>
      <c r="G1182" s="760"/>
      <c r="H1182" s="760"/>
      <c r="I1182" s="760"/>
      <c r="J1182" s="760"/>
      <c r="K1182" s="760"/>
    </row>
    <row r="1183" spans="1:11">
      <c r="A1183" s="760"/>
      <c r="B1183" s="760"/>
      <c r="C1183" s="760"/>
      <c r="D1183" s="760"/>
      <c r="E1183" s="760"/>
      <c r="F1183" s="760"/>
      <c r="G1183" s="760"/>
      <c r="H1183" s="760"/>
      <c r="I1183" s="760"/>
      <c r="J1183" s="760"/>
      <c r="K1183" s="760"/>
    </row>
    <row r="1184" spans="1:11">
      <c r="A1184" s="760"/>
      <c r="B1184" s="760"/>
      <c r="C1184" s="760"/>
      <c r="D1184" s="760"/>
      <c r="E1184" s="760"/>
      <c r="F1184" s="760"/>
      <c r="G1184" s="760"/>
      <c r="H1184" s="760"/>
      <c r="I1184" s="760"/>
      <c r="J1184" s="760"/>
      <c r="K1184" s="760"/>
    </row>
    <row r="1185" spans="1:11">
      <c r="A1185" s="760"/>
      <c r="B1185" s="760"/>
      <c r="C1185" s="760"/>
      <c r="D1185" s="760"/>
      <c r="E1185" s="760"/>
      <c r="F1185" s="760"/>
      <c r="G1185" s="760"/>
      <c r="H1185" s="760"/>
      <c r="I1185" s="760"/>
      <c r="J1185" s="760"/>
      <c r="K1185" s="760"/>
    </row>
    <row r="1186" spans="1:11">
      <c r="A1186" s="760"/>
      <c r="B1186" s="760"/>
      <c r="C1186" s="760"/>
      <c r="D1186" s="760"/>
      <c r="E1186" s="760"/>
      <c r="F1186" s="760"/>
      <c r="G1186" s="760"/>
      <c r="H1186" s="760"/>
      <c r="I1186" s="760"/>
      <c r="J1186" s="760"/>
      <c r="K1186" s="760"/>
    </row>
    <row r="1187" spans="1:11">
      <c r="A1187" s="760"/>
      <c r="B1187" s="760"/>
      <c r="C1187" s="760"/>
      <c r="D1187" s="760"/>
      <c r="E1187" s="760"/>
      <c r="F1187" s="760"/>
      <c r="G1187" s="760"/>
      <c r="H1187" s="760"/>
      <c r="I1187" s="760"/>
      <c r="J1187" s="760"/>
      <c r="K1187" s="760"/>
    </row>
    <row r="1188" spans="1:11">
      <c r="A1188" s="760"/>
      <c r="B1188" s="760"/>
      <c r="C1188" s="760"/>
      <c r="D1188" s="760"/>
      <c r="E1188" s="760"/>
      <c r="F1188" s="760"/>
      <c r="G1188" s="760"/>
      <c r="H1188" s="760"/>
      <c r="I1188" s="760"/>
      <c r="J1188" s="760"/>
      <c r="K1188" s="760"/>
    </row>
    <row r="1189" spans="1:11">
      <c r="A1189" s="760"/>
      <c r="B1189" s="760"/>
      <c r="C1189" s="760"/>
      <c r="D1189" s="760"/>
      <c r="E1189" s="760"/>
      <c r="F1189" s="760"/>
      <c r="G1189" s="760"/>
      <c r="H1189" s="760"/>
      <c r="I1189" s="760"/>
      <c r="J1189" s="760"/>
      <c r="K1189" s="760"/>
    </row>
    <row r="1190" spans="1:11">
      <c r="A1190" s="760"/>
      <c r="B1190" s="760"/>
      <c r="C1190" s="760"/>
      <c r="D1190" s="760"/>
      <c r="E1190" s="760"/>
      <c r="F1190" s="760"/>
      <c r="G1190" s="760"/>
      <c r="H1190" s="760"/>
      <c r="I1190" s="760"/>
      <c r="J1190" s="760"/>
      <c r="K1190" s="760"/>
    </row>
    <row r="1191" spans="1:11">
      <c r="A1191" s="760"/>
      <c r="B1191" s="760"/>
      <c r="C1191" s="760"/>
      <c r="D1191" s="760"/>
      <c r="E1191" s="760"/>
      <c r="F1191" s="760"/>
      <c r="G1191" s="760"/>
      <c r="H1191" s="760"/>
      <c r="I1191" s="760"/>
      <c r="J1191" s="760"/>
      <c r="K1191" s="760"/>
    </row>
    <row r="1192" spans="1:11">
      <c r="A1192" s="760"/>
      <c r="B1192" s="760"/>
      <c r="C1192" s="760"/>
      <c r="D1192" s="760"/>
      <c r="E1192" s="760"/>
      <c r="F1192" s="760"/>
      <c r="G1192" s="760"/>
      <c r="H1192" s="760"/>
      <c r="I1192" s="760"/>
      <c r="J1192" s="760"/>
      <c r="K1192" s="760"/>
    </row>
    <row r="1193" spans="1:11">
      <c r="A1193" s="760"/>
      <c r="B1193" s="760"/>
      <c r="C1193" s="760"/>
      <c r="D1193" s="760"/>
      <c r="E1193" s="760"/>
      <c r="F1193" s="760"/>
      <c r="G1193" s="760"/>
      <c r="H1193" s="760"/>
      <c r="I1193" s="760"/>
      <c r="J1193" s="760"/>
      <c r="K1193" s="760"/>
    </row>
    <row r="1194" spans="1:11">
      <c r="A1194" s="760"/>
      <c r="B1194" s="760"/>
      <c r="C1194" s="760"/>
      <c r="D1194" s="760"/>
      <c r="E1194" s="760"/>
      <c r="F1194" s="760"/>
      <c r="G1194" s="760"/>
      <c r="H1194" s="760"/>
      <c r="I1194" s="760"/>
      <c r="J1194" s="760"/>
      <c r="K1194" s="760"/>
    </row>
    <row r="1195" spans="1:11">
      <c r="A1195" s="760"/>
      <c r="B1195" s="760"/>
      <c r="C1195" s="760"/>
      <c r="D1195" s="760"/>
      <c r="E1195" s="760"/>
      <c r="F1195" s="760"/>
      <c r="G1195" s="760"/>
      <c r="H1195" s="760"/>
      <c r="I1195" s="760"/>
      <c r="J1195" s="760"/>
      <c r="K1195" s="760"/>
    </row>
    <row r="1196" spans="1:11">
      <c r="A1196" s="760"/>
      <c r="B1196" s="760"/>
      <c r="C1196" s="760"/>
      <c r="D1196" s="760"/>
      <c r="E1196" s="760"/>
      <c r="F1196" s="760"/>
      <c r="G1196" s="760"/>
      <c r="H1196" s="760"/>
      <c r="I1196" s="760"/>
      <c r="J1196" s="760"/>
      <c r="K1196" s="760"/>
    </row>
    <row r="1197" spans="1:11">
      <c r="A1197" s="760"/>
      <c r="B1197" s="760"/>
      <c r="C1197" s="760"/>
      <c r="D1197" s="760"/>
      <c r="E1197" s="760"/>
      <c r="F1197" s="760"/>
      <c r="G1197" s="760"/>
      <c r="H1197" s="760"/>
      <c r="I1197" s="760"/>
      <c r="J1197" s="760"/>
      <c r="K1197" s="760"/>
    </row>
    <row r="1198" spans="1:11">
      <c r="A1198" s="760"/>
      <c r="B1198" s="760"/>
      <c r="C1198" s="760"/>
      <c r="D1198" s="760"/>
      <c r="E1198" s="760"/>
      <c r="F1198" s="760"/>
      <c r="G1198" s="760"/>
      <c r="H1198" s="760"/>
      <c r="I1198" s="760"/>
      <c r="J1198" s="760"/>
      <c r="K1198" s="760"/>
    </row>
    <row r="1199" spans="1:11">
      <c r="A1199" s="760"/>
      <c r="B1199" s="760"/>
      <c r="C1199" s="760"/>
      <c r="D1199" s="760"/>
      <c r="E1199" s="760"/>
      <c r="F1199" s="760"/>
      <c r="G1199" s="760"/>
      <c r="H1199" s="760"/>
      <c r="I1199" s="760"/>
      <c r="J1199" s="760"/>
      <c r="K1199" s="760"/>
    </row>
    <row r="1200" spans="1:11">
      <c r="A1200" s="760"/>
      <c r="B1200" s="760"/>
      <c r="C1200" s="760"/>
      <c r="D1200" s="760"/>
      <c r="E1200" s="760"/>
      <c r="F1200" s="760"/>
      <c r="G1200" s="760"/>
      <c r="H1200" s="760"/>
      <c r="I1200" s="760"/>
      <c r="J1200" s="760"/>
      <c r="K1200" s="760"/>
    </row>
    <row r="1201" spans="1:11">
      <c r="A1201" s="760"/>
      <c r="B1201" s="760"/>
      <c r="C1201" s="760"/>
      <c r="D1201" s="760"/>
      <c r="E1201" s="760"/>
      <c r="F1201" s="760"/>
      <c r="G1201" s="760"/>
      <c r="H1201" s="760"/>
      <c r="I1201" s="760"/>
      <c r="J1201" s="760"/>
      <c r="K1201" s="760"/>
    </row>
    <row r="1202" spans="1:11">
      <c r="A1202" s="760"/>
      <c r="B1202" s="760"/>
      <c r="C1202" s="760"/>
      <c r="D1202" s="760"/>
      <c r="E1202" s="760"/>
      <c r="F1202" s="760"/>
      <c r="G1202" s="760"/>
      <c r="H1202" s="760"/>
      <c r="I1202" s="760"/>
      <c r="J1202" s="760"/>
      <c r="K1202" s="760"/>
    </row>
    <row r="1203" spans="1:11">
      <c r="A1203" s="760"/>
      <c r="B1203" s="760"/>
      <c r="C1203" s="760"/>
      <c r="D1203" s="760"/>
      <c r="E1203" s="760"/>
      <c r="F1203" s="760"/>
      <c r="G1203" s="760"/>
      <c r="H1203" s="760"/>
      <c r="I1203" s="760"/>
      <c r="J1203" s="760"/>
      <c r="K1203" s="760"/>
    </row>
    <row r="1204" spans="1:11">
      <c r="A1204" s="760"/>
      <c r="B1204" s="760"/>
      <c r="C1204" s="760"/>
      <c r="D1204" s="760"/>
      <c r="E1204" s="760"/>
      <c r="F1204" s="760"/>
      <c r="G1204" s="760"/>
      <c r="H1204" s="760"/>
      <c r="I1204" s="760"/>
      <c r="J1204" s="760"/>
      <c r="K1204" s="760"/>
    </row>
    <row r="1205" spans="1:11">
      <c r="A1205" s="760"/>
      <c r="B1205" s="760"/>
      <c r="C1205" s="760"/>
      <c r="D1205" s="760"/>
      <c r="E1205" s="760"/>
      <c r="F1205" s="760"/>
      <c r="G1205" s="760"/>
      <c r="H1205" s="760"/>
      <c r="I1205" s="760"/>
      <c r="J1205" s="760"/>
      <c r="K1205" s="760"/>
    </row>
    <row r="1206" spans="1:11">
      <c r="A1206" s="760"/>
      <c r="B1206" s="760"/>
      <c r="C1206" s="760"/>
      <c r="D1206" s="760"/>
      <c r="E1206" s="760"/>
      <c r="F1206" s="760"/>
      <c r="G1206" s="760"/>
      <c r="H1206" s="760"/>
      <c r="I1206" s="760"/>
      <c r="J1206" s="760"/>
      <c r="K1206" s="760"/>
    </row>
    <row r="1207" spans="1:11">
      <c r="A1207" s="760"/>
      <c r="B1207" s="760"/>
      <c r="C1207" s="760"/>
      <c r="D1207" s="760"/>
      <c r="E1207" s="760"/>
      <c r="F1207" s="760"/>
      <c r="G1207" s="760"/>
      <c r="H1207" s="760"/>
      <c r="I1207" s="760"/>
      <c r="J1207" s="760"/>
      <c r="K1207" s="760"/>
    </row>
    <row r="1208" spans="1:11">
      <c r="A1208" s="760"/>
      <c r="B1208" s="760"/>
      <c r="C1208" s="760"/>
      <c r="D1208" s="760"/>
      <c r="E1208" s="760"/>
      <c r="F1208" s="760"/>
      <c r="G1208" s="760"/>
      <c r="H1208" s="760"/>
      <c r="I1208" s="760"/>
      <c r="J1208" s="760"/>
      <c r="K1208" s="760"/>
    </row>
    <row r="1209" spans="1:11">
      <c r="A1209" s="760"/>
      <c r="B1209" s="760"/>
      <c r="C1209" s="760"/>
      <c r="D1209" s="760"/>
      <c r="E1209" s="760"/>
      <c r="F1209" s="760"/>
      <c r="G1209" s="760"/>
      <c r="H1209" s="760"/>
      <c r="I1209" s="760"/>
      <c r="J1209" s="760"/>
      <c r="K1209" s="760"/>
    </row>
    <row r="1210" spans="1:11">
      <c r="A1210" s="760"/>
      <c r="B1210" s="760"/>
      <c r="C1210" s="760"/>
      <c r="D1210" s="760"/>
      <c r="E1210" s="760"/>
      <c r="F1210" s="760"/>
      <c r="G1210" s="760"/>
      <c r="H1210" s="760"/>
      <c r="I1210" s="760"/>
      <c r="J1210" s="760"/>
      <c r="K1210" s="760"/>
    </row>
    <row r="1211" spans="1:11">
      <c r="A1211" s="760"/>
      <c r="B1211" s="760"/>
      <c r="C1211" s="760"/>
      <c r="D1211" s="760"/>
      <c r="E1211" s="760"/>
      <c r="F1211" s="760"/>
      <c r="G1211" s="760"/>
      <c r="H1211" s="760"/>
      <c r="I1211" s="760"/>
      <c r="J1211" s="760"/>
      <c r="K1211" s="760"/>
    </row>
    <row r="1212" spans="1:11">
      <c r="A1212" s="760"/>
      <c r="B1212" s="760"/>
      <c r="C1212" s="760"/>
      <c r="D1212" s="760"/>
      <c r="E1212" s="760"/>
      <c r="F1212" s="760"/>
      <c r="G1212" s="760"/>
      <c r="H1212" s="760"/>
      <c r="I1212" s="760"/>
      <c r="J1212" s="760"/>
      <c r="K1212" s="760"/>
    </row>
    <row r="1213" spans="1:11">
      <c r="A1213" s="760"/>
      <c r="B1213" s="760"/>
      <c r="C1213" s="760"/>
      <c r="D1213" s="760"/>
      <c r="E1213" s="760"/>
      <c r="F1213" s="760"/>
      <c r="G1213" s="760"/>
      <c r="H1213" s="760"/>
      <c r="I1213" s="760"/>
      <c r="J1213" s="760"/>
      <c r="K1213" s="760"/>
    </row>
    <row r="1214" spans="1:11">
      <c r="A1214" s="760"/>
      <c r="B1214" s="760"/>
      <c r="C1214" s="760"/>
      <c r="D1214" s="760"/>
      <c r="E1214" s="760"/>
      <c r="F1214" s="760"/>
      <c r="G1214" s="760"/>
      <c r="H1214" s="760"/>
      <c r="I1214" s="760"/>
      <c r="J1214" s="760"/>
      <c r="K1214" s="760"/>
    </row>
    <row r="1215" spans="1:11">
      <c r="A1215" s="760"/>
      <c r="B1215" s="760"/>
      <c r="C1215" s="760"/>
      <c r="D1215" s="760"/>
      <c r="E1215" s="760"/>
      <c r="F1215" s="760"/>
      <c r="G1215" s="760"/>
      <c r="H1215" s="760"/>
      <c r="I1215" s="760"/>
      <c r="J1215" s="760"/>
      <c r="K1215" s="760"/>
    </row>
    <row r="1216" spans="1:11">
      <c r="A1216" s="760"/>
      <c r="B1216" s="760"/>
      <c r="C1216" s="760"/>
      <c r="D1216" s="760"/>
      <c r="E1216" s="760"/>
      <c r="F1216" s="760"/>
      <c r="G1216" s="760"/>
      <c r="H1216" s="760"/>
      <c r="I1216" s="760"/>
      <c r="J1216" s="760"/>
      <c r="K1216" s="760"/>
    </row>
    <row r="1217" spans="1:11">
      <c r="A1217" s="760"/>
      <c r="B1217" s="760"/>
      <c r="C1217" s="760"/>
      <c r="D1217" s="760"/>
      <c r="E1217" s="760"/>
      <c r="F1217" s="760"/>
      <c r="G1217" s="760"/>
      <c r="H1217" s="760"/>
      <c r="I1217" s="760"/>
      <c r="J1217" s="760"/>
      <c r="K1217" s="760"/>
    </row>
    <row r="1218" spans="1:11">
      <c r="A1218" s="760"/>
      <c r="B1218" s="760"/>
      <c r="C1218" s="760"/>
      <c r="D1218" s="760"/>
      <c r="E1218" s="760"/>
      <c r="F1218" s="760"/>
      <c r="G1218" s="760"/>
      <c r="H1218" s="760"/>
      <c r="I1218" s="760"/>
      <c r="J1218" s="760"/>
      <c r="K1218" s="760"/>
    </row>
    <row r="1219" spans="1:11">
      <c r="A1219" s="760"/>
      <c r="B1219" s="760"/>
      <c r="C1219" s="760"/>
      <c r="D1219" s="760"/>
      <c r="E1219" s="760"/>
      <c r="F1219" s="760"/>
      <c r="G1219" s="760"/>
      <c r="H1219" s="760"/>
      <c r="I1219" s="760"/>
      <c r="J1219" s="760"/>
      <c r="K1219" s="760"/>
    </row>
    <row r="1220" spans="1:11">
      <c r="A1220" s="760"/>
      <c r="B1220" s="760"/>
      <c r="C1220" s="760"/>
      <c r="D1220" s="760"/>
      <c r="E1220" s="760"/>
      <c r="F1220" s="760"/>
      <c r="G1220" s="760"/>
      <c r="H1220" s="760"/>
      <c r="I1220" s="760"/>
      <c r="J1220" s="760"/>
      <c r="K1220" s="760"/>
    </row>
    <row r="1221" spans="1:11">
      <c r="A1221" s="760"/>
      <c r="B1221" s="760"/>
      <c r="C1221" s="760"/>
      <c r="D1221" s="760"/>
      <c r="E1221" s="760"/>
      <c r="F1221" s="760"/>
      <c r="G1221" s="760"/>
      <c r="H1221" s="760"/>
      <c r="I1221" s="760"/>
      <c r="J1221" s="760"/>
      <c r="K1221" s="760"/>
    </row>
    <row r="1222" spans="1:11">
      <c r="A1222" s="760"/>
      <c r="B1222" s="760"/>
      <c r="C1222" s="760"/>
      <c r="D1222" s="760"/>
      <c r="E1222" s="760"/>
      <c r="F1222" s="760"/>
      <c r="G1222" s="760"/>
      <c r="H1222" s="760"/>
      <c r="I1222" s="760"/>
      <c r="J1222" s="760"/>
      <c r="K1222" s="760"/>
    </row>
    <row r="1223" spans="1:11">
      <c r="A1223" s="760"/>
      <c r="B1223" s="760"/>
      <c r="C1223" s="760"/>
      <c r="D1223" s="760"/>
      <c r="E1223" s="760"/>
      <c r="F1223" s="760"/>
      <c r="G1223" s="760"/>
      <c r="H1223" s="760"/>
      <c r="I1223" s="760"/>
      <c r="J1223" s="760"/>
      <c r="K1223" s="760"/>
    </row>
    <row r="1224" spans="1:11">
      <c r="A1224" s="760"/>
      <c r="B1224" s="760"/>
      <c r="C1224" s="760"/>
      <c r="D1224" s="760"/>
      <c r="E1224" s="760"/>
      <c r="F1224" s="760"/>
      <c r="G1224" s="760"/>
      <c r="H1224" s="760"/>
      <c r="I1224" s="760"/>
      <c r="J1224" s="760"/>
      <c r="K1224" s="760"/>
    </row>
    <row r="1225" spans="1:11">
      <c r="A1225" s="760"/>
      <c r="B1225" s="760"/>
      <c r="C1225" s="760"/>
      <c r="D1225" s="760"/>
      <c r="E1225" s="760"/>
      <c r="F1225" s="760"/>
      <c r="G1225" s="760"/>
      <c r="H1225" s="760"/>
      <c r="I1225" s="760"/>
      <c r="J1225" s="760"/>
      <c r="K1225" s="760"/>
    </row>
    <row r="1226" spans="1:11">
      <c r="A1226" s="760"/>
      <c r="B1226" s="760"/>
      <c r="C1226" s="760"/>
      <c r="D1226" s="760"/>
      <c r="E1226" s="760"/>
      <c r="F1226" s="760"/>
      <c r="G1226" s="760"/>
      <c r="H1226" s="760"/>
      <c r="I1226" s="760"/>
      <c r="J1226" s="760"/>
      <c r="K1226" s="760"/>
    </row>
    <row r="1227" spans="1:11">
      <c r="A1227" s="760"/>
      <c r="B1227" s="760"/>
      <c r="C1227" s="760"/>
      <c r="D1227" s="760"/>
      <c r="E1227" s="760"/>
      <c r="F1227" s="760"/>
      <c r="G1227" s="760"/>
      <c r="H1227" s="760"/>
      <c r="I1227" s="760"/>
      <c r="J1227" s="760"/>
      <c r="K1227" s="760"/>
    </row>
    <row r="1228" spans="1:11">
      <c r="A1228" s="760"/>
      <c r="B1228" s="760"/>
      <c r="C1228" s="760"/>
      <c r="D1228" s="760"/>
      <c r="E1228" s="760"/>
      <c r="F1228" s="760"/>
      <c r="G1228" s="760"/>
      <c r="H1228" s="760"/>
      <c r="I1228" s="760"/>
      <c r="J1228" s="760"/>
      <c r="K1228" s="760"/>
    </row>
    <row r="1229" spans="1:11">
      <c r="A1229" s="760"/>
      <c r="B1229" s="760"/>
      <c r="C1229" s="760"/>
      <c r="D1229" s="760"/>
      <c r="E1229" s="760"/>
      <c r="F1229" s="760"/>
      <c r="G1229" s="760"/>
      <c r="H1229" s="760"/>
      <c r="I1229" s="760"/>
      <c r="J1229" s="760"/>
      <c r="K1229" s="760"/>
    </row>
    <row r="1230" spans="1:11">
      <c r="A1230" s="760"/>
      <c r="B1230" s="760"/>
      <c r="C1230" s="760"/>
      <c r="D1230" s="760"/>
      <c r="E1230" s="760"/>
      <c r="F1230" s="760"/>
      <c r="G1230" s="760"/>
      <c r="H1230" s="760"/>
      <c r="I1230" s="760"/>
      <c r="J1230" s="760"/>
      <c r="K1230" s="760"/>
    </row>
    <row r="1231" spans="1:11">
      <c r="A1231" s="760"/>
      <c r="B1231" s="760"/>
      <c r="C1231" s="760"/>
      <c r="D1231" s="760"/>
      <c r="E1231" s="760"/>
      <c r="F1231" s="760"/>
      <c r="G1231" s="760"/>
      <c r="H1231" s="760"/>
      <c r="I1231" s="760"/>
      <c r="J1231" s="760"/>
      <c r="K1231" s="760"/>
    </row>
    <row r="1232" spans="1:11">
      <c r="A1232" s="760"/>
      <c r="B1232" s="760"/>
      <c r="C1232" s="760"/>
      <c r="D1232" s="760"/>
      <c r="E1232" s="760"/>
      <c r="F1232" s="760"/>
      <c r="G1232" s="760"/>
      <c r="H1232" s="760"/>
      <c r="I1232" s="760"/>
      <c r="J1232" s="760"/>
      <c r="K1232" s="760"/>
    </row>
    <row r="1233" spans="1:11">
      <c r="A1233" s="760"/>
      <c r="B1233" s="760"/>
      <c r="C1233" s="760"/>
      <c r="D1233" s="760"/>
      <c r="E1233" s="760"/>
      <c r="F1233" s="760"/>
      <c r="G1233" s="760"/>
      <c r="H1233" s="760"/>
      <c r="I1233" s="760"/>
      <c r="J1233" s="760"/>
      <c r="K1233" s="760"/>
    </row>
    <row r="1234" spans="1:11">
      <c r="A1234" s="760"/>
      <c r="B1234" s="760"/>
      <c r="C1234" s="760"/>
      <c r="D1234" s="760"/>
      <c r="E1234" s="760"/>
      <c r="F1234" s="760"/>
      <c r="G1234" s="760"/>
      <c r="H1234" s="760"/>
      <c r="I1234" s="760"/>
      <c r="J1234" s="760"/>
      <c r="K1234" s="760"/>
    </row>
    <row r="1235" spans="1:11">
      <c r="A1235" s="760"/>
      <c r="B1235" s="760"/>
      <c r="C1235" s="760"/>
      <c r="D1235" s="760"/>
      <c r="E1235" s="760"/>
      <c r="F1235" s="760"/>
      <c r="G1235" s="760"/>
      <c r="H1235" s="760"/>
      <c r="I1235" s="760"/>
      <c r="J1235" s="760"/>
      <c r="K1235" s="760"/>
    </row>
    <row r="1236" spans="1:11">
      <c r="A1236" s="760"/>
      <c r="B1236" s="760"/>
      <c r="C1236" s="760"/>
      <c r="D1236" s="760"/>
      <c r="E1236" s="760"/>
      <c r="F1236" s="760"/>
      <c r="G1236" s="760"/>
      <c r="H1236" s="760"/>
      <c r="I1236" s="760"/>
      <c r="J1236" s="760"/>
      <c r="K1236" s="760"/>
    </row>
    <row r="1237" spans="1:11">
      <c r="A1237" s="760"/>
      <c r="B1237" s="760"/>
      <c r="C1237" s="760"/>
      <c r="D1237" s="760"/>
      <c r="E1237" s="760"/>
      <c r="F1237" s="760"/>
      <c r="G1237" s="760"/>
      <c r="H1237" s="760"/>
      <c r="I1237" s="760"/>
      <c r="J1237" s="760"/>
      <c r="K1237" s="760"/>
    </row>
    <row r="1238" spans="1:11">
      <c r="A1238" s="760"/>
      <c r="B1238" s="760"/>
      <c r="C1238" s="760"/>
      <c r="D1238" s="760"/>
      <c r="E1238" s="760"/>
      <c r="F1238" s="760"/>
      <c r="G1238" s="760"/>
      <c r="H1238" s="760"/>
      <c r="I1238" s="760"/>
      <c r="J1238" s="760"/>
      <c r="K1238" s="760"/>
    </row>
    <row r="1239" spans="1:11">
      <c r="A1239" s="760"/>
      <c r="B1239" s="760"/>
      <c r="C1239" s="760"/>
      <c r="D1239" s="760"/>
      <c r="E1239" s="760"/>
      <c r="F1239" s="760"/>
      <c r="G1239" s="760"/>
      <c r="H1239" s="760"/>
      <c r="I1239" s="760"/>
      <c r="J1239" s="760"/>
      <c r="K1239" s="760"/>
    </row>
    <row r="1240" spans="1:11">
      <c r="A1240" s="760"/>
      <c r="B1240" s="760"/>
      <c r="C1240" s="760"/>
      <c r="D1240" s="760"/>
      <c r="E1240" s="760"/>
      <c r="F1240" s="760"/>
      <c r="G1240" s="760"/>
      <c r="H1240" s="760"/>
      <c r="I1240" s="760"/>
      <c r="J1240" s="760"/>
      <c r="K1240" s="760"/>
    </row>
    <row r="1241" spans="1:11">
      <c r="A1241" s="760"/>
      <c r="B1241" s="760"/>
      <c r="C1241" s="760"/>
      <c r="D1241" s="760"/>
      <c r="E1241" s="760"/>
      <c r="F1241" s="760"/>
      <c r="G1241" s="760"/>
      <c r="H1241" s="760"/>
      <c r="I1241" s="760"/>
      <c r="J1241" s="760"/>
      <c r="K1241" s="760"/>
    </row>
    <row r="1242" spans="1:11">
      <c r="A1242" s="760"/>
      <c r="B1242" s="760"/>
      <c r="C1242" s="760"/>
      <c r="D1242" s="760"/>
      <c r="E1242" s="760"/>
      <c r="F1242" s="760"/>
      <c r="G1242" s="760"/>
      <c r="H1242" s="760"/>
      <c r="I1242" s="760"/>
      <c r="J1242" s="760"/>
      <c r="K1242" s="760"/>
    </row>
    <row r="1243" spans="1:11">
      <c r="A1243" s="760"/>
      <c r="B1243" s="760"/>
      <c r="C1243" s="760"/>
      <c r="D1243" s="760"/>
      <c r="E1243" s="760"/>
      <c r="F1243" s="760"/>
      <c r="G1243" s="760"/>
      <c r="H1243" s="760"/>
      <c r="I1243" s="760"/>
      <c r="J1243" s="760"/>
      <c r="K1243" s="760"/>
    </row>
    <row r="1244" spans="1:11">
      <c r="A1244" s="760"/>
      <c r="B1244" s="760"/>
      <c r="C1244" s="760"/>
      <c r="D1244" s="760"/>
      <c r="E1244" s="760"/>
      <c r="F1244" s="760"/>
      <c r="G1244" s="760"/>
      <c r="H1244" s="760"/>
      <c r="I1244" s="760"/>
      <c r="J1244" s="760"/>
      <c r="K1244" s="760"/>
    </row>
    <row r="1245" spans="1:11">
      <c r="A1245" s="760"/>
      <c r="B1245" s="760"/>
      <c r="C1245" s="760"/>
      <c r="D1245" s="760"/>
      <c r="E1245" s="760"/>
      <c r="F1245" s="760"/>
      <c r="G1245" s="760"/>
      <c r="H1245" s="760"/>
      <c r="I1245" s="760"/>
      <c r="J1245" s="760"/>
      <c r="K1245" s="760"/>
    </row>
    <row r="1246" spans="1:11">
      <c r="A1246" s="760"/>
      <c r="B1246" s="760"/>
      <c r="C1246" s="760"/>
      <c r="D1246" s="760"/>
      <c r="E1246" s="760"/>
      <c r="F1246" s="760"/>
      <c r="G1246" s="760"/>
      <c r="H1246" s="760"/>
      <c r="I1246" s="760"/>
      <c r="J1246" s="760"/>
      <c r="K1246" s="760"/>
    </row>
    <row r="1247" spans="1:11">
      <c r="A1247" s="760"/>
      <c r="B1247" s="760"/>
      <c r="C1247" s="760"/>
      <c r="D1247" s="760"/>
      <c r="E1247" s="760"/>
      <c r="F1247" s="760"/>
      <c r="G1247" s="760"/>
      <c r="H1247" s="760"/>
      <c r="I1247" s="760"/>
      <c r="J1247" s="760"/>
      <c r="K1247" s="760"/>
    </row>
    <row r="1248" spans="1:11">
      <c r="A1248" s="760"/>
      <c r="B1248" s="760"/>
      <c r="C1248" s="760"/>
      <c r="D1248" s="760"/>
      <c r="E1248" s="760"/>
      <c r="F1248" s="760"/>
      <c r="G1248" s="760"/>
      <c r="H1248" s="760"/>
      <c r="I1248" s="760"/>
      <c r="J1248" s="760"/>
      <c r="K1248" s="760"/>
    </row>
    <row r="1249" spans="1:11">
      <c r="A1249" s="760"/>
      <c r="B1249" s="760"/>
      <c r="C1249" s="760"/>
      <c r="D1249" s="760"/>
      <c r="E1249" s="760"/>
      <c r="F1249" s="760"/>
      <c r="G1249" s="760"/>
      <c r="H1249" s="760"/>
      <c r="I1249" s="760"/>
      <c r="J1249" s="760"/>
      <c r="K1249" s="760"/>
    </row>
    <row r="1250" spans="1:11">
      <c r="A1250" s="760"/>
      <c r="B1250" s="760"/>
      <c r="C1250" s="760"/>
      <c r="D1250" s="760"/>
      <c r="E1250" s="760"/>
      <c r="F1250" s="760"/>
      <c r="G1250" s="760"/>
      <c r="H1250" s="760"/>
      <c r="I1250" s="760"/>
      <c r="J1250" s="760"/>
      <c r="K1250" s="760"/>
    </row>
    <row r="1251" spans="1:11">
      <c r="A1251" s="760"/>
      <c r="B1251" s="760"/>
      <c r="C1251" s="760"/>
      <c r="D1251" s="760"/>
      <c r="E1251" s="760"/>
      <c r="F1251" s="760"/>
      <c r="G1251" s="760"/>
      <c r="H1251" s="760"/>
      <c r="I1251" s="760"/>
      <c r="J1251" s="760"/>
      <c r="K1251" s="760"/>
    </row>
    <row r="1252" spans="1:11">
      <c r="A1252" s="760"/>
      <c r="B1252" s="760"/>
      <c r="C1252" s="760"/>
      <c r="D1252" s="760"/>
      <c r="E1252" s="760"/>
      <c r="F1252" s="760"/>
      <c r="G1252" s="760"/>
      <c r="H1252" s="760"/>
      <c r="I1252" s="760"/>
      <c r="J1252" s="760"/>
      <c r="K1252" s="760"/>
    </row>
    <row r="1253" spans="1:11">
      <c r="A1253" s="760"/>
      <c r="B1253" s="760"/>
      <c r="C1253" s="760"/>
      <c r="D1253" s="760"/>
      <c r="E1253" s="760"/>
      <c r="F1253" s="760"/>
      <c r="G1253" s="760"/>
      <c r="H1253" s="760"/>
      <c r="I1253" s="760"/>
      <c r="J1253" s="760"/>
      <c r="K1253" s="760"/>
    </row>
    <row r="1254" spans="1:11">
      <c r="A1254" s="760"/>
      <c r="B1254" s="760"/>
      <c r="C1254" s="760"/>
      <c r="D1254" s="760"/>
      <c r="E1254" s="760"/>
      <c r="F1254" s="760"/>
      <c r="G1254" s="760"/>
      <c r="H1254" s="760"/>
      <c r="I1254" s="760"/>
      <c r="J1254" s="760"/>
      <c r="K1254" s="760"/>
    </row>
    <row r="1255" spans="1:11">
      <c r="A1255" s="760"/>
      <c r="B1255" s="760"/>
      <c r="C1255" s="760"/>
      <c r="D1255" s="760"/>
      <c r="E1255" s="760"/>
      <c r="F1255" s="760"/>
      <c r="G1255" s="760"/>
      <c r="H1255" s="760"/>
      <c r="I1255" s="760"/>
      <c r="J1255" s="760"/>
      <c r="K1255" s="760"/>
    </row>
    <row r="1256" spans="1:11">
      <c r="A1256" s="760"/>
      <c r="B1256" s="760"/>
      <c r="C1256" s="760"/>
      <c r="D1256" s="760"/>
      <c r="E1256" s="760"/>
      <c r="F1256" s="760"/>
      <c r="G1256" s="760"/>
      <c r="H1256" s="760"/>
      <c r="I1256" s="760"/>
      <c r="J1256" s="760"/>
      <c r="K1256" s="760"/>
    </row>
    <row r="1257" spans="1:11">
      <c r="A1257" s="760"/>
      <c r="B1257" s="760"/>
      <c r="C1257" s="760"/>
      <c r="D1257" s="760"/>
      <c r="E1257" s="760"/>
      <c r="F1257" s="760"/>
      <c r="G1257" s="760"/>
      <c r="H1257" s="760"/>
      <c r="I1257" s="760"/>
      <c r="J1257" s="760"/>
      <c r="K1257" s="760"/>
    </row>
    <row r="1258" spans="1:11">
      <c r="A1258" s="760"/>
      <c r="B1258" s="760"/>
      <c r="C1258" s="760"/>
      <c r="D1258" s="760"/>
      <c r="E1258" s="760"/>
      <c r="F1258" s="760"/>
      <c r="G1258" s="760"/>
      <c r="H1258" s="760"/>
      <c r="I1258" s="760"/>
      <c r="J1258" s="760"/>
      <c r="K1258" s="760"/>
    </row>
    <row r="1259" spans="1:11">
      <c r="A1259" s="760"/>
      <c r="B1259" s="760"/>
      <c r="C1259" s="760"/>
      <c r="D1259" s="760"/>
      <c r="E1259" s="760"/>
      <c r="F1259" s="760"/>
      <c r="G1259" s="760"/>
      <c r="H1259" s="760"/>
      <c r="I1259" s="760"/>
      <c r="J1259" s="760"/>
      <c r="K1259" s="760"/>
    </row>
    <row r="1260" spans="1:11">
      <c r="A1260" s="760"/>
      <c r="B1260" s="760"/>
      <c r="C1260" s="760"/>
      <c r="D1260" s="760"/>
      <c r="E1260" s="760"/>
      <c r="F1260" s="760"/>
      <c r="G1260" s="760"/>
      <c r="H1260" s="760"/>
      <c r="I1260" s="760"/>
      <c r="J1260" s="760"/>
      <c r="K1260" s="760"/>
    </row>
    <row r="1261" spans="1:11">
      <c r="A1261" s="760"/>
      <c r="B1261" s="760"/>
      <c r="C1261" s="760"/>
      <c r="D1261" s="760"/>
      <c r="E1261" s="760"/>
      <c r="F1261" s="760"/>
      <c r="G1261" s="760"/>
      <c r="H1261" s="760"/>
      <c r="I1261" s="760"/>
      <c r="J1261" s="760"/>
      <c r="K1261" s="760"/>
    </row>
    <row r="1262" spans="1:11">
      <c r="A1262" s="760"/>
      <c r="B1262" s="760"/>
      <c r="C1262" s="760"/>
      <c r="D1262" s="760"/>
      <c r="E1262" s="760"/>
      <c r="F1262" s="760"/>
      <c r="G1262" s="760"/>
      <c r="H1262" s="760"/>
      <c r="I1262" s="760"/>
      <c r="J1262" s="760"/>
      <c r="K1262" s="760"/>
    </row>
    <row r="1263" spans="1:11">
      <c r="A1263" s="760"/>
      <c r="B1263" s="760"/>
      <c r="C1263" s="760"/>
      <c r="D1263" s="760"/>
      <c r="E1263" s="760"/>
      <c r="F1263" s="760"/>
      <c r="G1263" s="760"/>
      <c r="H1263" s="760"/>
      <c r="I1263" s="760"/>
      <c r="J1263" s="760"/>
      <c r="K1263" s="760"/>
    </row>
    <row r="1264" spans="1:11">
      <c r="A1264" s="760"/>
      <c r="B1264" s="760"/>
      <c r="C1264" s="760"/>
      <c r="D1264" s="760"/>
      <c r="E1264" s="760"/>
      <c r="F1264" s="760"/>
      <c r="G1264" s="760"/>
      <c r="H1264" s="760"/>
      <c r="I1264" s="760"/>
      <c r="J1264" s="760"/>
      <c r="K1264" s="760"/>
    </row>
    <row r="1265" spans="1:11">
      <c r="A1265" s="760"/>
      <c r="B1265" s="760"/>
      <c r="C1265" s="760"/>
      <c r="D1265" s="760"/>
      <c r="E1265" s="760"/>
      <c r="F1265" s="760"/>
      <c r="G1265" s="760"/>
      <c r="H1265" s="760"/>
      <c r="I1265" s="760"/>
      <c r="J1265" s="760"/>
      <c r="K1265" s="760"/>
    </row>
    <row r="1266" spans="1:11">
      <c r="A1266" s="760"/>
      <c r="B1266" s="760"/>
      <c r="C1266" s="760"/>
      <c r="D1266" s="760"/>
      <c r="E1266" s="760"/>
      <c r="F1266" s="760"/>
      <c r="G1266" s="760"/>
      <c r="H1266" s="760"/>
      <c r="I1266" s="760"/>
      <c r="J1266" s="760"/>
      <c r="K1266" s="760"/>
    </row>
    <row r="1267" spans="1:11">
      <c r="A1267" s="760"/>
      <c r="B1267" s="760"/>
      <c r="C1267" s="760"/>
      <c r="D1267" s="760"/>
      <c r="E1267" s="760"/>
      <c r="F1267" s="760"/>
      <c r="G1267" s="760"/>
      <c r="H1267" s="760"/>
      <c r="I1267" s="760"/>
      <c r="J1267" s="760"/>
      <c r="K1267" s="760"/>
    </row>
    <row r="1268" spans="1:11">
      <c r="A1268" s="760"/>
      <c r="B1268" s="760"/>
      <c r="C1268" s="760"/>
      <c r="D1268" s="760"/>
      <c r="E1268" s="760"/>
      <c r="F1268" s="760"/>
      <c r="G1268" s="760"/>
      <c r="H1268" s="760"/>
      <c r="I1268" s="760"/>
      <c r="J1268" s="760"/>
      <c r="K1268" s="760"/>
    </row>
    <row r="1269" spans="1:11">
      <c r="A1269" s="760"/>
      <c r="B1269" s="760"/>
      <c r="C1269" s="760"/>
      <c r="D1269" s="760"/>
      <c r="E1269" s="760"/>
      <c r="F1269" s="760"/>
      <c r="G1269" s="760"/>
      <c r="H1269" s="760"/>
      <c r="I1269" s="760"/>
      <c r="J1269" s="760"/>
      <c r="K1269" s="760"/>
    </row>
    <row r="1270" spans="1:11">
      <c r="A1270" s="760"/>
      <c r="B1270" s="760"/>
      <c r="C1270" s="760"/>
      <c r="D1270" s="760"/>
      <c r="E1270" s="760"/>
      <c r="F1270" s="760"/>
      <c r="G1270" s="760"/>
      <c r="H1270" s="760"/>
      <c r="I1270" s="760"/>
      <c r="J1270" s="760"/>
      <c r="K1270" s="760"/>
    </row>
    <row r="1271" spans="1:11">
      <c r="A1271" s="760"/>
      <c r="B1271" s="760"/>
      <c r="C1271" s="760"/>
      <c r="D1271" s="760"/>
      <c r="E1271" s="760"/>
      <c r="F1271" s="760"/>
      <c r="G1271" s="760"/>
      <c r="H1271" s="760"/>
      <c r="I1271" s="760"/>
      <c r="J1271" s="760"/>
      <c r="K1271" s="760"/>
    </row>
    <row r="1272" spans="1:11">
      <c r="A1272" s="760"/>
      <c r="B1272" s="760"/>
      <c r="C1272" s="760"/>
      <c r="D1272" s="760"/>
      <c r="E1272" s="760"/>
      <c r="F1272" s="760"/>
      <c r="G1272" s="760"/>
      <c r="H1272" s="760"/>
      <c r="I1272" s="760"/>
      <c r="J1272" s="760"/>
      <c r="K1272" s="760"/>
    </row>
    <row r="1273" spans="1:11">
      <c r="A1273" s="760"/>
      <c r="B1273" s="760"/>
      <c r="C1273" s="760"/>
      <c r="D1273" s="760"/>
      <c r="E1273" s="760"/>
      <c r="F1273" s="760"/>
      <c r="G1273" s="760"/>
      <c r="H1273" s="760"/>
      <c r="I1273" s="760"/>
      <c r="J1273" s="760"/>
      <c r="K1273" s="760"/>
    </row>
    <row r="1274" spans="1:11">
      <c r="A1274" s="760"/>
      <c r="B1274" s="760"/>
      <c r="C1274" s="760"/>
      <c r="D1274" s="760"/>
      <c r="E1274" s="760"/>
      <c r="F1274" s="760"/>
      <c r="G1274" s="760"/>
      <c r="H1274" s="760"/>
      <c r="I1274" s="760"/>
      <c r="J1274" s="760"/>
      <c r="K1274" s="760"/>
    </row>
    <row r="1275" spans="1:11">
      <c r="A1275" s="760"/>
      <c r="B1275" s="760"/>
      <c r="C1275" s="760"/>
      <c r="D1275" s="760"/>
      <c r="E1275" s="760"/>
      <c r="F1275" s="760"/>
      <c r="G1275" s="760"/>
      <c r="H1275" s="760"/>
      <c r="I1275" s="760"/>
      <c r="J1275" s="760"/>
      <c r="K1275" s="760"/>
    </row>
    <row r="1276" spans="1:11">
      <c r="A1276" s="760"/>
      <c r="B1276" s="760"/>
      <c r="C1276" s="760"/>
      <c r="D1276" s="760"/>
      <c r="E1276" s="760"/>
      <c r="F1276" s="760"/>
      <c r="G1276" s="760"/>
      <c r="H1276" s="760"/>
      <c r="I1276" s="760"/>
      <c r="J1276" s="760"/>
      <c r="K1276" s="760"/>
    </row>
    <row r="1277" spans="1:11">
      <c r="A1277" s="760"/>
      <c r="B1277" s="760"/>
      <c r="C1277" s="760"/>
      <c r="D1277" s="760"/>
      <c r="E1277" s="760"/>
      <c r="F1277" s="760"/>
      <c r="G1277" s="760"/>
      <c r="H1277" s="760"/>
      <c r="I1277" s="760"/>
      <c r="J1277" s="760"/>
      <c r="K1277" s="760"/>
    </row>
    <row r="1278" spans="1:11">
      <c r="A1278" s="760"/>
      <c r="B1278" s="760"/>
      <c r="C1278" s="760"/>
      <c r="D1278" s="760"/>
      <c r="E1278" s="760"/>
      <c r="F1278" s="760"/>
      <c r="G1278" s="760"/>
      <c r="H1278" s="760"/>
      <c r="I1278" s="760"/>
      <c r="J1278" s="760"/>
      <c r="K1278" s="760"/>
    </row>
    <row r="1279" spans="1:11">
      <c r="A1279" s="760"/>
      <c r="B1279" s="760"/>
      <c r="C1279" s="760"/>
      <c r="D1279" s="760"/>
      <c r="E1279" s="760"/>
      <c r="F1279" s="760"/>
      <c r="G1279" s="760"/>
      <c r="H1279" s="760"/>
      <c r="I1279" s="760"/>
      <c r="J1279" s="760"/>
      <c r="K1279" s="760"/>
    </row>
    <row r="1280" spans="1:11">
      <c r="A1280" s="760"/>
      <c r="B1280" s="760"/>
      <c r="C1280" s="760"/>
      <c r="D1280" s="760"/>
      <c r="E1280" s="760"/>
      <c r="F1280" s="760"/>
      <c r="G1280" s="760"/>
      <c r="H1280" s="760"/>
      <c r="I1280" s="760"/>
      <c r="J1280" s="760"/>
      <c r="K1280" s="760"/>
    </row>
    <row r="1281" spans="1:11">
      <c r="A1281" s="760"/>
      <c r="B1281" s="760"/>
      <c r="C1281" s="760"/>
      <c r="D1281" s="760"/>
      <c r="E1281" s="760"/>
      <c r="F1281" s="760"/>
      <c r="G1281" s="760"/>
      <c r="H1281" s="760"/>
      <c r="I1281" s="760"/>
      <c r="J1281" s="760"/>
      <c r="K1281" s="760"/>
    </row>
    <row r="1282" spans="1:11">
      <c r="A1282" s="760"/>
      <c r="B1282" s="760"/>
      <c r="C1282" s="760"/>
      <c r="D1282" s="760"/>
      <c r="E1282" s="760"/>
      <c r="F1282" s="760"/>
      <c r="G1282" s="760"/>
      <c r="H1282" s="760"/>
      <c r="I1282" s="760"/>
      <c r="J1282" s="760"/>
      <c r="K1282" s="760"/>
    </row>
    <row r="1283" spans="1:11">
      <c r="A1283" s="760"/>
      <c r="B1283" s="760"/>
      <c r="C1283" s="760"/>
      <c r="D1283" s="760"/>
      <c r="E1283" s="760"/>
      <c r="F1283" s="760"/>
      <c r="G1283" s="760"/>
      <c r="H1283" s="760"/>
      <c r="I1283" s="760"/>
      <c r="J1283" s="760"/>
      <c r="K1283" s="760"/>
    </row>
    <row r="1284" spans="1:11">
      <c r="A1284" s="760"/>
      <c r="B1284" s="760"/>
      <c r="C1284" s="760"/>
      <c r="D1284" s="760"/>
      <c r="E1284" s="760"/>
      <c r="F1284" s="760"/>
      <c r="G1284" s="760"/>
      <c r="H1284" s="760"/>
      <c r="I1284" s="760"/>
      <c r="J1284" s="760"/>
      <c r="K1284" s="760"/>
    </row>
    <row r="1285" spans="1:11">
      <c r="A1285" s="760"/>
      <c r="B1285" s="760"/>
      <c r="C1285" s="760"/>
      <c r="D1285" s="760"/>
      <c r="E1285" s="760"/>
      <c r="F1285" s="760"/>
      <c r="G1285" s="760"/>
      <c r="H1285" s="760"/>
      <c r="I1285" s="760"/>
      <c r="J1285" s="760"/>
      <c r="K1285" s="760"/>
    </row>
    <row r="1286" spans="1:11">
      <c r="A1286" s="760"/>
      <c r="B1286" s="760"/>
      <c r="C1286" s="760"/>
      <c r="D1286" s="760"/>
      <c r="E1286" s="760"/>
      <c r="F1286" s="760"/>
      <c r="G1286" s="760"/>
      <c r="H1286" s="760"/>
      <c r="I1286" s="760"/>
      <c r="J1286" s="760"/>
      <c r="K1286" s="760"/>
    </row>
    <row r="1287" spans="1:11">
      <c r="A1287" s="760"/>
      <c r="B1287" s="760"/>
      <c r="C1287" s="760"/>
      <c r="D1287" s="760"/>
      <c r="E1287" s="760"/>
      <c r="F1287" s="760"/>
      <c r="G1287" s="760"/>
      <c r="H1287" s="760"/>
      <c r="I1287" s="760"/>
      <c r="J1287" s="760"/>
      <c r="K1287" s="760"/>
    </row>
    <row r="1288" spans="1:11">
      <c r="A1288" s="760"/>
      <c r="B1288" s="760"/>
      <c r="C1288" s="760"/>
      <c r="D1288" s="760"/>
      <c r="E1288" s="760"/>
      <c r="F1288" s="760"/>
      <c r="G1288" s="760"/>
      <c r="H1288" s="760"/>
      <c r="I1288" s="760"/>
      <c r="J1288" s="760"/>
      <c r="K1288" s="760"/>
    </row>
    <row r="1289" spans="1:11">
      <c r="A1289" s="760"/>
      <c r="B1289" s="760"/>
      <c r="C1289" s="760"/>
      <c r="D1289" s="760"/>
      <c r="E1289" s="760"/>
      <c r="F1289" s="760"/>
      <c r="G1289" s="760"/>
      <c r="H1289" s="760"/>
      <c r="I1289" s="760"/>
      <c r="J1289" s="760"/>
      <c r="K1289" s="760"/>
    </row>
    <row r="1290" spans="1:11">
      <c r="A1290" s="760"/>
      <c r="B1290" s="760"/>
      <c r="C1290" s="760"/>
      <c r="D1290" s="760"/>
      <c r="E1290" s="760"/>
      <c r="F1290" s="760"/>
      <c r="G1290" s="760"/>
      <c r="H1290" s="760"/>
      <c r="I1290" s="760"/>
      <c r="J1290" s="760"/>
      <c r="K1290" s="760"/>
    </row>
    <row r="1291" spans="1:11">
      <c r="A1291" s="760"/>
      <c r="B1291" s="760"/>
      <c r="C1291" s="760"/>
      <c r="D1291" s="760"/>
      <c r="E1291" s="760"/>
      <c r="F1291" s="760"/>
      <c r="G1291" s="760"/>
      <c r="H1291" s="760"/>
      <c r="I1291" s="760"/>
      <c r="J1291" s="760"/>
      <c r="K1291" s="760"/>
    </row>
    <row r="1292" spans="1:11">
      <c r="A1292" s="760"/>
      <c r="B1292" s="760"/>
      <c r="C1292" s="760"/>
      <c r="D1292" s="760"/>
      <c r="E1292" s="760"/>
      <c r="F1292" s="760"/>
      <c r="G1292" s="760"/>
      <c r="H1292" s="760"/>
      <c r="I1292" s="760"/>
      <c r="J1292" s="760"/>
      <c r="K1292" s="760"/>
    </row>
    <row r="1293" spans="1:11">
      <c r="A1293" s="760"/>
      <c r="B1293" s="760"/>
      <c r="C1293" s="760"/>
      <c r="D1293" s="760"/>
      <c r="E1293" s="760"/>
      <c r="F1293" s="760"/>
      <c r="G1293" s="760"/>
      <c r="H1293" s="760"/>
      <c r="I1293" s="760"/>
      <c r="J1293" s="760"/>
      <c r="K1293" s="760"/>
    </row>
    <row r="1294" spans="1:11">
      <c r="A1294" s="760"/>
      <c r="B1294" s="760"/>
      <c r="C1294" s="760"/>
      <c r="D1294" s="760"/>
      <c r="E1294" s="760"/>
      <c r="F1294" s="760"/>
      <c r="G1294" s="760"/>
      <c r="H1294" s="760"/>
      <c r="I1294" s="760"/>
      <c r="J1294" s="760"/>
      <c r="K1294" s="760"/>
    </row>
    <row r="1295" spans="1:11">
      <c r="A1295" s="760"/>
      <c r="B1295" s="760"/>
      <c r="C1295" s="760"/>
      <c r="D1295" s="760"/>
      <c r="E1295" s="760"/>
      <c r="F1295" s="760"/>
      <c r="G1295" s="760"/>
      <c r="H1295" s="760"/>
      <c r="I1295" s="760"/>
      <c r="J1295" s="760"/>
      <c r="K1295" s="760"/>
    </row>
    <row r="1296" spans="1:11">
      <c r="A1296" s="760"/>
      <c r="B1296" s="760"/>
      <c r="C1296" s="760"/>
      <c r="D1296" s="760"/>
      <c r="E1296" s="760"/>
      <c r="F1296" s="760"/>
      <c r="G1296" s="760"/>
      <c r="H1296" s="760"/>
      <c r="I1296" s="760"/>
      <c r="J1296" s="760"/>
      <c r="K1296" s="760"/>
    </row>
    <row r="1297" spans="1:11">
      <c r="A1297" s="760"/>
      <c r="B1297" s="760"/>
      <c r="C1297" s="760"/>
      <c r="D1297" s="760"/>
      <c r="E1297" s="760"/>
      <c r="F1297" s="760"/>
      <c r="G1297" s="760"/>
      <c r="H1297" s="760"/>
      <c r="I1297" s="760"/>
      <c r="J1297" s="760"/>
      <c r="K1297" s="760"/>
    </row>
    <row r="1298" spans="1:11">
      <c r="A1298" s="760"/>
      <c r="B1298" s="760"/>
      <c r="C1298" s="760"/>
      <c r="D1298" s="760"/>
      <c r="E1298" s="760"/>
      <c r="F1298" s="760"/>
      <c r="G1298" s="760"/>
      <c r="H1298" s="760"/>
      <c r="I1298" s="760"/>
      <c r="J1298" s="760"/>
      <c r="K1298" s="760"/>
    </row>
    <row r="1299" spans="1:11">
      <c r="A1299" s="760"/>
      <c r="B1299" s="760"/>
      <c r="C1299" s="760"/>
      <c r="D1299" s="760"/>
      <c r="E1299" s="760"/>
      <c r="F1299" s="760"/>
      <c r="G1299" s="760"/>
      <c r="H1299" s="760"/>
      <c r="I1299" s="760"/>
      <c r="J1299" s="760"/>
      <c r="K1299" s="760"/>
    </row>
    <row r="1300" spans="1:11">
      <c r="A1300" s="760"/>
      <c r="B1300" s="760"/>
      <c r="C1300" s="760"/>
      <c r="D1300" s="760"/>
      <c r="E1300" s="760"/>
      <c r="F1300" s="760"/>
      <c r="G1300" s="760"/>
      <c r="H1300" s="760"/>
      <c r="I1300" s="760"/>
      <c r="J1300" s="760"/>
      <c r="K1300" s="760"/>
    </row>
    <row r="1301" spans="1:11">
      <c r="A1301" s="760"/>
      <c r="B1301" s="760"/>
      <c r="C1301" s="760"/>
      <c r="D1301" s="760"/>
      <c r="E1301" s="760"/>
      <c r="F1301" s="760"/>
      <c r="G1301" s="760"/>
      <c r="H1301" s="760"/>
      <c r="I1301" s="760"/>
      <c r="J1301" s="760"/>
      <c r="K1301" s="760"/>
    </row>
    <row r="1302" spans="1:11">
      <c r="A1302" s="760"/>
      <c r="B1302" s="760"/>
      <c r="C1302" s="760"/>
      <c r="D1302" s="760"/>
      <c r="E1302" s="760"/>
      <c r="F1302" s="760"/>
      <c r="G1302" s="760"/>
      <c r="H1302" s="760"/>
      <c r="I1302" s="760"/>
      <c r="J1302" s="760"/>
      <c r="K1302" s="760"/>
    </row>
    <row r="1303" spans="1:11">
      <c r="A1303" s="760"/>
      <c r="B1303" s="760"/>
      <c r="C1303" s="760"/>
      <c r="D1303" s="760"/>
      <c r="E1303" s="760"/>
      <c r="F1303" s="760"/>
      <c r="G1303" s="760"/>
      <c r="H1303" s="760"/>
      <c r="I1303" s="760"/>
      <c r="J1303" s="760"/>
      <c r="K1303" s="760"/>
    </row>
    <row r="1304" spans="1:11">
      <c r="A1304" s="760"/>
      <c r="B1304" s="760"/>
      <c r="C1304" s="760"/>
      <c r="D1304" s="760"/>
      <c r="E1304" s="760"/>
      <c r="F1304" s="760"/>
      <c r="G1304" s="760"/>
      <c r="H1304" s="760"/>
      <c r="I1304" s="760"/>
      <c r="J1304" s="760"/>
      <c r="K1304" s="760"/>
    </row>
    <row r="1305" spans="1:11">
      <c r="A1305" s="760"/>
      <c r="B1305" s="760"/>
      <c r="C1305" s="760"/>
      <c r="D1305" s="760"/>
      <c r="E1305" s="760"/>
      <c r="F1305" s="760"/>
      <c r="G1305" s="760"/>
      <c r="H1305" s="760"/>
      <c r="I1305" s="760"/>
      <c r="J1305" s="760"/>
      <c r="K1305" s="760"/>
    </row>
    <row r="1306" spans="1:11">
      <c r="A1306" s="760"/>
      <c r="B1306" s="760"/>
      <c r="C1306" s="760"/>
      <c r="D1306" s="760"/>
      <c r="E1306" s="760"/>
      <c r="F1306" s="760"/>
      <c r="G1306" s="760"/>
      <c r="H1306" s="760"/>
      <c r="I1306" s="760"/>
      <c r="J1306" s="760"/>
      <c r="K1306" s="760"/>
    </row>
    <row r="1307" spans="1:11">
      <c r="A1307" s="760"/>
      <c r="B1307" s="760"/>
      <c r="C1307" s="760"/>
      <c r="D1307" s="760"/>
      <c r="E1307" s="760"/>
      <c r="F1307" s="760"/>
      <c r="G1307" s="760"/>
      <c r="H1307" s="760"/>
      <c r="I1307" s="760"/>
      <c r="J1307" s="760"/>
      <c r="K1307" s="760"/>
    </row>
    <row r="1308" spans="1:11">
      <c r="A1308" s="760"/>
      <c r="B1308" s="760"/>
      <c r="C1308" s="760"/>
      <c r="D1308" s="760"/>
      <c r="E1308" s="760"/>
      <c r="F1308" s="760"/>
      <c r="G1308" s="760"/>
      <c r="H1308" s="760"/>
      <c r="I1308" s="760"/>
      <c r="J1308" s="760"/>
      <c r="K1308" s="760"/>
    </row>
    <row r="1309" spans="1:11">
      <c r="A1309" s="760"/>
      <c r="B1309" s="760"/>
      <c r="C1309" s="760"/>
      <c r="D1309" s="760"/>
      <c r="E1309" s="760"/>
      <c r="F1309" s="760"/>
      <c r="G1309" s="760"/>
      <c r="H1309" s="760"/>
      <c r="I1309" s="760"/>
      <c r="J1309" s="760"/>
      <c r="K1309" s="760"/>
    </row>
    <row r="1310" spans="1:11">
      <c r="A1310" s="760"/>
      <c r="B1310" s="760"/>
      <c r="C1310" s="760"/>
      <c r="D1310" s="760"/>
      <c r="E1310" s="760"/>
      <c r="F1310" s="760"/>
      <c r="G1310" s="760"/>
      <c r="H1310" s="760"/>
      <c r="I1310" s="760"/>
      <c r="J1310" s="760"/>
      <c r="K1310" s="760"/>
    </row>
    <row r="1311" spans="1:11">
      <c r="A1311" s="760"/>
      <c r="B1311" s="760"/>
      <c r="C1311" s="760"/>
      <c r="D1311" s="760"/>
      <c r="E1311" s="760"/>
      <c r="F1311" s="760"/>
      <c r="G1311" s="760"/>
      <c r="H1311" s="760"/>
      <c r="I1311" s="760"/>
      <c r="J1311" s="760"/>
      <c r="K1311" s="760"/>
    </row>
    <row r="1312" spans="1:11">
      <c r="A1312" s="760"/>
      <c r="B1312" s="760"/>
      <c r="C1312" s="760"/>
      <c r="D1312" s="760"/>
      <c r="E1312" s="760"/>
      <c r="F1312" s="760"/>
      <c r="G1312" s="760"/>
      <c r="H1312" s="760"/>
      <c r="I1312" s="760"/>
      <c r="J1312" s="760"/>
      <c r="K1312" s="760"/>
    </row>
    <row r="1313" spans="1:11">
      <c r="A1313" s="760"/>
      <c r="B1313" s="760"/>
      <c r="C1313" s="760"/>
      <c r="D1313" s="760"/>
      <c r="E1313" s="760"/>
      <c r="F1313" s="760"/>
      <c r="G1313" s="760"/>
      <c r="H1313" s="760"/>
      <c r="I1313" s="760"/>
      <c r="J1313" s="760"/>
      <c r="K1313" s="760"/>
    </row>
    <row r="1314" spans="1:11">
      <c r="A1314" s="760"/>
      <c r="B1314" s="760"/>
      <c r="C1314" s="760"/>
      <c r="D1314" s="760"/>
      <c r="E1314" s="760"/>
      <c r="F1314" s="760"/>
      <c r="G1314" s="760"/>
      <c r="H1314" s="760"/>
      <c r="I1314" s="760"/>
      <c r="J1314" s="760"/>
      <c r="K1314" s="760"/>
    </row>
    <row r="1315" spans="1:11">
      <c r="A1315" s="760"/>
      <c r="B1315" s="760"/>
      <c r="C1315" s="760"/>
      <c r="D1315" s="760"/>
      <c r="E1315" s="760"/>
      <c r="F1315" s="760"/>
      <c r="G1315" s="760"/>
      <c r="H1315" s="760"/>
      <c r="I1315" s="760"/>
      <c r="J1315" s="760"/>
      <c r="K1315" s="760"/>
    </row>
    <row r="1316" spans="1:11">
      <c r="A1316" s="760"/>
      <c r="B1316" s="760"/>
      <c r="C1316" s="760"/>
      <c r="D1316" s="760"/>
      <c r="E1316" s="760"/>
      <c r="F1316" s="760"/>
      <c r="G1316" s="760"/>
      <c r="H1316" s="760"/>
      <c r="I1316" s="760"/>
      <c r="J1316" s="760"/>
      <c r="K1316" s="760"/>
    </row>
    <row r="1317" spans="1:11">
      <c r="A1317" s="760"/>
      <c r="B1317" s="760"/>
      <c r="C1317" s="760"/>
      <c r="D1317" s="760"/>
      <c r="E1317" s="760"/>
      <c r="F1317" s="760"/>
      <c r="G1317" s="760"/>
      <c r="H1317" s="760"/>
      <c r="I1317" s="760"/>
      <c r="J1317" s="760"/>
      <c r="K1317" s="760"/>
    </row>
    <row r="1318" spans="1:11">
      <c r="A1318" s="760"/>
      <c r="B1318" s="760"/>
      <c r="C1318" s="760"/>
      <c r="D1318" s="760"/>
      <c r="E1318" s="760"/>
      <c r="F1318" s="760"/>
      <c r="G1318" s="760"/>
      <c r="H1318" s="760"/>
      <c r="I1318" s="760"/>
      <c r="J1318" s="760"/>
      <c r="K1318" s="760"/>
    </row>
    <row r="1319" spans="1:11">
      <c r="A1319" s="760"/>
      <c r="B1319" s="760"/>
      <c r="C1319" s="760"/>
      <c r="D1319" s="760"/>
      <c r="E1319" s="760"/>
      <c r="F1319" s="760"/>
      <c r="G1319" s="760"/>
      <c r="H1319" s="760"/>
      <c r="I1319" s="760"/>
      <c r="J1319" s="760"/>
      <c r="K1319" s="760"/>
    </row>
    <row r="1320" spans="1:11">
      <c r="A1320" s="760"/>
      <c r="B1320" s="760"/>
      <c r="C1320" s="760"/>
      <c r="D1320" s="760"/>
      <c r="E1320" s="760"/>
      <c r="F1320" s="760"/>
      <c r="G1320" s="760"/>
      <c r="H1320" s="760"/>
      <c r="I1320" s="760"/>
      <c r="J1320" s="760"/>
      <c r="K1320" s="760"/>
    </row>
    <row r="1321" spans="1:11">
      <c r="A1321" s="760"/>
      <c r="B1321" s="760"/>
      <c r="C1321" s="760"/>
      <c r="D1321" s="760"/>
      <c r="E1321" s="760"/>
      <c r="F1321" s="760"/>
      <c r="G1321" s="760"/>
      <c r="H1321" s="760"/>
      <c r="I1321" s="760"/>
      <c r="J1321" s="760"/>
      <c r="K1321" s="760"/>
    </row>
    <row r="1322" spans="1:11">
      <c r="A1322" s="760"/>
      <c r="B1322" s="760"/>
      <c r="C1322" s="760"/>
      <c r="D1322" s="760"/>
      <c r="E1322" s="760"/>
      <c r="F1322" s="760"/>
      <c r="G1322" s="760"/>
      <c r="H1322" s="760"/>
      <c r="I1322" s="760"/>
      <c r="J1322" s="760"/>
      <c r="K1322" s="760"/>
    </row>
    <row r="1323" spans="1:11">
      <c r="A1323" s="760"/>
      <c r="B1323" s="760"/>
      <c r="C1323" s="760"/>
      <c r="D1323" s="760"/>
      <c r="E1323" s="760"/>
      <c r="F1323" s="760"/>
      <c r="G1323" s="760"/>
      <c r="H1323" s="760"/>
      <c r="I1323" s="760"/>
      <c r="J1323" s="760"/>
      <c r="K1323" s="760"/>
    </row>
    <row r="1324" spans="1:11">
      <c r="A1324" s="760"/>
      <c r="B1324" s="760"/>
      <c r="C1324" s="760"/>
      <c r="D1324" s="760"/>
      <c r="E1324" s="760"/>
      <c r="F1324" s="760"/>
      <c r="G1324" s="760"/>
      <c r="H1324" s="760"/>
      <c r="I1324" s="760"/>
      <c r="J1324" s="760"/>
      <c r="K1324" s="760"/>
    </row>
    <row r="1325" spans="1:11">
      <c r="A1325" s="760"/>
      <c r="B1325" s="760"/>
      <c r="C1325" s="760"/>
      <c r="D1325" s="760"/>
      <c r="E1325" s="760"/>
      <c r="F1325" s="760"/>
      <c r="G1325" s="760"/>
      <c r="H1325" s="760"/>
      <c r="I1325" s="760"/>
      <c r="J1325" s="760"/>
      <c r="K1325" s="760"/>
    </row>
    <row r="1326" spans="1:11">
      <c r="A1326" s="760"/>
      <c r="B1326" s="760"/>
      <c r="C1326" s="760"/>
      <c r="D1326" s="760"/>
      <c r="E1326" s="760"/>
      <c r="F1326" s="760"/>
      <c r="G1326" s="760"/>
      <c r="H1326" s="760"/>
      <c r="I1326" s="760"/>
      <c r="J1326" s="760"/>
      <c r="K1326" s="760"/>
    </row>
    <row r="1327" spans="1:11">
      <c r="A1327" s="760"/>
      <c r="B1327" s="760"/>
      <c r="C1327" s="760"/>
      <c r="D1327" s="760"/>
      <c r="E1327" s="760"/>
      <c r="F1327" s="760"/>
      <c r="G1327" s="760"/>
      <c r="H1327" s="760"/>
      <c r="I1327" s="760"/>
      <c r="J1327" s="760"/>
      <c r="K1327" s="760"/>
    </row>
    <row r="1328" spans="1:11">
      <c r="A1328" s="760"/>
      <c r="B1328" s="760"/>
      <c r="C1328" s="760"/>
      <c r="D1328" s="760"/>
      <c r="E1328" s="760"/>
      <c r="F1328" s="760"/>
      <c r="G1328" s="760"/>
      <c r="H1328" s="760"/>
      <c r="I1328" s="760"/>
      <c r="J1328" s="760"/>
      <c r="K1328" s="760"/>
    </row>
    <row r="1329" spans="1:11">
      <c r="A1329" s="760"/>
      <c r="B1329" s="760"/>
      <c r="C1329" s="760"/>
      <c r="D1329" s="760"/>
      <c r="E1329" s="760"/>
      <c r="F1329" s="760"/>
      <c r="G1329" s="760"/>
      <c r="H1329" s="760"/>
      <c r="I1329" s="760"/>
      <c r="J1329" s="760"/>
      <c r="K1329" s="760"/>
    </row>
    <row r="1330" spans="1:11">
      <c r="A1330" s="760"/>
      <c r="B1330" s="760"/>
      <c r="C1330" s="760"/>
      <c r="D1330" s="760"/>
      <c r="E1330" s="760"/>
      <c r="F1330" s="760"/>
      <c r="G1330" s="760"/>
      <c r="H1330" s="760"/>
      <c r="I1330" s="760"/>
      <c r="J1330" s="760"/>
      <c r="K1330" s="760"/>
    </row>
    <row r="1331" spans="1:11">
      <c r="A1331" s="760"/>
      <c r="B1331" s="760"/>
      <c r="C1331" s="760"/>
      <c r="D1331" s="760"/>
      <c r="E1331" s="760"/>
      <c r="F1331" s="760"/>
      <c r="G1331" s="760"/>
      <c r="H1331" s="760"/>
      <c r="I1331" s="760"/>
      <c r="J1331" s="760"/>
      <c r="K1331" s="760"/>
    </row>
    <row r="1332" spans="1:11">
      <c r="A1332" s="760"/>
      <c r="B1332" s="760"/>
      <c r="C1332" s="760"/>
      <c r="D1332" s="760"/>
      <c r="E1332" s="760"/>
      <c r="F1332" s="760"/>
      <c r="G1332" s="760"/>
      <c r="H1332" s="760"/>
      <c r="I1332" s="760"/>
      <c r="J1332" s="760"/>
      <c r="K1332" s="760"/>
    </row>
    <row r="1333" spans="1:11">
      <c r="A1333" s="760"/>
      <c r="B1333" s="760"/>
      <c r="C1333" s="760"/>
      <c r="D1333" s="760"/>
      <c r="E1333" s="760"/>
      <c r="F1333" s="760"/>
      <c r="G1333" s="760"/>
      <c r="H1333" s="760"/>
      <c r="I1333" s="760"/>
      <c r="J1333" s="760"/>
      <c r="K1333" s="760"/>
    </row>
    <row r="1334" spans="1:11">
      <c r="A1334" s="760"/>
      <c r="B1334" s="760"/>
      <c r="C1334" s="760"/>
      <c r="D1334" s="760"/>
      <c r="E1334" s="760"/>
      <c r="F1334" s="760"/>
      <c r="G1334" s="760"/>
      <c r="H1334" s="760"/>
      <c r="I1334" s="760"/>
      <c r="J1334" s="760"/>
      <c r="K1334" s="760"/>
    </row>
    <row r="1335" spans="1:11">
      <c r="A1335" s="760"/>
      <c r="B1335" s="760"/>
      <c r="C1335" s="760"/>
      <c r="D1335" s="760"/>
      <c r="E1335" s="760"/>
      <c r="F1335" s="760"/>
      <c r="G1335" s="760"/>
      <c r="H1335" s="760"/>
      <c r="I1335" s="760"/>
      <c r="J1335" s="760"/>
      <c r="K1335" s="760"/>
    </row>
    <row r="1336" spans="1:11">
      <c r="A1336" s="760"/>
      <c r="B1336" s="760"/>
      <c r="C1336" s="760"/>
      <c r="D1336" s="760"/>
      <c r="E1336" s="760"/>
      <c r="F1336" s="760"/>
      <c r="G1336" s="760"/>
      <c r="H1336" s="760"/>
      <c r="I1336" s="760"/>
      <c r="J1336" s="760"/>
      <c r="K1336" s="760"/>
    </row>
    <row r="1337" spans="1:11">
      <c r="A1337" s="760"/>
      <c r="B1337" s="760"/>
      <c r="C1337" s="760"/>
      <c r="D1337" s="760"/>
      <c r="E1337" s="760"/>
      <c r="F1337" s="760"/>
      <c r="G1337" s="760"/>
      <c r="H1337" s="760"/>
      <c r="I1337" s="760"/>
      <c r="J1337" s="760"/>
      <c r="K1337" s="760"/>
    </row>
    <row r="1338" spans="1:11">
      <c r="A1338" s="760"/>
      <c r="B1338" s="760"/>
      <c r="C1338" s="760"/>
      <c r="D1338" s="760"/>
      <c r="E1338" s="760"/>
      <c r="F1338" s="760"/>
      <c r="G1338" s="760"/>
      <c r="H1338" s="760"/>
      <c r="I1338" s="760"/>
      <c r="J1338" s="760"/>
      <c r="K1338" s="760"/>
    </row>
    <row r="1339" spans="1:11">
      <c r="A1339" s="760"/>
      <c r="B1339" s="760"/>
      <c r="C1339" s="760"/>
      <c r="D1339" s="760"/>
      <c r="E1339" s="760"/>
      <c r="F1339" s="760"/>
      <c r="G1339" s="760"/>
      <c r="H1339" s="760"/>
      <c r="I1339" s="760"/>
      <c r="J1339" s="760"/>
      <c r="K1339" s="760"/>
    </row>
    <row r="1340" spans="1:11">
      <c r="A1340" s="760"/>
      <c r="B1340" s="760"/>
      <c r="C1340" s="760"/>
      <c r="D1340" s="760"/>
      <c r="E1340" s="760"/>
      <c r="F1340" s="760"/>
      <c r="G1340" s="760"/>
      <c r="H1340" s="760"/>
      <c r="I1340" s="760"/>
      <c r="J1340" s="760"/>
      <c r="K1340" s="760"/>
    </row>
    <row r="1341" spans="1:11">
      <c r="A1341" s="760"/>
      <c r="B1341" s="760"/>
      <c r="C1341" s="760"/>
      <c r="D1341" s="760"/>
      <c r="E1341" s="760"/>
      <c r="F1341" s="760"/>
      <c r="G1341" s="760"/>
      <c r="H1341" s="760"/>
      <c r="I1341" s="760"/>
      <c r="J1341" s="760"/>
      <c r="K1341" s="760"/>
    </row>
    <row r="1342" spans="1:11">
      <c r="A1342" s="760"/>
      <c r="B1342" s="760"/>
      <c r="C1342" s="760"/>
      <c r="D1342" s="760"/>
      <c r="E1342" s="760"/>
      <c r="F1342" s="760"/>
      <c r="G1342" s="760"/>
      <c r="H1342" s="760"/>
      <c r="I1342" s="760"/>
      <c r="J1342" s="760"/>
      <c r="K1342" s="760"/>
    </row>
    <row r="1343" spans="1:11">
      <c r="A1343" s="760"/>
      <c r="B1343" s="760"/>
      <c r="C1343" s="760"/>
      <c r="D1343" s="760"/>
      <c r="E1343" s="760"/>
      <c r="F1343" s="760"/>
      <c r="G1343" s="760"/>
      <c r="H1343" s="760"/>
      <c r="I1343" s="760"/>
      <c r="J1343" s="760"/>
      <c r="K1343" s="760"/>
    </row>
    <row r="1344" spans="1:11">
      <c r="A1344" s="760"/>
      <c r="B1344" s="760"/>
      <c r="C1344" s="760"/>
      <c r="D1344" s="760"/>
      <c r="E1344" s="760"/>
      <c r="F1344" s="760"/>
      <c r="G1344" s="760"/>
      <c r="H1344" s="760"/>
      <c r="I1344" s="760"/>
      <c r="J1344" s="760"/>
      <c r="K1344" s="760"/>
    </row>
    <row r="1345" spans="1:11">
      <c r="A1345" s="760"/>
      <c r="B1345" s="760"/>
      <c r="C1345" s="760"/>
      <c r="D1345" s="760"/>
      <c r="E1345" s="760"/>
      <c r="F1345" s="760"/>
      <c r="G1345" s="760"/>
      <c r="H1345" s="760"/>
      <c r="I1345" s="760"/>
      <c r="J1345" s="760"/>
      <c r="K1345" s="760"/>
    </row>
    <row r="1346" spans="1:11">
      <c r="A1346" s="760"/>
      <c r="B1346" s="760"/>
      <c r="C1346" s="760"/>
      <c r="D1346" s="760"/>
      <c r="E1346" s="760"/>
      <c r="F1346" s="760"/>
      <c r="G1346" s="760"/>
      <c r="H1346" s="760"/>
      <c r="I1346" s="760"/>
      <c r="J1346" s="760"/>
      <c r="K1346" s="760"/>
    </row>
    <row r="1347" spans="1:11">
      <c r="A1347" s="760"/>
      <c r="B1347" s="760"/>
      <c r="C1347" s="760"/>
      <c r="D1347" s="760"/>
      <c r="E1347" s="760"/>
      <c r="F1347" s="760"/>
      <c r="G1347" s="760"/>
      <c r="H1347" s="760"/>
      <c r="I1347" s="760"/>
      <c r="J1347" s="760"/>
      <c r="K1347" s="760"/>
    </row>
    <row r="1348" spans="1:11">
      <c r="A1348" s="760"/>
      <c r="B1348" s="760"/>
      <c r="C1348" s="760"/>
      <c r="D1348" s="760"/>
      <c r="E1348" s="760"/>
      <c r="F1348" s="760"/>
      <c r="G1348" s="760"/>
      <c r="H1348" s="760"/>
      <c r="I1348" s="760"/>
      <c r="J1348" s="760"/>
      <c r="K1348" s="760"/>
    </row>
    <row r="1349" spans="1:11">
      <c r="A1349" s="760"/>
      <c r="B1349" s="760"/>
      <c r="C1349" s="760"/>
      <c r="D1349" s="760"/>
      <c r="E1349" s="760"/>
      <c r="F1349" s="760"/>
      <c r="G1349" s="760"/>
      <c r="H1349" s="760"/>
      <c r="I1349" s="760"/>
      <c r="J1349" s="760"/>
      <c r="K1349" s="760"/>
    </row>
    <row r="1350" spans="1:11">
      <c r="A1350" s="760"/>
      <c r="B1350" s="760"/>
      <c r="C1350" s="760"/>
      <c r="D1350" s="760"/>
      <c r="E1350" s="760"/>
      <c r="F1350" s="760"/>
      <c r="G1350" s="760"/>
      <c r="H1350" s="760"/>
      <c r="I1350" s="760"/>
      <c r="J1350" s="760"/>
      <c r="K1350" s="760"/>
    </row>
    <row r="1351" spans="1:11">
      <c r="A1351" s="760"/>
      <c r="B1351" s="760"/>
      <c r="C1351" s="760"/>
      <c r="D1351" s="760"/>
      <c r="E1351" s="760"/>
      <c r="F1351" s="760"/>
      <c r="G1351" s="760"/>
      <c r="H1351" s="760"/>
      <c r="I1351" s="760"/>
      <c r="J1351" s="760"/>
      <c r="K1351" s="760"/>
    </row>
    <row r="1352" spans="1:11">
      <c r="A1352" s="760"/>
      <c r="B1352" s="760"/>
      <c r="C1352" s="760"/>
      <c r="D1352" s="760"/>
      <c r="E1352" s="760"/>
      <c r="F1352" s="760"/>
      <c r="G1352" s="760"/>
      <c r="H1352" s="760"/>
      <c r="I1352" s="760"/>
      <c r="J1352" s="760"/>
      <c r="K1352" s="760"/>
    </row>
    <row r="1353" spans="1:11">
      <c r="A1353" s="760"/>
      <c r="B1353" s="760"/>
      <c r="C1353" s="760"/>
      <c r="D1353" s="760"/>
      <c r="E1353" s="760"/>
      <c r="F1353" s="760"/>
      <c r="G1353" s="760"/>
      <c r="H1353" s="760"/>
      <c r="I1353" s="760"/>
      <c r="J1353" s="760"/>
      <c r="K1353" s="760"/>
    </row>
    <row r="1354" spans="1:11">
      <c r="A1354" s="760"/>
      <c r="B1354" s="760"/>
      <c r="C1354" s="760"/>
      <c r="D1354" s="760"/>
      <c r="E1354" s="760"/>
      <c r="F1354" s="760"/>
      <c r="G1354" s="760"/>
      <c r="H1354" s="760"/>
      <c r="I1354" s="760"/>
      <c r="J1354" s="760"/>
      <c r="K1354" s="760"/>
    </row>
    <row r="1355" spans="1:11">
      <c r="A1355" s="760"/>
      <c r="B1355" s="760"/>
      <c r="C1355" s="760"/>
      <c r="D1355" s="760"/>
      <c r="E1355" s="760"/>
      <c r="F1355" s="760"/>
      <c r="G1355" s="760"/>
      <c r="H1355" s="760"/>
      <c r="I1355" s="760"/>
      <c r="J1355" s="760"/>
      <c r="K1355" s="760"/>
    </row>
    <row r="1356" spans="1:11">
      <c r="A1356" s="760"/>
      <c r="B1356" s="760"/>
      <c r="C1356" s="760"/>
      <c r="D1356" s="760"/>
      <c r="E1356" s="760"/>
      <c r="F1356" s="760"/>
      <c r="G1356" s="760"/>
      <c r="H1356" s="760"/>
      <c r="I1356" s="760"/>
      <c r="J1356" s="760"/>
      <c r="K1356" s="760"/>
    </row>
    <row r="1357" spans="1:11">
      <c r="A1357" s="760"/>
      <c r="B1357" s="760"/>
      <c r="C1357" s="760"/>
      <c r="D1357" s="760"/>
      <c r="E1357" s="760"/>
      <c r="F1357" s="760"/>
      <c r="G1357" s="760"/>
      <c r="H1357" s="760"/>
      <c r="I1357" s="760"/>
      <c r="J1357" s="760"/>
      <c r="K1357" s="760"/>
    </row>
    <row r="1358" spans="1:11">
      <c r="A1358" s="760"/>
      <c r="B1358" s="760"/>
      <c r="C1358" s="760"/>
      <c r="D1358" s="760"/>
      <c r="E1358" s="760"/>
      <c r="F1358" s="760"/>
      <c r="G1358" s="760"/>
      <c r="H1358" s="760"/>
      <c r="I1358" s="760"/>
      <c r="J1358" s="760"/>
      <c r="K1358" s="760"/>
    </row>
    <row r="1359" spans="1:11">
      <c r="A1359" s="760"/>
      <c r="B1359" s="760"/>
      <c r="C1359" s="760"/>
      <c r="D1359" s="760"/>
      <c r="E1359" s="760"/>
      <c r="F1359" s="760"/>
      <c r="G1359" s="760"/>
      <c r="H1359" s="760"/>
      <c r="I1359" s="760"/>
      <c r="J1359" s="760"/>
      <c r="K1359" s="760"/>
    </row>
    <row r="1360" spans="1:11">
      <c r="A1360" s="760"/>
      <c r="B1360" s="760"/>
      <c r="C1360" s="760"/>
      <c r="D1360" s="760"/>
      <c r="E1360" s="760"/>
      <c r="F1360" s="760"/>
      <c r="G1360" s="760"/>
      <c r="H1360" s="760"/>
      <c r="I1360" s="760"/>
      <c r="J1360" s="760"/>
      <c r="K1360" s="760"/>
    </row>
    <row r="1361" spans="1:11">
      <c r="A1361" s="760"/>
      <c r="B1361" s="760"/>
      <c r="C1361" s="760"/>
      <c r="D1361" s="760"/>
      <c r="E1361" s="760"/>
      <c r="F1361" s="760"/>
      <c r="G1361" s="760"/>
      <c r="H1361" s="760"/>
      <c r="I1361" s="760"/>
      <c r="J1361" s="760"/>
      <c r="K1361" s="760"/>
    </row>
    <row r="1362" spans="1:11">
      <c r="A1362" s="760"/>
      <c r="B1362" s="760"/>
      <c r="C1362" s="760"/>
      <c r="D1362" s="760"/>
      <c r="E1362" s="760"/>
      <c r="F1362" s="760"/>
      <c r="G1362" s="760"/>
      <c r="H1362" s="760"/>
      <c r="I1362" s="760"/>
      <c r="J1362" s="760"/>
      <c r="K1362" s="760"/>
    </row>
    <row r="1363" spans="1:11">
      <c r="A1363" s="760"/>
      <c r="B1363" s="760"/>
      <c r="C1363" s="760"/>
      <c r="D1363" s="760"/>
      <c r="E1363" s="760"/>
      <c r="F1363" s="760"/>
      <c r="G1363" s="760"/>
      <c r="H1363" s="760"/>
      <c r="I1363" s="760"/>
      <c r="J1363" s="760"/>
      <c r="K1363" s="760"/>
    </row>
    <row r="1364" spans="1:11">
      <c r="A1364" s="760"/>
      <c r="B1364" s="760"/>
      <c r="C1364" s="760"/>
      <c r="D1364" s="760"/>
      <c r="E1364" s="760"/>
      <c r="F1364" s="760"/>
      <c r="G1364" s="760"/>
      <c r="H1364" s="760"/>
      <c r="I1364" s="760"/>
      <c r="J1364" s="760"/>
      <c r="K1364" s="760"/>
    </row>
    <row r="1365" spans="1:11">
      <c r="A1365" s="760"/>
      <c r="B1365" s="760"/>
      <c r="C1365" s="760"/>
      <c r="D1365" s="760"/>
      <c r="E1365" s="760"/>
      <c r="F1365" s="760"/>
      <c r="G1365" s="760"/>
      <c r="H1365" s="760"/>
      <c r="I1365" s="760"/>
      <c r="J1365" s="760"/>
      <c r="K1365" s="760"/>
    </row>
    <row r="1366" spans="1:11">
      <c r="A1366" s="760"/>
      <c r="B1366" s="760"/>
      <c r="C1366" s="760"/>
      <c r="D1366" s="760"/>
      <c r="E1366" s="760"/>
      <c r="F1366" s="760"/>
      <c r="G1366" s="760"/>
      <c r="H1366" s="760"/>
      <c r="I1366" s="760"/>
      <c r="J1366" s="760"/>
      <c r="K1366" s="760"/>
    </row>
    <row r="1367" spans="1:11">
      <c r="A1367" s="760"/>
      <c r="B1367" s="760"/>
      <c r="C1367" s="760"/>
      <c r="D1367" s="760"/>
      <c r="E1367" s="760"/>
      <c r="F1367" s="760"/>
      <c r="G1367" s="760"/>
      <c r="H1367" s="760"/>
      <c r="I1367" s="760"/>
      <c r="J1367" s="760"/>
      <c r="K1367" s="760"/>
    </row>
    <row r="1368" spans="1:11">
      <c r="A1368" s="760"/>
      <c r="B1368" s="760"/>
      <c r="C1368" s="760"/>
      <c r="D1368" s="760"/>
      <c r="E1368" s="760"/>
      <c r="F1368" s="760"/>
      <c r="G1368" s="760"/>
      <c r="H1368" s="760"/>
      <c r="I1368" s="760"/>
      <c r="J1368" s="760"/>
      <c r="K1368" s="760"/>
    </row>
    <row r="1369" spans="1:11">
      <c r="A1369" s="760"/>
      <c r="B1369" s="760"/>
      <c r="C1369" s="760"/>
      <c r="D1369" s="760"/>
      <c r="E1369" s="760"/>
      <c r="F1369" s="760"/>
      <c r="G1369" s="760"/>
      <c r="H1369" s="760"/>
      <c r="I1369" s="760"/>
      <c r="J1369" s="760"/>
      <c r="K1369" s="760"/>
    </row>
    <row r="1370" spans="1:11">
      <c r="A1370" s="760"/>
      <c r="B1370" s="760"/>
      <c r="C1370" s="760"/>
      <c r="D1370" s="760"/>
      <c r="E1370" s="760"/>
      <c r="F1370" s="760"/>
      <c r="G1370" s="760"/>
      <c r="H1370" s="760"/>
      <c r="I1370" s="760"/>
      <c r="J1370" s="760"/>
      <c r="K1370" s="760"/>
    </row>
    <row r="1371" spans="1:11">
      <c r="A1371" s="760"/>
      <c r="B1371" s="760"/>
      <c r="C1371" s="760"/>
      <c r="D1371" s="760"/>
      <c r="E1371" s="760"/>
      <c r="F1371" s="760"/>
      <c r="G1371" s="760"/>
      <c r="H1371" s="760"/>
      <c r="I1371" s="760"/>
      <c r="J1371" s="760"/>
      <c r="K1371" s="760"/>
    </row>
    <row r="1372" spans="1:11">
      <c r="A1372" s="760"/>
      <c r="B1372" s="760"/>
      <c r="C1372" s="760"/>
      <c r="D1372" s="760"/>
      <c r="E1372" s="760"/>
      <c r="F1372" s="760"/>
      <c r="G1372" s="760"/>
      <c r="H1372" s="760"/>
      <c r="I1372" s="760"/>
      <c r="J1372" s="760"/>
      <c r="K1372" s="760"/>
    </row>
    <row r="1373" spans="1:11">
      <c r="A1373" s="760"/>
      <c r="B1373" s="760"/>
      <c r="C1373" s="760"/>
      <c r="D1373" s="760"/>
      <c r="E1373" s="760"/>
      <c r="F1373" s="760"/>
      <c r="G1373" s="760"/>
      <c r="H1373" s="760"/>
      <c r="I1373" s="760"/>
      <c r="J1373" s="760"/>
      <c r="K1373" s="760"/>
    </row>
    <row r="1374" spans="1:11">
      <c r="A1374" s="760"/>
      <c r="B1374" s="760"/>
      <c r="C1374" s="760"/>
      <c r="D1374" s="760"/>
      <c r="E1374" s="760"/>
      <c r="F1374" s="760"/>
      <c r="G1374" s="760"/>
      <c r="H1374" s="760"/>
      <c r="I1374" s="760"/>
      <c r="J1374" s="760"/>
      <c r="K1374" s="760"/>
    </row>
    <row r="1375" spans="1:11">
      <c r="A1375" s="760"/>
      <c r="B1375" s="760"/>
      <c r="C1375" s="760"/>
      <c r="D1375" s="760"/>
      <c r="E1375" s="760"/>
      <c r="F1375" s="760"/>
      <c r="G1375" s="760"/>
      <c r="H1375" s="760"/>
      <c r="I1375" s="760"/>
      <c r="J1375" s="760"/>
      <c r="K1375" s="760"/>
    </row>
    <row r="1376" spans="1:11">
      <c r="A1376" s="760"/>
      <c r="B1376" s="760"/>
      <c r="C1376" s="760"/>
      <c r="D1376" s="760"/>
      <c r="E1376" s="760"/>
      <c r="F1376" s="760"/>
      <c r="G1376" s="760"/>
      <c r="H1376" s="760"/>
      <c r="I1376" s="760"/>
      <c r="J1376" s="760"/>
      <c r="K1376" s="760"/>
    </row>
    <row r="1377" spans="1:11">
      <c r="A1377" s="760"/>
      <c r="B1377" s="760"/>
      <c r="C1377" s="760"/>
      <c r="D1377" s="760"/>
      <c r="E1377" s="760"/>
      <c r="F1377" s="760"/>
      <c r="G1377" s="760"/>
      <c r="H1377" s="760"/>
      <c r="I1377" s="760"/>
      <c r="J1377" s="760"/>
      <c r="K1377" s="760"/>
    </row>
    <row r="1378" spans="1:11">
      <c r="A1378" s="760"/>
      <c r="B1378" s="760"/>
      <c r="C1378" s="760"/>
      <c r="D1378" s="760"/>
      <c r="E1378" s="760"/>
      <c r="F1378" s="760"/>
      <c r="G1378" s="760"/>
      <c r="H1378" s="760"/>
      <c r="I1378" s="760"/>
      <c r="J1378" s="760"/>
      <c r="K1378" s="760"/>
    </row>
    <row r="1379" spans="1:11">
      <c r="A1379" s="760"/>
      <c r="B1379" s="760"/>
      <c r="C1379" s="760"/>
      <c r="D1379" s="760"/>
      <c r="E1379" s="760"/>
      <c r="F1379" s="760"/>
      <c r="G1379" s="760"/>
      <c r="H1379" s="760"/>
      <c r="I1379" s="760"/>
      <c r="J1379" s="760"/>
      <c r="K1379" s="760"/>
    </row>
    <row r="1380" spans="1:11">
      <c r="A1380" s="760"/>
      <c r="B1380" s="760"/>
      <c r="C1380" s="760"/>
      <c r="D1380" s="760"/>
      <c r="E1380" s="760"/>
      <c r="F1380" s="760"/>
      <c r="G1380" s="760"/>
      <c r="H1380" s="760"/>
      <c r="I1380" s="760"/>
      <c r="J1380" s="760"/>
      <c r="K1380" s="760"/>
    </row>
    <row r="1381" spans="1:11">
      <c r="A1381" s="760"/>
      <c r="B1381" s="760"/>
      <c r="C1381" s="760"/>
      <c r="D1381" s="760"/>
      <c r="E1381" s="760"/>
      <c r="F1381" s="760"/>
      <c r="G1381" s="760"/>
      <c r="H1381" s="760"/>
      <c r="I1381" s="760"/>
      <c r="J1381" s="760"/>
      <c r="K1381" s="760"/>
    </row>
    <row r="1382" spans="1:11">
      <c r="A1382" s="760"/>
      <c r="B1382" s="760"/>
      <c r="C1382" s="760"/>
      <c r="D1382" s="760"/>
      <c r="E1382" s="760"/>
      <c r="F1382" s="760"/>
      <c r="G1382" s="760"/>
      <c r="H1382" s="760"/>
      <c r="I1382" s="760"/>
      <c r="J1382" s="760"/>
      <c r="K1382" s="760"/>
    </row>
    <row r="1383" spans="1:11">
      <c r="A1383" s="760"/>
      <c r="B1383" s="760"/>
      <c r="C1383" s="760"/>
      <c r="D1383" s="760"/>
      <c r="E1383" s="760"/>
      <c r="F1383" s="760"/>
      <c r="G1383" s="760"/>
      <c r="H1383" s="760"/>
      <c r="I1383" s="760"/>
      <c r="J1383" s="760"/>
      <c r="K1383" s="760"/>
    </row>
    <row r="1384" spans="1:11">
      <c r="A1384" s="760"/>
      <c r="B1384" s="760"/>
      <c r="C1384" s="760"/>
      <c r="D1384" s="760"/>
      <c r="E1384" s="760"/>
      <c r="F1384" s="760"/>
      <c r="G1384" s="760"/>
      <c r="H1384" s="760"/>
      <c r="I1384" s="760"/>
      <c r="J1384" s="760"/>
      <c r="K1384" s="760"/>
    </row>
    <row r="1385" spans="1:11">
      <c r="A1385" s="760"/>
      <c r="B1385" s="760"/>
      <c r="C1385" s="760"/>
      <c r="D1385" s="760"/>
      <c r="E1385" s="760"/>
      <c r="F1385" s="760"/>
      <c r="G1385" s="760"/>
      <c r="H1385" s="760"/>
      <c r="I1385" s="760"/>
      <c r="J1385" s="760"/>
      <c r="K1385" s="760"/>
    </row>
    <row r="1386" spans="1:11">
      <c r="A1386" s="760"/>
      <c r="B1386" s="760"/>
      <c r="C1386" s="760"/>
      <c r="D1386" s="760"/>
      <c r="E1386" s="760"/>
      <c r="F1386" s="760"/>
      <c r="G1386" s="760"/>
      <c r="H1386" s="760"/>
      <c r="I1386" s="760"/>
      <c r="J1386" s="760"/>
      <c r="K1386" s="760"/>
    </row>
    <row r="1387" spans="1:11">
      <c r="A1387" s="760"/>
      <c r="B1387" s="760"/>
      <c r="C1387" s="760"/>
      <c r="D1387" s="760"/>
      <c r="E1387" s="760"/>
      <c r="F1387" s="760"/>
      <c r="G1387" s="760"/>
      <c r="H1387" s="760"/>
      <c r="I1387" s="760"/>
      <c r="J1387" s="760"/>
      <c r="K1387" s="760"/>
    </row>
    <row r="1388" spans="1:11">
      <c r="A1388" s="760"/>
      <c r="B1388" s="760"/>
      <c r="C1388" s="760"/>
      <c r="D1388" s="760"/>
      <c r="E1388" s="760"/>
      <c r="F1388" s="760"/>
      <c r="G1388" s="760"/>
      <c r="H1388" s="760"/>
      <c r="I1388" s="760"/>
      <c r="J1388" s="760"/>
      <c r="K1388" s="760"/>
    </row>
    <row r="1389" spans="1:11">
      <c r="A1389" s="760"/>
      <c r="B1389" s="760"/>
      <c r="C1389" s="760"/>
      <c r="D1389" s="760"/>
      <c r="E1389" s="760"/>
      <c r="F1389" s="760"/>
      <c r="G1389" s="760"/>
      <c r="H1389" s="760"/>
      <c r="I1389" s="760"/>
      <c r="J1389" s="760"/>
      <c r="K1389" s="760"/>
    </row>
    <row r="1390" spans="1:11">
      <c r="A1390" s="760"/>
      <c r="B1390" s="760"/>
      <c r="C1390" s="760"/>
      <c r="D1390" s="760"/>
      <c r="E1390" s="760"/>
      <c r="F1390" s="760"/>
      <c r="G1390" s="760"/>
      <c r="H1390" s="760"/>
      <c r="I1390" s="760"/>
      <c r="J1390" s="760"/>
      <c r="K1390" s="760"/>
    </row>
    <row r="1391" spans="1:11">
      <c r="A1391" s="760"/>
      <c r="B1391" s="760"/>
      <c r="C1391" s="760"/>
      <c r="D1391" s="760"/>
      <c r="E1391" s="760"/>
      <c r="F1391" s="760"/>
      <c r="G1391" s="760"/>
      <c r="H1391" s="760"/>
      <c r="I1391" s="760"/>
      <c r="J1391" s="760"/>
      <c r="K1391" s="760"/>
    </row>
    <row r="1392" spans="1:11">
      <c r="A1392" s="760"/>
      <c r="B1392" s="760"/>
      <c r="C1392" s="760"/>
      <c r="D1392" s="760"/>
      <c r="E1392" s="760"/>
      <c r="F1392" s="760"/>
      <c r="G1392" s="760"/>
      <c r="H1392" s="760"/>
      <c r="I1392" s="760"/>
      <c r="J1392" s="760"/>
      <c r="K1392" s="760"/>
    </row>
    <row r="1393" spans="1:11">
      <c r="A1393" s="760"/>
      <c r="B1393" s="760"/>
      <c r="C1393" s="760"/>
      <c r="D1393" s="760"/>
      <c r="E1393" s="760"/>
      <c r="F1393" s="760"/>
      <c r="G1393" s="760"/>
      <c r="H1393" s="760"/>
      <c r="I1393" s="760"/>
      <c r="J1393" s="760"/>
      <c r="K1393" s="760"/>
    </row>
    <row r="1394" spans="1:11">
      <c r="A1394" s="760"/>
      <c r="B1394" s="760"/>
      <c r="C1394" s="760"/>
      <c r="D1394" s="760"/>
      <c r="E1394" s="760"/>
      <c r="F1394" s="760"/>
      <c r="G1394" s="760"/>
      <c r="H1394" s="760"/>
      <c r="I1394" s="760"/>
      <c r="J1394" s="760"/>
      <c r="K1394" s="760"/>
    </row>
    <row r="1395" spans="1:11">
      <c r="A1395" s="760"/>
      <c r="B1395" s="760"/>
      <c r="C1395" s="760"/>
      <c r="D1395" s="760"/>
      <c r="E1395" s="760"/>
      <c r="F1395" s="760"/>
      <c r="G1395" s="760"/>
      <c r="H1395" s="760"/>
      <c r="I1395" s="760"/>
      <c r="J1395" s="760"/>
      <c r="K1395" s="760"/>
    </row>
    <row r="1396" spans="1:11">
      <c r="A1396" s="760"/>
      <c r="B1396" s="760"/>
      <c r="C1396" s="760"/>
      <c r="D1396" s="760"/>
      <c r="E1396" s="760"/>
      <c r="F1396" s="760"/>
      <c r="G1396" s="760"/>
      <c r="H1396" s="760"/>
      <c r="I1396" s="760"/>
      <c r="J1396" s="760"/>
      <c r="K1396" s="760"/>
    </row>
    <row r="1397" spans="1:11">
      <c r="A1397" s="760"/>
      <c r="B1397" s="760"/>
      <c r="C1397" s="760"/>
      <c r="D1397" s="760"/>
      <c r="E1397" s="760"/>
      <c r="F1397" s="760"/>
      <c r="G1397" s="760"/>
      <c r="H1397" s="760"/>
      <c r="I1397" s="760"/>
      <c r="J1397" s="760"/>
      <c r="K1397" s="760"/>
    </row>
    <row r="1398" spans="1:11">
      <c r="A1398" s="760"/>
      <c r="B1398" s="760"/>
      <c r="C1398" s="760"/>
      <c r="D1398" s="760"/>
      <c r="E1398" s="760"/>
      <c r="F1398" s="760"/>
      <c r="G1398" s="760"/>
      <c r="H1398" s="760"/>
      <c r="I1398" s="760"/>
      <c r="J1398" s="760"/>
      <c r="K1398" s="760"/>
    </row>
    <row r="1399" spans="1:11">
      <c r="A1399" s="760"/>
      <c r="B1399" s="760"/>
      <c r="C1399" s="760"/>
      <c r="D1399" s="760"/>
      <c r="E1399" s="760"/>
      <c r="F1399" s="760"/>
      <c r="G1399" s="760"/>
      <c r="H1399" s="760"/>
      <c r="I1399" s="760"/>
      <c r="J1399" s="760"/>
      <c r="K1399" s="760"/>
    </row>
    <row r="1400" spans="1:11">
      <c r="A1400" s="760"/>
      <c r="B1400" s="760"/>
      <c r="C1400" s="760"/>
      <c r="D1400" s="760"/>
      <c r="E1400" s="760"/>
      <c r="F1400" s="760"/>
      <c r="G1400" s="760"/>
      <c r="H1400" s="760"/>
      <c r="I1400" s="760"/>
      <c r="J1400" s="760"/>
      <c r="K1400" s="760"/>
    </row>
    <row r="1401" spans="1:11">
      <c r="A1401" s="760"/>
      <c r="B1401" s="760"/>
      <c r="C1401" s="760"/>
      <c r="D1401" s="760"/>
      <c r="E1401" s="760"/>
      <c r="F1401" s="760"/>
      <c r="G1401" s="760"/>
      <c r="H1401" s="760"/>
      <c r="I1401" s="760"/>
      <c r="J1401" s="760"/>
      <c r="K1401" s="760"/>
    </row>
    <row r="1402" spans="1:11">
      <c r="A1402" s="760"/>
      <c r="B1402" s="760"/>
      <c r="C1402" s="760"/>
      <c r="D1402" s="760"/>
      <c r="E1402" s="760"/>
      <c r="F1402" s="760"/>
      <c r="G1402" s="760"/>
      <c r="H1402" s="760"/>
      <c r="I1402" s="760"/>
      <c r="J1402" s="760"/>
      <c r="K1402" s="760"/>
    </row>
    <row r="1403" spans="1:11">
      <c r="A1403" s="760"/>
      <c r="B1403" s="760"/>
      <c r="C1403" s="760"/>
      <c r="D1403" s="760"/>
      <c r="E1403" s="760"/>
      <c r="F1403" s="760"/>
      <c r="G1403" s="760"/>
      <c r="H1403" s="760"/>
      <c r="I1403" s="760"/>
      <c r="J1403" s="760"/>
      <c r="K1403" s="760"/>
    </row>
    <row r="1404" spans="1:11">
      <c r="A1404" s="760"/>
      <c r="B1404" s="760"/>
      <c r="C1404" s="760"/>
      <c r="D1404" s="760"/>
      <c r="E1404" s="760"/>
      <c r="F1404" s="760"/>
      <c r="G1404" s="760"/>
      <c r="H1404" s="760"/>
      <c r="I1404" s="760"/>
      <c r="J1404" s="760"/>
      <c r="K1404" s="760"/>
    </row>
    <row r="1405" spans="1:11">
      <c r="A1405" s="760"/>
      <c r="B1405" s="760"/>
      <c r="C1405" s="760"/>
      <c r="D1405" s="760"/>
      <c r="E1405" s="760"/>
      <c r="F1405" s="760"/>
      <c r="G1405" s="760"/>
      <c r="H1405" s="760"/>
      <c r="I1405" s="760"/>
      <c r="J1405" s="760"/>
      <c r="K1405" s="760"/>
    </row>
    <row r="1406" spans="1:11">
      <c r="A1406" s="760"/>
      <c r="B1406" s="760"/>
      <c r="C1406" s="760"/>
      <c r="D1406" s="760"/>
      <c r="E1406" s="760"/>
      <c r="F1406" s="760"/>
      <c r="G1406" s="760"/>
      <c r="H1406" s="760"/>
      <c r="I1406" s="760"/>
      <c r="J1406" s="760"/>
      <c r="K1406" s="760"/>
    </row>
    <row r="1407" spans="1:11">
      <c r="A1407" s="760"/>
      <c r="B1407" s="760"/>
      <c r="C1407" s="760"/>
      <c r="D1407" s="760"/>
      <c r="E1407" s="760"/>
      <c r="F1407" s="760"/>
      <c r="G1407" s="760"/>
      <c r="H1407" s="760"/>
      <c r="I1407" s="760"/>
      <c r="J1407" s="760"/>
      <c r="K1407" s="760"/>
    </row>
    <row r="1408" spans="1:11">
      <c r="A1408" s="760"/>
      <c r="B1408" s="760"/>
      <c r="C1408" s="760"/>
      <c r="D1408" s="760"/>
      <c r="E1408" s="760"/>
      <c r="F1408" s="760"/>
      <c r="G1408" s="760"/>
      <c r="H1408" s="760"/>
      <c r="I1408" s="760"/>
      <c r="J1408" s="760"/>
      <c r="K1408" s="760"/>
    </row>
    <row r="1409" spans="1:11">
      <c r="A1409" s="760"/>
      <c r="B1409" s="760"/>
      <c r="C1409" s="760"/>
      <c r="D1409" s="760"/>
      <c r="E1409" s="760"/>
      <c r="F1409" s="760"/>
      <c r="G1409" s="760"/>
      <c r="H1409" s="760"/>
      <c r="I1409" s="760"/>
      <c r="J1409" s="760"/>
      <c r="K1409" s="760"/>
    </row>
    <row r="1410" spans="1:11">
      <c r="A1410" s="760"/>
      <c r="B1410" s="760"/>
      <c r="C1410" s="760"/>
      <c r="D1410" s="760"/>
      <c r="E1410" s="760"/>
      <c r="F1410" s="760"/>
      <c r="G1410" s="760"/>
      <c r="H1410" s="760"/>
      <c r="I1410" s="760"/>
      <c r="J1410" s="760"/>
      <c r="K1410" s="760"/>
    </row>
    <row r="1411" spans="1:11">
      <c r="A1411" s="760"/>
      <c r="B1411" s="760"/>
      <c r="C1411" s="760"/>
      <c r="D1411" s="760"/>
      <c r="E1411" s="760"/>
      <c r="F1411" s="760"/>
      <c r="G1411" s="760"/>
      <c r="H1411" s="760"/>
      <c r="I1411" s="760"/>
      <c r="J1411" s="760"/>
      <c r="K1411" s="760"/>
    </row>
    <row r="1412" spans="1:11">
      <c r="A1412" s="760"/>
      <c r="B1412" s="760"/>
      <c r="C1412" s="760"/>
      <c r="D1412" s="760"/>
      <c r="E1412" s="760"/>
      <c r="F1412" s="760"/>
      <c r="G1412" s="760"/>
      <c r="H1412" s="760"/>
      <c r="I1412" s="760"/>
      <c r="J1412" s="760"/>
      <c r="K1412" s="760"/>
    </row>
    <row r="1413" spans="1:11">
      <c r="A1413" s="760"/>
      <c r="B1413" s="760"/>
      <c r="C1413" s="760"/>
      <c r="D1413" s="760"/>
      <c r="E1413" s="760"/>
      <c r="F1413" s="760"/>
      <c r="G1413" s="760"/>
      <c r="H1413" s="760"/>
      <c r="I1413" s="760"/>
      <c r="J1413" s="760"/>
      <c r="K1413" s="760"/>
    </row>
    <row r="1414" spans="1:11">
      <c r="A1414" s="760"/>
      <c r="B1414" s="760"/>
      <c r="C1414" s="760"/>
      <c r="D1414" s="760"/>
      <c r="E1414" s="760"/>
      <c r="F1414" s="760"/>
      <c r="G1414" s="760"/>
      <c r="H1414" s="760"/>
      <c r="I1414" s="760"/>
      <c r="J1414" s="760"/>
      <c r="K1414" s="760"/>
    </row>
    <row r="1415" spans="1:11">
      <c r="A1415" s="760"/>
      <c r="B1415" s="760"/>
      <c r="C1415" s="760"/>
      <c r="D1415" s="760"/>
      <c r="E1415" s="760"/>
      <c r="F1415" s="760"/>
      <c r="G1415" s="760"/>
      <c r="H1415" s="760"/>
      <c r="I1415" s="760"/>
      <c r="J1415" s="760"/>
      <c r="K1415" s="760"/>
    </row>
    <row r="1416" spans="1:11">
      <c r="A1416" s="760"/>
      <c r="B1416" s="760"/>
      <c r="C1416" s="760"/>
      <c r="D1416" s="760"/>
      <c r="E1416" s="760"/>
      <c r="F1416" s="760"/>
      <c r="G1416" s="760"/>
      <c r="H1416" s="760"/>
      <c r="I1416" s="760"/>
      <c r="J1416" s="760"/>
      <c r="K1416" s="760"/>
    </row>
    <row r="1417" spans="1:11">
      <c r="A1417" s="760"/>
      <c r="B1417" s="760"/>
      <c r="C1417" s="760"/>
      <c r="D1417" s="760"/>
      <c r="E1417" s="760"/>
      <c r="F1417" s="760"/>
      <c r="G1417" s="760"/>
      <c r="H1417" s="760"/>
      <c r="I1417" s="760"/>
      <c r="J1417" s="760"/>
      <c r="K1417" s="760"/>
    </row>
    <row r="1418" spans="1:11">
      <c r="A1418" s="760"/>
      <c r="B1418" s="760"/>
      <c r="C1418" s="760"/>
      <c r="D1418" s="760"/>
      <c r="E1418" s="760"/>
      <c r="F1418" s="760"/>
      <c r="G1418" s="760"/>
      <c r="H1418" s="760"/>
      <c r="I1418" s="760"/>
      <c r="J1418" s="760"/>
      <c r="K1418" s="760"/>
    </row>
    <row r="1419" spans="1:11">
      <c r="A1419" s="760"/>
      <c r="B1419" s="760"/>
      <c r="C1419" s="760"/>
      <c r="D1419" s="760"/>
      <c r="E1419" s="760"/>
      <c r="F1419" s="760"/>
      <c r="G1419" s="760"/>
      <c r="H1419" s="760"/>
      <c r="I1419" s="760"/>
      <c r="J1419" s="760"/>
      <c r="K1419" s="760"/>
    </row>
    <row r="1420" spans="1:11">
      <c r="A1420" s="760"/>
      <c r="B1420" s="760"/>
      <c r="C1420" s="760"/>
      <c r="D1420" s="760"/>
      <c r="E1420" s="760"/>
      <c r="F1420" s="760"/>
      <c r="G1420" s="760"/>
      <c r="H1420" s="760"/>
      <c r="I1420" s="760"/>
      <c r="J1420" s="760"/>
      <c r="K1420" s="760"/>
    </row>
    <row r="1421" spans="1:11">
      <c r="A1421" s="760"/>
      <c r="B1421" s="760"/>
      <c r="C1421" s="760"/>
      <c r="D1421" s="760"/>
      <c r="E1421" s="760"/>
      <c r="F1421" s="760"/>
      <c r="G1421" s="760"/>
      <c r="H1421" s="760"/>
      <c r="I1421" s="760"/>
      <c r="J1421" s="760"/>
      <c r="K1421" s="760"/>
    </row>
    <row r="1422" spans="1:11">
      <c r="A1422" s="760"/>
      <c r="B1422" s="760"/>
      <c r="C1422" s="760"/>
      <c r="D1422" s="760"/>
      <c r="E1422" s="760"/>
      <c r="F1422" s="760"/>
      <c r="G1422" s="760"/>
      <c r="H1422" s="760"/>
      <c r="I1422" s="760"/>
      <c r="J1422" s="760"/>
      <c r="K1422" s="760"/>
    </row>
    <row r="1423" spans="1:11">
      <c r="A1423" s="760"/>
      <c r="B1423" s="760"/>
      <c r="C1423" s="760"/>
      <c r="D1423" s="760"/>
      <c r="E1423" s="760"/>
      <c r="F1423" s="760"/>
      <c r="G1423" s="760"/>
      <c r="H1423" s="760"/>
      <c r="I1423" s="760"/>
      <c r="J1423" s="760"/>
      <c r="K1423" s="760"/>
    </row>
    <row r="1424" spans="1:11">
      <c r="A1424" s="760"/>
      <c r="B1424" s="760"/>
      <c r="C1424" s="760"/>
      <c r="D1424" s="760"/>
      <c r="E1424" s="760"/>
      <c r="F1424" s="760"/>
      <c r="G1424" s="760"/>
      <c r="H1424" s="760"/>
      <c r="I1424" s="760"/>
      <c r="J1424" s="760"/>
      <c r="K1424" s="760"/>
    </row>
    <row r="1425" spans="1:11">
      <c r="A1425" s="760"/>
      <c r="B1425" s="760"/>
      <c r="C1425" s="760"/>
      <c r="D1425" s="760"/>
      <c r="E1425" s="760"/>
      <c r="F1425" s="760"/>
      <c r="G1425" s="760"/>
      <c r="H1425" s="760"/>
      <c r="I1425" s="760"/>
      <c r="J1425" s="760"/>
      <c r="K1425" s="760"/>
    </row>
    <row r="1426" spans="1:11">
      <c r="A1426" s="760"/>
      <c r="B1426" s="760"/>
      <c r="C1426" s="760"/>
      <c r="D1426" s="760"/>
      <c r="E1426" s="760"/>
      <c r="F1426" s="760"/>
      <c r="G1426" s="760"/>
      <c r="H1426" s="760"/>
      <c r="I1426" s="760"/>
      <c r="J1426" s="760"/>
      <c r="K1426" s="760"/>
    </row>
    <row r="1427" spans="1:11">
      <c r="A1427" s="760"/>
      <c r="B1427" s="760"/>
      <c r="C1427" s="760"/>
      <c r="D1427" s="760"/>
      <c r="E1427" s="760"/>
      <c r="F1427" s="760"/>
      <c r="G1427" s="760"/>
      <c r="H1427" s="760"/>
      <c r="I1427" s="760"/>
      <c r="J1427" s="760"/>
      <c r="K1427" s="760"/>
    </row>
    <row r="1428" spans="1:11">
      <c r="A1428" s="760"/>
      <c r="B1428" s="760"/>
      <c r="C1428" s="760"/>
      <c r="D1428" s="760"/>
      <c r="E1428" s="760"/>
      <c r="F1428" s="760"/>
      <c r="G1428" s="760"/>
      <c r="H1428" s="760"/>
      <c r="I1428" s="760"/>
      <c r="J1428" s="760"/>
      <c r="K1428" s="760"/>
    </row>
    <row r="1429" spans="1:11">
      <c r="A1429" s="760"/>
      <c r="B1429" s="760"/>
      <c r="C1429" s="760"/>
      <c r="D1429" s="760"/>
      <c r="E1429" s="760"/>
      <c r="F1429" s="760"/>
      <c r="G1429" s="760"/>
      <c r="H1429" s="760"/>
      <c r="I1429" s="760"/>
      <c r="J1429" s="760"/>
      <c r="K1429" s="760"/>
    </row>
    <row r="1430" spans="1:11">
      <c r="A1430" s="760"/>
      <c r="B1430" s="760"/>
      <c r="C1430" s="760"/>
      <c r="D1430" s="760"/>
      <c r="E1430" s="760"/>
      <c r="F1430" s="760"/>
      <c r="G1430" s="760"/>
      <c r="H1430" s="760"/>
      <c r="I1430" s="760"/>
      <c r="J1430" s="760"/>
      <c r="K1430" s="760"/>
    </row>
    <row r="1431" spans="1:11">
      <c r="A1431" s="760"/>
      <c r="B1431" s="760"/>
      <c r="C1431" s="760"/>
      <c r="D1431" s="760"/>
      <c r="E1431" s="760"/>
      <c r="F1431" s="760"/>
      <c r="G1431" s="760"/>
      <c r="H1431" s="760"/>
      <c r="I1431" s="760"/>
      <c r="J1431" s="760"/>
      <c r="K1431" s="760"/>
    </row>
    <row r="1432" spans="1:11">
      <c r="A1432" s="760"/>
      <c r="B1432" s="760"/>
      <c r="C1432" s="760"/>
      <c r="D1432" s="760"/>
      <c r="E1432" s="760"/>
      <c r="F1432" s="760"/>
      <c r="G1432" s="760"/>
      <c r="H1432" s="760"/>
      <c r="I1432" s="760"/>
      <c r="J1432" s="760"/>
      <c r="K1432" s="760"/>
    </row>
    <row r="1433" spans="1:11">
      <c r="A1433" s="760"/>
      <c r="B1433" s="760"/>
      <c r="C1433" s="760"/>
      <c r="D1433" s="760"/>
      <c r="E1433" s="760"/>
      <c r="F1433" s="760"/>
      <c r="G1433" s="760"/>
      <c r="H1433" s="760"/>
      <c r="I1433" s="760"/>
      <c r="J1433" s="760"/>
      <c r="K1433" s="760"/>
    </row>
    <row r="1434" spans="1:11">
      <c r="A1434" s="760"/>
      <c r="B1434" s="760"/>
      <c r="C1434" s="760"/>
      <c r="D1434" s="760"/>
      <c r="E1434" s="760"/>
      <c r="F1434" s="760"/>
      <c r="G1434" s="760"/>
      <c r="H1434" s="760"/>
      <c r="I1434" s="760"/>
      <c r="J1434" s="760"/>
      <c r="K1434" s="760"/>
    </row>
    <row r="1435" spans="1:11">
      <c r="A1435" s="760"/>
      <c r="B1435" s="760"/>
      <c r="C1435" s="760"/>
      <c r="D1435" s="760"/>
      <c r="E1435" s="760"/>
      <c r="F1435" s="760"/>
      <c r="G1435" s="760"/>
      <c r="H1435" s="760"/>
      <c r="I1435" s="760"/>
      <c r="J1435" s="760"/>
      <c r="K1435" s="760"/>
    </row>
    <row r="1436" spans="1:11">
      <c r="A1436" s="760"/>
      <c r="B1436" s="760"/>
      <c r="C1436" s="760"/>
      <c r="D1436" s="760"/>
      <c r="E1436" s="760"/>
      <c r="F1436" s="760"/>
      <c r="G1436" s="760"/>
      <c r="H1436" s="760"/>
      <c r="I1436" s="760"/>
      <c r="J1436" s="760"/>
      <c r="K1436" s="760"/>
    </row>
    <row r="1437" spans="1:11">
      <c r="A1437" s="760"/>
      <c r="B1437" s="760"/>
      <c r="C1437" s="760"/>
      <c r="D1437" s="760"/>
      <c r="E1437" s="760"/>
      <c r="F1437" s="760"/>
      <c r="G1437" s="760"/>
      <c r="H1437" s="760"/>
      <c r="I1437" s="760"/>
      <c r="J1437" s="760"/>
      <c r="K1437" s="760"/>
    </row>
    <row r="1438" spans="1:11">
      <c r="A1438" s="760"/>
      <c r="B1438" s="760"/>
      <c r="C1438" s="760"/>
      <c r="D1438" s="760"/>
      <c r="E1438" s="760"/>
      <c r="F1438" s="760"/>
      <c r="G1438" s="760"/>
      <c r="H1438" s="760"/>
      <c r="I1438" s="760"/>
      <c r="J1438" s="760"/>
      <c r="K1438" s="760"/>
    </row>
    <row r="1439" spans="1:11">
      <c r="A1439" s="760"/>
      <c r="B1439" s="760"/>
      <c r="C1439" s="760"/>
      <c r="D1439" s="760"/>
      <c r="E1439" s="760"/>
      <c r="F1439" s="760"/>
      <c r="G1439" s="760"/>
      <c r="H1439" s="760"/>
      <c r="I1439" s="760"/>
      <c r="J1439" s="760"/>
      <c r="K1439" s="760"/>
    </row>
    <row r="1440" spans="1:11">
      <c r="A1440" s="760"/>
      <c r="B1440" s="760"/>
      <c r="C1440" s="760"/>
      <c r="D1440" s="760"/>
      <c r="E1440" s="760"/>
      <c r="F1440" s="760"/>
      <c r="G1440" s="760"/>
      <c r="H1440" s="760"/>
      <c r="I1440" s="760"/>
      <c r="J1440" s="760"/>
      <c r="K1440" s="760"/>
    </row>
    <row r="1441" spans="1:11">
      <c r="A1441" s="760"/>
      <c r="B1441" s="760"/>
      <c r="C1441" s="760"/>
      <c r="D1441" s="760"/>
      <c r="E1441" s="760"/>
      <c r="F1441" s="760"/>
      <c r="G1441" s="760"/>
      <c r="H1441" s="760"/>
      <c r="I1441" s="760"/>
      <c r="J1441" s="760"/>
      <c r="K1441" s="760"/>
    </row>
    <row r="1442" spans="1:11">
      <c r="A1442" s="760"/>
      <c r="B1442" s="760"/>
      <c r="C1442" s="760"/>
      <c r="D1442" s="760"/>
      <c r="E1442" s="760"/>
      <c r="F1442" s="760"/>
      <c r="G1442" s="760"/>
      <c r="H1442" s="760"/>
      <c r="I1442" s="760"/>
      <c r="J1442" s="760"/>
      <c r="K1442" s="760"/>
    </row>
    <row r="1443" spans="1:11">
      <c r="A1443" s="760"/>
      <c r="B1443" s="760"/>
      <c r="C1443" s="760"/>
      <c r="D1443" s="760"/>
      <c r="E1443" s="760"/>
      <c r="F1443" s="760"/>
      <c r="G1443" s="760"/>
      <c r="H1443" s="760"/>
      <c r="I1443" s="760"/>
      <c r="J1443" s="760"/>
      <c r="K1443" s="760"/>
    </row>
    <row r="1444" spans="1:11">
      <c r="A1444" s="760"/>
      <c r="B1444" s="760"/>
      <c r="C1444" s="760"/>
      <c r="D1444" s="760"/>
      <c r="E1444" s="760"/>
      <c r="F1444" s="760"/>
      <c r="G1444" s="760"/>
      <c r="H1444" s="760"/>
      <c r="I1444" s="760"/>
      <c r="J1444" s="760"/>
      <c r="K1444" s="760"/>
    </row>
    <row r="1445" spans="1:11">
      <c r="A1445" s="760"/>
      <c r="B1445" s="760"/>
      <c r="C1445" s="760"/>
      <c r="D1445" s="760"/>
      <c r="E1445" s="760"/>
      <c r="F1445" s="760"/>
      <c r="G1445" s="760"/>
      <c r="H1445" s="760"/>
      <c r="I1445" s="760"/>
      <c r="J1445" s="760"/>
      <c r="K1445" s="760"/>
    </row>
    <row r="1446" spans="1:11">
      <c r="A1446" s="760"/>
      <c r="B1446" s="760"/>
      <c r="C1446" s="760"/>
      <c r="D1446" s="760"/>
      <c r="E1446" s="760"/>
      <c r="F1446" s="760"/>
      <c r="G1446" s="760"/>
      <c r="H1446" s="760"/>
      <c r="I1446" s="760"/>
      <c r="J1446" s="760"/>
      <c r="K1446" s="760"/>
    </row>
    <row r="1447" spans="1:11">
      <c r="A1447" s="760"/>
      <c r="B1447" s="760"/>
      <c r="C1447" s="760"/>
      <c r="D1447" s="760"/>
      <c r="E1447" s="760"/>
      <c r="F1447" s="760"/>
      <c r="G1447" s="760"/>
      <c r="H1447" s="760"/>
      <c r="I1447" s="760"/>
      <c r="J1447" s="760"/>
      <c r="K1447" s="760"/>
    </row>
    <row r="1448" spans="1:11">
      <c r="A1448" s="760"/>
      <c r="B1448" s="760"/>
      <c r="C1448" s="760"/>
      <c r="D1448" s="760"/>
      <c r="E1448" s="760"/>
      <c r="F1448" s="760"/>
      <c r="G1448" s="760"/>
      <c r="H1448" s="760"/>
      <c r="I1448" s="760"/>
      <c r="J1448" s="760"/>
      <c r="K1448" s="760"/>
    </row>
    <row r="1449" spans="1:11">
      <c r="A1449" s="760"/>
      <c r="B1449" s="760"/>
      <c r="C1449" s="760"/>
      <c r="D1449" s="760"/>
      <c r="E1449" s="760"/>
      <c r="F1449" s="760"/>
      <c r="G1449" s="760"/>
      <c r="H1449" s="760"/>
      <c r="I1449" s="760"/>
      <c r="J1449" s="760"/>
      <c r="K1449" s="760"/>
    </row>
    <row r="1450" spans="1:11">
      <c r="A1450" s="760"/>
      <c r="B1450" s="760"/>
      <c r="C1450" s="760"/>
      <c r="D1450" s="760"/>
      <c r="E1450" s="760"/>
      <c r="F1450" s="760"/>
      <c r="G1450" s="760"/>
      <c r="H1450" s="760"/>
      <c r="I1450" s="760"/>
      <c r="J1450" s="760"/>
      <c r="K1450" s="760"/>
    </row>
    <row r="1451" spans="1:11">
      <c r="A1451" s="760"/>
      <c r="B1451" s="760"/>
      <c r="C1451" s="760"/>
      <c r="D1451" s="760"/>
      <c r="E1451" s="760"/>
      <c r="F1451" s="760"/>
      <c r="G1451" s="760"/>
      <c r="H1451" s="760"/>
      <c r="I1451" s="760"/>
      <c r="J1451" s="760"/>
      <c r="K1451" s="760"/>
    </row>
    <row r="1452" spans="1:11">
      <c r="A1452" s="760"/>
      <c r="B1452" s="760"/>
      <c r="C1452" s="760"/>
      <c r="D1452" s="760"/>
      <c r="E1452" s="760"/>
      <c r="F1452" s="760"/>
      <c r="G1452" s="760"/>
      <c r="H1452" s="760"/>
      <c r="I1452" s="760"/>
      <c r="J1452" s="760"/>
      <c r="K1452" s="760"/>
    </row>
    <row r="1453" spans="1:11">
      <c r="A1453" s="760"/>
      <c r="B1453" s="760"/>
      <c r="C1453" s="760"/>
      <c r="D1453" s="760"/>
      <c r="E1453" s="760"/>
      <c r="F1453" s="760"/>
      <c r="G1453" s="760"/>
      <c r="H1453" s="760"/>
      <c r="I1453" s="760"/>
      <c r="J1453" s="760"/>
      <c r="K1453" s="760"/>
    </row>
    <row r="1454" spans="1:11">
      <c r="A1454" s="760"/>
      <c r="B1454" s="760"/>
      <c r="C1454" s="760"/>
      <c r="D1454" s="760"/>
      <c r="E1454" s="760"/>
      <c r="F1454" s="760"/>
      <c r="G1454" s="760"/>
      <c r="H1454" s="760"/>
      <c r="I1454" s="760"/>
      <c r="J1454" s="760"/>
      <c r="K1454" s="760"/>
    </row>
    <row r="1455" spans="1:11">
      <c r="A1455" s="760"/>
      <c r="B1455" s="760"/>
      <c r="C1455" s="760"/>
      <c r="D1455" s="760"/>
      <c r="E1455" s="760"/>
      <c r="F1455" s="760"/>
      <c r="G1455" s="760"/>
      <c r="H1455" s="760"/>
      <c r="I1455" s="760"/>
      <c r="J1455" s="760"/>
      <c r="K1455" s="760"/>
    </row>
    <row r="1456" spans="1:11">
      <c r="A1456" s="760"/>
      <c r="B1456" s="760"/>
      <c r="C1456" s="760"/>
      <c r="D1456" s="760"/>
      <c r="E1456" s="760"/>
      <c r="F1456" s="760"/>
      <c r="G1456" s="760"/>
      <c r="H1456" s="760"/>
      <c r="I1456" s="760"/>
      <c r="J1456" s="760"/>
      <c r="K1456" s="760"/>
    </row>
    <row r="1457" spans="1:11">
      <c r="A1457" s="760"/>
      <c r="B1457" s="760"/>
      <c r="C1457" s="760"/>
      <c r="D1457" s="760"/>
      <c r="E1457" s="760"/>
      <c r="F1457" s="760"/>
      <c r="G1457" s="760"/>
      <c r="H1457" s="760"/>
      <c r="I1457" s="760"/>
      <c r="J1457" s="760"/>
      <c r="K1457" s="760"/>
    </row>
    <row r="1458" spans="1:11">
      <c r="A1458" s="760"/>
      <c r="B1458" s="760"/>
      <c r="C1458" s="760"/>
      <c r="D1458" s="760"/>
      <c r="E1458" s="760"/>
      <c r="F1458" s="760"/>
      <c r="G1458" s="760"/>
      <c r="H1458" s="760"/>
      <c r="I1458" s="760"/>
      <c r="J1458" s="760"/>
      <c r="K1458" s="760"/>
    </row>
    <row r="1459" spans="1:11">
      <c r="A1459" s="760"/>
      <c r="B1459" s="760"/>
      <c r="C1459" s="760"/>
      <c r="D1459" s="760"/>
      <c r="E1459" s="760"/>
      <c r="F1459" s="760"/>
      <c r="G1459" s="760"/>
      <c r="H1459" s="760"/>
      <c r="I1459" s="760"/>
      <c r="J1459" s="760"/>
      <c r="K1459" s="760"/>
    </row>
    <row r="1460" spans="1:11">
      <c r="A1460" s="760"/>
      <c r="B1460" s="760"/>
      <c r="C1460" s="760"/>
      <c r="D1460" s="760"/>
      <c r="E1460" s="760"/>
      <c r="F1460" s="760"/>
      <c r="G1460" s="760"/>
      <c r="H1460" s="760"/>
      <c r="I1460" s="760"/>
      <c r="J1460" s="760"/>
      <c r="K1460" s="760"/>
    </row>
    <row r="1461" spans="1:11">
      <c r="A1461" s="760"/>
      <c r="B1461" s="760"/>
      <c r="C1461" s="760"/>
      <c r="D1461" s="760"/>
      <c r="E1461" s="760"/>
      <c r="F1461" s="760"/>
      <c r="G1461" s="760"/>
      <c r="H1461" s="760"/>
      <c r="I1461" s="760"/>
      <c r="J1461" s="760"/>
      <c r="K1461" s="760"/>
    </row>
    <row r="1462" spans="1:11">
      <c r="A1462" s="760"/>
      <c r="B1462" s="760"/>
      <c r="C1462" s="760"/>
      <c r="D1462" s="760"/>
      <c r="E1462" s="760"/>
      <c r="F1462" s="760"/>
      <c r="G1462" s="760"/>
      <c r="H1462" s="760"/>
      <c r="I1462" s="760"/>
      <c r="J1462" s="760"/>
      <c r="K1462" s="760"/>
    </row>
    <row r="1463" spans="1:11">
      <c r="A1463" s="760"/>
      <c r="B1463" s="760"/>
      <c r="C1463" s="760"/>
      <c r="D1463" s="760"/>
      <c r="E1463" s="760"/>
      <c r="F1463" s="760"/>
      <c r="G1463" s="760"/>
      <c r="H1463" s="760"/>
      <c r="I1463" s="760"/>
      <c r="J1463" s="760"/>
      <c r="K1463" s="760"/>
    </row>
    <row r="1464" spans="1:11">
      <c r="A1464" s="760"/>
      <c r="B1464" s="760"/>
      <c r="C1464" s="760"/>
      <c r="D1464" s="760"/>
      <c r="E1464" s="760"/>
      <c r="F1464" s="760"/>
      <c r="G1464" s="760"/>
      <c r="H1464" s="760"/>
      <c r="I1464" s="760"/>
      <c r="J1464" s="760"/>
      <c r="K1464" s="760"/>
    </row>
    <row r="1465" spans="1:11">
      <c r="A1465" s="760"/>
      <c r="B1465" s="760"/>
      <c r="C1465" s="760"/>
      <c r="D1465" s="760"/>
      <c r="E1465" s="760"/>
      <c r="F1465" s="760"/>
      <c r="G1465" s="760"/>
      <c r="H1465" s="760"/>
      <c r="I1465" s="760"/>
      <c r="J1465" s="760"/>
      <c r="K1465" s="760"/>
    </row>
    <row r="1466" spans="1:11">
      <c r="A1466" s="760"/>
      <c r="B1466" s="760"/>
      <c r="C1466" s="760"/>
      <c r="D1466" s="760"/>
      <c r="E1466" s="760"/>
      <c r="F1466" s="760"/>
      <c r="G1466" s="760"/>
      <c r="H1466" s="760"/>
      <c r="I1466" s="760"/>
      <c r="J1466" s="760"/>
      <c r="K1466" s="760"/>
    </row>
    <row r="1467" spans="1:11">
      <c r="A1467" s="760"/>
      <c r="B1467" s="760"/>
      <c r="C1467" s="760"/>
      <c r="D1467" s="760"/>
      <c r="E1467" s="760"/>
      <c r="F1467" s="760"/>
      <c r="G1467" s="760"/>
      <c r="H1467" s="760"/>
      <c r="I1467" s="760"/>
      <c r="J1467" s="760"/>
      <c r="K1467" s="760"/>
    </row>
    <row r="1468" spans="1:11">
      <c r="A1468" s="760"/>
      <c r="B1468" s="760"/>
      <c r="C1468" s="760"/>
      <c r="D1468" s="760"/>
      <c r="E1468" s="760"/>
      <c r="F1468" s="760"/>
      <c r="G1468" s="760"/>
      <c r="H1468" s="760"/>
      <c r="I1468" s="760"/>
      <c r="J1468" s="760"/>
      <c r="K1468" s="760"/>
    </row>
    <row r="1469" spans="1:11">
      <c r="A1469" s="760"/>
      <c r="B1469" s="760"/>
      <c r="C1469" s="760"/>
      <c r="D1469" s="760"/>
      <c r="E1469" s="760"/>
      <c r="F1469" s="760"/>
      <c r="G1469" s="760"/>
      <c r="H1469" s="760"/>
      <c r="I1469" s="760"/>
      <c r="J1469" s="760"/>
      <c r="K1469" s="760"/>
    </row>
    <row r="1470" spans="1:11">
      <c r="A1470" s="760"/>
      <c r="B1470" s="760"/>
      <c r="C1470" s="760"/>
      <c r="D1470" s="760"/>
      <c r="E1470" s="760"/>
      <c r="F1470" s="760"/>
      <c r="G1470" s="760"/>
      <c r="H1470" s="760"/>
      <c r="I1470" s="760"/>
      <c r="J1470" s="760"/>
      <c r="K1470" s="760"/>
    </row>
    <row r="1471" spans="1:11">
      <c r="A1471" s="760"/>
      <c r="B1471" s="760"/>
      <c r="C1471" s="760"/>
      <c r="D1471" s="760"/>
      <c r="E1471" s="760"/>
      <c r="F1471" s="760"/>
      <c r="G1471" s="760"/>
      <c r="H1471" s="760"/>
      <c r="I1471" s="760"/>
      <c r="J1471" s="760"/>
      <c r="K1471" s="760"/>
    </row>
    <row r="1472" spans="1:11">
      <c r="A1472" s="760"/>
      <c r="B1472" s="760"/>
      <c r="C1472" s="760"/>
      <c r="D1472" s="760"/>
      <c r="E1472" s="760"/>
      <c r="F1472" s="760"/>
      <c r="G1472" s="760"/>
      <c r="H1472" s="760"/>
      <c r="I1472" s="760"/>
      <c r="J1472" s="760"/>
      <c r="K1472" s="760"/>
    </row>
    <row r="1473" spans="1:11">
      <c r="A1473" s="760"/>
      <c r="B1473" s="760"/>
      <c r="C1473" s="760"/>
      <c r="D1473" s="760"/>
      <c r="E1473" s="760"/>
      <c r="F1473" s="760"/>
      <c r="G1473" s="760"/>
      <c r="H1473" s="760"/>
      <c r="I1473" s="760"/>
      <c r="J1473" s="760"/>
      <c r="K1473" s="760"/>
    </row>
    <row r="1474" spans="1:11">
      <c r="A1474" s="760"/>
      <c r="B1474" s="760"/>
      <c r="C1474" s="760"/>
      <c r="D1474" s="760"/>
      <c r="E1474" s="760"/>
      <c r="F1474" s="760"/>
      <c r="G1474" s="760"/>
      <c r="H1474" s="760"/>
      <c r="I1474" s="760"/>
      <c r="J1474" s="760"/>
      <c r="K1474" s="760"/>
    </row>
    <row r="1475" spans="1:11">
      <c r="A1475" s="760"/>
      <c r="B1475" s="760"/>
      <c r="C1475" s="760"/>
      <c r="D1475" s="760"/>
      <c r="E1475" s="760"/>
      <c r="F1475" s="760"/>
      <c r="G1475" s="760"/>
      <c r="H1475" s="760"/>
      <c r="I1475" s="760"/>
      <c r="J1475" s="760"/>
      <c r="K1475" s="760"/>
    </row>
    <row r="1476" spans="1:11">
      <c r="A1476" s="760"/>
      <c r="B1476" s="760"/>
      <c r="C1476" s="760"/>
      <c r="D1476" s="760"/>
      <c r="E1476" s="760"/>
      <c r="F1476" s="760"/>
      <c r="G1476" s="760"/>
      <c r="H1476" s="760"/>
      <c r="I1476" s="760"/>
      <c r="J1476" s="760"/>
      <c r="K1476" s="760"/>
    </row>
    <row r="1477" spans="1:11">
      <c r="A1477" s="760"/>
      <c r="B1477" s="760"/>
      <c r="C1477" s="760"/>
      <c r="D1477" s="760"/>
      <c r="E1477" s="760"/>
      <c r="F1477" s="760"/>
      <c r="G1477" s="760"/>
      <c r="H1477" s="760"/>
      <c r="I1477" s="760"/>
      <c r="J1477" s="760"/>
      <c r="K1477" s="760"/>
    </row>
    <row r="1478" spans="1:11">
      <c r="A1478" s="760"/>
      <c r="B1478" s="760"/>
      <c r="C1478" s="760"/>
      <c r="D1478" s="760"/>
      <c r="E1478" s="760"/>
      <c r="F1478" s="760"/>
      <c r="G1478" s="760"/>
      <c r="H1478" s="760"/>
      <c r="I1478" s="760"/>
      <c r="J1478" s="760"/>
      <c r="K1478" s="760"/>
    </row>
    <row r="1479" spans="1:11">
      <c r="A1479" s="760"/>
      <c r="B1479" s="760"/>
      <c r="C1479" s="760"/>
      <c r="D1479" s="760"/>
      <c r="E1479" s="760"/>
      <c r="F1479" s="760"/>
      <c r="G1479" s="760"/>
      <c r="H1479" s="760"/>
      <c r="I1479" s="760"/>
      <c r="J1479" s="760"/>
      <c r="K1479" s="760"/>
    </row>
    <row r="1480" spans="1:11">
      <c r="A1480" s="760"/>
      <c r="B1480" s="760"/>
      <c r="C1480" s="760"/>
      <c r="D1480" s="760"/>
      <c r="E1480" s="760"/>
      <c r="F1480" s="760"/>
      <c r="G1480" s="760"/>
      <c r="H1480" s="760"/>
      <c r="I1480" s="760"/>
      <c r="J1480" s="760"/>
      <c r="K1480" s="760"/>
    </row>
    <row r="1481" spans="1:11">
      <c r="A1481" s="760"/>
      <c r="B1481" s="760"/>
      <c r="C1481" s="760"/>
      <c r="D1481" s="760"/>
      <c r="E1481" s="760"/>
      <c r="F1481" s="760"/>
      <c r="G1481" s="760"/>
      <c r="H1481" s="760"/>
      <c r="I1481" s="760"/>
      <c r="J1481" s="760"/>
      <c r="K1481" s="760"/>
    </row>
    <row r="1482" spans="1:11">
      <c r="A1482" s="760"/>
      <c r="B1482" s="760"/>
      <c r="C1482" s="760"/>
      <c r="D1482" s="760"/>
      <c r="E1482" s="760"/>
      <c r="F1482" s="760"/>
      <c r="G1482" s="760"/>
      <c r="H1482" s="760"/>
      <c r="I1482" s="760"/>
      <c r="J1482" s="760"/>
      <c r="K1482" s="760"/>
    </row>
    <row r="1483" spans="1:11">
      <c r="A1483" s="760"/>
      <c r="B1483" s="760"/>
      <c r="C1483" s="760"/>
      <c r="D1483" s="760"/>
      <c r="E1483" s="760"/>
      <c r="F1483" s="760"/>
      <c r="G1483" s="760"/>
      <c r="H1483" s="760"/>
      <c r="I1483" s="760"/>
      <c r="J1483" s="760"/>
      <c r="K1483" s="760"/>
    </row>
    <row r="1484" spans="1:11">
      <c r="A1484" s="760"/>
      <c r="B1484" s="760"/>
      <c r="C1484" s="760"/>
      <c r="D1484" s="760"/>
      <c r="E1484" s="760"/>
      <c r="F1484" s="760"/>
      <c r="G1484" s="760"/>
      <c r="H1484" s="760"/>
      <c r="I1484" s="760"/>
      <c r="J1484" s="760"/>
      <c r="K1484" s="760"/>
    </row>
    <row r="1485" spans="1:11">
      <c r="A1485" s="760"/>
      <c r="B1485" s="760"/>
      <c r="C1485" s="760"/>
      <c r="D1485" s="760"/>
      <c r="E1485" s="760"/>
      <c r="F1485" s="760"/>
      <c r="G1485" s="760"/>
      <c r="H1485" s="760"/>
      <c r="I1485" s="760"/>
      <c r="J1485" s="760"/>
      <c r="K1485" s="760"/>
    </row>
    <row r="1486" spans="1:11">
      <c r="A1486" s="760"/>
      <c r="B1486" s="760"/>
      <c r="C1486" s="760"/>
      <c r="D1486" s="760"/>
      <c r="E1486" s="760"/>
      <c r="F1486" s="760"/>
      <c r="G1486" s="760"/>
      <c r="H1486" s="760"/>
      <c r="I1486" s="760"/>
      <c r="J1486" s="760"/>
      <c r="K1486" s="760"/>
    </row>
    <row r="1487" spans="1:11">
      <c r="A1487" s="760"/>
      <c r="B1487" s="760"/>
      <c r="C1487" s="760"/>
      <c r="D1487" s="760"/>
      <c r="E1487" s="760"/>
      <c r="F1487" s="760"/>
      <c r="G1487" s="760"/>
      <c r="H1487" s="760"/>
      <c r="I1487" s="760"/>
      <c r="J1487" s="760"/>
      <c r="K1487" s="760"/>
    </row>
    <row r="1488" spans="1:11">
      <c r="A1488" s="760"/>
      <c r="B1488" s="760"/>
      <c r="C1488" s="760"/>
      <c r="D1488" s="760"/>
      <c r="E1488" s="760"/>
      <c r="F1488" s="760"/>
      <c r="G1488" s="760"/>
      <c r="H1488" s="760"/>
      <c r="I1488" s="760"/>
      <c r="J1488" s="760"/>
      <c r="K1488" s="760"/>
    </row>
    <row r="1489" spans="1:11">
      <c r="A1489" s="760"/>
      <c r="B1489" s="760"/>
      <c r="C1489" s="760"/>
      <c r="D1489" s="760"/>
      <c r="E1489" s="760"/>
      <c r="F1489" s="760"/>
      <c r="G1489" s="760"/>
      <c r="H1489" s="760"/>
      <c r="I1489" s="760"/>
      <c r="J1489" s="760"/>
      <c r="K1489" s="760"/>
    </row>
    <row r="1490" spans="1:11">
      <c r="A1490" s="760"/>
      <c r="B1490" s="760"/>
      <c r="C1490" s="760"/>
      <c r="D1490" s="760"/>
      <c r="E1490" s="760"/>
      <c r="F1490" s="760"/>
      <c r="G1490" s="760"/>
      <c r="H1490" s="760"/>
      <c r="I1490" s="760"/>
      <c r="J1490" s="760"/>
      <c r="K1490" s="760"/>
    </row>
    <row r="1491" spans="1:11">
      <c r="A1491" s="760"/>
      <c r="B1491" s="760"/>
      <c r="C1491" s="760"/>
      <c r="D1491" s="760"/>
      <c r="E1491" s="760"/>
      <c r="F1491" s="760"/>
      <c r="G1491" s="760"/>
      <c r="H1491" s="760"/>
      <c r="I1491" s="760"/>
      <c r="J1491" s="760"/>
      <c r="K1491" s="760"/>
    </row>
    <row r="1492" spans="1:11">
      <c r="A1492" s="760"/>
      <c r="B1492" s="760"/>
      <c r="C1492" s="760"/>
      <c r="D1492" s="760"/>
      <c r="E1492" s="760"/>
      <c r="F1492" s="760"/>
      <c r="G1492" s="760"/>
      <c r="H1492" s="760"/>
      <c r="I1492" s="760"/>
      <c r="J1492" s="760"/>
      <c r="K1492" s="760"/>
    </row>
    <row r="1493" spans="1:11">
      <c r="A1493" s="760"/>
      <c r="B1493" s="760"/>
      <c r="C1493" s="760"/>
      <c r="D1493" s="760"/>
      <c r="E1493" s="760"/>
      <c r="F1493" s="760"/>
      <c r="G1493" s="760"/>
      <c r="H1493" s="760"/>
      <c r="I1493" s="760"/>
      <c r="J1493" s="760"/>
      <c r="K1493" s="760"/>
    </row>
    <row r="1494" spans="1:11">
      <c r="A1494" s="760"/>
      <c r="B1494" s="760"/>
      <c r="C1494" s="760"/>
      <c r="D1494" s="760"/>
      <c r="E1494" s="760"/>
      <c r="F1494" s="760"/>
      <c r="G1494" s="760"/>
      <c r="H1494" s="760"/>
      <c r="I1494" s="760"/>
      <c r="J1494" s="760"/>
      <c r="K1494" s="760"/>
    </row>
    <row r="1495" spans="1:11">
      <c r="A1495" s="760"/>
      <c r="B1495" s="760"/>
      <c r="C1495" s="760"/>
      <c r="D1495" s="760"/>
      <c r="E1495" s="760"/>
      <c r="F1495" s="760"/>
      <c r="G1495" s="760"/>
      <c r="H1495" s="760"/>
      <c r="I1495" s="760"/>
      <c r="J1495" s="760"/>
      <c r="K1495" s="760"/>
    </row>
    <row r="1496" spans="1:11">
      <c r="A1496" s="760"/>
      <c r="B1496" s="760"/>
      <c r="C1496" s="760"/>
      <c r="D1496" s="760"/>
      <c r="E1496" s="760"/>
      <c r="F1496" s="760"/>
      <c r="G1496" s="760"/>
      <c r="H1496" s="760"/>
      <c r="I1496" s="760"/>
      <c r="J1496" s="760"/>
      <c r="K1496" s="760"/>
    </row>
    <row r="1497" spans="1:11">
      <c r="A1497" s="760"/>
      <c r="B1497" s="760"/>
      <c r="C1497" s="760"/>
      <c r="D1497" s="760"/>
      <c r="E1497" s="760"/>
      <c r="F1497" s="760"/>
      <c r="G1497" s="760"/>
      <c r="H1497" s="760"/>
      <c r="I1497" s="760"/>
      <c r="J1497" s="760"/>
      <c r="K1497" s="760"/>
    </row>
    <row r="1498" spans="1:11">
      <c r="A1498" s="760"/>
      <c r="B1498" s="760"/>
      <c r="C1498" s="760"/>
      <c r="D1498" s="760"/>
      <c r="E1498" s="760"/>
      <c r="F1498" s="760"/>
      <c r="G1498" s="760"/>
      <c r="H1498" s="760"/>
      <c r="I1498" s="760"/>
      <c r="J1498" s="760"/>
      <c r="K1498" s="760"/>
    </row>
    <row r="1499" spans="1:11">
      <c r="A1499" s="760"/>
      <c r="B1499" s="760"/>
      <c r="C1499" s="760"/>
      <c r="D1499" s="760"/>
      <c r="E1499" s="760"/>
      <c r="F1499" s="760"/>
      <c r="G1499" s="760"/>
      <c r="H1499" s="760"/>
      <c r="I1499" s="760"/>
      <c r="J1499" s="760"/>
      <c r="K1499" s="760"/>
    </row>
    <row r="1500" spans="1:11">
      <c r="A1500" s="760"/>
      <c r="B1500" s="760"/>
      <c r="C1500" s="760"/>
      <c r="D1500" s="760"/>
      <c r="E1500" s="760"/>
      <c r="F1500" s="760"/>
      <c r="G1500" s="760"/>
      <c r="H1500" s="760"/>
      <c r="I1500" s="760"/>
      <c r="J1500" s="760"/>
      <c r="K1500" s="760"/>
    </row>
    <row r="1501" spans="1:11">
      <c r="A1501" s="760"/>
      <c r="B1501" s="760"/>
      <c r="C1501" s="760"/>
      <c r="D1501" s="760"/>
      <c r="E1501" s="760"/>
      <c r="F1501" s="760"/>
      <c r="G1501" s="760"/>
      <c r="H1501" s="760"/>
      <c r="I1501" s="760"/>
      <c r="J1501" s="760"/>
      <c r="K1501" s="760"/>
    </row>
    <row r="1502" spans="1:11">
      <c r="A1502" s="760"/>
      <c r="B1502" s="760"/>
      <c r="C1502" s="760"/>
      <c r="D1502" s="760"/>
      <c r="E1502" s="760"/>
      <c r="F1502" s="760"/>
      <c r="G1502" s="760"/>
      <c r="H1502" s="760"/>
      <c r="I1502" s="760"/>
      <c r="J1502" s="760"/>
      <c r="K1502" s="760"/>
    </row>
    <row r="1503" spans="1:11">
      <c r="A1503" s="760"/>
      <c r="B1503" s="760"/>
      <c r="C1503" s="760"/>
      <c r="D1503" s="760"/>
      <c r="E1503" s="760"/>
      <c r="F1503" s="760"/>
      <c r="G1503" s="760"/>
      <c r="H1503" s="760"/>
      <c r="I1503" s="760"/>
      <c r="J1503" s="760"/>
      <c r="K1503" s="760"/>
    </row>
    <row r="1504" spans="1:11">
      <c r="A1504" s="760"/>
      <c r="B1504" s="760"/>
      <c r="C1504" s="760"/>
      <c r="D1504" s="760"/>
      <c r="E1504" s="760"/>
      <c r="F1504" s="760"/>
      <c r="G1504" s="760"/>
      <c r="H1504" s="760"/>
      <c r="I1504" s="760"/>
      <c r="J1504" s="760"/>
      <c r="K1504" s="760"/>
    </row>
    <row r="1505" spans="1:11">
      <c r="A1505" s="760"/>
      <c r="B1505" s="760"/>
      <c r="C1505" s="760"/>
      <c r="D1505" s="760"/>
      <c r="E1505" s="760"/>
      <c r="F1505" s="760"/>
      <c r="G1505" s="760"/>
      <c r="H1505" s="760"/>
      <c r="I1505" s="760"/>
      <c r="J1505" s="760"/>
      <c r="K1505" s="760"/>
    </row>
    <row r="1506" spans="1:11">
      <c r="A1506" s="760"/>
      <c r="B1506" s="760"/>
      <c r="C1506" s="760"/>
      <c r="D1506" s="760"/>
      <c r="E1506" s="760"/>
      <c r="F1506" s="760"/>
      <c r="G1506" s="760"/>
      <c r="H1506" s="760"/>
      <c r="I1506" s="760"/>
      <c r="J1506" s="760"/>
      <c r="K1506" s="760"/>
    </row>
    <row r="1507" spans="1:11">
      <c r="A1507" s="760"/>
      <c r="B1507" s="760"/>
      <c r="C1507" s="760"/>
      <c r="D1507" s="760"/>
      <c r="E1507" s="760"/>
      <c r="F1507" s="760"/>
      <c r="G1507" s="760"/>
      <c r="H1507" s="760"/>
      <c r="I1507" s="760"/>
      <c r="J1507" s="760"/>
      <c r="K1507" s="760"/>
    </row>
    <row r="1508" spans="1:11">
      <c r="A1508" s="760"/>
      <c r="B1508" s="760"/>
      <c r="C1508" s="760"/>
      <c r="D1508" s="760"/>
      <c r="E1508" s="760"/>
      <c r="F1508" s="760"/>
      <c r="G1508" s="760"/>
      <c r="H1508" s="760"/>
      <c r="I1508" s="760"/>
      <c r="J1508" s="760"/>
      <c r="K1508" s="760"/>
    </row>
    <row r="1509" spans="1:11">
      <c r="A1509" s="760"/>
      <c r="B1509" s="760"/>
      <c r="C1509" s="760"/>
      <c r="D1509" s="760"/>
      <c r="E1509" s="760"/>
      <c r="F1509" s="760"/>
      <c r="G1509" s="760"/>
      <c r="H1509" s="760"/>
      <c r="I1509" s="760"/>
      <c r="J1509" s="760"/>
      <c r="K1509" s="760"/>
    </row>
    <row r="1510" spans="1:11">
      <c r="A1510" s="760"/>
      <c r="B1510" s="760"/>
      <c r="C1510" s="760"/>
      <c r="D1510" s="760"/>
      <c r="E1510" s="760"/>
      <c r="F1510" s="760"/>
      <c r="G1510" s="760"/>
      <c r="H1510" s="760"/>
      <c r="I1510" s="760"/>
      <c r="J1510" s="760"/>
      <c r="K1510" s="760"/>
    </row>
    <row r="1511" spans="1:11">
      <c r="A1511" s="760"/>
      <c r="B1511" s="760"/>
      <c r="C1511" s="760"/>
      <c r="D1511" s="760"/>
      <c r="E1511" s="760"/>
      <c r="F1511" s="760"/>
      <c r="G1511" s="760"/>
      <c r="H1511" s="760"/>
      <c r="I1511" s="760"/>
      <c r="J1511" s="760"/>
      <c r="K1511" s="760"/>
    </row>
    <row r="1512" spans="1:11">
      <c r="A1512" s="760"/>
      <c r="B1512" s="760"/>
      <c r="C1512" s="760"/>
      <c r="D1512" s="760"/>
      <c r="E1512" s="760"/>
      <c r="F1512" s="760"/>
      <c r="G1512" s="760"/>
      <c r="H1512" s="760"/>
      <c r="I1512" s="760"/>
      <c r="J1512" s="760"/>
      <c r="K1512" s="760"/>
    </row>
    <row r="1513" spans="1:11">
      <c r="A1513" s="760"/>
      <c r="B1513" s="760"/>
      <c r="C1513" s="760"/>
      <c r="D1513" s="760"/>
      <c r="E1513" s="760"/>
      <c r="F1513" s="760"/>
      <c r="G1513" s="760"/>
      <c r="H1513" s="760"/>
      <c r="I1513" s="760"/>
      <c r="J1513" s="760"/>
      <c r="K1513" s="760"/>
    </row>
    <row r="1514" spans="1:11">
      <c r="A1514" s="760"/>
      <c r="B1514" s="760"/>
      <c r="C1514" s="760"/>
      <c r="D1514" s="760"/>
      <c r="E1514" s="760"/>
      <c r="F1514" s="760"/>
      <c r="G1514" s="760"/>
      <c r="H1514" s="760"/>
      <c r="I1514" s="760"/>
      <c r="J1514" s="760"/>
      <c r="K1514" s="760"/>
    </row>
    <row r="1515" spans="1:11">
      <c r="A1515" s="760"/>
      <c r="B1515" s="760"/>
      <c r="C1515" s="760"/>
      <c r="D1515" s="760"/>
      <c r="E1515" s="760"/>
      <c r="F1515" s="760"/>
      <c r="G1515" s="760"/>
      <c r="H1515" s="760"/>
      <c r="I1515" s="760"/>
      <c r="J1515" s="760"/>
      <c r="K1515" s="760"/>
    </row>
    <row r="1516" spans="1:11">
      <c r="A1516" s="760"/>
      <c r="B1516" s="760"/>
      <c r="C1516" s="760"/>
      <c r="D1516" s="760"/>
      <c r="E1516" s="760"/>
      <c r="F1516" s="760"/>
      <c r="G1516" s="760"/>
      <c r="H1516" s="760"/>
      <c r="I1516" s="760"/>
      <c r="J1516" s="760"/>
      <c r="K1516" s="760"/>
    </row>
    <row r="1517" spans="1:11">
      <c r="A1517" s="760"/>
      <c r="B1517" s="760"/>
      <c r="C1517" s="760"/>
      <c r="D1517" s="760"/>
      <c r="E1517" s="760"/>
      <c r="F1517" s="760"/>
      <c r="G1517" s="760"/>
      <c r="H1517" s="760"/>
      <c r="I1517" s="760"/>
      <c r="J1517" s="760"/>
      <c r="K1517" s="760"/>
    </row>
    <row r="1518" spans="1:11">
      <c r="A1518" s="760"/>
      <c r="B1518" s="760"/>
      <c r="C1518" s="760"/>
      <c r="D1518" s="760"/>
      <c r="E1518" s="760"/>
      <c r="F1518" s="760"/>
      <c r="G1518" s="760"/>
      <c r="H1518" s="760"/>
      <c r="I1518" s="760"/>
      <c r="J1518" s="760"/>
      <c r="K1518" s="760"/>
    </row>
    <row r="1519" spans="1:11">
      <c r="A1519" s="760"/>
      <c r="B1519" s="760"/>
      <c r="C1519" s="760"/>
      <c r="D1519" s="760"/>
      <c r="E1519" s="760"/>
      <c r="F1519" s="760"/>
      <c r="G1519" s="760"/>
      <c r="H1519" s="760"/>
      <c r="I1519" s="760"/>
      <c r="J1519" s="760"/>
      <c r="K1519" s="760"/>
    </row>
    <row r="1520" spans="1:11">
      <c r="A1520" s="760"/>
      <c r="B1520" s="760"/>
      <c r="C1520" s="760"/>
      <c r="D1520" s="760"/>
      <c r="E1520" s="760"/>
      <c r="F1520" s="760"/>
      <c r="G1520" s="760"/>
      <c r="H1520" s="760"/>
      <c r="I1520" s="760"/>
      <c r="J1520" s="760"/>
      <c r="K1520" s="760"/>
    </row>
    <row r="1521" spans="1:11">
      <c r="A1521" s="760"/>
      <c r="B1521" s="760"/>
      <c r="C1521" s="760"/>
      <c r="D1521" s="760"/>
      <c r="E1521" s="760"/>
      <c r="F1521" s="760"/>
      <c r="G1521" s="760"/>
      <c r="H1521" s="760"/>
      <c r="I1521" s="760"/>
      <c r="J1521" s="760"/>
      <c r="K1521" s="760"/>
    </row>
    <row r="1522" spans="1:11">
      <c r="A1522" s="760"/>
      <c r="B1522" s="760"/>
      <c r="C1522" s="760"/>
      <c r="D1522" s="760"/>
      <c r="E1522" s="760"/>
      <c r="F1522" s="760"/>
      <c r="G1522" s="760"/>
      <c r="H1522" s="760"/>
      <c r="I1522" s="760"/>
      <c r="J1522" s="760"/>
      <c r="K1522" s="760"/>
    </row>
    <row r="1523" spans="1:11">
      <c r="A1523" s="760"/>
      <c r="B1523" s="760"/>
      <c r="C1523" s="760"/>
      <c r="D1523" s="760"/>
      <c r="E1523" s="760"/>
      <c r="F1523" s="760"/>
      <c r="G1523" s="760"/>
      <c r="H1523" s="760"/>
      <c r="I1523" s="760"/>
      <c r="J1523" s="760"/>
      <c r="K1523" s="760"/>
    </row>
    <row r="1524" spans="1:11">
      <c r="A1524" s="760"/>
      <c r="B1524" s="760"/>
      <c r="C1524" s="760"/>
      <c r="D1524" s="760"/>
      <c r="E1524" s="760"/>
      <c r="F1524" s="760"/>
      <c r="G1524" s="760"/>
      <c r="H1524" s="760"/>
      <c r="I1524" s="760"/>
      <c r="J1524" s="760"/>
      <c r="K1524" s="760"/>
    </row>
    <row r="1525" spans="1:11">
      <c r="A1525" s="760"/>
      <c r="B1525" s="760"/>
      <c r="C1525" s="760"/>
      <c r="D1525" s="760"/>
      <c r="E1525" s="760"/>
      <c r="F1525" s="760"/>
      <c r="G1525" s="760"/>
      <c r="H1525" s="760"/>
      <c r="I1525" s="760"/>
      <c r="J1525" s="760"/>
      <c r="K1525" s="760"/>
    </row>
    <row r="1526" spans="1:11">
      <c r="A1526" s="760"/>
      <c r="B1526" s="760"/>
      <c r="C1526" s="760"/>
      <c r="D1526" s="760"/>
      <c r="E1526" s="760"/>
      <c r="F1526" s="760"/>
      <c r="G1526" s="760"/>
      <c r="H1526" s="760"/>
      <c r="I1526" s="760"/>
      <c r="J1526" s="760"/>
      <c r="K1526" s="760"/>
    </row>
    <row r="1527" spans="1:11">
      <c r="A1527" s="760"/>
      <c r="B1527" s="760"/>
      <c r="C1527" s="760"/>
      <c r="D1527" s="760"/>
      <c r="E1527" s="760"/>
      <c r="F1527" s="760"/>
      <c r="G1527" s="760"/>
      <c r="H1527" s="760"/>
      <c r="I1527" s="760"/>
      <c r="J1527" s="760"/>
      <c r="K1527" s="760"/>
    </row>
    <row r="1528" spans="1:11">
      <c r="A1528" s="760"/>
      <c r="B1528" s="760"/>
      <c r="C1528" s="760"/>
      <c r="D1528" s="760"/>
      <c r="E1528" s="760"/>
      <c r="F1528" s="760"/>
      <c r="G1528" s="760"/>
      <c r="H1528" s="760"/>
      <c r="I1528" s="760"/>
      <c r="J1528" s="760"/>
      <c r="K1528" s="760"/>
    </row>
    <row r="1529" spans="1:11">
      <c r="A1529" s="760"/>
      <c r="B1529" s="760"/>
      <c r="C1529" s="760"/>
      <c r="D1529" s="760"/>
      <c r="E1529" s="760"/>
      <c r="F1529" s="760"/>
      <c r="G1529" s="760"/>
      <c r="H1529" s="760"/>
      <c r="I1529" s="760"/>
      <c r="J1529" s="760"/>
      <c r="K1529" s="760"/>
    </row>
    <row r="1530" spans="1:11">
      <c r="A1530" s="760"/>
      <c r="B1530" s="760"/>
      <c r="C1530" s="760"/>
      <c r="D1530" s="760"/>
      <c r="E1530" s="760"/>
      <c r="F1530" s="760"/>
      <c r="G1530" s="760"/>
      <c r="H1530" s="760"/>
      <c r="I1530" s="760"/>
      <c r="J1530" s="760"/>
      <c r="K1530" s="760"/>
    </row>
    <row r="1531" spans="1:11">
      <c r="A1531" s="760"/>
      <c r="B1531" s="760"/>
      <c r="C1531" s="760"/>
      <c r="D1531" s="760"/>
      <c r="E1531" s="760"/>
      <c r="F1531" s="760"/>
      <c r="G1531" s="760"/>
      <c r="H1531" s="760"/>
      <c r="I1531" s="760"/>
      <c r="J1531" s="760"/>
      <c r="K1531" s="760"/>
    </row>
    <row r="1532" spans="1:11">
      <c r="A1532" s="760"/>
      <c r="B1532" s="760"/>
      <c r="C1532" s="760"/>
      <c r="D1532" s="760"/>
      <c r="E1532" s="760"/>
      <c r="F1532" s="760"/>
      <c r="G1532" s="760"/>
      <c r="H1532" s="760"/>
      <c r="I1532" s="760"/>
      <c r="J1532" s="760"/>
      <c r="K1532" s="760"/>
    </row>
    <row r="1533" spans="1:11">
      <c r="A1533" s="760"/>
      <c r="B1533" s="760"/>
      <c r="C1533" s="760"/>
      <c r="D1533" s="760"/>
      <c r="E1533" s="760"/>
      <c r="F1533" s="760"/>
      <c r="G1533" s="760"/>
      <c r="H1533" s="760"/>
      <c r="I1533" s="760"/>
      <c r="J1533" s="760"/>
      <c r="K1533" s="760"/>
    </row>
    <row r="1534" spans="1:11">
      <c r="A1534" s="760"/>
      <c r="B1534" s="760"/>
      <c r="C1534" s="760"/>
      <c r="D1534" s="760"/>
      <c r="E1534" s="760"/>
      <c r="F1534" s="760"/>
      <c r="G1534" s="760"/>
      <c r="H1534" s="760"/>
      <c r="I1534" s="760"/>
      <c r="J1534" s="760"/>
      <c r="K1534" s="760"/>
    </row>
    <row r="1535" spans="1:11">
      <c r="A1535" s="760"/>
      <c r="B1535" s="760"/>
      <c r="C1535" s="760"/>
      <c r="D1535" s="760"/>
      <c r="E1535" s="760"/>
      <c r="F1535" s="760"/>
      <c r="G1535" s="760"/>
      <c r="H1535" s="760"/>
      <c r="I1535" s="760"/>
      <c r="J1535" s="760"/>
      <c r="K1535" s="760"/>
    </row>
    <row r="1536" spans="1:11">
      <c r="A1536" s="760"/>
      <c r="B1536" s="760"/>
      <c r="C1536" s="760"/>
      <c r="D1536" s="760"/>
      <c r="E1536" s="760"/>
      <c r="F1536" s="760"/>
      <c r="G1536" s="760"/>
      <c r="H1536" s="760"/>
      <c r="I1536" s="760"/>
      <c r="J1536" s="760"/>
      <c r="K1536" s="760"/>
    </row>
    <row r="1537" spans="1:11">
      <c r="A1537" s="760"/>
      <c r="B1537" s="760"/>
      <c r="C1537" s="760"/>
      <c r="D1537" s="760"/>
      <c r="E1537" s="760"/>
      <c r="F1537" s="760"/>
      <c r="G1537" s="760"/>
      <c r="H1537" s="760"/>
      <c r="I1537" s="760"/>
      <c r="J1537" s="760"/>
      <c r="K1537" s="760"/>
    </row>
    <row r="1538" spans="1:11">
      <c r="A1538" s="760"/>
      <c r="B1538" s="760"/>
      <c r="C1538" s="760"/>
      <c r="D1538" s="760"/>
      <c r="E1538" s="760"/>
      <c r="F1538" s="760"/>
      <c r="G1538" s="760"/>
      <c r="H1538" s="760"/>
      <c r="I1538" s="760"/>
      <c r="J1538" s="760"/>
      <c r="K1538" s="760"/>
    </row>
    <row r="1539" spans="1:11">
      <c r="A1539" s="760"/>
      <c r="B1539" s="760"/>
      <c r="C1539" s="760"/>
      <c r="D1539" s="760"/>
      <c r="E1539" s="760"/>
      <c r="F1539" s="760"/>
      <c r="G1539" s="760"/>
      <c r="H1539" s="760"/>
      <c r="I1539" s="760"/>
      <c r="J1539" s="760"/>
      <c r="K1539" s="760"/>
    </row>
    <row r="1540" spans="1:11">
      <c r="A1540" s="760"/>
      <c r="B1540" s="760"/>
      <c r="C1540" s="760"/>
      <c r="D1540" s="760"/>
      <c r="E1540" s="760"/>
      <c r="F1540" s="760"/>
      <c r="G1540" s="760"/>
      <c r="H1540" s="760"/>
      <c r="I1540" s="760"/>
      <c r="J1540" s="760"/>
      <c r="K1540" s="760"/>
    </row>
    <row r="1541" spans="1:11">
      <c r="A1541" s="760"/>
      <c r="B1541" s="760"/>
      <c r="C1541" s="760"/>
      <c r="D1541" s="760"/>
      <c r="E1541" s="760"/>
      <c r="F1541" s="760"/>
      <c r="G1541" s="760"/>
      <c r="H1541" s="760"/>
      <c r="I1541" s="760"/>
      <c r="J1541" s="760"/>
      <c r="K1541" s="760"/>
    </row>
    <row r="1542" spans="1:11">
      <c r="A1542" s="760"/>
      <c r="B1542" s="760"/>
      <c r="C1542" s="760"/>
      <c r="D1542" s="760"/>
      <c r="E1542" s="760"/>
      <c r="F1542" s="760"/>
      <c r="G1542" s="760"/>
      <c r="H1542" s="760"/>
      <c r="I1542" s="760"/>
      <c r="J1542" s="760"/>
      <c r="K1542" s="760"/>
    </row>
    <row r="1543" spans="1:11">
      <c r="A1543" s="760"/>
      <c r="B1543" s="760"/>
      <c r="C1543" s="760"/>
      <c r="D1543" s="760"/>
      <c r="E1543" s="760"/>
      <c r="F1543" s="760"/>
      <c r="G1543" s="760"/>
      <c r="H1543" s="760"/>
      <c r="I1543" s="760"/>
      <c r="J1543" s="760"/>
      <c r="K1543" s="760"/>
    </row>
    <row r="1544" spans="1:11">
      <c r="A1544" s="760"/>
      <c r="B1544" s="760"/>
      <c r="C1544" s="760"/>
      <c r="D1544" s="760"/>
      <c r="E1544" s="760"/>
      <c r="F1544" s="760"/>
      <c r="G1544" s="760"/>
      <c r="H1544" s="760"/>
      <c r="I1544" s="760"/>
      <c r="J1544" s="760"/>
      <c r="K1544" s="760"/>
    </row>
    <row r="1545" spans="1:11">
      <c r="A1545" s="760"/>
      <c r="B1545" s="760"/>
      <c r="C1545" s="760"/>
      <c r="D1545" s="760"/>
      <c r="E1545" s="760"/>
      <c r="F1545" s="760"/>
      <c r="G1545" s="760"/>
      <c r="H1545" s="760"/>
      <c r="I1545" s="760"/>
      <c r="J1545" s="760"/>
      <c r="K1545" s="760"/>
    </row>
    <row r="1546" spans="1:11">
      <c r="A1546" s="760"/>
      <c r="B1546" s="760"/>
      <c r="C1546" s="760"/>
      <c r="D1546" s="760"/>
      <c r="E1546" s="760"/>
      <c r="F1546" s="760"/>
      <c r="G1546" s="760"/>
      <c r="H1546" s="760"/>
      <c r="I1546" s="760"/>
      <c r="J1546" s="760"/>
      <c r="K1546" s="760"/>
    </row>
    <row r="1547" spans="1:11">
      <c r="A1547" s="760"/>
      <c r="B1547" s="760"/>
      <c r="C1547" s="760"/>
      <c r="D1547" s="760"/>
      <c r="E1547" s="760"/>
      <c r="F1547" s="760"/>
      <c r="G1547" s="760"/>
      <c r="H1547" s="760"/>
      <c r="I1547" s="760"/>
      <c r="J1547" s="760"/>
      <c r="K1547" s="760"/>
    </row>
    <row r="1548" spans="1:11">
      <c r="A1548" s="760"/>
      <c r="B1548" s="760"/>
      <c r="C1548" s="760"/>
      <c r="D1548" s="760"/>
      <c r="E1548" s="760"/>
      <c r="F1548" s="760"/>
      <c r="G1548" s="760"/>
      <c r="H1548" s="760"/>
      <c r="I1548" s="760"/>
      <c r="J1548" s="760"/>
      <c r="K1548" s="760"/>
    </row>
    <row r="1549" spans="1:11">
      <c r="A1549" s="760"/>
      <c r="B1549" s="760"/>
      <c r="C1549" s="760"/>
      <c r="D1549" s="760"/>
      <c r="E1549" s="760"/>
      <c r="F1549" s="760"/>
      <c r="G1549" s="760"/>
      <c r="H1549" s="760"/>
      <c r="I1549" s="760"/>
      <c r="J1549" s="760"/>
      <c r="K1549" s="760"/>
    </row>
    <row r="1550" spans="1:11">
      <c r="A1550" s="760"/>
      <c r="B1550" s="760"/>
      <c r="C1550" s="760"/>
      <c r="D1550" s="760"/>
      <c r="E1550" s="760"/>
      <c r="F1550" s="760"/>
      <c r="G1550" s="760"/>
      <c r="H1550" s="760"/>
      <c r="I1550" s="760"/>
      <c r="J1550" s="760"/>
      <c r="K1550" s="760"/>
    </row>
    <row r="1551" spans="1:11">
      <c r="A1551" s="760"/>
      <c r="B1551" s="760"/>
      <c r="C1551" s="760"/>
      <c r="D1551" s="760"/>
      <c r="E1551" s="760"/>
      <c r="F1551" s="760"/>
      <c r="G1551" s="760"/>
      <c r="H1551" s="760"/>
      <c r="I1551" s="760"/>
      <c r="J1551" s="760"/>
      <c r="K1551" s="760"/>
    </row>
    <row r="1552" spans="1:11">
      <c r="A1552" s="760"/>
      <c r="B1552" s="760"/>
      <c r="C1552" s="760"/>
      <c r="D1552" s="760"/>
      <c r="E1552" s="760"/>
      <c r="F1552" s="760"/>
      <c r="G1552" s="760"/>
      <c r="H1552" s="760"/>
      <c r="I1552" s="760"/>
      <c r="J1552" s="760"/>
      <c r="K1552" s="760"/>
    </row>
    <row r="1553" spans="1:11">
      <c r="A1553" s="760"/>
      <c r="B1553" s="760"/>
      <c r="C1553" s="760"/>
      <c r="D1553" s="760"/>
      <c r="E1553" s="760"/>
      <c r="F1553" s="760"/>
      <c r="G1553" s="760"/>
      <c r="H1553" s="760"/>
      <c r="I1553" s="760"/>
      <c r="J1553" s="760"/>
      <c r="K1553" s="760"/>
    </row>
    <row r="1554" spans="1:11">
      <c r="A1554" s="760"/>
      <c r="B1554" s="760"/>
      <c r="C1554" s="760"/>
      <c r="D1554" s="760"/>
      <c r="E1554" s="760"/>
      <c r="F1554" s="760"/>
      <c r="G1554" s="760"/>
      <c r="H1554" s="760"/>
      <c r="I1554" s="760"/>
      <c r="J1554" s="760"/>
      <c r="K1554" s="760"/>
    </row>
    <row r="1555" spans="1:11">
      <c r="A1555" s="760"/>
      <c r="B1555" s="760"/>
      <c r="C1555" s="760"/>
      <c r="D1555" s="760"/>
      <c r="E1555" s="760"/>
      <c r="F1555" s="760"/>
      <c r="G1555" s="760"/>
      <c r="H1555" s="760"/>
      <c r="I1555" s="760"/>
      <c r="J1555" s="760"/>
      <c r="K1555" s="760"/>
    </row>
    <row r="1556" spans="1:11">
      <c r="A1556" s="760"/>
      <c r="B1556" s="760"/>
      <c r="C1556" s="760"/>
      <c r="D1556" s="760"/>
      <c r="E1556" s="760"/>
      <c r="F1556" s="760"/>
      <c r="G1556" s="760"/>
      <c r="H1556" s="760"/>
      <c r="I1556" s="760"/>
      <c r="J1556" s="760"/>
      <c r="K1556" s="760"/>
    </row>
    <row r="1557" spans="1:11">
      <c r="A1557" s="760"/>
      <c r="B1557" s="760"/>
      <c r="C1557" s="760"/>
      <c r="D1557" s="760"/>
      <c r="E1557" s="760"/>
      <c r="F1557" s="760"/>
      <c r="G1557" s="760"/>
      <c r="H1557" s="760"/>
      <c r="I1557" s="760"/>
      <c r="J1557" s="760"/>
      <c r="K1557" s="760"/>
    </row>
    <row r="1558" spans="1:11">
      <c r="A1558" s="760"/>
      <c r="B1558" s="760"/>
      <c r="C1558" s="760"/>
      <c r="D1558" s="760"/>
      <c r="E1558" s="760"/>
      <c r="F1558" s="760"/>
      <c r="G1558" s="760"/>
      <c r="H1558" s="760"/>
      <c r="I1558" s="760"/>
      <c r="J1558" s="760"/>
      <c r="K1558" s="760"/>
    </row>
    <row r="1559" spans="1:11">
      <c r="A1559" s="760"/>
      <c r="B1559" s="760"/>
      <c r="C1559" s="760"/>
      <c r="D1559" s="760"/>
      <c r="E1559" s="760"/>
      <c r="F1559" s="760"/>
      <c r="G1559" s="760"/>
      <c r="H1559" s="760"/>
      <c r="I1559" s="760"/>
      <c r="J1559" s="760"/>
      <c r="K1559" s="760"/>
    </row>
    <row r="1560" spans="1:11">
      <c r="A1560" s="760"/>
      <c r="B1560" s="760"/>
      <c r="C1560" s="760"/>
      <c r="D1560" s="760"/>
      <c r="E1560" s="760"/>
      <c r="F1560" s="760"/>
      <c r="G1560" s="760"/>
      <c r="H1560" s="760"/>
      <c r="I1560" s="760"/>
      <c r="J1560" s="760"/>
      <c r="K1560" s="760"/>
    </row>
    <row r="1561" spans="1:11">
      <c r="A1561" s="760"/>
      <c r="B1561" s="760"/>
      <c r="C1561" s="760"/>
      <c r="D1561" s="760"/>
      <c r="E1561" s="760"/>
      <c r="F1561" s="760"/>
      <c r="G1561" s="760"/>
      <c r="H1561" s="760"/>
      <c r="I1561" s="760"/>
      <c r="J1561" s="760"/>
      <c r="K1561" s="760"/>
    </row>
    <row r="1562" spans="1:11">
      <c r="A1562" s="760"/>
      <c r="B1562" s="760"/>
      <c r="C1562" s="760"/>
      <c r="D1562" s="760"/>
      <c r="E1562" s="760"/>
      <c r="F1562" s="760"/>
      <c r="G1562" s="760"/>
      <c r="H1562" s="760"/>
      <c r="I1562" s="760"/>
      <c r="J1562" s="760"/>
      <c r="K1562" s="760"/>
    </row>
    <row r="1563" spans="1:11">
      <c r="A1563" s="760"/>
      <c r="B1563" s="760"/>
      <c r="C1563" s="760"/>
      <c r="D1563" s="760"/>
      <c r="E1563" s="760"/>
      <c r="F1563" s="760"/>
      <c r="G1563" s="760"/>
      <c r="H1563" s="760"/>
      <c r="I1563" s="760"/>
      <c r="J1563" s="760"/>
      <c r="K1563" s="760"/>
    </row>
    <row r="1564" spans="1:11">
      <c r="A1564" s="760"/>
      <c r="B1564" s="760"/>
      <c r="C1564" s="760"/>
      <c r="D1564" s="760"/>
      <c r="E1564" s="760"/>
      <c r="F1564" s="760"/>
      <c r="G1564" s="760"/>
      <c r="H1564" s="760"/>
      <c r="I1564" s="760"/>
      <c r="J1564" s="760"/>
      <c r="K1564" s="760"/>
    </row>
    <row r="1565" spans="1:11">
      <c r="A1565" s="760"/>
      <c r="B1565" s="760"/>
      <c r="C1565" s="760"/>
      <c r="D1565" s="760"/>
      <c r="E1565" s="760"/>
      <c r="F1565" s="760"/>
      <c r="G1565" s="760"/>
      <c r="H1565" s="760"/>
      <c r="I1565" s="760"/>
      <c r="J1565" s="760"/>
      <c r="K1565" s="760"/>
    </row>
    <row r="1566" spans="1:11">
      <c r="A1566" s="760"/>
      <c r="B1566" s="760"/>
      <c r="C1566" s="760"/>
      <c r="D1566" s="760"/>
      <c r="E1566" s="760"/>
      <c r="F1566" s="760"/>
      <c r="G1566" s="760"/>
      <c r="H1566" s="760"/>
      <c r="I1566" s="760"/>
      <c r="J1566" s="760"/>
      <c r="K1566" s="760"/>
    </row>
    <row r="1567" spans="1:11">
      <c r="A1567" s="760"/>
      <c r="B1567" s="760"/>
      <c r="C1567" s="760"/>
      <c r="D1567" s="760"/>
      <c r="E1567" s="760"/>
      <c r="F1567" s="760"/>
      <c r="G1567" s="760"/>
      <c r="H1567" s="760"/>
      <c r="I1567" s="760"/>
      <c r="J1567" s="760"/>
      <c r="K1567" s="760"/>
    </row>
    <row r="1568" spans="1:11">
      <c r="A1568" s="760"/>
      <c r="B1568" s="760"/>
      <c r="C1568" s="760"/>
      <c r="D1568" s="760"/>
      <c r="E1568" s="760"/>
      <c r="F1568" s="760"/>
      <c r="G1568" s="760"/>
      <c r="H1568" s="760"/>
      <c r="I1568" s="760"/>
      <c r="J1568" s="760"/>
      <c r="K1568" s="760"/>
    </row>
    <row r="1569" spans="1:11">
      <c r="A1569" s="760"/>
      <c r="B1569" s="760"/>
      <c r="C1569" s="760"/>
      <c r="D1569" s="760"/>
      <c r="E1569" s="760"/>
      <c r="F1569" s="760"/>
      <c r="G1569" s="760"/>
      <c r="H1569" s="760"/>
      <c r="I1569" s="760"/>
      <c r="J1569" s="760"/>
      <c r="K1569" s="760"/>
    </row>
    <row r="1570" spans="1:11">
      <c r="A1570" s="760"/>
      <c r="B1570" s="760"/>
      <c r="C1570" s="760"/>
      <c r="D1570" s="760"/>
      <c r="E1570" s="760"/>
      <c r="F1570" s="760"/>
      <c r="G1570" s="760"/>
      <c r="H1570" s="760"/>
      <c r="I1570" s="760"/>
      <c r="J1570" s="760"/>
      <c r="K1570" s="760"/>
    </row>
    <row r="1571" spans="1:11">
      <c r="A1571" s="760"/>
      <c r="B1571" s="760"/>
      <c r="C1571" s="760"/>
      <c r="D1571" s="760"/>
      <c r="E1571" s="760"/>
      <c r="F1571" s="760"/>
      <c r="G1571" s="760"/>
      <c r="H1571" s="760"/>
      <c r="I1571" s="760"/>
      <c r="J1571" s="760"/>
      <c r="K1571" s="760"/>
    </row>
    <row r="1572" spans="1:11">
      <c r="A1572" s="760"/>
      <c r="B1572" s="760"/>
      <c r="C1572" s="760"/>
      <c r="D1572" s="760"/>
      <c r="E1572" s="760"/>
      <c r="F1572" s="760"/>
      <c r="G1572" s="760"/>
      <c r="H1572" s="760"/>
      <c r="I1572" s="760"/>
      <c r="J1572" s="760"/>
      <c r="K1572" s="760"/>
    </row>
    <row r="1573" spans="1:11">
      <c r="A1573" s="760"/>
      <c r="B1573" s="760"/>
      <c r="C1573" s="760"/>
      <c r="D1573" s="760"/>
      <c r="E1573" s="760"/>
      <c r="F1573" s="760"/>
      <c r="G1573" s="760"/>
      <c r="H1573" s="760"/>
      <c r="I1573" s="760"/>
      <c r="J1573" s="760"/>
      <c r="K1573" s="760"/>
    </row>
    <row r="1574" spans="1:11">
      <c r="A1574" s="760"/>
      <c r="B1574" s="760"/>
      <c r="C1574" s="760"/>
      <c r="D1574" s="760"/>
      <c r="E1574" s="760"/>
      <c r="F1574" s="760"/>
      <c r="G1574" s="760"/>
      <c r="H1574" s="760"/>
      <c r="I1574" s="760"/>
      <c r="J1574" s="760"/>
      <c r="K1574" s="760"/>
    </row>
    <row r="1575" spans="1:11">
      <c r="A1575" s="760"/>
      <c r="B1575" s="760"/>
      <c r="C1575" s="760"/>
      <c r="D1575" s="760"/>
      <c r="E1575" s="760"/>
      <c r="F1575" s="760"/>
      <c r="G1575" s="760"/>
      <c r="H1575" s="760"/>
      <c r="I1575" s="760"/>
      <c r="J1575" s="760"/>
      <c r="K1575" s="760"/>
    </row>
    <row r="1576" spans="1:11">
      <c r="A1576" s="760"/>
      <c r="B1576" s="760"/>
      <c r="C1576" s="760"/>
      <c r="D1576" s="760"/>
      <c r="E1576" s="760"/>
      <c r="F1576" s="760"/>
      <c r="G1576" s="760"/>
      <c r="H1576" s="760"/>
      <c r="I1576" s="760"/>
      <c r="J1576" s="760"/>
      <c r="K1576" s="760"/>
    </row>
    <row r="1577" spans="1:11">
      <c r="A1577" s="760"/>
      <c r="B1577" s="760"/>
      <c r="C1577" s="760"/>
      <c r="D1577" s="760"/>
      <c r="E1577" s="760"/>
      <c r="F1577" s="760"/>
      <c r="G1577" s="760"/>
      <c r="H1577" s="760"/>
      <c r="I1577" s="760"/>
      <c r="J1577" s="760"/>
      <c r="K1577" s="760"/>
    </row>
    <row r="1578" spans="1:11">
      <c r="A1578" s="760"/>
      <c r="B1578" s="760"/>
      <c r="C1578" s="760"/>
      <c r="D1578" s="760"/>
      <c r="E1578" s="760"/>
      <c r="F1578" s="760"/>
      <c r="G1578" s="760"/>
      <c r="H1578" s="760"/>
      <c r="I1578" s="760"/>
      <c r="J1578" s="760"/>
      <c r="K1578" s="760"/>
    </row>
    <row r="1579" spans="1:11">
      <c r="A1579" s="760"/>
      <c r="B1579" s="760"/>
      <c r="C1579" s="760"/>
      <c r="D1579" s="760"/>
      <c r="E1579" s="760"/>
      <c r="F1579" s="760"/>
      <c r="G1579" s="760"/>
      <c r="H1579" s="760"/>
      <c r="I1579" s="760"/>
      <c r="J1579" s="760"/>
      <c r="K1579" s="760"/>
    </row>
    <row r="1580" spans="1:11">
      <c r="A1580" s="760"/>
      <c r="B1580" s="760"/>
      <c r="C1580" s="760"/>
      <c r="D1580" s="760"/>
      <c r="E1580" s="760"/>
      <c r="F1580" s="760"/>
      <c r="G1580" s="760"/>
      <c r="H1580" s="760"/>
      <c r="I1580" s="760"/>
      <c r="J1580" s="760"/>
      <c r="K1580" s="760"/>
    </row>
    <row r="1581" spans="1:11">
      <c r="A1581" s="760"/>
      <c r="B1581" s="760"/>
      <c r="C1581" s="760"/>
      <c r="D1581" s="760"/>
      <c r="E1581" s="760"/>
      <c r="F1581" s="760"/>
      <c r="G1581" s="760"/>
      <c r="H1581" s="760"/>
      <c r="I1581" s="760"/>
      <c r="J1581" s="760"/>
      <c r="K1581" s="760"/>
    </row>
    <row r="1582" spans="1:11">
      <c r="A1582" s="760"/>
      <c r="B1582" s="760"/>
      <c r="C1582" s="760"/>
      <c r="D1582" s="760"/>
      <c r="E1582" s="760"/>
      <c r="F1582" s="760"/>
      <c r="G1582" s="760"/>
      <c r="H1582" s="760"/>
      <c r="I1582" s="760"/>
      <c r="J1582" s="760"/>
      <c r="K1582" s="760"/>
    </row>
    <row r="1583" spans="1:11">
      <c r="A1583" s="760"/>
      <c r="B1583" s="760"/>
      <c r="C1583" s="760"/>
      <c r="D1583" s="760"/>
      <c r="E1583" s="760"/>
      <c r="F1583" s="760"/>
      <c r="G1583" s="760"/>
      <c r="H1583" s="760"/>
      <c r="I1583" s="760"/>
      <c r="J1583" s="760"/>
      <c r="K1583" s="760"/>
    </row>
    <row r="1584" spans="1:11">
      <c r="A1584" s="760"/>
      <c r="B1584" s="760"/>
      <c r="C1584" s="760"/>
      <c r="D1584" s="760"/>
      <c r="E1584" s="760"/>
      <c r="F1584" s="760"/>
      <c r="G1584" s="760"/>
      <c r="H1584" s="760"/>
      <c r="I1584" s="760"/>
      <c r="J1584" s="760"/>
      <c r="K1584" s="760"/>
    </row>
    <row r="1585" spans="1:11">
      <c r="A1585" s="760"/>
      <c r="B1585" s="760"/>
      <c r="C1585" s="760"/>
      <c r="D1585" s="760"/>
      <c r="E1585" s="760"/>
      <c r="F1585" s="760"/>
      <c r="G1585" s="760"/>
      <c r="H1585" s="760"/>
      <c r="I1585" s="760"/>
      <c r="J1585" s="760"/>
      <c r="K1585" s="760"/>
    </row>
    <row r="1586" spans="1:11">
      <c r="A1586" s="760"/>
      <c r="B1586" s="760"/>
      <c r="C1586" s="760"/>
      <c r="D1586" s="760"/>
      <c r="E1586" s="760"/>
      <c r="F1586" s="760"/>
      <c r="G1586" s="760"/>
      <c r="H1586" s="760"/>
      <c r="I1586" s="760"/>
      <c r="J1586" s="760"/>
      <c r="K1586" s="760"/>
    </row>
    <row r="1587" spans="1:11">
      <c r="A1587" s="760"/>
      <c r="B1587" s="760"/>
      <c r="C1587" s="760"/>
      <c r="D1587" s="760"/>
      <c r="E1587" s="760"/>
      <c r="F1587" s="760"/>
      <c r="G1587" s="760"/>
      <c r="H1587" s="760"/>
      <c r="I1587" s="760"/>
      <c r="J1587" s="760"/>
      <c r="K1587" s="760"/>
    </row>
    <row r="1588" spans="1:11">
      <c r="A1588" s="760"/>
      <c r="B1588" s="760"/>
      <c r="C1588" s="760"/>
      <c r="D1588" s="760"/>
      <c r="E1588" s="760"/>
      <c r="F1588" s="760"/>
      <c r="G1588" s="760"/>
      <c r="H1588" s="760"/>
      <c r="I1588" s="760"/>
      <c r="J1588" s="760"/>
      <c r="K1588" s="760"/>
    </row>
    <row r="1589" spans="1:11">
      <c r="A1589" s="760"/>
      <c r="B1589" s="760"/>
      <c r="C1589" s="760"/>
      <c r="D1589" s="760"/>
      <c r="E1589" s="760"/>
      <c r="F1589" s="760"/>
      <c r="G1589" s="760"/>
      <c r="H1589" s="760"/>
      <c r="I1589" s="760"/>
      <c r="J1589" s="760"/>
      <c r="K1589" s="760"/>
    </row>
    <row r="1590" spans="1:11">
      <c r="A1590" s="760"/>
      <c r="B1590" s="760"/>
      <c r="C1590" s="760"/>
      <c r="D1590" s="760"/>
      <c r="E1590" s="760"/>
      <c r="F1590" s="760"/>
      <c r="G1590" s="760"/>
      <c r="H1590" s="760"/>
      <c r="I1590" s="760"/>
      <c r="J1590" s="760"/>
      <c r="K1590" s="760"/>
    </row>
    <row r="1591" spans="1:11">
      <c r="A1591" s="760"/>
      <c r="B1591" s="760"/>
      <c r="C1591" s="760"/>
      <c r="D1591" s="760"/>
      <c r="E1591" s="760"/>
      <c r="F1591" s="760"/>
      <c r="G1591" s="760"/>
      <c r="H1591" s="760"/>
      <c r="I1591" s="760"/>
      <c r="J1591" s="760"/>
      <c r="K1591" s="760"/>
    </row>
    <row r="1592" spans="1:11">
      <c r="A1592" s="760"/>
      <c r="B1592" s="760"/>
      <c r="C1592" s="760"/>
      <c r="D1592" s="760"/>
      <c r="E1592" s="760"/>
      <c r="F1592" s="760"/>
      <c r="G1592" s="760"/>
      <c r="H1592" s="760"/>
      <c r="I1592" s="760"/>
      <c r="J1592" s="760"/>
      <c r="K1592" s="760"/>
    </row>
    <row r="1593" spans="1:11">
      <c r="A1593" s="760"/>
      <c r="B1593" s="760"/>
      <c r="C1593" s="760"/>
      <c r="D1593" s="760"/>
      <c r="E1593" s="760"/>
      <c r="F1593" s="760"/>
      <c r="G1593" s="760"/>
      <c r="H1593" s="760"/>
      <c r="I1593" s="760"/>
      <c r="J1593" s="760"/>
      <c r="K1593" s="760"/>
    </row>
    <row r="1594" spans="1:11">
      <c r="A1594" s="760"/>
      <c r="B1594" s="760"/>
      <c r="C1594" s="760"/>
      <c r="D1594" s="760"/>
      <c r="E1594" s="760"/>
      <c r="F1594" s="760"/>
      <c r="G1594" s="760"/>
      <c r="H1594" s="760"/>
      <c r="I1594" s="760"/>
      <c r="J1594" s="760"/>
      <c r="K1594" s="760"/>
    </row>
    <row r="1595" spans="1:11">
      <c r="A1595" s="760"/>
      <c r="B1595" s="760"/>
      <c r="C1595" s="760"/>
      <c r="D1595" s="760"/>
      <c r="E1595" s="760"/>
      <c r="F1595" s="760"/>
      <c r="G1595" s="760"/>
      <c r="H1595" s="760"/>
      <c r="I1595" s="760"/>
      <c r="J1595" s="760"/>
      <c r="K1595" s="760"/>
    </row>
    <row r="1596" spans="1:11">
      <c r="A1596" s="760"/>
      <c r="B1596" s="760"/>
      <c r="C1596" s="760"/>
      <c r="D1596" s="760"/>
      <c r="E1596" s="760"/>
      <c r="F1596" s="760"/>
      <c r="G1596" s="760"/>
      <c r="H1596" s="760"/>
      <c r="I1596" s="760"/>
      <c r="J1596" s="760"/>
      <c r="K1596" s="760"/>
    </row>
    <row r="1597" spans="1:11">
      <c r="A1597" s="760"/>
      <c r="B1597" s="760"/>
      <c r="C1597" s="760"/>
      <c r="D1597" s="760"/>
      <c r="E1597" s="760"/>
      <c r="F1597" s="760"/>
      <c r="G1597" s="760"/>
      <c r="H1597" s="760"/>
      <c r="I1597" s="760"/>
      <c r="J1597" s="760"/>
      <c r="K1597" s="760"/>
    </row>
    <row r="1598" spans="1:11">
      <c r="A1598" s="760"/>
      <c r="B1598" s="760"/>
      <c r="C1598" s="760"/>
      <c r="D1598" s="760"/>
      <c r="E1598" s="760"/>
      <c r="F1598" s="760"/>
      <c r="G1598" s="760"/>
      <c r="H1598" s="760"/>
      <c r="I1598" s="760"/>
      <c r="J1598" s="760"/>
      <c r="K1598" s="760"/>
    </row>
    <row r="1599" spans="1:11">
      <c r="A1599" s="760"/>
      <c r="B1599" s="760"/>
      <c r="C1599" s="760"/>
      <c r="D1599" s="760"/>
      <c r="E1599" s="760"/>
      <c r="F1599" s="760"/>
      <c r="G1599" s="760"/>
      <c r="H1599" s="760"/>
      <c r="I1599" s="760"/>
      <c r="J1599" s="760"/>
      <c r="K1599" s="760"/>
    </row>
    <row r="1600" spans="1:11">
      <c r="A1600" s="760"/>
      <c r="B1600" s="760"/>
      <c r="C1600" s="760"/>
      <c r="D1600" s="760"/>
      <c r="E1600" s="760"/>
      <c r="F1600" s="760"/>
      <c r="G1600" s="760"/>
      <c r="H1600" s="760"/>
      <c r="I1600" s="760"/>
      <c r="J1600" s="760"/>
      <c r="K1600" s="760"/>
    </row>
    <row r="1601" spans="1:11">
      <c r="A1601" s="760"/>
      <c r="B1601" s="760"/>
      <c r="C1601" s="760"/>
      <c r="D1601" s="760"/>
      <c r="E1601" s="760"/>
      <c r="F1601" s="760"/>
      <c r="G1601" s="760"/>
      <c r="H1601" s="760"/>
      <c r="I1601" s="760"/>
      <c r="J1601" s="760"/>
      <c r="K1601" s="760"/>
    </row>
    <row r="1602" spans="1:11">
      <c r="A1602" s="760"/>
      <c r="B1602" s="760"/>
      <c r="C1602" s="760"/>
      <c r="D1602" s="760"/>
      <c r="E1602" s="760"/>
      <c r="F1602" s="760"/>
      <c r="G1602" s="760"/>
      <c r="H1602" s="760"/>
      <c r="I1602" s="760"/>
      <c r="J1602" s="760"/>
      <c r="K1602" s="760"/>
    </row>
    <row r="1603" spans="1:11">
      <c r="A1603" s="760"/>
      <c r="B1603" s="760"/>
      <c r="C1603" s="760"/>
      <c r="D1603" s="760"/>
      <c r="E1603" s="760"/>
      <c r="F1603" s="760"/>
      <c r="G1603" s="760"/>
      <c r="H1603" s="760"/>
      <c r="I1603" s="760"/>
      <c r="J1603" s="760"/>
      <c r="K1603" s="760"/>
    </row>
    <row r="1604" spans="1:11">
      <c r="A1604" s="760"/>
      <c r="B1604" s="760"/>
      <c r="C1604" s="760"/>
      <c r="D1604" s="760"/>
      <c r="E1604" s="760"/>
      <c r="F1604" s="760"/>
      <c r="G1604" s="760"/>
      <c r="H1604" s="760"/>
      <c r="I1604" s="760"/>
      <c r="J1604" s="760"/>
      <c r="K1604" s="760"/>
    </row>
    <row r="1605" spans="1:11">
      <c r="A1605" s="760"/>
      <c r="B1605" s="760"/>
      <c r="C1605" s="760"/>
      <c r="D1605" s="760"/>
      <c r="E1605" s="760"/>
      <c r="F1605" s="760"/>
      <c r="G1605" s="760"/>
      <c r="H1605" s="760"/>
      <c r="I1605" s="760"/>
      <c r="J1605" s="760"/>
      <c r="K1605" s="760"/>
    </row>
    <row r="1606" spans="1:11">
      <c r="A1606" s="760"/>
      <c r="B1606" s="760"/>
      <c r="C1606" s="760"/>
      <c r="D1606" s="760"/>
      <c r="E1606" s="760"/>
      <c r="F1606" s="760"/>
      <c r="G1606" s="760"/>
      <c r="H1606" s="760"/>
      <c r="I1606" s="760"/>
      <c r="J1606" s="760"/>
      <c r="K1606" s="760"/>
    </row>
    <row r="1607" spans="1:11">
      <c r="A1607" s="760"/>
      <c r="B1607" s="760"/>
      <c r="C1607" s="760"/>
      <c r="D1607" s="760"/>
      <c r="E1607" s="760"/>
      <c r="F1607" s="760"/>
      <c r="G1607" s="760"/>
      <c r="H1607" s="760"/>
      <c r="I1607" s="760"/>
      <c r="J1607" s="760"/>
      <c r="K1607" s="760"/>
    </row>
    <row r="1608" spans="1:11">
      <c r="A1608" s="760"/>
      <c r="B1608" s="760"/>
      <c r="C1608" s="760"/>
      <c r="D1608" s="760"/>
      <c r="E1608" s="760"/>
      <c r="F1608" s="760"/>
      <c r="G1608" s="760"/>
      <c r="H1608" s="760"/>
      <c r="I1608" s="760"/>
      <c r="J1608" s="760"/>
      <c r="K1608" s="760"/>
    </row>
    <row r="1609" spans="1:11">
      <c r="A1609" s="760"/>
      <c r="B1609" s="760"/>
      <c r="C1609" s="760"/>
      <c r="D1609" s="760"/>
      <c r="E1609" s="760"/>
      <c r="F1609" s="760"/>
      <c r="G1609" s="760"/>
      <c r="H1609" s="760"/>
      <c r="I1609" s="760"/>
      <c r="J1609" s="760"/>
      <c r="K1609" s="760"/>
    </row>
    <row r="1610" spans="1:11">
      <c r="A1610" s="760"/>
      <c r="B1610" s="760"/>
      <c r="C1610" s="760"/>
      <c r="D1610" s="760"/>
      <c r="E1610" s="760"/>
      <c r="F1610" s="760"/>
      <c r="G1610" s="760"/>
      <c r="H1610" s="760"/>
      <c r="I1610" s="760"/>
      <c r="J1610" s="760"/>
      <c r="K1610" s="760"/>
    </row>
    <row r="1611" spans="1:11">
      <c r="A1611" s="760"/>
      <c r="B1611" s="760"/>
      <c r="C1611" s="760"/>
      <c r="D1611" s="760"/>
      <c r="E1611" s="760"/>
      <c r="F1611" s="760"/>
      <c r="G1611" s="760"/>
      <c r="H1611" s="760"/>
      <c r="I1611" s="760"/>
      <c r="J1611" s="760"/>
      <c r="K1611" s="760"/>
    </row>
    <row r="1612" spans="1:11">
      <c r="A1612" s="760"/>
      <c r="B1612" s="760"/>
      <c r="C1612" s="760"/>
      <c r="D1612" s="760"/>
      <c r="E1612" s="760"/>
      <c r="F1612" s="760"/>
      <c r="G1612" s="760"/>
      <c r="H1612" s="760"/>
      <c r="I1612" s="760"/>
      <c r="J1612" s="760"/>
      <c r="K1612" s="760"/>
    </row>
    <row r="1613" spans="1:11">
      <c r="A1613" s="760"/>
      <c r="B1613" s="760"/>
      <c r="C1613" s="760"/>
      <c r="D1613" s="760"/>
      <c r="E1613" s="760"/>
      <c r="F1613" s="760"/>
      <c r="G1613" s="760"/>
      <c r="H1613" s="760"/>
      <c r="I1613" s="760"/>
      <c r="J1613" s="760"/>
      <c r="K1613" s="760"/>
    </row>
    <row r="1614" spans="1:11">
      <c r="A1614" s="760"/>
      <c r="B1614" s="760"/>
      <c r="C1614" s="760"/>
      <c r="D1614" s="760"/>
      <c r="E1614" s="760"/>
      <c r="F1614" s="760"/>
      <c r="G1614" s="760"/>
      <c r="H1614" s="760"/>
      <c r="I1614" s="760"/>
      <c r="J1614" s="760"/>
      <c r="K1614" s="760"/>
    </row>
    <row r="1615" spans="1:11">
      <c r="A1615" s="760"/>
      <c r="B1615" s="760"/>
      <c r="C1615" s="760"/>
      <c r="D1615" s="760"/>
      <c r="E1615" s="760"/>
      <c r="F1615" s="760"/>
      <c r="G1615" s="760"/>
      <c r="H1615" s="760"/>
      <c r="I1615" s="760"/>
      <c r="J1615" s="760"/>
      <c r="K1615" s="760"/>
    </row>
    <row r="1616" spans="1:11">
      <c r="A1616" s="760"/>
      <c r="B1616" s="760"/>
      <c r="C1616" s="760"/>
      <c r="D1616" s="760"/>
      <c r="E1616" s="760"/>
      <c r="F1616" s="760"/>
      <c r="G1616" s="760"/>
      <c r="H1616" s="760"/>
      <c r="I1616" s="760"/>
      <c r="J1616" s="760"/>
      <c r="K1616" s="760"/>
    </row>
    <row r="1617" spans="1:11">
      <c r="A1617" s="760"/>
      <c r="B1617" s="760"/>
      <c r="C1617" s="760"/>
      <c r="D1617" s="760"/>
      <c r="E1617" s="760"/>
      <c r="F1617" s="760"/>
      <c r="G1617" s="760"/>
      <c r="H1617" s="760"/>
      <c r="I1617" s="760"/>
      <c r="J1617" s="760"/>
      <c r="K1617" s="760"/>
    </row>
    <row r="1618" spans="1:11">
      <c r="A1618" s="760"/>
      <c r="B1618" s="760"/>
      <c r="C1618" s="760"/>
      <c r="D1618" s="760"/>
      <c r="E1618" s="760"/>
      <c r="F1618" s="760"/>
      <c r="G1618" s="760"/>
      <c r="H1618" s="760"/>
      <c r="I1618" s="760"/>
      <c r="J1618" s="760"/>
      <c r="K1618" s="760"/>
    </row>
    <row r="1619" spans="1:11">
      <c r="A1619" s="760"/>
      <c r="B1619" s="760"/>
      <c r="C1619" s="760"/>
      <c r="D1619" s="760"/>
      <c r="E1619" s="760"/>
      <c r="F1619" s="760"/>
      <c r="G1619" s="760"/>
      <c r="H1619" s="760"/>
      <c r="I1619" s="760"/>
      <c r="J1619" s="760"/>
      <c r="K1619" s="760"/>
    </row>
    <row r="1620" spans="1:11">
      <c r="A1620" s="760"/>
      <c r="B1620" s="760"/>
      <c r="C1620" s="760"/>
      <c r="D1620" s="760"/>
      <c r="E1620" s="760"/>
      <c r="F1620" s="760"/>
      <c r="G1620" s="760"/>
      <c r="H1620" s="760"/>
      <c r="I1620" s="760"/>
      <c r="J1620" s="760"/>
      <c r="K1620" s="760"/>
    </row>
    <row r="1621" spans="1:11">
      <c r="A1621" s="760"/>
      <c r="B1621" s="760"/>
      <c r="C1621" s="760"/>
      <c r="D1621" s="760"/>
      <c r="E1621" s="760"/>
      <c r="F1621" s="760"/>
      <c r="G1621" s="760"/>
      <c r="H1621" s="760"/>
      <c r="I1621" s="760"/>
      <c r="J1621" s="760"/>
      <c r="K1621" s="760"/>
    </row>
    <row r="1622" spans="1:11">
      <c r="A1622" s="760"/>
      <c r="B1622" s="760"/>
      <c r="C1622" s="760"/>
      <c r="D1622" s="760"/>
      <c r="E1622" s="760"/>
      <c r="F1622" s="760"/>
      <c r="G1622" s="760"/>
      <c r="H1622" s="760"/>
      <c r="I1622" s="760"/>
      <c r="J1622" s="760"/>
      <c r="K1622" s="760"/>
    </row>
    <row r="1623" spans="1:11">
      <c r="A1623" s="760"/>
      <c r="B1623" s="760"/>
      <c r="C1623" s="760"/>
      <c r="D1623" s="760"/>
      <c r="E1623" s="760"/>
      <c r="F1623" s="760"/>
      <c r="G1623" s="760"/>
      <c r="H1623" s="760"/>
      <c r="I1623" s="760"/>
      <c r="J1623" s="760"/>
      <c r="K1623" s="760"/>
    </row>
    <row r="1624" spans="1:11">
      <c r="A1624" s="760"/>
      <c r="B1624" s="760"/>
      <c r="C1624" s="760"/>
      <c r="D1624" s="760"/>
      <c r="E1624" s="760"/>
      <c r="F1624" s="760"/>
      <c r="G1624" s="760"/>
      <c r="H1624" s="760"/>
      <c r="I1624" s="760"/>
      <c r="J1624" s="760"/>
      <c r="K1624" s="760"/>
    </row>
    <row r="1625" spans="1:11">
      <c r="A1625" s="760"/>
      <c r="B1625" s="760"/>
      <c r="C1625" s="760"/>
      <c r="D1625" s="760"/>
      <c r="E1625" s="760"/>
      <c r="F1625" s="760"/>
      <c r="G1625" s="760"/>
      <c r="H1625" s="760"/>
      <c r="I1625" s="760"/>
      <c r="J1625" s="760"/>
      <c r="K1625" s="760"/>
    </row>
    <row r="1626" spans="1:11">
      <c r="A1626" s="760"/>
      <c r="B1626" s="760"/>
      <c r="C1626" s="760"/>
      <c r="D1626" s="760"/>
      <c r="E1626" s="760"/>
      <c r="F1626" s="760"/>
      <c r="G1626" s="760"/>
      <c r="H1626" s="760"/>
      <c r="I1626" s="760"/>
      <c r="J1626" s="760"/>
      <c r="K1626" s="760"/>
    </row>
    <row r="1627" spans="1:11">
      <c r="A1627" s="760"/>
      <c r="B1627" s="760"/>
      <c r="C1627" s="760"/>
      <c r="D1627" s="760"/>
      <c r="E1627" s="760"/>
      <c r="F1627" s="760"/>
      <c r="G1627" s="760"/>
      <c r="H1627" s="760"/>
      <c r="I1627" s="760"/>
      <c r="J1627" s="760"/>
      <c r="K1627" s="760"/>
    </row>
    <row r="1628" spans="1:11">
      <c r="A1628" s="760"/>
      <c r="B1628" s="760"/>
      <c r="C1628" s="760"/>
      <c r="D1628" s="760"/>
      <c r="E1628" s="760"/>
      <c r="F1628" s="760"/>
      <c r="G1628" s="760"/>
      <c r="H1628" s="760"/>
      <c r="I1628" s="760"/>
      <c r="J1628" s="760"/>
      <c r="K1628" s="760"/>
    </row>
    <row r="1629" spans="1:11">
      <c r="A1629" s="760"/>
      <c r="B1629" s="760"/>
      <c r="C1629" s="760"/>
      <c r="D1629" s="760"/>
      <c r="E1629" s="760"/>
      <c r="F1629" s="760"/>
      <c r="G1629" s="760"/>
      <c r="H1629" s="760"/>
      <c r="I1629" s="760"/>
      <c r="J1629" s="760"/>
      <c r="K1629" s="760"/>
    </row>
    <row r="1630" spans="1:11">
      <c r="A1630" s="760"/>
      <c r="B1630" s="760"/>
      <c r="C1630" s="760"/>
      <c r="D1630" s="760"/>
      <c r="E1630" s="760"/>
      <c r="F1630" s="760"/>
      <c r="G1630" s="760"/>
      <c r="H1630" s="760"/>
      <c r="I1630" s="760"/>
      <c r="J1630" s="760"/>
      <c r="K1630" s="760"/>
    </row>
    <row r="1631" spans="1:11">
      <c r="A1631" s="760"/>
      <c r="B1631" s="760"/>
      <c r="C1631" s="760"/>
      <c r="D1631" s="760"/>
      <c r="E1631" s="760"/>
      <c r="F1631" s="760"/>
      <c r="G1631" s="760"/>
      <c r="H1631" s="760"/>
      <c r="I1631" s="760"/>
      <c r="J1631" s="760"/>
      <c r="K1631" s="760"/>
    </row>
    <row r="1632" spans="1:11">
      <c r="A1632" s="760"/>
      <c r="B1632" s="760"/>
      <c r="C1632" s="760"/>
      <c r="D1632" s="760"/>
      <c r="E1632" s="760"/>
      <c r="F1632" s="760"/>
      <c r="G1632" s="760"/>
      <c r="H1632" s="760"/>
      <c r="I1632" s="760"/>
      <c r="J1632" s="760"/>
      <c r="K1632" s="760"/>
    </row>
    <row r="1633" spans="1:11">
      <c r="A1633" s="760"/>
      <c r="B1633" s="760"/>
      <c r="C1633" s="760"/>
      <c r="D1633" s="760"/>
      <c r="E1633" s="760"/>
      <c r="F1633" s="760"/>
      <c r="G1633" s="760"/>
      <c r="H1633" s="760"/>
      <c r="I1633" s="760"/>
      <c r="J1633" s="760"/>
      <c r="K1633" s="760"/>
    </row>
    <row r="1634" spans="1:11">
      <c r="A1634" s="760"/>
      <c r="B1634" s="760"/>
      <c r="C1634" s="760"/>
      <c r="D1634" s="760"/>
      <c r="E1634" s="760"/>
      <c r="F1634" s="760"/>
      <c r="G1634" s="760"/>
      <c r="H1634" s="760"/>
      <c r="I1634" s="760"/>
      <c r="J1634" s="760"/>
      <c r="K1634" s="760"/>
    </row>
    <row r="1635" spans="1:11">
      <c r="A1635" s="760"/>
      <c r="B1635" s="760"/>
      <c r="C1635" s="760"/>
      <c r="D1635" s="760"/>
      <c r="E1635" s="760"/>
      <c r="F1635" s="760"/>
      <c r="G1635" s="760"/>
      <c r="H1635" s="760"/>
      <c r="I1635" s="760"/>
      <c r="J1635" s="760"/>
      <c r="K1635" s="760"/>
    </row>
    <row r="1636" spans="1:11">
      <c r="A1636" s="760"/>
      <c r="B1636" s="760"/>
      <c r="C1636" s="760"/>
      <c r="D1636" s="760"/>
      <c r="E1636" s="760"/>
      <c r="F1636" s="760"/>
      <c r="G1636" s="760"/>
      <c r="H1636" s="760"/>
      <c r="I1636" s="760"/>
      <c r="J1636" s="760"/>
      <c r="K1636" s="760"/>
    </row>
    <row r="1637" spans="1:11">
      <c r="A1637" s="760"/>
      <c r="B1637" s="760"/>
      <c r="C1637" s="760"/>
      <c r="D1637" s="760"/>
      <c r="E1637" s="760"/>
      <c r="F1637" s="760"/>
      <c r="G1637" s="760"/>
      <c r="H1637" s="760"/>
      <c r="I1637" s="760"/>
      <c r="J1637" s="760"/>
      <c r="K1637" s="760"/>
    </row>
    <row r="1638" spans="1:11">
      <c r="A1638" s="760"/>
      <c r="B1638" s="760"/>
      <c r="C1638" s="760"/>
      <c r="D1638" s="760"/>
      <c r="E1638" s="760"/>
      <c r="F1638" s="760"/>
      <c r="G1638" s="760"/>
      <c r="H1638" s="760"/>
      <c r="I1638" s="760"/>
      <c r="J1638" s="760"/>
      <c r="K1638" s="760"/>
    </row>
    <row r="1639" spans="1:11">
      <c r="A1639" s="760"/>
      <c r="B1639" s="760"/>
      <c r="C1639" s="760"/>
      <c r="D1639" s="760"/>
      <c r="E1639" s="760"/>
      <c r="F1639" s="760"/>
      <c r="G1639" s="760"/>
      <c r="H1639" s="760"/>
      <c r="I1639" s="760"/>
      <c r="J1639" s="760"/>
      <c r="K1639" s="760"/>
    </row>
    <row r="1640" spans="1:11">
      <c r="A1640" s="760"/>
      <c r="B1640" s="760"/>
      <c r="C1640" s="760"/>
      <c r="D1640" s="760"/>
      <c r="E1640" s="760"/>
      <c r="F1640" s="760"/>
      <c r="G1640" s="760"/>
      <c r="H1640" s="760"/>
      <c r="I1640" s="760"/>
      <c r="J1640" s="760"/>
      <c r="K1640" s="760"/>
    </row>
    <row r="1641" spans="1:11">
      <c r="A1641" s="760"/>
      <c r="B1641" s="760"/>
      <c r="C1641" s="760"/>
      <c r="D1641" s="760"/>
      <c r="E1641" s="760"/>
      <c r="F1641" s="760"/>
      <c r="G1641" s="760"/>
      <c r="H1641" s="760"/>
      <c r="I1641" s="760"/>
      <c r="J1641" s="760"/>
      <c r="K1641" s="760"/>
    </row>
    <row r="1642" spans="1:11">
      <c r="A1642" s="760"/>
      <c r="B1642" s="760"/>
      <c r="C1642" s="760"/>
      <c r="D1642" s="760"/>
      <c r="E1642" s="760"/>
      <c r="F1642" s="760"/>
      <c r="G1642" s="760"/>
      <c r="H1642" s="760"/>
      <c r="I1642" s="760"/>
      <c r="J1642" s="760"/>
      <c r="K1642" s="760"/>
    </row>
    <row r="1643" spans="1:11">
      <c r="A1643" s="760"/>
      <c r="B1643" s="760"/>
      <c r="C1643" s="760"/>
      <c r="D1643" s="760"/>
      <c r="E1643" s="760"/>
      <c r="F1643" s="760"/>
      <c r="G1643" s="760"/>
      <c r="H1643" s="760"/>
      <c r="I1643" s="760"/>
      <c r="J1643" s="760"/>
      <c r="K1643" s="760"/>
    </row>
    <row r="1644" spans="1:11">
      <c r="A1644" s="760"/>
      <c r="B1644" s="760"/>
      <c r="C1644" s="760"/>
      <c r="D1644" s="760"/>
      <c r="E1644" s="760"/>
      <c r="F1644" s="760"/>
      <c r="G1644" s="760"/>
      <c r="H1644" s="760"/>
      <c r="I1644" s="760"/>
      <c r="J1644" s="760"/>
      <c r="K1644" s="760"/>
    </row>
    <row r="1645" spans="1:11">
      <c r="A1645" s="760"/>
      <c r="B1645" s="760"/>
      <c r="C1645" s="760"/>
      <c r="D1645" s="760"/>
      <c r="E1645" s="760"/>
      <c r="F1645" s="760"/>
      <c r="G1645" s="760"/>
      <c r="H1645" s="760"/>
      <c r="I1645" s="760"/>
      <c r="J1645" s="760"/>
      <c r="K1645" s="760"/>
    </row>
    <row r="1646" spans="1:11">
      <c r="A1646" s="760"/>
      <c r="B1646" s="760"/>
      <c r="C1646" s="760"/>
      <c r="D1646" s="760"/>
      <c r="E1646" s="760"/>
      <c r="F1646" s="760"/>
      <c r="G1646" s="760"/>
      <c r="H1646" s="760"/>
      <c r="I1646" s="760"/>
      <c r="J1646" s="760"/>
      <c r="K1646" s="760"/>
    </row>
    <row r="1647" spans="1:11">
      <c r="A1647" s="760"/>
      <c r="B1647" s="760"/>
      <c r="C1647" s="760"/>
      <c r="D1647" s="760"/>
      <c r="E1647" s="760"/>
      <c r="F1647" s="760"/>
      <c r="G1647" s="760"/>
      <c r="H1647" s="760"/>
      <c r="I1647" s="760"/>
      <c r="J1647" s="760"/>
      <c r="K1647" s="760"/>
    </row>
    <row r="1648" spans="1:11">
      <c r="A1648" s="760"/>
      <c r="B1648" s="760"/>
      <c r="C1648" s="760"/>
      <c r="D1648" s="760"/>
      <c r="E1648" s="760"/>
      <c r="F1648" s="760"/>
      <c r="G1648" s="760"/>
      <c r="H1648" s="760"/>
      <c r="I1648" s="760"/>
      <c r="J1648" s="760"/>
      <c r="K1648" s="760"/>
    </row>
    <row r="1649" spans="1:11">
      <c r="A1649" s="760"/>
      <c r="B1649" s="760"/>
      <c r="C1649" s="760"/>
      <c r="D1649" s="760"/>
      <c r="E1649" s="760"/>
      <c r="F1649" s="760"/>
      <c r="G1649" s="760"/>
      <c r="H1649" s="760"/>
      <c r="I1649" s="760"/>
      <c r="J1649" s="760"/>
      <c r="K1649" s="760"/>
    </row>
    <row r="1650" spans="1:11">
      <c r="A1650" s="760"/>
      <c r="B1650" s="760"/>
      <c r="C1650" s="760"/>
      <c r="D1650" s="760"/>
      <c r="E1650" s="760"/>
      <c r="F1650" s="760"/>
      <c r="G1650" s="760"/>
      <c r="H1650" s="760"/>
      <c r="I1650" s="760"/>
      <c r="J1650" s="760"/>
      <c r="K1650" s="760"/>
    </row>
    <row r="1651" spans="1:11">
      <c r="A1651" s="760"/>
      <c r="B1651" s="760"/>
      <c r="C1651" s="760"/>
      <c r="D1651" s="760"/>
      <c r="E1651" s="760"/>
      <c r="F1651" s="760"/>
      <c r="G1651" s="760"/>
      <c r="H1651" s="760"/>
      <c r="I1651" s="760"/>
      <c r="J1651" s="760"/>
      <c r="K1651" s="760"/>
    </row>
    <row r="1652" spans="1:11">
      <c r="A1652" s="760"/>
      <c r="B1652" s="760"/>
      <c r="C1652" s="760"/>
      <c r="D1652" s="760"/>
      <c r="E1652" s="760"/>
      <c r="F1652" s="760"/>
      <c r="G1652" s="760"/>
      <c r="H1652" s="760"/>
      <c r="I1652" s="760"/>
      <c r="J1652" s="760"/>
      <c r="K1652" s="760"/>
    </row>
    <row r="1653" spans="1:11">
      <c r="A1653" s="760"/>
      <c r="B1653" s="760"/>
      <c r="C1653" s="760"/>
      <c r="D1653" s="760"/>
      <c r="E1653" s="760"/>
      <c r="F1653" s="760"/>
      <c r="G1653" s="760"/>
      <c r="H1653" s="760"/>
      <c r="I1653" s="760"/>
      <c r="J1653" s="760"/>
      <c r="K1653" s="760"/>
    </row>
    <row r="1654" spans="1:11">
      <c r="A1654" s="760"/>
      <c r="B1654" s="760"/>
      <c r="C1654" s="760"/>
      <c r="D1654" s="760"/>
      <c r="E1654" s="760"/>
      <c r="F1654" s="760"/>
      <c r="G1654" s="760"/>
      <c r="H1654" s="760"/>
      <c r="I1654" s="760"/>
      <c r="J1654" s="760"/>
      <c r="K1654" s="760"/>
    </row>
    <row r="1655" spans="1:11">
      <c r="A1655" s="760"/>
      <c r="B1655" s="760"/>
      <c r="C1655" s="760"/>
      <c r="D1655" s="760"/>
      <c r="E1655" s="760"/>
      <c r="F1655" s="760"/>
      <c r="G1655" s="760"/>
      <c r="H1655" s="760"/>
      <c r="I1655" s="760"/>
      <c r="J1655" s="760"/>
      <c r="K1655" s="760"/>
    </row>
    <row r="1656" spans="1:11">
      <c r="A1656" s="760"/>
      <c r="B1656" s="760"/>
      <c r="C1656" s="760"/>
      <c r="D1656" s="760"/>
      <c r="E1656" s="760"/>
      <c r="F1656" s="760"/>
      <c r="G1656" s="760"/>
      <c r="H1656" s="760"/>
      <c r="I1656" s="760"/>
      <c r="J1656" s="760"/>
      <c r="K1656" s="760"/>
    </row>
    <row r="1657" spans="1:11">
      <c r="A1657" s="760"/>
      <c r="B1657" s="760"/>
      <c r="C1657" s="760"/>
      <c r="D1657" s="760"/>
      <c r="E1657" s="760"/>
      <c r="F1657" s="760"/>
      <c r="G1657" s="760"/>
      <c r="H1657" s="760"/>
      <c r="I1657" s="760"/>
      <c r="J1657" s="760"/>
      <c r="K1657" s="760"/>
    </row>
    <row r="1658" spans="1:11">
      <c r="A1658" s="760"/>
      <c r="B1658" s="760"/>
      <c r="C1658" s="760"/>
      <c r="D1658" s="760"/>
      <c r="E1658" s="760"/>
      <c r="F1658" s="760"/>
      <c r="G1658" s="760"/>
      <c r="H1658" s="760"/>
      <c r="I1658" s="760"/>
      <c r="J1658" s="760"/>
      <c r="K1658" s="760"/>
    </row>
    <row r="1659" spans="1:11">
      <c r="A1659" s="760"/>
      <c r="B1659" s="760"/>
      <c r="C1659" s="760"/>
      <c r="D1659" s="760"/>
      <c r="E1659" s="760"/>
      <c r="F1659" s="760"/>
      <c r="G1659" s="760"/>
      <c r="H1659" s="760"/>
      <c r="I1659" s="760"/>
      <c r="J1659" s="760"/>
      <c r="K1659" s="760"/>
    </row>
    <row r="1660" spans="1:11">
      <c r="A1660" s="760"/>
      <c r="B1660" s="760"/>
      <c r="C1660" s="760"/>
      <c r="D1660" s="760"/>
      <c r="E1660" s="760"/>
      <c r="F1660" s="760"/>
      <c r="G1660" s="760"/>
      <c r="H1660" s="760"/>
      <c r="I1660" s="760"/>
      <c r="J1660" s="760"/>
      <c r="K1660" s="760"/>
    </row>
    <row r="1661" spans="1:11">
      <c r="A1661" s="760"/>
      <c r="B1661" s="760"/>
      <c r="C1661" s="760"/>
      <c r="D1661" s="760"/>
      <c r="E1661" s="760"/>
      <c r="F1661" s="760"/>
      <c r="G1661" s="760"/>
      <c r="H1661" s="760"/>
      <c r="I1661" s="760"/>
      <c r="J1661" s="760"/>
      <c r="K1661" s="760"/>
    </row>
    <row r="1662" spans="1:11">
      <c r="A1662" s="760"/>
      <c r="B1662" s="760"/>
      <c r="C1662" s="760"/>
      <c r="D1662" s="760"/>
      <c r="E1662" s="760"/>
      <c r="F1662" s="760"/>
      <c r="G1662" s="760"/>
      <c r="H1662" s="760"/>
      <c r="I1662" s="760"/>
      <c r="J1662" s="760"/>
      <c r="K1662" s="760"/>
    </row>
    <row r="1663" spans="1:11">
      <c r="A1663" s="760"/>
      <c r="B1663" s="760"/>
      <c r="C1663" s="760"/>
      <c r="D1663" s="760"/>
      <c r="E1663" s="760"/>
      <c r="F1663" s="760"/>
      <c r="G1663" s="760"/>
      <c r="H1663" s="760"/>
      <c r="I1663" s="760"/>
      <c r="J1663" s="760"/>
      <c r="K1663" s="760"/>
    </row>
    <row r="1664" spans="1:11">
      <c r="A1664" s="760"/>
      <c r="B1664" s="760"/>
      <c r="C1664" s="760"/>
      <c r="D1664" s="760"/>
      <c r="E1664" s="760"/>
      <c r="F1664" s="760"/>
      <c r="G1664" s="760"/>
      <c r="H1664" s="760"/>
      <c r="I1664" s="760"/>
      <c r="J1664" s="760"/>
      <c r="K1664" s="760"/>
    </row>
    <row r="1665" spans="1:11">
      <c r="A1665" s="760"/>
      <c r="B1665" s="760"/>
      <c r="C1665" s="760"/>
      <c r="D1665" s="760"/>
      <c r="E1665" s="760"/>
      <c r="F1665" s="760"/>
      <c r="G1665" s="760"/>
      <c r="H1665" s="760"/>
      <c r="I1665" s="760"/>
      <c r="J1665" s="760"/>
      <c r="K1665" s="760"/>
    </row>
    <row r="1666" spans="1:11">
      <c r="A1666" s="760"/>
      <c r="B1666" s="760"/>
      <c r="C1666" s="760"/>
      <c r="D1666" s="760"/>
      <c r="E1666" s="760"/>
      <c r="F1666" s="760"/>
      <c r="G1666" s="760"/>
      <c r="H1666" s="760"/>
      <c r="I1666" s="760"/>
      <c r="J1666" s="760"/>
      <c r="K1666" s="760"/>
    </row>
    <row r="1667" spans="1:11">
      <c r="A1667" s="760"/>
      <c r="B1667" s="760"/>
      <c r="C1667" s="760"/>
      <c r="D1667" s="760"/>
      <c r="E1667" s="760"/>
      <c r="F1667" s="760"/>
      <c r="G1667" s="760"/>
      <c r="H1667" s="760"/>
      <c r="I1667" s="760"/>
      <c r="J1667" s="760"/>
      <c r="K1667" s="760"/>
    </row>
    <row r="1668" spans="1:11">
      <c r="A1668" s="760"/>
      <c r="B1668" s="760"/>
      <c r="C1668" s="760"/>
      <c r="D1668" s="760"/>
      <c r="E1668" s="760"/>
      <c r="F1668" s="760"/>
      <c r="G1668" s="760"/>
      <c r="H1668" s="760"/>
      <c r="I1668" s="760"/>
      <c r="J1668" s="760"/>
      <c r="K1668" s="760"/>
    </row>
    <row r="1669" spans="1:11">
      <c r="A1669" s="760"/>
      <c r="B1669" s="760"/>
      <c r="C1669" s="760"/>
      <c r="D1669" s="760"/>
      <c r="E1669" s="760"/>
      <c r="F1669" s="760"/>
      <c r="G1669" s="760"/>
      <c r="H1669" s="760"/>
      <c r="I1669" s="760"/>
      <c r="J1669" s="760"/>
      <c r="K1669" s="760"/>
    </row>
    <row r="1670" spans="1:11">
      <c r="A1670" s="760"/>
      <c r="B1670" s="760"/>
      <c r="C1670" s="760"/>
      <c r="D1670" s="760"/>
      <c r="E1670" s="760"/>
      <c r="F1670" s="760"/>
      <c r="G1670" s="760"/>
      <c r="H1670" s="760"/>
      <c r="I1670" s="760"/>
      <c r="J1670" s="760"/>
      <c r="K1670" s="760"/>
    </row>
    <row r="1671" spans="1:11">
      <c r="A1671" s="760"/>
      <c r="B1671" s="760"/>
      <c r="C1671" s="760"/>
      <c r="D1671" s="760"/>
      <c r="E1671" s="760"/>
      <c r="F1671" s="760"/>
      <c r="G1671" s="760"/>
      <c r="H1671" s="760"/>
      <c r="I1671" s="760"/>
      <c r="J1671" s="760"/>
      <c r="K1671" s="760"/>
    </row>
    <row r="1672" spans="1:11">
      <c r="A1672" s="760"/>
      <c r="B1672" s="760"/>
      <c r="C1672" s="760"/>
      <c r="D1672" s="760"/>
      <c r="E1672" s="760"/>
      <c r="F1672" s="760"/>
      <c r="G1672" s="760"/>
      <c r="H1672" s="760"/>
      <c r="I1672" s="760"/>
      <c r="J1672" s="760"/>
      <c r="K1672" s="760"/>
    </row>
    <row r="1673" spans="1:11">
      <c r="A1673" s="760"/>
      <c r="B1673" s="760"/>
      <c r="C1673" s="760"/>
      <c r="D1673" s="760"/>
      <c r="E1673" s="760"/>
      <c r="F1673" s="760"/>
      <c r="G1673" s="760"/>
      <c r="H1673" s="760"/>
      <c r="I1673" s="760"/>
      <c r="J1673" s="760"/>
      <c r="K1673" s="760"/>
    </row>
    <row r="1674" spans="1:11">
      <c r="A1674" s="760"/>
      <c r="B1674" s="760"/>
      <c r="C1674" s="760"/>
      <c r="D1674" s="760"/>
      <c r="E1674" s="760"/>
      <c r="F1674" s="760"/>
      <c r="G1674" s="760"/>
      <c r="H1674" s="760"/>
      <c r="I1674" s="760"/>
      <c r="J1674" s="760"/>
      <c r="K1674" s="760"/>
    </row>
    <row r="1675" spans="1:11">
      <c r="A1675" s="760"/>
      <c r="B1675" s="760"/>
      <c r="C1675" s="760"/>
      <c r="D1675" s="760"/>
      <c r="E1675" s="760"/>
      <c r="F1675" s="760"/>
      <c r="G1675" s="760"/>
      <c r="H1675" s="760"/>
      <c r="I1675" s="760"/>
      <c r="J1675" s="760"/>
      <c r="K1675" s="760"/>
    </row>
    <row r="1676" spans="1:11">
      <c r="A1676" s="760"/>
      <c r="B1676" s="760"/>
      <c r="C1676" s="760"/>
      <c r="D1676" s="760"/>
      <c r="E1676" s="760"/>
      <c r="F1676" s="760"/>
      <c r="G1676" s="760"/>
      <c r="H1676" s="760"/>
      <c r="I1676" s="760"/>
      <c r="J1676" s="760"/>
      <c r="K1676" s="760"/>
    </row>
    <row r="1677" spans="1:11">
      <c r="A1677" s="760"/>
      <c r="B1677" s="760"/>
      <c r="C1677" s="760"/>
      <c r="D1677" s="760"/>
      <c r="E1677" s="760"/>
      <c r="F1677" s="760"/>
      <c r="G1677" s="760"/>
      <c r="H1677" s="760"/>
      <c r="I1677" s="760"/>
      <c r="J1677" s="760"/>
      <c r="K1677" s="760"/>
    </row>
    <row r="1678" spans="1:11">
      <c r="A1678" s="760"/>
      <c r="B1678" s="760"/>
      <c r="C1678" s="760"/>
      <c r="D1678" s="760"/>
      <c r="E1678" s="760"/>
      <c r="F1678" s="760"/>
      <c r="G1678" s="760"/>
      <c r="H1678" s="760"/>
      <c r="I1678" s="760"/>
      <c r="J1678" s="760"/>
      <c r="K1678" s="760"/>
    </row>
    <row r="1679" spans="1:11">
      <c r="A1679" s="760"/>
      <c r="B1679" s="760"/>
      <c r="C1679" s="760"/>
      <c r="D1679" s="760"/>
      <c r="E1679" s="760"/>
      <c r="F1679" s="760"/>
      <c r="G1679" s="760"/>
      <c r="H1679" s="760"/>
      <c r="I1679" s="760"/>
      <c r="J1679" s="760"/>
      <c r="K1679" s="760"/>
    </row>
    <row r="1680" spans="1:11">
      <c r="A1680" s="760"/>
      <c r="B1680" s="760"/>
      <c r="C1680" s="760"/>
      <c r="D1680" s="760"/>
      <c r="E1680" s="760"/>
      <c r="F1680" s="760"/>
      <c r="G1680" s="760"/>
      <c r="H1680" s="760"/>
      <c r="I1680" s="760"/>
      <c r="J1680" s="760"/>
      <c r="K1680" s="760"/>
    </row>
    <row r="1681" spans="1:11">
      <c r="A1681" s="760"/>
      <c r="B1681" s="760"/>
      <c r="C1681" s="760"/>
      <c r="D1681" s="760"/>
      <c r="E1681" s="760"/>
      <c r="F1681" s="760"/>
      <c r="G1681" s="760"/>
      <c r="H1681" s="760"/>
      <c r="I1681" s="760"/>
      <c r="J1681" s="760"/>
      <c r="K1681" s="760"/>
    </row>
    <row r="1682" spans="1:11">
      <c r="A1682" s="760"/>
      <c r="B1682" s="760"/>
      <c r="C1682" s="760"/>
      <c r="D1682" s="760"/>
      <c r="E1682" s="760"/>
      <c r="F1682" s="760"/>
      <c r="G1682" s="760"/>
      <c r="H1682" s="760"/>
      <c r="I1682" s="760"/>
      <c r="J1682" s="760"/>
      <c r="K1682" s="760"/>
    </row>
    <row r="1683" spans="1:11">
      <c r="A1683" s="760"/>
      <c r="B1683" s="760"/>
      <c r="C1683" s="760"/>
      <c r="D1683" s="760"/>
      <c r="E1683" s="760"/>
      <c r="F1683" s="760"/>
      <c r="G1683" s="760"/>
      <c r="H1683" s="760"/>
      <c r="I1683" s="760"/>
      <c r="J1683" s="760"/>
      <c r="K1683" s="760"/>
    </row>
    <row r="1684" spans="1:11">
      <c r="A1684" s="760"/>
      <c r="B1684" s="760"/>
      <c r="C1684" s="760"/>
      <c r="D1684" s="760"/>
      <c r="E1684" s="760"/>
      <c r="F1684" s="760"/>
      <c r="G1684" s="760"/>
      <c r="H1684" s="760"/>
      <c r="I1684" s="760"/>
      <c r="J1684" s="760"/>
      <c r="K1684" s="760"/>
    </row>
    <row r="1685" spans="1:11">
      <c r="A1685" s="760"/>
      <c r="B1685" s="760"/>
      <c r="C1685" s="760"/>
      <c r="D1685" s="760"/>
      <c r="E1685" s="760"/>
      <c r="F1685" s="760"/>
      <c r="G1685" s="760"/>
      <c r="H1685" s="760"/>
      <c r="I1685" s="760"/>
      <c r="J1685" s="760"/>
      <c r="K1685" s="760"/>
    </row>
    <row r="1686" spans="1:11">
      <c r="A1686" s="760"/>
      <c r="B1686" s="760"/>
      <c r="C1686" s="760"/>
      <c r="D1686" s="760"/>
      <c r="E1686" s="760"/>
      <c r="F1686" s="760"/>
      <c r="G1686" s="760"/>
      <c r="H1686" s="760"/>
      <c r="I1686" s="760"/>
      <c r="J1686" s="760"/>
      <c r="K1686" s="760"/>
    </row>
    <row r="1687" spans="1:11">
      <c r="A1687" s="760"/>
      <c r="B1687" s="760"/>
      <c r="C1687" s="760"/>
      <c r="D1687" s="760"/>
      <c r="E1687" s="760"/>
      <c r="F1687" s="760"/>
      <c r="G1687" s="760"/>
      <c r="H1687" s="760"/>
      <c r="I1687" s="760"/>
      <c r="J1687" s="760"/>
      <c r="K1687" s="760"/>
    </row>
    <row r="1688" spans="1:11">
      <c r="A1688" s="760"/>
      <c r="B1688" s="760"/>
      <c r="C1688" s="760"/>
      <c r="D1688" s="760"/>
      <c r="E1688" s="760"/>
      <c r="F1688" s="760"/>
      <c r="G1688" s="760"/>
      <c r="H1688" s="760"/>
      <c r="I1688" s="760"/>
      <c r="J1688" s="760"/>
      <c r="K1688" s="760"/>
    </row>
    <row r="1689" spans="1:11">
      <c r="A1689" s="760"/>
      <c r="B1689" s="760"/>
      <c r="C1689" s="760"/>
      <c r="D1689" s="760"/>
      <c r="E1689" s="760"/>
      <c r="F1689" s="760"/>
      <c r="G1689" s="760"/>
      <c r="H1689" s="760"/>
      <c r="I1689" s="760"/>
      <c r="J1689" s="760"/>
      <c r="K1689" s="760"/>
    </row>
    <row r="1690" spans="1:11">
      <c r="A1690" s="760"/>
      <c r="B1690" s="760"/>
      <c r="C1690" s="760"/>
      <c r="D1690" s="760"/>
      <c r="E1690" s="760"/>
      <c r="F1690" s="760"/>
      <c r="G1690" s="760"/>
      <c r="H1690" s="760"/>
      <c r="I1690" s="760"/>
      <c r="J1690" s="760"/>
      <c r="K1690" s="760"/>
    </row>
    <row r="1691" spans="1:11">
      <c r="A1691" s="760"/>
      <c r="B1691" s="760"/>
      <c r="C1691" s="760"/>
      <c r="D1691" s="760"/>
      <c r="E1691" s="760"/>
      <c r="F1691" s="760"/>
      <c r="G1691" s="760"/>
      <c r="H1691" s="760"/>
      <c r="I1691" s="760"/>
      <c r="J1691" s="760"/>
      <c r="K1691" s="760"/>
    </row>
    <row r="1692" spans="1:11">
      <c r="A1692" s="760"/>
      <c r="B1692" s="760"/>
      <c r="C1692" s="760"/>
      <c r="D1692" s="760"/>
      <c r="E1692" s="760"/>
      <c r="F1692" s="760"/>
      <c r="G1692" s="760"/>
      <c r="H1692" s="760"/>
      <c r="I1692" s="760"/>
      <c r="J1692" s="760"/>
      <c r="K1692" s="760"/>
    </row>
    <row r="1693" spans="1:11">
      <c r="A1693" s="760"/>
      <c r="B1693" s="760"/>
      <c r="C1693" s="760"/>
      <c r="D1693" s="760"/>
      <c r="E1693" s="760"/>
      <c r="F1693" s="760"/>
      <c r="G1693" s="760"/>
      <c r="H1693" s="760"/>
      <c r="I1693" s="760"/>
      <c r="J1693" s="760"/>
      <c r="K1693" s="760"/>
    </row>
    <row r="1694" spans="1:11">
      <c r="A1694" s="760"/>
      <c r="B1694" s="760"/>
      <c r="C1694" s="760"/>
      <c r="D1694" s="760"/>
      <c r="E1694" s="760"/>
      <c r="F1694" s="760"/>
      <c r="G1694" s="760"/>
      <c r="H1694" s="760"/>
      <c r="I1694" s="760"/>
      <c r="J1694" s="760"/>
      <c r="K1694" s="760"/>
    </row>
    <row r="1695" spans="1:11">
      <c r="A1695" s="760"/>
      <c r="B1695" s="760"/>
      <c r="C1695" s="760"/>
      <c r="D1695" s="760"/>
      <c r="E1695" s="760"/>
      <c r="F1695" s="760"/>
      <c r="G1695" s="760"/>
      <c r="H1695" s="760"/>
      <c r="I1695" s="760"/>
      <c r="J1695" s="760"/>
      <c r="K1695" s="760"/>
    </row>
    <row r="1696" spans="1:11">
      <c r="A1696" s="760"/>
      <c r="B1696" s="760"/>
      <c r="C1696" s="760"/>
      <c r="D1696" s="760"/>
      <c r="E1696" s="760"/>
      <c r="F1696" s="760"/>
      <c r="G1696" s="760"/>
      <c r="H1696" s="760"/>
      <c r="I1696" s="760"/>
      <c r="J1696" s="760"/>
      <c r="K1696" s="760"/>
    </row>
    <row r="1697" spans="1:11">
      <c r="A1697" s="760"/>
      <c r="B1697" s="760"/>
      <c r="C1697" s="760"/>
      <c r="D1697" s="760"/>
      <c r="E1697" s="760"/>
      <c r="F1697" s="760"/>
      <c r="G1697" s="760"/>
      <c r="H1697" s="760"/>
      <c r="I1697" s="760"/>
      <c r="J1697" s="760"/>
      <c r="K1697" s="760"/>
    </row>
    <row r="1698" spans="1:11">
      <c r="A1698" s="760"/>
      <c r="B1698" s="760"/>
      <c r="C1698" s="760"/>
      <c r="D1698" s="760"/>
      <c r="E1698" s="760"/>
      <c r="F1698" s="760"/>
      <c r="G1698" s="760"/>
      <c r="H1698" s="760"/>
      <c r="I1698" s="760"/>
      <c r="J1698" s="760"/>
      <c r="K1698" s="760"/>
    </row>
    <row r="1699" spans="1:11">
      <c r="A1699" s="760"/>
      <c r="B1699" s="760"/>
      <c r="C1699" s="760"/>
      <c r="D1699" s="760"/>
      <c r="E1699" s="760"/>
      <c r="F1699" s="760"/>
      <c r="G1699" s="760"/>
      <c r="H1699" s="760"/>
      <c r="I1699" s="760"/>
      <c r="J1699" s="760"/>
      <c r="K1699" s="760"/>
    </row>
    <row r="1700" spans="1:11">
      <c r="A1700" s="760"/>
      <c r="B1700" s="760"/>
      <c r="C1700" s="760"/>
      <c r="D1700" s="760"/>
      <c r="E1700" s="760"/>
      <c r="F1700" s="760"/>
      <c r="G1700" s="760"/>
      <c r="H1700" s="760"/>
      <c r="I1700" s="760"/>
      <c r="J1700" s="760"/>
      <c r="K1700" s="760"/>
    </row>
    <row r="1701" spans="1:11">
      <c r="A1701" s="760"/>
      <c r="B1701" s="760"/>
      <c r="C1701" s="760"/>
      <c r="D1701" s="760"/>
      <c r="E1701" s="760"/>
      <c r="F1701" s="760"/>
      <c r="G1701" s="760"/>
      <c r="H1701" s="760"/>
      <c r="I1701" s="760"/>
      <c r="J1701" s="760"/>
      <c r="K1701" s="760"/>
    </row>
    <row r="1702" spans="1:11">
      <c r="A1702" s="760"/>
      <c r="B1702" s="760"/>
      <c r="C1702" s="760"/>
      <c r="D1702" s="760"/>
      <c r="E1702" s="760"/>
      <c r="F1702" s="760"/>
      <c r="G1702" s="760"/>
      <c r="H1702" s="760"/>
      <c r="I1702" s="760"/>
      <c r="J1702" s="760"/>
      <c r="K1702" s="760"/>
    </row>
    <row r="1703" spans="1:11">
      <c r="A1703" s="760"/>
      <c r="B1703" s="760"/>
      <c r="C1703" s="760"/>
      <c r="D1703" s="760"/>
      <c r="E1703" s="760"/>
      <c r="F1703" s="760"/>
      <c r="G1703" s="760"/>
      <c r="H1703" s="760"/>
      <c r="I1703" s="760"/>
      <c r="J1703" s="760"/>
      <c r="K1703" s="760"/>
    </row>
    <row r="1704" spans="1:11">
      <c r="A1704" s="760"/>
      <c r="B1704" s="760"/>
      <c r="C1704" s="760"/>
      <c r="D1704" s="760"/>
      <c r="E1704" s="760"/>
      <c r="F1704" s="760"/>
      <c r="G1704" s="760"/>
      <c r="H1704" s="760"/>
      <c r="I1704" s="760"/>
      <c r="J1704" s="760"/>
      <c r="K1704" s="760"/>
    </row>
    <row r="1705" spans="1:11">
      <c r="A1705" s="760"/>
      <c r="B1705" s="760"/>
      <c r="C1705" s="760"/>
      <c r="D1705" s="760"/>
      <c r="E1705" s="760"/>
      <c r="F1705" s="760"/>
      <c r="G1705" s="760"/>
      <c r="H1705" s="760"/>
      <c r="I1705" s="760"/>
      <c r="J1705" s="760"/>
      <c r="K1705" s="760"/>
    </row>
    <row r="1706" spans="1:11">
      <c r="A1706" s="760"/>
      <c r="B1706" s="760"/>
      <c r="C1706" s="760"/>
      <c r="D1706" s="760"/>
      <c r="E1706" s="760"/>
      <c r="F1706" s="760"/>
      <c r="G1706" s="760"/>
      <c r="H1706" s="760"/>
      <c r="I1706" s="760"/>
      <c r="J1706" s="760"/>
      <c r="K1706" s="760"/>
    </row>
    <row r="1707" spans="1:11">
      <c r="A1707" s="760"/>
      <c r="B1707" s="760"/>
      <c r="C1707" s="760"/>
      <c r="D1707" s="760"/>
      <c r="E1707" s="760"/>
      <c r="F1707" s="760"/>
      <c r="G1707" s="760"/>
      <c r="H1707" s="760"/>
      <c r="I1707" s="760"/>
      <c r="J1707" s="760"/>
      <c r="K1707" s="760"/>
    </row>
    <row r="1708" spans="1:11">
      <c r="A1708" s="760"/>
      <c r="B1708" s="760"/>
      <c r="C1708" s="760"/>
      <c r="D1708" s="760"/>
      <c r="E1708" s="760"/>
      <c r="F1708" s="760"/>
      <c r="G1708" s="760"/>
      <c r="H1708" s="760"/>
      <c r="I1708" s="760"/>
      <c r="J1708" s="760"/>
      <c r="K1708" s="760"/>
    </row>
    <row r="1709" spans="1:11">
      <c r="A1709" s="760"/>
      <c r="B1709" s="760"/>
      <c r="C1709" s="760"/>
      <c r="D1709" s="760"/>
      <c r="E1709" s="760"/>
      <c r="F1709" s="760"/>
      <c r="G1709" s="760"/>
      <c r="H1709" s="760"/>
      <c r="I1709" s="760"/>
      <c r="J1709" s="760"/>
      <c r="K1709" s="760"/>
    </row>
    <row r="1710" spans="1:11">
      <c r="A1710" s="760"/>
      <c r="B1710" s="760"/>
      <c r="C1710" s="760"/>
      <c r="D1710" s="760"/>
      <c r="E1710" s="760"/>
      <c r="F1710" s="760"/>
      <c r="G1710" s="760"/>
      <c r="H1710" s="760"/>
      <c r="I1710" s="760"/>
      <c r="J1710" s="760"/>
      <c r="K1710" s="760"/>
    </row>
    <row r="1711" spans="1:11">
      <c r="A1711" s="760"/>
      <c r="B1711" s="760"/>
      <c r="C1711" s="760"/>
      <c r="D1711" s="760"/>
      <c r="E1711" s="760"/>
      <c r="F1711" s="760"/>
      <c r="G1711" s="760"/>
      <c r="H1711" s="760"/>
      <c r="I1711" s="760"/>
      <c r="J1711" s="760"/>
      <c r="K1711" s="760"/>
    </row>
    <row r="1712" spans="1:11">
      <c r="A1712" s="760"/>
      <c r="B1712" s="760"/>
      <c r="C1712" s="760"/>
      <c r="D1712" s="760"/>
      <c r="E1712" s="760"/>
      <c r="F1712" s="760"/>
      <c r="G1712" s="760"/>
      <c r="H1712" s="760"/>
      <c r="I1712" s="760"/>
      <c r="J1712" s="760"/>
      <c r="K1712" s="760"/>
    </row>
    <row r="1713" spans="1:11">
      <c r="A1713" s="760"/>
      <c r="B1713" s="760"/>
      <c r="C1713" s="760"/>
      <c r="D1713" s="760"/>
      <c r="E1713" s="760"/>
      <c r="F1713" s="760"/>
      <c r="G1713" s="760"/>
      <c r="H1713" s="760"/>
      <c r="I1713" s="760"/>
      <c r="J1713" s="760"/>
      <c r="K1713" s="760"/>
    </row>
    <row r="1714" spans="1:11">
      <c r="A1714" s="760"/>
      <c r="B1714" s="760"/>
      <c r="C1714" s="760"/>
      <c r="D1714" s="760"/>
      <c r="E1714" s="760"/>
      <c r="F1714" s="760"/>
      <c r="G1714" s="760"/>
      <c r="H1714" s="760"/>
      <c r="I1714" s="760"/>
      <c r="J1714" s="760"/>
      <c r="K1714" s="760"/>
    </row>
    <row r="1715" spans="1:11">
      <c r="A1715" s="760"/>
      <c r="B1715" s="760"/>
      <c r="C1715" s="760"/>
      <c r="D1715" s="760"/>
      <c r="E1715" s="760"/>
      <c r="F1715" s="760"/>
      <c r="G1715" s="760"/>
      <c r="H1715" s="760"/>
      <c r="I1715" s="760"/>
      <c r="J1715" s="760"/>
      <c r="K1715" s="760"/>
    </row>
    <row r="1716" spans="1:11">
      <c r="A1716" s="760"/>
      <c r="B1716" s="760"/>
      <c r="C1716" s="760"/>
      <c r="D1716" s="760"/>
      <c r="E1716" s="760"/>
      <c r="F1716" s="760"/>
      <c r="G1716" s="760"/>
      <c r="H1716" s="760"/>
      <c r="I1716" s="760"/>
      <c r="J1716" s="760"/>
      <c r="K1716" s="760"/>
    </row>
    <row r="1717" spans="1:11">
      <c r="A1717" s="760"/>
      <c r="B1717" s="760"/>
      <c r="C1717" s="760"/>
      <c r="D1717" s="760"/>
      <c r="E1717" s="760"/>
      <c r="F1717" s="760"/>
      <c r="G1717" s="760"/>
      <c r="H1717" s="760"/>
      <c r="I1717" s="760"/>
      <c r="J1717" s="760"/>
      <c r="K1717" s="760"/>
    </row>
    <row r="1718" spans="1:11">
      <c r="A1718" s="760"/>
      <c r="B1718" s="760"/>
      <c r="C1718" s="760"/>
      <c r="D1718" s="760"/>
      <c r="E1718" s="760"/>
      <c r="F1718" s="760"/>
      <c r="G1718" s="760"/>
      <c r="H1718" s="760"/>
      <c r="I1718" s="760"/>
      <c r="J1718" s="760"/>
      <c r="K1718" s="760"/>
    </row>
    <row r="1719" spans="1:11">
      <c r="A1719" s="760"/>
      <c r="B1719" s="760"/>
      <c r="C1719" s="760"/>
      <c r="D1719" s="760"/>
      <c r="E1719" s="760"/>
      <c r="F1719" s="760"/>
      <c r="G1719" s="760"/>
      <c r="H1719" s="760"/>
      <c r="I1719" s="760"/>
      <c r="J1719" s="760"/>
      <c r="K1719" s="760"/>
    </row>
    <row r="1720" spans="1:11">
      <c r="A1720" s="760"/>
      <c r="B1720" s="760"/>
      <c r="C1720" s="760"/>
      <c r="D1720" s="760"/>
      <c r="E1720" s="760"/>
      <c r="F1720" s="760"/>
      <c r="G1720" s="760"/>
      <c r="H1720" s="760"/>
      <c r="I1720" s="760"/>
      <c r="J1720" s="760"/>
      <c r="K1720" s="760"/>
    </row>
    <row r="1721" spans="1:11">
      <c r="A1721" s="760"/>
      <c r="B1721" s="760"/>
      <c r="C1721" s="760"/>
      <c r="D1721" s="760"/>
      <c r="E1721" s="760"/>
      <c r="F1721" s="760"/>
      <c r="G1721" s="760"/>
      <c r="H1721" s="760"/>
      <c r="I1721" s="760"/>
      <c r="J1721" s="760"/>
      <c r="K1721" s="760"/>
    </row>
    <row r="1722" spans="1:11">
      <c r="A1722" s="760"/>
      <c r="B1722" s="760"/>
      <c r="C1722" s="760"/>
      <c r="D1722" s="760"/>
      <c r="E1722" s="760"/>
      <c r="F1722" s="760"/>
      <c r="G1722" s="760"/>
      <c r="H1722" s="760"/>
      <c r="I1722" s="760"/>
      <c r="J1722" s="760"/>
      <c r="K1722" s="760"/>
    </row>
    <row r="1723" spans="1:11">
      <c r="A1723" s="760"/>
      <c r="B1723" s="760"/>
      <c r="C1723" s="760"/>
      <c r="D1723" s="760"/>
      <c r="E1723" s="760"/>
      <c r="F1723" s="760"/>
      <c r="G1723" s="760"/>
      <c r="H1723" s="760"/>
      <c r="I1723" s="760"/>
      <c r="J1723" s="760"/>
      <c r="K1723" s="760"/>
    </row>
    <row r="1724" spans="1:11">
      <c r="A1724" s="760"/>
      <c r="B1724" s="760"/>
      <c r="C1724" s="760"/>
      <c r="D1724" s="760"/>
      <c r="E1724" s="760"/>
      <c r="F1724" s="760"/>
      <c r="G1724" s="760"/>
      <c r="H1724" s="760"/>
      <c r="I1724" s="760"/>
      <c r="J1724" s="760"/>
      <c r="K1724" s="760"/>
    </row>
    <row r="1725" spans="1:11">
      <c r="A1725" s="760"/>
      <c r="B1725" s="760"/>
      <c r="C1725" s="760"/>
      <c r="D1725" s="760"/>
      <c r="E1725" s="760"/>
      <c r="F1725" s="760"/>
      <c r="G1725" s="760"/>
      <c r="H1725" s="760"/>
      <c r="I1725" s="760"/>
      <c r="J1725" s="760"/>
      <c r="K1725" s="760"/>
    </row>
    <row r="1726" spans="1:11">
      <c r="A1726" s="760"/>
      <c r="B1726" s="760"/>
      <c r="C1726" s="760"/>
      <c r="D1726" s="760"/>
      <c r="E1726" s="760"/>
      <c r="F1726" s="760"/>
      <c r="G1726" s="760"/>
      <c r="H1726" s="760"/>
      <c r="I1726" s="760"/>
      <c r="J1726" s="760"/>
      <c r="K1726" s="760"/>
    </row>
    <row r="1727" spans="1:11">
      <c r="A1727" s="760"/>
      <c r="B1727" s="760"/>
      <c r="C1727" s="760"/>
      <c r="D1727" s="760"/>
      <c r="E1727" s="760"/>
      <c r="F1727" s="760"/>
      <c r="G1727" s="760"/>
      <c r="H1727" s="760"/>
      <c r="I1727" s="760"/>
      <c r="J1727" s="760"/>
      <c r="K1727" s="760"/>
    </row>
    <row r="1728" spans="1:11">
      <c r="A1728" s="760"/>
      <c r="B1728" s="760"/>
      <c r="C1728" s="760"/>
      <c r="D1728" s="760"/>
      <c r="E1728" s="760"/>
      <c r="F1728" s="760"/>
      <c r="G1728" s="760"/>
      <c r="H1728" s="760"/>
      <c r="I1728" s="760"/>
      <c r="J1728" s="760"/>
      <c r="K1728" s="760"/>
    </row>
    <row r="1729" spans="1:11">
      <c r="A1729" s="760"/>
      <c r="B1729" s="760"/>
      <c r="C1729" s="760"/>
      <c r="D1729" s="760"/>
      <c r="E1729" s="760"/>
      <c r="F1729" s="760"/>
      <c r="G1729" s="760"/>
      <c r="H1729" s="760"/>
      <c r="I1729" s="760"/>
      <c r="J1729" s="760"/>
      <c r="K1729" s="760"/>
    </row>
    <row r="1730" spans="1:11">
      <c r="A1730" s="760"/>
      <c r="B1730" s="760"/>
      <c r="C1730" s="760"/>
      <c r="D1730" s="760"/>
      <c r="E1730" s="760"/>
      <c r="F1730" s="760"/>
      <c r="G1730" s="760"/>
      <c r="H1730" s="760"/>
      <c r="I1730" s="760"/>
      <c r="J1730" s="760"/>
      <c r="K1730" s="760"/>
    </row>
    <row r="1731" spans="1:11">
      <c r="A1731" s="760"/>
      <c r="B1731" s="760"/>
      <c r="C1731" s="760"/>
      <c r="D1731" s="760"/>
      <c r="E1731" s="760"/>
      <c r="F1731" s="760"/>
      <c r="G1731" s="760"/>
      <c r="H1731" s="760"/>
      <c r="I1731" s="760"/>
      <c r="J1731" s="760"/>
      <c r="K1731" s="760"/>
    </row>
    <row r="1732" spans="1:11">
      <c r="A1732" s="760"/>
      <c r="B1732" s="760"/>
      <c r="C1732" s="760"/>
      <c r="D1732" s="760"/>
      <c r="E1732" s="760"/>
      <c r="F1732" s="760"/>
      <c r="G1732" s="760"/>
      <c r="H1732" s="760"/>
      <c r="I1732" s="760"/>
      <c r="J1732" s="760"/>
      <c r="K1732" s="760"/>
    </row>
    <row r="1733" spans="1:11">
      <c r="A1733" s="760"/>
      <c r="B1733" s="760"/>
      <c r="C1733" s="760"/>
      <c r="D1733" s="760"/>
      <c r="E1733" s="760"/>
      <c r="F1733" s="760"/>
      <c r="G1733" s="760"/>
      <c r="H1733" s="760"/>
      <c r="I1733" s="760"/>
      <c r="J1733" s="760"/>
      <c r="K1733" s="760"/>
    </row>
    <row r="1734" spans="1:11">
      <c r="A1734" s="760"/>
      <c r="B1734" s="760"/>
      <c r="C1734" s="760"/>
      <c r="D1734" s="760"/>
      <c r="E1734" s="760"/>
      <c r="F1734" s="760"/>
      <c r="G1734" s="760"/>
      <c r="H1734" s="760"/>
      <c r="I1734" s="760"/>
      <c r="J1734" s="760"/>
      <c r="K1734" s="760"/>
    </row>
    <row r="1735" spans="1:11">
      <c r="A1735" s="760"/>
      <c r="B1735" s="760"/>
      <c r="C1735" s="760"/>
      <c r="D1735" s="760"/>
      <c r="E1735" s="760"/>
      <c r="F1735" s="760"/>
      <c r="G1735" s="760"/>
      <c r="H1735" s="760"/>
      <c r="I1735" s="760"/>
      <c r="J1735" s="760"/>
      <c r="K1735" s="760"/>
    </row>
    <row r="1736" spans="1:11">
      <c r="A1736" s="760"/>
      <c r="B1736" s="760"/>
      <c r="C1736" s="760"/>
      <c r="D1736" s="760"/>
      <c r="E1736" s="760"/>
      <c r="F1736" s="760"/>
      <c r="G1736" s="760"/>
      <c r="H1736" s="760"/>
      <c r="I1736" s="760"/>
      <c r="J1736" s="760"/>
      <c r="K1736" s="760"/>
    </row>
    <row r="1737" spans="1:11">
      <c r="A1737" s="760"/>
      <c r="B1737" s="760"/>
      <c r="C1737" s="760"/>
      <c r="D1737" s="760"/>
      <c r="E1737" s="760"/>
      <c r="F1737" s="760"/>
      <c r="G1737" s="760"/>
      <c r="H1737" s="760"/>
      <c r="I1737" s="760"/>
      <c r="J1737" s="760"/>
      <c r="K1737" s="760"/>
    </row>
    <row r="1738" spans="1:11">
      <c r="A1738" s="760"/>
      <c r="B1738" s="760"/>
      <c r="C1738" s="760"/>
      <c r="D1738" s="760"/>
      <c r="E1738" s="760"/>
      <c r="F1738" s="760"/>
      <c r="G1738" s="760"/>
      <c r="H1738" s="760"/>
      <c r="I1738" s="760"/>
      <c r="J1738" s="760"/>
      <c r="K1738" s="760"/>
    </row>
    <row r="1739" spans="1:11">
      <c r="A1739" s="760"/>
      <c r="B1739" s="760"/>
      <c r="C1739" s="760"/>
      <c r="D1739" s="760"/>
      <c r="E1739" s="760"/>
      <c r="F1739" s="760"/>
      <c r="G1739" s="760"/>
      <c r="H1739" s="760"/>
      <c r="I1739" s="760"/>
      <c r="J1739" s="760"/>
      <c r="K1739" s="760"/>
    </row>
    <row r="1740" spans="1:11">
      <c r="A1740" s="760"/>
      <c r="B1740" s="760"/>
      <c r="C1740" s="760"/>
      <c r="D1740" s="760"/>
      <c r="E1740" s="760"/>
      <c r="F1740" s="760"/>
      <c r="G1740" s="760"/>
      <c r="H1740" s="760"/>
      <c r="I1740" s="760"/>
      <c r="J1740" s="760"/>
      <c r="K1740" s="760"/>
    </row>
    <row r="1741" spans="1:11">
      <c r="A1741" s="760"/>
      <c r="B1741" s="760"/>
      <c r="C1741" s="760"/>
      <c r="D1741" s="760"/>
      <c r="E1741" s="760"/>
      <c r="F1741" s="760"/>
      <c r="G1741" s="760"/>
      <c r="H1741" s="760"/>
      <c r="I1741" s="760"/>
      <c r="J1741" s="760"/>
      <c r="K1741" s="760"/>
    </row>
    <row r="1742" spans="1:11">
      <c r="A1742" s="760"/>
      <c r="B1742" s="760"/>
      <c r="C1742" s="760"/>
      <c r="D1742" s="760"/>
      <c r="E1742" s="760"/>
      <c r="F1742" s="760"/>
      <c r="G1742" s="760"/>
      <c r="H1742" s="760"/>
      <c r="I1742" s="760"/>
      <c r="J1742" s="760"/>
      <c r="K1742" s="760"/>
    </row>
    <row r="1743" spans="1:11">
      <c r="A1743" s="760"/>
      <c r="B1743" s="760"/>
      <c r="C1743" s="760"/>
      <c r="D1743" s="760"/>
      <c r="E1743" s="760"/>
      <c r="F1743" s="760"/>
      <c r="G1743" s="760"/>
      <c r="H1743" s="760"/>
      <c r="I1743" s="760"/>
      <c r="J1743" s="760"/>
      <c r="K1743" s="760"/>
    </row>
    <row r="1744" spans="1:11">
      <c r="A1744" s="760"/>
      <c r="B1744" s="760"/>
      <c r="C1744" s="760"/>
      <c r="D1744" s="760"/>
      <c r="E1744" s="760"/>
      <c r="F1744" s="760"/>
      <c r="G1744" s="760"/>
      <c r="H1744" s="760"/>
      <c r="I1744" s="760"/>
      <c r="J1744" s="760"/>
      <c r="K1744" s="760"/>
    </row>
    <row r="1745" spans="1:11">
      <c r="A1745" s="760"/>
      <c r="B1745" s="760"/>
      <c r="C1745" s="760"/>
      <c r="D1745" s="760"/>
      <c r="E1745" s="760"/>
      <c r="F1745" s="760"/>
      <c r="G1745" s="760"/>
      <c r="H1745" s="760"/>
      <c r="I1745" s="760"/>
      <c r="J1745" s="760"/>
      <c r="K1745" s="760"/>
    </row>
    <row r="1746" spans="1:11">
      <c r="A1746" s="760"/>
      <c r="B1746" s="760"/>
      <c r="C1746" s="760"/>
      <c r="D1746" s="760"/>
      <c r="E1746" s="760"/>
      <c r="F1746" s="760"/>
      <c r="G1746" s="760"/>
      <c r="H1746" s="760"/>
      <c r="I1746" s="760"/>
      <c r="J1746" s="760"/>
      <c r="K1746" s="760"/>
    </row>
    <row r="1747" spans="1:11">
      <c r="A1747" s="760"/>
      <c r="B1747" s="760"/>
      <c r="C1747" s="760"/>
      <c r="D1747" s="760"/>
      <c r="E1747" s="760"/>
      <c r="F1747" s="760"/>
      <c r="G1747" s="760"/>
      <c r="H1747" s="760"/>
      <c r="I1747" s="760"/>
      <c r="J1747" s="760"/>
      <c r="K1747" s="760"/>
    </row>
    <row r="1748" spans="1:11">
      <c r="A1748" s="760"/>
      <c r="B1748" s="760"/>
      <c r="C1748" s="760"/>
      <c r="D1748" s="760"/>
      <c r="E1748" s="760"/>
      <c r="F1748" s="760"/>
      <c r="G1748" s="760"/>
      <c r="H1748" s="760"/>
      <c r="I1748" s="760"/>
      <c r="J1748" s="760"/>
      <c r="K1748" s="760"/>
    </row>
    <row r="1749" spans="1:11">
      <c r="A1749" s="760"/>
      <c r="B1749" s="760"/>
      <c r="C1749" s="760"/>
      <c r="D1749" s="760"/>
      <c r="E1749" s="760"/>
      <c r="F1749" s="760"/>
      <c r="G1749" s="760"/>
      <c r="H1749" s="760"/>
      <c r="I1749" s="760"/>
      <c r="J1749" s="760"/>
      <c r="K1749" s="760"/>
    </row>
    <row r="1750" spans="1:11">
      <c r="A1750" s="760"/>
      <c r="B1750" s="760"/>
      <c r="C1750" s="760"/>
      <c r="D1750" s="760"/>
      <c r="E1750" s="760"/>
      <c r="F1750" s="760"/>
      <c r="G1750" s="760"/>
      <c r="H1750" s="760"/>
      <c r="I1750" s="760"/>
      <c r="J1750" s="760"/>
      <c r="K1750" s="760"/>
    </row>
    <row r="1751" spans="1:11">
      <c r="A1751" s="760"/>
      <c r="B1751" s="760"/>
      <c r="C1751" s="760"/>
      <c r="D1751" s="760"/>
      <c r="E1751" s="760"/>
      <c r="F1751" s="760"/>
      <c r="G1751" s="760"/>
      <c r="H1751" s="760"/>
      <c r="I1751" s="760"/>
      <c r="J1751" s="760"/>
      <c r="K1751" s="760"/>
    </row>
    <row r="1752" spans="1:11">
      <c r="A1752" s="760"/>
      <c r="B1752" s="760"/>
      <c r="C1752" s="760"/>
      <c r="D1752" s="760"/>
      <c r="E1752" s="760"/>
      <c r="F1752" s="760"/>
      <c r="G1752" s="760"/>
      <c r="H1752" s="760"/>
      <c r="I1752" s="760"/>
      <c r="J1752" s="760"/>
      <c r="K1752" s="760"/>
    </row>
    <row r="1753" spans="1:11">
      <c r="A1753" s="760"/>
      <c r="B1753" s="760"/>
      <c r="C1753" s="760"/>
      <c r="D1753" s="760"/>
      <c r="E1753" s="760"/>
      <c r="F1753" s="760"/>
      <c r="G1753" s="760"/>
      <c r="H1753" s="760"/>
      <c r="I1753" s="760"/>
      <c r="J1753" s="760"/>
      <c r="K1753" s="760"/>
    </row>
    <row r="1754" spans="1:11">
      <c r="A1754" s="760"/>
      <c r="B1754" s="760"/>
      <c r="C1754" s="760"/>
      <c r="D1754" s="760"/>
      <c r="E1754" s="760"/>
      <c r="F1754" s="760"/>
      <c r="G1754" s="760"/>
      <c r="H1754" s="760"/>
      <c r="I1754" s="760"/>
      <c r="J1754" s="760"/>
      <c r="K1754" s="760"/>
    </row>
    <row r="1755" spans="1:11">
      <c r="A1755" s="760"/>
      <c r="B1755" s="760"/>
      <c r="C1755" s="760"/>
      <c r="D1755" s="760"/>
      <c r="E1755" s="760"/>
      <c r="F1755" s="760"/>
      <c r="G1755" s="760"/>
      <c r="H1755" s="760"/>
      <c r="I1755" s="760"/>
      <c r="J1755" s="760"/>
      <c r="K1755" s="760"/>
    </row>
    <row r="1756" spans="1:11">
      <c r="A1756" s="760"/>
      <c r="B1756" s="760"/>
      <c r="C1756" s="760"/>
      <c r="D1756" s="760"/>
      <c r="E1756" s="760"/>
      <c r="F1756" s="760"/>
      <c r="G1756" s="760"/>
      <c r="H1756" s="760"/>
      <c r="I1756" s="760"/>
      <c r="J1756" s="760"/>
      <c r="K1756" s="760"/>
    </row>
    <row r="1757" spans="1:11">
      <c r="A1757" s="760"/>
      <c r="B1757" s="760"/>
      <c r="C1757" s="760"/>
      <c r="D1757" s="760"/>
      <c r="E1757" s="760"/>
      <c r="F1757" s="760"/>
      <c r="G1757" s="760"/>
      <c r="H1757" s="760"/>
      <c r="I1757" s="760"/>
      <c r="J1757" s="760"/>
      <c r="K1757" s="760"/>
    </row>
    <row r="1758" spans="1:11">
      <c r="A1758" s="760"/>
      <c r="B1758" s="760"/>
      <c r="C1758" s="760"/>
      <c r="D1758" s="760"/>
      <c r="E1758" s="760"/>
      <c r="F1758" s="760"/>
      <c r="G1758" s="760"/>
      <c r="H1758" s="760"/>
      <c r="I1758" s="760"/>
      <c r="J1758" s="760"/>
      <c r="K1758" s="760"/>
    </row>
    <row r="1759" spans="1:11">
      <c r="A1759" s="760"/>
      <c r="B1759" s="760"/>
      <c r="C1759" s="760"/>
      <c r="D1759" s="760"/>
      <c r="E1759" s="760"/>
      <c r="F1759" s="760"/>
      <c r="G1759" s="760"/>
      <c r="H1759" s="760"/>
      <c r="I1759" s="760"/>
      <c r="J1759" s="760"/>
      <c r="K1759" s="760"/>
    </row>
    <row r="1760" spans="1:11">
      <c r="A1760" s="760"/>
      <c r="B1760" s="760"/>
      <c r="C1760" s="760"/>
      <c r="D1760" s="760"/>
      <c r="E1760" s="760"/>
      <c r="F1760" s="760"/>
      <c r="G1760" s="760"/>
      <c r="H1760" s="760"/>
      <c r="I1760" s="760"/>
      <c r="J1760" s="760"/>
      <c r="K1760" s="760"/>
    </row>
    <row r="1761" spans="1:11">
      <c r="A1761" s="760"/>
      <c r="B1761" s="760"/>
      <c r="C1761" s="760"/>
      <c r="D1761" s="760"/>
      <c r="E1761" s="760"/>
      <c r="F1761" s="760"/>
      <c r="G1761" s="760"/>
      <c r="H1761" s="760"/>
      <c r="I1761" s="760"/>
      <c r="J1761" s="760"/>
      <c r="K1761" s="760"/>
    </row>
    <row r="1762" spans="1:11">
      <c r="A1762" s="760"/>
      <c r="B1762" s="760"/>
      <c r="C1762" s="760"/>
      <c r="D1762" s="760"/>
      <c r="E1762" s="760"/>
      <c r="F1762" s="760"/>
      <c r="G1762" s="760"/>
      <c r="H1762" s="760"/>
      <c r="I1762" s="760"/>
      <c r="J1762" s="760"/>
      <c r="K1762" s="760"/>
    </row>
    <row r="1763" spans="1:11">
      <c r="A1763" s="760"/>
      <c r="B1763" s="760"/>
      <c r="C1763" s="760"/>
      <c r="D1763" s="760"/>
      <c r="E1763" s="760"/>
      <c r="F1763" s="760"/>
      <c r="G1763" s="760"/>
      <c r="H1763" s="760"/>
      <c r="I1763" s="760"/>
      <c r="J1763" s="760"/>
      <c r="K1763" s="760"/>
    </row>
    <row r="1764" spans="1:11">
      <c r="A1764" s="760"/>
      <c r="B1764" s="760"/>
      <c r="C1764" s="760"/>
      <c r="D1764" s="760"/>
      <c r="E1764" s="760"/>
      <c r="F1764" s="760"/>
      <c r="G1764" s="760"/>
      <c r="H1764" s="760"/>
      <c r="I1764" s="760"/>
      <c r="J1764" s="760"/>
      <c r="K1764" s="760"/>
    </row>
    <row r="1765" spans="1:11">
      <c r="A1765" s="760"/>
      <c r="B1765" s="760"/>
      <c r="C1765" s="760"/>
      <c r="D1765" s="760"/>
      <c r="E1765" s="760"/>
      <c r="F1765" s="760"/>
      <c r="G1765" s="760"/>
      <c r="H1765" s="760"/>
      <c r="I1765" s="760"/>
      <c r="J1765" s="760"/>
      <c r="K1765" s="760"/>
    </row>
    <row r="1766" spans="1:11">
      <c r="A1766" s="760"/>
      <c r="B1766" s="760"/>
      <c r="C1766" s="760"/>
      <c r="D1766" s="760"/>
      <c r="E1766" s="760"/>
      <c r="F1766" s="760"/>
      <c r="G1766" s="760"/>
      <c r="H1766" s="760"/>
      <c r="I1766" s="760"/>
      <c r="J1766" s="760"/>
      <c r="K1766" s="760"/>
    </row>
    <row r="1767" spans="1:11">
      <c r="A1767" s="760"/>
      <c r="B1767" s="760"/>
      <c r="C1767" s="760"/>
      <c r="D1767" s="760"/>
      <c r="E1767" s="760"/>
      <c r="F1767" s="760"/>
      <c r="G1767" s="760"/>
      <c r="H1767" s="760"/>
      <c r="I1767" s="760"/>
      <c r="J1767" s="760"/>
      <c r="K1767" s="760"/>
    </row>
    <row r="1768" spans="1:11">
      <c r="A1768" s="760"/>
      <c r="B1768" s="760"/>
      <c r="C1768" s="760"/>
      <c r="D1768" s="760"/>
      <c r="E1768" s="760"/>
      <c r="F1768" s="760"/>
      <c r="G1768" s="760"/>
      <c r="H1768" s="760"/>
      <c r="I1768" s="760"/>
      <c r="J1768" s="760"/>
      <c r="K1768" s="760"/>
    </row>
    <row r="1769" spans="1:11">
      <c r="A1769" s="760"/>
      <c r="B1769" s="760"/>
      <c r="C1769" s="760"/>
      <c r="D1769" s="760"/>
      <c r="E1769" s="760"/>
      <c r="F1769" s="760"/>
      <c r="G1769" s="760"/>
      <c r="H1769" s="760"/>
      <c r="I1769" s="760"/>
      <c r="J1769" s="760"/>
      <c r="K1769" s="760"/>
    </row>
    <row r="1770" spans="1:11">
      <c r="A1770" s="760"/>
      <c r="B1770" s="760"/>
      <c r="C1770" s="760"/>
      <c r="D1770" s="760"/>
      <c r="E1770" s="760"/>
      <c r="F1770" s="760"/>
      <c r="G1770" s="760"/>
      <c r="H1770" s="760"/>
      <c r="I1770" s="760"/>
      <c r="J1770" s="760"/>
      <c r="K1770" s="760"/>
    </row>
    <row r="1771" spans="1:11">
      <c r="A1771" s="760"/>
      <c r="B1771" s="760"/>
      <c r="C1771" s="760"/>
      <c r="D1771" s="760"/>
      <c r="E1771" s="760"/>
      <c r="F1771" s="760"/>
      <c r="G1771" s="760"/>
      <c r="H1771" s="760"/>
      <c r="I1771" s="760"/>
      <c r="J1771" s="760"/>
      <c r="K1771" s="760"/>
    </row>
    <row r="1772" spans="1:11">
      <c r="A1772" s="760"/>
      <c r="B1772" s="760"/>
      <c r="C1772" s="760"/>
      <c r="D1772" s="760"/>
      <c r="E1772" s="760"/>
      <c r="F1772" s="760"/>
      <c r="G1772" s="760"/>
      <c r="H1772" s="760"/>
      <c r="I1772" s="760"/>
      <c r="J1772" s="760"/>
      <c r="K1772" s="760"/>
    </row>
    <row r="1773" spans="1:11">
      <c r="A1773" s="760"/>
      <c r="B1773" s="760"/>
      <c r="C1773" s="760"/>
      <c r="D1773" s="760"/>
      <c r="E1773" s="760"/>
      <c r="F1773" s="760"/>
      <c r="G1773" s="760"/>
      <c r="H1773" s="760"/>
      <c r="I1773" s="760"/>
      <c r="J1773" s="760"/>
      <c r="K1773" s="760"/>
    </row>
    <row r="1774" spans="1:11">
      <c r="A1774" s="760"/>
      <c r="B1774" s="760"/>
      <c r="C1774" s="760"/>
      <c r="D1774" s="760"/>
      <c r="E1774" s="760"/>
      <c r="F1774" s="760"/>
      <c r="G1774" s="760"/>
      <c r="H1774" s="760"/>
      <c r="I1774" s="760"/>
      <c r="J1774" s="760"/>
      <c r="K1774" s="760"/>
    </row>
    <row r="1775" spans="1:11">
      <c r="A1775" s="760"/>
      <c r="B1775" s="760"/>
      <c r="C1775" s="760"/>
      <c r="D1775" s="760"/>
      <c r="E1775" s="760"/>
      <c r="F1775" s="760"/>
      <c r="G1775" s="760"/>
      <c r="H1775" s="760"/>
      <c r="I1775" s="760"/>
      <c r="J1775" s="760"/>
      <c r="K1775" s="760"/>
    </row>
    <row r="1776" spans="1:11">
      <c r="A1776" s="760"/>
      <c r="B1776" s="760"/>
      <c r="C1776" s="760"/>
      <c r="D1776" s="760"/>
      <c r="E1776" s="760"/>
      <c r="F1776" s="760"/>
      <c r="G1776" s="760"/>
      <c r="H1776" s="760"/>
      <c r="I1776" s="760"/>
      <c r="J1776" s="760"/>
      <c r="K1776" s="760"/>
    </row>
    <row r="1777" spans="1:11">
      <c r="A1777" s="760"/>
      <c r="B1777" s="760"/>
      <c r="C1777" s="760"/>
      <c r="D1777" s="760"/>
      <c r="E1777" s="760"/>
      <c r="F1777" s="760"/>
      <c r="G1777" s="760"/>
      <c r="H1777" s="760"/>
      <c r="I1777" s="760"/>
      <c r="J1777" s="760"/>
      <c r="K1777" s="760"/>
    </row>
    <row r="1778" spans="1:11">
      <c r="A1778" s="760"/>
      <c r="B1778" s="760"/>
      <c r="C1778" s="760"/>
      <c r="D1778" s="760"/>
      <c r="E1778" s="760"/>
      <c r="F1778" s="760"/>
      <c r="G1778" s="760"/>
      <c r="H1778" s="760"/>
      <c r="I1778" s="760"/>
      <c r="J1778" s="760"/>
      <c r="K1778" s="760"/>
    </row>
    <row r="1779" spans="1:11">
      <c r="A1779" s="760"/>
      <c r="B1779" s="760"/>
      <c r="C1779" s="760"/>
      <c r="D1779" s="760"/>
      <c r="E1779" s="760"/>
      <c r="F1779" s="760"/>
      <c r="G1779" s="760"/>
      <c r="H1779" s="760"/>
      <c r="I1779" s="760"/>
      <c r="J1779" s="760"/>
      <c r="K1779" s="760"/>
    </row>
    <row r="1780" spans="1:11">
      <c r="A1780" s="760"/>
      <c r="B1780" s="760"/>
      <c r="C1780" s="760"/>
      <c r="D1780" s="760"/>
      <c r="E1780" s="760"/>
      <c r="F1780" s="760"/>
      <c r="G1780" s="760"/>
      <c r="H1780" s="760"/>
      <c r="I1780" s="760"/>
      <c r="J1780" s="760"/>
      <c r="K1780" s="760"/>
    </row>
    <row r="1781" spans="1:11">
      <c r="A1781" s="760"/>
      <c r="B1781" s="760"/>
      <c r="C1781" s="760"/>
      <c r="D1781" s="760"/>
      <c r="E1781" s="760"/>
      <c r="F1781" s="760"/>
      <c r="G1781" s="760"/>
      <c r="H1781" s="760"/>
      <c r="I1781" s="760"/>
      <c r="J1781" s="760"/>
      <c r="K1781" s="760"/>
    </row>
    <row r="1782" spans="1:11">
      <c r="A1782" s="760"/>
      <c r="B1782" s="760"/>
      <c r="C1782" s="760"/>
      <c r="D1782" s="760"/>
      <c r="E1782" s="760"/>
      <c r="F1782" s="760"/>
      <c r="G1782" s="760"/>
      <c r="H1782" s="760"/>
      <c r="I1782" s="760"/>
      <c r="J1782" s="760"/>
      <c r="K1782" s="760"/>
    </row>
    <row r="1783" spans="1:11">
      <c r="A1783" s="760"/>
      <c r="B1783" s="760"/>
      <c r="C1783" s="760"/>
      <c r="D1783" s="760"/>
      <c r="E1783" s="760"/>
      <c r="F1783" s="760"/>
      <c r="G1783" s="760"/>
      <c r="H1783" s="760"/>
      <c r="I1783" s="760"/>
      <c r="J1783" s="760"/>
      <c r="K1783" s="760"/>
    </row>
    <row r="1784" spans="1:11">
      <c r="A1784" s="760"/>
      <c r="B1784" s="760"/>
      <c r="C1784" s="760"/>
      <c r="D1784" s="760"/>
      <c r="E1784" s="760"/>
      <c r="F1784" s="760"/>
      <c r="G1784" s="760"/>
      <c r="H1784" s="760"/>
      <c r="I1784" s="760"/>
      <c r="J1784" s="760"/>
      <c r="K1784" s="760"/>
    </row>
    <row r="1785" spans="1:11">
      <c r="A1785" s="760"/>
      <c r="B1785" s="760"/>
      <c r="C1785" s="760"/>
      <c r="D1785" s="760"/>
      <c r="E1785" s="760"/>
      <c r="F1785" s="760"/>
      <c r="G1785" s="760"/>
      <c r="H1785" s="760"/>
      <c r="I1785" s="760"/>
      <c r="J1785" s="760"/>
      <c r="K1785" s="760"/>
    </row>
    <row r="1786" spans="1:11">
      <c r="A1786" s="760"/>
      <c r="B1786" s="760"/>
      <c r="C1786" s="760"/>
      <c r="D1786" s="760"/>
      <c r="E1786" s="760"/>
      <c r="F1786" s="760"/>
      <c r="G1786" s="760"/>
      <c r="H1786" s="760"/>
      <c r="I1786" s="760"/>
      <c r="J1786" s="760"/>
      <c r="K1786" s="760"/>
    </row>
    <row r="1787" spans="1:11">
      <c r="A1787" s="760"/>
      <c r="B1787" s="760"/>
      <c r="C1787" s="760"/>
      <c r="D1787" s="760"/>
      <c r="E1787" s="760"/>
      <c r="F1787" s="760"/>
      <c r="G1787" s="760"/>
      <c r="H1787" s="760"/>
      <c r="I1787" s="760"/>
      <c r="J1787" s="760"/>
      <c r="K1787" s="760"/>
    </row>
    <row r="1788" spans="1:11">
      <c r="A1788" s="760"/>
      <c r="B1788" s="760"/>
      <c r="C1788" s="760"/>
      <c r="D1788" s="760"/>
      <c r="E1788" s="760"/>
      <c r="F1788" s="760"/>
      <c r="G1788" s="760"/>
      <c r="H1788" s="760"/>
      <c r="I1788" s="760"/>
      <c r="J1788" s="760"/>
      <c r="K1788" s="760"/>
    </row>
    <row r="1789" spans="1:11">
      <c r="A1789" s="760"/>
      <c r="B1789" s="760"/>
      <c r="C1789" s="760"/>
      <c r="D1789" s="760"/>
      <c r="E1789" s="760"/>
      <c r="F1789" s="760"/>
      <c r="G1789" s="760"/>
      <c r="H1789" s="760"/>
      <c r="I1789" s="760"/>
      <c r="J1789" s="760"/>
      <c r="K1789" s="760"/>
    </row>
    <row r="1790" spans="1:11">
      <c r="A1790" s="760"/>
      <c r="B1790" s="760"/>
      <c r="C1790" s="760"/>
      <c r="D1790" s="760"/>
      <c r="E1790" s="760"/>
      <c r="F1790" s="760"/>
      <c r="G1790" s="760"/>
      <c r="H1790" s="760"/>
      <c r="I1790" s="760"/>
      <c r="J1790" s="760"/>
      <c r="K1790" s="760"/>
    </row>
    <row r="1791" spans="1:11">
      <c r="A1791" s="760"/>
      <c r="B1791" s="760"/>
      <c r="C1791" s="760"/>
      <c r="D1791" s="760"/>
      <c r="E1791" s="760"/>
      <c r="F1791" s="760"/>
      <c r="G1791" s="760"/>
      <c r="H1791" s="760"/>
      <c r="I1791" s="760"/>
      <c r="J1791" s="760"/>
      <c r="K1791" s="760"/>
    </row>
    <row r="1792" spans="1:11">
      <c r="A1792" s="760"/>
      <c r="B1792" s="760"/>
      <c r="C1792" s="760"/>
      <c r="D1792" s="760"/>
      <c r="E1792" s="760"/>
      <c r="F1792" s="760"/>
      <c r="G1792" s="760"/>
      <c r="H1792" s="760"/>
      <c r="I1792" s="760"/>
      <c r="J1792" s="760"/>
      <c r="K1792" s="760"/>
    </row>
    <row r="1793" spans="1:11">
      <c r="A1793" s="760"/>
      <c r="B1793" s="760"/>
      <c r="C1793" s="760"/>
      <c r="D1793" s="760"/>
      <c r="E1793" s="760"/>
      <c r="F1793" s="760"/>
      <c r="G1793" s="760"/>
      <c r="H1793" s="760"/>
      <c r="I1793" s="760"/>
      <c r="J1793" s="760"/>
      <c r="K1793" s="760"/>
    </row>
    <row r="1794" spans="1:11">
      <c r="A1794" s="760"/>
      <c r="B1794" s="760"/>
      <c r="C1794" s="760"/>
      <c r="D1794" s="760"/>
      <c r="E1794" s="760"/>
      <c r="F1794" s="760"/>
      <c r="G1794" s="760"/>
      <c r="H1794" s="760"/>
      <c r="I1794" s="760"/>
      <c r="J1794" s="760"/>
      <c r="K1794" s="760"/>
    </row>
    <row r="1795" spans="1:11">
      <c r="A1795" s="760"/>
      <c r="B1795" s="760"/>
      <c r="C1795" s="760"/>
      <c r="D1795" s="760"/>
      <c r="E1795" s="760"/>
      <c r="F1795" s="760"/>
      <c r="G1795" s="760"/>
      <c r="H1795" s="760"/>
      <c r="I1795" s="760"/>
      <c r="J1795" s="760"/>
      <c r="K1795" s="760"/>
    </row>
    <row r="1796" spans="1:11">
      <c r="A1796" s="760"/>
      <c r="B1796" s="760"/>
      <c r="C1796" s="760"/>
      <c r="D1796" s="760"/>
      <c r="E1796" s="760"/>
      <c r="F1796" s="760"/>
      <c r="G1796" s="760"/>
      <c r="H1796" s="760"/>
      <c r="I1796" s="760"/>
      <c r="J1796" s="760"/>
      <c r="K1796" s="760"/>
    </row>
    <row r="1797" spans="1:11">
      <c r="A1797" s="760"/>
      <c r="B1797" s="760"/>
      <c r="C1797" s="760"/>
      <c r="D1797" s="760"/>
      <c r="E1797" s="760"/>
      <c r="F1797" s="760"/>
      <c r="G1797" s="760"/>
      <c r="H1797" s="760"/>
      <c r="I1797" s="760"/>
      <c r="J1797" s="760"/>
      <c r="K1797" s="760"/>
    </row>
    <row r="1798" spans="1:11">
      <c r="A1798" s="760"/>
      <c r="B1798" s="760"/>
      <c r="C1798" s="760"/>
      <c r="D1798" s="760"/>
      <c r="E1798" s="760"/>
      <c r="F1798" s="760"/>
      <c r="G1798" s="760"/>
      <c r="H1798" s="760"/>
      <c r="I1798" s="760"/>
      <c r="J1798" s="760"/>
      <c r="K1798" s="760"/>
    </row>
    <row r="1799" spans="1:11">
      <c r="A1799" s="760"/>
      <c r="B1799" s="760"/>
      <c r="C1799" s="760"/>
      <c r="D1799" s="760"/>
      <c r="E1799" s="760"/>
      <c r="F1799" s="760"/>
      <c r="G1799" s="760"/>
      <c r="H1799" s="760"/>
      <c r="I1799" s="760"/>
      <c r="J1799" s="760"/>
      <c r="K1799" s="760"/>
    </row>
    <row r="1800" spans="1:11">
      <c r="A1800" s="760"/>
      <c r="B1800" s="760"/>
      <c r="C1800" s="760"/>
      <c r="D1800" s="760"/>
      <c r="E1800" s="760"/>
      <c r="F1800" s="760"/>
      <c r="G1800" s="760"/>
      <c r="H1800" s="760"/>
      <c r="I1800" s="760"/>
      <c r="J1800" s="760"/>
      <c r="K1800" s="760"/>
    </row>
    <row r="1801" spans="1:11">
      <c r="A1801" s="760"/>
      <c r="B1801" s="760"/>
      <c r="C1801" s="760"/>
      <c r="D1801" s="760"/>
      <c r="E1801" s="760"/>
      <c r="F1801" s="760"/>
      <c r="G1801" s="760"/>
      <c r="H1801" s="760"/>
      <c r="I1801" s="760"/>
      <c r="J1801" s="760"/>
      <c r="K1801" s="760"/>
    </row>
    <row r="1802" spans="1:11">
      <c r="A1802" s="760"/>
      <c r="B1802" s="760"/>
      <c r="C1802" s="760"/>
      <c r="D1802" s="760"/>
      <c r="E1802" s="760"/>
      <c r="F1802" s="760"/>
      <c r="G1802" s="760"/>
      <c r="H1802" s="760"/>
      <c r="I1802" s="760"/>
      <c r="J1802" s="760"/>
      <c r="K1802" s="760"/>
    </row>
    <row r="1803" spans="1:11">
      <c r="A1803" s="760"/>
      <c r="B1803" s="760"/>
      <c r="C1803" s="760"/>
      <c r="D1803" s="760"/>
      <c r="E1803" s="760"/>
      <c r="F1803" s="760"/>
      <c r="G1803" s="760"/>
      <c r="H1803" s="760"/>
      <c r="I1803" s="760"/>
      <c r="J1803" s="760"/>
      <c r="K1803" s="760"/>
    </row>
    <row r="1804" spans="1:11">
      <c r="A1804" s="760"/>
      <c r="B1804" s="760"/>
      <c r="C1804" s="760"/>
      <c r="D1804" s="760"/>
      <c r="E1804" s="760"/>
      <c r="F1804" s="760"/>
      <c r="G1804" s="760"/>
      <c r="H1804" s="760"/>
      <c r="I1804" s="760"/>
      <c r="J1804" s="760"/>
      <c r="K1804" s="760"/>
    </row>
    <row r="1805" spans="1:11">
      <c r="A1805" s="760"/>
      <c r="B1805" s="760"/>
      <c r="C1805" s="760"/>
      <c r="D1805" s="760"/>
      <c r="E1805" s="760"/>
      <c r="F1805" s="760"/>
      <c r="G1805" s="760"/>
      <c r="H1805" s="760"/>
      <c r="I1805" s="760"/>
      <c r="J1805" s="760"/>
      <c r="K1805" s="760"/>
    </row>
    <row r="1806" spans="1:11">
      <c r="A1806" s="760"/>
      <c r="B1806" s="760"/>
      <c r="C1806" s="760"/>
      <c r="D1806" s="760"/>
      <c r="E1806" s="760"/>
      <c r="F1806" s="760"/>
      <c r="G1806" s="760"/>
      <c r="H1806" s="760"/>
      <c r="I1806" s="760"/>
      <c r="J1806" s="760"/>
      <c r="K1806" s="760"/>
    </row>
    <row r="1807" spans="1:11">
      <c r="A1807" s="760"/>
      <c r="B1807" s="760"/>
      <c r="C1807" s="760"/>
      <c r="D1807" s="760"/>
      <c r="E1807" s="760"/>
      <c r="F1807" s="760"/>
      <c r="G1807" s="760"/>
      <c r="H1807" s="760"/>
      <c r="I1807" s="760"/>
      <c r="J1807" s="760"/>
      <c r="K1807" s="760"/>
    </row>
    <row r="1808" spans="1:11">
      <c r="A1808" s="760"/>
      <c r="B1808" s="760"/>
      <c r="C1808" s="760"/>
      <c r="D1808" s="760"/>
      <c r="E1808" s="760"/>
      <c r="F1808" s="760"/>
      <c r="G1808" s="760"/>
      <c r="H1808" s="760"/>
      <c r="I1808" s="760"/>
      <c r="J1808" s="760"/>
      <c r="K1808" s="760"/>
    </row>
    <row r="1809" spans="1:11">
      <c r="A1809" s="760"/>
      <c r="B1809" s="760"/>
      <c r="C1809" s="760"/>
      <c r="D1809" s="760"/>
      <c r="E1809" s="760"/>
      <c r="F1809" s="760"/>
      <c r="G1809" s="760"/>
      <c r="H1809" s="760"/>
      <c r="I1809" s="760"/>
      <c r="J1809" s="760"/>
      <c r="K1809" s="760"/>
    </row>
    <row r="1810" spans="1:11">
      <c r="A1810" s="760"/>
      <c r="B1810" s="760"/>
      <c r="C1810" s="760"/>
      <c r="D1810" s="760"/>
      <c r="E1810" s="760"/>
      <c r="F1810" s="760"/>
      <c r="G1810" s="760"/>
      <c r="H1810" s="760"/>
      <c r="I1810" s="760"/>
      <c r="J1810" s="760"/>
      <c r="K1810" s="760"/>
    </row>
    <row r="1811" spans="1:11">
      <c r="A1811" s="760"/>
      <c r="B1811" s="760"/>
      <c r="C1811" s="760"/>
      <c r="D1811" s="760"/>
      <c r="E1811" s="760"/>
      <c r="F1811" s="760"/>
      <c r="G1811" s="760"/>
      <c r="H1811" s="760"/>
      <c r="I1811" s="760"/>
      <c r="J1811" s="760"/>
      <c r="K1811" s="760"/>
    </row>
    <row r="1812" spans="1:11">
      <c r="A1812" s="760"/>
      <c r="B1812" s="760"/>
      <c r="C1812" s="760"/>
      <c r="D1812" s="760"/>
      <c r="E1812" s="760"/>
      <c r="F1812" s="760"/>
      <c r="G1812" s="760"/>
      <c r="H1812" s="760"/>
      <c r="I1812" s="760"/>
      <c r="J1812" s="760"/>
      <c r="K1812" s="760"/>
    </row>
    <row r="1813" spans="1:11">
      <c r="A1813" s="760"/>
      <c r="B1813" s="760"/>
      <c r="C1813" s="760"/>
      <c r="D1813" s="760"/>
      <c r="E1813" s="760"/>
      <c r="F1813" s="760"/>
      <c r="G1813" s="760"/>
      <c r="H1813" s="760"/>
      <c r="I1813" s="760"/>
      <c r="J1813" s="760"/>
      <c r="K1813" s="760"/>
    </row>
    <row r="1814" spans="1:11">
      <c r="A1814" s="760"/>
      <c r="B1814" s="760"/>
      <c r="C1814" s="760"/>
      <c r="D1814" s="760"/>
      <c r="E1814" s="760"/>
      <c r="F1814" s="760"/>
      <c r="G1814" s="760"/>
      <c r="H1814" s="760"/>
      <c r="I1814" s="760"/>
      <c r="J1814" s="760"/>
      <c r="K1814" s="760"/>
    </row>
    <row r="1815" spans="1:11">
      <c r="A1815" s="760"/>
      <c r="B1815" s="760"/>
      <c r="C1815" s="760"/>
      <c r="D1815" s="760"/>
      <c r="E1815" s="760"/>
      <c r="F1815" s="760"/>
      <c r="G1815" s="760"/>
      <c r="H1815" s="760"/>
      <c r="I1815" s="760"/>
      <c r="J1815" s="760"/>
      <c r="K1815" s="760"/>
    </row>
    <row r="1816" spans="1:11">
      <c r="A1816" s="760"/>
      <c r="B1816" s="760"/>
      <c r="C1816" s="760"/>
      <c r="D1816" s="760"/>
      <c r="E1816" s="760"/>
      <c r="F1816" s="760"/>
      <c r="G1816" s="760"/>
      <c r="H1816" s="760"/>
      <c r="I1816" s="760"/>
      <c r="J1816" s="760"/>
      <c r="K1816" s="760"/>
    </row>
    <row r="1817" spans="1:11">
      <c r="A1817" s="760"/>
      <c r="B1817" s="760"/>
      <c r="C1817" s="760"/>
      <c r="D1817" s="760"/>
      <c r="E1817" s="760"/>
      <c r="F1817" s="760"/>
      <c r="G1817" s="760"/>
      <c r="H1817" s="760"/>
      <c r="I1817" s="760"/>
      <c r="J1817" s="760"/>
      <c r="K1817" s="760"/>
    </row>
    <row r="1818" spans="1:11">
      <c r="A1818" s="760"/>
      <c r="B1818" s="760"/>
      <c r="C1818" s="760"/>
      <c r="D1818" s="760"/>
      <c r="E1818" s="760"/>
      <c r="F1818" s="760"/>
      <c r="G1818" s="760"/>
      <c r="H1818" s="760"/>
      <c r="I1818" s="760"/>
      <c r="J1818" s="760"/>
      <c r="K1818" s="760"/>
    </row>
    <row r="1819" spans="1:11">
      <c r="A1819" s="760"/>
      <c r="B1819" s="760"/>
      <c r="C1819" s="760"/>
      <c r="D1819" s="760"/>
      <c r="E1819" s="760"/>
      <c r="F1819" s="760"/>
      <c r="G1819" s="760"/>
      <c r="H1819" s="760"/>
      <c r="I1819" s="760"/>
      <c r="J1819" s="760"/>
      <c r="K1819" s="760"/>
    </row>
    <row r="1820" spans="1:11">
      <c r="A1820" s="760"/>
      <c r="B1820" s="760"/>
      <c r="C1820" s="760"/>
      <c r="D1820" s="760"/>
      <c r="E1820" s="760"/>
      <c r="F1820" s="760"/>
      <c r="G1820" s="760"/>
      <c r="H1820" s="760"/>
      <c r="I1820" s="760"/>
      <c r="J1820" s="760"/>
      <c r="K1820" s="760"/>
    </row>
    <row r="1821" spans="1:11">
      <c r="A1821" s="760"/>
      <c r="B1821" s="760"/>
      <c r="C1821" s="760"/>
      <c r="D1821" s="760"/>
      <c r="E1821" s="760"/>
      <c r="F1821" s="760"/>
      <c r="G1821" s="760"/>
      <c r="H1821" s="760"/>
      <c r="I1821" s="760"/>
      <c r="J1821" s="760"/>
      <c r="K1821" s="760"/>
    </row>
    <row r="1822" spans="1:11">
      <c r="A1822" s="760"/>
      <c r="B1822" s="760"/>
      <c r="C1822" s="760"/>
      <c r="D1822" s="760"/>
      <c r="E1822" s="760"/>
      <c r="F1822" s="760"/>
      <c r="G1822" s="760"/>
      <c r="H1822" s="760"/>
      <c r="I1822" s="760"/>
      <c r="J1822" s="760"/>
      <c r="K1822" s="760"/>
    </row>
    <row r="1823" spans="1:11">
      <c r="A1823" s="760"/>
      <c r="B1823" s="760"/>
      <c r="C1823" s="760"/>
      <c r="D1823" s="760"/>
      <c r="E1823" s="760"/>
      <c r="F1823" s="760"/>
      <c r="G1823" s="760"/>
      <c r="H1823" s="760"/>
      <c r="I1823" s="760"/>
      <c r="J1823" s="760"/>
      <c r="K1823" s="760"/>
    </row>
    <row r="1824" spans="1:11">
      <c r="A1824" s="760"/>
      <c r="B1824" s="760"/>
      <c r="C1824" s="760"/>
      <c r="D1824" s="760"/>
      <c r="E1824" s="760"/>
      <c r="F1824" s="760"/>
      <c r="G1824" s="760"/>
      <c r="H1824" s="760"/>
      <c r="I1824" s="760"/>
      <c r="J1824" s="760"/>
      <c r="K1824" s="760"/>
    </row>
    <row r="1825" spans="1:11">
      <c r="A1825" s="760"/>
      <c r="B1825" s="760"/>
      <c r="C1825" s="760"/>
      <c r="D1825" s="760"/>
      <c r="E1825" s="760"/>
      <c r="F1825" s="760"/>
      <c r="G1825" s="760"/>
      <c r="H1825" s="760"/>
      <c r="I1825" s="760"/>
      <c r="J1825" s="760"/>
      <c r="K1825" s="760"/>
    </row>
    <row r="1826" spans="1:11">
      <c r="A1826" s="760"/>
      <c r="B1826" s="760"/>
      <c r="C1826" s="760"/>
      <c r="D1826" s="760"/>
      <c r="E1826" s="760"/>
      <c r="F1826" s="760"/>
      <c r="G1826" s="760"/>
      <c r="H1826" s="760"/>
      <c r="I1826" s="760"/>
      <c r="J1826" s="760"/>
      <c r="K1826" s="760"/>
    </row>
    <row r="1827" spans="1:11">
      <c r="A1827" s="760"/>
      <c r="B1827" s="760"/>
      <c r="C1827" s="760"/>
      <c r="D1827" s="760"/>
      <c r="E1827" s="760"/>
      <c r="F1827" s="760"/>
      <c r="G1827" s="760"/>
      <c r="H1827" s="760"/>
      <c r="I1827" s="760"/>
      <c r="J1827" s="760"/>
      <c r="K1827" s="760"/>
    </row>
    <row r="1828" spans="1:11">
      <c r="A1828" s="760"/>
      <c r="B1828" s="760"/>
      <c r="C1828" s="760"/>
      <c r="D1828" s="760"/>
      <c r="E1828" s="760"/>
      <c r="F1828" s="760"/>
      <c r="G1828" s="760"/>
      <c r="H1828" s="760"/>
      <c r="I1828" s="760"/>
      <c r="J1828" s="760"/>
      <c r="K1828" s="760"/>
    </row>
    <row r="1829" spans="1:11">
      <c r="A1829" s="760"/>
      <c r="B1829" s="760"/>
      <c r="C1829" s="760"/>
      <c r="D1829" s="760"/>
      <c r="E1829" s="760"/>
      <c r="F1829" s="760"/>
      <c r="G1829" s="760"/>
      <c r="H1829" s="760"/>
      <c r="I1829" s="760"/>
      <c r="J1829" s="760"/>
      <c r="K1829" s="760"/>
    </row>
    <row r="1830" spans="1:11">
      <c r="A1830" s="760"/>
      <c r="B1830" s="760"/>
      <c r="C1830" s="760"/>
      <c r="D1830" s="760"/>
      <c r="E1830" s="760"/>
      <c r="F1830" s="760"/>
      <c r="G1830" s="760"/>
      <c r="H1830" s="760"/>
      <c r="I1830" s="760"/>
      <c r="J1830" s="760"/>
      <c r="K1830" s="760"/>
    </row>
    <row r="1831" spans="1:11">
      <c r="A1831" s="760"/>
      <c r="B1831" s="760"/>
      <c r="C1831" s="760"/>
      <c r="D1831" s="760"/>
      <c r="E1831" s="760"/>
      <c r="F1831" s="760"/>
      <c r="G1831" s="760"/>
      <c r="H1831" s="760"/>
      <c r="I1831" s="760"/>
      <c r="J1831" s="760"/>
      <c r="K1831" s="760"/>
    </row>
    <row r="1832" spans="1:11">
      <c r="A1832" s="760"/>
      <c r="B1832" s="760"/>
      <c r="C1832" s="760"/>
      <c r="D1832" s="760"/>
      <c r="E1832" s="760"/>
      <c r="F1832" s="760"/>
      <c r="G1832" s="760"/>
      <c r="H1832" s="760"/>
      <c r="I1832" s="760"/>
      <c r="J1832" s="760"/>
      <c r="K1832" s="760"/>
    </row>
    <row r="1833" spans="1:11">
      <c r="A1833" s="760"/>
      <c r="B1833" s="760"/>
      <c r="C1833" s="760"/>
      <c r="D1833" s="760"/>
      <c r="E1833" s="760"/>
      <c r="F1833" s="760"/>
      <c r="G1833" s="760"/>
      <c r="H1833" s="760"/>
      <c r="I1833" s="760"/>
      <c r="J1833" s="760"/>
      <c r="K1833" s="760"/>
    </row>
    <row r="1834" spans="1:11">
      <c r="A1834" s="760"/>
      <c r="B1834" s="760"/>
      <c r="C1834" s="760"/>
      <c r="D1834" s="760"/>
      <c r="E1834" s="760"/>
      <c r="F1834" s="760"/>
      <c r="G1834" s="760"/>
      <c r="H1834" s="760"/>
      <c r="I1834" s="760"/>
      <c r="J1834" s="760"/>
      <c r="K1834" s="760"/>
    </row>
    <row r="1835" spans="1:11">
      <c r="A1835" s="760"/>
      <c r="B1835" s="760"/>
      <c r="C1835" s="760"/>
      <c r="D1835" s="760"/>
      <c r="E1835" s="760"/>
      <c r="F1835" s="760"/>
      <c r="G1835" s="760"/>
      <c r="H1835" s="760"/>
      <c r="I1835" s="760"/>
      <c r="J1835" s="760"/>
      <c r="K1835" s="760"/>
    </row>
    <row r="1836" spans="1:11">
      <c r="A1836" s="760"/>
      <c r="B1836" s="760"/>
      <c r="C1836" s="760"/>
      <c r="D1836" s="760"/>
      <c r="E1836" s="760"/>
      <c r="F1836" s="760"/>
      <c r="G1836" s="760"/>
      <c r="H1836" s="760"/>
      <c r="I1836" s="760"/>
      <c r="J1836" s="760"/>
      <c r="K1836" s="760"/>
    </row>
    <row r="1837" spans="1:11">
      <c r="A1837" s="760"/>
      <c r="B1837" s="760"/>
      <c r="C1837" s="760"/>
      <c r="D1837" s="760"/>
      <c r="E1837" s="760"/>
      <c r="F1837" s="760"/>
      <c r="G1837" s="760"/>
      <c r="H1837" s="760"/>
      <c r="I1837" s="760"/>
      <c r="J1837" s="760"/>
      <c r="K1837" s="760"/>
    </row>
    <row r="1838" spans="1:11">
      <c r="A1838" s="760"/>
      <c r="B1838" s="760"/>
      <c r="C1838" s="760"/>
      <c r="D1838" s="760"/>
      <c r="E1838" s="760"/>
      <c r="F1838" s="760"/>
      <c r="G1838" s="760"/>
      <c r="H1838" s="760"/>
      <c r="I1838" s="760"/>
      <c r="J1838" s="760"/>
      <c r="K1838" s="760"/>
    </row>
    <row r="1839" spans="1:11">
      <c r="A1839" s="760"/>
      <c r="B1839" s="760"/>
      <c r="C1839" s="760"/>
      <c r="D1839" s="760"/>
      <c r="E1839" s="760"/>
      <c r="F1839" s="760"/>
      <c r="G1839" s="760"/>
      <c r="H1839" s="760"/>
      <c r="I1839" s="760"/>
      <c r="J1839" s="760"/>
      <c r="K1839" s="760"/>
    </row>
    <row r="1840" spans="1:11">
      <c r="A1840" s="760"/>
      <c r="B1840" s="760"/>
      <c r="C1840" s="760"/>
      <c r="D1840" s="760"/>
      <c r="E1840" s="760"/>
      <c r="F1840" s="760"/>
      <c r="G1840" s="760"/>
      <c r="H1840" s="760"/>
      <c r="I1840" s="760"/>
      <c r="J1840" s="760"/>
      <c r="K1840" s="760"/>
    </row>
    <row r="1841" spans="1:11">
      <c r="A1841" s="760"/>
      <c r="B1841" s="760"/>
      <c r="C1841" s="760"/>
      <c r="D1841" s="760"/>
      <c r="E1841" s="760"/>
      <c r="F1841" s="760"/>
      <c r="G1841" s="760"/>
      <c r="H1841" s="760"/>
      <c r="I1841" s="760"/>
      <c r="J1841" s="760"/>
      <c r="K1841" s="760"/>
    </row>
    <row r="1842" spans="1:11">
      <c r="A1842" s="760"/>
      <c r="B1842" s="760"/>
      <c r="C1842" s="760"/>
      <c r="D1842" s="760"/>
      <c r="E1842" s="760"/>
      <c r="F1842" s="760"/>
      <c r="G1842" s="760"/>
      <c r="H1842" s="760"/>
      <c r="I1842" s="760"/>
      <c r="J1842" s="760"/>
      <c r="K1842" s="760"/>
    </row>
    <row r="1843" spans="1:11">
      <c r="A1843" s="760"/>
      <c r="B1843" s="760"/>
      <c r="C1843" s="760"/>
      <c r="D1843" s="760"/>
      <c r="E1843" s="760"/>
      <c r="F1843" s="760"/>
      <c r="G1843" s="760"/>
      <c r="H1843" s="760"/>
      <c r="I1843" s="760"/>
      <c r="J1843" s="760"/>
      <c r="K1843" s="760"/>
    </row>
    <row r="1844" spans="1:11">
      <c r="A1844" s="760"/>
      <c r="B1844" s="760"/>
      <c r="C1844" s="760"/>
      <c r="D1844" s="760"/>
      <c r="E1844" s="760"/>
      <c r="F1844" s="760"/>
      <c r="G1844" s="760"/>
      <c r="H1844" s="760"/>
      <c r="I1844" s="760"/>
      <c r="J1844" s="760"/>
      <c r="K1844" s="760"/>
    </row>
    <row r="1845" spans="1:11">
      <c r="A1845" s="760"/>
      <c r="B1845" s="760"/>
      <c r="C1845" s="760"/>
      <c r="D1845" s="760"/>
      <c r="E1845" s="760"/>
      <c r="F1845" s="760"/>
      <c r="G1845" s="760"/>
      <c r="H1845" s="760"/>
      <c r="I1845" s="760"/>
      <c r="J1845" s="760"/>
      <c r="K1845" s="760"/>
    </row>
    <row r="1846" spans="1:11">
      <c r="A1846" s="760"/>
      <c r="B1846" s="760"/>
      <c r="C1846" s="760"/>
      <c r="D1846" s="760"/>
      <c r="E1846" s="760"/>
      <c r="F1846" s="760"/>
      <c r="G1846" s="760"/>
      <c r="H1846" s="760"/>
      <c r="I1846" s="760"/>
      <c r="J1846" s="760"/>
      <c r="K1846" s="760"/>
    </row>
    <row r="1847" spans="1:11">
      <c r="A1847" s="760"/>
      <c r="B1847" s="760"/>
      <c r="C1847" s="760"/>
      <c r="D1847" s="760"/>
      <c r="E1847" s="760"/>
      <c r="F1847" s="760"/>
      <c r="G1847" s="760"/>
      <c r="H1847" s="760"/>
      <c r="I1847" s="760"/>
      <c r="J1847" s="760"/>
      <c r="K1847" s="760"/>
    </row>
    <row r="1848" spans="1:11">
      <c r="A1848" s="760"/>
      <c r="B1848" s="760"/>
      <c r="C1848" s="760"/>
      <c r="D1848" s="760"/>
      <c r="E1848" s="760"/>
      <c r="F1848" s="760"/>
      <c r="G1848" s="760"/>
      <c r="H1848" s="760"/>
      <c r="I1848" s="760"/>
      <c r="J1848" s="760"/>
      <c r="K1848" s="760"/>
    </row>
    <row r="1849" spans="1:11">
      <c r="A1849" s="760"/>
      <c r="B1849" s="760"/>
      <c r="C1849" s="760"/>
      <c r="D1849" s="760"/>
      <c r="E1849" s="760"/>
      <c r="F1849" s="760"/>
      <c r="G1849" s="760"/>
      <c r="H1849" s="760"/>
      <c r="I1849" s="760"/>
      <c r="J1849" s="760"/>
      <c r="K1849" s="760"/>
    </row>
    <row r="1850" spans="1:11">
      <c r="A1850" s="760"/>
      <c r="B1850" s="760"/>
      <c r="C1850" s="760"/>
      <c r="D1850" s="760"/>
      <c r="E1850" s="760"/>
      <c r="F1850" s="760"/>
      <c r="G1850" s="760"/>
      <c r="H1850" s="760"/>
      <c r="I1850" s="760"/>
      <c r="J1850" s="760"/>
      <c r="K1850" s="760"/>
    </row>
    <row r="1851" spans="1:11">
      <c r="A1851" s="760"/>
      <c r="B1851" s="760"/>
      <c r="C1851" s="760"/>
      <c r="D1851" s="760"/>
      <c r="E1851" s="760"/>
      <c r="F1851" s="760"/>
      <c r="G1851" s="760"/>
      <c r="H1851" s="760"/>
      <c r="I1851" s="760"/>
      <c r="J1851" s="760"/>
      <c r="K1851" s="760"/>
    </row>
    <row r="1852" spans="1:11">
      <c r="A1852" s="760"/>
      <c r="B1852" s="760"/>
      <c r="C1852" s="760"/>
      <c r="D1852" s="760"/>
      <c r="E1852" s="760"/>
      <c r="F1852" s="760"/>
      <c r="G1852" s="760"/>
      <c r="H1852" s="760"/>
      <c r="I1852" s="760"/>
      <c r="J1852" s="760"/>
      <c r="K1852" s="760"/>
    </row>
    <row r="1853" spans="1:11">
      <c r="A1853" s="760"/>
      <c r="B1853" s="760"/>
      <c r="C1853" s="760"/>
      <c r="D1853" s="760"/>
      <c r="E1853" s="760"/>
      <c r="F1853" s="760"/>
      <c r="G1853" s="760"/>
      <c r="H1853" s="760"/>
      <c r="I1853" s="760"/>
      <c r="J1853" s="760"/>
      <c r="K1853" s="760"/>
    </row>
    <row r="1854" spans="1:11">
      <c r="A1854" s="760"/>
      <c r="B1854" s="760"/>
      <c r="C1854" s="760"/>
      <c r="D1854" s="760"/>
      <c r="E1854" s="760"/>
      <c r="F1854" s="760"/>
      <c r="G1854" s="760"/>
      <c r="H1854" s="760"/>
      <c r="I1854" s="760"/>
      <c r="J1854" s="760"/>
      <c r="K1854" s="760"/>
    </row>
    <row r="1855" spans="1:11">
      <c r="A1855" s="760"/>
      <c r="B1855" s="760"/>
      <c r="C1855" s="760"/>
      <c r="D1855" s="760"/>
      <c r="E1855" s="760"/>
      <c r="F1855" s="760"/>
      <c r="G1855" s="760"/>
      <c r="H1855" s="760"/>
      <c r="I1855" s="760"/>
      <c r="J1855" s="760"/>
      <c r="K1855" s="760"/>
    </row>
    <row r="1856" spans="1:11">
      <c r="A1856" s="760"/>
      <c r="B1856" s="760"/>
      <c r="C1856" s="760"/>
      <c r="D1856" s="760"/>
      <c r="E1856" s="760"/>
      <c r="F1856" s="760"/>
      <c r="G1856" s="760"/>
      <c r="H1856" s="760"/>
      <c r="I1856" s="760"/>
      <c r="J1856" s="760"/>
      <c r="K1856" s="760"/>
    </row>
    <row r="1857" spans="1:11">
      <c r="A1857" s="760"/>
      <c r="B1857" s="760"/>
      <c r="C1857" s="760"/>
      <c r="D1857" s="760"/>
      <c r="E1857" s="760"/>
      <c r="F1857" s="760"/>
      <c r="G1857" s="760"/>
      <c r="H1857" s="760"/>
      <c r="I1857" s="760"/>
      <c r="J1857" s="760"/>
      <c r="K1857" s="760"/>
    </row>
    <row r="1858" spans="1:11">
      <c r="A1858" s="760"/>
      <c r="B1858" s="760"/>
      <c r="C1858" s="760"/>
      <c r="D1858" s="760"/>
      <c r="E1858" s="760"/>
      <c r="F1858" s="760"/>
      <c r="G1858" s="760"/>
      <c r="H1858" s="760"/>
      <c r="I1858" s="760"/>
      <c r="J1858" s="760"/>
      <c r="K1858" s="760"/>
    </row>
    <row r="1859" spans="1:11">
      <c r="A1859" s="760"/>
      <c r="B1859" s="760"/>
      <c r="C1859" s="760"/>
      <c r="D1859" s="760"/>
      <c r="E1859" s="760"/>
      <c r="F1859" s="760"/>
      <c r="G1859" s="760"/>
      <c r="H1859" s="760"/>
      <c r="I1859" s="760"/>
      <c r="J1859" s="760"/>
      <c r="K1859" s="760"/>
    </row>
    <row r="1860" spans="1:11">
      <c r="A1860" s="760"/>
      <c r="B1860" s="760"/>
      <c r="C1860" s="760"/>
      <c r="D1860" s="760"/>
      <c r="E1860" s="760"/>
      <c r="F1860" s="760"/>
      <c r="G1860" s="760"/>
      <c r="H1860" s="760"/>
      <c r="I1860" s="760"/>
      <c r="J1860" s="760"/>
      <c r="K1860" s="760"/>
    </row>
    <row r="1861" spans="1:11">
      <c r="A1861" s="760"/>
      <c r="B1861" s="760"/>
      <c r="C1861" s="760"/>
      <c r="D1861" s="760"/>
      <c r="E1861" s="760"/>
      <c r="F1861" s="760"/>
      <c r="G1861" s="760"/>
      <c r="H1861" s="760"/>
      <c r="I1861" s="760"/>
      <c r="J1861" s="760"/>
      <c r="K1861" s="760"/>
    </row>
    <row r="1862" spans="1:11">
      <c r="A1862" s="760"/>
      <c r="B1862" s="760"/>
      <c r="C1862" s="760"/>
      <c r="D1862" s="760"/>
      <c r="E1862" s="760"/>
      <c r="F1862" s="760"/>
      <c r="G1862" s="760"/>
      <c r="H1862" s="760"/>
      <c r="I1862" s="760"/>
      <c r="J1862" s="760"/>
      <c r="K1862" s="760"/>
    </row>
    <row r="1863" spans="1:11">
      <c r="A1863" s="760"/>
      <c r="B1863" s="760"/>
      <c r="C1863" s="760"/>
      <c r="D1863" s="760"/>
      <c r="E1863" s="760"/>
      <c r="F1863" s="760"/>
      <c r="G1863" s="760"/>
      <c r="H1863" s="760"/>
      <c r="I1863" s="760"/>
      <c r="J1863" s="760"/>
      <c r="K1863" s="760"/>
    </row>
    <row r="1864" spans="1:11">
      <c r="A1864" s="760"/>
      <c r="B1864" s="760"/>
      <c r="C1864" s="760"/>
      <c r="D1864" s="760"/>
      <c r="E1864" s="760"/>
      <c r="F1864" s="760"/>
      <c r="G1864" s="760"/>
      <c r="H1864" s="760"/>
      <c r="I1864" s="760"/>
      <c r="J1864" s="760"/>
      <c r="K1864" s="760"/>
    </row>
    <row r="1865" spans="1:11">
      <c r="A1865" s="760"/>
      <c r="B1865" s="760"/>
      <c r="C1865" s="760"/>
      <c r="D1865" s="760"/>
      <c r="E1865" s="760"/>
      <c r="F1865" s="760"/>
      <c r="G1865" s="760"/>
      <c r="H1865" s="760"/>
      <c r="I1865" s="760"/>
      <c r="J1865" s="760"/>
      <c r="K1865" s="760"/>
    </row>
    <row r="1866" spans="1:11">
      <c r="A1866" s="760"/>
      <c r="B1866" s="760"/>
      <c r="C1866" s="760"/>
      <c r="D1866" s="760"/>
      <c r="E1866" s="760"/>
      <c r="F1866" s="760"/>
      <c r="G1866" s="760"/>
      <c r="H1866" s="760"/>
      <c r="I1866" s="760"/>
      <c r="J1866" s="760"/>
      <c r="K1866" s="760"/>
    </row>
    <row r="1867" spans="1:11">
      <c r="A1867" s="760"/>
      <c r="B1867" s="760"/>
      <c r="C1867" s="760"/>
      <c r="D1867" s="760"/>
      <c r="E1867" s="760"/>
      <c r="F1867" s="760"/>
      <c r="G1867" s="760"/>
      <c r="H1867" s="760"/>
      <c r="I1867" s="760"/>
      <c r="J1867" s="760"/>
      <c r="K1867" s="760"/>
    </row>
    <row r="1868" spans="1:11">
      <c r="A1868" s="760"/>
      <c r="B1868" s="760"/>
      <c r="C1868" s="760"/>
      <c r="D1868" s="760"/>
      <c r="E1868" s="760"/>
      <c r="F1868" s="760"/>
      <c r="G1868" s="760"/>
      <c r="H1868" s="760"/>
      <c r="I1868" s="760"/>
      <c r="J1868" s="760"/>
      <c r="K1868" s="760"/>
    </row>
    <row r="1869" spans="1:11">
      <c r="A1869" s="760"/>
      <c r="B1869" s="760"/>
      <c r="C1869" s="760"/>
      <c r="D1869" s="760"/>
      <c r="E1869" s="760"/>
      <c r="F1869" s="760"/>
      <c r="G1869" s="760"/>
      <c r="H1869" s="760"/>
      <c r="I1869" s="760"/>
      <c r="J1869" s="760"/>
      <c r="K1869" s="760"/>
    </row>
    <row r="1870" spans="1:11">
      <c r="A1870" s="760"/>
      <c r="B1870" s="760"/>
      <c r="C1870" s="760"/>
      <c r="D1870" s="760"/>
      <c r="E1870" s="760"/>
      <c r="F1870" s="760"/>
      <c r="G1870" s="760"/>
      <c r="H1870" s="760"/>
      <c r="I1870" s="760"/>
      <c r="J1870" s="760"/>
      <c r="K1870" s="760"/>
    </row>
    <row r="1871" spans="1:11">
      <c r="A1871" s="760"/>
      <c r="B1871" s="760"/>
      <c r="C1871" s="760"/>
      <c r="D1871" s="760"/>
      <c r="E1871" s="760"/>
      <c r="F1871" s="760"/>
      <c r="G1871" s="760"/>
      <c r="H1871" s="760"/>
      <c r="I1871" s="760"/>
      <c r="J1871" s="760"/>
      <c r="K1871" s="760"/>
    </row>
    <row r="1872" spans="1:11">
      <c r="A1872" s="760"/>
      <c r="B1872" s="760"/>
      <c r="C1872" s="760"/>
      <c r="D1872" s="760"/>
      <c r="E1872" s="760"/>
      <c r="F1872" s="760"/>
      <c r="G1872" s="760"/>
      <c r="H1872" s="760"/>
      <c r="I1872" s="760"/>
      <c r="J1872" s="760"/>
      <c r="K1872" s="760"/>
    </row>
    <row r="1873" spans="1:11">
      <c r="A1873" s="760"/>
      <c r="B1873" s="760"/>
      <c r="C1873" s="760"/>
      <c r="D1873" s="760"/>
      <c r="E1873" s="760"/>
      <c r="F1873" s="760"/>
      <c r="G1873" s="760"/>
      <c r="H1873" s="760"/>
      <c r="I1873" s="760"/>
      <c r="J1873" s="760"/>
      <c r="K1873" s="760"/>
    </row>
    <row r="1874" spans="1:11">
      <c r="A1874" s="760"/>
      <c r="B1874" s="760"/>
      <c r="C1874" s="760"/>
      <c r="D1874" s="760"/>
      <c r="E1874" s="760"/>
      <c r="F1874" s="760"/>
      <c r="G1874" s="760"/>
      <c r="H1874" s="760"/>
      <c r="I1874" s="760"/>
      <c r="J1874" s="760"/>
      <c r="K1874" s="760"/>
    </row>
    <row r="1875" spans="1:11">
      <c r="A1875" s="760"/>
      <c r="B1875" s="760"/>
      <c r="C1875" s="760"/>
      <c r="D1875" s="760"/>
      <c r="E1875" s="760"/>
      <c r="F1875" s="760"/>
      <c r="G1875" s="760"/>
      <c r="H1875" s="760"/>
      <c r="I1875" s="760"/>
      <c r="J1875" s="760"/>
      <c r="K1875" s="760"/>
    </row>
    <row r="1876" spans="1:11">
      <c r="A1876" s="760"/>
      <c r="B1876" s="760"/>
      <c r="C1876" s="760"/>
      <c r="D1876" s="760"/>
      <c r="E1876" s="760"/>
      <c r="F1876" s="760"/>
      <c r="G1876" s="760"/>
      <c r="H1876" s="760"/>
      <c r="I1876" s="760"/>
      <c r="J1876" s="760"/>
      <c r="K1876" s="760"/>
    </row>
    <row r="1877" spans="1:11">
      <c r="A1877" s="760"/>
      <c r="B1877" s="760"/>
      <c r="C1877" s="760"/>
      <c r="D1877" s="760"/>
      <c r="E1877" s="760"/>
      <c r="F1877" s="760"/>
      <c r="G1877" s="760"/>
      <c r="H1877" s="760"/>
      <c r="I1877" s="760"/>
      <c r="J1877" s="760"/>
      <c r="K1877" s="760"/>
    </row>
    <row r="1878" spans="1:11">
      <c r="A1878" s="760"/>
      <c r="B1878" s="760"/>
      <c r="C1878" s="760"/>
      <c r="D1878" s="760"/>
      <c r="E1878" s="760"/>
      <c r="F1878" s="760"/>
      <c r="G1878" s="760"/>
      <c r="H1878" s="760"/>
      <c r="I1878" s="760"/>
      <c r="J1878" s="760"/>
      <c r="K1878" s="760"/>
    </row>
    <row r="1879" spans="1:11">
      <c r="A1879" s="760"/>
      <c r="B1879" s="760"/>
      <c r="C1879" s="760"/>
      <c r="D1879" s="760"/>
      <c r="E1879" s="760"/>
      <c r="F1879" s="760"/>
      <c r="G1879" s="760"/>
      <c r="H1879" s="760"/>
      <c r="I1879" s="760"/>
      <c r="J1879" s="760"/>
      <c r="K1879" s="760"/>
    </row>
    <row r="1880" spans="1:11">
      <c r="A1880" s="760"/>
      <c r="B1880" s="760"/>
      <c r="C1880" s="760"/>
      <c r="D1880" s="760"/>
      <c r="E1880" s="760"/>
      <c r="F1880" s="760"/>
      <c r="G1880" s="760"/>
      <c r="H1880" s="760"/>
      <c r="I1880" s="760"/>
      <c r="J1880" s="760"/>
      <c r="K1880" s="760"/>
    </row>
    <row r="1881" spans="1:11">
      <c r="A1881" s="760"/>
      <c r="B1881" s="760"/>
      <c r="C1881" s="760"/>
      <c r="D1881" s="760"/>
      <c r="E1881" s="760"/>
      <c r="F1881" s="760"/>
      <c r="G1881" s="760"/>
      <c r="H1881" s="760"/>
      <c r="I1881" s="760"/>
      <c r="J1881" s="760"/>
      <c r="K1881" s="760"/>
    </row>
    <row r="1882" spans="1:11">
      <c r="A1882" s="760"/>
      <c r="B1882" s="760"/>
      <c r="C1882" s="760"/>
      <c r="D1882" s="760"/>
      <c r="E1882" s="760"/>
      <c r="F1882" s="760"/>
      <c r="G1882" s="760"/>
      <c r="H1882" s="760"/>
      <c r="I1882" s="760"/>
      <c r="J1882" s="760"/>
      <c r="K1882" s="760"/>
    </row>
    <row r="1883" spans="1:11">
      <c r="A1883" s="760"/>
      <c r="B1883" s="760"/>
      <c r="C1883" s="760"/>
      <c r="D1883" s="760"/>
      <c r="E1883" s="760"/>
      <c r="F1883" s="760"/>
      <c r="G1883" s="760"/>
      <c r="H1883" s="760"/>
      <c r="I1883" s="760"/>
      <c r="J1883" s="760"/>
      <c r="K1883" s="760"/>
    </row>
    <row r="1884" spans="1:11">
      <c r="A1884" s="760"/>
      <c r="B1884" s="760"/>
      <c r="C1884" s="760"/>
      <c r="D1884" s="760"/>
      <c r="E1884" s="760"/>
      <c r="F1884" s="760"/>
      <c r="G1884" s="760"/>
      <c r="H1884" s="760"/>
      <c r="I1884" s="760"/>
      <c r="J1884" s="760"/>
      <c r="K1884" s="760"/>
    </row>
    <row r="1885" spans="1:11">
      <c r="A1885" s="760"/>
      <c r="B1885" s="760"/>
      <c r="C1885" s="760"/>
      <c r="D1885" s="760"/>
      <c r="E1885" s="760"/>
      <c r="F1885" s="760"/>
      <c r="G1885" s="760"/>
      <c r="H1885" s="760"/>
      <c r="I1885" s="760"/>
      <c r="J1885" s="760"/>
      <c r="K1885" s="760"/>
    </row>
    <row r="1886" spans="1:11">
      <c r="A1886" s="760"/>
      <c r="B1886" s="760"/>
      <c r="C1886" s="760"/>
      <c r="D1886" s="760"/>
      <c r="E1886" s="760"/>
      <c r="F1886" s="760"/>
      <c r="G1886" s="760"/>
      <c r="H1886" s="760"/>
      <c r="I1886" s="760"/>
      <c r="J1886" s="760"/>
      <c r="K1886" s="760"/>
    </row>
    <row r="1887" spans="1:11">
      <c r="A1887" s="760"/>
      <c r="B1887" s="760"/>
      <c r="C1887" s="760"/>
      <c r="D1887" s="760"/>
      <c r="E1887" s="760"/>
      <c r="F1887" s="760"/>
      <c r="G1887" s="760"/>
      <c r="H1887" s="760"/>
      <c r="I1887" s="760"/>
      <c r="J1887" s="760"/>
      <c r="K1887" s="760"/>
    </row>
    <row r="1888" spans="1:11">
      <c r="A1888" s="760"/>
      <c r="B1888" s="760"/>
      <c r="C1888" s="760"/>
      <c r="D1888" s="760"/>
      <c r="E1888" s="760"/>
      <c r="F1888" s="760"/>
      <c r="G1888" s="760"/>
      <c r="H1888" s="760"/>
      <c r="I1888" s="760"/>
      <c r="J1888" s="760"/>
      <c r="K1888" s="760"/>
    </row>
    <row r="1889" spans="1:11">
      <c r="A1889" s="760"/>
      <c r="B1889" s="760"/>
      <c r="C1889" s="760"/>
      <c r="D1889" s="760"/>
      <c r="E1889" s="760"/>
      <c r="F1889" s="760"/>
      <c r="G1889" s="760"/>
      <c r="H1889" s="760"/>
      <c r="I1889" s="760"/>
      <c r="J1889" s="760"/>
      <c r="K1889" s="760"/>
    </row>
    <row r="1890" spans="1:11">
      <c r="A1890" s="760"/>
      <c r="B1890" s="760"/>
      <c r="C1890" s="760"/>
      <c r="D1890" s="760"/>
      <c r="E1890" s="760"/>
      <c r="F1890" s="760"/>
      <c r="G1890" s="760"/>
      <c r="H1890" s="760"/>
      <c r="I1890" s="760"/>
      <c r="J1890" s="760"/>
      <c r="K1890" s="760"/>
    </row>
    <row r="1891" spans="1:11">
      <c r="A1891" s="760"/>
      <c r="B1891" s="760"/>
      <c r="C1891" s="760"/>
      <c r="D1891" s="760"/>
      <c r="E1891" s="760"/>
      <c r="F1891" s="760"/>
      <c r="G1891" s="760"/>
      <c r="H1891" s="760"/>
      <c r="I1891" s="760"/>
      <c r="J1891" s="760"/>
      <c r="K1891" s="760"/>
    </row>
    <row r="1892" spans="1:11">
      <c r="A1892" s="760"/>
      <c r="B1892" s="760"/>
      <c r="C1892" s="760"/>
      <c r="D1892" s="760"/>
      <c r="E1892" s="760"/>
      <c r="F1892" s="760"/>
      <c r="G1892" s="760"/>
      <c r="H1892" s="760"/>
      <c r="I1892" s="760"/>
      <c r="J1892" s="760"/>
      <c r="K1892" s="760"/>
    </row>
    <row r="1893" spans="1:11">
      <c r="A1893" s="760"/>
      <c r="B1893" s="760"/>
      <c r="C1893" s="760"/>
      <c r="D1893" s="760"/>
      <c r="E1893" s="760"/>
      <c r="F1893" s="760"/>
      <c r="G1893" s="760"/>
      <c r="H1893" s="760"/>
      <c r="I1893" s="760"/>
      <c r="J1893" s="760"/>
      <c r="K1893" s="760"/>
    </row>
    <row r="1894" spans="1:11">
      <c r="A1894" s="760"/>
      <c r="B1894" s="760"/>
      <c r="C1894" s="760"/>
      <c r="D1894" s="760"/>
      <c r="E1894" s="760"/>
      <c r="F1894" s="760"/>
      <c r="G1894" s="760"/>
      <c r="H1894" s="760"/>
      <c r="I1894" s="760"/>
      <c r="J1894" s="760"/>
      <c r="K1894" s="760"/>
    </row>
    <row r="1895" spans="1:11">
      <c r="A1895" s="760"/>
      <c r="B1895" s="760"/>
      <c r="C1895" s="760"/>
      <c r="D1895" s="760"/>
      <c r="E1895" s="760"/>
      <c r="F1895" s="760"/>
      <c r="G1895" s="760"/>
      <c r="H1895" s="760"/>
      <c r="I1895" s="760"/>
      <c r="J1895" s="760"/>
      <c r="K1895" s="760"/>
    </row>
    <row r="1896" spans="1:11">
      <c r="A1896" s="760"/>
      <c r="B1896" s="760"/>
      <c r="C1896" s="760"/>
      <c r="D1896" s="760"/>
      <c r="E1896" s="760"/>
      <c r="F1896" s="760"/>
      <c r="G1896" s="760"/>
      <c r="H1896" s="760"/>
      <c r="I1896" s="760"/>
      <c r="J1896" s="760"/>
      <c r="K1896" s="760"/>
    </row>
    <row r="1897" spans="1:11">
      <c r="A1897" s="760"/>
      <c r="B1897" s="760"/>
      <c r="C1897" s="760"/>
      <c r="D1897" s="760"/>
      <c r="E1897" s="760"/>
      <c r="F1897" s="760"/>
      <c r="G1897" s="760"/>
      <c r="H1897" s="760"/>
      <c r="I1897" s="760"/>
      <c r="J1897" s="760"/>
      <c r="K1897" s="760"/>
    </row>
    <row r="1898" spans="1:11">
      <c r="A1898" s="760"/>
      <c r="B1898" s="760"/>
      <c r="C1898" s="760"/>
      <c r="D1898" s="760"/>
      <c r="E1898" s="760"/>
      <c r="F1898" s="760"/>
      <c r="G1898" s="760"/>
      <c r="H1898" s="760"/>
      <c r="I1898" s="760"/>
      <c r="J1898" s="760"/>
      <c r="K1898" s="760"/>
    </row>
    <row r="1899" spans="1:11">
      <c r="A1899" s="760"/>
      <c r="B1899" s="760"/>
      <c r="C1899" s="760"/>
      <c r="D1899" s="760"/>
      <c r="E1899" s="760"/>
      <c r="F1899" s="760"/>
      <c r="G1899" s="760"/>
      <c r="H1899" s="760"/>
      <c r="I1899" s="760"/>
      <c r="J1899" s="760"/>
      <c r="K1899" s="760"/>
    </row>
    <row r="1900" spans="1:11">
      <c r="A1900" s="760"/>
      <c r="B1900" s="760"/>
      <c r="C1900" s="760"/>
      <c r="D1900" s="760"/>
      <c r="E1900" s="760"/>
      <c r="F1900" s="760"/>
      <c r="G1900" s="760"/>
      <c r="H1900" s="760"/>
      <c r="I1900" s="760"/>
      <c r="J1900" s="760"/>
      <c r="K1900" s="760"/>
    </row>
    <row r="1901" spans="1:11">
      <c r="A1901" s="760"/>
      <c r="B1901" s="760"/>
      <c r="C1901" s="760"/>
      <c r="D1901" s="760"/>
      <c r="E1901" s="760"/>
      <c r="F1901" s="760"/>
      <c r="G1901" s="760"/>
      <c r="H1901" s="760"/>
      <c r="I1901" s="760"/>
      <c r="J1901" s="760"/>
      <c r="K1901" s="760"/>
    </row>
    <row r="1902" spans="1:11">
      <c r="A1902" s="760"/>
      <c r="B1902" s="760"/>
      <c r="C1902" s="760"/>
      <c r="D1902" s="760"/>
      <c r="E1902" s="760"/>
      <c r="F1902" s="760"/>
      <c r="G1902" s="760"/>
      <c r="H1902" s="760"/>
      <c r="I1902" s="760"/>
      <c r="J1902" s="760"/>
      <c r="K1902" s="760"/>
    </row>
    <row r="1903" spans="1:11">
      <c r="A1903" s="760"/>
      <c r="B1903" s="760"/>
      <c r="C1903" s="760"/>
      <c r="D1903" s="760"/>
      <c r="E1903" s="760"/>
      <c r="F1903" s="760"/>
      <c r="G1903" s="760"/>
      <c r="H1903" s="760"/>
      <c r="I1903" s="760"/>
      <c r="J1903" s="760"/>
      <c r="K1903" s="760"/>
    </row>
    <row r="1904" spans="1:11">
      <c r="A1904" s="760"/>
      <c r="B1904" s="760"/>
      <c r="C1904" s="760"/>
      <c r="D1904" s="760"/>
      <c r="E1904" s="760"/>
      <c r="F1904" s="760"/>
      <c r="G1904" s="760"/>
      <c r="H1904" s="760"/>
      <c r="I1904" s="760"/>
      <c r="J1904" s="760"/>
      <c r="K1904" s="760"/>
    </row>
    <row r="1905" spans="1:11">
      <c r="A1905" s="760"/>
      <c r="B1905" s="760"/>
      <c r="C1905" s="760"/>
      <c r="D1905" s="760"/>
      <c r="E1905" s="760"/>
      <c r="F1905" s="760"/>
      <c r="G1905" s="760"/>
      <c r="H1905" s="760"/>
      <c r="I1905" s="760"/>
      <c r="J1905" s="760"/>
      <c r="K1905" s="760"/>
    </row>
    <row r="1906" spans="1:11">
      <c r="A1906" s="760"/>
      <c r="B1906" s="760"/>
      <c r="C1906" s="760"/>
      <c r="D1906" s="760"/>
      <c r="E1906" s="760"/>
      <c r="F1906" s="760"/>
      <c r="G1906" s="760"/>
      <c r="H1906" s="760"/>
      <c r="I1906" s="760"/>
      <c r="J1906" s="760"/>
      <c r="K1906" s="760"/>
    </row>
    <row r="1907" spans="1:11">
      <c r="A1907" s="760"/>
      <c r="B1907" s="760"/>
      <c r="C1907" s="760"/>
      <c r="D1907" s="760"/>
      <c r="E1907" s="760"/>
      <c r="F1907" s="760"/>
      <c r="G1907" s="760"/>
      <c r="H1907" s="760"/>
      <c r="I1907" s="760"/>
      <c r="J1907" s="760"/>
      <c r="K1907" s="760"/>
    </row>
    <row r="1908" spans="1:11">
      <c r="A1908" s="760"/>
      <c r="B1908" s="760"/>
      <c r="C1908" s="760"/>
      <c r="D1908" s="760"/>
      <c r="E1908" s="760"/>
      <c r="F1908" s="760"/>
      <c r="G1908" s="760"/>
      <c r="H1908" s="760"/>
      <c r="I1908" s="760"/>
      <c r="J1908" s="760"/>
      <c r="K1908" s="760"/>
    </row>
    <row r="1909" spans="1:11">
      <c r="A1909" s="760"/>
      <c r="B1909" s="760"/>
      <c r="C1909" s="760"/>
      <c r="D1909" s="760"/>
      <c r="E1909" s="760"/>
      <c r="F1909" s="760"/>
      <c r="G1909" s="760"/>
      <c r="H1909" s="760"/>
      <c r="I1909" s="760"/>
      <c r="J1909" s="760"/>
      <c r="K1909" s="760"/>
    </row>
    <row r="1910" spans="1:11">
      <c r="A1910" s="760"/>
      <c r="B1910" s="760"/>
      <c r="C1910" s="760"/>
      <c r="D1910" s="760"/>
      <c r="E1910" s="760"/>
      <c r="F1910" s="760"/>
      <c r="G1910" s="760"/>
      <c r="H1910" s="760"/>
      <c r="I1910" s="760"/>
      <c r="J1910" s="760"/>
      <c r="K1910" s="760"/>
    </row>
    <row r="1911" spans="1:11">
      <c r="A1911" s="760"/>
      <c r="B1911" s="760"/>
      <c r="C1911" s="760"/>
      <c r="D1911" s="760"/>
      <c r="E1911" s="760"/>
      <c r="F1911" s="760"/>
      <c r="G1911" s="760"/>
      <c r="H1911" s="760"/>
      <c r="I1911" s="760"/>
      <c r="J1911" s="760"/>
      <c r="K1911" s="760"/>
    </row>
    <row r="1912" spans="1:11">
      <c r="A1912" s="760"/>
      <c r="B1912" s="760"/>
      <c r="C1912" s="760"/>
      <c r="D1912" s="760"/>
      <c r="E1912" s="760"/>
      <c r="F1912" s="760"/>
      <c r="G1912" s="760"/>
      <c r="H1912" s="760"/>
      <c r="I1912" s="760"/>
      <c r="J1912" s="760"/>
      <c r="K1912" s="760"/>
    </row>
    <row r="1913" spans="1:11">
      <c r="A1913" s="760"/>
      <c r="B1913" s="760"/>
      <c r="C1913" s="760"/>
      <c r="D1913" s="760"/>
      <c r="E1913" s="760"/>
      <c r="F1913" s="760"/>
      <c r="G1913" s="760"/>
      <c r="H1913" s="760"/>
      <c r="I1913" s="760"/>
      <c r="J1913" s="760"/>
      <c r="K1913" s="760"/>
    </row>
    <row r="1914" spans="1:11">
      <c r="A1914" s="760"/>
      <c r="B1914" s="760"/>
      <c r="C1914" s="760"/>
      <c r="D1914" s="760"/>
      <c r="E1914" s="760"/>
      <c r="F1914" s="760"/>
      <c r="G1914" s="760"/>
      <c r="H1914" s="760"/>
      <c r="I1914" s="760"/>
      <c r="J1914" s="760"/>
      <c r="K1914" s="760"/>
    </row>
    <row r="1915" spans="1:11">
      <c r="A1915" s="760"/>
      <c r="B1915" s="760"/>
      <c r="C1915" s="760"/>
      <c r="D1915" s="760"/>
      <c r="E1915" s="760"/>
      <c r="F1915" s="760"/>
      <c r="G1915" s="760"/>
      <c r="H1915" s="760"/>
      <c r="I1915" s="760"/>
      <c r="J1915" s="760"/>
      <c r="K1915" s="760"/>
    </row>
    <row r="1916" spans="1:11">
      <c r="A1916" s="760"/>
      <c r="B1916" s="760"/>
      <c r="C1916" s="760"/>
      <c r="D1916" s="760"/>
      <c r="E1916" s="760"/>
      <c r="F1916" s="760"/>
      <c r="G1916" s="760"/>
      <c r="H1916" s="760"/>
      <c r="I1916" s="760"/>
      <c r="J1916" s="760"/>
      <c r="K1916" s="760"/>
    </row>
    <row r="1917" spans="1:11">
      <c r="A1917" s="760"/>
      <c r="B1917" s="760"/>
      <c r="C1917" s="760"/>
      <c r="D1917" s="760"/>
      <c r="E1917" s="760"/>
      <c r="F1917" s="760"/>
      <c r="G1917" s="760"/>
      <c r="H1917" s="760"/>
      <c r="I1917" s="760"/>
      <c r="J1917" s="760"/>
      <c r="K1917" s="760"/>
    </row>
    <row r="1918" spans="1:11">
      <c r="A1918" s="760"/>
      <c r="B1918" s="760"/>
      <c r="C1918" s="760"/>
      <c r="D1918" s="760"/>
      <c r="E1918" s="760"/>
      <c r="F1918" s="760"/>
      <c r="G1918" s="760"/>
      <c r="H1918" s="760"/>
      <c r="I1918" s="760"/>
      <c r="J1918" s="760"/>
      <c r="K1918" s="760"/>
    </row>
    <row r="1919" spans="1:11">
      <c r="A1919" s="760"/>
      <c r="B1919" s="760"/>
      <c r="C1919" s="760"/>
      <c r="D1919" s="760"/>
      <c r="E1919" s="760"/>
      <c r="F1919" s="760"/>
      <c r="G1919" s="760"/>
      <c r="H1919" s="760"/>
      <c r="I1919" s="760"/>
      <c r="J1919" s="760"/>
      <c r="K1919" s="760"/>
    </row>
    <row r="1920" spans="1:11">
      <c r="A1920" s="760"/>
      <c r="B1920" s="760"/>
      <c r="C1920" s="760"/>
      <c r="D1920" s="760"/>
      <c r="E1920" s="760"/>
      <c r="F1920" s="760"/>
      <c r="G1920" s="760"/>
      <c r="H1920" s="760"/>
      <c r="I1920" s="760"/>
      <c r="J1920" s="760"/>
      <c r="K1920" s="760"/>
    </row>
    <row r="1921" spans="1:11">
      <c r="A1921" s="760"/>
      <c r="B1921" s="760"/>
      <c r="C1921" s="760"/>
      <c r="D1921" s="760"/>
      <c r="E1921" s="760"/>
      <c r="F1921" s="760"/>
      <c r="G1921" s="760"/>
      <c r="H1921" s="760"/>
      <c r="I1921" s="760"/>
      <c r="J1921" s="760"/>
      <c r="K1921" s="760"/>
    </row>
    <row r="1922" spans="1:11">
      <c r="A1922" s="760"/>
      <c r="B1922" s="760"/>
      <c r="C1922" s="760"/>
      <c r="D1922" s="760"/>
      <c r="E1922" s="760"/>
      <c r="F1922" s="760"/>
      <c r="G1922" s="760"/>
      <c r="H1922" s="760"/>
      <c r="I1922" s="760"/>
      <c r="J1922" s="760"/>
      <c r="K1922" s="760"/>
    </row>
    <row r="1923" spans="1:11">
      <c r="A1923" s="760"/>
      <c r="B1923" s="760"/>
      <c r="C1923" s="760"/>
      <c r="D1923" s="760"/>
      <c r="E1923" s="760"/>
      <c r="F1923" s="760"/>
      <c r="G1923" s="760"/>
      <c r="H1923" s="760"/>
      <c r="I1923" s="760"/>
      <c r="J1923" s="760"/>
      <c r="K1923" s="760"/>
    </row>
    <row r="1924" spans="1:11">
      <c r="A1924" s="760"/>
      <c r="B1924" s="760"/>
      <c r="C1924" s="760"/>
      <c r="D1924" s="760"/>
      <c r="E1924" s="760"/>
      <c r="F1924" s="760"/>
      <c r="G1924" s="760"/>
      <c r="H1924" s="760"/>
      <c r="I1924" s="760"/>
      <c r="J1924" s="760"/>
      <c r="K1924" s="760"/>
    </row>
    <row r="1925" spans="1:11">
      <c r="A1925" s="760"/>
      <c r="B1925" s="760"/>
      <c r="C1925" s="760"/>
      <c r="D1925" s="760"/>
      <c r="E1925" s="760"/>
      <c r="F1925" s="760"/>
      <c r="G1925" s="760"/>
      <c r="H1925" s="760"/>
      <c r="I1925" s="760"/>
      <c r="J1925" s="760"/>
      <c r="K1925" s="760"/>
    </row>
    <row r="1926" spans="1:11">
      <c r="A1926" s="760"/>
      <c r="B1926" s="760"/>
      <c r="C1926" s="760"/>
      <c r="D1926" s="760"/>
      <c r="E1926" s="760"/>
      <c r="F1926" s="760"/>
      <c r="G1926" s="760"/>
      <c r="H1926" s="760"/>
      <c r="I1926" s="760"/>
      <c r="J1926" s="760"/>
      <c r="K1926" s="760"/>
    </row>
    <row r="1927" spans="1:11">
      <c r="A1927" s="760"/>
      <c r="B1927" s="760"/>
      <c r="C1927" s="760"/>
      <c r="D1927" s="760"/>
      <c r="E1927" s="760"/>
      <c r="F1927" s="760"/>
      <c r="G1927" s="760"/>
      <c r="H1927" s="760"/>
      <c r="I1927" s="760"/>
      <c r="J1927" s="760"/>
      <c r="K1927" s="760"/>
    </row>
    <row r="1928" spans="1:11">
      <c r="A1928" s="760"/>
      <c r="B1928" s="760"/>
      <c r="C1928" s="760"/>
      <c r="D1928" s="760"/>
      <c r="E1928" s="760"/>
      <c r="F1928" s="760"/>
      <c r="G1928" s="760"/>
      <c r="H1928" s="760"/>
      <c r="I1928" s="760"/>
      <c r="J1928" s="760"/>
      <c r="K1928" s="760"/>
    </row>
    <row r="1929" spans="1:11">
      <c r="A1929" s="760"/>
      <c r="B1929" s="760"/>
      <c r="C1929" s="760"/>
      <c r="D1929" s="760"/>
      <c r="E1929" s="760"/>
      <c r="F1929" s="760"/>
      <c r="G1929" s="760"/>
      <c r="H1929" s="760"/>
      <c r="I1929" s="760"/>
      <c r="J1929" s="760"/>
      <c r="K1929" s="760"/>
    </row>
    <row r="1930" spans="1:11">
      <c r="A1930" s="760"/>
      <c r="B1930" s="760"/>
      <c r="C1930" s="760"/>
      <c r="D1930" s="760"/>
      <c r="E1930" s="760"/>
      <c r="F1930" s="760"/>
      <c r="G1930" s="760"/>
      <c r="H1930" s="760"/>
      <c r="I1930" s="760"/>
      <c r="J1930" s="760"/>
      <c r="K1930" s="760"/>
    </row>
    <row r="1931" spans="1:11">
      <c r="A1931" s="760"/>
      <c r="B1931" s="760"/>
      <c r="C1931" s="760"/>
      <c r="D1931" s="760"/>
      <c r="E1931" s="760"/>
      <c r="F1931" s="760"/>
      <c r="G1931" s="760"/>
      <c r="H1931" s="760"/>
      <c r="I1931" s="760"/>
      <c r="J1931" s="760"/>
      <c r="K1931" s="760"/>
    </row>
    <row r="1932" spans="1:11">
      <c r="A1932" s="760"/>
      <c r="B1932" s="760"/>
      <c r="C1932" s="760"/>
      <c r="D1932" s="760"/>
      <c r="E1932" s="760"/>
      <c r="F1932" s="760"/>
      <c r="G1932" s="760"/>
      <c r="H1932" s="760"/>
      <c r="I1932" s="760"/>
      <c r="J1932" s="760"/>
      <c r="K1932" s="760"/>
    </row>
    <row r="1933" spans="1:11">
      <c r="A1933" s="760"/>
      <c r="B1933" s="760"/>
      <c r="C1933" s="760"/>
      <c r="D1933" s="760"/>
      <c r="E1933" s="760"/>
      <c r="F1933" s="760"/>
      <c r="G1933" s="760"/>
      <c r="H1933" s="760"/>
      <c r="I1933" s="760"/>
      <c r="J1933" s="760"/>
      <c r="K1933" s="760"/>
    </row>
    <row r="1934" spans="1:11">
      <c r="A1934" s="760"/>
      <c r="B1934" s="760"/>
      <c r="C1934" s="760"/>
      <c r="D1934" s="760"/>
      <c r="E1934" s="760"/>
      <c r="F1934" s="760"/>
      <c r="G1934" s="760"/>
      <c r="H1934" s="760"/>
      <c r="I1934" s="760"/>
      <c r="J1934" s="760"/>
      <c r="K1934" s="760"/>
    </row>
    <row r="1935" spans="1:11">
      <c r="A1935" s="760"/>
      <c r="B1935" s="760"/>
      <c r="C1935" s="760"/>
      <c r="D1935" s="760"/>
      <c r="E1935" s="760"/>
      <c r="F1935" s="760"/>
      <c r="G1935" s="760"/>
      <c r="H1935" s="760"/>
      <c r="I1935" s="760"/>
      <c r="J1935" s="760"/>
      <c r="K1935" s="760"/>
    </row>
    <row r="1936" spans="1:11">
      <c r="A1936" s="760"/>
      <c r="B1936" s="760"/>
      <c r="C1936" s="760"/>
      <c r="D1936" s="760"/>
      <c r="E1936" s="760"/>
      <c r="F1936" s="760"/>
      <c r="G1936" s="760"/>
      <c r="H1936" s="760"/>
      <c r="I1936" s="760"/>
      <c r="J1936" s="760"/>
      <c r="K1936" s="760"/>
    </row>
    <row r="1937" spans="1:11">
      <c r="A1937" s="760"/>
      <c r="B1937" s="760"/>
      <c r="C1937" s="760"/>
      <c r="D1937" s="760"/>
      <c r="E1937" s="760"/>
      <c r="F1937" s="760"/>
      <c r="G1937" s="760"/>
      <c r="H1937" s="760"/>
      <c r="I1937" s="760"/>
      <c r="J1937" s="760"/>
      <c r="K1937" s="760"/>
    </row>
    <row r="1938" spans="1:11">
      <c r="A1938" s="760"/>
      <c r="B1938" s="760"/>
      <c r="C1938" s="760"/>
      <c r="D1938" s="760"/>
      <c r="E1938" s="760"/>
      <c r="F1938" s="760"/>
      <c r="G1938" s="760"/>
      <c r="H1938" s="760"/>
      <c r="I1938" s="760"/>
      <c r="J1938" s="760"/>
      <c r="K1938" s="760"/>
    </row>
    <row r="1939" spans="1:11">
      <c r="A1939" s="760"/>
      <c r="B1939" s="760"/>
      <c r="C1939" s="760"/>
      <c r="D1939" s="760"/>
      <c r="E1939" s="760"/>
      <c r="F1939" s="760"/>
      <c r="G1939" s="760"/>
      <c r="H1939" s="760"/>
      <c r="I1939" s="760"/>
      <c r="J1939" s="760"/>
      <c r="K1939" s="760"/>
    </row>
    <row r="1940" spans="1:11">
      <c r="A1940" s="760"/>
      <c r="B1940" s="760"/>
      <c r="C1940" s="760"/>
      <c r="D1940" s="760"/>
      <c r="E1940" s="760"/>
      <c r="F1940" s="760"/>
      <c r="G1940" s="760"/>
      <c r="H1940" s="760"/>
      <c r="I1940" s="760"/>
      <c r="J1940" s="760"/>
      <c r="K1940" s="760"/>
    </row>
    <row r="1941" spans="1:11">
      <c r="A1941" s="760"/>
      <c r="B1941" s="760"/>
      <c r="C1941" s="760"/>
      <c r="D1941" s="760"/>
      <c r="E1941" s="760"/>
      <c r="F1941" s="760"/>
      <c r="G1941" s="760"/>
      <c r="H1941" s="760"/>
      <c r="I1941" s="760"/>
      <c r="J1941" s="760"/>
      <c r="K1941" s="760"/>
    </row>
    <row r="1942" spans="1:11">
      <c r="A1942" s="760"/>
      <c r="B1942" s="760"/>
      <c r="C1942" s="760"/>
      <c r="D1942" s="760"/>
      <c r="E1942" s="760"/>
      <c r="F1942" s="760"/>
      <c r="G1942" s="760"/>
      <c r="H1942" s="760"/>
      <c r="I1942" s="760"/>
      <c r="J1942" s="760"/>
      <c r="K1942" s="760"/>
    </row>
    <row r="1943" spans="1:11">
      <c r="A1943" s="760"/>
      <c r="B1943" s="760"/>
      <c r="C1943" s="760"/>
      <c r="D1943" s="760"/>
      <c r="E1943" s="760"/>
      <c r="F1943" s="760"/>
      <c r="G1943" s="760"/>
      <c r="H1943" s="760"/>
      <c r="I1943" s="760"/>
      <c r="J1943" s="760"/>
      <c r="K1943" s="760"/>
    </row>
    <row r="1944" spans="1:11">
      <c r="A1944" s="760"/>
      <c r="B1944" s="760"/>
      <c r="C1944" s="760"/>
      <c r="D1944" s="760"/>
      <c r="E1944" s="760"/>
      <c r="F1944" s="760"/>
      <c r="G1944" s="760"/>
      <c r="H1944" s="760"/>
      <c r="I1944" s="760"/>
      <c r="J1944" s="760"/>
      <c r="K1944" s="760"/>
    </row>
    <row r="1945" spans="1:11">
      <c r="A1945" s="760"/>
      <c r="B1945" s="760"/>
      <c r="C1945" s="760"/>
      <c r="D1945" s="760"/>
      <c r="E1945" s="760"/>
      <c r="F1945" s="760"/>
      <c r="G1945" s="760"/>
      <c r="H1945" s="760"/>
      <c r="I1945" s="760"/>
      <c r="J1945" s="760"/>
      <c r="K1945" s="760"/>
    </row>
    <row r="1946" spans="1:11">
      <c r="A1946" s="760"/>
      <c r="B1946" s="760"/>
      <c r="C1946" s="760"/>
      <c r="D1946" s="760"/>
      <c r="E1946" s="760"/>
      <c r="F1946" s="760"/>
      <c r="G1946" s="760"/>
      <c r="H1946" s="760"/>
      <c r="I1946" s="760"/>
      <c r="J1946" s="760"/>
      <c r="K1946" s="760"/>
    </row>
    <row r="1947" spans="1:11">
      <c r="A1947" s="760"/>
      <c r="B1947" s="760"/>
      <c r="C1947" s="760"/>
      <c r="D1947" s="760"/>
      <c r="E1947" s="760"/>
      <c r="F1947" s="760"/>
      <c r="G1947" s="760"/>
      <c r="H1947" s="760"/>
      <c r="I1947" s="760"/>
      <c r="J1947" s="760"/>
      <c r="K1947" s="760"/>
    </row>
    <row r="1948" spans="1:11">
      <c r="A1948" s="760"/>
      <c r="B1948" s="760"/>
      <c r="C1948" s="760"/>
      <c r="D1948" s="760"/>
      <c r="E1948" s="760"/>
      <c r="F1948" s="760"/>
      <c r="G1948" s="760"/>
      <c r="H1948" s="760"/>
      <c r="I1948" s="760"/>
      <c r="J1948" s="760"/>
      <c r="K1948" s="760"/>
    </row>
    <row r="1949" spans="1:11">
      <c r="A1949" s="760"/>
      <c r="B1949" s="760"/>
      <c r="C1949" s="760"/>
      <c r="D1949" s="760"/>
      <c r="E1949" s="760"/>
      <c r="F1949" s="760"/>
      <c r="G1949" s="760"/>
      <c r="H1949" s="760"/>
      <c r="I1949" s="760"/>
      <c r="J1949" s="760"/>
      <c r="K1949" s="760"/>
    </row>
    <row r="1950" spans="1:11">
      <c r="A1950" s="760"/>
      <c r="B1950" s="760"/>
      <c r="C1950" s="760"/>
      <c r="D1950" s="760"/>
      <c r="E1950" s="760"/>
      <c r="F1950" s="760"/>
      <c r="G1950" s="760"/>
      <c r="H1950" s="760"/>
      <c r="I1950" s="760"/>
      <c r="J1950" s="760"/>
      <c r="K1950" s="760"/>
    </row>
    <row r="1951" spans="1:11">
      <c r="A1951" s="760"/>
      <c r="B1951" s="760"/>
      <c r="C1951" s="760"/>
      <c r="D1951" s="760"/>
      <c r="E1951" s="760"/>
      <c r="F1951" s="760"/>
      <c r="G1951" s="760"/>
      <c r="H1951" s="760"/>
      <c r="I1951" s="760"/>
      <c r="J1951" s="760"/>
      <c r="K1951" s="760"/>
    </row>
    <row r="1952" spans="1:11">
      <c r="A1952" s="760"/>
      <c r="B1952" s="760"/>
      <c r="C1952" s="760"/>
      <c r="D1952" s="760"/>
      <c r="E1952" s="760"/>
      <c r="F1952" s="760"/>
      <c r="G1952" s="760"/>
      <c r="H1952" s="760"/>
      <c r="I1952" s="760"/>
      <c r="J1952" s="760"/>
      <c r="K1952" s="760"/>
    </row>
    <row r="1953" spans="1:11">
      <c r="A1953" s="760"/>
      <c r="B1953" s="760"/>
      <c r="C1953" s="760"/>
      <c r="D1953" s="760"/>
      <c r="E1953" s="760"/>
      <c r="F1953" s="760"/>
      <c r="G1953" s="760"/>
      <c r="H1953" s="760"/>
      <c r="I1953" s="760"/>
      <c r="J1953" s="760"/>
      <c r="K1953" s="760"/>
    </row>
    <row r="1954" spans="1:11">
      <c r="A1954" s="760"/>
      <c r="B1954" s="760"/>
      <c r="C1954" s="760"/>
      <c r="D1954" s="760"/>
      <c r="E1954" s="760"/>
      <c r="F1954" s="760"/>
      <c r="G1954" s="760"/>
      <c r="H1954" s="760"/>
      <c r="I1954" s="760"/>
      <c r="J1954" s="760"/>
      <c r="K1954" s="760"/>
    </row>
    <row r="1955" spans="1:11">
      <c r="A1955" s="760"/>
      <c r="B1955" s="760"/>
      <c r="C1955" s="760"/>
      <c r="D1955" s="760"/>
      <c r="E1955" s="760"/>
      <c r="F1955" s="760"/>
      <c r="G1955" s="760"/>
      <c r="H1955" s="760"/>
      <c r="I1955" s="760"/>
      <c r="J1955" s="760"/>
      <c r="K1955" s="760"/>
    </row>
    <row r="1956" spans="1:11">
      <c r="A1956" s="760"/>
      <c r="B1956" s="760"/>
      <c r="C1956" s="760"/>
      <c r="D1956" s="760"/>
      <c r="E1956" s="760"/>
      <c r="F1956" s="760"/>
      <c r="G1956" s="760"/>
      <c r="H1956" s="760"/>
      <c r="I1956" s="760"/>
      <c r="J1956" s="760"/>
      <c r="K1956" s="760"/>
    </row>
    <row r="1957" spans="1:11">
      <c r="A1957" s="760"/>
      <c r="B1957" s="760"/>
      <c r="C1957" s="760"/>
      <c r="D1957" s="760"/>
      <c r="E1957" s="760"/>
      <c r="F1957" s="760"/>
      <c r="G1957" s="760"/>
      <c r="H1957" s="760"/>
      <c r="I1957" s="760"/>
      <c r="J1957" s="760"/>
      <c r="K1957" s="760"/>
    </row>
    <row r="1958" spans="1:11">
      <c r="A1958" s="760"/>
      <c r="B1958" s="760"/>
      <c r="C1958" s="760"/>
      <c r="D1958" s="760"/>
      <c r="E1958" s="760"/>
      <c r="F1958" s="760"/>
      <c r="G1958" s="760"/>
      <c r="H1958" s="760"/>
      <c r="I1958" s="760"/>
      <c r="J1958" s="760"/>
      <c r="K1958" s="760"/>
    </row>
    <row r="1959" spans="1:11">
      <c r="A1959" s="760"/>
      <c r="B1959" s="760"/>
      <c r="C1959" s="760"/>
      <c r="D1959" s="760"/>
      <c r="E1959" s="760"/>
      <c r="F1959" s="760"/>
      <c r="G1959" s="760"/>
      <c r="H1959" s="760"/>
      <c r="I1959" s="760"/>
      <c r="J1959" s="760"/>
      <c r="K1959" s="760"/>
    </row>
    <row r="1960" spans="1:11">
      <c r="A1960" s="760"/>
      <c r="B1960" s="760"/>
      <c r="C1960" s="760"/>
      <c r="D1960" s="760"/>
      <c r="E1960" s="760"/>
      <c r="F1960" s="760"/>
      <c r="G1960" s="760"/>
      <c r="H1960" s="760"/>
      <c r="I1960" s="760"/>
      <c r="J1960" s="760"/>
      <c r="K1960" s="760"/>
    </row>
    <row r="1961" spans="1:11">
      <c r="A1961" s="760"/>
      <c r="B1961" s="760"/>
      <c r="C1961" s="760"/>
      <c r="D1961" s="760"/>
      <c r="E1961" s="760"/>
      <c r="F1961" s="760"/>
      <c r="G1961" s="760"/>
      <c r="H1961" s="760"/>
      <c r="I1961" s="760"/>
      <c r="J1961" s="760"/>
      <c r="K1961" s="760"/>
    </row>
    <row r="1962" spans="1:11">
      <c r="A1962" s="760"/>
      <c r="B1962" s="760"/>
      <c r="C1962" s="760"/>
      <c r="D1962" s="760"/>
      <c r="E1962" s="760"/>
      <c r="F1962" s="760"/>
      <c r="G1962" s="760"/>
      <c r="H1962" s="760"/>
      <c r="I1962" s="760"/>
      <c r="J1962" s="760"/>
      <c r="K1962" s="760"/>
    </row>
    <row r="1963" spans="1:11">
      <c r="A1963" s="760"/>
      <c r="B1963" s="760"/>
      <c r="C1963" s="760"/>
      <c r="D1963" s="760"/>
      <c r="E1963" s="760"/>
      <c r="F1963" s="760"/>
      <c r="G1963" s="760"/>
      <c r="H1963" s="760"/>
      <c r="I1963" s="760"/>
      <c r="J1963" s="760"/>
      <c r="K1963" s="760"/>
    </row>
    <row r="1964" spans="1:11">
      <c r="A1964" s="760"/>
      <c r="B1964" s="760"/>
      <c r="C1964" s="760"/>
      <c r="D1964" s="760"/>
      <c r="E1964" s="760"/>
      <c r="F1964" s="760"/>
      <c r="G1964" s="760"/>
      <c r="H1964" s="760"/>
      <c r="I1964" s="760"/>
      <c r="J1964" s="760"/>
      <c r="K1964" s="760"/>
    </row>
    <row r="1965" spans="1:11">
      <c r="A1965" s="760"/>
      <c r="B1965" s="760"/>
      <c r="C1965" s="760"/>
      <c r="D1965" s="760"/>
      <c r="E1965" s="760"/>
      <c r="F1965" s="760"/>
      <c r="G1965" s="760"/>
      <c r="H1965" s="760"/>
      <c r="I1965" s="760"/>
      <c r="J1965" s="760"/>
      <c r="K1965" s="760"/>
    </row>
    <row r="1966" spans="1:11">
      <c r="A1966" s="760"/>
      <c r="B1966" s="760"/>
      <c r="C1966" s="760"/>
      <c r="D1966" s="760"/>
      <c r="E1966" s="760"/>
      <c r="F1966" s="760"/>
      <c r="G1966" s="760"/>
      <c r="H1966" s="760"/>
      <c r="I1966" s="760"/>
      <c r="J1966" s="760"/>
      <c r="K1966" s="760"/>
    </row>
    <row r="1967" spans="1:11">
      <c r="A1967" s="760"/>
      <c r="B1967" s="760"/>
      <c r="C1967" s="760"/>
      <c r="D1967" s="760"/>
      <c r="E1967" s="760"/>
      <c r="F1967" s="760"/>
      <c r="G1967" s="760"/>
      <c r="H1967" s="760"/>
      <c r="I1967" s="760"/>
      <c r="J1967" s="760"/>
      <c r="K1967" s="760"/>
    </row>
    <row r="1968" spans="1:11">
      <c r="A1968" s="760"/>
      <c r="B1968" s="760"/>
      <c r="C1968" s="760"/>
      <c r="D1968" s="760"/>
      <c r="E1968" s="760"/>
      <c r="F1968" s="760"/>
      <c r="G1968" s="760"/>
      <c r="H1968" s="760"/>
      <c r="I1968" s="760"/>
      <c r="J1968" s="760"/>
      <c r="K1968" s="760"/>
    </row>
    <row r="1969" spans="1:11">
      <c r="A1969" s="760"/>
      <c r="B1969" s="760"/>
      <c r="C1969" s="760"/>
      <c r="D1969" s="760"/>
      <c r="E1969" s="760"/>
      <c r="F1969" s="760"/>
      <c r="G1969" s="760"/>
      <c r="H1969" s="760"/>
      <c r="I1969" s="760"/>
      <c r="J1969" s="760"/>
      <c r="K1969" s="760"/>
    </row>
    <row r="1970" spans="1:11">
      <c r="A1970" s="760"/>
      <c r="B1970" s="760"/>
      <c r="C1970" s="760"/>
      <c r="D1970" s="760"/>
      <c r="E1970" s="760"/>
      <c r="F1970" s="760"/>
      <c r="G1970" s="760"/>
      <c r="H1970" s="760"/>
      <c r="I1970" s="760"/>
      <c r="J1970" s="760"/>
      <c r="K1970" s="760"/>
    </row>
    <row r="1971" spans="1:11">
      <c r="A1971" s="760"/>
      <c r="B1971" s="760"/>
      <c r="C1971" s="760"/>
      <c r="D1971" s="760"/>
      <c r="E1971" s="760"/>
      <c r="F1971" s="760"/>
      <c r="G1971" s="760"/>
      <c r="H1971" s="760"/>
      <c r="I1971" s="760"/>
      <c r="J1971" s="760"/>
      <c r="K1971" s="760"/>
    </row>
    <row r="1972" spans="1:11">
      <c r="A1972" s="760"/>
      <c r="B1972" s="760"/>
      <c r="C1972" s="760"/>
      <c r="D1972" s="760"/>
      <c r="E1972" s="760"/>
      <c r="F1972" s="760"/>
      <c r="G1972" s="760"/>
      <c r="H1972" s="760"/>
      <c r="I1972" s="760"/>
      <c r="J1972" s="760"/>
      <c r="K1972" s="760"/>
    </row>
    <row r="1973" spans="1:11">
      <c r="A1973" s="760"/>
      <c r="B1973" s="760"/>
      <c r="C1973" s="760"/>
      <c r="D1973" s="760"/>
      <c r="E1973" s="760"/>
      <c r="F1973" s="760"/>
      <c r="G1973" s="760"/>
      <c r="H1973" s="760"/>
      <c r="I1973" s="760"/>
      <c r="J1973" s="760"/>
      <c r="K1973" s="760"/>
    </row>
    <row r="1974" spans="1:11">
      <c r="A1974" s="760"/>
      <c r="B1974" s="760"/>
      <c r="C1974" s="760"/>
      <c r="D1974" s="760"/>
      <c r="E1974" s="760"/>
      <c r="F1974" s="760"/>
      <c r="G1974" s="760"/>
      <c r="H1974" s="760"/>
      <c r="I1974" s="760"/>
      <c r="J1974" s="760"/>
      <c r="K1974" s="760"/>
    </row>
    <row r="1975" spans="1:11">
      <c r="A1975" s="760"/>
      <c r="B1975" s="760"/>
      <c r="C1975" s="760"/>
      <c r="D1975" s="760"/>
      <c r="E1975" s="760"/>
      <c r="F1975" s="760"/>
      <c r="G1975" s="760"/>
      <c r="H1975" s="760"/>
      <c r="I1975" s="760"/>
      <c r="J1975" s="760"/>
      <c r="K1975" s="760"/>
    </row>
    <row r="1976" spans="1:11">
      <c r="A1976" s="760"/>
      <c r="B1976" s="760"/>
      <c r="C1976" s="760"/>
      <c r="D1976" s="760"/>
      <c r="E1976" s="760"/>
      <c r="F1976" s="760"/>
      <c r="G1976" s="760"/>
      <c r="H1976" s="760"/>
      <c r="I1976" s="760"/>
      <c r="J1976" s="760"/>
      <c r="K1976" s="760"/>
    </row>
    <row r="1977" spans="1:11">
      <c r="A1977" s="760"/>
      <c r="B1977" s="760"/>
      <c r="C1977" s="760"/>
      <c r="D1977" s="760"/>
      <c r="E1977" s="760"/>
      <c r="F1977" s="760"/>
      <c r="G1977" s="760"/>
      <c r="H1977" s="760"/>
      <c r="I1977" s="760"/>
      <c r="J1977" s="760"/>
      <c r="K1977" s="760"/>
    </row>
    <row r="1978" spans="1:11">
      <c r="A1978" s="760"/>
      <c r="B1978" s="760"/>
      <c r="C1978" s="760"/>
      <c r="D1978" s="760"/>
      <c r="E1978" s="760"/>
      <c r="F1978" s="760"/>
      <c r="G1978" s="760"/>
      <c r="H1978" s="760"/>
      <c r="I1978" s="760"/>
      <c r="J1978" s="760"/>
      <c r="K1978" s="760"/>
    </row>
    <row r="1979" spans="1:11">
      <c r="A1979" s="760"/>
      <c r="B1979" s="760"/>
      <c r="C1979" s="760"/>
      <c r="D1979" s="760"/>
      <c r="E1979" s="760"/>
      <c r="F1979" s="760"/>
      <c r="G1979" s="760"/>
      <c r="H1979" s="760"/>
      <c r="I1979" s="760"/>
      <c r="J1979" s="760"/>
      <c r="K1979" s="760"/>
    </row>
    <row r="1980" spans="1:11">
      <c r="A1980" s="760"/>
      <c r="B1980" s="760"/>
      <c r="C1980" s="760"/>
      <c r="D1980" s="760"/>
      <c r="E1980" s="760"/>
      <c r="F1980" s="760"/>
      <c r="G1980" s="760"/>
      <c r="H1980" s="760"/>
      <c r="I1980" s="760"/>
      <c r="J1980" s="760"/>
      <c r="K1980" s="760"/>
    </row>
    <row r="1981" spans="1:11">
      <c r="A1981" s="760"/>
      <c r="B1981" s="760"/>
      <c r="C1981" s="760"/>
      <c r="D1981" s="760"/>
      <c r="E1981" s="760"/>
      <c r="F1981" s="760"/>
      <c r="G1981" s="760"/>
      <c r="H1981" s="760"/>
      <c r="I1981" s="760"/>
      <c r="J1981" s="760"/>
      <c r="K1981" s="760"/>
    </row>
    <row r="1982" spans="1:11">
      <c r="A1982" s="760"/>
      <c r="B1982" s="760"/>
      <c r="C1982" s="760"/>
      <c r="D1982" s="760"/>
      <c r="E1982" s="760"/>
      <c r="F1982" s="760"/>
      <c r="G1982" s="760"/>
      <c r="H1982" s="760"/>
      <c r="I1982" s="760"/>
      <c r="J1982" s="760"/>
      <c r="K1982" s="760"/>
    </row>
    <row r="1983" spans="1:11">
      <c r="A1983" s="760"/>
      <c r="B1983" s="760"/>
      <c r="C1983" s="760"/>
      <c r="D1983" s="760"/>
      <c r="E1983" s="760"/>
      <c r="F1983" s="760"/>
      <c r="G1983" s="760"/>
      <c r="H1983" s="760"/>
      <c r="I1983" s="760"/>
      <c r="J1983" s="760"/>
      <c r="K1983" s="760"/>
    </row>
    <row r="1984" spans="1:11">
      <c r="A1984" s="760"/>
      <c r="B1984" s="760"/>
      <c r="C1984" s="760"/>
      <c r="D1984" s="760"/>
      <c r="E1984" s="760"/>
      <c r="F1984" s="760"/>
      <c r="G1984" s="760"/>
      <c r="H1984" s="760"/>
      <c r="I1984" s="760"/>
      <c r="J1984" s="760"/>
      <c r="K1984" s="760"/>
    </row>
    <row r="1985" spans="1:11">
      <c r="A1985" s="760"/>
      <c r="B1985" s="760"/>
      <c r="C1985" s="760"/>
      <c r="D1985" s="760"/>
      <c r="E1985" s="760"/>
      <c r="F1985" s="760"/>
      <c r="G1985" s="760"/>
      <c r="H1985" s="760"/>
      <c r="I1985" s="760"/>
      <c r="J1985" s="760"/>
      <c r="K1985" s="760"/>
    </row>
    <row r="1986" spans="1:11">
      <c r="A1986" s="760"/>
      <c r="B1986" s="760"/>
      <c r="C1986" s="760"/>
      <c r="D1986" s="760"/>
      <c r="E1986" s="760"/>
      <c r="F1986" s="760"/>
      <c r="G1986" s="760"/>
      <c r="H1986" s="760"/>
      <c r="I1986" s="760"/>
      <c r="J1986" s="760"/>
      <c r="K1986" s="760"/>
    </row>
    <row r="1987" spans="1:11">
      <c r="A1987" s="760"/>
      <c r="B1987" s="760"/>
      <c r="C1987" s="760"/>
      <c r="D1987" s="760"/>
      <c r="E1987" s="760"/>
      <c r="F1987" s="760"/>
      <c r="G1987" s="760"/>
      <c r="H1987" s="760"/>
      <c r="I1987" s="760"/>
      <c r="J1987" s="760"/>
      <c r="K1987" s="760"/>
    </row>
    <row r="1988" spans="1:11">
      <c r="A1988" s="760"/>
      <c r="B1988" s="760"/>
      <c r="C1988" s="760"/>
      <c r="D1988" s="760"/>
      <c r="E1988" s="760"/>
      <c r="F1988" s="760"/>
      <c r="G1988" s="760"/>
      <c r="H1988" s="760"/>
      <c r="I1988" s="760"/>
      <c r="J1988" s="760"/>
      <c r="K1988" s="760"/>
    </row>
    <row r="1989" spans="1:11">
      <c r="A1989" s="760"/>
      <c r="B1989" s="760"/>
      <c r="C1989" s="760"/>
      <c r="D1989" s="760"/>
      <c r="E1989" s="760"/>
      <c r="F1989" s="760"/>
      <c r="G1989" s="760"/>
      <c r="H1989" s="760"/>
      <c r="I1989" s="760"/>
      <c r="J1989" s="760"/>
      <c r="K1989" s="760"/>
    </row>
    <row r="1990" spans="1:11">
      <c r="A1990" s="760"/>
      <c r="B1990" s="760"/>
      <c r="C1990" s="760"/>
      <c r="D1990" s="760"/>
      <c r="E1990" s="760"/>
      <c r="F1990" s="760"/>
      <c r="G1990" s="760"/>
      <c r="H1990" s="760"/>
      <c r="I1990" s="760"/>
      <c r="J1990" s="760"/>
      <c r="K1990" s="760"/>
    </row>
    <row r="1991" spans="1:11">
      <c r="A1991" s="760"/>
      <c r="B1991" s="760"/>
      <c r="C1991" s="760"/>
      <c r="D1991" s="760"/>
      <c r="E1991" s="760"/>
      <c r="F1991" s="760"/>
      <c r="G1991" s="760"/>
      <c r="H1991" s="760"/>
      <c r="I1991" s="760"/>
      <c r="J1991" s="760"/>
      <c r="K1991" s="760"/>
    </row>
    <row r="1992" spans="1:11">
      <c r="A1992" s="760"/>
      <c r="B1992" s="760"/>
      <c r="C1992" s="760"/>
      <c r="D1992" s="760"/>
      <c r="E1992" s="760"/>
      <c r="F1992" s="760"/>
      <c r="G1992" s="760"/>
      <c r="H1992" s="760"/>
      <c r="I1992" s="760"/>
      <c r="J1992" s="760"/>
      <c r="K1992" s="760"/>
    </row>
    <row r="1993" spans="1:11">
      <c r="A1993" s="760"/>
      <c r="B1993" s="760"/>
      <c r="C1993" s="760"/>
      <c r="D1993" s="760"/>
      <c r="E1993" s="760"/>
      <c r="F1993" s="760"/>
      <c r="G1993" s="760"/>
      <c r="H1993" s="760"/>
      <c r="I1993" s="760"/>
      <c r="J1993" s="760"/>
      <c r="K1993" s="760"/>
    </row>
    <row r="1994" spans="1:11">
      <c r="A1994" s="760"/>
      <c r="B1994" s="760"/>
      <c r="C1994" s="760"/>
      <c r="D1994" s="760"/>
      <c r="E1994" s="760"/>
      <c r="F1994" s="760"/>
      <c r="G1994" s="760"/>
      <c r="H1994" s="760"/>
      <c r="I1994" s="760"/>
      <c r="J1994" s="760"/>
      <c r="K1994" s="760"/>
    </row>
    <row r="1995" spans="1:11">
      <c r="A1995" s="760"/>
      <c r="B1995" s="760"/>
      <c r="C1995" s="760"/>
      <c r="D1995" s="760"/>
      <c r="E1995" s="760"/>
      <c r="F1995" s="760"/>
      <c r="G1995" s="760"/>
      <c r="H1995" s="760"/>
      <c r="I1995" s="760"/>
      <c r="J1995" s="760"/>
      <c r="K1995" s="760"/>
    </row>
    <row r="1996" spans="1:11">
      <c r="A1996" s="760"/>
      <c r="B1996" s="760"/>
      <c r="C1996" s="760"/>
      <c r="D1996" s="760"/>
      <c r="E1996" s="760"/>
      <c r="F1996" s="760"/>
      <c r="G1996" s="760"/>
      <c r="H1996" s="760"/>
      <c r="I1996" s="760"/>
      <c r="J1996" s="760"/>
      <c r="K1996" s="760"/>
    </row>
    <row r="1997" spans="1:11">
      <c r="A1997" s="760"/>
      <c r="B1997" s="760"/>
      <c r="C1997" s="760"/>
      <c r="D1997" s="760"/>
      <c r="E1997" s="760"/>
      <c r="F1997" s="760"/>
      <c r="G1997" s="760"/>
      <c r="H1997" s="760"/>
      <c r="I1997" s="760"/>
      <c r="J1997" s="760"/>
      <c r="K1997" s="760"/>
    </row>
    <row r="1998" spans="1:11">
      <c r="A1998" s="760"/>
      <c r="B1998" s="760"/>
      <c r="C1998" s="760"/>
      <c r="D1998" s="760"/>
      <c r="E1998" s="760"/>
      <c r="F1998" s="760"/>
      <c r="G1998" s="760"/>
      <c r="H1998" s="760"/>
      <c r="I1998" s="760"/>
      <c r="J1998" s="760"/>
      <c r="K1998" s="760"/>
    </row>
    <row r="1999" spans="1:11">
      <c r="A1999" s="760"/>
      <c r="B1999" s="760"/>
      <c r="C1999" s="760"/>
      <c r="D1999" s="760"/>
      <c r="E1999" s="760"/>
      <c r="F1999" s="760"/>
      <c r="G1999" s="760"/>
      <c r="H1999" s="760"/>
      <c r="I1999" s="760"/>
      <c r="J1999" s="760"/>
      <c r="K1999" s="760"/>
    </row>
    <row r="2000" spans="1:11">
      <c r="A2000" s="760"/>
      <c r="B2000" s="760"/>
      <c r="C2000" s="760"/>
      <c r="D2000" s="760"/>
      <c r="E2000" s="760"/>
      <c r="F2000" s="760"/>
      <c r="G2000" s="760"/>
      <c r="H2000" s="760"/>
      <c r="I2000" s="760"/>
      <c r="J2000" s="760"/>
      <c r="K2000" s="760"/>
    </row>
    <row r="2001" spans="1:11">
      <c r="A2001" s="760"/>
      <c r="B2001" s="760"/>
      <c r="C2001" s="760"/>
      <c r="D2001" s="760"/>
      <c r="E2001" s="760"/>
      <c r="F2001" s="760"/>
      <c r="G2001" s="760"/>
      <c r="H2001" s="760"/>
      <c r="I2001" s="760"/>
      <c r="J2001" s="760"/>
      <c r="K2001" s="760"/>
    </row>
    <row r="2002" spans="1:11">
      <c r="A2002" s="760"/>
      <c r="B2002" s="760"/>
      <c r="C2002" s="760"/>
      <c r="D2002" s="760"/>
      <c r="E2002" s="760"/>
      <c r="F2002" s="760"/>
      <c r="G2002" s="760"/>
      <c r="H2002" s="760"/>
      <c r="I2002" s="760"/>
      <c r="J2002" s="760"/>
      <c r="K2002" s="760"/>
    </row>
    <row r="2003" spans="1:11">
      <c r="A2003" s="760"/>
      <c r="B2003" s="760"/>
      <c r="C2003" s="760"/>
      <c r="D2003" s="760"/>
      <c r="E2003" s="760"/>
      <c r="F2003" s="760"/>
      <c r="G2003" s="760"/>
      <c r="H2003" s="760"/>
      <c r="I2003" s="760"/>
      <c r="J2003" s="760"/>
      <c r="K2003" s="760"/>
    </row>
    <row r="2004" spans="1:11">
      <c r="A2004" s="760"/>
      <c r="B2004" s="760"/>
      <c r="C2004" s="760"/>
      <c r="D2004" s="760"/>
      <c r="E2004" s="760"/>
      <c r="F2004" s="760"/>
      <c r="G2004" s="760"/>
      <c r="H2004" s="760"/>
      <c r="I2004" s="760"/>
      <c r="J2004" s="760"/>
      <c r="K2004" s="760"/>
    </row>
    <row r="2005" spans="1:11">
      <c r="A2005" s="760"/>
      <c r="B2005" s="760"/>
      <c r="C2005" s="760"/>
      <c r="D2005" s="760"/>
      <c r="E2005" s="760"/>
      <c r="F2005" s="760"/>
      <c r="G2005" s="760"/>
      <c r="H2005" s="760"/>
      <c r="I2005" s="760"/>
      <c r="J2005" s="760"/>
      <c r="K2005" s="760"/>
    </row>
    <row r="2006" spans="1:11">
      <c r="A2006" s="760"/>
      <c r="B2006" s="760"/>
      <c r="C2006" s="760"/>
      <c r="D2006" s="760"/>
      <c r="E2006" s="760"/>
      <c r="F2006" s="760"/>
      <c r="G2006" s="760"/>
      <c r="H2006" s="760"/>
      <c r="I2006" s="760"/>
      <c r="J2006" s="760"/>
      <c r="K2006" s="760"/>
    </row>
    <row r="2007" spans="1:11">
      <c r="A2007" s="760"/>
      <c r="B2007" s="760"/>
      <c r="C2007" s="760"/>
      <c r="D2007" s="760"/>
      <c r="E2007" s="760"/>
      <c r="F2007" s="760"/>
      <c r="G2007" s="760"/>
      <c r="H2007" s="760"/>
      <c r="I2007" s="760"/>
      <c r="J2007" s="760"/>
      <c r="K2007" s="760"/>
    </row>
    <row r="2008" spans="1:11">
      <c r="A2008" s="760"/>
      <c r="B2008" s="760"/>
      <c r="C2008" s="760"/>
      <c r="D2008" s="760"/>
      <c r="E2008" s="760"/>
      <c r="F2008" s="760"/>
      <c r="G2008" s="760"/>
      <c r="H2008" s="760"/>
      <c r="I2008" s="760"/>
      <c r="J2008" s="760"/>
      <c r="K2008" s="760"/>
    </row>
    <row r="2009" spans="1:11">
      <c r="A2009" s="760"/>
      <c r="B2009" s="760"/>
      <c r="C2009" s="760"/>
      <c r="D2009" s="760"/>
      <c r="E2009" s="760"/>
      <c r="F2009" s="760"/>
      <c r="G2009" s="760"/>
      <c r="H2009" s="760"/>
      <c r="I2009" s="760"/>
      <c r="J2009" s="760"/>
      <c r="K2009" s="760"/>
    </row>
    <row r="2010" spans="1:11">
      <c r="A2010" s="760"/>
      <c r="B2010" s="760"/>
      <c r="C2010" s="760"/>
      <c r="D2010" s="760"/>
      <c r="E2010" s="760"/>
      <c r="F2010" s="760"/>
      <c r="G2010" s="760"/>
      <c r="H2010" s="760"/>
      <c r="I2010" s="760"/>
      <c r="J2010" s="760"/>
      <c r="K2010" s="760"/>
    </row>
    <row r="2011" spans="1:11">
      <c r="A2011" s="760"/>
      <c r="B2011" s="760"/>
      <c r="C2011" s="760"/>
      <c r="D2011" s="760"/>
      <c r="E2011" s="760"/>
      <c r="F2011" s="760"/>
      <c r="G2011" s="760"/>
      <c r="H2011" s="760"/>
      <c r="I2011" s="760"/>
      <c r="J2011" s="760"/>
      <c r="K2011" s="760"/>
    </row>
    <row r="2012" spans="1:11">
      <c r="A2012" s="760"/>
      <c r="B2012" s="760"/>
      <c r="C2012" s="760"/>
      <c r="D2012" s="760"/>
      <c r="E2012" s="760"/>
      <c r="F2012" s="760"/>
      <c r="G2012" s="760"/>
      <c r="H2012" s="760"/>
      <c r="I2012" s="760"/>
      <c r="J2012" s="760"/>
      <c r="K2012" s="760"/>
    </row>
    <row r="2013" spans="1:11">
      <c r="A2013" s="760"/>
      <c r="B2013" s="760"/>
      <c r="C2013" s="760"/>
      <c r="D2013" s="760"/>
      <c r="E2013" s="760"/>
      <c r="F2013" s="760"/>
      <c r="G2013" s="760"/>
      <c r="H2013" s="760"/>
      <c r="I2013" s="760"/>
      <c r="J2013" s="760"/>
      <c r="K2013" s="760"/>
    </row>
    <row r="2014" spans="1:11">
      <c r="A2014" s="760"/>
      <c r="B2014" s="760"/>
      <c r="C2014" s="760"/>
      <c r="D2014" s="760"/>
      <c r="E2014" s="760"/>
      <c r="F2014" s="760"/>
      <c r="G2014" s="760"/>
      <c r="H2014" s="760"/>
      <c r="I2014" s="760"/>
      <c r="J2014" s="760"/>
      <c r="K2014" s="760"/>
    </row>
    <row r="2015" spans="1:11">
      <c r="A2015" s="760"/>
      <c r="B2015" s="760"/>
      <c r="C2015" s="760"/>
      <c r="D2015" s="760"/>
      <c r="E2015" s="760"/>
      <c r="F2015" s="760"/>
      <c r="G2015" s="760"/>
      <c r="H2015" s="760"/>
      <c r="I2015" s="760"/>
      <c r="J2015" s="760"/>
      <c r="K2015" s="760"/>
    </row>
    <row r="2016" spans="1:11">
      <c r="A2016" s="760"/>
      <c r="B2016" s="760"/>
      <c r="C2016" s="760"/>
      <c r="D2016" s="760"/>
      <c r="E2016" s="760"/>
      <c r="F2016" s="760"/>
      <c r="G2016" s="760"/>
      <c r="H2016" s="760"/>
      <c r="I2016" s="760"/>
      <c r="J2016" s="760"/>
      <c r="K2016" s="760"/>
    </row>
    <row r="2017" spans="1:11">
      <c r="A2017" s="760"/>
      <c r="B2017" s="760"/>
      <c r="C2017" s="760"/>
      <c r="D2017" s="760"/>
      <c r="E2017" s="760"/>
      <c r="F2017" s="760"/>
      <c r="G2017" s="760"/>
      <c r="H2017" s="760"/>
      <c r="I2017" s="760"/>
      <c r="J2017" s="760"/>
      <c r="K2017" s="760"/>
    </row>
    <row r="2018" spans="1:11">
      <c r="A2018" s="760"/>
      <c r="B2018" s="760"/>
      <c r="C2018" s="760"/>
      <c r="D2018" s="760"/>
      <c r="E2018" s="760"/>
      <c r="F2018" s="760"/>
      <c r="G2018" s="760"/>
      <c r="H2018" s="760"/>
      <c r="I2018" s="760"/>
      <c r="J2018" s="760"/>
      <c r="K2018" s="760"/>
    </row>
    <row r="2019" spans="1:11">
      <c r="A2019" s="760"/>
      <c r="B2019" s="760"/>
      <c r="C2019" s="760"/>
      <c r="D2019" s="760"/>
      <c r="E2019" s="760"/>
      <c r="F2019" s="760"/>
      <c r="G2019" s="760"/>
      <c r="H2019" s="760"/>
      <c r="I2019" s="760"/>
      <c r="J2019" s="760"/>
      <c r="K2019" s="760"/>
    </row>
    <row r="2020" spans="1:11">
      <c r="A2020" s="760"/>
      <c r="B2020" s="760"/>
      <c r="C2020" s="760"/>
      <c r="D2020" s="760"/>
      <c r="E2020" s="760"/>
      <c r="F2020" s="760"/>
      <c r="G2020" s="760"/>
      <c r="H2020" s="760"/>
      <c r="I2020" s="760"/>
      <c r="J2020" s="760"/>
      <c r="K2020" s="760"/>
    </row>
    <row r="2021" spans="1:11">
      <c r="A2021" s="760"/>
      <c r="B2021" s="760"/>
      <c r="C2021" s="760"/>
      <c r="D2021" s="760"/>
      <c r="E2021" s="760"/>
      <c r="F2021" s="760"/>
      <c r="G2021" s="760"/>
      <c r="H2021" s="760"/>
      <c r="I2021" s="760"/>
      <c r="J2021" s="760"/>
      <c r="K2021" s="760"/>
    </row>
    <row r="2022" spans="1:11">
      <c r="A2022" s="760"/>
      <c r="B2022" s="760"/>
      <c r="C2022" s="760"/>
      <c r="D2022" s="760"/>
      <c r="E2022" s="760"/>
      <c r="F2022" s="760"/>
      <c r="G2022" s="760"/>
      <c r="H2022" s="760"/>
      <c r="I2022" s="760"/>
      <c r="J2022" s="760"/>
      <c r="K2022" s="760"/>
    </row>
    <row r="2023" spans="1:11">
      <c r="A2023" s="760"/>
      <c r="B2023" s="760"/>
      <c r="C2023" s="760"/>
      <c r="D2023" s="760"/>
      <c r="E2023" s="760"/>
      <c r="F2023" s="760"/>
      <c r="G2023" s="760"/>
      <c r="H2023" s="760"/>
      <c r="I2023" s="760"/>
      <c r="J2023" s="760"/>
      <c r="K2023" s="760"/>
    </row>
    <row r="2024" spans="1:11">
      <c r="A2024" s="760"/>
      <c r="B2024" s="760"/>
      <c r="C2024" s="760"/>
      <c r="D2024" s="760"/>
      <c r="E2024" s="760"/>
      <c r="F2024" s="760"/>
      <c r="G2024" s="760"/>
      <c r="H2024" s="760"/>
      <c r="I2024" s="760"/>
      <c r="J2024" s="760"/>
      <c r="K2024" s="760"/>
    </row>
    <row r="2025" spans="1:11">
      <c r="A2025" s="760"/>
      <c r="B2025" s="760"/>
      <c r="C2025" s="760"/>
      <c r="D2025" s="760"/>
      <c r="E2025" s="760"/>
      <c r="F2025" s="760"/>
      <c r="G2025" s="760"/>
      <c r="H2025" s="760"/>
      <c r="I2025" s="760"/>
      <c r="J2025" s="760"/>
      <c r="K2025" s="760"/>
    </row>
    <row r="2026" spans="1:11">
      <c r="A2026" s="760"/>
      <c r="B2026" s="760"/>
      <c r="C2026" s="760"/>
      <c r="D2026" s="760"/>
      <c r="E2026" s="760"/>
      <c r="F2026" s="760"/>
      <c r="G2026" s="760"/>
      <c r="H2026" s="760"/>
      <c r="I2026" s="760"/>
      <c r="J2026" s="760"/>
      <c r="K2026" s="760"/>
    </row>
    <row r="2027" spans="1:11">
      <c r="A2027" s="760"/>
      <c r="B2027" s="760"/>
      <c r="C2027" s="760"/>
      <c r="D2027" s="760"/>
      <c r="E2027" s="760"/>
      <c r="F2027" s="760"/>
      <c r="G2027" s="760"/>
      <c r="H2027" s="760"/>
      <c r="I2027" s="760"/>
      <c r="J2027" s="760"/>
      <c r="K2027" s="760"/>
    </row>
    <row r="2028" spans="1:11">
      <c r="A2028" s="760"/>
      <c r="B2028" s="760"/>
      <c r="C2028" s="760"/>
      <c r="D2028" s="760"/>
      <c r="E2028" s="760"/>
      <c r="F2028" s="760"/>
      <c r="G2028" s="760"/>
      <c r="H2028" s="760"/>
      <c r="I2028" s="760"/>
      <c r="J2028" s="760"/>
      <c r="K2028" s="760"/>
    </row>
    <row r="2029" spans="1:11">
      <c r="A2029" s="760"/>
      <c r="B2029" s="760"/>
      <c r="C2029" s="760"/>
      <c r="D2029" s="760"/>
      <c r="E2029" s="760"/>
      <c r="F2029" s="760"/>
      <c r="G2029" s="760"/>
      <c r="H2029" s="760"/>
      <c r="I2029" s="760"/>
      <c r="J2029" s="760"/>
      <c r="K2029" s="760"/>
    </row>
    <row r="2030" spans="1:11">
      <c r="A2030" s="760"/>
      <c r="B2030" s="760"/>
      <c r="C2030" s="760"/>
      <c r="D2030" s="760"/>
      <c r="E2030" s="760"/>
      <c r="F2030" s="760"/>
      <c r="G2030" s="760"/>
      <c r="H2030" s="760"/>
      <c r="I2030" s="760"/>
      <c r="J2030" s="760"/>
      <c r="K2030" s="760"/>
    </row>
    <row r="2031" spans="1:11">
      <c r="A2031" s="760"/>
      <c r="B2031" s="760"/>
      <c r="C2031" s="760"/>
      <c r="D2031" s="760"/>
      <c r="E2031" s="760"/>
      <c r="F2031" s="760"/>
      <c r="G2031" s="760"/>
      <c r="H2031" s="760"/>
      <c r="I2031" s="760"/>
      <c r="J2031" s="760"/>
      <c r="K2031" s="760"/>
    </row>
    <row r="2032" spans="1:11">
      <c r="A2032" s="760"/>
      <c r="B2032" s="760"/>
      <c r="C2032" s="760"/>
      <c r="D2032" s="760"/>
      <c r="E2032" s="760"/>
      <c r="F2032" s="760"/>
      <c r="G2032" s="760"/>
      <c r="H2032" s="760"/>
      <c r="I2032" s="760"/>
      <c r="J2032" s="760"/>
      <c r="K2032" s="760"/>
    </row>
    <row r="2033" spans="1:11">
      <c r="A2033" s="760"/>
      <c r="B2033" s="760"/>
      <c r="C2033" s="760"/>
      <c r="D2033" s="760"/>
      <c r="E2033" s="760"/>
      <c r="F2033" s="760"/>
      <c r="G2033" s="760"/>
      <c r="H2033" s="760"/>
      <c r="I2033" s="760"/>
      <c r="J2033" s="760"/>
      <c r="K2033" s="760"/>
    </row>
    <row r="2034" spans="1:11">
      <c r="A2034" s="760"/>
      <c r="B2034" s="760"/>
      <c r="C2034" s="760"/>
      <c r="D2034" s="760"/>
      <c r="E2034" s="760"/>
      <c r="F2034" s="760"/>
      <c r="G2034" s="760"/>
      <c r="H2034" s="760"/>
      <c r="I2034" s="760"/>
      <c r="J2034" s="760"/>
      <c r="K2034" s="760"/>
    </row>
    <row r="2035" spans="1:11">
      <c r="A2035" s="760"/>
      <c r="B2035" s="760"/>
      <c r="C2035" s="760"/>
      <c r="D2035" s="760"/>
      <c r="E2035" s="760"/>
      <c r="F2035" s="760"/>
      <c r="G2035" s="760"/>
      <c r="H2035" s="760"/>
      <c r="I2035" s="760"/>
      <c r="J2035" s="760"/>
      <c r="K2035" s="760"/>
    </row>
    <row r="2036" spans="1:11">
      <c r="A2036" s="760"/>
      <c r="B2036" s="760"/>
      <c r="C2036" s="760"/>
      <c r="D2036" s="760"/>
      <c r="E2036" s="760"/>
      <c r="F2036" s="760"/>
      <c r="G2036" s="760"/>
      <c r="H2036" s="760"/>
      <c r="I2036" s="760"/>
      <c r="J2036" s="760"/>
      <c r="K2036" s="760"/>
    </row>
    <row r="2037" spans="1:11">
      <c r="A2037" s="760"/>
      <c r="B2037" s="760"/>
      <c r="C2037" s="760"/>
      <c r="D2037" s="760"/>
      <c r="E2037" s="760"/>
      <c r="F2037" s="760"/>
      <c r="G2037" s="760"/>
      <c r="H2037" s="760"/>
      <c r="I2037" s="760"/>
      <c r="J2037" s="760"/>
      <c r="K2037" s="760"/>
    </row>
    <row r="2038" spans="1:11">
      <c r="A2038" s="760"/>
      <c r="B2038" s="760"/>
      <c r="C2038" s="760"/>
      <c r="D2038" s="760"/>
      <c r="E2038" s="760"/>
      <c r="F2038" s="760"/>
      <c r="G2038" s="760"/>
      <c r="H2038" s="760"/>
      <c r="I2038" s="760"/>
      <c r="J2038" s="760"/>
      <c r="K2038" s="760"/>
    </row>
    <row r="2039" spans="1:11">
      <c r="A2039" s="760"/>
      <c r="B2039" s="760"/>
      <c r="C2039" s="760"/>
      <c r="D2039" s="760"/>
      <c r="E2039" s="760"/>
      <c r="F2039" s="760"/>
      <c r="G2039" s="760"/>
      <c r="H2039" s="760"/>
      <c r="I2039" s="760"/>
      <c r="J2039" s="760"/>
      <c r="K2039" s="760"/>
    </row>
    <row r="2040" spans="1:11">
      <c r="A2040" s="760"/>
      <c r="B2040" s="760"/>
      <c r="C2040" s="760"/>
      <c r="D2040" s="760"/>
      <c r="E2040" s="760"/>
      <c r="F2040" s="760"/>
      <c r="G2040" s="760"/>
      <c r="H2040" s="760"/>
      <c r="I2040" s="760"/>
      <c r="J2040" s="760"/>
      <c r="K2040" s="760"/>
    </row>
    <row r="2041" spans="1:11">
      <c r="A2041" s="760"/>
      <c r="B2041" s="760"/>
      <c r="C2041" s="760"/>
      <c r="D2041" s="760"/>
      <c r="E2041" s="760"/>
      <c r="F2041" s="760"/>
      <c r="G2041" s="760"/>
      <c r="H2041" s="760"/>
      <c r="I2041" s="760"/>
      <c r="J2041" s="760"/>
      <c r="K2041" s="760"/>
    </row>
    <row r="2042" spans="1:11">
      <c r="A2042" s="760"/>
      <c r="B2042" s="760"/>
      <c r="C2042" s="760"/>
      <c r="D2042" s="760"/>
      <c r="E2042" s="760"/>
      <c r="F2042" s="760"/>
      <c r="G2042" s="760"/>
      <c r="H2042" s="760"/>
      <c r="I2042" s="760"/>
      <c r="J2042" s="760"/>
      <c r="K2042" s="760"/>
    </row>
    <row r="2043" spans="1:11">
      <c r="A2043" s="760"/>
      <c r="B2043" s="760"/>
      <c r="C2043" s="760"/>
      <c r="D2043" s="760"/>
      <c r="E2043" s="760"/>
      <c r="F2043" s="760"/>
      <c r="G2043" s="760"/>
      <c r="H2043" s="760"/>
      <c r="I2043" s="760"/>
      <c r="J2043" s="760"/>
      <c r="K2043" s="760"/>
    </row>
    <row r="2044" spans="1:11">
      <c r="A2044" s="760"/>
      <c r="B2044" s="760"/>
      <c r="C2044" s="760"/>
      <c r="D2044" s="760"/>
      <c r="E2044" s="760"/>
      <c r="F2044" s="760"/>
      <c r="G2044" s="760"/>
      <c r="H2044" s="760"/>
      <c r="I2044" s="760"/>
      <c r="J2044" s="760"/>
      <c r="K2044" s="760"/>
    </row>
    <row r="2045" spans="1:11">
      <c r="A2045" s="760"/>
      <c r="B2045" s="760"/>
      <c r="C2045" s="760"/>
      <c r="D2045" s="760"/>
      <c r="E2045" s="760"/>
      <c r="F2045" s="760"/>
      <c r="G2045" s="760"/>
      <c r="H2045" s="760"/>
      <c r="I2045" s="760"/>
      <c r="J2045" s="760"/>
      <c r="K2045" s="760"/>
    </row>
    <row r="2046" spans="1:11">
      <c r="A2046" s="760"/>
      <c r="B2046" s="760"/>
      <c r="C2046" s="760"/>
      <c r="D2046" s="760"/>
      <c r="E2046" s="760"/>
      <c r="F2046" s="760"/>
      <c r="G2046" s="760"/>
      <c r="H2046" s="760"/>
      <c r="I2046" s="760"/>
      <c r="J2046" s="760"/>
      <c r="K2046" s="760"/>
    </row>
    <row r="2047" spans="1:11">
      <c r="A2047" s="760"/>
      <c r="B2047" s="760"/>
      <c r="C2047" s="760"/>
      <c r="D2047" s="760"/>
      <c r="E2047" s="760"/>
      <c r="F2047" s="760"/>
      <c r="G2047" s="760"/>
      <c r="H2047" s="760"/>
      <c r="I2047" s="760"/>
      <c r="J2047" s="760"/>
      <c r="K2047" s="760"/>
    </row>
    <row r="2048" spans="1:11">
      <c r="A2048" s="760"/>
      <c r="B2048" s="760"/>
      <c r="C2048" s="760"/>
      <c r="D2048" s="760"/>
      <c r="E2048" s="760"/>
      <c r="F2048" s="760"/>
      <c r="G2048" s="760"/>
      <c r="H2048" s="760"/>
      <c r="I2048" s="760"/>
      <c r="J2048" s="760"/>
      <c r="K2048" s="760"/>
    </row>
    <row r="2049" spans="1:11">
      <c r="A2049" s="760"/>
      <c r="B2049" s="760"/>
      <c r="C2049" s="760"/>
      <c r="D2049" s="760"/>
      <c r="E2049" s="760"/>
      <c r="F2049" s="760"/>
      <c r="G2049" s="760"/>
      <c r="H2049" s="760"/>
      <c r="I2049" s="760"/>
      <c r="J2049" s="760"/>
      <c r="K2049" s="760"/>
    </row>
    <row r="2050" spans="1:11">
      <c r="A2050" s="760"/>
      <c r="B2050" s="760"/>
      <c r="C2050" s="760"/>
      <c r="D2050" s="760"/>
      <c r="E2050" s="760"/>
      <c r="F2050" s="760"/>
      <c r="G2050" s="760"/>
      <c r="H2050" s="760"/>
      <c r="I2050" s="760"/>
      <c r="J2050" s="760"/>
      <c r="K2050" s="760"/>
    </row>
    <row r="2051" spans="1:11">
      <c r="A2051" s="760"/>
      <c r="B2051" s="760"/>
      <c r="C2051" s="760"/>
      <c r="D2051" s="760"/>
      <c r="E2051" s="760"/>
      <c r="F2051" s="760"/>
      <c r="G2051" s="760"/>
      <c r="H2051" s="760"/>
      <c r="I2051" s="760"/>
      <c r="J2051" s="760"/>
      <c r="K2051" s="760"/>
    </row>
    <row r="2052" spans="1:11">
      <c r="A2052" s="760"/>
      <c r="B2052" s="760"/>
      <c r="C2052" s="760"/>
      <c r="D2052" s="760"/>
      <c r="E2052" s="760"/>
      <c r="F2052" s="760"/>
      <c r="G2052" s="760"/>
      <c r="H2052" s="760"/>
      <c r="I2052" s="760"/>
      <c r="J2052" s="760"/>
      <c r="K2052" s="760"/>
    </row>
    <row r="2053" spans="1:11">
      <c r="A2053" s="760"/>
      <c r="B2053" s="760"/>
      <c r="C2053" s="760"/>
      <c r="D2053" s="760"/>
      <c r="E2053" s="760"/>
      <c r="F2053" s="760"/>
      <c r="G2053" s="760"/>
      <c r="H2053" s="760"/>
      <c r="I2053" s="760"/>
      <c r="J2053" s="760"/>
      <c r="K2053" s="760"/>
    </row>
    <row r="2054" spans="1:11">
      <c r="A2054" s="760"/>
      <c r="B2054" s="760"/>
      <c r="C2054" s="760"/>
      <c r="D2054" s="760"/>
      <c r="E2054" s="760"/>
      <c r="F2054" s="760"/>
      <c r="G2054" s="760"/>
      <c r="H2054" s="760"/>
      <c r="I2054" s="760"/>
      <c r="J2054" s="760"/>
      <c r="K2054" s="760"/>
    </row>
    <row r="2055" spans="1:11">
      <c r="A2055" s="760"/>
      <c r="B2055" s="760"/>
      <c r="C2055" s="760"/>
      <c r="D2055" s="760"/>
      <c r="E2055" s="760"/>
      <c r="F2055" s="760"/>
      <c r="G2055" s="760"/>
      <c r="H2055" s="760"/>
      <c r="I2055" s="760"/>
      <c r="J2055" s="760"/>
      <c r="K2055" s="760"/>
    </row>
    <row r="2056" spans="1:11">
      <c r="A2056" s="760"/>
      <c r="B2056" s="760"/>
      <c r="C2056" s="760"/>
      <c r="D2056" s="760"/>
      <c r="E2056" s="760"/>
      <c r="F2056" s="760"/>
      <c r="G2056" s="760"/>
      <c r="H2056" s="760"/>
      <c r="I2056" s="760"/>
      <c r="J2056" s="760"/>
      <c r="K2056" s="760"/>
    </row>
    <row r="2057" spans="1:11">
      <c r="A2057" s="760"/>
      <c r="B2057" s="760"/>
      <c r="C2057" s="760"/>
      <c r="D2057" s="760"/>
      <c r="E2057" s="760"/>
      <c r="F2057" s="760"/>
      <c r="G2057" s="760"/>
      <c r="H2057" s="760"/>
      <c r="I2057" s="760"/>
      <c r="J2057" s="760"/>
      <c r="K2057" s="760"/>
    </row>
    <row r="2058" spans="1:11">
      <c r="A2058" s="760"/>
      <c r="B2058" s="760"/>
      <c r="C2058" s="760"/>
      <c r="D2058" s="760"/>
      <c r="E2058" s="760"/>
      <c r="F2058" s="760"/>
      <c r="G2058" s="760"/>
      <c r="H2058" s="760"/>
      <c r="I2058" s="760"/>
      <c r="J2058" s="760"/>
      <c r="K2058" s="760"/>
    </row>
    <row r="2059" spans="1:11">
      <c r="A2059" s="760"/>
      <c r="B2059" s="760"/>
      <c r="C2059" s="760"/>
      <c r="D2059" s="760"/>
      <c r="E2059" s="760"/>
      <c r="F2059" s="760"/>
      <c r="G2059" s="760"/>
      <c r="H2059" s="760"/>
      <c r="I2059" s="760"/>
      <c r="J2059" s="760"/>
      <c r="K2059" s="760"/>
    </row>
    <row r="2060" spans="1:11">
      <c r="A2060" s="760"/>
      <c r="B2060" s="760"/>
      <c r="C2060" s="760"/>
      <c r="D2060" s="760"/>
      <c r="E2060" s="760"/>
      <c r="F2060" s="760"/>
      <c r="G2060" s="760"/>
      <c r="H2060" s="760"/>
      <c r="I2060" s="760"/>
      <c r="J2060" s="760"/>
      <c r="K2060" s="760"/>
    </row>
    <row r="2061" spans="1:11">
      <c r="A2061" s="760"/>
      <c r="B2061" s="760"/>
      <c r="C2061" s="760"/>
      <c r="D2061" s="760"/>
      <c r="E2061" s="760"/>
      <c r="F2061" s="760"/>
      <c r="G2061" s="760"/>
      <c r="H2061" s="760"/>
      <c r="I2061" s="760"/>
      <c r="J2061" s="760"/>
      <c r="K2061" s="760"/>
    </row>
    <row r="2062" spans="1:11">
      <c r="A2062" s="760"/>
      <c r="B2062" s="760"/>
      <c r="C2062" s="760"/>
      <c r="D2062" s="760"/>
      <c r="E2062" s="760"/>
      <c r="F2062" s="760"/>
      <c r="G2062" s="760"/>
      <c r="H2062" s="760"/>
      <c r="I2062" s="760"/>
      <c r="J2062" s="760"/>
      <c r="K2062" s="760"/>
    </row>
    <row r="2063" spans="1:11">
      <c r="A2063" s="760"/>
      <c r="B2063" s="760"/>
      <c r="C2063" s="760"/>
      <c r="D2063" s="760"/>
      <c r="E2063" s="760"/>
      <c r="F2063" s="760"/>
      <c r="G2063" s="760"/>
      <c r="H2063" s="760"/>
      <c r="I2063" s="760"/>
      <c r="J2063" s="760"/>
      <c r="K2063" s="760"/>
    </row>
    <row r="2064" spans="1:11">
      <c r="A2064" s="760"/>
      <c r="B2064" s="760"/>
      <c r="C2064" s="760"/>
      <c r="D2064" s="760"/>
      <c r="E2064" s="760"/>
      <c r="F2064" s="760"/>
      <c r="G2064" s="760"/>
      <c r="H2064" s="760"/>
      <c r="I2064" s="760"/>
      <c r="J2064" s="760"/>
      <c r="K2064" s="760"/>
    </row>
    <row r="2065" spans="1:11">
      <c r="A2065" s="760"/>
      <c r="B2065" s="760"/>
      <c r="C2065" s="760"/>
      <c r="D2065" s="760"/>
      <c r="E2065" s="760"/>
      <c r="F2065" s="760"/>
      <c r="G2065" s="760"/>
      <c r="H2065" s="760"/>
      <c r="I2065" s="760"/>
      <c r="J2065" s="760"/>
      <c r="K2065" s="760"/>
    </row>
    <row r="2066" spans="1:11">
      <c r="A2066" s="760"/>
      <c r="B2066" s="760"/>
      <c r="C2066" s="760"/>
      <c r="D2066" s="760"/>
      <c r="E2066" s="760"/>
      <c r="F2066" s="760"/>
      <c r="G2066" s="760"/>
      <c r="H2066" s="760"/>
      <c r="I2066" s="760"/>
      <c r="J2066" s="760"/>
      <c r="K2066" s="760"/>
    </row>
    <row r="2067" spans="1:11">
      <c r="A2067" s="760"/>
      <c r="B2067" s="760"/>
      <c r="C2067" s="760"/>
      <c r="D2067" s="760"/>
      <c r="E2067" s="760"/>
      <c r="F2067" s="760"/>
      <c r="G2067" s="760"/>
      <c r="H2067" s="760"/>
      <c r="I2067" s="760"/>
      <c r="J2067" s="760"/>
      <c r="K2067" s="760"/>
    </row>
    <row r="2068" spans="1:11">
      <c r="A2068" s="760"/>
      <c r="B2068" s="760"/>
      <c r="C2068" s="760"/>
      <c r="D2068" s="760"/>
      <c r="E2068" s="760"/>
      <c r="F2068" s="760"/>
      <c r="G2068" s="760"/>
      <c r="H2068" s="760"/>
      <c r="I2068" s="760"/>
      <c r="J2068" s="760"/>
      <c r="K2068" s="760"/>
    </row>
    <row r="2069" spans="1:11">
      <c r="A2069" s="760"/>
      <c r="B2069" s="760"/>
      <c r="C2069" s="760"/>
      <c r="D2069" s="760"/>
      <c r="E2069" s="760"/>
      <c r="F2069" s="760"/>
      <c r="G2069" s="760"/>
      <c r="H2069" s="760"/>
      <c r="I2069" s="760"/>
      <c r="J2069" s="760"/>
      <c r="K2069" s="760"/>
    </row>
    <row r="2070" spans="1:11">
      <c r="A2070" s="760"/>
      <c r="B2070" s="760"/>
      <c r="C2070" s="760"/>
      <c r="D2070" s="760"/>
      <c r="E2070" s="760"/>
      <c r="F2070" s="760"/>
      <c r="G2070" s="760"/>
      <c r="H2070" s="760"/>
      <c r="I2070" s="760"/>
      <c r="J2070" s="760"/>
      <c r="K2070" s="760"/>
    </row>
    <row r="2071" spans="1:11">
      <c r="A2071" s="760"/>
      <c r="B2071" s="760"/>
      <c r="C2071" s="760"/>
      <c r="D2071" s="760"/>
      <c r="E2071" s="760"/>
      <c r="F2071" s="760"/>
      <c r="G2071" s="760"/>
      <c r="H2071" s="760"/>
      <c r="I2071" s="760"/>
      <c r="J2071" s="760"/>
      <c r="K2071" s="760"/>
    </row>
    <row r="2072" spans="1:11">
      <c r="A2072" s="760"/>
      <c r="B2072" s="760"/>
      <c r="C2072" s="760"/>
      <c r="D2072" s="760"/>
      <c r="E2072" s="760"/>
      <c r="F2072" s="760"/>
      <c r="G2072" s="760"/>
      <c r="H2072" s="760"/>
      <c r="I2072" s="760"/>
      <c r="J2072" s="760"/>
      <c r="K2072" s="760"/>
    </row>
    <row r="2073" spans="1:11">
      <c r="A2073" s="760"/>
      <c r="B2073" s="760"/>
      <c r="C2073" s="760"/>
      <c r="D2073" s="760"/>
      <c r="E2073" s="760"/>
      <c r="F2073" s="760"/>
      <c r="G2073" s="760"/>
      <c r="H2073" s="760"/>
      <c r="I2073" s="760"/>
      <c r="J2073" s="760"/>
      <c r="K2073" s="760"/>
    </row>
    <row r="2074" spans="1:11">
      <c r="A2074" s="760"/>
      <c r="B2074" s="760"/>
      <c r="C2074" s="760"/>
      <c r="D2074" s="760"/>
      <c r="E2074" s="760"/>
      <c r="F2074" s="760"/>
      <c r="G2074" s="760"/>
      <c r="H2074" s="760"/>
      <c r="I2074" s="760"/>
      <c r="J2074" s="760"/>
      <c r="K2074" s="760"/>
    </row>
    <row r="2075" spans="1:11">
      <c r="A2075" s="760"/>
      <c r="B2075" s="760"/>
      <c r="C2075" s="760"/>
      <c r="D2075" s="760"/>
      <c r="E2075" s="760"/>
      <c r="F2075" s="760"/>
      <c r="G2075" s="760"/>
      <c r="H2075" s="760"/>
      <c r="I2075" s="760"/>
      <c r="J2075" s="760"/>
      <c r="K2075" s="760"/>
    </row>
    <row r="2076" spans="1:11">
      <c r="A2076" s="760"/>
      <c r="B2076" s="760"/>
      <c r="C2076" s="760"/>
      <c r="D2076" s="760"/>
      <c r="E2076" s="760"/>
      <c r="F2076" s="760"/>
      <c r="G2076" s="760"/>
      <c r="H2076" s="760"/>
      <c r="I2076" s="760"/>
      <c r="J2076" s="760"/>
      <c r="K2076" s="760"/>
    </row>
    <row r="2077" spans="1:11">
      <c r="A2077" s="760"/>
      <c r="B2077" s="760"/>
      <c r="C2077" s="760"/>
      <c r="D2077" s="760"/>
      <c r="E2077" s="760"/>
      <c r="F2077" s="760"/>
      <c r="G2077" s="760"/>
      <c r="H2077" s="760"/>
      <c r="I2077" s="760"/>
      <c r="J2077" s="760"/>
      <c r="K2077" s="760"/>
    </row>
    <row r="2078" spans="1:11">
      <c r="A2078" s="760"/>
      <c r="B2078" s="760"/>
      <c r="C2078" s="760"/>
      <c r="D2078" s="760"/>
      <c r="E2078" s="760"/>
      <c r="F2078" s="760"/>
      <c r="G2078" s="760"/>
      <c r="H2078" s="760"/>
      <c r="I2078" s="760"/>
      <c r="J2078" s="760"/>
      <c r="K2078" s="760"/>
    </row>
    <row r="2079" spans="1:11">
      <c r="A2079" s="760"/>
      <c r="B2079" s="760"/>
      <c r="C2079" s="760"/>
      <c r="D2079" s="760"/>
      <c r="E2079" s="760"/>
      <c r="F2079" s="760"/>
      <c r="G2079" s="760"/>
      <c r="H2079" s="760"/>
      <c r="I2079" s="760"/>
      <c r="J2079" s="760"/>
      <c r="K2079" s="760"/>
    </row>
    <row r="2080" spans="1:11">
      <c r="A2080" s="760"/>
      <c r="B2080" s="760"/>
      <c r="C2080" s="760"/>
      <c r="D2080" s="760"/>
      <c r="E2080" s="760"/>
      <c r="F2080" s="760"/>
      <c r="G2080" s="760"/>
      <c r="H2080" s="760"/>
      <c r="I2080" s="760"/>
      <c r="J2080" s="760"/>
      <c r="K2080" s="760"/>
    </row>
    <row r="2081" spans="1:11">
      <c r="A2081" s="760"/>
      <c r="B2081" s="760"/>
      <c r="C2081" s="760"/>
      <c r="D2081" s="760"/>
      <c r="E2081" s="760"/>
      <c r="F2081" s="760"/>
      <c r="G2081" s="760"/>
      <c r="H2081" s="760"/>
      <c r="I2081" s="760"/>
      <c r="J2081" s="760"/>
      <c r="K2081" s="760"/>
    </row>
    <row r="2082" spans="1:11">
      <c r="A2082" s="760"/>
      <c r="B2082" s="760"/>
      <c r="C2082" s="760"/>
      <c r="D2082" s="760"/>
      <c r="E2082" s="760"/>
      <c r="F2082" s="760"/>
      <c r="G2082" s="760"/>
      <c r="H2082" s="760"/>
      <c r="I2082" s="760"/>
      <c r="J2082" s="760"/>
      <c r="K2082" s="760"/>
    </row>
    <row r="2083" spans="1:11">
      <c r="A2083" s="760"/>
      <c r="B2083" s="760"/>
      <c r="C2083" s="760"/>
      <c r="D2083" s="760"/>
      <c r="E2083" s="760"/>
      <c r="F2083" s="760"/>
      <c r="G2083" s="760"/>
      <c r="H2083" s="760"/>
      <c r="I2083" s="760"/>
      <c r="J2083" s="760"/>
      <c r="K2083" s="760"/>
    </row>
    <row r="2084" spans="1:11">
      <c r="A2084" s="760"/>
      <c r="B2084" s="760"/>
      <c r="C2084" s="760"/>
      <c r="D2084" s="760"/>
      <c r="E2084" s="760"/>
      <c r="F2084" s="760"/>
      <c r="G2084" s="760"/>
      <c r="H2084" s="760"/>
      <c r="I2084" s="760"/>
      <c r="J2084" s="760"/>
      <c r="K2084" s="760"/>
    </row>
    <row r="2085" spans="1:11">
      <c r="A2085" s="760"/>
      <c r="B2085" s="760"/>
      <c r="C2085" s="760"/>
      <c r="D2085" s="760"/>
      <c r="E2085" s="760"/>
      <c r="F2085" s="760"/>
      <c r="G2085" s="760"/>
      <c r="H2085" s="760"/>
      <c r="I2085" s="760"/>
      <c r="J2085" s="760"/>
      <c r="K2085" s="760"/>
    </row>
    <row r="2086" spans="1:11">
      <c r="A2086" s="760"/>
      <c r="B2086" s="760"/>
      <c r="C2086" s="760"/>
      <c r="D2086" s="760"/>
      <c r="E2086" s="760"/>
      <c r="F2086" s="760"/>
      <c r="G2086" s="760"/>
      <c r="H2086" s="760"/>
      <c r="I2086" s="760"/>
      <c r="J2086" s="760"/>
      <c r="K2086" s="760"/>
    </row>
    <row r="2087" spans="1:11">
      <c r="A2087" s="760"/>
      <c r="B2087" s="760"/>
      <c r="C2087" s="760"/>
      <c r="D2087" s="760"/>
      <c r="E2087" s="760"/>
      <c r="F2087" s="760"/>
      <c r="G2087" s="760"/>
      <c r="H2087" s="760"/>
      <c r="I2087" s="760"/>
      <c r="J2087" s="760"/>
      <c r="K2087" s="760"/>
    </row>
    <row r="2088" spans="1:11">
      <c r="A2088" s="760"/>
      <c r="B2088" s="760"/>
      <c r="C2088" s="760"/>
      <c r="D2088" s="760"/>
      <c r="E2088" s="760"/>
      <c r="F2088" s="760"/>
      <c r="G2088" s="760"/>
      <c r="H2088" s="760"/>
      <c r="I2088" s="760"/>
      <c r="J2088" s="760"/>
      <c r="K2088" s="760"/>
    </row>
    <row r="2089" spans="1:11">
      <c r="A2089" s="760"/>
      <c r="B2089" s="760"/>
      <c r="C2089" s="760"/>
      <c r="D2089" s="760"/>
      <c r="E2089" s="760"/>
      <c r="F2089" s="760"/>
      <c r="G2089" s="760"/>
      <c r="H2089" s="760"/>
      <c r="I2089" s="760"/>
      <c r="J2089" s="760"/>
      <c r="K2089" s="760"/>
    </row>
    <row r="2090" spans="1:11">
      <c r="A2090" s="760"/>
      <c r="B2090" s="760"/>
      <c r="C2090" s="760"/>
      <c r="D2090" s="760"/>
      <c r="E2090" s="760"/>
      <c r="F2090" s="760"/>
      <c r="G2090" s="760"/>
      <c r="H2090" s="760"/>
      <c r="I2090" s="760"/>
      <c r="J2090" s="760"/>
      <c r="K2090" s="760"/>
    </row>
    <row r="2091" spans="1:11">
      <c r="A2091" s="760"/>
      <c r="B2091" s="760"/>
      <c r="C2091" s="760"/>
      <c r="D2091" s="760"/>
      <c r="E2091" s="760"/>
      <c r="F2091" s="760"/>
      <c r="G2091" s="760"/>
      <c r="H2091" s="760"/>
      <c r="I2091" s="760"/>
      <c r="J2091" s="760"/>
      <c r="K2091" s="760"/>
    </row>
    <row r="2092" spans="1:11">
      <c r="A2092" s="760"/>
      <c r="B2092" s="760"/>
      <c r="C2092" s="760"/>
      <c r="D2092" s="760"/>
      <c r="E2092" s="760"/>
      <c r="F2092" s="760"/>
      <c r="G2092" s="760"/>
      <c r="H2092" s="760"/>
      <c r="I2092" s="760"/>
      <c r="J2092" s="760"/>
      <c r="K2092" s="760"/>
    </row>
    <row r="2093" spans="1:11">
      <c r="A2093" s="760"/>
      <c r="B2093" s="760"/>
      <c r="C2093" s="760"/>
      <c r="D2093" s="760"/>
      <c r="E2093" s="760"/>
      <c r="F2093" s="760"/>
      <c r="G2093" s="760"/>
      <c r="H2093" s="760"/>
      <c r="I2093" s="760"/>
      <c r="J2093" s="760"/>
      <c r="K2093" s="760"/>
    </row>
    <row r="2094" spans="1:11">
      <c r="A2094" s="760"/>
      <c r="B2094" s="760"/>
      <c r="C2094" s="760"/>
      <c r="D2094" s="760"/>
      <c r="E2094" s="760"/>
      <c r="F2094" s="760"/>
      <c r="G2094" s="760"/>
      <c r="H2094" s="760"/>
      <c r="I2094" s="760"/>
      <c r="J2094" s="760"/>
      <c r="K2094" s="760"/>
    </row>
    <row r="2095" spans="1:11">
      <c r="A2095" s="760"/>
      <c r="B2095" s="760"/>
      <c r="C2095" s="760"/>
      <c r="D2095" s="760"/>
      <c r="E2095" s="760"/>
      <c r="F2095" s="760"/>
      <c r="G2095" s="760"/>
      <c r="H2095" s="760"/>
      <c r="I2095" s="760"/>
      <c r="J2095" s="760"/>
      <c r="K2095" s="760"/>
    </row>
    <row r="2096" spans="1:11">
      <c r="A2096" s="760"/>
      <c r="B2096" s="760"/>
      <c r="C2096" s="760"/>
      <c r="D2096" s="760"/>
      <c r="E2096" s="760"/>
      <c r="F2096" s="760"/>
      <c r="G2096" s="760"/>
      <c r="H2096" s="760"/>
      <c r="I2096" s="760"/>
      <c r="J2096" s="760"/>
      <c r="K2096" s="760"/>
    </row>
    <row r="2097" spans="1:11">
      <c r="A2097" s="760"/>
      <c r="B2097" s="760"/>
      <c r="C2097" s="760"/>
      <c r="D2097" s="760"/>
      <c r="E2097" s="760"/>
      <c r="F2097" s="760"/>
      <c r="G2097" s="760"/>
      <c r="H2097" s="760"/>
      <c r="I2097" s="760"/>
      <c r="J2097" s="760"/>
      <c r="K2097" s="760"/>
    </row>
    <row r="2098" spans="1:11">
      <c r="A2098" s="760"/>
      <c r="B2098" s="760"/>
      <c r="C2098" s="760"/>
      <c r="D2098" s="760"/>
      <c r="E2098" s="760"/>
      <c r="F2098" s="760"/>
      <c r="G2098" s="760"/>
      <c r="H2098" s="760"/>
      <c r="I2098" s="760"/>
      <c r="J2098" s="760"/>
      <c r="K2098" s="760"/>
    </row>
    <row r="2099" spans="1:11">
      <c r="A2099" s="760"/>
      <c r="B2099" s="760"/>
      <c r="C2099" s="760"/>
      <c r="D2099" s="760"/>
      <c r="E2099" s="760"/>
      <c r="F2099" s="760"/>
      <c r="G2099" s="760"/>
      <c r="H2099" s="760"/>
      <c r="I2099" s="760"/>
      <c r="J2099" s="760"/>
      <c r="K2099" s="760"/>
    </row>
    <row r="2100" spans="1:11">
      <c r="A2100" s="760"/>
      <c r="B2100" s="760"/>
      <c r="C2100" s="760"/>
      <c r="D2100" s="760"/>
      <c r="E2100" s="760"/>
      <c r="F2100" s="760"/>
      <c r="G2100" s="760"/>
      <c r="H2100" s="760"/>
      <c r="I2100" s="760"/>
      <c r="J2100" s="760"/>
      <c r="K2100" s="760"/>
    </row>
    <row r="2101" spans="1:11">
      <c r="A2101" s="760"/>
      <c r="B2101" s="760"/>
      <c r="C2101" s="760"/>
      <c r="D2101" s="760"/>
      <c r="E2101" s="760"/>
      <c r="F2101" s="760"/>
      <c r="G2101" s="760"/>
      <c r="H2101" s="760"/>
      <c r="I2101" s="760"/>
      <c r="J2101" s="760"/>
      <c r="K2101" s="760"/>
    </row>
    <row r="2102" spans="1:11">
      <c r="A2102" s="760"/>
      <c r="B2102" s="760"/>
      <c r="C2102" s="760"/>
      <c r="D2102" s="760"/>
      <c r="E2102" s="760"/>
      <c r="F2102" s="760"/>
      <c r="G2102" s="760"/>
      <c r="H2102" s="760"/>
      <c r="I2102" s="760"/>
      <c r="J2102" s="760"/>
      <c r="K2102" s="760"/>
    </row>
    <row r="2103" spans="1:11">
      <c r="A2103" s="760"/>
      <c r="B2103" s="760"/>
      <c r="C2103" s="760"/>
      <c r="D2103" s="760"/>
      <c r="E2103" s="760"/>
      <c r="F2103" s="760"/>
      <c r="G2103" s="760"/>
      <c r="H2103" s="760"/>
      <c r="I2103" s="760"/>
      <c r="J2103" s="760"/>
      <c r="K2103" s="760"/>
    </row>
    <row r="2104" spans="1:11">
      <c r="A2104" s="760"/>
      <c r="B2104" s="760"/>
      <c r="C2104" s="760"/>
      <c r="D2104" s="760"/>
      <c r="E2104" s="760"/>
      <c r="F2104" s="760"/>
      <c r="G2104" s="760"/>
      <c r="H2104" s="760"/>
      <c r="I2104" s="760"/>
      <c r="J2104" s="760"/>
      <c r="K2104" s="760"/>
    </row>
    <row r="2105" spans="1:11">
      <c r="A2105" s="760"/>
      <c r="B2105" s="760"/>
      <c r="C2105" s="760"/>
      <c r="D2105" s="760"/>
      <c r="E2105" s="760"/>
      <c r="F2105" s="760"/>
      <c r="G2105" s="760"/>
      <c r="H2105" s="760"/>
      <c r="I2105" s="760"/>
      <c r="J2105" s="760"/>
      <c r="K2105" s="760"/>
    </row>
    <row r="2106" spans="1:11">
      <c r="A2106" s="760"/>
      <c r="B2106" s="760"/>
      <c r="C2106" s="760"/>
      <c r="D2106" s="760"/>
      <c r="E2106" s="760"/>
      <c r="F2106" s="760"/>
      <c r="G2106" s="760"/>
      <c r="H2106" s="760"/>
      <c r="I2106" s="760"/>
      <c r="J2106" s="760"/>
      <c r="K2106" s="760"/>
    </row>
    <row r="2107" spans="1:11">
      <c r="A2107" s="760"/>
      <c r="B2107" s="760"/>
      <c r="C2107" s="760"/>
      <c r="D2107" s="760"/>
      <c r="E2107" s="760"/>
      <c r="F2107" s="760"/>
      <c r="G2107" s="760"/>
      <c r="H2107" s="760"/>
      <c r="I2107" s="760"/>
      <c r="J2107" s="760"/>
      <c r="K2107" s="760"/>
    </row>
    <row r="2108" spans="1:11">
      <c r="A2108" s="760"/>
      <c r="B2108" s="760"/>
      <c r="C2108" s="760"/>
      <c r="D2108" s="760"/>
      <c r="E2108" s="760"/>
      <c r="F2108" s="760"/>
      <c r="G2108" s="760"/>
      <c r="H2108" s="760"/>
      <c r="I2108" s="760"/>
      <c r="J2108" s="760"/>
      <c r="K2108" s="760"/>
    </row>
    <row r="2109" spans="1:11">
      <c r="A2109" s="760"/>
      <c r="B2109" s="760"/>
      <c r="C2109" s="760"/>
      <c r="D2109" s="760"/>
      <c r="E2109" s="760"/>
      <c r="F2109" s="760"/>
      <c r="G2109" s="760"/>
      <c r="H2109" s="760"/>
      <c r="I2109" s="760"/>
      <c r="J2109" s="760"/>
      <c r="K2109" s="760"/>
    </row>
    <row r="2110" spans="1:11">
      <c r="A2110" s="760"/>
      <c r="B2110" s="760"/>
      <c r="C2110" s="760"/>
      <c r="D2110" s="760"/>
      <c r="E2110" s="760"/>
      <c r="F2110" s="760"/>
      <c r="G2110" s="760"/>
      <c r="H2110" s="760"/>
      <c r="I2110" s="760"/>
      <c r="J2110" s="760"/>
      <c r="K2110" s="760"/>
    </row>
    <row r="2111" spans="1:11">
      <c r="A2111" s="760"/>
      <c r="B2111" s="760"/>
      <c r="C2111" s="760"/>
      <c r="D2111" s="760"/>
      <c r="E2111" s="760"/>
      <c r="F2111" s="760"/>
      <c r="G2111" s="760"/>
      <c r="H2111" s="760"/>
      <c r="I2111" s="760"/>
      <c r="J2111" s="760"/>
      <c r="K2111" s="760"/>
    </row>
    <row r="2112" spans="1:11">
      <c r="A2112" s="760"/>
      <c r="B2112" s="760"/>
      <c r="C2112" s="760"/>
      <c r="D2112" s="760"/>
      <c r="E2112" s="760"/>
      <c r="F2112" s="760"/>
      <c r="G2112" s="760"/>
      <c r="H2112" s="760"/>
      <c r="I2112" s="760"/>
      <c r="J2112" s="760"/>
      <c r="K2112" s="760"/>
    </row>
    <row r="2113" spans="1:11">
      <c r="A2113" s="760"/>
      <c r="B2113" s="760"/>
      <c r="C2113" s="760"/>
      <c r="D2113" s="760"/>
      <c r="E2113" s="760"/>
      <c r="F2113" s="760"/>
      <c r="G2113" s="760"/>
      <c r="H2113" s="760"/>
      <c r="I2113" s="760"/>
      <c r="J2113" s="760"/>
      <c r="K2113" s="760"/>
    </row>
    <row r="2114" spans="1:11">
      <c r="A2114" s="760"/>
      <c r="B2114" s="760"/>
      <c r="C2114" s="760"/>
      <c r="D2114" s="760"/>
      <c r="E2114" s="760"/>
      <c r="F2114" s="760"/>
      <c r="G2114" s="760"/>
      <c r="H2114" s="760"/>
      <c r="I2114" s="760"/>
      <c r="J2114" s="760"/>
      <c r="K2114" s="760"/>
    </row>
    <row r="2115" spans="1:11">
      <c r="A2115" s="760"/>
      <c r="B2115" s="760"/>
      <c r="C2115" s="760"/>
      <c r="D2115" s="760"/>
      <c r="E2115" s="760"/>
      <c r="F2115" s="760"/>
      <c r="G2115" s="760"/>
      <c r="H2115" s="760"/>
      <c r="I2115" s="760"/>
      <c r="J2115" s="760"/>
      <c r="K2115" s="760"/>
    </row>
    <row r="2116" spans="1:11">
      <c r="A2116" s="760"/>
      <c r="B2116" s="760"/>
      <c r="C2116" s="760"/>
      <c r="D2116" s="760"/>
      <c r="E2116" s="760"/>
      <c r="F2116" s="760"/>
      <c r="G2116" s="760"/>
      <c r="H2116" s="760"/>
      <c r="I2116" s="760"/>
      <c r="J2116" s="760"/>
      <c r="K2116" s="760"/>
    </row>
    <row r="2117" spans="1:11">
      <c r="A2117" s="760"/>
      <c r="B2117" s="760"/>
      <c r="C2117" s="760"/>
      <c r="D2117" s="760"/>
      <c r="E2117" s="760"/>
      <c r="F2117" s="760"/>
      <c r="G2117" s="760"/>
      <c r="H2117" s="760"/>
      <c r="I2117" s="760"/>
      <c r="J2117" s="760"/>
      <c r="K2117" s="760"/>
    </row>
    <row r="2118" spans="1:11">
      <c r="A2118" s="760"/>
      <c r="B2118" s="760"/>
      <c r="C2118" s="760"/>
      <c r="D2118" s="760"/>
      <c r="E2118" s="760"/>
      <c r="F2118" s="760"/>
      <c r="G2118" s="760"/>
      <c r="H2118" s="760"/>
      <c r="I2118" s="760"/>
      <c r="J2118" s="760"/>
      <c r="K2118" s="760"/>
    </row>
    <row r="2119" spans="1:11">
      <c r="A2119" s="760"/>
      <c r="B2119" s="760"/>
      <c r="C2119" s="760"/>
      <c r="D2119" s="760"/>
      <c r="E2119" s="760"/>
      <c r="F2119" s="760"/>
      <c r="G2119" s="760"/>
      <c r="H2119" s="760"/>
      <c r="I2119" s="760"/>
      <c r="J2119" s="760"/>
      <c r="K2119" s="760"/>
    </row>
    <row r="2120" spans="1:11">
      <c r="A2120" s="760"/>
      <c r="B2120" s="760"/>
      <c r="C2120" s="760"/>
      <c r="D2120" s="760"/>
      <c r="E2120" s="760"/>
      <c r="F2120" s="760"/>
      <c r="G2120" s="760"/>
      <c r="H2120" s="760"/>
      <c r="I2120" s="760"/>
      <c r="J2120" s="760"/>
      <c r="K2120" s="760"/>
    </row>
    <row r="2121" spans="1:11">
      <c r="A2121" s="760"/>
      <c r="B2121" s="760"/>
      <c r="C2121" s="760"/>
      <c r="D2121" s="760"/>
      <c r="E2121" s="760"/>
      <c r="F2121" s="760"/>
      <c r="G2121" s="760"/>
      <c r="H2121" s="760"/>
      <c r="I2121" s="760"/>
      <c r="J2121" s="760"/>
      <c r="K2121" s="760"/>
    </row>
    <row r="2122" spans="1:11">
      <c r="A2122" s="760"/>
      <c r="B2122" s="760"/>
      <c r="C2122" s="760"/>
      <c r="D2122" s="760"/>
      <c r="E2122" s="760"/>
      <c r="F2122" s="760"/>
      <c r="G2122" s="760"/>
      <c r="H2122" s="760"/>
      <c r="I2122" s="760"/>
      <c r="J2122" s="760"/>
      <c r="K2122" s="760"/>
    </row>
    <row r="2123" spans="1:11">
      <c r="A2123" s="760"/>
      <c r="B2123" s="760"/>
      <c r="C2123" s="760"/>
      <c r="D2123" s="760"/>
      <c r="E2123" s="760"/>
      <c r="F2123" s="760"/>
      <c r="G2123" s="760"/>
      <c r="H2123" s="760"/>
      <c r="I2123" s="760"/>
      <c r="J2123" s="760"/>
      <c r="K2123" s="760"/>
    </row>
    <row r="2124" spans="1:11">
      <c r="A2124" s="760"/>
      <c r="B2124" s="760"/>
      <c r="C2124" s="760"/>
      <c r="D2124" s="760"/>
      <c r="E2124" s="760"/>
      <c r="F2124" s="760"/>
      <c r="G2124" s="760"/>
      <c r="H2124" s="760"/>
      <c r="I2124" s="760"/>
      <c r="J2124" s="760"/>
      <c r="K2124" s="760"/>
    </row>
    <row r="2125" spans="1:11">
      <c r="A2125" s="760"/>
      <c r="B2125" s="760"/>
      <c r="C2125" s="760"/>
      <c r="D2125" s="760"/>
      <c r="E2125" s="760"/>
      <c r="F2125" s="760"/>
      <c r="G2125" s="760"/>
      <c r="H2125" s="760"/>
      <c r="I2125" s="760"/>
      <c r="J2125" s="760"/>
      <c r="K2125" s="760"/>
    </row>
    <row r="2126" spans="1:11">
      <c r="A2126" s="760"/>
      <c r="B2126" s="760"/>
      <c r="C2126" s="760"/>
      <c r="D2126" s="760"/>
      <c r="E2126" s="760"/>
      <c r="F2126" s="760"/>
      <c r="G2126" s="760"/>
      <c r="H2126" s="760"/>
      <c r="I2126" s="760"/>
      <c r="J2126" s="760"/>
      <c r="K2126" s="760"/>
    </row>
    <row r="2127" spans="1:11">
      <c r="A2127" s="760"/>
      <c r="B2127" s="760"/>
      <c r="C2127" s="760"/>
      <c r="D2127" s="760"/>
      <c r="E2127" s="760"/>
      <c r="F2127" s="760"/>
      <c r="G2127" s="760"/>
      <c r="H2127" s="760"/>
      <c r="I2127" s="760"/>
      <c r="J2127" s="760"/>
      <c r="K2127" s="760"/>
    </row>
    <row r="2128" spans="1:11">
      <c r="A2128" s="760"/>
      <c r="B2128" s="760"/>
      <c r="C2128" s="760"/>
      <c r="D2128" s="760"/>
      <c r="E2128" s="760"/>
      <c r="F2128" s="760"/>
      <c r="G2128" s="760"/>
      <c r="H2128" s="760"/>
      <c r="I2128" s="760"/>
      <c r="J2128" s="760"/>
      <c r="K2128" s="760"/>
    </row>
    <row r="2129" spans="1:11">
      <c r="A2129" s="760"/>
      <c r="B2129" s="760"/>
      <c r="C2129" s="760"/>
      <c r="D2129" s="760"/>
      <c r="E2129" s="760"/>
      <c r="F2129" s="760"/>
      <c r="G2129" s="760"/>
      <c r="H2129" s="760"/>
      <c r="I2129" s="760"/>
      <c r="J2129" s="760"/>
      <c r="K2129" s="760"/>
    </row>
    <row r="2130" spans="1:11">
      <c r="A2130" s="760"/>
      <c r="B2130" s="760"/>
      <c r="C2130" s="760"/>
      <c r="D2130" s="760"/>
      <c r="E2130" s="760"/>
      <c r="F2130" s="760"/>
      <c r="G2130" s="760"/>
      <c r="H2130" s="760"/>
      <c r="I2130" s="760"/>
      <c r="J2130" s="760"/>
      <c r="K2130" s="760"/>
    </row>
    <row r="2131" spans="1:11">
      <c r="A2131" s="760"/>
      <c r="B2131" s="760"/>
      <c r="C2131" s="760"/>
      <c r="D2131" s="760"/>
      <c r="E2131" s="760"/>
      <c r="F2131" s="760"/>
      <c r="G2131" s="760"/>
      <c r="H2131" s="760"/>
      <c r="I2131" s="760"/>
      <c r="J2131" s="760"/>
      <c r="K2131" s="760"/>
    </row>
    <row r="2132" spans="1:11">
      <c r="A2132" s="760"/>
      <c r="B2132" s="760"/>
      <c r="C2132" s="760"/>
      <c r="D2132" s="760"/>
      <c r="E2132" s="760"/>
      <c r="F2132" s="760"/>
      <c r="G2132" s="760"/>
      <c r="H2132" s="760"/>
      <c r="I2132" s="760"/>
      <c r="J2132" s="760"/>
      <c r="K2132" s="760"/>
    </row>
    <row r="2133" spans="1:11">
      <c r="A2133" s="760"/>
      <c r="B2133" s="760"/>
      <c r="C2133" s="760"/>
      <c r="D2133" s="760"/>
      <c r="E2133" s="760"/>
      <c r="F2133" s="760"/>
      <c r="G2133" s="760"/>
      <c r="H2133" s="760"/>
      <c r="I2133" s="760"/>
      <c r="J2133" s="760"/>
      <c r="K2133" s="760"/>
    </row>
    <row r="2134" spans="1:11">
      <c r="A2134" s="760"/>
      <c r="B2134" s="760"/>
      <c r="C2134" s="760"/>
      <c r="D2134" s="760"/>
      <c r="E2134" s="760"/>
      <c r="F2134" s="760"/>
      <c r="G2134" s="760"/>
      <c r="H2134" s="760"/>
      <c r="I2134" s="760"/>
      <c r="J2134" s="760"/>
      <c r="K2134" s="760"/>
    </row>
    <row r="2135" spans="1:11">
      <c r="A2135" s="760"/>
      <c r="B2135" s="760"/>
      <c r="C2135" s="760"/>
      <c r="D2135" s="760"/>
      <c r="E2135" s="760"/>
      <c r="F2135" s="760"/>
      <c r="G2135" s="760"/>
      <c r="H2135" s="760"/>
      <c r="I2135" s="760"/>
      <c r="J2135" s="760"/>
      <c r="K2135" s="760"/>
    </row>
    <row r="2136" spans="1:11">
      <c r="A2136" s="760"/>
      <c r="B2136" s="760"/>
      <c r="C2136" s="760"/>
      <c r="D2136" s="760"/>
      <c r="E2136" s="760"/>
      <c r="F2136" s="760"/>
      <c r="G2136" s="760"/>
      <c r="H2136" s="760"/>
      <c r="I2136" s="760"/>
      <c r="J2136" s="760"/>
      <c r="K2136" s="760"/>
    </row>
    <row r="2137" spans="1:11">
      <c r="A2137" s="760"/>
      <c r="B2137" s="760"/>
      <c r="C2137" s="760"/>
      <c r="D2137" s="760"/>
      <c r="E2137" s="760"/>
      <c r="F2137" s="760"/>
      <c r="G2137" s="760"/>
      <c r="H2137" s="760"/>
      <c r="I2137" s="760"/>
      <c r="J2137" s="760"/>
      <c r="K2137" s="760"/>
    </row>
    <row r="2138" spans="1:11">
      <c r="A2138" s="760"/>
      <c r="B2138" s="760"/>
      <c r="C2138" s="760"/>
      <c r="D2138" s="760"/>
      <c r="E2138" s="760"/>
      <c r="F2138" s="760"/>
      <c r="G2138" s="760"/>
      <c r="H2138" s="760"/>
      <c r="I2138" s="760"/>
      <c r="J2138" s="760"/>
      <c r="K2138" s="760"/>
    </row>
    <row r="2139" spans="1:11">
      <c r="A2139" s="760"/>
      <c r="B2139" s="760"/>
      <c r="C2139" s="760"/>
      <c r="D2139" s="760"/>
      <c r="E2139" s="760"/>
      <c r="F2139" s="760"/>
      <c r="G2139" s="760"/>
      <c r="H2139" s="760"/>
      <c r="I2139" s="760"/>
      <c r="J2139" s="760"/>
      <c r="K2139" s="760"/>
    </row>
    <row r="2140" spans="1:11">
      <c r="A2140" s="760"/>
      <c r="B2140" s="760"/>
      <c r="C2140" s="760"/>
      <c r="D2140" s="760"/>
      <c r="E2140" s="760"/>
      <c r="F2140" s="760"/>
      <c r="G2140" s="760"/>
      <c r="H2140" s="760"/>
      <c r="I2140" s="760"/>
      <c r="J2140" s="760"/>
      <c r="K2140" s="760"/>
    </row>
    <row r="2141" spans="1:11">
      <c r="A2141" s="760"/>
      <c r="B2141" s="760"/>
      <c r="C2141" s="760"/>
      <c r="D2141" s="760"/>
      <c r="E2141" s="760"/>
      <c r="F2141" s="760"/>
      <c r="G2141" s="760"/>
      <c r="H2141" s="760"/>
      <c r="I2141" s="760"/>
      <c r="J2141" s="760"/>
      <c r="K2141" s="760"/>
    </row>
    <row r="2142" spans="1:11">
      <c r="A2142" s="760"/>
      <c r="B2142" s="760"/>
      <c r="C2142" s="760"/>
      <c r="D2142" s="760"/>
      <c r="E2142" s="760"/>
      <c r="F2142" s="760"/>
      <c r="G2142" s="760"/>
      <c r="H2142" s="760"/>
      <c r="I2142" s="760"/>
      <c r="J2142" s="760"/>
      <c r="K2142" s="760"/>
    </row>
    <row r="2143" spans="1:11">
      <c r="A2143" s="760"/>
      <c r="B2143" s="760"/>
      <c r="C2143" s="760"/>
      <c r="D2143" s="760"/>
      <c r="E2143" s="760"/>
      <c r="F2143" s="760"/>
      <c r="G2143" s="760"/>
      <c r="H2143" s="760"/>
      <c r="I2143" s="760"/>
      <c r="J2143" s="760"/>
      <c r="K2143" s="760"/>
    </row>
    <row r="2144" spans="1:11">
      <c r="A2144" s="760"/>
      <c r="B2144" s="760"/>
      <c r="C2144" s="760"/>
      <c r="D2144" s="760"/>
      <c r="E2144" s="760"/>
      <c r="F2144" s="760"/>
      <c r="G2144" s="760"/>
      <c r="H2144" s="760"/>
      <c r="I2144" s="760"/>
      <c r="J2144" s="760"/>
      <c r="K2144" s="760"/>
    </row>
    <row r="2145" spans="1:11">
      <c r="A2145" s="760"/>
      <c r="B2145" s="760"/>
      <c r="C2145" s="760"/>
      <c r="D2145" s="760"/>
      <c r="E2145" s="760"/>
      <c r="F2145" s="760"/>
      <c r="G2145" s="760"/>
      <c r="H2145" s="760"/>
      <c r="I2145" s="760"/>
      <c r="J2145" s="760"/>
      <c r="K2145" s="760"/>
    </row>
    <row r="2146" spans="1:11">
      <c r="A2146" s="760"/>
      <c r="B2146" s="760"/>
      <c r="C2146" s="760"/>
      <c r="D2146" s="760"/>
      <c r="E2146" s="760"/>
      <c r="F2146" s="760"/>
      <c r="G2146" s="760"/>
      <c r="H2146" s="760"/>
      <c r="I2146" s="760"/>
      <c r="J2146" s="760"/>
      <c r="K2146" s="760"/>
    </row>
    <row r="2147" spans="1:11">
      <c r="A2147" s="760"/>
      <c r="B2147" s="760"/>
      <c r="C2147" s="760"/>
      <c r="D2147" s="760"/>
      <c r="E2147" s="760"/>
      <c r="F2147" s="760"/>
      <c r="G2147" s="760"/>
      <c r="H2147" s="760"/>
      <c r="I2147" s="760"/>
      <c r="J2147" s="760"/>
      <c r="K2147" s="760"/>
    </row>
    <row r="2148" spans="1:11">
      <c r="A2148" s="760"/>
      <c r="B2148" s="760"/>
      <c r="C2148" s="760"/>
      <c r="D2148" s="760"/>
      <c r="E2148" s="760"/>
      <c r="F2148" s="760"/>
      <c r="G2148" s="760"/>
      <c r="H2148" s="760"/>
      <c r="I2148" s="760"/>
      <c r="J2148" s="760"/>
      <c r="K2148" s="760"/>
    </row>
    <row r="2149" spans="1:11">
      <c r="A2149" s="760"/>
      <c r="B2149" s="760"/>
      <c r="C2149" s="760"/>
      <c r="D2149" s="760"/>
      <c r="E2149" s="760"/>
      <c r="F2149" s="760"/>
      <c r="G2149" s="760"/>
      <c r="H2149" s="760"/>
      <c r="I2149" s="760"/>
      <c r="J2149" s="760"/>
      <c r="K2149" s="760"/>
    </row>
    <row r="2150" spans="1:11">
      <c r="A2150" s="760"/>
      <c r="B2150" s="760"/>
      <c r="C2150" s="760"/>
      <c r="D2150" s="760"/>
      <c r="E2150" s="760"/>
      <c r="F2150" s="760"/>
      <c r="G2150" s="760"/>
      <c r="H2150" s="760"/>
      <c r="I2150" s="760"/>
      <c r="J2150" s="760"/>
      <c r="K2150" s="760"/>
    </row>
    <row r="2151" spans="1:11">
      <c r="A2151" s="760"/>
      <c r="B2151" s="760"/>
      <c r="C2151" s="760"/>
      <c r="D2151" s="760"/>
      <c r="E2151" s="760"/>
      <c r="F2151" s="760"/>
      <c r="G2151" s="760"/>
      <c r="H2151" s="760"/>
      <c r="I2151" s="760"/>
      <c r="J2151" s="760"/>
      <c r="K2151" s="760"/>
    </row>
    <row r="2152" spans="1:11">
      <c r="A2152" s="760"/>
      <c r="B2152" s="760"/>
      <c r="C2152" s="760"/>
      <c r="D2152" s="760"/>
      <c r="E2152" s="760"/>
      <c r="F2152" s="760"/>
      <c r="G2152" s="760"/>
      <c r="H2152" s="760"/>
      <c r="I2152" s="760"/>
      <c r="J2152" s="760"/>
      <c r="K2152" s="760"/>
    </row>
    <row r="2153" spans="1:11">
      <c r="A2153" s="760"/>
      <c r="B2153" s="760"/>
      <c r="C2153" s="760"/>
      <c r="D2153" s="760"/>
      <c r="E2153" s="760"/>
      <c r="F2153" s="760"/>
      <c r="G2153" s="760"/>
      <c r="H2153" s="760"/>
      <c r="I2153" s="760"/>
      <c r="J2153" s="760"/>
      <c r="K2153" s="760"/>
    </row>
    <row r="2154" spans="1:11">
      <c r="A2154" s="760"/>
      <c r="B2154" s="760"/>
      <c r="C2154" s="760"/>
      <c r="D2154" s="760"/>
      <c r="E2154" s="760"/>
      <c r="F2154" s="760"/>
      <c r="G2154" s="760"/>
      <c r="H2154" s="760"/>
      <c r="I2154" s="760"/>
      <c r="J2154" s="760"/>
      <c r="K2154" s="760"/>
    </row>
    <row r="2155" spans="1:11">
      <c r="A2155" s="760"/>
      <c r="B2155" s="760"/>
      <c r="C2155" s="760"/>
      <c r="D2155" s="760"/>
      <c r="E2155" s="760"/>
      <c r="F2155" s="760"/>
      <c r="G2155" s="760"/>
      <c r="H2155" s="760"/>
      <c r="I2155" s="760"/>
      <c r="J2155" s="760"/>
      <c r="K2155" s="760"/>
    </row>
    <row r="2156" spans="1:11">
      <c r="A2156" s="760"/>
      <c r="B2156" s="760"/>
      <c r="C2156" s="760"/>
      <c r="D2156" s="760"/>
      <c r="E2156" s="760"/>
      <c r="F2156" s="760"/>
      <c r="G2156" s="760"/>
      <c r="H2156" s="760"/>
      <c r="I2156" s="760"/>
      <c r="J2156" s="760"/>
      <c r="K2156" s="760"/>
    </row>
    <row r="2157" spans="1:11">
      <c r="A2157" s="760"/>
      <c r="B2157" s="760"/>
      <c r="C2157" s="760"/>
      <c r="D2157" s="760"/>
      <c r="E2157" s="760"/>
      <c r="F2157" s="760"/>
      <c r="G2157" s="760"/>
      <c r="H2157" s="760"/>
      <c r="I2157" s="760"/>
      <c r="J2157" s="760"/>
      <c r="K2157" s="760"/>
    </row>
    <row r="2158" spans="1:11">
      <c r="A2158" s="760"/>
      <c r="B2158" s="760"/>
      <c r="C2158" s="760"/>
      <c r="D2158" s="760"/>
      <c r="E2158" s="760"/>
      <c r="F2158" s="760"/>
      <c r="G2158" s="760"/>
      <c r="H2158" s="760"/>
      <c r="I2158" s="760"/>
      <c r="J2158" s="760"/>
      <c r="K2158" s="760"/>
    </row>
    <row r="2159" spans="1:11">
      <c r="A2159" s="760"/>
      <c r="B2159" s="760"/>
      <c r="C2159" s="760"/>
      <c r="D2159" s="760"/>
      <c r="E2159" s="760"/>
      <c r="F2159" s="760"/>
      <c r="G2159" s="760"/>
      <c r="H2159" s="760"/>
      <c r="I2159" s="760"/>
      <c r="J2159" s="760"/>
      <c r="K2159" s="760"/>
    </row>
    <row r="2160" spans="1:11">
      <c r="A2160" s="760"/>
      <c r="B2160" s="760"/>
      <c r="C2160" s="760"/>
      <c r="D2160" s="760"/>
      <c r="E2160" s="760"/>
      <c r="F2160" s="760"/>
      <c r="G2160" s="760"/>
      <c r="H2160" s="760"/>
      <c r="I2160" s="760"/>
      <c r="J2160" s="760"/>
      <c r="K2160" s="760"/>
    </row>
    <row r="2161" spans="1:11">
      <c r="A2161" s="760"/>
      <c r="B2161" s="760"/>
      <c r="C2161" s="760"/>
      <c r="D2161" s="760"/>
      <c r="E2161" s="760"/>
      <c r="F2161" s="760"/>
      <c r="G2161" s="760"/>
      <c r="H2161" s="760"/>
      <c r="I2161" s="760"/>
      <c r="J2161" s="760"/>
      <c r="K2161" s="760"/>
    </row>
    <row r="2162" spans="1:11">
      <c r="A2162" s="760"/>
      <c r="B2162" s="760"/>
      <c r="C2162" s="760"/>
      <c r="D2162" s="760"/>
      <c r="E2162" s="760"/>
      <c r="F2162" s="760"/>
      <c r="G2162" s="760"/>
      <c r="H2162" s="760"/>
      <c r="I2162" s="760"/>
      <c r="J2162" s="760"/>
      <c r="K2162" s="760"/>
    </row>
    <row r="2163" spans="1:11">
      <c r="A2163" s="760"/>
      <c r="B2163" s="760"/>
      <c r="C2163" s="760"/>
      <c r="D2163" s="760"/>
      <c r="E2163" s="760"/>
      <c r="F2163" s="760"/>
      <c r="G2163" s="760"/>
      <c r="H2163" s="760"/>
      <c r="I2163" s="760"/>
      <c r="J2163" s="760"/>
      <c r="K2163" s="760"/>
    </row>
    <row r="2164" spans="1:11">
      <c r="A2164" s="760"/>
      <c r="B2164" s="760"/>
      <c r="C2164" s="760"/>
      <c r="D2164" s="760"/>
      <c r="E2164" s="760"/>
      <c r="F2164" s="760"/>
      <c r="G2164" s="760"/>
      <c r="H2164" s="760"/>
      <c r="I2164" s="760"/>
      <c r="J2164" s="760"/>
      <c r="K2164" s="760"/>
    </row>
    <row r="2165" spans="1:11">
      <c r="A2165" s="760"/>
      <c r="B2165" s="760"/>
      <c r="C2165" s="760"/>
      <c r="D2165" s="760"/>
      <c r="E2165" s="760"/>
      <c r="F2165" s="760"/>
      <c r="G2165" s="760"/>
      <c r="H2165" s="760"/>
      <c r="I2165" s="760"/>
      <c r="J2165" s="760"/>
      <c r="K2165" s="760"/>
    </row>
    <row r="2166" spans="1:11">
      <c r="A2166" s="760"/>
      <c r="B2166" s="760"/>
      <c r="C2166" s="760"/>
      <c r="D2166" s="760"/>
      <c r="E2166" s="760"/>
      <c r="F2166" s="760"/>
      <c r="G2166" s="760"/>
      <c r="H2166" s="760"/>
      <c r="I2166" s="760"/>
      <c r="J2166" s="760"/>
      <c r="K2166" s="760"/>
    </row>
    <row r="2167" spans="1:11">
      <c r="A2167" s="760"/>
      <c r="B2167" s="760"/>
      <c r="C2167" s="760"/>
      <c r="D2167" s="760"/>
      <c r="E2167" s="760"/>
      <c r="F2167" s="760"/>
      <c r="G2167" s="760"/>
      <c r="H2167" s="760"/>
      <c r="I2167" s="760"/>
      <c r="J2167" s="760"/>
      <c r="K2167" s="760"/>
    </row>
    <row r="2168" spans="1:11">
      <c r="A2168" s="760"/>
      <c r="B2168" s="760"/>
      <c r="C2168" s="760"/>
      <c r="D2168" s="760"/>
      <c r="E2168" s="760"/>
      <c r="F2168" s="760"/>
      <c r="G2168" s="760"/>
      <c r="H2168" s="760"/>
      <c r="I2168" s="760"/>
      <c r="J2168" s="760"/>
      <c r="K2168" s="760"/>
    </row>
    <row r="2169" spans="1:11">
      <c r="A2169" s="760"/>
      <c r="B2169" s="760"/>
      <c r="C2169" s="760"/>
      <c r="D2169" s="760"/>
      <c r="E2169" s="760"/>
      <c r="F2169" s="760"/>
      <c r="G2169" s="760"/>
      <c r="H2169" s="760"/>
      <c r="I2169" s="760"/>
      <c r="J2169" s="760"/>
      <c r="K2169" s="760"/>
    </row>
    <row r="2170" spans="1:11">
      <c r="A2170" s="760"/>
      <c r="B2170" s="760"/>
      <c r="C2170" s="760"/>
      <c r="D2170" s="760"/>
      <c r="E2170" s="760"/>
      <c r="F2170" s="760"/>
      <c r="G2170" s="760"/>
      <c r="H2170" s="760"/>
      <c r="I2170" s="760"/>
      <c r="J2170" s="760"/>
      <c r="K2170" s="760"/>
    </row>
    <row r="2171" spans="1:11">
      <c r="A2171" s="760"/>
      <c r="B2171" s="760"/>
      <c r="C2171" s="760"/>
      <c r="D2171" s="760"/>
      <c r="E2171" s="760"/>
      <c r="F2171" s="760"/>
      <c r="G2171" s="760"/>
      <c r="H2171" s="760"/>
      <c r="I2171" s="760"/>
      <c r="J2171" s="760"/>
      <c r="K2171" s="760"/>
    </row>
    <row r="2172" spans="1:11">
      <c r="A2172" s="760"/>
      <c r="B2172" s="760"/>
      <c r="C2172" s="760"/>
      <c r="D2172" s="760"/>
      <c r="E2172" s="760"/>
      <c r="F2172" s="760"/>
      <c r="G2172" s="760"/>
      <c r="H2172" s="760"/>
      <c r="I2172" s="760"/>
      <c r="J2172" s="760"/>
      <c r="K2172" s="760"/>
    </row>
    <row r="2173" spans="1:11">
      <c r="A2173" s="760"/>
      <c r="B2173" s="760"/>
      <c r="C2173" s="760"/>
      <c r="D2173" s="760"/>
      <c r="E2173" s="760"/>
      <c r="F2173" s="760"/>
      <c r="G2173" s="760"/>
      <c r="H2173" s="760"/>
      <c r="I2173" s="760"/>
      <c r="J2173" s="760"/>
      <c r="K2173" s="760"/>
    </row>
    <row r="2174" spans="1:11">
      <c r="A2174" s="760"/>
      <c r="B2174" s="760"/>
      <c r="C2174" s="760"/>
      <c r="D2174" s="760"/>
      <c r="E2174" s="760"/>
      <c r="F2174" s="760"/>
      <c r="G2174" s="760"/>
      <c r="H2174" s="760"/>
      <c r="I2174" s="760"/>
      <c r="J2174" s="760"/>
      <c r="K2174" s="760"/>
    </row>
    <row r="2175" spans="1:11">
      <c r="A2175" s="760"/>
      <c r="B2175" s="760"/>
      <c r="C2175" s="760"/>
      <c r="D2175" s="760"/>
      <c r="E2175" s="760"/>
      <c r="F2175" s="760"/>
      <c r="G2175" s="760"/>
      <c r="H2175" s="760"/>
      <c r="I2175" s="760"/>
      <c r="J2175" s="760"/>
      <c r="K2175" s="760"/>
    </row>
    <row r="2176" spans="1:11">
      <c r="A2176" s="760"/>
      <c r="B2176" s="760"/>
      <c r="C2176" s="760"/>
      <c r="D2176" s="760"/>
      <c r="E2176" s="760"/>
      <c r="F2176" s="760"/>
      <c r="G2176" s="760"/>
      <c r="H2176" s="760"/>
      <c r="I2176" s="760"/>
      <c r="J2176" s="760"/>
      <c r="K2176" s="760"/>
    </row>
    <row r="2177" spans="1:11">
      <c r="A2177" s="760"/>
      <c r="B2177" s="760"/>
      <c r="C2177" s="760"/>
      <c r="D2177" s="760"/>
      <c r="E2177" s="760"/>
      <c r="F2177" s="760"/>
      <c r="G2177" s="760"/>
      <c r="H2177" s="760"/>
      <c r="I2177" s="760"/>
      <c r="J2177" s="760"/>
      <c r="K2177" s="760"/>
    </row>
    <row r="2178" spans="1:11">
      <c r="A2178" s="760"/>
      <c r="B2178" s="760"/>
      <c r="C2178" s="760"/>
      <c r="D2178" s="760"/>
      <c r="E2178" s="760"/>
      <c r="F2178" s="760"/>
      <c r="G2178" s="760"/>
      <c r="H2178" s="760"/>
      <c r="I2178" s="760"/>
      <c r="J2178" s="760"/>
      <c r="K2178" s="760"/>
    </row>
    <row r="2179" spans="1:11">
      <c r="A2179" s="760"/>
      <c r="B2179" s="760"/>
      <c r="C2179" s="760"/>
      <c r="D2179" s="760"/>
      <c r="E2179" s="760"/>
      <c r="F2179" s="760"/>
      <c r="G2179" s="760"/>
      <c r="H2179" s="760"/>
      <c r="I2179" s="760"/>
      <c r="J2179" s="760"/>
      <c r="K2179" s="760"/>
    </row>
    <row r="2180" spans="1:11">
      <c r="A2180" s="760"/>
      <c r="B2180" s="760"/>
      <c r="C2180" s="760"/>
      <c r="D2180" s="760"/>
      <c r="E2180" s="760"/>
      <c r="F2180" s="760"/>
      <c r="G2180" s="760"/>
      <c r="H2180" s="760"/>
      <c r="I2180" s="760"/>
      <c r="J2180" s="760"/>
      <c r="K2180" s="760"/>
    </row>
    <row r="2181" spans="1:11">
      <c r="A2181" s="760"/>
      <c r="B2181" s="760"/>
      <c r="C2181" s="760"/>
      <c r="D2181" s="760"/>
      <c r="E2181" s="760"/>
      <c r="F2181" s="760"/>
      <c r="G2181" s="760"/>
      <c r="H2181" s="760"/>
      <c r="I2181" s="760"/>
      <c r="J2181" s="760"/>
      <c r="K2181" s="760"/>
    </row>
    <row r="2182" spans="1:11">
      <c r="A2182" s="760"/>
      <c r="B2182" s="760"/>
      <c r="C2182" s="760"/>
      <c r="D2182" s="760"/>
      <c r="E2182" s="760"/>
      <c r="F2182" s="760"/>
      <c r="G2182" s="760"/>
      <c r="H2182" s="760"/>
      <c r="I2182" s="760"/>
      <c r="J2182" s="760"/>
      <c r="K2182" s="760"/>
    </row>
    <row r="2183" spans="1:11">
      <c r="A2183" s="760"/>
      <c r="B2183" s="760"/>
      <c r="C2183" s="760"/>
      <c r="D2183" s="760"/>
      <c r="E2183" s="760"/>
      <c r="F2183" s="760"/>
      <c r="G2183" s="760"/>
      <c r="H2183" s="760"/>
      <c r="I2183" s="760"/>
      <c r="J2183" s="760"/>
      <c r="K2183" s="760"/>
    </row>
    <row r="2184" spans="1:11">
      <c r="A2184" s="760"/>
      <c r="B2184" s="760"/>
      <c r="C2184" s="760"/>
      <c r="D2184" s="760"/>
      <c r="E2184" s="760"/>
      <c r="F2184" s="760"/>
      <c r="G2184" s="760"/>
      <c r="H2184" s="760"/>
      <c r="I2184" s="760"/>
      <c r="J2184" s="760"/>
      <c r="K2184" s="760"/>
    </row>
    <row r="2185" spans="1:11">
      <c r="A2185" s="760"/>
      <c r="B2185" s="760"/>
      <c r="C2185" s="760"/>
      <c r="D2185" s="760"/>
      <c r="E2185" s="760"/>
      <c r="F2185" s="760"/>
      <c r="G2185" s="760"/>
      <c r="H2185" s="760"/>
      <c r="I2185" s="760"/>
      <c r="J2185" s="760"/>
      <c r="K2185" s="760"/>
    </row>
    <row r="2186" spans="1:11">
      <c r="A2186" s="760"/>
      <c r="B2186" s="760"/>
      <c r="C2186" s="760"/>
      <c r="D2186" s="760"/>
      <c r="E2186" s="760"/>
      <c r="F2186" s="760"/>
      <c r="G2186" s="760"/>
      <c r="H2186" s="760"/>
      <c r="I2186" s="760"/>
      <c r="J2186" s="760"/>
      <c r="K2186" s="760"/>
    </row>
    <row r="2187" spans="1:11">
      <c r="A2187" s="760"/>
      <c r="B2187" s="760"/>
      <c r="C2187" s="760"/>
      <c r="D2187" s="760"/>
      <c r="E2187" s="760"/>
      <c r="F2187" s="760"/>
      <c r="G2187" s="760"/>
      <c r="H2187" s="760"/>
      <c r="I2187" s="760"/>
      <c r="J2187" s="760"/>
      <c r="K2187" s="760"/>
    </row>
    <row r="2188" spans="1:11">
      <c r="A2188" s="760"/>
      <c r="B2188" s="760"/>
      <c r="C2188" s="760"/>
      <c r="D2188" s="760"/>
      <c r="E2188" s="760"/>
      <c r="F2188" s="760"/>
      <c r="G2188" s="760"/>
      <c r="H2188" s="760"/>
      <c r="I2188" s="760"/>
      <c r="J2188" s="760"/>
      <c r="K2188" s="760"/>
    </row>
    <row r="2189" spans="1:11">
      <c r="A2189" s="760"/>
      <c r="B2189" s="760"/>
      <c r="C2189" s="760"/>
      <c r="D2189" s="760"/>
      <c r="E2189" s="760"/>
      <c r="F2189" s="760"/>
      <c r="G2189" s="760"/>
      <c r="H2189" s="760"/>
      <c r="I2189" s="760"/>
      <c r="J2189" s="760"/>
      <c r="K2189" s="760"/>
    </row>
    <row r="2190" spans="1:11">
      <c r="A2190" s="760"/>
      <c r="B2190" s="760"/>
      <c r="C2190" s="760"/>
      <c r="D2190" s="760"/>
      <c r="E2190" s="760"/>
      <c r="F2190" s="760"/>
      <c r="G2190" s="760"/>
      <c r="H2190" s="760"/>
      <c r="I2190" s="760"/>
      <c r="J2190" s="760"/>
      <c r="K2190" s="760"/>
    </row>
    <row r="2191" spans="1:11">
      <c r="A2191" s="760"/>
      <c r="B2191" s="760"/>
      <c r="C2191" s="760"/>
      <c r="D2191" s="760"/>
      <c r="E2191" s="760"/>
      <c r="F2191" s="760"/>
      <c r="G2191" s="760"/>
      <c r="H2191" s="760"/>
      <c r="I2191" s="760"/>
      <c r="J2191" s="760"/>
      <c r="K2191" s="760"/>
    </row>
    <row r="2192" spans="1:11">
      <c r="A2192" s="760"/>
      <c r="B2192" s="760"/>
      <c r="C2192" s="760"/>
      <c r="D2192" s="760"/>
      <c r="E2192" s="760"/>
      <c r="F2192" s="760"/>
      <c r="G2192" s="760"/>
      <c r="H2192" s="760"/>
      <c r="I2192" s="760"/>
      <c r="J2192" s="760"/>
      <c r="K2192" s="760"/>
    </row>
    <row r="2193" spans="1:11">
      <c r="A2193" s="760"/>
      <c r="B2193" s="760"/>
      <c r="C2193" s="760"/>
      <c r="D2193" s="760"/>
      <c r="E2193" s="760"/>
      <c r="F2193" s="760"/>
      <c r="G2193" s="760"/>
      <c r="H2193" s="760"/>
      <c r="I2193" s="760"/>
      <c r="J2193" s="760"/>
      <c r="K2193" s="760"/>
    </row>
    <row r="2194" spans="1:11">
      <c r="A2194" s="760"/>
      <c r="B2194" s="760"/>
      <c r="C2194" s="760"/>
      <c r="D2194" s="760"/>
      <c r="E2194" s="760"/>
      <c r="F2194" s="760"/>
      <c r="G2194" s="760"/>
      <c r="H2194" s="760"/>
      <c r="I2194" s="760"/>
      <c r="J2194" s="760"/>
      <c r="K2194" s="760"/>
    </row>
    <row r="2195" spans="1:11">
      <c r="A2195" s="760"/>
      <c r="B2195" s="760"/>
      <c r="C2195" s="760"/>
      <c r="D2195" s="760"/>
      <c r="E2195" s="760"/>
      <c r="F2195" s="760"/>
      <c r="G2195" s="760"/>
      <c r="H2195" s="760"/>
      <c r="I2195" s="760"/>
      <c r="J2195" s="760"/>
      <c r="K2195" s="760"/>
    </row>
    <row r="2196" spans="1:11">
      <c r="A2196" s="760"/>
      <c r="B2196" s="760"/>
      <c r="C2196" s="760"/>
      <c r="D2196" s="760"/>
      <c r="E2196" s="760"/>
      <c r="F2196" s="760"/>
      <c r="G2196" s="760"/>
      <c r="H2196" s="760"/>
      <c r="I2196" s="760"/>
      <c r="J2196" s="760"/>
      <c r="K2196" s="760"/>
    </row>
    <row r="2197" spans="1:11">
      <c r="A2197" s="760"/>
      <c r="B2197" s="760"/>
      <c r="C2197" s="760"/>
      <c r="D2197" s="760"/>
      <c r="E2197" s="760"/>
      <c r="F2197" s="760"/>
      <c r="G2197" s="760"/>
      <c r="H2197" s="760"/>
      <c r="I2197" s="760"/>
      <c r="J2197" s="760"/>
      <c r="K2197" s="760"/>
    </row>
    <row r="2198" spans="1:11">
      <c r="A2198" s="760"/>
      <c r="B2198" s="760"/>
      <c r="C2198" s="760"/>
      <c r="D2198" s="760"/>
      <c r="E2198" s="760"/>
      <c r="F2198" s="760"/>
      <c r="G2198" s="760"/>
      <c r="H2198" s="760"/>
      <c r="I2198" s="760"/>
      <c r="J2198" s="760"/>
      <c r="K2198" s="760"/>
    </row>
    <row r="2199" spans="1:11">
      <c r="A2199" s="760"/>
      <c r="B2199" s="760"/>
      <c r="C2199" s="760"/>
      <c r="D2199" s="760"/>
      <c r="E2199" s="760"/>
      <c r="F2199" s="760"/>
      <c r="G2199" s="760"/>
      <c r="H2199" s="760"/>
      <c r="I2199" s="760"/>
      <c r="J2199" s="760"/>
      <c r="K2199" s="760"/>
    </row>
    <row r="2200" spans="1:11">
      <c r="A2200" s="760"/>
      <c r="B2200" s="760"/>
      <c r="C2200" s="760"/>
      <c r="D2200" s="760"/>
      <c r="E2200" s="760"/>
      <c r="F2200" s="760"/>
      <c r="G2200" s="760"/>
      <c r="H2200" s="760"/>
      <c r="I2200" s="760"/>
      <c r="J2200" s="760"/>
      <c r="K2200" s="760"/>
    </row>
    <row r="2201" spans="1:11">
      <c r="A2201" s="760"/>
      <c r="B2201" s="760"/>
      <c r="C2201" s="760"/>
      <c r="D2201" s="760"/>
      <c r="E2201" s="760"/>
      <c r="F2201" s="760"/>
      <c r="G2201" s="760"/>
      <c r="H2201" s="760"/>
      <c r="I2201" s="760"/>
      <c r="J2201" s="760"/>
      <c r="K2201" s="760"/>
    </row>
    <row r="2202" spans="1:11">
      <c r="A2202" s="760"/>
      <c r="B2202" s="760"/>
      <c r="C2202" s="760"/>
      <c r="D2202" s="760"/>
      <c r="E2202" s="760"/>
      <c r="F2202" s="760"/>
      <c r="G2202" s="760"/>
      <c r="H2202" s="760"/>
      <c r="I2202" s="760"/>
      <c r="J2202" s="760"/>
      <c r="K2202" s="760"/>
    </row>
    <row r="2203" spans="1:11">
      <c r="A2203" s="760"/>
      <c r="B2203" s="760"/>
      <c r="C2203" s="760"/>
      <c r="D2203" s="760"/>
      <c r="E2203" s="760"/>
      <c r="F2203" s="760"/>
      <c r="G2203" s="760"/>
      <c r="H2203" s="760"/>
      <c r="I2203" s="760"/>
      <c r="J2203" s="760"/>
      <c r="K2203" s="760"/>
    </row>
    <row r="2204" spans="1:11">
      <c r="A2204" s="760"/>
      <c r="B2204" s="760"/>
      <c r="C2204" s="760"/>
      <c r="D2204" s="760"/>
      <c r="E2204" s="760"/>
      <c r="F2204" s="760"/>
      <c r="G2204" s="760"/>
      <c r="H2204" s="760"/>
      <c r="I2204" s="760"/>
      <c r="J2204" s="760"/>
      <c r="K2204" s="760"/>
    </row>
    <row r="2205" spans="1:11">
      <c r="A2205" s="760"/>
      <c r="B2205" s="760"/>
      <c r="C2205" s="760"/>
      <c r="D2205" s="760"/>
      <c r="E2205" s="760"/>
      <c r="F2205" s="760"/>
      <c r="G2205" s="760"/>
      <c r="H2205" s="760"/>
      <c r="I2205" s="760"/>
      <c r="J2205" s="760"/>
      <c r="K2205" s="760"/>
    </row>
    <row r="2206" spans="1:11">
      <c r="A2206" s="760"/>
      <c r="B2206" s="760"/>
      <c r="C2206" s="760"/>
      <c r="D2206" s="760"/>
      <c r="E2206" s="760"/>
      <c r="F2206" s="760"/>
      <c r="G2206" s="760"/>
      <c r="H2206" s="760"/>
      <c r="I2206" s="760"/>
      <c r="J2206" s="760"/>
      <c r="K2206" s="760"/>
    </row>
    <row r="2207" spans="1:11">
      <c r="A2207" s="760"/>
      <c r="B2207" s="760"/>
      <c r="C2207" s="760"/>
      <c r="D2207" s="760"/>
      <c r="E2207" s="760"/>
      <c r="F2207" s="760"/>
      <c r="G2207" s="760"/>
      <c r="H2207" s="760"/>
      <c r="I2207" s="760"/>
      <c r="J2207" s="760"/>
      <c r="K2207" s="760"/>
    </row>
    <row r="2208" spans="1:11">
      <c r="A2208" s="760"/>
      <c r="B2208" s="760"/>
      <c r="C2208" s="760"/>
      <c r="D2208" s="760"/>
      <c r="E2208" s="760"/>
      <c r="F2208" s="760"/>
      <c r="G2208" s="760"/>
      <c r="H2208" s="760"/>
      <c r="I2208" s="760"/>
      <c r="J2208" s="760"/>
      <c r="K2208" s="760"/>
    </row>
    <row r="2209" spans="1:11">
      <c r="A2209" s="760"/>
      <c r="B2209" s="760"/>
      <c r="C2209" s="760"/>
      <c r="D2209" s="760"/>
      <c r="E2209" s="760"/>
      <c r="F2209" s="760"/>
      <c r="G2209" s="760"/>
      <c r="H2209" s="760"/>
      <c r="I2209" s="760"/>
      <c r="J2209" s="760"/>
      <c r="K2209" s="760"/>
    </row>
    <row r="2210" spans="1:11">
      <c r="A2210" s="760"/>
      <c r="B2210" s="760"/>
      <c r="C2210" s="760"/>
      <c r="D2210" s="760"/>
      <c r="E2210" s="760"/>
      <c r="F2210" s="760"/>
      <c r="G2210" s="760"/>
      <c r="H2210" s="760"/>
      <c r="I2210" s="760"/>
      <c r="J2210" s="760"/>
      <c r="K2210" s="760"/>
    </row>
    <row r="2211" spans="1:11">
      <c r="A2211" s="760"/>
      <c r="B2211" s="760"/>
      <c r="C2211" s="760"/>
      <c r="D2211" s="760"/>
      <c r="E2211" s="760"/>
      <c r="F2211" s="760"/>
      <c r="G2211" s="760"/>
      <c r="H2211" s="760"/>
      <c r="I2211" s="760"/>
      <c r="J2211" s="760"/>
      <c r="K2211" s="760"/>
    </row>
    <row r="2212" spans="1:11">
      <c r="A2212" s="760"/>
      <c r="B2212" s="760"/>
      <c r="C2212" s="760"/>
      <c r="D2212" s="760"/>
      <c r="E2212" s="760"/>
      <c r="F2212" s="760"/>
      <c r="G2212" s="760"/>
      <c r="H2212" s="760"/>
      <c r="I2212" s="760"/>
      <c r="J2212" s="760"/>
      <c r="K2212" s="760"/>
    </row>
    <row r="2213" spans="1:11">
      <c r="A2213" s="760"/>
      <c r="B2213" s="760"/>
      <c r="C2213" s="760"/>
      <c r="D2213" s="760"/>
      <c r="E2213" s="760"/>
      <c r="F2213" s="760"/>
      <c r="G2213" s="760"/>
      <c r="H2213" s="760"/>
      <c r="I2213" s="760"/>
      <c r="J2213" s="760"/>
      <c r="K2213" s="760"/>
    </row>
    <row r="2214" spans="1:11">
      <c r="A2214" s="760"/>
      <c r="B2214" s="760"/>
      <c r="C2214" s="760"/>
      <c r="D2214" s="760"/>
      <c r="E2214" s="760"/>
      <c r="F2214" s="760"/>
      <c r="G2214" s="760"/>
      <c r="H2214" s="760"/>
      <c r="I2214" s="760"/>
      <c r="J2214" s="760"/>
      <c r="K2214" s="760"/>
    </row>
    <row r="2215" spans="1:11">
      <c r="A2215" s="760"/>
      <c r="B2215" s="760"/>
      <c r="C2215" s="760"/>
      <c r="D2215" s="760"/>
      <c r="E2215" s="760"/>
      <c r="F2215" s="760"/>
      <c r="G2215" s="760"/>
      <c r="H2215" s="760"/>
      <c r="I2215" s="760"/>
      <c r="J2215" s="760"/>
      <c r="K2215" s="760"/>
    </row>
    <row r="2216" spans="1:11">
      <c r="A2216" s="760"/>
      <c r="B2216" s="760"/>
      <c r="C2216" s="760"/>
      <c r="D2216" s="760"/>
      <c r="E2216" s="760"/>
      <c r="F2216" s="760"/>
      <c r="G2216" s="760"/>
      <c r="H2216" s="760"/>
      <c r="I2216" s="760"/>
      <c r="J2216" s="760"/>
      <c r="K2216" s="760"/>
    </row>
    <row r="2217" spans="1:11">
      <c r="A2217" s="760"/>
      <c r="B2217" s="760"/>
      <c r="C2217" s="760"/>
      <c r="D2217" s="760"/>
      <c r="E2217" s="760"/>
      <c r="F2217" s="760"/>
      <c r="G2217" s="760"/>
      <c r="H2217" s="760"/>
      <c r="I2217" s="760"/>
      <c r="J2217" s="760"/>
      <c r="K2217" s="760"/>
    </row>
    <row r="2218" spans="1:11">
      <c r="A2218" s="760"/>
      <c r="B2218" s="760"/>
      <c r="C2218" s="760"/>
      <c r="D2218" s="760"/>
      <c r="E2218" s="760"/>
      <c r="F2218" s="760"/>
      <c r="G2218" s="760"/>
      <c r="H2218" s="760"/>
      <c r="I2218" s="760"/>
      <c r="J2218" s="760"/>
      <c r="K2218" s="760"/>
    </row>
    <row r="2219" spans="1:11">
      <c r="A2219" s="760"/>
      <c r="B2219" s="760"/>
      <c r="C2219" s="760"/>
      <c r="D2219" s="760"/>
      <c r="E2219" s="760"/>
      <c r="F2219" s="760"/>
      <c r="G2219" s="760"/>
      <c r="H2219" s="760"/>
      <c r="I2219" s="760"/>
      <c r="J2219" s="760"/>
      <c r="K2219" s="760"/>
    </row>
    <row r="2220" spans="1:11">
      <c r="A2220" s="760"/>
      <c r="B2220" s="760"/>
      <c r="C2220" s="760"/>
      <c r="D2220" s="760"/>
      <c r="E2220" s="760"/>
      <c r="F2220" s="760"/>
      <c r="G2220" s="760"/>
      <c r="H2220" s="760"/>
      <c r="I2220" s="760"/>
      <c r="J2220" s="760"/>
      <c r="K2220" s="760"/>
    </row>
    <row r="2221" spans="1:11">
      <c r="A2221" s="760"/>
      <c r="B2221" s="760"/>
      <c r="C2221" s="760"/>
      <c r="D2221" s="760"/>
      <c r="E2221" s="760"/>
      <c r="F2221" s="760"/>
      <c r="G2221" s="760"/>
      <c r="H2221" s="760"/>
      <c r="I2221" s="760"/>
      <c r="J2221" s="760"/>
      <c r="K2221" s="760"/>
    </row>
    <row r="2222" spans="1:11">
      <c r="A2222" s="760"/>
      <c r="B2222" s="760"/>
      <c r="C2222" s="760"/>
      <c r="D2222" s="760"/>
      <c r="E2222" s="760"/>
      <c r="F2222" s="760"/>
      <c r="G2222" s="760"/>
      <c r="H2222" s="760"/>
      <c r="I2222" s="760"/>
      <c r="J2222" s="760"/>
      <c r="K2222" s="760"/>
    </row>
    <row r="2223" spans="1:11">
      <c r="A2223" s="760"/>
      <c r="B2223" s="760"/>
      <c r="C2223" s="760"/>
      <c r="D2223" s="760"/>
      <c r="E2223" s="760"/>
      <c r="F2223" s="760"/>
      <c r="G2223" s="760"/>
      <c r="H2223" s="760"/>
      <c r="I2223" s="760"/>
      <c r="J2223" s="760"/>
      <c r="K2223" s="760"/>
    </row>
    <row r="2224" spans="1:11">
      <c r="A2224" s="760"/>
      <c r="B2224" s="760"/>
      <c r="C2224" s="760"/>
      <c r="D2224" s="760"/>
      <c r="E2224" s="760"/>
      <c r="F2224" s="760"/>
      <c r="G2224" s="760"/>
      <c r="H2224" s="760"/>
      <c r="I2224" s="760"/>
      <c r="J2224" s="760"/>
      <c r="K2224" s="760"/>
    </row>
    <row r="2225" spans="1:11">
      <c r="A2225" s="760"/>
      <c r="B2225" s="760"/>
      <c r="C2225" s="760"/>
      <c r="D2225" s="760"/>
      <c r="E2225" s="760"/>
      <c r="F2225" s="760"/>
      <c r="G2225" s="760"/>
      <c r="H2225" s="760"/>
      <c r="I2225" s="760"/>
      <c r="J2225" s="760"/>
      <c r="K2225" s="760"/>
    </row>
    <row r="2226" spans="1:11">
      <c r="A2226" s="760"/>
      <c r="B2226" s="760"/>
      <c r="C2226" s="760"/>
      <c r="D2226" s="760"/>
      <c r="E2226" s="760"/>
      <c r="F2226" s="760"/>
      <c r="G2226" s="760"/>
      <c r="H2226" s="760"/>
      <c r="I2226" s="760"/>
      <c r="J2226" s="760"/>
      <c r="K2226" s="760"/>
    </row>
    <row r="2227" spans="1:11">
      <c r="A2227" s="760"/>
      <c r="B2227" s="760"/>
      <c r="C2227" s="760"/>
      <c r="D2227" s="760"/>
      <c r="E2227" s="760"/>
      <c r="F2227" s="760"/>
      <c r="G2227" s="760"/>
      <c r="H2227" s="760"/>
      <c r="I2227" s="760"/>
      <c r="J2227" s="760"/>
      <c r="K2227" s="760"/>
    </row>
    <row r="2228" spans="1:11">
      <c r="A2228" s="760"/>
      <c r="B2228" s="760"/>
      <c r="C2228" s="760"/>
      <c r="D2228" s="760"/>
      <c r="E2228" s="760"/>
      <c r="F2228" s="760"/>
      <c r="G2228" s="760"/>
      <c r="H2228" s="760"/>
      <c r="I2228" s="760"/>
      <c r="J2228" s="760"/>
      <c r="K2228" s="760"/>
    </row>
    <row r="2229" spans="1:11">
      <c r="A2229" s="760"/>
      <c r="B2229" s="760"/>
      <c r="C2229" s="760"/>
      <c r="D2229" s="760"/>
      <c r="E2229" s="760"/>
      <c r="F2229" s="760"/>
      <c r="G2229" s="760"/>
      <c r="H2229" s="760"/>
      <c r="I2229" s="760"/>
      <c r="J2229" s="760"/>
      <c r="K2229" s="760"/>
    </row>
    <row r="2230" spans="1:11">
      <c r="A2230" s="760"/>
      <c r="B2230" s="760"/>
      <c r="C2230" s="760"/>
      <c r="D2230" s="760"/>
      <c r="E2230" s="760"/>
      <c r="F2230" s="760"/>
      <c r="G2230" s="760"/>
      <c r="H2230" s="760"/>
      <c r="I2230" s="760"/>
      <c r="J2230" s="760"/>
      <c r="K2230" s="760"/>
    </row>
    <row r="2231" spans="1:11">
      <c r="A2231" s="760"/>
      <c r="B2231" s="760"/>
      <c r="C2231" s="760"/>
      <c r="D2231" s="760"/>
      <c r="E2231" s="760"/>
      <c r="F2231" s="760"/>
      <c r="G2231" s="760"/>
      <c r="H2231" s="760"/>
      <c r="I2231" s="760"/>
      <c r="J2231" s="760"/>
      <c r="K2231" s="760"/>
    </row>
    <row r="2232" spans="1:11">
      <c r="A2232" s="760"/>
      <c r="B2232" s="760"/>
      <c r="C2232" s="760"/>
      <c r="D2232" s="760"/>
      <c r="E2232" s="760"/>
      <c r="F2232" s="760"/>
      <c r="G2232" s="760"/>
      <c r="H2232" s="760"/>
      <c r="I2232" s="760"/>
      <c r="J2232" s="760"/>
      <c r="K2232" s="760"/>
    </row>
    <row r="2233" spans="1:11">
      <c r="A2233" s="760"/>
      <c r="B2233" s="760"/>
      <c r="C2233" s="760"/>
      <c r="D2233" s="760"/>
      <c r="E2233" s="760"/>
      <c r="F2233" s="760"/>
      <c r="G2233" s="760"/>
      <c r="H2233" s="760"/>
      <c r="I2233" s="760"/>
      <c r="J2233" s="760"/>
      <c r="K2233" s="760"/>
    </row>
    <row r="2234" spans="1:11">
      <c r="A2234" s="760"/>
      <c r="B2234" s="760"/>
      <c r="C2234" s="760"/>
      <c r="D2234" s="760"/>
      <c r="E2234" s="760"/>
      <c r="F2234" s="760"/>
      <c r="G2234" s="760"/>
      <c r="H2234" s="760"/>
      <c r="I2234" s="760"/>
      <c r="J2234" s="760"/>
      <c r="K2234" s="760"/>
    </row>
    <row r="2235" spans="1:11">
      <c r="A2235" s="760"/>
      <c r="B2235" s="760"/>
      <c r="C2235" s="760"/>
      <c r="D2235" s="760"/>
      <c r="E2235" s="760"/>
      <c r="F2235" s="760"/>
      <c r="G2235" s="760"/>
      <c r="H2235" s="760"/>
      <c r="I2235" s="760"/>
      <c r="J2235" s="760"/>
      <c r="K2235" s="760"/>
    </row>
    <row r="2236" spans="1:11">
      <c r="A2236" s="760"/>
      <c r="B2236" s="760"/>
      <c r="C2236" s="760"/>
      <c r="D2236" s="760"/>
      <c r="E2236" s="760"/>
      <c r="F2236" s="760"/>
      <c r="G2236" s="760"/>
      <c r="H2236" s="760"/>
      <c r="I2236" s="760"/>
      <c r="J2236" s="760"/>
      <c r="K2236" s="760"/>
    </row>
    <row r="2237" spans="1:11">
      <c r="A2237" s="760"/>
      <c r="B2237" s="760"/>
      <c r="C2237" s="760"/>
      <c r="D2237" s="760"/>
      <c r="E2237" s="760"/>
      <c r="F2237" s="760"/>
      <c r="G2237" s="760"/>
      <c r="H2237" s="760"/>
      <c r="I2237" s="760"/>
      <c r="J2237" s="760"/>
      <c r="K2237" s="760"/>
    </row>
    <row r="2238" spans="1:11">
      <c r="A2238" s="760"/>
      <c r="B2238" s="760"/>
      <c r="C2238" s="760"/>
      <c r="D2238" s="760"/>
      <c r="E2238" s="760"/>
      <c r="F2238" s="760"/>
      <c r="G2238" s="760"/>
      <c r="H2238" s="760"/>
      <c r="I2238" s="760"/>
      <c r="J2238" s="760"/>
      <c r="K2238" s="760"/>
    </row>
    <row r="2239" spans="1:11">
      <c r="A2239" s="760"/>
      <c r="B2239" s="760"/>
      <c r="C2239" s="760"/>
      <c r="D2239" s="760"/>
      <c r="E2239" s="760"/>
      <c r="F2239" s="760"/>
      <c r="G2239" s="760"/>
      <c r="H2239" s="760"/>
      <c r="I2239" s="760"/>
      <c r="J2239" s="760"/>
      <c r="K2239" s="760"/>
    </row>
    <row r="2240" spans="1:11">
      <c r="A2240" s="760"/>
      <c r="B2240" s="760"/>
      <c r="C2240" s="760"/>
      <c r="D2240" s="760"/>
      <c r="E2240" s="760"/>
      <c r="F2240" s="760"/>
      <c r="G2240" s="760"/>
      <c r="H2240" s="760"/>
      <c r="I2240" s="760"/>
      <c r="J2240" s="760"/>
      <c r="K2240" s="760"/>
    </row>
    <row r="2241" spans="1:11">
      <c r="A2241" s="760"/>
      <c r="B2241" s="760"/>
      <c r="C2241" s="760"/>
      <c r="D2241" s="760"/>
      <c r="E2241" s="760"/>
      <c r="F2241" s="760"/>
      <c r="G2241" s="760"/>
      <c r="H2241" s="760"/>
      <c r="I2241" s="760"/>
      <c r="J2241" s="760"/>
      <c r="K2241" s="760"/>
    </row>
    <row r="2242" spans="1:11">
      <c r="A2242" s="760"/>
      <c r="B2242" s="760"/>
      <c r="C2242" s="760"/>
      <c r="D2242" s="760"/>
      <c r="E2242" s="760"/>
      <c r="F2242" s="760"/>
      <c r="G2242" s="760"/>
      <c r="H2242" s="760"/>
      <c r="I2242" s="760"/>
      <c r="J2242" s="760"/>
      <c r="K2242" s="760"/>
    </row>
    <row r="2243" spans="1:11">
      <c r="A2243" s="760"/>
      <c r="B2243" s="760"/>
      <c r="C2243" s="760"/>
      <c r="D2243" s="760"/>
      <c r="E2243" s="760"/>
      <c r="F2243" s="760"/>
      <c r="G2243" s="760"/>
      <c r="H2243" s="760"/>
      <c r="I2243" s="760"/>
      <c r="J2243" s="760"/>
      <c r="K2243" s="760"/>
    </row>
    <row r="2244" spans="1:11">
      <c r="A2244" s="760"/>
      <c r="B2244" s="760"/>
      <c r="C2244" s="760"/>
      <c r="D2244" s="760"/>
      <c r="E2244" s="760"/>
      <c r="F2244" s="760"/>
      <c r="G2244" s="760"/>
      <c r="H2244" s="760"/>
      <c r="I2244" s="760"/>
      <c r="J2244" s="760"/>
      <c r="K2244" s="760"/>
    </row>
    <row r="2245" spans="1:11">
      <c r="A2245" s="760"/>
      <c r="B2245" s="760"/>
      <c r="C2245" s="760"/>
      <c r="D2245" s="760"/>
      <c r="E2245" s="760"/>
      <c r="F2245" s="760"/>
      <c r="G2245" s="760"/>
      <c r="H2245" s="760"/>
      <c r="I2245" s="760"/>
      <c r="J2245" s="760"/>
      <c r="K2245" s="760"/>
    </row>
    <row r="2246" spans="1:11">
      <c r="A2246" s="760"/>
      <c r="B2246" s="760"/>
      <c r="C2246" s="760"/>
      <c r="D2246" s="760"/>
      <c r="E2246" s="760"/>
      <c r="F2246" s="760"/>
      <c r="G2246" s="760"/>
      <c r="H2246" s="760"/>
      <c r="I2246" s="760"/>
      <c r="J2246" s="760"/>
      <c r="K2246" s="760"/>
    </row>
    <row r="2247" spans="1:11">
      <c r="A2247" s="760"/>
      <c r="B2247" s="760"/>
      <c r="C2247" s="760"/>
      <c r="D2247" s="760"/>
      <c r="E2247" s="760"/>
      <c r="F2247" s="760"/>
      <c r="G2247" s="760"/>
      <c r="H2247" s="760"/>
      <c r="I2247" s="760"/>
      <c r="J2247" s="760"/>
      <c r="K2247" s="760"/>
    </row>
    <row r="2248" spans="1:11">
      <c r="A2248" s="760"/>
      <c r="B2248" s="760"/>
      <c r="C2248" s="760"/>
      <c r="D2248" s="760"/>
      <c r="E2248" s="760"/>
      <c r="F2248" s="760"/>
      <c r="G2248" s="760"/>
      <c r="H2248" s="760"/>
      <c r="I2248" s="760"/>
      <c r="J2248" s="760"/>
      <c r="K2248" s="760"/>
    </row>
    <row r="2249" spans="1:11">
      <c r="A2249" s="760"/>
      <c r="B2249" s="760"/>
      <c r="C2249" s="760"/>
      <c r="D2249" s="760"/>
      <c r="E2249" s="760"/>
      <c r="F2249" s="760"/>
      <c r="G2249" s="760"/>
      <c r="H2249" s="760"/>
      <c r="I2249" s="760"/>
      <c r="J2249" s="760"/>
      <c r="K2249" s="760"/>
    </row>
    <row r="2250" spans="1:11">
      <c r="A2250" s="760"/>
      <c r="B2250" s="760"/>
      <c r="C2250" s="760"/>
      <c r="D2250" s="760"/>
      <c r="E2250" s="760"/>
      <c r="F2250" s="760"/>
      <c r="G2250" s="760"/>
      <c r="H2250" s="760"/>
      <c r="I2250" s="760"/>
      <c r="J2250" s="760"/>
      <c r="K2250" s="760"/>
    </row>
    <row r="2251" spans="1:11">
      <c r="A2251" s="760"/>
      <c r="B2251" s="760"/>
      <c r="C2251" s="760"/>
      <c r="D2251" s="760"/>
      <c r="E2251" s="760"/>
      <c r="F2251" s="760"/>
      <c r="G2251" s="760"/>
      <c r="H2251" s="760"/>
      <c r="I2251" s="760"/>
      <c r="J2251" s="760"/>
      <c r="K2251" s="760"/>
    </row>
    <row r="2252" spans="1:11">
      <c r="A2252" s="760"/>
      <c r="B2252" s="760"/>
      <c r="C2252" s="760"/>
      <c r="D2252" s="760"/>
      <c r="E2252" s="760"/>
      <c r="F2252" s="760"/>
      <c r="G2252" s="760"/>
      <c r="H2252" s="760"/>
      <c r="I2252" s="760"/>
      <c r="J2252" s="760"/>
      <c r="K2252" s="760"/>
    </row>
    <row r="2253" spans="1:11">
      <c r="A2253" s="760"/>
      <c r="B2253" s="760"/>
      <c r="C2253" s="760"/>
      <c r="D2253" s="760"/>
      <c r="E2253" s="760"/>
      <c r="F2253" s="760"/>
      <c r="G2253" s="760"/>
      <c r="H2253" s="760"/>
      <c r="I2253" s="760"/>
      <c r="J2253" s="760"/>
      <c r="K2253" s="760"/>
    </row>
    <row r="2254" spans="1:11">
      <c r="A2254" s="760"/>
      <c r="B2254" s="760"/>
      <c r="C2254" s="760"/>
      <c r="D2254" s="760"/>
      <c r="E2254" s="760"/>
      <c r="F2254" s="760"/>
      <c r="G2254" s="760"/>
      <c r="H2254" s="760"/>
      <c r="I2254" s="760"/>
      <c r="J2254" s="760"/>
      <c r="K2254" s="760"/>
    </row>
    <row r="2255" spans="1:11">
      <c r="A2255" s="760"/>
      <c r="B2255" s="760"/>
      <c r="C2255" s="760"/>
      <c r="D2255" s="760"/>
      <c r="E2255" s="760"/>
      <c r="F2255" s="760"/>
      <c r="G2255" s="760"/>
      <c r="H2255" s="760"/>
      <c r="I2255" s="760"/>
      <c r="J2255" s="760"/>
      <c r="K2255" s="760"/>
    </row>
    <row r="2256" spans="1:11">
      <c r="A2256" s="760"/>
      <c r="B2256" s="760"/>
      <c r="C2256" s="760"/>
      <c r="D2256" s="760"/>
      <c r="E2256" s="760"/>
      <c r="F2256" s="760"/>
      <c r="G2256" s="760"/>
      <c r="H2256" s="760"/>
      <c r="I2256" s="760"/>
      <c r="J2256" s="760"/>
      <c r="K2256" s="760"/>
    </row>
    <row r="2257" spans="1:11">
      <c r="A2257" s="760"/>
      <c r="B2257" s="760"/>
      <c r="C2257" s="760"/>
      <c r="D2257" s="760"/>
      <c r="E2257" s="760"/>
      <c r="F2257" s="760"/>
      <c r="G2257" s="760"/>
      <c r="H2257" s="760"/>
      <c r="I2257" s="760"/>
      <c r="J2257" s="760"/>
      <c r="K2257" s="760"/>
    </row>
    <row r="2258" spans="1:11">
      <c r="A2258" s="760"/>
      <c r="B2258" s="760"/>
      <c r="C2258" s="760"/>
      <c r="D2258" s="760"/>
      <c r="E2258" s="760"/>
      <c r="F2258" s="760"/>
      <c r="G2258" s="760"/>
      <c r="H2258" s="760"/>
      <c r="I2258" s="760"/>
      <c r="J2258" s="760"/>
      <c r="K2258" s="760"/>
    </row>
    <row r="2259" spans="1:11">
      <c r="A2259" s="760"/>
      <c r="B2259" s="760"/>
      <c r="C2259" s="760"/>
      <c r="D2259" s="760"/>
      <c r="E2259" s="760"/>
      <c r="F2259" s="760"/>
      <c r="G2259" s="760"/>
      <c r="H2259" s="760"/>
      <c r="I2259" s="760"/>
      <c r="J2259" s="760"/>
      <c r="K2259" s="760"/>
    </row>
    <row r="2260" spans="1:11">
      <c r="A2260" s="760"/>
      <c r="B2260" s="760"/>
      <c r="C2260" s="760"/>
      <c r="D2260" s="760"/>
      <c r="E2260" s="760"/>
      <c r="F2260" s="760"/>
      <c r="G2260" s="760"/>
      <c r="H2260" s="760"/>
      <c r="I2260" s="760"/>
      <c r="J2260" s="760"/>
      <c r="K2260" s="760"/>
    </row>
    <row r="2261" spans="1:11">
      <c r="A2261" s="760"/>
      <c r="B2261" s="760"/>
      <c r="C2261" s="760"/>
      <c r="D2261" s="760"/>
      <c r="E2261" s="760"/>
      <c r="F2261" s="760"/>
      <c r="G2261" s="760"/>
      <c r="H2261" s="760"/>
      <c r="I2261" s="760"/>
      <c r="J2261" s="760"/>
      <c r="K2261" s="760"/>
    </row>
    <row r="2262" spans="1:11">
      <c r="A2262" s="760"/>
      <c r="B2262" s="760"/>
      <c r="C2262" s="760"/>
      <c r="D2262" s="760"/>
      <c r="E2262" s="760"/>
      <c r="F2262" s="760"/>
      <c r="G2262" s="760"/>
      <c r="H2262" s="760"/>
      <c r="I2262" s="760"/>
      <c r="J2262" s="760"/>
      <c r="K2262" s="760"/>
    </row>
    <row r="2263" spans="1:11">
      <c r="A2263" s="760"/>
      <c r="B2263" s="760"/>
      <c r="C2263" s="760"/>
      <c r="D2263" s="760"/>
      <c r="E2263" s="760"/>
      <c r="F2263" s="760"/>
      <c r="G2263" s="760"/>
      <c r="H2263" s="760"/>
      <c r="I2263" s="760"/>
      <c r="J2263" s="760"/>
      <c r="K2263" s="760"/>
    </row>
    <row r="2264" spans="1:11">
      <c r="A2264" s="760"/>
      <c r="B2264" s="760"/>
      <c r="C2264" s="760"/>
      <c r="D2264" s="760"/>
      <c r="E2264" s="760"/>
      <c r="F2264" s="760"/>
      <c r="G2264" s="760"/>
      <c r="H2264" s="760"/>
      <c r="I2264" s="760"/>
      <c r="J2264" s="760"/>
      <c r="K2264" s="760"/>
    </row>
    <row r="2265" spans="1:11">
      <c r="A2265" s="760"/>
      <c r="B2265" s="760"/>
      <c r="C2265" s="760"/>
      <c r="D2265" s="760"/>
      <c r="E2265" s="760"/>
      <c r="F2265" s="760"/>
      <c r="G2265" s="760"/>
      <c r="H2265" s="760"/>
      <c r="I2265" s="760"/>
      <c r="J2265" s="760"/>
      <c r="K2265" s="760"/>
    </row>
    <row r="2266" spans="1:11">
      <c r="A2266" s="760"/>
      <c r="B2266" s="760"/>
      <c r="C2266" s="760"/>
      <c r="D2266" s="760"/>
      <c r="E2266" s="760"/>
      <c r="F2266" s="760"/>
      <c r="G2266" s="760"/>
      <c r="H2266" s="760"/>
      <c r="I2266" s="760"/>
      <c r="J2266" s="760"/>
      <c r="K2266" s="760"/>
    </row>
    <row r="2267" spans="1:11">
      <c r="A2267" s="760"/>
      <c r="B2267" s="760"/>
      <c r="C2267" s="760"/>
      <c r="D2267" s="760"/>
      <c r="E2267" s="760"/>
      <c r="F2267" s="760"/>
      <c r="G2267" s="760"/>
      <c r="H2267" s="760"/>
      <c r="I2267" s="760"/>
      <c r="J2267" s="760"/>
      <c r="K2267" s="760"/>
    </row>
    <row r="2268" spans="1:11">
      <c r="A2268" s="760"/>
      <c r="B2268" s="760"/>
      <c r="C2268" s="760"/>
      <c r="D2268" s="760"/>
      <c r="E2268" s="760"/>
      <c r="F2268" s="760"/>
      <c r="G2268" s="760"/>
      <c r="H2268" s="760"/>
      <c r="I2268" s="760"/>
      <c r="J2268" s="760"/>
      <c r="K2268" s="760"/>
    </row>
    <row r="2269" spans="1:11">
      <c r="A2269" s="760"/>
      <c r="B2269" s="760"/>
      <c r="C2269" s="760"/>
      <c r="D2269" s="760"/>
      <c r="E2269" s="760"/>
      <c r="F2269" s="760"/>
      <c r="G2269" s="760"/>
      <c r="H2269" s="760"/>
      <c r="I2269" s="760"/>
      <c r="J2269" s="760"/>
      <c r="K2269" s="760"/>
    </row>
    <row r="2270" spans="1:11">
      <c r="A2270" s="760"/>
      <c r="B2270" s="760"/>
      <c r="C2270" s="760"/>
      <c r="D2270" s="760"/>
      <c r="E2270" s="760"/>
      <c r="F2270" s="760"/>
      <c r="G2270" s="760"/>
      <c r="H2270" s="760"/>
      <c r="I2270" s="760"/>
      <c r="J2270" s="760"/>
      <c r="K2270" s="760"/>
    </row>
    <row r="2271" spans="1:11">
      <c r="A2271" s="760"/>
      <c r="B2271" s="760"/>
      <c r="C2271" s="760"/>
      <c r="D2271" s="760"/>
      <c r="E2271" s="760"/>
      <c r="F2271" s="760"/>
      <c r="G2271" s="760"/>
      <c r="H2271" s="760"/>
      <c r="I2271" s="760"/>
      <c r="J2271" s="760"/>
      <c r="K2271" s="760"/>
    </row>
    <row r="2272" spans="1:11">
      <c r="A2272" s="760"/>
      <c r="B2272" s="760"/>
      <c r="C2272" s="760"/>
      <c r="D2272" s="760"/>
      <c r="E2272" s="760"/>
      <c r="F2272" s="760"/>
      <c r="G2272" s="760"/>
      <c r="H2272" s="760"/>
      <c r="I2272" s="760"/>
      <c r="J2272" s="760"/>
      <c r="K2272" s="760"/>
    </row>
    <row r="2273" spans="1:11">
      <c r="A2273" s="760"/>
      <c r="B2273" s="760"/>
      <c r="C2273" s="760"/>
      <c r="D2273" s="760"/>
      <c r="E2273" s="760"/>
      <c r="F2273" s="760"/>
      <c r="G2273" s="760"/>
      <c r="H2273" s="760"/>
      <c r="I2273" s="760"/>
      <c r="J2273" s="760"/>
      <c r="K2273" s="760"/>
    </row>
    <row r="2274" spans="1:11">
      <c r="A2274" s="760"/>
      <c r="B2274" s="760"/>
      <c r="C2274" s="760"/>
      <c r="D2274" s="760"/>
      <c r="E2274" s="760"/>
      <c r="F2274" s="760"/>
      <c r="G2274" s="760"/>
      <c r="H2274" s="760"/>
      <c r="I2274" s="760"/>
      <c r="J2274" s="760"/>
      <c r="K2274" s="760"/>
    </row>
    <row r="2275" spans="1:11">
      <c r="A2275" s="760"/>
      <c r="B2275" s="760"/>
      <c r="C2275" s="760"/>
      <c r="D2275" s="760"/>
      <c r="E2275" s="760"/>
      <c r="F2275" s="760"/>
      <c r="G2275" s="760"/>
      <c r="H2275" s="760"/>
      <c r="I2275" s="760"/>
      <c r="J2275" s="760"/>
      <c r="K2275" s="760"/>
    </row>
    <row r="2276" spans="1:11">
      <c r="A2276" s="760"/>
      <c r="B2276" s="760"/>
      <c r="C2276" s="760"/>
      <c r="D2276" s="760"/>
      <c r="E2276" s="760"/>
      <c r="F2276" s="760"/>
      <c r="G2276" s="760"/>
      <c r="H2276" s="760"/>
      <c r="I2276" s="760"/>
      <c r="J2276" s="760"/>
      <c r="K2276" s="760"/>
    </row>
    <row r="2277" spans="1:11">
      <c r="A2277" s="760"/>
      <c r="B2277" s="760"/>
      <c r="C2277" s="760"/>
      <c r="D2277" s="760"/>
      <c r="E2277" s="760"/>
      <c r="F2277" s="760"/>
      <c r="G2277" s="760"/>
      <c r="H2277" s="760"/>
      <c r="I2277" s="760"/>
      <c r="J2277" s="760"/>
      <c r="K2277" s="760"/>
    </row>
    <row r="2278" spans="1:11">
      <c r="A2278" s="760"/>
      <c r="B2278" s="760"/>
      <c r="C2278" s="760"/>
      <c r="D2278" s="760"/>
      <c r="E2278" s="760"/>
      <c r="F2278" s="760"/>
      <c r="G2278" s="760"/>
      <c r="H2278" s="760"/>
      <c r="I2278" s="760"/>
      <c r="J2278" s="760"/>
      <c r="K2278" s="760"/>
    </row>
    <row r="2279" spans="1:11">
      <c r="A2279" s="760"/>
      <c r="B2279" s="760"/>
      <c r="C2279" s="760"/>
      <c r="D2279" s="760"/>
      <c r="E2279" s="760"/>
      <c r="F2279" s="760"/>
      <c r="G2279" s="760"/>
      <c r="H2279" s="760"/>
      <c r="I2279" s="760"/>
      <c r="J2279" s="760"/>
      <c r="K2279" s="760"/>
    </row>
    <row r="2280" spans="1:11">
      <c r="A2280" s="760"/>
      <c r="B2280" s="760"/>
      <c r="C2280" s="760"/>
      <c r="D2280" s="760"/>
      <c r="E2280" s="760"/>
      <c r="F2280" s="760"/>
      <c r="G2280" s="760"/>
      <c r="H2280" s="760"/>
      <c r="I2280" s="760"/>
      <c r="J2280" s="760"/>
      <c r="K2280" s="760"/>
    </row>
    <row r="2281" spans="1:11">
      <c r="A2281" s="760"/>
      <c r="B2281" s="760"/>
      <c r="C2281" s="760"/>
      <c r="D2281" s="760"/>
      <c r="E2281" s="760"/>
      <c r="F2281" s="760"/>
      <c r="G2281" s="760"/>
      <c r="H2281" s="760"/>
      <c r="I2281" s="760"/>
      <c r="J2281" s="760"/>
      <c r="K2281" s="760"/>
    </row>
    <row r="2282" spans="1:11">
      <c r="A2282" s="760"/>
      <c r="B2282" s="760"/>
      <c r="C2282" s="760"/>
      <c r="D2282" s="760"/>
      <c r="E2282" s="760"/>
      <c r="F2282" s="760"/>
      <c r="G2282" s="760"/>
      <c r="H2282" s="760"/>
      <c r="I2282" s="760"/>
      <c r="J2282" s="760"/>
      <c r="K2282" s="760"/>
    </row>
    <row r="2283" spans="1:11">
      <c r="A2283" s="760"/>
      <c r="B2283" s="760"/>
      <c r="C2283" s="760"/>
      <c r="D2283" s="760"/>
      <c r="E2283" s="760"/>
      <c r="F2283" s="760"/>
      <c r="G2283" s="760"/>
      <c r="H2283" s="760"/>
      <c r="I2283" s="760"/>
      <c r="J2283" s="760"/>
      <c r="K2283" s="760"/>
    </row>
    <row r="2284" spans="1:11">
      <c r="A2284" s="760"/>
      <c r="B2284" s="760"/>
      <c r="C2284" s="760"/>
      <c r="D2284" s="760"/>
      <c r="E2284" s="760"/>
      <c r="F2284" s="760"/>
      <c r="G2284" s="760"/>
      <c r="H2284" s="760"/>
      <c r="I2284" s="760"/>
      <c r="J2284" s="760"/>
      <c r="K2284" s="760"/>
    </row>
    <row r="2285" spans="1:11">
      <c r="A2285" s="760"/>
      <c r="B2285" s="760"/>
      <c r="C2285" s="760"/>
      <c r="D2285" s="760"/>
      <c r="E2285" s="760"/>
      <c r="F2285" s="760"/>
      <c r="G2285" s="760"/>
      <c r="H2285" s="760"/>
      <c r="I2285" s="760"/>
      <c r="J2285" s="760"/>
      <c r="K2285" s="760"/>
    </row>
    <row r="2286" spans="1:11">
      <c r="A2286" s="760"/>
      <c r="B2286" s="760"/>
      <c r="C2286" s="760"/>
      <c r="D2286" s="760"/>
      <c r="E2286" s="760"/>
      <c r="F2286" s="760"/>
      <c r="G2286" s="760"/>
      <c r="H2286" s="760"/>
      <c r="I2286" s="760"/>
      <c r="J2286" s="760"/>
      <c r="K2286" s="760"/>
    </row>
    <row r="2287" spans="1:11">
      <c r="A2287" s="760"/>
      <c r="B2287" s="760"/>
      <c r="C2287" s="760"/>
      <c r="D2287" s="760"/>
      <c r="E2287" s="760"/>
      <c r="F2287" s="760"/>
      <c r="G2287" s="760"/>
      <c r="H2287" s="760"/>
      <c r="I2287" s="760"/>
      <c r="J2287" s="760"/>
      <c r="K2287" s="760"/>
    </row>
    <row r="2288" spans="1:11">
      <c r="A2288" s="760"/>
      <c r="B2288" s="760"/>
      <c r="C2288" s="760"/>
      <c r="D2288" s="760"/>
      <c r="E2288" s="760"/>
      <c r="F2288" s="760"/>
      <c r="G2288" s="760"/>
      <c r="H2288" s="760"/>
      <c r="I2288" s="760"/>
      <c r="J2288" s="760"/>
      <c r="K2288" s="760"/>
    </row>
    <row r="2289" spans="1:11">
      <c r="A2289" s="760"/>
      <c r="B2289" s="760"/>
      <c r="C2289" s="760"/>
      <c r="D2289" s="760"/>
      <c r="E2289" s="760"/>
      <c r="F2289" s="760"/>
      <c r="G2289" s="760"/>
      <c r="H2289" s="760"/>
      <c r="I2289" s="760"/>
      <c r="J2289" s="760"/>
      <c r="K2289" s="760"/>
    </row>
    <row r="2290" spans="1:11">
      <c r="A2290" s="760"/>
      <c r="B2290" s="760"/>
      <c r="C2290" s="760"/>
      <c r="D2290" s="760"/>
      <c r="E2290" s="760"/>
      <c r="F2290" s="760"/>
      <c r="G2290" s="760"/>
      <c r="H2290" s="760"/>
      <c r="I2290" s="760"/>
      <c r="J2290" s="760"/>
      <c r="K2290" s="760"/>
    </row>
    <row r="2291" spans="1:11">
      <c r="A2291" s="760"/>
      <c r="B2291" s="760"/>
      <c r="C2291" s="760"/>
      <c r="D2291" s="760"/>
      <c r="E2291" s="760"/>
      <c r="F2291" s="760"/>
      <c r="G2291" s="760"/>
      <c r="H2291" s="760"/>
      <c r="I2291" s="760"/>
      <c r="J2291" s="760"/>
      <c r="K2291" s="760"/>
    </row>
    <row r="2292" spans="1:11">
      <c r="A2292" s="760"/>
      <c r="B2292" s="760"/>
      <c r="C2292" s="760"/>
      <c r="D2292" s="760"/>
      <c r="E2292" s="760"/>
      <c r="F2292" s="760"/>
      <c r="G2292" s="760"/>
      <c r="H2292" s="760"/>
      <c r="I2292" s="760"/>
      <c r="J2292" s="760"/>
      <c r="K2292" s="760"/>
    </row>
    <row r="2293" spans="1:11">
      <c r="A2293" s="760"/>
      <c r="B2293" s="760"/>
      <c r="C2293" s="760"/>
      <c r="D2293" s="760"/>
      <c r="E2293" s="760"/>
      <c r="F2293" s="760"/>
      <c r="G2293" s="760"/>
      <c r="H2293" s="760"/>
      <c r="I2293" s="760"/>
      <c r="J2293" s="760"/>
      <c r="K2293" s="760"/>
    </row>
    <row r="2294" spans="1:11">
      <c r="A2294" s="760"/>
      <c r="B2294" s="760"/>
      <c r="C2294" s="760"/>
      <c r="D2294" s="760"/>
      <c r="E2294" s="760"/>
      <c r="F2294" s="760"/>
      <c r="G2294" s="760"/>
      <c r="H2294" s="760"/>
      <c r="I2294" s="760"/>
      <c r="J2294" s="760"/>
      <c r="K2294" s="760"/>
    </row>
    <row r="2295" spans="1:11">
      <c r="A2295" s="760"/>
      <c r="B2295" s="760"/>
      <c r="C2295" s="760"/>
      <c r="D2295" s="760"/>
      <c r="E2295" s="760"/>
      <c r="F2295" s="760"/>
      <c r="G2295" s="760"/>
      <c r="H2295" s="760"/>
      <c r="I2295" s="760"/>
      <c r="J2295" s="760"/>
      <c r="K2295" s="760"/>
    </row>
    <row r="2296" spans="1:11">
      <c r="A2296" s="760"/>
      <c r="B2296" s="760"/>
      <c r="C2296" s="760"/>
      <c r="D2296" s="760"/>
      <c r="E2296" s="760"/>
      <c r="F2296" s="760"/>
      <c r="G2296" s="760"/>
      <c r="H2296" s="760"/>
      <c r="I2296" s="760"/>
      <c r="J2296" s="760"/>
      <c r="K2296" s="760"/>
    </row>
    <row r="2297" spans="1:11">
      <c r="A2297" s="760"/>
      <c r="B2297" s="760"/>
      <c r="C2297" s="760"/>
      <c r="D2297" s="760"/>
      <c r="E2297" s="760"/>
      <c r="F2297" s="760"/>
      <c r="G2297" s="760"/>
      <c r="H2297" s="760"/>
      <c r="I2297" s="760"/>
      <c r="J2297" s="760"/>
      <c r="K2297" s="760"/>
    </row>
    <row r="2298" spans="1:11">
      <c r="A2298" s="760"/>
      <c r="B2298" s="760"/>
      <c r="C2298" s="760"/>
      <c r="D2298" s="760"/>
      <c r="E2298" s="760"/>
      <c r="F2298" s="760"/>
      <c r="G2298" s="760"/>
      <c r="H2298" s="760"/>
      <c r="I2298" s="760"/>
      <c r="J2298" s="760"/>
      <c r="K2298" s="760"/>
    </row>
    <row r="2299" spans="1:11">
      <c r="A2299" s="760"/>
      <c r="B2299" s="760"/>
      <c r="C2299" s="760"/>
      <c r="D2299" s="760"/>
      <c r="E2299" s="760"/>
      <c r="F2299" s="760"/>
      <c r="G2299" s="760"/>
      <c r="H2299" s="760"/>
      <c r="I2299" s="760"/>
      <c r="J2299" s="760"/>
      <c r="K2299" s="760"/>
    </row>
    <row r="2300" spans="1:11">
      <c r="A2300" s="760"/>
      <c r="B2300" s="760"/>
      <c r="C2300" s="760"/>
      <c r="D2300" s="760"/>
      <c r="E2300" s="760"/>
      <c r="F2300" s="760"/>
      <c r="G2300" s="760"/>
      <c r="H2300" s="760"/>
      <c r="I2300" s="760"/>
      <c r="J2300" s="760"/>
      <c r="K2300" s="760"/>
    </row>
    <row r="2301" spans="1:11">
      <c r="A2301" s="760"/>
      <c r="B2301" s="760"/>
      <c r="C2301" s="760"/>
      <c r="D2301" s="760"/>
      <c r="E2301" s="760"/>
      <c r="F2301" s="760"/>
      <c r="G2301" s="760"/>
      <c r="H2301" s="760"/>
      <c r="I2301" s="760"/>
      <c r="J2301" s="760"/>
      <c r="K2301" s="760"/>
    </row>
    <row r="2302" spans="1:11">
      <c r="A2302" s="760"/>
      <c r="B2302" s="760"/>
      <c r="C2302" s="760"/>
      <c r="D2302" s="760"/>
      <c r="E2302" s="760"/>
      <c r="F2302" s="760"/>
      <c r="G2302" s="760"/>
      <c r="H2302" s="760"/>
      <c r="I2302" s="760"/>
      <c r="J2302" s="760"/>
      <c r="K2302" s="760"/>
    </row>
    <row r="2303" spans="1:11">
      <c r="A2303" s="760"/>
      <c r="B2303" s="760"/>
      <c r="C2303" s="760"/>
      <c r="D2303" s="760"/>
      <c r="E2303" s="760"/>
      <c r="F2303" s="760"/>
      <c r="G2303" s="760"/>
      <c r="H2303" s="760"/>
      <c r="I2303" s="760"/>
      <c r="J2303" s="760"/>
      <c r="K2303" s="760"/>
    </row>
    <row r="2304" spans="1:11">
      <c r="A2304" s="760"/>
      <c r="B2304" s="760"/>
      <c r="C2304" s="760"/>
      <c r="D2304" s="760"/>
      <c r="E2304" s="760"/>
      <c r="F2304" s="760"/>
      <c r="G2304" s="760"/>
      <c r="H2304" s="760"/>
      <c r="I2304" s="760"/>
      <c r="J2304" s="760"/>
      <c r="K2304" s="760"/>
    </row>
    <row r="2305" spans="1:11">
      <c r="A2305" s="760"/>
      <c r="B2305" s="760"/>
      <c r="C2305" s="760"/>
      <c r="D2305" s="760"/>
      <c r="E2305" s="760"/>
      <c r="F2305" s="760"/>
      <c r="G2305" s="760"/>
      <c r="H2305" s="760"/>
      <c r="I2305" s="760"/>
      <c r="J2305" s="760"/>
      <c r="K2305" s="760"/>
    </row>
    <row r="2306" spans="1:11">
      <c r="A2306" s="760"/>
      <c r="B2306" s="760"/>
      <c r="C2306" s="760"/>
      <c r="D2306" s="760"/>
      <c r="E2306" s="760"/>
      <c r="F2306" s="760"/>
      <c r="G2306" s="760"/>
      <c r="H2306" s="760"/>
      <c r="I2306" s="760"/>
      <c r="J2306" s="760"/>
      <c r="K2306" s="760"/>
    </row>
    <row r="2307" spans="1:11">
      <c r="A2307" s="760"/>
      <c r="B2307" s="760"/>
      <c r="C2307" s="760"/>
      <c r="D2307" s="760"/>
      <c r="E2307" s="760"/>
      <c r="F2307" s="760"/>
      <c r="G2307" s="760"/>
      <c r="H2307" s="760"/>
      <c r="I2307" s="760"/>
      <c r="J2307" s="760"/>
      <c r="K2307" s="760"/>
    </row>
    <row r="2308" spans="1:11">
      <c r="A2308" s="760"/>
      <c r="B2308" s="760"/>
      <c r="C2308" s="760"/>
      <c r="D2308" s="760"/>
      <c r="E2308" s="760"/>
      <c r="F2308" s="760"/>
      <c r="G2308" s="760"/>
      <c r="H2308" s="760"/>
      <c r="I2308" s="760"/>
      <c r="J2308" s="760"/>
      <c r="K2308" s="760"/>
    </row>
    <row r="2309" spans="1:11">
      <c r="A2309" s="760"/>
      <c r="B2309" s="760"/>
      <c r="C2309" s="760"/>
      <c r="D2309" s="760"/>
      <c r="E2309" s="760"/>
      <c r="F2309" s="760"/>
      <c r="G2309" s="760"/>
      <c r="H2309" s="760"/>
      <c r="I2309" s="760"/>
      <c r="J2309" s="760"/>
      <c r="K2309" s="760"/>
    </row>
    <row r="2310" spans="1:11">
      <c r="A2310" s="760"/>
      <c r="B2310" s="760"/>
      <c r="C2310" s="760"/>
      <c r="D2310" s="760"/>
      <c r="E2310" s="760"/>
      <c r="F2310" s="760"/>
      <c r="G2310" s="760"/>
      <c r="H2310" s="760"/>
      <c r="I2310" s="760"/>
      <c r="J2310" s="760"/>
      <c r="K2310" s="760"/>
    </row>
    <row r="2311" spans="1:11">
      <c r="A2311" s="760"/>
      <c r="B2311" s="760"/>
      <c r="C2311" s="760"/>
      <c r="D2311" s="760"/>
      <c r="E2311" s="760"/>
      <c r="F2311" s="760"/>
      <c r="G2311" s="760"/>
      <c r="H2311" s="760"/>
      <c r="I2311" s="760"/>
      <c r="J2311" s="760"/>
      <c r="K2311" s="760"/>
    </row>
    <row r="2312" spans="1:11">
      <c r="A2312" s="760"/>
      <c r="B2312" s="760"/>
      <c r="C2312" s="760"/>
      <c r="D2312" s="760"/>
      <c r="E2312" s="760"/>
      <c r="F2312" s="760"/>
      <c r="G2312" s="760"/>
      <c r="H2312" s="760"/>
      <c r="I2312" s="760"/>
      <c r="J2312" s="760"/>
      <c r="K2312" s="760"/>
    </row>
    <row r="2313" spans="1:11">
      <c r="A2313" s="760"/>
      <c r="B2313" s="760"/>
      <c r="C2313" s="760"/>
      <c r="D2313" s="760"/>
      <c r="E2313" s="760"/>
      <c r="F2313" s="760"/>
      <c r="G2313" s="760"/>
      <c r="H2313" s="760"/>
      <c r="I2313" s="760"/>
      <c r="J2313" s="760"/>
      <c r="K2313" s="760"/>
    </row>
    <row r="2314" spans="1:11">
      <c r="A2314" s="760"/>
      <c r="B2314" s="760"/>
      <c r="C2314" s="760"/>
      <c r="D2314" s="760"/>
      <c r="E2314" s="760"/>
      <c r="F2314" s="760"/>
      <c r="G2314" s="760"/>
      <c r="H2314" s="760"/>
      <c r="I2314" s="760"/>
      <c r="J2314" s="760"/>
      <c r="K2314" s="760"/>
    </row>
    <row r="2315" spans="1:11">
      <c r="A2315" s="760"/>
      <c r="B2315" s="760"/>
      <c r="C2315" s="760"/>
      <c r="D2315" s="760"/>
      <c r="E2315" s="760"/>
      <c r="F2315" s="760"/>
      <c r="G2315" s="760"/>
      <c r="H2315" s="760"/>
      <c r="I2315" s="760"/>
      <c r="J2315" s="760"/>
      <c r="K2315" s="760"/>
    </row>
    <row r="2316" spans="1:11">
      <c r="A2316" s="760"/>
      <c r="B2316" s="760"/>
      <c r="C2316" s="760"/>
      <c r="D2316" s="760"/>
      <c r="E2316" s="760"/>
      <c r="F2316" s="760"/>
      <c r="G2316" s="760"/>
      <c r="H2316" s="760"/>
      <c r="I2316" s="760"/>
      <c r="J2316" s="760"/>
      <c r="K2316" s="760"/>
    </row>
    <row r="2317" spans="1:11">
      <c r="A2317" s="760"/>
      <c r="B2317" s="760"/>
      <c r="C2317" s="760"/>
      <c r="D2317" s="760"/>
      <c r="E2317" s="760"/>
      <c r="F2317" s="760"/>
      <c r="G2317" s="760"/>
      <c r="H2317" s="760"/>
      <c r="I2317" s="760"/>
      <c r="J2317" s="760"/>
      <c r="K2317" s="760"/>
    </row>
    <row r="2318" spans="1:11">
      <c r="A2318" s="760"/>
      <c r="B2318" s="760"/>
      <c r="C2318" s="760"/>
      <c r="D2318" s="760"/>
      <c r="E2318" s="760"/>
      <c r="F2318" s="760"/>
      <c r="G2318" s="760"/>
      <c r="H2318" s="760"/>
      <c r="I2318" s="760"/>
      <c r="J2318" s="760"/>
      <c r="K2318" s="760"/>
    </row>
    <row r="2319" spans="1:11">
      <c r="A2319" s="760"/>
      <c r="B2319" s="760"/>
      <c r="C2319" s="760"/>
      <c r="D2319" s="760"/>
      <c r="E2319" s="760"/>
      <c r="F2319" s="760"/>
      <c r="G2319" s="760"/>
      <c r="H2319" s="760"/>
      <c r="I2319" s="760"/>
      <c r="J2319" s="760"/>
      <c r="K2319" s="760"/>
    </row>
    <row r="2320" spans="1:11">
      <c r="A2320" s="760"/>
      <c r="B2320" s="760"/>
      <c r="C2320" s="760"/>
      <c r="D2320" s="760"/>
      <c r="E2320" s="760"/>
      <c r="F2320" s="760"/>
      <c r="G2320" s="760"/>
      <c r="H2320" s="760"/>
      <c r="I2320" s="760"/>
      <c r="J2320" s="760"/>
      <c r="K2320" s="760"/>
    </row>
    <row r="2321" spans="1:11">
      <c r="A2321" s="760"/>
      <c r="B2321" s="760"/>
      <c r="C2321" s="760"/>
      <c r="D2321" s="760"/>
      <c r="E2321" s="760"/>
      <c r="F2321" s="760"/>
      <c r="G2321" s="760"/>
      <c r="H2321" s="760"/>
      <c r="I2321" s="760"/>
      <c r="J2321" s="760"/>
      <c r="K2321" s="760"/>
    </row>
    <row r="2322" spans="1:11">
      <c r="A2322" s="760"/>
      <c r="B2322" s="760"/>
      <c r="C2322" s="760"/>
      <c r="D2322" s="760"/>
      <c r="E2322" s="760"/>
      <c r="F2322" s="760"/>
      <c r="G2322" s="760"/>
      <c r="H2322" s="760"/>
      <c r="I2322" s="760"/>
      <c r="J2322" s="760"/>
      <c r="K2322" s="760"/>
    </row>
    <row r="2323" spans="1:11">
      <c r="A2323" s="760"/>
      <c r="B2323" s="760"/>
      <c r="C2323" s="760"/>
      <c r="D2323" s="760"/>
      <c r="E2323" s="760"/>
      <c r="F2323" s="760"/>
      <c r="G2323" s="760"/>
      <c r="H2323" s="760"/>
      <c r="I2323" s="760"/>
      <c r="J2323" s="760"/>
      <c r="K2323" s="760"/>
    </row>
    <row r="2324" spans="1:11">
      <c r="A2324" s="760"/>
      <c r="B2324" s="760"/>
      <c r="C2324" s="760"/>
      <c r="D2324" s="760"/>
      <c r="E2324" s="760"/>
      <c r="F2324" s="760"/>
      <c r="G2324" s="760"/>
      <c r="H2324" s="760"/>
      <c r="I2324" s="760"/>
      <c r="J2324" s="760"/>
      <c r="K2324" s="760"/>
    </row>
    <row r="2325" spans="1:11">
      <c r="A2325" s="760"/>
      <c r="B2325" s="760"/>
      <c r="C2325" s="760"/>
      <c r="D2325" s="760"/>
      <c r="E2325" s="760"/>
      <c r="F2325" s="760"/>
      <c r="G2325" s="760"/>
      <c r="H2325" s="760"/>
      <c r="I2325" s="760"/>
      <c r="J2325" s="760"/>
      <c r="K2325" s="760"/>
    </row>
    <row r="2326" spans="1:11">
      <c r="A2326" s="760"/>
      <c r="B2326" s="760"/>
      <c r="C2326" s="760"/>
      <c r="D2326" s="760"/>
      <c r="E2326" s="760"/>
      <c r="F2326" s="760"/>
      <c r="G2326" s="760"/>
      <c r="H2326" s="760"/>
      <c r="I2326" s="760"/>
      <c r="J2326" s="760"/>
      <c r="K2326" s="760"/>
    </row>
    <row r="2327" spans="1:11">
      <c r="A2327" s="760"/>
      <c r="B2327" s="760"/>
      <c r="C2327" s="760"/>
      <c r="D2327" s="760"/>
      <c r="E2327" s="760"/>
      <c r="F2327" s="760"/>
      <c r="G2327" s="760"/>
      <c r="H2327" s="760"/>
      <c r="I2327" s="760"/>
      <c r="J2327" s="760"/>
      <c r="K2327" s="760"/>
    </row>
    <row r="2328" spans="1:11">
      <c r="A2328" s="760"/>
      <c r="B2328" s="760"/>
      <c r="C2328" s="760"/>
      <c r="D2328" s="760"/>
      <c r="E2328" s="760"/>
      <c r="F2328" s="760"/>
      <c r="G2328" s="760"/>
      <c r="H2328" s="760"/>
      <c r="I2328" s="760"/>
      <c r="J2328" s="760"/>
      <c r="K2328" s="760"/>
    </row>
    <row r="2329" spans="1:11">
      <c r="A2329" s="760"/>
      <c r="B2329" s="760"/>
      <c r="C2329" s="760"/>
      <c r="D2329" s="760"/>
      <c r="E2329" s="760"/>
      <c r="F2329" s="760"/>
      <c r="G2329" s="760"/>
      <c r="H2329" s="760"/>
      <c r="I2329" s="760"/>
      <c r="J2329" s="760"/>
      <c r="K2329" s="760"/>
    </row>
    <row r="2330" spans="1:11">
      <c r="A2330" s="760"/>
      <c r="B2330" s="760"/>
      <c r="C2330" s="760"/>
      <c r="D2330" s="760"/>
      <c r="E2330" s="760"/>
      <c r="F2330" s="760"/>
      <c r="G2330" s="760"/>
      <c r="H2330" s="760"/>
      <c r="I2330" s="760"/>
      <c r="J2330" s="760"/>
      <c r="K2330" s="760"/>
    </row>
    <row r="2331" spans="1:11">
      <c r="A2331" s="760"/>
      <c r="B2331" s="760"/>
      <c r="C2331" s="760"/>
      <c r="D2331" s="760"/>
      <c r="E2331" s="760"/>
      <c r="F2331" s="760"/>
      <c r="G2331" s="760"/>
      <c r="H2331" s="760"/>
      <c r="I2331" s="760"/>
      <c r="J2331" s="760"/>
      <c r="K2331" s="760"/>
    </row>
    <row r="2332" spans="1:11">
      <c r="A2332" s="760"/>
      <c r="B2332" s="760"/>
      <c r="C2332" s="760"/>
      <c r="D2332" s="760"/>
      <c r="E2332" s="760"/>
      <c r="F2332" s="760"/>
      <c r="G2332" s="760"/>
      <c r="H2332" s="760"/>
      <c r="I2332" s="760"/>
      <c r="J2332" s="760"/>
      <c r="K2332" s="760"/>
    </row>
    <row r="2333" spans="1:11">
      <c r="A2333" s="760"/>
      <c r="B2333" s="760"/>
      <c r="C2333" s="760"/>
      <c r="D2333" s="760"/>
      <c r="E2333" s="760"/>
      <c r="F2333" s="760"/>
      <c r="G2333" s="760"/>
      <c r="H2333" s="760"/>
      <c r="I2333" s="760"/>
      <c r="J2333" s="760"/>
      <c r="K2333" s="760"/>
    </row>
    <row r="2334" spans="1:11">
      <c r="A2334" s="760"/>
      <c r="B2334" s="760"/>
      <c r="C2334" s="760"/>
      <c r="D2334" s="760"/>
      <c r="E2334" s="760"/>
      <c r="F2334" s="760"/>
      <c r="G2334" s="760"/>
      <c r="H2334" s="760"/>
      <c r="I2334" s="760"/>
      <c r="J2334" s="760"/>
      <c r="K2334" s="760"/>
    </row>
    <row r="2335" spans="1:11">
      <c r="A2335" s="760"/>
      <c r="B2335" s="760"/>
      <c r="C2335" s="760"/>
      <c r="D2335" s="760"/>
      <c r="E2335" s="760"/>
      <c r="F2335" s="760"/>
      <c r="G2335" s="760"/>
      <c r="H2335" s="760"/>
      <c r="I2335" s="760"/>
      <c r="J2335" s="760"/>
      <c r="K2335" s="760"/>
    </row>
    <row r="2336" spans="1:11">
      <c r="A2336" s="760"/>
      <c r="B2336" s="760"/>
      <c r="C2336" s="760"/>
      <c r="D2336" s="760"/>
      <c r="E2336" s="760"/>
      <c r="F2336" s="760"/>
      <c r="G2336" s="760"/>
      <c r="H2336" s="760"/>
      <c r="I2336" s="760"/>
      <c r="J2336" s="760"/>
      <c r="K2336" s="760"/>
    </row>
    <row r="2337" spans="1:11">
      <c r="A2337" s="760"/>
      <c r="B2337" s="760"/>
      <c r="C2337" s="760"/>
      <c r="D2337" s="760"/>
      <c r="E2337" s="760"/>
      <c r="F2337" s="760"/>
      <c r="G2337" s="760"/>
      <c r="H2337" s="760"/>
      <c r="I2337" s="760"/>
      <c r="J2337" s="760"/>
      <c r="K2337" s="760"/>
    </row>
    <row r="2338" spans="1:11">
      <c r="A2338" s="760"/>
      <c r="B2338" s="760"/>
      <c r="C2338" s="760"/>
      <c r="D2338" s="760"/>
      <c r="E2338" s="760"/>
      <c r="F2338" s="760"/>
      <c r="G2338" s="760"/>
      <c r="H2338" s="760"/>
      <c r="I2338" s="760"/>
      <c r="J2338" s="760"/>
      <c r="K2338" s="760"/>
    </row>
    <row r="2339" spans="1:11">
      <c r="A2339" s="760"/>
      <c r="B2339" s="760"/>
      <c r="C2339" s="760"/>
      <c r="D2339" s="760"/>
      <c r="E2339" s="760"/>
      <c r="F2339" s="760"/>
      <c r="G2339" s="760"/>
      <c r="H2339" s="760"/>
      <c r="I2339" s="760"/>
      <c r="J2339" s="760"/>
      <c r="K2339" s="760"/>
    </row>
    <row r="2340" spans="1:11">
      <c r="A2340" s="760"/>
      <c r="B2340" s="760"/>
      <c r="C2340" s="760"/>
      <c r="D2340" s="760"/>
      <c r="E2340" s="760"/>
      <c r="F2340" s="760"/>
      <c r="G2340" s="760"/>
      <c r="H2340" s="760"/>
      <c r="I2340" s="760"/>
      <c r="J2340" s="760"/>
      <c r="K2340" s="760"/>
    </row>
    <row r="2341" spans="1:11">
      <c r="A2341" s="760"/>
      <c r="B2341" s="760"/>
      <c r="C2341" s="760"/>
      <c r="D2341" s="760"/>
      <c r="E2341" s="760"/>
      <c r="F2341" s="760"/>
      <c r="G2341" s="760"/>
      <c r="H2341" s="760"/>
      <c r="I2341" s="760"/>
      <c r="J2341" s="760"/>
      <c r="K2341" s="760"/>
    </row>
    <row r="2342" spans="1:11">
      <c r="A2342" s="760"/>
      <c r="B2342" s="760"/>
      <c r="C2342" s="760"/>
      <c r="D2342" s="760"/>
      <c r="E2342" s="760"/>
      <c r="F2342" s="760"/>
      <c r="G2342" s="760"/>
      <c r="H2342" s="760"/>
      <c r="I2342" s="760"/>
      <c r="J2342" s="760"/>
      <c r="K2342" s="760"/>
    </row>
    <row r="2343" spans="1:11">
      <c r="A2343" s="760"/>
      <c r="B2343" s="760"/>
      <c r="C2343" s="760"/>
      <c r="D2343" s="760"/>
      <c r="E2343" s="760"/>
      <c r="F2343" s="760"/>
      <c r="G2343" s="760"/>
      <c r="H2343" s="760"/>
      <c r="I2343" s="760"/>
      <c r="J2343" s="760"/>
      <c r="K2343" s="760"/>
    </row>
    <row r="2344" spans="1:11">
      <c r="A2344" s="760"/>
      <c r="B2344" s="760"/>
      <c r="C2344" s="760"/>
      <c r="D2344" s="760"/>
      <c r="E2344" s="760"/>
      <c r="F2344" s="760"/>
      <c r="G2344" s="760"/>
      <c r="H2344" s="760"/>
      <c r="I2344" s="760"/>
      <c r="J2344" s="760"/>
      <c r="K2344" s="760"/>
    </row>
    <row r="2345" spans="1:11">
      <c r="A2345" s="760"/>
      <c r="B2345" s="760"/>
      <c r="C2345" s="760"/>
      <c r="D2345" s="760"/>
      <c r="E2345" s="760"/>
      <c r="F2345" s="760"/>
      <c r="G2345" s="760"/>
      <c r="H2345" s="760"/>
      <c r="I2345" s="760"/>
      <c r="J2345" s="760"/>
      <c r="K2345" s="760"/>
    </row>
    <row r="2346" spans="1:11">
      <c r="A2346" s="760"/>
      <c r="B2346" s="760"/>
      <c r="C2346" s="760"/>
      <c r="D2346" s="760"/>
      <c r="E2346" s="760"/>
      <c r="F2346" s="760"/>
      <c r="G2346" s="760"/>
      <c r="H2346" s="760"/>
      <c r="I2346" s="760"/>
      <c r="J2346" s="760"/>
      <c r="K2346" s="760"/>
    </row>
    <row r="2347" spans="1:11">
      <c r="A2347" s="760"/>
      <c r="B2347" s="760"/>
      <c r="C2347" s="760"/>
      <c r="D2347" s="760"/>
      <c r="E2347" s="760"/>
      <c r="F2347" s="760"/>
      <c r="G2347" s="760"/>
      <c r="H2347" s="760"/>
      <c r="I2347" s="760"/>
      <c r="J2347" s="760"/>
      <c r="K2347" s="760"/>
    </row>
    <row r="2348" spans="1:11">
      <c r="A2348" s="760"/>
      <c r="B2348" s="760"/>
      <c r="C2348" s="760"/>
      <c r="D2348" s="760"/>
      <c r="E2348" s="760"/>
      <c r="F2348" s="760"/>
      <c r="G2348" s="760"/>
      <c r="H2348" s="760"/>
      <c r="I2348" s="760"/>
      <c r="J2348" s="760"/>
      <c r="K2348" s="760"/>
    </row>
    <row r="2349" spans="1:11">
      <c r="A2349" s="760"/>
      <c r="B2349" s="760"/>
      <c r="C2349" s="760"/>
      <c r="D2349" s="760"/>
      <c r="E2349" s="760"/>
      <c r="F2349" s="760"/>
      <c r="G2349" s="760"/>
      <c r="H2349" s="760"/>
      <c r="I2349" s="760"/>
      <c r="J2349" s="760"/>
      <c r="K2349" s="760"/>
    </row>
    <row r="2350" spans="1:11">
      <c r="A2350" s="760"/>
      <c r="B2350" s="760"/>
      <c r="C2350" s="760"/>
      <c r="D2350" s="760"/>
      <c r="E2350" s="760"/>
      <c r="F2350" s="760"/>
      <c r="G2350" s="760"/>
      <c r="H2350" s="760"/>
      <c r="I2350" s="760"/>
      <c r="J2350" s="760"/>
      <c r="K2350" s="760"/>
    </row>
    <row r="2351" spans="1:11">
      <c r="A2351" s="760"/>
      <c r="B2351" s="760"/>
      <c r="C2351" s="760"/>
      <c r="D2351" s="760"/>
      <c r="E2351" s="760"/>
      <c r="F2351" s="760"/>
      <c r="G2351" s="760"/>
      <c r="H2351" s="760"/>
      <c r="I2351" s="760"/>
      <c r="J2351" s="760"/>
      <c r="K2351" s="760"/>
    </row>
    <row r="2352" spans="1:11">
      <c r="A2352" s="760"/>
      <c r="B2352" s="760"/>
      <c r="C2352" s="760"/>
      <c r="D2352" s="760"/>
      <c r="E2352" s="760"/>
      <c r="F2352" s="760"/>
      <c r="G2352" s="760"/>
      <c r="H2352" s="760"/>
      <c r="I2352" s="760"/>
      <c r="J2352" s="760"/>
      <c r="K2352" s="760"/>
    </row>
    <row r="2353" spans="1:11">
      <c r="A2353" s="760"/>
      <c r="B2353" s="760"/>
      <c r="C2353" s="760"/>
      <c r="D2353" s="760"/>
      <c r="E2353" s="760"/>
      <c r="F2353" s="760"/>
      <c r="G2353" s="760"/>
      <c r="H2353" s="760"/>
      <c r="I2353" s="760"/>
      <c r="J2353" s="760"/>
      <c r="K2353" s="760"/>
    </row>
    <row r="2354" spans="1:11">
      <c r="A2354" s="760"/>
      <c r="B2354" s="760"/>
      <c r="C2354" s="760"/>
      <c r="D2354" s="760"/>
      <c r="E2354" s="760"/>
      <c r="F2354" s="760"/>
      <c r="G2354" s="760"/>
      <c r="H2354" s="760"/>
      <c r="I2354" s="760"/>
      <c r="J2354" s="760"/>
      <c r="K2354" s="760"/>
    </row>
    <row r="2355" spans="1:11">
      <c r="A2355" s="760"/>
      <c r="B2355" s="760"/>
      <c r="C2355" s="760"/>
      <c r="D2355" s="760"/>
      <c r="E2355" s="760"/>
      <c r="F2355" s="760"/>
      <c r="G2355" s="760"/>
      <c r="H2355" s="760"/>
      <c r="I2355" s="760"/>
      <c r="J2355" s="760"/>
      <c r="K2355" s="760"/>
    </row>
    <row r="2356" spans="1:11">
      <c r="A2356" s="760"/>
      <c r="B2356" s="760"/>
      <c r="C2356" s="760"/>
      <c r="D2356" s="760"/>
      <c r="E2356" s="760"/>
      <c r="F2356" s="760"/>
      <c r="G2356" s="760"/>
      <c r="H2356" s="760"/>
      <c r="I2356" s="760"/>
      <c r="J2356" s="760"/>
      <c r="K2356" s="760"/>
    </row>
    <row r="2357" spans="1:11">
      <c r="A2357" s="760"/>
      <c r="B2357" s="760"/>
      <c r="C2357" s="760"/>
      <c r="D2357" s="760"/>
      <c r="E2357" s="760"/>
      <c r="F2357" s="760"/>
      <c r="G2357" s="760"/>
      <c r="H2357" s="760"/>
      <c r="I2357" s="760"/>
      <c r="J2357" s="760"/>
      <c r="K2357" s="760"/>
    </row>
    <row r="2358" spans="1:11">
      <c r="A2358" s="760"/>
      <c r="B2358" s="760"/>
      <c r="C2358" s="760"/>
      <c r="D2358" s="760"/>
      <c r="E2358" s="760"/>
      <c r="F2358" s="760"/>
      <c r="G2358" s="760"/>
      <c r="H2358" s="760"/>
      <c r="I2358" s="760"/>
      <c r="J2358" s="760"/>
      <c r="K2358" s="760"/>
    </row>
    <row r="2359" spans="1:11">
      <c r="A2359" s="760"/>
      <c r="B2359" s="760"/>
      <c r="C2359" s="760"/>
      <c r="D2359" s="760"/>
      <c r="E2359" s="760"/>
      <c r="F2359" s="760"/>
      <c r="G2359" s="760"/>
      <c r="H2359" s="760"/>
      <c r="I2359" s="760"/>
      <c r="J2359" s="760"/>
      <c r="K2359" s="760"/>
    </row>
    <row r="2360" spans="1:11">
      <c r="A2360" s="760"/>
      <c r="B2360" s="760"/>
      <c r="C2360" s="760"/>
      <c r="D2360" s="760"/>
      <c r="E2360" s="760"/>
      <c r="F2360" s="760"/>
      <c r="G2360" s="760"/>
      <c r="H2360" s="760"/>
      <c r="I2360" s="760"/>
      <c r="J2360" s="760"/>
      <c r="K2360" s="760"/>
    </row>
    <row r="2361" spans="1:11">
      <c r="A2361" s="760"/>
      <c r="B2361" s="760"/>
      <c r="C2361" s="760"/>
      <c r="D2361" s="760"/>
      <c r="E2361" s="760"/>
      <c r="F2361" s="760"/>
      <c r="G2361" s="760"/>
      <c r="H2361" s="760"/>
      <c r="I2361" s="760"/>
      <c r="J2361" s="760"/>
      <c r="K2361" s="760"/>
    </row>
    <row r="2362" spans="1:11">
      <c r="A2362" s="760"/>
      <c r="B2362" s="760"/>
      <c r="C2362" s="760"/>
      <c r="D2362" s="760"/>
      <c r="E2362" s="760"/>
      <c r="F2362" s="760"/>
      <c r="G2362" s="760"/>
      <c r="H2362" s="760"/>
      <c r="I2362" s="760"/>
      <c r="J2362" s="760"/>
      <c r="K2362" s="760"/>
    </row>
    <row r="2363" spans="1:11">
      <c r="A2363" s="760"/>
      <c r="B2363" s="760"/>
      <c r="C2363" s="760"/>
      <c r="D2363" s="760"/>
      <c r="E2363" s="760"/>
      <c r="F2363" s="760"/>
      <c r="G2363" s="760"/>
      <c r="H2363" s="760"/>
      <c r="I2363" s="760"/>
      <c r="J2363" s="760"/>
      <c r="K2363" s="760"/>
    </row>
    <row r="2364" spans="1:11">
      <c r="A2364" s="760"/>
      <c r="B2364" s="760"/>
      <c r="C2364" s="760"/>
      <c r="D2364" s="760"/>
      <c r="E2364" s="760"/>
      <c r="F2364" s="760"/>
      <c r="G2364" s="760"/>
      <c r="H2364" s="760"/>
      <c r="I2364" s="760"/>
      <c r="J2364" s="760"/>
      <c r="K2364" s="760"/>
    </row>
    <row r="2365" spans="1:11">
      <c r="A2365" s="760"/>
      <c r="B2365" s="760"/>
      <c r="C2365" s="760"/>
      <c r="D2365" s="760"/>
      <c r="E2365" s="760"/>
      <c r="F2365" s="760"/>
      <c r="G2365" s="760"/>
      <c r="H2365" s="760"/>
      <c r="I2365" s="760"/>
      <c r="J2365" s="760"/>
      <c r="K2365" s="760"/>
    </row>
    <row r="2366" spans="1:11">
      <c r="A2366" s="760"/>
      <c r="B2366" s="760"/>
      <c r="C2366" s="760"/>
      <c r="D2366" s="760"/>
      <c r="E2366" s="760"/>
      <c r="F2366" s="760"/>
      <c r="G2366" s="760"/>
      <c r="H2366" s="760"/>
      <c r="I2366" s="760"/>
      <c r="J2366" s="760"/>
      <c r="K2366" s="760"/>
    </row>
    <row r="2367" spans="1:11">
      <c r="A2367" s="760"/>
      <c r="B2367" s="760"/>
      <c r="C2367" s="760"/>
      <c r="D2367" s="760"/>
      <c r="E2367" s="760"/>
      <c r="F2367" s="760"/>
      <c r="G2367" s="760"/>
      <c r="H2367" s="760"/>
      <c r="I2367" s="760"/>
      <c r="J2367" s="760"/>
      <c r="K2367" s="760"/>
    </row>
    <row r="2368" spans="1:11">
      <c r="A2368" s="760"/>
      <c r="B2368" s="760"/>
      <c r="C2368" s="760"/>
      <c r="D2368" s="760"/>
      <c r="E2368" s="760"/>
      <c r="F2368" s="760"/>
      <c r="G2368" s="760"/>
      <c r="H2368" s="760"/>
      <c r="I2368" s="760"/>
      <c r="J2368" s="760"/>
      <c r="K2368" s="760"/>
    </row>
    <row r="2369" spans="1:11">
      <c r="A2369" s="760"/>
      <c r="B2369" s="760"/>
      <c r="C2369" s="760"/>
      <c r="D2369" s="760"/>
      <c r="E2369" s="760"/>
      <c r="F2369" s="760"/>
      <c r="G2369" s="760"/>
      <c r="H2369" s="760"/>
      <c r="I2369" s="760"/>
      <c r="J2369" s="760"/>
      <c r="K2369" s="760"/>
    </row>
    <row r="2370" spans="1:11">
      <c r="A2370" s="760"/>
      <c r="B2370" s="760"/>
      <c r="C2370" s="760"/>
      <c r="D2370" s="760"/>
      <c r="E2370" s="760"/>
      <c r="F2370" s="760"/>
      <c r="G2370" s="760"/>
      <c r="H2370" s="760"/>
      <c r="I2370" s="760"/>
      <c r="J2370" s="760"/>
      <c r="K2370" s="760"/>
    </row>
    <row r="2371" spans="1:11">
      <c r="A2371" s="760"/>
      <c r="B2371" s="760"/>
      <c r="C2371" s="760"/>
      <c r="D2371" s="760"/>
      <c r="E2371" s="760"/>
      <c r="F2371" s="760"/>
      <c r="G2371" s="760"/>
      <c r="H2371" s="760"/>
      <c r="I2371" s="760"/>
      <c r="J2371" s="760"/>
      <c r="K2371" s="760"/>
    </row>
    <row r="2372" spans="1:11">
      <c r="A2372" s="760"/>
      <c r="B2372" s="760"/>
      <c r="C2372" s="760"/>
      <c r="D2372" s="760"/>
      <c r="E2372" s="760"/>
      <c r="F2372" s="760"/>
      <c r="G2372" s="760"/>
      <c r="H2372" s="760"/>
      <c r="I2372" s="760"/>
      <c r="J2372" s="760"/>
      <c r="K2372" s="760"/>
    </row>
    <row r="2373" spans="1:11">
      <c r="A2373" s="760"/>
      <c r="B2373" s="760"/>
      <c r="C2373" s="760"/>
      <c r="D2373" s="760"/>
      <c r="E2373" s="760"/>
      <c r="F2373" s="760"/>
      <c r="G2373" s="760"/>
      <c r="H2373" s="760"/>
      <c r="I2373" s="760"/>
      <c r="J2373" s="760"/>
      <c r="K2373" s="760"/>
    </row>
    <row r="2374" spans="1:11">
      <c r="A2374" s="760"/>
      <c r="B2374" s="760"/>
      <c r="C2374" s="760"/>
      <c r="D2374" s="760"/>
      <c r="E2374" s="760"/>
      <c r="F2374" s="760"/>
      <c r="G2374" s="760"/>
      <c r="H2374" s="760"/>
      <c r="I2374" s="760"/>
      <c r="J2374" s="760"/>
      <c r="K2374" s="760"/>
    </row>
    <row r="2375" spans="1:11">
      <c r="A2375" s="760"/>
      <c r="B2375" s="760"/>
      <c r="C2375" s="760"/>
      <c r="D2375" s="760"/>
      <c r="E2375" s="760"/>
      <c r="F2375" s="760"/>
      <c r="G2375" s="760"/>
      <c r="H2375" s="760"/>
      <c r="I2375" s="760"/>
      <c r="J2375" s="760"/>
      <c r="K2375" s="760"/>
    </row>
    <row r="2376" spans="1:11">
      <c r="A2376" s="760"/>
      <c r="B2376" s="760"/>
      <c r="C2376" s="760"/>
      <c r="D2376" s="760"/>
      <c r="E2376" s="760"/>
      <c r="F2376" s="760"/>
      <c r="G2376" s="760"/>
      <c r="H2376" s="760"/>
      <c r="I2376" s="760"/>
      <c r="J2376" s="760"/>
      <c r="K2376" s="760"/>
    </row>
    <row r="2377" spans="1:11">
      <c r="A2377" s="760"/>
      <c r="B2377" s="760"/>
      <c r="C2377" s="760"/>
      <c r="D2377" s="760"/>
      <c r="E2377" s="760"/>
      <c r="F2377" s="760"/>
      <c r="G2377" s="760"/>
      <c r="H2377" s="760"/>
      <c r="I2377" s="760"/>
      <c r="J2377" s="760"/>
      <c r="K2377" s="760"/>
    </row>
    <row r="2378" spans="1:11">
      <c r="A2378" s="760"/>
      <c r="B2378" s="760"/>
      <c r="C2378" s="760"/>
      <c r="D2378" s="760"/>
      <c r="E2378" s="760"/>
      <c r="F2378" s="760"/>
      <c r="G2378" s="760"/>
      <c r="H2378" s="760"/>
      <c r="I2378" s="760"/>
      <c r="J2378" s="760"/>
      <c r="K2378" s="760"/>
    </row>
    <row r="2379" spans="1:11">
      <c r="A2379" s="760"/>
      <c r="B2379" s="760"/>
      <c r="C2379" s="760"/>
      <c r="D2379" s="760"/>
      <c r="E2379" s="760"/>
      <c r="F2379" s="760"/>
      <c r="G2379" s="760"/>
      <c r="H2379" s="760"/>
      <c r="I2379" s="760"/>
      <c r="J2379" s="760"/>
      <c r="K2379" s="760"/>
    </row>
    <row r="2380" spans="1:11">
      <c r="A2380" s="760"/>
      <c r="B2380" s="760"/>
      <c r="C2380" s="760"/>
      <c r="D2380" s="760"/>
      <c r="E2380" s="760"/>
      <c r="F2380" s="760"/>
      <c r="G2380" s="760"/>
      <c r="H2380" s="760"/>
      <c r="I2380" s="760"/>
      <c r="J2380" s="760"/>
      <c r="K2380" s="760"/>
    </row>
    <row r="2381" spans="1:11">
      <c r="A2381" s="760"/>
      <c r="B2381" s="760"/>
      <c r="C2381" s="760"/>
      <c r="D2381" s="760"/>
      <c r="E2381" s="760"/>
      <c r="F2381" s="760"/>
      <c r="G2381" s="760"/>
      <c r="H2381" s="760"/>
      <c r="I2381" s="760"/>
      <c r="J2381" s="760"/>
      <c r="K2381" s="760"/>
    </row>
    <row r="2382" spans="1:11">
      <c r="A2382" s="760"/>
      <c r="B2382" s="760"/>
      <c r="C2382" s="760"/>
      <c r="D2382" s="760"/>
      <c r="E2382" s="760"/>
      <c r="F2382" s="760"/>
      <c r="G2382" s="760"/>
      <c r="H2382" s="760"/>
      <c r="I2382" s="760"/>
      <c r="J2382" s="760"/>
      <c r="K2382" s="760"/>
    </row>
    <row r="2383" spans="1:11">
      <c r="A2383" s="760"/>
      <c r="B2383" s="760"/>
      <c r="C2383" s="760"/>
      <c r="D2383" s="760"/>
      <c r="E2383" s="760"/>
      <c r="F2383" s="760"/>
      <c r="G2383" s="760"/>
      <c r="H2383" s="760"/>
      <c r="I2383" s="760"/>
      <c r="J2383" s="760"/>
      <c r="K2383" s="760"/>
    </row>
    <row r="2384" spans="1:11">
      <c r="A2384" s="760"/>
      <c r="B2384" s="760"/>
      <c r="C2384" s="760"/>
      <c r="D2384" s="760"/>
      <c r="E2384" s="760"/>
      <c r="F2384" s="760"/>
      <c r="G2384" s="760"/>
      <c r="H2384" s="760"/>
      <c r="I2384" s="760"/>
      <c r="J2384" s="760"/>
      <c r="K2384" s="760"/>
    </row>
    <row r="2385" spans="1:11">
      <c r="A2385" s="760"/>
      <c r="B2385" s="760"/>
      <c r="C2385" s="760"/>
      <c r="D2385" s="760"/>
      <c r="E2385" s="760"/>
      <c r="F2385" s="760"/>
      <c r="G2385" s="760"/>
      <c r="H2385" s="760"/>
      <c r="I2385" s="760"/>
      <c r="J2385" s="760"/>
      <c r="K2385" s="760"/>
    </row>
    <row r="2386" spans="1:11">
      <c r="A2386" s="760"/>
      <c r="B2386" s="760"/>
      <c r="C2386" s="760"/>
      <c r="D2386" s="760"/>
      <c r="E2386" s="760"/>
      <c r="F2386" s="760"/>
      <c r="G2386" s="760"/>
      <c r="H2386" s="760"/>
      <c r="I2386" s="760"/>
      <c r="J2386" s="760"/>
      <c r="K2386" s="760"/>
    </row>
    <row r="2387" spans="1:11">
      <c r="A2387" s="760"/>
      <c r="B2387" s="760"/>
      <c r="C2387" s="760"/>
      <c r="D2387" s="760"/>
      <c r="E2387" s="760"/>
      <c r="F2387" s="760"/>
      <c r="G2387" s="760"/>
      <c r="H2387" s="760"/>
      <c r="I2387" s="760"/>
      <c r="J2387" s="760"/>
      <c r="K2387" s="760"/>
    </row>
    <row r="2388" spans="1:11">
      <c r="A2388" s="760"/>
      <c r="B2388" s="760"/>
      <c r="C2388" s="760"/>
      <c r="D2388" s="760"/>
      <c r="E2388" s="760"/>
      <c r="F2388" s="760"/>
      <c r="G2388" s="760"/>
      <c r="H2388" s="760"/>
      <c r="I2388" s="760"/>
      <c r="J2388" s="760"/>
      <c r="K2388" s="760"/>
    </row>
    <row r="2389" spans="1:11">
      <c r="A2389" s="760"/>
      <c r="B2389" s="760"/>
      <c r="C2389" s="760"/>
      <c r="D2389" s="760"/>
      <c r="E2389" s="760"/>
      <c r="F2389" s="760"/>
      <c r="G2389" s="760"/>
      <c r="H2389" s="760"/>
      <c r="I2389" s="760"/>
      <c r="J2389" s="760"/>
      <c r="K2389" s="760"/>
    </row>
    <row r="2390" spans="1:11">
      <c r="A2390" s="760"/>
      <c r="B2390" s="760"/>
      <c r="C2390" s="760"/>
      <c r="D2390" s="760"/>
      <c r="E2390" s="760"/>
      <c r="F2390" s="760"/>
      <c r="G2390" s="760"/>
      <c r="H2390" s="760"/>
      <c r="I2390" s="760"/>
      <c r="J2390" s="760"/>
      <c r="K2390" s="760"/>
    </row>
    <row r="2391" spans="1:11">
      <c r="A2391" s="760"/>
      <c r="B2391" s="760"/>
      <c r="C2391" s="760"/>
      <c r="D2391" s="760"/>
      <c r="E2391" s="760"/>
      <c r="F2391" s="760"/>
      <c r="G2391" s="760"/>
      <c r="H2391" s="760"/>
      <c r="I2391" s="760"/>
      <c r="J2391" s="760"/>
      <c r="K2391" s="760"/>
    </row>
    <row r="2392" spans="1:11">
      <c r="A2392" s="760"/>
      <c r="B2392" s="760"/>
      <c r="C2392" s="760"/>
      <c r="D2392" s="760"/>
      <c r="E2392" s="760"/>
      <c r="F2392" s="760"/>
      <c r="G2392" s="760"/>
      <c r="H2392" s="760"/>
      <c r="I2392" s="760"/>
      <c r="J2392" s="760"/>
      <c r="K2392" s="760"/>
    </row>
    <row r="2393" spans="1:11">
      <c r="A2393" s="760"/>
      <c r="B2393" s="760"/>
      <c r="C2393" s="760"/>
      <c r="D2393" s="760"/>
      <c r="E2393" s="760"/>
      <c r="F2393" s="760"/>
      <c r="G2393" s="760"/>
      <c r="H2393" s="760"/>
      <c r="I2393" s="760"/>
      <c r="J2393" s="760"/>
      <c r="K2393" s="760"/>
    </row>
    <row r="2394" spans="1:11">
      <c r="A2394" s="760"/>
      <c r="B2394" s="760"/>
      <c r="C2394" s="760"/>
      <c r="D2394" s="760"/>
      <c r="E2394" s="760"/>
      <c r="F2394" s="760"/>
      <c r="G2394" s="760"/>
      <c r="H2394" s="760"/>
      <c r="I2394" s="760"/>
      <c r="J2394" s="760"/>
      <c r="K2394" s="760"/>
    </row>
    <row r="2395" spans="1:11">
      <c r="A2395" s="760"/>
      <c r="B2395" s="760"/>
      <c r="C2395" s="760"/>
      <c r="D2395" s="760"/>
      <c r="E2395" s="760"/>
      <c r="F2395" s="760"/>
      <c r="G2395" s="760"/>
      <c r="H2395" s="760"/>
      <c r="I2395" s="760"/>
      <c r="J2395" s="760"/>
      <c r="K2395" s="760"/>
    </row>
    <row r="2396" spans="1:11">
      <c r="A2396" s="760"/>
      <c r="B2396" s="760"/>
      <c r="C2396" s="760"/>
      <c r="D2396" s="760"/>
      <c r="E2396" s="760"/>
      <c r="F2396" s="760"/>
      <c r="G2396" s="760"/>
      <c r="H2396" s="760"/>
      <c r="I2396" s="760"/>
      <c r="J2396" s="760"/>
      <c r="K2396" s="760"/>
    </row>
    <row r="2397" spans="1:11">
      <c r="A2397" s="760"/>
      <c r="B2397" s="760"/>
      <c r="C2397" s="760"/>
      <c r="D2397" s="760"/>
      <c r="E2397" s="760"/>
      <c r="F2397" s="760"/>
      <c r="G2397" s="760"/>
      <c r="H2397" s="760"/>
      <c r="I2397" s="760"/>
      <c r="J2397" s="760"/>
      <c r="K2397" s="760"/>
    </row>
    <row r="2398" spans="1:11">
      <c r="A2398" s="760"/>
      <c r="B2398" s="760"/>
      <c r="C2398" s="760"/>
      <c r="D2398" s="760"/>
      <c r="E2398" s="760"/>
      <c r="F2398" s="760"/>
      <c r="G2398" s="760"/>
      <c r="H2398" s="760"/>
      <c r="I2398" s="760"/>
      <c r="J2398" s="760"/>
      <c r="K2398" s="760"/>
    </row>
    <row r="2399" spans="1:11">
      <c r="A2399" s="760"/>
      <c r="B2399" s="760"/>
      <c r="C2399" s="760"/>
      <c r="D2399" s="760"/>
      <c r="E2399" s="760"/>
      <c r="F2399" s="760"/>
      <c r="G2399" s="760"/>
      <c r="H2399" s="760"/>
      <c r="I2399" s="760"/>
      <c r="J2399" s="760"/>
      <c r="K2399" s="760"/>
    </row>
    <row r="2400" spans="1:11">
      <c r="A2400" s="760"/>
      <c r="B2400" s="760"/>
      <c r="C2400" s="760"/>
      <c r="D2400" s="760"/>
      <c r="E2400" s="760"/>
      <c r="F2400" s="760"/>
      <c r="G2400" s="760"/>
      <c r="H2400" s="760"/>
      <c r="I2400" s="760"/>
      <c r="J2400" s="760"/>
      <c r="K2400" s="760"/>
    </row>
    <row r="2401" spans="1:11">
      <c r="A2401" s="760"/>
      <c r="B2401" s="760"/>
      <c r="C2401" s="760"/>
      <c r="D2401" s="760"/>
      <c r="E2401" s="760"/>
      <c r="F2401" s="760"/>
      <c r="G2401" s="760"/>
      <c r="H2401" s="760"/>
      <c r="I2401" s="760"/>
      <c r="J2401" s="760"/>
      <c r="K2401" s="760"/>
    </row>
    <row r="2402" spans="1:11">
      <c r="A2402" s="760"/>
      <c r="B2402" s="760"/>
      <c r="C2402" s="760"/>
      <c r="D2402" s="760"/>
      <c r="E2402" s="760"/>
      <c r="F2402" s="760"/>
      <c r="G2402" s="760"/>
      <c r="H2402" s="760"/>
      <c r="I2402" s="760"/>
      <c r="J2402" s="760"/>
      <c r="K2402" s="760"/>
    </row>
    <row r="2403" spans="1:11">
      <c r="A2403" s="760"/>
      <c r="B2403" s="760"/>
      <c r="C2403" s="760"/>
      <c r="D2403" s="760"/>
      <c r="E2403" s="760"/>
      <c r="F2403" s="760"/>
      <c r="G2403" s="760"/>
      <c r="H2403" s="760"/>
      <c r="I2403" s="760"/>
      <c r="J2403" s="760"/>
      <c r="K2403" s="760"/>
    </row>
    <row r="2404" spans="1:11">
      <c r="A2404" s="760"/>
      <c r="B2404" s="760"/>
      <c r="C2404" s="760"/>
      <c r="D2404" s="760"/>
      <c r="E2404" s="760"/>
      <c r="F2404" s="760"/>
      <c r="G2404" s="760"/>
      <c r="H2404" s="760"/>
      <c r="I2404" s="760"/>
      <c r="J2404" s="760"/>
      <c r="K2404" s="760"/>
    </row>
    <row r="2405" spans="1:11">
      <c r="A2405" s="760"/>
      <c r="B2405" s="760"/>
      <c r="C2405" s="760"/>
      <c r="D2405" s="760"/>
      <c r="E2405" s="760"/>
      <c r="F2405" s="760"/>
      <c r="G2405" s="760"/>
      <c r="H2405" s="760"/>
      <c r="I2405" s="760"/>
      <c r="J2405" s="760"/>
      <c r="K2405" s="760"/>
    </row>
    <row r="2406" spans="1:11">
      <c r="A2406" s="760"/>
      <c r="B2406" s="760"/>
      <c r="C2406" s="760"/>
      <c r="D2406" s="760"/>
      <c r="E2406" s="760"/>
      <c r="F2406" s="760"/>
      <c r="G2406" s="760"/>
      <c r="H2406" s="760"/>
      <c r="I2406" s="760"/>
      <c r="J2406" s="760"/>
      <c r="K2406" s="760"/>
    </row>
    <row r="2407" spans="1:11">
      <c r="A2407" s="760"/>
      <c r="B2407" s="760"/>
      <c r="C2407" s="760"/>
      <c r="D2407" s="760"/>
      <c r="E2407" s="760"/>
      <c r="F2407" s="760"/>
      <c r="G2407" s="760"/>
      <c r="H2407" s="760"/>
      <c r="I2407" s="760"/>
      <c r="J2407" s="760"/>
      <c r="K2407" s="760"/>
    </row>
    <row r="2408" spans="1:11">
      <c r="A2408" s="760"/>
      <c r="B2408" s="760"/>
      <c r="C2408" s="760"/>
      <c r="D2408" s="760"/>
      <c r="E2408" s="760"/>
      <c r="F2408" s="760"/>
      <c r="G2408" s="760"/>
      <c r="H2408" s="760"/>
      <c r="I2408" s="760"/>
      <c r="J2408" s="760"/>
      <c r="K2408" s="760"/>
    </row>
    <row r="2409" spans="1:11">
      <c r="A2409" s="760"/>
      <c r="B2409" s="760"/>
      <c r="C2409" s="760"/>
      <c r="D2409" s="760"/>
      <c r="E2409" s="760"/>
      <c r="F2409" s="760"/>
      <c r="G2409" s="760"/>
      <c r="H2409" s="760"/>
      <c r="I2409" s="760"/>
      <c r="J2409" s="760"/>
      <c r="K2409" s="760"/>
    </row>
    <row r="2410" spans="1:11">
      <c r="A2410" s="760"/>
      <c r="B2410" s="760"/>
      <c r="C2410" s="760"/>
      <c r="D2410" s="760"/>
      <c r="E2410" s="760"/>
      <c r="F2410" s="760"/>
      <c r="G2410" s="760"/>
      <c r="H2410" s="760"/>
      <c r="I2410" s="760"/>
      <c r="J2410" s="760"/>
      <c r="K2410" s="760"/>
    </row>
    <row r="2411" spans="1:11">
      <c r="A2411" s="760"/>
      <c r="B2411" s="760"/>
      <c r="C2411" s="760"/>
      <c r="D2411" s="760"/>
      <c r="E2411" s="760"/>
      <c r="F2411" s="760"/>
      <c r="G2411" s="760"/>
      <c r="H2411" s="760"/>
      <c r="I2411" s="760"/>
      <c r="J2411" s="760"/>
      <c r="K2411" s="760"/>
    </row>
    <row r="2412" spans="1:11">
      <c r="A2412" s="760"/>
      <c r="B2412" s="760"/>
      <c r="C2412" s="760"/>
      <c r="D2412" s="760"/>
      <c r="E2412" s="760"/>
      <c r="F2412" s="760"/>
      <c r="G2412" s="760"/>
      <c r="H2412" s="760"/>
      <c r="I2412" s="760"/>
      <c r="J2412" s="760"/>
      <c r="K2412" s="760"/>
    </row>
    <row r="2413" spans="1:11">
      <c r="A2413" s="760"/>
      <c r="B2413" s="760"/>
      <c r="C2413" s="760"/>
      <c r="D2413" s="760"/>
      <c r="E2413" s="760"/>
      <c r="F2413" s="760"/>
      <c r="G2413" s="760"/>
      <c r="H2413" s="760"/>
      <c r="I2413" s="760"/>
      <c r="J2413" s="760"/>
      <c r="K2413" s="760"/>
    </row>
    <row r="2414" spans="1:11">
      <c r="A2414" s="760"/>
      <c r="B2414" s="760"/>
      <c r="C2414" s="760"/>
      <c r="D2414" s="760"/>
      <c r="E2414" s="760"/>
      <c r="F2414" s="760"/>
      <c r="G2414" s="760"/>
      <c r="H2414" s="760"/>
      <c r="I2414" s="760"/>
      <c r="J2414" s="760"/>
      <c r="K2414" s="760"/>
    </row>
    <row r="2415" spans="1:11">
      <c r="A2415" s="760"/>
      <c r="B2415" s="760"/>
      <c r="C2415" s="760"/>
      <c r="D2415" s="760"/>
      <c r="E2415" s="760"/>
      <c r="F2415" s="760"/>
      <c r="G2415" s="760"/>
      <c r="H2415" s="760"/>
      <c r="I2415" s="760"/>
      <c r="J2415" s="760"/>
      <c r="K2415" s="760"/>
    </row>
    <row r="2416" spans="1:11">
      <c r="A2416" s="760"/>
      <c r="B2416" s="760"/>
      <c r="C2416" s="760"/>
      <c r="D2416" s="760"/>
      <c r="E2416" s="760"/>
      <c r="F2416" s="760"/>
      <c r="G2416" s="760"/>
      <c r="H2416" s="760"/>
      <c r="I2416" s="760"/>
      <c r="J2416" s="760"/>
      <c r="K2416" s="760"/>
    </row>
    <row r="2417" spans="1:11">
      <c r="A2417" s="760"/>
      <c r="B2417" s="760"/>
      <c r="C2417" s="760"/>
      <c r="D2417" s="760"/>
      <c r="E2417" s="760"/>
      <c r="F2417" s="760"/>
      <c r="G2417" s="760"/>
      <c r="H2417" s="760"/>
      <c r="I2417" s="760"/>
      <c r="J2417" s="760"/>
      <c r="K2417" s="760"/>
    </row>
    <row r="2418" spans="1:11">
      <c r="A2418" s="760"/>
      <c r="B2418" s="760"/>
      <c r="C2418" s="760"/>
      <c r="D2418" s="760"/>
      <c r="E2418" s="760"/>
      <c r="F2418" s="760"/>
      <c r="G2418" s="760"/>
      <c r="H2418" s="760"/>
      <c r="I2418" s="760"/>
      <c r="J2418" s="760"/>
      <c r="K2418" s="760"/>
    </row>
    <row r="2419" spans="1:11">
      <c r="A2419" s="760"/>
      <c r="B2419" s="760"/>
      <c r="C2419" s="760"/>
      <c r="D2419" s="760"/>
      <c r="E2419" s="760"/>
      <c r="F2419" s="760"/>
      <c r="G2419" s="760"/>
      <c r="H2419" s="760"/>
      <c r="I2419" s="760"/>
      <c r="J2419" s="760"/>
      <c r="K2419" s="760"/>
    </row>
    <row r="2420" spans="1:11">
      <c r="A2420" s="760"/>
      <c r="B2420" s="760"/>
      <c r="C2420" s="760"/>
      <c r="D2420" s="760"/>
      <c r="E2420" s="760"/>
      <c r="F2420" s="760"/>
      <c r="G2420" s="760"/>
      <c r="H2420" s="760"/>
      <c r="I2420" s="760"/>
      <c r="J2420" s="760"/>
      <c r="K2420" s="760"/>
    </row>
    <row r="2421" spans="1:11">
      <c r="A2421" s="760"/>
      <c r="B2421" s="760"/>
      <c r="C2421" s="760"/>
      <c r="D2421" s="760"/>
      <c r="E2421" s="760"/>
      <c r="F2421" s="760"/>
      <c r="G2421" s="760"/>
      <c r="H2421" s="760"/>
      <c r="I2421" s="760"/>
      <c r="J2421" s="760"/>
      <c r="K2421" s="760"/>
    </row>
    <row r="2422" spans="1:11">
      <c r="A2422" s="760"/>
      <c r="B2422" s="760"/>
      <c r="C2422" s="760"/>
      <c r="D2422" s="760"/>
      <c r="E2422" s="760"/>
      <c r="F2422" s="760"/>
      <c r="G2422" s="760"/>
      <c r="H2422" s="760"/>
      <c r="I2422" s="760"/>
      <c r="J2422" s="760"/>
      <c r="K2422" s="760"/>
    </row>
    <row r="2423" spans="1:11">
      <c r="A2423" s="760"/>
      <c r="B2423" s="760"/>
      <c r="C2423" s="760"/>
      <c r="D2423" s="760"/>
      <c r="E2423" s="760"/>
      <c r="F2423" s="760"/>
      <c r="G2423" s="760"/>
      <c r="H2423" s="760"/>
      <c r="I2423" s="760"/>
      <c r="J2423" s="760"/>
      <c r="K2423" s="760"/>
    </row>
    <row r="2424" spans="1:11">
      <c r="A2424" s="760"/>
      <c r="B2424" s="760"/>
      <c r="C2424" s="760"/>
      <c r="D2424" s="760"/>
      <c r="E2424" s="760"/>
      <c r="F2424" s="760"/>
      <c r="G2424" s="760"/>
      <c r="H2424" s="760"/>
      <c r="I2424" s="760"/>
      <c r="J2424" s="760"/>
      <c r="K2424" s="760"/>
    </row>
    <row r="2425" spans="1:11">
      <c r="A2425" s="760"/>
      <c r="B2425" s="760"/>
      <c r="C2425" s="760"/>
      <c r="D2425" s="760"/>
      <c r="E2425" s="760"/>
      <c r="F2425" s="760"/>
      <c r="G2425" s="760"/>
      <c r="H2425" s="760"/>
      <c r="I2425" s="760"/>
      <c r="J2425" s="760"/>
      <c r="K2425" s="760"/>
    </row>
    <row r="2426" spans="1:11">
      <c r="A2426" s="760"/>
      <c r="B2426" s="760"/>
      <c r="C2426" s="760"/>
      <c r="D2426" s="760"/>
      <c r="E2426" s="760"/>
      <c r="F2426" s="760"/>
      <c r="G2426" s="760"/>
      <c r="H2426" s="760"/>
      <c r="I2426" s="760"/>
      <c r="J2426" s="760"/>
      <c r="K2426" s="760"/>
    </row>
    <row r="2427" spans="1:11">
      <c r="A2427" s="760"/>
      <c r="B2427" s="760"/>
      <c r="C2427" s="760"/>
      <c r="D2427" s="760"/>
      <c r="E2427" s="760"/>
      <c r="F2427" s="760"/>
      <c r="G2427" s="760"/>
      <c r="H2427" s="760"/>
      <c r="I2427" s="760"/>
      <c r="J2427" s="760"/>
      <c r="K2427" s="760"/>
    </row>
    <row r="2428" spans="1:11">
      <c r="A2428" s="760"/>
      <c r="B2428" s="760"/>
      <c r="C2428" s="760"/>
      <c r="D2428" s="760"/>
      <c r="E2428" s="760"/>
      <c r="F2428" s="760"/>
      <c r="G2428" s="760"/>
      <c r="H2428" s="760"/>
      <c r="I2428" s="760"/>
      <c r="J2428" s="760"/>
      <c r="K2428" s="760"/>
    </row>
    <row r="2429" spans="1:11">
      <c r="A2429" s="760"/>
      <c r="B2429" s="760"/>
      <c r="C2429" s="760"/>
      <c r="D2429" s="760"/>
      <c r="E2429" s="760"/>
      <c r="F2429" s="760"/>
      <c r="G2429" s="760"/>
      <c r="H2429" s="760"/>
      <c r="I2429" s="760"/>
      <c r="J2429" s="760"/>
      <c r="K2429" s="760"/>
    </row>
    <row r="2430" spans="1:11">
      <c r="A2430" s="760"/>
      <c r="B2430" s="760"/>
      <c r="C2430" s="760"/>
      <c r="D2430" s="760"/>
      <c r="E2430" s="760"/>
      <c r="F2430" s="760"/>
      <c r="G2430" s="760"/>
      <c r="H2430" s="760"/>
      <c r="I2430" s="760"/>
      <c r="J2430" s="760"/>
      <c r="K2430" s="760"/>
    </row>
    <row r="2431" spans="1:11">
      <c r="A2431" s="760"/>
      <c r="B2431" s="760"/>
      <c r="C2431" s="760"/>
      <c r="D2431" s="760"/>
      <c r="E2431" s="760"/>
      <c r="F2431" s="760"/>
      <c r="G2431" s="760"/>
      <c r="H2431" s="760"/>
      <c r="I2431" s="760"/>
      <c r="J2431" s="760"/>
      <c r="K2431" s="760"/>
    </row>
    <row r="2432" spans="1:11">
      <c r="A2432" s="760"/>
      <c r="B2432" s="760"/>
      <c r="C2432" s="760"/>
      <c r="D2432" s="760"/>
      <c r="E2432" s="760"/>
      <c r="F2432" s="760"/>
      <c r="G2432" s="760"/>
      <c r="H2432" s="760"/>
      <c r="I2432" s="760"/>
      <c r="J2432" s="760"/>
      <c r="K2432" s="760"/>
    </row>
    <row r="2433" spans="1:11">
      <c r="A2433" s="760"/>
      <c r="B2433" s="760"/>
      <c r="C2433" s="760"/>
      <c r="D2433" s="760"/>
      <c r="E2433" s="760"/>
      <c r="F2433" s="760"/>
      <c r="G2433" s="760"/>
      <c r="H2433" s="760"/>
      <c r="I2433" s="760"/>
      <c r="J2433" s="760"/>
      <c r="K2433" s="760"/>
    </row>
    <row r="2434" spans="1:11">
      <c r="A2434" s="760"/>
      <c r="B2434" s="760"/>
      <c r="C2434" s="760"/>
      <c r="D2434" s="760"/>
      <c r="E2434" s="760"/>
      <c r="F2434" s="760"/>
      <c r="G2434" s="760"/>
      <c r="H2434" s="760"/>
      <c r="I2434" s="760"/>
      <c r="J2434" s="760"/>
      <c r="K2434" s="760"/>
    </row>
    <row r="2435" spans="1:11">
      <c r="A2435" s="760"/>
      <c r="B2435" s="760"/>
      <c r="C2435" s="760"/>
      <c r="D2435" s="760"/>
      <c r="E2435" s="760"/>
      <c r="F2435" s="760"/>
      <c r="G2435" s="760"/>
      <c r="H2435" s="760"/>
      <c r="I2435" s="760"/>
      <c r="J2435" s="760"/>
      <c r="K2435" s="760"/>
    </row>
    <row r="2436" spans="1:11">
      <c r="A2436" s="760"/>
      <c r="B2436" s="760"/>
      <c r="C2436" s="760"/>
      <c r="D2436" s="760"/>
      <c r="E2436" s="760"/>
      <c r="F2436" s="760"/>
      <c r="G2436" s="760"/>
      <c r="H2436" s="760"/>
      <c r="I2436" s="760"/>
      <c r="J2436" s="760"/>
      <c r="K2436" s="760"/>
    </row>
    <row r="2437" spans="1:11">
      <c r="A2437" s="760"/>
      <c r="B2437" s="760"/>
      <c r="C2437" s="760"/>
      <c r="D2437" s="760"/>
      <c r="E2437" s="760"/>
      <c r="F2437" s="760"/>
      <c r="G2437" s="760"/>
      <c r="H2437" s="760"/>
      <c r="I2437" s="760"/>
      <c r="J2437" s="760"/>
      <c r="K2437" s="760"/>
    </row>
    <row r="2438" spans="1:11">
      <c r="A2438" s="760"/>
      <c r="B2438" s="760"/>
      <c r="C2438" s="760"/>
      <c r="D2438" s="760"/>
      <c r="E2438" s="760"/>
      <c r="F2438" s="760"/>
      <c r="G2438" s="760"/>
      <c r="H2438" s="760"/>
      <c r="I2438" s="760"/>
      <c r="J2438" s="760"/>
      <c r="K2438" s="760"/>
    </row>
    <row r="2439" spans="1:11">
      <c r="A2439" s="760"/>
      <c r="B2439" s="760"/>
      <c r="C2439" s="760"/>
      <c r="D2439" s="760"/>
      <c r="E2439" s="760"/>
      <c r="F2439" s="760"/>
      <c r="G2439" s="760"/>
      <c r="H2439" s="760"/>
      <c r="I2439" s="760"/>
      <c r="J2439" s="760"/>
      <c r="K2439" s="760"/>
    </row>
    <row r="2440" spans="1:11">
      <c r="A2440" s="760"/>
      <c r="B2440" s="760"/>
      <c r="C2440" s="760"/>
      <c r="D2440" s="760"/>
      <c r="E2440" s="760"/>
      <c r="F2440" s="760"/>
      <c r="G2440" s="760"/>
      <c r="H2440" s="760"/>
      <c r="I2440" s="760"/>
      <c r="J2440" s="760"/>
      <c r="K2440" s="760"/>
    </row>
    <row r="2441" spans="1:11">
      <c r="A2441" s="760"/>
      <c r="B2441" s="760"/>
      <c r="C2441" s="760"/>
      <c r="D2441" s="760"/>
      <c r="E2441" s="760"/>
      <c r="F2441" s="760"/>
      <c r="G2441" s="760"/>
      <c r="H2441" s="760"/>
      <c r="I2441" s="760"/>
      <c r="J2441" s="760"/>
      <c r="K2441" s="760"/>
    </row>
    <row r="2442" spans="1:11">
      <c r="A2442" s="760"/>
      <c r="B2442" s="760"/>
      <c r="C2442" s="760"/>
      <c r="D2442" s="760"/>
      <c r="E2442" s="760"/>
      <c r="F2442" s="760"/>
      <c r="G2442" s="760"/>
      <c r="H2442" s="760"/>
      <c r="I2442" s="760"/>
      <c r="J2442" s="760"/>
      <c r="K2442" s="760"/>
    </row>
    <row r="2443" spans="1:11">
      <c r="A2443" s="760"/>
      <c r="B2443" s="760"/>
      <c r="C2443" s="760"/>
      <c r="D2443" s="760"/>
      <c r="E2443" s="760"/>
      <c r="F2443" s="760"/>
      <c r="G2443" s="760"/>
      <c r="H2443" s="760"/>
      <c r="I2443" s="760"/>
      <c r="J2443" s="760"/>
      <c r="K2443" s="760"/>
    </row>
    <row r="2444" spans="1:11">
      <c r="A2444" s="760"/>
      <c r="B2444" s="760"/>
      <c r="C2444" s="760"/>
      <c r="D2444" s="760"/>
      <c r="E2444" s="760"/>
      <c r="F2444" s="760"/>
      <c r="G2444" s="760"/>
      <c r="H2444" s="760"/>
      <c r="I2444" s="760"/>
      <c r="J2444" s="760"/>
      <c r="K2444" s="760"/>
    </row>
    <row r="2445" spans="1:11">
      <c r="A2445" s="760"/>
      <c r="B2445" s="760"/>
      <c r="C2445" s="760"/>
      <c r="D2445" s="760"/>
      <c r="E2445" s="760"/>
      <c r="F2445" s="760"/>
      <c r="G2445" s="760"/>
      <c r="H2445" s="760"/>
      <c r="I2445" s="760"/>
      <c r="J2445" s="760"/>
      <c r="K2445" s="760"/>
    </row>
    <row r="2446" spans="1:11">
      <c r="A2446" s="760"/>
      <c r="B2446" s="760"/>
      <c r="C2446" s="760"/>
      <c r="D2446" s="760"/>
      <c r="E2446" s="760"/>
      <c r="F2446" s="760"/>
      <c r="G2446" s="760"/>
      <c r="H2446" s="760"/>
      <c r="I2446" s="760"/>
      <c r="J2446" s="760"/>
      <c r="K2446" s="760"/>
    </row>
    <row r="2447" spans="1:11">
      <c r="A2447" s="760"/>
      <c r="B2447" s="760"/>
      <c r="C2447" s="760"/>
      <c r="D2447" s="760"/>
      <c r="E2447" s="760"/>
      <c r="F2447" s="760"/>
      <c r="G2447" s="760"/>
      <c r="H2447" s="760"/>
      <c r="I2447" s="760"/>
      <c r="J2447" s="760"/>
      <c r="K2447" s="760"/>
    </row>
    <row r="2448" spans="1:11">
      <c r="A2448" s="760"/>
      <c r="B2448" s="760"/>
      <c r="C2448" s="760"/>
      <c r="D2448" s="760"/>
      <c r="E2448" s="760"/>
      <c r="F2448" s="760"/>
      <c r="G2448" s="760"/>
      <c r="H2448" s="760"/>
      <c r="I2448" s="760"/>
      <c r="J2448" s="760"/>
      <c r="K2448" s="760"/>
    </row>
    <row r="2449" spans="1:11">
      <c r="A2449" s="760"/>
      <c r="B2449" s="760"/>
      <c r="C2449" s="760"/>
      <c r="D2449" s="760"/>
      <c r="E2449" s="760"/>
      <c r="F2449" s="760"/>
      <c r="G2449" s="760"/>
      <c r="H2449" s="760"/>
      <c r="I2449" s="760"/>
      <c r="J2449" s="760"/>
      <c r="K2449" s="760"/>
    </row>
    <row r="2450" spans="1:11">
      <c r="A2450" s="760"/>
      <c r="B2450" s="760"/>
      <c r="C2450" s="760"/>
      <c r="D2450" s="760"/>
      <c r="E2450" s="760"/>
      <c r="F2450" s="760"/>
      <c r="G2450" s="760"/>
      <c r="H2450" s="760"/>
      <c r="I2450" s="760"/>
      <c r="J2450" s="760"/>
      <c r="K2450" s="760"/>
    </row>
    <row r="2451" spans="1:11">
      <c r="A2451" s="760"/>
      <c r="B2451" s="760"/>
      <c r="C2451" s="760"/>
      <c r="D2451" s="760"/>
      <c r="E2451" s="760"/>
      <c r="F2451" s="760"/>
      <c r="G2451" s="760"/>
      <c r="H2451" s="760"/>
      <c r="I2451" s="760"/>
      <c r="J2451" s="760"/>
      <c r="K2451" s="760"/>
    </row>
    <row r="2452" spans="1:11">
      <c r="A2452" s="760"/>
      <c r="B2452" s="760"/>
      <c r="C2452" s="760"/>
      <c r="D2452" s="760"/>
      <c r="E2452" s="760"/>
      <c r="F2452" s="760"/>
      <c r="G2452" s="760"/>
      <c r="H2452" s="760"/>
      <c r="I2452" s="760"/>
      <c r="J2452" s="760"/>
      <c r="K2452" s="760"/>
    </row>
    <row r="2453" spans="1:11">
      <c r="A2453" s="760"/>
      <c r="B2453" s="760"/>
      <c r="C2453" s="760"/>
      <c r="D2453" s="760"/>
      <c r="E2453" s="760"/>
      <c r="F2453" s="760"/>
      <c r="G2453" s="760"/>
      <c r="H2453" s="760"/>
      <c r="I2453" s="760"/>
      <c r="J2453" s="760"/>
      <c r="K2453" s="760"/>
    </row>
    <row r="2454" spans="1:11">
      <c r="A2454" s="760"/>
      <c r="B2454" s="760"/>
      <c r="C2454" s="760"/>
      <c r="D2454" s="760"/>
      <c r="E2454" s="760"/>
      <c r="F2454" s="760"/>
      <c r="G2454" s="760"/>
      <c r="H2454" s="760"/>
      <c r="I2454" s="760"/>
      <c r="J2454" s="760"/>
      <c r="K2454" s="760"/>
    </row>
    <row r="2455" spans="1:11">
      <c r="A2455" s="760"/>
      <c r="B2455" s="760"/>
      <c r="C2455" s="760"/>
      <c r="D2455" s="760"/>
      <c r="E2455" s="760"/>
      <c r="F2455" s="760"/>
      <c r="G2455" s="760"/>
      <c r="H2455" s="760"/>
      <c r="I2455" s="760"/>
      <c r="J2455" s="760"/>
      <c r="K2455" s="760"/>
    </row>
    <row r="2456" spans="1:11">
      <c r="A2456" s="760"/>
      <c r="B2456" s="760"/>
      <c r="C2456" s="760"/>
      <c r="D2456" s="760"/>
      <c r="E2456" s="760"/>
      <c r="F2456" s="760"/>
      <c r="G2456" s="760"/>
      <c r="H2456" s="760"/>
      <c r="I2456" s="760"/>
      <c r="J2456" s="760"/>
      <c r="K2456" s="760"/>
    </row>
    <row r="2457" spans="1:11">
      <c r="A2457" s="760"/>
      <c r="B2457" s="760"/>
      <c r="C2457" s="760"/>
      <c r="D2457" s="760"/>
      <c r="E2457" s="760"/>
      <c r="F2457" s="760"/>
      <c r="G2457" s="760"/>
      <c r="H2457" s="760"/>
      <c r="I2457" s="760"/>
      <c r="J2457" s="760"/>
      <c r="K2457" s="760"/>
    </row>
    <row r="2458" spans="1:11">
      <c r="A2458" s="760"/>
      <c r="B2458" s="760"/>
      <c r="C2458" s="760"/>
      <c r="D2458" s="760"/>
      <c r="E2458" s="760"/>
      <c r="F2458" s="760"/>
      <c r="G2458" s="760"/>
      <c r="H2458" s="760"/>
      <c r="I2458" s="760"/>
      <c r="J2458" s="760"/>
      <c r="K2458" s="760"/>
    </row>
    <row r="2459" spans="1:11">
      <c r="A2459" s="760"/>
      <c r="B2459" s="760"/>
      <c r="C2459" s="760"/>
      <c r="D2459" s="760"/>
      <c r="E2459" s="760"/>
      <c r="F2459" s="760"/>
      <c r="G2459" s="760"/>
      <c r="H2459" s="760"/>
      <c r="I2459" s="760"/>
      <c r="J2459" s="760"/>
      <c r="K2459" s="760"/>
    </row>
    <row r="2460" spans="1:11">
      <c r="A2460" s="760"/>
      <c r="B2460" s="760"/>
      <c r="C2460" s="760"/>
      <c r="D2460" s="760"/>
      <c r="E2460" s="760"/>
      <c r="F2460" s="760"/>
      <c r="G2460" s="760"/>
      <c r="H2460" s="760"/>
      <c r="I2460" s="760"/>
      <c r="J2460" s="760"/>
      <c r="K2460" s="760"/>
    </row>
    <row r="2461" spans="1:11">
      <c r="A2461" s="760"/>
      <c r="B2461" s="760"/>
      <c r="C2461" s="760"/>
      <c r="D2461" s="760"/>
      <c r="E2461" s="760"/>
      <c r="F2461" s="760"/>
      <c r="G2461" s="760"/>
      <c r="H2461" s="760"/>
      <c r="I2461" s="760"/>
      <c r="J2461" s="760"/>
      <c r="K2461" s="760"/>
    </row>
    <row r="2462" spans="1:11">
      <c r="A2462" s="760"/>
      <c r="B2462" s="760"/>
      <c r="C2462" s="760"/>
      <c r="D2462" s="760"/>
      <c r="E2462" s="760"/>
      <c r="F2462" s="760"/>
      <c r="G2462" s="760"/>
      <c r="H2462" s="760"/>
      <c r="I2462" s="760"/>
      <c r="J2462" s="760"/>
      <c r="K2462" s="760"/>
    </row>
    <row r="2463" spans="1:11">
      <c r="A2463" s="760"/>
      <c r="B2463" s="760"/>
      <c r="C2463" s="760"/>
      <c r="D2463" s="760"/>
      <c r="E2463" s="760"/>
      <c r="F2463" s="760"/>
      <c r="G2463" s="760"/>
      <c r="H2463" s="760"/>
      <c r="I2463" s="760"/>
      <c r="J2463" s="760"/>
      <c r="K2463" s="760"/>
    </row>
    <row r="2464" spans="1:11">
      <c r="A2464" s="760"/>
      <c r="B2464" s="760"/>
      <c r="C2464" s="760"/>
      <c r="D2464" s="760"/>
      <c r="E2464" s="760"/>
      <c r="F2464" s="760"/>
      <c r="G2464" s="760"/>
      <c r="H2464" s="760"/>
      <c r="I2464" s="760"/>
      <c r="J2464" s="760"/>
      <c r="K2464" s="760"/>
    </row>
    <row r="2465" spans="1:11">
      <c r="A2465" s="760"/>
      <c r="B2465" s="760"/>
      <c r="C2465" s="760"/>
      <c r="D2465" s="760"/>
      <c r="E2465" s="760"/>
      <c r="F2465" s="760"/>
      <c r="G2465" s="760"/>
      <c r="H2465" s="760"/>
      <c r="I2465" s="760"/>
      <c r="J2465" s="760"/>
      <c r="K2465" s="760"/>
    </row>
    <row r="2466" spans="1:11">
      <c r="A2466" s="760"/>
      <c r="B2466" s="760"/>
      <c r="C2466" s="760"/>
      <c r="D2466" s="760"/>
      <c r="E2466" s="760"/>
      <c r="F2466" s="760"/>
      <c r="G2466" s="760"/>
      <c r="H2466" s="760"/>
      <c r="I2466" s="760"/>
      <c r="J2466" s="760"/>
      <c r="K2466" s="760"/>
    </row>
    <row r="2467" spans="1:11">
      <c r="A2467" s="760"/>
      <c r="B2467" s="760"/>
      <c r="C2467" s="760"/>
      <c r="D2467" s="760"/>
      <c r="E2467" s="760"/>
      <c r="F2467" s="760"/>
      <c r="G2467" s="760"/>
      <c r="H2467" s="760"/>
      <c r="I2467" s="760"/>
      <c r="J2467" s="760"/>
      <c r="K2467" s="760"/>
    </row>
    <row r="2468" spans="1:11">
      <c r="A2468" s="760"/>
      <c r="B2468" s="760"/>
      <c r="C2468" s="760"/>
      <c r="D2468" s="760"/>
      <c r="E2468" s="760"/>
      <c r="F2468" s="760"/>
      <c r="G2468" s="760"/>
      <c r="H2468" s="760"/>
      <c r="I2468" s="760"/>
      <c r="J2468" s="760"/>
      <c r="K2468" s="760"/>
    </row>
    <row r="2469" spans="1:11">
      <c r="A2469" s="760"/>
      <c r="B2469" s="760"/>
      <c r="C2469" s="760"/>
      <c r="D2469" s="760"/>
      <c r="E2469" s="760"/>
      <c r="F2469" s="760"/>
      <c r="G2469" s="760"/>
      <c r="H2469" s="760"/>
      <c r="I2469" s="760"/>
      <c r="J2469" s="760"/>
      <c r="K2469" s="760"/>
    </row>
    <row r="2470" spans="1:11">
      <c r="A2470" s="760"/>
      <c r="B2470" s="760"/>
      <c r="C2470" s="760"/>
      <c r="D2470" s="760"/>
      <c r="E2470" s="760"/>
      <c r="F2470" s="760"/>
      <c r="G2470" s="760"/>
      <c r="H2470" s="760"/>
      <c r="I2470" s="760"/>
      <c r="J2470" s="760"/>
      <c r="K2470" s="760"/>
    </row>
    <row r="2471" spans="1:11">
      <c r="A2471" s="760"/>
      <c r="B2471" s="760"/>
      <c r="C2471" s="760"/>
      <c r="D2471" s="760"/>
      <c r="E2471" s="760"/>
      <c r="F2471" s="760"/>
      <c r="G2471" s="760"/>
      <c r="H2471" s="760"/>
      <c r="I2471" s="760"/>
      <c r="J2471" s="760"/>
      <c r="K2471" s="760"/>
    </row>
    <row r="2472" spans="1:11">
      <c r="A2472" s="760"/>
      <c r="B2472" s="760"/>
      <c r="C2472" s="760"/>
      <c r="D2472" s="760"/>
      <c r="E2472" s="760"/>
      <c r="F2472" s="760"/>
      <c r="G2472" s="760"/>
      <c r="H2472" s="760"/>
      <c r="I2472" s="760"/>
      <c r="J2472" s="760"/>
      <c r="K2472" s="760"/>
    </row>
    <row r="2473" spans="1:11">
      <c r="A2473" s="760"/>
      <c r="B2473" s="760"/>
      <c r="C2473" s="760"/>
      <c r="D2473" s="760"/>
      <c r="E2473" s="760"/>
      <c r="F2473" s="760"/>
      <c r="G2473" s="760"/>
      <c r="H2473" s="760"/>
      <c r="I2473" s="760"/>
      <c r="J2473" s="760"/>
      <c r="K2473" s="760"/>
    </row>
    <row r="2474" spans="1:11">
      <c r="A2474" s="760"/>
      <c r="B2474" s="760"/>
      <c r="C2474" s="760"/>
      <c r="D2474" s="760"/>
      <c r="E2474" s="760"/>
      <c r="F2474" s="760"/>
      <c r="G2474" s="760"/>
      <c r="H2474" s="760"/>
      <c r="I2474" s="760"/>
      <c r="J2474" s="760"/>
      <c r="K2474" s="760"/>
    </row>
    <row r="2475" spans="1:11">
      <c r="A2475" s="760"/>
      <c r="B2475" s="760"/>
      <c r="C2475" s="760"/>
      <c r="D2475" s="760"/>
      <c r="E2475" s="760"/>
      <c r="F2475" s="760"/>
      <c r="G2475" s="760"/>
      <c r="H2475" s="760"/>
      <c r="I2475" s="760"/>
      <c r="J2475" s="760"/>
      <c r="K2475" s="760"/>
    </row>
    <row r="2476" spans="1:11">
      <c r="A2476" s="760"/>
      <c r="B2476" s="760"/>
      <c r="C2476" s="760"/>
      <c r="D2476" s="760"/>
      <c r="E2476" s="760"/>
      <c r="F2476" s="760"/>
      <c r="G2476" s="760"/>
      <c r="H2476" s="760"/>
      <c r="I2476" s="760"/>
      <c r="J2476" s="760"/>
      <c r="K2476" s="760"/>
    </row>
    <row r="2477" spans="1:11">
      <c r="A2477" s="760"/>
      <c r="B2477" s="760"/>
      <c r="C2477" s="760"/>
      <c r="D2477" s="760"/>
      <c r="E2477" s="760"/>
      <c r="F2477" s="760"/>
      <c r="G2477" s="760"/>
      <c r="H2477" s="760"/>
      <c r="I2477" s="760"/>
      <c r="J2477" s="760"/>
      <c r="K2477" s="760"/>
    </row>
    <row r="2478" spans="1:11">
      <c r="A2478" s="760"/>
      <c r="B2478" s="760"/>
      <c r="C2478" s="760"/>
      <c r="D2478" s="760"/>
      <c r="E2478" s="760"/>
      <c r="F2478" s="760"/>
      <c r="G2478" s="760"/>
      <c r="H2478" s="760"/>
      <c r="I2478" s="760"/>
      <c r="J2478" s="760"/>
      <c r="K2478" s="760"/>
    </row>
    <row r="2479" spans="1:11">
      <c r="A2479" s="760"/>
      <c r="B2479" s="760"/>
      <c r="C2479" s="760"/>
      <c r="D2479" s="760"/>
      <c r="E2479" s="760"/>
      <c r="F2479" s="760"/>
      <c r="G2479" s="760"/>
      <c r="H2479" s="760"/>
      <c r="I2479" s="760"/>
      <c r="J2479" s="760"/>
      <c r="K2479" s="760"/>
    </row>
    <row r="2480" spans="1:11">
      <c r="A2480" s="760"/>
      <c r="B2480" s="760"/>
      <c r="C2480" s="760"/>
      <c r="D2480" s="760"/>
      <c r="E2480" s="760"/>
      <c r="F2480" s="760"/>
      <c r="G2480" s="760"/>
      <c r="H2480" s="760"/>
      <c r="I2480" s="760"/>
      <c r="J2480" s="760"/>
      <c r="K2480" s="760"/>
    </row>
    <row r="2481" spans="1:11">
      <c r="A2481" s="760"/>
      <c r="B2481" s="760"/>
      <c r="C2481" s="760"/>
      <c r="D2481" s="760"/>
      <c r="E2481" s="760"/>
      <c r="F2481" s="760"/>
      <c r="G2481" s="760"/>
      <c r="H2481" s="760"/>
      <c r="I2481" s="760"/>
      <c r="J2481" s="760"/>
      <c r="K2481" s="760"/>
    </row>
    <row r="2482" spans="1:11">
      <c r="A2482" s="760"/>
      <c r="B2482" s="760"/>
      <c r="C2482" s="760"/>
      <c r="D2482" s="760"/>
      <c r="E2482" s="760"/>
      <c r="F2482" s="760"/>
      <c r="G2482" s="760"/>
      <c r="H2482" s="760"/>
      <c r="I2482" s="760"/>
      <c r="J2482" s="760"/>
      <c r="K2482" s="760"/>
    </row>
    <row r="2483" spans="1:11">
      <c r="A2483" s="760"/>
      <c r="B2483" s="760"/>
      <c r="C2483" s="760"/>
      <c r="D2483" s="760"/>
      <c r="E2483" s="760"/>
      <c r="F2483" s="760"/>
      <c r="G2483" s="760"/>
      <c r="H2483" s="760"/>
      <c r="I2483" s="760"/>
      <c r="J2483" s="760"/>
      <c r="K2483" s="760"/>
    </row>
    <row r="2484" spans="1:11">
      <c r="A2484" s="760"/>
      <c r="B2484" s="760"/>
      <c r="C2484" s="760"/>
      <c r="D2484" s="760"/>
      <c r="E2484" s="760"/>
      <c r="F2484" s="760"/>
      <c r="G2484" s="760"/>
      <c r="H2484" s="760"/>
      <c r="I2484" s="760"/>
      <c r="J2484" s="760"/>
      <c r="K2484" s="760"/>
    </row>
    <row r="2485" spans="1:11">
      <c r="A2485" s="760"/>
      <c r="B2485" s="760"/>
      <c r="C2485" s="760"/>
      <c r="D2485" s="760"/>
      <c r="E2485" s="760"/>
      <c r="F2485" s="760"/>
      <c r="G2485" s="760"/>
      <c r="H2485" s="760"/>
      <c r="I2485" s="760"/>
      <c r="J2485" s="760"/>
      <c r="K2485" s="760"/>
    </row>
    <row r="2486" spans="1:11">
      <c r="A2486" s="760"/>
      <c r="B2486" s="760"/>
      <c r="C2486" s="760"/>
      <c r="D2486" s="760"/>
      <c r="E2486" s="760"/>
      <c r="F2486" s="760"/>
      <c r="G2486" s="760"/>
      <c r="H2486" s="760"/>
      <c r="I2486" s="760"/>
      <c r="J2486" s="760"/>
      <c r="K2486" s="760"/>
    </row>
    <row r="2487" spans="1:11">
      <c r="A2487" s="760"/>
      <c r="B2487" s="760"/>
      <c r="C2487" s="760"/>
      <c r="D2487" s="760"/>
      <c r="E2487" s="760"/>
      <c r="F2487" s="760"/>
      <c r="G2487" s="760"/>
      <c r="H2487" s="760"/>
      <c r="I2487" s="760"/>
      <c r="J2487" s="760"/>
      <c r="K2487" s="760"/>
    </row>
    <row r="2488" spans="1:11">
      <c r="A2488" s="760"/>
      <c r="B2488" s="760"/>
      <c r="C2488" s="760"/>
      <c r="D2488" s="760"/>
      <c r="E2488" s="760"/>
      <c r="F2488" s="760"/>
      <c r="G2488" s="760"/>
      <c r="H2488" s="760"/>
      <c r="I2488" s="760"/>
      <c r="J2488" s="760"/>
      <c r="K2488" s="760"/>
    </row>
    <row r="2489" spans="1:11">
      <c r="A2489" s="760"/>
      <c r="B2489" s="760"/>
      <c r="C2489" s="760"/>
      <c r="D2489" s="760"/>
      <c r="E2489" s="760"/>
      <c r="F2489" s="760"/>
      <c r="G2489" s="760"/>
      <c r="H2489" s="760"/>
      <c r="I2489" s="760"/>
      <c r="J2489" s="760"/>
      <c r="K2489" s="760"/>
    </row>
    <row r="2490" spans="1:11">
      <c r="A2490" s="760"/>
      <c r="B2490" s="760"/>
      <c r="C2490" s="760"/>
      <c r="D2490" s="760"/>
      <c r="E2490" s="760"/>
      <c r="F2490" s="760"/>
      <c r="G2490" s="760"/>
      <c r="H2490" s="760"/>
      <c r="I2490" s="760"/>
      <c r="J2490" s="760"/>
      <c r="K2490" s="760"/>
    </row>
    <row r="2491" spans="1:11">
      <c r="A2491" s="760"/>
      <c r="B2491" s="760"/>
      <c r="C2491" s="760"/>
      <c r="D2491" s="760"/>
      <c r="E2491" s="760"/>
      <c r="F2491" s="760"/>
      <c r="G2491" s="760"/>
      <c r="H2491" s="760"/>
      <c r="I2491" s="760"/>
      <c r="J2491" s="760"/>
      <c r="K2491" s="760"/>
    </row>
    <row r="2492" spans="1:11">
      <c r="A2492" s="760"/>
      <c r="B2492" s="760"/>
      <c r="C2492" s="760"/>
      <c r="D2492" s="760"/>
      <c r="E2492" s="760"/>
      <c r="F2492" s="760"/>
      <c r="G2492" s="760"/>
      <c r="H2492" s="760"/>
      <c r="I2492" s="760"/>
      <c r="J2492" s="760"/>
      <c r="K2492" s="760"/>
    </row>
    <row r="2493" spans="1:11">
      <c r="A2493" s="760"/>
      <c r="B2493" s="760"/>
      <c r="C2493" s="760"/>
      <c r="D2493" s="760"/>
      <c r="E2493" s="760"/>
      <c r="F2493" s="760"/>
      <c r="G2493" s="760"/>
      <c r="H2493" s="760"/>
      <c r="I2493" s="760"/>
      <c r="J2493" s="760"/>
      <c r="K2493" s="760"/>
    </row>
    <row r="2494" spans="1:11">
      <c r="A2494" s="760"/>
      <c r="B2494" s="760"/>
      <c r="C2494" s="760"/>
      <c r="D2494" s="760"/>
      <c r="E2494" s="760"/>
      <c r="F2494" s="760"/>
      <c r="G2494" s="760"/>
      <c r="H2494" s="760"/>
      <c r="I2494" s="760"/>
      <c r="J2494" s="760"/>
      <c r="K2494" s="760"/>
    </row>
    <row r="2495" spans="1:11">
      <c r="A2495" s="760"/>
      <c r="B2495" s="760"/>
      <c r="C2495" s="760"/>
      <c r="D2495" s="760"/>
      <c r="E2495" s="760"/>
      <c r="F2495" s="760"/>
      <c r="G2495" s="760"/>
      <c r="H2495" s="760"/>
      <c r="I2495" s="760"/>
      <c r="J2495" s="760"/>
      <c r="K2495" s="760"/>
    </row>
    <row r="2496" spans="1:11">
      <c r="A2496" s="760"/>
      <c r="B2496" s="760"/>
      <c r="C2496" s="760"/>
      <c r="D2496" s="760"/>
      <c r="E2496" s="760"/>
      <c r="F2496" s="760"/>
      <c r="G2496" s="760"/>
      <c r="H2496" s="760"/>
      <c r="I2496" s="760"/>
      <c r="J2496" s="760"/>
      <c r="K2496" s="760"/>
    </row>
    <row r="2497" spans="1:11">
      <c r="A2497" s="760"/>
      <c r="B2497" s="760"/>
      <c r="C2497" s="760"/>
      <c r="D2497" s="760"/>
      <c r="E2497" s="760"/>
      <c r="F2497" s="760"/>
      <c r="G2497" s="760"/>
      <c r="H2497" s="760"/>
      <c r="I2497" s="760"/>
      <c r="J2497" s="760"/>
      <c r="K2497" s="760"/>
    </row>
    <row r="2498" spans="1:11">
      <c r="A2498" s="760"/>
      <c r="B2498" s="760"/>
      <c r="C2498" s="760"/>
      <c r="D2498" s="760"/>
      <c r="E2498" s="760"/>
      <c r="F2498" s="760"/>
      <c r="G2498" s="760"/>
      <c r="H2498" s="760"/>
      <c r="I2498" s="760"/>
      <c r="J2498" s="760"/>
      <c r="K2498" s="760"/>
    </row>
    <row r="2499" spans="1:11">
      <c r="A2499" s="760"/>
      <c r="B2499" s="760"/>
      <c r="C2499" s="760"/>
      <c r="D2499" s="760"/>
      <c r="E2499" s="760"/>
      <c r="F2499" s="760"/>
      <c r="G2499" s="760"/>
      <c r="H2499" s="760"/>
      <c r="I2499" s="760"/>
      <c r="J2499" s="760"/>
      <c r="K2499" s="760"/>
    </row>
    <row r="2500" spans="1:11">
      <c r="A2500" s="760"/>
      <c r="B2500" s="760"/>
      <c r="C2500" s="760"/>
      <c r="D2500" s="760"/>
      <c r="E2500" s="760"/>
      <c r="F2500" s="760"/>
      <c r="G2500" s="760"/>
      <c r="H2500" s="760"/>
      <c r="I2500" s="760"/>
      <c r="J2500" s="760"/>
      <c r="K2500" s="760"/>
    </row>
    <row r="2501" spans="1:11">
      <c r="A2501" s="760"/>
      <c r="B2501" s="760"/>
      <c r="C2501" s="760"/>
      <c r="D2501" s="760"/>
      <c r="E2501" s="760"/>
      <c r="F2501" s="760"/>
      <c r="G2501" s="760"/>
      <c r="H2501" s="760"/>
      <c r="I2501" s="760"/>
      <c r="J2501" s="760"/>
      <c r="K2501" s="760"/>
    </row>
    <row r="2502" spans="1:11">
      <c r="A2502" s="760"/>
      <c r="B2502" s="760"/>
      <c r="C2502" s="760"/>
      <c r="D2502" s="760"/>
      <c r="E2502" s="760"/>
      <c r="F2502" s="760"/>
      <c r="G2502" s="760"/>
      <c r="H2502" s="760"/>
      <c r="I2502" s="760"/>
      <c r="J2502" s="760"/>
      <c r="K2502" s="760"/>
    </row>
    <row r="2503" spans="1:11">
      <c r="A2503" s="760"/>
      <c r="B2503" s="760"/>
      <c r="C2503" s="760"/>
      <c r="D2503" s="760"/>
      <c r="E2503" s="760"/>
      <c r="F2503" s="760"/>
      <c r="G2503" s="760"/>
      <c r="H2503" s="760"/>
      <c r="I2503" s="760"/>
      <c r="J2503" s="760"/>
      <c r="K2503" s="760"/>
    </row>
    <row r="2504" spans="1:11">
      <c r="A2504" s="760"/>
      <c r="B2504" s="760"/>
      <c r="C2504" s="760"/>
      <c r="D2504" s="760"/>
      <c r="E2504" s="760"/>
      <c r="F2504" s="760"/>
      <c r="G2504" s="760"/>
      <c r="H2504" s="760"/>
      <c r="I2504" s="760"/>
      <c r="J2504" s="760"/>
      <c r="K2504" s="760"/>
    </row>
    <row r="2505" spans="1:11">
      <c r="A2505" s="760"/>
      <c r="B2505" s="760"/>
      <c r="C2505" s="760"/>
      <c r="D2505" s="760"/>
      <c r="E2505" s="760"/>
      <c r="F2505" s="760"/>
      <c r="G2505" s="760"/>
      <c r="H2505" s="760"/>
      <c r="I2505" s="760"/>
      <c r="J2505" s="760"/>
      <c r="K2505" s="760"/>
    </row>
    <row r="2506" spans="1:11">
      <c r="A2506" s="760"/>
      <c r="B2506" s="760"/>
      <c r="C2506" s="760"/>
      <c r="D2506" s="760"/>
      <c r="E2506" s="760"/>
      <c r="F2506" s="760"/>
      <c r="G2506" s="760"/>
      <c r="H2506" s="760"/>
      <c r="I2506" s="760"/>
      <c r="J2506" s="760"/>
      <c r="K2506" s="760"/>
    </row>
    <row r="2507" spans="1:11">
      <c r="A2507" s="760"/>
      <c r="B2507" s="760"/>
      <c r="C2507" s="760"/>
      <c r="D2507" s="760"/>
      <c r="E2507" s="760"/>
      <c r="F2507" s="760"/>
      <c r="G2507" s="760"/>
      <c r="H2507" s="760"/>
      <c r="I2507" s="760"/>
      <c r="J2507" s="760"/>
      <c r="K2507" s="760"/>
    </row>
    <row r="2508" spans="1:11">
      <c r="A2508" s="760"/>
      <c r="B2508" s="760"/>
      <c r="C2508" s="760"/>
      <c r="D2508" s="760"/>
      <c r="E2508" s="760"/>
      <c r="F2508" s="760"/>
      <c r="G2508" s="760"/>
      <c r="H2508" s="760"/>
      <c r="I2508" s="760"/>
      <c r="J2508" s="760"/>
      <c r="K2508" s="760"/>
    </row>
    <row r="2509" spans="1:11">
      <c r="A2509" s="760"/>
      <c r="B2509" s="760"/>
      <c r="C2509" s="760"/>
      <c r="D2509" s="760"/>
      <c r="E2509" s="760"/>
      <c r="F2509" s="760"/>
      <c r="G2509" s="760"/>
      <c r="H2509" s="760"/>
      <c r="I2509" s="760"/>
      <c r="J2509" s="760"/>
      <c r="K2509" s="760"/>
    </row>
    <row r="2510" spans="1:11">
      <c r="A2510" s="760"/>
      <c r="B2510" s="760"/>
      <c r="C2510" s="760"/>
      <c r="D2510" s="760"/>
      <c r="E2510" s="760"/>
      <c r="F2510" s="760"/>
      <c r="G2510" s="760"/>
      <c r="H2510" s="760"/>
      <c r="I2510" s="760"/>
      <c r="J2510" s="760"/>
      <c r="K2510" s="760"/>
    </row>
    <row r="2511" spans="1:11">
      <c r="A2511" s="760"/>
      <c r="B2511" s="760"/>
      <c r="C2511" s="760"/>
      <c r="D2511" s="760"/>
      <c r="E2511" s="760"/>
      <c r="F2511" s="760"/>
      <c r="G2511" s="760"/>
      <c r="H2511" s="760"/>
      <c r="I2511" s="760"/>
      <c r="J2511" s="760"/>
      <c r="K2511" s="760"/>
    </row>
    <row r="2512" spans="1:11">
      <c r="A2512" s="760"/>
      <c r="B2512" s="760"/>
      <c r="C2512" s="760"/>
      <c r="D2512" s="760"/>
      <c r="E2512" s="760"/>
      <c r="F2512" s="760"/>
      <c r="G2512" s="760"/>
      <c r="H2512" s="760"/>
      <c r="I2512" s="760"/>
      <c r="J2512" s="760"/>
      <c r="K2512" s="760"/>
    </row>
    <row r="2513" spans="1:11">
      <c r="A2513" s="760"/>
      <c r="B2513" s="760"/>
      <c r="C2513" s="760"/>
      <c r="D2513" s="760"/>
      <c r="E2513" s="760"/>
      <c r="F2513" s="760"/>
      <c r="G2513" s="760"/>
      <c r="H2513" s="760"/>
      <c r="I2513" s="760"/>
      <c r="J2513" s="760"/>
      <c r="K2513" s="760"/>
    </row>
    <row r="2514" spans="1:11">
      <c r="A2514" s="760"/>
      <c r="B2514" s="760"/>
      <c r="C2514" s="760"/>
      <c r="D2514" s="760"/>
      <c r="E2514" s="760"/>
      <c r="F2514" s="760"/>
      <c r="G2514" s="760"/>
      <c r="H2514" s="760"/>
      <c r="I2514" s="760"/>
      <c r="J2514" s="760"/>
      <c r="K2514" s="760"/>
    </row>
    <row r="2515" spans="1:11">
      <c r="A2515" s="760"/>
      <c r="B2515" s="760"/>
      <c r="C2515" s="760"/>
      <c r="D2515" s="760"/>
      <c r="E2515" s="760"/>
      <c r="F2515" s="760"/>
      <c r="G2515" s="760"/>
      <c r="H2515" s="760"/>
      <c r="I2515" s="760"/>
      <c r="J2515" s="760"/>
      <c r="K2515" s="760"/>
    </row>
    <row r="2516" spans="1:11">
      <c r="A2516" s="760"/>
      <c r="B2516" s="760"/>
      <c r="C2516" s="760"/>
      <c r="D2516" s="760"/>
      <c r="E2516" s="760"/>
      <c r="F2516" s="760"/>
      <c r="G2516" s="760"/>
      <c r="H2516" s="760"/>
      <c r="I2516" s="760"/>
      <c r="J2516" s="760"/>
      <c r="K2516" s="760"/>
    </row>
    <row r="2517" spans="1:11">
      <c r="A2517" s="760"/>
      <c r="B2517" s="760"/>
      <c r="C2517" s="760"/>
      <c r="D2517" s="760"/>
      <c r="E2517" s="760"/>
      <c r="F2517" s="760"/>
      <c r="G2517" s="760"/>
      <c r="H2517" s="760"/>
      <c r="I2517" s="760"/>
      <c r="J2517" s="760"/>
      <c r="K2517" s="760"/>
    </row>
    <row r="2518" spans="1:11">
      <c r="A2518" s="760"/>
      <c r="B2518" s="760"/>
      <c r="C2518" s="760"/>
      <c r="D2518" s="760"/>
      <c r="E2518" s="760"/>
      <c r="F2518" s="760"/>
      <c r="G2518" s="760"/>
      <c r="H2518" s="760"/>
      <c r="I2518" s="760"/>
      <c r="J2518" s="760"/>
      <c r="K2518" s="760"/>
    </row>
    <row r="2519" spans="1:11">
      <c r="A2519" s="760"/>
      <c r="B2519" s="760"/>
      <c r="C2519" s="760"/>
      <c r="D2519" s="760"/>
      <c r="E2519" s="760"/>
      <c r="F2519" s="760"/>
      <c r="G2519" s="760"/>
      <c r="H2519" s="760"/>
      <c r="I2519" s="760"/>
      <c r="J2519" s="760"/>
      <c r="K2519" s="760"/>
    </row>
    <row r="2520" spans="1:11">
      <c r="A2520" s="760"/>
      <c r="B2520" s="760"/>
      <c r="C2520" s="760"/>
      <c r="D2520" s="760"/>
      <c r="E2520" s="760"/>
      <c r="F2520" s="760"/>
      <c r="G2520" s="760"/>
      <c r="H2520" s="760"/>
      <c r="I2520" s="760"/>
      <c r="J2520" s="760"/>
      <c r="K2520" s="760"/>
    </row>
    <row r="2521" spans="1:11">
      <c r="A2521" s="760"/>
      <c r="B2521" s="760"/>
      <c r="C2521" s="760"/>
      <c r="D2521" s="760"/>
      <c r="E2521" s="760"/>
      <c r="F2521" s="760"/>
      <c r="G2521" s="760"/>
      <c r="H2521" s="760"/>
      <c r="I2521" s="760"/>
      <c r="J2521" s="760"/>
      <c r="K2521" s="760"/>
    </row>
    <row r="2522" spans="1:11">
      <c r="A2522" s="760"/>
      <c r="B2522" s="760"/>
      <c r="C2522" s="760"/>
      <c r="D2522" s="760"/>
      <c r="E2522" s="760"/>
      <c r="F2522" s="760"/>
      <c r="G2522" s="760"/>
      <c r="H2522" s="760"/>
      <c r="I2522" s="760"/>
      <c r="J2522" s="760"/>
      <c r="K2522" s="760"/>
    </row>
    <row r="2523" spans="1:11">
      <c r="A2523" s="760"/>
      <c r="B2523" s="760"/>
      <c r="C2523" s="760"/>
      <c r="D2523" s="760"/>
      <c r="E2523" s="760"/>
      <c r="F2523" s="760"/>
      <c r="G2523" s="760"/>
      <c r="H2523" s="760"/>
      <c r="I2523" s="760"/>
      <c r="J2523" s="760"/>
      <c r="K2523" s="760"/>
    </row>
    <row r="2524" spans="1:11">
      <c r="A2524" s="760"/>
      <c r="B2524" s="760"/>
      <c r="C2524" s="760"/>
      <c r="D2524" s="760"/>
      <c r="E2524" s="760"/>
      <c r="F2524" s="760"/>
      <c r="G2524" s="760"/>
      <c r="H2524" s="760"/>
      <c r="I2524" s="760"/>
      <c r="J2524" s="760"/>
      <c r="K2524" s="760"/>
    </row>
    <row r="2525" spans="1:11">
      <c r="A2525" s="760"/>
      <c r="B2525" s="760"/>
      <c r="C2525" s="760"/>
      <c r="D2525" s="760"/>
      <c r="E2525" s="760"/>
      <c r="F2525" s="760"/>
      <c r="G2525" s="760"/>
      <c r="H2525" s="760"/>
      <c r="I2525" s="760"/>
      <c r="J2525" s="760"/>
      <c r="K2525" s="760"/>
    </row>
    <row r="2526" spans="1:11">
      <c r="A2526" s="760"/>
      <c r="B2526" s="760"/>
      <c r="C2526" s="760"/>
      <c r="D2526" s="760"/>
      <c r="E2526" s="760"/>
      <c r="F2526" s="760"/>
      <c r="G2526" s="760"/>
      <c r="H2526" s="760"/>
      <c r="I2526" s="760"/>
      <c r="J2526" s="760"/>
      <c r="K2526" s="760"/>
    </row>
    <row r="2527" spans="1:11">
      <c r="A2527" s="760"/>
      <c r="B2527" s="760"/>
      <c r="C2527" s="760"/>
      <c r="D2527" s="760"/>
      <c r="E2527" s="760"/>
      <c r="F2527" s="760"/>
      <c r="G2527" s="760"/>
      <c r="H2527" s="760"/>
      <c r="I2527" s="760"/>
      <c r="J2527" s="760"/>
      <c r="K2527" s="760"/>
    </row>
    <row r="2528" spans="1:11">
      <c r="A2528" s="760"/>
      <c r="B2528" s="760"/>
      <c r="C2528" s="760"/>
      <c r="D2528" s="760"/>
      <c r="E2528" s="760"/>
      <c r="F2528" s="760"/>
      <c r="G2528" s="760"/>
      <c r="H2528" s="760"/>
      <c r="I2528" s="760"/>
      <c r="J2528" s="760"/>
      <c r="K2528" s="760"/>
    </row>
    <row r="2529" spans="1:11">
      <c r="A2529" s="760"/>
      <c r="B2529" s="760"/>
      <c r="C2529" s="760"/>
      <c r="D2529" s="760"/>
      <c r="E2529" s="760"/>
      <c r="F2529" s="760"/>
      <c r="G2529" s="760"/>
      <c r="H2529" s="760"/>
      <c r="I2529" s="760"/>
      <c r="J2529" s="760"/>
      <c r="K2529" s="760"/>
    </row>
    <row r="2530" spans="1:11">
      <c r="A2530" s="760"/>
      <c r="B2530" s="760"/>
      <c r="C2530" s="760"/>
      <c r="D2530" s="760"/>
      <c r="E2530" s="760"/>
      <c r="F2530" s="760"/>
      <c r="G2530" s="760"/>
      <c r="H2530" s="760"/>
      <c r="I2530" s="760"/>
      <c r="J2530" s="760"/>
      <c r="K2530" s="760"/>
    </row>
    <row r="2531" spans="1:11">
      <c r="A2531" s="760"/>
      <c r="B2531" s="760"/>
      <c r="C2531" s="760"/>
      <c r="D2531" s="760"/>
      <c r="E2531" s="760"/>
      <c r="F2531" s="760"/>
      <c r="G2531" s="760"/>
      <c r="H2531" s="760"/>
      <c r="I2531" s="760"/>
      <c r="J2531" s="760"/>
      <c r="K2531" s="760"/>
    </row>
    <row r="2532" spans="1:11">
      <c r="A2532" s="760"/>
      <c r="B2532" s="760"/>
      <c r="C2532" s="760"/>
      <c r="D2532" s="760"/>
      <c r="E2532" s="760"/>
      <c r="F2532" s="760"/>
      <c r="G2532" s="760"/>
      <c r="H2532" s="760"/>
      <c r="I2532" s="760"/>
      <c r="J2532" s="760"/>
      <c r="K2532" s="760"/>
    </row>
    <row r="2533" spans="1:11">
      <c r="A2533" s="760"/>
      <c r="B2533" s="760"/>
      <c r="C2533" s="760"/>
      <c r="D2533" s="760"/>
      <c r="E2533" s="760"/>
      <c r="F2533" s="760"/>
      <c r="G2533" s="760"/>
      <c r="H2533" s="760"/>
      <c r="I2533" s="760"/>
      <c r="J2533" s="760"/>
      <c r="K2533" s="760"/>
    </row>
    <row r="2534" spans="1:11">
      <c r="A2534" s="760"/>
      <c r="B2534" s="760"/>
      <c r="C2534" s="760"/>
      <c r="D2534" s="760"/>
      <c r="E2534" s="760"/>
      <c r="F2534" s="760"/>
      <c r="G2534" s="760"/>
      <c r="H2534" s="760"/>
      <c r="I2534" s="760"/>
      <c r="J2534" s="760"/>
      <c r="K2534" s="760"/>
    </row>
    <row r="2535" spans="1:11">
      <c r="A2535" s="760"/>
      <c r="B2535" s="760"/>
      <c r="C2535" s="760"/>
      <c r="D2535" s="760"/>
      <c r="E2535" s="760"/>
      <c r="F2535" s="760"/>
      <c r="G2535" s="760"/>
      <c r="H2535" s="760"/>
      <c r="I2535" s="760"/>
      <c r="J2535" s="760"/>
      <c r="K2535" s="760"/>
    </row>
    <row r="2536" spans="1:11">
      <c r="A2536" s="760"/>
      <c r="B2536" s="760"/>
      <c r="C2536" s="760"/>
      <c r="D2536" s="760"/>
      <c r="E2536" s="760"/>
      <c r="F2536" s="760"/>
      <c r="G2536" s="760"/>
      <c r="H2536" s="760"/>
      <c r="I2536" s="760"/>
      <c r="J2536" s="760"/>
      <c r="K2536" s="760"/>
    </row>
    <row r="2537" spans="1:11">
      <c r="A2537" s="760"/>
      <c r="B2537" s="760"/>
      <c r="C2537" s="760"/>
      <c r="D2537" s="760"/>
      <c r="E2537" s="760"/>
      <c r="F2537" s="760"/>
      <c r="G2537" s="760"/>
      <c r="H2537" s="760"/>
      <c r="I2537" s="760"/>
      <c r="J2537" s="760"/>
      <c r="K2537" s="760"/>
    </row>
    <row r="2538" spans="1:11">
      <c r="A2538" s="760"/>
      <c r="B2538" s="760"/>
      <c r="C2538" s="760"/>
      <c r="D2538" s="760"/>
      <c r="E2538" s="760"/>
      <c r="F2538" s="760"/>
      <c r="G2538" s="760"/>
      <c r="H2538" s="760"/>
      <c r="I2538" s="760"/>
      <c r="J2538" s="760"/>
      <c r="K2538" s="760"/>
    </row>
    <row r="2539" spans="1:11">
      <c r="A2539" s="760"/>
      <c r="B2539" s="760"/>
      <c r="C2539" s="760"/>
      <c r="D2539" s="760"/>
      <c r="E2539" s="760"/>
      <c r="F2539" s="760"/>
      <c r="G2539" s="760"/>
      <c r="H2539" s="760"/>
      <c r="I2539" s="760"/>
      <c r="J2539" s="760"/>
      <c r="K2539" s="760"/>
    </row>
    <row r="2540" spans="1:11">
      <c r="A2540" s="760"/>
      <c r="B2540" s="760"/>
      <c r="C2540" s="760"/>
      <c r="D2540" s="760"/>
      <c r="E2540" s="760"/>
      <c r="F2540" s="760"/>
      <c r="G2540" s="760"/>
      <c r="H2540" s="760"/>
      <c r="I2540" s="760"/>
      <c r="J2540" s="760"/>
      <c r="K2540" s="760"/>
    </row>
    <row r="2541" spans="1:11">
      <c r="A2541" s="760"/>
      <c r="B2541" s="760"/>
      <c r="C2541" s="760"/>
      <c r="D2541" s="760"/>
      <c r="E2541" s="760"/>
      <c r="F2541" s="760"/>
      <c r="G2541" s="760"/>
      <c r="H2541" s="760"/>
      <c r="I2541" s="760"/>
      <c r="J2541" s="760"/>
      <c r="K2541" s="760"/>
    </row>
    <row r="2542" spans="1:11">
      <c r="A2542" s="760"/>
      <c r="B2542" s="760"/>
      <c r="C2542" s="760"/>
      <c r="D2542" s="760"/>
      <c r="E2542" s="760"/>
      <c r="F2542" s="760"/>
      <c r="G2542" s="760"/>
      <c r="H2542" s="760"/>
      <c r="I2542" s="760"/>
      <c r="J2542" s="760"/>
      <c r="K2542" s="760"/>
    </row>
    <row r="2543" spans="1:11">
      <c r="A2543" s="760"/>
      <c r="B2543" s="760"/>
      <c r="C2543" s="760"/>
      <c r="D2543" s="760"/>
      <c r="E2543" s="760"/>
      <c r="F2543" s="760"/>
      <c r="G2543" s="760"/>
      <c r="H2543" s="760"/>
      <c r="I2543" s="760"/>
      <c r="J2543" s="760"/>
      <c r="K2543" s="760"/>
    </row>
    <row r="2544" spans="1:11">
      <c r="A2544" s="760"/>
      <c r="B2544" s="760"/>
      <c r="C2544" s="760"/>
      <c r="D2544" s="760"/>
      <c r="E2544" s="760"/>
      <c r="F2544" s="760"/>
      <c r="G2544" s="760"/>
      <c r="H2544" s="760"/>
      <c r="I2544" s="760"/>
      <c r="J2544" s="760"/>
      <c r="K2544" s="760"/>
    </row>
    <row r="2545" spans="1:11">
      <c r="A2545" s="760"/>
      <c r="B2545" s="760"/>
      <c r="C2545" s="760"/>
      <c r="D2545" s="760"/>
      <c r="E2545" s="760"/>
      <c r="F2545" s="760"/>
      <c r="G2545" s="760"/>
      <c r="H2545" s="760"/>
      <c r="I2545" s="760"/>
      <c r="J2545" s="760"/>
      <c r="K2545" s="760"/>
    </row>
    <row r="2546" spans="1:11">
      <c r="A2546" s="760"/>
      <c r="B2546" s="760"/>
      <c r="C2546" s="760"/>
      <c r="D2546" s="760"/>
      <c r="E2546" s="760"/>
      <c r="F2546" s="760"/>
      <c r="G2546" s="760"/>
      <c r="H2546" s="760"/>
      <c r="I2546" s="760"/>
      <c r="J2546" s="760"/>
      <c r="K2546" s="760"/>
    </row>
    <row r="2547" spans="1:11">
      <c r="A2547" s="760"/>
      <c r="B2547" s="760"/>
      <c r="C2547" s="760"/>
      <c r="D2547" s="760"/>
      <c r="E2547" s="760"/>
      <c r="F2547" s="760"/>
      <c r="G2547" s="760"/>
      <c r="H2547" s="760"/>
      <c r="I2547" s="760"/>
      <c r="J2547" s="760"/>
      <c r="K2547" s="760"/>
    </row>
    <row r="2548" spans="1:11">
      <c r="A2548" s="760"/>
      <c r="B2548" s="760"/>
      <c r="C2548" s="760"/>
      <c r="D2548" s="760"/>
      <c r="E2548" s="760"/>
      <c r="F2548" s="760"/>
      <c r="G2548" s="760"/>
      <c r="H2548" s="760"/>
      <c r="I2548" s="760"/>
      <c r="J2548" s="760"/>
      <c r="K2548" s="760"/>
    </row>
    <row r="2549" spans="1:11">
      <c r="A2549" s="760"/>
      <c r="B2549" s="760"/>
      <c r="C2549" s="760"/>
      <c r="D2549" s="760"/>
      <c r="E2549" s="760"/>
      <c r="F2549" s="760"/>
      <c r="G2549" s="760"/>
      <c r="H2549" s="760"/>
      <c r="I2549" s="760"/>
      <c r="J2549" s="760"/>
      <c r="K2549" s="760"/>
    </row>
    <row r="2550" spans="1:11">
      <c r="A2550" s="760"/>
      <c r="B2550" s="760"/>
      <c r="C2550" s="760"/>
      <c r="D2550" s="760"/>
      <c r="E2550" s="760"/>
      <c r="F2550" s="760"/>
      <c r="G2550" s="760"/>
      <c r="H2550" s="760"/>
      <c r="I2550" s="760"/>
      <c r="J2550" s="760"/>
      <c r="K2550" s="760"/>
    </row>
    <row r="2551" spans="1:11">
      <c r="A2551" s="760"/>
      <c r="B2551" s="760"/>
      <c r="C2551" s="760"/>
      <c r="D2551" s="760"/>
      <c r="E2551" s="760"/>
      <c r="F2551" s="760"/>
      <c r="G2551" s="760"/>
      <c r="H2551" s="760"/>
      <c r="I2551" s="760"/>
      <c r="J2551" s="760"/>
      <c r="K2551" s="760"/>
    </row>
    <row r="2552" spans="1:11">
      <c r="A2552" s="760"/>
      <c r="B2552" s="760"/>
      <c r="C2552" s="760"/>
      <c r="D2552" s="760"/>
      <c r="E2552" s="760"/>
      <c r="F2552" s="760"/>
      <c r="G2552" s="760"/>
      <c r="H2552" s="760"/>
      <c r="I2552" s="760"/>
      <c r="J2552" s="760"/>
      <c r="K2552" s="760"/>
    </row>
    <row r="2553" spans="1:11">
      <c r="A2553" s="760"/>
      <c r="B2553" s="760"/>
      <c r="C2553" s="760"/>
      <c r="D2553" s="760"/>
      <c r="E2553" s="760"/>
      <c r="F2553" s="760"/>
      <c r="G2553" s="760"/>
      <c r="H2553" s="760"/>
      <c r="I2553" s="760"/>
      <c r="J2553" s="760"/>
      <c r="K2553" s="760"/>
    </row>
    <row r="2554" spans="1:11">
      <c r="A2554" s="760"/>
      <c r="B2554" s="760"/>
      <c r="C2554" s="760"/>
      <c r="D2554" s="760"/>
      <c r="E2554" s="760"/>
      <c r="F2554" s="760"/>
      <c r="G2554" s="760"/>
      <c r="H2554" s="760"/>
      <c r="I2554" s="760"/>
      <c r="J2554" s="760"/>
      <c r="K2554" s="760"/>
    </row>
    <row r="2555" spans="1:11">
      <c r="A2555" s="760"/>
      <c r="B2555" s="760"/>
      <c r="C2555" s="760"/>
      <c r="D2555" s="760"/>
      <c r="E2555" s="760"/>
      <c r="F2555" s="760"/>
      <c r="G2555" s="760"/>
      <c r="H2555" s="760"/>
      <c r="I2555" s="760"/>
      <c r="J2555" s="760"/>
      <c r="K2555" s="760"/>
    </row>
    <row r="2556" spans="1:11">
      <c r="A2556" s="760"/>
      <c r="B2556" s="760"/>
      <c r="C2556" s="760"/>
      <c r="D2556" s="760"/>
      <c r="E2556" s="760"/>
      <c r="F2556" s="760"/>
      <c r="G2556" s="760"/>
      <c r="H2556" s="760"/>
      <c r="I2556" s="760"/>
      <c r="J2556" s="760"/>
      <c r="K2556" s="760"/>
    </row>
    <row r="2557" spans="1:11">
      <c r="A2557" s="760"/>
      <c r="B2557" s="760"/>
      <c r="C2557" s="760"/>
      <c r="D2557" s="760"/>
      <c r="E2557" s="760"/>
      <c r="F2557" s="760"/>
      <c r="G2557" s="760"/>
      <c r="H2557" s="760"/>
      <c r="I2557" s="760"/>
      <c r="J2557" s="760"/>
      <c r="K2557" s="760"/>
    </row>
    <row r="2558" spans="1:11">
      <c r="A2558" s="760"/>
      <c r="B2558" s="760"/>
      <c r="C2558" s="760"/>
      <c r="D2558" s="760"/>
      <c r="E2558" s="760"/>
      <c r="F2558" s="760"/>
      <c r="G2558" s="760"/>
      <c r="H2558" s="760"/>
      <c r="I2558" s="760"/>
      <c r="J2558" s="760"/>
      <c r="K2558" s="760"/>
    </row>
    <row r="2559" spans="1:11">
      <c r="A2559" s="760"/>
      <c r="B2559" s="760"/>
      <c r="C2559" s="760"/>
      <c r="D2559" s="760"/>
      <c r="E2559" s="760"/>
      <c r="F2559" s="760"/>
      <c r="G2559" s="760"/>
      <c r="H2559" s="760"/>
      <c r="I2559" s="760"/>
      <c r="J2559" s="760"/>
      <c r="K2559" s="760"/>
    </row>
    <row r="2560" spans="1:11">
      <c r="A2560" s="760"/>
      <c r="B2560" s="760"/>
      <c r="C2560" s="760"/>
      <c r="D2560" s="760"/>
      <c r="E2560" s="760"/>
      <c r="F2560" s="760"/>
      <c r="G2560" s="760"/>
      <c r="H2560" s="760"/>
      <c r="I2560" s="760"/>
      <c r="J2560" s="760"/>
      <c r="K2560" s="760"/>
    </row>
    <row r="2561" spans="1:11">
      <c r="A2561" s="760"/>
      <c r="B2561" s="760"/>
      <c r="C2561" s="760"/>
      <c r="D2561" s="760"/>
      <c r="E2561" s="760"/>
      <c r="F2561" s="760"/>
      <c r="G2561" s="760"/>
      <c r="H2561" s="760"/>
      <c r="I2561" s="760"/>
      <c r="J2561" s="760"/>
      <c r="K2561" s="760"/>
    </row>
    <row r="2562" spans="1:11">
      <c r="A2562" s="760"/>
      <c r="B2562" s="760"/>
      <c r="C2562" s="760"/>
      <c r="D2562" s="760"/>
      <c r="E2562" s="760"/>
      <c r="F2562" s="760"/>
      <c r="G2562" s="760"/>
      <c r="H2562" s="760"/>
      <c r="I2562" s="760"/>
      <c r="J2562" s="760"/>
      <c r="K2562" s="760"/>
    </row>
    <row r="2563" spans="1:11">
      <c r="A2563" s="760"/>
      <c r="B2563" s="760"/>
      <c r="C2563" s="760"/>
      <c r="D2563" s="760"/>
      <c r="E2563" s="760"/>
      <c r="F2563" s="760"/>
      <c r="G2563" s="760"/>
      <c r="H2563" s="760"/>
      <c r="I2563" s="760"/>
      <c r="J2563" s="760"/>
      <c r="K2563" s="760"/>
    </row>
    <row r="2564" spans="1:11">
      <c r="A2564" s="760"/>
      <c r="B2564" s="760"/>
      <c r="C2564" s="760"/>
      <c r="D2564" s="760"/>
      <c r="E2564" s="760"/>
      <c r="F2564" s="760"/>
      <c r="G2564" s="760"/>
      <c r="H2564" s="760"/>
      <c r="I2564" s="760"/>
      <c r="J2564" s="760"/>
      <c r="K2564" s="760"/>
    </row>
    <row r="2565" spans="1:11">
      <c r="A2565" s="760"/>
      <c r="B2565" s="760"/>
      <c r="C2565" s="760"/>
      <c r="D2565" s="760"/>
      <c r="E2565" s="760"/>
      <c r="F2565" s="760"/>
      <c r="G2565" s="760"/>
      <c r="H2565" s="760"/>
      <c r="I2565" s="760"/>
      <c r="J2565" s="760"/>
      <c r="K2565" s="760"/>
    </row>
    <row r="2566" spans="1:11">
      <c r="A2566" s="760"/>
      <c r="B2566" s="760"/>
      <c r="C2566" s="760"/>
      <c r="D2566" s="760"/>
      <c r="E2566" s="760"/>
      <c r="F2566" s="760"/>
      <c r="G2566" s="760"/>
      <c r="H2566" s="760"/>
      <c r="I2566" s="760"/>
      <c r="J2566" s="760"/>
      <c r="K2566" s="760"/>
    </row>
    <row r="2567" spans="1:11">
      <c r="A2567" s="760"/>
      <c r="B2567" s="760"/>
      <c r="C2567" s="760"/>
      <c r="D2567" s="760"/>
      <c r="E2567" s="760"/>
      <c r="F2567" s="760"/>
      <c r="G2567" s="760"/>
      <c r="H2567" s="760"/>
      <c r="I2567" s="760"/>
      <c r="J2567" s="760"/>
      <c r="K2567" s="760"/>
    </row>
    <row r="2568" spans="1:11">
      <c r="A2568" s="760"/>
      <c r="B2568" s="760"/>
      <c r="C2568" s="760"/>
      <c r="D2568" s="760"/>
      <c r="E2568" s="760"/>
      <c r="F2568" s="760"/>
      <c r="G2568" s="760"/>
      <c r="H2568" s="760"/>
      <c r="I2568" s="760"/>
      <c r="J2568" s="760"/>
      <c r="K2568" s="760"/>
    </row>
    <row r="2569" spans="1:11">
      <c r="A2569" s="760"/>
      <c r="B2569" s="760"/>
      <c r="C2569" s="760"/>
      <c r="D2569" s="760"/>
      <c r="E2569" s="760"/>
      <c r="F2569" s="760"/>
      <c r="G2569" s="760"/>
      <c r="H2569" s="760"/>
      <c r="I2569" s="760"/>
      <c r="J2569" s="760"/>
      <c r="K2569" s="760"/>
    </row>
    <row r="2570" spans="1:11">
      <c r="A2570" s="760"/>
      <c r="B2570" s="760"/>
      <c r="C2570" s="760"/>
      <c r="D2570" s="760"/>
      <c r="E2570" s="760"/>
      <c r="F2570" s="760"/>
      <c r="G2570" s="760"/>
      <c r="H2570" s="760"/>
      <c r="I2570" s="760"/>
      <c r="J2570" s="760"/>
      <c r="K2570" s="760"/>
    </row>
    <row r="2571" spans="1:11">
      <c r="A2571" s="760"/>
      <c r="B2571" s="760"/>
      <c r="C2571" s="760"/>
      <c r="D2571" s="760"/>
      <c r="E2571" s="760"/>
      <c r="F2571" s="760"/>
      <c r="G2571" s="760"/>
      <c r="H2571" s="760"/>
      <c r="I2571" s="760"/>
      <c r="J2571" s="760"/>
      <c r="K2571" s="760"/>
    </row>
    <row r="2572" spans="1:11">
      <c r="A2572" s="760"/>
      <c r="B2572" s="760"/>
      <c r="C2572" s="760"/>
      <c r="D2572" s="760"/>
      <c r="E2572" s="760"/>
      <c r="F2572" s="760"/>
      <c r="G2572" s="760"/>
      <c r="H2572" s="760"/>
      <c r="I2572" s="760"/>
      <c r="J2572" s="760"/>
      <c r="K2572" s="760"/>
    </row>
    <row r="2573" spans="1:11">
      <c r="A2573" s="760"/>
      <c r="B2573" s="760"/>
      <c r="C2573" s="760"/>
      <c r="D2573" s="760"/>
      <c r="E2573" s="760"/>
      <c r="F2573" s="760"/>
      <c r="G2573" s="760"/>
      <c r="H2573" s="760"/>
      <c r="I2573" s="760"/>
      <c r="J2573" s="760"/>
      <c r="K2573" s="760"/>
    </row>
    <row r="2574" spans="1:11">
      <c r="A2574" s="760"/>
      <c r="B2574" s="760"/>
      <c r="C2574" s="760"/>
      <c r="D2574" s="760"/>
      <c r="E2574" s="760"/>
      <c r="F2574" s="760"/>
      <c r="G2574" s="760"/>
      <c r="H2574" s="760"/>
      <c r="I2574" s="760"/>
      <c r="J2574" s="760"/>
      <c r="K2574" s="760"/>
    </row>
    <row r="2575" spans="1:11">
      <c r="A2575" s="760"/>
      <c r="B2575" s="760"/>
      <c r="C2575" s="760"/>
      <c r="D2575" s="760"/>
      <c r="E2575" s="760"/>
      <c r="F2575" s="760"/>
      <c r="G2575" s="760"/>
      <c r="H2575" s="760"/>
      <c r="I2575" s="760"/>
      <c r="J2575" s="760"/>
      <c r="K2575" s="760"/>
    </row>
    <row r="2576" spans="1:11">
      <c r="A2576" s="760"/>
      <c r="B2576" s="760"/>
      <c r="C2576" s="760"/>
      <c r="D2576" s="760"/>
      <c r="E2576" s="760"/>
      <c r="F2576" s="760"/>
      <c r="G2576" s="760"/>
      <c r="H2576" s="760"/>
      <c r="I2576" s="760"/>
      <c r="J2576" s="760"/>
      <c r="K2576" s="760"/>
    </row>
    <row r="2577" spans="1:11">
      <c r="A2577" s="760"/>
      <c r="B2577" s="760"/>
      <c r="C2577" s="760"/>
      <c r="D2577" s="760"/>
      <c r="E2577" s="760"/>
      <c r="F2577" s="760"/>
      <c r="G2577" s="760"/>
      <c r="H2577" s="760"/>
      <c r="I2577" s="760"/>
      <c r="J2577" s="760"/>
      <c r="K2577" s="760"/>
    </row>
    <row r="2578" spans="1:11">
      <c r="A2578" s="760"/>
      <c r="B2578" s="760"/>
      <c r="C2578" s="760"/>
      <c r="D2578" s="760"/>
      <c r="E2578" s="760"/>
      <c r="F2578" s="760"/>
      <c r="G2578" s="760"/>
      <c r="H2578" s="760"/>
      <c r="I2578" s="760"/>
      <c r="J2578" s="760"/>
      <c r="K2578" s="760"/>
    </row>
    <row r="2579" spans="1:11">
      <c r="A2579" s="760"/>
      <c r="B2579" s="760"/>
      <c r="C2579" s="760"/>
      <c r="D2579" s="760"/>
      <c r="E2579" s="760"/>
      <c r="F2579" s="760"/>
      <c r="G2579" s="760"/>
      <c r="H2579" s="760"/>
      <c r="I2579" s="760"/>
      <c r="J2579" s="760"/>
      <c r="K2579" s="760"/>
    </row>
    <row r="2580" spans="1:11">
      <c r="A2580" s="760"/>
      <c r="B2580" s="760"/>
      <c r="C2580" s="760"/>
      <c r="D2580" s="760"/>
      <c r="E2580" s="760"/>
      <c r="F2580" s="760"/>
      <c r="G2580" s="760"/>
      <c r="H2580" s="760"/>
      <c r="I2580" s="760"/>
      <c r="J2580" s="760"/>
      <c r="K2580" s="760"/>
    </row>
    <row r="2581" spans="1:11">
      <c r="A2581" s="760"/>
      <c r="B2581" s="760"/>
      <c r="C2581" s="760"/>
      <c r="D2581" s="760"/>
      <c r="E2581" s="760"/>
      <c r="F2581" s="760"/>
      <c r="G2581" s="760"/>
      <c r="H2581" s="760"/>
      <c r="I2581" s="760"/>
      <c r="J2581" s="760"/>
      <c r="K2581" s="760"/>
    </row>
    <row r="2582" spans="1:11">
      <c r="A2582" s="760"/>
      <c r="B2582" s="760"/>
      <c r="C2582" s="760"/>
      <c r="D2582" s="760"/>
      <c r="E2582" s="760"/>
      <c r="F2582" s="760"/>
      <c r="G2582" s="760"/>
      <c r="H2582" s="760"/>
      <c r="I2582" s="760"/>
      <c r="J2582" s="760"/>
      <c r="K2582" s="760"/>
    </row>
    <row r="2583" spans="1:11">
      <c r="A2583" s="760"/>
      <c r="B2583" s="760"/>
      <c r="C2583" s="760"/>
      <c r="D2583" s="760"/>
      <c r="E2583" s="760"/>
      <c r="F2583" s="760"/>
      <c r="G2583" s="760"/>
      <c r="H2583" s="760"/>
      <c r="I2583" s="760"/>
      <c r="J2583" s="760"/>
      <c r="K2583" s="760"/>
    </row>
    <row r="2584" spans="1:11">
      <c r="A2584" s="760"/>
      <c r="B2584" s="760"/>
      <c r="C2584" s="760"/>
      <c r="D2584" s="760"/>
      <c r="E2584" s="760"/>
      <c r="F2584" s="760"/>
      <c r="G2584" s="760"/>
      <c r="H2584" s="760"/>
      <c r="I2584" s="760"/>
      <c r="J2584" s="760"/>
      <c r="K2584" s="760"/>
    </row>
    <row r="2585" spans="1:11">
      <c r="A2585" s="760"/>
      <c r="B2585" s="760"/>
      <c r="C2585" s="760"/>
      <c r="D2585" s="760"/>
      <c r="E2585" s="760"/>
      <c r="F2585" s="760"/>
      <c r="G2585" s="760"/>
      <c r="H2585" s="760"/>
      <c r="I2585" s="760"/>
      <c r="J2585" s="760"/>
      <c r="K2585" s="760"/>
    </row>
    <row r="2586" spans="1:11">
      <c r="A2586" s="760"/>
      <c r="B2586" s="760"/>
      <c r="C2586" s="760"/>
      <c r="D2586" s="760"/>
      <c r="E2586" s="760"/>
      <c r="F2586" s="760"/>
      <c r="G2586" s="760"/>
      <c r="H2586" s="760"/>
      <c r="I2586" s="760"/>
      <c r="J2586" s="760"/>
      <c r="K2586" s="760"/>
    </row>
    <row r="2587" spans="1:11">
      <c r="A2587" s="760"/>
      <c r="B2587" s="760"/>
      <c r="C2587" s="760"/>
      <c r="D2587" s="760"/>
      <c r="E2587" s="760"/>
      <c r="F2587" s="760"/>
      <c r="G2587" s="760"/>
      <c r="H2587" s="760"/>
      <c r="I2587" s="760"/>
      <c r="J2587" s="760"/>
      <c r="K2587" s="760"/>
    </row>
    <row r="2588" spans="1:11">
      <c r="A2588" s="760"/>
      <c r="B2588" s="760"/>
      <c r="C2588" s="760"/>
      <c r="D2588" s="760"/>
      <c r="E2588" s="760"/>
      <c r="F2588" s="760"/>
      <c r="G2588" s="760"/>
      <c r="H2588" s="760"/>
      <c r="I2588" s="760"/>
      <c r="J2588" s="760"/>
      <c r="K2588" s="760"/>
    </row>
    <row r="2589" spans="1:11">
      <c r="A2589" s="760"/>
      <c r="B2589" s="760"/>
      <c r="C2589" s="760"/>
      <c r="D2589" s="760"/>
      <c r="E2589" s="760"/>
      <c r="F2589" s="760"/>
      <c r="G2589" s="760"/>
      <c r="H2589" s="760"/>
      <c r="I2589" s="760"/>
      <c r="J2589" s="760"/>
      <c r="K2589" s="760"/>
    </row>
    <row r="2590" spans="1:11">
      <c r="A2590" s="760"/>
      <c r="B2590" s="760"/>
      <c r="C2590" s="760"/>
      <c r="D2590" s="760"/>
      <c r="E2590" s="760"/>
      <c r="F2590" s="760"/>
      <c r="G2590" s="760"/>
      <c r="H2590" s="760"/>
      <c r="I2590" s="760"/>
      <c r="J2590" s="760"/>
      <c r="K2590" s="760"/>
    </row>
    <row r="2591" spans="1:11">
      <c r="A2591" s="760"/>
      <c r="B2591" s="760"/>
      <c r="C2591" s="760"/>
      <c r="D2591" s="760"/>
      <c r="E2591" s="760"/>
      <c r="F2591" s="760"/>
      <c r="G2591" s="760"/>
      <c r="H2591" s="760"/>
      <c r="I2591" s="760"/>
      <c r="J2591" s="760"/>
      <c r="K2591" s="760"/>
    </row>
    <row r="2592" spans="1:11">
      <c r="A2592" s="760"/>
      <c r="B2592" s="760"/>
      <c r="C2592" s="760"/>
      <c r="D2592" s="760"/>
      <c r="E2592" s="760"/>
      <c r="F2592" s="760"/>
      <c r="G2592" s="760"/>
      <c r="H2592" s="760"/>
      <c r="I2592" s="760"/>
      <c r="J2592" s="760"/>
      <c r="K2592" s="760"/>
    </row>
    <row r="2593" spans="1:11">
      <c r="A2593" s="760"/>
      <c r="B2593" s="760"/>
      <c r="C2593" s="760"/>
      <c r="D2593" s="760"/>
      <c r="E2593" s="760"/>
      <c r="F2593" s="760"/>
      <c r="G2593" s="760"/>
      <c r="H2593" s="760"/>
      <c r="I2593" s="760"/>
      <c r="J2593" s="760"/>
      <c r="K2593" s="760"/>
    </row>
    <row r="2594" spans="1:11">
      <c r="A2594" s="760"/>
      <c r="B2594" s="760"/>
      <c r="C2594" s="760"/>
      <c r="D2594" s="760"/>
      <c r="E2594" s="760"/>
      <c r="F2594" s="760"/>
      <c r="G2594" s="760"/>
      <c r="H2594" s="760"/>
      <c r="I2594" s="760"/>
      <c r="J2594" s="760"/>
      <c r="K2594" s="760"/>
    </row>
    <row r="2595" spans="1:11">
      <c r="A2595" s="760"/>
      <c r="B2595" s="760"/>
      <c r="C2595" s="760"/>
      <c r="D2595" s="760"/>
      <c r="E2595" s="760"/>
      <c r="F2595" s="760"/>
      <c r="G2595" s="760"/>
      <c r="H2595" s="760"/>
      <c r="I2595" s="760"/>
      <c r="J2595" s="760"/>
      <c r="K2595" s="760"/>
    </row>
    <row r="2596" spans="1:11">
      <c r="A2596" s="760"/>
      <c r="B2596" s="760"/>
      <c r="C2596" s="760"/>
      <c r="D2596" s="760"/>
      <c r="E2596" s="760"/>
      <c r="F2596" s="760"/>
      <c r="G2596" s="760"/>
      <c r="H2596" s="760"/>
      <c r="I2596" s="760"/>
      <c r="J2596" s="760"/>
      <c r="K2596" s="760"/>
    </row>
    <row r="2597" spans="1:11">
      <c r="A2597" s="760"/>
      <c r="B2597" s="760"/>
      <c r="C2597" s="760"/>
      <c r="D2597" s="760"/>
      <c r="E2597" s="760"/>
      <c r="F2597" s="760"/>
      <c r="G2597" s="760"/>
      <c r="H2597" s="760"/>
      <c r="I2597" s="760"/>
      <c r="J2597" s="760"/>
      <c r="K2597" s="760"/>
    </row>
    <row r="2598" spans="1:11">
      <c r="A2598" s="760"/>
      <c r="B2598" s="760"/>
      <c r="C2598" s="760"/>
      <c r="D2598" s="760"/>
      <c r="E2598" s="760"/>
      <c r="F2598" s="760"/>
      <c r="G2598" s="760"/>
      <c r="H2598" s="760"/>
      <c r="I2598" s="760"/>
      <c r="J2598" s="760"/>
      <c r="K2598" s="760"/>
    </row>
    <row r="2599" spans="1:11">
      <c r="A2599" s="760"/>
      <c r="B2599" s="760"/>
      <c r="C2599" s="760"/>
      <c r="D2599" s="760"/>
      <c r="E2599" s="760"/>
      <c r="F2599" s="760"/>
      <c r="G2599" s="760"/>
      <c r="H2599" s="760"/>
      <c r="I2599" s="760"/>
      <c r="J2599" s="760"/>
      <c r="K2599" s="760"/>
    </row>
    <row r="2600" spans="1:11">
      <c r="A2600" s="760"/>
      <c r="B2600" s="760"/>
      <c r="C2600" s="760"/>
      <c r="D2600" s="760"/>
      <c r="E2600" s="760"/>
      <c r="F2600" s="760"/>
      <c r="G2600" s="760"/>
      <c r="H2600" s="760"/>
      <c r="I2600" s="760"/>
      <c r="J2600" s="760"/>
      <c r="K2600" s="760"/>
    </row>
    <row r="2601" spans="1:11">
      <c r="A2601" s="760"/>
      <c r="B2601" s="760"/>
      <c r="C2601" s="760"/>
      <c r="D2601" s="760"/>
      <c r="E2601" s="760"/>
      <c r="F2601" s="760"/>
      <c r="G2601" s="760"/>
      <c r="H2601" s="760"/>
      <c r="I2601" s="760"/>
      <c r="J2601" s="760"/>
      <c r="K2601" s="760"/>
    </row>
    <row r="2602" spans="1:11">
      <c r="A2602" s="760"/>
      <c r="B2602" s="760"/>
      <c r="C2602" s="760"/>
      <c r="D2602" s="760"/>
      <c r="E2602" s="760"/>
      <c r="F2602" s="760"/>
      <c r="G2602" s="760"/>
      <c r="H2602" s="760"/>
      <c r="I2602" s="760"/>
      <c r="J2602" s="760"/>
      <c r="K2602" s="760"/>
    </row>
    <row r="2603" spans="1:11">
      <c r="A2603" s="760"/>
      <c r="B2603" s="760"/>
      <c r="C2603" s="760"/>
      <c r="D2603" s="760"/>
      <c r="E2603" s="760"/>
      <c r="F2603" s="760"/>
      <c r="G2603" s="760"/>
      <c r="H2603" s="760"/>
      <c r="I2603" s="760"/>
      <c r="J2603" s="760"/>
      <c r="K2603" s="760"/>
    </row>
    <row r="2604" spans="1:11">
      <c r="A2604" s="760"/>
      <c r="B2604" s="760"/>
      <c r="C2604" s="760"/>
      <c r="D2604" s="760"/>
      <c r="E2604" s="760"/>
      <c r="F2604" s="760"/>
      <c r="G2604" s="760"/>
      <c r="H2604" s="760"/>
      <c r="I2604" s="760"/>
      <c r="J2604" s="760"/>
      <c r="K2604" s="760"/>
    </row>
    <row r="2605" spans="1:11">
      <c r="A2605" s="760"/>
      <c r="B2605" s="760"/>
      <c r="C2605" s="760"/>
      <c r="D2605" s="760"/>
      <c r="E2605" s="760"/>
      <c r="F2605" s="760"/>
      <c r="G2605" s="760"/>
      <c r="H2605" s="760"/>
      <c r="I2605" s="760"/>
      <c r="J2605" s="760"/>
      <c r="K2605" s="760"/>
    </row>
    <row r="2606" spans="1:11">
      <c r="A2606" s="760"/>
      <c r="B2606" s="760"/>
      <c r="C2606" s="760"/>
      <c r="D2606" s="760"/>
      <c r="E2606" s="760"/>
      <c r="F2606" s="760"/>
      <c r="G2606" s="760"/>
      <c r="H2606" s="760"/>
      <c r="I2606" s="760"/>
      <c r="J2606" s="760"/>
      <c r="K2606" s="760"/>
    </row>
    <row r="2607" spans="1:11">
      <c r="A2607" s="760"/>
      <c r="B2607" s="760"/>
      <c r="C2607" s="760"/>
      <c r="D2607" s="760"/>
      <c r="E2607" s="760"/>
      <c r="F2607" s="760"/>
      <c r="G2607" s="760"/>
      <c r="H2607" s="760"/>
      <c r="I2607" s="760"/>
      <c r="J2607" s="760"/>
      <c r="K2607" s="760"/>
    </row>
    <row r="2608" spans="1:11">
      <c r="A2608" s="760"/>
      <c r="B2608" s="760"/>
      <c r="C2608" s="760"/>
      <c r="D2608" s="760"/>
      <c r="E2608" s="760"/>
      <c r="F2608" s="760"/>
      <c r="G2608" s="760"/>
      <c r="H2608" s="760"/>
      <c r="I2608" s="760"/>
      <c r="J2608" s="760"/>
      <c r="K2608" s="760"/>
    </row>
    <row r="2609" spans="1:11">
      <c r="A2609" s="760"/>
      <c r="B2609" s="760"/>
      <c r="C2609" s="760"/>
      <c r="D2609" s="760"/>
      <c r="E2609" s="760"/>
      <c r="F2609" s="760"/>
      <c r="G2609" s="760"/>
      <c r="H2609" s="760"/>
      <c r="I2609" s="760"/>
      <c r="J2609" s="760"/>
      <c r="K2609" s="760"/>
    </row>
    <row r="2610" spans="1:11">
      <c r="A2610" s="760"/>
      <c r="B2610" s="760"/>
      <c r="C2610" s="760"/>
      <c r="D2610" s="760"/>
      <c r="E2610" s="760"/>
      <c r="F2610" s="760"/>
      <c r="G2610" s="760"/>
      <c r="H2610" s="760"/>
      <c r="I2610" s="760"/>
      <c r="J2610" s="760"/>
      <c r="K2610" s="760"/>
    </row>
    <row r="2611" spans="1:11">
      <c r="A2611" s="760"/>
      <c r="B2611" s="760"/>
      <c r="C2611" s="760"/>
      <c r="D2611" s="760"/>
      <c r="E2611" s="760"/>
      <c r="F2611" s="760"/>
      <c r="G2611" s="760"/>
      <c r="H2611" s="760"/>
      <c r="I2611" s="760"/>
      <c r="J2611" s="760"/>
      <c r="K2611" s="760"/>
    </row>
    <row r="2612" spans="1:11">
      <c r="A2612" s="760"/>
      <c r="B2612" s="760"/>
      <c r="C2612" s="760"/>
      <c r="D2612" s="760"/>
      <c r="E2612" s="760"/>
      <c r="F2612" s="760"/>
      <c r="G2612" s="760"/>
      <c r="H2612" s="760"/>
      <c r="I2612" s="760"/>
      <c r="J2612" s="760"/>
      <c r="K2612" s="760"/>
    </row>
    <row r="2613" spans="1:11">
      <c r="A2613" s="760"/>
      <c r="B2613" s="760"/>
      <c r="C2613" s="760"/>
      <c r="D2613" s="760"/>
      <c r="E2613" s="760"/>
      <c r="F2613" s="760"/>
      <c r="G2613" s="760"/>
      <c r="H2613" s="760"/>
      <c r="I2613" s="760"/>
      <c r="J2613" s="760"/>
      <c r="K2613" s="760"/>
    </row>
    <row r="2614" spans="1:11">
      <c r="A2614" s="760"/>
      <c r="B2614" s="760"/>
      <c r="C2614" s="760"/>
      <c r="D2614" s="760"/>
      <c r="E2614" s="760"/>
      <c r="F2614" s="760"/>
      <c r="G2614" s="760"/>
      <c r="H2614" s="760"/>
      <c r="I2614" s="760"/>
      <c r="J2614" s="760"/>
      <c r="K2614" s="760"/>
    </row>
    <row r="2615" spans="1:11">
      <c r="A2615" s="760"/>
      <c r="B2615" s="760"/>
      <c r="C2615" s="760"/>
      <c r="D2615" s="760"/>
      <c r="E2615" s="760"/>
      <c r="F2615" s="760"/>
      <c r="G2615" s="760"/>
      <c r="H2615" s="760"/>
      <c r="I2615" s="760"/>
      <c r="J2615" s="760"/>
      <c r="K2615" s="760"/>
    </row>
    <row r="2616" spans="1:11">
      <c r="A2616" s="760"/>
      <c r="B2616" s="760"/>
      <c r="C2616" s="760"/>
      <c r="D2616" s="760"/>
      <c r="E2616" s="760"/>
      <c r="F2616" s="760"/>
      <c r="G2616" s="760"/>
      <c r="H2616" s="760"/>
      <c r="I2616" s="760"/>
      <c r="J2616" s="760"/>
      <c r="K2616" s="760"/>
    </row>
    <row r="2617" spans="1:11">
      <c r="A2617" s="760"/>
      <c r="B2617" s="760"/>
      <c r="C2617" s="760"/>
      <c r="D2617" s="760"/>
      <c r="E2617" s="760"/>
      <c r="F2617" s="760"/>
      <c r="G2617" s="760"/>
      <c r="H2617" s="760"/>
      <c r="I2617" s="760"/>
      <c r="J2617" s="760"/>
      <c r="K2617" s="760"/>
    </row>
    <row r="2618" spans="1:11">
      <c r="A2618" s="760"/>
      <c r="B2618" s="760"/>
      <c r="C2618" s="760"/>
      <c r="D2618" s="760"/>
      <c r="E2618" s="760"/>
      <c r="F2618" s="760"/>
      <c r="G2618" s="760"/>
      <c r="H2618" s="760"/>
      <c r="I2618" s="760"/>
      <c r="J2618" s="760"/>
      <c r="K2618" s="760"/>
    </row>
    <row r="2619" spans="1:11">
      <c r="A2619" s="760"/>
      <c r="B2619" s="760"/>
      <c r="C2619" s="760"/>
      <c r="D2619" s="760"/>
      <c r="E2619" s="760"/>
      <c r="F2619" s="760"/>
      <c r="G2619" s="760"/>
      <c r="H2619" s="760"/>
      <c r="I2619" s="760"/>
      <c r="J2619" s="760"/>
      <c r="K2619" s="760"/>
    </row>
    <row r="2620" spans="1:11">
      <c r="A2620" s="760"/>
      <c r="B2620" s="760"/>
      <c r="C2620" s="760"/>
      <c r="D2620" s="760"/>
      <c r="E2620" s="760"/>
      <c r="F2620" s="760"/>
      <c r="G2620" s="760"/>
      <c r="H2620" s="760"/>
      <c r="I2620" s="760"/>
      <c r="J2620" s="760"/>
      <c r="K2620" s="760"/>
    </row>
    <row r="2621" spans="1:11">
      <c r="A2621" s="760"/>
      <c r="B2621" s="760"/>
      <c r="C2621" s="760"/>
      <c r="D2621" s="760"/>
      <c r="E2621" s="760"/>
      <c r="F2621" s="760"/>
      <c r="G2621" s="760"/>
      <c r="H2621" s="760"/>
      <c r="I2621" s="760"/>
      <c r="J2621" s="760"/>
      <c r="K2621" s="760"/>
    </row>
    <row r="2622" spans="1:11">
      <c r="A2622" s="760"/>
      <c r="B2622" s="760"/>
      <c r="C2622" s="760"/>
      <c r="D2622" s="760"/>
      <c r="E2622" s="760"/>
      <c r="F2622" s="760"/>
      <c r="G2622" s="760"/>
      <c r="H2622" s="760"/>
      <c r="I2622" s="760"/>
      <c r="J2622" s="760"/>
      <c r="K2622" s="760"/>
    </row>
    <row r="2623" spans="1:11">
      <c r="A2623" s="760"/>
      <c r="B2623" s="760"/>
      <c r="C2623" s="760"/>
      <c r="D2623" s="760"/>
      <c r="E2623" s="760"/>
      <c r="F2623" s="760"/>
      <c r="G2623" s="760"/>
      <c r="H2623" s="760"/>
      <c r="I2623" s="760"/>
      <c r="J2623" s="760"/>
      <c r="K2623" s="760"/>
    </row>
    <row r="2624" spans="1:11">
      <c r="A2624" s="760"/>
      <c r="B2624" s="760"/>
      <c r="C2624" s="760"/>
      <c r="D2624" s="760"/>
      <c r="E2624" s="760"/>
      <c r="F2624" s="760"/>
      <c r="G2624" s="760"/>
      <c r="H2624" s="760"/>
      <c r="I2624" s="760"/>
      <c r="J2624" s="760"/>
      <c r="K2624" s="760"/>
    </row>
    <row r="2625" spans="1:11">
      <c r="A2625" s="760"/>
      <c r="B2625" s="760"/>
      <c r="C2625" s="760"/>
      <c r="D2625" s="760"/>
      <c r="E2625" s="760"/>
      <c r="F2625" s="760"/>
      <c r="G2625" s="760"/>
      <c r="H2625" s="760"/>
      <c r="I2625" s="760"/>
      <c r="J2625" s="760"/>
      <c r="K2625" s="760"/>
    </row>
    <row r="2626" spans="1:11">
      <c r="A2626" s="760"/>
      <c r="B2626" s="760"/>
      <c r="C2626" s="760"/>
      <c r="D2626" s="760"/>
      <c r="E2626" s="760"/>
      <c r="F2626" s="760"/>
      <c r="G2626" s="760"/>
      <c r="H2626" s="760"/>
      <c r="I2626" s="760"/>
      <c r="J2626" s="760"/>
      <c r="K2626" s="760"/>
    </row>
    <row r="2627" spans="1:11">
      <c r="A2627" s="760"/>
      <c r="B2627" s="760"/>
      <c r="C2627" s="760"/>
      <c r="D2627" s="760"/>
      <c r="E2627" s="760"/>
      <c r="F2627" s="760"/>
      <c r="G2627" s="760"/>
      <c r="H2627" s="760"/>
      <c r="I2627" s="760"/>
      <c r="J2627" s="760"/>
      <c r="K2627" s="760"/>
    </row>
    <row r="2628" spans="1:11">
      <c r="A2628" s="760"/>
      <c r="B2628" s="760"/>
      <c r="C2628" s="760"/>
      <c r="D2628" s="760"/>
      <c r="E2628" s="760"/>
      <c r="F2628" s="760"/>
      <c r="G2628" s="760"/>
      <c r="H2628" s="760"/>
      <c r="I2628" s="760"/>
      <c r="J2628" s="760"/>
      <c r="K2628" s="760"/>
    </row>
    <row r="2629" spans="1:11">
      <c r="A2629" s="760"/>
      <c r="B2629" s="760"/>
      <c r="C2629" s="760"/>
      <c r="D2629" s="760"/>
      <c r="E2629" s="760"/>
      <c r="F2629" s="760"/>
      <c r="G2629" s="760"/>
      <c r="H2629" s="760"/>
      <c r="I2629" s="760"/>
      <c r="J2629" s="760"/>
      <c r="K2629" s="760"/>
    </row>
    <row r="2630" spans="1:11">
      <c r="A2630" s="760"/>
      <c r="B2630" s="760"/>
      <c r="C2630" s="760"/>
      <c r="D2630" s="760"/>
      <c r="E2630" s="760"/>
      <c r="F2630" s="760"/>
      <c r="G2630" s="760"/>
      <c r="H2630" s="760"/>
      <c r="I2630" s="760"/>
      <c r="J2630" s="760"/>
      <c r="K2630" s="760"/>
    </row>
    <row r="2631" spans="1:11">
      <c r="A2631" s="760"/>
      <c r="B2631" s="760"/>
      <c r="C2631" s="760"/>
      <c r="D2631" s="760"/>
      <c r="E2631" s="760"/>
      <c r="F2631" s="760"/>
      <c r="G2631" s="760"/>
      <c r="H2631" s="760"/>
      <c r="I2631" s="760"/>
      <c r="J2631" s="760"/>
      <c r="K2631" s="760"/>
    </row>
    <row r="2632" spans="1:11">
      <c r="A2632" s="760"/>
      <c r="B2632" s="760"/>
      <c r="C2632" s="760"/>
      <c r="D2632" s="760"/>
      <c r="E2632" s="760"/>
      <c r="F2632" s="760"/>
      <c r="G2632" s="760"/>
      <c r="H2632" s="760"/>
      <c r="I2632" s="760"/>
      <c r="J2632" s="760"/>
      <c r="K2632" s="760"/>
    </row>
    <row r="2633" spans="1:11">
      <c r="A2633" s="760"/>
      <c r="B2633" s="760"/>
      <c r="C2633" s="760"/>
      <c r="D2633" s="760"/>
      <c r="E2633" s="760"/>
      <c r="F2633" s="760"/>
      <c r="G2633" s="760"/>
      <c r="H2633" s="760"/>
      <c r="I2633" s="760"/>
      <c r="J2633" s="760"/>
      <c r="K2633" s="760"/>
    </row>
    <row r="2634" spans="1:11">
      <c r="A2634" s="760"/>
      <c r="B2634" s="760"/>
      <c r="C2634" s="760"/>
      <c r="D2634" s="760"/>
      <c r="E2634" s="760"/>
      <c r="F2634" s="760"/>
      <c r="G2634" s="760"/>
      <c r="H2634" s="760"/>
      <c r="I2634" s="760"/>
      <c r="J2634" s="760"/>
      <c r="K2634" s="760"/>
    </row>
    <row r="2635" spans="1:11">
      <c r="A2635" s="760"/>
      <c r="B2635" s="760"/>
      <c r="C2635" s="760"/>
      <c r="D2635" s="760"/>
      <c r="E2635" s="760"/>
      <c r="F2635" s="760"/>
      <c r="G2635" s="760"/>
      <c r="H2635" s="760"/>
      <c r="I2635" s="760"/>
      <c r="J2635" s="760"/>
      <c r="K2635" s="760"/>
    </row>
    <row r="2636" spans="1:11">
      <c r="A2636" s="760"/>
      <c r="B2636" s="760"/>
      <c r="C2636" s="760"/>
      <c r="D2636" s="760"/>
      <c r="E2636" s="760"/>
      <c r="F2636" s="760"/>
      <c r="G2636" s="760"/>
      <c r="H2636" s="760"/>
      <c r="I2636" s="760"/>
      <c r="J2636" s="760"/>
      <c r="K2636" s="760"/>
    </row>
    <row r="2637" spans="1:11">
      <c r="A2637" s="760"/>
      <c r="B2637" s="760"/>
      <c r="C2637" s="760"/>
      <c r="D2637" s="760"/>
      <c r="E2637" s="760"/>
      <c r="F2637" s="760"/>
      <c r="G2637" s="760"/>
      <c r="H2637" s="760"/>
      <c r="I2637" s="760"/>
      <c r="J2637" s="760"/>
      <c r="K2637" s="760"/>
    </row>
    <row r="2638" spans="1:11">
      <c r="A2638" s="760"/>
      <c r="B2638" s="760"/>
      <c r="C2638" s="760"/>
      <c r="D2638" s="760"/>
      <c r="E2638" s="760"/>
      <c r="F2638" s="760"/>
      <c r="G2638" s="760"/>
      <c r="H2638" s="760"/>
      <c r="I2638" s="760"/>
      <c r="J2638" s="760"/>
      <c r="K2638" s="760"/>
    </row>
    <row r="2639" spans="1:11">
      <c r="A2639" s="760"/>
      <c r="B2639" s="760"/>
      <c r="C2639" s="760"/>
      <c r="D2639" s="760"/>
      <c r="E2639" s="760"/>
      <c r="F2639" s="760"/>
      <c r="G2639" s="760"/>
      <c r="H2639" s="760"/>
      <c r="I2639" s="760"/>
      <c r="J2639" s="760"/>
      <c r="K2639" s="760"/>
    </row>
    <row r="2640" spans="1:11">
      <c r="A2640" s="760"/>
      <c r="B2640" s="760"/>
      <c r="C2640" s="760"/>
      <c r="D2640" s="760"/>
      <c r="E2640" s="760"/>
      <c r="F2640" s="760"/>
      <c r="G2640" s="760"/>
      <c r="H2640" s="760"/>
      <c r="I2640" s="760"/>
      <c r="J2640" s="760"/>
      <c r="K2640" s="760"/>
    </row>
    <row r="2641" spans="1:11">
      <c r="A2641" s="760"/>
      <c r="B2641" s="760"/>
      <c r="C2641" s="760"/>
      <c r="D2641" s="760"/>
      <c r="E2641" s="760"/>
      <c r="F2641" s="760"/>
      <c r="G2641" s="760"/>
      <c r="H2641" s="760"/>
      <c r="I2641" s="760"/>
      <c r="J2641" s="760"/>
      <c r="K2641" s="760"/>
    </row>
    <row r="2642" spans="1:11">
      <c r="A2642" s="760"/>
      <c r="B2642" s="760"/>
      <c r="C2642" s="760"/>
      <c r="D2642" s="760"/>
      <c r="E2642" s="760"/>
      <c r="F2642" s="760"/>
      <c r="G2642" s="760"/>
      <c r="H2642" s="760"/>
      <c r="I2642" s="760"/>
      <c r="J2642" s="760"/>
      <c r="K2642" s="760"/>
    </row>
    <row r="2643" spans="1:11">
      <c r="A2643" s="760"/>
      <c r="B2643" s="760"/>
      <c r="C2643" s="760"/>
      <c r="D2643" s="760"/>
      <c r="E2643" s="760"/>
      <c r="F2643" s="760"/>
      <c r="G2643" s="760"/>
      <c r="H2643" s="760"/>
      <c r="I2643" s="760"/>
      <c r="J2643" s="760"/>
      <c r="K2643" s="760"/>
    </row>
    <row r="2644" spans="1:11">
      <c r="A2644" s="760"/>
      <c r="B2644" s="760"/>
      <c r="C2644" s="760"/>
      <c r="D2644" s="760"/>
      <c r="E2644" s="760"/>
      <c r="F2644" s="760"/>
      <c r="G2644" s="760"/>
      <c r="H2644" s="760"/>
      <c r="I2644" s="760"/>
      <c r="J2644" s="760"/>
      <c r="K2644" s="760"/>
    </row>
    <row r="2645" spans="1:11">
      <c r="A2645" s="760"/>
      <c r="B2645" s="760"/>
      <c r="C2645" s="760"/>
      <c r="D2645" s="760"/>
      <c r="E2645" s="760"/>
      <c r="F2645" s="760"/>
      <c r="G2645" s="760"/>
      <c r="H2645" s="760"/>
      <c r="I2645" s="760"/>
      <c r="J2645" s="760"/>
      <c r="K2645" s="760"/>
    </row>
    <row r="2646" spans="1:11">
      <c r="A2646" s="760"/>
      <c r="B2646" s="760"/>
      <c r="C2646" s="760"/>
      <c r="D2646" s="760"/>
      <c r="E2646" s="760"/>
      <c r="F2646" s="760"/>
      <c r="G2646" s="760"/>
      <c r="H2646" s="760"/>
      <c r="I2646" s="760"/>
      <c r="J2646" s="760"/>
      <c r="K2646" s="760"/>
    </row>
    <row r="2647" spans="1:11">
      <c r="A2647" s="760"/>
      <c r="B2647" s="760"/>
      <c r="C2647" s="760"/>
      <c r="D2647" s="760"/>
      <c r="E2647" s="760"/>
      <c r="F2647" s="760"/>
      <c r="G2647" s="760"/>
      <c r="H2647" s="760"/>
      <c r="I2647" s="760"/>
      <c r="J2647" s="760"/>
      <c r="K2647" s="760"/>
    </row>
    <row r="2648" spans="1:11">
      <c r="A2648" s="760"/>
      <c r="B2648" s="760"/>
      <c r="C2648" s="760"/>
      <c r="D2648" s="760"/>
      <c r="E2648" s="760"/>
      <c r="F2648" s="760"/>
      <c r="G2648" s="760"/>
      <c r="H2648" s="760"/>
      <c r="I2648" s="760"/>
      <c r="J2648" s="760"/>
      <c r="K2648" s="760"/>
    </row>
    <row r="2649" spans="1:11">
      <c r="A2649" s="760"/>
      <c r="B2649" s="760"/>
      <c r="C2649" s="760"/>
      <c r="D2649" s="760"/>
      <c r="E2649" s="760"/>
      <c r="F2649" s="760"/>
      <c r="G2649" s="760"/>
      <c r="H2649" s="760"/>
      <c r="I2649" s="760"/>
      <c r="J2649" s="760"/>
      <c r="K2649" s="760"/>
    </row>
    <row r="2650" spans="1:11">
      <c r="A2650" s="760"/>
      <c r="B2650" s="760"/>
      <c r="C2650" s="760"/>
      <c r="D2650" s="760"/>
      <c r="E2650" s="760"/>
      <c r="F2650" s="760"/>
      <c r="G2650" s="760"/>
      <c r="H2650" s="760"/>
      <c r="I2650" s="760"/>
      <c r="J2650" s="760"/>
      <c r="K2650" s="760"/>
    </row>
    <row r="2651" spans="1:11">
      <c r="A2651" s="760"/>
      <c r="B2651" s="760"/>
      <c r="C2651" s="760"/>
      <c r="D2651" s="760"/>
      <c r="E2651" s="760"/>
      <c r="F2651" s="760"/>
      <c r="G2651" s="760"/>
      <c r="H2651" s="760"/>
      <c r="I2651" s="760"/>
      <c r="J2651" s="760"/>
      <c r="K2651" s="760"/>
    </row>
    <row r="2652" spans="1:11">
      <c r="A2652" s="760"/>
      <c r="B2652" s="760"/>
      <c r="C2652" s="760"/>
      <c r="D2652" s="760"/>
      <c r="E2652" s="760"/>
      <c r="F2652" s="760"/>
      <c r="G2652" s="760"/>
      <c r="H2652" s="760"/>
      <c r="I2652" s="760"/>
      <c r="J2652" s="760"/>
      <c r="K2652" s="760"/>
    </row>
    <row r="2653" spans="1:11">
      <c r="A2653" s="760"/>
      <c r="B2653" s="760"/>
      <c r="C2653" s="760"/>
      <c r="D2653" s="760"/>
      <c r="E2653" s="760"/>
      <c r="F2653" s="760"/>
      <c r="G2653" s="760"/>
      <c r="H2653" s="760"/>
      <c r="I2653" s="760"/>
      <c r="J2653" s="760"/>
      <c r="K2653" s="760"/>
    </row>
    <row r="2654" spans="1:11">
      <c r="A2654" s="760"/>
      <c r="B2654" s="760"/>
      <c r="C2654" s="760"/>
      <c r="D2654" s="760"/>
      <c r="E2654" s="760"/>
      <c r="F2654" s="760"/>
      <c r="G2654" s="760"/>
      <c r="H2654" s="760"/>
      <c r="I2654" s="760"/>
      <c r="J2654" s="760"/>
      <c r="K2654" s="760"/>
    </row>
    <row r="2655" spans="1:11">
      <c r="A2655" s="760"/>
      <c r="B2655" s="760"/>
      <c r="C2655" s="760"/>
      <c r="D2655" s="760"/>
      <c r="E2655" s="760"/>
      <c r="F2655" s="760"/>
      <c r="G2655" s="760"/>
      <c r="H2655" s="760"/>
      <c r="I2655" s="760"/>
      <c r="J2655" s="760"/>
      <c r="K2655" s="760"/>
    </row>
    <row r="2656" spans="1:11">
      <c r="A2656" s="760"/>
      <c r="B2656" s="760"/>
      <c r="C2656" s="760"/>
      <c r="D2656" s="760"/>
      <c r="E2656" s="760"/>
      <c r="F2656" s="760"/>
      <c r="G2656" s="760"/>
      <c r="H2656" s="760"/>
      <c r="I2656" s="760"/>
      <c r="J2656" s="760"/>
      <c r="K2656" s="760"/>
    </row>
    <row r="2657" spans="1:11">
      <c r="A2657" s="760"/>
      <c r="B2657" s="760"/>
      <c r="C2657" s="760"/>
      <c r="D2657" s="760"/>
      <c r="E2657" s="760"/>
      <c r="F2657" s="760"/>
      <c r="G2657" s="760"/>
      <c r="H2657" s="760"/>
      <c r="I2657" s="760"/>
      <c r="J2657" s="760"/>
      <c r="K2657" s="760"/>
    </row>
    <row r="2658" spans="1:11">
      <c r="A2658" s="760"/>
      <c r="B2658" s="760"/>
      <c r="C2658" s="760"/>
      <c r="D2658" s="760"/>
      <c r="E2658" s="760"/>
      <c r="F2658" s="760"/>
      <c r="G2658" s="760"/>
      <c r="H2658" s="760"/>
      <c r="I2658" s="760"/>
      <c r="J2658" s="760"/>
      <c r="K2658" s="760"/>
    </row>
    <row r="2659" spans="1:11">
      <c r="A2659" s="760"/>
      <c r="B2659" s="760"/>
      <c r="C2659" s="760"/>
      <c r="D2659" s="760"/>
      <c r="E2659" s="760"/>
      <c r="F2659" s="760"/>
      <c r="G2659" s="760"/>
      <c r="H2659" s="760"/>
      <c r="I2659" s="760"/>
      <c r="J2659" s="760"/>
      <c r="K2659" s="760"/>
    </row>
    <row r="2660" spans="1:11">
      <c r="A2660" s="760"/>
      <c r="B2660" s="760"/>
      <c r="C2660" s="760"/>
      <c r="D2660" s="760"/>
      <c r="E2660" s="760"/>
      <c r="F2660" s="760"/>
      <c r="G2660" s="760"/>
      <c r="H2660" s="760"/>
      <c r="I2660" s="760"/>
      <c r="J2660" s="760"/>
      <c r="K2660" s="760"/>
    </row>
    <row r="2661" spans="1:11">
      <c r="A2661" s="760"/>
      <c r="B2661" s="760"/>
      <c r="C2661" s="760"/>
      <c r="D2661" s="760"/>
      <c r="E2661" s="760"/>
      <c r="F2661" s="760"/>
      <c r="G2661" s="760"/>
      <c r="H2661" s="760"/>
      <c r="I2661" s="760"/>
      <c r="J2661" s="760"/>
      <c r="K2661" s="760"/>
    </row>
    <row r="2662" spans="1:11">
      <c r="A2662" s="760"/>
      <c r="B2662" s="760"/>
      <c r="C2662" s="760"/>
      <c r="D2662" s="760"/>
      <c r="E2662" s="760"/>
      <c r="F2662" s="760"/>
      <c r="G2662" s="760"/>
      <c r="H2662" s="760"/>
      <c r="I2662" s="760"/>
      <c r="J2662" s="760"/>
      <c r="K2662" s="760"/>
    </row>
    <row r="2663" spans="1:11">
      <c r="A2663" s="760"/>
      <c r="B2663" s="760"/>
      <c r="C2663" s="760"/>
      <c r="D2663" s="760"/>
      <c r="E2663" s="760"/>
      <c r="F2663" s="760"/>
      <c r="G2663" s="760"/>
      <c r="H2663" s="760"/>
      <c r="I2663" s="760"/>
      <c r="J2663" s="760"/>
      <c r="K2663" s="760"/>
    </row>
    <row r="2664" spans="1:11">
      <c r="A2664" s="760"/>
      <c r="B2664" s="760"/>
      <c r="C2664" s="760"/>
      <c r="D2664" s="760"/>
      <c r="E2664" s="760"/>
      <c r="F2664" s="760"/>
      <c r="G2664" s="760"/>
      <c r="H2664" s="760"/>
      <c r="I2664" s="760"/>
      <c r="J2664" s="760"/>
      <c r="K2664" s="760"/>
    </row>
    <row r="2665" spans="1:11">
      <c r="A2665" s="760"/>
      <c r="B2665" s="760"/>
      <c r="C2665" s="760"/>
      <c r="D2665" s="760"/>
      <c r="E2665" s="760"/>
      <c r="F2665" s="760"/>
      <c r="G2665" s="760"/>
      <c r="H2665" s="760"/>
      <c r="I2665" s="760"/>
      <c r="J2665" s="760"/>
      <c r="K2665" s="760"/>
    </row>
    <row r="2666" spans="1:11">
      <c r="A2666" s="760"/>
      <c r="B2666" s="760"/>
      <c r="C2666" s="760"/>
      <c r="D2666" s="760"/>
      <c r="E2666" s="760"/>
      <c r="F2666" s="760"/>
      <c r="G2666" s="760"/>
      <c r="H2666" s="760"/>
      <c r="I2666" s="760"/>
      <c r="J2666" s="760"/>
      <c r="K2666" s="760"/>
    </row>
    <row r="2667" spans="1:11">
      <c r="A2667" s="760"/>
      <c r="B2667" s="760"/>
      <c r="C2667" s="760"/>
      <c r="D2667" s="760"/>
      <c r="E2667" s="760"/>
      <c r="F2667" s="760"/>
      <c r="G2667" s="760"/>
      <c r="H2667" s="760"/>
      <c r="I2667" s="760"/>
      <c r="J2667" s="760"/>
      <c r="K2667" s="760"/>
    </row>
    <row r="2668" spans="1:11">
      <c r="A2668" s="760"/>
      <c r="B2668" s="760"/>
      <c r="C2668" s="760"/>
      <c r="D2668" s="760"/>
      <c r="E2668" s="760"/>
      <c r="F2668" s="760"/>
      <c r="G2668" s="760"/>
      <c r="H2668" s="760"/>
      <c r="I2668" s="760"/>
      <c r="J2668" s="760"/>
      <c r="K2668" s="760"/>
    </row>
    <row r="2669" spans="1:11">
      <c r="A2669" s="760"/>
      <c r="B2669" s="760"/>
      <c r="C2669" s="760"/>
      <c r="D2669" s="760"/>
      <c r="E2669" s="760"/>
      <c r="F2669" s="760"/>
      <c r="G2669" s="760"/>
      <c r="H2669" s="760"/>
      <c r="I2669" s="760"/>
      <c r="J2669" s="760"/>
      <c r="K2669" s="760"/>
    </row>
    <row r="2670" spans="1:11">
      <c r="A2670" s="760"/>
      <c r="B2670" s="760"/>
      <c r="C2670" s="760"/>
      <c r="D2670" s="760"/>
      <c r="E2670" s="760"/>
      <c r="F2670" s="760"/>
      <c r="G2670" s="760"/>
      <c r="H2670" s="760"/>
      <c r="I2670" s="760"/>
      <c r="J2670" s="760"/>
      <c r="K2670" s="760"/>
    </row>
    <row r="2671" spans="1:11">
      <c r="A2671" s="760"/>
      <c r="B2671" s="760"/>
      <c r="C2671" s="760"/>
      <c r="D2671" s="760"/>
      <c r="E2671" s="760"/>
      <c r="F2671" s="760"/>
      <c r="G2671" s="760"/>
      <c r="H2671" s="760"/>
      <c r="I2671" s="760"/>
      <c r="J2671" s="760"/>
      <c r="K2671" s="760"/>
    </row>
    <row r="2672" spans="1:11">
      <c r="A2672" s="760"/>
      <c r="B2672" s="760"/>
      <c r="C2672" s="760"/>
      <c r="D2672" s="760"/>
      <c r="E2672" s="760"/>
      <c r="F2672" s="760"/>
      <c r="G2672" s="760"/>
      <c r="H2672" s="760"/>
      <c r="I2672" s="760"/>
      <c r="J2672" s="760"/>
      <c r="K2672" s="760"/>
    </row>
    <row r="2673" spans="1:11">
      <c r="A2673" s="760"/>
      <c r="B2673" s="760"/>
      <c r="C2673" s="760"/>
      <c r="D2673" s="760"/>
      <c r="E2673" s="760"/>
      <c r="F2673" s="760"/>
      <c r="G2673" s="760"/>
      <c r="H2673" s="760"/>
      <c r="I2673" s="760"/>
      <c r="J2673" s="760"/>
      <c r="K2673" s="760"/>
    </row>
    <row r="2674" spans="1:11">
      <c r="A2674" s="760"/>
      <c r="B2674" s="760"/>
      <c r="C2674" s="760"/>
      <c r="D2674" s="760"/>
      <c r="E2674" s="760"/>
      <c r="F2674" s="760"/>
      <c r="G2674" s="760"/>
      <c r="H2674" s="760"/>
      <c r="I2674" s="760"/>
      <c r="J2674" s="760"/>
      <c r="K2674" s="760"/>
    </row>
    <row r="2675" spans="1:11">
      <c r="A2675" s="760"/>
      <c r="B2675" s="760"/>
      <c r="C2675" s="760"/>
      <c r="D2675" s="760"/>
      <c r="E2675" s="760"/>
      <c r="F2675" s="760"/>
      <c r="G2675" s="760"/>
      <c r="H2675" s="760"/>
      <c r="I2675" s="760"/>
      <c r="J2675" s="760"/>
      <c r="K2675" s="760"/>
    </row>
    <row r="2676" spans="1:11">
      <c r="A2676" s="760"/>
      <c r="B2676" s="760"/>
      <c r="C2676" s="760"/>
      <c r="D2676" s="760"/>
      <c r="E2676" s="760"/>
      <c r="F2676" s="760"/>
      <c r="G2676" s="760"/>
      <c r="H2676" s="760"/>
      <c r="I2676" s="760"/>
      <c r="J2676" s="760"/>
      <c r="K2676" s="760"/>
    </row>
    <row r="2677" spans="1:11">
      <c r="A2677" s="760"/>
      <c r="B2677" s="760"/>
      <c r="C2677" s="760"/>
      <c r="D2677" s="760"/>
      <c r="E2677" s="760"/>
      <c r="F2677" s="760"/>
      <c r="G2677" s="760"/>
      <c r="H2677" s="760"/>
      <c r="I2677" s="760"/>
      <c r="J2677" s="760"/>
      <c r="K2677" s="760"/>
    </row>
    <row r="2678" spans="1:11">
      <c r="A2678" s="760"/>
      <c r="B2678" s="760"/>
      <c r="C2678" s="760"/>
      <c r="D2678" s="760"/>
      <c r="E2678" s="760"/>
      <c r="F2678" s="760"/>
      <c r="G2678" s="760"/>
      <c r="H2678" s="760"/>
      <c r="I2678" s="760"/>
      <c r="J2678" s="760"/>
      <c r="K2678" s="760"/>
    </row>
    <row r="2679" spans="1:11">
      <c r="A2679" s="760"/>
      <c r="B2679" s="760"/>
      <c r="C2679" s="760"/>
      <c r="D2679" s="760"/>
      <c r="E2679" s="760"/>
      <c r="F2679" s="760"/>
      <c r="G2679" s="760"/>
      <c r="H2679" s="760"/>
      <c r="I2679" s="760"/>
      <c r="J2679" s="760"/>
      <c r="K2679" s="760"/>
    </row>
    <row r="2680" spans="1:11">
      <c r="A2680" s="760"/>
      <c r="B2680" s="760"/>
      <c r="C2680" s="760"/>
      <c r="D2680" s="760"/>
      <c r="E2680" s="760"/>
      <c r="F2680" s="760"/>
      <c r="G2680" s="760"/>
      <c r="H2680" s="760"/>
      <c r="I2680" s="760"/>
      <c r="J2680" s="760"/>
      <c r="K2680" s="760"/>
    </row>
    <row r="2681" spans="1:11">
      <c r="A2681" s="760"/>
      <c r="B2681" s="760"/>
      <c r="C2681" s="760"/>
      <c r="D2681" s="760"/>
      <c r="E2681" s="760"/>
      <c r="F2681" s="760"/>
      <c r="G2681" s="760"/>
      <c r="H2681" s="760"/>
      <c r="I2681" s="760"/>
      <c r="J2681" s="760"/>
      <c r="K2681" s="760"/>
    </row>
    <row r="2682" spans="1:11">
      <c r="A2682" s="760"/>
      <c r="B2682" s="760"/>
      <c r="C2682" s="760"/>
      <c r="D2682" s="760"/>
      <c r="E2682" s="760"/>
      <c r="F2682" s="760"/>
      <c r="G2682" s="760"/>
      <c r="H2682" s="760"/>
      <c r="I2682" s="760"/>
      <c r="J2682" s="760"/>
      <c r="K2682" s="760"/>
    </row>
    <row r="2683" spans="1:11">
      <c r="A2683" s="760"/>
      <c r="B2683" s="760"/>
      <c r="C2683" s="760"/>
      <c r="D2683" s="760"/>
      <c r="E2683" s="760"/>
      <c r="F2683" s="760"/>
      <c r="G2683" s="760"/>
      <c r="H2683" s="760"/>
      <c r="I2683" s="760"/>
      <c r="J2683" s="760"/>
      <c r="K2683" s="760"/>
    </row>
    <row r="2684" spans="1:11">
      <c r="A2684" s="760"/>
      <c r="B2684" s="760"/>
      <c r="C2684" s="760"/>
      <c r="D2684" s="760"/>
      <c r="E2684" s="760"/>
      <c r="F2684" s="760"/>
      <c r="G2684" s="760"/>
      <c r="H2684" s="760"/>
      <c r="I2684" s="760"/>
      <c r="J2684" s="760"/>
      <c r="K2684" s="760"/>
    </row>
    <row r="2685" spans="1:11">
      <c r="A2685" s="760"/>
      <c r="B2685" s="760"/>
      <c r="C2685" s="760"/>
      <c r="D2685" s="760"/>
      <c r="E2685" s="760"/>
      <c r="F2685" s="760"/>
      <c r="G2685" s="760"/>
      <c r="H2685" s="760"/>
      <c r="I2685" s="760"/>
      <c r="J2685" s="760"/>
      <c r="K2685" s="760"/>
    </row>
    <row r="2686" spans="1:11">
      <c r="A2686" s="760"/>
      <c r="B2686" s="760"/>
      <c r="C2686" s="760"/>
      <c r="D2686" s="760"/>
      <c r="E2686" s="760"/>
      <c r="F2686" s="760"/>
      <c r="G2686" s="760"/>
      <c r="H2686" s="760"/>
      <c r="I2686" s="760"/>
      <c r="J2686" s="760"/>
      <c r="K2686" s="760"/>
    </row>
    <row r="2687" spans="1:11">
      <c r="A2687" s="760"/>
      <c r="B2687" s="760"/>
      <c r="C2687" s="760"/>
      <c r="D2687" s="760"/>
      <c r="E2687" s="760"/>
      <c r="F2687" s="760"/>
      <c r="G2687" s="760"/>
      <c r="H2687" s="760"/>
      <c r="I2687" s="760"/>
      <c r="J2687" s="760"/>
      <c r="K2687" s="760"/>
    </row>
    <row r="2688" spans="1:11">
      <c r="A2688" s="760"/>
      <c r="B2688" s="760"/>
      <c r="C2688" s="760"/>
      <c r="D2688" s="760"/>
      <c r="E2688" s="760"/>
      <c r="F2688" s="760"/>
      <c r="G2688" s="760"/>
      <c r="H2688" s="760"/>
      <c r="I2688" s="760"/>
      <c r="J2688" s="760"/>
      <c r="K2688" s="760"/>
    </row>
    <row r="2689" spans="1:11">
      <c r="A2689" s="760"/>
      <c r="B2689" s="760"/>
      <c r="C2689" s="760"/>
      <c r="D2689" s="760"/>
      <c r="E2689" s="760"/>
      <c r="F2689" s="760"/>
      <c r="G2689" s="760"/>
      <c r="H2689" s="760"/>
      <c r="I2689" s="760"/>
      <c r="J2689" s="760"/>
      <c r="K2689" s="760"/>
    </row>
    <row r="2690" spans="1:11">
      <c r="A2690" s="760"/>
      <c r="B2690" s="760"/>
      <c r="C2690" s="760"/>
      <c r="D2690" s="760"/>
      <c r="E2690" s="760"/>
      <c r="F2690" s="760"/>
      <c r="G2690" s="760"/>
      <c r="H2690" s="760"/>
      <c r="I2690" s="760"/>
      <c r="J2690" s="760"/>
      <c r="K2690" s="760"/>
    </row>
    <row r="2691" spans="1:11">
      <c r="A2691" s="760"/>
      <c r="B2691" s="760"/>
      <c r="C2691" s="760"/>
      <c r="D2691" s="760"/>
      <c r="E2691" s="760"/>
      <c r="F2691" s="760"/>
      <c r="G2691" s="760"/>
      <c r="H2691" s="760"/>
      <c r="I2691" s="760"/>
      <c r="J2691" s="760"/>
      <c r="K2691" s="760"/>
    </row>
    <row r="2692" spans="1:11">
      <c r="A2692" s="760"/>
      <c r="B2692" s="760"/>
      <c r="C2692" s="760"/>
      <c r="D2692" s="760"/>
      <c r="E2692" s="760"/>
      <c r="F2692" s="760"/>
      <c r="G2692" s="760"/>
      <c r="H2692" s="760"/>
      <c r="I2692" s="760"/>
      <c r="J2692" s="760"/>
      <c r="K2692" s="760"/>
    </row>
    <row r="2693" spans="1:11">
      <c r="A2693" s="760"/>
      <c r="B2693" s="760"/>
      <c r="C2693" s="760"/>
      <c r="D2693" s="760"/>
      <c r="E2693" s="760"/>
      <c r="F2693" s="760"/>
      <c r="G2693" s="760"/>
      <c r="H2693" s="760"/>
      <c r="I2693" s="760"/>
      <c r="J2693" s="760"/>
      <c r="K2693" s="760"/>
    </row>
    <row r="2694" spans="1:11">
      <c r="A2694" s="760"/>
      <c r="B2694" s="760"/>
      <c r="C2694" s="760"/>
      <c r="D2694" s="760"/>
      <c r="E2694" s="760"/>
      <c r="F2694" s="760"/>
      <c r="G2694" s="760"/>
      <c r="H2694" s="760"/>
      <c r="I2694" s="760"/>
      <c r="J2694" s="760"/>
      <c r="K2694" s="760"/>
    </row>
    <row r="2695" spans="1:11">
      <c r="A2695" s="760"/>
      <c r="B2695" s="760"/>
      <c r="C2695" s="760"/>
      <c r="D2695" s="760"/>
      <c r="E2695" s="760"/>
      <c r="F2695" s="760"/>
      <c r="G2695" s="760"/>
      <c r="H2695" s="760"/>
      <c r="I2695" s="760"/>
      <c r="J2695" s="760"/>
      <c r="K2695" s="760"/>
    </row>
    <row r="2696" spans="1:11">
      <c r="A2696" s="760"/>
      <c r="B2696" s="760"/>
      <c r="C2696" s="760"/>
      <c r="D2696" s="760"/>
      <c r="E2696" s="760"/>
      <c r="F2696" s="760"/>
      <c r="G2696" s="760"/>
      <c r="H2696" s="760"/>
      <c r="I2696" s="760"/>
      <c r="J2696" s="760"/>
      <c r="K2696" s="760"/>
    </row>
    <row r="2697" spans="1:11">
      <c r="A2697" s="760"/>
      <c r="B2697" s="760"/>
      <c r="C2697" s="760"/>
      <c r="D2697" s="760"/>
      <c r="E2697" s="760"/>
      <c r="F2697" s="760"/>
      <c r="G2697" s="760"/>
      <c r="H2697" s="760"/>
      <c r="I2697" s="760"/>
      <c r="J2697" s="760"/>
      <c r="K2697" s="760"/>
    </row>
    <row r="2698" spans="1:11">
      <c r="A2698" s="760"/>
      <c r="B2698" s="760"/>
      <c r="C2698" s="760"/>
      <c r="D2698" s="760"/>
      <c r="E2698" s="760"/>
      <c r="F2698" s="760"/>
      <c r="G2698" s="760"/>
      <c r="H2698" s="760"/>
      <c r="I2698" s="760"/>
      <c r="J2698" s="760"/>
      <c r="K2698" s="760"/>
    </row>
    <row r="2699" spans="1:11">
      <c r="A2699" s="760"/>
      <c r="B2699" s="760"/>
      <c r="C2699" s="760"/>
      <c r="D2699" s="760"/>
      <c r="E2699" s="760"/>
      <c r="F2699" s="760"/>
      <c r="G2699" s="760"/>
      <c r="H2699" s="760"/>
      <c r="I2699" s="760"/>
      <c r="J2699" s="760"/>
      <c r="K2699" s="760"/>
    </row>
    <row r="2700" spans="1:11">
      <c r="A2700" s="760"/>
      <c r="B2700" s="760"/>
      <c r="C2700" s="760"/>
      <c r="D2700" s="760"/>
      <c r="E2700" s="760"/>
      <c r="F2700" s="760"/>
      <c r="G2700" s="760"/>
      <c r="H2700" s="760"/>
      <c r="I2700" s="760"/>
      <c r="J2700" s="760"/>
      <c r="K2700" s="760"/>
    </row>
    <row r="2701" spans="1:11">
      <c r="A2701" s="760"/>
      <c r="B2701" s="760"/>
      <c r="C2701" s="760"/>
      <c r="D2701" s="760"/>
      <c r="E2701" s="760"/>
      <c r="F2701" s="760"/>
      <c r="G2701" s="760"/>
      <c r="H2701" s="760"/>
      <c r="I2701" s="760"/>
      <c r="J2701" s="760"/>
      <c r="K2701" s="760"/>
    </row>
    <row r="2702" spans="1:11">
      <c r="A2702" s="760"/>
      <c r="B2702" s="760"/>
      <c r="C2702" s="760"/>
      <c r="D2702" s="760"/>
      <c r="E2702" s="760"/>
      <c r="F2702" s="760"/>
      <c r="G2702" s="760"/>
      <c r="H2702" s="760"/>
      <c r="I2702" s="760"/>
      <c r="J2702" s="760"/>
      <c r="K2702" s="760"/>
    </row>
    <row r="2703" spans="1:11">
      <c r="A2703" s="760"/>
      <c r="B2703" s="760"/>
      <c r="C2703" s="760"/>
      <c r="D2703" s="760"/>
      <c r="E2703" s="760"/>
      <c r="F2703" s="760"/>
      <c r="G2703" s="760"/>
      <c r="H2703" s="760"/>
      <c r="I2703" s="760"/>
      <c r="J2703" s="760"/>
      <c r="K2703" s="760"/>
    </row>
    <row r="2704" spans="1:11">
      <c r="A2704" s="760"/>
      <c r="B2704" s="760"/>
      <c r="C2704" s="760"/>
      <c r="D2704" s="760"/>
      <c r="E2704" s="760"/>
      <c r="F2704" s="760"/>
      <c r="G2704" s="760"/>
      <c r="H2704" s="760"/>
      <c r="I2704" s="760"/>
      <c r="J2704" s="760"/>
      <c r="K2704" s="760"/>
    </row>
    <row r="2705" spans="1:11">
      <c r="A2705" s="760"/>
      <c r="B2705" s="760"/>
      <c r="C2705" s="760"/>
      <c r="D2705" s="760"/>
      <c r="E2705" s="760"/>
      <c r="F2705" s="760"/>
      <c r="G2705" s="760"/>
      <c r="H2705" s="760"/>
      <c r="I2705" s="760"/>
      <c r="J2705" s="760"/>
      <c r="K2705" s="760"/>
    </row>
    <row r="2706" spans="1:11">
      <c r="A2706" s="760"/>
      <c r="B2706" s="760"/>
      <c r="C2706" s="760"/>
      <c r="D2706" s="760"/>
      <c r="E2706" s="760"/>
      <c r="F2706" s="760"/>
      <c r="G2706" s="760"/>
      <c r="H2706" s="760"/>
      <c r="I2706" s="760"/>
      <c r="J2706" s="760"/>
      <c r="K2706" s="760"/>
    </row>
    <row r="2707" spans="1:11">
      <c r="A2707" s="760"/>
      <c r="B2707" s="760"/>
      <c r="C2707" s="760"/>
      <c r="D2707" s="760"/>
      <c r="E2707" s="760"/>
      <c r="F2707" s="760"/>
      <c r="G2707" s="760"/>
      <c r="H2707" s="760"/>
      <c r="I2707" s="760"/>
      <c r="J2707" s="760"/>
      <c r="K2707" s="760"/>
    </row>
    <row r="2708" spans="1:11">
      <c r="A2708" s="760"/>
      <c r="B2708" s="760"/>
      <c r="C2708" s="760"/>
      <c r="D2708" s="760"/>
      <c r="E2708" s="760"/>
      <c r="F2708" s="760"/>
      <c r="G2708" s="760"/>
      <c r="H2708" s="760"/>
      <c r="I2708" s="760"/>
      <c r="J2708" s="760"/>
      <c r="K2708" s="760"/>
    </row>
    <row r="2709" spans="1:11">
      <c r="A2709" s="760"/>
      <c r="B2709" s="760"/>
      <c r="C2709" s="760"/>
      <c r="D2709" s="760"/>
      <c r="E2709" s="760"/>
      <c r="F2709" s="760"/>
      <c r="G2709" s="760"/>
      <c r="H2709" s="760"/>
      <c r="I2709" s="760"/>
      <c r="J2709" s="760"/>
      <c r="K2709" s="760"/>
    </row>
    <row r="2710" spans="1:11">
      <c r="A2710" s="760"/>
      <c r="B2710" s="760"/>
      <c r="C2710" s="760"/>
      <c r="D2710" s="760"/>
      <c r="E2710" s="760"/>
      <c r="F2710" s="760"/>
      <c r="G2710" s="760"/>
      <c r="H2710" s="760"/>
      <c r="I2710" s="760"/>
      <c r="J2710" s="760"/>
      <c r="K2710" s="760"/>
    </row>
    <row r="2711" spans="1:11">
      <c r="A2711" s="760"/>
      <c r="B2711" s="760"/>
      <c r="C2711" s="760"/>
      <c r="D2711" s="760"/>
      <c r="E2711" s="760"/>
      <c r="F2711" s="760"/>
      <c r="G2711" s="760"/>
      <c r="H2711" s="760"/>
      <c r="I2711" s="760"/>
      <c r="J2711" s="760"/>
      <c r="K2711" s="760"/>
    </row>
    <row r="2712" spans="1:11">
      <c r="A2712" s="760"/>
      <c r="B2712" s="760"/>
      <c r="C2712" s="760"/>
      <c r="D2712" s="760"/>
      <c r="E2712" s="760"/>
      <c r="F2712" s="760"/>
      <c r="G2712" s="760"/>
      <c r="H2712" s="760"/>
      <c r="I2712" s="760"/>
      <c r="J2712" s="760"/>
      <c r="K2712" s="760"/>
    </row>
    <row r="2713" spans="1:11">
      <c r="A2713" s="760"/>
      <c r="B2713" s="760"/>
      <c r="C2713" s="760"/>
      <c r="D2713" s="760"/>
      <c r="E2713" s="760"/>
      <c r="F2713" s="760"/>
      <c r="G2713" s="760"/>
      <c r="H2713" s="760"/>
      <c r="I2713" s="760"/>
      <c r="J2713" s="760"/>
      <c r="K2713" s="760"/>
    </row>
    <row r="2714" spans="1:11">
      <c r="A2714" s="760"/>
      <c r="B2714" s="760"/>
      <c r="C2714" s="760"/>
      <c r="D2714" s="760"/>
      <c r="E2714" s="760"/>
      <c r="F2714" s="760"/>
      <c r="G2714" s="760"/>
      <c r="H2714" s="760"/>
      <c r="I2714" s="760"/>
      <c r="J2714" s="760"/>
      <c r="K2714" s="760"/>
    </row>
    <row r="2715" spans="1:11">
      <c r="A2715" s="760"/>
      <c r="B2715" s="760"/>
      <c r="C2715" s="760"/>
      <c r="D2715" s="760"/>
      <c r="E2715" s="760"/>
      <c r="F2715" s="760"/>
      <c r="G2715" s="760"/>
      <c r="H2715" s="760"/>
      <c r="I2715" s="760"/>
      <c r="J2715" s="760"/>
      <c r="K2715" s="760"/>
    </row>
    <row r="2716" spans="1:11">
      <c r="A2716" s="760"/>
      <c r="B2716" s="760"/>
      <c r="C2716" s="760"/>
      <c r="D2716" s="760"/>
      <c r="E2716" s="760"/>
      <c r="F2716" s="760"/>
      <c r="G2716" s="760"/>
      <c r="H2716" s="760"/>
      <c r="I2716" s="760"/>
      <c r="J2716" s="760"/>
      <c r="K2716" s="760"/>
    </row>
    <row r="2717" spans="1:11">
      <c r="A2717" s="760"/>
      <c r="B2717" s="760"/>
      <c r="C2717" s="760"/>
      <c r="D2717" s="760"/>
      <c r="E2717" s="760"/>
      <c r="F2717" s="760"/>
      <c r="G2717" s="760"/>
      <c r="H2717" s="760"/>
      <c r="I2717" s="760"/>
      <c r="J2717" s="760"/>
      <c r="K2717" s="760"/>
    </row>
    <row r="2718" spans="1:11">
      <c r="A2718" s="760"/>
      <c r="B2718" s="760"/>
      <c r="C2718" s="760"/>
      <c r="D2718" s="760"/>
      <c r="E2718" s="760"/>
      <c r="F2718" s="760"/>
      <c r="G2718" s="760"/>
      <c r="H2718" s="760"/>
      <c r="I2718" s="760"/>
      <c r="J2718" s="760"/>
      <c r="K2718" s="760"/>
    </row>
    <row r="2719" spans="1:11">
      <c r="A2719" s="760"/>
      <c r="B2719" s="760"/>
      <c r="C2719" s="760"/>
      <c r="D2719" s="760"/>
      <c r="E2719" s="760"/>
      <c r="F2719" s="760"/>
      <c r="G2719" s="760"/>
      <c r="H2719" s="760"/>
      <c r="I2719" s="760"/>
      <c r="J2719" s="760"/>
      <c r="K2719" s="760"/>
    </row>
    <row r="2720" spans="1:11">
      <c r="A2720" s="760"/>
      <c r="B2720" s="760"/>
      <c r="C2720" s="760"/>
      <c r="D2720" s="760"/>
      <c r="E2720" s="760"/>
      <c r="F2720" s="760"/>
      <c r="G2720" s="760"/>
      <c r="H2720" s="760"/>
      <c r="I2720" s="760"/>
      <c r="J2720" s="760"/>
      <c r="K2720" s="760"/>
    </row>
    <row r="2721" spans="1:11">
      <c r="A2721" s="760"/>
      <c r="B2721" s="760"/>
      <c r="C2721" s="760"/>
      <c r="D2721" s="760"/>
      <c r="E2721" s="760"/>
      <c r="F2721" s="760"/>
      <c r="G2721" s="760"/>
      <c r="H2721" s="760"/>
      <c r="I2721" s="760"/>
      <c r="J2721" s="760"/>
      <c r="K2721" s="760"/>
    </row>
    <row r="2722" spans="1:11">
      <c r="A2722" s="760"/>
      <c r="B2722" s="760"/>
      <c r="C2722" s="760"/>
      <c r="D2722" s="760"/>
      <c r="E2722" s="760"/>
      <c r="F2722" s="760"/>
      <c r="G2722" s="760"/>
      <c r="H2722" s="760"/>
      <c r="I2722" s="760"/>
      <c r="J2722" s="760"/>
      <c r="K2722" s="760"/>
    </row>
    <row r="2723" spans="1:11">
      <c r="A2723" s="760"/>
      <c r="B2723" s="760"/>
      <c r="C2723" s="760"/>
      <c r="D2723" s="760"/>
      <c r="E2723" s="760"/>
      <c r="F2723" s="760"/>
      <c r="G2723" s="760"/>
      <c r="H2723" s="760"/>
      <c r="I2723" s="760"/>
      <c r="J2723" s="760"/>
      <c r="K2723" s="760"/>
    </row>
    <row r="2724" spans="1:11">
      <c r="A2724" s="760"/>
      <c r="B2724" s="760"/>
      <c r="C2724" s="760"/>
      <c r="D2724" s="760"/>
      <c r="E2724" s="760"/>
      <c r="F2724" s="760"/>
      <c r="G2724" s="760"/>
      <c r="H2724" s="760"/>
      <c r="I2724" s="760"/>
      <c r="J2724" s="760"/>
      <c r="K2724" s="760"/>
    </row>
    <row r="2725" spans="1:11">
      <c r="A2725" s="760"/>
      <c r="B2725" s="760"/>
      <c r="C2725" s="760"/>
      <c r="D2725" s="760"/>
      <c r="E2725" s="760"/>
      <c r="F2725" s="760"/>
      <c r="G2725" s="760"/>
      <c r="H2725" s="760"/>
      <c r="I2725" s="760"/>
      <c r="J2725" s="760"/>
      <c r="K2725" s="760"/>
    </row>
    <row r="2726" spans="1:11">
      <c r="A2726" s="760"/>
      <c r="B2726" s="760"/>
      <c r="C2726" s="760"/>
      <c r="D2726" s="760"/>
      <c r="E2726" s="760"/>
      <c r="F2726" s="760"/>
      <c r="G2726" s="760"/>
      <c r="H2726" s="760"/>
      <c r="I2726" s="760"/>
      <c r="J2726" s="760"/>
      <c r="K2726" s="760"/>
    </row>
    <row r="2727" spans="1:11">
      <c r="A2727" s="760"/>
      <c r="B2727" s="760"/>
      <c r="C2727" s="760"/>
      <c r="D2727" s="760"/>
      <c r="E2727" s="760"/>
      <c r="F2727" s="760"/>
      <c r="G2727" s="760"/>
      <c r="H2727" s="760"/>
      <c r="I2727" s="760"/>
      <c r="J2727" s="760"/>
      <c r="K2727" s="760"/>
    </row>
    <row r="2728" spans="1:11">
      <c r="A2728" s="760"/>
      <c r="B2728" s="760"/>
      <c r="C2728" s="760"/>
      <c r="D2728" s="760"/>
      <c r="E2728" s="760"/>
      <c r="F2728" s="760"/>
      <c r="G2728" s="760"/>
      <c r="H2728" s="760"/>
      <c r="I2728" s="760"/>
      <c r="J2728" s="760"/>
      <c r="K2728" s="760"/>
    </row>
    <row r="2729" spans="1:11">
      <c r="A2729" s="760"/>
      <c r="B2729" s="760"/>
      <c r="C2729" s="760"/>
      <c r="D2729" s="760"/>
      <c r="E2729" s="760"/>
      <c r="F2729" s="760"/>
      <c r="G2729" s="760"/>
      <c r="H2729" s="760"/>
      <c r="I2729" s="760"/>
      <c r="J2729" s="760"/>
      <c r="K2729" s="760"/>
    </row>
    <row r="2730" spans="1:11">
      <c r="A2730" s="760"/>
      <c r="B2730" s="760"/>
      <c r="C2730" s="760"/>
      <c r="D2730" s="760"/>
      <c r="E2730" s="760"/>
      <c r="F2730" s="760"/>
      <c r="G2730" s="760"/>
      <c r="H2730" s="760"/>
      <c r="I2730" s="760"/>
      <c r="J2730" s="760"/>
      <c r="K2730" s="760"/>
    </row>
    <row r="2731" spans="1:11">
      <c r="A2731" s="760"/>
      <c r="B2731" s="760"/>
      <c r="C2731" s="760"/>
      <c r="D2731" s="760"/>
      <c r="E2731" s="760"/>
      <c r="F2731" s="760"/>
      <c r="G2731" s="760"/>
      <c r="H2731" s="760"/>
      <c r="I2731" s="760"/>
      <c r="J2731" s="760"/>
      <c r="K2731" s="760"/>
    </row>
    <row r="2732" spans="1:11">
      <c r="A2732" s="760"/>
      <c r="B2732" s="760"/>
      <c r="C2732" s="760"/>
      <c r="D2732" s="760"/>
      <c r="E2732" s="760"/>
      <c r="F2732" s="760"/>
      <c r="G2732" s="760"/>
      <c r="H2732" s="760"/>
      <c r="I2732" s="760"/>
      <c r="J2732" s="760"/>
      <c r="K2732" s="760"/>
    </row>
    <row r="2733" spans="1:11">
      <c r="A2733" s="760"/>
      <c r="B2733" s="760"/>
      <c r="C2733" s="760"/>
      <c r="D2733" s="760"/>
      <c r="E2733" s="760"/>
      <c r="F2733" s="760"/>
      <c r="G2733" s="760"/>
      <c r="H2733" s="760"/>
      <c r="I2733" s="760"/>
      <c r="J2733" s="760"/>
      <c r="K2733" s="760"/>
    </row>
    <row r="2734" spans="1:11">
      <c r="A2734" s="760"/>
      <c r="B2734" s="760"/>
      <c r="C2734" s="760"/>
      <c r="D2734" s="760"/>
      <c r="E2734" s="760"/>
      <c r="F2734" s="760"/>
      <c r="G2734" s="760"/>
      <c r="H2734" s="760"/>
      <c r="I2734" s="760"/>
      <c r="J2734" s="760"/>
      <c r="K2734" s="760"/>
    </row>
    <row r="2735" spans="1:11">
      <c r="A2735" s="760"/>
      <c r="B2735" s="760"/>
      <c r="C2735" s="760"/>
      <c r="D2735" s="760"/>
      <c r="E2735" s="760"/>
      <c r="F2735" s="760"/>
      <c r="G2735" s="760"/>
      <c r="H2735" s="760"/>
      <c r="I2735" s="760"/>
      <c r="J2735" s="760"/>
      <c r="K2735" s="760"/>
    </row>
    <row r="2736" spans="1:11">
      <c r="A2736" s="760"/>
      <c r="B2736" s="760"/>
      <c r="C2736" s="760"/>
      <c r="D2736" s="760"/>
      <c r="E2736" s="760"/>
      <c r="F2736" s="760"/>
      <c r="G2736" s="760"/>
      <c r="H2736" s="760"/>
      <c r="I2736" s="760"/>
      <c r="J2736" s="760"/>
      <c r="K2736" s="760"/>
    </row>
    <row r="2737" spans="1:11">
      <c r="A2737" s="760"/>
      <c r="B2737" s="760"/>
      <c r="C2737" s="760"/>
      <c r="D2737" s="760"/>
      <c r="E2737" s="760"/>
      <c r="F2737" s="760"/>
      <c r="G2737" s="760"/>
      <c r="H2737" s="760"/>
      <c r="I2737" s="760"/>
      <c r="J2737" s="760"/>
      <c r="K2737" s="760"/>
    </row>
    <row r="2738" spans="1:11">
      <c r="A2738" s="760"/>
      <c r="B2738" s="760"/>
      <c r="C2738" s="760"/>
      <c r="D2738" s="760"/>
      <c r="E2738" s="760"/>
      <c r="F2738" s="760"/>
      <c r="G2738" s="760"/>
      <c r="H2738" s="760"/>
      <c r="I2738" s="760"/>
      <c r="J2738" s="760"/>
      <c r="K2738" s="760"/>
    </row>
    <row r="2739" spans="1:11">
      <c r="A2739" s="760"/>
      <c r="B2739" s="760"/>
      <c r="C2739" s="760"/>
      <c r="D2739" s="760"/>
      <c r="E2739" s="760"/>
      <c r="F2739" s="760"/>
      <c r="G2739" s="760"/>
      <c r="H2739" s="760"/>
      <c r="I2739" s="760"/>
      <c r="J2739" s="760"/>
      <c r="K2739" s="760"/>
    </row>
    <row r="2740" spans="1:11">
      <c r="A2740" s="760"/>
      <c r="B2740" s="760"/>
      <c r="C2740" s="760"/>
      <c r="D2740" s="760"/>
      <c r="E2740" s="760"/>
      <c r="F2740" s="760"/>
      <c r="G2740" s="760"/>
      <c r="H2740" s="760"/>
      <c r="I2740" s="760"/>
      <c r="J2740" s="760"/>
      <c r="K2740" s="760"/>
    </row>
    <row r="2741" spans="1:11">
      <c r="A2741" s="760"/>
      <c r="B2741" s="760"/>
      <c r="C2741" s="760"/>
      <c r="D2741" s="760"/>
      <c r="E2741" s="760"/>
      <c r="F2741" s="760"/>
      <c r="G2741" s="760"/>
      <c r="H2741" s="760"/>
      <c r="I2741" s="760"/>
      <c r="J2741" s="760"/>
      <c r="K2741" s="760"/>
    </row>
    <row r="2742" spans="1:11">
      <c r="A2742" s="760"/>
      <c r="B2742" s="760"/>
      <c r="C2742" s="760"/>
      <c r="D2742" s="760"/>
      <c r="E2742" s="760"/>
      <c r="F2742" s="760"/>
      <c r="G2742" s="760"/>
      <c r="H2742" s="760"/>
      <c r="I2742" s="760"/>
      <c r="J2742" s="760"/>
      <c r="K2742" s="760"/>
    </row>
    <row r="2743" spans="1:11">
      <c r="A2743" s="760"/>
      <c r="B2743" s="760"/>
      <c r="C2743" s="760"/>
      <c r="D2743" s="760"/>
      <c r="E2743" s="760"/>
      <c r="F2743" s="760"/>
      <c r="G2743" s="760"/>
      <c r="H2743" s="760"/>
      <c r="I2743" s="760"/>
      <c r="J2743" s="760"/>
      <c r="K2743" s="760"/>
    </row>
    <row r="2744" spans="1:11">
      <c r="A2744" s="760"/>
      <c r="B2744" s="760"/>
      <c r="C2744" s="760"/>
      <c r="D2744" s="760"/>
      <c r="E2744" s="760"/>
      <c r="F2744" s="760"/>
      <c r="G2744" s="760"/>
      <c r="H2744" s="760"/>
      <c r="I2744" s="760"/>
      <c r="J2744" s="760"/>
      <c r="K2744" s="760"/>
    </row>
    <row r="2745" spans="1:11">
      <c r="A2745" s="760"/>
      <c r="B2745" s="760"/>
      <c r="C2745" s="760"/>
      <c r="D2745" s="760"/>
      <c r="E2745" s="760"/>
      <c r="F2745" s="760"/>
      <c r="G2745" s="760"/>
      <c r="H2745" s="760"/>
      <c r="I2745" s="760"/>
      <c r="J2745" s="760"/>
      <c r="K2745" s="760"/>
    </row>
    <row r="2746" spans="1:11">
      <c r="A2746" s="760"/>
      <c r="B2746" s="760"/>
      <c r="C2746" s="760"/>
      <c r="D2746" s="760"/>
      <c r="E2746" s="760"/>
      <c r="F2746" s="760"/>
      <c r="G2746" s="760"/>
      <c r="H2746" s="760"/>
      <c r="I2746" s="760"/>
      <c r="J2746" s="760"/>
      <c r="K2746" s="760"/>
    </row>
    <row r="2747" spans="1:11">
      <c r="A2747" s="760"/>
      <c r="B2747" s="760"/>
      <c r="C2747" s="760"/>
      <c r="D2747" s="760"/>
      <c r="E2747" s="760"/>
      <c r="F2747" s="760"/>
      <c r="G2747" s="760"/>
      <c r="H2747" s="760"/>
      <c r="I2747" s="760"/>
      <c r="J2747" s="760"/>
      <c r="K2747" s="760"/>
    </row>
    <row r="2748" spans="1:11">
      <c r="A2748" s="760"/>
      <c r="B2748" s="760"/>
      <c r="C2748" s="760"/>
      <c r="D2748" s="760"/>
      <c r="E2748" s="760"/>
      <c r="F2748" s="760"/>
      <c r="G2748" s="760"/>
      <c r="H2748" s="760"/>
      <c r="I2748" s="760"/>
      <c r="J2748" s="760"/>
      <c r="K2748" s="760"/>
    </row>
    <row r="2749" spans="1:11">
      <c r="A2749" s="760"/>
      <c r="B2749" s="760"/>
      <c r="C2749" s="760"/>
      <c r="D2749" s="760"/>
      <c r="E2749" s="760"/>
      <c r="F2749" s="760"/>
      <c r="G2749" s="760"/>
      <c r="H2749" s="760"/>
      <c r="I2749" s="760"/>
      <c r="J2749" s="760"/>
      <c r="K2749" s="760"/>
    </row>
    <row r="2750" spans="1:11">
      <c r="A2750" s="760"/>
      <c r="B2750" s="760"/>
      <c r="C2750" s="760"/>
      <c r="D2750" s="760"/>
      <c r="E2750" s="760"/>
      <c r="F2750" s="760"/>
      <c r="G2750" s="760"/>
      <c r="H2750" s="760"/>
      <c r="I2750" s="760"/>
      <c r="J2750" s="760"/>
      <c r="K2750" s="760"/>
    </row>
    <row r="2751" spans="1:11">
      <c r="A2751" s="760"/>
      <c r="B2751" s="760"/>
      <c r="C2751" s="760"/>
      <c r="D2751" s="760"/>
      <c r="E2751" s="760"/>
      <c r="F2751" s="760"/>
      <c r="G2751" s="760"/>
      <c r="H2751" s="760"/>
      <c r="I2751" s="760"/>
      <c r="J2751" s="760"/>
      <c r="K2751" s="760"/>
    </row>
    <row r="2752" spans="1:11">
      <c r="A2752" s="760"/>
      <c r="B2752" s="760"/>
      <c r="C2752" s="760"/>
      <c r="D2752" s="760"/>
      <c r="E2752" s="760"/>
      <c r="F2752" s="760"/>
      <c r="G2752" s="760"/>
      <c r="H2752" s="760"/>
      <c r="I2752" s="760"/>
      <c r="J2752" s="760"/>
      <c r="K2752" s="760"/>
    </row>
    <row r="2753" spans="1:11">
      <c r="A2753" s="760"/>
      <c r="B2753" s="760"/>
      <c r="C2753" s="760"/>
      <c r="D2753" s="760"/>
      <c r="E2753" s="760"/>
      <c r="F2753" s="760"/>
      <c r="G2753" s="760"/>
      <c r="H2753" s="760"/>
      <c r="I2753" s="760"/>
      <c r="J2753" s="760"/>
      <c r="K2753" s="760"/>
    </row>
    <row r="2754" spans="1:11">
      <c r="A2754" s="760"/>
      <c r="B2754" s="760"/>
      <c r="C2754" s="760"/>
      <c r="D2754" s="760"/>
      <c r="E2754" s="760"/>
      <c r="F2754" s="760"/>
      <c r="G2754" s="760"/>
      <c r="H2754" s="760"/>
      <c r="I2754" s="760"/>
      <c r="J2754" s="760"/>
      <c r="K2754" s="760"/>
    </row>
    <row r="2755" spans="1:11">
      <c r="A2755" s="760"/>
      <c r="B2755" s="760"/>
      <c r="C2755" s="760"/>
      <c r="D2755" s="760"/>
      <c r="E2755" s="760"/>
      <c r="F2755" s="760"/>
      <c r="G2755" s="760"/>
      <c r="H2755" s="760"/>
      <c r="I2755" s="760"/>
      <c r="J2755" s="760"/>
      <c r="K2755" s="760"/>
    </row>
    <row r="2756" spans="1:11">
      <c r="A2756" s="760"/>
      <c r="B2756" s="760"/>
      <c r="C2756" s="760"/>
      <c r="D2756" s="760"/>
      <c r="E2756" s="760"/>
      <c r="F2756" s="760"/>
      <c r="G2756" s="760"/>
      <c r="H2756" s="760"/>
      <c r="I2756" s="760"/>
      <c r="J2756" s="760"/>
      <c r="K2756" s="760"/>
    </row>
    <row r="2757" spans="1:11">
      <c r="A2757" s="760"/>
      <c r="B2757" s="760"/>
      <c r="C2757" s="760"/>
      <c r="D2757" s="760"/>
      <c r="E2757" s="760"/>
      <c r="F2757" s="760"/>
      <c r="G2757" s="760"/>
      <c r="H2757" s="760"/>
      <c r="I2757" s="760"/>
      <c r="J2757" s="760"/>
      <c r="K2757" s="760"/>
    </row>
    <row r="2758" spans="1:11">
      <c r="A2758" s="760"/>
      <c r="B2758" s="760"/>
      <c r="C2758" s="760"/>
      <c r="D2758" s="760"/>
      <c r="E2758" s="760"/>
      <c r="F2758" s="760"/>
      <c r="G2758" s="760"/>
      <c r="H2758" s="760"/>
      <c r="I2758" s="760"/>
      <c r="J2758" s="760"/>
      <c r="K2758" s="760"/>
    </row>
    <row r="2759" spans="1:11">
      <c r="A2759" s="760"/>
      <c r="B2759" s="760"/>
      <c r="C2759" s="760"/>
      <c r="D2759" s="760"/>
      <c r="E2759" s="760"/>
      <c r="F2759" s="760"/>
      <c r="G2759" s="760"/>
      <c r="H2759" s="760"/>
      <c r="I2759" s="760"/>
      <c r="J2759" s="760"/>
      <c r="K2759" s="760"/>
    </row>
    <row r="2760" spans="1:11">
      <c r="A2760" s="760"/>
      <c r="B2760" s="760"/>
      <c r="C2760" s="760"/>
      <c r="D2760" s="760"/>
      <c r="E2760" s="760"/>
      <c r="F2760" s="760"/>
      <c r="G2760" s="760"/>
      <c r="H2760" s="760"/>
      <c r="I2760" s="760"/>
      <c r="J2760" s="760"/>
      <c r="K2760" s="760"/>
    </row>
    <row r="2761" spans="1:11">
      <c r="A2761" s="760"/>
      <c r="B2761" s="760"/>
      <c r="C2761" s="760"/>
      <c r="D2761" s="760"/>
      <c r="E2761" s="760"/>
      <c r="F2761" s="760"/>
      <c r="G2761" s="760"/>
      <c r="H2761" s="760"/>
      <c r="I2761" s="760"/>
      <c r="J2761" s="760"/>
      <c r="K2761" s="760"/>
    </row>
    <row r="2762" spans="1:11">
      <c r="A2762" s="760"/>
      <c r="B2762" s="760"/>
      <c r="C2762" s="760"/>
      <c r="D2762" s="760"/>
      <c r="E2762" s="760"/>
      <c r="F2762" s="760"/>
      <c r="G2762" s="760"/>
      <c r="H2762" s="760"/>
      <c r="I2762" s="760"/>
      <c r="J2762" s="760"/>
      <c r="K2762" s="760"/>
    </row>
    <row r="2763" spans="1:11">
      <c r="A2763" s="760"/>
      <c r="B2763" s="760"/>
      <c r="C2763" s="760"/>
      <c r="D2763" s="760"/>
      <c r="E2763" s="760"/>
      <c r="F2763" s="760"/>
      <c r="G2763" s="760"/>
      <c r="H2763" s="760"/>
      <c r="I2763" s="760"/>
      <c r="J2763" s="760"/>
      <c r="K2763" s="760"/>
    </row>
    <row r="2764" spans="1:11">
      <c r="A2764" s="760"/>
      <c r="B2764" s="760"/>
      <c r="C2764" s="760"/>
      <c r="D2764" s="760"/>
      <c r="E2764" s="760"/>
      <c r="F2764" s="760"/>
      <c r="G2764" s="760"/>
      <c r="H2764" s="760"/>
      <c r="I2764" s="760"/>
      <c r="J2764" s="760"/>
      <c r="K2764" s="760"/>
    </row>
    <row r="2765" spans="1:11">
      <c r="A2765" s="760"/>
      <c r="B2765" s="760"/>
      <c r="C2765" s="760"/>
      <c r="D2765" s="760"/>
      <c r="E2765" s="760"/>
      <c r="F2765" s="760"/>
      <c r="G2765" s="760"/>
      <c r="H2765" s="760"/>
      <c r="I2765" s="760"/>
      <c r="J2765" s="760"/>
      <c r="K2765" s="760"/>
    </row>
    <row r="2766" spans="1:11">
      <c r="A2766" s="760"/>
      <c r="B2766" s="760"/>
      <c r="C2766" s="760"/>
      <c r="D2766" s="760"/>
      <c r="E2766" s="760"/>
      <c r="F2766" s="760"/>
      <c r="G2766" s="760"/>
      <c r="H2766" s="760"/>
      <c r="I2766" s="760"/>
      <c r="J2766" s="760"/>
      <c r="K2766" s="760"/>
    </row>
    <row r="2767" spans="1:11">
      <c r="A2767" s="760"/>
      <c r="B2767" s="760"/>
      <c r="C2767" s="760"/>
      <c r="D2767" s="760"/>
      <c r="E2767" s="760"/>
      <c r="F2767" s="760"/>
      <c r="G2767" s="760"/>
      <c r="H2767" s="760"/>
      <c r="I2767" s="760"/>
      <c r="J2767" s="760"/>
      <c r="K2767" s="760"/>
    </row>
    <row r="2768" spans="1:11">
      <c r="A2768" s="760"/>
      <c r="B2768" s="760"/>
      <c r="C2768" s="760"/>
      <c r="D2768" s="760"/>
      <c r="E2768" s="760"/>
      <c r="F2768" s="760"/>
      <c r="G2768" s="760"/>
      <c r="H2768" s="760"/>
      <c r="I2768" s="760"/>
      <c r="J2768" s="760"/>
      <c r="K2768" s="760"/>
    </row>
    <row r="2769" spans="1:11">
      <c r="A2769" s="760"/>
      <c r="B2769" s="760"/>
      <c r="C2769" s="760"/>
      <c r="D2769" s="760"/>
      <c r="E2769" s="760"/>
      <c r="F2769" s="760"/>
      <c r="G2769" s="760"/>
      <c r="H2769" s="760"/>
      <c r="I2769" s="760"/>
      <c r="J2769" s="760"/>
      <c r="K2769" s="760"/>
    </row>
    <row r="2770" spans="1:11">
      <c r="A2770" s="760"/>
      <c r="B2770" s="760"/>
      <c r="C2770" s="760"/>
      <c r="D2770" s="760"/>
      <c r="E2770" s="760"/>
      <c r="F2770" s="760"/>
      <c r="G2770" s="760"/>
      <c r="H2770" s="760"/>
      <c r="I2770" s="760"/>
      <c r="J2770" s="760"/>
      <c r="K2770" s="760"/>
    </row>
    <row r="2771" spans="1:11">
      <c r="A2771" s="760"/>
      <c r="B2771" s="760"/>
      <c r="C2771" s="760"/>
      <c r="D2771" s="760"/>
      <c r="E2771" s="760"/>
      <c r="F2771" s="760"/>
      <c r="G2771" s="760"/>
      <c r="H2771" s="760"/>
      <c r="I2771" s="760"/>
      <c r="J2771" s="760"/>
      <c r="K2771" s="760"/>
    </row>
    <row r="2772" spans="1:11">
      <c r="A2772" s="760"/>
      <c r="B2772" s="760"/>
      <c r="C2772" s="760"/>
      <c r="D2772" s="760"/>
      <c r="E2772" s="760"/>
      <c r="F2772" s="760"/>
      <c r="G2772" s="760"/>
      <c r="H2772" s="760"/>
      <c r="I2772" s="760"/>
      <c r="J2772" s="760"/>
      <c r="K2772" s="760"/>
    </row>
    <row r="2773" spans="1:11">
      <c r="A2773" s="760"/>
      <c r="B2773" s="760"/>
      <c r="C2773" s="760"/>
      <c r="D2773" s="760"/>
      <c r="E2773" s="760"/>
      <c r="F2773" s="760"/>
      <c r="G2773" s="760"/>
      <c r="H2773" s="760"/>
      <c r="I2773" s="760"/>
      <c r="J2773" s="760"/>
      <c r="K2773" s="760"/>
    </row>
    <row r="2774" spans="1:11">
      <c r="A2774" s="760"/>
      <c r="B2774" s="760"/>
      <c r="C2774" s="760"/>
      <c r="D2774" s="760"/>
      <c r="E2774" s="760"/>
      <c r="F2774" s="760"/>
      <c r="G2774" s="760"/>
      <c r="H2774" s="760"/>
      <c r="I2774" s="760"/>
      <c r="J2774" s="760"/>
      <c r="K2774" s="760"/>
    </row>
    <row r="2775" spans="1:11">
      <c r="A2775" s="760"/>
      <c r="B2775" s="760"/>
      <c r="C2775" s="760"/>
      <c r="D2775" s="760"/>
      <c r="E2775" s="760"/>
      <c r="F2775" s="760"/>
      <c r="G2775" s="760"/>
      <c r="H2775" s="760"/>
      <c r="I2775" s="760"/>
      <c r="J2775" s="760"/>
      <c r="K2775" s="760"/>
    </row>
    <row r="2776" spans="1:11">
      <c r="A2776" s="760"/>
      <c r="B2776" s="760"/>
      <c r="C2776" s="760"/>
      <c r="D2776" s="760"/>
      <c r="E2776" s="760"/>
      <c r="F2776" s="760"/>
      <c r="G2776" s="760"/>
      <c r="H2776" s="760"/>
      <c r="I2776" s="760"/>
      <c r="J2776" s="760"/>
      <c r="K2776" s="760"/>
    </row>
    <row r="2777" spans="1:11">
      <c r="A2777" s="760"/>
      <c r="B2777" s="760"/>
      <c r="C2777" s="760"/>
      <c r="D2777" s="760"/>
      <c r="E2777" s="760"/>
      <c r="F2777" s="760"/>
      <c r="G2777" s="760"/>
      <c r="H2777" s="760"/>
      <c r="I2777" s="760"/>
      <c r="J2777" s="760"/>
      <c r="K2777" s="760"/>
    </row>
    <row r="2778" spans="1:11">
      <c r="A2778" s="760"/>
      <c r="B2778" s="760"/>
      <c r="C2778" s="760"/>
      <c r="D2778" s="760"/>
      <c r="E2778" s="760"/>
      <c r="F2778" s="760"/>
      <c r="G2778" s="760"/>
      <c r="H2778" s="760"/>
      <c r="I2778" s="760"/>
      <c r="J2778" s="760"/>
      <c r="K2778" s="760"/>
    </row>
    <row r="2779" spans="1:11">
      <c r="A2779" s="760"/>
      <c r="B2779" s="760"/>
      <c r="C2779" s="760"/>
      <c r="D2779" s="760"/>
      <c r="E2779" s="760"/>
      <c r="F2779" s="760"/>
      <c r="G2779" s="760"/>
      <c r="H2779" s="760"/>
      <c r="I2779" s="760"/>
      <c r="J2779" s="760"/>
      <c r="K2779" s="760"/>
    </row>
    <row r="2780" spans="1:11">
      <c r="A2780" s="760"/>
      <c r="B2780" s="760"/>
      <c r="C2780" s="760"/>
      <c r="D2780" s="760"/>
      <c r="E2780" s="760"/>
      <c r="F2780" s="760"/>
      <c r="G2780" s="760"/>
      <c r="H2780" s="760"/>
      <c r="I2780" s="760"/>
      <c r="J2780" s="760"/>
      <c r="K2780" s="760"/>
    </row>
    <row r="2781" spans="1:11">
      <c r="A2781" s="760"/>
      <c r="B2781" s="760"/>
      <c r="C2781" s="760"/>
      <c r="D2781" s="760"/>
      <c r="E2781" s="760"/>
      <c r="F2781" s="760"/>
      <c r="G2781" s="760"/>
      <c r="H2781" s="760"/>
      <c r="I2781" s="760"/>
      <c r="J2781" s="760"/>
      <c r="K2781" s="760"/>
    </row>
    <row r="2782" spans="1:11">
      <c r="A2782" s="760"/>
      <c r="B2782" s="760"/>
      <c r="C2782" s="760"/>
      <c r="D2782" s="760"/>
      <c r="E2782" s="760"/>
      <c r="F2782" s="760"/>
      <c r="G2782" s="760"/>
      <c r="H2782" s="760"/>
      <c r="I2782" s="760"/>
      <c r="J2782" s="760"/>
      <c r="K2782" s="760"/>
    </row>
    <row r="2783" spans="1:11">
      <c r="A2783" s="760"/>
      <c r="B2783" s="760"/>
      <c r="C2783" s="760"/>
      <c r="D2783" s="760"/>
      <c r="E2783" s="760"/>
      <c r="F2783" s="760"/>
      <c r="G2783" s="760"/>
      <c r="H2783" s="760"/>
      <c r="I2783" s="760"/>
      <c r="J2783" s="760"/>
      <c r="K2783" s="760"/>
    </row>
    <row r="2784" spans="1:11">
      <c r="A2784" s="760"/>
      <c r="B2784" s="760"/>
      <c r="C2784" s="760"/>
      <c r="D2784" s="760"/>
      <c r="E2784" s="760"/>
      <c r="F2784" s="760"/>
      <c r="G2784" s="760"/>
      <c r="H2784" s="760"/>
      <c r="I2784" s="760"/>
      <c r="J2784" s="760"/>
      <c r="K2784" s="760"/>
    </row>
    <row r="2785" spans="1:11">
      <c r="A2785" s="760"/>
      <c r="B2785" s="760"/>
      <c r="C2785" s="760"/>
      <c r="D2785" s="760"/>
      <c r="E2785" s="760"/>
      <c r="F2785" s="760"/>
      <c r="G2785" s="760"/>
      <c r="H2785" s="760"/>
      <c r="I2785" s="760"/>
      <c r="J2785" s="760"/>
      <c r="K2785" s="760"/>
    </row>
    <row r="2786" spans="1:11">
      <c r="A2786" s="760"/>
      <c r="B2786" s="760"/>
      <c r="C2786" s="760"/>
      <c r="D2786" s="760"/>
      <c r="E2786" s="760"/>
      <c r="F2786" s="760"/>
      <c r="G2786" s="760"/>
      <c r="H2786" s="760"/>
      <c r="I2786" s="760"/>
      <c r="J2786" s="760"/>
      <c r="K2786" s="760"/>
    </row>
    <row r="2787" spans="1:11">
      <c r="A2787" s="760"/>
      <c r="B2787" s="760"/>
      <c r="C2787" s="760"/>
      <c r="D2787" s="760"/>
      <c r="E2787" s="760"/>
      <c r="F2787" s="760"/>
      <c r="G2787" s="760"/>
      <c r="H2787" s="760"/>
      <c r="I2787" s="760"/>
      <c r="J2787" s="760"/>
      <c r="K2787" s="760"/>
    </row>
    <row r="2788" spans="1:11">
      <c r="A2788" s="760"/>
      <c r="B2788" s="760"/>
      <c r="C2788" s="760"/>
      <c r="D2788" s="760"/>
      <c r="E2788" s="760"/>
      <c r="F2788" s="760"/>
      <c r="G2788" s="760"/>
      <c r="H2788" s="760"/>
      <c r="I2788" s="760"/>
      <c r="J2788" s="760"/>
      <c r="K2788" s="760"/>
    </row>
    <row r="2789" spans="1:11">
      <c r="A2789" s="760"/>
      <c r="B2789" s="760"/>
      <c r="C2789" s="760"/>
      <c r="D2789" s="760"/>
      <c r="E2789" s="760"/>
      <c r="F2789" s="760"/>
      <c r="G2789" s="760"/>
      <c r="H2789" s="760"/>
      <c r="I2789" s="760"/>
      <c r="J2789" s="760"/>
      <c r="K2789" s="760"/>
    </row>
    <row r="2790" spans="1:11">
      <c r="A2790" s="760"/>
      <c r="B2790" s="760"/>
      <c r="C2790" s="760"/>
      <c r="D2790" s="760"/>
      <c r="E2790" s="760"/>
      <c r="F2790" s="760"/>
      <c r="G2790" s="760"/>
      <c r="H2790" s="760"/>
      <c r="I2790" s="760"/>
      <c r="J2790" s="760"/>
      <c r="K2790" s="760"/>
    </row>
    <row r="2791" spans="1:11">
      <c r="A2791" s="760"/>
      <c r="B2791" s="760"/>
      <c r="C2791" s="760"/>
      <c r="D2791" s="760"/>
      <c r="E2791" s="760"/>
      <c r="F2791" s="760"/>
      <c r="G2791" s="760"/>
      <c r="H2791" s="760"/>
      <c r="I2791" s="760"/>
      <c r="J2791" s="760"/>
      <c r="K2791" s="760"/>
    </row>
    <row r="2792" spans="1:11">
      <c r="A2792" s="760"/>
      <c r="B2792" s="760"/>
      <c r="C2792" s="760"/>
      <c r="D2792" s="760"/>
      <c r="E2792" s="760"/>
      <c r="F2792" s="760"/>
      <c r="G2792" s="760"/>
      <c r="H2792" s="760"/>
      <c r="I2792" s="760"/>
      <c r="J2792" s="760"/>
      <c r="K2792" s="760"/>
    </row>
    <row r="2793" spans="1:11">
      <c r="A2793" s="760"/>
      <c r="B2793" s="760"/>
      <c r="C2793" s="760"/>
      <c r="D2793" s="760"/>
      <c r="E2793" s="760"/>
      <c r="F2793" s="760"/>
      <c r="G2793" s="760"/>
      <c r="H2793" s="760"/>
      <c r="I2793" s="760"/>
      <c r="J2793" s="760"/>
      <c r="K2793" s="760"/>
    </row>
    <row r="2794" spans="1:11">
      <c r="A2794" s="760"/>
      <c r="B2794" s="760"/>
      <c r="C2794" s="760"/>
      <c r="D2794" s="760"/>
      <c r="E2794" s="760"/>
      <c r="F2794" s="760"/>
      <c r="G2794" s="760"/>
      <c r="H2794" s="760"/>
      <c r="I2794" s="760"/>
      <c r="J2794" s="760"/>
      <c r="K2794" s="760"/>
    </row>
    <row r="2795" spans="1:11">
      <c r="A2795" s="760"/>
      <c r="B2795" s="760"/>
      <c r="C2795" s="760"/>
      <c r="D2795" s="760"/>
      <c r="E2795" s="760"/>
      <c r="F2795" s="760"/>
      <c r="G2795" s="760"/>
      <c r="H2795" s="760"/>
      <c r="I2795" s="760"/>
      <c r="J2795" s="760"/>
      <c r="K2795" s="760"/>
    </row>
    <row r="2796" spans="1:11">
      <c r="A2796" s="760"/>
      <c r="B2796" s="760"/>
      <c r="C2796" s="760"/>
      <c r="D2796" s="760"/>
      <c r="E2796" s="760"/>
      <c r="F2796" s="760"/>
      <c r="G2796" s="760"/>
      <c r="H2796" s="760"/>
      <c r="I2796" s="760"/>
      <c r="J2796" s="760"/>
      <c r="K2796" s="760"/>
    </row>
    <row r="2797" spans="1:11">
      <c r="A2797" s="760"/>
      <c r="B2797" s="760"/>
      <c r="C2797" s="760"/>
      <c r="D2797" s="760"/>
      <c r="E2797" s="760"/>
      <c r="F2797" s="760"/>
      <c r="G2797" s="760"/>
      <c r="H2797" s="760"/>
      <c r="I2797" s="760"/>
      <c r="J2797" s="760"/>
      <c r="K2797" s="760"/>
    </row>
    <row r="2798" spans="1:11">
      <c r="A2798" s="760"/>
      <c r="B2798" s="760"/>
      <c r="C2798" s="760"/>
      <c r="D2798" s="760"/>
      <c r="E2798" s="760"/>
      <c r="F2798" s="760"/>
      <c r="G2798" s="760"/>
      <c r="H2798" s="760"/>
      <c r="I2798" s="760"/>
      <c r="J2798" s="760"/>
      <c r="K2798" s="760"/>
    </row>
    <row r="2799" spans="1:11">
      <c r="A2799" s="760"/>
      <c r="B2799" s="760"/>
      <c r="C2799" s="760"/>
      <c r="D2799" s="760"/>
      <c r="E2799" s="760"/>
      <c r="F2799" s="760"/>
      <c r="G2799" s="760"/>
      <c r="H2799" s="760"/>
      <c r="I2799" s="760"/>
      <c r="J2799" s="760"/>
      <c r="K2799" s="760"/>
    </row>
    <row r="2800" spans="1:11">
      <c r="A2800" s="760"/>
      <c r="B2800" s="760"/>
      <c r="C2800" s="760"/>
      <c r="D2800" s="760"/>
      <c r="E2800" s="760"/>
      <c r="F2800" s="760"/>
      <c r="G2800" s="760"/>
      <c r="H2800" s="760"/>
      <c r="I2800" s="760"/>
      <c r="J2800" s="760"/>
      <c r="K2800" s="760"/>
    </row>
    <row r="2801" spans="1:11">
      <c r="A2801" s="760"/>
      <c r="B2801" s="760"/>
      <c r="C2801" s="760"/>
      <c r="D2801" s="760"/>
      <c r="E2801" s="760"/>
      <c r="F2801" s="760"/>
      <c r="G2801" s="760"/>
      <c r="H2801" s="760"/>
      <c r="I2801" s="760"/>
      <c r="J2801" s="760"/>
      <c r="K2801" s="760"/>
    </row>
    <row r="2802" spans="1:11">
      <c r="A2802" s="760"/>
      <c r="B2802" s="760"/>
      <c r="C2802" s="760"/>
      <c r="D2802" s="760"/>
      <c r="E2802" s="760"/>
      <c r="F2802" s="760"/>
      <c r="G2802" s="760"/>
      <c r="H2802" s="760"/>
      <c r="I2802" s="760"/>
      <c r="J2802" s="760"/>
      <c r="K2802" s="760"/>
    </row>
    <row r="2803" spans="1:11">
      <c r="A2803" s="760"/>
      <c r="B2803" s="760"/>
      <c r="C2803" s="760"/>
      <c r="D2803" s="760"/>
      <c r="E2803" s="760"/>
      <c r="F2803" s="760"/>
      <c r="G2803" s="760"/>
      <c r="H2803" s="760"/>
      <c r="I2803" s="760"/>
      <c r="J2803" s="760"/>
      <c r="K2803" s="760"/>
    </row>
    <row r="2804" spans="1:11">
      <c r="A2804" s="760"/>
      <c r="B2804" s="760"/>
      <c r="C2804" s="760"/>
      <c r="D2804" s="760"/>
      <c r="E2804" s="760"/>
      <c r="F2804" s="760"/>
      <c r="G2804" s="760"/>
      <c r="H2804" s="760"/>
      <c r="I2804" s="760"/>
      <c r="J2804" s="760"/>
      <c r="K2804" s="760"/>
    </row>
    <row r="2805" spans="1:11">
      <c r="A2805" s="760"/>
      <c r="B2805" s="760"/>
      <c r="C2805" s="760"/>
      <c r="D2805" s="760"/>
      <c r="E2805" s="760"/>
      <c r="F2805" s="760"/>
      <c r="G2805" s="760"/>
      <c r="H2805" s="760"/>
      <c r="I2805" s="760"/>
      <c r="J2805" s="760"/>
      <c r="K2805" s="760"/>
    </row>
    <row r="2806" spans="1:11">
      <c r="A2806" s="760"/>
      <c r="B2806" s="760"/>
      <c r="C2806" s="760"/>
      <c r="D2806" s="760"/>
      <c r="E2806" s="760"/>
      <c r="F2806" s="760"/>
      <c r="G2806" s="760"/>
      <c r="H2806" s="760"/>
      <c r="I2806" s="760"/>
      <c r="J2806" s="760"/>
      <c r="K2806" s="760"/>
    </row>
    <row r="2807" spans="1:11">
      <c r="A2807" s="760"/>
      <c r="B2807" s="760"/>
      <c r="C2807" s="760"/>
      <c r="D2807" s="760"/>
      <c r="E2807" s="760"/>
      <c r="F2807" s="760"/>
      <c r="G2807" s="760"/>
      <c r="H2807" s="760"/>
      <c r="I2807" s="760"/>
      <c r="J2807" s="760"/>
      <c r="K2807" s="760"/>
    </row>
    <row r="2808" spans="1:11">
      <c r="A2808" s="760"/>
      <c r="B2808" s="760"/>
      <c r="C2808" s="760"/>
      <c r="D2808" s="760"/>
      <c r="E2808" s="760"/>
      <c r="F2808" s="760"/>
      <c r="G2808" s="760"/>
      <c r="H2808" s="760"/>
      <c r="I2808" s="760"/>
      <c r="J2808" s="760"/>
      <c r="K2808" s="760"/>
    </row>
    <row r="2809" spans="1:11">
      <c r="A2809" s="760"/>
      <c r="B2809" s="760"/>
      <c r="C2809" s="760"/>
      <c r="D2809" s="760"/>
      <c r="E2809" s="760"/>
      <c r="F2809" s="760"/>
      <c r="G2809" s="760"/>
      <c r="H2809" s="760"/>
      <c r="I2809" s="760"/>
      <c r="J2809" s="760"/>
      <c r="K2809" s="760"/>
    </row>
    <row r="2810" spans="1:11">
      <c r="A2810" s="760"/>
      <c r="B2810" s="760"/>
      <c r="C2810" s="760"/>
      <c r="D2810" s="760"/>
      <c r="E2810" s="760"/>
      <c r="F2810" s="760"/>
      <c r="G2810" s="760"/>
      <c r="H2810" s="760"/>
      <c r="I2810" s="760"/>
      <c r="J2810" s="760"/>
      <c r="K2810" s="760"/>
    </row>
    <row r="2811" spans="1:11">
      <c r="A2811" s="760"/>
      <c r="B2811" s="760"/>
      <c r="C2811" s="760"/>
      <c r="D2811" s="760"/>
      <c r="E2811" s="760"/>
      <c r="F2811" s="760"/>
      <c r="G2811" s="760"/>
      <c r="H2811" s="760"/>
      <c r="I2811" s="760"/>
      <c r="J2811" s="760"/>
      <c r="K2811" s="760"/>
    </row>
    <row r="2812" spans="1:11">
      <c r="A2812" s="760"/>
      <c r="B2812" s="760"/>
      <c r="C2812" s="760"/>
      <c r="D2812" s="760"/>
      <c r="E2812" s="760"/>
      <c r="F2812" s="760"/>
      <c r="G2812" s="760"/>
      <c r="H2812" s="760"/>
      <c r="I2812" s="760"/>
      <c r="J2812" s="760"/>
      <c r="K2812" s="760"/>
    </row>
    <row r="2813" spans="1:11">
      <c r="A2813" s="760"/>
      <c r="B2813" s="760"/>
      <c r="C2813" s="760"/>
      <c r="D2813" s="760"/>
      <c r="E2813" s="760"/>
      <c r="F2813" s="760"/>
      <c r="G2813" s="760"/>
      <c r="H2813" s="760"/>
      <c r="I2813" s="760"/>
      <c r="J2813" s="760"/>
      <c r="K2813" s="760"/>
    </row>
    <row r="2814" spans="1:11">
      <c r="A2814" s="760"/>
      <c r="B2814" s="760"/>
      <c r="C2814" s="760"/>
      <c r="D2814" s="760"/>
      <c r="E2814" s="760"/>
      <c r="F2814" s="760"/>
      <c r="G2814" s="760"/>
      <c r="H2814" s="760"/>
      <c r="I2814" s="760"/>
      <c r="J2814" s="760"/>
      <c r="K2814" s="760"/>
    </row>
    <row r="2815" spans="1:11">
      <c r="A2815" s="760"/>
      <c r="B2815" s="760"/>
      <c r="C2815" s="760"/>
      <c r="D2815" s="760"/>
      <c r="E2815" s="760"/>
      <c r="F2815" s="760"/>
      <c r="G2815" s="760"/>
      <c r="H2815" s="760"/>
      <c r="I2815" s="760"/>
      <c r="J2815" s="760"/>
      <c r="K2815" s="760"/>
    </row>
    <row r="2816" spans="1:11">
      <c r="A2816" s="760"/>
      <c r="B2816" s="760"/>
      <c r="C2816" s="760"/>
      <c r="D2816" s="760"/>
      <c r="E2816" s="760"/>
      <c r="F2816" s="760"/>
      <c r="G2816" s="760"/>
      <c r="H2816" s="760"/>
      <c r="I2816" s="760"/>
      <c r="J2816" s="760"/>
      <c r="K2816" s="760"/>
    </row>
    <row r="2817" spans="1:11">
      <c r="A2817" s="760"/>
      <c r="B2817" s="760"/>
      <c r="C2817" s="760"/>
      <c r="D2817" s="760"/>
      <c r="E2817" s="760"/>
      <c r="F2817" s="760"/>
      <c r="G2817" s="760"/>
      <c r="H2817" s="760"/>
      <c r="I2817" s="760"/>
      <c r="J2817" s="760"/>
      <c r="K2817" s="760"/>
    </row>
    <row r="2818" spans="1:11">
      <c r="A2818" s="760"/>
      <c r="B2818" s="760"/>
      <c r="C2818" s="760"/>
      <c r="D2818" s="760"/>
      <c r="E2818" s="760"/>
      <c r="F2818" s="760"/>
      <c r="G2818" s="760"/>
      <c r="H2818" s="760"/>
      <c r="I2818" s="760"/>
      <c r="J2818" s="760"/>
      <c r="K2818" s="760"/>
    </row>
    <row r="2819" spans="1:11">
      <c r="A2819" s="760"/>
      <c r="B2819" s="760"/>
      <c r="C2819" s="760"/>
      <c r="D2819" s="760"/>
      <c r="E2819" s="760"/>
      <c r="F2819" s="760"/>
      <c r="G2819" s="760"/>
      <c r="H2819" s="760"/>
      <c r="I2819" s="760"/>
      <c r="J2819" s="760"/>
      <c r="K2819" s="760"/>
    </row>
    <row r="2820" spans="1:11">
      <c r="A2820" s="760"/>
      <c r="B2820" s="760"/>
      <c r="C2820" s="760"/>
      <c r="D2820" s="760"/>
      <c r="E2820" s="760"/>
      <c r="F2820" s="760"/>
      <c r="G2820" s="760"/>
      <c r="H2820" s="760"/>
      <c r="I2820" s="760"/>
      <c r="J2820" s="760"/>
      <c r="K2820" s="760"/>
    </row>
    <row r="2821" spans="1:11">
      <c r="A2821" s="760"/>
      <c r="B2821" s="760"/>
      <c r="C2821" s="760"/>
      <c r="D2821" s="760"/>
      <c r="E2821" s="760"/>
      <c r="F2821" s="760"/>
      <c r="G2821" s="760"/>
      <c r="H2821" s="760"/>
      <c r="I2821" s="760"/>
      <c r="J2821" s="760"/>
      <c r="K2821" s="760"/>
    </row>
    <row r="2822" spans="1:11">
      <c r="A2822" s="760"/>
      <c r="B2822" s="760"/>
      <c r="C2822" s="760"/>
      <c r="D2822" s="760"/>
      <c r="E2822" s="760"/>
      <c r="F2822" s="760"/>
      <c r="G2822" s="760"/>
      <c r="H2822" s="760"/>
      <c r="I2822" s="760"/>
      <c r="J2822" s="760"/>
      <c r="K2822" s="760"/>
    </row>
    <row r="2823" spans="1:11">
      <c r="A2823" s="760"/>
      <c r="B2823" s="760"/>
      <c r="C2823" s="760"/>
      <c r="D2823" s="760"/>
      <c r="E2823" s="760"/>
      <c r="F2823" s="760"/>
      <c r="G2823" s="760"/>
      <c r="H2823" s="760"/>
      <c r="I2823" s="760"/>
      <c r="J2823" s="760"/>
      <c r="K2823" s="760"/>
    </row>
    <row r="2824" spans="1:11">
      <c r="A2824" s="760"/>
      <c r="B2824" s="760"/>
      <c r="C2824" s="760"/>
      <c r="D2824" s="760"/>
      <c r="E2824" s="760"/>
      <c r="F2824" s="760"/>
      <c r="G2824" s="760"/>
      <c r="H2824" s="760"/>
      <c r="I2824" s="760"/>
      <c r="J2824" s="760"/>
      <c r="K2824" s="760"/>
    </row>
    <row r="2825" spans="1:11">
      <c r="A2825" s="760"/>
      <c r="B2825" s="760"/>
      <c r="C2825" s="760"/>
      <c r="D2825" s="760"/>
      <c r="E2825" s="760"/>
      <c r="F2825" s="760"/>
      <c r="G2825" s="760"/>
      <c r="H2825" s="760"/>
      <c r="I2825" s="760"/>
      <c r="J2825" s="760"/>
      <c r="K2825" s="760"/>
    </row>
    <row r="2826" spans="1:11">
      <c r="A2826" s="760"/>
      <c r="B2826" s="760"/>
      <c r="C2826" s="760"/>
      <c r="D2826" s="760"/>
      <c r="E2826" s="760"/>
      <c r="F2826" s="760"/>
      <c r="G2826" s="760"/>
      <c r="H2826" s="760"/>
      <c r="I2826" s="760"/>
      <c r="J2826" s="760"/>
      <c r="K2826" s="760"/>
    </row>
    <row r="2827" spans="1:11">
      <c r="A2827" s="760"/>
      <c r="B2827" s="760"/>
      <c r="C2827" s="760"/>
      <c r="D2827" s="760"/>
      <c r="E2827" s="760"/>
      <c r="F2827" s="760"/>
      <c r="G2827" s="760"/>
      <c r="H2827" s="760"/>
      <c r="I2827" s="760"/>
      <c r="J2827" s="760"/>
      <c r="K2827" s="760"/>
    </row>
    <row r="2828" spans="1:11">
      <c r="A2828" s="760"/>
      <c r="B2828" s="760"/>
      <c r="C2828" s="760"/>
      <c r="D2828" s="760"/>
      <c r="E2828" s="760"/>
      <c r="F2828" s="760"/>
      <c r="G2828" s="760"/>
      <c r="H2828" s="760"/>
      <c r="I2828" s="760"/>
      <c r="J2828" s="760"/>
      <c r="K2828" s="760"/>
    </row>
    <row r="2829" spans="1:11">
      <c r="A2829" s="760"/>
      <c r="B2829" s="760"/>
      <c r="C2829" s="760"/>
      <c r="D2829" s="760"/>
      <c r="E2829" s="760"/>
      <c r="F2829" s="760"/>
      <c r="G2829" s="760"/>
      <c r="H2829" s="760"/>
      <c r="I2829" s="760"/>
      <c r="J2829" s="760"/>
      <c r="K2829" s="760"/>
    </row>
    <row r="2830" spans="1:11">
      <c r="A2830" s="760"/>
      <c r="B2830" s="760"/>
      <c r="C2830" s="760"/>
      <c r="D2830" s="760"/>
      <c r="E2830" s="760"/>
      <c r="F2830" s="760"/>
      <c r="G2830" s="760"/>
      <c r="H2830" s="760"/>
      <c r="I2830" s="760"/>
      <c r="J2830" s="760"/>
      <c r="K2830" s="760"/>
    </row>
    <row r="2831" spans="1:11">
      <c r="A2831" s="760"/>
      <c r="B2831" s="760"/>
      <c r="C2831" s="760"/>
      <c r="D2831" s="760"/>
      <c r="E2831" s="760"/>
      <c r="F2831" s="760"/>
      <c r="G2831" s="760"/>
      <c r="H2831" s="760"/>
      <c r="I2831" s="760"/>
      <c r="J2831" s="760"/>
      <c r="K2831" s="760"/>
    </row>
    <row r="2832" spans="1:11">
      <c r="A2832" s="760"/>
      <c r="B2832" s="760"/>
      <c r="C2832" s="760"/>
      <c r="D2832" s="760"/>
      <c r="E2832" s="760"/>
      <c r="F2832" s="760"/>
      <c r="G2832" s="760"/>
      <c r="H2832" s="760"/>
      <c r="I2832" s="760"/>
      <c r="J2832" s="760"/>
      <c r="K2832" s="760"/>
    </row>
    <row r="2833" spans="1:11">
      <c r="A2833" s="760"/>
      <c r="B2833" s="760"/>
      <c r="C2833" s="760"/>
      <c r="D2833" s="760"/>
      <c r="E2833" s="760"/>
      <c r="F2833" s="760"/>
      <c r="G2833" s="760"/>
      <c r="H2833" s="760"/>
      <c r="I2833" s="760"/>
      <c r="J2833" s="760"/>
      <c r="K2833" s="760"/>
    </row>
    <row r="2834" spans="1:11">
      <c r="A2834" s="760"/>
      <c r="B2834" s="760"/>
      <c r="C2834" s="760"/>
      <c r="D2834" s="760"/>
      <c r="E2834" s="760"/>
      <c r="F2834" s="760"/>
      <c r="G2834" s="760"/>
      <c r="H2834" s="760"/>
      <c r="I2834" s="760"/>
      <c r="J2834" s="760"/>
      <c r="K2834" s="760"/>
    </row>
    <row r="2835" spans="1:11">
      <c r="A2835" s="760"/>
      <c r="B2835" s="760"/>
      <c r="C2835" s="760"/>
      <c r="D2835" s="760"/>
      <c r="E2835" s="760"/>
      <c r="F2835" s="760"/>
      <c r="G2835" s="760"/>
      <c r="H2835" s="760"/>
      <c r="I2835" s="760"/>
      <c r="J2835" s="760"/>
      <c r="K2835" s="760"/>
    </row>
    <row r="2836" spans="1:11">
      <c r="A2836" s="760"/>
      <c r="B2836" s="760"/>
      <c r="C2836" s="760"/>
      <c r="D2836" s="760"/>
      <c r="E2836" s="760"/>
      <c r="F2836" s="760"/>
      <c r="G2836" s="760"/>
      <c r="H2836" s="760"/>
      <c r="I2836" s="760"/>
      <c r="J2836" s="760"/>
      <c r="K2836" s="760"/>
    </row>
    <row r="2837" spans="1:11">
      <c r="A2837" s="760"/>
      <c r="B2837" s="760"/>
      <c r="C2837" s="760"/>
      <c r="D2837" s="760"/>
      <c r="E2837" s="760"/>
      <c r="F2837" s="760"/>
      <c r="G2837" s="760"/>
      <c r="H2837" s="760"/>
      <c r="I2837" s="760"/>
      <c r="J2837" s="760"/>
      <c r="K2837" s="760"/>
    </row>
    <row r="2838" spans="1:11">
      <c r="A2838" s="760"/>
      <c r="B2838" s="760"/>
      <c r="C2838" s="760"/>
      <c r="D2838" s="760"/>
      <c r="E2838" s="760"/>
      <c r="F2838" s="760"/>
      <c r="G2838" s="760"/>
      <c r="H2838" s="760"/>
      <c r="I2838" s="760"/>
      <c r="J2838" s="760"/>
      <c r="K2838" s="760"/>
    </row>
    <row r="2839" spans="1:11">
      <c r="A2839" s="760"/>
      <c r="B2839" s="760"/>
      <c r="C2839" s="760"/>
      <c r="D2839" s="760"/>
      <c r="E2839" s="760"/>
      <c r="F2839" s="760"/>
      <c r="G2839" s="760"/>
      <c r="H2839" s="760"/>
      <c r="I2839" s="760"/>
      <c r="J2839" s="760"/>
      <c r="K2839" s="760"/>
    </row>
    <row r="2840" spans="1:11">
      <c r="A2840" s="760"/>
      <c r="B2840" s="760"/>
      <c r="C2840" s="760"/>
      <c r="D2840" s="760"/>
      <c r="E2840" s="760"/>
      <c r="F2840" s="760"/>
      <c r="G2840" s="760"/>
      <c r="H2840" s="760"/>
      <c r="I2840" s="760"/>
      <c r="J2840" s="760"/>
      <c r="K2840" s="760"/>
    </row>
    <row r="2841" spans="1:11">
      <c r="A2841" s="760"/>
      <c r="B2841" s="760"/>
      <c r="C2841" s="760"/>
      <c r="D2841" s="760"/>
      <c r="E2841" s="760"/>
      <c r="F2841" s="760"/>
      <c r="G2841" s="760"/>
      <c r="H2841" s="760"/>
      <c r="I2841" s="760"/>
      <c r="J2841" s="760"/>
      <c r="K2841" s="760"/>
    </row>
    <row r="2842" spans="1:11">
      <c r="A2842" s="760"/>
      <c r="B2842" s="760"/>
      <c r="C2842" s="760"/>
      <c r="D2842" s="760"/>
      <c r="E2842" s="760"/>
      <c r="F2842" s="760"/>
      <c r="G2842" s="760"/>
      <c r="H2842" s="760"/>
      <c r="I2842" s="760"/>
      <c r="J2842" s="760"/>
      <c r="K2842" s="760"/>
    </row>
    <row r="2843" spans="1:11">
      <c r="A2843" s="760"/>
      <c r="B2843" s="760"/>
      <c r="C2843" s="760"/>
      <c r="D2843" s="760"/>
      <c r="E2843" s="760"/>
      <c r="F2843" s="760"/>
      <c r="G2843" s="760"/>
      <c r="H2843" s="760"/>
      <c r="I2843" s="760"/>
      <c r="J2843" s="760"/>
      <c r="K2843" s="760"/>
    </row>
    <row r="2844" spans="1:11">
      <c r="A2844" s="760"/>
      <c r="B2844" s="760"/>
      <c r="C2844" s="760"/>
      <c r="D2844" s="760"/>
      <c r="E2844" s="760"/>
      <c r="F2844" s="760"/>
      <c r="G2844" s="760"/>
      <c r="H2844" s="760"/>
      <c r="I2844" s="760"/>
      <c r="J2844" s="760"/>
      <c r="K2844" s="760"/>
    </row>
    <row r="2845" spans="1:11">
      <c r="A2845" s="760"/>
      <c r="B2845" s="760"/>
      <c r="C2845" s="760"/>
      <c r="D2845" s="760"/>
      <c r="E2845" s="760"/>
      <c r="F2845" s="760"/>
      <c r="G2845" s="760"/>
      <c r="H2845" s="760"/>
      <c r="I2845" s="760"/>
      <c r="J2845" s="760"/>
      <c r="K2845" s="760"/>
    </row>
    <row r="2846" spans="1:11">
      <c r="A2846" s="760"/>
      <c r="B2846" s="760"/>
      <c r="C2846" s="760"/>
      <c r="D2846" s="760"/>
      <c r="E2846" s="760"/>
      <c r="F2846" s="760"/>
      <c r="G2846" s="760"/>
      <c r="H2846" s="760"/>
      <c r="I2846" s="760"/>
      <c r="J2846" s="760"/>
      <c r="K2846" s="760"/>
    </row>
    <row r="2847" spans="1:11">
      <c r="A2847" s="760"/>
      <c r="B2847" s="760"/>
      <c r="C2847" s="760"/>
      <c r="D2847" s="760"/>
      <c r="E2847" s="760"/>
      <c r="F2847" s="760"/>
      <c r="G2847" s="760"/>
      <c r="H2847" s="760"/>
      <c r="I2847" s="760"/>
      <c r="J2847" s="760"/>
      <c r="K2847" s="760"/>
    </row>
    <row r="2848" spans="1:11">
      <c r="A2848" s="760"/>
      <c r="B2848" s="760"/>
      <c r="C2848" s="760"/>
      <c r="D2848" s="760"/>
      <c r="E2848" s="760"/>
      <c r="F2848" s="760"/>
      <c r="G2848" s="760"/>
      <c r="H2848" s="760"/>
      <c r="I2848" s="760"/>
      <c r="J2848" s="760"/>
      <c r="K2848" s="760"/>
    </row>
    <row r="2849" spans="1:11">
      <c r="A2849" s="760"/>
      <c r="B2849" s="760"/>
      <c r="C2849" s="760"/>
      <c r="D2849" s="760"/>
      <c r="E2849" s="760"/>
      <c r="F2849" s="760"/>
      <c r="G2849" s="760"/>
      <c r="H2849" s="760"/>
      <c r="I2849" s="760"/>
      <c r="J2849" s="760"/>
      <c r="K2849" s="760"/>
    </row>
    <row r="2850" spans="1:11">
      <c r="A2850" s="760"/>
      <c r="B2850" s="760"/>
      <c r="C2850" s="760"/>
      <c r="D2850" s="760"/>
      <c r="E2850" s="760"/>
      <c r="F2850" s="760"/>
      <c r="G2850" s="760"/>
      <c r="H2850" s="760"/>
      <c r="I2850" s="760"/>
      <c r="J2850" s="760"/>
      <c r="K2850" s="760"/>
    </row>
    <row r="2851" spans="1:11">
      <c r="A2851" s="760"/>
      <c r="B2851" s="760"/>
      <c r="C2851" s="760"/>
      <c r="D2851" s="760"/>
      <c r="E2851" s="760"/>
      <c r="F2851" s="760"/>
      <c r="G2851" s="760"/>
      <c r="H2851" s="760"/>
      <c r="I2851" s="760"/>
      <c r="J2851" s="760"/>
      <c r="K2851" s="760"/>
    </row>
    <row r="2852" spans="1:11">
      <c r="A2852" s="760"/>
      <c r="B2852" s="760"/>
      <c r="C2852" s="760"/>
      <c r="D2852" s="760"/>
      <c r="E2852" s="760"/>
      <c r="F2852" s="760"/>
      <c r="G2852" s="760"/>
      <c r="H2852" s="760"/>
      <c r="I2852" s="760"/>
      <c r="J2852" s="760"/>
      <c r="K2852" s="760"/>
    </row>
    <row r="2853" spans="1:11">
      <c r="A2853" s="760"/>
      <c r="B2853" s="760"/>
      <c r="C2853" s="760"/>
      <c r="D2853" s="760"/>
      <c r="E2853" s="760"/>
      <c r="F2853" s="760"/>
      <c r="G2853" s="760"/>
      <c r="H2853" s="760"/>
      <c r="I2853" s="760"/>
      <c r="J2853" s="760"/>
      <c r="K2853" s="760"/>
    </row>
    <row r="2854" spans="1:11">
      <c r="A2854" s="760"/>
      <c r="B2854" s="760"/>
      <c r="C2854" s="760"/>
      <c r="D2854" s="760"/>
      <c r="E2854" s="760"/>
      <c r="F2854" s="760"/>
      <c r="G2854" s="760"/>
      <c r="H2854" s="760"/>
      <c r="I2854" s="760"/>
      <c r="J2854" s="760"/>
      <c r="K2854" s="760"/>
    </row>
    <row r="2855" spans="1:11">
      <c r="A2855" s="760"/>
      <c r="B2855" s="760"/>
      <c r="C2855" s="760"/>
      <c r="D2855" s="760"/>
      <c r="E2855" s="760"/>
      <c r="F2855" s="760"/>
      <c r="G2855" s="760"/>
      <c r="H2855" s="760"/>
      <c r="I2855" s="760"/>
      <c r="J2855" s="760"/>
      <c r="K2855" s="760"/>
    </row>
    <row r="2856" spans="1:11">
      <c r="A2856" s="760"/>
      <c r="B2856" s="760"/>
      <c r="C2856" s="760"/>
      <c r="D2856" s="760"/>
      <c r="E2856" s="760"/>
      <c r="F2856" s="760"/>
      <c r="G2856" s="760"/>
      <c r="H2856" s="760"/>
      <c r="I2856" s="760"/>
      <c r="J2856" s="760"/>
      <c r="K2856" s="760"/>
    </row>
    <row r="2857" spans="1:11">
      <c r="A2857" s="760"/>
      <c r="B2857" s="760"/>
      <c r="C2857" s="760"/>
      <c r="D2857" s="760"/>
      <c r="E2857" s="760"/>
      <c r="F2857" s="760"/>
      <c r="G2857" s="760"/>
      <c r="H2857" s="760"/>
      <c r="I2857" s="760"/>
      <c r="J2857" s="760"/>
      <c r="K2857" s="760"/>
    </row>
    <row r="2858" spans="1:11">
      <c r="A2858" s="760"/>
      <c r="B2858" s="760"/>
      <c r="C2858" s="760"/>
      <c r="D2858" s="760"/>
      <c r="E2858" s="760"/>
      <c r="F2858" s="760"/>
      <c r="G2858" s="760"/>
      <c r="H2858" s="760"/>
      <c r="I2858" s="760"/>
      <c r="J2858" s="760"/>
      <c r="K2858" s="760"/>
    </row>
    <row r="2859" spans="1:11">
      <c r="A2859" s="760"/>
      <c r="B2859" s="760"/>
      <c r="C2859" s="760"/>
      <c r="D2859" s="760"/>
      <c r="E2859" s="760"/>
      <c r="F2859" s="760"/>
      <c r="G2859" s="760"/>
      <c r="H2859" s="760"/>
      <c r="I2859" s="760"/>
      <c r="J2859" s="760"/>
      <c r="K2859" s="760"/>
    </row>
    <row r="2860" spans="1:11">
      <c r="A2860" s="760"/>
      <c r="B2860" s="760"/>
      <c r="C2860" s="760"/>
      <c r="D2860" s="760"/>
      <c r="E2860" s="760"/>
      <c r="F2860" s="760"/>
      <c r="G2860" s="760"/>
      <c r="H2860" s="760"/>
      <c r="I2860" s="760"/>
      <c r="J2860" s="760"/>
      <c r="K2860" s="760"/>
    </row>
    <row r="2861" spans="1:11">
      <c r="A2861" s="760"/>
      <c r="B2861" s="760"/>
      <c r="C2861" s="760"/>
      <c r="D2861" s="760"/>
      <c r="E2861" s="760"/>
      <c r="F2861" s="760"/>
      <c r="G2861" s="760"/>
      <c r="H2861" s="760"/>
      <c r="I2861" s="760"/>
      <c r="J2861" s="760"/>
      <c r="K2861" s="760"/>
    </row>
    <row r="2862" spans="1:11">
      <c r="A2862" s="760"/>
      <c r="B2862" s="760"/>
      <c r="C2862" s="760"/>
      <c r="D2862" s="760"/>
      <c r="E2862" s="760"/>
      <c r="F2862" s="760"/>
      <c r="G2862" s="760"/>
      <c r="H2862" s="760"/>
      <c r="I2862" s="760"/>
      <c r="J2862" s="760"/>
      <c r="K2862" s="760"/>
    </row>
    <row r="2863" spans="1:11">
      <c r="A2863" s="760"/>
      <c r="B2863" s="760"/>
      <c r="C2863" s="760"/>
      <c r="D2863" s="760"/>
      <c r="E2863" s="760"/>
      <c r="F2863" s="760"/>
      <c r="G2863" s="760"/>
      <c r="H2863" s="760"/>
      <c r="I2863" s="760"/>
      <c r="J2863" s="760"/>
      <c r="K2863" s="760"/>
    </row>
    <row r="2864" spans="1:11">
      <c r="A2864" s="760"/>
      <c r="B2864" s="760"/>
      <c r="C2864" s="760"/>
      <c r="D2864" s="760"/>
      <c r="E2864" s="760"/>
      <c r="F2864" s="760"/>
      <c r="G2864" s="760"/>
      <c r="H2864" s="760"/>
      <c r="I2864" s="760"/>
      <c r="J2864" s="760"/>
      <c r="K2864" s="760"/>
    </row>
    <row r="2865" spans="1:11">
      <c r="A2865" s="760"/>
      <c r="B2865" s="760"/>
      <c r="C2865" s="760"/>
      <c r="D2865" s="760"/>
      <c r="E2865" s="760"/>
      <c r="F2865" s="760"/>
      <c r="G2865" s="760"/>
      <c r="H2865" s="760"/>
      <c r="I2865" s="760"/>
      <c r="J2865" s="760"/>
      <c r="K2865" s="760"/>
    </row>
    <row r="2866" spans="1:11">
      <c r="A2866" s="760"/>
      <c r="B2866" s="760"/>
      <c r="C2866" s="760"/>
      <c r="D2866" s="760"/>
      <c r="E2866" s="760"/>
      <c r="F2866" s="760"/>
      <c r="G2866" s="760"/>
      <c r="H2866" s="760"/>
      <c r="I2866" s="760"/>
      <c r="J2866" s="760"/>
      <c r="K2866" s="760"/>
    </row>
    <row r="2867" spans="1:11">
      <c r="A2867" s="760"/>
      <c r="B2867" s="760"/>
      <c r="C2867" s="760"/>
      <c r="D2867" s="760"/>
      <c r="E2867" s="760"/>
      <c r="F2867" s="760"/>
      <c r="G2867" s="760"/>
      <c r="H2867" s="760"/>
      <c r="I2867" s="760"/>
      <c r="J2867" s="760"/>
      <c r="K2867" s="760"/>
    </row>
    <row r="2868" spans="1:11">
      <c r="A2868" s="760"/>
      <c r="B2868" s="760"/>
      <c r="C2868" s="760"/>
      <c r="D2868" s="760"/>
      <c r="E2868" s="760"/>
      <c r="F2868" s="760"/>
      <c r="G2868" s="760"/>
      <c r="H2868" s="760"/>
      <c r="I2868" s="760"/>
      <c r="J2868" s="760"/>
      <c r="K2868" s="760"/>
    </row>
    <row r="2869" spans="1:11">
      <c r="A2869" s="760"/>
      <c r="B2869" s="760"/>
      <c r="C2869" s="760"/>
      <c r="D2869" s="760"/>
      <c r="E2869" s="760"/>
      <c r="F2869" s="760"/>
      <c r="G2869" s="760"/>
      <c r="H2869" s="760"/>
      <c r="I2869" s="760"/>
      <c r="J2869" s="760"/>
      <c r="K2869" s="760"/>
    </row>
    <row r="2870" spans="1:11">
      <c r="A2870" s="760"/>
      <c r="B2870" s="760"/>
      <c r="C2870" s="760"/>
      <c r="D2870" s="760"/>
      <c r="E2870" s="760"/>
      <c r="F2870" s="760"/>
      <c r="G2870" s="760"/>
      <c r="H2870" s="760"/>
      <c r="I2870" s="760"/>
      <c r="J2870" s="760"/>
      <c r="K2870" s="760"/>
    </row>
    <row r="2871" spans="1:11">
      <c r="A2871" s="760"/>
      <c r="B2871" s="760"/>
      <c r="C2871" s="760"/>
      <c r="D2871" s="760"/>
      <c r="E2871" s="760"/>
      <c r="F2871" s="760"/>
      <c r="G2871" s="760"/>
      <c r="H2871" s="760"/>
      <c r="I2871" s="760"/>
      <c r="J2871" s="760"/>
      <c r="K2871" s="760"/>
    </row>
    <row r="2872" spans="1:11">
      <c r="A2872" s="760"/>
      <c r="B2872" s="760"/>
      <c r="C2872" s="760"/>
      <c r="D2872" s="760"/>
      <c r="E2872" s="760"/>
      <c r="F2872" s="760"/>
      <c r="G2872" s="760"/>
      <c r="H2872" s="760"/>
      <c r="I2872" s="760"/>
      <c r="J2872" s="760"/>
      <c r="K2872" s="760"/>
    </row>
    <row r="2873" spans="1:11">
      <c r="A2873" s="760"/>
      <c r="B2873" s="760"/>
      <c r="C2873" s="760"/>
      <c r="D2873" s="760"/>
      <c r="E2873" s="760"/>
      <c r="F2873" s="760"/>
      <c r="G2873" s="760"/>
      <c r="H2873" s="760"/>
      <c r="I2873" s="760"/>
      <c r="J2873" s="760"/>
      <c r="K2873" s="760"/>
    </row>
    <row r="2874" spans="1:11">
      <c r="A2874" s="760"/>
      <c r="B2874" s="760"/>
      <c r="C2874" s="760"/>
      <c r="D2874" s="760"/>
      <c r="E2874" s="760"/>
      <c r="F2874" s="760"/>
      <c r="G2874" s="760"/>
      <c r="H2874" s="760"/>
      <c r="I2874" s="760"/>
      <c r="J2874" s="760"/>
      <c r="K2874" s="760"/>
    </row>
    <row r="2875" spans="1:11">
      <c r="A2875" s="760"/>
      <c r="B2875" s="760"/>
      <c r="C2875" s="760"/>
      <c r="D2875" s="760"/>
      <c r="E2875" s="760"/>
      <c r="F2875" s="760"/>
      <c r="G2875" s="760"/>
      <c r="H2875" s="760"/>
      <c r="I2875" s="760"/>
      <c r="J2875" s="760"/>
      <c r="K2875" s="760"/>
    </row>
    <row r="2876" spans="1:11">
      <c r="A2876" s="760"/>
      <c r="B2876" s="760"/>
      <c r="C2876" s="760"/>
      <c r="D2876" s="760"/>
      <c r="E2876" s="760"/>
      <c r="F2876" s="760"/>
      <c r="G2876" s="760"/>
      <c r="H2876" s="760"/>
      <c r="I2876" s="760"/>
      <c r="J2876" s="760"/>
      <c r="K2876" s="760"/>
    </row>
    <row r="2877" spans="1:11">
      <c r="A2877" s="760"/>
      <c r="B2877" s="760"/>
      <c r="C2877" s="760"/>
      <c r="D2877" s="760"/>
      <c r="E2877" s="760"/>
      <c r="F2877" s="760"/>
      <c r="G2877" s="760"/>
      <c r="H2877" s="760"/>
      <c r="I2877" s="760"/>
      <c r="J2877" s="760"/>
      <c r="K2877" s="760"/>
    </row>
    <row r="2878" spans="1:11">
      <c r="A2878" s="760"/>
      <c r="B2878" s="760"/>
      <c r="C2878" s="760"/>
      <c r="D2878" s="760"/>
      <c r="E2878" s="760"/>
      <c r="F2878" s="760"/>
      <c r="G2878" s="760"/>
      <c r="H2878" s="760"/>
      <c r="I2878" s="760"/>
      <c r="J2878" s="760"/>
      <c r="K2878" s="760"/>
    </row>
    <row r="2879" spans="1:11">
      <c r="A2879" s="760"/>
      <c r="B2879" s="760"/>
      <c r="C2879" s="760"/>
      <c r="D2879" s="760"/>
      <c r="E2879" s="760"/>
      <c r="F2879" s="760"/>
      <c r="G2879" s="760"/>
      <c r="H2879" s="760"/>
      <c r="I2879" s="760"/>
      <c r="J2879" s="760"/>
      <c r="K2879" s="760"/>
    </row>
    <row r="2880" spans="1:11">
      <c r="A2880" s="760"/>
      <c r="B2880" s="760"/>
      <c r="C2880" s="760"/>
      <c r="D2880" s="760"/>
      <c r="E2880" s="760"/>
      <c r="F2880" s="760"/>
      <c r="G2880" s="760"/>
      <c r="H2880" s="760"/>
      <c r="I2880" s="760"/>
      <c r="J2880" s="760"/>
      <c r="K2880" s="760"/>
    </row>
    <row r="2881" spans="1:11">
      <c r="A2881" s="760"/>
      <c r="B2881" s="760"/>
      <c r="C2881" s="760"/>
      <c r="D2881" s="760"/>
      <c r="E2881" s="760"/>
      <c r="F2881" s="760"/>
      <c r="G2881" s="760"/>
      <c r="H2881" s="760"/>
      <c r="I2881" s="760"/>
      <c r="J2881" s="760"/>
      <c r="K2881" s="760"/>
    </row>
    <row r="2882" spans="1:11">
      <c r="A2882" s="760"/>
      <c r="B2882" s="760"/>
      <c r="C2882" s="760"/>
      <c r="D2882" s="760"/>
      <c r="E2882" s="760"/>
      <c r="F2882" s="760"/>
      <c r="G2882" s="760"/>
      <c r="H2882" s="760"/>
      <c r="I2882" s="760"/>
      <c r="J2882" s="760"/>
      <c r="K2882" s="760"/>
    </row>
    <row r="2883" spans="1:11">
      <c r="A2883" s="760"/>
      <c r="B2883" s="760"/>
      <c r="C2883" s="760"/>
      <c r="D2883" s="760"/>
      <c r="E2883" s="760"/>
      <c r="F2883" s="760"/>
      <c r="G2883" s="760"/>
      <c r="H2883" s="760"/>
      <c r="I2883" s="760"/>
      <c r="J2883" s="760"/>
      <c r="K2883" s="760"/>
    </row>
    <row r="2884" spans="1:11">
      <c r="A2884" s="760"/>
      <c r="B2884" s="760"/>
      <c r="C2884" s="760"/>
      <c r="D2884" s="760"/>
      <c r="E2884" s="760"/>
      <c r="F2884" s="760"/>
      <c r="G2884" s="760"/>
      <c r="H2884" s="760"/>
      <c r="I2884" s="760"/>
      <c r="J2884" s="760"/>
      <c r="K2884" s="760"/>
    </row>
    <row r="2885" spans="1:11">
      <c r="A2885" s="760"/>
      <c r="B2885" s="760"/>
      <c r="C2885" s="760"/>
      <c r="D2885" s="760"/>
      <c r="E2885" s="760"/>
      <c r="F2885" s="760"/>
      <c r="G2885" s="760"/>
      <c r="H2885" s="760"/>
      <c r="I2885" s="760"/>
      <c r="J2885" s="760"/>
      <c r="K2885" s="760"/>
    </row>
    <row r="2886" spans="1:11">
      <c r="A2886" s="760"/>
      <c r="B2886" s="760"/>
      <c r="C2886" s="760"/>
      <c r="D2886" s="760"/>
      <c r="E2886" s="760"/>
      <c r="F2886" s="760"/>
      <c r="G2886" s="760"/>
      <c r="H2886" s="760"/>
      <c r="I2886" s="760"/>
      <c r="J2886" s="760"/>
      <c r="K2886" s="760"/>
    </row>
    <row r="2887" spans="1:11">
      <c r="A2887" s="760"/>
      <c r="B2887" s="760"/>
      <c r="C2887" s="760"/>
      <c r="D2887" s="760"/>
      <c r="E2887" s="760"/>
      <c r="F2887" s="760"/>
      <c r="G2887" s="760"/>
      <c r="H2887" s="760"/>
      <c r="I2887" s="760"/>
      <c r="J2887" s="760"/>
      <c r="K2887" s="760"/>
    </row>
    <row r="2888" spans="1:11">
      <c r="A2888" s="760"/>
      <c r="B2888" s="760"/>
      <c r="C2888" s="760"/>
      <c r="D2888" s="760"/>
      <c r="E2888" s="760"/>
      <c r="F2888" s="760"/>
      <c r="G2888" s="760"/>
      <c r="H2888" s="760"/>
      <c r="I2888" s="760"/>
      <c r="J2888" s="760"/>
      <c r="K2888" s="760"/>
    </row>
    <row r="2889" spans="1:11">
      <c r="A2889" s="760"/>
      <c r="B2889" s="760"/>
      <c r="C2889" s="760"/>
      <c r="D2889" s="760"/>
      <c r="E2889" s="760"/>
      <c r="F2889" s="760"/>
      <c r="G2889" s="760"/>
      <c r="H2889" s="760"/>
      <c r="I2889" s="760"/>
      <c r="J2889" s="760"/>
      <c r="K2889" s="760"/>
    </row>
    <row r="2890" spans="1:11">
      <c r="A2890" s="760"/>
      <c r="B2890" s="760"/>
      <c r="C2890" s="760"/>
      <c r="D2890" s="760"/>
      <c r="E2890" s="760"/>
      <c r="F2890" s="760"/>
      <c r="G2890" s="760"/>
      <c r="H2890" s="760"/>
      <c r="I2890" s="760"/>
      <c r="J2890" s="760"/>
      <c r="K2890" s="760"/>
    </row>
    <row r="2891" spans="1:11">
      <c r="A2891" s="760"/>
      <c r="B2891" s="760"/>
      <c r="C2891" s="760"/>
      <c r="D2891" s="760"/>
      <c r="E2891" s="760"/>
      <c r="F2891" s="760"/>
      <c r="G2891" s="760"/>
      <c r="H2891" s="760"/>
      <c r="I2891" s="760"/>
      <c r="J2891" s="760"/>
      <c r="K2891" s="760"/>
    </row>
    <row r="2892" spans="1:11">
      <c r="A2892" s="760"/>
      <c r="B2892" s="760"/>
      <c r="C2892" s="760"/>
      <c r="D2892" s="760"/>
      <c r="E2892" s="760"/>
      <c r="F2892" s="760"/>
      <c r="G2892" s="760"/>
      <c r="H2892" s="760"/>
      <c r="I2892" s="760"/>
      <c r="J2892" s="760"/>
      <c r="K2892" s="760"/>
    </row>
    <row r="2893" spans="1:11">
      <c r="A2893" s="760"/>
      <c r="B2893" s="760"/>
      <c r="C2893" s="760"/>
      <c r="D2893" s="760"/>
      <c r="E2893" s="760"/>
      <c r="F2893" s="760"/>
      <c r="G2893" s="760"/>
      <c r="H2893" s="760"/>
      <c r="I2893" s="760"/>
      <c r="J2893" s="760"/>
      <c r="K2893" s="760"/>
    </row>
    <row r="2894" spans="1:11">
      <c r="A2894" s="760"/>
      <c r="B2894" s="760"/>
      <c r="C2894" s="760"/>
      <c r="D2894" s="760"/>
      <c r="E2894" s="760"/>
      <c r="F2894" s="760"/>
      <c r="G2894" s="760"/>
      <c r="H2894" s="760"/>
      <c r="I2894" s="760"/>
      <c r="J2894" s="760"/>
      <c r="K2894" s="760"/>
    </row>
    <row r="2895" spans="1:11">
      <c r="A2895" s="760"/>
      <c r="B2895" s="760"/>
      <c r="C2895" s="760"/>
      <c r="D2895" s="760"/>
      <c r="E2895" s="760"/>
      <c r="F2895" s="760"/>
      <c r="G2895" s="760"/>
      <c r="H2895" s="760"/>
      <c r="I2895" s="760"/>
      <c r="J2895" s="760"/>
      <c r="K2895" s="760"/>
    </row>
    <row r="2896" spans="1:11">
      <c r="A2896" s="760"/>
      <c r="B2896" s="760"/>
      <c r="C2896" s="760"/>
      <c r="D2896" s="760"/>
      <c r="E2896" s="760"/>
      <c r="F2896" s="760"/>
      <c r="G2896" s="760"/>
      <c r="H2896" s="760"/>
      <c r="I2896" s="760"/>
      <c r="J2896" s="760"/>
      <c r="K2896" s="760"/>
    </row>
    <row r="2897" spans="1:11">
      <c r="A2897" s="760"/>
      <c r="B2897" s="760"/>
      <c r="C2897" s="760"/>
      <c r="D2897" s="760"/>
      <c r="E2897" s="760"/>
      <c r="F2897" s="760"/>
      <c r="G2897" s="760"/>
      <c r="H2897" s="760"/>
      <c r="I2897" s="760"/>
      <c r="J2897" s="760"/>
      <c r="K2897" s="760"/>
    </row>
    <row r="2898" spans="1:11">
      <c r="A2898" s="760"/>
      <c r="B2898" s="760"/>
      <c r="C2898" s="760"/>
      <c r="D2898" s="760"/>
      <c r="E2898" s="760"/>
      <c r="F2898" s="760"/>
      <c r="G2898" s="760"/>
      <c r="H2898" s="760"/>
      <c r="I2898" s="760"/>
      <c r="J2898" s="760"/>
      <c r="K2898" s="760"/>
    </row>
    <row r="2899" spans="1:11">
      <c r="A2899" s="760"/>
      <c r="B2899" s="760"/>
      <c r="C2899" s="760"/>
      <c r="D2899" s="760"/>
      <c r="E2899" s="760"/>
      <c r="F2899" s="760"/>
      <c r="G2899" s="760"/>
      <c r="H2899" s="760"/>
      <c r="I2899" s="760"/>
      <c r="J2899" s="760"/>
      <c r="K2899" s="760"/>
    </row>
    <row r="2900" spans="1:11">
      <c r="A2900" s="760"/>
      <c r="B2900" s="760"/>
      <c r="C2900" s="760"/>
      <c r="D2900" s="760"/>
      <c r="E2900" s="760"/>
      <c r="F2900" s="760"/>
      <c r="G2900" s="760"/>
      <c r="H2900" s="760"/>
      <c r="I2900" s="760"/>
      <c r="J2900" s="760"/>
      <c r="K2900" s="760"/>
    </row>
    <row r="2901" spans="1:11">
      <c r="A2901" s="760"/>
      <c r="B2901" s="760"/>
      <c r="C2901" s="760"/>
      <c r="D2901" s="760"/>
      <c r="E2901" s="760"/>
      <c r="F2901" s="760"/>
      <c r="G2901" s="760"/>
      <c r="H2901" s="760"/>
      <c r="I2901" s="760"/>
      <c r="J2901" s="760"/>
      <c r="K2901" s="760"/>
    </row>
    <row r="2902" spans="1:11">
      <c r="A2902" s="760"/>
      <c r="B2902" s="760"/>
      <c r="C2902" s="760"/>
      <c r="D2902" s="760"/>
      <c r="E2902" s="760"/>
      <c r="F2902" s="760"/>
      <c r="G2902" s="760"/>
      <c r="H2902" s="760"/>
      <c r="I2902" s="760"/>
      <c r="J2902" s="760"/>
      <c r="K2902" s="760"/>
    </row>
    <row r="2903" spans="1:11">
      <c r="A2903" s="760"/>
      <c r="B2903" s="760"/>
      <c r="C2903" s="760"/>
      <c r="D2903" s="760"/>
      <c r="E2903" s="760"/>
      <c r="F2903" s="760"/>
      <c r="G2903" s="760"/>
      <c r="H2903" s="760"/>
      <c r="I2903" s="760"/>
      <c r="J2903" s="760"/>
      <c r="K2903" s="760"/>
    </row>
    <row r="2904" spans="1:11">
      <c r="A2904" s="760"/>
      <c r="B2904" s="760"/>
      <c r="C2904" s="760"/>
      <c r="D2904" s="760"/>
      <c r="E2904" s="760"/>
      <c r="F2904" s="760"/>
      <c r="G2904" s="760"/>
      <c r="H2904" s="760"/>
      <c r="I2904" s="760"/>
      <c r="J2904" s="760"/>
      <c r="K2904" s="760"/>
    </row>
    <row r="2905" spans="1:11">
      <c r="A2905" s="760"/>
      <c r="B2905" s="760"/>
      <c r="C2905" s="760"/>
      <c r="D2905" s="760"/>
      <c r="E2905" s="760"/>
      <c r="F2905" s="760"/>
      <c r="G2905" s="760"/>
      <c r="H2905" s="760"/>
      <c r="I2905" s="760"/>
      <c r="J2905" s="760"/>
      <c r="K2905" s="760"/>
    </row>
    <row r="2906" spans="1:11">
      <c r="A2906" s="760"/>
      <c r="B2906" s="760"/>
      <c r="C2906" s="760"/>
      <c r="D2906" s="760"/>
      <c r="E2906" s="760"/>
      <c r="F2906" s="760"/>
      <c r="G2906" s="760"/>
      <c r="H2906" s="760"/>
      <c r="I2906" s="760"/>
      <c r="J2906" s="760"/>
      <c r="K2906" s="760"/>
    </row>
    <row r="2907" spans="1:11">
      <c r="A2907" s="760"/>
      <c r="B2907" s="760"/>
      <c r="C2907" s="760"/>
      <c r="D2907" s="760"/>
      <c r="E2907" s="760"/>
      <c r="F2907" s="760"/>
      <c r="G2907" s="760"/>
      <c r="H2907" s="760"/>
      <c r="I2907" s="760"/>
      <c r="J2907" s="760"/>
      <c r="K2907" s="760"/>
    </row>
    <row r="2908" spans="1:11">
      <c r="A2908" s="760"/>
      <c r="B2908" s="760"/>
      <c r="C2908" s="760"/>
      <c r="D2908" s="760"/>
      <c r="E2908" s="760"/>
      <c r="F2908" s="760"/>
      <c r="G2908" s="760"/>
      <c r="H2908" s="760"/>
      <c r="I2908" s="760"/>
      <c r="J2908" s="760"/>
      <c r="K2908" s="760"/>
    </row>
    <row r="2909" spans="1:11">
      <c r="A2909" s="760"/>
      <c r="B2909" s="760"/>
      <c r="C2909" s="760"/>
      <c r="D2909" s="760"/>
      <c r="E2909" s="760"/>
      <c r="F2909" s="760"/>
      <c r="G2909" s="760"/>
      <c r="H2909" s="760"/>
      <c r="I2909" s="760"/>
      <c r="J2909" s="760"/>
      <c r="K2909" s="760"/>
    </row>
    <row r="2910" spans="1:11">
      <c r="A2910" s="760"/>
      <c r="B2910" s="760"/>
      <c r="C2910" s="760"/>
      <c r="D2910" s="760"/>
      <c r="E2910" s="760"/>
      <c r="F2910" s="760"/>
      <c r="G2910" s="760"/>
      <c r="H2910" s="760"/>
      <c r="I2910" s="760"/>
      <c r="J2910" s="760"/>
      <c r="K2910" s="760"/>
    </row>
    <row r="2911" spans="1:11">
      <c r="A2911" s="760"/>
      <c r="B2911" s="760"/>
      <c r="C2911" s="760"/>
      <c r="D2911" s="760"/>
      <c r="E2911" s="760"/>
      <c r="F2911" s="760"/>
      <c r="G2911" s="760"/>
      <c r="H2911" s="760"/>
      <c r="I2911" s="760"/>
      <c r="J2911" s="760"/>
      <c r="K2911" s="760"/>
    </row>
    <row r="2912" spans="1:11">
      <c r="A2912" s="760"/>
      <c r="B2912" s="760"/>
      <c r="C2912" s="760"/>
      <c r="D2912" s="760"/>
      <c r="E2912" s="760"/>
      <c r="F2912" s="760"/>
      <c r="G2912" s="760"/>
      <c r="H2912" s="760"/>
      <c r="I2912" s="760"/>
      <c r="J2912" s="760"/>
      <c r="K2912" s="760"/>
    </row>
    <row r="2913" spans="1:11">
      <c r="A2913" s="760"/>
      <c r="B2913" s="760"/>
      <c r="C2913" s="760"/>
      <c r="D2913" s="760"/>
      <c r="E2913" s="760"/>
      <c r="F2913" s="760"/>
      <c r="G2913" s="760"/>
      <c r="H2913" s="760"/>
      <c r="I2913" s="760"/>
      <c r="J2913" s="760"/>
      <c r="K2913" s="760"/>
    </row>
    <row r="2914" spans="1:11">
      <c r="A2914" s="760"/>
      <c r="B2914" s="760"/>
      <c r="C2914" s="760"/>
      <c r="D2914" s="760"/>
      <c r="E2914" s="760"/>
      <c r="F2914" s="760"/>
      <c r="G2914" s="760"/>
      <c r="H2914" s="760"/>
      <c r="I2914" s="760"/>
      <c r="J2914" s="760"/>
      <c r="K2914" s="760"/>
    </row>
    <row r="2915" spans="1:11">
      <c r="A2915" s="760"/>
      <c r="B2915" s="760"/>
      <c r="C2915" s="760"/>
      <c r="D2915" s="760"/>
      <c r="E2915" s="760"/>
      <c r="F2915" s="760"/>
      <c r="G2915" s="760"/>
      <c r="H2915" s="760"/>
      <c r="I2915" s="760"/>
      <c r="J2915" s="760"/>
      <c r="K2915" s="760"/>
    </row>
    <row r="2916" spans="1:11">
      <c r="A2916" s="760"/>
      <c r="B2916" s="760"/>
      <c r="C2916" s="760"/>
      <c r="D2916" s="760"/>
      <c r="E2916" s="760"/>
      <c r="F2916" s="760"/>
      <c r="G2916" s="760"/>
      <c r="H2916" s="760"/>
      <c r="I2916" s="760"/>
      <c r="J2916" s="760"/>
      <c r="K2916" s="760"/>
    </row>
    <row r="2917" spans="1:11">
      <c r="A2917" s="760"/>
      <c r="B2917" s="760"/>
      <c r="C2917" s="760"/>
      <c r="D2917" s="760"/>
      <c r="E2917" s="760"/>
      <c r="F2917" s="760"/>
      <c r="G2917" s="760"/>
      <c r="H2917" s="760"/>
      <c r="I2917" s="760"/>
      <c r="J2917" s="760"/>
      <c r="K2917" s="760"/>
    </row>
    <row r="2918" spans="1:11">
      <c r="A2918" s="760"/>
      <c r="B2918" s="760"/>
      <c r="C2918" s="760"/>
      <c r="D2918" s="760"/>
      <c r="E2918" s="760"/>
      <c r="F2918" s="760"/>
      <c r="G2918" s="760"/>
      <c r="H2918" s="760"/>
      <c r="I2918" s="760"/>
      <c r="J2918" s="760"/>
      <c r="K2918" s="760"/>
    </row>
    <row r="2919" spans="1:11">
      <c r="A2919" s="760"/>
      <c r="B2919" s="760"/>
      <c r="C2919" s="760"/>
      <c r="D2919" s="760"/>
      <c r="E2919" s="760"/>
      <c r="F2919" s="760"/>
      <c r="G2919" s="760"/>
      <c r="H2919" s="760"/>
      <c r="I2919" s="760"/>
      <c r="J2919" s="760"/>
      <c r="K2919" s="760"/>
    </row>
    <row r="2920" spans="1:11">
      <c r="A2920" s="760"/>
      <c r="B2920" s="760"/>
      <c r="C2920" s="760"/>
      <c r="D2920" s="760"/>
      <c r="E2920" s="760"/>
      <c r="F2920" s="760"/>
      <c r="G2920" s="760"/>
      <c r="H2920" s="760"/>
      <c r="I2920" s="760"/>
      <c r="J2920" s="760"/>
      <c r="K2920" s="760"/>
    </row>
    <row r="2921" spans="1:11">
      <c r="A2921" s="760"/>
      <c r="B2921" s="760"/>
      <c r="C2921" s="760"/>
      <c r="D2921" s="760"/>
      <c r="E2921" s="760"/>
      <c r="F2921" s="760"/>
      <c r="G2921" s="760"/>
      <c r="H2921" s="760"/>
      <c r="I2921" s="760"/>
      <c r="J2921" s="760"/>
      <c r="K2921" s="760"/>
    </row>
    <row r="2922" spans="1:11">
      <c r="A2922" s="760"/>
      <c r="B2922" s="760"/>
      <c r="C2922" s="760"/>
      <c r="D2922" s="760"/>
      <c r="E2922" s="760"/>
      <c r="F2922" s="760"/>
      <c r="G2922" s="760"/>
      <c r="H2922" s="760"/>
      <c r="I2922" s="760"/>
      <c r="J2922" s="760"/>
      <c r="K2922" s="760"/>
    </row>
    <row r="2923" spans="1:11">
      <c r="A2923" s="760"/>
      <c r="B2923" s="760"/>
      <c r="C2923" s="760"/>
      <c r="D2923" s="760"/>
      <c r="E2923" s="760"/>
      <c r="F2923" s="760"/>
      <c r="G2923" s="760"/>
      <c r="H2923" s="760"/>
      <c r="I2923" s="760"/>
      <c r="J2923" s="760"/>
      <c r="K2923" s="760"/>
    </row>
    <row r="2924" spans="1:11">
      <c r="A2924" s="760"/>
      <c r="B2924" s="760"/>
      <c r="C2924" s="760"/>
      <c r="D2924" s="760"/>
      <c r="E2924" s="760"/>
      <c r="F2924" s="760"/>
      <c r="G2924" s="760"/>
      <c r="H2924" s="760"/>
      <c r="I2924" s="760"/>
      <c r="J2924" s="760"/>
      <c r="K2924" s="760"/>
    </row>
    <row r="2925" spans="1:11">
      <c r="A2925" s="760"/>
      <c r="B2925" s="760"/>
      <c r="C2925" s="760"/>
      <c r="D2925" s="760"/>
      <c r="E2925" s="760"/>
      <c r="F2925" s="760"/>
      <c r="G2925" s="760"/>
      <c r="H2925" s="760"/>
      <c r="I2925" s="760"/>
      <c r="J2925" s="760"/>
      <c r="K2925" s="760"/>
    </row>
    <row r="2926" spans="1:11">
      <c r="A2926" s="760"/>
      <c r="B2926" s="760"/>
      <c r="C2926" s="760"/>
      <c r="D2926" s="760"/>
      <c r="E2926" s="760"/>
      <c r="F2926" s="760"/>
      <c r="G2926" s="760"/>
      <c r="H2926" s="760"/>
      <c r="I2926" s="760"/>
      <c r="J2926" s="760"/>
      <c r="K2926" s="760"/>
    </row>
    <row r="2927" spans="1:11">
      <c r="A2927" s="760"/>
      <c r="B2927" s="760"/>
      <c r="C2927" s="760"/>
      <c r="D2927" s="760"/>
      <c r="E2927" s="760"/>
      <c r="F2927" s="760"/>
      <c r="G2927" s="760"/>
      <c r="H2927" s="760"/>
      <c r="I2927" s="760"/>
      <c r="J2927" s="760"/>
      <c r="K2927" s="760"/>
    </row>
    <row r="2928" spans="1:11">
      <c r="A2928" s="760"/>
      <c r="B2928" s="760"/>
      <c r="C2928" s="760"/>
      <c r="D2928" s="760"/>
      <c r="E2928" s="760"/>
      <c r="F2928" s="760"/>
      <c r="G2928" s="760"/>
      <c r="H2928" s="760"/>
      <c r="I2928" s="760"/>
      <c r="J2928" s="760"/>
      <c r="K2928" s="760"/>
    </row>
    <row r="2929" spans="1:11">
      <c r="A2929" s="760"/>
      <c r="B2929" s="760"/>
      <c r="C2929" s="760"/>
      <c r="D2929" s="760"/>
      <c r="E2929" s="760"/>
      <c r="F2929" s="760"/>
      <c r="G2929" s="760"/>
      <c r="H2929" s="760"/>
      <c r="I2929" s="760"/>
      <c r="J2929" s="760"/>
      <c r="K2929" s="760"/>
    </row>
    <row r="2930" spans="1:11">
      <c r="A2930" s="760"/>
      <c r="B2930" s="760"/>
      <c r="C2930" s="760"/>
      <c r="D2930" s="760"/>
      <c r="E2930" s="760"/>
      <c r="F2930" s="760"/>
      <c r="G2930" s="760"/>
      <c r="H2930" s="760"/>
      <c r="I2930" s="760"/>
      <c r="J2930" s="760"/>
      <c r="K2930" s="760"/>
    </row>
    <row r="2931" spans="1:11">
      <c r="A2931" s="760"/>
      <c r="B2931" s="760"/>
      <c r="C2931" s="760"/>
      <c r="D2931" s="760"/>
      <c r="E2931" s="760"/>
      <c r="F2931" s="760"/>
      <c r="G2931" s="760"/>
      <c r="H2931" s="760"/>
      <c r="I2931" s="760"/>
      <c r="J2931" s="760"/>
      <c r="K2931" s="760"/>
    </row>
    <row r="2932" spans="1:11">
      <c r="A2932" s="760"/>
      <c r="B2932" s="760"/>
      <c r="C2932" s="760"/>
      <c r="D2932" s="760"/>
      <c r="E2932" s="760"/>
      <c r="F2932" s="760"/>
      <c r="G2932" s="760"/>
      <c r="H2932" s="760"/>
      <c r="I2932" s="760"/>
      <c r="J2932" s="760"/>
      <c r="K2932" s="760"/>
    </row>
    <row r="2933" spans="1:11">
      <c r="A2933" s="760"/>
      <c r="B2933" s="760"/>
      <c r="C2933" s="760"/>
      <c r="D2933" s="760"/>
      <c r="E2933" s="760"/>
      <c r="F2933" s="760"/>
      <c r="G2933" s="760"/>
      <c r="H2933" s="760"/>
      <c r="I2933" s="760"/>
      <c r="J2933" s="760"/>
      <c r="K2933" s="760"/>
    </row>
    <row r="2934" spans="1:11">
      <c r="A2934" s="760"/>
      <c r="B2934" s="760"/>
      <c r="C2934" s="760"/>
      <c r="D2934" s="760"/>
      <c r="E2934" s="760"/>
      <c r="F2934" s="760"/>
      <c r="G2934" s="760"/>
      <c r="H2934" s="760"/>
      <c r="I2934" s="760"/>
      <c r="J2934" s="760"/>
      <c r="K2934" s="760"/>
    </row>
    <row r="2935" spans="1:11">
      <c r="A2935" s="760"/>
      <c r="B2935" s="760"/>
      <c r="C2935" s="760"/>
      <c r="D2935" s="760"/>
      <c r="E2935" s="760"/>
      <c r="F2935" s="760"/>
      <c r="G2935" s="760"/>
      <c r="H2935" s="760"/>
      <c r="I2935" s="760"/>
      <c r="J2935" s="760"/>
      <c r="K2935" s="760"/>
    </row>
    <row r="2936" spans="1:11">
      <c r="A2936" s="760"/>
      <c r="B2936" s="760"/>
      <c r="C2936" s="760"/>
      <c r="D2936" s="760"/>
      <c r="E2936" s="760"/>
      <c r="F2936" s="760"/>
      <c r="G2936" s="760"/>
      <c r="H2936" s="760"/>
      <c r="I2936" s="760"/>
      <c r="J2936" s="760"/>
      <c r="K2936" s="760"/>
    </row>
    <row r="2937" spans="1:11">
      <c r="A2937" s="760"/>
      <c r="B2937" s="760"/>
      <c r="C2937" s="760"/>
      <c r="D2937" s="760"/>
      <c r="E2937" s="760"/>
      <c r="F2937" s="760"/>
      <c r="G2937" s="760"/>
      <c r="H2937" s="760"/>
      <c r="I2937" s="760"/>
      <c r="J2937" s="760"/>
      <c r="K2937" s="760"/>
    </row>
    <row r="2938" spans="1:11">
      <c r="A2938" s="760"/>
      <c r="B2938" s="760"/>
      <c r="C2938" s="760"/>
      <c r="D2938" s="760"/>
      <c r="E2938" s="760"/>
      <c r="F2938" s="760"/>
      <c r="G2938" s="760"/>
      <c r="H2938" s="760"/>
      <c r="I2938" s="760"/>
      <c r="J2938" s="760"/>
      <c r="K2938" s="760"/>
    </row>
    <row r="2939" spans="1:11">
      <c r="A2939" s="760"/>
      <c r="B2939" s="760"/>
      <c r="C2939" s="760"/>
      <c r="D2939" s="760"/>
      <c r="E2939" s="760"/>
      <c r="F2939" s="760"/>
      <c r="G2939" s="760"/>
      <c r="H2939" s="760"/>
      <c r="I2939" s="760"/>
      <c r="J2939" s="760"/>
      <c r="K2939" s="760"/>
    </row>
    <row r="2940" spans="1:11">
      <c r="A2940" s="760"/>
      <c r="B2940" s="760"/>
      <c r="C2940" s="760"/>
      <c r="D2940" s="760"/>
      <c r="E2940" s="760"/>
      <c r="F2940" s="760"/>
      <c r="G2940" s="760"/>
      <c r="H2940" s="760"/>
      <c r="I2940" s="760"/>
      <c r="J2940" s="760"/>
      <c r="K2940" s="760"/>
    </row>
    <row r="2941" spans="1:11">
      <c r="A2941" s="760"/>
      <c r="B2941" s="760"/>
      <c r="C2941" s="760"/>
      <c r="D2941" s="760"/>
      <c r="E2941" s="760"/>
      <c r="F2941" s="760"/>
      <c r="G2941" s="760"/>
      <c r="H2941" s="760"/>
      <c r="I2941" s="760"/>
      <c r="J2941" s="760"/>
      <c r="K2941" s="760"/>
    </row>
    <row r="2942" spans="1:11">
      <c r="A2942" s="760"/>
      <c r="B2942" s="760"/>
      <c r="C2942" s="760"/>
      <c r="D2942" s="760"/>
      <c r="E2942" s="760"/>
      <c r="F2942" s="760"/>
      <c r="G2942" s="760"/>
      <c r="H2942" s="760"/>
      <c r="I2942" s="760"/>
      <c r="J2942" s="760"/>
      <c r="K2942" s="760"/>
    </row>
    <row r="2943" spans="1:11">
      <c r="A2943" s="760"/>
      <c r="B2943" s="760"/>
      <c r="C2943" s="760"/>
      <c r="D2943" s="760"/>
      <c r="E2943" s="760"/>
      <c r="F2943" s="760"/>
      <c r="G2943" s="760"/>
      <c r="H2943" s="760"/>
      <c r="I2943" s="760"/>
      <c r="J2943" s="760"/>
      <c r="K2943" s="760"/>
    </row>
    <row r="2944" spans="1:11">
      <c r="A2944" s="760"/>
      <c r="B2944" s="760"/>
      <c r="C2944" s="760"/>
      <c r="D2944" s="760"/>
      <c r="E2944" s="760"/>
      <c r="F2944" s="760"/>
      <c r="G2944" s="760"/>
      <c r="H2944" s="760"/>
      <c r="I2944" s="760"/>
      <c r="J2944" s="760"/>
      <c r="K2944" s="760"/>
    </row>
    <row r="2945" spans="1:11">
      <c r="A2945" s="760"/>
      <c r="B2945" s="760"/>
      <c r="C2945" s="760"/>
      <c r="D2945" s="760"/>
      <c r="E2945" s="760"/>
      <c r="F2945" s="760"/>
      <c r="G2945" s="760"/>
      <c r="H2945" s="760"/>
      <c r="I2945" s="760"/>
      <c r="J2945" s="760"/>
      <c r="K2945" s="760"/>
    </row>
    <row r="2946" spans="1:11">
      <c r="A2946" s="760"/>
      <c r="B2946" s="760"/>
      <c r="C2946" s="760"/>
      <c r="D2946" s="760"/>
      <c r="E2946" s="760"/>
      <c r="F2946" s="760"/>
      <c r="G2946" s="760"/>
      <c r="H2946" s="760"/>
      <c r="I2946" s="760"/>
      <c r="J2946" s="760"/>
      <c r="K2946" s="760"/>
    </row>
    <row r="2947" spans="1:11">
      <c r="A2947" s="760"/>
      <c r="B2947" s="760"/>
      <c r="C2947" s="760"/>
      <c r="D2947" s="760"/>
      <c r="E2947" s="760"/>
      <c r="F2947" s="760"/>
      <c r="G2947" s="760"/>
      <c r="H2947" s="760"/>
      <c r="I2947" s="760"/>
      <c r="J2947" s="760"/>
      <c r="K2947" s="760"/>
    </row>
    <row r="2948" spans="1:11">
      <c r="A2948" s="760"/>
      <c r="B2948" s="760"/>
      <c r="C2948" s="760"/>
      <c r="D2948" s="760"/>
      <c r="E2948" s="760"/>
      <c r="F2948" s="760"/>
      <c r="G2948" s="760"/>
      <c r="H2948" s="760"/>
      <c r="I2948" s="760"/>
      <c r="J2948" s="760"/>
      <c r="K2948" s="760"/>
    </row>
    <row r="2949" spans="1:11">
      <c r="A2949" s="760"/>
      <c r="B2949" s="760"/>
      <c r="C2949" s="760"/>
      <c r="D2949" s="760"/>
      <c r="E2949" s="760"/>
      <c r="F2949" s="760"/>
      <c r="G2949" s="760"/>
      <c r="H2949" s="760"/>
      <c r="I2949" s="760"/>
      <c r="J2949" s="760"/>
      <c r="K2949" s="760"/>
    </row>
    <row r="2950" spans="1:11">
      <c r="A2950" s="760"/>
      <c r="B2950" s="760"/>
      <c r="C2950" s="760"/>
      <c r="D2950" s="760"/>
      <c r="E2950" s="760"/>
      <c r="F2950" s="760"/>
      <c r="G2950" s="760"/>
      <c r="H2950" s="760"/>
      <c r="I2950" s="760"/>
      <c r="J2950" s="760"/>
      <c r="K2950" s="760"/>
    </row>
    <row r="2951" spans="1:11">
      <c r="A2951" s="760"/>
      <c r="B2951" s="760"/>
      <c r="C2951" s="760"/>
      <c r="D2951" s="760"/>
      <c r="E2951" s="760"/>
      <c r="F2951" s="760"/>
      <c r="G2951" s="760"/>
      <c r="H2951" s="760"/>
      <c r="I2951" s="760"/>
      <c r="J2951" s="760"/>
      <c r="K2951" s="760"/>
    </row>
    <row r="2952" spans="1:11">
      <c r="A2952" s="760"/>
      <c r="B2952" s="760"/>
      <c r="C2952" s="760"/>
      <c r="D2952" s="760"/>
      <c r="E2952" s="760"/>
      <c r="F2952" s="760"/>
      <c r="G2952" s="760"/>
      <c r="H2952" s="760"/>
      <c r="I2952" s="760"/>
      <c r="J2952" s="760"/>
      <c r="K2952" s="760"/>
    </row>
    <row r="2953" spans="1:11">
      <c r="A2953" s="760"/>
      <c r="B2953" s="760"/>
      <c r="C2953" s="760"/>
      <c r="D2953" s="760"/>
      <c r="E2953" s="760"/>
      <c r="F2953" s="760"/>
      <c r="G2953" s="760"/>
      <c r="H2953" s="760"/>
      <c r="I2953" s="760"/>
      <c r="J2953" s="760"/>
      <c r="K2953" s="760"/>
    </row>
    <row r="2954" spans="1:11">
      <c r="A2954" s="760"/>
      <c r="B2954" s="760"/>
      <c r="C2954" s="760"/>
      <c r="D2954" s="760"/>
      <c r="E2954" s="760"/>
      <c r="F2954" s="760"/>
      <c r="G2954" s="760"/>
      <c r="H2954" s="760"/>
      <c r="I2954" s="760"/>
      <c r="J2954" s="760"/>
      <c r="K2954" s="760"/>
    </row>
    <row r="2955" spans="1:11">
      <c r="A2955" s="760"/>
      <c r="B2955" s="760"/>
      <c r="C2955" s="760"/>
      <c r="D2955" s="760"/>
      <c r="E2955" s="760"/>
      <c r="F2955" s="760"/>
      <c r="G2955" s="760"/>
      <c r="H2955" s="760"/>
      <c r="I2955" s="760"/>
      <c r="J2955" s="760"/>
      <c r="K2955" s="760"/>
    </row>
    <row r="2956" spans="1:11">
      <c r="A2956" s="760"/>
      <c r="B2956" s="760"/>
      <c r="C2956" s="760"/>
      <c r="D2956" s="760"/>
      <c r="E2956" s="760"/>
      <c r="F2956" s="760"/>
      <c r="G2956" s="760"/>
      <c r="H2956" s="760"/>
      <c r="I2956" s="760"/>
      <c r="J2956" s="760"/>
      <c r="K2956" s="760"/>
    </row>
    <row r="2957" spans="1:11">
      <c r="A2957" s="760"/>
      <c r="B2957" s="760"/>
      <c r="C2957" s="760"/>
      <c r="D2957" s="760"/>
      <c r="E2957" s="760"/>
      <c r="F2957" s="760"/>
      <c r="G2957" s="760"/>
      <c r="H2957" s="760"/>
      <c r="I2957" s="760"/>
      <c r="J2957" s="760"/>
      <c r="K2957" s="760"/>
    </row>
    <row r="2958" spans="1:11">
      <c r="A2958" s="760"/>
      <c r="B2958" s="760"/>
      <c r="C2958" s="760"/>
      <c r="D2958" s="760"/>
      <c r="E2958" s="760"/>
      <c r="F2958" s="760"/>
      <c r="G2958" s="760"/>
      <c r="H2958" s="760"/>
      <c r="I2958" s="760"/>
      <c r="J2958" s="760"/>
      <c r="K2958" s="760"/>
    </row>
    <row r="2959" spans="1:11">
      <c r="A2959" s="760"/>
      <c r="B2959" s="760"/>
      <c r="C2959" s="760"/>
      <c r="D2959" s="760"/>
      <c r="E2959" s="760"/>
      <c r="F2959" s="760"/>
      <c r="G2959" s="760"/>
      <c r="H2959" s="760"/>
      <c r="I2959" s="760"/>
      <c r="J2959" s="760"/>
      <c r="K2959" s="760"/>
    </row>
    <row r="2960" spans="1:11">
      <c r="A2960" s="760"/>
      <c r="B2960" s="760"/>
      <c r="C2960" s="760"/>
      <c r="D2960" s="760"/>
      <c r="E2960" s="760"/>
      <c r="F2960" s="760"/>
      <c r="G2960" s="760"/>
      <c r="H2960" s="760"/>
      <c r="I2960" s="760"/>
      <c r="J2960" s="760"/>
      <c r="K2960" s="760"/>
    </row>
    <row r="2961" spans="1:11">
      <c r="A2961" s="760"/>
      <c r="B2961" s="760"/>
      <c r="C2961" s="760"/>
      <c r="D2961" s="760"/>
      <c r="E2961" s="760"/>
      <c r="F2961" s="760"/>
      <c r="G2961" s="760"/>
      <c r="H2961" s="760"/>
      <c r="I2961" s="760"/>
      <c r="J2961" s="760"/>
      <c r="K2961" s="760"/>
    </row>
    <row r="2962" spans="1:11">
      <c r="A2962" s="760"/>
      <c r="B2962" s="760"/>
      <c r="C2962" s="760"/>
      <c r="D2962" s="760"/>
      <c r="E2962" s="760"/>
      <c r="F2962" s="760"/>
      <c r="G2962" s="760"/>
      <c r="H2962" s="760"/>
      <c r="I2962" s="760"/>
      <c r="J2962" s="760"/>
      <c r="K2962" s="760"/>
    </row>
    <row r="2963" spans="1:11">
      <c r="A2963" s="760"/>
      <c r="B2963" s="760"/>
      <c r="C2963" s="760"/>
      <c r="D2963" s="760"/>
      <c r="E2963" s="760"/>
      <c r="F2963" s="760"/>
      <c r="G2963" s="760"/>
      <c r="H2963" s="760"/>
      <c r="I2963" s="760"/>
      <c r="J2963" s="760"/>
      <c r="K2963" s="760"/>
    </row>
    <row r="2964" spans="1:11">
      <c r="A2964" s="760"/>
      <c r="B2964" s="760"/>
      <c r="C2964" s="760"/>
      <c r="D2964" s="760"/>
      <c r="E2964" s="760"/>
      <c r="F2964" s="760"/>
      <c r="G2964" s="760"/>
      <c r="H2964" s="760"/>
      <c r="I2964" s="760"/>
      <c r="J2964" s="760"/>
      <c r="K2964" s="760"/>
    </row>
    <row r="2965" spans="1:11">
      <c r="A2965" s="760"/>
      <c r="B2965" s="760"/>
      <c r="C2965" s="760"/>
      <c r="D2965" s="760"/>
      <c r="E2965" s="760"/>
      <c r="F2965" s="760"/>
      <c r="G2965" s="760"/>
      <c r="H2965" s="760"/>
      <c r="I2965" s="760"/>
      <c r="J2965" s="760"/>
      <c r="K2965" s="760"/>
    </row>
    <row r="2966" spans="1:11">
      <c r="A2966" s="760"/>
      <c r="B2966" s="760"/>
      <c r="C2966" s="760"/>
      <c r="D2966" s="760"/>
      <c r="E2966" s="760"/>
      <c r="F2966" s="760"/>
      <c r="G2966" s="760"/>
      <c r="H2966" s="760"/>
      <c r="I2966" s="760"/>
      <c r="J2966" s="760"/>
      <c r="K2966" s="760"/>
    </row>
    <row r="2967" spans="1:11">
      <c r="A2967" s="760"/>
      <c r="B2967" s="760"/>
      <c r="C2967" s="760"/>
      <c r="D2967" s="760"/>
      <c r="E2967" s="760"/>
      <c r="F2967" s="760"/>
      <c r="G2967" s="760"/>
      <c r="H2967" s="760"/>
      <c r="I2967" s="760"/>
      <c r="J2967" s="760"/>
      <c r="K2967" s="760"/>
    </row>
    <row r="2968" spans="1:11">
      <c r="A2968" s="760"/>
      <c r="B2968" s="760"/>
      <c r="C2968" s="760"/>
      <c r="D2968" s="760"/>
      <c r="E2968" s="760"/>
      <c r="F2968" s="760"/>
      <c r="G2968" s="760"/>
      <c r="H2968" s="760"/>
      <c r="I2968" s="760"/>
      <c r="J2968" s="760"/>
      <c r="K2968" s="760"/>
    </row>
    <row r="2969" spans="1:11">
      <c r="A2969" s="760"/>
      <c r="B2969" s="760"/>
      <c r="C2969" s="760"/>
      <c r="D2969" s="760"/>
      <c r="E2969" s="760"/>
      <c r="F2969" s="760"/>
      <c r="G2969" s="760"/>
      <c r="H2969" s="760"/>
      <c r="I2969" s="760"/>
      <c r="J2969" s="760"/>
      <c r="K2969" s="760"/>
    </row>
    <row r="2970" spans="1:11">
      <c r="A2970" s="760"/>
      <c r="B2970" s="760"/>
      <c r="C2970" s="760"/>
      <c r="D2970" s="760"/>
      <c r="E2970" s="760"/>
      <c r="F2970" s="760"/>
      <c r="G2970" s="760"/>
      <c r="H2970" s="760"/>
      <c r="I2970" s="760"/>
      <c r="J2970" s="760"/>
      <c r="K2970" s="760"/>
    </row>
    <row r="2971" spans="1:11">
      <c r="A2971" s="760"/>
      <c r="B2971" s="760"/>
      <c r="C2971" s="760"/>
      <c r="D2971" s="760"/>
      <c r="E2971" s="760"/>
      <c r="F2971" s="760"/>
      <c r="G2971" s="760"/>
      <c r="H2971" s="760"/>
      <c r="I2971" s="760"/>
      <c r="J2971" s="760"/>
      <c r="K2971" s="760"/>
    </row>
    <row r="2972" spans="1:11">
      <c r="A2972" s="760"/>
      <c r="B2972" s="760"/>
      <c r="C2972" s="760"/>
      <c r="D2972" s="760"/>
      <c r="E2972" s="760"/>
      <c r="F2972" s="760"/>
      <c r="G2972" s="760"/>
      <c r="H2972" s="760"/>
      <c r="I2972" s="760"/>
      <c r="J2972" s="760"/>
      <c r="K2972" s="760"/>
    </row>
    <row r="2973" spans="1:11">
      <c r="A2973" s="760"/>
      <c r="B2973" s="760"/>
      <c r="C2973" s="760"/>
      <c r="D2973" s="760"/>
      <c r="E2973" s="760"/>
      <c r="F2973" s="760"/>
      <c r="G2973" s="760"/>
      <c r="H2973" s="760"/>
      <c r="I2973" s="760"/>
      <c r="J2973" s="760"/>
      <c r="K2973" s="760"/>
    </row>
    <row r="2974" spans="1:11">
      <c r="A2974" s="760"/>
      <c r="B2974" s="760"/>
      <c r="C2974" s="760"/>
      <c r="D2974" s="760"/>
      <c r="E2974" s="760"/>
      <c r="F2974" s="760"/>
      <c r="G2974" s="760"/>
      <c r="H2974" s="760"/>
      <c r="I2974" s="760"/>
      <c r="J2974" s="760"/>
      <c r="K2974" s="760"/>
    </row>
    <row r="2975" spans="1:11">
      <c r="A2975" s="760"/>
      <c r="B2975" s="760"/>
      <c r="C2975" s="760"/>
      <c r="D2975" s="760"/>
      <c r="E2975" s="760"/>
      <c r="F2975" s="760"/>
      <c r="G2975" s="760"/>
      <c r="H2975" s="760"/>
      <c r="I2975" s="760"/>
      <c r="J2975" s="760"/>
      <c r="K2975" s="760"/>
    </row>
    <row r="2976" spans="1:11">
      <c r="A2976" s="760"/>
      <c r="B2976" s="760"/>
      <c r="C2976" s="760"/>
      <c r="D2976" s="760"/>
      <c r="E2976" s="760"/>
      <c r="F2976" s="760"/>
      <c r="G2976" s="760"/>
      <c r="H2976" s="760"/>
      <c r="I2976" s="760"/>
      <c r="J2976" s="760"/>
      <c r="K2976" s="760"/>
    </row>
    <row r="2977" spans="1:11">
      <c r="A2977" s="760"/>
      <c r="B2977" s="760"/>
      <c r="C2977" s="760"/>
      <c r="D2977" s="760"/>
      <c r="E2977" s="760"/>
      <c r="F2977" s="760"/>
      <c r="G2977" s="760"/>
      <c r="H2977" s="760"/>
      <c r="I2977" s="760"/>
      <c r="J2977" s="760"/>
      <c r="K2977" s="760"/>
    </row>
    <row r="2978" spans="1:11">
      <c r="A2978" s="760"/>
      <c r="B2978" s="760"/>
      <c r="C2978" s="760"/>
      <c r="D2978" s="760"/>
      <c r="E2978" s="760"/>
      <c r="F2978" s="760"/>
      <c r="G2978" s="760"/>
      <c r="H2978" s="760"/>
      <c r="I2978" s="760"/>
      <c r="J2978" s="760"/>
      <c r="K2978" s="760"/>
    </row>
    <row r="2979" spans="1:11">
      <c r="A2979" s="760"/>
      <c r="B2979" s="760"/>
      <c r="C2979" s="760"/>
      <c r="D2979" s="760"/>
      <c r="E2979" s="760"/>
      <c r="F2979" s="760"/>
      <c r="G2979" s="760"/>
      <c r="H2979" s="760"/>
      <c r="I2979" s="760"/>
      <c r="J2979" s="760"/>
      <c r="K2979" s="760"/>
    </row>
    <row r="2980" spans="1:11">
      <c r="A2980" s="760"/>
      <c r="B2980" s="760"/>
      <c r="C2980" s="760"/>
      <c r="D2980" s="760"/>
      <c r="E2980" s="760"/>
      <c r="F2980" s="760"/>
      <c r="G2980" s="760"/>
      <c r="H2980" s="760"/>
      <c r="I2980" s="760"/>
      <c r="J2980" s="760"/>
      <c r="K2980" s="760"/>
    </row>
    <row r="2981" spans="1:11">
      <c r="A2981" s="760"/>
      <c r="B2981" s="760"/>
      <c r="C2981" s="760"/>
      <c r="D2981" s="760"/>
      <c r="E2981" s="760"/>
      <c r="F2981" s="760"/>
      <c r="G2981" s="760"/>
      <c r="H2981" s="760"/>
      <c r="I2981" s="760"/>
      <c r="J2981" s="760"/>
      <c r="K2981" s="760"/>
    </row>
    <row r="2982" spans="1:11">
      <c r="A2982" s="760"/>
      <c r="B2982" s="760"/>
      <c r="C2982" s="760"/>
      <c r="D2982" s="760"/>
      <c r="E2982" s="760"/>
      <c r="F2982" s="760"/>
      <c r="G2982" s="760"/>
      <c r="H2982" s="760"/>
      <c r="I2982" s="760"/>
      <c r="J2982" s="760"/>
      <c r="K2982" s="760"/>
    </row>
    <row r="2983" spans="1:11">
      <c r="A2983" s="760"/>
      <c r="B2983" s="760"/>
      <c r="C2983" s="760"/>
      <c r="D2983" s="760"/>
      <c r="E2983" s="760"/>
      <c r="F2983" s="760"/>
      <c r="G2983" s="760"/>
      <c r="H2983" s="760"/>
      <c r="I2983" s="760"/>
      <c r="J2983" s="760"/>
      <c r="K2983" s="760"/>
    </row>
    <row r="2984" spans="1:11">
      <c r="A2984" s="760"/>
      <c r="B2984" s="760"/>
      <c r="C2984" s="760"/>
      <c r="D2984" s="760"/>
      <c r="E2984" s="760"/>
      <c r="F2984" s="760"/>
      <c r="G2984" s="760"/>
      <c r="H2984" s="760"/>
      <c r="I2984" s="760"/>
      <c r="J2984" s="760"/>
      <c r="K2984" s="760"/>
    </row>
    <row r="2985" spans="1:11">
      <c r="A2985" s="760"/>
      <c r="B2985" s="760"/>
      <c r="C2985" s="760"/>
      <c r="D2985" s="760"/>
      <c r="E2985" s="760"/>
      <c r="F2985" s="760"/>
      <c r="G2985" s="760"/>
      <c r="H2985" s="760"/>
      <c r="I2985" s="760"/>
      <c r="J2985" s="760"/>
      <c r="K2985" s="760"/>
    </row>
    <row r="2986" spans="1:11">
      <c r="A2986" s="760"/>
      <c r="B2986" s="760"/>
      <c r="C2986" s="760"/>
      <c r="D2986" s="760"/>
      <c r="E2986" s="760"/>
      <c r="F2986" s="760"/>
      <c r="G2986" s="760"/>
      <c r="H2986" s="760"/>
      <c r="I2986" s="760"/>
      <c r="J2986" s="760"/>
      <c r="K2986" s="760"/>
    </row>
    <row r="2987" spans="1:11">
      <c r="A2987" s="760"/>
      <c r="B2987" s="760"/>
      <c r="C2987" s="760"/>
      <c r="D2987" s="760"/>
      <c r="E2987" s="760"/>
      <c r="F2987" s="760"/>
      <c r="G2987" s="760"/>
      <c r="H2987" s="760"/>
      <c r="I2987" s="760"/>
      <c r="J2987" s="760"/>
      <c r="K2987" s="760"/>
    </row>
    <row r="2988" spans="1:11">
      <c r="A2988" s="760"/>
      <c r="B2988" s="760"/>
      <c r="C2988" s="760"/>
      <c r="D2988" s="760"/>
      <c r="E2988" s="760"/>
      <c r="F2988" s="760"/>
      <c r="G2988" s="760"/>
      <c r="H2988" s="760"/>
      <c r="I2988" s="760"/>
      <c r="J2988" s="760"/>
      <c r="K2988" s="760"/>
    </row>
    <row r="2989" spans="1:11">
      <c r="A2989" s="760"/>
      <c r="B2989" s="760"/>
      <c r="C2989" s="760"/>
      <c r="D2989" s="760"/>
      <c r="E2989" s="760"/>
      <c r="F2989" s="760"/>
      <c r="G2989" s="760"/>
      <c r="H2989" s="760"/>
      <c r="I2989" s="760"/>
      <c r="J2989" s="760"/>
      <c r="K2989" s="760"/>
    </row>
    <row r="2990" spans="1:11">
      <c r="A2990" s="760"/>
      <c r="B2990" s="760"/>
      <c r="C2990" s="760"/>
      <c r="D2990" s="760"/>
      <c r="E2990" s="760"/>
      <c r="F2990" s="760"/>
      <c r="G2990" s="760"/>
      <c r="H2990" s="760"/>
      <c r="I2990" s="760"/>
      <c r="J2990" s="760"/>
      <c r="K2990" s="760"/>
    </row>
    <row r="2991" spans="1:11">
      <c r="A2991" s="760"/>
      <c r="B2991" s="760"/>
      <c r="C2991" s="760"/>
      <c r="D2991" s="760"/>
      <c r="E2991" s="760"/>
      <c r="F2991" s="760"/>
      <c r="G2991" s="760"/>
      <c r="H2991" s="760"/>
      <c r="I2991" s="760"/>
      <c r="J2991" s="760"/>
      <c r="K2991" s="760"/>
    </row>
    <row r="2992" spans="1:11">
      <c r="A2992" s="760"/>
      <c r="B2992" s="760"/>
      <c r="C2992" s="760"/>
      <c r="D2992" s="760"/>
      <c r="E2992" s="760"/>
      <c r="F2992" s="760"/>
      <c r="G2992" s="760"/>
      <c r="H2992" s="760"/>
      <c r="I2992" s="760"/>
      <c r="J2992" s="760"/>
      <c r="K2992" s="760"/>
    </row>
    <row r="2993" spans="1:11">
      <c r="A2993" s="760"/>
      <c r="B2993" s="760"/>
      <c r="C2993" s="760"/>
      <c r="D2993" s="760"/>
      <c r="E2993" s="760"/>
      <c r="F2993" s="760"/>
      <c r="G2993" s="760"/>
      <c r="H2993" s="760"/>
      <c r="I2993" s="760"/>
      <c r="J2993" s="760"/>
      <c r="K2993" s="760"/>
    </row>
    <row r="2994" spans="1:11">
      <c r="A2994" s="760"/>
      <c r="B2994" s="760"/>
      <c r="C2994" s="760"/>
      <c r="D2994" s="760"/>
      <c r="E2994" s="760"/>
      <c r="F2994" s="760"/>
      <c r="G2994" s="760"/>
      <c r="H2994" s="760"/>
      <c r="I2994" s="760"/>
      <c r="J2994" s="760"/>
      <c r="K2994" s="760"/>
    </row>
    <row r="2995" spans="1:11">
      <c r="A2995" s="760"/>
      <c r="B2995" s="760"/>
      <c r="C2995" s="760"/>
      <c r="D2995" s="760"/>
      <c r="E2995" s="760"/>
      <c r="F2995" s="760"/>
      <c r="G2995" s="760"/>
      <c r="H2995" s="760"/>
      <c r="I2995" s="760"/>
      <c r="J2995" s="760"/>
      <c r="K2995" s="760"/>
    </row>
    <row r="2996" spans="1:11">
      <c r="A2996" s="760"/>
      <c r="B2996" s="760"/>
      <c r="C2996" s="760"/>
      <c r="D2996" s="760"/>
      <c r="E2996" s="760"/>
      <c r="F2996" s="760"/>
      <c r="G2996" s="760"/>
      <c r="H2996" s="760"/>
      <c r="I2996" s="760"/>
      <c r="J2996" s="760"/>
      <c r="K2996" s="760"/>
    </row>
    <row r="2997" spans="1:11">
      <c r="A2997" s="760"/>
      <c r="B2997" s="760"/>
      <c r="C2997" s="760"/>
      <c r="D2997" s="760"/>
      <c r="E2997" s="760"/>
      <c r="F2997" s="760"/>
      <c r="G2997" s="760"/>
      <c r="H2997" s="760"/>
      <c r="I2997" s="760"/>
      <c r="J2997" s="760"/>
      <c r="K2997" s="760"/>
    </row>
    <row r="2998" spans="1:11">
      <c r="A2998" s="760"/>
      <c r="B2998" s="760"/>
      <c r="C2998" s="760"/>
      <c r="D2998" s="760"/>
      <c r="E2998" s="760"/>
      <c r="F2998" s="760"/>
      <c r="G2998" s="760"/>
      <c r="H2998" s="760"/>
      <c r="I2998" s="760"/>
      <c r="J2998" s="760"/>
      <c r="K2998" s="760"/>
    </row>
    <row r="2999" spans="1:11">
      <c r="A2999" s="760"/>
      <c r="B2999" s="760"/>
      <c r="C2999" s="760"/>
      <c r="D2999" s="760"/>
      <c r="E2999" s="760"/>
      <c r="F2999" s="760"/>
      <c r="G2999" s="760"/>
      <c r="H2999" s="760"/>
      <c r="I2999" s="760"/>
      <c r="J2999" s="760"/>
      <c r="K2999" s="760"/>
    </row>
    <row r="3000" spans="1:11">
      <c r="A3000" s="760"/>
      <c r="B3000" s="760"/>
      <c r="C3000" s="760"/>
      <c r="D3000" s="760"/>
      <c r="E3000" s="760"/>
      <c r="F3000" s="760"/>
      <c r="G3000" s="760"/>
      <c r="H3000" s="760"/>
      <c r="I3000" s="760"/>
      <c r="J3000" s="760"/>
      <c r="K3000" s="760"/>
    </row>
    <row r="3001" spans="1:11">
      <c r="A3001" s="760"/>
      <c r="B3001" s="760"/>
      <c r="C3001" s="760"/>
      <c r="D3001" s="760"/>
      <c r="E3001" s="760"/>
      <c r="F3001" s="760"/>
      <c r="G3001" s="760"/>
      <c r="H3001" s="760"/>
      <c r="I3001" s="760"/>
      <c r="J3001" s="760"/>
      <c r="K3001" s="760"/>
    </row>
    <row r="3002" spans="1:11">
      <c r="A3002" s="760"/>
      <c r="B3002" s="760"/>
      <c r="C3002" s="760"/>
      <c r="D3002" s="760"/>
      <c r="E3002" s="760"/>
      <c r="F3002" s="760"/>
      <c r="G3002" s="760"/>
      <c r="H3002" s="760"/>
      <c r="I3002" s="760"/>
      <c r="J3002" s="760"/>
      <c r="K3002" s="760"/>
    </row>
    <row r="3003" spans="1:11">
      <c r="A3003" s="760"/>
      <c r="B3003" s="760"/>
      <c r="C3003" s="760"/>
      <c r="D3003" s="760"/>
      <c r="E3003" s="760"/>
      <c r="F3003" s="760"/>
      <c r="G3003" s="760"/>
      <c r="H3003" s="760"/>
      <c r="I3003" s="760"/>
      <c r="J3003" s="760"/>
      <c r="K3003" s="760"/>
    </row>
    <row r="3004" spans="1:11">
      <c r="A3004" s="760"/>
      <c r="B3004" s="760"/>
      <c r="C3004" s="760"/>
      <c r="D3004" s="760"/>
      <c r="E3004" s="760"/>
      <c r="F3004" s="760"/>
      <c r="G3004" s="760"/>
      <c r="H3004" s="760"/>
      <c r="I3004" s="760"/>
      <c r="J3004" s="760"/>
      <c r="K3004" s="760"/>
    </row>
    <row r="3005" spans="1:11">
      <c r="A3005" s="760"/>
      <c r="B3005" s="760"/>
      <c r="C3005" s="760"/>
      <c r="D3005" s="760"/>
      <c r="E3005" s="760"/>
      <c r="F3005" s="760"/>
      <c r="G3005" s="760"/>
      <c r="H3005" s="760"/>
      <c r="I3005" s="760"/>
      <c r="J3005" s="760"/>
      <c r="K3005" s="760"/>
    </row>
    <row r="3006" spans="1:11">
      <c r="A3006" s="760"/>
      <c r="B3006" s="760"/>
      <c r="C3006" s="760"/>
      <c r="D3006" s="760"/>
      <c r="E3006" s="760"/>
      <c r="F3006" s="760"/>
      <c r="G3006" s="760"/>
      <c r="H3006" s="760"/>
      <c r="I3006" s="760"/>
      <c r="J3006" s="760"/>
      <c r="K3006" s="760"/>
    </row>
    <row r="3007" spans="1:11">
      <c r="A3007" s="760"/>
      <c r="B3007" s="760"/>
      <c r="C3007" s="760"/>
      <c r="D3007" s="760"/>
      <c r="E3007" s="760"/>
      <c r="F3007" s="760"/>
      <c r="G3007" s="760"/>
      <c r="H3007" s="760"/>
      <c r="I3007" s="760"/>
      <c r="J3007" s="760"/>
      <c r="K3007" s="760"/>
    </row>
    <row r="3008" spans="1:11">
      <c r="A3008" s="760"/>
      <c r="B3008" s="760"/>
      <c r="C3008" s="760"/>
      <c r="D3008" s="760"/>
      <c r="E3008" s="760"/>
      <c r="F3008" s="760"/>
      <c r="G3008" s="760"/>
      <c r="H3008" s="760"/>
      <c r="I3008" s="760"/>
      <c r="J3008" s="760"/>
      <c r="K3008" s="760"/>
    </row>
    <row r="3009" spans="1:11">
      <c r="A3009" s="760"/>
      <c r="B3009" s="760"/>
      <c r="C3009" s="760"/>
      <c r="D3009" s="760"/>
      <c r="E3009" s="760"/>
      <c r="F3009" s="760"/>
      <c r="G3009" s="760"/>
      <c r="H3009" s="760"/>
      <c r="I3009" s="760"/>
      <c r="J3009" s="760"/>
      <c r="K3009" s="760"/>
    </row>
    <row r="3010" spans="1:11">
      <c r="A3010" s="760"/>
      <c r="B3010" s="760"/>
      <c r="C3010" s="760"/>
      <c r="D3010" s="760"/>
      <c r="E3010" s="760"/>
      <c r="F3010" s="760"/>
      <c r="G3010" s="760"/>
      <c r="H3010" s="760"/>
      <c r="I3010" s="760"/>
      <c r="J3010" s="760"/>
      <c r="K3010" s="760"/>
    </row>
    <row r="3011" spans="1:11">
      <c r="A3011" s="760"/>
      <c r="B3011" s="760"/>
      <c r="C3011" s="760"/>
      <c r="D3011" s="760"/>
      <c r="E3011" s="760"/>
      <c r="F3011" s="760"/>
      <c r="G3011" s="760"/>
      <c r="H3011" s="760"/>
      <c r="I3011" s="760"/>
      <c r="J3011" s="760"/>
      <c r="K3011" s="760"/>
    </row>
    <row r="3012" spans="1:11">
      <c r="A3012" s="760"/>
      <c r="B3012" s="760"/>
      <c r="C3012" s="760"/>
      <c r="D3012" s="760"/>
      <c r="E3012" s="760"/>
      <c r="F3012" s="760"/>
      <c r="G3012" s="760"/>
      <c r="H3012" s="760"/>
      <c r="I3012" s="760"/>
      <c r="J3012" s="760"/>
      <c r="K3012" s="760"/>
    </row>
    <row r="3013" spans="1:11">
      <c r="A3013" s="760"/>
      <c r="B3013" s="760"/>
      <c r="C3013" s="760"/>
      <c r="D3013" s="760"/>
      <c r="E3013" s="760"/>
      <c r="F3013" s="760"/>
      <c r="G3013" s="760"/>
      <c r="H3013" s="760"/>
      <c r="I3013" s="760"/>
      <c r="J3013" s="760"/>
      <c r="K3013" s="760"/>
    </row>
    <row r="3014" spans="1:11">
      <c r="A3014" s="760"/>
      <c r="B3014" s="760"/>
      <c r="C3014" s="760"/>
      <c r="D3014" s="760"/>
      <c r="E3014" s="760"/>
      <c r="F3014" s="760"/>
      <c r="G3014" s="760"/>
      <c r="H3014" s="760"/>
      <c r="I3014" s="760"/>
      <c r="J3014" s="760"/>
      <c r="K3014" s="760"/>
    </row>
    <row r="3015" spans="1:11">
      <c r="A3015" s="760"/>
      <c r="B3015" s="760"/>
      <c r="C3015" s="760"/>
      <c r="D3015" s="760"/>
      <c r="E3015" s="760"/>
      <c r="F3015" s="760"/>
      <c r="G3015" s="760"/>
      <c r="H3015" s="760"/>
      <c r="I3015" s="760"/>
      <c r="J3015" s="760"/>
      <c r="K3015" s="760"/>
    </row>
    <row r="3016" spans="1:11">
      <c r="A3016" s="760"/>
      <c r="B3016" s="760"/>
      <c r="C3016" s="760"/>
      <c r="D3016" s="760"/>
      <c r="E3016" s="760"/>
      <c r="F3016" s="760"/>
      <c r="G3016" s="760"/>
      <c r="H3016" s="760"/>
      <c r="I3016" s="760"/>
      <c r="J3016" s="760"/>
      <c r="K3016" s="760"/>
    </row>
    <row r="3017" spans="1:11">
      <c r="A3017" s="760"/>
      <c r="B3017" s="760"/>
      <c r="C3017" s="760"/>
      <c r="D3017" s="760"/>
      <c r="E3017" s="760"/>
      <c r="F3017" s="760"/>
      <c r="G3017" s="760"/>
      <c r="H3017" s="760"/>
      <c r="I3017" s="760"/>
      <c r="J3017" s="760"/>
      <c r="K3017" s="760"/>
    </row>
    <row r="3018" spans="1:11">
      <c r="A3018" s="760"/>
      <c r="B3018" s="760"/>
      <c r="C3018" s="760"/>
      <c r="D3018" s="760"/>
      <c r="E3018" s="760"/>
      <c r="F3018" s="760"/>
      <c r="G3018" s="760"/>
      <c r="H3018" s="760"/>
      <c r="I3018" s="760"/>
      <c r="J3018" s="760"/>
      <c r="K3018" s="760"/>
    </row>
    <row r="3019" spans="1:11">
      <c r="A3019" s="760"/>
      <c r="B3019" s="760"/>
      <c r="C3019" s="760"/>
      <c r="D3019" s="760"/>
      <c r="E3019" s="760"/>
      <c r="F3019" s="760"/>
      <c r="G3019" s="760"/>
      <c r="H3019" s="760"/>
      <c r="I3019" s="760"/>
      <c r="J3019" s="760"/>
      <c r="K3019" s="760"/>
    </row>
    <row r="3020" spans="1:11">
      <c r="A3020" s="760"/>
      <c r="B3020" s="760"/>
      <c r="C3020" s="760"/>
      <c r="D3020" s="760"/>
      <c r="E3020" s="760"/>
      <c r="F3020" s="760"/>
      <c r="G3020" s="760"/>
      <c r="H3020" s="760"/>
      <c r="I3020" s="760"/>
      <c r="J3020" s="760"/>
      <c r="K3020" s="760"/>
    </row>
    <row r="3021" spans="1:11">
      <c r="A3021" s="760"/>
      <c r="B3021" s="760"/>
      <c r="C3021" s="760"/>
      <c r="D3021" s="760"/>
      <c r="E3021" s="760"/>
      <c r="F3021" s="760"/>
      <c r="G3021" s="760"/>
      <c r="H3021" s="760"/>
      <c r="I3021" s="760"/>
      <c r="J3021" s="760"/>
      <c r="K3021" s="760"/>
    </row>
    <row r="3022" spans="1:11">
      <c r="A3022" s="760"/>
      <c r="B3022" s="760"/>
      <c r="C3022" s="760"/>
      <c r="D3022" s="760"/>
      <c r="E3022" s="760"/>
      <c r="F3022" s="760"/>
      <c r="G3022" s="760"/>
      <c r="H3022" s="760"/>
      <c r="I3022" s="760"/>
      <c r="J3022" s="760"/>
      <c r="K3022" s="760"/>
    </row>
    <row r="3023" spans="1:11">
      <c r="A3023" s="760"/>
      <c r="B3023" s="760"/>
      <c r="C3023" s="760"/>
      <c r="D3023" s="760"/>
      <c r="E3023" s="760"/>
      <c r="F3023" s="760"/>
      <c r="G3023" s="760"/>
      <c r="H3023" s="760"/>
      <c r="I3023" s="760"/>
      <c r="J3023" s="760"/>
      <c r="K3023" s="760"/>
    </row>
    <row r="3024" spans="1:11">
      <c r="A3024" s="760"/>
      <c r="B3024" s="760"/>
      <c r="C3024" s="760"/>
      <c r="D3024" s="760"/>
      <c r="E3024" s="760"/>
      <c r="F3024" s="760"/>
      <c r="G3024" s="760"/>
      <c r="H3024" s="760"/>
      <c r="I3024" s="760"/>
      <c r="J3024" s="760"/>
      <c r="K3024" s="760"/>
    </row>
    <row r="3025" spans="1:11">
      <c r="A3025" s="760"/>
      <c r="B3025" s="760"/>
      <c r="C3025" s="760"/>
      <c r="D3025" s="760"/>
      <c r="E3025" s="760"/>
      <c r="F3025" s="760"/>
      <c r="G3025" s="760"/>
      <c r="H3025" s="760"/>
      <c r="I3025" s="760"/>
      <c r="J3025" s="760"/>
      <c r="K3025" s="760"/>
    </row>
    <row r="3026" spans="1:11">
      <c r="A3026" s="760"/>
      <c r="B3026" s="760"/>
      <c r="C3026" s="760"/>
      <c r="D3026" s="760"/>
      <c r="E3026" s="760"/>
      <c r="F3026" s="760"/>
      <c r="G3026" s="760"/>
      <c r="H3026" s="760"/>
      <c r="I3026" s="760"/>
      <c r="J3026" s="760"/>
      <c r="K3026" s="760"/>
    </row>
    <row r="3027" spans="1:11">
      <c r="A3027" s="760"/>
      <c r="B3027" s="760"/>
      <c r="C3027" s="760"/>
      <c r="D3027" s="760"/>
      <c r="E3027" s="760"/>
      <c r="F3027" s="760"/>
      <c r="G3027" s="760"/>
      <c r="H3027" s="760"/>
      <c r="I3027" s="760"/>
      <c r="J3027" s="760"/>
      <c r="K3027" s="760"/>
    </row>
    <row r="3028" spans="1:11">
      <c r="A3028" s="760"/>
      <c r="B3028" s="760"/>
      <c r="C3028" s="760"/>
      <c r="D3028" s="760"/>
      <c r="E3028" s="760"/>
      <c r="F3028" s="760"/>
      <c r="G3028" s="760"/>
      <c r="H3028" s="760"/>
      <c r="I3028" s="760"/>
      <c r="J3028" s="760"/>
      <c r="K3028" s="760"/>
    </row>
    <row r="3029" spans="1:11">
      <c r="A3029" s="760"/>
      <c r="B3029" s="760"/>
      <c r="C3029" s="760"/>
      <c r="D3029" s="760"/>
      <c r="E3029" s="760"/>
      <c r="F3029" s="760"/>
      <c r="G3029" s="760"/>
      <c r="H3029" s="760"/>
      <c r="I3029" s="760"/>
      <c r="J3029" s="760"/>
      <c r="K3029" s="760"/>
    </row>
    <row r="3030" spans="1:11">
      <c r="A3030" s="760"/>
      <c r="B3030" s="760"/>
      <c r="C3030" s="760"/>
      <c r="D3030" s="760"/>
      <c r="E3030" s="760"/>
      <c r="F3030" s="760"/>
      <c r="G3030" s="760"/>
      <c r="H3030" s="760"/>
      <c r="I3030" s="760"/>
      <c r="J3030" s="760"/>
      <c r="K3030" s="760"/>
    </row>
    <row r="3031" spans="1:11">
      <c r="A3031" s="760"/>
      <c r="B3031" s="760"/>
      <c r="C3031" s="760"/>
      <c r="D3031" s="760"/>
      <c r="E3031" s="760"/>
      <c r="F3031" s="760"/>
      <c r="G3031" s="760"/>
      <c r="H3031" s="760"/>
      <c r="I3031" s="760"/>
      <c r="J3031" s="760"/>
      <c r="K3031" s="760"/>
    </row>
    <row r="3032" spans="1:11">
      <c r="A3032" s="760"/>
      <c r="B3032" s="760"/>
      <c r="C3032" s="760"/>
      <c r="D3032" s="760"/>
      <c r="E3032" s="760"/>
      <c r="F3032" s="760"/>
      <c r="G3032" s="760"/>
      <c r="H3032" s="760"/>
      <c r="I3032" s="760"/>
      <c r="J3032" s="760"/>
      <c r="K3032" s="760"/>
    </row>
    <row r="3033" spans="1:11">
      <c r="A3033" s="760"/>
      <c r="B3033" s="760"/>
      <c r="C3033" s="760"/>
      <c r="D3033" s="760"/>
      <c r="E3033" s="760"/>
      <c r="F3033" s="760"/>
      <c r="G3033" s="760"/>
      <c r="H3033" s="760"/>
      <c r="I3033" s="760"/>
      <c r="J3033" s="760"/>
      <c r="K3033" s="760"/>
    </row>
    <row r="3034" spans="1:11">
      <c r="A3034" s="760"/>
      <c r="B3034" s="760"/>
      <c r="C3034" s="760"/>
      <c r="D3034" s="760"/>
      <c r="E3034" s="760"/>
      <c r="F3034" s="760"/>
      <c r="G3034" s="760"/>
      <c r="H3034" s="760"/>
      <c r="I3034" s="760"/>
      <c r="J3034" s="760"/>
      <c r="K3034" s="760"/>
    </row>
    <row r="3035" spans="1:11">
      <c r="A3035" s="760"/>
      <c r="B3035" s="760"/>
      <c r="C3035" s="760"/>
      <c r="D3035" s="760"/>
      <c r="E3035" s="760"/>
      <c r="F3035" s="760"/>
      <c r="G3035" s="760"/>
      <c r="H3035" s="760"/>
      <c r="I3035" s="760"/>
      <c r="J3035" s="760"/>
      <c r="K3035" s="760"/>
    </row>
    <row r="3036" spans="1:11">
      <c r="A3036" s="760"/>
      <c r="B3036" s="760"/>
      <c r="C3036" s="760"/>
      <c r="D3036" s="760"/>
      <c r="E3036" s="760"/>
      <c r="F3036" s="760"/>
      <c r="G3036" s="760"/>
      <c r="H3036" s="760"/>
      <c r="I3036" s="760"/>
      <c r="J3036" s="760"/>
      <c r="K3036" s="760"/>
    </row>
    <row r="3037" spans="1:11">
      <c r="A3037" s="760"/>
      <c r="B3037" s="760"/>
      <c r="C3037" s="760"/>
      <c r="D3037" s="760"/>
      <c r="E3037" s="760"/>
      <c r="F3037" s="760"/>
      <c r="G3037" s="760"/>
      <c r="H3037" s="760"/>
      <c r="I3037" s="760"/>
      <c r="J3037" s="760"/>
      <c r="K3037" s="760"/>
    </row>
    <row r="3038" spans="1:11">
      <c r="A3038" s="760"/>
      <c r="B3038" s="760"/>
      <c r="C3038" s="760"/>
      <c r="D3038" s="760"/>
      <c r="E3038" s="760"/>
      <c r="F3038" s="760"/>
      <c r="G3038" s="760"/>
      <c r="H3038" s="760"/>
      <c r="I3038" s="760"/>
      <c r="J3038" s="760"/>
      <c r="K3038" s="760"/>
    </row>
    <row r="3039" spans="1:11">
      <c r="A3039" s="760"/>
      <c r="B3039" s="760"/>
      <c r="C3039" s="760"/>
      <c r="D3039" s="760"/>
      <c r="E3039" s="760"/>
      <c r="F3039" s="760"/>
      <c r="G3039" s="760"/>
      <c r="H3039" s="760"/>
      <c r="I3039" s="760"/>
      <c r="J3039" s="760"/>
      <c r="K3039" s="760"/>
    </row>
    <row r="3040" spans="1:11">
      <c r="A3040" s="760"/>
      <c r="B3040" s="760"/>
      <c r="C3040" s="760"/>
      <c r="D3040" s="760"/>
      <c r="E3040" s="760"/>
      <c r="F3040" s="760"/>
      <c r="G3040" s="760"/>
      <c r="H3040" s="760"/>
      <c r="I3040" s="760"/>
      <c r="J3040" s="760"/>
      <c r="K3040" s="760"/>
    </row>
    <row r="3041" spans="1:11">
      <c r="A3041" s="760"/>
      <c r="B3041" s="760"/>
      <c r="C3041" s="760"/>
      <c r="D3041" s="760"/>
      <c r="E3041" s="760"/>
      <c r="F3041" s="760"/>
      <c r="G3041" s="760"/>
      <c r="H3041" s="760"/>
      <c r="I3041" s="760"/>
      <c r="J3041" s="760"/>
      <c r="K3041" s="760"/>
    </row>
    <row r="3042" spans="1:11">
      <c r="A3042" s="760"/>
      <c r="B3042" s="760"/>
      <c r="C3042" s="760"/>
      <c r="D3042" s="760"/>
      <c r="E3042" s="760"/>
      <c r="F3042" s="760"/>
      <c r="G3042" s="760"/>
      <c r="H3042" s="760"/>
      <c r="I3042" s="760"/>
      <c r="J3042" s="760"/>
      <c r="K3042" s="760"/>
    </row>
    <row r="3043" spans="1:11">
      <c r="A3043" s="760"/>
      <c r="B3043" s="760"/>
      <c r="C3043" s="760"/>
      <c r="D3043" s="760"/>
      <c r="E3043" s="760"/>
      <c r="F3043" s="760"/>
      <c r="G3043" s="760"/>
      <c r="H3043" s="760"/>
      <c r="I3043" s="760"/>
      <c r="J3043" s="760"/>
      <c r="K3043" s="760"/>
    </row>
    <row r="3044" spans="1:11">
      <c r="A3044" s="760"/>
      <c r="B3044" s="760"/>
      <c r="C3044" s="760"/>
      <c r="D3044" s="760"/>
      <c r="E3044" s="760"/>
      <c r="F3044" s="760"/>
      <c r="G3044" s="760"/>
      <c r="H3044" s="760"/>
      <c r="I3044" s="760"/>
      <c r="J3044" s="760"/>
      <c r="K3044" s="760"/>
    </row>
    <row r="3045" spans="1:11">
      <c r="A3045" s="760"/>
      <c r="B3045" s="760"/>
      <c r="C3045" s="760"/>
      <c r="D3045" s="760"/>
      <c r="E3045" s="760"/>
      <c r="F3045" s="760"/>
      <c r="G3045" s="760"/>
      <c r="H3045" s="760"/>
      <c r="I3045" s="760"/>
      <c r="J3045" s="760"/>
      <c r="K3045" s="760"/>
    </row>
    <row r="3046" spans="1:11">
      <c r="A3046" s="760"/>
      <c r="B3046" s="760"/>
      <c r="C3046" s="760"/>
      <c r="D3046" s="760"/>
      <c r="E3046" s="760"/>
      <c r="F3046" s="760"/>
      <c r="G3046" s="760"/>
      <c r="H3046" s="760"/>
      <c r="I3046" s="760"/>
      <c r="J3046" s="760"/>
      <c r="K3046" s="760"/>
    </row>
    <row r="3047" spans="1:11">
      <c r="A3047" s="760"/>
      <c r="B3047" s="760"/>
      <c r="C3047" s="760"/>
      <c r="D3047" s="760"/>
      <c r="E3047" s="760"/>
      <c r="F3047" s="760"/>
      <c r="G3047" s="760"/>
      <c r="H3047" s="760"/>
      <c r="I3047" s="760"/>
      <c r="J3047" s="760"/>
      <c r="K3047" s="760"/>
    </row>
    <row r="3048" spans="1:11">
      <c r="A3048" s="760"/>
      <c r="B3048" s="760"/>
      <c r="C3048" s="760"/>
      <c r="D3048" s="760"/>
      <c r="E3048" s="760"/>
      <c r="F3048" s="760"/>
      <c r="G3048" s="760"/>
      <c r="H3048" s="760"/>
      <c r="I3048" s="760"/>
      <c r="J3048" s="760"/>
      <c r="K3048" s="760"/>
    </row>
    <row r="3049" spans="1:11">
      <c r="A3049" s="760"/>
      <c r="B3049" s="760"/>
      <c r="C3049" s="760"/>
      <c r="D3049" s="760"/>
      <c r="E3049" s="760"/>
      <c r="F3049" s="760"/>
      <c r="G3049" s="760"/>
      <c r="H3049" s="760"/>
      <c r="I3049" s="760"/>
      <c r="J3049" s="760"/>
      <c r="K3049" s="760"/>
    </row>
    <row r="3050" spans="1:11">
      <c r="A3050" s="760"/>
      <c r="B3050" s="760"/>
      <c r="C3050" s="760"/>
      <c r="D3050" s="760"/>
      <c r="E3050" s="760"/>
      <c r="F3050" s="760"/>
      <c r="G3050" s="760"/>
      <c r="H3050" s="760"/>
      <c r="I3050" s="760"/>
      <c r="J3050" s="760"/>
      <c r="K3050" s="760"/>
    </row>
    <row r="3051" spans="1:11">
      <c r="A3051" s="760"/>
      <c r="B3051" s="760"/>
      <c r="C3051" s="760"/>
      <c r="D3051" s="760"/>
      <c r="E3051" s="760"/>
      <c r="F3051" s="760"/>
      <c r="G3051" s="760"/>
      <c r="H3051" s="760"/>
      <c r="I3051" s="760"/>
      <c r="J3051" s="760"/>
      <c r="K3051" s="760"/>
    </row>
    <row r="3052" spans="1:11">
      <c r="A3052" s="760"/>
      <c r="B3052" s="760"/>
      <c r="C3052" s="760"/>
      <c r="D3052" s="760"/>
      <c r="E3052" s="760"/>
      <c r="F3052" s="760"/>
      <c r="G3052" s="760"/>
      <c r="H3052" s="760"/>
      <c r="I3052" s="760"/>
      <c r="J3052" s="760"/>
      <c r="K3052" s="760"/>
    </row>
    <row r="3053" spans="1:11">
      <c r="A3053" s="760"/>
      <c r="B3053" s="760"/>
      <c r="C3053" s="760"/>
      <c r="D3053" s="760"/>
      <c r="E3053" s="760"/>
      <c r="F3053" s="760"/>
      <c r="G3053" s="760"/>
      <c r="H3053" s="760"/>
      <c r="I3053" s="760"/>
      <c r="J3053" s="760"/>
      <c r="K3053" s="760"/>
    </row>
    <row r="3054" spans="1:11">
      <c r="A3054" s="760"/>
      <c r="B3054" s="760"/>
      <c r="C3054" s="760"/>
      <c r="D3054" s="760"/>
      <c r="E3054" s="760"/>
      <c r="F3054" s="760"/>
      <c r="G3054" s="760"/>
      <c r="H3054" s="760"/>
      <c r="I3054" s="760"/>
      <c r="J3054" s="760"/>
      <c r="K3054" s="760"/>
    </row>
    <row r="3055" spans="1:11">
      <c r="A3055" s="760"/>
      <c r="B3055" s="760"/>
      <c r="C3055" s="760"/>
      <c r="D3055" s="760"/>
      <c r="E3055" s="760"/>
      <c r="F3055" s="760"/>
      <c r="G3055" s="760"/>
      <c r="H3055" s="760"/>
      <c r="I3055" s="760"/>
      <c r="J3055" s="760"/>
      <c r="K3055" s="760"/>
    </row>
    <row r="3056" spans="1:11">
      <c r="A3056" s="760"/>
      <c r="B3056" s="760"/>
      <c r="C3056" s="760"/>
      <c r="D3056" s="760"/>
      <c r="E3056" s="760"/>
      <c r="F3056" s="760"/>
      <c r="G3056" s="760"/>
      <c r="H3056" s="760"/>
      <c r="I3056" s="760"/>
      <c r="J3056" s="760"/>
      <c r="K3056" s="760"/>
    </row>
    <row r="3057" spans="1:11">
      <c r="A3057" s="760"/>
      <c r="B3057" s="760"/>
      <c r="C3057" s="760"/>
      <c r="D3057" s="760"/>
      <c r="E3057" s="760"/>
      <c r="F3057" s="760"/>
      <c r="G3057" s="760"/>
      <c r="H3057" s="760"/>
      <c r="I3057" s="760"/>
      <c r="J3057" s="760"/>
      <c r="K3057" s="760"/>
    </row>
    <row r="3058" spans="1:11">
      <c r="A3058" s="760"/>
      <c r="B3058" s="760"/>
      <c r="C3058" s="760"/>
      <c r="D3058" s="760"/>
      <c r="E3058" s="760"/>
      <c r="F3058" s="760"/>
      <c r="G3058" s="760"/>
      <c r="H3058" s="760"/>
      <c r="I3058" s="760"/>
      <c r="J3058" s="760"/>
      <c r="K3058" s="760"/>
    </row>
    <row r="3059" spans="1:11">
      <c r="A3059" s="760"/>
      <c r="B3059" s="760"/>
      <c r="C3059" s="760"/>
      <c r="D3059" s="760"/>
      <c r="E3059" s="760"/>
      <c r="F3059" s="760"/>
      <c r="G3059" s="760"/>
      <c r="H3059" s="760"/>
      <c r="I3059" s="760"/>
      <c r="J3059" s="760"/>
      <c r="K3059" s="760"/>
    </row>
    <row r="3060" spans="1:11">
      <c r="A3060" s="760"/>
      <c r="B3060" s="760"/>
      <c r="C3060" s="760"/>
      <c r="D3060" s="760"/>
      <c r="E3060" s="760"/>
      <c r="F3060" s="760"/>
      <c r="G3060" s="760"/>
      <c r="H3060" s="760"/>
      <c r="I3060" s="760"/>
      <c r="J3060" s="760"/>
      <c r="K3060" s="760"/>
    </row>
    <row r="3061" spans="1:11">
      <c r="A3061" s="760"/>
      <c r="B3061" s="760"/>
      <c r="C3061" s="760"/>
      <c r="D3061" s="760"/>
      <c r="E3061" s="760"/>
      <c r="F3061" s="760"/>
      <c r="G3061" s="760"/>
      <c r="H3061" s="760"/>
      <c r="I3061" s="760"/>
      <c r="J3061" s="760"/>
      <c r="K3061" s="760"/>
    </row>
    <row r="3062" spans="1:11">
      <c r="A3062" s="760"/>
      <c r="B3062" s="760"/>
      <c r="C3062" s="760"/>
      <c r="D3062" s="760"/>
      <c r="E3062" s="760"/>
      <c r="F3062" s="760"/>
      <c r="G3062" s="760"/>
      <c r="H3062" s="760"/>
      <c r="I3062" s="760"/>
      <c r="J3062" s="760"/>
      <c r="K3062" s="760"/>
    </row>
    <row r="3063" spans="1:11">
      <c r="A3063" s="760"/>
      <c r="B3063" s="760"/>
      <c r="C3063" s="760"/>
      <c r="D3063" s="760"/>
      <c r="E3063" s="760"/>
      <c r="F3063" s="760"/>
      <c r="G3063" s="760"/>
      <c r="H3063" s="760"/>
      <c r="I3063" s="760"/>
      <c r="J3063" s="760"/>
      <c r="K3063" s="760"/>
    </row>
    <row r="3064" spans="1:11">
      <c r="A3064" s="760"/>
      <c r="B3064" s="760"/>
      <c r="C3064" s="760"/>
      <c r="D3064" s="760"/>
      <c r="E3064" s="760"/>
      <c r="F3064" s="760"/>
      <c r="G3064" s="760"/>
      <c r="H3064" s="760"/>
      <c r="I3064" s="760"/>
      <c r="J3064" s="760"/>
      <c r="K3064" s="760"/>
    </row>
    <row r="3065" spans="1:11">
      <c r="A3065" s="760"/>
      <c r="B3065" s="760"/>
      <c r="C3065" s="760"/>
      <c r="D3065" s="760"/>
      <c r="E3065" s="760"/>
      <c r="F3065" s="760"/>
      <c r="G3065" s="760"/>
      <c r="H3065" s="760"/>
      <c r="I3065" s="760"/>
      <c r="J3065" s="760"/>
      <c r="K3065" s="760"/>
    </row>
    <row r="3066" spans="1:11">
      <c r="A3066" s="760"/>
      <c r="B3066" s="760"/>
      <c r="C3066" s="760"/>
      <c r="D3066" s="760"/>
      <c r="E3066" s="760"/>
      <c r="F3066" s="760"/>
      <c r="G3066" s="760"/>
      <c r="H3066" s="760"/>
      <c r="I3066" s="760"/>
      <c r="J3066" s="760"/>
      <c r="K3066" s="760"/>
    </row>
    <row r="3067" spans="1:11">
      <c r="A3067" s="760"/>
      <c r="B3067" s="760"/>
      <c r="C3067" s="760"/>
      <c r="D3067" s="760"/>
      <c r="E3067" s="760"/>
      <c r="F3067" s="760"/>
      <c r="G3067" s="760"/>
      <c r="H3067" s="760"/>
      <c r="I3067" s="760"/>
      <c r="J3067" s="760"/>
      <c r="K3067" s="760"/>
    </row>
    <row r="3068" spans="1:11">
      <c r="A3068" s="760"/>
      <c r="B3068" s="760"/>
      <c r="C3068" s="760"/>
      <c r="D3068" s="760"/>
      <c r="E3068" s="760"/>
      <c r="F3068" s="760"/>
      <c r="G3068" s="760"/>
      <c r="H3068" s="760"/>
      <c r="I3068" s="760"/>
      <c r="J3068" s="760"/>
      <c r="K3068" s="760"/>
    </row>
    <row r="3069" spans="1:11">
      <c r="A3069" s="760"/>
      <c r="B3069" s="760"/>
      <c r="C3069" s="760"/>
      <c r="D3069" s="760"/>
      <c r="E3069" s="760"/>
      <c r="F3069" s="760"/>
      <c r="G3069" s="760"/>
      <c r="H3069" s="760"/>
      <c r="I3069" s="760"/>
      <c r="J3069" s="760"/>
      <c r="K3069" s="760"/>
    </row>
    <row r="3070" spans="1:11">
      <c r="A3070" s="760"/>
      <c r="B3070" s="760"/>
      <c r="C3070" s="760"/>
      <c r="D3070" s="760"/>
      <c r="E3070" s="760"/>
      <c r="F3070" s="760"/>
      <c r="G3070" s="760"/>
      <c r="H3070" s="760"/>
      <c r="I3070" s="760"/>
      <c r="J3070" s="760"/>
      <c r="K3070" s="760"/>
    </row>
    <row r="3071" spans="1:11">
      <c r="A3071" s="760"/>
      <c r="B3071" s="760"/>
      <c r="C3071" s="760"/>
      <c r="D3071" s="760"/>
      <c r="E3071" s="760"/>
      <c r="F3071" s="760"/>
      <c r="G3071" s="760"/>
      <c r="H3071" s="760"/>
      <c r="I3071" s="760"/>
      <c r="J3071" s="760"/>
      <c r="K3071" s="760"/>
    </row>
    <row r="3072" spans="1:11">
      <c r="A3072" s="760"/>
      <c r="B3072" s="760"/>
      <c r="C3072" s="760"/>
      <c r="D3072" s="760"/>
      <c r="E3072" s="760"/>
      <c r="F3072" s="760"/>
      <c r="G3072" s="760"/>
      <c r="H3072" s="760"/>
      <c r="I3072" s="760"/>
      <c r="J3072" s="760"/>
      <c r="K3072" s="760"/>
    </row>
    <row r="3073" spans="1:11">
      <c r="A3073" s="760"/>
      <c r="B3073" s="760"/>
      <c r="C3073" s="760"/>
      <c r="D3073" s="760"/>
      <c r="E3073" s="760"/>
      <c r="F3073" s="760"/>
      <c r="G3073" s="760"/>
      <c r="H3073" s="760"/>
      <c r="I3073" s="760"/>
      <c r="J3073" s="760"/>
      <c r="K3073" s="760"/>
    </row>
    <row r="3074" spans="1:11">
      <c r="A3074" s="760"/>
      <c r="B3074" s="760"/>
      <c r="C3074" s="760"/>
      <c r="D3074" s="760"/>
      <c r="E3074" s="760"/>
      <c r="F3074" s="760"/>
      <c r="G3074" s="760"/>
      <c r="H3074" s="760"/>
      <c r="I3074" s="760"/>
      <c r="J3074" s="760"/>
      <c r="K3074" s="760"/>
    </row>
    <row r="3075" spans="1:11">
      <c r="A3075" s="760"/>
      <c r="B3075" s="760"/>
      <c r="C3075" s="760"/>
      <c r="D3075" s="760"/>
      <c r="E3075" s="760"/>
      <c r="F3075" s="760"/>
      <c r="G3075" s="760"/>
      <c r="H3075" s="760"/>
      <c r="I3075" s="760"/>
      <c r="J3075" s="760"/>
      <c r="K3075" s="760"/>
    </row>
    <row r="3076" spans="1:11">
      <c r="A3076" s="760"/>
      <c r="B3076" s="760"/>
      <c r="C3076" s="760"/>
      <c r="D3076" s="760"/>
      <c r="E3076" s="760"/>
      <c r="F3076" s="760"/>
      <c r="G3076" s="760"/>
      <c r="H3076" s="760"/>
      <c r="I3076" s="760"/>
      <c r="J3076" s="760"/>
      <c r="K3076" s="760"/>
    </row>
    <row r="3077" spans="1:11">
      <c r="A3077" s="760"/>
      <c r="B3077" s="760"/>
      <c r="C3077" s="760"/>
      <c r="D3077" s="760"/>
      <c r="E3077" s="760"/>
      <c r="F3077" s="760"/>
      <c r="G3077" s="760"/>
      <c r="H3077" s="760"/>
      <c r="I3077" s="760"/>
      <c r="J3077" s="760"/>
      <c r="K3077" s="760"/>
    </row>
    <row r="3078" spans="1:11">
      <c r="A3078" s="760"/>
      <c r="B3078" s="760"/>
      <c r="C3078" s="760"/>
      <c r="D3078" s="760"/>
      <c r="E3078" s="760"/>
      <c r="F3078" s="760"/>
      <c r="G3078" s="760"/>
      <c r="H3078" s="760"/>
      <c r="I3078" s="760"/>
      <c r="J3078" s="760"/>
      <c r="K3078" s="760"/>
    </row>
    <row r="3079" spans="1:11">
      <c r="A3079" s="760"/>
      <c r="B3079" s="760"/>
      <c r="C3079" s="760"/>
      <c r="D3079" s="760"/>
      <c r="E3079" s="760"/>
      <c r="F3079" s="760"/>
      <c r="G3079" s="760"/>
      <c r="H3079" s="760"/>
      <c r="I3079" s="760"/>
      <c r="J3079" s="760"/>
      <c r="K3079" s="760"/>
    </row>
    <row r="3080" spans="1:11">
      <c r="A3080" s="760"/>
      <c r="B3080" s="760"/>
      <c r="C3080" s="760"/>
      <c r="D3080" s="760"/>
      <c r="E3080" s="760"/>
      <c r="F3080" s="760"/>
      <c r="G3080" s="760"/>
      <c r="H3080" s="760"/>
      <c r="I3080" s="760"/>
      <c r="J3080" s="760"/>
      <c r="K3080" s="760"/>
    </row>
    <row r="3081" spans="1:11">
      <c r="A3081" s="760"/>
      <c r="B3081" s="760"/>
      <c r="C3081" s="760"/>
      <c r="D3081" s="760"/>
      <c r="E3081" s="760"/>
      <c r="F3081" s="760"/>
      <c r="G3081" s="760"/>
      <c r="H3081" s="760"/>
      <c r="I3081" s="760"/>
      <c r="J3081" s="760"/>
      <c r="K3081" s="760"/>
    </row>
    <row r="3082" spans="1:11">
      <c r="A3082" s="760"/>
      <c r="B3082" s="760"/>
      <c r="C3082" s="760"/>
      <c r="D3082" s="760"/>
      <c r="E3082" s="760"/>
      <c r="F3082" s="760"/>
      <c r="G3082" s="760"/>
      <c r="H3082" s="760"/>
      <c r="I3082" s="760"/>
      <c r="J3082" s="760"/>
      <c r="K3082" s="760"/>
    </row>
    <row r="3083" spans="1:11">
      <c r="A3083" s="760"/>
      <c r="B3083" s="760"/>
      <c r="C3083" s="760"/>
      <c r="D3083" s="760"/>
      <c r="E3083" s="760"/>
      <c r="F3083" s="760"/>
      <c r="G3083" s="760"/>
      <c r="H3083" s="760"/>
      <c r="I3083" s="760"/>
      <c r="J3083" s="760"/>
      <c r="K3083" s="760"/>
    </row>
    <row r="3084" spans="1:11">
      <c r="A3084" s="760"/>
      <c r="B3084" s="760"/>
      <c r="C3084" s="760"/>
      <c r="D3084" s="760"/>
      <c r="E3084" s="760"/>
      <c r="F3084" s="760"/>
      <c r="G3084" s="760"/>
      <c r="H3084" s="760"/>
      <c r="I3084" s="760"/>
      <c r="J3084" s="760"/>
      <c r="K3084" s="760"/>
    </row>
    <row r="3085" spans="1:11">
      <c r="A3085" s="760"/>
      <c r="B3085" s="760"/>
      <c r="C3085" s="760"/>
      <c r="D3085" s="760"/>
      <c r="E3085" s="760"/>
      <c r="F3085" s="760"/>
      <c r="G3085" s="760"/>
      <c r="H3085" s="760"/>
      <c r="I3085" s="760"/>
      <c r="J3085" s="760"/>
      <c r="K3085" s="760"/>
    </row>
    <row r="3086" spans="1:11">
      <c r="A3086" s="760"/>
      <c r="B3086" s="760"/>
      <c r="C3086" s="760"/>
      <c r="D3086" s="760"/>
      <c r="E3086" s="760"/>
      <c r="F3086" s="760"/>
      <c r="G3086" s="760"/>
      <c r="H3086" s="760"/>
      <c r="I3086" s="760"/>
      <c r="J3086" s="760"/>
      <c r="K3086" s="760"/>
    </row>
    <row r="3087" spans="1:11">
      <c r="A3087" s="760"/>
      <c r="B3087" s="760"/>
      <c r="C3087" s="760"/>
      <c r="D3087" s="760"/>
      <c r="E3087" s="760"/>
      <c r="F3087" s="760"/>
      <c r="G3087" s="760"/>
      <c r="H3087" s="760"/>
      <c r="I3087" s="760"/>
      <c r="J3087" s="760"/>
      <c r="K3087" s="760"/>
    </row>
    <row r="3088" spans="1:11">
      <c r="A3088" s="760"/>
      <c r="B3088" s="760"/>
      <c r="C3088" s="760"/>
      <c r="D3088" s="760"/>
      <c r="E3088" s="760"/>
      <c r="F3088" s="760"/>
      <c r="G3088" s="760"/>
      <c r="H3088" s="760"/>
      <c r="I3088" s="760"/>
      <c r="J3088" s="760"/>
      <c r="K3088" s="760"/>
    </row>
    <row r="3089" spans="1:11">
      <c r="A3089" s="760"/>
      <c r="B3089" s="760"/>
      <c r="C3089" s="760"/>
      <c r="D3089" s="760"/>
      <c r="E3089" s="760"/>
      <c r="F3089" s="760"/>
      <c r="G3089" s="760"/>
      <c r="H3089" s="760"/>
      <c r="I3089" s="760"/>
      <c r="J3089" s="760"/>
      <c r="K3089" s="760"/>
    </row>
    <row r="3090" spans="1:11">
      <c r="A3090" s="760"/>
      <c r="B3090" s="760"/>
      <c r="C3090" s="760"/>
      <c r="D3090" s="760"/>
      <c r="E3090" s="760"/>
      <c r="F3090" s="760"/>
      <c r="G3090" s="760"/>
      <c r="H3090" s="760"/>
      <c r="I3090" s="760"/>
      <c r="J3090" s="760"/>
      <c r="K3090" s="760"/>
    </row>
    <row r="3091" spans="1:11">
      <c r="A3091" s="760"/>
      <c r="B3091" s="760"/>
      <c r="C3091" s="760"/>
      <c r="D3091" s="760"/>
      <c r="E3091" s="760"/>
      <c r="F3091" s="760"/>
      <c r="G3091" s="760"/>
      <c r="H3091" s="760"/>
      <c r="I3091" s="760"/>
      <c r="J3091" s="760"/>
      <c r="K3091" s="760"/>
    </row>
    <row r="3092" spans="1:11">
      <c r="A3092" s="760"/>
      <c r="B3092" s="760"/>
      <c r="C3092" s="760"/>
      <c r="D3092" s="760"/>
      <c r="E3092" s="760"/>
      <c r="F3092" s="760"/>
      <c r="G3092" s="760"/>
      <c r="H3092" s="760"/>
      <c r="I3092" s="760"/>
      <c r="J3092" s="760"/>
      <c r="K3092" s="760"/>
    </row>
    <row r="3093" spans="1:11">
      <c r="A3093" s="760"/>
      <c r="B3093" s="760"/>
      <c r="C3093" s="760"/>
      <c r="D3093" s="760"/>
      <c r="E3093" s="760"/>
      <c r="F3093" s="760"/>
      <c r="G3093" s="760"/>
      <c r="H3093" s="760"/>
      <c r="I3093" s="760"/>
      <c r="J3093" s="760"/>
      <c r="K3093" s="760"/>
    </row>
    <row r="3094" spans="1:11">
      <c r="A3094" s="760"/>
      <c r="B3094" s="760"/>
      <c r="C3094" s="760"/>
      <c r="D3094" s="760"/>
      <c r="E3094" s="760"/>
      <c r="F3094" s="760"/>
      <c r="G3094" s="760"/>
      <c r="H3094" s="760"/>
      <c r="I3094" s="760"/>
      <c r="J3094" s="760"/>
      <c r="K3094" s="760"/>
    </row>
    <row r="3095" spans="1:11">
      <c r="A3095" s="760"/>
      <c r="B3095" s="760"/>
      <c r="C3095" s="760"/>
      <c r="D3095" s="760"/>
      <c r="E3095" s="760"/>
      <c r="F3095" s="760"/>
      <c r="G3095" s="760"/>
      <c r="H3095" s="760"/>
      <c r="I3095" s="760"/>
      <c r="J3095" s="760"/>
      <c r="K3095" s="760"/>
    </row>
    <row r="3096" spans="1:11">
      <c r="A3096" s="760"/>
      <c r="B3096" s="760"/>
      <c r="C3096" s="760"/>
      <c r="D3096" s="760"/>
      <c r="E3096" s="760"/>
      <c r="F3096" s="760"/>
      <c r="G3096" s="760"/>
      <c r="H3096" s="760"/>
      <c r="I3096" s="760"/>
      <c r="J3096" s="760"/>
      <c r="K3096" s="760"/>
    </row>
    <row r="3097" spans="1:11">
      <c r="A3097" s="760"/>
      <c r="B3097" s="760"/>
      <c r="C3097" s="760"/>
      <c r="D3097" s="760"/>
      <c r="E3097" s="760"/>
      <c r="F3097" s="760"/>
      <c r="G3097" s="760"/>
      <c r="H3097" s="760"/>
      <c r="I3097" s="760"/>
      <c r="J3097" s="760"/>
      <c r="K3097" s="760"/>
    </row>
    <row r="3098" spans="1:11">
      <c r="A3098" s="760"/>
      <c r="B3098" s="760"/>
      <c r="C3098" s="760"/>
      <c r="D3098" s="760"/>
      <c r="E3098" s="760"/>
      <c r="F3098" s="760"/>
      <c r="G3098" s="760"/>
      <c r="H3098" s="760"/>
      <c r="I3098" s="760"/>
      <c r="J3098" s="760"/>
      <c r="K3098" s="760"/>
    </row>
    <row r="3099" spans="1:11">
      <c r="A3099" s="760"/>
      <c r="B3099" s="760"/>
      <c r="C3099" s="760"/>
      <c r="D3099" s="760"/>
      <c r="E3099" s="760"/>
      <c r="F3099" s="760"/>
      <c r="G3099" s="760"/>
      <c r="H3099" s="760"/>
      <c r="I3099" s="760"/>
      <c r="J3099" s="760"/>
      <c r="K3099" s="760"/>
    </row>
    <row r="3100" spans="1:11">
      <c r="A3100" s="760"/>
      <c r="B3100" s="760"/>
      <c r="C3100" s="760"/>
      <c r="D3100" s="760"/>
      <c r="E3100" s="760"/>
      <c r="F3100" s="760"/>
      <c r="G3100" s="760"/>
      <c r="H3100" s="760"/>
      <c r="I3100" s="760"/>
      <c r="J3100" s="760"/>
      <c r="K3100" s="760"/>
    </row>
    <row r="3101" spans="1:11">
      <c r="A3101" s="760"/>
      <c r="B3101" s="760"/>
      <c r="C3101" s="760"/>
      <c r="D3101" s="760"/>
      <c r="E3101" s="760"/>
      <c r="F3101" s="760"/>
      <c r="G3101" s="760"/>
      <c r="H3101" s="760"/>
      <c r="I3101" s="760"/>
      <c r="J3101" s="760"/>
      <c r="K3101" s="760"/>
    </row>
    <row r="3102" spans="1:11">
      <c r="A3102" s="760"/>
      <c r="B3102" s="760"/>
      <c r="C3102" s="760"/>
      <c r="D3102" s="760"/>
      <c r="E3102" s="760"/>
      <c r="F3102" s="760"/>
      <c r="G3102" s="760"/>
      <c r="H3102" s="760"/>
      <c r="I3102" s="760"/>
      <c r="J3102" s="760"/>
      <c r="K3102" s="760"/>
    </row>
    <row r="3103" spans="1:11">
      <c r="A3103" s="760"/>
      <c r="B3103" s="760"/>
      <c r="C3103" s="760"/>
      <c r="D3103" s="760"/>
      <c r="E3103" s="760"/>
      <c r="F3103" s="760"/>
      <c r="G3103" s="760"/>
      <c r="H3103" s="760"/>
      <c r="I3103" s="760"/>
      <c r="J3103" s="760"/>
      <c r="K3103" s="760"/>
    </row>
    <row r="3104" spans="1:11">
      <c r="A3104" s="760"/>
      <c r="B3104" s="760"/>
      <c r="C3104" s="760"/>
      <c r="D3104" s="760"/>
      <c r="E3104" s="760"/>
      <c r="F3104" s="760"/>
      <c r="G3104" s="760"/>
      <c r="H3104" s="760"/>
      <c r="I3104" s="760"/>
      <c r="J3104" s="760"/>
      <c r="K3104" s="760"/>
    </row>
    <row r="3105" spans="1:11">
      <c r="A3105" s="760"/>
      <c r="B3105" s="760"/>
      <c r="C3105" s="760"/>
      <c r="D3105" s="760"/>
      <c r="E3105" s="760"/>
      <c r="F3105" s="760"/>
      <c r="G3105" s="760"/>
      <c r="H3105" s="760"/>
      <c r="I3105" s="760"/>
      <c r="J3105" s="760"/>
      <c r="K3105" s="760"/>
    </row>
    <row r="3106" spans="1:11">
      <c r="A3106" s="760"/>
      <c r="B3106" s="760"/>
      <c r="C3106" s="760"/>
      <c r="D3106" s="760"/>
      <c r="E3106" s="760"/>
      <c r="F3106" s="760"/>
      <c r="G3106" s="760"/>
      <c r="H3106" s="760"/>
      <c r="I3106" s="760"/>
      <c r="J3106" s="760"/>
      <c r="K3106" s="760"/>
    </row>
    <row r="3107" spans="1:11">
      <c r="A3107" s="760"/>
      <c r="B3107" s="760"/>
      <c r="C3107" s="760"/>
      <c r="D3107" s="760"/>
      <c r="E3107" s="760"/>
      <c r="F3107" s="760"/>
      <c r="G3107" s="760"/>
      <c r="H3107" s="760"/>
      <c r="I3107" s="760"/>
      <c r="J3107" s="760"/>
      <c r="K3107" s="760"/>
    </row>
    <row r="3108" spans="1:11">
      <c r="A3108" s="760"/>
      <c r="B3108" s="760"/>
      <c r="C3108" s="760"/>
      <c r="D3108" s="760"/>
      <c r="E3108" s="760"/>
      <c r="F3108" s="760"/>
      <c r="G3108" s="760"/>
      <c r="H3108" s="760"/>
      <c r="I3108" s="760"/>
      <c r="J3108" s="760"/>
      <c r="K3108" s="760"/>
    </row>
    <row r="3109" spans="1:11">
      <c r="A3109" s="760"/>
      <c r="B3109" s="760"/>
      <c r="C3109" s="760"/>
      <c r="D3109" s="760"/>
      <c r="E3109" s="760"/>
      <c r="F3109" s="760"/>
      <c r="G3109" s="760"/>
      <c r="H3109" s="760"/>
      <c r="I3109" s="760"/>
      <c r="J3109" s="760"/>
      <c r="K3109" s="760"/>
    </row>
    <row r="3110" spans="1:11">
      <c r="A3110" s="760"/>
      <c r="B3110" s="760"/>
      <c r="C3110" s="760"/>
      <c r="D3110" s="760"/>
      <c r="E3110" s="760"/>
      <c r="F3110" s="760"/>
      <c r="G3110" s="760"/>
      <c r="H3110" s="760"/>
      <c r="I3110" s="760"/>
      <c r="J3110" s="760"/>
      <c r="K3110" s="760"/>
    </row>
    <row r="3111" spans="1:11">
      <c r="A3111" s="760"/>
      <c r="B3111" s="760"/>
      <c r="C3111" s="760"/>
      <c r="D3111" s="760"/>
      <c r="E3111" s="760"/>
      <c r="F3111" s="760"/>
      <c r="G3111" s="760"/>
      <c r="H3111" s="760"/>
      <c r="I3111" s="760"/>
      <c r="J3111" s="760"/>
      <c r="K3111" s="760"/>
    </row>
    <row r="3112" spans="1:11">
      <c r="A3112" s="760"/>
      <c r="B3112" s="760"/>
      <c r="C3112" s="760"/>
      <c r="D3112" s="760"/>
      <c r="E3112" s="760"/>
      <c r="F3112" s="760"/>
      <c r="G3112" s="760"/>
      <c r="H3112" s="760"/>
      <c r="I3112" s="760"/>
      <c r="J3112" s="760"/>
      <c r="K3112" s="760"/>
    </row>
    <row r="3113" spans="1:11">
      <c r="A3113" s="760"/>
      <c r="B3113" s="760"/>
      <c r="C3113" s="760"/>
      <c r="D3113" s="760"/>
      <c r="E3113" s="760"/>
      <c r="F3113" s="760"/>
      <c r="G3113" s="760"/>
      <c r="H3113" s="760"/>
      <c r="I3113" s="760"/>
      <c r="J3113" s="760"/>
      <c r="K3113" s="760"/>
    </row>
    <row r="3114" spans="1:11">
      <c r="A3114" s="760"/>
      <c r="B3114" s="760"/>
      <c r="C3114" s="760"/>
      <c r="D3114" s="760"/>
      <c r="E3114" s="760"/>
      <c r="F3114" s="760"/>
      <c r="G3114" s="760"/>
      <c r="H3114" s="760"/>
      <c r="I3114" s="760"/>
      <c r="J3114" s="760"/>
      <c r="K3114" s="760"/>
    </row>
    <row r="3115" spans="1:11">
      <c r="A3115" s="760"/>
      <c r="B3115" s="760"/>
      <c r="C3115" s="760"/>
      <c r="D3115" s="760"/>
      <c r="E3115" s="760"/>
      <c r="F3115" s="760"/>
      <c r="G3115" s="760"/>
      <c r="H3115" s="760"/>
      <c r="I3115" s="760"/>
      <c r="J3115" s="760"/>
      <c r="K3115" s="760"/>
    </row>
    <row r="3116" spans="1:11">
      <c r="A3116" s="760"/>
      <c r="B3116" s="760"/>
      <c r="C3116" s="760"/>
      <c r="D3116" s="760"/>
      <c r="E3116" s="760"/>
      <c r="F3116" s="760"/>
      <c r="G3116" s="760"/>
      <c r="H3116" s="760"/>
      <c r="I3116" s="760"/>
      <c r="J3116" s="760"/>
      <c r="K3116" s="760"/>
    </row>
    <row r="3117" spans="1:11">
      <c r="A3117" s="760"/>
      <c r="B3117" s="760"/>
      <c r="C3117" s="760"/>
      <c r="D3117" s="760"/>
      <c r="E3117" s="760"/>
      <c r="F3117" s="760"/>
      <c r="G3117" s="760"/>
      <c r="H3117" s="760"/>
      <c r="I3117" s="760"/>
      <c r="J3117" s="760"/>
      <c r="K3117" s="760"/>
    </row>
    <row r="3118" spans="1:11">
      <c r="A3118" s="760"/>
      <c r="B3118" s="760"/>
      <c r="C3118" s="760"/>
      <c r="D3118" s="760"/>
      <c r="E3118" s="760"/>
      <c r="F3118" s="760"/>
      <c r="G3118" s="760"/>
      <c r="H3118" s="760"/>
      <c r="I3118" s="760"/>
      <c r="J3118" s="760"/>
      <c r="K3118" s="760"/>
    </row>
    <row r="3119" spans="1:11">
      <c r="A3119" s="760"/>
      <c r="B3119" s="760"/>
      <c r="C3119" s="760"/>
      <c r="D3119" s="760"/>
      <c r="E3119" s="760"/>
      <c r="F3119" s="760"/>
      <c r="G3119" s="760"/>
      <c r="H3119" s="760"/>
      <c r="I3119" s="760"/>
      <c r="J3119" s="760"/>
      <c r="K3119" s="760"/>
    </row>
    <row r="3120" spans="1:11">
      <c r="A3120" s="760"/>
      <c r="B3120" s="760"/>
      <c r="C3120" s="760"/>
      <c r="D3120" s="760"/>
      <c r="E3120" s="760"/>
      <c r="F3120" s="760"/>
      <c r="G3120" s="760"/>
      <c r="H3120" s="760"/>
      <c r="I3120" s="760"/>
      <c r="J3120" s="760"/>
      <c r="K3120" s="760"/>
    </row>
    <row r="3121" spans="1:11">
      <c r="A3121" s="760"/>
      <c r="B3121" s="760"/>
      <c r="C3121" s="760"/>
      <c r="D3121" s="760"/>
      <c r="E3121" s="760"/>
      <c r="F3121" s="760"/>
      <c r="G3121" s="760"/>
      <c r="H3121" s="760"/>
      <c r="I3121" s="760"/>
      <c r="J3121" s="760"/>
      <c r="K3121" s="760"/>
    </row>
    <row r="3122" spans="1:11">
      <c r="A3122" s="760"/>
      <c r="B3122" s="760"/>
      <c r="C3122" s="760"/>
      <c r="D3122" s="760"/>
      <c r="E3122" s="760"/>
      <c r="F3122" s="760"/>
      <c r="G3122" s="760"/>
      <c r="H3122" s="760"/>
      <c r="I3122" s="760"/>
      <c r="J3122" s="760"/>
      <c r="K3122" s="760"/>
    </row>
    <row r="3123" spans="1:11">
      <c r="A3123" s="760"/>
      <c r="B3123" s="760"/>
      <c r="C3123" s="760"/>
      <c r="D3123" s="760"/>
      <c r="E3123" s="760"/>
      <c r="F3123" s="760"/>
      <c r="G3123" s="760"/>
      <c r="H3123" s="760"/>
      <c r="I3123" s="760"/>
      <c r="J3123" s="760"/>
      <c r="K3123" s="760"/>
    </row>
    <row r="3124" spans="1:11">
      <c r="A3124" s="760"/>
      <c r="B3124" s="760"/>
      <c r="C3124" s="760"/>
      <c r="D3124" s="760"/>
      <c r="E3124" s="760"/>
      <c r="F3124" s="760"/>
      <c r="G3124" s="760"/>
      <c r="H3124" s="760"/>
      <c r="I3124" s="760"/>
      <c r="J3124" s="760"/>
      <c r="K3124" s="760"/>
    </row>
    <row r="3125" spans="1:11">
      <c r="A3125" s="760"/>
      <c r="B3125" s="760"/>
      <c r="C3125" s="760"/>
      <c r="D3125" s="760"/>
      <c r="E3125" s="760"/>
      <c r="F3125" s="760"/>
      <c r="G3125" s="760"/>
      <c r="H3125" s="760"/>
      <c r="I3125" s="760"/>
      <c r="J3125" s="760"/>
      <c r="K3125" s="760"/>
    </row>
    <row r="3126" spans="1:11">
      <c r="A3126" s="760"/>
      <c r="B3126" s="760"/>
      <c r="C3126" s="760"/>
      <c r="D3126" s="760"/>
      <c r="E3126" s="760"/>
      <c r="F3126" s="760"/>
      <c r="G3126" s="760"/>
      <c r="H3126" s="760"/>
      <c r="I3126" s="760"/>
      <c r="J3126" s="760"/>
      <c r="K3126" s="760"/>
    </row>
    <row r="3127" spans="1:11">
      <c r="A3127" s="760"/>
      <c r="B3127" s="760"/>
      <c r="C3127" s="760"/>
      <c r="D3127" s="760"/>
      <c r="E3127" s="760"/>
      <c r="F3127" s="760"/>
      <c r="G3127" s="760"/>
      <c r="H3127" s="760"/>
      <c r="I3127" s="760"/>
      <c r="J3127" s="760"/>
      <c r="K3127" s="760"/>
    </row>
    <row r="3128" spans="1:11">
      <c r="A3128" s="760"/>
      <c r="B3128" s="760"/>
      <c r="C3128" s="760"/>
      <c r="D3128" s="760"/>
      <c r="E3128" s="760"/>
      <c r="F3128" s="760"/>
      <c r="G3128" s="760"/>
      <c r="H3128" s="760"/>
      <c r="I3128" s="760"/>
      <c r="J3128" s="760"/>
      <c r="K3128" s="760"/>
    </row>
    <row r="3129" spans="1:11">
      <c r="A3129" s="760"/>
      <c r="B3129" s="760"/>
      <c r="C3129" s="760"/>
      <c r="D3129" s="760"/>
      <c r="E3129" s="760"/>
      <c r="F3129" s="760"/>
      <c r="G3129" s="760"/>
      <c r="H3129" s="760"/>
      <c r="I3129" s="760"/>
      <c r="J3129" s="760"/>
      <c r="K3129" s="760"/>
    </row>
    <row r="3130" spans="1:11">
      <c r="A3130" s="760"/>
      <c r="B3130" s="760"/>
      <c r="C3130" s="760"/>
      <c r="D3130" s="760"/>
      <c r="E3130" s="760"/>
      <c r="F3130" s="760"/>
      <c r="G3130" s="760"/>
      <c r="H3130" s="760"/>
      <c r="I3130" s="760"/>
      <c r="J3130" s="760"/>
      <c r="K3130" s="760"/>
    </row>
    <row r="3131" spans="1:11">
      <c r="A3131" s="760"/>
      <c r="B3131" s="760"/>
      <c r="C3131" s="760"/>
      <c r="D3131" s="760"/>
      <c r="E3131" s="760"/>
      <c r="F3131" s="760"/>
      <c r="G3131" s="760"/>
      <c r="H3131" s="760"/>
      <c r="I3131" s="760"/>
      <c r="J3131" s="760"/>
      <c r="K3131" s="760"/>
    </row>
    <row r="3132" spans="1:11">
      <c r="A3132" s="760"/>
      <c r="B3132" s="760"/>
      <c r="C3132" s="760"/>
      <c r="D3132" s="760"/>
      <c r="E3132" s="760"/>
      <c r="F3132" s="760"/>
      <c r="G3132" s="760"/>
      <c r="H3132" s="760"/>
      <c r="I3132" s="760"/>
      <c r="J3132" s="760"/>
      <c r="K3132" s="760"/>
    </row>
    <row r="3133" spans="1:11">
      <c r="A3133" s="760"/>
      <c r="B3133" s="760"/>
      <c r="C3133" s="760"/>
      <c r="D3133" s="760"/>
      <c r="E3133" s="760"/>
      <c r="F3133" s="760"/>
      <c r="G3133" s="760"/>
      <c r="H3133" s="760"/>
      <c r="I3133" s="760"/>
      <c r="J3133" s="760"/>
      <c r="K3133" s="760"/>
    </row>
    <row r="3134" spans="1:11">
      <c r="A3134" s="760"/>
      <c r="B3134" s="760"/>
      <c r="C3134" s="760"/>
      <c r="D3134" s="760"/>
      <c r="E3134" s="760"/>
      <c r="F3134" s="760"/>
      <c r="G3134" s="760"/>
      <c r="H3134" s="760"/>
      <c r="I3134" s="760"/>
      <c r="J3134" s="760"/>
      <c r="K3134" s="760"/>
    </row>
    <row r="3135" spans="1:11">
      <c r="A3135" s="760"/>
      <c r="B3135" s="760"/>
      <c r="C3135" s="760"/>
      <c r="D3135" s="760"/>
      <c r="E3135" s="760"/>
      <c r="F3135" s="760"/>
      <c r="G3135" s="760"/>
      <c r="H3135" s="760"/>
      <c r="I3135" s="760"/>
      <c r="J3135" s="760"/>
      <c r="K3135" s="760"/>
    </row>
    <row r="3136" spans="1:11">
      <c r="A3136" s="760"/>
      <c r="B3136" s="760"/>
      <c r="C3136" s="760"/>
      <c r="D3136" s="760"/>
      <c r="E3136" s="760"/>
      <c r="F3136" s="760"/>
      <c r="G3136" s="760"/>
      <c r="H3136" s="760"/>
      <c r="I3136" s="760"/>
      <c r="J3136" s="760"/>
      <c r="K3136" s="760"/>
    </row>
    <row r="3137" spans="1:11">
      <c r="A3137" s="760"/>
      <c r="B3137" s="760"/>
      <c r="C3137" s="760"/>
      <c r="D3137" s="760"/>
      <c r="E3137" s="760"/>
      <c r="F3137" s="760"/>
      <c r="G3137" s="760"/>
      <c r="H3137" s="760"/>
      <c r="I3137" s="760"/>
      <c r="J3137" s="760"/>
      <c r="K3137" s="760"/>
    </row>
    <row r="3138" spans="1:11">
      <c r="A3138" s="760"/>
      <c r="B3138" s="760"/>
      <c r="C3138" s="760"/>
      <c r="D3138" s="760"/>
      <c r="E3138" s="760"/>
      <c r="F3138" s="760"/>
      <c r="G3138" s="760"/>
      <c r="H3138" s="760"/>
      <c r="I3138" s="760"/>
      <c r="J3138" s="760"/>
      <c r="K3138" s="760"/>
    </row>
    <row r="3139" spans="1:11">
      <c r="A3139" s="760"/>
      <c r="B3139" s="760"/>
      <c r="C3139" s="760"/>
      <c r="D3139" s="760"/>
      <c r="E3139" s="760"/>
      <c r="F3139" s="760"/>
      <c r="G3139" s="760"/>
      <c r="H3139" s="760"/>
      <c r="I3139" s="760"/>
      <c r="J3139" s="760"/>
      <c r="K3139" s="760"/>
    </row>
    <row r="3140" spans="1:11">
      <c r="A3140" s="760"/>
      <c r="B3140" s="760"/>
      <c r="C3140" s="760"/>
      <c r="D3140" s="760"/>
      <c r="E3140" s="760"/>
      <c r="F3140" s="760"/>
      <c r="G3140" s="760"/>
      <c r="H3140" s="760"/>
      <c r="I3140" s="760"/>
      <c r="J3140" s="760"/>
      <c r="K3140" s="760"/>
    </row>
    <row r="3141" spans="1:11">
      <c r="A3141" s="760"/>
      <c r="B3141" s="760"/>
      <c r="C3141" s="760"/>
      <c r="D3141" s="760"/>
      <c r="E3141" s="760"/>
      <c r="F3141" s="760"/>
      <c r="G3141" s="760"/>
      <c r="H3141" s="760"/>
      <c r="I3141" s="760"/>
      <c r="J3141" s="760"/>
      <c r="K3141" s="760"/>
    </row>
    <row r="3142" spans="1:11">
      <c r="A3142" s="760"/>
      <c r="B3142" s="760"/>
      <c r="C3142" s="760"/>
      <c r="D3142" s="760"/>
      <c r="E3142" s="760"/>
      <c r="F3142" s="760"/>
      <c r="G3142" s="760"/>
      <c r="H3142" s="760"/>
      <c r="I3142" s="760"/>
      <c r="J3142" s="760"/>
      <c r="K3142" s="760"/>
    </row>
    <row r="3143" spans="1:11">
      <c r="A3143" s="760"/>
      <c r="B3143" s="760"/>
      <c r="C3143" s="760"/>
      <c r="D3143" s="760"/>
      <c r="E3143" s="760"/>
      <c r="F3143" s="760"/>
      <c r="G3143" s="760"/>
      <c r="H3143" s="760"/>
      <c r="I3143" s="760"/>
      <c r="J3143" s="760"/>
      <c r="K3143" s="760"/>
    </row>
    <row r="3144" spans="1:11">
      <c r="A3144" s="760"/>
      <c r="B3144" s="760"/>
      <c r="C3144" s="760"/>
      <c r="D3144" s="760"/>
      <c r="E3144" s="760"/>
      <c r="F3144" s="760"/>
      <c r="G3144" s="760"/>
      <c r="H3144" s="760"/>
      <c r="I3144" s="760"/>
      <c r="J3144" s="760"/>
      <c r="K3144" s="760"/>
    </row>
    <row r="3145" spans="1:11">
      <c r="A3145" s="760"/>
      <c r="B3145" s="760"/>
      <c r="C3145" s="760"/>
      <c r="D3145" s="760"/>
      <c r="E3145" s="760"/>
      <c r="F3145" s="760"/>
      <c r="G3145" s="760"/>
      <c r="H3145" s="760"/>
      <c r="I3145" s="760"/>
      <c r="J3145" s="760"/>
      <c r="K3145" s="760"/>
    </row>
    <row r="3146" spans="1:11">
      <c r="A3146" s="760"/>
      <c r="B3146" s="760"/>
      <c r="C3146" s="760"/>
      <c r="D3146" s="760"/>
      <c r="E3146" s="760"/>
      <c r="F3146" s="760"/>
      <c r="G3146" s="760"/>
      <c r="H3146" s="760"/>
      <c r="I3146" s="760"/>
      <c r="J3146" s="760"/>
      <c r="K3146" s="760"/>
    </row>
    <row r="3147" spans="1:11">
      <c r="A3147" s="760"/>
      <c r="B3147" s="760"/>
      <c r="C3147" s="760"/>
      <c r="D3147" s="760"/>
      <c r="E3147" s="760"/>
      <c r="F3147" s="760"/>
      <c r="G3147" s="760"/>
      <c r="H3147" s="760"/>
      <c r="I3147" s="760"/>
      <c r="J3147" s="760"/>
      <c r="K3147" s="760"/>
    </row>
    <row r="3148" spans="1:11">
      <c r="A3148" s="760"/>
      <c r="B3148" s="760"/>
      <c r="C3148" s="760"/>
      <c r="D3148" s="760"/>
      <c r="E3148" s="760"/>
      <c r="F3148" s="760"/>
      <c r="G3148" s="760"/>
      <c r="H3148" s="760"/>
      <c r="I3148" s="760"/>
      <c r="J3148" s="760"/>
      <c r="K3148" s="760"/>
    </row>
    <row r="3149" spans="1:11">
      <c r="A3149" s="760"/>
      <c r="B3149" s="760"/>
      <c r="C3149" s="760"/>
      <c r="D3149" s="760"/>
      <c r="E3149" s="760"/>
      <c r="F3149" s="760"/>
      <c r="G3149" s="760"/>
      <c r="H3149" s="760"/>
      <c r="I3149" s="760"/>
      <c r="J3149" s="760"/>
      <c r="K3149" s="760"/>
    </row>
    <row r="3150" spans="1:11">
      <c r="A3150" s="760"/>
      <c r="B3150" s="760"/>
      <c r="C3150" s="760"/>
      <c r="D3150" s="760"/>
      <c r="E3150" s="760"/>
      <c r="F3150" s="760"/>
      <c r="G3150" s="760"/>
      <c r="H3150" s="760"/>
      <c r="I3150" s="760"/>
      <c r="J3150" s="760"/>
      <c r="K3150" s="760"/>
    </row>
    <row r="3151" spans="1:11">
      <c r="A3151" s="760"/>
      <c r="B3151" s="760"/>
      <c r="C3151" s="760"/>
      <c r="D3151" s="760"/>
      <c r="E3151" s="760"/>
      <c r="F3151" s="760"/>
      <c r="G3151" s="760"/>
      <c r="H3151" s="760"/>
      <c r="I3151" s="760"/>
      <c r="J3151" s="760"/>
      <c r="K3151" s="760"/>
    </row>
    <row r="3152" spans="1:11">
      <c r="A3152" s="760"/>
      <c r="B3152" s="760"/>
      <c r="C3152" s="760"/>
      <c r="D3152" s="760"/>
      <c r="E3152" s="760"/>
      <c r="F3152" s="760"/>
      <c r="G3152" s="760"/>
      <c r="H3152" s="760"/>
      <c r="I3152" s="760"/>
      <c r="J3152" s="760"/>
      <c r="K3152" s="760"/>
    </row>
    <row r="3153" spans="1:11">
      <c r="A3153" s="760"/>
      <c r="B3153" s="760"/>
      <c r="C3153" s="760"/>
      <c r="D3153" s="760"/>
      <c r="E3153" s="760"/>
      <c r="F3153" s="760"/>
      <c r="G3153" s="760"/>
      <c r="H3153" s="760"/>
      <c r="I3153" s="760"/>
      <c r="J3153" s="760"/>
      <c r="K3153" s="760"/>
    </row>
    <row r="3154" spans="1:11">
      <c r="A3154" s="760"/>
      <c r="B3154" s="760"/>
      <c r="C3154" s="760"/>
      <c r="D3154" s="760"/>
      <c r="E3154" s="760"/>
      <c r="F3154" s="760"/>
      <c r="G3154" s="760"/>
      <c r="H3154" s="760"/>
      <c r="I3154" s="760"/>
      <c r="J3154" s="760"/>
      <c r="K3154" s="760"/>
    </row>
    <row r="3155" spans="1:11">
      <c r="A3155" s="760"/>
      <c r="B3155" s="760"/>
      <c r="C3155" s="760"/>
      <c r="D3155" s="760"/>
      <c r="E3155" s="760"/>
      <c r="F3155" s="760"/>
      <c r="G3155" s="760"/>
      <c r="H3155" s="760"/>
      <c r="I3155" s="760"/>
      <c r="J3155" s="760"/>
      <c r="K3155" s="760"/>
    </row>
    <row r="3156" spans="1:11">
      <c r="A3156" s="760"/>
      <c r="B3156" s="760"/>
      <c r="C3156" s="760"/>
      <c r="D3156" s="760"/>
      <c r="E3156" s="760"/>
      <c r="F3156" s="760"/>
      <c r="G3156" s="760"/>
      <c r="H3156" s="760"/>
      <c r="I3156" s="760"/>
      <c r="J3156" s="760"/>
      <c r="K3156" s="760"/>
    </row>
    <row r="3157" spans="1:11">
      <c r="A3157" s="760"/>
      <c r="B3157" s="760"/>
      <c r="C3157" s="760"/>
      <c r="D3157" s="760"/>
      <c r="E3157" s="760"/>
      <c r="F3157" s="760"/>
      <c r="G3157" s="760"/>
      <c r="H3157" s="760"/>
      <c r="I3157" s="760"/>
      <c r="J3157" s="760"/>
      <c r="K3157" s="760"/>
    </row>
    <row r="3158" spans="1:11">
      <c r="A3158" s="760"/>
      <c r="B3158" s="760"/>
      <c r="C3158" s="760"/>
      <c r="D3158" s="760"/>
      <c r="E3158" s="760"/>
      <c r="F3158" s="760"/>
      <c r="G3158" s="760"/>
      <c r="H3158" s="760"/>
      <c r="I3158" s="760"/>
      <c r="J3158" s="760"/>
      <c r="K3158" s="760"/>
    </row>
    <row r="3159" spans="1:11">
      <c r="A3159" s="760"/>
      <c r="B3159" s="760"/>
      <c r="C3159" s="760"/>
      <c r="D3159" s="760"/>
      <c r="E3159" s="760"/>
      <c r="F3159" s="760"/>
      <c r="G3159" s="760"/>
      <c r="H3159" s="760"/>
      <c r="I3159" s="760"/>
      <c r="J3159" s="760"/>
      <c r="K3159" s="760"/>
    </row>
    <row r="3160" spans="1:11">
      <c r="A3160" s="760"/>
      <c r="B3160" s="760"/>
      <c r="C3160" s="760"/>
      <c r="D3160" s="760"/>
      <c r="E3160" s="760"/>
      <c r="F3160" s="760"/>
      <c r="G3160" s="760"/>
      <c r="H3160" s="760"/>
      <c r="I3160" s="760"/>
      <c r="J3160" s="760"/>
      <c r="K3160" s="760"/>
    </row>
    <row r="3161" spans="1:11">
      <c r="A3161" s="760"/>
      <c r="B3161" s="760"/>
      <c r="C3161" s="760"/>
      <c r="D3161" s="760"/>
      <c r="E3161" s="760"/>
      <c r="F3161" s="760"/>
      <c r="G3161" s="760"/>
      <c r="H3161" s="760"/>
      <c r="I3161" s="760"/>
      <c r="J3161" s="760"/>
      <c r="K3161" s="760"/>
    </row>
    <row r="3162" spans="1:11">
      <c r="A3162" s="760"/>
      <c r="B3162" s="760"/>
      <c r="C3162" s="760"/>
      <c r="D3162" s="760"/>
      <c r="E3162" s="760"/>
      <c r="F3162" s="760"/>
      <c r="G3162" s="760"/>
      <c r="H3162" s="760"/>
      <c r="I3162" s="760"/>
      <c r="J3162" s="760"/>
      <c r="K3162" s="760"/>
    </row>
    <row r="3163" spans="1:11">
      <c r="A3163" s="760"/>
      <c r="B3163" s="760"/>
      <c r="C3163" s="760"/>
      <c r="D3163" s="760"/>
      <c r="E3163" s="760"/>
      <c r="F3163" s="760"/>
      <c r="G3163" s="760"/>
      <c r="H3163" s="760"/>
      <c r="I3163" s="760"/>
      <c r="J3163" s="760"/>
      <c r="K3163" s="760"/>
    </row>
    <row r="3164" spans="1:11">
      <c r="A3164" s="760"/>
      <c r="B3164" s="760"/>
      <c r="C3164" s="760"/>
      <c r="D3164" s="760"/>
      <c r="E3164" s="760"/>
      <c r="F3164" s="760"/>
      <c r="G3164" s="760"/>
      <c r="H3164" s="760"/>
      <c r="I3164" s="760"/>
      <c r="J3164" s="760"/>
      <c r="K3164" s="760"/>
    </row>
    <row r="3165" spans="1:11">
      <c r="A3165" s="760"/>
      <c r="B3165" s="760"/>
      <c r="C3165" s="760"/>
      <c r="D3165" s="760"/>
      <c r="E3165" s="760"/>
      <c r="F3165" s="760"/>
      <c r="G3165" s="760"/>
      <c r="H3165" s="760"/>
      <c r="I3165" s="760"/>
      <c r="J3165" s="760"/>
      <c r="K3165" s="760"/>
    </row>
    <row r="3166" spans="1:11">
      <c r="A3166" s="760"/>
      <c r="B3166" s="760"/>
      <c r="C3166" s="760"/>
      <c r="D3166" s="760"/>
      <c r="E3166" s="760"/>
      <c r="F3166" s="760"/>
      <c r="G3166" s="760"/>
      <c r="H3166" s="760"/>
      <c r="I3166" s="760"/>
      <c r="J3166" s="760"/>
      <c r="K3166" s="760"/>
    </row>
    <row r="3167" spans="1:11">
      <c r="A3167" s="760"/>
      <c r="B3167" s="760"/>
      <c r="C3167" s="760"/>
      <c r="D3167" s="760"/>
      <c r="E3167" s="760"/>
      <c r="F3167" s="760"/>
      <c r="G3167" s="760"/>
      <c r="H3167" s="760"/>
      <c r="I3167" s="760"/>
      <c r="J3167" s="760"/>
      <c r="K3167" s="760"/>
    </row>
    <row r="3168" spans="1:11">
      <c r="A3168" s="760"/>
      <c r="B3168" s="760"/>
      <c r="C3168" s="760"/>
      <c r="D3168" s="760"/>
      <c r="E3168" s="760"/>
      <c r="F3168" s="760"/>
      <c r="G3168" s="760"/>
      <c r="H3168" s="760"/>
      <c r="I3168" s="760"/>
      <c r="J3168" s="760"/>
      <c r="K3168" s="760"/>
    </row>
    <row r="3169" spans="1:11">
      <c r="A3169" s="760"/>
      <c r="B3169" s="760"/>
      <c r="C3169" s="760"/>
      <c r="D3169" s="760"/>
      <c r="E3169" s="760"/>
      <c r="F3169" s="760"/>
      <c r="G3169" s="760"/>
      <c r="H3169" s="760"/>
      <c r="I3169" s="760"/>
      <c r="J3169" s="760"/>
      <c r="K3169" s="760"/>
    </row>
    <row r="3170" spans="1:11">
      <c r="A3170" s="760"/>
      <c r="B3170" s="760"/>
      <c r="C3170" s="760"/>
      <c r="D3170" s="760"/>
      <c r="E3170" s="760"/>
      <c r="F3170" s="760"/>
      <c r="G3170" s="760"/>
      <c r="H3170" s="760"/>
      <c r="I3170" s="760"/>
      <c r="J3170" s="760"/>
      <c r="K3170" s="760"/>
    </row>
    <row r="3171" spans="1:11">
      <c r="A3171" s="760"/>
      <c r="B3171" s="760"/>
      <c r="C3171" s="760"/>
      <c r="D3171" s="760"/>
      <c r="E3171" s="760"/>
      <c r="F3171" s="760"/>
      <c r="G3171" s="760"/>
      <c r="H3171" s="760"/>
      <c r="I3171" s="760"/>
      <c r="J3171" s="760"/>
      <c r="K3171" s="760"/>
    </row>
    <row r="3172" spans="1:11">
      <c r="A3172" s="760"/>
      <c r="B3172" s="760"/>
      <c r="C3172" s="760"/>
      <c r="D3172" s="760"/>
      <c r="E3172" s="760"/>
      <c r="F3172" s="760"/>
      <c r="G3172" s="760"/>
      <c r="H3172" s="760"/>
      <c r="I3172" s="760"/>
      <c r="J3172" s="760"/>
      <c r="K3172" s="760"/>
    </row>
    <row r="3173" spans="1:11">
      <c r="A3173" s="760"/>
      <c r="B3173" s="760"/>
      <c r="C3173" s="760"/>
      <c r="D3173" s="760"/>
      <c r="E3173" s="760"/>
      <c r="F3173" s="760"/>
      <c r="G3173" s="760"/>
      <c r="H3173" s="760"/>
      <c r="I3173" s="760"/>
      <c r="J3173" s="760"/>
      <c r="K3173" s="760"/>
    </row>
    <row r="3174" spans="1:11">
      <c r="A3174" s="760"/>
      <c r="B3174" s="760"/>
      <c r="C3174" s="760"/>
      <c r="D3174" s="760"/>
      <c r="E3174" s="760"/>
      <c r="F3174" s="760"/>
      <c r="G3174" s="760"/>
      <c r="H3174" s="760"/>
      <c r="I3174" s="760"/>
      <c r="J3174" s="760"/>
      <c r="K3174" s="760"/>
    </row>
    <row r="3175" spans="1:11">
      <c r="A3175" s="760"/>
      <c r="B3175" s="760"/>
      <c r="C3175" s="760"/>
      <c r="D3175" s="760"/>
      <c r="E3175" s="760"/>
      <c r="F3175" s="760"/>
      <c r="G3175" s="760"/>
      <c r="H3175" s="760"/>
      <c r="I3175" s="760"/>
      <c r="J3175" s="760"/>
      <c r="K3175" s="760"/>
    </row>
    <row r="3176" spans="1:11">
      <c r="A3176" s="760"/>
      <c r="B3176" s="760"/>
      <c r="C3176" s="760"/>
      <c r="D3176" s="760"/>
      <c r="E3176" s="760"/>
      <c r="F3176" s="760"/>
      <c r="G3176" s="760"/>
      <c r="H3176" s="760"/>
      <c r="I3176" s="760"/>
      <c r="J3176" s="760"/>
      <c r="K3176" s="760"/>
    </row>
    <row r="3177" spans="1:11">
      <c r="A3177" s="760"/>
      <c r="B3177" s="760"/>
      <c r="C3177" s="760"/>
      <c r="D3177" s="760"/>
      <c r="E3177" s="760"/>
      <c r="F3177" s="760"/>
      <c r="G3177" s="760"/>
      <c r="H3177" s="760"/>
      <c r="I3177" s="760"/>
      <c r="J3177" s="760"/>
      <c r="K3177" s="760"/>
    </row>
    <row r="3178" spans="1:11">
      <c r="A3178" s="760"/>
      <c r="B3178" s="760"/>
      <c r="C3178" s="760"/>
      <c r="D3178" s="760"/>
      <c r="E3178" s="760"/>
      <c r="F3178" s="760"/>
      <c r="G3178" s="760"/>
      <c r="H3178" s="760"/>
      <c r="I3178" s="760"/>
      <c r="J3178" s="760"/>
      <c r="K3178" s="760"/>
    </row>
    <row r="3179" spans="1:11">
      <c r="A3179" s="760"/>
      <c r="B3179" s="760"/>
      <c r="C3179" s="760"/>
      <c r="D3179" s="760"/>
      <c r="E3179" s="760"/>
      <c r="F3179" s="760"/>
      <c r="G3179" s="760"/>
      <c r="H3179" s="760"/>
      <c r="I3179" s="760"/>
      <c r="J3179" s="760"/>
      <c r="K3179" s="760"/>
    </row>
    <row r="3180" spans="1:11">
      <c r="A3180" s="760"/>
      <c r="B3180" s="760"/>
      <c r="C3180" s="760"/>
      <c r="D3180" s="760"/>
      <c r="E3180" s="760"/>
      <c r="F3180" s="760"/>
      <c r="G3180" s="760"/>
      <c r="H3180" s="760"/>
      <c r="I3180" s="760"/>
      <c r="J3180" s="760"/>
      <c r="K3180" s="760"/>
    </row>
    <row r="3181" spans="1:11">
      <c r="A3181" s="760"/>
      <c r="B3181" s="760"/>
      <c r="C3181" s="760"/>
      <c r="D3181" s="760"/>
      <c r="E3181" s="760"/>
      <c r="F3181" s="760"/>
      <c r="G3181" s="760"/>
      <c r="H3181" s="760"/>
      <c r="I3181" s="760"/>
      <c r="J3181" s="760"/>
      <c r="K3181" s="760"/>
    </row>
    <row r="3182" spans="1:11">
      <c r="A3182" s="760"/>
      <c r="B3182" s="760"/>
      <c r="C3182" s="760"/>
      <c r="D3182" s="760"/>
      <c r="E3182" s="760"/>
      <c r="F3182" s="760"/>
      <c r="G3182" s="760"/>
      <c r="H3182" s="760"/>
      <c r="I3182" s="760"/>
      <c r="J3182" s="760"/>
      <c r="K3182" s="760"/>
    </row>
    <row r="3183" spans="1:11">
      <c r="A3183" s="760"/>
      <c r="B3183" s="760"/>
      <c r="C3183" s="760"/>
      <c r="D3183" s="760"/>
      <c r="E3183" s="760"/>
      <c r="F3183" s="760"/>
      <c r="G3183" s="760"/>
      <c r="H3183" s="760"/>
      <c r="I3183" s="760"/>
      <c r="J3183" s="760"/>
      <c r="K3183" s="760"/>
    </row>
    <row r="3184" spans="1:11">
      <c r="A3184" s="760"/>
      <c r="B3184" s="760"/>
      <c r="C3184" s="760"/>
      <c r="D3184" s="760"/>
      <c r="E3184" s="760"/>
      <c r="F3184" s="760"/>
      <c r="G3184" s="760"/>
      <c r="H3184" s="760"/>
      <c r="I3184" s="760"/>
      <c r="J3184" s="760"/>
      <c r="K3184" s="760"/>
    </row>
    <row r="3185" spans="1:11">
      <c r="A3185" s="760"/>
      <c r="B3185" s="760"/>
      <c r="C3185" s="760"/>
      <c r="D3185" s="760"/>
      <c r="E3185" s="760"/>
      <c r="F3185" s="760"/>
      <c r="G3185" s="760"/>
      <c r="H3185" s="760"/>
      <c r="I3185" s="760"/>
      <c r="J3185" s="760"/>
      <c r="K3185" s="760"/>
    </row>
    <row r="3186" spans="1:11">
      <c r="A3186" s="760"/>
      <c r="B3186" s="760"/>
      <c r="C3186" s="760"/>
      <c r="D3186" s="760"/>
      <c r="E3186" s="760"/>
      <c r="F3186" s="760"/>
      <c r="G3186" s="760"/>
      <c r="H3186" s="760"/>
      <c r="I3186" s="760"/>
      <c r="J3186" s="760"/>
      <c r="K3186" s="760"/>
    </row>
    <row r="3187" spans="1:11">
      <c r="A3187" s="760"/>
      <c r="B3187" s="760"/>
      <c r="C3187" s="760"/>
      <c r="D3187" s="760"/>
      <c r="E3187" s="760"/>
      <c r="F3187" s="760"/>
      <c r="G3187" s="760"/>
      <c r="H3187" s="760"/>
      <c r="I3187" s="760"/>
      <c r="J3187" s="760"/>
      <c r="K3187" s="760"/>
    </row>
    <row r="3188" spans="1:11">
      <c r="A3188" s="760"/>
      <c r="B3188" s="760"/>
      <c r="C3188" s="760"/>
      <c r="D3188" s="760"/>
      <c r="E3188" s="760"/>
      <c r="F3188" s="760"/>
      <c r="G3188" s="760"/>
      <c r="H3188" s="760"/>
      <c r="I3188" s="760"/>
      <c r="J3188" s="760"/>
      <c r="K3188" s="760"/>
    </row>
    <row r="3189" spans="1:11">
      <c r="A3189" s="760"/>
      <c r="B3189" s="760"/>
      <c r="C3189" s="760"/>
      <c r="D3189" s="760"/>
      <c r="E3189" s="760"/>
      <c r="F3189" s="760"/>
      <c r="G3189" s="760"/>
      <c r="H3189" s="760"/>
      <c r="I3189" s="760"/>
      <c r="J3189" s="760"/>
      <c r="K3189" s="760"/>
    </row>
    <row r="3190" spans="1:11">
      <c r="A3190" s="760"/>
      <c r="B3190" s="760"/>
      <c r="C3190" s="760"/>
      <c r="D3190" s="760"/>
      <c r="E3190" s="760"/>
      <c r="F3190" s="760"/>
      <c r="G3190" s="760"/>
      <c r="H3190" s="760"/>
      <c r="I3190" s="760"/>
      <c r="J3190" s="760"/>
      <c r="K3190" s="760"/>
    </row>
    <row r="3191" spans="1:11">
      <c r="A3191" s="760"/>
      <c r="B3191" s="760"/>
      <c r="C3191" s="760"/>
      <c r="D3191" s="760"/>
      <c r="E3191" s="760"/>
      <c r="F3191" s="760"/>
      <c r="G3191" s="760"/>
      <c r="H3191" s="760"/>
      <c r="I3191" s="760"/>
      <c r="J3191" s="760"/>
      <c r="K3191" s="760"/>
    </row>
    <row r="3192" spans="1:11">
      <c r="A3192" s="760"/>
      <c r="B3192" s="760"/>
      <c r="C3192" s="760"/>
      <c r="D3192" s="760"/>
      <c r="E3192" s="760"/>
      <c r="F3192" s="760"/>
      <c r="G3192" s="760"/>
      <c r="H3192" s="760"/>
      <c r="I3192" s="760"/>
      <c r="J3192" s="760"/>
      <c r="K3192" s="760"/>
    </row>
    <row r="3193" spans="1:11">
      <c r="A3193" s="760"/>
      <c r="B3193" s="760"/>
      <c r="C3193" s="760"/>
      <c r="D3193" s="760"/>
      <c r="E3193" s="760"/>
      <c r="F3193" s="760"/>
      <c r="G3193" s="760"/>
      <c r="H3193" s="760"/>
      <c r="I3193" s="760"/>
      <c r="J3193" s="760"/>
      <c r="K3193" s="760"/>
    </row>
    <row r="3194" spans="1:11">
      <c r="A3194" s="760"/>
      <c r="B3194" s="760"/>
      <c r="C3194" s="760"/>
      <c r="D3194" s="760"/>
      <c r="E3194" s="760"/>
      <c r="F3194" s="760"/>
      <c r="G3194" s="760"/>
      <c r="H3194" s="760"/>
      <c r="I3194" s="760"/>
      <c r="J3194" s="760"/>
      <c r="K3194" s="760"/>
    </row>
    <row r="3195" spans="1:11">
      <c r="A3195" s="760"/>
      <c r="B3195" s="760"/>
      <c r="C3195" s="760"/>
      <c r="D3195" s="760"/>
      <c r="E3195" s="760"/>
      <c r="F3195" s="760"/>
      <c r="G3195" s="760"/>
      <c r="H3195" s="760"/>
      <c r="I3195" s="760"/>
      <c r="J3195" s="760"/>
      <c r="K3195" s="760"/>
    </row>
    <row r="3196" spans="1:11">
      <c r="A3196" s="760"/>
      <c r="B3196" s="760"/>
      <c r="C3196" s="760"/>
      <c r="D3196" s="760"/>
      <c r="E3196" s="760"/>
      <c r="F3196" s="760"/>
      <c r="G3196" s="760"/>
      <c r="H3196" s="760"/>
      <c r="I3196" s="760"/>
      <c r="J3196" s="760"/>
      <c r="K3196" s="760"/>
    </row>
    <row r="3197" spans="1:11">
      <c r="A3197" s="760"/>
      <c r="B3197" s="760"/>
      <c r="C3197" s="760"/>
      <c r="D3197" s="760"/>
      <c r="E3197" s="760"/>
      <c r="F3197" s="760"/>
      <c r="G3197" s="760"/>
      <c r="H3197" s="760"/>
      <c r="I3197" s="760"/>
      <c r="J3197" s="760"/>
      <c r="K3197" s="760"/>
    </row>
    <row r="3198" spans="1:11">
      <c r="A3198" s="760"/>
      <c r="B3198" s="760"/>
      <c r="C3198" s="760"/>
      <c r="D3198" s="760"/>
      <c r="E3198" s="760"/>
      <c r="F3198" s="760"/>
      <c r="G3198" s="760"/>
      <c r="H3198" s="760"/>
      <c r="I3198" s="760"/>
      <c r="J3198" s="760"/>
      <c r="K3198" s="760"/>
    </row>
    <row r="3199" spans="1:11">
      <c r="A3199" s="760"/>
      <c r="B3199" s="760"/>
      <c r="C3199" s="760"/>
      <c r="D3199" s="760"/>
      <c r="E3199" s="760"/>
      <c r="F3199" s="760"/>
      <c r="G3199" s="760"/>
      <c r="H3199" s="760"/>
      <c r="I3199" s="760"/>
      <c r="J3199" s="760"/>
      <c r="K3199" s="760"/>
    </row>
    <row r="3200" spans="1:11">
      <c r="A3200" s="760"/>
      <c r="B3200" s="760"/>
      <c r="C3200" s="760"/>
      <c r="D3200" s="760"/>
      <c r="E3200" s="760"/>
      <c r="F3200" s="760"/>
      <c r="G3200" s="760"/>
      <c r="H3200" s="760"/>
      <c r="I3200" s="760"/>
      <c r="J3200" s="760"/>
      <c r="K3200" s="760"/>
    </row>
    <row r="3201" spans="1:11">
      <c r="A3201" s="760"/>
      <c r="B3201" s="760"/>
      <c r="C3201" s="760"/>
      <c r="D3201" s="760"/>
      <c r="E3201" s="760"/>
      <c r="F3201" s="760"/>
      <c r="G3201" s="760"/>
      <c r="H3201" s="760"/>
      <c r="I3201" s="760"/>
      <c r="J3201" s="760"/>
      <c r="K3201" s="760"/>
    </row>
    <row r="3202" spans="1:11">
      <c r="A3202" s="760"/>
      <c r="B3202" s="760"/>
      <c r="C3202" s="760"/>
      <c r="D3202" s="760"/>
      <c r="E3202" s="760"/>
      <c r="F3202" s="760"/>
      <c r="G3202" s="760"/>
      <c r="H3202" s="760"/>
      <c r="I3202" s="760"/>
      <c r="J3202" s="760"/>
      <c r="K3202" s="760"/>
    </row>
    <row r="3203" spans="1:11">
      <c r="A3203" s="760"/>
      <c r="B3203" s="760"/>
      <c r="C3203" s="760"/>
      <c r="D3203" s="760"/>
      <c r="E3203" s="760"/>
      <c r="F3203" s="760"/>
      <c r="G3203" s="760"/>
      <c r="H3203" s="760"/>
      <c r="I3203" s="760"/>
      <c r="J3203" s="760"/>
      <c r="K3203" s="760"/>
    </row>
    <row r="3204" spans="1:11">
      <c r="A3204" s="760"/>
      <c r="B3204" s="760"/>
      <c r="C3204" s="760"/>
      <c r="D3204" s="760"/>
      <c r="E3204" s="760"/>
      <c r="F3204" s="760"/>
      <c r="G3204" s="760"/>
      <c r="H3204" s="760"/>
      <c r="I3204" s="760"/>
      <c r="J3204" s="760"/>
      <c r="K3204" s="760"/>
    </row>
    <row r="3205" spans="1:11">
      <c r="A3205" s="760"/>
      <c r="B3205" s="760"/>
      <c r="C3205" s="760"/>
      <c r="D3205" s="760"/>
      <c r="E3205" s="760"/>
      <c r="F3205" s="760"/>
      <c r="G3205" s="760"/>
      <c r="H3205" s="760"/>
      <c r="I3205" s="760"/>
      <c r="J3205" s="760"/>
      <c r="K3205" s="760"/>
    </row>
    <row r="3206" spans="1:11">
      <c r="A3206" s="760"/>
      <c r="B3206" s="760"/>
      <c r="C3206" s="760"/>
      <c r="D3206" s="760"/>
      <c r="E3206" s="760"/>
      <c r="F3206" s="760"/>
      <c r="G3206" s="760"/>
      <c r="H3206" s="760"/>
      <c r="I3206" s="760"/>
      <c r="J3206" s="760"/>
      <c r="K3206" s="760"/>
    </row>
    <row r="3207" spans="1:11">
      <c r="A3207" s="760"/>
      <c r="B3207" s="760"/>
      <c r="C3207" s="760"/>
      <c r="D3207" s="760"/>
      <c r="E3207" s="760"/>
      <c r="F3207" s="760"/>
      <c r="G3207" s="760"/>
      <c r="H3207" s="760"/>
      <c r="I3207" s="760"/>
      <c r="J3207" s="760"/>
      <c r="K3207" s="760"/>
    </row>
    <row r="3208" spans="1:11">
      <c r="A3208" s="760"/>
      <c r="B3208" s="760"/>
      <c r="C3208" s="760"/>
      <c r="D3208" s="760"/>
      <c r="E3208" s="760"/>
      <c r="F3208" s="760"/>
      <c r="G3208" s="760"/>
      <c r="H3208" s="760"/>
      <c r="I3208" s="760"/>
      <c r="J3208" s="760"/>
      <c r="K3208" s="760"/>
    </row>
    <row r="3209" spans="1:11">
      <c r="A3209" s="760"/>
      <c r="B3209" s="760"/>
      <c r="C3209" s="760"/>
      <c r="D3209" s="760"/>
      <c r="E3209" s="760"/>
      <c r="F3209" s="760"/>
      <c r="G3209" s="760"/>
      <c r="H3209" s="760"/>
      <c r="I3209" s="760"/>
      <c r="J3209" s="760"/>
      <c r="K3209" s="760"/>
    </row>
    <row r="3210" spans="1:11">
      <c r="A3210" s="760"/>
      <c r="B3210" s="760"/>
      <c r="C3210" s="760"/>
      <c r="D3210" s="760"/>
      <c r="E3210" s="760"/>
      <c r="F3210" s="760"/>
      <c r="G3210" s="760"/>
      <c r="H3210" s="760"/>
      <c r="I3210" s="760"/>
      <c r="J3210" s="760"/>
      <c r="K3210" s="760"/>
    </row>
    <row r="3211" spans="1:11">
      <c r="A3211" s="760"/>
      <c r="B3211" s="760"/>
      <c r="C3211" s="760"/>
      <c r="D3211" s="760"/>
      <c r="E3211" s="760"/>
      <c r="F3211" s="760"/>
      <c r="G3211" s="760"/>
      <c r="H3211" s="760"/>
      <c r="I3211" s="760"/>
      <c r="J3211" s="760"/>
      <c r="K3211" s="760"/>
    </row>
    <row r="3212" spans="1:11">
      <c r="A3212" s="760"/>
      <c r="B3212" s="760"/>
      <c r="C3212" s="760"/>
      <c r="D3212" s="760"/>
      <c r="E3212" s="760"/>
      <c r="F3212" s="760"/>
      <c r="G3212" s="760"/>
      <c r="H3212" s="760"/>
      <c r="I3212" s="760"/>
      <c r="J3212" s="760"/>
      <c r="K3212" s="760"/>
    </row>
    <row r="3213" spans="1:11">
      <c r="A3213" s="760"/>
      <c r="B3213" s="760"/>
      <c r="C3213" s="760"/>
      <c r="D3213" s="760"/>
      <c r="E3213" s="760"/>
      <c r="F3213" s="760"/>
      <c r="G3213" s="760"/>
      <c r="H3213" s="760"/>
      <c r="I3213" s="760"/>
      <c r="J3213" s="760"/>
      <c r="K3213" s="760"/>
    </row>
    <row r="3214" spans="1:11">
      <c r="A3214" s="760"/>
      <c r="B3214" s="760"/>
      <c r="C3214" s="760"/>
      <c r="D3214" s="760"/>
      <c r="E3214" s="760"/>
      <c r="F3214" s="760"/>
      <c r="G3214" s="760"/>
      <c r="H3214" s="760"/>
      <c r="I3214" s="760"/>
      <c r="J3214" s="760"/>
      <c r="K3214" s="760"/>
    </row>
    <row r="3215" spans="1:11">
      <c r="A3215" s="760"/>
      <c r="B3215" s="760"/>
      <c r="C3215" s="760"/>
      <c r="D3215" s="760"/>
      <c r="E3215" s="760"/>
      <c r="F3215" s="760"/>
      <c r="G3215" s="760"/>
      <c r="H3215" s="760"/>
      <c r="I3215" s="760"/>
      <c r="J3215" s="760"/>
      <c r="K3215" s="760"/>
    </row>
    <row r="3216" spans="1:11">
      <c r="A3216" s="760"/>
      <c r="B3216" s="760"/>
      <c r="C3216" s="760"/>
      <c r="D3216" s="760"/>
      <c r="E3216" s="760"/>
      <c r="F3216" s="760"/>
      <c r="G3216" s="760"/>
      <c r="H3216" s="760"/>
      <c r="I3216" s="760"/>
      <c r="J3216" s="760"/>
      <c r="K3216" s="760"/>
    </row>
    <row r="3217" spans="1:11">
      <c r="A3217" s="760"/>
      <c r="B3217" s="760"/>
      <c r="C3217" s="760"/>
      <c r="D3217" s="760"/>
      <c r="E3217" s="760"/>
      <c r="F3217" s="760"/>
      <c r="G3217" s="760"/>
      <c r="H3217" s="760"/>
      <c r="I3217" s="760"/>
      <c r="J3217" s="760"/>
      <c r="K3217" s="760"/>
    </row>
    <row r="3218" spans="1:11">
      <c r="A3218" s="760"/>
      <c r="B3218" s="760"/>
      <c r="C3218" s="760"/>
      <c r="D3218" s="760"/>
      <c r="E3218" s="760"/>
      <c r="F3218" s="760"/>
      <c r="G3218" s="760"/>
      <c r="H3218" s="760"/>
      <c r="I3218" s="760"/>
      <c r="J3218" s="760"/>
      <c r="K3218" s="760"/>
    </row>
    <row r="3219" spans="1:11">
      <c r="A3219" s="760"/>
      <c r="B3219" s="760"/>
      <c r="C3219" s="760"/>
      <c r="D3219" s="760"/>
      <c r="E3219" s="760"/>
      <c r="F3219" s="760"/>
      <c r="G3219" s="760"/>
      <c r="H3219" s="760"/>
      <c r="I3219" s="760"/>
      <c r="J3219" s="760"/>
      <c r="K3219" s="760"/>
    </row>
    <row r="3220" spans="1:11">
      <c r="A3220" s="760"/>
      <c r="B3220" s="760"/>
      <c r="C3220" s="760"/>
      <c r="D3220" s="760"/>
      <c r="E3220" s="760"/>
      <c r="F3220" s="760"/>
      <c r="G3220" s="760"/>
      <c r="H3220" s="760"/>
      <c r="I3220" s="760"/>
      <c r="J3220" s="760"/>
      <c r="K3220" s="760"/>
    </row>
    <row r="3221" spans="1:11">
      <c r="A3221" s="760"/>
      <c r="B3221" s="760"/>
      <c r="C3221" s="760"/>
      <c r="D3221" s="760"/>
      <c r="E3221" s="760"/>
      <c r="F3221" s="760"/>
      <c r="G3221" s="760"/>
      <c r="H3221" s="760"/>
      <c r="I3221" s="760"/>
      <c r="J3221" s="760"/>
      <c r="K3221" s="760"/>
    </row>
    <row r="3222" spans="1:11">
      <c r="A3222" s="760"/>
      <c r="B3222" s="760"/>
      <c r="C3222" s="760"/>
      <c r="D3222" s="760"/>
      <c r="E3222" s="760"/>
      <c r="F3222" s="760"/>
      <c r="G3222" s="760"/>
      <c r="H3222" s="760"/>
      <c r="I3222" s="760"/>
      <c r="J3222" s="760"/>
      <c r="K3222" s="760"/>
    </row>
    <row r="3223" spans="1:11">
      <c r="A3223" s="760"/>
      <c r="B3223" s="760"/>
      <c r="C3223" s="760"/>
      <c r="D3223" s="760"/>
      <c r="E3223" s="760"/>
      <c r="F3223" s="760"/>
      <c r="G3223" s="760"/>
      <c r="H3223" s="760"/>
      <c r="I3223" s="760"/>
      <c r="J3223" s="760"/>
      <c r="K3223" s="760"/>
    </row>
    <row r="3224" spans="1:11">
      <c r="A3224" s="760"/>
      <c r="B3224" s="760"/>
      <c r="C3224" s="760"/>
      <c r="D3224" s="760"/>
      <c r="E3224" s="760"/>
      <c r="F3224" s="760"/>
      <c r="G3224" s="760"/>
      <c r="H3224" s="760"/>
      <c r="I3224" s="760"/>
      <c r="J3224" s="760"/>
      <c r="K3224" s="760"/>
    </row>
    <row r="3225" spans="1:11">
      <c r="A3225" s="760"/>
      <c r="B3225" s="760"/>
      <c r="C3225" s="760"/>
      <c r="D3225" s="760"/>
      <c r="E3225" s="760"/>
      <c r="F3225" s="760"/>
      <c r="G3225" s="760"/>
      <c r="H3225" s="760"/>
      <c r="I3225" s="760"/>
      <c r="J3225" s="760"/>
      <c r="K3225" s="760"/>
    </row>
    <row r="3226" spans="1:11">
      <c r="A3226" s="760"/>
      <c r="B3226" s="760"/>
      <c r="C3226" s="760"/>
      <c r="D3226" s="760"/>
      <c r="E3226" s="760"/>
      <c r="F3226" s="760"/>
      <c r="G3226" s="760"/>
      <c r="H3226" s="760"/>
      <c r="I3226" s="760"/>
      <c r="J3226" s="760"/>
      <c r="K3226" s="760"/>
    </row>
    <row r="3227" spans="1:11">
      <c r="A3227" s="760"/>
      <c r="B3227" s="760"/>
      <c r="C3227" s="760"/>
      <c r="D3227" s="760"/>
      <c r="E3227" s="760"/>
      <c r="F3227" s="760"/>
      <c r="G3227" s="760"/>
      <c r="H3227" s="760"/>
      <c r="I3227" s="760"/>
      <c r="J3227" s="760"/>
      <c r="K3227" s="760"/>
    </row>
    <row r="3228" spans="1:11">
      <c r="A3228" s="760"/>
      <c r="B3228" s="760"/>
      <c r="C3228" s="760"/>
      <c r="D3228" s="760"/>
      <c r="E3228" s="760"/>
      <c r="F3228" s="760"/>
      <c r="G3228" s="760"/>
      <c r="H3228" s="760"/>
      <c r="I3228" s="760"/>
      <c r="J3228" s="760"/>
      <c r="K3228" s="760"/>
    </row>
    <row r="3229" spans="1:11">
      <c r="A3229" s="760"/>
      <c r="B3229" s="760"/>
      <c r="C3229" s="760"/>
      <c r="D3229" s="760"/>
      <c r="E3229" s="760"/>
      <c r="F3229" s="760"/>
      <c r="G3229" s="760"/>
      <c r="H3229" s="760"/>
      <c r="I3229" s="760"/>
      <c r="J3229" s="760"/>
      <c r="K3229" s="760"/>
    </row>
    <row r="3230" spans="1:11">
      <c r="A3230" s="760"/>
      <c r="B3230" s="760"/>
      <c r="C3230" s="760"/>
      <c r="D3230" s="760"/>
      <c r="E3230" s="760"/>
      <c r="F3230" s="760"/>
      <c r="G3230" s="760"/>
      <c r="H3230" s="760"/>
      <c r="I3230" s="760"/>
      <c r="J3230" s="760"/>
      <c r="K3230" s="760"/>
    </row>
    <row r="3231" spans="1:11">
      <c r="A3231" s="760"/>
      <c r="B3231" s="760"/>
      <c r="C3231" s="760"/>
      <c r="D3231" s="760"/>
      <c r="E3231" s="760"/>
      <c r="F3231" s="760"/>
      <c r="G3231" s="760"/>
      <c r="H3231" s="760"/>
      <c r="I3231" s="760"/>
      <c r="J3231" s="760"/>
      <c r="K3231" s="760"/>
    </row>
    <row r="3232" spans="1:11">
      <c r="A3232" s="760"/>
      <c r="B3232" s="760"/>
      <c r="C3232" s="760"/>
      <c r="D3232" s="760"/>
      <c r="E3232" s="760"/>
      <c r="F3232" s="760"/>
      <c r="G3232" s="760"/>
      <c r="H3232" s="760"/>
      <c r="I3232" s="760"/>
      <c r="J3232" s="760"/>
      <c r="K3232" s="760"/>
    </row>
    <row r="3233" spans="1:11">
      <c r="A3233" s="760"/>
      <c r="B3233" s="760"/>
      <c r="C3233" s="760"/>
      <c r="D3233" s="760"/>
      <c r="E3233" s="760"/>
      <c r="F3233" s="760"/>
      <c r="G3233" s="760"/>
      <c r="H3233" s="760"/>
      <c r="I3233" s="760"/>
      <c r="J3233" s="760"/>
      <c r="K3233" s="760"/>
    </row>
    <row r="3234" spans="1:11">
      <c r="A3234" s="760"/>
      <c r="B3234" s="760"/>
      <c r="C3234" s="760"/>
      <c r="D3234" s="760"/>
      <c r="E3234" s="760"/>
      <c r="F3234" s="760"/>
      <c r="G3234" s="760"/>
      <c r="H3234" s="760"/>
      <c r="I3234" s="760"/>
      <c r="J3234" s="760"/>
      <c r="K3234" s="760"/>
    </row>
    <row r="3235" spans="1:11">
      <c r="A3235" s="760"/>
      <c r="B3235" s="760"/>
      <c r="C3235" s="760"/>
      <c r="D3235" s="760"/>
      <c r="E3235" s="760"/>
      <c r="F3235" s="760"/>
      <c r="G3235" s="760"/>
      <c r="H3235" s="760"/>
      <c r="I3235" s="760"/>
      <c r="J3235" s="760"/>
      <c r="K3235" s="760"/>
    </row>
    <row r="3236" spans="1:11">
      <c r="A3236" s="760"/>
      <c r="B3236" s="760"/>
      <c r="C3236" s="760"/>
      <c r="D3236" s="760"/>
      <c r="E3236" s="760"/>
      <c r="F3236" s="760"/>
      <c r="G3236" s="760"/>
      <c r="H3236" s="760"/>
      <c r="I3236" s="760"/>
      <c r="J3236" s="760"/>
      <c r="K3236" s="760"/>
    </row>
    <row r="3237" spans="1:11">
      <c r="A3237" s="760"/>
      <c r="B3237" s="760"/>
      <c r="C3237" s="760"/>
      <c r="D3237" s="760"/>
      <c r="E3237" s="760"/>
      <c r="F3237" s="760"/>
      <c r="G3237" s="760"/>
      <c r="H3237" s="760"/>
      <c r="I3237" s="760"/>
      <c r="J3237" s="760"/>
      <c r="K3237" s="760"/>
    </row>
    <row r="3238" spans="1:11">
      <c r="A3238" s="760"/>
      <c r="B3238" s="760"/>
      <c r="C3238" s="760"/>
      <c r="D3238" s="760"/>
      <c r="E3238" s="760"/>
      <c r="F3238" s="760"/>
      <c r="G3238" s="760"/>
      <c r="H3238" s="760"/>
      <c r="I3238" s="760"/>
      <c r="J3238" s="760"/>
      <c r="K3238" s="760"/>
    </row>
    <row r="3239" spans="1:11">
      <c r="A3239" s="760"/>
      <c r="B3239" s="760"/>
      <c r="C3239" s="760"/>
      <c r="D3239" s="760"/>
      <c r="E3239" s="760"/>
      <c r="F3239" s="760"/>
      <c r="G3239" s="760"/>
      <c r="H3239" s="760"/>
      <c r="I3239" s="760"/>
      <c r="J3239" s="760"/>
      <c r="K3239" s="760"/>
    </row>
    <row r="3240" spans="1:11">
      <c r="A3240" s="760"/>
      <c r="B3240" s="760"/>
      <c r="C3240" s="760"/>
      <c r="D3240" s="760"/>
      <c r="E3240" s="760"/>
      <c r="F3240" s="760"/>
      <c r="G3240" s="760"/>
      <c r="H3240" s="760"/>
      <c r="I3240" s="760"/>
      <c r="J3240" s="760"/>
      <c r="K3240" s="760"/>
    </row>
    <row r="3241" spans="1:11">
      <c r="A3241" s="760"/>
      <c r="B3241" s="760"/>
      <c r="C3241" s="760"/>
      <c r="D3241" s="760"/>
      <c r="E3241" s="760"/>
      <c r="F3241" s="760"/>
      <c r="G3241" s="760"/>
      <c r="H3241" s="760"/>
      <c r="I3241" s="760"/>
      <c r="J3241" s="760"/>
      <c r="K3241" s="760"/>
    </row>
    <row r="3242" spans="1:11">
      <c r="A3242" s="760"/>
      <c r="B3242" s="760"/>
      <c r="C3242" s="760"/>
      <c r="D3242" s="760"/>
      <c r="E3242" s="760"/>
      <c r="F3242" s="760"/>
      <c r="G3242" s="760"/>
      <c r="H3242" s="760"/>
      <c r="I3242" s="760"/>
      <c r="J3242" s="760"/>
      <c r="K3242" s="760"/>
    </row>
    <row r="3243" spans="1:11">
      <c r="A3243" s="760"/>
      <c r="B3243" s="760"/>
      <c r="C3243" s="760"/>
      <c r="D3243" s="760"/>
      <c r="E3243" s="760"/>
      <c r="F3243" s="760"/>
      <c r="G3243" s="760"/>
      <c r="H3243" s="760"/>
      <c r="I3243" s="760"/>
      <c r="J3243" s="760"/>
      <c r="K3243" s="760"/>
    </row>
    <row r="3244" spans="1:11">
      <c r="A3244" s="760"/>
      <c r="B3244" s="760"/>
      <c r="C3244" s="760"/>
      <c r="D3244" s="760"/>
      <c r="E3244" s="760"/>
      <c r="F3244" s="760"/>
      <c r="G3244" s="760"/>
      <c r="H3244" s="760"/>
      <c r="I3244" s="760"/>
      <c r="J3244" s="760"/>
      <c r="K3244" s="760"/>
    </row>
    <row r="3245" spans="1:11">
      <c r="A3245" s="760"/>
      <c r="B3245" s="760"/>
      <c r="C3245" s="760"/>
      <c r="D3245" s="760"/>
      <c r="E3245" s="760"/>
      <c r="F3245" s="760"/>
      <c r="G3245" s="760"/>
      <c r="H3245" s="760"/>
      <c r="I3245" s="760"/>
      <c r="J3245" s="760"/>
      <c r="K3245" s="760"/>
    </row>
    <row r="3246" spans="1:11">
      <c r="A3246" s="760"/>
      <c r="B3246" s="760"/>
      <c r="C3246" s="760"/>
      <c r="D3246" s="760"/>
      <c r="E3246" s="760"/>
      <c r="F3246" s="760"/>
      <c r="G3246" s="760"/>
      <c r="H3246" s="760"/>
      <c r="I3246" s="760"/>
      <c r="J3246" s="760"/>
      <c r="K3246" s="760"/>
    </row>
    <row r="3247" spans="1:11">
      <c r="A3247" s="760"/>
      <c r="B3247" s="760"/>
      <c r="C3247" s="760"/>
      <c r="D3247" s="760"/>
      <c r="E3247" s="760"/>
      <c r="F3247" s="760"/>
      <c r="G3247" s="760"/>
      <c r="H3247" s="760"/>
      <c r="I3247" s="760"/>
      <c r="J3247" s="760"/>
      <c r="K3247" s="760"/>
    </row>
    <row r="3248" spans="1:11">
      <c r="A3248" s="760"/>
      <c r="B3248" s="760"/>
      <c r="C3248" s="760"/>
      <c r="D3248" s="760"/>
      <c r="E3248" s="760"/>
      <c r="F3248" s="760"/>
      <c r="G3248" s="760"/>
      <c r="H3248" s="760"/>
      <c r="I3248" s="760"/>
      <c r="J3248" s="760"/>
      <c r="K3248" s="760"/>
    </row>
    <row r="3249" spans="1:11">
      <c r="A3249" s="760"/>
      <c r="B3249" s="760"/>
      <c r="C3249" s="760"/>
      <c r="D3249" s="760"/>
      <c r="E3249" s="760"/>
      <c r="F3249" s="760"/>
      <c r="G3249" s="760"/>
      <c r="H3249" s="760"/>
      <c r="I3249" s="760"/>
      <c r="J3249" s="760"/>
      <c r="K3249" s="760"/>
    </row>
    <row r="3250" spans="1:11">
      <c r="A3250" s="760"/>
      <c r="B3250" s="760"/>
      <c r="C3250" s="760"/>
      <c r="D3250" s="760"/>
      <c r="E3250" s="760"/>
      <c r="F3250" s="760"/>
      <c r="G3250" s="760"/>
      <c r="H3250" s="760"/>
      <c r="I3250" s="760"/>
      <c r="J3250" s="760"/>
      <c r="K3250" s="760"/>
    </row>
    <row r="3251" spans="1:11">
      <c r="A3251" s="760"/>
      <c r="B3251" s="760"/>
      <c r="C3251" s="760"/>
      <c r="D3251" s="760"/>
      <c r="E3251" s="760"/>
      <c r="F3251" s="760"/>
      <c r="G3251" s="760"/>
      <c r="H3251" s="760"/>
      <c r="I3251" s="760"/>
      <c r="J3251" s="760"/>
      <c r="K3251" s="760"/>
    </row>
    <row r="3252" spans="1:11">
      <c r="A3252" s="760"/>
      <c r="B3252" s="760"/>
      <c r="C3252" s="760"/>
      <c r="D3252" s="760"/>
      <c r="E3252" s="760"/>
      <c r="F3252" s="760"/>
      <c r="G3252" s="760"/>
      <c r="H3252" s="760"/>
      <c r="I3252" s="760"/>
      <c r="J3252" s="760"/>
      <c r="K3252" s="760"/>
    </row>
    <row r="3253" spans="1:11">
      <c r="A3253" s="760"/>
      <c r="B3253" s="760"/>
      <c r="C3253" s="760"/>
      <c r="D3253" s="760"/>
      <c r="E3253" s="760"/>
      <c r="F3253" s="760"/>
      <c r="G3253" s="760"/>
      <c r="H3253" s="760"/>
      <c r="I3253" s="760"/>
      <c r="J3253" s="760"/>
      <c r="K3253" s="760"/>
    </row>
    <row r="3254" spans="1:11">
      <c r="A3254" s="760"/>
      <c r="B3254" s="760"/>
      <c r="C3254" s="760"/>
      <c r="D3254" s="760"/>
      <c r="E3254" s="760"/>
      <c r="F3254" s="760"/>
      <c r="G3254" s="760"/>
      <c r="H3254" s="760"/>
      <c r="I3254" s="760"/>
      <c r="J3254" s="760"/>
      <c r="K3254" s="760"/>
    </row>
    <row r="3255" spans="1:11">
      <c r="A3255" s="760"/>
      <c r="B3255" s="760"/>
      <c r="C3255" s="760"/>
      <c r="D3255" s="760"/>
      <c r="E3255" s="760"/>
      <c r="F3255" s="760"/>
      <c r="G3255" s="760"/>
      <c r="H3255" s="760"/>
      <c r="I3255" s="760"/>
      <c r="J3255" s="760"/>
      <c r="K3255" s="760"/>
    </row>
    <row r="3256" spans="1:11">
      <c r="A3256" s="760"/>
      <c r="B3256" s="760"/>
      <c r="C3256" s="760"/>
      <c r="D3256" s="760"/>
      <c r="E3256" s="760"/>
      <c r="F3256" s="760"/>
      <c r="G3256" s="760"/>
      <c r="H3256" s="760"/>
      <c r="I3256" s="760"/>
      <c r="J3256" s="760"/>
      <c r="K3256" s="760"/>
    </row>
    <row r="3257" spans="1:11">
      <c r="A3257" s="760"/>
      <c r="B3257" s="760"/>
      <c r="C3257" s="760"/>
      <c r="D3257" s="760"/>
      <c r="E3257" s="760"/>
      <c r="F3257" s="760"/>
      <c r="G3257" s="760"/>
      <c r="H3257" s="760"/>
      <c r="I3257" s="760"/>
      <c r="J3257" s="760"/>
      <c r="K3257" s="760"/>
    </row>
    <row r="3258" spans="1:11">
      <c r="A3258" s="760"/>
      <c r="B3258" s="760"/>
      <c r="C3258" s="760"/>
      <c r="D3258" s="760"/>
      <c r="E3258" s="760"/>
      <c r="F3258" s="760"/>
      <c r="G3258" s="760"/>
      <c r="H3258" s="760"/>
      <c r="I3258" s="760"/>
      <c r="J3258" s="760"/>
      <c r="K3258" s="760"/>
    </row>
    <row r="3259" spans="1:11">
      <c r="A3259" s="760"/>
      <c r="B3259" s="760"/>
      <c r="C3259" s="760"/>
      <c r="D3259" s="760"/>
      <c r="E3259" s="760"/>
      <c r="F3259" s="760"/>
      <c r="G3259" s="760"/>
      <c r="H3259" s="760"/>
      <c r="I3259" s="760"/>
      <c r="J3259" s="760"/>
      <c r="K3259" s="760"/>
    </row>
    <row r="3260" spans="1:11">
      <c r="A3260" s="760"/>
      <c r="B3260" s="760"/>
      <c r="C3260" s="760"/>
      <c r="D3260" s="760"/>
      <c r="E3260" s="760"/>
      <c r="F3260" s="760"/>
      <c r="G3260" s="760"/>
      <c r="H3260" s="760"/>
      <c r="I3260" s="760"/>
      <c r="J3260" s="760"/>
      <c r="K3260" s="760"/>
    </row>
    <row r="3261" spans="1:11">
      <c r="A3261" s="760"/>
      <c r="B3261" s="760"/>
      <c r="C3261" s="760"/>
      <c r="D3261" s="760"/>
      <c r="E3261" s="760"/>
      <c r="F3261" s="760"/>
      <c r="G3261" s="760"/>
      <c r="H3261" s="760"/>
      <c r="I3261" s="760"/>
      <c r="J3261" s="760"/>
      <c r="K3261" s="760"/>
    </row>
    <row r="3262" spans="1:11">
      <c r="A3262" s="760"/>
      <c r="B3262" s="760"/>
      <c r="C3262" s="760"/>
      <c r="D3262" s="760"/>
      <c r="E3262" s="760"/>
      <c r="F3262" s="760"/>
      <c r="G3262" s="760"/>
      <c r="H3262" s="760"/>
      <c r="I3262" s="760"/>
      <c r="J3262" s="760"/>
      <c r="K3262" s="760"/>
    </row>
    <row r="3263" spans="1:11">
      <c r="A3263" s="760"/>
      <c r="B3263" s="760"/>
      <c r="C3263" s="760"/>
      <c r="D3263" s="760"/>
      <c r="E3263" s="760"/>
      <c r="F3263" s="760"/>
      <c r="G3263" s="760"/>
      <c r="H3263" s="760"/>
      <c r="I3263" s="760"/>
      <c r="J3263" s="760"/>
      <c r="K3263" s="760"/>
    </row>
    <row r="3264" spans="1:11">
      <c r="A3264" s="760"/>
      <c r="B3264" s="760"/>
      <c r="C3264" s="760"/>
      <c r="D3264" s="760"/>
      <c r="E3264" s="760"/>
      <c r="F3264" s="760"/>
      <c r="G3264" s="760"/>
      <c r="H3264" s="760"/>
      <c r="I3264" s="760"/>
      <c r="J3264" s="760"/>
      <c r="K3264" s="760"/>
    </row>
    <row r="3265" spans="1:11">
      <c r="A3265" s="760"/>
      <c r="B3265" s="760"/>
      <c r="C3265" s="760"/>
      <c r="D3265" s="760"/>
      <c r="E3265" s="760"/>
      <c r="F3265" s="760"/>
      <c r="G3265" s="760"/>
      <c r="H3265" s="760"/>
      <c r="I3265" s="760"/>
      <c r="J3265" s="760"/>
      <c r="K3265" s="760"/>
    </row>
    <row r="3266" spans="1:11">
      <c r="A3266" s="760"/>
      <c r="B3266" s="760"/>
      <c r="C3266" s="760"/>
      <c r="D3266" s="760"/>
      <c r="E3266" s="760"/>
      <c r="F3266" s="760"/>
      <c r="G3266" s="760"/>
      <c r="H3266" s="760"/>
      <c r="I3266" s="760"/>
      <c r="J3266" s="760"/>
      <c r="K3266" s="760"/>
    </row>
    <row r="3267" spans="1:11">
      <c r="A3267" s="760"/>
      <c r="B3267" s="760"/>
      <c r="C3267" s="760"/>
      <c r="D3267" s="760"/>
      <c r="E3267" s="760"/>
      <c r="F3267" s="760"/>
      <c r="G3267" s="760"/>
      <c r="H3267" s="760"/>
      <c r="I3267" s="760"/>
      <c r="J3267" s="760"/>
      <c r="K3267" s="760"/>
    </row>
    <row r="3268" spans="1:11">
      <c r="A3268" s="760"/>
      <c r="B3268" s="760"/>
      <c r="C3268" s="760"/>
      <c r="D3268" s="760"/>
      <c r="E3268" s="760"/>
      <c r="F3268" s="760"/>
      <c r="G3268" s="760"/>
      <c r="H3268" s="760"/>
      <c r="I3268" s="760"/>
      <c r="J3268" s="760"/>
      <c r="K3268" s="760"/>
    </row>
    <row r="3269" spans="1:11">
      <c r="A3269" s="760"/>
      <c r="B3269" s="760"/>
      <c r="C3269" s="760"/>
      <c r="D3269" s="760"/>
      <c r="E3269" s="760"/>
      <c r="F3269" s="760"/>
      <c r="G3269" s="760"/>
      <c r="H3269" s="760"/>
      <c r="I3269" s="760"/>
      <c r="J3269" s="760"/>
      <c r="K3269" s="760"/>
    </row>
    <row r="3270" spans="1:11">
      <c r="A3270" s="760"/>
      <c r="B3270" s="760"/>
      <c r="C3270" s="760"/>
      <c r="D3270" s="760"/>
      <c r="E3270" s="760"/>
      <c r="F3270" s="760"/>
      <c r="G3270" s="760"/>
      <c r="H3270" s="760"/>
      <c r="I3270" s="760"/>
      <c r="J3270" s="760"/>
      <c r="K3270" s="760"/>
    </row>
    <row r="3271" spans="1:11">
      <c r="A3271" s="760"/>
      <c r="B3271" s="760"/>
      <c r="C3271" s="760"/>
      <c r="D3271" s="760"/>
      <c r="E3271" s="760"/>
      <c r="F3271" s="760"/>
      <c r="G3271" s="760"/>
      <c r="H3271" s="760"/>
      <c r="I3271" s="760"/>
      <c r="J3271" s="760"/>
      <c r="K3271" s="760"/>
    </row>
    <row r="3272" spans="1:11">
      <c r="A3272" s="760"/>
      <c r="B3272" s="760"/>
      <c r="C3272" s="760"/>
      <c r="D3272" s="760"/>
      <c r="E3272" s="760"/>
      <c r="F3272" s="760"/>
      <c r="G3272" s="760"/>
      <c r="H3272" s="760"/>
      <c r="I3272" s="760"/>
      <c r="J3272" s="760"/>
      <c r="K3272" s="760"/>
    </row>
    <row r="3273" spans="1:11">
      <c r="A3273" s="760"/>
      <c r="B3273" s="760"/>
      <c r="C3273" s="760"/>
      <c r="D3273" s="760"/>
      <c r="E3273" s="760"/>
      <c r="F3273" s="760"/>
      <c r="G3273" s="760"/>
      <c r="H3273" s="760"/>
      <c r="I3273" s="760"/>
      <c r="J3273" s="760"/>
      <c r="K3273" s="760"/>
    </row>
    <row r="3274" spans="1:11">
      <c r="A3274" s="760"/>
      <c r="B3274" s="760"/>
      <c r="C3274" s="760"/>
      <c r="D3274" s="760"/>
      <c r="E3274" s="760"/>
      <c r="F3274" s="760"/>
      <c r="G3274" s="760"/>
      <c r="H3274" s="760"/>
      <c r="I3274" s="760"/>
      <c r="J3274" s="760"/>
      <c r="K3274" s="760"/>
    </row>
    <row r="3275" spans="1:11">
      <c r="A3275" s="760"/>
      <c r="B3275" s="760"/>
      <c r="C3275" s="760"/>
      <c r="D3275" s="760"/>
      <c r="E3275" s="760"/>
      <c r="F3275" s="760"/>
      <c r="G3275" s="760"/>
      <c r="H3275" s="760"/>
      <c r="I3275" s="760"/>
      <c r="J3275" s="760"/>
      <c r="K3275" s="760"/>
    </row>
    <row r="3276" spans="1:11">
      <c r="A3276" s="760"/>
      <c r="B3276" s="760"/>
      <c r="C3276" s="760"/>
      <c r="D3276" s="760"/>
      <c r="E3276" s="760"/>
      <c r="F3276" s="760"/>
      <c r="G3276" s="760"/>
      <c r="H3276" s="760"/>
      <c r="I3276" s="760"/>
      <c r="J3276" s="760"/>
      <c r="K3276" s="760"/>
    </row>
    <row r="3277" spans="1:11">
      <c r="A3277" s="760"/>
      <c r="B3277" s="760"/>
      <c r="C3277" s="760"/>
      <c r="D3277" s="760"/>
      <c r="E3277" s="760"/>
      <c r="F3277" s="760"/>
      <c r="G3277" s="760"/>
      <c r="H3277" s="760"/>
      <c r="I3277" s="760"/>
      <c r="J3277" s="760"/>
      <c r="K3277" s="760"/>
    </row>
    <row r="3278" spans="1:11">
      <c r="A3278" s="760"/>
      <c r="B3278" s="760"/>
      <c r="C3278" s="760"/>
      <c r="D3278" s="760"/>
      <c r="E3278" s="760"/>
      <c r="F3278" s="760"/>
      <c r="G3278" s="760"/>
      <c r="H3278" s="760"/>
      <c r="I3278" s="760"/>
      <c r="J3278" s="760"/>
      <c r="K3278" s="760"/>
    </row>
    <row r="3279" spans="1:11">
      <c r="A3279" s="760"/>
      <c r="B3279" s="760"/>
      <c r="C3279" s="760"/>
      <c r="D3279" s="760"/>
      <c r="E3279" s="760"/>
      <c r="F3279" s="760"/>
      <c r="G3279" s="760"/>
      <c r="H3279" s="760"/>
      <c r="I3279" s="760"/>
      <c r="J3279" s="760"/>
      <c r="K3279" s="760"/>
    </row>
    <row r="3280" spans="1:11">
      <c r="A3280" s="760"/>
      <c r="B3280" s="760"/>
      <c r="C3280" s="760"/>
      <c r="D3280" s="760"/>
      <c r="E3280" s="760"/>
      <c r="F3280" s="760"/>
      <c r="G3280" s="760"/>
      <c r="H3280" s="760"/>
      <c r="I3280" s="760"/>
      <c r="J3280" s="760"/>
      <c r="K3280" s="760"/>
    </row>
    <row r="3281" spans="1:11">
      <c r="A3281" s="760"/>
      <c r="B3281" s="760"/>
      <c r="C3281" s="760"/>
      <c r="D3281" s="760"/>
      <c r="E3281" s="760"/>
      <c r="F3281" s="760"/>
      <c r="G3281" s="760"/>
      <c r="H3281" s="760"/>
      <c r="I3281" s="760"/>
      <c r="J3281" s="760"/>
      <c r="K3281" s="760"/>
    </row>
    <row r="3282" spans="1:11">
      <c r="A3282" s="760"/>
      <c r="B3282" s="760"/>
      <c r="C3282" s="760"/>
      <c r="D3282" s="760"/>
      <c r="E3282" s="760"/>
      <c r="F3282" s="760"/>
      <c r="G3282" s="760"/>
      <c r="H3282" s="760"/>
      <c r="I3282" s="760"/>
      <c r="J3282" s="760"/>
      <c r="K3282" s="760"/>
    </row>
    <row r="3283" spans="1:11">
      <c r="A3283" s="760"/>
      <c r="B3283" s="760"/>
      <c r="C3283" s="760"/>
      <c r="D3283" s="760"/>
      <c r="E3283" s="760"/>
      <c r="F3283" s="760"/>
      <c r="G3283" s="760"/>
      <c r="H3283" s="760"/>
      <c r="I3283" s="760"/>
      <c r="J3283" s="760"/>
      <c r="K3283" s="760"/>
    </row>
    <row r="3284" spans="1:11">
      <c r="A3284" s="760"/>
      <c r="B3284" s="760"/>
      <c r="C3284" s="760"/>
      <c r="D3284" s="760"/>
      <c r="E3284" s="760"/>
      <c r="F3284" s="760"/>
      <c r="G3284" s="760"/>
      <c r="H3284" s="760"/>
      <c r="I3284" s="760"/>
      <c r="J3284" s="760"/>
      <c r="K3284" s="760"/>
    </row>
    <row r="3285" spans="1:11">
      <c r="A3285" s="760"/>
      <c r="B3285" s="760"/>
      <c r="C3285" s="760"/>
      <c r="D3285" s="760"/>
      <c r="E3285" s="760"/>
      <c r="F3285" s="760"/>
      <c r="G3285" s="760"/>
      <c r="H3285" s="760"/>
      <c r="I3285" s="760"/>
      <c r="J3285" s="760"/>
      <c r="K3285" s="760"/>
    </row>
    <row r="3286" spans="1:11">
      <c r="A3286" s="760"/>
      <c r="B3286" s="760"/>
      <c r="C3286" s="760"/>
      <c r="D3286" s="760"/>
      <c r="E3286" s="760"/>
      <c r="F3286" s="760"/>
      <c r="G3286" s="760"/>
      <c r="H3286" s="760"/>
      <c r="I3286" s="760"/>
      <c r="J3286" s="760"/>
      <c r="K3286" s="760"/>
    </row>
    <row r="3287" spans="1:11">
      <c r="A3287" s="760"/>
      <c r="B3287" s="760"/>
      <c r="C3287" s="760"/>
      <c r="D3287" s="760"/>
      <c r="E3287" s="760"/>
      <c r="F3287" s="760"/>
      <c r="G3287" s="760"/>
      <c r="H3287" s="760"/>
      <c r="I3287" s="760"/>
      <c r="J3287" s="760"/>
      <c r="K3287" s="760"/>
    </row>
    <row r="3288" spans="1:11">
      <c r="A3288" s="760"/>
      <c r="B3288" s="760"/>
      <c r="C3288" s="760"/>
      <c r="D3288" s="760"/>
      <c r="E3288" s="760"/>
      <c r="F3288" s="760"/>
      <c r="G3288" s="760"/>
      <c r="H3288" s="760"/>
      <c r="I3288" s="760"/>
      <c r="J3288" s="760"/>
      <c r="K3288" s="760"/>
    </row>
    <row r="3289" spans="1:11">
      <c r="A3289" s="760"/>
      <c r="B3289" s="760"/>
      <c r="C3289" s="760"/>
      <c r="D3289" s="760"/>
      <c r="E3289" s="760"/>
      <c r="F3289" s="760"/>
      <c r="G3289" s="760"/>
      <c r="H3289" s="760"/>
      <c r="I3289" s="760"/>
      <c r="J3289" s="760"/>
      <c r="K3289" s="760"/>
    </row>
    <row r="3290" spans="1:11">
      <c r="A3290" s="760"/>
      <c r="B3290" s="760"/>
      <c r="C3290" s="760"/>
      <c r="D3290" s="760"/>
      <c r="E3290" s="760"/>
      <c r="F3290" s="760"/>
      <c r="G3290" s="760"/>
      <c r="H3290" s="760"/>
      <c r="I3290" s="760"/>
      <c r="J3290" s="760"/>
      <c r="K3290" s="760"/>
    </row>
    <row r="3291" spans="1:11">
      <c r="A3291" s="760"/>
      <c r="B3291" s="760"/>
      <c r="C3291" s="760"/>
      <c r="D3291" s="760"/>
      <c r="E3291" s="760"/>
      <c r="F3291" s="760"/>
      <c r="G3291" s="760"/>
      <c r="H3291" s="760"/>
      <c r="I3291" s="760"/>
      <c r="J3291" s="760"/>
      <c r="K3291" s="760"/>
    </row>
    <row r="3292" spans="1:11">
      <c r="A3292" s="760"/>
      <c r="B3292" s="760"/>
      <c r="C3292" s="760"/>
      <c r="D3292" s="760"/>
      <c r="E3292" s="760"/>
      <c r="F3292" s="760"/>
      <c r="G3292" s="760"/>
      <c r="H3292" s="760"/>
      <c r="I3292" s="760"/>
      <c r="J3292" s="760"/>
      <c r="K3292" s="760"/>
    </row>
    <row r="3293" spans="1:11">
      <c r="A3293" s="760"/>
      <c r="B3293" s="760"/>
      <c r="C3293" s="760"/>
      <c r="D3293" s="760"/>
      <c r="E3293" s="760"/>
      <c r="F3293" s="760"/>
      <c r="G3293" s="760"/>
      <c r="H3293" s="760"/>
      <c r="I3293" s="760"/>
      <c r="J3293" s="760"/>
      <c r="K3293" s="760"/>
    </row>
    <row r="3294" spans="1:11">
      <c r="A3294" s="760"/>
      <c r="B3294" s="760"/>
      <c r="C3294" s="760"/>
      <c r="D3294" s="760"/>
      <c r="E3294" s="760"/>
      <c r="F3294" s="760"/>
      <c r="G3294" s="760"/>
      <c r="H3294" s="760"/>
      <c r="I3294" s="760"/>
      <c r="J3294" s="760"/>
      <c r="K3294" s="760"/>
    </row>
    <row r="3295" spans="1:11">
      <c r="A3295" s="760"/>
      <c r="B3295" s="760"/>
      <c r="C3295" s="760"/>
      <c r="D3295" s="760"/>
      <c r="E3295" s="760"/>
      <c r="F3295" s="760"/>
      <c r="G3295" s="760"/>
      <c r="H3295" s="760"/>
      <c r="I3295" s="760"/>
      <c r="J3295" s="760"/>
      <c r="K3295" s="760"/>
    </row>
    <row r="3296" spans="1:11">
      <c r="A3296" s="760"/>
      <c r="B3296" s="760"/>
      <c r="C3296" s="760"/>
      <c r="D3296" s="760"/>
      <c r="E3296" s="760"/>
      <c r="F3296" s="760"/>
      <c r="G3296" s="760"/>
      <c r="H3296" s="760"/>
      <c r="I3296" s="760"/>
      <c r="J3296" s="760"/>
      <c r="K3296" s="760"/>
    </row>
    <row r="3297" spans="1:11">
      <c r="A3297" s="760"/>
      <c r="B3297" s="760"/>
      <c r="C3297" s="760"/>
      <c r="D3297" s="760"/>
      <c r="E3297" s="760"/>
      <c r="F3297" s="760"/>
      <c r="G3297" s="760"/>
      <c r="H3297" s="760"/>
      <c r="I3297" s="760"/>
      <c r="J3297" s="760"/>
      <c r="K3297" s="760"/>
    </row>
    <row r="3298" spans="1:11">
      <c r="A3298" s="760"/>
      <c r="B3298" s="760"/>
      <c r="C3298" s="760"/>
      <c r="D3298" s="760"/>
      <c r="E3298" s="760"/>
      <c r="F3298" s="760"/>
      <c r="G3298" s="760"/>
      <c r="H3298" s="760"/>
      <c r="I3298" s="760"/>
      <c r="J3298" s="760"/>
      <c r="K3298" s="760"/>
    </row>
    <row r="3299" spans="1:11">
      <c r="A3299" s="760"/>
      <c r="B3299" s="760"/>
      <c r="C3299" s="760"/>
      <c r="D3299" s="760"/>
      <c r="E3299" s="760"/>
      <c r="F3299" s="760"/>
      <c r="G3299" s="760"/>
      <c r="H3299" s="760"/>
      <c r="I3299" s="760"/>
      <c r="J3299" s="760"/>
      <c r="K3299" s="760"/>
    </row>
    <row r="3300" spans="1:11">
      <c r="A3300" s="760"/>
      <c r="B3300" s="760"/>
      <c r="C3300" s="760"/>
      <c r="D3300" s="760"/>
      <c r="E3300" s="760"/>
      <c r="F3300" s="760"/>
      <c r="G3300" s="760"/>
      <c r="H3300" s="760"/>
      <c r="I3300" s="760"/>
      <c r="J3300" s="760"/>
      <c r="K3300" s="760"/>
    </row>
    <row r="3301" spans="1:11">
      <c r="A3301" s="760"/>
      <c r="B3301" s="760"/>
      <c r="C3301" s="760"/>
      <c r="D3301" s="760"/>
      <c r="E3301" s="760"/>
      <c r="F3301" s="760"/>
      <c r="G3301" s="760"/>
      <c r="H3301" s="760"/>
      <c r="I3301" s="760"/>
      <c r="J3301" s="760"/>
      <c r="K3301" s="760"/>
    </row>
    <row r="3302" spans="1:11">
      <c r="A3302" s="760"/>
      <c r="B3302" s="760"/>
      <c r="C3302" s="760"/>
      <c r="D3302" s="760"/>
      <c r="E3302" s="760"/>
      <c r="F3302" s="760"/>
      <c r="G3302" s="760"/>
      <c r="H3302" s="760"/>
      <c r="I3302" s="760"/>
      <c r="J3302" s="760"/>
      <c r="K3302" s="760"/>
    </row>
    <row r="3303" spans="1:11">
      <c r="A3303" s="760"/>
      <c r="B3303" s="760"/>
      <c r="C3303" s="760"/>
      <c r="D3303" s="760"/>
      <c r="E3303" s="760"/>
      <c r="F3303" s="760"/>
      <c r="G3303" s="760"/>
      <c r="H3303" s="760"/>
      <c r="I3303" s="760"/>
      <c r="J3303" s="760"/>
      <c r="K3303" s="760"/>
    </row>
    <row r="3304" spans="1:11">
      <c r="A3304" s="760"/>
      <c r="B3304" s="760"/>
      <c r="C3304" s="760"/>
      <c r="D3304" s="760"/>
      <c r="E3304" s="760"/>
      <c r="F3304" s="760"/>
      <c r="G3304" s="760"/>
      <c r="H3304" s="760"/>
      <c r="I3304" s="760"/>
      <c r="J3304" s="760"/>
      <c r="K3304" s="760"/>
    </row>
    <row r="3305" spans="1:11">
      <c r="A3305" s="760"/>
      <c r="B3305" s="760"/>
      <c r="C3305" s="760"/>
      <c r="D3305" s="760"/>
      <c r="E3305" s="760"/>
      <c r="F3305" s="760"/>
      <c r="G3305" s="760"/>
      <c r="H3305" s="760"/>
      <c r="I3305" s="760"/>
      <c r="J3305" s="760"/>
      <c r="K3305" s="760"/>
    </row>
    <row r="3306" spans="1:11">
      <c r="A3306" s="760"/>
      <c r="B3306" s="760"/>
      <c r="C3306" s="760"/>
      <c r="D3306" s="760"/>
      <c r="E3306" s="760"/>
      <c r="F3306" s="760"/>
      <c r="G3306" s="760"/>
      <c r="H3306" s="760"/>
      <c r="I3306" s="760"/>
      <c r="J3306" s="760"/>
      <c r="K3306" s="760"/>
    </row>
    <row r="3307" spans="1:11">
      <c r="A3307" s="760"/>
      <c r="B3307" s="760"/>
      <c r="C3307" s="760"/>
      <c r="D3307" s="760"/>
      <c r="E3307" s="760"/>
      <c r="F3307" s="760"/>
      <c r="G3307" s="760"/>
      <c r="H3307" s="760"/>
      <c r="I3307" s="760"/>
      <c r="J3307" s="760"/>
      <c r="K3307" s="760"/>
    </row>
    <row r="3308" spans="1:11">
      <c r="A3308" s="760"/>
      <c r="B3308" s="760"/>
      <c r="C3308" s="760"/>
      <c r="D3308" s="760"/>
      <c r="E3308" s="760"/>
      <c r="F3308" s="760"/>
      <c r="G3308" s="760"/>
      <c r="H3308" s="760"/>
      <c r="I3308" s="760"/>
      <c r="J3308" s="760"/>
      <c r="K3308" s="760"/>
    </row>
    <row r="3309" spans="1:11">
      <c r="A3309" s="760"/>
      <c r="B3309" s="760"/>
      <c r="C3309" s="760"/>
      <c r="D3309" s="760"/>
      <c r="E3309" s="760"/>
      <c r="F3309" s="760"/>
      <c r="G3309" s="760"/>
      <c r="H3309" s="760"/>
      <c r="I3309" s="760"/>
      <c r="J3309" s="760"/>
      <c r="K3309" s="760"/>
    </row>
    <row r="3310" spans="1:11">
      <c r="A3310" s="760"/>
      <c r="B3310" s="760"/>
      <c r="C3310" s="760"/>
      <c r="D3310" s="760"/>
      <c r="E3310" s="760"/>
      <c r="F3310" s="760"/>
      <c r="G3310" s="760"/>
      <c r="H3310" s="760"/>
      <c r="I3310" s="760"/>
      <c r="J3310" s="760"/>
      <c r="K3310" s="760"/>
    </row>
    <row r="3311" spans="1:11">
      <c r="A3311" s="760"/>
      <c r="B3311" s="760"/>
      <c r="C3311" s="760"/>
      <c r="D3311" s="760"/>
      <c r="E3311" s="760"/>
      <c r="F3311" s="760"/>
      <c r="G3311" s="760"/>
      <c r="H3311" s="760"/>
      <c r="I3311" s="760"/>
      <c r="J3311" s="760"/>
      <c r="K3311" s="760"/>
    </row>
    <row r="3312" spans="1:11">
      <c r="A3312" s="760"/>
      <c r="B3312" s="760"/>
      <c r="C3312" s="760"/>
      <c r="D3312" s="760"/>
      <c r="E3312" s="760"/>
      <c r="F3312" s="760"/>
      <c r="G3312" s="760"/>
      <c r="H3312" s="760"/>
      <c r="I3312" s="760"/>
      <c r="J3312" s="760"/>
      <c r="K3312" s="760"/>
    </row>
    <row r="3313" spans="1:11">
      <c r="A3313" s="760"/>
      <c r="B3313" s="760"/>
      <c r="C3313" s="760"/>
      <c r="D3313" s="760"/>
      <c r="E3313" s="760"/>
      <c r="F3313" s="760"/>
      <c r="G3313" s="760"/>
      <c r="H3313" s="760"/>
      <c r="I3313" s="760"/>
      <c r="J3313" s="760"/>
      <c r="K3313" s="760"/>
    </row>
    <row r="3314" spans="1:11">
      <c r="A3314" s="760"/>
      <c r="B3314" s="760"/>
      <c r="C3314" s="760"/>
      <c r="D3314" s="760"/>
      <c r="E3314" s="760"/>
      <c r="F3314" s="760"/>
      <c r="G3314" s="760"/>
      <c r="H3314" s="760"/>
      <c r="I3314" s="760"/>
      <c r="J3314" s="760"/>
      <c r="K3314" s="760"/>
    </row>
    <row r="3315" spans="1:11">
      <c r="A3315" s="760"/>
      <c r="B3315" s="760"/>
      <c r="C3315" s="760"/>
      <c r="D3315" s="760"/>
      <c r="E3315" s="760"/>
      <c r="F3315" s="760"/>
      <c r="G3315" s="760"/>
      <c r="H3315" s="760"/>
      <c r="I3315" s="760"/>
      <c r="J3315" s="760"/>
      <c r="K3315" s="760"/>
    </row>
    <row r="3316" spans="1:11">
      <c r="A3316" s="760"/>
      <c r="B3316" s="760"/>
      <c r="C3316" s="760"/>
      <c r="D3316" s="760"/>
      <c r="E3316" s="760"/>
      <c r="F3316" s="760"/>
      <c r="G3316" s="760"/>
      <c r="H3316" s="760"/>
      <c r="I3316" s="760"/>
      <c r="J3316" s="760"/>
      <c r="K3316" s="760"/>
    </row>
    <row r="3317" spans="1:11">
      <c r="A3317" s="760"/>
      <c r="B3317" s="760"/>
      <c r="C3317" s="760"/>
      <c r="D3317" s="760"/>
      <c r="E3317" s="760"/>
      <c r="F3317" s="760"/>
      <c r="G3317" s="760"/>
      <c r="H3317" s="760"/>
      <c r="I3317" s="760"/>
      <c r="J3317" s="760"/>
      <c r="K3317" s="760"/>
    </row>
    <row r="3318" spans="1:11">
      <c r="A3318" s="760"/>
      <c r="B3318" s="760"/>
      <c r="C3318" s="760"/>
      <c r="D3318" s="760"/>
      <c r="E3318" s="760"/>
      <c r="F3318" s="760"/>
      <c r="G3318" s="760"/>
      <c r="H3318" s="760"/>
      <c r="I3318" s="760"/>
      <c r="J3318" s="760"/>
      <c r="K3318" s="760"/>
    </row>
    <row r="3319" spans="1:11">
      <c r="A3319" s="760"/>
      <c r="B3319" s="760"/>
      <c r="C3319" s="760"/>
      <c r="D3319" s="760"/>
      <c r="E3319" s="760"/>
      <c r="F3319" s="760"/>
      <c r="G3319" s="760"/>
      <c r="H3319" s="760"/>
      <c r="I3319" s="760"/>
      <c r="J3319" s="760"/>
      <c r="K3319" s="760"/>
    </row>
    <row r="3320" spans="1:11">
      <c r="A3320" s="760"/>
      <c r="B3320" s="760"/>
      <c r="C3320" s="760"/>
      <c r="D3320" s="760"/>
      <c r="E3320" s="760"/>
      <c r="F3320" s="760"/>
      <c r="G3320" s="760"/>
      <c r="H3320" s="760"/>
      <c r="I3320" s="760"/>
      <c r="J3320" s="760"/>
      <c r="K3320" s="760"/>
    </row>
    <row r="3321" spans="1:11">
      <c r="A3321" s="760"/>
      <c r="B3321" s="760"/>
      <c r="C3321" s="760"/>
      <c r="D3321" s="760"/>
      <c r="E3321" s="760"/>
      <c r="F3321" s="760"/>
      <c r="G3321" s="760"/>
      <c r="H3321" s="760"/>
      <c r="I3321" s="760"/>
      <c r="J3321" s="760"/>
      <c r="K3321" s="760"/>
    </row>
    <row r="3322" spans="1:11">
      <c r="A3322" s="760"/>
      <c r="B3322" s="760"/>
      <c r="C3322" s="760"/>
      <c r="D3322" s="760"/>
      <c r="E3322" s="760"/>
      <c r="F3322" s="760"/>
      <c r="G3322" s="760"/>
      <c r="H3322" s="760"/>
      <c r="I3322" s="760"/>
      <c r="J3322" s="760"/>
      <c r="K3322" s="760"/>
    </row>
    <row r="3323" spans="1:11">
      <c r="A3323" s="760"/>
      <c r="B3323" s="760"/>
      <c r="C3323" s="760"/>
      <c r="D3323" s="760"/>
      <c r="E3323" s="760"/>
      <c r="F3323" s="760"/>
      <c r="G3323" s="760"/>
      <c r="H3323" s="760"/>
      <c r="I3323" s="760"/>
      <c r="J3323" s="760"/>
      <c r="K3323" s="760"/>
    </row>
    <row r="3324" spans="1:11">
      <c r="A3324" s="760"/>
      <c r="B3324" s="760"/>
      <c r="C3324" s="760"/>
      <c r="D3324" s="760"/>
      <c r="E3324" s="760"/>
      <c r="F3324" s="760"/>
      <c r="G3324" s="760"/>
      <c r="H3324" s="760"/>
      <c r="I3324" s="760"/>
      <c r="J3324" s="760"/>
      <c r="K3324" s="760"/>
    </row>
    <row r="3325" spans="1:11">
      <c r="A3325" s="760"/>
      <c r="B3325" s="760"/>
      <c r="C3325" s="760"/>
      <c r="D3325" s="760"/>
      <c r="E3325" s="760"/>
      <c r="F3325" s="760"/>
      <c r="G3325" s="760"/>
      <c r="H3325" s="760"/>
      <c r="I3325" s="760"/>
      <c r="J3325" s="760"/>
      <c r="K3325" s="760"/>
    </row>
    <row r="3326" spans="1:11">
      <c r="A3326" s="760"/>
      <c r="B3326" s="760"/>
      <c r="C3326" s="760"/>
      <c r="D3326" s="760"/>
      <c r="E3326" s="760"/>
      <c r="F3326" s="760"/>
      <c r="G3326" s="760"/>
      <c r="H3326" s="760"/>
      <c r="I3326" s="760"/>
      <c r="J3326" s="760"/>
      <c r="K3326" s="760"/>
    </row>
    <row r="3327" spans="1:11">
      <c r="A3327" s="760"/>
      <c r="B3327" s="760"/>
      <c r="C3327" s="760"/>
      <c r="D3327" s="760"/>
      <c r="E3327" s="760"/>
      <c r="F3327" s="760"/>
      <c r="G3327" s="760"/>
      <c r="H3327" s="760"/>
      <c r="I3327" s="760"/>
      <c r="J3327" s="760"/>
      <c r="K3327" s="760"/>
    </row>
    <row r="3328" spans="1:11">
      <c r="A3328" s="760"/>
      <c r="B3328" s="760"/>
      <c r="C3328" s="760"/>
      <c r="D3328" s="760"/>
      <c r="E3328" s="760"/>
      <c r="F3328" s="760"/>
      <c r="G3328" s="760"/>
      <c r="H3328" s="760"/>
      <c r="I3328" s="760"/>
      <c r="J3328" s="760"/>
      <c r="K3328" s="760"/>
    </row>
    <row r="3329" spans="1:11">
      <c r="A3329" s="760"/>
      <c r="B3329" s="760"/>
      <c r="C3329" s="760"/>
      <c r="D3329" s="760"/>
      <c r="E3329" s="760"/>
      <c r="F3329" s="760"/>
      <c r="G3329" s="760"/>
      <c r="H3329" s="760"/>
      <c r="I3329" s="760"/>
      <c r="J3329" s="760"/>
      <c r="K3329" s="760"/>
    </row>
    <row r="3330" spans="1:11">
      <c r="A3330" s="760"/>
      <c r="B3330" s="760"/>
      <c r="C3330" s="760"/>
      <c r="D3330" s="760"/>
      <c r="E3330" s="760"/>
      <c r="F3330" s="760"/>
      <c r="G3330" s="760"/>
      <c r="H3330" s="760"/>
      <c r="I3330" s="760"/>
      <c r="J3330" s="760"/>
      <c r="K3330" s="760"/>
    </row>
    <row r="3331" spans="1:11">
      <c r="A3331" s="760"/>
      <c r="B3331" s="760"/>
      <c r="C3331" s="760"/>
      <c r="D3331" s="760"/>
      <c r="E3331" s="760"/>
      <c r="F3331" s="760"/>
      <c r="G3331" s="760"/>
      <c r="H3331" s="760"/>
      <c r="I3331" s="760"/>
      <c r="J3331" s="760"/>
      <c r="K3331" s="760"/>
    </row>
    <row r="3332" spans="1:11">
      <c r="A3332" s="760"/>
      <c r="B3332" s="760"/>
      <c r="C3332" s="760"/>
      <c r="D3332" s="760"/>
      <c r="E3332" s="760"/>
      <c r="F3332" s="760"/>
      <c r="G3332" s="760"/>
      <c r="H3332" s="760"/>
      <c r="I3332" s="760"/>
      <c r="J3332" s="760"/>
      <c r="K3332" s="760"/>
    </row>
    <row r="3333" spans="1:11">
      <c r="A3333" s="760"/>
      <c r="B3333" s="760"/>
      <c r="C3333" s="760"/>
      <c r="D3333" s="760"/>
      <c r="E3333" s="760"/>
      <c r="F3333" s="760"/>
      <c r="G3333" s="760"/>
      <c r="H3333" s="760"/>
      <c r="I3333" s="760"/>
      <c r="J3333" s="760"/>
      <c r="K3333" s="760"/>
    </row>
    <row r="3334" spans="1:11">
      <c r="A3334" s="760"/>
      <c r="B3334" s="760"/>
      <c r="C3334" s="760"/>
      <c r="D3334" s="760"/>
      <c r="E3334" s="760"/>
      <c r="F3334" s="760"/>
      <c r="G3334" s="760"/>
      <c r="H3334" s="760"/>
      <c r="I3334" s="760"/>
      <c r="J3334" s="760"/>
      <c r="K3334" s="760"/>
    </row>
    <row r="3335" spans="1:11">
      <c r="A3335" s="760"/>
      <c r="B3335" s="760"/>
      <c r="C3335" s="760"/>
      <c r="D3335" s="760"/>
      <c r="E3335" s="760"/>
      <c r="F3335" s="760"/>
      <c r="G3335" s="760"/>
      <c r="H3335" s="760"/>
      <c r="I3335" s="760"/>
      <c r="J3335" s="760"/>
      <c r="K3335" s="760"/>
    </row>
    <row r="3336" spans="1:11">
      <c r="A3336" s="760"/>
      <c r="B3336" s="760"/>
      <c r="C3336" s="760"/>
      <c r="D3336" s="760"/>
      <c r="E3336" s="760"/>
      <c r="F3336" s="760"/>
      <c r="G3336" s="760"/>
      <c r="H3336" s="760"/>
      <c r="I3336" s="760"/>
      <c r="J3336" s="760"/>
      <c r="K3336" s="760"/>
    </row>
    <row r="3337" spans="1:11">
      <c r="A3337" s="760"/>
      <c r="B3337" s="760"/>
      <c r="C3337" s="760"/>
      <c r="D3337" s="760"/>
      <c r="E3337" s="760"/>
      <c r="F3337" s="760"/>
      <c r="G3337" s="760"/>
      <c r="H3337" s="760"/>
      <c r="I3337" s="760"/>
      <c r="J3337" s="760"/>
      <c r="K3337" s="760"/>
    </row>
    <row r="3338" spans="1:11">
      <c r="A3338" s="760"/>
      <c r="B3338" s="760"/>
      <c r="C3338" s="760"/>
      <c r="D3338" s="760"/>
      <c r="E3338" s="760"/>
      <c r="F3338" s="760"/>
      <c r="G3338" s="760"/>
      <c r="H3338" s="760"/>
      <c r="I3338" s="760"/>
      <c r="J3338" s="760"/>
      <c r="K3338" s="760"/>
    </row>
    <row r="3339" spans="1:11">
      <c r="A3339" s="760"/>
      <c r="B3339" s="760"/>
      <c r="C3339" s="760"/>
      <c r="D3339" s="760"/>
      <c r="E3339" s="760"/>
      <c r="F3339" s="760"/>
      <c r="G3339" s="760"/>
      <c r="H3339" s="760"/>
      <c r="I3339" s="760"/>
      <c r="J3339" s="760"/>
      <c r="K3339" s="760"/>
    </row>
    <row r="3340" spans="1:11">
      <c r="A3340" s="760"/>
      <c r="B3340" s="760"/>
      <c r="C3340" s="760"/>
      <c r="D3340" s="760"/>
      <c r="E3340" s="760"/>
      <c r="F3340" s="760"/>
      <c r="G3340" s="760"/>
      <c r="H3340" s="760"/>
      <c r="I3340" s="760"/>
      <c r="J3340" s="760"/>
      <c r="K3340" s="760"/>
    </row>
    <row r="3341" spans="1:11">
      <c r="A3341" s="760"/>
      <c r="B3341" s="760"/>
      <c r="C3341" s="760"/>
      <c r="D3341" s="760"/>
      <c r="E3341" s="760"/>
      <c r="F3341" s="760"/>
      <c r="G3341" s="760"/>
      <c r="H3341" s="760"/>
      <c r="I3341" s="760"/>
      <c r="J3341" s="760"/>
      <c r="K3341" s="760"/>
    </row>
    <row r="3342" spans="1:11">
      <c r="A3342" s="760"/>
      <c r="B3342" s="760"/>
      <c r="C3342" s="760"/>
      <c r="D3342" s="760"/>
      <c r="E3342" s="760"/>
      <c r="F3342" s="760"/>
      <c r="G3342" s="760"/>
      <c r="H3342" s="760"/>
      <c r="I3342" s="760"/>
      <c r="J3342" s="760"/>
      <c r="K3342" s="760"/>
    </row>
    <row r="3343" spans="1:11">
      <c r="A3343" s="760"/>
      <c r="B3343" s="760"/>
      <c r="C3343" s="760"/>
      <c r="D3343" s="760"/>
      <c r="E3343" s="760"/>
      <c r="F3343" s="760"/>
      <c r="G3343" s="760"/>
      <c r="H3343" s="760"/>
      <c r="I3343" s="760"/>
      <c r="J3343" s="760"/>
      <c r="K3343" s="760"/>
    </row>
    <row r="3344" spans="1:11">
      <c r="A3344" s="760"/>
      <c r="B3344" s="760"/>
      <c r="C3344" s="760"/>
      <c r="D3344" s="760"/>
      <c r="E3344" s="760"/>
      <c r="F3344" s="760"/>
      <c r="G3344" s="760"/>
      <c r="H3344" s="760"/>
      <c r="I3344" s="760"/>
      <c r="J3344" s="760"/>
      <c r="K3344" s="760"/>
    </row>
    <row r="3345" spans="1:11">
      <c r="A3345" s="760"/>
      <c r="B3345" s="760"/>
      <c r="C3345" s="760"/>
      <c r="D3345" s="760"/>
      <c r="E3345" s="760"/>
      <c r="F3345" s="760"/>
      <c r="G3345" s="760"/>
      <c r="H3345" s="760"/>
      <c r="I3345" s="760"/>
      <c r="J3345" s="760"/>
      <c r="K3345" s="760"/>
    </row>
    <row r="3346" spans="1:11">
      <c r="A3346" s="760"/>
      <c r="B3346" s="760"/>
      <c r="C3346" s="760"/>
      <c r="D3346" s="760"/>
      <c r="E3346" s="760"/>
      <c r="F3346" s="760"/>
      <c r="G3346" s="760"/>
      <c r="H3346" s="760"/>
      <c r="I3346" s="760"/>
      <c r="J3346" s="760"/>
      <c r="K3346" s="760"/>
    </row>
    <row r="3347" spans="1:11">
      <c r="A3347" s="760"/>
      <c r="B3347" s="760"/>
      <c r="C3347" s="760"/>
      <c r="D3347" s="760"/>
      <c r="E3347" s="760"/>
      <c r="F3347" s="760"/>
      <c r="G3347" s="760"/>
      <c r="H3347" s="760"/>
      <c r="I3347" s="760"/>
      <c r="J3347" s="760"/>
      <c r="K3347" s="760"/>
    </row>
    <row r="3348" spans="1:11">
      <c r="A3348" s="760"/>
      <c r="B3348" s="760"/>
      <c r="C3348" s="760"/>
      <c r="D3348" s="760"/>
      <c r="E3348" s="760"/>
      <c r="F3348" s="760"/>
      <c r="G3348" s="760"/>
      <c r="H3348" s="760"/>
      <c r="I3348" s="760"/>
      <c r="J3348" s="760"/>
      <c r="K3348" s="760"/>
    </row>
    <row r="3349" spans="1:11">
      <c r="A3349" s="760"/>
      <c r="B3349" s="760"/>
      <c r="C3349" s="760"/>
      <c r="D3349" s="760"/>
      <c r="E3349" s="760"/>
      <c r="F3349" s="760"/>
      <c r="G3349" s="760"/>
      <c r="H3349" s="760"/>
      <c r="I3349" s="760"/>
      <c r="J3349" s="760"/>
      <c r="K3349" s="760"/>
    </row>
    <row r="3350" spans="1:11">
      <c r="A3350" s="760"/>
      <c r="B3350" s="760"/>
      <c r="C3350" s="760"/>
      <c r="D3350" s="760"/>
      <c r="E3350" s="760"/>
      <c r="F3350" s="760"/>
      <c r="G3350" s="760"/>
      <c r="H3350" s="760"/>
      <c r="I3350" s="760"/>
      <c r="J3350" s="760"/>
      <c r="K3350" s="760"/>
    </row>
    <row r="3351" spans="1:11">
      <c r="A3351" s="760"/>
      <c r="B3351" s="760"/>
      <c r="C3351" s="760"/>
      <c r="D3351" s="760"/>
      <c r="E3351" s="760"/>
      <c r="F3351" s="760"/>
      <c r="G3351" s="760"/>
      <c r="H3351" s="760"/>
      <c r="I3351" s="760"/>
      <c r="J3351" s="760"/>
      <c r="K3351" s="760"/>
    </row>
    <row r="3352" spans="1:11">
      <c r="A3352" s="760"/>
      <c r="B3352" s="760"/>
      <c r="C3352" s="760"/>
      <c r="D3352" s="760"/>
      <c r="E3352" s="760"/>
      <c r="F3352" s="760"/>
      <c r="G3352" s="760"/>
      <c r="H3352" s="760"/>
      <c r="I3352" s="760"/>
      <c r="J3352" s="760"/>
      <c r="K3352" s="760"/>
    </row>
    <row r="3353" spans="1:11">
      <c r="A3353" s="760"/>
      <c r="B3353" s="760"/>
      <c r="C3353" s="760"/>
      <c r="D3353" s="760"/>
      <c r="E3353" s="760"/>
      <c r="F3353" s="760"/>
      <c r="G3353" s="760"/>
      <c r="H3353" s="760"/>
      <c r="I3353" s="760"/>
      <c r="J3353" s="760"/>
      <c r="K3353" s="760"/>
    </row>
    <row r="3354" spans="1:11">
      <c r="A3354" s="760"/>
      <c r="B3354" s="760"/>
      <c r="C3354" s="760"/>
      <c r="D3354" s="760"/>
      <c r="E3354" s="760"/>
      <c r="F3354" s="760"/>
      <c r="G3354" s="760"/>
      <c r="H3354" s="760"/>
      <c r="I3354" s="760"/>
      <c r="J3354" s="760"/>
      <c r="K3354" s="760"/>
    </row>
    <row r="3355" spans="1:11">
      <c r="A3355" s="760"/>
      <c r="B3355" s="760"/>
      <c r="C3355" s="760"/>
      <c r="D3355" s="760"/>
      <c r="E3355" s="760"/>
      <c r="F3355" s="760"/>
      <c r="G3355" s="760"/>
      <c r="H3355" s="760"/>
      <c r="I3355" s="760"/>
      <c r="J3355" s="760"/>
      <c r="K3355" s="760"/>
    </row>
    <row r="3356" spans="1:11">
      <c r="A3356" s="760"/>
      <c r="B3356" s="760"/>
      <c r="C3356" s="760"/>
      <c r="D3356" s="760"/>
      <c r="E3356" s="760"/>
      <c r="F3356" s="760"/>
      <c r="G3356" s="760"/>
      <c r="H3356" s="760"/>
      <c r="I3356" s="760"/>
      <c r="J3356" s="760"/>
      <c r="K3356" s="760"/>
    </row>
    <row r="3357" spans="1:11">
      <c r="A3357" s="760"/>
      <c r="B3357" s="760"/>
      <c r="C3357" s="760"/>
      <c r="D3357" s="760"/>
      <c r="E3357" s="760"/>
      <c r="F3357" s="760"/>
      <c r="G3357" s="760"/>
      <c r="H3357" s="760"/>
      <c r="I3357" s="760"/>
      <c r="J3357" s="760"/>
      <c r="K3357" s="760"/>
    </row>
    <row r="3358" spans="1:11">
      <c r="A3358" s="760"/>
      <c r="B3358" s="760"/>
      <c r="C3358" s="760"/>
      <c r="D3358" s="760"/>
      <c r="E3358" s="760"/>
      <c r="F3358" s="760"/>
      <c r="G3358" s="760"/>
      <c r="H3358" s="760"/>
      <c r="I3358" s="760"/>
      <c r="J3358" s="760"/>
      <c r="K3358" s="760"/>
    </row>
    <row r="3359" spans="1:11">
      <c r="A3359" s="760"/>
      <c r="B3359" s="760"/>
      <c r="C3359" s="760"/>
      <c r="D3359" s="760"/>
      <c r="E3359" s="760"/>
      <c r="F3359" s="760"/>
      <c r="G3359" s="760"/>
      <c r="H3359" s="760"/>
      <c r="I3359" s="760"/>
      <c r="J3359" s="760"/>
      <c r="K3359" s="760"/>
    </row>
    <row r="3360" spans="1:11">
      <c r="A3360" s="760"/>
      <c r="B3360" s="760"/>
      <c r="C3360" s="760"/>
      <c r="D3360" s="760"/>
      <c r="E3360" s="760"/>
      <c r="F3360" s="760"/>
      <c r="G3360" s="760"/>
      <c r="H3360" s="760"/>
      <c r="I3360" s="760"/>
      <c r="J3360" s="760"/>
      <c r="K3360" s="760"/>
    </row>
    <row r="3361" spans="1:11">
      <c r="A3361" s="760"/>
      <c r="B3361" s="760"/>
      <c r="C3361" s="760"/>
      <c r="D3361" s="760"/>
      <c r="E3361" s="760"/>
      <c r="F3361" s="760"/>
      <c r="G3361" s="760"/>
      <c r="H3361" s="760"/>
      <c r="I3361" s="760"/>
      <c r="J3361" s="760"/>
      <c r="K3361" s="760"/>
    </row>
    <row r="3362" spans="1:11">
      <c r="A3362" s="760"/>
      <c r="B3362" s="760"/>
      <c r="C3362" s="760"/>
      <c r="D3362" s="760"/>
      <c r="E3362" s="760"/>
      <c r="F3362" s="760"/>
      <c r="G3362" s="760"/>
      <c r="H3362" s="760"/>
      <c r="I3362" s="760"/>
      <c r="J3362" s="760"/>
      <c r="K3362" s="760"/>
    </row>
    <row r="3363" spans="1:11">
      <c r="A3363" s="760"/>
      <c r="B3363" s="760"/>
      <c r="C3363" s="760"/>
      <c r="D3363" s="760"/>
      <c r="E3363" s="760"/>
      <c r="F3363" s="760"/>
      <c r="G3363" s="760"/>
      <c r="H3363" s="760"/>
      <c r="I3363" s="760"/>
      <c r="J3363" s="760"/>
      <c r="K3363" s="760"/>
    </row>
    <row r="3364" spans="1:11">
      <c r="A3364" s="760"/>
      <c r="B3364" s="760"/>
      <c r="C3364" s="760"/>
      <c r="D3364" s="760"/>
      <c r="E3364" s="760"/>
      <c r="F3364" s="760"/>
      <c r="G3364" s="760"/>
      <c r="H3364" s="760"/>
      <c r="I3364" s="760"/>
      <c r="J3364" s="760"/>
      <c r="K3364" s="760"/>
    </row>
    <row r="3365" spans="1:11">
      <c r="A3365" s="760"/>
      <c r="B3365" s="760"/>
      <c r="C3365" s="760"/>
      <c r="D3365" s="760"/>
      <c r="E3365" s="760"/>
      <c r="F3365" s="760"/>
      <c r="G3365" s="760"/>
      <c r="H3365" s="760"/>
      <c r="I3365" s="760"/>
      <c r="J3365" s="760"/>
      <c r="K3365" s="760"/>
    </row>
    <row r="3366" spans="1:11">
      <c r="A3366" s="760"/>
      <c r="B3366" s="760"/>
      <c r="C3366" s="760"/>
      <c r="D3366" s="760"/>
      <c r="E3366" s="760"/>
      <c r="F3366" s="760"/>
      <c r="G3366" s="760"/>
      <c r="H3366" s="760"/>
      <c r="I3366" s="760"/>
      <c r="J3366" s="760"/>
      <c r="K3366" s="760"/>
    </row>
    <row r="3367" spans="1:11">
      <c r="A3367" s="760"/>
      <c r="B3367" s="760"/>
      <c r="C3367" s="760"/>
      <c r="D3367" s="760"/>
      <c r="E3367" s="760"/>
      <c r="F3367" s="760"/>
      <c r="G3367" s="760"/>
      <c r="H3367" s="760"/>
      <c r="I3367" s="760"/>
      <c r="J3367" s="760"/>
      <c r="K3367" s="760"/>
    </row>
    <row r="3368" spans="1:11">
      <c r="A3368" s="760"/>
      <c r="B3368" s="760"/>
      <c r="C3368" s="760"/>
      <c r="D3368" s="760"/>
      <c r="E3368" s="760"/>
      <c r="F3368" s="760"/>
      <c r="G3368" s="760"/>
      <c r="H3368" s="760"/>
      <c r="I3368" s="760"/>
      <c r="J3368" s="760"/>
      <c r="K3368" s="760"/>
    </row>
    <row r="3369" spans="1:11">
      <c r="A3369" s="760"/>
      <c r="B3369" s="760"/>
      <c r="C3369" s="760"/>
      <c r="D3369" s="760"/>
      <c r="E3369" s="760"/>
      <c r="F3369" s="760"/>
      <c r="G3369" s="760"/>
      <c r="H3369" s="760"/>
      <c r="I3369" s="760"/>
      <c r="J3369" s="760"/>
      <c r="K3369" s="760"/>
    </row>
    <row r="3370" spans="1:11">
      <c r="A3370" s="760"/>
      <c r="B3370" s="760"/>
      <c r="C3370" s="760"/>
      <c r="D3370" s="760"/>
      <c r="E3370" s="760"/>
      <c r="F3370" s="760"/>
      <c r="G3370" s="760"/>
      <c r="H3370" s="760"/>
      <c r="I3370" s="760"/>
      <c r="J3370" s="760"/>
      <c r="K3370" s="760"/>
    </row>
    <row r="3371" spans="1:11">
      <c r="A3371" s="760"/>
      <c r="B3371" s="760"/>
      <c r="C3371" s="760"/>
      <c r="D3371" s="760"/>
      <c r="E3371" s="760"/>
      <c r="F3371" s="760"/>
      <c r="G3371" s="760"/>
      <c r="H3371" s="760"/>
      <c r="I3371" s="760"/>
      <c r="J3371" s="760"/>
      <c r="K3371" s="760"/>
    </row>
    <row r="3372" spans="1:11">
      <c r="A3372" s="760"/>
      <c r="B3372" s="760"/>
      <c r="C3372" s="760"/>
      <c r="D3372" s="760"/>
      <c r="E3372" s="760"/>
      <c r="F3372" s="760"/>
      <c r="G3372" s="760"/>
      <c r="H3372" s="760"/>
      <c r="I3372" s="760"/>
      <c r="J3372" s="760"/>
      <c r="K3372" s="760"/>
    </row>
    <row r="3373" spans="1:11">
      <c r="A3373" s="760"/>
      <c r="B3373" s="760"/>
      <c r="C3373" s="760"/>
      <c r="D3373" s="760"/>
      <c r="E3373" s="760"/>
      <c r="F3373" s="760"/>
      <c r="G3373" s="760"/>
      <c r="H3373" s="760"/>
      <c r="I3373" s="760"/>
      <c r="J3373" s="760"/>
      <c r="K3373" s="760"/>
    </row>
    <row r="3374" spans="1:11">
      <c r="A3374" s="760"/>
      <c r="B3374" s="760"/>
      <c r="C3374" s="760"/>
      <c r="D3374" s="760"/>
      <c r="E3374" s="760"/>
      <c r="F3374" s="760"/>
      <c r="G3374" s="760"/>
      <c r="H3374" s="760"/>
      <c r="I3374" s="760"/>
      <c r="J3374" s="760"/>
      <c r="K3374" s="760"/>
    </row>
    <row r="3375" spans="1:11">
      <c r="A3375" s="760"/>
      <c r="B3375" s="760"/>
      <c r="C3375" s="760"/>
      <c r="D3375" s="760"/>
      <c r="E3375" s="760"/>
      <c r="F3375" s="760"/>
      <c r="G3375" s="760"/>
      <c r="H3375" s="760"/>
      <c r="I3375" s="760"/>
      <c r="J3375" s="760"/>
      <c r="K3375" s="760"/>
    </row>
    <row r="3376" spans="1:11">
      <c r="A3376" s="760"/>
      <c r="B3376" s="760"/>
      <c r="C3376" s="760"/>
      <c r="D3376" s="760"/>
      <c r="E3376" s="760"/>
      <c r="F3376" s="760"/>
      <c r="G3376" s="760"/>
      <c r="H3376" s="760"/>
      <c r="I3376" s="760"/>
      <c r="J3376" s="760"/>
      <c r="K3376" s="760"/>
    </row>
    <row r="3377" spans="1:11">
      <c r="A3377" s="760"/>
      <c r="B3377" s="760"/>
      <c r="C3377" s="760"/>
      <c r="D3377" s="760"/>
      <c r="E3377" s="760"/>
      <c r="F3377" s="760"/>
      <c r="G3377" s="760"/>
      <c r="H3377" s="760"/>
      <c r="I3377" s="760"/>
      <c r="J3377" s="760"/>
      <c r="K3377" s="760"/>
    </row>
    <row r="3378" spans="1:11">
      <c r="A3378" s="760"/>
      <c r="B3378" s="760"/>
      <c r="C3378" s="760"/>
      <c r="D3378" s="760"/>
      <c r="E3378" s="760"/>
      <c r="F3378" s="760"/>
      <c r="G3378" s="760"/>
      <c r="H3378" s="760"/>
      <c r="I3378" s="760"/>
      <c r="J3378" s="760"/>
      <c r="K3378" s="760"/>
    </row>
    <row r="3379" spans="1:11">
      <c r="A3379" s="760"/>
      <c r="B3379" s="760"/>
      <c r="C3379" s="760"/>
      <c r="D3379" s="760"/>
      <c r="E3379" s="760"/>
      <c r="F3379" s="760"/>
      <c r="G3379" s="760"/>
      <c r="H3379" s="760"/>
      <c r="I3379" s="760"/>
      <c r="J3379" s="760"/>
      <c r="K3379" s="760"/>
    </row>
    <row r="3380" spans="1:11">
      <c r="A3380" s="760"/>
      <c r="B3380" s="760"/>
      <c r="C3380" s="760"/>
      <c r="D3380" s="760"/>
      <c r="E3380" s="760"/>
      <c r="F3380" s="760"/>
      <c r="G3380" s="760"/>
      <c r="H3380" s="760"/>
      <c r="I3380" s="760"/>
      <c r="J3380" s="760"/>
      <c r="K3380" s="760"/>
    </row>
    <row r="3381" spans="1:11">
      <c r="A3381" s="760"/>
      <c r="B3381" s="760"/>
      <c r="C3381" s="760"/>
      <c r="D3381" s="760"/>
      <c r="E3381" s="760"/>
      <c r="F3381" s="760"/>
      <c r="G3381" s="760"/>
      <c r="H3381" s="760"/>
      <c r="I3381" s="760"/>
      <c r="J3381" s="760"/>
      <c r="K3381" s="760"/>
    </row>
    <row r="3382" spans="1:11">
      <c r="A3382" s="760"/>
      <c r="B3382" s="760"/>
      <c r="C3382" s="760"/>
      <c r="D3382" s="760"/>
      <c r="E3382" s="760"/>
      <c r="F3382" s="760"/>
      <c r="G3382" s="760"/>
      <c r="H3382" s="760"/>
      <c r="I3382" s="760"/>
      <c r="J3382" s="760"/>
      <c r="K3382" s="760"/>
    </row>
    <row r="3383" spans="1:11">
      <c r="A3383" s="760"/>
      <c r="B3383" s="760"/>
      <c r="C3383" s="760"/>
      <c r="D3383" s="760"/>
      <c r="E3383" s="760"/>
      <c r="F3383" s="760"/>
      <c r="G3383" s="760"/>
      <c r="H3383" s="760"/>
      <c r="I3383" s="760"/>
      <c r="J3383" s="760"/>
      <c r="K3383" s="760"/>
    </row>
    <row r="3384" spans="1:11">
      <c r="A3384" s="760"/>
      <c r="B3384" s="760"/>
      <c r="C3384" s="760"/>
      <c r="D3384" s="760"/>
      <c r="E3384" s="760"/>
      <c r="F3384" s="760"/>
      <c r="G3384" s="760"/>
      <c r="H3384" s="760"/>
      <c r="I3384" s="760"/>
      <c r="J3384" s="760"/>
      <c r="K3384" s="760"/>
    </row>
    <row r="3385" spans="1:11">
      <c r="A3385" s="760"/>
      <c r="B3385" s="760"/>
      <c r="C3385" s="760"/>
      <c r="D3385" s="760"/>
      <c r="E3385" s="760"/>
      <c r="F3385" s="760"/>
      <c r="G3385" s="760"/>
      <c r="H3385" s="760"/>
      <c r="I3385" s="760"/>
      <c r="J3385" s="760"/>
      <c r="K3385" s="760"/>
    </row>
    <row r="3386" spans="1:11">
      <c r="A3386" s="760"/>
      <c r="B3386" s="760"/>
      <c r="C3386" s="760"/>
      <c r="D3386" s="760"/>
      <c r="E3386" s="760"/>
      <c r="F3386" s="760"/>
      <c r="G3386" s="760"/>
      <c r="H3386" s="760"/>
      <c r="I3386" s="760"/>
      <c r="J3386" s="760"/>
      <c r="K3386" s="760"/>
    </row>
    <row r="3387" spans="1:11">
      <c r="A3387" s="760"/>
      <c r="B3387" s="760"/>
      <c r="C3387" s="760"/>
      <c r="D3387" s="760"/>
      <c r="E3387" s="760"/>
      <c r="F3387" s="760"/>
      <c r="G3387" s="760"/>
      <c r="H3387" s="760"/>
      <c r="I3387" s="760"/>
      <c r="J3387" s="760"/>
      <c r="K3387" s="760"/>
    </row>
    <row r="3388" spans="1:11">
      <c r="A3388" s="760"/>
      <c r="B3388" s="760"/>
      <c r="C3388" s="760"/>
      <c r="D3388" s="760"/>
      <c r="E3388" s="760"/>
      <c r="F3388" s="760"/>
      <c r="G3388" s="760"/>
      <c r="H3388" s="760"/>
      <c r="I3388" s="760"/>
      <c r="J3388" s="760"/>
      <c r="K3388" s="760"/>
    </row>
    <row r="3389" spans="1:11">
      <c r="A3389" s="760"/>
      <c r="B3389" s="760"/>
      <c r="C3389" s="760"/>
      <c r="D3389" s="760"/>
      <c r="E3389" s="760"/>
      <c r="F3389" s="760"/>
      <c r="G3389" s="760"/>
      <c r="H3389" s="760"/>
      <c r="I3389" s="760"/>
      <c r="J3389" s="760"/>
      <c r="K3389" s="760"/>
    </row>
    <row r="3390" spans="1:11">
      <c r="A3390" s="760"/>
      <c r="B3390" s="760"/>
      <c r="C3390" s="760"/>
      <c r="D3390" s="760"/>
      <c r="E3390" s="760"/>
      <c r="F3390" s="760"/>
      <c r="G3390" s="760"/>
      <c r="H3390" s="760"/>
      <c r="I3390" s="760"/>
      <c r="J3390" s="760"/>
      <c r="K3390" s="760"/>
    </row>
    <row r="3391" spans="1:11">
      <c r="A3391" s="760"/>
      <c r="B3391" s="760"/>
      <c r="C3391" s="760"/>
      <c r="D3391" s="760"/>
      <c r="E3391" s="760"/>
      <c r="F3391" s="760"/>
      <c r="G3391" s="760"/>
      <c r="H3391" s="760"/>
      <c r="I3391" s="760"/>
      <c r="J3391" s="760"/>
      <c r="K3391" s="760"/>
    </row>
    <row r="3392" spans="1:11">
      <c r="A3392" s="760"/>
      <c r="B3392" s="760"/>
      <c r="C3392" s="760"/>
      <c r="D3392" s="760"/>
      <c r="E3392" s="760"/>
      <c r="F3392" s="760"/>
      <c r="G3392" s="760"/>
      <c r="H3392" s="760"/>
      <c r="I3392" s="760"/>
      <c r="J3392" s="760"/>
      <c r="K3392" s="760"/>
    </row>
    <row r="3393" spans="1:11">
      <c r="A3393" s="760"/>
      <c r="B3393" s="760"/>
      <c r="C3393" s="760"/>
      <c r="D3393" s="760"/>
      <c r="E3393" s="760"/>
      <c r="F3393" s="760"/>
      <c r="G3393" s="760"/>
      <c r="H3393" s="760"/>
      <c r="I3393" s="760"/>
      <c r="J3393" s="760"/>
      <c r="K3393" s="760"/>
    </row>
    <row r="3394" spans="1:11">
      <c r="A3394" s="760"/>
      <c r="B3394" s="760"/>
      <c r="C3394" s="760"/>
      <c r="D3394" s="760"/>
      <c r="E3394" s="760"/>
      <c r="F3394" s="760"/>
      <c r="G3394" s="760"/>
      <c r="H3394" s="760"/>
      <c r="I3394" s="760"/>
      <c r="J3394" s="760"/>
      <c r="K3394" s="760"/>
    </row>
    <row r="3395" spans="1:11">
      <c r="A3395" s="760"/>
      <c r="B3395" s="760"/>
      <c r="C3395" s="760"/>
      <c r="D3395" s="760"/>
      <c r="E3395" s="760"/>
      <c r="F3395" s="760"/>
      <c r="G3395" s="760"/>
      <c r="H3395" s="760"/>
      <c r="I3395" s="760"/>
      <c r="J3395" s="760"/>
      <c r="K3395" s="760"/>
    </row>
    <row r="3396" spans="1:11">
      <c r="A3396" s="760"/>
      <c r="B3396" s="760"/>
      <c r="C3396" s="760"/>
      <c r="D3396" s="760"/>
      <c r="E3396" s="760"/>
      <c r="F3396" s="760"/>
      <c r="G3396" s="760"/>
      <c r="H3396" s="760"/>
      <c r="I3396" s="760"/>
      <c r="J3396" s="760"/>
      <c r="K3396" s="760"/>
    </row>
    <row r="3397" spans="1:11">
      <c r="A3397" s="760"/>
      <c r="B3397" s="760"/>
      <c r="C3397" s="760"/>
      <c r="D3397" s="760"/>
      <c r="E3397" s="760"/>
      <c r="F3397" s="760"/>
      <c r="G3397" s="760"/>
      <c r="H3397" s="760"/>
      <c r="I3397" s="760"/>
      <c r="J3397" s="760"/>
      <c r="K3397" s="760"/>
    </row>
    <row r="3398" spans="1:11">
      <c r="A3398" s="760"/>
      <c r="B3398" s="760"/>
      <c r="C3398" s="760"/>
      <c r="D3398" s="760"/>
      <c r="E3398" s="760"/>
      <c r="F3398" s="760"/>
      <c r="G3398" s="760"/>
      <c r="H3398" s="760"/>
      <c r="I3398" s="760"/>
      <c r="J3398" s="760"/>
      <c r="K3398" s="760"/>
    </row>
    <row r="3399" spans="1:11">
      <c r="A3399" s="760"/>
      <c r="B3399" s="760"/>
      <c r="C3399" s="760"/>
      <c r="D3399" s="760"/>
      <c r="E3399" s="760"/>
      <c r="F3399" s="760"/>
      <c r="G3399" s="760"/>
      <c r="H3399" s="760"/>
      <c r="I3399" s="760"/>
      <c r="J3399" s="760"/>
      <c r="K3399" s="760"/>
    </row>
    <row r="3400" spans="1:11">
      <c r="A3400" s="760"/>
      <c r="B3400" s="760"/>
      <c r="C3400" s="760"/>
      <c r="D3400" s="760"/>
      <c r="E3400" s="760"/>
      <c r="F3400" s="760"/>
      <c r="G3400" s="760"/>
      <c r="H3400" s="760"/>
      <c r="I3400" s="760"/>
      <c r="J3400" s="760"/>
      <c r="K3400" s="760"/>
    </row>
    <row r="3401" spans="1:11">
      <c r="A3401" s="760"/>
      <c r="B3401" s="760"/>
      <c r="C3401" s="760"/>
      <c r="D3401" s="760"/>
      <c r="E3401" s="760"/>
      <c r="F3401" s="760"/>
      <c r="G3401" s="760"/>
      <c r="H3401" s="760"/>
      <c r="I3401" s="760"/>
      <c r="J3401" s="760"/>
      <c r="K3401" s="760"/>
    </row>
    <row r="3402" spans="1:11">
      <c r="A3402" s="760"/>
      <c r="B3402" s="760"/>
      <c r="C3402" s="760"/>
      <c r="D3402" s="760"/>
      <c r="E3402" s="760"/>
      <c r="F3402" s="760"/>
      <c r="G3402" s="760"/>
      <c r="H3402" s="760"/>
      <c r="I3402" s="760"/>
      <c r="J3402" s="760"/>
      <c r="K3402" s="760"/>
    </row>
    <row r="3403" spans="1:11">
      <c r="A3403" s="760"/>
      <c r="B3403" s="760"/>
      <c r="C3403" s="760"/>
      <c r="D3403" s="760"/>
      <c r="E3403" s="760"/>
      <c r="F3403" s="760"/>
      <c r="G3403" s="760"/>
      <c r="H3403" s="760"/>
      <c r="I3403" s="760"/>
      <c r="J3403" s="760"/>
      <c r="K3403" s="760"/>
    </row>
    <row r="3404" spans="1:11">
      <c r="A3404" s="760"/>
      <c r="B3404" s="760"/>
      <c r="C3404" s="760"/>
      <c r="D3404" s="760"/>
      <c r="E3404" s="760"/>
      <c r="F3404" s="760"/>
      <c r="G3404" s="760"/>
      <c r="H3404" s="760"/>
      <c r="I3404" s="760"/>
      <c r="J3404" s="760"/>
      <c r="K3404" s="760"/>
    </row>
    <row r="3405" spans="1:11">
      <c r="A3405" s="760"/>
      <c r="B3405" s="760"/>
      <c r="C3405" s="760"/>
      <c r="D3405" s="760"/>
      <c r="E3405" s="760"/>
      <c r="F3405" s="760"/>
      <c r="G3405" s="760"/>
      <c r="H3405" s="760"/>
      <c r="I3405" s="760"/>
      <c r="J3405" s="760"/>
      <c r="K3405" s="760"/>
    </row>
    <row r="3406" spans="1:11">
      <c r="A3406" s="760"/>
      <c r="B3406" s="760"/>
      <c r="C3406" s="760"/>
      <c r="D3406" s="760"/>
      <c r="E3406" s="760"/>
      <c r="F3406" s="760"/>
      <c r="G3406" s="760"/>
      <c r="H3406" s="760"/>
      <c r="I3406" s="760"/>
      <c r="J3406" s="760"/>
      <c r="K3406" s="760"/>
    </row>
    <row r="3407" spans="1:11">
      <c r="A3407" s="760"/>
      <c r="B3407" s="760"/>
      <c r="C3407" s="760"/>
      <c r="D3407" s="760"/>
      <c r="E3407" s="760"/>
      <c r="F3407" s="760"/>
      <c r="G3407" s="760"/>
      <c r="H3407" s="760"/>
      <c r="I3407" s="760"/>
      <c r="J3407" s="760"/>
      <c r="K3407" s="760"/>
    </row>
    <row r="3408" spans="1:11">
      <c r="A3408" s="760"/>
      <c r="B3408" s="760"/>
      <c r="C3408" s="760"/>
      <c r="D3408" s="760"/>
      <c r="E3408" s="760"/>
      <c r="F3408" s="760"/>
      <c r="G3408" s="760"/>
      <c r="H3408" s="760"/>
      <c r="I3408" s="760"/>
      <c r="J3408" s="760"/>
      <c r="K3408" s="760"/>
    </row>
    <row r="3409" spans="1:11">
      <c r="A3409" s="760"/>
      <c r="B3409" s="760"/>
      <c r="C3409" s="760"/>
      <c r="D3409" s="760"/>
      <c r="E3409" s="760"/>
      <c r="F3409" s="760"/>
      <c r="G3409" s="760"/>
      <c r="H3409" s="760"/>
      <c r="I3409" s="760"/>
      <c r="J3409" s="760"/>
      <c r="K3409" s="760"/>
    </row>
    <row r="3410" spans="1:11">
      <c r="A3410" s="760"/>
      <c r="B3410" s="760"/>
      <c r="C3410" s="760"/>
      <c r="D3410" s="760"/>
      <c r="E3410" s="760"/>
      <c r="F3410" s="760"/>
      <c r="G3410" s="760"/>
      <c r="H3410" s="760"/>
      <c r="I3410" s="760"/>
      <c r="J3410" s="760"/>
      <c r="K3410" s="760"/>
    </row>
    <row r="3411" spans="1:11">
      <c r="A3411" s="760"/>
      <c r="B3411" s="760"/>
      <c r="C3411" s="760"/>
      <c r="D3411" s="760"/>
      <c r="E3411" s="760"/>
      <c r="F3411" s="760"/>
      <c r="G3411" s="760"/>
      <c r="H3411" s="760"/>
      <c r="I3411" s="760"/>
      <c r="J3411" s="760"/>
      <c r="K3411" s="760"/>
    </row>
    <row r="3412" spans="1:11">
      <c r="A3412" s="760"/>
      <c r="B3412" s="760"/>
      <c r="C3412" s="760"/>
      <c r="D3412" s="760"/>
      <c r="E3412" s="760"/>
      <c r="F3412" s="760"/>
      <c r="G3412" s="760"/>
      <c r="H3412" s="760"/>
      <c r="I3412" s="760"/>
      <c r="J3412" s="760"/>
      <c r="K3412" s="760"/>
    </row>
    <row r="3413" spans="1:11">
      <c r="A3413" s="760"/>
      <c r="B3413" s="760"/>
      <c r="C3413" s="760"/>
      <c r="D3413" s="760"/>
      <c r="E3413" s="760"/>
      <c r="F3413" s="760"/>
      <c r="G3413" s="760"/>
      <c r="H3413" s="760"/>
      <c r="I3413" s="760"/>
      <c r="J3413" s="760"/>
      <c r="K3413" s="760"/>
    </row>
    <row r="3414" spans="1:11">
      <c r="A3414" s="760"/>
      <c r="B3414" s="760"/>
      <c r="C3414" s="760"/>
      <c r="D3414" s="760"/>
      <c r="E3414" s="760"/>
      <c r="F3414" s="760"/>
      <c r="G3414" s="760"/>
      <c r="H3414" s="760"/>
      <c r="I3414" s="760"/>
      <c r="J3414" s="760"/>
      <c r="K3414" s="760"/>
    </row>
    <row r="3415" spans="1:11">
      <c r="A3415" s="760"/>
      <c r="B3415" s="760"/>
      <c r="C3415" s="760"/>
      <c r="D3415" s="760"/>
      <c r="E3415" s="760"/>
      <c r="F3415" s="760"/>
      <c r="G3415" s="760"/>
      <c r="H3415" s="760"/>
      <c r="I3415" s="760"/>
      <c r="J3415" s="760"/>
      <c r="K3415" s="760"/>
    </row>
    <row r="3416" spans="1:11">
      <c r="A3416" s="760"/>
      <c r="B3416" s="760"/>
      <c r="C3416" s="760"/>
      <c r="D3416" s="760"/>
      <c r="E3416" s="760"/>
      <c r="F3416" s="760"/>
      <c r="G3416" s="760"/>
      <c r="H3416" s="760"/>
      <c r="I3416" s="760"/>
      <c r="J3416" s="760"/>
      <c r="K3416" s="760"/>
    </row>
    <row r="3417" spans="1:11">
      <c r="A3417" s="760"/>
      <c r="B3417" s="760"/>
      <c r="C3417" s="760"/>
      <c r="D3417" s="760"/>
      <c r="E3417" s="760"/>
      <c r="F3417" s="760"/>
      <c r="G3417" s="760"/>
      <c r="H3417" s="760"/>
      <c r="I3417" s="760"/>
      <c r="J3417" s="760"/>
      <c r="K3417" s="760"/>
    </row>
    <row r="3418" spans="1:11">
      <c r="A3418" s="760"/>
      <c r="B3418" s="760"/>
      <c r="C3418" s="760"/>
      <c r="D3418" s="760"/>
      <c r="E3418" s="760"/>
      <c r="F3418" s="760"/>
      <c r="G3418" s="760"/>
      <c r="H3418" s="760"/>
      <c r="I3418" s="760"/>
      <c r="J3418" s="760"/>
      <c r="K3418" s="760"/>
    </row>
    <row r="3419" spans="1:11">
      <c r="A3419" s="760"/>
      <c r="B3419" s="760"/>
      <c r="C3419" s="760"/>
      <c r="D3419" s="760"/>
      <c r="E3419" s="760"/>
      <c r="F3419" s="760"/>
      <c r="G3419" s="760"/>
      <c r="H3419" s="760"/>
      <c r="I3419" s="760"/>
      <c r="J3419" s="760"/>
      <c r="K3419" s="760"/>
    </row>
    <row r="3420" spans="1:11">
      <c r="A3420" s="760"/>
      <c r="B3420" s="760"/>
      <c r="C3420" s="760"/>
      <c r="D3420" s="760"/>
      <c r="E3420" s="760"/>
      <c r="F3420" s="760"/>
      <c r="G3420" s="760"/>
      <c r="H3420" s="760"/>
      <c r="I3420" s="760"/>
      <c r="J3420" s="760"/>
      <c r="K3420" s="760"/>
    </row>
    <row r="3421" spans="1:11">
      <c r="A3421" s="760"/>
      <c r="B3421" s="760"/>
      <c r="C3421" s="760"/>
      <c r="D3421" s="760"/>
      <c r="E3421" s="760"/>
      <c r="F3421" s="760"/>
      <c r="G3421" s="760"/>
      <c r="H3421" s="760"/>
      <c r="I3421" s="760"/>
      <c r="J3421" s="760"/>
      <c r="K3421" s="760"/>
    </row>
    <row r="3422" spans="1:11">
      <c r="A3422" s="760"/>
      <c r="B3422" s="760"/>
      <c r="C3422" s="760"/>
      <c r="D3422" s="760"/>
      <c r="E3422" s="760"/>
      <c r="F3422" s="760"/>
      <c r="G3422" s="760"/>
      <c r="H3422" s="760"/>
      <c r="I3422" s="760"/>
      <c r="J3422" s="760"/>
      <c r="K3422" s="760"/>
    </row>
    <row r="3423" spans="1:11">
      <c r="A3423" s="760"/>
      <c r="B3423" s="760"/>
      <c r="C3423" s="760"/>
      <c r="D3423" s="760"/>
      <c r="E3423" s="760"/>
      <c r="F3423" s="760"/>
      <c r="G3423" s="760"/>
      <c r="H3423" s="760"/>
      <c r="I3423" s="760"/>
      <c r="J3423" s="760"/>
      <c r="K3423" s="760"/>
    </row>
    <row r="3424" spans="1:11">
      <c r="A3424" s="760"/>
      <c r="B3424" s="760"/>
      <c r="C3424" s="760"/>
      <c r="D3424" s="760"/>
      <c r="E3424" s="760"/>
      <c r="F3424" s="760"/>
      <c r="G3424" s="760"/>
      <c r="H3424" s="760"/>
      <c r="I3424" s="760"/>
      <c r="J3424" s="760"/>
      <c r="K3424" s="760"/>
    </row>
    <row r="3425" spans="1:11">
      <c r="A3425" s="760"/>
      <c r="B3425" s="760"/>
      <c r="C3425" s="760"/>
      <c r="D3425" s="760"/>
      <c r="E3425" s="760"/>
      <c r="F3425" s="760"/>
      <c r="G3425" s="760"/>
      <c r="H3425" s="760"/>
      <c r="I3425" s="760"/>
      <c r="J3425" s="760"/>
      <c r="K3425" s="760"/>
    </row>
    <row r="3426" spans="1:11">
      <c r="A3426" s="760"/>
      <c r="B3426" s="760"/>
      <c r="C3426" s="760"/>
      <c r="D3426" s="760"/>
      <c r="E3426" s="760"/>
      <c r="F3426" s="760"/>
      <c r="G3426" s="760"/>
      <c r="H3426" s="760"/>
      <c r="I3426" s="760"/>
      <c r="J3426" s="760"/>
      <c r="K3426" s="760"/>
    </row>
    <row r="3427" spans="1:11">
      <c r="A3427" s="760"/>
      <c r="B3427" s="760"/>
      <c r="C3427" s="760"/>
      <c r="D3427" s="760"/>
      <c r="E3427" s="760"/>
      <c r="F3427" s="760"/>
      <c r="G3427" s="760"/>
      <c r="H3427" s="760"/>
      <c r="I3427" s="760"/>
      <c r="J3427" s="760"/>
      <c r="K3427" s="760"/>
    </row>
    <row r="3428" spans="1:11">
      <c r="A3428" s="760"/>
      <c r="B3428" s="760"/>
      <c r="C3428" s="760"/>
      <c r="D3428" s="760"/>
      <c r="E3428" s="760"/>
      <c r="F3428" s="760"/>
      <c r="G3428" s="760"/>
      <c r="H3428" s="760"/>
      <c r="I3428" s="760"/>
      <c r="J3428" s="760"/>
      <c r="K3428" s="760"/>
    </row>
    <row r="3429" spans="1:11">
      <c r="A3429" s="760"/>
      <c r="B3429" s="760"/>
      <c r="C3429" s="760"/>
      <c r="D3429" s="760"/>
      <c r="E3429" s="760"/>
      <c r="F3429" s="760"/>
      <c r="G3429" s="760"/>
      <c r="H3429" s="760"/>
      <c r="I3429" s="760"/>
      <c r="J3429" s="760"/>
      <c r="K3429" s="760"/>
    </row>
    <row r="3430" spans="1:11">
      <c r="A3430" s="760"/>
      <c r="B3430" s="760"/>
      <c r="C3430" s="760"/>
      <c r="D3430" s="760"/>
      <c r="E3430" s="760"/>
      <c r="F3430" s="760"/>
      <c r="G3430" s="760"/>
      <c r="H3430" s="760"/>
      <c r="I3430" s="760"/>
      <c r="J3430" s="760"/>
      <c r="K3430" s="760"/>
    </row>
    <row r="3431" spans="1:11">
      <c r="A3431" s="760"/>
      <c r="B3431" s="760"/>
      <c r="C3431" s="760"/>
      <c r="D3431" s="760"/>
      <c r="E3431" s="760"/>
      <c r="F3431" s="760"/>
      <c r="G3431" s="760"/>
      <c r="H3431" s="760"/>
      <c r="I3431" s="760"/>
      <c r="J3431" s="760"/>
      <c r="K3431" s="760"/>
    </row>
    <row r="3432" spans="1:11">
      <c r="A3432" s="760"/>
      <c r="B3432" s="760"/>
      <c r="C3432" s="760"/>
      <c r="D3432" s="760"/>
      <c r="E3432" s="760"/>
      <c r="F3432" s="760"/>
      <c r="G3432" s="760"/>
      <c r="H3432" s="760"/>
      <c r="I3432" s="760"/>
      <c r="J3432" s="760"/>
      <c r="K3432" s="760"/>
    </row>
    <row r="3433" spans="1:11">
      <c r="A3433" s="760"/>
      <c r="B3433" s="760"/>
      <c r="C3433" s="760"/>
      <c r="D3433" s="760"/>
      <c r="E3433" s="760"/>
      <c r="F3433" s="760"/>
      <c r="G3433" s="760"/>
      <c r="H3433" s="760"/>
      <c r="I3433" s="760"/>
      <c r="J3433" s="760"/>
      <c r="K3433" s="760"/>
    </row>
    <row r="3434" spans="1:11">
      <c r="A3434" s="760"/>
      <c r="B3434" s="760"/>
      <c r="C3434" s="760"/>
      <c r="D3434" s="760"/>
      <c r="E3434" s="760"/>
      <c r="F3434" s="760"/>
      <c r="G3434" s="760"/>
      <c r="H3434" s="760"/>
      <c r="I3434" s="760"/>
      <c r="J3434" s="760"/>
      <c r="K3434" s="760"/>
    </row>
    <row r="3435" spans="1:11">
      <c r="A3435" s="760"/>
      <c r="B3435" s="760"/>
      <c r="C3435" s="760"/>
      <c r="D3435" s="760"/>
      <c r="E3435" s="760"/>
      <c r="F3435" s="760"/>
      <c r="G3435" s="760"/>
      <c r="H3435" s="760"/>
      <c r="I3435" s="760"/>
      <c r="J3435" s="760"/>
      <c r="K3435" s="760"/>
    </row>
    <row r="3436" spans="1:11">
      <c r="A3436" s="760"/>
      <c r="B3436" s="760"/>
      <c r="C3436" s="760"/>
      <c r="D3436" s="760"/>
      <c r="E3436" s="760"/>
      <c r="F3436" s="760"/>
      <c r="G3436" s="760"/>
      <c r="H3436" s="760"/>
      <c r="I3436" s="760"/>
      <c r="J3436" s="760"/>
      <c r="K3436" s="760"/>
    </row>
    <row r="3437" spans="1:11">
      <c r="A3437" s="760"/>
      <c r="B3437" s="760"/>
      <c r="C3437" s="760"/>
      <c r="D3437" s="760"/>
      <c r="E3437" s="760"/>
      <c r="F3437" s="760"/>
      <c r="G3437" s="760"/>
      <c r="H3437" s="760"/>
      <c r="I3437" s="760"/>
      <c r="J3437" s="760"/>
      <c r="K3437" s="760"/>
    </row>
    <row r="3438" spans="1:11">
      <c r="A3438" s="760"/>
      <c r="B3438" s="760"/>
      <c r="C3438" s="760"/>
      <c r="D3438" s="760"/>
      <c r="E3438" s="760"/>
      <c r="F3438" s="760"/>
      <c r="G3438" s="760"/>
      <c r="H3438" s="760"/>
      <c r="I3438" s="760"/>
      <c r="J3438" s="760"/>
      <c r="K3438" s="760"/>
    </row>
    <row r="3439" spans="1:11">
      <c r="A3439" s="760"/>
      <c r="B3439" s="760"/>
      <c r="C3439" s="760"/>
      <c r="D3439" s="760"/>
      <c r="E3439" s="760"/>
      <c r="F3439" s="760"/>
      <c r="G3439" s="760"/>
      <c r="H3439" s="760"/>
      <c r="I3439" s="760"/>
      <c r="J3439" s="760"/>
      <c r="K3439" s="760"/>
    </row>
    <row r="3440" spans="1:11">
      <c r="A3440" s="760"/>
      <c r="B3440" s="760"/>
      <c r="C3440" s="760"/>
      <c r="D3440" s="760"/>
      <c r="E3440" s="760"/>
      <c r="F3440" s="760"/>
      <c r="G3440" s="760"/>
      <c r="H3440" s="760"/>
      <c r="I3440" s="760"/>
      <c r="J3440" s="760"/>
      <c r="K3440" s="760"/>
    </row>
    <row r="3441" spans="1:11">
      <c r="A3441" s="760"/>
      <c r="B3441" s="760"/>
      <c r="C3441" s="760"/>
      <c r="D3441" s="760"/>
      <c r="E3441" s="760"/>
      <c r="F3441" s="760"/>
      <c r="G3441" s="760"/>
      <c r="H3441" s="760"/>
      <c r="I3441" s="760"/>
      <c r="J3441" s="760"/>
      <c r="K3441" s="760"/>
    </row>
    <row r="3442" spans="1:11">
      <c r="A3442" s="760"/>
      <c r="B3442" s="760"/>
      <c r="C3442" s="760"/>
      <c r="D3442" s="760"/>
      <c r="E3442" s="760"/>
      <c r="F3442" s="760"/>
      <c r="G3442" s="760"/>
      <c r="H3442" s="760"/>
      <c r="I3442" s="760"/>
      <c r="J3442" s="760"/>
      <c r="K3442" s="760"/>
    </row>
    <row r="3443" spans="1:11">
      <c r="A3443" s="760"/>
      <c r="B3443" s="760"/>
      <c r="C3443" s="760"/>
      <c r="D3443" s="760"/>
      <c r="E3443" s="760"/>
      <c r="F3443" s="760"/>
      <c r="G3443" s="760"/>
      <c r="H3443" s="760"/>
      <c r="I3443" s="760"/>
      <c r="J3443" s="760"/>
      <c r="K3443" s="760"/>
    </row>
    <row r="3444" spans="1:11">
      <c r="A3444" s="760"/>
      <c r="B3444" s="760"/>
      <c r="C3444" s="760"/>
      <c r="D3444" s="760"/>
      <c r="E3444" s="760"/>
      <c r="F3444" s="760"/>
      <c r="G3444" s="760"/>
      <c r="H3444" s="760"/>
      <c r="I3444" s="760"/>
      <c r="J3444" s="760"/>
      <c r="K3444" s="760"/>
    </row>
    <row r="3445" spans="1:11">
      <c r="A3445" s="760"/>
      <c r="B3445" s="760"/>
      <c r="C3445" s="760"/>
      <c r="D3445" s="760"/>
      <c r="E3445" s="760"/>
      <c r="F3445" s="760"/>
      <c r="G3445" s="760"/>
      <c r="H3445" s="760"/>
      <c r="I3445" s="760"/>
      <c r="J3445" s="760"/>
      <c r="K3445" s="760"/>
    </row>
    <row r="3446" spans="1:11">
      <c r="A3446" s="760"/>
      <c r="B3446" s="760"/>
      <c r="C3446" s="760"/>
      <c r="D3446" s="760"/>
      <c r="E3446" s="760"/>
      <c r="F3446" s="760"/>
      <c r="G3446" s="760"/>
      <c r="H3446" s="760"/>
      <c r="I3446" s="760"/>
      <c r="J3446" s="760"/>
      <c r="K3446" s="760"/>
    </row>
    <row r="3447" spans="1:11">
      <c r="A3447" s="760"/>
      <c r="B3447" s="760"/>
      <c r="C3447" s="760"/>
      <c r="D3447" s="760"/>
      <c r="E3447" s="760"/>
      <c r="F3447" s="760"/>
      <c r="G3447" s="760"/>
      <c r="H3447" s="760"/>
      <c r="I3447" s="760"/>
      <c r="J3447" s="760"/>
      <c r="K3447" s="760"/>
    </row>
    <row r="3448" spans="1:11">
      <c r="A3448" s="760"/>
      <c r="B3448" s="760"/>
      <c r="C3448" s="760"/>
      <c r="D3448" s="760"/>
      <c r="E3448" s="760"/>
      <c r="F3448" s="760"/>
      <c r="G3448" s="760"/>
      <c r="H3448" s="760"/>
      <c r="I3448" s="760"/>
      <c r="J3448" s="760"/>
      <c r="K3448" s="760"/>
    </row>
    <row r="3449" spans="1:11">
      <c r="A3449" s="760"/>
      <c r="B3449" s="760"/>
      <c r="C3449" s="760"/>
      <c r="D3449" s="760"/>
      <c r="E3449" s="760"/>
      <c r="F3449" s="760"/>
      <c r="G3449" s="760"/>
      <c r="H3449" s="760"/>
      <c r="I3449" s="760"/>
      <c r="J3449" s="760"/>
      <c r="K3449" s="760"/>
    </row>
    <row r="3450" spans="1:11">
      <c r="A3450" s="760"/>
      <c r="B3450" s="760"/>
      <c r="C3450" s="760"/>
      <c r="D3450" s="760"/>
      <c r="E3450" s="760"/>
      <c r="F3450" s="760"/>
      <c r="G3450" s="760"/>
      <c r="H3450" s="760"/>
      <c r="I3450" s="760"/>
      <c r="J3450" s="760"/>
      <c r="K3450" s="760"/>
    </row>
    <row r="3451" spans="1:11">
      <c r="A3451" s="760"/>
      <c r="B3451" s="760"/>
      <c r="C3451" s="760"/>
      <c r="D3451" s="760"/>
      <c r="E3451" s="760"/>
      <c r="F3451" s="760"/>
      <c r="G3451" s="760"/>
      <c r="H3451" s="760"/>
      <c r="I3451" s="760"/>
      <c r="J3451" s="760"/>
      <c r="K3451" s="760"/>
    </row>
    <row r="3452" spans="1:11">
      <c r="A3452" s="760"/>
      <c r="B3452" s="760"/>
      <c r="C3452" s="760"/>
      <c r="D3452" s="760"/>
      <c r="E3452" s="760"/>
      <c r="F3452" s="760"/>
      <c r="G3452" s="760"/>
      <c r="H3452" s="760"/>
      <c r="I3452" s="760"/>
      <c r="J3452" s="760"/>
      <c r="K3452" s="760"/>
    </row>
    <row r="3453" spans="1:11">
      <c r="A3453" s="760"/>
      <c r="B3453" s="760"/>
      <c r="C3453" s="760"/>
      <c r="D3453" s="760"/>
      <c r="E3453" s="760"/>
      <c r="F3453" s="760"/>
      <c r="G3453" s="760"/>
      <c r="H3453" s="760"/>
      <c r="I3453" s="760"/>
      <c r="J3453" s="760"/>
      <c r="K3453" s="760"/>
    </row>
    <row r="3454" spans="1:11">
      <c r="A3454" s="760"/>
      <c r="B3454" s="760"/>
      <c r="C3454" s="760"/>
      <c r="D3454" s="760"/>
      <c r="E3454" s="760"/>
      <c r="F3454" s="760"/>
      <c r="G3454" s="760"/>
      <c r="H3454" s="760"/>
      <c r="I3454" s="760"/>
      <c r="J3454" s="760"/>
      <c r="K3454" s="760"/>
    </row>
    <row r="3455" spans="1:11">
      <c r="A3455" s="760"/>
      <c r="B3455" s="760"/>
      <c r="C3455" s="760"/>
      <c r="D3455" s="760"/>
      <c r="E3455" s="760"/>
      <c r="F3455" s="760"/>
      <c r="G3455" s="760"/>
      <c r="H3455" s="760"/>
      <c r="I3455" s="760"/>
      <c r="J3455" s="760"/>
      <c r="K3455" s="760"/>
    </row>
    <row r="3456" spans="1:11">
      <c r="A3456" s="760"/>
      <c r="B3456" s="760"/>
      <c r="C3456" s="760"/>
      <c r="D3456" s="760"/>
      <c r="E3456" s="760"/>
      <c r="F3456" s="760"/>
      <c r="G3456" s="760"/>
      <c r="H3456" s="760"/>
      <c r="I3456" s="760"/>
      <c r="J3456" s="760"/>
      <c r="K3456" s="760"/>
    </row>
    <row r="3457" spans="1:11">
      <c r="A3457" s="760"/>
      <c r="B3457" s="760"/>
      <c r="C3457" s="760"/>
      <c r="D3457" s="760"/>
      <c r="E3457" s="760"/>
      <c r="F3457" s="760"/>
      <c r="G3457" s="760"/>
      <c r="H3457" s="760"/>
      <c r="I3457" s="760"/>
      <c r="J3457" s="760"/>
      <c r="K3457" s="760"/>
    </row>
    <row r="3458" spans="1:11">
      <c r="A3458" s="760"/>
      <c r="B3458" s="760"/>
      <c r="C3458" s="760"/>
      <c r="D3458" s="760"/>
      <c r="E3458" s="760"/>
      <c r="F3458" s="760"/>
      <c r="G3458" s="760"/>
      <c r="H3458" s="760"/>
      <c r="I3458" s="760"/>
      <c r="J3458" s="760"/>
      <c r="K3458" s="760"/>
    </row>
    <row r="3459" spans="1:11">
      <c r="A3459" s="760"/>
      <c r="B3459" s="760"/>
      <c r="C3459" s="760"/>
      <c r="D3459" s="760"/>
      <c r="E3459" s="760"/>
      <c r="F3459" s="760"/>
      <c r="G3459" s="760"/>
      <c r="H3459" s="760"/>
      <c r="I3459" s="760"/>
      <c r="J3459" s="760"/>
      <c r="K3459" s="760"/>
    </row>
    <row r="3460" spans="1:11">
      <c r="A3460" s="760"/>
      <c r="B3460" s="760"/>
      <c r="C3460" s="760"/>
      <c r="D3460" s="760"/>
      <c r="E3460" s="760"/>
      <c r="F3460" s="760"/>
      <c r="G3460" s="760"/>
      <c r="H3460" s="760"/>
      <c r="I3460" s="760"/>
      <c r="J3460" s="760"/>
      <c r="K3460" s="760"/>
    </row>
    <row r="3461" spans="1:11">
      <c r="A3461" s="760"/>
      <c r="B3461" s="760"/>
      <c r="C3461" s="760"/>
      <c r="D3461" s="760"/>
      <c r="E3461" s="760"/>
      <c r="F3461" s="760"/>
      <c r="G3461" s="760"/>
      <c r="H3461" s="760"/>
      <c r="I3461" s="760"/>
      <c r="J3461" s="760"/>
      <c r="K3461" s="760"/>
    </row>
    <row r="3462" spans="1:11">
      <c r="A3462" s="760"/>
      <c r="B3462" s="760"/>
      <c r="C3462" s="760"/>
      <c r="D3462" s="760"/>
      <c r="E3462" s="760"/>
      <c r="F3462" s="760"/>
      <c r="G3462" s="760"/>
      <c r="H3462" s="760"/>
      <c r="I3462" s="760"/>
      <c r="J3462" s="760"/>
      <c r="K3462" s="760"/>
    </row>
    <row r="3463" spans="1:11">
      <c r="A3463" s="760"/>
      <c r="B3463" s="760"/>
      <c r="C3463" s="760"/>
      <c r="D3463" s="760"/>
      <c r="E3463" s="760"/>
      <c r="F3463" s="760"/>
      <c r="G3463" s="760"/>
      <c r="H3463" s="760"/>
      <c r="I3463" s="760"/>
      <c r="J3463" s="760"/>
      <c r="K3463" s="760"/>
    </row>
    <row r="3464" spans="1:11">
      <c r="A3464" s="760"/>
      <c r="B3464" s="760"/>
      <c r="C3464" s="760"/>
      <c r="D3464" s="760"/>
      <c r="E3464" s="760"/>
      <c r="F3464" s="760"/>
      <c r="G3464" s="760"/>
      <c r="H3464" s="760"/>
      <c r="I3464" s="760"/>
      <c r="J3464" s="760"/>
      <c r="K3464" s="760"/>
    </row>
    <row r="3465" spans="1:11">
      <c r="A3465" s="760"/>
      <c r="B3465" s="760"/>
      <c r="C3465" s="760"/>
      <c r="D3465" s="760"/>
      <c r="E3465" s="760"/>
      <c r="F3465" s="760"/>
      <c r="G3465" s="760"/>
      <c r="H3465" s="760"/>
      <c r="I3465" s="760"/>
      <c r="J3465" s="760"/>
      <c r="K3465" s="760"/>
    </row>
    <row r="3466" spans="1:11">
      <c r="A3466" s="760"/>
      <c r="B3466" s="760"/>
      <c r="C3466" s="760"/>
      <c r="D3466" s="760"/>
      <c r="E3466" s="760"/>
      <c r="F3466" s="760"/>
      <c r="G3466" s="760"/>
      <c r="H3466" s="760"/>
      <c r="I3466" s="760"/>
      <c r="J3466" s="760"/>
      <c r="K3466" s="760"/>
    </row>
    <row r="3467" spans="1:11">
      <c r="A3467" s="760"/>
      <c r="B3467" s="760"/>
      <c r="C3467" s="760"/>
      <c r="D3467" s="760"/>
      <c r="E3467" s="760"/>
      <c r="F3467" s="760"/>
      <c r="G3467" s="760"/>
      <c r="H3467" s="760"/>
      <c r="I3467" s="760"/>
      <c r="J3467" s="760"/>
      <c r="K3467" s="760"/>
    </row>
    <row r="3468" spans="1:11">
      <c r="A3468" s="760"/>
      <c r="B3468" s="760"/>
      <c r="C3468" s="760"/>
      <c r="D3468" s="760"/>
      <c r="E3468" s="760"/>
      <c r="F3468" s="760"/>
      <c r="G3468" s="760"/>
      <c r="H3468" s="760"/>
      <c r="I3468" s="760"/>
      <c r="J3468" s="760"/>
      <c r="K3468" s="760"/>
    </row>
    <row r="3469" spans="1:11">
      <c r="A3469" s="760"/>
      <c r="B3469" s="760"/>
      <c r="C3469" s="760"/>
      <c r="D3469" s="760"/>
      <c r="E3469" s="760"/>
      <c r="F3469" s="760"/>
      <c r="G3469" s="760"/>
      <c r="H3469" s="760"/>
      <c r="I3469" s="760"/>
      <c r="J3469" s="760"/>
      <c r="K3469" s="760"/>
    </row>
    <row r="3470" spans="1:11">
      <c r="A3470" s="760"/>
      <c r="B3470" s="760"/>
      <c r="C3470" s="760"/>
      <c r="D3470" s="760"/>
      <c r="E3470" s="760"/>
      <c r="F3470" s="760"/>
      <c r="G3470" s="760"/>
      <c r="H3470" s="760"/>
      <c r="I3470" s="760"/>
      <c r="J3470" s="760"/>
      <c r="K3470" s="760"/>
    </row>
    <row r="3471" spans="1:11">
      <c r="A3471" s="760"/>
      <c r="B3471" s="760"/>
      <c r="C3471" s="760"/>
      <c r="D3471" s="760"/>
      <c r="E3471" s="760"/>
      <c r="F3471" s="760"/>
      <c r="G3471" s="760"/>
      <c r="H3471" s="760"/>
      <c r="I3471" s="760"/>
      <c r="J3471" s="760"/>
      <c r="K3471" s="760"/>
    </row>
    <row r="3472" spans="1:11">
      <c r="A3472" s="760"/>
      <c r="B3472" s="760"/>
      <c r="C3472" s="760"/>
      <c r="D3472" s="760"/>
      <c r="E3472" s="760"/>
      <c r="F3472" s="760"/>
      <c r="G3472" s="760"/>
      <c r="H3472" s="760"/>
      <c r="I3472" s="760"/>
      <c r="J3472" s="760"/>
      <c r="K3472" s="760"/>
    </row>
    <row r="3473" spans="1:11">
      <c r="A3473" s="760"/>
      <c r="B3473" s="760"/>
      <c r="C3473" s="760"/>
      <c r="D3473" s="760"/>
      <c r="E3473" s="760"/>
      <c r="F3473" s="760"/>
      <c r="G3473" s="760"/>
      <c r="H3473" s="760"/>
      <c r="I3473" s="760"/>
      <c r="J3473" s="760"/>
      <c r="K3473" s="760"/>
    </row>
    <row r="3474" spans="1:11">
      <c r="A3474" s="760"/>
      <c r="B3474" s="760"/>
      <c r="C3474" s="760"/>
      <c r="D3474" s="760"/>
      <c r="E3474" s="760"/>
      <c r="F3474" s="760"/>
      <c r="G3474" s="760"/>
      <c r="H3474" s="760"/>
      <c r="I3474" s="760"/>
      <c r="J3474" s="760"/>
      <c r="K3474" s="760"/>
    </row>
    <row r="3475" spans="1:11">
      <c r="A3475" s="760"/>
      <c r="B3475" s="760"/>
      <c r="C3475" s="760"/>
      <c r="D3475" s="760"/>
      <c r="E3475" s="760"/>
      <c r="F3475" s="760"/>
      <c r="G3475" s="760"/>
      <c r="H3475" s="760"/>
      <c r="I3475" s="760"/>
      <c r="J3475" s="760"/>
      <c r="K3475" s="760"/>
    </row>
    <row r="3476" spans="1:11">
      <c r="A3476" s="760"/>
      <c r="B3476" s="760"/>
      <c r="C3476" s="760"/>
      <c r="D3476" s="760"/>
      <c r="E3476" s="760"/>
      <c r="F3476" s="760"/>
      <c r="G3476" s="760"/>
      <c r="H3476" s="760"/>
      <c r="I3476" s="760"/>
      <c r="J3476" s="760"/>
      <c r="K3476" s="760"/>
    </row>
    <row r="3477" spans="1:11">
      <c r="A3477" s="760"/>
      <c r="B3477" s="760"/>
      <c r="C3477" s="760"/>
      <c r="D3477" s="760"/>
      <c r="E3477" s="760"/>
      <c r="F3477" s="760"/>
      <c r="G3477" s="760"/>
      <c r="H3477" s="760"/>
      <c r="I3477" s="760"/>
      <c r="J3477" s="760"/>
      <c r="K3477" s="760"/>
    </row>
    <row r="3478" spans="1:11">
      <c r="A3478" s="760"/>
      <c r="B3478" s="760"/>
      <c r="C3478" s="760"/>
      <c r="D3478" s="760"/>
      <c r="E3478" s="760"/>
      <c r="F3478" s="760"/>
      <c r="G3478" s="760"/>
      <c r="H3478" s="760"/>
      <c r="I3478" s="760"/>
      <c r="J3478" s="760"/>
      <c r="K3478" s="760"/>
    </row>
    <row r="3479" spans="1:11">
      <c r="A3479" s="760"/>
      <c r="B3479" s="760"/>
      <c r="C3479" s="760"/>
      <c r="D3479" s="760"/>
      <c r="E3479" s="760"/>
      <c r="F3479" s="760"/>
      <c r="G3479" s="760"/>
      <c r="H3479" s="760"/>
      <c r="I3479" s="760"/>
      <c r="J3479" s="760"/>
      <c r="K3479" s="760"/>
    </row>
    <row r="3480" spans="1:11">
      <c r="A3480" s="760"/>
      <c r="B3480" s="760"/>
      <c r="C3480" s="760"/>
      <c r="D3480" s="760"/>
      <c r="E3480" s="760"/>
      <c r="F3480" s="760"/>
      <c r="G3480" s="760"/>
      <c r="H3480" s="760"/>
      <c r="I3480" s="760"/>
      <c r="J3480" s="760"/>
      <c r="K3480" s="760"/>
    </row>
    <row r="3481" spans="1:11">
      <c r="A3481" s="760"/>
      <c r="B3481" s="760"/>
      <c r="C3481" s="760"/>
      <c r="D3481" s="760"/>
      <c r="E3481" s="760"/>
      <c r="F3481" s="760"/>
      <c r="G3481" s="760"/>
      <c r="H3481" s="760"/>
      <c r="I3481" s="760"/>
      <c r="J3481" s="760"/>
      <c r="K3481" s="760"/>
    </row>
    <row r="3482" spans="1:11">
      <c r="A3482" s="760"/>
      <c r="B3482" s="760"/>
      <c r="C3482" s="760"/>
      <c r="D3482" s="760"/>
      <c r="E3482" s="760"/>
      <c r="F3482" s="760"/>
      <c r="G3482" s="760"/>
      <c r="H3482" s="760"/>
      <c r="I3482" s="760"/>
      <c r="J3482" s="760"/>
      <c r="K3482" s="760"/>
    </row>
    <row r="3483" spans="1:11">
      <c r="A3483" s="760"/>
      <c r="B3483" s="760"/>
      <c r="C3483" s="760"/>
      <c r="D3483" s="760"/>
      <c r="E3483" s="760"/>
      <c r="F3483" s="760"/>
      <c r="G3483" s="760"/>
      <c r="H3483" s="760"/>
      <c r="I3483" s="760"/>
      <c r="J3483" s="760"/>
      <c r="K3483" s="760"/>
    </row>
    <row r="3484" spans="1:11">
      <c r="A3484" s="760"/>
      <c r="B3484" s="760"/>
      <c r="C3484" s="760"/>
      <c r="D3484" s="760"/>
      <c r="E3484" s="760"/>
      <c r="F3484" s="760"/>
      <c r="G3484" s="760"/>
      <c r="H3484" s="760"/>
      <c r="I3484" s="760"/>
      <c r="J3484" s="760"/>
      <c r="K3484" s="760"/>
    </row>
    <row r="3485" spans="1:11">
      <c r="A3485" s="760"/>
      <c r="B3485" s="760"/>
      <c r="C3485" s="760"/>
      <c r="D3485" s="760"/>
      <c r="E3485" s="760"/>
      <c r="F3485" s="760"/>
      <c r="G3485" s="760"/>
      <c r="H3485" s="760"/>
      <c r="I3485" s="760"/>
      <c r="J3485" s="760"/>
      <c r="K3485" s="760"/>
    </row>
    <row r="3486" spans="1:11">
      <c r="A3486" s="760"/>
      <c r="B3486" s="760"/>
      <c r="C3486" s="760"/>
      <c r="D3486" s="760"/>
      <c r="E3486" s="760"/>
      <c r="F3486" s="760"/>
      <c r="G3486" s="760"/>
      <c r="H3486" s="760"/>
      <c r="I3486" s="760"/>
      <c r="J3486" s="760"/>
      <c r="K3486" s="760"/>
    </row>
    <row r="3487" spans="1:11">
      <c r="A3487" s="760"/>
      <c r="B3487" s="760"/>
      <c r="C3487" s="760"/>
      <c r="D3487" s="760"/>
      <c r="E3487" s="760"/>
      <c r="F3487" s="760"/>
      <c r="G3487" s="760"/>
      <c r="H3487" s="760"/>
      <c r="I3487" s="760"/>
      <c r="J3487" s="760"/>
      <c r="K3487" s="760"/>
    </row>
    <row r="3488" spans="1:11">
      <c r="A3488" s="760"/>
      <c r="B3488" s="760"/>
      <c r="C3488" s="760"/>
      <c r="D3488" s="760"/>
      <c r="E3488" s="760"/>
      <c r="F3488" s="760"/>
      <c r="G3488" s="760"/>
      <c r="H3488" s="760"/>
      <c r="I3488" s="760"/>
      <c r="J3488" s="760"/>
      <c r="K3488" s="760"/>
    </row>
    <row r="3489" spans="1:11">
      <c r="A3489" s="760"/>
      <c r="B3489" s="760"/>
      <c r="C3489" s="760"/>
      <c r="D3489" s="760"/>
      <c r="E3489" s="760"/>
      <c r="F3489" s="760"/>
      <c r="G3489" s="760"/>
      <c r="H3489" s="760"/>
      <c r="I3489" s="760"/>
      <c r="J3489" s="760"/>
      <c r="K3489" s="760"/>
    </row>
    <row r="3490" spans="1:11">
      <c r="A3490" s="760"/>
      <c r="B3490" s="760"/>
      <c r="C3490" s="760"/>
      <c r="D3490" s="760"/>
      <c r="E3490" s="760"/>
      <c r="F3490" s="760"/>
      <c r="G3490" s="760"/>
      <c r="H3490" s="760"/>
      <c r="I3490" s="760"/>
      <c r="J3490" s="760"/>
      <c r="K3490" s="760"/>
    </row>
    <row r="3491" spans="1:11">
      <c r="A3491" s="760"/>
      <c r="B3491" s="760"/>
      <c r="C3491" s="760"/>
      <c r="D3491" s="760"/>
      <c r="E3491" s="760"/>
      <c r="F3491" s="760"/>
      <c r="G3491" s="760"/>
      <c r="H3491" s="760"/>
      <c r="I3491" s="760"/>
      <c r="J3491" s="760"/>
      <c r="K3491" s="760"/>
    </row>
    <row r="3492" spans="1:11">
      <c r="A3492" s="760"/>
      <c r="B3492" s="760"/>
      <c r="C3492" s="760"/>
      <c r="D3492" s="760"/>
      <c r="E3492" s="760"/>
      <c r="F3492" s="760"/>
      <c r="G3492" s="760"/>
      <c r="H3492" s="760"/>
      <c r="I3492" s="760"/>
      <c r="J3492" s="760"/>
      <c r="K3492" s="760"/>
    </row>
    <row r="3493" spans="1:11">
      <c r="A3493" s="760"/>
      <c r="B3493" s="760"/>
      <c r="C3493" s="760"/>
      <c r="D3493" s="760"/>
      <c r="E3493" s="760"/>
      <c r="F3493" s="760"/>
      <c r="G3493" s="760"/>
      <c r="H3493" s="760"/>
      <c r="I3493" s="760"/>
      <c r="J3493" s="760"/>
      <c r="K3493" s="760"/>
    </row>
    <row r="3494" spans="1:11">
      <c r="A3494" s="760"/>
      <c r="B3494" s="760"/>
      <c r="C3494" s="760"/>
      <c r="D3494" s="760"/>
      <c r="E3494" s="760"/>
      <c r="F3494" s="760"/>
      <c r="G3494" s="760"/>
      <c r="H3494" s="760"/>
      <c r="I3494" s="760"/>
      <c r="J3494" s="760"/>
      <c r="K3494" s="760"/>
    </row>
    <row r="3495" spans="1:11">
      <c r="A3495" s="760"/>
      <c r="B3495" s="760"/>
      <c r="C3495" s="760"/>
      <c r="D3495" s="760"/>
      <c r="E3495" s="760"/>
      <c r="F3495" s="760"/>
      <c r="G3495" s="760"/>
      <c r="H3495" s="760"/>
      <c r="I3495" s="760"/>
      <c r="J3495" s="760"/>
      <c r="K3495" s="760"/>
    </row>
    <row r="3496" spans="1:11">
      <c r="A3496" s="760"/>
      <c r="B3496" s="760"/>
      <c r="C3496" s="760"/>
      <c r="D3496" s="760"/>
      <c r="E3496" s="760"/>
      <c r="F3496" s="760"/>
      <c r="G3496" s="760"/>
      <c r="H3496" s="760"/>
      <c r="I3496" s="760"/>
      <c r="J3496" s="760"/>
      <c r="K3496" s="760"/>
    </row>
    <row r="3497" spans="1:11">
      <c r="A3497" s="760"/>
      <c r="B3497" s="760"/>
      <c r="C3497" s="760"/>
      <c r="D3497" s="760"/>
      <c r="E3497" s="760"/>
      <c r="F3497" s="760"/>
      <c r="G3497" s="760"/>
      <c r="H3497" s="760"/>
      <c r="I3497" s="760"/>
      <c r="J3497" s="760"/>
      <c r="K3497" s="760"/>
    </row>
    <row r="3498" spans="1:11">
      <c r="A3498" s="760"/>
      <c r="B3498" s="760"/>
      <c r="C3498" s="760"/>
      <c r="D3498" s="760"/>
      <c r="E3498" s="760"/>
      <c r="F3498" s="760"/>
      <c r="G3498" s="760"/>
      <c r="H3498" s="760"/>
      <c r="I3498" s="760"/>
      <c r="J3498" s="760"/>
      <c r="K3498" s="760"/>
    </row>
    <row r="3499" spans="1:11">
      <c r="A3499" s="760"/>
      <c r="B3499" s="760"/>
      <c r="C3499" s="760"/>
      <c r="D3499" s="760"/>
      <c r="E3499" s="760"/>
      <c r="F3499" s="760"/>
      <c r="G3499" s="760"/>
      <c r="H3499" s="760"/>
      <c r="I3499" s="760"/>
      <c r="J3499" s="760"/>
      <c r="K3499" s="760"/>
    </row>
    <row r="3500" spans="1:11">
      <c r="A3500" s="760"/>
      <c r="B3500" s="760"/>
      <c r="C3500" s="760"/>
      <c r="D3500" s="760"/>
      <c r="E3500" s="760"/>
      <c r="F3500" s="760"/>
      <c r="G3500" s="760"/>
      <c r="H3500" s="760"/>
      <c r="I3500" s="760"/>
      <c r="J3500" s="760"/>
      <c r="K3500" s="760"/>
    </row>
    <row r="3501" spans="1:11">
      <c r="A3501" s="760"/>
      <c r="B3501" s="760"/>
      <c r="C3501" s="760"/>
      <c r="D3501" s="760"/>
      <c r="E3501" s="760"/>
      <c r="F3501" s="760"/>
      <c r="G3501" s="760"/>
      <c r="H3501" s="760"/>
      <c r="I3501" s="760"/>
      <c r="J3501" s="760"/>
      <c r="K3501" s="760"/>
    </row>
    <row r="3502" spans="1:11">
      <c r="A3502" s="760"/>
      <c r="B3502" s="760"/>
      <c r="C3502" s="760"/>
      <c r="D3502" s="760"/>
      <c r="E3502" s="760"/>
      <c r="F3502" s="760"/>
      <c r="G3502" s="760"/>
      <c r="H3502" s="760"/>
      <c r="I3502" s="760"/>
      <c r="J3502" s="760"/>
      <c r="K3502" s="760"/>
    </row>
    <row r="3503" spans="1:11">
      <c r="A3503" s="760"/>
      <c r="B3503" s="760"/>
      <c r="C3503" s="760"/>
      <c r="D3503" s="760"/>
      <c r="E3503" s="760"/>
      <c r="F3503" s="760"/>
      <c r="G3503" s="760"/>
      <c r="H3503" s="760"/>
      <c r="I3503" s="760"/>
      <c r="J3503" s="760"/>
      <c r="K3503" s="760"/>
    </row>
    <row r="3504" spans="1:11">
      <c r="A3504" s="760"/>
      <c r="B3504" s="760"/>
      <c r="C3504" s="760"/>
      <c r="D3504" s="760"/>
      <c r="E3504" s="760"/>
      <c r="F3504" s="760"/>
      <c r="G3504" s="760"/>
      <c r="H3504" s="760"/>
      <c r="I3504" s="760"/>
      <c r="J3504" s="760"/>
      <c r="K3504" s="760"/>
    </row>
    <row r="3505" spans="1:11">
      <c r="A3505" s="760"/>
      <c r="B3505" s="760"/>
      <c r="C3505" s="760"/>
      <c r="D3505" s="760"/>
      <c r="E3505" s="760"/>
      <c r="F3505" s="760"/>
      <c r="G3505" s="760"/>
      <c r="H3505" s="760"/>
      <c r="I3505" s="760"/>
      <c r="J3505" s="760"/>
      <c r="K3505" s="760"/>
    </row>
    <row r="3506" spans="1:11">
      <c r="A3506" s="760"/>
      <c r="B3506" s="760"/>
      <c r="C3506" s="760"/>
      <c r="D3506" s="760"/>
      <c r="E3506" s="760"/>
      <c r="F3506" s="760"/>
      <c r="G3506" s="760"/>
      <c r="H3506" s="760"/>
      <c r="I3506" s="760"/>
      <c r="J3506" s="760"/>
      <c r="K3506" s="760"/>
    </row>
    <row r="3507" spans="1:11">
      <c r="A3507" s="760"/>
      <c r="B3507" s="760"/>
      <c r="C3507" s="760"/>
      <c r="D3507" s="760"/>
      <c r="E3507" s="760"/>
      <c r="F3507" s="760"/>
      <c r="G3507" s="760"/>
      <c r="H3507" s="760"/>
      <c r="I3507" s="760"/>
      <c r="J3507" s="760"/>
      <c r="K3507" s="760"/>
    </row>
    <row r="3508" spans="1:11">
      <c r="A3508" s="760"/>
      <c r="B3508" s="760"/>
      <c r="C3508" s="760"/>
      <c r="D3508" s="760"/>
      <c r="E3508" s="760"/>
      <c r="F3508" s="760"/>
      <c r="G3508" s="760"/>
      <c r="H3508" s="760"/>
      <c r="I3508" s="760"/>
      <c r="J3508" s="760"/>
      <c r="K3508" s="760"/>
    </row>
    <row r="3509" spans="1:11">
      <c r="A3509" s="760"/>
      <c r="B3509" s="760"/>
      <c r="C3509" s="760"/>
      <c r="D3509" s="760"/>
      <c r="E3509" s="760"/>
      <c r="F3509" s="760"/>
      <c r="G3509" s="760"/>
      <c r="H3509" s="760"/>
      <c r="I3509" s="760"/>
      <c r="J3509" s="760"/>
      <c r="K3509" s="760"/>
    </row>
    <row r="3510" spans="1:11">
      <c r="A3510" s="760"/>
      <c r="B3510" s="760"/>
      <c r="C3510" s="760"/>
      <c r="D3510" s="760"/>
      <c r="E3510" s="760"/>
      <c r="F3510" s="760"/>
      <c r="G3510" s="760"/>
      <c r="H3510" s="760"/>
      <c r="I3510" s="760"/>
      <c r="J3510" s="760"/>
      <c r="K3510" s="760"/>
    </row>
    <row r="3511" spans="1:11">
      <c r="A3511" s="760"/>
      <c r="B3511" s="760"/>
      <c r="C3511" s="760"/>
      <c r="D3511" s="760"/>
      <c r="E3511" s="760"/>
      <c r="F3511" s="760"/>
      <c r="G3511" s="760"/>
      <c r="H3511" s="760"/>
      <c r="I3511" s="760"/>
      <c r="J3511" s="760"/>
      <c r="K3511" s="760"/>
    </row>
    <row r="3512" spans="1:11">
      <c r="A3512" s="760"/>
      <c r="B3512" s="760"/>
      <c r="C3512" s="760"/>
      <c r="D3512" s="760"/>
      <c r="E3512" s="760"/>
      <c r="F3512" s="760"/>
      <c r="G3512" s="760"/>
      <c r="H3512" s="760"/>
      <c r="I3512" s="760"/>
      <c r="J3512" s="760"/>
      <c r="K3512" s="760"/>
    </row>
    <row r="3513" spans="1:11">
      <c r="A3513" s="760"/>
      <c r="B3513" s="760"/>
      <c r="C3513" s="760"/>
      <c r="D3513" s="760"/>
      <c r="E3513" s="760"/>
      <c r="F3513" s="760"/>
      <c r="G3513" s="760"/>
      <c r="H3513" s="760"/>
      <c r="I3513" s="760"/>
      <c r="J3513" s="760"/>
      <c r="K3513" s="760"/>
    </row>
    <row r="3514" spans="1:11">
      <c r="A3514" s="760"/>
      <c r="B3514" s="760"/>
      <c r="C3514" s="760"/>
      <c r="D3514" s="760"/>
      <c r="E3514" s="760"/>
      <c r="F3514" s="760"/>
      <c r="G3514" s="760"/>
      <c r="H3514" s="760"/>
      <c r="I3514" s="760"/>
      <c r="J3514" s="760"/>
      <c r="K3514" s="760"/>
    </row>
    <row r="3515" spans="1:11">
      <c r="A3515" s="760"/>
      <c r="B3515" s="760"/>
      <c r="C3515" s="760"/>
      <c r="D3515" s="760"/>
      <c r="E3515" s="760"/>
      <c r="F3515" s="760"/>
      <c r="G3515" s="760"/>
      <c r="H3515" s="760"/>
      <c r="I3515" s="760"/>
      <c r="J3515" s="760"/>
      <c r="K3515" s="760"/>
    </row>
    <row r="3516" spans="1:11">
      <c r="A3516" s="760"/>
      <c r="B3516" s="760"/>
      <c r="C3516" s="760"/>
      <c r="D3516" s="760"/>
      <c r="E3516" s="760"/>
      <c r="F3516" s="760"/>
      <c r="G3516" s="760"/>
      <c r="H3516" s="760"/>
      <c r="I3516" s="760"/>
      <c r="J3516" s="760"/>
      <c r="K3516" s="760"/>
    </row>
    <row r="3517" spans="1:11">
      <c r="A3517" s="760"/>
      <c r="B3517" s="760"/>
      <c r="C3517" s="760"/>
      <c r="D3517" s="760"/>
      <c r="E3517" s="760"/>
      <c r="F3517" s="760"/>
      <c r="G3517" s="760"/>
      <c r="H3517" s="760"/>
      <c r="I3517" s="760"/>
      <c r="J3517" s="760"/>
      <c r="K3517" s="760"/>
    </row>
    <row r="3518" spans="1:11">
      <c r="A3518" s="760"/>
      <c r="B3518" s="760"/>
      <c r="C3518" s="760"/>
      <c r="D3518" s="760"/>
      <c r="E3518" s="760"/>
      <c r="F3518" s="760"/>
      <c r="G3518" s="760"/>
      <c r="H3518" s="760"/>
      <c r="I3518" s="760"/>
      <c r="J3518" s="760"/>
      <c r="K3518" s="760"/>
    </row>
    <row r="3519" spans="1:11">
      <c r="A3519" s="760"/>
      <c r="B3519" s="760"/>
      <c r="C3519" s="760"/>
      <c r="D3519" s="760"/>
      <c r="E3519" s="760"/>
      <c r="F3519" s="760"/>
      <c r="G3519" s="760"/>
      <c r="H3519" s="760"/>
      <c r="I3519" s="760"/>
      <c r="J3519" s="760"/>
      <c r="K3519" s="760"/>
    </row>
    <row r="3520" spans="1:11">
      <c r="A3520" s="760"/>
      <c r="B3520" s="760"/>
      <c r="C3520" s="760"/>
      <c r="D3520" s="760"/>
      <c r="E3520" s="760"/>
      <c r="F3520" s="760"/>
      <c r="G3520" s="760"/>
      <c r="H3520" s="760"/>
      <c r="I3520" s="760"/>
      <c r="J3520" s="760"/>
      <c r="K3520" s="760"/>
    </row>
    <row r="3521" spans="1:11">
      <c r="A3521" s="760"/>
      <c r="B3521" s="760"/>
      <c r="C3521" s="760"/>
      <c r="D3521" s="760"/>
      <c r="E3521" s="760"/>
      <c r="F3521" s="760"/>
      <c r="G3521" s="760"/>
      <c r="H3521" s="760"/>
      <c r="I3521" s="760"/>
      <c r="J3521" s="760"/>
      <c r="K3521" s="760"/>
    </row>
    <row r="3522" spans="1:11">
      <c r="A3522" s="760"/>
      <c r="B3522" s="760"/>
      <c r="C3522" s="760"/>
      <c r="D3522" s="760"/>
      <c r="E3522" s="760"/>
      <c r="F3522" s="760"/>
      <c r="G3522" s="760"/>
      <c r="H3522" s="760"/>
      <c r="I3522" s="760"/>
      <c r="J3522" s="760"/>
      <c r="K3522" s="760"/>
    </row>
    <row r="3523" spans="1:11">
      <c r="A3523" s="760"/>
      <c r="B3523" s="760"/>
      <c r="C3523" s="760"/>
      <c r="D3523" s="760"/>
      <c r="E3523" s="760"/>
      <c r="F3523" s="760"/>
      <c r="G3523" s="760"/>
      <c r="H3523" s="760"/>
      <c r="I3523" s="760"/>
      <c r="J3523" s="760"/>
      <c r="K3523" s="760"/>
    </row>
    <row r="3524" spans="1:11">
      <c r="A3524" s="760"/>
      <c r="B3524" s="760"/>
      <c r="C3524" s="760"/>
      <c r="D3524" s="760"/>
      <c r="E3524" s="760"/>
      <c r="F3524" s="760"/>
      <c r="G3524" s="760"/>
      <c r="H3524" s="760"/>
      <c r="I3524" s="760"/>
      <c r="J3524" s="760"/>
      <c r="K3524" s="760"/>
    </row>
    <row r="3525" spans="1:11">
      <c r="A3525" s="760"/>
      <c r="B3525" s="760"/>
      <c r="C3525" s="760"/>
      <c r="D3525" s="760"/>
      <c r="E3525" s="760"/>
      <c r="F3525" s="760"/>
      <c r="G3525" s="760"/>
      <c r="H3525" s="760"/>
      <c r="I3525" s="760"/>
      <c r="J3525" s="760"/>
      <c r="K3525" s="760"/>
    </row>
    <row r="3526" spans="1:11">
      <c r="A3526" s="760"/>
      <c r="B3526" s="760"/>
      <c r="C3526" s="760"/>
      <c r="D3526" s="760"/>
      <c r="E3526" s="760"/>
      <c r="F3526" s="760"/>
      <c r="G3526" s="760"/>
      <c r="H3526" s="760"/>
      <c r="I3526" s="760"/>
      <c r="J3526" s="760"/>
      <c r="K3526" s="760"/>
    </row>
    <row r="3527" spans="1:11">
      <c r="A3527" s="760"/>
      <c r="B3527" s="760"/>
      <c r="C3527" s="760"/>
      <c r="D3527" s="760"/>
      <c r="E3527" s="760"/>
      <c r="F3527" s="760"/>
      <c r="G3527" s="760"/>
      <c r="H3527" s="760"/>
      <c r="I3527" s="760"/>
      <c r="J3527" s="760"/>
      <c r="K3527" s="760"/>
    </row>
    <row r="3528" spans="1:11">
      <c r="A3528" s="760"/>
      <c r="B3528" s="760"/>
      <c r="C3528" s="760"/>
      <c r="D3528" s="760"/>
      <c r="E3528" s="760"/>
      <c r="F3528" s="760"/>
      <c r="G3528" s="760"/>
      <c r="H3528" s="760"/>
      <c r="I3528" s="760"/>
      <c r="J3528" s="760"/>
      <c r="K3528" s="760"/>
    </row>
    <row r="3529" spans="1:11">
      <c r="A3529" s="760"/>
      <c r="B3529" s="760"/>
      <c r="C3529" s="760"/>
      <c r="D3529" s="760"/>
      <c r="E3529" s="760"/>
      <c r="F3529" s="760"/>
      <c r="G3529" s="760"/>
      <c r="H3529" s="760"/>
      <c r="I3529" s="760"/>
      <c r="J3529" s="760"/>
      <c r="K3529" s="760"/>
    </row>
    <row r="3530" spans="1:11">
      <c r="A3530" s="760"/>
      <c r="B3530" s="760"/>
      <c r="C3530" s="760"/>
      <c r="D3530" s="760"/>
      <c r="E3530" s="760"/>
      <c r="F3530" s="760"/>
      <c r="G3530" s="760"/>
      <c r="H3530" s="760"/>
      <c r="I3530" s="760"/>
      <c r="J3530" s="760"/>
      <c r="K3530" s="760"/>
    </row>
    <row r="3531" spans="1:11">
      <c r="A3531" s="760"/>
      <c r="B3531" s="760"/>
      <c r="C3531" s="760"/>
      <c r="D3531" s="760"/>
      <c r="E3531" s="760"/>
      <c r="F3531" s="760"/>
      <c r="G3531" s="760"/>
      <c r="H3531" s="760"/>
      <c r="I3531" s="760"/>
      <c r="J3531" s="760"/>
      <c r="K3531" s="760"/>
    </row>
    <row r="3532" spans="1:11">
      <c r="A3532" s="760"/>
      <c r="B3532" s="760"/>
      <c r="C3532" s="760"/>
      <c r="D3532" s="760"/>
      <c r="E3532" s="760"/>
      <c r="F3532" s="760"/>
      <c r="G3532" s="760"/>
      <c r="H3532" s="760"/>
      <c r="I3532" s="760"/>
      <c r="J3532" s="760"/>
      <c r="K3532" s="760"/>
    </row>
    <row r="3533" spans="1:11">
      <c r="A3533" s="760"/>
      <c r="B3533" s="760"/>
      <c r="C3533" s="760"/>
      <c r="D3533" s="760"/>
      <c r="E3533" s="760"/>
      <c r="F3533" s="760"/>
      <c r="G3533" s="760"/>
      <c r="H3533" s="760"/>
      <c r="I3533" s="760"/>
      <c r="J3533" s="760"/>
      <c r="K3533" s="760"/>
    </row>
    <row r="3534" spans="1:11">
      <c r="A3534" s="760"/>
      <c r="B3534" s="760"/>
      <c r="C3534" s="760"/>
      <c r="D3534" s="760"/>
      <c r="E3534" s="760"/>
      <c r="F3534" s="760"/>
      <c r="G3534" s="760"/>
      <c r="H3534" s="760"/>
      <c r="I3534" s="760"/>
      <c r="J3534" s="760"/>
      <c r="K3534" s="760"/>
    </row>
    <row r="3535" spans="1:11">
      <c r="A3535" s="760"/>
      <c r="B3535" s="760"/>
      <c r="C3535" s="760"/>
      <c r="D3535" s="760"/>
      <c r="E3535" s="760"/>
      <c r="F3535" s="760"/>
      <c r="G3535" s="760"/>
      <c r="H3535" s="760"/>
      <c r="I3535" s="760"/>
      <c r="J3535" s="760"/>
      <c r="K3535" s="760"/>
    </row>
    <row r="3536" spans="1:11">
      <c r="A3536" s="760"/>
      <c r="B3536" s="760"/>
      <c r="C3536" s="760"/>
      <c r="D3536" s="760"/>
      <c r="E3536" s="760"/>
      <c r="F3536" s="760"/>
      <c r="G3536" s="760"/>
      <c r="H3536" s="760"/>
      <c r="I3536" s="760"/>
      <c r="J3536" s="760"/>
      <c r="K3536" s="760"/>
    </row>
    <row r="3537" spans="1:11">
      <c r="A3537" s="760"/>
      <c r="B3537" s="760"/>
      <c r="C3537" s="760"/>
      <c r="D3537" s="760"/>
      <c r="E3537" s="760"/>
      <c r="F3537" s="760"/>
      <c r="G3537" s="760"/>
      <c r="H3537" s="760"/>
      <c r="I3537" s="760"/>
      <c r="J3537" s="760"/>
      <c r="K3537" s="760"/>
    </row>
    <row r="3538" spans="1:11">
      <c r="A3538" s="760"/>
      <c r="B3538" s="760"/>
      <c r="C3538" s="760"/>
      <c r="D3538" s="760"/>
      <c r="E3538" s="760"/>
      <c r="F3538" s="760"/>
      <c r="G3538" s="760"/>
      <c r="H3538" s="760"/>
      <c r="I3538" s="760"/>
      <c r="J3538" s="760"/>
      <c r="K3538" s="760"/>
    </row>
    <row r="3539" spans="1:11">
      <c r="A3539" s="760"/>
      <c r="B3539" s="760"/>
      <c r="C3539" s="760"/>
      <c r="D3539" s="760"/>
      <c r="E3539" s="760"/>
      <c r="F3539" s="760"/>
      <c r="G3539" s="760"/>
      <c r="H3539" s="760"/>
      <c r="I3539" s="760"/>
      <c r="J3539" s="760"/>
      <c r="K3539" s="760"/>
    </row>
    <row r="3540" spans="1:11">
      <c r="A3540" s="760"/>
      <c r="B3540" s="760"/>
      <c r="C3540" s="760"/>
      <c r="D3540" s="760"/>
      <c r="E3540" s="760"/>
      <c r="F3540" s="760"/>
      <c r="G3540" s="760"/>
      <c r="H3540" s="760"/>
      <c r="I3540" s="760"/>
      <c r="J3540" s="760"/>
      <c r="K3540" s="760"/>
    </row>
    <row r="3541" spans="1:11">
      <c r="A3541" s="760"/>
      <c r="B3541" s="760"/>
      <c r="C3541" s="760"/>
      <c r="D3541" s="760"/>
      <c r="E3541" s="760"/>
      <c r="F3541" s="760"/>
      <c r="G3541" s="760"/>
      <c r="H3541" s="760"/>
      <c r="I3541" s="760"/>
      <c r="J3541" s="760"/>
      <c r="K3541" s="760"/>
    </row>
    <row r="3542" spans="1:11">
      <c r="A3542" s="760"/>
      <c r="B3542" s="760"/>
      <c r="C3542" s="760"/>
      <c r="D3542" s="760"/>
      <c r="E3542" s="760"/>
      <c r="F3542" s="760"/>
      <c r="G3542" s="760"/>
      <c r="H3542" s="760"/>
      <c r="I3542" s="760"/>
      <c r="J3542" s="760"/>
      <c r="K3542" s="760"/>
    </row>
    <row r="3543" spans="1:11">
      <c r="A3543" s="760"/>
      <c r="B3543" s="760"/>
      <c r="C3543" s="760"/>
      <c r="D3543" s="760"/>
      <c r="E3543" s="760"/>
      <c r="F3543" s="760"/>
      <c r="G3543" s="760"/>
      <c r="H3543" s="760"/>
      <c r="I3543" s="760"/>
      <c r="J3543" s="760"/>
      <c r="K3543" s="760"/>
    </row>
    <row r="3544" spans="1:11">
      <c r="A3544" s="760"/>
      <c r="B3544" s="760"/>
      <c r="C3544" s="760"/>
      <c r="D3544" s="760"/>
      <c r="E3544" s="760"/>
      <c r="F3544" s="760"/>
      <c r="G3544" s="760"/>
      <c r="H3544" s="760"/>
      <c r="I3544" s="760"/>
      <c r="J3544" s="760"/>
      <c r="K3544" s="760"/>
    </row>
    <row r="3545" spans="1:11">
      <c r="A3545" s="760"/>
      <c r="B3545" s="760"/>
      <c r="C3545" s="760"/>
      <c r="D3545" s="760"/>
      <c r="E3545" s="760"/>
      <c r="F3545" s="760"/>
      <c r="G3545" s="760"/>
      <c r="H3545" s="760"/>
      <c r="I3545" s="760"/>
      <c r="J3545" s="760"/>
      <c r="K3545" s="760"/>
    </row>
    <row r="3546" spans="1:11">
      <c r="A3546" s="760"/>
      <c r="B3546" s="760"/>
      <c r="C3546" s="760"/>
      <c r="D3546" s="760"/>
      <c r="E3546" s="760"/>
      <c r="F3546" s="760"/>
      <c r="G3546" s="760"/>
      <c r="H3546" s="760"/>
      <c r="I3546" s="760"/>
      <c r="J3546" s="760"/>
      <c r="K3546" s="760"/>
    </row>
    <row r="3547" spans="1:11">
      <c r="A3547" s="760"/>
      <c r="B3547" s="760"/>
      <c r="C3547" s="760"/>
      <c r="D3547" s="760"/>
      <c r="E3547" s="760"/>
      <c r="F3547" s="760"/>
      <c r="G3547" s="760"/>
      <c r="H3547" s="760"/>
      <c r="I3547" s="760"/>
      <c r="J3547" s="760"/>
      <c r="K3547" s="760"/>
    </row>
    <row r="3548" spans="1:11">
      <c r="A3548" s="760"/>
      <c r="B3548" s="760"/>
      <c r="C3548" s="760"/>
      <c r="D3548" s="760"/>
      <c r="E3548" s="760"/>
      <c r="F3548" s="760"/>
      <c r="G3548" s="760"/>
      <c r="H3548" s="760"/>
      <c r="I3548" s="760"/>
      <c r="J3548" s="760"/>
      <c r="K3548" s="760"/>
    </row>
    <row r="3549" spans="1:11">
      <c r="A3549" s="760"/>
      <c r="B3549" s="760"/>
      <c r="C3549" s="760"/>
      <c r="D3549" s="760"/>
      <c r="E3549" s="760"/>
      <c r="F3549" s="760"/>
      <c r="G3549" s="760"/>
      <c r="H3549" s="760"/>
      <c r="I3549" s="760"/>
      <c r="J3549" s="760"/>
      <c r="K3549" s="760"/>
    </row>
    <row r="3550" spans="1:11">
      <c r="A3550" s="760"/>
      <c r="B3550" s="760"/>
      <c r="C3550" s="760"/>
      <c r="D3550" s="760"/>
      <c r="E3550" s="760"/>
      <c r="F3550" s="760"/>
      <c r="G3550" s="760"/>
      <c r="H3550" s="760"/>
      <c r="I3550" s="760"/>
      <c r="J3550" s="760"/>
      <c r="K3550" s="760"/>
    </row>
    <row r="3551" spans="1:11">
      <c r="A3551" s="760"/>
      <c r="B3551" s="760"/>
      <c r="C3551" s="760"/>
      <c r="D3551" s="760"/>
      <c r="E3551" s="760"/>
      <c r="F3551" s="760"/>
      <c r="G3551" s="760"/>
      <c r="H3551" s="760"/>
      <c r="I3551" s="760"/>
      <c r="J3551" s="760"/>
      <c r="K3551" s="760"/>
    </row>
    <row r="3552" spans="1:11">
      <c r="A3552" s="760"/>
      <c r="B3552" s="760"/>
      <c r="C3552" s="760"/>
      <c r="D3552" s="760"/>
      <c r="E3552" s="760"/>
      <c r="F3552" s="760"/>
      <c r="G3552" s="760"/>
      <c r="H3552" s="760"/>
      <c r="I3552" s="760"/>
      <c r="J3552" s="760"/>
      <c r="K3552" s="760"/>
    </row>
    <row r="3553" spans="1:11">
      <c r="A3553" s="760"/>
      <c r="B3553" s="760"/>
      <c r="C3553" s="760"/>
      <c r="D3553" s="760"/>
      <c r="E3553" s="760"/>
      <c r="F3553" s="760"/>
      <c r="G3553" s="760"/>
      <c r="H3553" s="760"/>
      <c r="I3553" s="760"/>
      <c r="J3553" s="760"/>
      <c r="K3553" s="760"/>
    </row>
    <row r="3554" spans="1:11">
      <c r="A3554" s="760"/>
      <c r="B3554" s="760"/>
      <c r="C3554" s="760"/>
      <c r="D3554" s="760"/>
      <c r="E3554" s="760"/>
      <c r="F3554" s="760"/>
      <c r="G3554" s="760"/>
      <c r="H3554" s="760"/>
      <c r="I3554" s="760"/>
      <c r="J3554" s="760"/>
      <c r="K3554" s="760"/>
    </row>
    <row r="3555" spans="1:11">
      <c r="A3555" s="760"/>
      <c r="B3555" s="760"/>
      <c r="C3555" s="760"/>
      <c r="D3555" s="760"/>
      <c r="E3555" s="760"/>
      <c r="F3555" s="760"/>
      <c r="G3555" s="760"/>
      <c r="H3555" s="760"/>
      <c r="I3555" s="760"/>
      <c r="J3555" s="760"/>
      <c r="K3555" s="760"/>
    </row>
    <row r="3556" spans="1:11">
      <c r="A3556" s="760"/>
      <c r="B3556" s="760"/>
      <c r="C3556" s="760"/>
      <c r="D3556" s="760"/>
      <c r="E3556" s="760"/>
      <c r="F3556" s="760"/>
      <c r="G3556" s="760"/>
      <c r="H3556" s="760"/>
      <c r="I3556" s="760"/>
      <c r="J3556" s="760"/>
      <c r="K3556" s="760"/>
    </row>
    <row r="3557" spans="1:11">
      <c r="A3557" s="760"/>
      <c r="B3557" s="760"/>
      <c r="C3557" s="760"/>
      <c r="D3557" s="760"/>
      <c r="E3557" s="760"/>
      <c r="F3557" s="760"/>
      <c r="G3557" s="760"/>
      <c r="H3557" s="760"/>
      <c r="I3557" s="760"/>
      <c r="J3557" s="760"/>
      <c r="K3557" s="760"/>
    </row>
    <row r="3558" spans="1:11">
      <c r="A3558" s="760"/>
      <c r="B3558" s="760"/>
      <c r="C3558" s="760"/>
      <c r="D3558" s="760"/>
      <c r="E3558" s="760"/>
      <c r="F3558" s="760"/>
      <c r="G3558" s="760"/>
      <c r="H3558" s="760"/>
      <c r="I3558" s="760"/>
      <c r="J3558" s="760"/>
      <c r="K3558" s="760"/>
    </row>
    <row r="3559" spans="1:11">
      <c r="A3559" s="760"/>
      <c r="B3559" s="760"/>
      <c r="C3559" s="760"/>
      <c r="D3559" s="760"/>
      <c r="E3559" s="760"/>
      <c r="F3559" s="760"/>
      <c r="G3559" s="760"/>
      <c r="H3559" s="760"/>
      <c r="I3559" s="760"/>
      <c r="J3559" s="760"/>
      <c r="K3559" s="760"/>
    </row>
    <row r="3560" spans="1:11">
      <c r="A3560" s="760"/>
      <c r="B3560" s="760"/>
      <c r="C3560" s="760"/>
      <c r="D3560" s="760"/>
      <c r="E3560" s="760"/>
      <c r="F3560" s="760"/>
      <c r="G3560" s="760"/>
      <c r="H3560" s="760"/>
      <c r="I3560" s="760"/>
      <c r="J3560" s="760"/>
      <c r="K3560" s="760"/>
    </row>
    <row r="3561" spans="1:11">
      <c r="A3561" s="760"/>
      <c r="B3561" s="760"/>
      <c r="C3561" s="760"/>
      <c r="D3561" s="760"/>
      <c r="E3561" s="760"/>
      <c r="F3561" s="760"/>
      <c r="G3561" s="760"/>
      <c r="H3561" s="760"/>
      <c r="I3561" s="760"/>
      <c r="J3561" s="760"/>
      <c r="K3561" s="760"/>
    </row>
    <row r="3562" spans="1:11">
      <c r="A3562" s="760"/>
      <c r="B3562" s="760"/>
      <c r="C3562" s="760"/>
      <c r="D3562" s="760"/>
      <c r="E3562" s="760"/>
      <c r="F3562" s="760"/>
      <c r="G3562" s="760"/>
      <c r="H3562" s="760"/>
      <c r="I3562" s="760"/>
      <c r="J3562" s="760"/>
      <c r="K3562" s="760"/>
    </row>
    <row r="3563" spans="1:11">
      <c r="A3563" s="760"/>
      <c r="B3563" s="760"/>
      <c r="C3563" s="760"/>
      <c r="D3563" s="760"/>
      <c r="E3563" s="760"/>
      <c r="F3563" s="760"/>
      <c r="G3563" s="760"/>
      <c r="H3563" s="760"/>
      <c r="I3563" s="760"/>
      <c r="J3563" s="760"/>
      <c r="K3563" s="760"/>
    </row>
    <row r="3564" spans="1:11">
      <c r="A3564" s="760"/>
      <c r="B3564" s="760"/>
      <c r="C3564" s="760"/>
      <c r="D3564" s="760"/>
      <c r="E3564" s="760"/>
      <c r="F3564" s="760"/>
      <c r="G3564" s="760"/>
      <c r="H3564" s="760"/>
      <c r="I3564" s="760"/>
      <c r="J3564" s="760"/>
      <c r="K3564" s="760"/>
    </row>
    <row r="3565" spans="1:11">
      <c r="A3565" s="760"/>
      <c r="B3565" s="760"/>
      <c r="C3565" s="760"/>
      <c r="D3565" s="760"/>
      <c r="E3565" s="760"/>
      <c r="F3565" s="760"/>
      <c r="G3565" s="760"/>
      <c r="H3565" s="760"/>
      <c r="I3565" s="760"/>
      <c r="J3565" s="760"/>
      <c r="K3565" s="760"/>
    </row>
    <row r="3566" spans="1:11">
      <c r="A3566" s="760"/>
      <c r="B3566" s="760"/>
      <c r="C3566" s="760"/>
      <c r="D3566" s="760"/>
      <c r="E3566" s="760"/>
      <c r="F3566" s="760"/>
      <c r="G3566" s="760"/>
      <c r="H3566" s="760"/>
      <c r="I3566" s="760"/>
      <c r="J3566" s="760"/>
      <c r="K3566" s="760"/>
    </row>
    <row r="3567" spans="1:11">
      <c r="A3567" s="760"/>
      <c r="B3567" s="760"/>
      <c r="C3567" s="760"/>
      <c r="D3567" s="760"/>
      <c r="E3567" s="760"/>
      <c r="F3567" s="760"/>
      <c r="G3567" s="760"/>
      <c r="H3567" s="760"/>
      <c r="I3567" s="760"/>
      <c r="J3567" s="760"/>
      <c r="K3567" s="760"/>
    </row>
    <row r="3568" spans="1:11">
      <c r="A3568" s="760"/>
      <c r="B3568" s="760"/>
      <c r="C3568" s="760"/>
      <c r="D3568" s="760"/>
      <c r="E3568" s="760"/>
      <c r="F3568" s="760"/>
      <c r="G3568" s="760"/>
      <c r="H3568" s="760"/>
      <c r="I3568" s="760"/>
      <c r="J3568" s="760"/>
      <c r="K3568" s="760"/>
    </row>
    <row r="3569" spans="1:11">
      <c r="A3569" s="760"/>
      <c r="B3569" s="760"/>
      <c r="C3569" s="760"/>
      <c r="D3569" s="760"/>
      <c r="E3569" s="760"/>
      <c r="F3569" s="760"/>
      <c r="G3569" s="760"/>
      <c r="H3569" s="760"/>
      <c r="I3569" s="760"/>
      <c r="J3569" s="760"/>
      <c r="K3569" s="760"/>
    </row>
    <row r="3570" spans="1:11">
      <c r="A3570" s="760"/>
      <c r="B3570" s="760"/>
      <c r="C3570" s="760"/>
      <c r="D3570" s="760"/>
      <c r="E3570" s="760"/>
      <c r="F3570" s="760"/>
      <c r="G3570" s="760"/>
      <c r="H3570" s="760"/>
      <c r="I3570" s="760"/>
      <c r="J3570" s="760"/>
      <c r="K3570" s="760"/>
    </row>
    <row r="3571" spans="1:11">
      <c r="A3571" s="760"/>
      <c r="B3571" s="760"/>
      <c r="C3571" s="760"/>
      <c r="D3571" s="760"/>
      <c r="E3571" s="760"/>
      <c r="F3571" s="760"/>
      <c r="G3571" s="760"/>
      <c r="H3571" s="760"/>
      <c r="I3571" s="760"/>
      <c r="J3571" s="760"/>
      <c r="K3571" s="760"/>
    </row>
    <row r="3572" spans="1:11">
      <c r="A3572" s="760"/>
      <c r="B3572" s="760"/>
      <c r="C3572" s="760"/>
      <c r="D3572" s="760"/>
      <c r="E3572" s="760"/>
      <c r="F3572" s="760"/>
      <c r="G3572" s="760"/>
      <c r="H3572" s="760"/>
      <c r="I3572" s="760"/>
      <c r="J3572" s="760"/>
      <c r="K3572" s="760"/>
    </row>
    <row r="3573" spans="1:11">
      <c r="A3573" s="760"/>
      <c r="B3573" s="760"/>
      <c r="C3573" s="760"/>
      <c r="D3573" s="760"/>
      <c r="E3573" s="760"/>
      <c r="F3573" s="760"/>
      <c r="G3573" s="760"/>
      <c r="H3573" s="760"/>
      <c r="I3573" s="760"/>
      <c r="J3573" s="760"/>
      <c r="K3573" s="760"/>
    </row>
    <row r="3574" spans="1:11">
      <c r="A3574" s="760"/>
      <c r="B3574" s="760"/>
      <c r="C3574" s="760"/>
      <c r="D3574" s="760"/>
      <c r="E3574" s="760"/>
      <c r="F3574" s="760"/>
      <c r="G3574" s="760"/>
      <c r="H3574" s="760"/>
      <c r="I3574" s="760"/>
      <c r="J3574" s="760"/>
      <c r="K3574" s="760"/>
    </row>
    <row r="3575" spans="1:11">
      <c r="A3575" s="760"/>
      <c r="B3575" s="760"/>
      <c r="C3575" s="760"/>
      <c r="D3575" s="760"/>
      <c r="E3575" s="760"/>
      <c r="F3575" s="760"/>
      <c r="G3575" s="760"/>
      <c r="H3575" s="760"/>
      <c r="I3575" s="760"/>
      <c r="J3575" s="760"/>
      <c r="K3575" s="760"/>
    </row>
    <row r="3576" spans="1:11">
      <c r="A3576" s="760"/>
      <c r="B3576" s="760"/>
      <c r="C3576" s="760"/>
      <c r="D3576" s="760"/>
      <c r="E3576" s="760"/>
      <c r="F3576" s="760"/>
      <c r="G3576" s="760"/>
      <c r="H3576" s="760"/>
      <c r="I3576" s="760"/>
      <c r="J3576" s="760"/>
      <c r="K3576" s="760"/>
    </row>
    <row r="3577" spans="1:11">
      <c r="A3577" s="760"/>
      <c r="B3577" s="760"/>
      <c r="C3577" s="760"/>
      <c r="D3577" s="760"/>
      <c r="E3577" s="760"/>
      <c r="F3577" s="760"/>
      <c r="G3577" s="760"/>
      <c r="H3577" s="760"/>
      <c r="I3577" s="760"/>
      <c r="J3577" s="760"/>
      <c r="K3577" s="760"/>
    </row>
    <row r="3578" spans="1:11">
      <c r="A3578" s="760"/>
      <c r="B3578" s="760"/>
      <c r="C3578" s="760"/>
      <c r="D3578" s="760"/>
      <c r="E3578" s="760"/>
      <c r="F3578" s="760"/>
      <c r="G3578" s="760"/>
      <c r="H3578" s="760"/>
      <c r="I3578" s="760"/>
      <c r="J3578" s="760"/>
      <c r="K3578" s="760"/>
    </row>
    <row r="3579" spans="1:11">
      <c r="A3579" s="760"/>
      <c r="B3579" s="760"/>
      <c r="C3579" s="760"/>
      <c r="D3579" s="760"/>
      <c r="E3579" s="760"/>
      <c r="F3579" s="760"/>
      <c r="G3579" s="760"/>
      <c r="H3579" s="760"/>
      <c r="I3579" s="760"/>
      <c r="J3579" s="760"/>
      <c r="K3579" s="760"/>
    </row>
    <row r="3580" spans="1:11">
      <c r="A3580" s="760"/>
      <c r="B3580" s="760"/>
      <c r="C3580" s="760"/>
      <c r="D3580" s="760"/>
      <c r="E3580" s="760"/>
      <c r="F3580" s="760"/>
      <c r="G3580" s="760"/>
      <c r="H3580" s="760"/>
      <c r="I3580" s="760"/>
      <c r="J3580" s="760"/>
      <c r="K3580" s="760"/>
    </row>
    <row r="3581" spans="1:11">
      <c r="A3581" s="760"/>
      <c r="B3581" s="760"/>
      <c r="C3581" s="760"/>
      <c r="D3581" s="760"/>
      <c r="E3581" s="760"/>
      <c r="F3581" s="760"/>
      <c r="G3581" s="760"/>
      <c r="H3581" s="760"/>
      <c r="I3581" s="760"/>
      <c r="J3581" s="760"/>
      <c r="K3581" s="760"/>
    </row>
    <row r="3582" spans="1:11">
      <c r="A3582" s="760"/>
      <c r="B3582" s="760"/>
      <c r="C3582" s="760"/>
      <c r="D3582" s="760"/>
      <c r="E3582" s="760"/>
      <c r="F3582" s="760"/>
      <c r="G3582" s="760"/>
      <c r="H3582" s="760"/>
      <c r="I3582" s="760"/>
      <c r="J3582" s="760"/>
      <c r="K3582" s="760"/>
    </row>
    <row r="3583" spans="1:11">
      <c r="A3583" s="760"/>
      <c r="B3583" s="760"/>
      <c r="C3583" s="760"/>
      <c r="D3583" s="760"/>
      <c r="E3583" s="760"/>
      <c r="F3583" s="760"/>
      <c r="G3583" s="760"/>
      <c r="H3583" s="760"/>
      <c r="I3583" s="760"/>
      <c r="J3583" s="760"/>
      <c r="K3583" s="760"/>
    </row>
    <row r="3584" spans="1:11">
      <c r="A3584" s="760"/>
      <c r="B3584" s="760"/>
      <c r="C3584" s="760"/>
      <c r="D3584" s="760"/>
      <c r="E3584" s="760"/>
      <c r="F3584" s="760"/>
      <c r="G3584" s="760"/>
      <c r="H3584" s="760"/>
      <c r="I3584" s="760"/>
      <c r="J3584" s="760"/>
      <c r="K3584" s="760"/>
    </row>
    <row r="3585" spans="1:11">
      <c r="A3585" s="760"/>
      <c r="B3585" s="760"/>
      <c r="C3585" s="760"/>
      <c r="D3585" s="760"/>
      <c r="E3585" s="760"/>
      <c r="F3585" s="760"/>
      <c r="G3585" s="760"/>
      <c r="H3585" s="760"/>
      <c r="I3585" s="760"/>
      <c r="J3585" s="760"/>
      <c r="K3585" s="760"/>
    </row>
    <row r="3586" spans="1:11">
      <c r="A3586" s="760"/>
      <c r="B3586" s="760"/>
      <c r="C3586" s="760"/>
      <c r="D3586" s="760"/>
      <c r="E3586" s="760"/>
      <c r="F3586" s="760"/>
      <c r="G3586" s="760"/>
      <c r="H3586" s="760"/>
      <c r="I3586" s="760"/>
      <c r="J3586" s="760"/>
      <c r="K3586" s="760"/>
    </row>
    <row r="3587" spans="1:11">
      <c r="A3587" s="760"/>
      <c r="B3587" s="760"/>
      <c r="C3587" s="760"/>
      <c r="D3587" s="760"/>
      <c r="E3587" s="760"/>
      <c r="F3587" s="760"/>
      <c r="G3587" s="760"/>
      <c r="H3587" s="760"/>
      <c r="I3587" s="760"/>
      <c r="J3587" s="760"/>
      <c r="K3587" s="760"/>
    </row>
    <row r="3588" spans="1:11">
      <c r="A3588" s="760"/>
      <c r="B3588" s="760"/>
      <c r="C3588" s="760"/>
      <c r="D3588" s="760"/>
      <c r="E3588" s="760"/>
      <c r="F3588" s="760"/>
      <c r="G3588" s="760"/>
      <c r="H3588" s="760"/>
      <c r="I3588" s="760"/>
      <c r="J3588" s="760"/>
      <c r="K3588" s="760"/>
    </row>
    <row r="3589" spans="1:11">
      <c r="A3589" s="760"/>
      <c r="B3589" s="760"/>
      <c r="C3589" s="760"/>
      <c r="D3589" s="760"/>
      <c r="E3589" s="760"/>
      <c r="F3589" s="760"/>
      <c r="G3589" s="760"/>
      <c r="H3589" s="760"/>
      <c r="I3589" s="760"/>
      <c r="J3589" s="760"/>
      <c r="K3589" s="760"/>
    </row>
    <row r="3590" spans="1:11">
      <c r="A3590" s="760"/>
      <c r="B3590" s="760"/>
      <c r="C3590" s="760"/>
      <c r="D3590" s="760"/>
      <c r="E3590" s="760"/>
      <c r="F3590" s="760"/>
      <c r="G3590" s="760"/>
      <c r="H3590" s="760"/>
      <c r="I3590" s="760"/>
      <c r="J3590" s="760"/>
      <c r="K3590" s="760"/>
    </row>
    <row r="3591" spans="1:11">
      <c r="A3591" s="760"/>
      <c r="B3591" s="760"/>
      <c r="C3591" s="760"/>
      <c r="D3591" s="760"/>
      <c r="E3591" s="760"/>
      <c r="F3591" s="760"/>
      <c r="G3591" s="760"/>
      <c r="H3591" s="760"/>
      <c r="I3591" s="760"/>
      <c r="J3591" s="760"/>
      <c r="K3591" s="760"/>
    </row>
    <row r="3592" spans="1:11">
      <c r="A3592" s="760"/>
      <c r="B3592" s="760"/>
      <c r="C3592" s="760"/>
      <c r="D3592" s="760"/>
      <c r="E3592" s="760"/>
      <c r="F3592" s="760"/>
      <c r="G3592" s="760"/>
      <c r="H3592" s="760"/>
      <c r="I3592" s="760"/>
      <c r="J3592" s="760"/>
      <c r="K3592" s="760"/>
    </row>
    <row r="3593" spans="1:11">
      <c r="A3593" s="760"/>
      <c r="B3593" s="760"/>
      <c r="C3593" s="760"/>
      <c r="D3593" s="760"/>
      <c r="E3593" s="760"/>
      <c r="F3593" s="760"/>
      <c r="G3593" s="760"/>
      <c r="H3593" s="760"/>
      <c r="I3593" s="760"/>
      <c r="J3593" s="760"/>
      <c r="K3593" s="760"/>
    </row>
    <row r="3594" spans="1:11">
      <c r="A3594" s="760"/>
      <c r="B3594" s="760"/>
      <c r="C3594" s="760"/>
      <c r="D3594" s="760"/>
      <c r="E3594" s="760"/>
      <c r="F3594" s="760"/>
      <c r="G3594" s="760"/>
      <c r="H3594" s="760"/>
      <c r="I3594" s="760"/>
      <c r="J3594" s="760"/>
      <c r="K3594" s="760"/>
    </row>
    <row r="3595" spans="1:11">
      <c r="A3595" s="760"/>
      <c r="B3595" s="760"/>
      <c r="C3595" s="760"/>
      <c r="D3595" s="760"/>
      <c r="E3595" s="760"/>
      <c r="F3595" s="760"/>
      <c r="G3595" s="760"/>
      <c r="H3595" s="760"/>
      <c r="I3595" s="760"/>
      <c r="J3595" s="760"/>
      <c r="K3595" s="760"/>
    </row>
    <row r="3596" spans="1:11">
      <c r="A3596" s="760"/>
      <c r="B3596" s="760"/>
      <c r="C3596" s="760"/>
      <c r="D3596" s="760"/>
      <c r="E3596" s="760"/>
      <c r="F3596" s="760"/>
      <c r="G3596" s="760"/>
      <c r="H3596" s="760"/>
      <c r="I3596" s="760"/>
      <c r="J3596" s="760"/>
      <c r="K3596" s="760"/>
    </row>
    <row r="3597" spans="1:11">
      <c r="A3597" s="760"/>
      <c r="B3597" s="760"/>
      <c r="C3597" s="760"/>
      <c r="D3597" s="760"/>
      <c r="E3597" s="760"/>
      <c r="F3597" s="760"/>
      <c r="G3597" s="760"/>
      <c r="H3597" s="760"/>
      <c r="I3597" s="760"/>
      <c r="J3597" s="760"/>
      <c r="K3597" s="760"/>
    </row>
    <row r="3598" spans="1:11">
      <c r="A3598" s="760"/>
      <c r="B3598" s="760"/>
      <c r="C3598" s="760"/>
      <c r="D3598" s="760"/>
      <c r="E3598" s="760"/>
      <c r="F3598" s="760"/>
      <c r="G3598" s="760"/>
      <c r="H3598" s="760"/>
      <c r="I3598" s="760"/>
      <c r="J3598" s="760"/>
      <c r="K3598" s="760"/>
    </row>
    <row r="3599" spans="1:11">
      <c r="A3599" s="760"/>
      <c r="B3599" s="760"/>
      <c r="C3599" s="760"/>
      <c r="D3599" s="760"/>
      <c r="E3599" s="760"/>
      <c r="F3599" s="760"/>
      <c r="G3599" s="760"/>
      <c r="H3599" s="760"/>
      <c r="I3599" s="760"/>
      <c r="J3599" s="760"/>
      <c r="K3599" s="760"/>
    </row>
    <row r="3600" spans="1:11">
      <c r="A3600" s="760"/>
      <c r="B3600" s="760"/>
      <c r="C3600" s="760"/>
      <c r="D3600" s="760"/>
      <c r="E3600" s="760"/>
      <c r="F3600" s="760"/>
      <c r="G3600" s="760"/>
      <c r="H3600" s="760"/>
      <c r="I3600" s="760"/>
      <c r="J3600" s="760"/>
      <c r="K3600" s="760"/>
    </row>
    <row r="3601" spans="1:11">
      <c r="A3601" s="760"/>
      <c r="B3601" s="760"/>
      <c r="C3601" s="760"/>
      <c r="D3601" s="760"/>
      <c r="E3601" s="760"/>
      <c r="F3601" s="760"/>
      <c r="G3601" s="760"/>
      <c r="H3601" s="760"/>
      <c r="I3601" s="760"/>
      <c r="J3601" s="760"/>
      <c r="K3601" s="760"/>
    </row>
    <row r="3602" spans="1:11">
      <c r="A3602" s="760"/>
      <c r="B3602" s="760"/>
      <c r="C3602" s="760"/>
      <c r="D3602" s="760"/>
      <c r="E3602" s="760"/>
      <c r="F3602" s="760"/>
      <c r="G3602" s="760"/>
      <c r="H3602" s="760"/>
      <c r="I3602" s="760"/>
      <c r="J3602" s="760"/>
      <c r="K3602" s="760"/>
    </row>
    <row r="3603" spans="1:11">
      <c r="A3603" s="760"/>
      <c r="B3603" s="760"/>
      <c r="C3603" s="760"/>
      <c r="D3603" s="760"/>
      <c r="E3603" s="760"/>
      <c r="F3603" s="760"/>
      <c r="G3603" s="760"/>
      <c r="H3603" s="760"/>
      <c r="I3603" s="760"/>
      <c r="J3603" s="760"/>
      <c r="K3603" s="760"/>
    </row>
    <row r="3604" spans="1:11">
      <c r="A3604" s="760"/>
      <c r="B3604" s="760"/>
      <c r="C3604" s="760"/>
      <c r="D3604" s="760"/>
      <c r="E3604" s="760"/>
      <c r="F3604" s="760"/>
      <c r="G3604" s="760"/>
      <c r="H3604" s="760"/>
      <c r="I3604" s="760"/>
      <c r="J3604" s="760"/>
      <c r="K3604" s="760"/>
    </row>
    <row r="3605" spans="1:11">
      <c r="A3605" s="760"/>
      <c r="B3605" s="760"/>
      <c r="C3605" s="760"/>
      <c r="D3605" s="760"/>
      <c r="E3605" s="760"/>
      <c r="F3605" s="760"/>
      <c r="G3605" s="760"/>
      <c r="H3605" s="760"/>
      <c r="I3605" s="760"/>
      <c r="J3605" s="760"/>
      <c r="K3605" s="760"/>
    </row>
    <row r="3606" spans="1:11">
      <c r="A3606" s="760"/>
      <c r="B3606" s="760"/>
      <c r="C3606" s="760"/>
      <c r="D3606" s="760"/>
      <c r="E3606" s="760"/>
      <c r="F3606" s="760"/>
      <c r="G3606" s="760"/>
      <c r="H3606" s="760"/>
      <c r="I3606" s="760"/>
      <c r="J3606" s="760"/>
      <c r="K3606" s="760"/>
    </row>
    <row r="3607" spans="1:11">
      <c r="A3607" s="760"/>
      <c r="B3607" s="760"/>
      <c r="C3607" s="760"/>
      <c r="D3607" s="760"/>
      <c r="E3607" s="760"/>
      <c r="F3607" s="760"/>
      <c r="G3607" s="760"/>
      <c r="H3607" s="760"/>
      <c r="I3607" s="760"/>
      <c r="J3607" s="760"/>
      <c r="K3607" s="760"/>
    </row>
    <row r="3608" spans="1:11">
      <c r="A3608" s="760"/>
      <c r="B3608" s="760"/>
      <c r="C3608" s="760"/>
      <c r="D3608" s="760"/>
      <c r="E3608" s="760"/>
      <c r="F3608" s="760"/>
      <c r="G3608" s="760"/>
      <c r="H3608" s="760"/>
      <c r="I3608" s="760"/>
      <c r="J3608" s="760"/>
      <c r="K3608" s="760"/>
    </row>
    <row r="3609" spans="1:11">
      <c r="A3609" s="760"/>
      <c r="B3609" s="760"/>
      <c r="C3609" s="760"/>
      <c r="D3609" s="760"/>
      <c r="E3609" s="760"/>
      <c r="F3609" s="760"/>
      <c r="G3609" s="760"/>
      <c r="H3609" s="760"/>
      <c r="I3609" s="760"/>
      <c r="J3609" s="760"/>
      <c r="K3609" s="760"/>
    </row>
    <row r="3610" spans="1:11">
      <c r="A3610" s="760"/>
      <c r="B3610" s="760"/>
      <c r="C3610" s="760"/>
      <c r="D3610" s="760"/>
      <c r="E3610" s="760"/>
      <c r="F3610" s="760"/>
      <c r="G3610" s="760"/>
      <c r="H3610" s="760"/>
      <c r="I3610" s="760"/>
      <c r="J3610" s="760"/>
      <c r="K3610" s="760"/>
    </row>
    <row r="3611" spans="1:11">
      <c r="A3611" s="760"/>
      <c r="B3611" s="760"/>
      <c r="C3611" s="760"/>
      <c r="D3611" s="760"/>
      <c r="E3611" s="760"/>
      <c r="F3611" s="760"/>
      <c r="G3611" s="760"/>
      <c r="H3611" s="760"/>
      <c r="I3611" s="760"/>
      <c r="J3611" s="760"/>
      <c r="K3611" s="760"/>
    </row>
    <row r="3612" spans="1:11">
      <c r="A3612" s="760"/>
      <c r="B3612" s="760"/>
      <c r="C3612" s="760"/>
      <c r="D3612" s="760"/>
      <c r="E3612" s="760"/>
      <c r="F3612" s="760"/>
      <c r="G3612" s="760"/>
      <c r="H3612" s="760"/>
      <c r="I3612" s="760"/>
      <c r="J3612" s="760"/>
      <c r="K3612" s="760"/>
    </row>
    <row r="3613" spans="1:11">
      <c r="A3613" s="760"/>
      <c r="B3613" s="760"/>
      <c r="C3613" s="760"/>
      <c r="D3613" s="760"/>
      <c r="E3613" s="760"/>
      <c r="F3613" s="760"/>
      <c r="G3613" s="760"/>
      <c r="H3613" s="760"/>
      <c r="I3613" s="760"/>
      <c r="J3613" s="760"/>
      <c r="K3613" s="760"/>
    </row>
    <row r="3614" spans="1:11">
      <c r="A3614" s="760"/>
      <c r="B3614" s="760"/>
      <c r="C3614" s="760"/>
      <c r="D3614" s="760"/>
      <c r="E3614" s="760"/>
      <c r="F3614" s="760"/>
      <c r="G3614" s="760"/>
      <c r="H3614" s="760"/>
      <c r="I3614" s="760"/>
      <c r="J3614" s="760"/>
      <c r="K3614" s="760"/>
    </row>
    <row r="3615" spans="1:11">
      <c r="A3615" s="760"/>
      <c r="B3615" s="760"/>
      <c r="C3615" s="760"/>
      <c r="D3615" s="760"/>
      <c r="E3615" s="760"/>
      <c r="F3615" s="760"/>
      <c r="G3615" s="760"/>
      <c r="H3615" s="760"/>
      <c r="I3615" s="760"/>
      <c r="J3615" s="760"/>
      <c r="K3615" s="760"/>
    </row>
    <row r="3616" spans="1:11">
      <c r="A3616" s="760"/>
      <c r="B3616" s="760"/>
      <c r="C3616" s="760"/>
      <c r="D3616" s="760"/>
      <c r="E3616" s="760"/>
      <c r="F3616" s="760"/>
      <c r="G3616" s="760"/>
      <c r="H3616" s="760"/>
      <c r="I3616" s="760"/>
      <c r="J3616" s="760"/>
      <c r="K3616" s="760"/>
    </row>
    <row r="3617" spans="1:11">
      <c r="A3617" s="760"/>
      <c r="B3617" s="760"/>
      <c r="C3617" s="760"/>
      <c r="D3617" s="760"/>
      <c r="E3617" s="760"/>
      <c r="F3617" s="760"/>
      <c r="G3617" s="760"/>
      <c r="H3617" s="760"/>
      <c r="I3617" s="760"/>
      <c r="J3617" s="760"/>
      <c r="K3617" s="760"/>
    </row>
    <row r="3618" spans="1:11">
      <c r="A3618" s="760"/>
      <c r="B3618" s="760"/>
      <c r="C3618" s="760"/>
      <c r="D3618" s="760"/>
      <c r="E3618" s="760"/>
      <c r="F3618" s="760"/>
      <c r="G3618" s="760"/>
      <c r="H3618" s="760"/>
      <c r="I3618" s="760"/>
      <c r="J3618" s="760"/>
      <c r="K3618" s="760"/>
    </row>
    <row r="3619" spans="1:11">
      <c r="A3619" s="760"/>
      <c r="B3619" s="760"/>
      <c r="C3619" s="760"/>
      <c r="D3619" s="760"/>
      <c r="E3619" s="760"/>
      <c r="F3619" s="760"/>
      <c r="G3619" s="760"/>
      <c r="H3619" s="760"/>
      <c r="I3619" s="760"/>
      <c r="J3619" s="760"/>
      <c r="K3619" s="760"/>
    </row>
    <row r="3620" spans="1:11">
      <c r="A3620" s="760"/>
      <c r="B3620" s="760"/>
      <c r="C3620" s="760"/>
      <c r="D3620" s="760"/>
      <c r="E3620" s="760"/>
      <c r="F3620" s="760"/>
      <c r="G3620" s="760"/>
      <c r="H3620" s="760"/>
      <c r="I3620" s="760"/>
      <c r="J3620" s="760"/>
      <c r="K3620" s="760"/>
    </row>
    <row r="3621" spans="1:11">
      <c r="A3621" s="760"/>
      <c r="B3621" s="760"/>
      <c r="C3621" s="760"/>
      <c r="D3621" s="760"/>
      <c r="E3621" s="760"/>
      <c r="F3621" s="760"/>
      <c r="G3621" s="760"/>
      <c r="H3621" s="760"/>
      <c r="I3621" s="760"/>
      <c r="J3621" s="760"/>
      <c r="K3621" s="760"/>
    </row>
    <row r="3622" spans="1:11">
      <c r="A3622" s="760"/>
      <c r="B3622" s="760"/>
      <c r="C3622" s="760"/>
      <c r="D3622" s="760"/>
      <c r="E3622" s="760"/>
      <c r="F3622" s="760"/>
      <c r="G3622" s="760"/>
      <c r="H3622" s="760"/>
      <c r="I3622" s="760"/>
      <c r="J3622" s="760"/>
      <c r="K3622" s="760"/>
    </row>
    <row r="3623" spans="1:11">
      <c r="A3623" s="760"/>
      <c r="B3623" s="760"/>
      <c r="C3623" s="760"/>
      <c r="D3623" s="760"/>
      <c r="E3623" s="760"/>
      <c r="F3623" s="760"/>
      <c r="G3623" s="760"/>
      <c r="H3623" s="760"/>
      <c r="I3623" s="760"/>
      <c r="J3623" s="760"/>
      <c r="K3623" s="760"/>
    </row>
    <row r="3624" spans="1:11">
      <c r="A3624" s="760"/>
      <c r="B3624" s="760"/>
      <c r="C3624" s="760"/>
      <c r="D3624" s="760"/>
      <c r="E3624" s="760"/>
      <c r="F3624" s="760"/>
      <c r="G3624" s="760"/>
      <c r="H3624" s="760"/>
      <c r="I3624" s="760"/>
      <c r="J3624" s="760"/>
      <c r="K3624" s="760"/>
    </row>
    <row r="3625" spans="1:11">
      <c r="A3625" s="760"/>
      <c r="B3625" s="760"/>
      <c r="C3625" s="760"/>
      <c r="D3625" s="760"/>
      <c r="E3625" s="760"/>
      <c r="F3625" s="760"/>
      <c r="G3625" s="760"/>
      <c r="H3625" s="760"/>
      <c r="I3625" s="760"/>
      <c r="J3625" s="760"/>
      <c r="K3625" s="760"/>
    </row>
    <row r="3626" spans="1:11">
      <c r="A3626" s="760"/>
      <c r="B3626" s="760"/>
      <c r="C3626" s="760"/>
      <c r="D3626" s="760"/>
      <c r="E3626" s="760"/>
      <c r="F3626" s="760"/>
      <c r="G3626" s="760"/>
      <c r="H3626" s="760"/>
      <c r="I3626" s="760"/>
      <c r="J3626" s="760"/>
      <c r="K3626" s="760"/>
    </row>
    <row r="3627" spans="1:11">
      <c r="A3627" s="760"/>
      <c r="B3627" s="760"/>
      <c r="C3627" s="760"/>
      <c r="D3627" s="760"/>
      <c r="E3627" s="760"/>
      <c r="F3627" s="760"/>
      <c r="G3627" s="760"/>
      <c r="H3627" s="760"/>
      <c r="I3627" s="760"/>
      <c r="J3627" s="760"/>
      <c r="K3627" s="760"/>
    </row>
    <row r="3628" spans="1:11">
      <c r="A3628" s="760"/>
      <c r="B3628" s="760"/>
      <c r="C3628" s="760"/>
      <c r="D3628" s="760"/>
      <c r="E3628" s="760"/>
      <c r="F3628" s="760"/>
      <c r="G3628" s="760"/>
      <c r="H3628" s="760"/>
      <c r="I3628" s="760"/>
      <c r="J3628" s="760"/>
      <c r="K3628" s="760"/>
    </row>
    <row r="3629" spans="1:11">
      <c r="A3629" s="760"/>
      <c r="B3629" s="760"/>
      <c r="C3629" s="760"/>
      <c r="D3629" s="760"/>
      <c r="E3629" s="760"/>
      <c r="F3629" s="760"/>
      <c r="G3629" s="760"/>
      <c r="H3629" s="760"/>
      <c r="I3629" s="760"/>
      <c r="J3629" s="760"/>
      <c r="K3629" s="760"/>
    </row>
    <row r="3630" spans="1:11">
      <c r="A3630" s="760"/>
      <c r="B3630" s="760"/>
      <c r="C3630" s="760"/>
      <c r="D3630" s="760"/>
      <c r="E3630" s="760"/>
      <c r="F3630" s="760"/>
      <c r="G3630" s="760"/>
      <c r="H3630" s="760"/>
      <c r="I3630" s="760"/>
      <c r="J3630" s="760"/>
      <c r="K3630" s="760"/>
    </row>
    <row r="3631" spans="1:11">
      <c r="A3631" s="760"/>
      <c r="B3631" s="760"/>
      <c r="C3631" s="760"/>
      <c r="D3631" s="760"/>
      <c r="E3631" s="760"/>
      <c r="F3631" s="760"/>
      <c r="G3631" s="760"/>
      <c r="H3631" s="760"/>
      <c r="I3631" s="760"/>
      <c r="J3631" s="760"/>
      <c r="K3631" s="760"/>
    </row>
    <row r="3632" spans="1:11">
      <c r="A3632" s="760"/>
      <c r="B3632" s="760"/>
      <c r="C3632" s="760"/>
      <c r="D3632" s="760"/>
      <c r="E3632" s="760"/>
      <c r="F3632" s="760"/>
      <c r="G3632" s="760"/>
      <c r="H3632" s="760"/>
      <c r="I3632" s="760"/>
      <c r="J3632" s="760"/>
      <c r="K3632" s="760"/>
    </row>
    <row r="3633" spans="1:11">
      <c r="A3633" s="760"/>
      <c r="B3633" s="760"/>
      <c r="C3633" s="760"/>
      <c r="D3633" s="760"/>
      <c r="E3633" s="760"/>
      <c r="F3633" s="760"/>
      <c r="G3633" s="760"/>
      <c r="H3633" s="760"/>
      <c r="I3633" s="760"/>
      <c r="J3633" s="760"/>
      <c r="K3633" s="760"/>
    </row>
    <row r="3634" spans="1:11">
      <c r="A3634" s="760"/>
      <c r="B3634" s="760"/>
      <c r="C3634" s="760"/>
      <c r="D3634" s="760"/>
      <c r="E3634" s="760"/>
      <c r="F3634" s="760"/>
      <c r="G3634" s="760"/>
      <c r="H3634" s="760"/>
      <c r="I3634" s="760"/>
      <c r="J3634" s="760"/>
      <c r="K3634" s="760"/>
    </row>
    <row r="3635" spans="1:11">
      <c r="A3635" s="760"/>
      <c r="B3635" s="760"/>
      <c r="C3635" s="760"/>
      <c r="D3635" s="760"/>
      <c r="E3635" s="760"/>
      <c r="F3635" s="760"/>
      <c r="G3635" s="760"/>
      <c r="H3635" s="760"/>
      <c r="I3635" s="760"/>
      <c r="J3635" s="760"/>
      <c r="K3635" s="760"/>
    </row>
    <row r="3636" spans="1:11">
      <c r="A3636" s="760"/>
      <c r="B3636" s="760"/>
      <c r="C3636" s="760"/>
      <c r="D3636" s="760"/>
      <c r="E3636" s="760"/>
      <c r="F3636" s="760"/>
      <c r="G3636" s="760"/>
      <c r="H3636" s="760"/>
      <c r="I3636" s="760"/>
      <c r="J3636" s="760"/>
      <c r="K3636" s="760"/>
    </row>
    <row r="3637" spans="1:11">
      <c r="A3637" s="760"/>
      <c r="B3637" s="760"/>
      <c r="C3637" s="760"/>
      <c r="D3637" s="760"/>
      <c r="E3637" s="760"/>
      <c r="F3637" s="760"/>
      <c r="G3637" s="760"/>
      <c r="H3637" s="760"/>
      <c r="I3637" s="760"/>
      <c r="J3637" s="760"/>
      <c r="K3637" s="760"/>
    </row>
    <row r="3638" spans="1:11">
      <c r="A3638" s="760"/>
      <c r="B3638" s="760"/>
      <c r="C3638" s="760"/>
      <c r="D3638" s="760"/>
      <c r="E3638" s="760"/>
      <c r="F3638" s="760"/>
      <c r="G3638" s="760"/>
      <c r="H3638" s="760"/>
      <c r="I3638" s="760"/>
      <c r="J3638" s="760"/>
      <c r="K3638" s="760"/>
    </row>
    <row r="3639" spans="1:11">
      <c r="A3639" s="760"/>
      <c r="B3639" s="760"/>
      <c r="C3639" s="760"/>
      <c r="D3639" s="760"/>
      <c r="E3639" s="760"/>
      <c r="F3639" s="760"/>
      <c r="G3639" s="760"/>
      <c r="H3639" s="760"/>
      <c r="I3639" s="760"/>
      <c r="J3639" s="760"/>
      <c r="K3639" s="760"/>
    </row>
    <row r="3640" spans="1:11">
      <c r="A3640" s="760"/>
      <c r="B3640" s="760"/>
      <c r="C3640" s="760"/>
      <c r="D3640" s="760"/>
      <c r="E3640" s="760"/>
      <c r="F3640" s="760"/>
      <c r="G3640" s="760"/>
      <c r="H3640" s="760"/>
      <c r="I3640" s="760"/>
      <c r="J3640" s="760"/>
      <c r="K3640" s="760"/>
    </row>
    <row r="3641" spans="1:11">
      <c r="A3641" s="760"/>
      <c r="B3641" s="760"/>
      <c r="C3641" s="760"/>
      <c r="D3641" s="760"/>
      <c r="E3641" s="760"/>
      <c r="F3641" s="760"/>
      <c r="G3641" s="760"/>
      <c r="H3641" s="760"/>
      <c r="I3641" s="760"/>
      <c r="J3641" s="760"/>
      <c r="K3641" s="760"/>
    </row>
    <row r="3642" spans="1:11">
      <c r="A3642" s="760"/>
      <c r="B3642" s="760"/>
      <c r="C3642" s="760"/>
      <c r="D3642" s="760"/>
      <c r="E3642" s="760"/>
      <c r="F3642" s="760"/>
      <c r="G3642" s="760"/>
      <c r="H3642" s="760"/>
      <c r="I3642" s="760"/>
      <c r="J3642" s="760"/>
      <c r="K3642" s="760"/>
    </row>
    <row r="3643" spans="1:11">
      <c r="A3643" s="760"/>
      <c r="B3643" s="760"/>
      <c r="C3643" s="760"/>
      <c r="D3643" s="760"/>
      <c r="E3643" s="760"/>
      <c r="F3643" s="760"/>
      <c r="G3643" s="760"/>
      <c r="H3643" s="760"/>
      <c r="I3643" s="760"/>
      <c r="J3643" s="760"/>
      <c r="K3643" s="760"/>
    </row>
    <row r="3644" spans="1:11">
      <c r="A3644" s="760"/>
      <c r="B3644" s="760"/>
      <c r="C3644" s="760"/>
      <c r="D3644" s="760"/>
      <c r="E3644" s="760"/>
      <c r="F3644" s="760"/>
      <c r="G3644" s="760"/>
      <c r="H3644" s="760"/>
      <c r="I3644" s="760"/>
      <c r="J3644" s="760"/>
      <c r="K3644" s="760"/>
    </row>
    <row r="3645" spans="1:11">
      <c r="A3645" s="760"/>
      <c r="B3645" s="760"/>
      <c r="C3645" s="760"/>
      <c r="D3645" s="760"/>
      <c r="E3645" s="760"/>
      <c r="F3645" s="760"/>
      <c r="G3645" s="760"/>
      <c r="H3645" s="760"/>
      <c r="I3645" s="760"/>
      <c r="J3645" s="760"/>
      <c r="K3645" s="760"/>
    </row>
    <row r="3646" spans="1:11">
      <c r="A3646" s="760"/>
      <c r="B3646" s="760"/>
      <c r="C3646" s="760"/>
      <c r="D3646" s="760"/>
      <c r="E3646" s="760"/>
      <c r="F3646" s="760"/>
      <c r="G3646" s="760"/>
      <c r="H3646" s="760"/>
      <c r="I3646" s="760"/>
      <c r="J3646" s="760"/>
      <c r="K3646" s="760"/>
    </row>
    <row r="3647" spans="1:11">
      <c r="A3647" s="760"/>
      <c r="B3647" s="760"/>
      <c r="C3647" s="760"/>
      <c r="D3647" s="760"/>
      <c r="E3647" s="760"/>
      <c r="F3647" s="760"/>
      <c r="G3647" s="760"/>
      <c r="H3647" s="760"/>
      <c r="I3647" s="760"/>
      <c r="J3647" s="760"/>
      <c r="K3647" s="760"/>
    </row>
    <row r="3648" spans="1:11">
      <c r="A3648" s="760"/>
      <c r="B3648" s="760"/>
      <c r="C3648" s="760"/>
      <c r="D3648" s="760"/>
      <c r="E3648" s="760"/>
      <c r="F3648" s="760"/>
      <c r="G3648" s="760"/>
      <c r="H3648" s="760"/>
      <c r="I3648" s="760"/>
      <c r="J3648" s="760"/>
      <c r="K3648" s="760"/>
    </row>
    <row r="3649" spans="1:11">
      <c r="A3649" s="760"/>
      <c r="B3649" s="760"/>
      <c r="C3649" s="760"/>
      <c r="D3649" s="760"/>
      <c r="E3649" s="760"/>
      <c r="F3649" s="760"/>
      <c r="G3649" s="760"/>
      <c r="H3649" s="760"/>
      <c r="I3649" s="760"/>
      <c r="J3649" s="760"/>
      <c r="K3649" s="760"/>
    </row>
    <row r="3650" spans="1:11">
      <c r="A3650" s="760"/>
      <c r="B3650" s="760"/>
      <c r="C3650" s="760"/>
      <c r="D3650" s="760"/>
      <c r="E3650" s="760"/>
      <c r="F3650" s="760"/>
      <c r="G3650" s="760"/>
      <c r="H3650" s="760"/>
      <c r="I3650" s="760"/>
      <c r="J3650" s="760"/>
      <c r="K3650" s="760"/>
    </row>
    <row r="3651" spans="1:11">
      <c r="A3651" s="760"/>
      <c r="B3651" s="760"/>
      <c r="C3651" s="760"/>
      <c r="D3651" s="760"/>
      <c r="E3651" s="760"/>
      <c r="F3651" s="760"/>
      <c r="G3651" s="760"/>
      <c r="H3651" s="760"/>
      <c r="I3651" s="760"/>
      <c r="J3651" s="760"/>
      <c r="K3651" s="760"/>
    </row>
    <row r="3652" spans="1:11">
      <c r="A3652" s="760"/>
      <c r="B3652" s="760"/>
      <c r="C3652" s="760"/>
      <c r="D3652" s="760"/>
      <c r="E3652" s="760"/>
      <c r="F3652" s="760"/>
      <c r="G3652" s="760"/>
      <c r="H3652" s="760"/>
      <c r="I3652" s="760"/>
      <c r="J3652" s="760"/>
      <c r="K3652" s="760"/>
    </row>
    <row r="3653" spans="1:11">
      <c r="A3653" s="760"/>
      <c r="B3653" s="760"/>
      <c r="C3653" s="760"/>
      <c r="D3653" s="760"/>
      <c r="E3653" s="760"/>
      <c r="F3653" s="760"/>
      <c r="G3653" s="760"/>
      <c r="H3653" s="760"/>
      <c r="I3653" s="760"/>
      <c r="J3653" s="760"/>
      <c r="K3653" s="760"/>
    </row>
    <row r="3654" spans="1:11">
      <c r="A3654" s="760"/>
      <c r="B3654" s="760"/>
      <c r="C3654" s="760"/>
      <c r="D3654" s="760"/>
      <c r="E3654" s="760"/>
      <c r="F3654" s="760"/>
      <c r="G3654" s="760"/>
      <c r="H3654" s="760"/>
      <c r="I3654" s="760"/>
      <c r="J3654" s="760"/>
      <c r="K3654" s="760"/>
    </row>
    <row r="3655" spans="1:11">
      <c r="A3655" s="760"/>
      <c r="B3655" s="760"/>
      <c r="C3655" s="760"/>
      <c r="D3655" s="760"/>
      <c r="E3655" s="760"/>
      <c r="F3655" s="760"/>
      <c r="G3655" s="760"/>
      <c r="H3655" s="760"/>
      <c r="I3655" s="760"/>
      <c r="J3655" s="760"/>
      <c r="K3655" s="760"/>
    </row>
    <row r="3656" spans="1:11">
      <c r="A3656" s="760"/>
      <c r="B3656" s="760"/>
      <c r="C3656" s="760"/>
      <c r="D3656" s="760"/>
      <c r="E3656" s="760"/>
      <c r="F3656" s="760"/>
      <c r="G3656" s="760"/>
      <c r="H3656" s="760"/>
      <c r="I3656" s="760"/>
      <c r="J3656" s="760"/>
      <c r="K3656" s="760"/>
    </row>
    <row r="3657" spans="1:11">
      <c r="A3657" s="760"/>
      <c r="B3657" s="760"/>
      <c r="C3657" s="760"/>
      <c r="D3657" s="760"/>
      <c r="E3657" s="760"/>
      <c r="F3657" s="760"/>
      <c r="G3657" s="760"/>
      <c r="H3657" s="760"/>
      <c r="I3657" s="760"/>
      <c r="J3657" s="760"/>
      <c r="K3657" s="760"/>
    </row>
    <row r="3658" spans="1:11">
      <c r="A3658" s="760"/>
      <c r="B3658" s="760"/>
      <c r="C3658" s="760"/>
      <c r="D3658" s="760"/>
      <c r="E3658" s="760"/>
      <c r="F3658" s="760"/>
      <c r="G3658" s="760"/>
      <c r="H3658" s="760"/>
      <c r="I3658" s="760"/>
      <c r="J3658" s="760"/>
      <c r="K3658" s="760"/>
    </row>
    <row r="3659" spans="1:11">
      <c r="A3659" s="760"/>
      <c r="B3659" s="760"/>
      <c r="C3659" s="760"/>
      <c r="D3659" s="760"/>
      <c r="E3659" s="760"/>
      <c r="F3659" s="760"/>
      <c r="G3659" s="760"/>
      <c r="H3659" s="760"/>
      <c r="I3659" s="760"/>
      <c r="J3659" s="760"/>
      <c r="K3659" s="760"/>
    </row>
    <row r="3660" spans="1:11">
      <c r="A3660" s="760"/>
      <c r="B3660" s="760"/>
      <c r="C3660" s="760"/>
      <c r="D3660" s="760"/>
      <c r="E3660" s="760"/>
      <c r="F3660" s="760"/>
      <c r="G3660" s="760"/>
      <c r="H3660" s="760"/>
      <c r="I3660" s="760"/>
      <c r="J3660" s="760"/>
      <c r="K3660" s="760"/>
    </row>
    <row r="3661" spans="1:11">
      <c r="A3661" s="760"/>
      <c r="B3661" s="760"/>
      <c r="C3661" s="760"/>
      <c r="D3661" s="760"/>
      <c r="E3661" s="760"/>
      <c r="F3661" s="760"/>
      <c r="G3661" s="760"/>
      <c r="H3661" s="760"/>
      <c r="I3661" s="760"/>
      <c r="J3661" s="760"/>
      <c r="K3661" s="760"/>
    </row>
    <row r="3662" spans="1:11">
      <c r="A3662" s="760"/>
      <c r="B3662" s="760"/>
      <c r="C3662" s="760"/>
      <c r="D3662" s="760"/>
      <c r="E3662" s="760"/>
      <c r="F3662" s="760"/>
      <c r="G3662" s="760"/>
      <c r="H3662" s="760"/>
      <c r="I3662" s="760"/>
      <c r="J3662" s="760"/>
      <c r="K3662" s="760"/>
    </row>
    <row r="3663" spans="1:11">
      <c r="A3663" s="760"/>
      <c r="B3663" s="760"/>
      <c r="C3663" s="760"/>
      <c r="D3663" s="760"/>
      <c r="E3663" s="760"/>
      <c r="F3663" s="760"/>
      <c r="G3663" s="760"/>
      <c r="H3663" s="760"/>
      <c r="I3663" s="760"/>
      <c r="J3663" s="760"/>
      <c r="K3663" s="760"/>
    </row>
    <row r="3664" spans="1:11">
      <c r="A3664" s="760"/>
      <c r="B3664" s="760"/>
      <c r="C3664" s="760"/>
      <c r="D3664" s="760"/>
      <c r="E3664" s="760"/>
      <c r="F3664" s="760"/>
      <c r="G3664" s="760"/>
      <c r="H3664" s="760"/>
      <c r="I3664" s="760"/>
      <c r="J3664" s="760"/>
      <c r="K3664" s="760"/>
    </row>
    <row r="3665" spans="1:11">
      <c r="A3665" s="760"/>
      <c r="B3665" s="760"/>
      <c r="C3665" s="760"/>
      <c r="D3665" s="760"/>
      <c r="E3665" s="760"/>
      <c r="F3665" s="760"/>
      <c r="G3665" s="760"/>
      <c r="H3665" s="760"/>
      <c r="I3665" s="760"/>
      <c r="J3665" s="760"/>
      <c r="K3665" s="760"/>
    </row>
    <row r="3666" spans="1:11">
      <c r="A3666" s="760"/>
      <c r="B3666" s="760"/>
      <c r="C3666" s="760"/>
      <c r="D3666" s="760"/>
      <c r="E3666" s="760"/>
      <c r="F3666" s="760"/>
      <c r="G3666" s="760"/>
      <c r="H3666" s="760"/>
      <c r="I3666" s="760"/>
      <c r="J3666" s="760"/>
      <c r="K3666" s="760"/>
    </row>
    <row r="3667" spans="1:11">
      <c r="A3667" s="760"/>
      <c r="B3667" s="760"/>
      <c r="C3667" s="760"/>
      <c r="D3667" s="760"/>
      <c r="E3667" s="760"/>
      <c r="F3667" s="760"/>
      <c r="G3667" s="760"/>
      <c r="H3667" s="760"/>
      <c r="I3667" s="760"/>
      <c r="J3667" s="760"/>
      <c r="K3667" s="760"/>
    </row>
    <row r="3668" spans="1:11">
      <c r="A3668" s="760"/>
      <c r="B3668" s="760"/>
      <c r="C3668" s="760"/>
      <c r="D3668" s="760"/>
      <c r="E3668" s="760"/>
      <c r="F3668" s="760"/>
      <c r="G3668" s="760"/>
      <c r="H3668" s="760"/>
      <c r="I3668" s="760"/>
      <c r="J3668" s="760"/>
      <c r="K3668" s="760"/>
    </row>
    <row r="3669" spans="1:11">
      <c r="A3669" s="760"/>
      <c r="B3669" s="760"/>
      <c r="C3669" s="760"/>
      <c r="D3669" s="760"/>
      <c r="E3669" s="760"/>
      <c r="F3669" s="760"/>
      <c r="G3669" s="760"/>
      <c r="H3669" s="760"/>
      <c r="I3669" s="760"/>
      <c r="J3669" s="760"/>
      <c r="K3669" s="760"/>
    </row>
    <row r="3670" spans="1:11">
      <c r="A3670" s="760"/>
      <c r="B3670" s="760"/>
      <c r="C3670" s="760"/>
      <c r="D3670" s="760"/>
      <c r="E3670" s="760"/>
      <c r="F3670" s="760"/>
      <c r="G3670" s="760"/>
      <c r="H3670" s="760"/>
      <c r="I3670" s="760"/>
      <c r="J3670" s="760"/>
      <c r="K3670" s="760"/>
    </row>
    <row r="3671" spans="1:11">
      <c r="A3671" s="760"/>
      <c r="B3671" s="760"/>
      <c r="C3671" s="760"/>
      <c r="D3671" s="760"/>
      <c r="E3671" s="760"/>
      <c r="F3671" s="760"/>
      <c r="G3671" s="760"/>
      <c r="H3671" s="760"/>
      <c r="I3671" s="760"/>
      <c r="J3671" s="760"/>
      <c r="K3671" s="760"/>
    </row>
    <row r="3672" spans="1:11">
      <c r="A3672" s="760"/>
      <c r="B3672" s="760"/>
      <c r="C3672" s="760"/>
      <c r="D3672" s="760"/>
      <c r="E3672" s="760"/>
      <c r="F3672" s="760"/>
      <c r="G3672" s="760"/>
      <c r="H3672" s="760"/>
      <c r="I3672" s="760"/>
      <c r="J3672" s="760"/>
      <c r="K3672" s="760"/>
    </row>
    <row r="3673" spans="1:11">
      <c r="A3673" s="760"/>
      <c r="B3673" s="760"/>
      <c r="C3673" s="760"/>
      <c r="D3673" s="760"/>
      <c r="E3673" s="760"/>
      <c r="F3673" s="760"/>
      <c r="G3673" s="760"/>
      <c r="H3673" s="760"/>
      <c r="I3673" s="760"/>
      <c r="J3673" s="760"/>
      <c r="K3673" s="760"/>
    </row>
    <row r="3674" spans="1:11">
      <c r="A3674" s="760"/>
      <c r="B3674" s="760"/>
      <c r="C3674" s="760"/>
      <c r="D3674" s="760"/>
      <c r="E3674" s="760"/>
      <c r="F3674" s="760"/>
      <c r="G3674" s="760"/>
      <c r="H3674" s="760"/>
      <c r="I3674" s="760"/>
      <c r="J3674" s="760"/>
      <c r="K3674" s="760"/>
    </row>
    <row r="3675" spans="1:11">
      <c r="A3675" s="760"/>
      <c r="B3675" s="760"/>
      <c r="C3675" s="760"/>
      <c r="D3675" s="760"/>
      <c r="E3675" s="760"/>
      <c r="F3675" s="760"/>
      <c r="G3675" s="760"/>
      <c r="H3675" s="760"/>
      <c r="I3675" s="760"/>
      <c r="J3675" s="760"/>
      <c r="K3675" s="760"/>
    </row>
    <row r="3676" spans="1:11">
      <c r="A3676" s="760"/>
      <c r="B3676" s="760"/>
      <c r="C3676" s="760"/>
      <c r="D3676" s="760"/>
      <c r="E3676" s="760"/>
      <c r="F3676" s="760"/>
      <c r="G3676" s="760"/>
      <c r="H3676" s="760"/>
      <c r="I3676" s="760"/>
      <c r="J3676" s="760"/>
      <c r="K3676" s="760"/>
    </row>
    <row r="3677" spans="1:11">
      <c r="A3677" s="760"/>
      <c r="B3677" s="760"/>
      <c r="C3677" s="760"/>
      <c r="D3677" s="760"/>
      <c r="E3677" s="760"/>
      <c r="F3677" s="760"/>
      <c r="G3677" s="760"/>
      <c r="H3677" s="760"/>
      <c r="I3677" s="760"/>
      <c r="J3677" s="760"/>
      <c r="K3677" s="760"/>
    </row>
    <row r="3678" spans="1:11">
      <c r="A3678" s="760"/>
      <c r="B3678" s="760"/>
      <c r="C3678" s="760"/>
      <c r="D3678" s="760"/>
      <c r="E3678" s="760"/>
      <c r="F3678" s="760"/>
      <c r="G3678" s="760"/>
      <c r="H3678" s="760"/>
      <c r="I3678" s="760"/>
      <c r="J3678" s="760"/>
      <c r="K3678" s="760"/>
    </row>
    <row r="3679" spans="1:11">
      <c r="A3679" s="760"/>
      <c r="B3679" s="760"/>
      <c r="C3679" s="760"/>
      <c r="D3679" s="760"/>
      <c r="E3679" s="760"/>
      <c r="F3679" s="760"/>
      <c r="G3679" s="760"/>
      <c r="H3679" s="760"/>
      <c r="I3679" s="760"/>
      <c r="J3679" s="760"/>
      <c r="K3679" s="760"/>
    </row>
    <row r="3680" spans="1:11">
      <c r="A3680" s="760"/>
      <c r="B3680" s="760"/>
      <c r="C3680" s="760"/>
      <c r="D3680" s="760"/>
      <c r="E3680" s="760"/>
      <c r="F3680" s="760"/>
      <c r="G3680" s="760"/>
      <c r="H3680" s="760"/>
      <c r="I3680" s="760"/>
      <c r="J3680" s="760"/>
      <c r="K3680" s="760"/>
    </row>
    <row r="3681" spans="1:11">
      <c r="A3681" s="760"/>
      <c r="B3681" s="760"/>
      <c r="C3681" s="760"/>
      <c r="D3681" s="760"/>
      <c r="E3681" s="760"/>
      <c r="F3681" s="760"/>
      <c r="G3681" s="760"/>
      <c r="H3681" s="760"/>
      <c r="I3681" s="760"/>
      <c r="J3681" s="760"/>
      <c r="K3681" s="760"/>
    </row>
    <row r="3682" spans="1:11">
      <c r="A3682" s="760"/>
      <c r="B3682" s="760"/>
      <c r="C3682" s="760"/>
      <c r="D3682" s="760"/>
      <c r="E3682" s="760"/>
      <c r="F3682" s="760"/>
      <c r="G3682" s="760"/>
      <c r="H3682" s="760"/>
      <c r="I3682" s="760"/>
      <c r="J3682" s="760"/>
      <c r="K3682" s="760"/>
    </row>
    <row r="3683" spans="1:11">
      <c r="A3683" s="760"/>
      <c r="B3683" s="760"/>
      <c r="C3683" s="760"/>
      <c r="D3683" s="760"/>
      <c r="E3683" s="760"/>
      <c r="F3683" s="760"/>
      <c r="G3683" s="760"/>
      <c r="H3683" s="760"/>
      <c r="I3683" s="760"/>
      <c r="J3683" s="760"/>
      <c r="K3683" s="760"/>
    </row>
    <row r="3684" spans="1:11">
      <c r="A3684" s="760"/>
      <c r="B3684" s="760"/>
      <c r="C3684" s="760"/>
      <c r="D3684" s="760"/>
      <c r="E3684" s="760"/>
      <c r="F3684" s="760"/>
      <c r="G3684" s="760"/>
      <c r="H3684" s="760"/>
      <c r="I3684" s="760"/>
      <c r="J3684" s="760"/>
      <c r="K3684" s="760"/>
    </row>
    <row r="3685" spans="1:11">
      <c r="A3685" s="760"/>
      <c r="B3685" s="760"/>
      <c r="C3685" s="760"/>
      <c r="D3685" s="760"/>
      <c r="E3685" s="760"/>
      <c r="F3685" s="760"/>
      <c r="G3685" s="760"/>
      <c r="H3685" s="760"/>
      <c r="I3685" s="760"/>
      <c r="J3685" s="760"/>
      <c r="K3685" s="760"/>
    </row>
    <row r="3686" spans="1:11">
      <c r="A3686" s="760"/>
      <c r="B3686" s="760"/>
      <c r="C3686" s="760"/>
      <c r="D3686" s="760"/>
      <c r="E3686" s="760"/>
      <c r="F3686" s="760"/>
      <c r="G3686" s="760"/>
      <c r="H3686" s="760"/>
      <c r="I3686" s="760"/>
      <c r="J3686" s="760"/>
      <c r="K3686" s="760"/>
    </row>
    <row r="3687" spans="1:11">
      <c r="A3687" s="760"/>
      <c r="B3687" s="760"/>
      <c r="C3687" s="760"/>
      <c r="D3687" s="760"/>
      <c r="E3687" s="760"/>
      <c r="F3687" s="760"/>
      <c r="G3687" s="760"/>
      <c r="H3687" s="760"/>
      <c r="I3687" s="760"/>
      <c r="J3687" s="760"/>
      <c r="K3687" s="760"/>
    </row>
    <row r="3688" spans="1:11">
      <c r="A3688" s="760"/>
      <c r="B3688" s="760"/>
      <c r="C3688" s="760"/>
      <c r="D3688" s="760"/>
      <c r="E3688" s="760"/>
      <c r="F3688" s="760"/>
      <c r="G3688" s="760"/>
      <c r="H3688" s="760"/>
      <c r="I3688" s="760"/>
      <c r="J3688" s="760"/>
      <c r="K3688" s="760"/>
    </row>
    <row r="3689" spans="1:11">
      <c r="A3689" s="760"/>
      <c r="B3689" s="760"/>
      <c r="C3689" s="760"/>
      <c r="D3689" s="760"/>
      <c r="E3689" s="760"/>
      <c r="F3689" s="760"/>
      <c r="G3689" s="760"/>
      <c r="H3689" s="760"/>
      <c r="I3689" s="760"/>
      <c r="J3689" s="760"/>
      <c r="K3689" s="760"/>
    </row>
    <row r="3690" spans="1:11">
      <c r="A3690" s="760"/>
      <c r="B3690" s="760"/>
      <c r="C3690" s="760"/>
      <c r="D3690" s="760"/>
      <c r="E3690" s="760"/>
      <c r="F3690" s="760"/>
      <c r="G3690" s="760"/>
      <c r="H3690" s="760"/>
      <c r="I3690" s="760"/>
      <c r="J3690" s="760"/>
      <c r="K3690" s="760"/>
    </row>
    <row r="3691" spans="1:11">
      <c r="A3691" s="760"/>
      <c r="B3691" s="760"/>
      <c r="C3691" s="760"/>
      <c r="D3691" s="760"/>
      <c r="E3691" s="760"/>
      <c r="F3691" s="760"/>
      <c r="G3691" s="760"/>
      <c r="H3691" s="760"/>
      <c r="I3691" s="760"/>
      <c r="J3691" s="760"/>
      <c r="K3691" s="760"/>
    </row>
    <row r="3692" spans="1:11">
      <c r="A3692" s="760"/>
      <c r="B3692" s="760"/>
      <c r="C3692" s="760"/>
      <c r="D3692" s="760"/>
      <c r="E3692" s="760"/>
      <c r="F3692" s="760"/>
      <c r="G3692" s="760"/>
      <c r="H3692" s="760"/>
      <c r="I3692" s="760"/>
      <c r="J3692" s="760"/>
      <c r="K3692" s="760"/>
    </row>
    <row r="3693" spans="1:11">
      <c r="A3693" s="760"/>
      <c r="B3693" s="760"/>
      <c r="C3693" s="760"/>
      <c r="D3693" s="760"/>
      <c r="E3693" s="760"/>
      <c r="F3693" s="760"/>
      <c r="G3693" s="760"/>
      <c r="H3693" s="760"/>
      <c r="I3693" s="760"/>
      <c r="J3693" s="760"/>
      <c r="K3693" s="760"/>
    </row>
    <row r="3694" spans="1:11">
      <c r="A3694" s="760"/>
      <c r="B3694" s="760"/>
      <c r="C3694" s="760"/>
      <c r="D3694" s="760"/>
      <c r="E3694" s="760"/>
      <c r="F3694" s="760"/>
      <c r="G3694" s="760"/>
      <c r="H3694" s="760"/>
      <c r="I3694" s="760"/>
      <c r="J3694" s="760"/>
      <c r="K3694" s="760"/>
    </row>
    <row r="3695" spans="1:11">
      <c r="A3695" s="760"/>
      <c r="B3695" s="760"/>
      <c r="C3695" s="760"/>
      <c r="D3695" s="760"/>
      <c r="E3695" s="760"/>
      <c r="F3695" s="760"/>
      <c r="G3695" s="760"/>
      <c r="H3695" s="760"/>
      <c r="I3695" s="760"/>
      <c r="J3695" s="760"/>
      <c r="K3695" s="760"/>
    </row>
    <row r="3696" spans="1:11">
      <c r="A3696" s="760"/>
      <c r="B3696" s="760"/>
      <c r="C3696" s="760"/>
      <c r="D3696" s="760"/>
      <c r="E3696" s="760"/>
      <c r="F3696" s="760"/>
      <c r="G3696" s="760"/>
      <c r="H3696" s="760"/>
      <c r="I3696" s="760"/>
      <c r="J3696" s="760"/>
      <c r="K3696" s="760"/>
    </row>
    <row r="3697" spans="1:11">
      <c r="A3697" s="760"/>
      <c r="B3697" s="760"/>
      <c r="C3697" s="760"/>
      <c r="D3697" s="760"/>
      <c r="E3697" s="760"/>
      <c r="F3697" s="760"/>
      <c r="G3697" s="760"/>
      <c r="H3697" s="760"/>
      <c r="I3697" s="760"/>
      <c r="J3697" s="760"/>
      <c r="K3697" s="760"/>
    </row>
    <row r="3698" spans="1:11">
      <c r="A3698" s="760"/>
      <c r="B3698" s="760"/>
      <c r="C3698" s="760"/>
      <c r="D3698" s="760"/>
      <c r="E3698" s="760"/>
      <c r="F3698" s="760"/>
      <c r="G3698" s="760"/>
      <c r="H3698" s="760"/>
      <c r="I3698" s="760"/>
      <c r="J3698" s="760"/>
      <c r="K3698" s="760"/>
    </row>
    <row r="3699" spans="1:11">
      <c r="A3699" s="760"/>
      <c r="B3699" s="760"/>
      <c r="C3699" s="760"/>
      <c r="D3699" s="760"/>
      <c r="E3699" s="760"/>
      <c r="F3699" s="760"/>
      <c r="G3699" s="760"/>
      <c r="H3699" s="760"/>
      <c r="I3699" s="760"/>
      <c r="J3699" s="760"/>
      <c r="K3699" s="760"/>
    </row>
    <row r="3700" spans="1:11">
      <c r="A3700" s="760"/>
      <c r="B3700" s="760"/>
      <c r="C3700" s="760"/>
      <c r="D3700" s="760"/>
      <c r="E3700" s="760"/>
      <c r="F3700" s="760"/>
      <c r="G3700" s="760"/>
      <c r="H3700" s="760"/>
      <c r="I3700" s="760"/>
      <c r="J3700" s="760"/>
      <c r="K3700" s="760"/>
    </row>
    <row r="3701" spans="1:11">
      <c r="A3701" s="760"/>
      <c r="B3701" s="760"/>
      <c r="C3701" s="760"/>
      <c r="D3701" s="760"/>
      <c r="E3701" s="760"/>
      <c r="F3701" s="760"/>
      <c r="G3701" s="760"/>
      <c r="H3701" s="760"/>
      <c r="I3701" s="760"/>
      <c r="J3701" s="760"/>
      <c r="K3701" s="760"/>
    </row>
    <row r="3702" spans="1:11">
      <c r="A3702" s="760"/>
      <c r="B3702" s="760"/>
      <c r="C3702" s="760"/>
      <c r="D3702" s="760"/>
      <c r="E3702" s="760"/>
      <c r="F3702" s="760"/>
      <c r="G3702" s="760"/>
      <c r="H3702" s="760"/>
      <c r="I3702" s="760"/>
      <c r="J3702" s="760"/>
      <c r="K3702" s="760"/>
    </row>
    <row r="3703" spans="1:11">
      <c r="A3703" s="760"/>
      <c r="B3703" s="760"/>
      <c r="C3703" s="760"/>
      <c r="D3703" s="760"/>
      <c r="E3703" s="760"/>
      <c r="F3703" s="760"/>
      <c r="G3703" s="760"/>
      <c r="H3703" s="760"/>
      <c r="I3703" s="760"/>
      <c r="J3703" s="760"/>
      <c r="K3703" s="760"/>
    </row>
    <row r="3704" spans="1:11">
      <c r="A3704" s="760"/>
      <c r="B3704" s="760"/>
      <c r="C3704" s="760"/>
      <c r="D3704" s="760"/>
      <c r="E3704" s="760"/>
      <c r="F3704" s="760"/>
      <c r="G3704" s="760"/>
      <c r="H3704" s="760"/>
      <c r="I3704" s="760"/>
      <c r="J3704" s="760"/>
      <c r="K3704" s="760"/>
    </row>
    <row r="3705" spans="1:11">
      <c r="A3705" s="760"/>
      <c r="B3705" s="760"/>
      <c r="C3705" s="760"/>
      <c r="D3705" s="760"/>
      <c r="E3705" s="760"/>
      <c r="F3705" s="760"/>
      <c r="G3705" s="760"/>
      <c r="H3705" s="760"/>
      <c r="I3705" s="760"/>
      <c r="J3705" s="760"/>
      <c r="K3705" s="760"/>
    </row>
    <row r="3706" spans="1:11">
      <c r="A3706" s="760"/>
      <c r="B3706" s="760"/>
      <c r="C3706" s="760"/>
      <c r="D3706" s="760"/>
      <c r="E3706" s="760"/>
      <c r="F3706" s="760"/>
      <c r="G3706" s="760"/>
      <c r="H3706" s="760"/>
      <c r="I3706" s="760"/>
      <c r="J3706" s="760"/>
      <c r="K3706" s="760"/>
    </row>
    <row r="3707" spans="1:11">
      <c r="A3707" s="760"/>
      <c r="B3707" s="760"/>
      <c r="C3707" s="760"/>
      <c r="D3707" s="760"/>
      <c r="E3707" s="760"/>
      <c r="F3707" s="760"/>
      <c r="G3707" s="760"/>
      <c r="H3707" s="760"/>
      <c r="I3707" s="760"/>
      <c r="J3707" s="760"/>
      <c r="K3707" s="760"/>
    </row>
    <row r="3708" spans="1:11">
      <c r="A3708" s="760"/>
      <c r="B3708" s="760"/>
      <c r="C3708" s="760"/>
      <c r="D3708" s="760"/>
      <c r="E3708" s="760"/>
      <c r="F3708" s="760"/>
      <c r="G3708" s="760"/>
      <c r="H3708" s="760"/>
      <c r="I3708" s="760"/>
      <c r="J3708" s="760"/>
      <c r="K3708" s="760"/>
    </row>
    <row r="3709" spans="1:11">
      <c r="A3709" s="760"/>
      <c r="B3709" s="760"/>
      <c r="C3709" s="760"/>
      <c r="D3709" s="760"/>
      <c r="E3709" s="760"/>
      <c r="F3709" s="760"/>
      <c r="G3709" s="760"/>
      <c r="H3709" s="760"/>
      <c r="I3709" s="760"/>
      <c r="J3709" s="760"/>
      <c r="K3709" s="760"/>
    </row>
    <row r="3710" spans="1:11">
      <c r="A3710" s="760"/>
      <c r="B3710" s="760"/>
      <c r="C3710" s="760"/>
      <c r="D3710" s="760"/>
      <c r="E3710" s="760"/>
      <c r="F3710" s="760"/>
      <c r="G3710" s="760"/>
      <c r="H3710" s="760"/>
      <c r="I3710" s="760"/>
      <c r="J3710" s="760"/>
      <c r="K3710" s="760"/>
    </row>
    <row r="3711" spans="1:11">
      <c r="A3711" s="760"/>
      <c r="B3711" s="760"/>
      <c r="C3711" s="760"/>
      <c r="D3711" s="760"/>
      <c r="E3711" s="760"/>
      <c r="F3711" s="760"/>
      <c r="G3711" s="760"/>
      <c r="H3711" s="760"/>
      <c r="I3711" s="760"/>
      <c r="J3711" s="760"/>
      <c r="K3711" s="760"/>
    </row>
    <row r="3712" spans="1:11">
      <c r="A3712" s="760"/>
      <c r="B3712" s="760"/>
      <c r="C3712" s="760"/>
      <c r="D3712" s="760"/>
      <c r="E3712" s="760"/>
      <c r="F3712" s="760"/>
      <c r="G3712" s="760"/>
      <c r="H3712" s="760"/>
      <c r="I3712" s="760"/>
      <c r="J3712" s="760"/>
      <c r="K3712" s="760"/>
    </row>
    <row r="3713" spans="1:11">
      <c r="A3713" s="760"/>
      <c r="B3713" s="760"/>
      <c r="C3713" s="760"/>
      <c r="D3713" s="760"/>
      <c r="E3713" s="760"/>
      <c r="F3713" s="760"/>
      <c r="G3713" s="760"/>
      <c r="H3713" s="760"/>
      <c r="I3713" s="760"/>
      <c r="J3713" s="760"/>
      <c r="K3713" s="760"/>
    </row>
    <row r="3714" spans="1:11">
      <c r="A3714" s="760"/>
      <c r="B3714" s="760"/>
      <c r="C3714" s="760"/>
      <c r="D3714" s="760"/>
      <c r="E3714" s="760"/>
      <c r="F3714" s="760"/>
      <c r="G3714" s="760"/>
      <c r="H3714" s="760"/>
      <c r="I3714" s="760"/>
      <c r="J3714" s="760"/>
      <c r="K3714" s="760"/>
    </row>
    <row r="3715" spans="1:11">
      <c r="A3715" s="760"/>
      <c r="B3715" s="760"/>
      <c r="C3715" s="760"/>
      <c r="D3715" s="760"/>
      <c r="E3715" s="760"/>
      <c r="F3715" s="760"/>
      <c r="G3715" s="760"/>
      <c r="H3715" s="760"/>
      <c r="I3715" s="760"/>
      <c r="J3715" s="760"/>
      <c r="K3715" s="760"/>
    </row>
    <row r="3716" spans="1:11">
      <c r="A3716" s="760"/>
      <c r="B3716" s="760"/>
      <c r="C3716" s="760"/>
      <c r="D3716" s="760"/>
      <c r="E3716" s="760"/>
      <c r="F3716" s="760"/>
      <c r="G3716" s="760"/>
      <c r="H3716" s="760"/>
      <c r="I3716" s="760"/>
      <c r="J3716" s="760"/>
      <c r="K3716" s="760"/>
    </row>
    <row r="3717" spans="1:11">
      <c r="A3717" s="760"/>
      <c r="B3717" s="760"/>
      <c r="C3717" s="760"/>
      <c r="D3717" s="760"/>
      <c r="E3717" s="760"/>
      <c r="F3717" s="760"/>
      <c r="G3717" s="760"/>
      <c r="H3717" s="760"/>
      <c r="I3717" s="760"/>
      <c r="J3717" s="760"/>
      <c r="K3717" s="760"/>
    </row>
    <row r="3718" spans="1:11">
      <c r="A3718" s="760"/>
      <c r="B3718" s="760"/>
      <c r="C3718" s="760"/>
      <c r="D3718" s="760"/>
      <c r="E3718" s="760"/>
      <c r="F3718" s="760"/>
      <c r="G3718" s="760"/>
      <c r="H3718" s="760"/>
      <c r="I3718" s="760"/>
      <c r="J3718" s="760"/>
      <c r="K3718" s="760"/>
    </row>
    <row r="3719" spans="1:11">
      <c r="A3719" s="760"/>
      <c r="B3719" s="760"/>
      <c r="C3719" s="760"/>
      <c r="D3719" s="760"/>
      <c r="E3719" s="760"/>
      <c r="F3719" s="760"/>
      <c r="G3719" s="760"/>
      <c r="H3719" s="760"/>
      <c r="I3719" s="760"/>
      <c r="J3719" s="760"/>
      <c r="K3719" s="760"/>
    </row>
    <row r="3720" spans="1:11">
      <c r="A3720" s="760"/>
      <c r="B3720" s="760"/>
      <c r="C3720" s="760"/>
      <c r="D3720" s="760"/>
      <c r="E3720" s="760"/>
      <c r="F3720" s="760"/>
      <c r="G3720" s="760"/>
      <c r="H3720" s="760"/>
      <c r="I3720" s="760"/>
      <c r="J3720" s="760"/>
      <c r="K3720" s="760"/>
    </row>
    <row r="3721" spans="1:11">
      <c r="A3721" s="760"/>
      <c r="B3721" s="760"/>
      <c r="C3721" s="760"/>
      <c r="D3721" s="760"/>
      <c r="E3721" s="760"/>
      <c r="F3721" s="760"/>
      <c r="G3721" s="760"/>
      <c r="H3721" s="760"/>
      <c r="I3721" s="760"/>
      <c r="J3721" s="760"/>
      <c r="K3721" s="760"/>
    </row>
    <row r="3722" spans="1:11">
      <c r="A3722" s="760"/>
      <c r="B3722" s="760"/>
      <c r="C3722" s="760"/>
      <c r="D3722" s="760"/>
      <c r="E3722" s="760"/>
      <c r="F3722" s="760"/>
      <c r="G3722" s="760"/>
      <c r="H3722" s="760"/>
      <c r="I3722" s="760"/>
      <c r="J3722" s="760"/>
      <c r="K3722" s="760"/>
    </row>
    <row r="3723" spans="1:11">
      <c r="A3723" s="760"/>
      <c r="B3723" s="760"/>
      <c r="C3723" s="760"/>
      <c r="D3723" s="760"/>
      <c r="E3723" s="760"/>
      <c r="F3723" s="760"/>
      <c r="G3723" s="760"/>
      <c r="H3723" s="760"/>
      <c r="I3723" s="760"/>
      <c r="J3723" s="760"/>
      <c r="K3723" s="760"/>
    </row>
    <row r="3724" spans="1:11">
      <c r="A3724" s="760"/>
      <c r="B3724" s="760"/>
      <c r="C3724" s="760"/>
      <c r="D3724" s="760"/>
      <c r="E3724" s="760"/>
      <c r="F3724" s="760"/>
      <c r="G3724" s="760"/>
      <c r="H3724" s="760"/>
      <c r="I3724" s="760"/>
      <c r="J3724" s="760"/>
      <c r="K3724" s="760"/>
    </row>
    <row r="3725" spans="1:11">
      <c r="A3725" s="760"/>
      <c r="B3725" s="760"/>
      <c r="C3725" s="760"/>
      <c r="D3725" s="760"/>
      <c r="E3725" s="760"/>
      <c r="F3725" s="760"/>
      <c r="G3725" s="760"/>
      <c r="H3725" s="760"/>
      <c r="I3725" s="760"/>
      <c r="J3725" s="760"/>
      <c r="K3725" s="760"/>
    </row>
    <row r="3726" spans="1:11">
      <c r="A3726" s="760"/>
      <c r="B3726" s="760"/>
      <c r="C3726" s="760"/>
      <c r="D3726" s="760"/>
      <c r="E3726" s="760"/>
      <c r="F3726" s="760"/>
      <c r="G3726" s="760"/>
      <c r="H3726" s="760"/>
      <c r="I3726" s="760"/>
      <c r="J3726" s="760"/>
      <c r="K3726" s="760"/>
    </row>
    <row r="3727" spans="1:11">
      <c r="A3727" s="760"/>
      <c r="B3727" s="760"/>
      <c r="C3727" s="760"/>
      <c r="D3727" s="760"/>
      <c r="E3727" s="760"/>
      <c r="F3727" s="760"/>
      <c r="G3727" s="760"/>
      <c r="H3727" s="760"/>
      <c r="I3727" s="760"/>
      <c r="J3727" s="760"/>
      <c r="K3727" s="760"/>
    </row>
    <row r="3728" spans="1:11">
      <c r="A3728" s="760"/>
      <c r="B3728" s="760"/>
      <c r="C3728" s="760"/>
      <c r="D3728" s="760"/>
      <c r="E3728" s="760"/>
      <c r="F3728" s="760"/>
      <c r="G3728" s="760"/>
      <c r="H3728" s="760"/>
      <c r="I3728" s="760"/>
      <c r="J3728" s="760"/>
      <c r="K3728" s="760"/>
    </row>
    <row r="3729" spans="1:11">
      <c r="A3729" s="760"/>
      <c r="B3729" s="760"/>
      <c r="C3729" s="760"/>
      <c r="D3729" s="760"/>
      <c r="E3729" s="760"/>
      <c r="F3729" s="760"/>
      <c r="G3729" s="760"/>
      <c r="H3729" s="760"/>
      <c r="I3729" s="760"/>
      <c r="J3729" s="760"/>
      <c r="K3729" s="760"/>
    </row>
    <row r="3730" spans="1:11">
      <c r="A3730" s="760"/>
      <c r="B3730" s="760"/>
      <c r="C3730" s="760"/>
      <c r="D3730" s="760"/>
      <c r="E3730" s="760"/>
      <c r="F3730" s="760"/>
      <c r="G3730" s="760"/>
      <c r="H3730" s="760"/>
      <c r="I3730" s="760"/>
      <c r="J3730" s="760"/>
      <c r="K3730" s="760"/>
    </row>
    <row r="3731" spans="1:11">
      <c r="A3731" s="760"/>
      <c r="B3731" s="760"/>
      <c r="C3731" s="760"/>
      <c r="D3731" s="760"/>
      <c r="E3731" s="760"/>
      <c r="F3731" s="760"/>
      <c r="G3731" s="760"/>
      <c r="H3731" s="760"/>
      <c r="I3731" s="760"/>
      <c r="J3731" s="760"/>
      <c r="K3731" s="760"/>
    </row>
    <row r="3732" spans="1:11">
      <c r="A3732" s="760"/>
      <c r="B3732" s="760"/>
      <c r="C3732" s="760"/>
      <c r="D3732" s="760"/>
      <c r="E3732" s="760"/>
      <c r="F3732" s="760"/>
      <c r="G3732" s="760"/>
      <c r="H3732" s="760"/>
      <c r="I3732" s="760"/>
      <c r="J3732" s="760"/>
      <c r="K3732" s="760"/>
    </row>
    <row r="3733" spans="1:11">
      <c r="A3733" s="760"/>
      <c r="B3733" s="760"/>
      <c r="C3733" s="760"/>
      <c r="D3733" s="760"/>
      <c r="E3733" s="760"/>
      <c r="F3733" s="760"/>
      <c r="G3733" s="760"/>
      <c r="H3733" s="760"/>
      <c r="I3733" s="760"/>
      <c r="J3733" s="760"/>
      <c r="K3733" s="760"/>
    </row>
    <row r="3734" spans="1:11">
      <c r="A3734" s="760"/>
      <c r="B3734" s="760"/>
      <c r="C3734" s="760"/>
      <c r="D3734" s="760"/>
      <c r="E3734" s="760"/>
      <c r="F3734" s="760"/>
      <c r="G3734" s="760"/>
      <c r="H3734" s="760"/>
      <c r="I3734" s="760"/>
      <c r="J3734" s="760"/>
      <c r="K3734" s="760"/>
    </row>
    <row r="3735" spans="1:11">
      <c r="A3735" s="760"/>
      <c r="B3735" s="760"/>
      <c r="C3735" s="760"/>
      <c r="D3735" s="760"/>
      <c r="E3735" s="760"/>
      <c r="F3735" s="760"/>
      <c r="G3735" s="760"/>
      <c r="H3735" s="760"/>
      <c r="I3735" s="760"/>
      <c r="J3735" s="760"/>
      <c r="K3735" s="760"/>
    </row>
    <row r="3736" spans="1:11">
      <c r="A3736" s="760"/>
      <c r="B3736" s="760"/>
      <c r="C3736" s="760"/>
      <c r="D3736" s="760"/>
      <c r="E3736" s="760"/>
      <c r="F3736" s="760"/>
      <c r="G3736" s="760"/>
      <c r="H3736" s="760"/>
      <c r="I3736" s="760"/>
      <c r="J3736" s="760"/>
      <c r="K3736" s="760"/>
    </row>
    <row r="3737" spans="1:11">
      <c r="A3737" s="760"/>
      <c r="B3737" s="760"/>
      <c r="C3737" s="760"/>
      <c r="D3737" s="760"/>
      <c r="E3737" s="760"/>
      <c r="F3737" s="760"/>
      <c r="G3737" s="760"/>
      <c r="H3737" s="760"/>
      <c r="I3737" s="760"/>
      <c r="J3737" s="760"/>
      <c r="K3737" s="760"/>
    </row>
    <row r="3738" spans="1:11">
      <c r="A3738" s="760"/>
      <c r="B3738" s="760"/>
      <c r="C3738" s="760"/>
      <c r="D3738" s="760"/>
      <c r="E3738" s="760"/>
      <c r="F3738" s="760"/>
      <c r="G3738" s="760"/>
      <c r="H3738" s="760"/>
      <c r="I3738" s="760"/>
      <c r="J3738" s="760"/>
      <c r="K3738" s="760"/>
    </row>
    <row r="3739" spans="1:11">
      <c r="A3739" s="760"/>
      <c r="B3739" s="760"/>
      <c r="C3739" s="760"/>
      <c r="D3739" s="760"/>
      <c r="E3739" s="760"/>
      <c r="F3739" s="760"/>
      <c r="G3739" s="760"/>
      <c r="H3739" s="760"/>
      <c r="I3739" s="760"/>
      <c r="J3739" s="760"/>
      <c r="K3739" s="760"/>
    </row>
    <row r="3740" spans="1:11">
      <c r="A3740" s="760"/>
      <c r="B3740" s="760"/>
      <c r="C3740" s="760"/>
      <c r="D3740" s="760"/>
      <c r="E3740" s="760"/>
      <c r="F3740" s="760"/>
      <c r="G3740" s="760"/>
      <c r="H3740" s="760"/>
      <c r="I3740" s="760"/>
      <c r="J3740" s="760"/>
      <c r="K3740" s="760"/>
    </row>
    <row r="3741" spans="1:11">
      <c r="A3741" s="760"/>
      <c r="B3741" s="760"/>
      <c r="C3741" s="760"/>
      <c r="D3741" s="760"/>
      <c r="E3741" s="760"/>
      <c r="F3741" s="760"/>
      <c r="G3741" s="760"/>
      <c r="H3741" s="760"/>
      <c r="I3741" s="760"/>
      <c r="J3741" s="760"/>
      <c r="K3741" s="760"/>
    </row>
    <row r="3742" spans="1:11">
      <c r="A3742" s="760"/>
      <c r="B3742" s="760"/>
      <c r="C3742" s="760"/>
      <c r="D3742" s="760"/>
      <c r="E3742" s="760"/>
      <c r="F3742" s="760"/>
      <c r="G3742" s="760"/>
      <c r="H3742" s="760"/>
      <c r="I3742" s="760"/>
      <c r="J3742" s="760"/>
      <c r="K3742" s="760"/>
    </row>
    <row r="3743" spans="1:11">
      <c r="A3743" s="760"/>
      <c r="B3743" s="760"/>
      <c r="C3743" s="760"/>
      <c r="D3743" s="760"/>
      <c r="E3743" s="760"/>
      <c r="F3743" s="760"/>
      <c r="G3743" s="760"/>
      <c r="H3743" s="760"/>
      <c r="I3743" s="760"/>
      <c r="J3743" s="760"/>
      <c r="K3743" s="760"/>
    </row>
    <row r="3744" spans="1:11">
      <c r="A3744" s="760"/>
      <c r="B3744" s="760"/>
      <c r="C3744" s="760"/>
      <c r="D3744" s="760"/>
      <c r="E3744" s="760"/>
      <c r="F3744" s="760"/>
      <c r="G3744" s="760"/>
      <c r="H3744" s="760"/>
      <c r="I3744" s="760"/>
      <c r="J3744" s="760"/>
      <c r="K3744" s="760"/>
    </row>
    <row r="3745" spans="1:11">
      <c r="A3745" s="760"/>
      <c r="B3745" s="760"/>
      <c r="C3745" s="760"/>
      <c r="D3745" s="760"/>
      <c r="E3745" s="760"/>
      <c r="F3745" s="760"/>
      <c r="G3745" s="760"/>
      <c r="H3745" s="760"/>
      <c r="I3745" s="760"/>
      <c r="J3745" s="760"/>
      <c r="K3745" s="760"/>
    </row>
    <row r="3746" spans="1:11">
      <c r="A3746" s="760"/>
      <c r="B3746" s="760"/>
      <c r="C3746" s="760"/>
      <c r="D3746" s="760"/>
      <c r="E3746" s="760"/>
      <c r="F3746" s="760"/>
      <c r="G3746" s="760"/>
      <c r="H3746" s="760"/>
      <c r="I3746" s="760"/>
      <c r="J3746" s="760"/>
      <c r="K3746" s="760"/>
    </row>
    <row r="3747" spans="1:11">
      <c r="A3747" s="760"/>
      <c r="B3747" s="760"/>
      <c r="C3747" s="760"/>
      <c r="D3747" s="760"/>
      <c r="E3747" s="760"/>
      <c r="F3747" s="760"/>
      <c r="G3747" s="760"/>
      <c r="H3747" s="760"/>
      <c r="I3747" s="760"/>
      <c r="J3747" s="760"/>
      <c r="K3747" s="760"/>
    </row>
    <row r="3748" spans="1:11">
      <c r="A3748" s="760"/>
      <c r="B3748" s="760"/>
      <c r="C3748" s="760"/>
      <c r="D3748" s="760"/>
      <c r="E3748" s="760"/>
      <c r="F3748" s="760"/>
      <c r="G3748" s="760"/>
      <c r="H3748" s="760"/>
      <c r="I3748" s="760"/>
      <c r="J3748" s="760"/>
      <c r="K3748" s="760"/>
    </row>
    <row r="3749" spans="1:11">
      <c r="A3749" s="760"/>
      <c r="B3749" s="760"/>
      <c r="C3749" s="760"/>
      <c r="D3749" s="760"/>
      <c r="E3749" s="760"/>
      <c r="F3749" s="760"/>
      <c r="G3749" s="760"/>
      <c r="H3749" s="760"/>
      <c r="I3749" s="760"/>
      <c r="J3749" s="760"/>
      <c r="K3749" s="760"/>
    </row>
    <row r="3750" spans="1:11">
      <c r="A3750" s="760"/>
      <c r="B3750" s="760"/>
      <c r="C3750" s="760"/>
      <c r="D3750" s="760"/>
      <c r="E3750" s="760"/>
      <c r="F3750" s="760"/>
      <c r="G3750" s="760"/>
      <c r="H3750" s="760"/>
      <c r="I3750" s="760"/>
      <c r="J3750" s="760"/>
      <c r="K3750" s="760"/>
    </row>
    <row r="3751" spans="1:11">
      <c r="A3751" s="760"/>
      <c r="B3751" s="760"/>
      <c r="C3751" s="760"/>
      <c r="D3751" s="760"/>
      <c r="E3751" s="760"/>
      <c r="F3751" s="760"/>
      <c r="G3751" s="760"/>
      <c r="H3751" s="760"/>
      <c r="I3751" s="760"/>
      <c r="J3751" s="760"/>
      <c r="K3751" s="760"/>
    </row>
    <row r="3752" spans="1:11">
      <c r="A3752" s="760"/>
      <c r="B3752" s="760"/>
      <c r="C3752" s="760"/>
      <c r="D3752" s="760"/>
      <c r="E3752" s="760"/>
      <c r="F3752" s="760"/>
      <c r="G3752" s="760"/>
      <c r="H3752" s="760"/>
      <c r="I3752" s="760"/>
      <c r="J3752" s="760"/>
      <c r="K3752" s="760"/>
    </row>
    <row r="3753" spans="1:11">
      <c r="A3753" s="760"/>
      <c r="B3753" s="760"/>
      <c r="C3753" s="760"/>
      <c r="D3753" s="760"/>
      <c r="E3753" s="760"/>
      <c r="F3753" s="760"/>
      <c r="G3753" s="760"/>
      <c r="H3753" s="760"/>
      <c r="I3753" s="760"/>
      <c r="J3753" s="760"/>
      <c r="K3753" s="760"/>
    </row>
    <row r="3754" spans="1:11">
      <c r="A3754" s="760"/>
      <c r="B3754" s="760"/>
      <c r="C3754" s="760"/>
      <c r="D3754" s="760"/>
      <c r="E3754" s="760"/>
      <c r="F3754" s="760"/>
      <c r="G3754" s="760"/>
      <c r="H3754" s="760"/>
      <c r="I3754" s="760"/>
      <c r="J3754" s="760"/>
      <c r="K3754" s="760"/>
    </row>
    <row r="3755" spans="1:11">
      <c r="A3755" s="760"/>
      <c r="B3755" s="760"/>
      <c r="C3755" s="760"/>
      <c r="D3755" s="760"/>
      <c r="E3755" s="760"/>
      <c r="F3755" s="760"/>
      <c r="G3755" s="760"/>
      <c r="H3755" s="760"/>
      <c r="I3755" s="760"/>
      <c r="J3755" s="760"/>
      <c r="K3755" s="760"/>
    </row>
    <row r="3756" spans="1:11">
      <c r="A3756" s="760"/>
      <c r="B3756" s="760"/>
      <c r="C3756" s="760"/>
      <c r="D3756" s="760"/>
      <c r="E3756" s="760"/>
      <c r="F3756" s="760"/>
      <c r="G3756" s="760"/>
      <c r="H3756" s="760"/>
      <c r="I3756" s="760"/>
      <c r="J3756" s="760"/>
      <c r="K3756" s="760"/>
    </row>
    <row r="3757" spans="1:11">
      <c r="A3757" s="760"/>
      <c r="B3757" s="760"/>
      <c r="C3757" s="760"/>
      <c r="D3757" s="760"/>
      <c r="E3757" s="760"/>
      <c r="F3757" s="760"/>
      <c r="G3757" s="760"/>
      <c r="H3757" s="760"/>
      <c r="I3757" s="760"/>
      <c r="J3757" s="760"/>
      <c r="K3757" s="760"/>
    </row>
    <row r="3758" spans="1:11">
      <c r="A3758" s="760"/>
      <c r="B3758" s="760"/>
      <c r="C3758" s="760"/>
      <c r="D3758" s="760"/>
      <c r="E3758" s="760"/>
      <c r="F3758" s="760"/>
      <c r="G3758" s="760"/>
      <c r="H3758" s="760"/>
      <c r="I3758" s="760"/>
      <c r="J3758" s="760"/>
      <c r="K3758" s="760"/>
    </row>
    <row r="3759" spans="1:11">
      <c r="A3759" s="760"/>
      <c r="B3759" s="760"/>
      <c r="C3759" s="760"/>
      <c r="D3759" s="760"/>
      <c r="E3759" s="760"/>
      <c r="F3759" s="760"/>
      <c r="G3759" s="760"/>
      <c r="H3759" s="760"/>
      <c r="I3759" s="760"/>
      <c r="J3759" s="760"/>
      <c r="K3759" s="760"/>
    </row>
    <row r="3760" spans="1:11">
      <c r="A3760" s="760"/>
      <c r="B3760" s="760"/>
      <c r="C3760" s="760"/>
      <c r="D3760" s="760"/>
      <c r="E3760" s="760"/>
      <c r="F3760" s="760"/>
      <c r="G3760" s="760"/>
      <c r="H3760" s="760"/>
      <c r="I3760" s="760"/>
      <c r="J3760" s="760"/>
      <c r="K3760" s="760"/>
    </row>
    <row r="3761" spans="1:11">
      <c r="A3761" s="760"/>
      <c r="B3761" s="760"/>
      <c r="C3761" s="760"/>
      <c r="D3761" s="760"/>
      <c r="E3761" s="760"/>
      <c r="F3761" s="760"/>
      <c r="G3761" s="760"/>
      <c r="H3761" s="760"/>
      <c r="I3761" s="760"/>
      <c r="J3761" s="760"/>
      <c r="K3761" s="760"/>
    </row>
    <row r="3762" spans="1:11">
      <c r="A3762" s="760"/>
      <c r="B3762" s="760"/>
      <c r="C3762" s="760"/>
      <c r="D3762" s="760"/>
      <c r="E3762" s="760"/>
      <c r="F3762" s="760"/>
      <c r="G3762" s="760"/>
      <c r="H3762" s="760"/>
      <c r="I3762" s="760"/>
      <c r="J3762" s="760"/>
      <c r="K3762" s="760"/>
    </row>
    <row r="3763" spans="1:11">
      <c r="A3763" s="760"/>
      <c r="B3763" s="760"/>
      <c r="C3763" s="760"/>
      <c r="D3763" s="760"/>
      <c r="E3763" s="760"/>
      <c r="F3763" s="760"/>
      <c r="G3763" s="760"/>
      <c r="H3763" s="760"/>
      <c r="I3763" s="760"/>
      <c r="J3763" s="760"/>
      <c r="K3763" s="760"/>
    </row>
    <row r="3764" spans="1:11">
      <c r="A3764" s="760"/>
      <c r="B3764" s="760"/>
      <c r="C3764" s="760"/>
      <c r="D3764" s="760"/>
      <c r="E3764" s="760"/>
      <c r="F3764" s="760"/>
      <c r="G3764" s="760"/>
      <c r="H3764" s="760"/>
      <c r="I3764" s="760"/>
      <c r="J3764" s="760"/>
      <c r="K3764" s="760"/>
    </row>
    <row r="3765" spans="1:11">
      <c r="A3765" s="760"/>
      <c r="B3765" s="760"/>
      <c r="C3765" s="760"/>
      <c r="D3765" s="760"/>
      <c r="E3765" s="760"/>
      <c r="F3765" s="760"/>
      <c r="G3765" s="760"/>
      <c r="H3765" s="760"/>
      <c r="I3765" s="760"/>
      <c r="J3765" s="760"/>
      <c r="K3765" s="760"/>
    </row>
    <row r="3766" spans="1:11">
      <c r="A3766" s="760"/>
      <c r="B3766" s="760"/>
      <c r="C3766" s="760"/>
      <c r="D3766" s="760"/>
      <c r="E3766" s="760"/>
      <c r="F3766" s="760"/>
      <c r="G3766" s="760"/>
      <c r="H3766" s="760"/>
      <c r="I3766" s="760"/>
      <c r="J3766" s="760"/>
      <c r="K3766" s="760"/>
    </row>
    <row r="3767" spans="1:11">
      <c r="A3767" s="760"/>
      <c r="B3767" s="760"/>
      <c r="C3767" s="760"/>
      <c r="D3767" s="760"/>
      <c r="E3767" s="760"/>
      <c r="F3767" s="760"/>
      <c r="G3767" s="760"/>
      <c r="H3767" s="760"/>
      <c r="I3767" s="760"/>
      <c r="J3767" s="760"/>
      <c r="K3767" s="760"/>
    </row>
    <row r="3768" spans="1:11">
      <c r="A3768" s="760"/>
      <c r="B3768" s="760"/>
      <c r="C3768" s="760"/>
      <c r="D3768" s="760"/>
      <c r="E3768" s="760"/>
      <c r="F3768" s="760"/>
      <c r="G3768" s="760"/>
      <c r="H3768" s="760"/>
      <c r="I3768" s="760"/>
      <c r="J3768" s="760"/>
      <c r="K3768" s="760"/>
    </row>
    <row r="3769" spans="1:11">
      <c r="A3769" s="760"/>
      <c r="B3769" s="760"/>
      <c r="C3769" s="760"/>
      <c r="D3769" s="760"/>
      <c r="E3769" s="760"/>
      <c r="F3769" s="760"/>
      <c r="G3769" s="760"/>
      <c r="H3769" s="760"/>
      <c r="I3769" s="760"/>
      <c r="J3769" s="760"/>
      <c r="K3769" s="760"/>
    </row>
    <row r="3770" spans="1:11">
      <c r="A3770" s="760"/>
      <c r="B3770" s="760"/>
      <c r="C3770" s="760"/>
      <c r="D3770" s="760"/>
      <c r="E3770" s="760"/>
      <c r="F3770" s="760"/>
      <c r="G3770" s="760"/>
      <c r="H3770" s="760"/>
      <c r="I3770" s="760"/>
      <c r="J3770" s="760"/>
      <c r="K3770" s="760"/>
    </row>
    <row r="3771" spans="1:11">
      <c r="A3771" s="760"/>
      <c r="B3771" s="760"/>
      <c r="C3771" s="760"/>
      <c r="D3771" s="760"/>
      <c r="E3771" s="760"/>
      <c r="F3771" s="760"/>
      <c r="G3771" s="760"/>
      <c r="H3771" s="760"/>
      <c r="I3771" s="760"/>
      <c r="J3771" s="760"/>
      <c r="K3771" s="760"/>
    </row>
    <row r="3772" spans="1:11">
      <c r="A3772" s="760"/>
      <c r="B3772" s="760"/>
      <c r="C3772" s="760"/>
      <c r="D3772" s="760"/>
      <c r="E3772" s="760"/>
      <c r="F3772" s="760"/>
      <c r="G3772" s="760"/>
      <c r="H3772" s="760"/>
      <c r="I3772" s="760"/>
      <c r="J3772" s="760"/>
      <c r="K3772" s="760"/>
    </row>
    <row r="3773" spans="1:11">
      <c r="A3773" s="760"/>
      <c r="B3773" s="760"/>
      <c r="C3773" s="760"/>
      <c r="D3773" s="760"/>
      <c r="E3773" s="760"/>
      <c r="F3773" s="760"/>
      <c r="G3773" s="760"/>
      <c r="H3773" s="760"/>
      <c r="I3773" s="760"/>
      <c r="J3773" s="760"/>
      <c r="K3773" s="760"/>
    </row>
    <row r="3774" spans="1:11">
      <c r="A3774" s="760"/>
      <c r="B3774" s="760"/>
      <c r="C3774" s="760"/>
      <c r="D3774" s="760"/>
      <c r="E3774" s="760"/>
      <c r="F3774" s="760"/>
      <c r="G3774" s="760"/>
      <c r="H3774" s="760"/>
      <c r="I3774" s="760"/>
      <c r="J3774" s="760"/>
      <c r="K3774" s="760"/>
    </row>
    <row r="3775" spans="1:11">
      <c r="A3775" s="760"/>
      <c r="B3775" s="760"/>
      <c r="C3775" s="760"/>
      <c r="D3775" s="760"/>
      <c r="E3775" s="760"/>
      <c r="F3775" s="760"/>
      <c r="G3775" s="760"/>
      <c r="H3775" s="760"/>
      <c r="I3775" s="760"/>
      <c r="J3775" s="760"/>
      <c r="K3775" s="760"/>
    </row>
    <row r="3776" spans="1:11">
      <c r="A3776" s="760"/>
      <c r="B3776" s="760"/>
      <c r="C3776" s="760"/>
      <c r="D3776" s="760"/>
      <c r="E3776" s="760"/>
      <c r="F3776" s="760"/>
      <c r="G3776" s="760"/>
      <c r="H3776" s="760"/>
      <c r="I3776" s="760"/>
      <c r="J3776" s="760"/>
      <c r="K3776" s="760"/>
    </row>
    <row r="3777" spans="1:11">
      <c r="A3777" s="760"/>
      <c r="B3777" s="760"/>
      <c r="C3777" s="760"/>
      <c r="D3777" s="760"/>
      <c r="E3777" s="760"/>
      <c r="F3777" s="760"/>
      <c r="G3777" s="760"/>
      <c r="H3777" s="760"/>
      <c r="I3777" s="760"/>
      <c r="J3777" s="760"/>
      <c r="K3777" s="760"/>
    </row>
    <row r="3778" spans="1:11">
      <c r="A3778" s="760"/>
      <c r="B3778" s="760"/>
      <c r="C3778" s="760"/>
      <c r="D3778" s="760"/>
      <c r="E3778" s="760"/>
      <c r="F3778" s="760"/>
      <c r="G3778" s="760"/>
      <c r="H3778" s="760"/>
      <c r="I3778" s="760"/>
      <c r="J3778" s="760"/>
      <c r="K3778" s="760"/>
    </row>
    <row r="3779" spans="1:11">
      <c r="A3779" s="760"/>
      <c r="B3779" s="760"/>
      <c r="C3779" s="760"/>
      <c r="D3779" s="760"/>
      <c r="E3779" s="760"/>
      <c r="F3779" s="760"/>
      <c r="G3779" s="760"/>
      <c r="H3779" s="760"/>
      <c r="I3779" s="760"/>
      <c r="J3779" s="760"/>
      <c r="K3779" s="760"/>
    </row>
    <row r="3780" spans="1:11">
      <c r="A3780" s="760"/>
      <c r="B3780" s="760"/>
      <c r="C3780" s="760"/>
      <c r="D3780" s="760"/>
      <c r="E3780" s="760"/>
      <c r="F3780" s="760"/>
      <c r="G3780" s="760"/>
      <c r="H3780" s="760"/>
      <c r="I3780" s="760"/>
      <c r="J3780" s="760"/>
      <c r="K3780" s="760"/>
    </row>
    <row r="3781" spans="1:11">
      <c r="A3781" s="760"/>
      <c r="B3781" s="760"/>
      <c r="C3781" s="760"/>
      <c r="D3781" s="760"/>
      <c r="E3781" s="760"/>
      <c r="F3781" s="760"/>
      <c r="G3781" s="760"/>
      <c r="H3781" s="760"/>
      <c r="I3781" s="760"/>
      <c r="J3781" s="760"/>
      <c r="K3781" s="760"/>
    </row>
    <row r="3782" spans="1:11">
      <c r="A3782" s="760"/>
      <c r="B3782" s="760"/>
      <c r="C3782" s="760"/>
      <c r="D3782" s="760"/>
      <c r="E3782" s="760"/>
      <c r="F3782" s="760"/>
      <c r="G3782" s="760"/>
      <c r="H3782" s="760"/>
      <c r="I3782" s="760"/>
      <c r="J3782" s="760"/>
      <c r="K3782" s="760"/>
    </row>
    <row r="3783" spans="1:11">
      <c r="A3783" s="760"/>
      <c r="B3783" s="760"/>
      <c r="C3783" s="760"/>
      <c r="D3783" s="760"/>
      <c r="E3783" s="760"/>
      <c r="F3783" s="760"/>
      <c r="G3783" s="760"/>
      <c r="H3783" s="760"/>
      <c r="I3783" s="760"/>
      <c r="J3783" s="760"/>
      <c r="K3783" s="760"/>
    </row>
    <row r="3784" spans="1:11">
      <c r="A3784" s="760"/>
      <c r="B3784" s="760"/>
      <c r="C3784" s="760"/>
      <c r="D3784" s="760"/>
      <c r="E3784" s="760"/>
      <c r="F3784" s="760"/>
      <c r="G3784" s="760"/>
      <c r="H3784" s="760"/>
      <c r="I3784" s="760"/>
      <c r="J3784" s="760"/>
      <c r="K3784" s="760"/>
    </row>
    <row r="3785" spans="1:11">
      <c r="A3785" s="760"/>
      <c r="B3785" s="760"/>
      <c r="C3785" s="760"/>
      <c r="D3785" s="760"/>
      <c r="E3785" s="760"/>
      <c r="F3785" s="760"/>
      <c r="G3785" s="760"/>
      <c r="H3785" s="760"/>
      <c r="I3785" s="760"/>
      <c r="J3785" s="760"/>
      <c r="K3785" s="760"/>
    </row>
    <row r="3786" spans="1:11">
      <c r="A3786" s="760"/>
      <c r="B3786" s="760"/>
      <c r="C3786" s="760"/>
      <c r="D3786" s="760"/>
      <c r="E3786" s="760"/>
      <c r="F3786" s="760"/>
      <c r="G3786" s="760"/>
      <c r="H3786" s="760"/>
      <c r="I3786" s="760"/>
      <c r="J3786" s="760"/>
      <c r="K3786" s="760"/>
    </row>
    <row r="3787" spans="1:11">
      <c r="A3787" s="760"/>
      <c r="B3787" s="760"/>
      <c r="C3787" s="760"/>
      <c r="D3787" s="760"/>
      <c r="E3787" s="760"/>
      <c r="F3787" s="760"/>
      <c r="G3787" s="760"/>
      <c r="H3787" s="760"/>
      <c r="I3787" s="760"/>
      <c r="J3787" s="760"/>
      <c r="K3787" s="760"/>
    </row>
    <row r="3788" spans="1:11">
      <c r="A3788" s="760"/>
      <c r="B3788" s="760"/>
      <c r="C3788" s="760"/>
      <c r="D3788" s="760"/>
      <c r="E3788" s="760"/>
      <c r="F3788" s="760"/>
      <c r="G3788" s="760"/>
      <c r="H3788" s="760"/>
      <c r="I3788" s="760"/>
      <c r="J3788" s="760"/>
      <c r="K3788" s="760"/>
    </row>
    <row r="3789" spans="1:11">
      <c r="A3789" s="760"/>
      <c r="B3789" s="760"/>
      <c r="C3789" s="760"/>
      <c r="D3789" s="760"/>
      <c r="E3789" s="760"/>
      <c r="F3789" s="760"/>
      <c r="G3789" s="760"/>
      <c r="H3789" s="760"/>
      <c r="I3789" s="760"/>
      <c r="J3789" s="760"/>
      <c r="K3789" s="760"/>
    </row>
    <row r="3790" spans="1:11">
      <c r="A3790" s="760"/>
      <c r="B3790" s="760"/>
      <c r="C3790" s="760"/>
      <c r="D3790" s="760"/>
      <c r="E3790" s="760"/>
      <c r="F3790" s="760"/>
      <c r="G3790" s="760"/>
      <c r="H3790" s="760"/>
      <c r="I3790" s="760"/>
      <c r="J3790" s="760"/>
      <c r="K3790" s="760"/>
    </row>
    <row r="3791" spans="1:11">
      <c r="A3791" s="760"/>
      <c r="B3791" s="760"/>
      <c r="C3791" s="760"/>
      <c r="D3791" s="760"/>
      <c r="E3791" s="760"/>
      <c r="F3791" s="760"/>
      <c r="G3791" s="760"/>
      <c r="H3791" s="760"/>
      <c r="I3791" s="760"/>
      <c r="J3791" s="760"/>
      <c r="K3791" s="760"/>
    </row>
    <row r="3792" spans="1:11">
      <c r="A3792" s="760"/>
      <c r="B3792" s="760"/>
      <c r="C3792" s="760"/>
      <c r="D3792" s="760"/>
      <c r="E3792" s="760"/>
      <c r="F3792" s="760"/>
      <c r="G3792" s="760"/>
      <c r="H3792" s="760"/>
      <c r="I3792" s="760"/>
      <c r="J3792" s="760"/>
      <c r="K3792" s="760"/>
    </row>
    <row r="3793" spans="1:11">
      <c r="A3793" s="760"/>
      <c r="B3793" s="760"/>
      <c r="C3793" s="760"/>
      <c r="D3793" s="760"/>
      <c r="E3793" s="760"/>
      <c r="F3793" s="760"/>
      <c r="G3793" s="760"/>
      <c r="H3793" s="760"/>
      <c r="I3793" s="760"/>
      <c r="J3793" s="760"/>
      <c r="K3793" s="760"/>
    </row>
    <row r="3794" spans="1:11">
      <c r="A3794" s="760"/>
      <c r="B3794" s="760"/>
      <c r="C3794" s="760"/>
      <c r="D3794" s="760"/>
      <c r="E3794" s="760"/>
      <c r="F3794" s="760"/>
      <c r="G3794" s="760"/>
      <c r="H3794" s="760"/>
      <c r="I3794" s="760"/>
      <c r="J3794" s="760"/>
      <c r="K3794" s="760"/>
    </row>
    <row r="3795" spans="1:11">
      <c r="A3795" s="760"/>
      <c r="B3795" s="760"/>
      <c r="C3795" s="760"/>
      <c r="D3795" s="760"/>
      <c r="E3795" s="760"/>
      <c r="F3795" s="760"/>
      <c r="G3795" s="760"/>
      <c r="H3795" s="760"/>
      <c r="I3795" s="760"/>
      <c r="J3795" s="760"/>
      <c r="K3795" s="760"/>
    </row>
    <row r="3796" spans="1:11">
      <c r="A3796" s="760"/>
      <c r="B3796" s="760"/>
      <c r="C3796" s="760"/>
      <c r="D3796" s="760"/>
      <c r="E3796" s="760"/>
      <c r="F3796" s="760"/>
      <c r="G3796" s="760"/>
      <c r="H3796" s="760"/>
      <c r="I3796" s="760"/>
      <c r="J3796" s="760"/>
      <c r="K3796" s="760"/>
    </row>
    <row r="3797" spans="1:11">
      <c r="A3797" s="760"/>
      <c r="B3797" s="760"/>
      <c r="C3797" s="760"/>
      <c r="D3797" s="760"/>
      <c r="E3797" s="760"/>
      <c r="F3797" s="760"/>
      <c r="G3797" s="760"/>
      <c r="H3797" s="760"/>
      <c r="I3797" s="760"/>
      <c r="J3797" s="760"/>
      <c r="K3797" s="760"/>
    </row>
    <row r="3798" spans="1:11">
      <c r="A3798" s="760"/>
      <c r="B3798" s="760"/>
      <c r="C3798" s="760"/>
      <c r="D3798" s="760"/>
      <c r="E3798" s="760"/>
      <c r="F3798" s="760"/>
      <c r="G3798" s="760"/>
      <c r="H3798" s="760"/>
      <c r="I3798" s="760"/>
      <c r="J3798" s="760"/>
      <c r="K3798" s="760"/>
    </row>
    <row r="3799" spans="1:11">
      <c r="A3799" s="760"/>
      <c r="B3799" s="760"/>
      <c r="C3799" s="760"/>
      <c r="D3799" s="760"/>
      <c r="E3799" s="760"/>
      <c r="F3799" s="760"/>
      <c r="G3799" s="760"/>
      <c r="H3799" s="760"/>
      <c r="I3799" s="760"/>
      <c r="J3799" s="760"/>
      <c r="K3799" s="760"/>
    </row>
    <row r="3800" spans="1:11">
      <c r="A3800" s="760"/>
      <c r="B3800" s="760"/>
      <c r="C3800" s="760"/>
      <c r="D3800" s="760"/>
      <c r="E3800" s="760"/>
      <c r="F3800" s="760"/>
      <c r="G3800" s="760"/>
      <c r="H3800" s="760"/>
      <c r="I3800" s="760"/>
      <c r="J3800" s="760"/>
      <c r="K3800" s="760"/>
    </row>
    <row r="3801" spans="1:11">
      <c r="A3801" s="760"/>
      <c r="B3801" s="760"/>
      <c r="C3801" s="760"/>
      <c r="D3801" s="760"/>
      <c r="E3801" s="760"/>
      <c r="F3801" s="760"/>
      <c r="G3801" s="760"/>
      <c r="H3801" s="760"/>
      <c r="I3801" s="760"/>
      <c r="J3801" s="760"/>
      <c r="K3801" s="760"/>
    </row>
    <row r="3802" spans="1:11">
      <c r="A3802" s="760"/>
      <c r="B3802" s="760"/>
      <c r="C3802" s="760"/>
      <c r="D3802" s="760"/>
      <c r="E3802" s="760"/>
      <c r="F3802" s="760"/>
      <c r="G3802" s="760"/>
      <c r="H3802" s="760"/>
      <c r="I3802" s="760"/>
      <c r="J3802" s="760"/>
      <c r="K3802" s="760"/>
    </row>
    <row r="3803" spans="1:11">
      <c r="A3803" s="760"/>
      <c r="B3803" s="760"/>
      <c r="C3803" s="760"/>
      <c r="D3803" s="760"/>
      <c r="E3803" s="760"/>
      <c r="F3803" s="760"/>
      <c r="G3803" s="760"/>
      <c r="H3803" s="760"/>
      <c r="I3803" s="760"/>
      <c r="J3803" s="760"/>
      <c r="K3803" s="760"/>
    </row>
    <row r="3804" spans="1:11">
      <c r="A3804" s="760"/>
      <c r="B3804" s="760"/>
      <c r="C3804" s="760"/>
      <c r="D3804" s="760"/>
      <c r="E3804" s="760"/>
      <c r="F3804" s="760"/>
      <c r="G3804" s="760"/>
      <c r="H3804" s="760"/>
      <c r="I3804" s="760"/>
      <c r="J3804" s="760"/>
      <c r="K3804" s="760"/>
    </row>
    <row r="3805" spans="1:11">
      <c r="A3805" s="760"/>
      <c r="B3805" s="760"/>
      <c r="C3805" s="760"/>
      <c r="D3805" s="760"/>
      <c r="E3805" s="760"/>
      <c r="F3805" s="760"/>
      <c r="G3805" s="760"/>
      <c r="H3805" s="760"/>
      <c r="I3805" s="760"/>
      <c r="J3805" s="760"/>
      <c r="K3805" s="760"/>
    </row>
    <row r="3806" spans="1:11">
      <c r="A3806" s="760"/>
      <c r="B3806" s="760"/>
      <c r="C3806" s="760"/>
      <c r="D3806" s="760"/>
      <c r="E3806" s="760"/>
      <c r="F3806" s="760"/>
      <c r="G3806" s="760"/>
      <c r="H3806" s="760"/>
      <c r="I3806" s="760"/>
      <c r="J3806" s="760"/>
      <c r="K3806" s="760"/>
    </row>
    <row r="3807" spans="1:11">
      <c r="A3807" s="760"/>
      <c r="B3807" s="760"/>
      <c r="C3807" s="760"/>
      <c r="D3807" s="760"/>
      <c r="E3807" s="760"/>
      <c r="F3807" s="760"/>
      <c r="G3807" s="760"/>
      <c r="H3807" s="760"/>
      <c r="I3807" s="760"/>
      <c r="J3807" s="760"/>
      <c r="K3807" s="760"/>
    </row>
    <row r="3808" spans="1:11">
      <c r="A3808" s="760"/>
      <c r="B3808" s="760"/>
      <c r="C3808" s="760"/>
      <c r="D3808" s="760"/>
      <c r="E3808" s="760"/>
      <c r="F3808" s="760"/>
      <c r="G3808" s="760"/>
      <c r="H3808" s="760"/>
      <c r="I3808" s="760"/>
      <c r="J3808" s="760"/>
      <c r="K3808" s="760"/>
    </row>
    <row r="3809" spans="1:11">
      <c r="A3809" s="760"/>
      <c r="B3809" s="760"/>
      <c r="C3809" s="760"/>
      <c r="D3809" s="760"/>
      <c r="E3809" s="760"/>
      <c r="F3809" s="760"/>
      <c r="G3809" s="760"/>
      <c r="H3809" s="760"/>
      <c r="I3809" s="760"/>
      <c r="J3809" s="760"/>
      <c r="K3809" s="760"/>
    </row>
    <row r="3810" spans="1:11">
      <c r="A3810" s="760"/>
      <c r="B3810" s="760"/>
      <c r="C3810" s="760"/>
      <c r="D3810" s="760"/>
      <c r="E3810" s="760"/>
      <c r="F3810" s="760"/>
      <c r="G3810" s="760"/>
      <c r="H3810" s="760"/>
      <c r="I3810" s="760"/>
      <c r="J3810" s="760"/>
      <c r="K3810" s="760"/>
    </row>
    <row r="3811" spans="1:11">
      <c r="A3811" s="760"/>
      <c r="B3811" s="760"/>
      <c r="C3811" s="760"/>
      <c r="D3811" s="760"/>
      <c r="E3811" s="760"/>
      <c r="F3811" s="760"/>
      <c r="G3811" s="760"/>
      <c r="H3811" s="760"/>
      <c r="I3811" s="760"/>
      <c r="J3811" s="760"/>
      <c r="K3811" s="760"/>
    </row>
    <row r="3812" spans="1:11">
      <c r="A3812" s="760"/>
      <c r="B3812" s="760"/>
      <c r="C3812" s="760"/>
      <c r="D3812" s="760"/>
      <c r="E3812" s="760"/>
      <c r="F3812" s="760"/>
      <c r="G3812" s="760"/>
      <c r="H3812" s="760"/>
      <c r="I3812" s="760"/>
      <c r="J3812" s="760"/>
      <c r="K3812" s="760"/>
    </row>
    <row r="3813" spans="1:11">
      <c r="A3813" s="760"/>
      <c r="B3813" s="760"/>
      <c r="C3813" s="760"/>
      <c r="D3813" s="760"/>
      <c r="E3813" s="760"/>
      <c r="F3813" s="760"/>
      <c r="G3813" s="760"/>
      <c r="H3813" s="760"/>
      <c r="I3813" s="760"/>
      <c r="J3813" s="760"/>
      <c r="K3813" s="760"/>
    </row>
    <row r="3814" spans="1:11">
      <c r="A3814" s="760"/>
      <c r="B3814" s="760"/>
      <c r="C3814" s="760"/>
      <c r="D3814" s="760"/>
      <c r="E3814" s="760"/>
      <c r="F3814" s="760"/>
      <c r="G3814" s="760"/>
      <c r="H3814" s="760"/>
      <c r="I3814" s="760"/>
      <c r="J3814" s="760"/>
      <c r="K3814" s="760"/>
    </row>
    <row r="3815" spans="1:11">
      <c r="A3815" s="760"/>
      <c r="B3815" s="760"/>
      <c r="C3815" s="760"/>
      <c r="D3815" s="760"/>
      <c r="E3815" s="760"/>
      <c r="F3815" s="760"/>
      <c r="G3815" s="760"/>
      <c r="H3815" s="760"/>
      <c r="I3815" s="760"/>
      <c r="J3815" s="760"/>
      <c r="K3815" s="760"/>
    </row>
    <row r="3816" spans="1:11">
      <c r="A3816" s="760"/>
      <c r="B3816" s="760"/>
      <c r="C3816" s="760"/>
      <c r="D3816" s="760"/>
      <c r="E3816" s="760"/>
      <c r="F3816" s="760"/>
      <c r="G3816" s="760"/>
      <c r="H3816" s="760"/>
      <c r="I3816" s="760"/>
      <c r="J3816" s="760"/>
      <c r="K3816" s="760"/>
    </row>
    <row r="3817" spans="1:11">
      <c r="A3817" s="760"/>
      <c r="B3817" s="760"/>
      <c r="C3817" s="760"/>
      <c r="D3817" s="760"/>
      <c r="E3817" s="760"/>
      <c r="F3817" s="760"/>
      <c r="G3817" s="760"/>
      <c r="H3817" s="760"/>
      <c r="I3817" s="760"/>
      <c r="J3817" s="760"/>
      <c r="K3817" s="760"/>
    </row>
    <row r="3818" spans="1:11">
      <c r="A3818" s="760"/>
      <c r="B3818" s="760"/>
      <c r="C3818" s="760"/>
      <c r="D3818" s="760"/>
      <c r="E3818" s="760"/>
      <c r="F3818" s="760"/>
      <c r="G3818" s="760"/>
      <c r="H3818" s="760"/>
      <c r="I3818" s="760"/>
      <c r="J3818" s="760"/>
      <c r="K3818" s="760"/>
    </row>
    <row r="3819" spans="1:11">
      <c r="A3819" s="760"/>
      <c r="B3819" s="760"/>
      <c r="C3819" s="760"/>
      <c r="D3819" s="760"/>
      <c r="E3819" s="760"/>
      <c r="F3819" s="760"/>
      <c r="G3819" s="760"/>
      <c r="H3819" s="760"/>
      <c r="I3819" s="760"/>
      <c r="J3819" s="760"/>
      <c r="K3819" s="760"/>
    </row>
    <row r="3820" spans="1:11">
      <c r="A3820" s="760"/>
      <c r="B3820" s="760"/>
      <c r="C3820" s="760"/>
      <c r="D3820" s="760"/>
      <c r="E3820" s="760"/>
      <c r="F3820" s="760"/>
      <c r="G3820" s="760"/>
      <c r="H3820" s="760"/>
      <c r="I3820" s="760"/>
      <c r="J3820" s="760"/>
      <c r="K3820" s="760"/>
    </row>
    <row r="3821" spans="1:11">
      <c r="A3821" s="760"/>
      <c r="B3821" s="760"/>
      <c r="C3821" s="760"/>
      <c r="D3821" s="760"/>
      <c r="E3821" s="760"/>
      <c r="F3821" s="760"/>
      <c r="G3821" s="760"/>
      <c r="H3821" s="760"/>
      <c r="I3821" s="760"/>
      <c r="J3821" s="760"/>
      <c r="K3821" s="760"/>
    </row>
    <row r="3822" spans="1:11">
      <c r="A3822" s="760"/>
      <c r="B3822" s="760"/>
      <c r="C3822" s="760"/>
      <c r="D3822" s="760"/>
      <c r="E3822" s="760"/>
      <c r="F3822" s="760"/>
      <c r="G3822" s="760"/>
      <c r="H3822" s="760"/>
      <c r="I3822" s="760"/>
      <c r="J3822" s="760"/>
      <c r="K3822" s="760"/>
    </row>
    <row r="3823" spans="1:11">
      <c r="A3823" s="760"/>
      <c r="B3823" s="760"/>
      <c r="C3823" s="760"/>
      <c r="D3823" s="760"/>
      <c r="E3823" s="760"/>
      <c r="F3823" s="760"/>
      <c r="G3823" s="760"/>
      <c r="H3823" s="760"/>
      <c r="I3823" s="760"/>
      <c r="J3823" s="760"/>
      <c r="K3823" s="760"/>
    </row>
    <row r="3824" spans="1:11">
      <c r="A3824" s="760"/>
      <c r="B3824" s="760"/>
      <c r="C3824" s="760"/>
      <c r="D3824" s="760"/>
      <c r="E3824" s="760"/>
      <c r="F3824" s="760"/>
      <c r="G3824" s="760"/>
      <c r="H3824" s="760"/>
      <c r="I3824" s="760"/>
      <c r="J3824" s="760"/>
      <c r="K3824" s="760"/>
    </row>
    <row r="3825" spans="1:11">
      <c r="A3825" s="760"/>
      <c r="B3825" s="760"/>
      <c r="C3825" s="760"/>
      <c r="D3825" s="760"/>
      <c r="E3825" s="760"/>
      <c r="F3825" s="760"/>
      <c r="G3825" s="760"/>
      <c r="H3825" s="760"/>
      <c r="I3825" s="760"/>
      <c r="J3825" s="760"/>
      <c r="K3825" s="760"/>
    </row>
    <row r="3826" spans="1:11">
      <c r="A3826" s="760"/>
      <c r="B3826" s="760"/>
      <c r="C3826" s="760"/>
      <c r="D3826" s="760"/>
      <c r="E3826" s="760"/>
      <c r="F3826" s="760"/>
      <c r="G3826" s="760"/>
      <c r="H3826" s="760"/>
      <c r="I3826" s="760"/>
      <c r="J3826" s="760"/>
      <c r="K3826" s="760"/>
    </row>
    <row r="3827" spans="1:11">
      <c r="A3827" s="760"/>
      <c r="B3827" s="760"/>
      <c r="C3827" s="760"/>
      <c r="D3827" s="760"/>
      <c r="E3827" s="760"/>
      <c r="F3827" s="760"/>
      <c r="G3827" s="760"/>
      <c r="H3827" s="760"/>
      <c r="I3827" s="760"/>
      <c r="J3827" s="760"/>
      <c r="K3827" s="760"/>
    </row>
    <row r="3828" spans="1:11">
      <c r="A3828" s="760"/>
      <c r="B3828" s="760"/>
      <c r="C3828" s="760"/>
      <c r="D3828" s="760"/>
      <c r="E3828" s="760"/>
      <c r="F3828" s="760"/>
      <c r="G3828" s="760"/>
      <c r="H3828" s="760"/>
      <c r="I3828" s="760"/>
      <c r="J3828" s="760"/>
      <c r="K3828" s="760"/>
    </row>
    <row r="3829" spans="1:11">
      <c r="A3829" s="760"/>
      <c r="B3829" s="760"/>
      <c r="C3829" s="760"/>
      <c r="D3829" s="760"/>
      <c r="E3829" s="760"/>
      <c r="F3829" s="760"/>
      <c r="G3829" s="760"/>
      <c r="H3829" s="760"/>
      <c r="I3829" s="760"/>
      <c r="J3829" s="760"/>
      <c r="K3829" s="760"/>
    </row>
    <row r="3830" spans="1:11">
      <c r="A3830" s="760"/>
      <c r="B3830" s="760"/>
      <c r="C3830" s="760"/>
      <c r="D3830" s="760"/>
      <c r="E3830" s="760"/>
      <c r="F3830" s="760"/>
      <c r="G3830" s="760"/>
      <c r="H3830" s="760"/>
      <c r="I3830" s="760"/>
      <c r="J3830" s="760"/>
      <c r="K3830" s="760"/>
    </row>
    <row r="3831" spans="1:11">
      <c r="A3831" s="760"/>
      <c r="B3831" s="760"/>
      <c r="C3831" s="760"/>
      <c r="D3831" s="760"/>
      <c r="E3831" s="760"/>
      <c r="F3831" s="760"/>
      <c r="G3831" s="760"/>
      <c r="H3831" s="760"/>
      <c r="I3831" s="760"/>
      <c r="J3831" s="760"/>
      <c r="K3831" s="760"/>
    </row>
    <row r="3832" spans="1:11">
      <c r="A3832" s="760"/>
      <c r="B3832" s="760"/>
      <c r="C3832" s="760"/>
      <c r="D3832" s="760"/>
      <c r="E3832" s="760"/>
      <c r="F3832" s="760"/>
      <c r="G3832" s="760"/>
      <c r="H3832" s="760"/>
      <c r="I3832" s="760"/>
      <c r="J3832" s="760"/>
      <c r="K3832" s="760"/>
    </row>
    <row r="3833" spans="1:11">
      <c r="A3833" s="760"/>
      <c r="B3833" s="760"/>
      <c r="C3833" s="760"/>
      <c r="D3833" s="760"/>
      <c r="E3833" s="760"/>
      <c r="F3833" s="760"/>
      <c r="G3833" s="760"/>
      <c r="H3833" s="760"/>
      <c r="I3833" s="760"/>
      <c r="J3833" s="760"/>
      <c r="K3833" s="760"/>
    </row>
    <row r="3834" spans="1:11">
      <c r="A3834" s="760"/>
      <c r="B3834" s="760"/>
      <c r="C3834" s="760"/>
      <c r="D3834" s="760"/>
      <c r="E3834" s="760"/>
      <c r="F3834" s="760"/>
      <c r="G3834" s="760"/>
      <c r="H3834" s="760"/>
      <c r="I3834" s="760"/>
      <c r="J3834" s="760"/>
      <c r="K3834" s="760"/>
    </row>
    <row r="3835" spans="1:11">
      <c r="A3835" s="760"/>
      <c r="B3835" s="760"/>
      <c r="C3835" s="760"/>
      <c r="D3835" s="760"/>
      <c r="E3835" s="760"/>
      <c r="F3835" s="760"/>
      <c r="G3835" s="760"/>
      <c r="H3835" s="760"/>
      <c r="I3835" s="760"/>
      <c r="J3835" s="760"/>
      <c r="K3835" s="760"/>
    </row>
    <row r="3836" spans="1:11">
      <c r="A3836" s="760"/>
      <c r="B3836" s="760"/>
      <c r="C3836" s="760"/>
      <c r="D3836" s="760"/>
      <c r="E3836" s="760"/>
      <c r="F3836" s="760"/>
      <c r="G3836" s="760"/>
      <c r="H3836" s="760"/>
      <c r="I3836" s="760"/>
      <c r="J3836" s="760"/>
      <c r="K3836" s="760"/>
    </row>
    <row r="3837" spans="1:11">
      <c r="A3837" s="760"/>
      <c r="B3837" s="760"/>
      <c r="C3837" s="760"/>
      <c r="D3837" s="760"/>
      <c r="E3837" s="760"/>
      <c r="F3837" s="760"/>
      <c r="G3837" s="760"/>
      <c r="H3837" s="760"/>
      <c r="I3837" s="760"/>
      <c r="J3837" s="760"/>
      <c r="K3837" s="760"/>
    </row>
    <row r="3838" spans="1:11">
      <c r="A3838" s="760"/>
      <c r="B3838" s="760"/>
      <c r="C3838" s="760"/>
      <c r="D3838" s="760"/>
      <c r="E3838" s="760"/>
      <c r="F3838" s="760"/>
      <c r="G3838" s="760"/>
      <c r="H3838" s="760"/>
      <c r="I3838" s="760"/>
      <c r="J3838" s="760"/>
      <c r="K3838" s="760"/>
    </row>
    <row r="3839" spans="1:11">
      <c r="A3839" s="760"/>
      <c r="B3839" s="760"/>
      <c r="C3839" s="760"/>
      <c r="D3839" s="760"/>
      <c r="E3839" s="760"/>
      <c r="F3839" s="760"/>
      <c r="G3839" s="760"/>
      <c r="H3839" s="760"/>
      <c r="I3839" s="760"/>
      <c r="J3839" s="760"/>
      <c r="K3839" s="760"/>
    </row>
    <row r="3840" spans="1:11">
      <c r="A3840" s="760"/>
      <c r="B3840" s="760"/>
      <c r="C3840" s="760"/>
      <c r="D3840" s="760"/>
      <c r="E3840" s="760"/>
      <c r="F3840" s="760"/>
      <c r="G3840" s="760"/>
      <c r="H3840" s="760"/>
      <c r="I3840" s="760"/>
      <c r="J3840" s="760"/>
      <c r="K3840" s="760"/>
    </row>
    <row r="3841" spans="1:11">
      <c r="A3841" s="760"/>
      <c r="B3841" s="760"/>
      <c r="C3841" s="760"/>
      <c r="D3841" s="760"/>
      <c r="E3841" s="760"/>
      <c r="F3841" s="760"/>
      <c r="G3841" s="760"/>
      <c r="H3841" s="760"/>
      <c r="I3841" s="760"/>
      <c r="J3841" s="760"/>
      <c r="K3841" s="760"/>
    </row>
    <row r="3842" spans="1:11">
      <c r="A3842" s="760"/>
      <c r="B3842" s="760"/>
      <c r="C3842" s="760"/>
      <c r="D3842" s="760"/>
      <c r="E3842" s="760"/>
      <c r="F3842" s="760"/>
      <c r="G3842" s="760"/>
      <c r="H3842" s="760"/>
      <c r="I3842" s="760"/>
      <c r="J3842" s="760"/>
      <c r="K3842" s="760"/>
    </row>
    <row r="3843" spans="1:11">
      <c r="A3843" s="760"/>
      <c r="B3843" s="760"/>
      <c r="C3843" s="760"/>
      <c r="D3843" s="760"/>
      <c r="E3843" s="760"/>
      <c r="F3843" s="760"/>
      <c r="G3843" s="760"/>
      <c r="H3843" s="760"/>
      <c r="I3843" s="760"/>
      <c r="J3843" s="760"/>
      <c r="K3843" s="760"/>
    </row>
    <row r="3844" spans="1:11">
      <c r="A3844" s="760"/>
      <c r="B3844" s="760"/>
      <c r="C3844" s="760"/>
      <c r="D3844" s="760"/>
      <c r="E3844" s="760"/>
      <c r="F3844" s="760"/>
      <c r="G3844" s="760"/>
      <c r="H3844" s="760"/>
      <c r="I3844" s="760"/>
      <c r="J3844" s="760"/>
      <c r="K3844" s="760"/>
    </row>
    <row r="3845" spans="1:11">
      <c r="A3845" s="760"/>
      <c r="B3845" s="760"/>
      <c r="C3845" s="760"/>
      <c r="D3845" s="760"/>
      <c r="E3845" s="760"/>
      <c r="F3845" s="760"/>
      <c r="G3845" s="760"/>
      <c r="H3845" s="760"/>
      <c r="I3845" s="760"/>
      <c r="J3845" s="760"/>
      <c r="K3845" s="760"/>
    </row>
    <row r="3846" spans="1:11">
      <c r="A3846" s="760"/>
      <c r="B3846" s="760"/>
      <c r="C3846" s="760"/>
      <c r="D3846" s="760"/>
      <c r="E3846" s="760"/>
      <c r="F3846" s="760"/>
      <c r="G3846" s="760"/>
      <c r="H3846" s="760"/>
      <c r="I3846" s="760"/>
      <c r="J3846" s="760"/>
      <c r="K3846" s="760"/>
    </row>
    <row r="3847" spans="1:11">
      <c r="A3847" s="760"/>
      <c r="B3847" s="760"/>
      <c r="C3847" s="760"/>
      <c r="D3847" s="760"/>
      <c r="E3847" s="760"/>
      <c r="F3847" s="760"/>
      <c r="G3847" s="760"/>
      <c r="H3847" s="760"/>
      <c r="I3847" s="760"/>
      <c r="J3847" s="760"/>
      <c r="K3847" s="760"/>
    </row>
    <row r="3848" spans="1:11">
      <c r="A3848" s="760"/>
      <c r="B3848" s="760"/>
      <c r="C3848" s="760"/>
      <c r="D3848" s="760"/>
      <c r="E3848" s="760"/>
      <c r="F3848" s="760"/>
      <c r="G3848" s="760"/>
      <c r="H3848" s="760"/>
      <c r="I3848" s="760"/>
      <c r="J3848" s="760"/>
      <c r="K3848" s="760"/>
    </row>
    <row r="3849" spans="1:11">
      <c r="A3849" s="760"/>
      <c r="B3849" s="760"/>
      <c r="C3849" s="760"/>
      <c r="D3849" s="760"/>
      <c r="E3849" s="760"/>
      <c r="F3849" s="760"/>
      <c r="G3849" s="760"/>
      <c r="H3849" s="760"/>
      <c r="I3849" s="760"/>
      <c r="J3849" s="760"/>
      <c r="K3849" s="760"/>
    </row>
    <row r="3850" spans="1:11">
      <c r="A3850" s="760"/>
      <c r="B3850" s="760"/>
      <c r="C3850" s="760"/>
      <c r="D3850" s="760"/>
      <c r="E3850" s="760"/>
      <c r="F3850" s="760"/>
      <c r="G3850" s="760"/>
      <c r="H3850" s="760"/>
      <c r="I3850" s="760"/>
      <c r="J3850" s="760"/>
      <c r="K3850" s="760"/>
    </row>
    <row r="3851" spans="1:11">
      <c r="A3851" s="760"/>
      <c r="B3851" s="760"/>
      <c r="C3851" s="760"/>
      <c r="D3851" s="760"/>
      <c r="E3851" s="760"/>
      <c r="F3851" s="760"/>
      <c r="G3851" s="760"/>
      <c r="H3851" s="760"/>
      <c r="I3851" s="760"/>
      <c r="J3851" s="760"/>
      <c r="K3851" s="760"/>
    </row>
    <row r="3852" spans="1:11">
      <c r="A3852" s="760"/>
      <c r="B3852" s="760"/>
      <c r="C3852" s="760"/>
      <c r="D3852" s="760"/>
      <c r="E3852" s="760"/>
      <c r="F3852" s="760"/>
      <c r="G3852" s="760"/>
      <c r="H3852" s="760"/>
      <c r="I3852" s="760"/>
      <c r="J3852" s="760"/>
      <c r="K3852" s="760"/>
    </row>
    <row r="3853" spans="1:11">
      <c r="A3853" s="760"/>
      <c r="B3853" s="760"/>
      <c r="C3853" s="760"/>
      <c r="D3853" s="760"/>
      <c r="E3853" s="760"/>
      <c r="F3853" s="760"/>
      <c r="G3853" s="760"/>
      <c r="H3853" s="760"/>
      <c r="I3853" s="760"/>
      <c r="J3853" s="760"/>
      <c r="K3853" s="760"/>
    </row>
    <row r="3854" spans="1:11">
      <c r="A3854" s="760"/>
      <c r="B3854" s="760"/>
      <c r="C3854" s="760"/>
      <c r="D3854" s="760"/>
      <c r="E3854" s="760"/>
      <c r="F3854" s="760"/>
      <c r="G3854" s="760"/>
      <c r="H3854" s="760"/>
      <c r="I3854" s="760"/>
      <c r="J3854" s="760"/>
      <c r="K3854" s="760"/>
    </row>
    <row r="3855" spans="1:11">
      <c r="A3855" s="760"/>
      <c r="B3855" s="760"/>
      <c r="C3855" s="760"/>
      <c r="D3855" s="760"/>
      <c r="E3855" s="760"/>
      <c r="F3855" s="760"/>
      <c r="G3855" s="760"/>
      <c r="H3855" s="760"/>
      <c r="I3855" s="760"/>
      <c r="J3855" s="760"/>
      <c r="K3855" s="760"/>
    </row>
    <row r="3856" spans="1:11">
      <c r="A3856" s="760"/>
      <c r="B3856" s="760"/>
      <c r="C3856" s="760"/>
      <c r="D3856" s="760"/>
      <c r="E3856" s="760"/>
      <c r="F3856" s="760"/>
      <c r="G3856" s="760"/>
      <c r="H3856" s="760"/>
      <c r="I3856" s="760"/>
      <c r="J3856" s="760"/>
      <c r="K3856" s="760"/>
    </row>
    <row r="3857" spans="1:11">
      <c r="A3857" s="760"/>
      <c r="B3857" s="760"/>
      <c r="C3857" s="760"/>
      <c r="D3857" s="760"/>
      <c r="E3857" s="760"/>
      <c r="F3857" s="760"/>
      <c r="G3857" s="760"/>
      <c r="H3857" s="760"/>
      <c r="I3857" s="760"/>
      <c r="J3857" s="760"/>
      <c r="K3857" s="760"/>
    </row>
    <row r="3858" spans="1:11">
      <c r="A3858" s="760"/>
      <c r="B3858" s="760"/>
      <c r="C3858" s="760"/>
      <c r="D3858" s="760"/>
      <c r="E3858" s="760"/>
      <c r="F3858" s="760"/>
      <c r="G3858" s="760"/>
      <c r="H3858" s="760"/>
      <c r="I3858" s="760"/>
      <c r="J3858" s="760"/>
      <c r="K3858" s="760"/>
    </row>
    <row r="3859" spans="1:11">
      <c r="A3859" s="760"/>
      <c r="B3859" s="760"/>
      <c r="C3859" s="760"/>
      <c r="D3859" s="760"/>
      <c r="E3859" s="760"/>
      <c r="F3859" s="760"/>
      <c r="G3859" s="760"/>
      <c r="H3859" s="760"/>
      <c r="I3859" s="760"/>
      <c r="J3859" s="760"/>
      <c r="K3859" s="760"/>
    </row>
    <row r="3860" spans="1:11">
      <c r="A3860" s="760"/>
      <c r="B3860" s="760"/>
      <c r="C3860" s="760"/>
      <c r="D3860" s="760"/>
      <c r="E3860" s="760"/>
      <c r="F3860" s="760"/>
      <c r="G3860" s="760"/>
      <c r="H3860" s="760"/>
      <c r="I3860" s="760"/>
      <c r="J3860" s="760"/>
      <c r="K3860" s="760"/>
    </row>
    <row r="3861" spans="1:11">
      <c r="A3861" s="760"/>
      <c r="B3861" s="760"/>
      <c r="C3861" s="760"/>
      <c r="D3861" s="760"/>
      <c r="E3861" s="760"/>
      <c r="F3861" s="760"/>
      <c r="G3861" s="760"/>
      <c r="H3861" s="760"/>
      <c r="I3861" s="760"/>
      <c r="J3861" s="760"/>
      <c r="K3861" s="760"/>
    </row>
    <row r="3862" spans="1:11">
      <c r="A3862" s="760"/>
      <c r="B3862" s="760"/>
      <c r="C3862" s="760"/>
      <c r="D3862" s="760"/>
      <c r="E3862" s="760"/>
      <c r="F3862" s="760"/>
      <c r="G3862" s="760"/>
      <c r="H3862" s="760"/>
      <c r="I3862" s="760"/>
      <c r="J3862" s="760"/>
      <c r="K3862" s="760"/>
    </row>
    <row r="3863" spans="1:11">
      <c r="A3863" s="760"/>
      <c r="B3863" s="760"/>
      <c r="C3863" s="760"/>
      <c r="D3863" s="760"/>
      <c r="E3863" s="760"/>
      <c r="F3863" s="760"/>
      <c r="G3863" s="760"/>
      <c r="H3863" s="760"/>
      <c r="I3863" s="760"/>
      <c r="J3863" s="760"/>
      <c r="K3863" s="760"/>
    </row>
    <row r="3864" spans="1:11">
      <c r="A3864" s="760"/>
      <c r="B3864" s="760"/>
      <c r="C3864" s="760"/>
      <c r="D3864" s="760"/>
      <c r="E3864" s="760"/>
      <c r="F3864" s="760"/>
      <c r="G3864" s="760"/>
      <c r="H3864" s="760"/>
      <c r="I3864" s="760"/>
      <c r="J3864" s="760"/>
      <c r="K3864" s="760"/>
    </row>
    <row r="3865" spans="1:11">
      <c r="A3865" s="760"/>
      <c r="B3865" s="760"/>
      <c r="C3865" s="760"/>
      <c r="D3865" s="760"/>
      <c r="E3865" s="760"/>
      <c r="F3865" s="760"/>
      <c r="G3865" s="760"/>
      <c r="H3865" s="760"/>
      <c r="I3865" s="760"/>
      <c r="J3865" s="760"/>
      <c r="K3865" s="760"/>
    </row>
    <row r="3866" spans="1:11">
      <c r="A3866" s="760"/>
      <c r="B3866" s="760"/>
      <c r="C3866" s="760"/>
      <c r="D3866" s="760"/>
      <c r="E3866" s="760"/>
      <c r="F3866" s="760"/>
      <c r="G3866" s="760"/>
      <c r="H3866" s="760"/>
      <c r="I3866" s="760"/>
      <c r="J3866" s="760"/>
      <c r="K3866" s="760"/>
    </row>
    <row r="3867" spans="1:11">
      <c r="A3867" s="760"/>
      <c r="B3867" s="760"/>
      <c r="C3867" s="760"/>
      <c r="D3867" s="760"/>
      <c r="E3867" s="760"/>
      <c r="F3867" s="760"/>
      <c r="G3867" s="760"/>
      <c r="H3867" s="760"/>
      <c r="I3867" s="760"/>
      <c r="J3867" s="760"/>
      <c r="K3867" s="760"/>
    </row>
    <row r="3868" spans="1:11">
      <c r="A3868" s="760"/>
      <c r="B3868" s="760"/>
      <c r="C3868" s="760"/>
      <c r="D3868" s="760"/>
      <c r="E3868" s="760"/>
      <c r="F3868" s="760"/>
      <c r="G3868" s="760"/>
      <c r="H3868" s="760"/>
      <c r="I3868" s="760"/>
      <c r="J3868" s="760"/>
      <c r="K3868" s="760"/>
    </row>
    <row r="3869" spans="1:11">
      <c r="A3869" s="760"/>
      <c r="B3869" s="760"/>
      <c r="C3869" s="760"/>
      <c r="D3869" s="760"/>
      <c r="E3869" s="760"/>
      <c r="F3869" s="760"/>
      <c r="G3869" s="760"/>
      <c r="H3869" s="760"/>
      <c r="I3869" s="760"/>
      <c r="J3869" s="760"/>
      <c r="K3869" s="760"/>
    </row>
    <row r="3870" spans="1:11">
      <c r="A3870" s="760"/>
      <c r="B3870" s="760"/>
      <c r="C3870" s="760"/>
      <c r="D3870" s="760"/>
      <c r="E3870" s="760"/>
      <c r="F3870" s="760"/>
      <c r="G3870" s="760"/>
      <c r="H3870" s="760"/>
      <c r="I3870" s="760"/>
      <c r="J3870" s="760"/>
      <c r="K3870" s="760"/>
    </row>
    <row r="3871" spans="1:11">
      <c r="A3871" s="760"/>
      <c r="B3871" s="760"/>
      <c r="C3871" s="760"/>
      <c r="D3871" s="760"/>
      <c r="E3871" s="760"/>
      <c r="F3871" s="760"/>
      <c r="G3871" s="760"/>
      <c r="H3871" s="760"/>
      <c r="I3871" s="760"/>
      <c r="J3871" s="760"/>
      <c r="K3871" s="760"/>
    </row>
    <row r="3872" spans="1:11">
      <c r="A3872" s="760"/>
      <c r="B3872" s="760"/>
      <c r="C3872" s="760"/>
      <c r="D3872" s="760"/>
      <c r="E3872" s="760"/>
      <c r="F3872" s="760"/>
      <c r="G3872" s="760"/>
      <c r="H3872" s="760"/>
      <c r="I3872" s="760"/>
      <c r="J3872" s="760"/>
      <c r="K3872" s="760"/>
    </row>
    <row r="3873" spans="1:11">
      <c r="A3873" s="760"/>
      <c r="B3873" s="760"/>
      <c r="C3873" s="760"/>
      <c r="D3873" s="760"/>
      <c r="E3873" s="760"/>
      <c r="F3873" s="760"/>
      <c r="G3873" s="760"/>
      <c r="H3873" s="760"/>
      <c r="I3873" s="760"/>
      <c r="J3873" s="760"/>
      <c r="K3873" s="760"/>
    </row>
    <row r="3874" spans="1:11">
      <c r="A3874" s="760"/>
      <c r="B3874" s="760"/>
      <c r="C3874" s="760"/>
      <c r="D3874" s="760"/>
      <c r="E3874" s="760"/>
      <c r="F3874" s="760"/>
      <c r="G3874" s="760"/>
      <c r="H3874" s="760"/>
      <c r="I3874" s="760"/>
      <c r="J3874" s="760"/>
      <c r="K3874" s="760"/>
    </row>
    <row r="3875" spans="1:11">
      <c r="A3875" s="760"/>
      <c r="B3875" s="760"/>
      <c r="C3875" s="760"/>
      <c r="D3875" s="760"/>
      <c r="E3875" s="760"/>
      <c r="F3875" s="760"/>
      <c r="G3875" s="760"/>
      <c r="H3875" s="760"/>
      <c r="I3875" s="760"/>
      <c r="J3875" s="760"/>
      <c r="K3875" s="760"/>
    </row>
    <row r="3876" spans="1:11">
      <c r="A3876" s="760"/>
      <c r="B3876" s="760"/>
      <c r="C3876" s="760"/>
      <c r="D3876" s="760"/>
      <c r="E3876" s="760"/>
      <c r="F3876" s="760"/>
      <c r="G3876" s="760"/>
      <c r="H3876" s="760"/>
      <c r="I3876" s="760"/>
      <c r="J3876" s="760"/>
      <c r="K3876" s="760"/>
    </row>
    <row r="3877" spans="1:11">
      <c r="A3877" s="760"/>
      <c r="B3877" s="760"/>
      <c r="C3877" s="760"/>
      <c r="D3877" s="760"/>
      <c r="E3877" s="760"/>
      <c r="F3877" s="760"/>
      <c r="G3877" s="760"/>
      <c r="H3877" s="760"/>
      <c r="I3877" s="760"/>
      <c r="J3877" s="760"/>
      <c r="K3877" s="760"/>
    </row>
    <row r="3878" spans="1:11">
      <c r="A3878" s="760"/>
      <c r="B3878" s="760"/>
      <c r="C3878" s="760"/>
      <c r="D3878" s="760"/>
      <c r="E3878" s="760"/>
      <c r="F3878" s="760"/>
      <c r="G3878" s="760"/>
      <c r="H3878" s="760"/>
      <c r="I3878" s="760"/>
      <c r="J3878" s="760"/>
      <c r="K3878" s="760"/>
    </row>
    <row r="3879" spans="1:11">
      <c r="A3879" s="760"/>
      <c r="B3879" s="760"/>
      <c r="C3879" s="760"/>
      <c r="D3879" s="760"/>
      <c r="E3879" s="760"/>
      <c r="F3879" s="760"/>
      <c r="G3879" s="760"/>
      <c r="H3879" s="760"/>
      <c r="I3879" s="760"/>
      <c r="J3879" s="760"/>
      <c r="K3879" s="760"/>
    </row>
    <row r="3880" spans="1:11">
      <c r="A3880" s="760"/>
      <c r="B3880" s="760"/>
      <c r="C3880" s="760"/>
      <c r="D3880" s="760"/>
      <c r="E3880" s="760"/>
      <c r="F3880" s="760"/>
      <c r="G3880" s="760"/>
      <c r="H3880" s="760"/>
      <c r="I3880" s="760"/>
      <c r="J3880" s="760"/>
      <c r="K3880" s="760"/>
    </row>
    <row r="3881" spans="1:11">
      <c r="A3881" s="760"/>
      <c r="B3881" s="760"/>
      <c r="C3881" s="760"/>
      <c r="D3881" s="760"/>
      <c r="E3881" s="760"/>
      <c r="F3881" s="760"/>
      <c r="G3881" s="760"/>
      <c r="H3881" s="760"/>
      <c r="I3881" s="760"/>
      <c r="J3881" s="760"/>
      <c r="K3881" s="760"/>
    </row>
    <row r="3882" spans="1:11">
      <c r="A3882" s="760"/>
      <c r="B3882" s="760"/>
      <c r="C3882" s="760"/>
      <c r="D3882" s="760"/>
      <c r="E3882" s="760"/>
      <c r="F3882" s="760"/>
      <c r="G3882" s="760"/>
      <c r="H3882" s="760"/>
      <c r="I3882" s="760"/>
      <c r="J3882" s="760"/>
      <c r="K3882" s="760"/>
    </row>
    <row r="3883" spans="1:11">
      <c r="A3883" s="760"/>
      <c r="B3883" s="760"/>
      <c r="C3883" s="760"/>
      <c r="D3883" s="760"/>
      <c r="E3883" s="760"/>
      <c r="F3883" s="760"/>
      <c r="G3883" s="760"/>
      <c r="H3883" s="760"/>
      <c r="I3883" s="760"/>
      <c r="J3883" s="760"/>
      <c r="K3883" s="760"/>
    </row>
    <row r="3884" spans="1:11">
      <c r="A3884" s="760"/>
      <c r="B3884" s="760"/>
      <c r="C3884" s="760"/>
      <c r="D3884" s="760"/>
      <c r="E3884" s="760"/>
      <c r="F3884" s="760"/>
      <c r="G3884" s="760"/>
      <c r="H3884" s="760"/>
      <c r="I3884" s="760"/>
      <c r="J3884" s="760"/>
      <c r="K3884" s="760"/>
    </row>
    <row r="3885" spans="1:11">
      <c r="A3885" s="760"/>
      <c r="B3885" s="760"/>
      <c r="C3885" s="760"/>
      <c r="D3885" s="760"/>
      <c r="E3885" s="760"/>
      <c r="F3885" s="760"/>
      <c r="G3885" s="760"/>
      <c r="H3885" s="760"/>
      <c r="I3885" s="760"/>
      <c r="J3885" s="760"/>
      <c r="K3885" s="760"/>
    </row>
    <row r="3886" spans="1:11">
      <c r="A3886" s="760"/>
      <c r="B3886" s="760"/>
      <c r="C3886" s="760"/>
      <c r="D3886" s="760"/>
      <c r="E3886" s="760"/>
      <c r="F3886" s="760"/>
      <c r="G3886" s="760"/>
      <c r="H3886" s="760"/>
      <c r="I3886" s="760"/>
      <c r="J3886" s="760"/>
      <c r="K3886" s="760"/>
    </row>
    <row r="3887" spans="1:11">
      <c r="A3887" s="760"/>
      <c r="B3887" s="760"/>
      <c r="C3887" s="760"/>
      <c r="D3887" s="760"/>
      <c r="E3887" s="760"/>
      <c r="F3887" s="760"/>
      <c r="G3887" s="760"/>
      <c r="H3887" s="760"/>
      <c r="I3887" s="760"/>
      <c r="J3887" s="760"/>
      <c r="K3887" s="760"/>
    </row>
    <row r="3888" spans="1:11">
      <c r="A3888" s="760"/>
      <c r="B3888" s="760"/>
      <c r="C3888" s="760"/>
      <c r="D3888" s="760"/>
      <c r="E3888" s="760"/>
      <c r="F3888" s="760"/>
      <c r="G3888" s="760"/>
      <c r="H3888" s="760"/>
      <c r="I3888" s="760"/>
      <c r="J3888" s="760"/>
      <c r="K3888" s="760"/>
    </row>
    <row r="3889" spans="1:11">
      <c r="A3889" s="760"/>
      <c r="B3889" s="760"/>
      <c r="C3889" s="760"/>
      <c r="D3889" s="760"/>
      <c r="E3889" s="760"/>
      <c r="F3889" s="760"/>
      <c r="G3889" s="760"/>
      <c r="H3889" s="760"/>
      <c r="I3889" s="760"/>
      <c r="J3889" s="760"/>
      <c r="K3889" s="760"/>
    </row>
    <row r="3890" spans="1:11">
      <c r="A3890" s="760"/>
      <c r="B3890" s="760"/>
      <c r="C3890" s="760"/>
      <c r="D3890" s="760"/>
      <c r="E3890" s="760"/>
      <c r="F3890" s="760"/>
      <c r="G3890" s="760"/>
      <c r="H3890" s="760"/>
      <c r="I3890" s="760"/>
      <c r="J3890" s="760"/>
      <c r="K3890" s="760"/>
    </row>
    <row r="3891" spans="1:11">
      <c r="A3891" s="760"/>
      <c r="B3891" s="760"/>
      <c r="C3891" s="760"/>
      <c r="D3891" s="760"/>
      <c r="E3891" s="760"/>
      <c r="F3891" s="760"/>
      <c r="G3891" s="760"/>
      <c r="H3891" s="760"/>
      <c r="I3891" s="760"/>
      <c r="J3891" s="760"/>
      <c r="K3891" s="760"/>
    </row>
    <row r="3892" spans="1:11">
      <c r="A3892" s="760"/>
      <c r="B3892" s="760"/>
      <c r="C3892" s="760"/>
      <c r="D3892" s="760"/>
      <c r="E3892" s="760"/>
      <c r="F3892" s="760"/>
      <c r="G3892" s="760"/>
      <c r="H3892" s="760"/>
      <c r="I3892" s="760"/>
      <c r="J3892" s="760"/>
      <c r="K3892" s="760"/>
    </row>
    <row r="3893" spans="1:11">
      <c r="A3893" s="760"/>
      <c r="B3893" s="760"/>
      <c r="C3893" s="760"/>
      <c r="D3893" s="760"/>
      <c r="E3893" s="760"/>
      <c r="F3893" s="760"/>
      <c r="G3893" s="760"/>
      <c r="H3893" s="760"/>
      <c r="I3893" s="760"/>
      <c r="J3893" s="760"/>
      <c r="K3893" s="760"/>
    </row>
    <row r="3894" spans="1:11">
      <c r="A3894" s="760"/>
      <c r="B3894" s="760"/>
      <c r="C3894" s="760"/>
      <c r="D3894" s="760"/>
      <c r="E3894" s="760"/>
      <c r="F3894" s="760"/>
      <c r="G3894" s="760"/>
      <c r="H3894" s="760"/>
      <c r="I3894" s="760"/>
      <c r="J3894" s="760"/>
      <c r="K3894" s="760"/>
    </row>
    <row r="3895" spans="1:11">
      <c r="A3895" s="760"/>
      <c r="B3895" s="760"/>
      <c r="C3895" s="760"/>
      <c r="D3895" s="760"/>
      <c r="E3895" s="760"/>
      <c r="F3895" s="760"/>
      <c r="G3895" s="760"/>
      <c r="H3895" s="760"/>
      <c r="I3895" s="760"/>
      <c r="J3895" s="760"/>
      <c r="K3895" s="760"/>
    </row>
    <row r="3896" spans="1:11">
      <c r="A3896" s="760"/>
      <c r="B3896" s="760"/>
      <c r="C3896" s="760"/>
      <c r="D3896" s="760"/>
      <c r="E3896" s="760"/>
      <c r="F3896" s="760"/>
      <c r="G3896" s="760"/>
      <c r="H3896" s="760"/>
      <c r="I3896" s="760"/>
      <c r="J3896" s="760"/>
      <c r="K3896" s="760"/>
    </row>
    <row r="3897" spans="1:11">
      <c r="A3897" s="760"/>
      <c r="B3897" s="760"/>
      <c r="C3897" s="760"/>
      <c r="D3897" s="760"/>
      <c r="E3897" s="760"/>
      <c r="F3897" s="760"/>
      <c r="G3897" s="760"/>
      <c r="H3897" s="760"/>
      <c r="I3897" s="760"/>
      <c r="J3897" s="760"/>
      <c r="K3897" s="760"/>
    </row>
    <row r="3898" spans="1:11">
      <c r="A3898" s="760"/>
      <c r="B3898" s="760"/>
      <c r="C3898" s="760"/>
      <c r="D3898" s="760"/>
      <c r="E3898" s="760"/>
      <c r="F3898" s="760"/>
      <c r="G3898" s="760"/>
      <c r="H3898" s="760"/>
      <c r="I3898" s="760"/>
      <c r="J3898" s="760"/>
      <c r="K3898" s="760"/>
    </row>
    <row r="3899" spans="1:11">
      <c r="A3899" s="760"/>
      <c r="B3899" s="760"/>
      <c r="C3899" s="760"/>
      <c r="D3899" s="760"/>
      <c r="E3899" s="760"/>
      <c r="F3899" s="760"/>
      <c r="G3899" s="760"/>
      <c r="H3899" s="760"/>
      <c r="I3899" s="760"/>
      <c r="J3899" s="760"/>
      <c r="K3899" s="760"/>
    </row>
    <row r="3900" spans="1:11">
      <c r="A3900" s="760"/>
      <c r="B3900" s="760"/>
      <c r="C3900" s="760"/>
      <c r="D3900" s="760"/>
      <c r="E3900" s="760"/>
      <c r="F3900" s="760"/>
      <c r="G3900" s="760"/>
      <c r="H3900" s="760"/>
      <c r="I3900" s="760"/>
      <c r="J3900" s="760"/>
      <c r="K3900" s="760"/>
    </row>
    <row r="3901" spans="1:11">
      <c r="A3901" s="760"/>
      <c r="B3901" s="760"/>
      <c r="C3901" s="760"/>
      <c r="D3901" s="760"/>
      <c r="E3901" s="760"/>
      <c r="F3901" s="760"/>
      <c r="G3901" s="760"/>
      <c r="H3901" s="760"/>
      <c r="I3901" s="760"/>
      <c r="J3901" s="760"/>
      <c r="K3901" s="760"/>
    </row>
    <row r="3902" spans="1:11">
      <c r="A3902" s="760"/>
      <c r="B3902" s="760"/>
      <c r="C3902" s="760"/>
      <c r="D3902" s="760"/>
      <c r="E3902" s="760"/>
      <c r="F3902" s="760"/>
      <c r="G3902" s="760"/>
      <c r="H3902" s="760"/>
      <c r="I3902" s="760"/>
      <c r="J3902" s="760"/>
      <c r="K3902" s="760"/>
    </row>
    <row r="3903" spans="1:11">
      <c r="A3903" s="760"/>
      <c r="B3903" s="760"/>
      <c r="C3903" s="760"/>
      <c r="D3903" s="760"/>
      <c r="E3903" s="760"/>
      <c r="F3903" s="760"/>
      <c r="G3903" s="760"/>
      <c r="H3903" s="760"/>
      <c r="I3903" s="760"/>
      <c r="J3903" s="760"/>
      <c r="K3903" s="760"/>
    </row>
    <row r="3904" spans="1:11">
      <c r="A3904" s="760"/>
      <c r="B3904" s="760"/>
      <c r="C3904" s="760"/>
      <c r="D3904" s="760"/>
      <c r="E3904" s="760"/>
      <c r="F3904" s="760"/>
      <c r="G3904" s="760"/>
      <c r="H3904" s="760"/>
      <c r="I3904" s="760"/>
      <c r="J3904" s="760"/>
      <c r="K3904" s="760"/>
    </row>
    <row r="3905" spans="1:11">
      <c r="A3905" s="760"/>
      <c r="B3905" s="760"/>
      <c r="C3905" s="760"/>
      <c r="D3905" s="760"/>
      <c r="E3905" s="760"/>
      <c r="F3905" s="760"/>
      <c r="G3905" s="760"/>
      <c r="H3905" s="760"/>
      <c r="I3905" s="760"/>
      <c r="J3905" s="760"/>
      <c r="K3905" s="760"/>
    </row>
    <row r="3906" spans="1:11">
      <c r="A3906" s="760"/>
      <c r="B3906" s="760"/>
      <c r="C3906" s="760"/>
      <c r="D3906" s="760"/>
      <c r="E3906" s="760"/>
      <c r="F3906" s="760"/>
      <c r="G3906" s="760"/>
      <c r="H3906" s="760"/>
      <c r="I3906" s="760"/>
      <c r="J3906" s="760"/>
      <c r="K3906" s="760"/>
    </row>
    <row r="3907" spans="1:11">
      <c r="A3907" s="760"/>
      <c r="B3907" s="760"/>
      <c r="C3907" s="760"/>
      <c r="D3907" s="760"/>
      <c r="E3907" s="760"/>
      <c r="F3907" s="760"/>
      <c r="G3907" s="760"/>
      <c r="H3907" s="760"/>
      <c r="I3907" s="760"/>
      <c r="J3907" s="760"/>
      <c r="K3907" s="760"/>
    </row>
    <row r="3908" spans="1:11">
      <c r="A3908" s="760"/>
      <c r="B3908" s="760"/>
      <c r="C3908" s="760"/>
      <c r="D3908" s="760"/>
      <c r="E3908" s="760"/>
      <c r="F3908" s="760"/>
      <c r="G3908" s="760"/>
      <c r="H3908" s="760"/>
      <c r="I3908" s="760"/>
      <c r="J3908" s="760"/>
      <c r="K3908" s="760"/>
    </row>
    <row r="3909" spans="1:11">
      <c r="A3909" s="760"/>
      <c r="B3909" s="760"/>
      <c r="C3909" s="760"/>
      <c r="D3909" s="760"/>
      <c r="E3909" s="760"/>
      <c r="F3909" s="760"/>
      <c r="G3909" s="760"/>
      <c r="H3909" s="760"/>
      <c r="I3909" s="760"/>
      <c r="J3909" s="760"/>
      <c r="K3909" s="760"/>
    </row>
    <row r="3910" spans="1:11">
      <c r="A3910" s="760"/>
      <c r="B3910" s="760"/>
      <c r="C3910" s="760"/>
      <c r="D3910" s="760"/>
      <c r="E3910" s="760"/>
      <c r="F3910" s="760"/>
      <c r="G3910" s="760"/>
      <c r="H3910" s="760"/>
      <c r="I3910" s="760"/>
      <c r="J3910" s="760"/>
      <c r="K3910" s="760"/>
    </row>
    <row r="3911" spans="1:11">
      <c r="A3911" s="760"/>
      <c r="B3911" s="760"/>
      <c r="C3911" s="760"/>
      <c r="D3911" s="760"/>
      <c r="E3911" s="760"/>
      <c r="F3911" s="760"/>
      <c r="G3911" s="760"/>
      <c r="H3911" s="760"/>
      <c r="I3911" s="760"/>
      <c r="J3911" s="760"/>
      <c r="K3911" s="760"/>
    </row>
    <row r="3912" spans="1:11">
      <c r="A3912" s="760"/>
      <c r="B3912" s="760"/>
      <c r="C3912" s="760"/>
      <c r="D3912" s="760"/>
      <c r="E3912" s="760"/>
      <c r="F3912" s="760"/>
      <c r="G3912" s="760"/>
      <c r="H3912" s="760"/>
      <c r="I3912" s="760"/>
      <c r="J3912" s="760"/>
      <c r="K3912" s="760"/>
    </row>
    <row r="3913" spans="1:11">
      <c r="A3913" s="760"/>
      <c r="B3913" s="760"/>
      <c r="C3913" s="760"/>
      <c r="D3913" s="760"/>
      <c r="E3913" s="760"/>
      <c r="F3913" s="760"/>
      <c r="G3913" s="760"/>
      <c r="H3913" s="760"/>
      <c r="I3913" s="760"/>
      <c r="J3913" s="760"/>
      <c r="K3913" s="760"/>
    </row>
    <row r="3914" spans="1:11">
      <c r="A3914" s="760"/>
      <c r="B3914" s="760"/>
      <c r="C3914" s="760"/>
      <c r="D3914" s="760"/>
      <c r="E3914" s="760"/>
      <c r="F3914" s="760"/>
      <c r="G3914" s="760"/>
      <c r="H3914" s="760"/>
      <c r="I3914" s="760"/>
      <c r="J3914" s="760"/>
      <c r="K3914" s="760"/>
    </row>
    <row r="3915" spans="1:11">
      <c r="A3915" s="760"/>
      <c r="B3915" s="760"/>
      <c r="C3915" s="760"/>
      <c r="D3915" s="760"/>
      <c r="E3915" s="760"/>
      <c r="F3915" s="760"/>
      <c r="G3915" s="760"/>
      <c r="H3915" s="760"/>
      <c r="I3915" s="760"/>
      <c r="J3915" s="760"/>
      <c r="K3915" s="760"/>
    </row>
    <row r="3916" spans="1:11">
      <c r="A3916" s="760"/>
      <c r="B3916" s="760"/>
      <c r="C3916" s="760"/>
      <c r="D3916" s="760"/>
      <c r="E3916" s="760"/>
      <c r="F3916" s="760"/>
      <c r="G3916" s="760"/>
      <c r="H3916" s="760"/>
      <c r="I3916" s="760"/>
      <c r="J3916" s="760"/>
      <c r="K3916" s="760"/>
    </row>
    <row r="3917" spans="1:11">
      <c r="A3917" s="760"/>
      <c r="B3917" s="760"/>
      <c r="C3917" s="760"/>
      <c r="D3917" s="760"/>
      <c r="E3917" s="760"/>
      <c r="F3917" s="760"/>
      <c r="G3917" s="760"/>
      <c r="H3917" s="760"/>
      <c r="I3917" s="760"/>
      <c r="J3917" s="760"/>
      <c r="K3917" s="760"/>
    </row>
    <row r="3918" spans="1:11">
      <c r="A3918" s="760"/>
      <c r="B3918" s="760"/>
      <c r="C3918" s="760"/>
      <c r="D3918" s="760"/>
      <c r="E3918" s="760"/>
      <c r="F3918" s="760"/>
      <c r="G3918" s="760"/>
      <c r="H3918" s="760"/>
      <c r="I3918" s="760"/>
      <c r="J3918" s="760"/>
      <c r="K3918" s="760"/>
    </row>
    <row r="3919" spans="1:11">
      <c r="A3919" s="760"/>
      <c r="B3919" s="760"/>
      <c r="C3919" s="760"/>
      <c r="D3919" s="760"/>
      <c r="E3919" s="760"/>
      <c r="F3919" s="760"/>
      <c r="G3919" s="760"/>
      <c r="H3919" s="760"/>
      <c r="I3919" s="760"/>
      <c r="J3919" s="760"/>
      <c r="K3919" s="760"/>
    </row>
    <row r="3920" spans="1:11">
      <c r="A3920" s="760"/>
      <c r="B3920" s="760"/>
      <c r="C3920" s="760"/>
      <c r="D3920" s="760"/>
      <c r="E3920" s="760"/>
      <c r="F3920" s="760"/>
      <c r="G3920" s="760"/>
      <c r="H3920" s="760"/>
      <c r="I3920" s="760"/>
      <c r="J3920" s="760"/>
      <c r="K3920" s="760"/>
    </row>
    <row r="3921" spans="1:11">
      <c r="A3921" s="760"/>
      <c r="B3921" s="760"/>
      <c r="C3921" s="760"/>
      <c r="D3921" s="760"/>
      <c r="E3921" s="760"/>
      <c r="F3921" s="760"/>
      <c r="G3921" s="760"/>
      <c r="H3921" s="760"/>
      <c r="I3921" s="760"/>
      <c r="J3921" s="760"/>
      <c r="K3921" s="760"/>
    </row>
    <row r="3922" spans="1:11">
      <c r="A3922" s="760"/>
      <c r="B3922" s="760"/>
      <c r="C3922" s="760"/>
      <c r="D3922" s="760"/>
      <c r="E3922" s="760"/>
      <c r="F3922" s="760"/>
      <c r="G3922" s="760"/>
      <c r="H3922" s="760"/>
      <c r="I3922" s="760"/>
      <c r="J3922" s="760"/>
      <c r="K3922" s="760"/>
    </row>
    <row r="3923" spans="1:11">
      <c r="A3923" s="760"/>
      <c r="B3923" s="760"/>
      <c r="C3923" s="760"/>
      <c r="D3923" s="760"/>
      <c r="E3923" s="760"/>
      <c r="F3923" s="760"/>
      <c r="G3923" s="760"/>
      <c r="H3923" s="760"/>
      <c r="I3923" s="760"/>
      <c r="J3923" s="760"/>
      <c r="K3923" s="760"/>
    </row>
    <row r="3924" spans="1:11">
      <c r="A3924" s="760"/>
      <c r="B3924" s="760"/>
      <c r="C3924" s="760"/>
      <c r="D3924" s="760"/>
      <c r="E3924" s="760"/>
      <c r="F3924" s="760"/>
      <c r="G3924" s="760"/>
      <c r="H3924" s="760"/>
      <c r="I3924" s="760"/>
      <c r="J3924" s="760"/>
      <c r="K3924" s="760"/>
    </row>
    <row r="3925" spans="1:11">
      <c r="A3925" s="760"/>
      <c r="B3925" s="760"/>
      <c r="C3925" s="760"/>
      <c r="D3925" s="760"/>
      <c r="E3925" s="760"/>
      <c r="F3925" s="760"/>
      <c r="G3925" s="760"/>
      <c r="H3925" s="760"/>
      <c r="I3925" s="760"/>
      <c r="J3925" s="760"/>
      <c r="K3925" s="760"/>
    </row>
    <row r="3926" spans="1:11">
      <c r="A3926" s="760"/>
      <c r="B3926" s="760"/>
      <c r="C3926" s="760"/>
      <c r="D3926" s="760"/>
      <c r="E3926" s="760"/>
      <c r="F3926" s="760"/>
      <c r="G3926" s="760"/>
      <c r="H3926" s="760"/>
      <c r="I3926" s="760"/>
      <c r="J3926" s="760"/>
      <c r="K3926" s="760"/>
    </row>
    <row r="3927" spans="1:11">
      <c r="A3927" s="760"/>
      <c r="B3927" s="760"/>
      <c r="C3927" s="760"/>
      <c r="D3927" s="760"/>
      <c r="E3927" s="760"/>
      <c r="F3927" s="760"/>
      <c r="G3927" s="760"/>
      <c r="H3927" s="760"/>
      <c r="I3927" s="760"/>
      <c r="J3927" s="760"/>
      <c r="K3927" s="760"/>
    </row>
    <row r="3928" spans="1:11">
      <c r="A3928" s="760"/>
      <c r="B3928" s="760"/>
      <c r="C3928" s="760"/>
      <c r="D3928" s="760"/>
      <c r="E3928" s="760"/>
      <c r="F3928" s="760"/>
      <c r="G3928" s="760"/>
      <c r="H3928" s="760"/>
      <c r="I3928" s="760"/>
      <c r="J3928" s="760"/>
      <c r="K3928" s="760"/>
    </row>
    <row r="3929" spans="1:11">
      <c r="A3929" s="760"/>
      <c r="B3929" s="760"/>
      <c r="C3929" s="760"/>
      <c r="D3929" s="760"/>
      <c r="E3929" s="760"/>
      <c r="F3929" s="760"/>
      <c r="G3929" s="760"/>
      <c r="H3929" s="760"/>
      <c r="I3929" s="760"/>
      <c r="J3929" s="760"/>
      <c r="K3929" s="760"/>
    </row>
    <row r="3930" spans="1:11">
      <c r="A3930" s="760"/>
      <c r="B3930" s="760"/>
      <c r="C3930" s="760"/>
      <c r="D3930" s="760"/>
      <c r="E3930" s="760"/>
      <c r="F3930" s="760"/>
      <c r="G3930" s="760"/>
      <c r="H3930" s="760"/>
      <c r="I3930" s="760"/>
      <c r="J3930" s="760"/>
      <c r="K3930" s="760"/>
    </row>
    <row r="3931" spans="1:11">
      <c r="A3931" s="760"/>
      <c r="B3931" s="760"/>
      <c r="C3931" s="760"/>
      <c r="D3931" s="760"/>
      <c r="E3931" s="760"/>
      <c r="F3931" s="760"/>
      <c r="G3931" s="760"/>
      <c r="H3931" s="760"/>
      <c r="I3931" s="760"/>
      <c r="J3931" s="760"/>
      <c r="K3931" s="760"/>
    </row>
    <row r="3932" spans="1:11">
      <c r="A3932" s="760"/>
      <c r="B3932" s="760"/>
      <c r="C3932" s="760"/>
      <c r="D3932" s="760"/>
      <c r="E3932" s="760"/>
      <c r="F3932" s="760"/>
      <c r="G3932" s="760"/>
      <c r="H3932" s="760"/>
      <c r="I3932" s="760"/>
      <c r="J3932" s="760"/>
      <c r="K3932" s="760"/>
    </row>
    <row r="3933" spans="1:11">
      <c r="A3933" s="760"/>
      <c r="B3933" s="760"/>
      <c r="C3933" s="760"/>
      <c r="D3933" s="760"/>
      <c r="E3933" s="760"/>
      <c r="F3933" s="760"/>
      <c r="G3933" s="760"/>
      <c r="H3933" s="760"/>
      <c r="I3933" s="760"/>
      <c r="J3933" s="760"/>
      <c r="K3933" s="760"/>
    </row>
    <row r="3934" spans="1:11">
      <c r="A3934" s="760"/>
      <c r="B3934" s="760"/>
      <c r="C3934" s="760"/>
      <c r="D3934" s="760"/>
      <c r="E3934" s="760"/>
      <c r="F3934" s="760"/>
      <c r="G3934" s="760"/>
      <c r="H3934" s="760"/>
      <c r="I3934" s="760"/>
      <c r="J3934" s="760"/>
      <c r="K3934" s="760"/>
    </row>
    <row r="3935" spans="1:11">
      <c r="A3935" s="760"/>
      <c r="B3935" s="760"/>
      <c r="C3935" s="760"/>
      <c r="D3935" s="760"/>
      <c r="E3935" s="760"/>
      <c r="F3935" s="760"/>
      <c r="G3935" s="760"/>
      <c r="H3935" s="760"/>
      <c r="I3935" s="760"/>
      <c r="J3935" s="760"/>
      <c r="K3935" s="760"/>
    </row>
    <row r="3936" spans="1:11">
      <c r="A3936" s="760"/>
      <c r="B3936" s="760"/>
      <c r="C3936" s="760"/>
      <c r="D3936" s="760"/>
      <c r="E3936" s="760"/>
      <c r="F3936" s="760"/>
      <c r="G3936" s="760"/>
      <c r="H3936" s="760"/>
      <c r="I3936" s="760"/>
      <c r="J3936" s="760"/>
      <c r="K3936" s="760"/>
    </row>
    <row r="3937" spans="1:11">
      <c r="A3937" s="760"/>
      <c r="B3937" s="760"/>
      <c r="C3937" s="760"/>
      <c r="D3937" s="760"/>
      <c r="E3937" s="760"/>
      <c r="F3937" s="760"/>
      <c r="G3937" s="760"/>
      <c r="H3937" s="760"/>
      <c r="I3937" s="760"/>
      <c r="J3937" s="760"/>
      <c r="K3937" s="760"/>
    </row>
    <row r="3938" spans="1:11">
      <c r="A3938" s="760"/>
      <c r="B3938" s="760"/>
      <c r="C3938" s="760"/>
      <c r="D3938" s="760"/>
      <c r="E3938" s="760"/>
      <c r="F3938" s="760"/>
      <c r="G3938" s="760"/>
      <c r="H3938" s="760"/>
      <c r="I3938" s="760"/>
      <c r="J3938" s="760"/>
      <c r="K3938" s="760"/>
    </row>
    <row r="3939" spans="1:11">
      <c r="A3939" s="760"/>
      <c r="B3939" s="760"/>
      <c r="C3939" s="760"/>
      <c r="D3939" s="760"/>
      <c r="E3939" s="760"/>
      <c r="F3939" s="760"/>
      <c r="G3939" s="760"/>
      <c r="H3939" s="760"/>
      <c r="I3939" s="760"/>
      <c r="J3939" s="760"/>
      <c r="K3939" s="760"/>
    </row>
    <row r="3940" spans="1:11">
      <c r="A3940" s="760"/>
      <c r="B3940" s="760"/>
      <c r="C3940" s="760"/>
      <c r="D3940" s="760"/>
      <c r="E3940" s="760"/>
      <c r="F3940" s="760"/>
      <c r="G3940" s="760"/>
      <c r="H3940" s="760"/>
      <c r="I3940" s="760"/>
      <c r="J3940" s="760"/>
      <c r="K3940" s="760"/>
    </row>
    <row r="3941" spans="1:11">
      <c r="A3941" s="760"/>
      <c r="B3941" s="760"/>
      <c r="C3941" s="760"/>
      <c r="D3941" s="760"/>
      <c r="E3941" s="760"/>
      <c r="F3941" s="760"/>
      <c r="G3941" s="760"/>
      <c r="H3941" s="760"/>
      <c r="I3941" s="760"/>
      <c r="J3941" s="760"/>
      <c r="K3941" s="760"/>
    </row>
    <row r="3942" spans="1:11">
      <c r="A3942" s="760"/>
      <c r="B3942" s="760"/>
      <c r="C3942" s="760"/>
      <c r="D3942" s="760"/>
      <c r="E3942" s="760"/>
      <c r="F3942" s="760"/>
      <c r="G3942" s="760"/>
      <c r="H3942" s="760"/>
      <c r="I3942" s="760"/>
      <c r="J3942" s="760"/>
      <c r="K3942" s="760"/>
    </row>
    <row r="3943" spans="1:11">
      <c r="A3943" s="760"/>
      <c r="B3943" s="760"/>
      <c r="C3943" s="760"/>
      <c r="D3943" s="760"/>
      <c r="E3943" s="760"/>
      <c r="F3943" s="760"/>
      <c r="G3943" s="760"/>
      <c r="H3943" s="760"/>
      <c r="I3943" s="760"/>
      <c r="J3943" s="760"/>
      <c r="K3943" s="760"/>
    </row>
    <row r="3944" spans="1:11">
      <c r="A3944" s="760"/>
      <c r="B3944" s="760"/>
      <c r="C3944" s="760"/>
      <c r="D3944" s="760"/>
      <c r="E3944" s="760"/>
      <c r="F3944" s="760"/>
      <c r="G3944" s="760"/>
      <c r="H3944" s="760"/>
      <c r="I3944" s="760"/>
      <c r="J3944" s="760"/>
      <c r="K3944" s="760"/>
    </row>
    <row r="3945" spans="1:11">
      <c r="A3945" s="760"/>
      <c r="B3945" s="760"/>
      <c r="C3945" s="760"/>
      <c r="D3945" s="760"/>
      <c r="E3945" s="760"/>
      <c r="F3945" s="760"/>
      <c r="G3945" s="760"/>
      <c r="H3945" s="760"/>
      <c r="I3945" s="760"/>
      <c r="J3945" s="760"/>
      <c r="K3945" s="760"/>
    </row>
    <row r="3946" spans="1:11">
      <c r="A3946" s="760"/>
      <c r="B3946" s="760"/>
      <c r="C3946" s="760"/>
      <c r="D3946" s="760"/>
      <c r="E3946" s="760"/>
      <c r="F3946" s="760"/>
      <c r="G3946" s="760"/>
      <c r="H3946" s="760"/>
      <c r="I3946" s="760"/>
      <c r="J3946" s="760"/>
      <c r="K3946" s="760"/>
    </row>
    <row r="3947" spans="1:11">
      <c r="A3947" s="760"/>
      <c r="B3947" s="760"/>
      <c r="C3947" s="760"/>
      <c r="D3947" s="760"/>
      <c r="E3947" s="760"/>
      <c r="F3947" s="760"/>
      <c r="G3947" s="760"/>
      <c r="H3947" s="760"/>
      <c r="I3947" s="760"/>
      <c r="J3947" s="760"/>
      <c r="K3947" s="760"/>
    </row>
    <row r="3948" spans="1:11">
      <c r="A3948" s="760"/>
      <c r="B3948" s="760"/>
      <c r="C3948" s="760"/>
      <c r="D3948" s="760"/>
      <c r="E3948" s="760"/>
      <c r="F3948" s="760"/>
      <c r="G3948" s="760"/>
      <c r="H3948" s="760"/>
      <c r="I3948" s="760"/>
      <c r="J3948" s="760"/>
      <c r="K3948" s="760"/>
    </row>
    <row r="3949" spans="1:11">
      <c r="A3949" s="760"/>
      <c r="B3949" s="760"/>
      <c r="C3949" s="760"/>
      <c r="D3949" s="760"/>
      <c r="E3949" s="760"/>
      <c r="F3949" s="760"/>
      <c r="G3949" s="760"/>
      <c r="H3949" s="760"/>
      <c r="I3949" s="760"/>
      <c r="J3949" s="760"/>
      <c r="K3949" s="760"/>
    </row>
    <row r="3950" spans="1:11">
      <c r="A3950" s="760"/>
      <c r="B3950" s="760"/>
      <c r="C3950" s="760"/>
      <c r="D3950" s="760"/>
      <c r="E3950" s="760"/>
      <c r="F3950" s="760"/>
      <c r="G3950" s="760"/>
      <c r="H3950" s="760"/>
      <c r="I3950" s="760"/>
      <c r="J3950" s="760"/>
      <c r="K3950" s="760"/>
    </row>
    <row r="3951" spans="1:11">
      <c r="A3951" s="760"/>
      <c r="B3951" s="760"/>
      <c r="C3951" s="760"/>
      <c r="D3951" s="760"/>
      <c r="E3951" s="760"/>
      <c r="F3951" s="760"/>
      <c r="G3951" s="760"/>
      <c r="H3951" s="760"/>
      <c r="I3951" s="760"/>
      <c r="J3951" s="760"/>
      <c r="K3951" s="760"/>
    </row>
    <row r="3952" spans="1:11">
      <c r="A3952" s="760"/>
      <c r="B3952" s="760"/>
      <c r="C3952" s="760"/>
      <c r="D3952" s="760"/>
      <c r="E3952" s="760"/>
      <c r="F3952" s="760"/>
      <c r="G3952" s="760"/>
      <c r="H3952" s="760"/>
      <c r="I3952" s="760"/>
      <c r="J3952" s="760"/>
      <c r="K3952" s="760"/>
    </row>
    <row r="3953" spans="1:11">
      <c r="A3953" s="760"/>
      <c r="B3953" s="760"/>
      <c r="C3953" s="760"/>
      <c r="D3953" s="760"/>
      <c r="E3953" s="760"/>
      <c r="F3953" s="760"/>
      <c r="G3953" s="760"/>
      <c r="H3953" s="760"/>
      <c r="I3953" s="760"/>
      <c r="J3953" s="760"/>
      <c r="K3953" s="760"/>
    </row>
    <row r="3954" spans="1:11">
      <c r="A3954" s="760"/>
      <c r="B3954" s="760"/>
      <c r="C3954" s="760"/>
      <c r="D3954" s="760"/>
      <c r="E3954" s="760"/>
      <c r="F3954" s="760"/>
      <c r="G3954" s="760"/>
      <c r="H3954" s="760"/>
      <c r="I3954" s="760"/>
      <c r="J3954" s="760"/>
      <c r="K3954" s="760"/>
    </row>
    <row r="3955" spans="1:11">
      <c r="A3955" s="760"/>
      <c r="B3955" s="760"/>
      <c r="C3955" s="760"/>
      <c r="D3955" s="760"/>
      <c r="E3955" s="760"/>
      <c r="F3955" s="760"/>
      <c r="G3955" s="760"/>
      <c r="H3955" s="760"/>
      <c r="I3955" s="760"/>
      <c r="J3955" s="760"/>
      <c r="K3955" s="760"/>
    </row>
    <row r="3956" spans="1:11">
      <c r="A3956" s="760"/>
      <c r="B3956" s="760"/>
      <c r="C3956" s="760"/>
      <c r="D3956" s="760"/>
      <c r="E3956" s="760"/>
      <c r="F3956" s="760"/>
      <c r="G3956" s="760"/>
      <c r="H3956" s="760"/>
      <c r="I3956" s="760"/>
      <c r="J3956" s="760"/>
      <c r="K3956" s="760"/>
    </row>
    <row r="3957" spans="1:11">
      <c r="A3957" s="760"/>
      <c r="B3957" s="760"/>
      <c r="C3957" s="760"/>
      <c r="D3957" s="760"/>
      <c r="E3957" s="760"/>
      <c r="F3957" s="760"/>
      <c r="G3957" s="760"/>
      <c r="H3957" s="760"/>
      <c r="I3957" s="760"/>
      <c r="J3957" s="760"/>
      <c r="K3957" s="760"/>
    </row>
    <row r="3958" spans="1:11">
      <c r="A3958" s="760"/>
      <c r="B3958" s="760"/>
      <c r="C3958" s="760"/>
      <c r="D3958" s="760"/>
      <c r="E3958" s="760"/>
      <c r="F3958" s="760"/>
      <c r="G3958" s="760"/>
      <c r="H3958" s="760"/>
      <c r="I3958" s="760"/>
      <c r="J3958" s="760"/>
      <c r="K3958" s="760"/>
    </row>
    <row r="3959" spans="1:11">
      <c r="A3959" s="760"/>
      <c r="B3959" s="760"/>
      <c r="C3959" s="760"/>
      <c r="D3959" s="760"/>
      <c r="E3959" s="760"/>
      <c r="F3959" s="760"/>
      <c r="G3959" s="760"/>
      <c r="H3959" s="760"/>
      <c r="I3959" s="760"/>
      <c r="J3959" s="760"/>
      <c r="K3959" s="760"/>
    </row>
    <row r="3960" spans="1:11">
      <c r="A3960" s="760"/>
      <c r="B3960" s="760"/>
      <c r="C3960" s="760"/>
      <c r="D3960" s="760"/>
      <c r="E3960" s="760"/>
      <c r="F3960" s="760"/>
      <c r="G3960" s="760"/>
      <c r="H3960" s="760"/>
      <c r="I3960" s="760"/>
      <c r="J3960" s="760"/>
      <c r="K3960" s="760"/>
    </row>
    <row r="3961" spans="1:11">
      <c r="A3961" s="760"/>
      <c r="B3961" s="760"/>
      <c r="C3961" s="760"/>
      <c r="D3961" s="760"/>
      <c r="E3961" s="760"/>
      <c r="F3961" s="760"/>
      <c r="G3961" s="760"/>
      <c r="H3961" s="760"/>
      <c r="I3961" s="760"/>
      <c r="J3961" s="760"/>
      <c r="K3961" s="760"/>
    </row>
    <row r="3962" spans="1:11">
      <c r="A3962" s="760"/>
      <c r="B3962" s="760"/>
      <c r="C3962" s="760"/>
      <c r="D3962" s="760"/>
      <c r="E3962" s="760"/>
      <c r="F3962" s="760"/>
      <c r="G3962" s="760"/>
      <c r="H3962" s="760"/>
      <c r="I3962" s="760"/>
      <c r="J3962" s="760"/>
      <c r="K3962" s="760"/>
    </row>
    <row r="3963" spans="1:11">
      <c r="A3963" s="760"/>
      <c r="B3963" s="760"/>
      <c r="C3963" s="760"/>
      <c r="D3963" s="760"/>
      <c r="E3963" s="760"/>
      <c r="F3963" s="760"/>
      <c r="G3963" s="760"/>
      <c r="H3963" s="760"/>
      <c r="I3963" s="760"/>
      <c r="J3963" s="760"/>
      <c r="K3963" s="760"/>
    </row>
    <row r="3964" spans="1:11">
      <c r="A3964" s="760"/>
      <c r="B3964" s="760"/>
      <c r="C3964" s="760"/>
      <c r="D3964" s="760"/>
      <c r="E3964" s="760"/>
      <c r="F3964" s="760"/>
      <c r="G3964" s="760"/>
      <c r="H3964" s="760"/>
      <c r="I3964" s="760"/>
      <c r="J3964" s="760"/>
      <c r="K3964" s="760"/>
    </row>
    <row r="3965" spans="1:11">
      <c r="A3965" s="760"/>
      <c r="B3965" s="760"/>
      <c r="C3965" s="760"/>
      <c r="D3965" s="760"/>
      <c r="E3965" s="760"/>
      <c r="F3965" s="760"/>
      <c r="G3965" s="760"/>
      <c r="H3965" s="760"/>
      <c r="I3965" s="760"/>
      <c r="J3965" s="760"/>
      <c r="K3965" s="760"/>
    </row>
    <row r="3966" spans="1:11">
      <c r="A3966" s="760"/>
      <c r="B3966" s="760"/>
      <c r="C3966" s="760"/>
      <c r="D3966" s="760"/>
      <c r="E3966" s="760"/>
      <c r="F3966" s="760"/>
      <c r="G3966" s="760"/>
      <c r="H3966" s="760"/>
      <c r="I3966" s="760"/>
      <c r="J3966" s="760"/>
      <c r="K3966" s="760"/>
    </row>
    <row r="3967" spans="1:11">
      <c r="A3967" s="760"/>
      <c r="B3967" s="760"/>
      <c r="C3967" s="760"/>
      <c r="D3967" s="760"/>
      <c r="E3967" s="760"/>
      <c r="F3967" s="760"/>
      <c r="G3967" s="760"/>
      <c r="H3967" s="760"/>
      <c r="I3967" s="760"/>
      <c r="J3967" s="760"/>
      <c r="K3967" s="760"/>
    </row>
    <row r="3968" spans="1:11">
      <c r="A3968" s="760"/>
      <c r="B3968" s="760"/>
      <c r="C3968" s="760"/>
      <c r="D3968" s="760"/>
      <c r="E3968" s="760"/>
      <c r="F3968" s="760"/>
      <c r="G3968" s="760"/>
      <c r="H3968" s="760"/>
      <c r="I3968" s="760"/>
      <c r="J3968" s="760"/>
      <c r="K3968" s="760"/>
    </row>
    <row r="3969" spans="1:11">
      <c r="A3969" s="760"/>
      <c r="B3969" s="760"/>
      <c r="C3969" s="760"/>
      <c r="D3969" s="760"/>
      <c r="E3969" s="760"/>
      <c r="F3969" s="760"/>
      <c r="G3969" s="760"/>
      <c r="H3969" s="760"/>
      <c r="I3969" s="760"/>
      <c r="J3969" s="760"/>
      <c r="K3969" s="760"/>
    </row>
    <row r="3970" spans="1:11">
      <c r="A3970" s="760"/>
      <c r="B3970" s="760"/>
      <c r="C3970" s="760"/>
      <c r="D3970" s="760"/>
      <c r="E3970" s="760"/>
      <c r="F3970" s="760"/>
      <c r="G3970" s="760"/>
      <c r="H3970" s="760"/>
      <c r="I3970" s="760"/>
      <c r="J3970" s="760"/>
      <c r="K3970" s="760"/>
    </row>
    <row r="3971" spans="1:11">
      <c r="A3971" s="760"/>
      <c r="B3971" s="760"/>
      <c r="C3971" s="760"/>
      <c r="D3971" s="760"/>
      <c r="E3971" s="760"/>
      <c r="F3971" s="760"/>
      <c r="G3971" s="760"/>
      <c r="H3971" s="760"/>
      <c r="I3971" s="760"/>
      <c r="J3971" s="760"/>
      <c r="K3971" s="760"/>
    </row>
    <row r="3972" spans="1:11">
      <c r="A3972" s="760"/>
      <c r="B3972" s="760"/>
      <c r="C3972" s="760"/>
      <c r="D3972" s="760"/>
      <c r="E3972" s="760"/>
      <c r="F3972" s="760"/>
      <c r="G3972" s="760"/>
      <c r="H3972" s="760"/>
      <c r="I3972" s="760"/>
      <c r="J3972" s="760"/>
      <c r="K3972" s="760"/>
    </row>
    <row r="3973" spans="1:11">
      <c r="A3973" s="760"/>
      <c r="B3973" s="760"/>
      <c r="C3973" s="760"/>
      <c r="D3973" s="760"/>
      <c r="E3973" s="760"/>
      <c r="F3973" s="760"/>
      <c r="G3973" s="760"/>
      <c r="H3973" s="760"/>
      <c r="I3973" s="760"/>
      <c r="J3973" s="760"/>
      <c r="K3973" s="760"/>
    </row>
    <row r="3974" spans="1:11">
      <c r="A3974" s="760"/>
      <c r="B3974" s="760"/>
      <c r="C3974" s="760"/>
      <c r="D3974" s="760"/>
      <c r="E3974" s="760"/>
      <c r="F3974" s="760"/>
      <c r="G3974" s="760"/>
      <c r="H3974" s="760"/>
      <c r="I3974" s="760"/>
      <c r="J3974" s="760"/>
      <c r="K3974" s="760"/>
    </row>
    <row r="3975" spans="1:11">
      <c r="A3975" s="760"/>
      <c r="B3975" s="760"/>
      <c r="C3975" s="760"/>
      <c r="D3975" s="760"/>
      <c r="E3975" s="760"/>
      <c r="F3975" s="760"/>
      <c r="G3975" s="760"/>
      <c r="H3975" s="760"/>
      <c r="I3975" s="760"/>
      <c r="J3975" s="760"/>
      <c r="K3975" s="760"/>
    </row>
    <row r="3976" spans="1:11">
      <c r="A3976" s="760"/>
      <c r="B3976" s="760"/>
      <c r="C3976" s="760"/>
      <c r="D3976" s="760"/>
      <c r="E3976" s="760"/>
      <c r="F3976" s="760"/>
      <c r="G3976" s="760"/>
      <c r="H3976" s="760"/>
      <c r="I3976" s="760"/>
      <c r="J3976" s="760"/>
      <c r="K3976" s="760"/>
    </row>
    <row r="3977" spans="1:11">
      <c r="A3977" s="760"/>
      <c r="B3977" s="760"/>
      <c r="C3977" s="760"/>
      <c r="D3977" s="760"/>
      <c r="E3977" s="760"/>
      <c r="F3977" s="760"/>
      <c r="G3977" s="760"/>
      <c r="H3977" s="760"/>
      <c r="I3977" s="760"/>
      <c r="J3977" s="760"/>
      <c r="K3977" s="760"/>
    </row>
    <row r="3978" spans="1:11">
      <c r="A3978" s="760"/>
      <c r="B3978" s="760"/>
      <c r="C3978" s="760"/>
      <c r="D3978" s="760"/>
      <c r="E3978" s="760"/>
      <c r="F3978" s="760"/>
      <c r="G3978" s="760"/>
      <c r="H3978" s="760"/>
      <c r="I3978" s="760"/>
      <c r="J3978" s="760"/>
      <c r="K3978" s="760"/>
    </row>
    <row r="3979" spans="1:11">
      <c r="A3979" s="760"/>
      <c r="B3979" s="760"/>
      <c r="C3979" s="760"/>
      <c r="D3979" s="760"/>
      <c r="E3979" s="760"/>
      <c r="F3979" s="760"/>
      <c r="G3979" s="760"/>
      <c r="H3979" s="760"/>
      <c r="I3979" s="760"/>
      <c r="J3979" s="760"/>
      <c r="K3979" s="760"/>
    </row>
    <row r="3980" spans="1:11">
      <c r="A3980" s="760"/>
      <c r="B3980" s="760"/>
      <c r="C3980" s="760"/>
      <c r="D3980" s="760"/>
      <c r="E3980" s="760"/>
      <c r="F3980" s="760"/>
      <c r="G3980" s="760"/>
      <c r="H3980" s="760"/>
      <c r="I3980" s="760"/>
      <c r="J3980" s="760"/>
      <c r="K3980" s="760"/>
    </row>
    <row r="3981" spans="1:11">
      <c r="A3981" s="760"/>
      <c r="B3981" s="760"/>
      <c r="C3981" s="760"/>
      <c r="D3981" s="760"/>
      <c r="E3981" s="760"/>
      <c r="F3981" s="760"/>
      <c r="G3981" s="760"/>
      <c r="H3981" s="760"/>
      <c r="I3981" s="760"/>
      <c r="J3981" s="760"/>
      <c r="K3981" s="760"/>
    </row>
    <row r="3982" spans="1:11">
      <c r="A3982" s="760"/>
      <c r="B3982" s="760"/>
      <c r="C3982" s="760"/>
      <c r="D3982" s="760"/>
      <c r="E3982" s="760"/>
      <c r="F3982" s="760"/>
      <c r="G3982" s="760"/>
      <c r="H3982" s="760"/>
      <c r="I3982" s="760"/>
      <c r="J3982" s="760"/>
      <c r="K3982" s="760"/>
    </row>
    <row r="3983" spans="1:11">
      <c r="A3983" s="760"/>
      <c r="B3983" s="760"/>
      <c r="C3983" s="760"/>
      <c r="D3983" s="760"/>
      <c r="E3983" s="760"/>
      <c r="F3983" s="760"/>
      <c r="G3983" s="760"/>
      <c r="H3983" s="760"/>
      <c r="I3983" s="760"/>
      <c r="J3983" s="760"/>
      <c r="K3983" s="760"/>
    </row>
    <row r="3984" spans="1:11">
      <c r="A3984" s="760"/>
      <c r="B3984" s="760"/>
      <c r="C3984" s="760"/>
      <c r="D3984" s="760"/>
      <c r="E3984" s="760"/>
      <c r="F3984" s="760"/>
      <c r="G3984" s="760"/>
      <c r="H3984" s="760"/>
      <c r="I3984" s="760"/>
      <c r="J3984" s="760"/>
      <c r="K3984" s="760"/>
    </row>
    <row r="3985" spans="1:11">
      <c r="A3985" s="760"/>
      <c r="B3985" s="760"/>
      <c r="C3985" s="760"/>
      <c r="D3985" s="760"/>
      <c r="E3985" s="760"/>
      <c r="F3985" s="760"/>
      <c r="G3985" s="760"/>
      <c r="H3985" s="760"/>
      <c r="I3985" s="760"/>
      <c r="J3985" s="760"/>
      <c r="K3985" s="760"/>
    </row>
    <row r="3986" spans="1:11">
      <c r="A3986" s="760"/>
      <c r="B3986" s="760"/>
      <c r="C3986" s="760"/>
      <c r="D3986" s="760"/>
      <c r="E3986" s="760"/>
      <c r="F3986" s="760"/>
      <c r="G3986" s="760"/>
      <c r="H3986" s="760"/>
      <c r="I3986" s="760"/>
      <c r="J3986" s="760"/>
      <c r="K3986" s="760"/>
    </row>
    <row r="3987" spans="1:11">
      <c r="A3987" s="760"/>
      <c r="B3987" s="760"/>
      <c r="C3987" s="760"/>
      <c r="D3987" s="760"/>
      <c r="E3987" s="760"/>
      <c r="F3987" s="760"/>
      <c r="G3987" s="760"/>
      <c r="H3987" s="760"/>
      <c r="I3987" s="760"/>
      <c r="J3987" s="760"/>
      <c r="K3987" s="760"/>
    </row>
    <row r="3988" spans="1:11">
      <c r="A3988" s="760"/>
      <c r="B3988" s="760"/>
      <c r="C3988" s="760"/>
      <c r="D3988" s="760"/>
      <c r="E3988" s="760"/>
      <c r="F3988" s="760"/>
      <c r="G3988" s="760"/>
      <c r="H3988" s="760"/>
      <c r="I3988" s="760"/>
      <c r="J3988" s="760"/>
      <c r="K3988" s="760"/>
    </row>
    <row r="3989" spans="1:11">
      <c r="A3989" s="760"/>
      <c r="B3989" s="760"/>
      <c r="C3989" s="760"/>
      <c r="D3989" s="760"/>
      <c r="E3989" s="760"/>
      <c r="F3989" s="760"/>
      <c r="G3989" s="760"/>
      <c r="H3989" s="760"/>
      <c r="I3989" s="760"/>
      <c r="J3989" s="760"/>
      <c r="K3989" s="760"/>
    </row>
    <row r="3990" spans="1:11">
      <c r="A3990" s="760"/>
      <c r="B3990" s="760"/>
      <c r="C3990" s="760"/>
      <c r="D3990" s="760"/>
      <c r="E3990" s="760"/>
      <c r="F3990" s="760"/>
      <c r="G3990" s="760"/>
      <c r="H3990" s="760"/>
      <c r="I3990" s="760"/>
      <c r="J3990" s="760"/>
      <c r="K3990" s="760"/>
    </row>
    <row r="3991" spans="1:11">
      <c r="A3991" s="760"/>
      <c r="B3991" s="760"/>
      <c r="C3991" s="760"/>
      <c r="D3991" s="760"/>
      <c r="E3991" s="760"/>
      <c r="F3991" s="760"/>
      <c r="G3991" s="760"/>
      <c r="H3991" s="760"/>
      <c r="I3991" s="760"/>
      <c r="J3991" s="760"/>
      <c r="K3991" s="760"/>
    </row>
    <row r="3992" spans="1:11">
      <c r="A3992" s="760"/>
      <c r="B3992" s="760"/>
      <c r="C3992" s="760"/>
      <c r="D3992" s="760"/>
      <c r="E3992" s="760"/>
      <c r="F3992" s="760"/>
      <c r="G3992" s="760"/>
      <c r="H3992" s="760"/>
      <c r="I3992" s="760"/>
      <c r="J3992" s="760"/>
      <c r="K3992" s="760"/>
    </row>
    <row r="3993" spans="1:11">
      <c r="A3993" s="760"/>
      <c r="B3993" s="760"/>
      <c r="C3993" s="760"/>
      <c r="D3993" s="760"/>
      <c r="E3993" s="760"/>
      <c r="F3993" s="760"/>
      <c r="G3993" s="760"/>
      <c r="H3993" s="760"/>
      <c r="I3993" s="760"/>
      <c r="J3993" s="760"/>
      <c r="K3993" s="760"/>
    </row>
    <row r="3994" spans="1:11">
      <c r="A3994" s="760"/>
      <c r="B3994" s="760"/>
      <c r="C3994" s="760"/>
      <c r="D3994" s="760"/>
      <c r="E3994" s="760"/>
      <c r="F3994" s="760"/>
      <c r="G3994" s="760"/>
      <c r="H3994" s="760"/>
      <c r="I3994" s="760"/>
      <c r="J3994" s="760"/>
      <c r="K3994" s="760"/>
    </row>
    <row r="3995" spans="1:11">
      <c r="A3995" s="760"/>
      <c r="B3995" s="760"/>
      <c r="C3995" s="760"/>
      <c r="D3995" s="760"/>
      <c r="E3995" s="760"/>
      <c r="F3995" s="760"/>
      <c r="G3995" s="760"/>
      <c r="H3995" s="760"/>
      <c r="I3995" s="760"/>
      <c r="J3995" s="760"/>
      <c r="K3995" s="760"/>
    </row>
    <row r="3996" spans="1:11">
      <c r="A3996" s="760"/>
      <c r="B3996" s="760"/>
      <c r="C3996" s="760"/>
      <c r="D3996" s="760"/>
      <c r="E3996" s="760"/>
      <c r="F3996" s="760"/>
      <c r="G3996" s="760"/>
      <c r="H3996" s="760"/>
      <c r="I3996" s="760"/>
      <c r="J3996" s="760"/>
      <c r="K3996" s="760"/>
    </row>
    <row r="3997" spans="1:11">
      <c r="A3997" s="760"/>
      <c r="B3997" s="760"/>
      <c r="C3997" s="760"/>
      <c r="D3997" s="760"/>
      <c r="E3997" s="760"/>
      <c r="F3997" s="760"/>
      <c r="G3997" s="760"/>
      <c r="H3997" s="760"/>
      <c r="I3997" s="760"/>
      <c r="J3997" s="760"/>
      <c r="K3997" s="760"/>
    </row>
    <row r="3998" spans="1:11">
      <c r="A3998" s="760"/>
      <c r="B3998" s="760"/>
      <c r="C3998" s="760"/>
      <c r="D3998" s="760"/>
      <c r="E3998" s="760"/>
      <c r="F3998" s="760"/>
      <c r="G3998" s="760"/>
      <c r="H3998" s="760"/>
      <c r="I3998" s="760"/>
      <c r="J3998" s="760"/>
      <c r="K3998" s="760"/>
    </row>
    <row r="3999" spans="1:11">
      <c r="A3999" s="760"/>
      <c r="B3999" s="760"/>
      <c r="C3999" s="760"/>
      <c r="D3999" s="760"/>
      <c r="E3999" s="760"/>
      <c r="F3999" s="760"/>
      <c r="G3999" s="760"/>
      <c r="H3999" s="760"/>
      <c r="I3999" s="760"/>
      <c r="J3999" s="760"/>
      <c r="K3999" s="760"/>
    </row>
    <row r="4000" spans="1:11">
      <c r="A4000" s="760"/>
      <c r="B4000" s="760"/>
      <c r="C4000" s="760"/>
      <c r="D4000" s="760"/>
      <c r="E4000" s="760"/>
      <c r="F4000" s="760"/>
      <c r="G4000" s="760"/>
      <c r="H4000" s="760"/>
      <c r="I4000" s="760"/>
      <c r="J4000" s="760"/>
      <c r="K4000" s="760"/>
    </row>
    <row r="4001" spans="1:11">
      <c r="A4001" s="760"/>
      <c r="B4001" s="760"/>
      <c r="C4001" s="760"/>
      <c r="D4001" s="760"/>
      <c r="E4001" s="760"/>
      <c r="F4001" s="760"/>
      <c r="G4001" s="760"/>
      <c r="H4001" s="760"/>
      <c r="I4001" s="760"/>
      <c r="J4001" s="760"/>
      <c r="K4001" s="760"/>
    </row>
    <row r="4002" spans="1:11">
      <c r="A4002" s="760"/>
      <c r="B4002" s="760"/>
      <c r="C4002" s="760"/>
      <c r="D4002" s="760"/>
      <c r="E4002" s="760"/>
      <c r="F4002" s="760"/>
      <c r="G4002" s="760"/>
      <c r="H4002" s="760"/>
      <c r="I4002" s="760"/>
      <c r="J4002" s="760"/>
      <c r="K4002" s="760"/>
    </row>
    <row r="4003" spans="1:11">
      <c r="A4003" s="760"/>
      <c r="B4003" s="760"/>
      <c r="C4003" s="760"/>
      <c r="D4003" s="760"/>
      <c r="E4003" s="760"/>
      <c r="F4003" s="760"/>
      <c r="G4003" s="760"/>
      <c r="H4003" s="760"/>
      <c r="I4003" s="760"/>
      <c r="J4003" s="760"/>
      <c r="K4003" s="760"/>
    </row>
    <row r="4004" spans="1:11">
      <c r="A4004" s="760"/>
      <c r="B4004" s="760"/>
      <c r="C4004" s="760"/>
      <c r="D4004" s="760"/>
      <c r="E4004" s="760"/>
      <c r="F4004" s="760"/>
      <c r="G4004" s="760"/>
      <c r="H4004" s="760"/>
      <c r="I4004" s="760"/>
      <c r="J4004" s="760"/>
      <c r="K4004" s="760"/>
    </row>
    <row r="4005" spans="1:11">
      <c r="A4005" s="760"/>
      <c r="B4005" s="760"/>
      <c r="C4005" s="760"/>
      <c r="D4005" s="760"/>
      <c r="E4005" s="760"/>
      <c r="F4005" s="760"/>
      <c r="G4005" s="760"/>
      <c r="H4005" s="760"/>
      <c r="I4005" s="760"/>
      <c r="J4005" s="760"/>
      <c r="K4005" s="760"/>
    </row>
    <row r="4006" spans="1:11">
      <c r="A4006" s="760"/>
      <c r="B4006" s="760"/>
      <c r="C4006" s="760"/>
      <c r="D4006" s="760"/>
      <c r="E4006" s="760"/>
      <c r="F4006" s="760"/>
      <c r="G4006" s="760"/>
      <c r="H4006" s="760"/>
      <c r="I4006" s="760"/>
      <c r="J4006" s="760"/>
      <c r="K4006" s="760"/>
    </row>
    <row r="4007" spans="1:11">
      <c r="A4007" s="760"/>
      <c r="B4007" s="760"/>
      <c r="C4007" s="760"/>
      <c r="D4007" s="760"/>
      <c r="E4007" s="760"/>
      <c r="F4007" s="760"/>
      <c r="G4007" s="760"/>
      <c r="H4007" s="760"/>
      <c r="I4007" s="760"/>
      <c r="J4007" s="760"/>
      <c r="K4007" s="760"/>
    </row>
    <row r="4008" spans="1:11">
      <c r="A4008" s="760"/>
      <c r="B4008" s="760"/>
      <c r="C4008" s="760"/>
      <c r="D4008" s="760"/>
      <c r="E4008" s="760"/>
      <c r="F4008" s="760"/>
      <c r="G4008" s="760"/>
      <c r="H4008" s="760"/>
      <c r="I4008" s="760"/>
      <c r="J4008" s="760"/>
      <c r="K4008" s="760"/>
    </row>
    <row r="4009" spans="1:11">
      <c r="A4009" s="760"/>
      <c r="B4009" s="760"/>
      <c r="C4009" s="760"/>
      <c r="D4009" s="760"/>
      <c r="E4009" s="760"/>
      <c r="F4009" s="760"/>
      <c r="G4009" s="760"/>
      <c r="H4009" s="760"/>
      <c r="I4009" s="760"/>
      <c r="J4009" s="760"/>
      <c r="K4009" s="760"/>
    </row>
    <row r="4010" spans="1:11">
      <c r="A4010" s="760"/>
      <c r="B4010" s="760"/>
      <c r="C4010" s="760"/>
      <c r="D4010" s="760"/>
      <c r="E4010" s="760"/>
      <c r="F4010" s="760"/>
      <c r="G4010" s="760"/>
      <c r="H4010" s="760"/>
      <c r="I4010" s="760"/>
      <c r="J4010" s="760"/>
      <c r="K4010" s="760"/>
    </row>
    <row r="4011" spans="1:11">
      <c r="A4011" s="760"/>
      <c r="B4011" s="760"/>
      <c r="C4011" s="760"/>
      <c r="D4011" s="760"/>
      <c r="E4011" s="760"/>
      <c r="F4011" s="760"/>
      <c r="G4011" s="760"/>
      <c r="H4011" s="760"/>
      <c r="I4011" s="760"/>
      <c r="J4011" s="760"/>
      <c r="K4011" s="760"/>
    </row>
    <row r="4012" spans="1:11">
      <c r="A4012" s="760"/>
      <c r="B4012" s="760"/>
      <c r="C4012" s="760"/>
      <c r="D4012" s="760"/>
      <c r="E4012" s="760"/>
      <c r="F4012" s="760"/>
      <c r="G4012" s="760"/>
      <c r="H4012" s="760"/>
      <c r="I4012" s="760"/>
      <c r="J4012" s="760"/>
      <c r="K4012" s="760"/>
    </row>
    <row r="4013" spans="1:11">
      <c r="A4013" s="760"/>
      <c r="B4013" s="760"/>
      <c r="C4013" s="760"/>
      <c r="D4013" s="760"/>
      <c r="E4013" s="760"/>
      <c r="F4013" s="760"/>
      <c r="G4013" s="760"/>
      <c r="H4013" s="760"/>
      <c r="I4013" s="760"/>
      <c r="J4013" s="760"/>
      <c r="K4013" s="760"/>
    </row>
    <row r="4014" spans="1:11">
      <c r="A4014" s="760"/>
      <c r="B4014" s="760"/>
      <c r="C4014" s="760"/>
      <c r="D4014" s="760"/>
      <c r="E4014" s="760"/>
      <c r="F4014" s="760"/>
      <c r="G4014" s="760"/>
      <c r="H4014" s="760"/>
      <c r="I4014" s="760"/>
      <c r="J4014" s="760"/>
      <c r="K4014" s="760"/>
    </row>
    <row r="4015" spans="1:11">
      <c r="A4015" s="760"/>
      <c r="B4015" s="760"/>
      <c r="C4015" s="760"/>
      <c r="D4015" s="760"/>
      <c r="E4015" s="760"/>
      <c r="F4015" s="760"/>
      <c r="G4015" s="760"/>
      <c r="H4015" s="760"/>
      <c r="I4015" s="760"/>
      <c r="J4015" s="760"/>
      <c r="K4015" s="760"/>
    </row>
    <row r="4016" spans="1:11">
      <c r="A4016" s="760"/>
      <c r="B4016" s="760"/>
      <c r="C4016" s="760"/>
      <c r="D4016" s="760"/>
      <c r="E4016" s="760"/>
      <c r="F4016" s="760"/>
      <c r="G4016" s="760"/>
      <c r="H4016" s="760"/>
      <c r="I4016" s="760"/>
      <c r="J4016" s="760"/>
      <c r="K4016" s="760"/>
    </row>
    <row r="4017" spans="1:11">
      <c r="A4017" s="760"/>
      <c r="B4017" s="760"/>
      <c r="C4017" s="760"/>
      <c r="D4017" s="760"/>
      <c r="E4017" s="760"/>
      <c r="F4017" s="760"/>
      <c r="G4017" s="760"/>
      <c r="H4017" s="760"/>
      <c r="I4017" s="760"/>
      <c r="J4017" s="760"/>
      <c r="K4017" s="760"/>
    </row>
    <row r="4018" spans="1:11">
      <c r="A4018" s="760"/>
      <c r="B4018" s="760"/>
      <c r="C4018" s="760"/>
      <c r="D4018" s="760"/>
      <c r="E4018" s="760"/>
      <c r="F4018" s="760"/>
      <c r="G4018" s="760"/>
      <c r="H4018" s="760"/>
      <c r="I4018" s="760"/>
      <c r="J4018" s="760"/>
      <c r="K4018" s="760"/>
    </row>
    <row r="4019" spans="1:11">
      <c r="A4019" s="760"/>
      <c r="B4019" s="760"/>
      <c r="C4019" s="760"/>
      <c r="D4019" s="760"/>
      <c r="E4019" s="760"/>
      <c r="F4019" s="760"/>
      <c r="G4019" s="760"/>
      <c r="H4019" s="760"/>
      <c r="I4019" s="760"/>
      <c r="J4019" s="760"/>
      <c r="K4019" s="760"/>
    </row>
    <row r="4020" spans="1:11">
      <c r="A4020" s="760"/>
      <c r="B4020" s="760"/>
      <c r="C4020" s="760"/>
      <c r="D4020" s="760"/>
      <c r="E4020" s="760"/>
      <c r="F4020" s="760"/>
      <c r="G4020" s="760"/>
      <c r="H4020" s="760"/>
      <c r="I4020" s="760"/>
      <c r="J4020" s="760"/>
      <c r="K4020" s="760"/>
    </row>
    <row r="4021" spans="1:11">
      <c r="A4021" s="760"/>
      <c r="B4021" s="760"/>
      <c r="C4021" s="760"/>
      <c r="D4021" s="760"/>
      <c r="E4021" s="760"/>
      <c r="F4021" s="760"/>
      <c r="G4021" s="760"/>
      <c r="H4021" s="760"/>
      <c r="I4021" s="760"/>
      <c r="J4021" s="760"/>
      <c r="K4021" s="760"/>
    </row>
    <row r="4022" spans="1:11">
      <c r="A4022" s="760"/>
      <c r="B4022" s="760"/>
      <c r="C4022" s="760"/>
      <c r="D4022" s="760"/>
      <c r="E4022" s="760"/>
      <c r="F4022" s="760"/>
      <c r="G4022" s="760"/>
      <c r="H4022" s="760"/>
      <c r="I4022" s="760"/>
      <c r="J4022" s="760"/>
      <c r="K4022" s="760"/>
    </row>
    <row r="4023" spans="1:11">
      <c r="A4023" s="760"/>
      <c r="B4023" s="760"/>
      <c r="C4023" s="760"/>
      <c r="D4023" s="760"/>
      <c r="E4023" s="760"/>
      <c r="F4023" s="760"/>
      <c r="G4023" s="760"/>
      <c r="H4023" s="760"/>
      <c r="I4023" s="760"/>
      <c r="J4023" s="760"/>
      <c r="K4023" s="760"/>
    </row>
    <row r="4024" spans="1:11">
      <c r="A4024" s="760"/>
      <c r="B4024" s="760"/>
      <c r="C4024" s="760"/>
      <c r="D4024" s="760"/>
      <c r="E4024" s="760"/>
      <c r="F4024" s="760"/>
      <c r="G4024" s="760"/>
      <c r="H4024" s="760"/>
      <c r="I4024" s="760"/>
      <c r="J4024" s="760"/>
      <c r="K4024" s="760"/>
    </row>
    <row r="4025" spans="1:11">
      <c r="A4025" s="760"/>
      <c r="B4025" s="760"/>
      <c r="C4025" s="760"/>
      <c r="D4025" s="760"/>
      <c r="E4025" s="760"/>
      <c r="F4025" s="760"/>
      <c r="G4025" s="760"/>
      <c r="H4025" s="760"/>
      <c r="I4025" s="760"/>
      <c r="J4025" s="760"/>
      <c r="K4025" s="760"/>
    </row>
    <row r="4026" spans="1:11">
      <c r="A4026" s="760"/>
      <c r="B4026" s="760"/>
      <c r="C4026" s="760"/>
      <c r="D4026" s="760"/>
      <c r="E4026" s="760"/>
      <c r="F4026" s="760"/>
      <c r="G4026" s="760"/>
      <c r="H4026" s="760"/>
      <c r="I4026" s="760"/>
      <c r="J4026" s="760"/>
      <c r="K4026" s="760"/>
    </row>
    <row r="4027" spans="1:11">
      <c r="A4027" s="760"/>
      <c r="B4027" s="760"/>
      <c r="C4027" s="760"/>
      <c r="D4027" s="760"/>
      <c r="E4027" s="760"/>
      <c r="F4027" s="760"/>
      <c r="G4027" s="760"/>
      <c r="H4027" s="760"/>
      <c r="I4027" s="760"/>
      <c r="J4027" s="760"/>
      <c r="K4027" s="760"/>
    </row>
    <row r="4028" spans="1:11">
      <c r="A4028" s="760"/>
      <c r="B4028" s="760"/>
      <c r="C4028" s="760"/>
      <c r="D4028" s="760"/>
      <c r="E4028" s="760"/>
      <c r="F4028" s="760"/>
      <c r="G4028" s="760"/>
      <c r="H4028" s="760"/>
      <c r="I4028" s="760"/>
      <c r="J4028" s="760"/>
      <c r="K4028" s="760"/>
    </row>
    <row r="4029" spans="1:11">
      <c r="A4029" s="760"/>
      <c r="B4029" s="760"/>
      <c r="C4029" s="760"/>
      <c r="D4029" s="760"/>
      <c r="E4029" s="760"/>
      <c r="F4029" s="760"/>
      <c r="G4029" s="760"/>
      <c r="H4029" s="760"/>
      <c r="I4029" s="760"/>
      <c r="J4029" s="760"/>
      <c r="K4029" s="760"/>
    </row>
    <row r="4030" spans="1:11">
      <c r="A4030" s="760"/>
      <c r="B4030" s="760"/>
      <c r="C4030" s="760"/>
      <c r="D4030" s="760"/>
      <c r="E4030" s="760"/>
      <c r="F4030" s="760"/>
      <c r="G4030" s="760"/>
      <c r="H4030" s="760"/>
      <c r="I4030" s="760"/>
      <c r="J4030" s="760"/>
      <c r="K4030" s="760"/>
    </row>
    <row r="4031" spans="1:11">
      <c r="A4031" s="760"/>
      <c r="B4031" s="760"/>
      <c r="C4031" s="760"/>
      <c r="D4031" s="760"/>
      <c r="E4031" s="760"/>
      <c r="F4031" s="760"/>
      <c r="G4031" s="760"/>
      <c r="H4031" s="760"/>
      <c r="I4031" s="760"/>
      <c r="J4031" s="760"/>
      <c r="K4031" s="760"/>
    </row>
    <row r="4032" spans="1:11">
      <c r="A4032" s="760"/>
      <c r="B4032" s="760"/>
      <c r="C4032" s="760"/>
      <c r="D4032" s="760"/>
      <c r="E4032" s="760"/>
      <c r="F4032" s="760"/>
      <c r="G4032" s="760"/>
      <c r="H4032" s="760"/>
      <c r="I4032" s="760"/>
      <c r="J4032" s="760"/>
      <c r="K4032" s="760"/>
    </row>
    <row r="4033" spans="1:11">
      <c r="A4033" s="760"/>
      <c r="B4033" s="760"/>
      <c r="C4033" s="760"/>
      <c r="D4033" s="760"/>
      <c r="E4033" s="760"/>
      <c r="F4033" s="760"/>
      <c r="G4033" s="760"/>
      <c r="H4033" s="760"/>
      <c r="I4033" s="760"/>
      <c r="J4033" s="760"/>
      <c r="K4033" s="760"/>
    </row>
    <row r="4034" spans="1:11">
      <c r="A4034" s="760"/>
      <c r="B4034" s="760"/>
      <c r="C4034" s="760"/>
      <c r="D4034" s="760"/>
      <c r="E4034" s="760"/>
      <c r="F4034" s="760"/>
      <c r="G4034" s="760"/>
      <c r="H4034" s="760"/>
      <c r="I4034" s="760"/>
      <c r="J4034" s="760"/>
      <c r="K4034" s="760"/>
    </row>
    <row r="4035" spans="1:11">
      <c r="A4035" s="760"/>
      <c r="B4035" s="760"/>
      <c r="C4035" s="760"/>
      <c r="D4035" s="760"/>
      <c r="E4035" s="760"/>
      <c r="F4035" s="760"/>
      <c r="G4035" s="760"/>
      <c r="H4035" s="760"/>
      <c r="I4035" s="760"/>
      <c r="J4035" s="760"/>
      <c r="K4035" s="760"/>
    </row>
    <row r="4036" spans="1:11">
      <c r="A4036" s="760"/>
      <c r="B4036" s="760"/>
      <c r="C4036" s="760"/>
      <c r="D4036" s="760"/>
      <c r="E4036" s="760"/>
      <c r="F4036" s="760"/>
      <c r="G4036" s="760"/>
      <c r="H4036" s="760"/>
      <c r="I4036" s="760"/>
      <c r="J4036" s="760"/>
      <c r="K4036" s="760"/>
    </row>
    <row r="4037" spans="1:11">
      <c r="A4037" s="760"/>
      <c r="B4037" s="760"/>
      <c r="C4037" s="760"/>
      <c r="D4037" s="760"/>
      <c r="E4037" s="760"/>
      <c r="F4037" s="760"/>
      <c r="G4037" s="760"/>
      <c r="H4037" s="760"/>
      <c r="I4037" s="760"/>
      <c r="J4037" s="760"/>
      <c r="K4037" s="760"/>
    </row>
    <row r="4038" spans="1:11">
      <c r="A4038" s="760"/>
      <c r="B4038" s="760"/>
      <c r="C4038" s="760"/>
      <c r="D4038" s="760"/>
      <c r="E4038" s="760"/>
      <c r="F4038" s="760"/>
      <c r="G4038" s="760"/>
      <c r="H4038" s="760"/>
      <c r="I4038" s="760"/>
      <c r="J4038" s="760"/>
      <c r="K4038" s="760"/>
    </row>
    <row r="4039" spans="1:11">
      <c r="A4039" s="760"/>
      <c r="B4039" s="760"/>
      <c r="C4039" s="760"/>
      <c r="D4039" s="760"/>
      <c r="E4039" s="760"/>
      <c r="F4039" s="760"/>
      <c r="G4039" s="760"/>
      <c r="H4039" s="760"/>
      <c r="I4039" s="760"/>
      <c r="J4039" s="760"/>
      <c r="K4039" s="760"/>
    </row>
    <row r="4040" spans="1:11">
      <c r="A4040" s="760"/>
      <c r="B4040" s="760"/>
      <c r="C4040" s="760"/>
      <c r="D4040" s="760"/>
      <c r="E4040" s="760"/>
      <c r="F4040" s="760"/>
      <c r="G4040" s="760"/>
      <c r="H4040" s="760"/>
      <c r="I4040" s="760"/>
      <c r="J4040" s="760"/>
      <c r="K4040" s="760"/>
    </row>
    <row r="4041" spans="1:11">
      <c r="A4041" s="760"/>
      <c r="B4041" s="760"/>
      <c r="C4041" s="760"/>
      <c r="D4041" s="760"/>
      <c r="E4041" s="760"/>
      <c r="F4041" s="760"/>
      <c r="G4041" s="760"/>
      <c r="H4041" s="760"/>
      <c r="I4041" s="760"/>
      <c r="J4041" s="760"/>
      <c r="K4041" s="760"/>
    </row>
    <row r="4042" spans="1:11">
      <c r="A4042" s="760"/>
      <c r="B4042" s="760"/>
      <c r="C4042" s="760"/>
      <c r="D4042" s="760"/>
      <c r="E4042" s="760"/>
      <c r="F4042" s="760"/>
      <c r="G4042" s="760"/>
      <c r="H4042" s="760"/>
      <c r="I4042" s="760"/>
      <c r="J4042" s="760"/>
      <c r="K4042" s="760"/>
    </row>
    <row r="4043" spans="1:11">
      <c r="A4043" s="760"/>
      <c r="B4043" s="760"/>
      <c r="C4043" s="760"/>
      <c r="D4043" s="760"/>
      <c r="E4043" s="760"/>
      <c r="F4043" s="760"/>
      <c r="G4043" s="760"/>
      <c r="H4043" s="760"/>
      <c r="I4043" s="760"/>
      <c r="J4043" s="760"/>
      <c r="K4043" s="760"/>
    </row>
    <row r="4044" spans="1:11">
      <c r="A4044" s="760"/>
      <c r="B4044" s="760"/>
      <c r="C4044" s="760"/>
      <c r="D4044" s="760"/>
      <c r="E4044" s="760"/>
      <c r="F4044" s="760"/>
      <c r="G4044" s="760"/>
      <c r="H4044" s="760"/>
      <c r="I4044" s="760"/>
      <c r="J4044" s="760"/>
      <c r="K4044" s="760"/>
    </row>
    <row r="4045" spans="1:11">
      <c r="A4045" s="760"/>
      <c r="B4045" s="760"/>
      <c r="C4045" s="760"/>
      <c r="D4045" s="760"/>
      <c r="E4045" s="760"/>
      <c r="F4045" s="760"/>
      <c r="G4045" s="760"/>
      <c r="H4045" s="760"/>
      <c r="I4045" s="760"/>
      <c r="J4045" s="760"/>
      <c r="K4045" s="760"/>
    </row>
    <row r="4046" spans="1:11">
      <c r="A4046" s="760"/>
      <c r="B4046" s="760"/>
      <c r="C4046" s="760"/>
      <c r="D4046" s="760"/>
      <c r="E4046" s="760"/>
      <c r="F4046" s="760"/>
      <c r="G4046" s="760"/>
      <c r="H4046" s="760"/>
      <c r="I4046" s="760"/>
      <c r="J4046" s="760"/>
      <c r="K4046" s="760"/>
    </row>
    <row r="4047" spans="1:11">
      <c r="A4047" s="760"/>
      <c r="B4047" s="760"/>
      <c r="C4047" s="760"/>
      <c r="D4047" s="760"/>
      <c r="E4047" s="760"/>
      <c r="F4047" s="760"/>
      <c r="G4047" s="760"/>
      <c r="H4047" s="760"/>
      <c r="I4047" s="760"/>
      <c r="J4047" s="760"/>
      <c r="K4047" s="760"/>
    </row>
    <row r="4048" spans="1:11">
      <c r="A4048" s="760"/>
      <c r="B4048" s="760"/>
      <c r="C4048" s="760"/>
      <c r="D4048" s="760"/>
      <c r="E4048" s="760"/>
      <c r="F4048" s="760"/>
      <c r="G4048" s="760"/>
      <c r="H4048" s="760"/>
      <c r="I4048" s="760"/>
      <c r="J4048" s="760"/>
      <c r="K4048" s="760"/>
    </row>
    <row r="4049" spans="1:11">
      <c r="A4049" s="760"/>
      <c r="B4049" s="760"/>
      <c r="C4049" s="760"/>
      <c r="D4049" s="760"/>
      <c r="E4049" s="760"/>
      <c r="F4049" s="760"/>
      <c r="G4049" s="760"/>
      <c r="H4049" s="760"/>
      <c r="I4049" s="760"/>
      <c r="J4049" s="760"/>
      <c r="K4049" s="760"/>
    </row>
    <row r="4050" spans="1:11">
      <c r="A4050" s="760"/>
      <c r="B4050" s="760"/>
      <c r="C4050" s="760"/>
      <c r="D4050" s="760"/>
      <c r="E4050" s="760"/>
      <c r="F4050" s="760"/>
      <c r="G4050" s="760"/>
      <c r="H4050" s="760"/>
      <c r="I4050" s="760"/>
      <c r="J4050" s="760"/>
      <c r="K4050" s="760"/>
    </row>
    <row r="4051" spans="1:11">
      <c r="A4051" s="760"/>
      <c r="B4051" s="760"/>
      <c r="C4051" s="760"/>
      <c r="D4051" s="760"/>
      <c r="E4051" s="760"/>
      <c r="F4051" s="760"/>
      <c r="G4051" s="760"/>
      <c r="H4051" s="760"/>
      <c r="I4051" s="760"/>
      <c r="J4051" s="760"/>
      <c r="K4051" s="760"/>
    </row>
    <row r="4052" spans="1:11">
      <c r="A4052" s="760"/>
      <c r="B4052" s="760"/>
      <c r="C4052" s="760"/>
      <c r="D4052" s="760"/>
      <c r="E4052" s="760"/>
      <c r="F4052" s="760"/>
      <c r="G4052" s="760"/>
      <c r="H4052" s="760"/>
      <c r="I4052" s="760"/>
      <c r="J4052" s="760"/>
      <c r="K4052" s="760"/>
    </row>
    <row r="4053" spans="1:11">
      <c r="A4053" s="760"/>
      <c r="B4053" s="760"/>
      <c r="C4053" s="760"/>
      <c r="D4053" s="760"/>
      <c r="E4053" s="760"/>
      <c r="F4053" s="760"/>
      <c r="G4053" s="760"/>
      <c r="H4053" s="760"/>
      <c r="I4053" s="760"/>
      <c r="J4053" s="760"/>
      <c r="K4053" s="760"/>
    </row>
    <row r="4054" spans="1:11">
      <c r="A4054" s="760"/>
      <c r="B4054" s="760"/>
      <c r="C4054" s="760"/>
      <c r="D4054" s="760"/>
      <c r="E4054" s="760"/>
      <c r="F4054" s="760"/>
      <c r="G4054" s="760"/>
      <c r="H4054" s="760"/>
      <c r="I4054" s="760"/>
      <c r="J4054" s="760"/>
      <c r="K4054" s="760"/>
    </row>
    <row r="4055" spans="1:11">
      <c r="A4055" s="760"/>
      <c r="B4055" s="760"/>
      <c r="C4055" s="760"/>
      <c r="D4055" s="760"/>
      <c r="E4055" s="760"/>
      <c r="F4055" s="760"/>
      <c r="G4055" s="760"/>
      <c r="H4055" s="760"/>
      <c r="I4055" s="760"/>
      <c r="J4055" s="760"/>
      <c r="K4055" s="760"/>
    </row>
    <row r="4056" spans="1:11">
      <c r="A4056" s="760"/>
      <c r="B4056" s="760"/>
      <c r="C4056" s="760"/>
      <c r="D4056" s="760"/>
      <c r="E4056" s="760"/>
      <c r="F4056" s="760"/>
      <c r="G4056" s="760"/>
      <c r="H4056" s="760"/>
      <c r="I4056" s="760"/>
      <c r="J4056" s="760"/>
      <c r="K4056" s="760"/>
    </row>
    <row r="4057" spans="1:11">
      <c r="A4057" s="760"/>
      <c r="B4057" s="760"/>
      <c r="C4057" s="760"/>
      <c r="D4057" s="760"/>
      <c r="E4057" s="760"/>
      <c r="F4057" s="760"/>
      <c r="G4057" s="760"/>
      <c r="H4057" s="760"/>
      <c r="I4057" s="760"/>
      <c r="J4057" s="760"/>
      <c r="K4057" s="760"/>
    </row>
    <row r="4058" spans="1:11">
      <c r="A4058" s="760"/>
      <c r="B4058" s="760"/>
      <c r="C4058" s="760"/>
      <c r="D4058" s="760"/>
      <c r="E4058" s="760"/>
      <c r="F4058" s="760"/>
      <c r="G4058" s="760"/>
      <c r="H4058" s="760"/>
      <c r="I4058" s="760"/>
      <c r="J4058" s="760"/>
      <c r="K4058" s="760"/>
    </row>
    <row r="4059" spans="1:11">
      <c r="A4059" s="760"/>
      <c r="B4059" s="760"/>
      <c r="C4059" s="760"/>
      <c r="D4059" s="760"/>
      <c r="E4059" s="760"/>
      <c r="F4059" s="760"/>
      <c r="G4059" s="760"/>
      <c r="H4059" s="760"/>
      <c r="I4059" s="760"/>
      <c r="J4059" s="760"/>
      <c r="K4059" s="760"/>
    </row>
    <row r="4060" spans="1:11">
      <c r="A4060" s="760"/>
      <c r="B4060" s="760"/>
      <c r="C4060" s="760"/>
      <c r="D4060" s="760"/>
      <c r="E4060" s="760"/>
      <c r="F4060" s="760"/>
      <c r="G4060" s="760"/>
      <c r="H4060" s="760"/>
      <c r="I4060" s="760"/>
      <c r="J4060" s="760"/>
      <c r="K4060" s="760"/>
    </row>
    <row r="4061" spans="1:11">
      <c r="A4061" s="760"/>
      <c r="B4061" s="760"/>
      <c r="C4061" s="760"/>
      <c r="D4061" s="760"/>
      <c r="E4061" s="760"/>
      <c r="F4061" s="760"/>
      <c r="G4061" s="760"/>
      <c r="H4061" s="760"/>
      <c r="I4061" s="760"/>
      <c r="J4061" s="760"/>
      <c r="K4061" s="760"/>
    </row>
    <row r="4062" spans="1:11">
      <c r="A4062" s="760"/>
      <c r="B4062" s="760"/>
      <c r="C4062" s="760"/>
      <c r="D4062" s="760"/>
      <c r="E4062" s="760"/>
      <c r="F4062" s="760"/>
      <c r="G4062" s="760"/>
      <c r="H4062" s="760"/>
      <c r="I4062" s="760"/>
      <c r="J4062" s="760"/>
      <c r="K4062" s="760"/>
    </row>
    <row r="4063" spans="1:11">
      <c r="A4063" s="760"/>
      <c r="B4063" s="760"/>
      <c r="C4063" s="760"/>
      <c r="D4063" s="760"/>
      <c r="E4063" s="760"/>
      <c r="F4063" s="760"/>
      <c r="G4063" s="760"/>
      <c r="H4063" s="760"/>
      <c r="I4063" s="760"/>
      <c r="J4063" s="760"/>
      <c r="K4063" s="760"/>
    </row>
    <row r="4064" spans="1:11">
      <c r="A4064" s="760"/>
      <c r="B4064" s="760"/>
      <c r="C4064" s="760"/>
      <c r="D4064" s="760"/>
      <c r="E4064" s="760"/>
      <c r="F4064" s="760"/>
      <c r="G4064" s="760"/>
      <c r="H4064" s="760"/>
      <c r="I4064" s="760"/>
      <c r="J4064" s="760"/>
      <c r="K4064" s="760"/>
    </row>
    <row r="4065" spans="1:11">
      <c r="A4065" s="760"/>
      <c r="B4065" s="760"/>
      <c r="C4065" s="760"/>
      <c r="D4065" s="760"/>
      <c r="E4065" s="760"/>
      <c r="F4065" s="760"/>
      <c r="G4065" s="760"/>
      <c r="H4065" s="760"/>
      <c r="I4065" s="760"/>
      <c r="J4065" s="760"/>
      <c r="K4065" s="760"/>
    </row>
    <row r="4066" spans="1:11">
      <c r="A4066" s="760"/>
      <c r="B4066" s="760"/>
      <c r="C4066" s="760"/>
      <c r="D4066" s="760"/>
      <c r="E4066" s="760"/>
      <c r="F4066" s="760"/>
      <c r="G4066" s="760"/>
      <c r="H4066" s="760"/>
      <c r="I4066" s="760"/>
      <c r="J4066" s="760"/>
      <c r="K4066" s="760"/>
    </row>
    <row r="4067" spans="1:11">
      <c r="A4067" s="760"/>
      <c r="B4067" s="760"/>
      <c r="C4067" s="760"/>
      <c r="D4067" s="760"/>
      <c r="E4067" s="760"/>
      <c r="F4067" s="760"/>
      <c r="G4067" s="760"/>
      <c r="H4067" s="760"/>
      <c r="I4067" s="760"/>
      <c r="J4067" s="760"/>
      <c r="K4067" s="760"/>
    </row>
    <row r="4068" spans="1:11">
      <c r="A4068" s="760"/>
      <c r="B4068" s="760"/>
      <c r="C4068" s="760"/>
      <c r="D4068" s="760"/>
      <c r="E4068" s="760"/>
      <c r="F4068" s="760"/>
      <c r="G4068" s="760"/>
      <c r="H4068" s="760"/>
      <c r="I4068" s="760"/>
      <c r="J4068" s="760"/>
      <c r="K4068" s="760"/>
    </row>
    <row r="4069" spans="1:11">
      <c r="A4069" s="760"/>
      <c r="B4069" s="760"/>
      <c r="C4069" s="760"/>
      <c r="D4069" s="760"/>
      <c r="E4069" s="760"/>
      <c r="F4069" s="760"/>
      <c r="G4069" s="760"/>
      <c r="H4069" s="760"/>
      <c r="I4069" s="760"/>
      <c r="J4069" s="760"/>
      <c r="K4069" s="760"/>
    </row>
    <row r="4070" spans="1:11">
      <c r="A4070" s="760"/>
      <c r="B4070" s="760"/>
      <c r="C4070" s="760"/>
      <c r="D4070" s="760"/>
      <c r="E4070" s="760"/>
      <c r="F4070" s="760"/>
      <c r="G4070" s="760"/>
      <c r="H4070" s="760"/>
      <c r="I4070" s="760"/>
      <c r="J4070" s="760"/>
      <c r="K4070" s="760"/>
    </row>
    <row r="4071" spans="1:11">
      <c r="A4071" s="760"/>
      <c r="B4071" s="760"/>
      <c r="C4071" s="760"/>
      <c r="D4071" s="760"/>
      <c r="E4071" s="760"/>
      <c r="F4071" s="760"/>
      <c r="G4071" s="760"/>
      <c r="H4071" s="760"/>
      <c r="I4071" s="760"/>
      <c r="J4071" s="760"/>
      <c r="K4071" s="760"/>
    </row>
    <row r="4072" spans="1:11">
      <c r="A4072" s="760"/>
      <c r="B4072" s="760"/>
      <c r="C4072" s="760"/>
      <c r="D4072" s="760"/>
      <c r="E4072" s="760"/>
      <c r="F4072" s="760"/>
      <c r="G4072" s="760"/>
      <c r="H4072" s="760"/>
      <c r="I4072" s="760"/>
      <c r="J4072" s="760"/>
      <c r="K4072" s="760"/>
    </row>
    <row r="4073" spans="1:11">
      <c r="A4073" s="760"/>
      <c r="B4073" s="760"/>
      <c r="C4073" s="760"/>
      <c r="D4073" s="760"/>
      <c r="E4073" s="760"/>
      <c r="F4073" s="760"/>
      <c r="G4073" s="760"/>
      <c r="H4073" s="760"/>
      <c r="I4073" s="760"/>
      <c r="J4073" s="760"/>
      <c r="K4073" s="760"/>
    </row>
    <row r="4074" spans="1:11">
      <c r="A4074" s="760"/>
      <c r="B4074" s="760"/>
      <c r="C4074" s="760"/>
      <c r="D4074" s="760"/>
      <c r="E4074" s="760"/>
      <c r="F4074" s="760"/>
      <c r="G4074" s="760"/>
      <c r="H4074" s="760"/>
      <c r="I4074" s="760"/>
      <c r="J4074" s="760"/>
      <c r="K4074" s="760"/>
    </row>
    <row r="4075" spans="1:11">
      <c r="A4075" s="760"/>
      <c r="B4075" s="760"/>
      <c r="C4075" s="760"/>
      <c r="D4075" s="760"/>
      <c r="E4075" s="760"/>
      <c r="F4075" s="760"/>
      <c r="G4075" s="760"/>
      <c r="H4075" s="760"/>
      <c r="I4075" s="760"/>
      <c r="J4075" s="760"/>
      <c r="K4075" s="760"/>
    </row>
    <row r="4076" spans="1:11">
      <c r="A4076" s="760"/>
      <c r="B4076" s="760"/>
      <c r="C4076" s="760"/>
      <c r="D4076" s="760"/>
      <c r="E4076" s="760"/>
      <c r="F4076" s="760"/>
      <c r="G4076" s="760"/>
      <c r="H4076" s="760"/>
      <c r="I4076" s="760"/>
      <c r="J4076" s="760"/>
      <c r="K4076" s="760"/>
    </row>
    <row r="4077" spans="1:11">
      <c r="A4077" s="760"/>
      <c r="B4077" s="760"/>
      <c r="C4077" s="760"/>
      <c r="D4077" s="760"/>
      <c r="E4077" s="760"/>
      <c r="F4077" s="760"/>
      <c r="G4077" s="760"/>
      <c r="H4077" s="760"/>
      <c r="I4077" s="760"/>
      <c r="J4077" s="760"/>
      <c r="K4077" s="760"/>
    </row>
    <row r="4078" spans="1:11">
      <c r="A4078" s="760"/>
      <c r="B4078" s="760"/>
      <c r="C4078" s="760"/>
      <c r="D4078" s="760"/>
      <c r="E4078" s="760"/>
      <c r="F4078" s="760"/>
      <c r="G4078" s="760"/>
      <c r="H4078" s="760"/>
      <c r="I4078" s="760"/>
      <c r="J4078" s="760"/>
      <c r="K4078" s="760"/>
    </row>
    <row r="4079" spans="1:11">
      <c r="A4079" s="760"/>
      <c r="B4079" s="760"/>
      <c r="C4079" s="760"/>
      <c r="D4079" s="760"/>
      <c r="E4079" s="760"/>
      <c r="F4079" s="760"/>
      <c r="G4079" s="760"/>
      <c r="H4079" s="760"/>
      <c r="I4079" s="760"/>
      <c r="J4079" s="760"/>
      <c r="K4079" s="760"/>
    </row>
    <row r="4080" spans="1:11">
      <c r="A4080" s="760"/>
      <c r="B4080" s="760"/>
      <c r="C4080" s="760"/>
      <c r="D4080" s="760"/>
      <c r="E4080" s="760"/>
      <c r="F4080" s="760"/>
      <c r="G4080" s="760"/>
      <c r="H4080" s="760"/>
      <c r="I4080" s="760"/>
      <c r="J4080" s="760"/>
      <c r="K4080" s="760"/>
    </row>
    <row r="4081" spans="1:11">
      <c r="A4081" s="760"/>
      <c r="B4081" s="760"/>
      <c r="C4081" s="760"/>
      <c r="D4081" s="760"/>
      <c r="E4081" s="760"/>
      <c r="F4081" s="760"/>
      <c r="G4081" s="760"/>
      <c r="H4081" s="760"/>
      <c r="I4081" s="760"/>
      <c r="J4081" s="760"/>
      <c r="K4081" s="760"/>
    </row>
    <row r="4082" spans="1:11">
      <c r="A4082" s="760"/>
      <c r="B4082" s="760"/>
      <c r="C4082" s="760"/>
      <c r="D4082" s="760"/>
      <c r="E4082" s="760"/>
      <c r="F4082" s="760"/>
      <c r="G4082" s="760"/>
      <c r="H4082" s="760"/>
      <c r="I4082" s="760"/>
      <c r="J4082" s="760"/>
      <c r="K4082" s="760"/>
    </row>
    <row r="4083" spans="1:11">
      <c r="A4083" s="760"/>
      <c r="B4083" s="760"/>
      <c r="C4083" s="760"/>
      <c r="D4083" s="760"/>
      <c r="E4083" s="760"/>
      <c r="F4083" s="760"/>
      <c r="G4083" s="760"/>
      <c r="H4083" s="760"/>
      <c r="I4083" s="760"/>
      <c r="J4083" s="760"/>
      <c r="K4083" s="760"/>
    </row>
    <row r="4084" spans="1:11">
      <c r="A4084" s="760"/>
      <c r="B4084" s="760"/>
      <c r="C4084" s="760"/>
      <c r="D4084" s="760"/>
      <c r="E4084" s="760"/>
      <c r="F4084" s="760"/>
      <c r="G4084" s="760"/>
      <c r="H4084" s="760"/>
      <c r="I4084" s="760"/>
      <c r="J4084" s="760"/>
      <c r="K4084" s="760"/>
    </row>
    <row r="4085" spans="1:11">
      <c r="A4085" s="760"/>
      <c r="B4085" s="760"/>
      <c r="C4085" s="760"/>
      <c r="D4085" s="760"/>
      <c r="E4085" s="760"/>
      <c r="F4085" s="760"/>
      <c r="G4085" s="760"/>
      <c r="H4085" s="760"/>
      <c r="I4085" s="760"/>
      <c r="J4085" s="760"/>
      <c r="K4085" s="760"/>
    </row>
    <row r="4086" spans="1:11">
      <c r="A4086" s="760"/>
      <c r="B4086" s="760"/>
      <c r="C4086" s="760"/>
      <c r="D4086" s="760"/>
      <c r="E4086" s="760"/>
      <c r="F4086" s="760"/>
      <c r="G4086" s="760"/>
      <c r="H4086" s="760"/>
      <c r="I4086" s="760"/>
      <c r="J4086" s="760"/>
      <c r="K4086" s="760"/>
    </row>
    <row r="4087" spans="1:11">
      <c r="A4087" s="760"/>
      <c r="B4087" s="760"/>
      <c r="C4087" s="760"/>
      <c r="D4087" s="760"/>
      <c r="E4087" s="760"/>
      <c r="F4087" s="760"/>
      <c r="G4087" s="760"/>
      <c r="H4087" s="760"/>
      <c r="I4087" s="760"/>
      <c r="J4087" s="760"/>
      <c r="K4087" s="760"/>
    </row>
    <row r="4088" spans="1:11">
      <c r="A4088" s="760"/>
      <c r="B4088" s="760"/>
      <c r="C4088" s="760"/>
      <c r="D4088" s="760"/>
      <c r="E4088" s="760"/>
      <c r="F4088" s="760"/>
      <c r="G4088" s="760"/>
      <c r="H4088" s="760"/>
      <c r="I4088" s="760"/>
      <c r="J4088" s="760"/>
      <c r="K4088" s="760"/>
    </row>
    <row r="4089" spans="1:11">
      <c r="A4089" s="760"/>
      <c r="B4089" s="760"/>
      <c r="C4089" s="760"/>
      <c r="D4089" s="760"/>
      <c r="E4089" s="760"/>
      <c r="F4089" s="760"/>
      <c r="G4089" s="760"/>
      <c r="H4089" s="760"/>
      <c r="I4089" s="760"/>
      <c r="J4089" s="760"/>
      <c r="K4089" s="760"/>
    </row>
    <row r="4090" spans="1:11">
      <c r="A4090" s="760"/>
      <c r="B4090" s="760"/>
      <c r="C4090" s="760"/>
      <c r="D4090" s="760"/>
      <c r="E4090" s="760"/>
      <c r="F4090" s="760"/>
      <c r="G4090" s="760"/>
      <c r="H4090" s="760"/>
      <c r="I4090" s="760"/>
      <c r="J4090" s="760"/>
      <c r="K4090" s="760"/>
    </row>
    <row r="4091" spans="1:11">
      <c r="A4091" s="760"/>
      <c r="B4091" s="760"/>
      <c r="C4091" s="760"/>
      <c r="D4091" s="760"/>
      <c r="E4091" s="760"/>
      <c r="F4091" s="760"/>
      <c r="G4091" s="760"/>
      <c r="H4091" s="760"/>
      <c r="I4091" s="760"/>
      <c r="J4091" s="760"/>
      <c r="K4091" s="760"/>
    </row>
    <row r="4092" spans="1:11">
      <c r="A4092" s="760"/>
      <c r="B4092" s="760"/>
      <c r="C4092" s="760"/>
      <c r="D4092" s="760"/>
      <c r="E4092" s="760"/>
      <c r="F4092" s="760"/>
      <c r="G4092" s="760"/>
      <c r="H4092" s="760"/>
      <c r="I4092" s="760"/>
      <c r="J4092" s="760"/>
      <c r="K4092" s="760"/>
    </row>
    <row r="4093" spans="1:11">
      <c r="A4093" s="760"/>
      <c r="B4093" s="760"/>
      <c r="C4093" s="760"/>
      <c r="D4093" s="760"/>
      <c r="E4093" s="760"/>
      <c r="F4093" s="760"/>
      <c r="G4093" s="760"/>
      <c r="H4093" s="760"/>
      <c r="I4093" s="760"/>
      <c r="J4093" s="760"/>
      <c r="K4093" s="760"/>
    </row>
    <row r="4094" spans="1:11">
      <c r="A4094" s="760"/>
      <c r="B4094" s="760"/>
      <c r="C4094" s="760"/>
      <c r="D4094" s="760"/>
      <c r="E4094" s="760"/>
      <c r="F4094" s="760"/>
      <c r="G4094" s="760"/>
      <c r="H4094" s="760"/>
      <c r="I4094" s="760"/>
      <c r="J4094" s="760"/>
      <c r="K4094" s="760"/>
    </row>
    <row r="4095" spans="1:11">
      <c r="A4095" s="760"/>
      <c r="B4095" s="760"/>
      <c r="C4095" s="760"/>
      <c r="D4095" s="760"/>
      <c r="E4095" s="760"/>
      <c r="F4095" s="760"/>
      <c r="G4095" s="760"/>
      <c r="H4095" s="760"/>
      <c r="I4095" s="760"/>
      <c r="J4095" s="760"/>
      <c r="K4095" s="760"/>
    </row>
    <row r="4096" spans="1:11">
      <c r="A4096" s="760"/>
      <c r="B4096" s="760"/>
      <c r="C4096" s="760"/>
      <c r="D4096" s="760"/>
      <c r="E4096" s="760"/>
      <c r="F4096" s="760"/>
      <c r="G4096" s="760"/>
      <c r="H4096" s="760"/>
      <c r="I4096" s="760"/>
      <c r="J4096" s="760"/>
      <c r="K4096" s="760"/>
    </row>
    <row r="4097" spans="1:11">
      <c r="A4097" s="760"/>
      <c r="B4097" s="760"/>
      <c r="C4097" s="760"/>
      <c r="D4097" s="760"/>
      <c r="E4097" s="760"/>
      <c r="F4097" s="760"/>
      <c r="G4097" s="760"/>
      <c r="H4097" s="760"/>
      <c r="I4097" s="760"/>
      <c r="J4097" s="760"/>
      <c r="K4097" s="760"/>
    </row>
    <row r="4098" spans="1:11">
      <c r="A4098" s="760"/>
      <c r="B4098" s="760"/>
      <c r="C4098" s="760"/>
      <c r="D4098" s="760"/>
      <c r="E4098" s="760"/>
      <c r="F4098" s="760"/>
      <c r="G4098" s="760"/>
      <c r="H4098" s="760"/>
      <c r="I4098" s="760"/>
      <c r="J4098" s="760"/>
      <c r="K4098" s="760"/>
    </row>
    <row r="4099" spans="1:11">
      <c r="A4099" s="760"/>
      <c r="B4099" s="760"/>
      <c r="C4099" s="760"/>
      <c r="D4099" s="760"/>
      <c r="E4099" s="760"/>
      <c r="F4099" s="760"/>
      <c r="G4099" s="760"/>
      <c r="H4099" s="760"/>
      <c r="I4099" s="760"/>
      <c r="J4099" s="760"/>
      <c r="K4099" s="760"/>
    </row>
    <row r="4100" spans="1:11">
      <c r="A4100" s="760"/>
      <c r="B4100" s="760"/>
      <c r="C4100" s="760"/>
      <c r="D4100" s="760"/>
      <c r="E4100" s="760"/>
      <c r="F4100" s="760"/>
      <c r="G4100" s="760"/>
      <c r="H4100" s="760"/>
      <c r="I4100" s="760"/>
      <c r="J4100" s="760"/>
      <c r="K4100" s="760"/>
    </row>
    <row r="4101" spans="1:11">
      <c r="A4101" s="760"/>
      <c r="B4101" s="760"/>
      <c r="C4101" s="760"/>
      <c r="D4101" s="760"/>
      <c r="E4101" s="760"/>
      <c r="F4101" s="760"/>
      <c r="G4101" s="760"/>
      <c r="H4101" s="760"/>
      <c r="I4101" s="760"/>
      <c r="J4101" s="760"/>
      <c r="K4101" s="760"/>
    </row>
    <row r="4102" spans="1:11">
      <c r="A4102" s="760"/>
      <c r="B4102" s="760"/>
      <c r="C4102" s="760"/>
      <c r="D4102" s="760"/>
      <c r="E4102" s="760"/>
      <c r="F4102" s="760"/>
      <c r="G4102" s="760"/>
      <c r="H4102" s="760"/>
      <c r="I4102" s="760"/>
      <c r="J4102" s="760"/>
      <c r="K4102" s="760"/>
    </row>
    <row r="4103" spans="1:11">
      <c r="A4103" s="760"/>
      <c r="B4103" s="760"/>
      <c r="C4103" s="760"/>
      <c r="D4103" s="760"/>
      <c r="E4103" s="760"/>
      <c r="F4103" s="760"/>
      <c r="G4103" s="760"/>
      <c r="H4103" s="760"/>
      <c r="I4103" s="760"/>
      <c r="J4103" s="760"/>
      <c r="K4103" s="760"/>
    </row>
    <row r="4104" spans="1:11">
      <c r="A4104" s="760"/>
      <c r="B4104" s="760"/>
      <c r="C4104" s="760"/>
      <c r="D4104" s="760"/>
      <c r="E4104" s="760"/>
      <c r="F4104" s="760"/>
      <c r="G4104" s="760"/>
      <c r="H4104" s="760"/>
      <c r="I4104" s="760"/>
      <c r="J4104" s="760"/>
      <c r="K4104" s="760"/>
    </row>
    <row r="4105" spans="1:11">
      <c r="A4105" s="760"/>
      <c r="B4105" s="760"/>
      <c r="C4105" s="760"/>
      <c r="D4105" s="760"/>
      <c r="E4105" s="760"/>
      <c r="F4105" s="760"/>
      <c r="G4105" s="760"/>
      <c r="H4105" s="760"/>
      <c r="I4105" s="760"/>
      <c r="J4105" s="760"/>
      <c r="K4105" s="760"/>
    </row>
    <row r="4106" spans="1:11">
      <c r="A4106" s="760"/>
      <c r="B4106" s="760"/>
      <c r="C4106" s="760"/>
      <c r="D4106" s="760"/>
      <c r="E4106" s="760"/>
      <c r="F4106" s="760"/>
      <c r="G4106" s="760"/>
      <c r="H4106" s="760"/>
      <c r="I4106" s="760"/>
      <c r="J4106" s="760"/>
      <c r="K4106" s="760"/>
    </row>
    <row r="4107" spans="1:11">
      <c r="A4107" s="760"/>
      <c r="B4107" s="760"/>
      <c r="C4107" s="760"/>
      <c r="D4107" s="760"/>
      <c r="E4107" s="760"/>
      <c r="F4107" s="760"/>
      <c r="G4107" s="760"/>
      <c r="H4107" s="760"/>
      <c r="I4107" s="760"/>
      <c r="J4107" s="760"/>
      <c r="K4107" s="760"/>
    </row>
    <row r="4108" spans="1:11">
      <c r="A4108" s="760"/>
      <c r="B4108" s="760"/>
      <c r="C4108" s="760"/>
      <c r="D4108" s="760"/>
      <c r="E4108" s="760"/>
      <c r="F4108" s="760"/>
      <c r="G4108" s="760"/>
      <c r="H4108" s="760"/>
      <c r="I4108" s="760"/>
      <c r="J4108" s="760"/>
      <c r="K4108" s="760"/>
    </row>
    <row r="4109" spans="1:11">
      <c r="A4109" s="760"/>
      <c r="B4109" s="760"/>
      <c r="C4109" s="760"/>
      <c r="D4109" s="760"/>
      <c r="E4109" s="760"/>
      <c r="F4109" s="760"/>
      <c r="G4109" s="760"/>
      <c r="H4109" s="760"/>
      <c r="I4109" s="760"/>
      <c r="J4109" s="760"/>
      <c r="K4109" s="760"/>
    </row>
    <row r="4110" spans="1:11">
      <c r="A4110" s="760"/>
      <c r="B4110" s="760"/>
      <c r="C4110" s="760"/>
      <c r="D4110" s="760"/>
      <c r="E4110" s="760"/>
      <c r="F4110" s="760"/>
      <c r="G4110" s="760"/>
      <c r="H4110" s="760"/>
      <c r="I4110" s="760"/>
      <c r="J4110" s="760"/>
      <c r="K4110" s="760"/>
    </row>
    <row r="4111" spans="1:11">
      <c r="A4111" s="760"/>
      <c r="B4111" s="760"/>
      <c r="C4111" s="760"/>
      <c r="D4111" s="760"/>
      <c r="E4111" s="760"/>
      <c r="F4111" s="760"/>
      <c r="G4111" s="760"/>
      <c r="H4111" s="760"/>
      <c r="I4111" s="760"/>
      <c r="J4111" s="760"/>
      <c r="K4111" s="760"/>
    </row>
    <row r="4112" spans="1:11">
      <c r="A4112" s="760"/>
      <c r="B4112" s="760"/>
      <c r="C4112" s="760"/>
      <c r="D4112" s="760"/>
      <c r="E4112" s="760"/>
      <c r="F4112" s="760"/>
      <c r="G4112" s="760"/>
      <c r="H4112" s="760"/>
      <c r="I4112" s="760"/>
      <c r="J4112" s="760"/>
      <c r="K4112" s="760"/>
    </row>
    <row r="4113" spans="1:11">
      <c r="A4113" s="760"/>
      <c r="B4113" s="760"/>
      <c r="C4113" s="760"/>
      <c r="D4113" s="760"/>
      <c r="E4113" s="760"/>
      <c r="F4113" s="760"/>
      <c r="G4113" s="760"/>
      <c r="H4113" s="760"/>
      <c r="I4113" s="760"/>
      <c r="J4113" s="760"/>
      <c r="K4113" s="760"/>
    </row>
    <row r="4114" spans="1:11">
      <c r="A4114" s="760"/>
      <c r="B4114" s="760"/>
      <c r="C4114" s="760"/>
      <c r="D4114" s="760"/>
      <c r="E4114" s="760"/>
      <c r="F4114" s="760"/>
      <c r="G4114" s="760"/>
      <c r="H4114" s="760"/>
      <c r="I4114" s="760"/>
      <c r="J4114" s="760"/>
      <c r="K4114" s="760"/>
    </row>
    <row r="4115" spans="1:11">
      <c r="A4115" s="760"/>
      <c r="B4115" s="760"/>
      <c r="C4115" s="760"/>
      <c r="D4115" s="760"/>
      <c r="E4115" s="760"/>
      <c r="F4115" s="760"/>
      <c r="G4115" s="760"/>
      <c r="H4115" s="760"/>
      <c r="I4115" s="760"/>
      <c r="J4115" s="760"/>
      <c r="K4115" s="760"/>
    </row>
    <row r="4116" spans="1:11">
      <c r="A4116" s="760"/>
      <c r="B4116" s="760"/>
      <c r="C4116" s="760"/>
      <c r="D4116" s="760"/>
      <c r="E4116" s="760"/>
      <c r="F4116" s="760"/>
      <c r="G4116" s="760"/>
      <c r="H4116" s="760"/>
      <c r="I4116" s="760"/>
      <c r="J4116" s="760"/>
      <c r="K4116" s="760"/>
    </row>
    <row r="4117" spans="1:11">
      <c r="A4117" s="760"/>
      <c r="B4117" s="760"/>
      <c r="C4117" s="760"/>
      <c r="D4117" s="760"/>
      <c r="E4117" s="760"/>
      <c r="F4117" s="760"/>
      <c r="G4117" s="760"/>
      <c r="H4117" s="760"/>
      <c r="I4117" s="760"/>
      <c r="J4117" s="760"/>
      <c r="K4117" s="760"/>
    </row>
    <row r="4118" spans="1:11">
      <c r="A4118" s="760"/>
      <c r="B4118" s="760"/>
      <c r="C4118" s="760"/>
      <c r="D4118" s="760"/>
      <c r="E4118" s="760"/>
      <c r="F4118" s="760"/>
      <c r="G4118" s="760"/>
      <c r="H4118" s="760"/>
      <c r="I4118" s="760"/>
      <c r="J4118" s="760"/>
      <c r="K4118" s="760"/>
    </row>
    <row r="4119" spans="1:11">
      <c r="A4119" s="760"/>
      <c r="B4119" s="760"/>
      <c r="C4119" s="760"/>
      <c r="D4119" s="760"/>
      <c r="E4119" s="760"/>
      <c r="F4119" s="760"/>
      <c r="G4119" s="760"/>
      <c r="H4119" s="760"/>
      <c r="I4119" s="760"/>
      <c r="J4119" s="760"/>
      <c r="K4119" s="760"/>
    </row>
    <row r="4120" spans="1:11">
      <c r="A4120" s="760"/>
      <c r="B4120" s="760"/>
      <c r="C4120" s="760"/>
      <c r="D4120" s="760"/>
      <c r="E4120" s="760"/>
      <c r="F4120" s="760"/>
      <c r="G4120" s="760"/>
      <c r="H4120" s="760"/>
      <c r="I4120" s="760"/>
      <c r="J4120" s="760"/>
      <c r="K4120" s="760"/>
    </row>
    <row r="4121" spans="1:11">
      <c r="A4121" s="760"/>
      <c r="B4121" s="760"/>
      <c r="C4121" s="760"/>
      <c r="D4121" s="760"/>
      <c r="E4121" s="760"/>
      <c r="F4121" s="760"/>
      <c r="G4121" s="760"/>
      <c r="H4121" s="760"/>
      <c r="I4121" s="760"/>
      <c r="J4121" s="760"/>
      <c r="K4121" s="760"/>
    </row>
    <row r="4122" spans="1:11">
      <c r="A4122" s="760"/>
      <c r="B4122" s="760"/>
      <c r="C4122" s="760"/>
      <c r="D4122" s="760"/>
      <c r="E4122" s="760"/>
      <c r="F4122" s="760"/>
      <c r="G4122" s="760"/>
      <c r="H4122" s="760"/>
      <c r="I4122" s="760"/>
      <c r="J4122" s="760"/>
      <c r="K4122" s="760"/>
    </row>
    <row r="4123" spans="1:11">
      <c r="A4123" s="760"/>
      <c r="B4123" s="760"/>
      <c r="C4123" s="760"/>
      <c r="D4123" s="760"/>
      <c r="E4123" s="760"/>
      <c r="F4123" s="760"/>
      <c r="G4123" s="760"/>
      <c r="H4123" s="760"/>
      <c r="I4123" s="760"/>
      <c r="J4123" s="760"/>
      <c r="K4123" s="760"/>
    </row>
    <row r="4124" spans="1:11">
      <c r="A4124" s="760"/>
      <c r="B4124" s="760"/>
      <c r="C4124" s="760"/>
      <c r="D4124" s="760"/>
      <c r="E4124" s="760"/>
      <c r="F4124" s="760"/>
      <c r="G4124" s="760"/>
      <c r="H4124" s="760"/>
      <c r="I4124" s="760"/>
      <c r="J4124" s="760"/>
      <c r="K4124" s="760"/>
    </row>
    <row r="4125" spans="1:11">
      <c r="A4125" s="760"/>
      <c r="B4125" s="760"/>
      <c r="C4125" s="760"/>
      <c r="D4125" s="760"/>
      <c r="E4125" s="760"/>
      <c r="F4125" s="760"/>
      <c r="G4125" s="760"/>
      <c r="H4125" s="760"/>
      <c r="I4125" s="760"/>
      <c r="J4125" s="760"/>
      <c r="K4125" s="760"/>
    </row>
    <row r="4126" spans="1:11">
      <c r="A4126" s="760"/>
      <c r="B4126" s="760"/>
      <c r="C4126" s="760"/>
      <c r="D4126" s="760"/>
      <c r="E4126" s="760"/>
      <c r="F4126" s="760"/>
      <c r="G4126" s="760"/>
      <c r="H4126" s="760"/>
      <c r="I4126" s="760"/>
      <c r="J4126" s="760"/>
      <c r="K4126" s="760"/>
    </row>
    <row r="4127" spans="1:11">
      <c r="A4127" s="760"/>
      <c r="B4127" s="760"/>
      <c r="C4127" s="760"/>
      <c r="D4127" s="760"/>
      <c r="E4127" s="760"/>
      <c r="F4127" s="760"/>
      <c r="G4127" s="760"/>
      <c r="H4127" s="760"/>
      <c r="I4127" s="760"/>
      <c r="J4127" s="760"/>
      <c r="K4127" s="760"/>
    </row>
    <row r="4128" spans="1:11">
      <c r="A4128" s="760"/>
      <c r="B4128" s="760"/>
      <c r="C4128" s="760"/>
      <c r="D4128" s="760"/>
      <c r="E4128" s="760"/>
      <c r="F4128" s="760"/>
      <c r="G4128" s="760"/>
      <c r="H4128" s="760"/>
      <c r="I4128" s="760"/>
      <c r="J4128" s="760"/>
      <c r="K4128" s="760"/>
    </row>
    <row r="4129" spans="1:11">
      <c r="A4129" s="760"/>
      <c r="B4129" s="760"/>
      <c r="C4129" s="760"/>
      <c r="D4129" s="760"/>
      <c r="E4129" s="760"/>
      <c r="F4129" s="760"/>
      <c r="G4129" s="760"/>
      <c r="H4129" s="760"/>
      <c r="I4129" s="760"/>
      <c r="J4129" s="760"/>
      <c r="K4129" s="760"/>
    </row>
    <row r="4130" spans="1:11">
      <c r="A4130" s="760"/>
      <c r="B4130" s="760"/>
      <c r="C4130" s="760"/>
      <c r="D4130" s="760"/>
      <c r="E4130" s="760"/>
      <c r="F4130" s="760"/>
      <c r="G4130" s="760"/>
      <c r="H4130" s="760"/>
      <c r="I4130" s="760"/>
      <c r="J4130" s="760"/>
      <c r="K4130" s="760"/>
    </row>
    <row r="4131" spans="1:11">
      <c r="A4131" s="760"/>
      <c r="B4131" s="760"/>
      <c r="C4131" s="760"/>
      <c r="D4131" s="760"/>
      <c r="E4131" s="760"/>
      <c r="F4131" s="760"/>
      <c r="G4131" s="760"/>
      <c r="H4131" s="760"/>
      <c r="I4131" s="760"/>
      <c r="J4131" s="760"/>
      <c r="K4131" s="760"/>
    </row>
    <row r="4132" spans="1:11">
      <c r="A4132" s="760"/>
      <c r="B4132" s="760"/>
      <c r="C4132" s="760"/>
      <c r="D4132" s="760"/>
      <c r="E4132" s="760"/>
      <c r="F4132" s="760"/>
      <c r="G4132" s="760"/>
      <c r="H4132" s="760"/>
      <c r="I4132" s="760"/>
      <c r="J4132" s="760"/>
      <c r="K4132" s="760"/>
    </row>
    <row r="4133" spans="1:11">
      <c r="A4133" s="760"/>
      <c r="B4133" s="760"/>
      <c r="C4133" s="760"/>
      <c r="D4133" s="760"/>
      <c r="E4133" s="760"/>
      <c r="F4133" s="760"/>
      <c r="G4133" s="760"/>
      <c r="H4133" s="760"/>
      <c r="I4133" s="760"/>
      <c r="J4133" s="760"/>
      <c r="K4133" s="760"/>
    </row>
    <row r="4134" spans="1:11">
      <c r="A4134" s="760"/>
      <c r="B4134" s="760"/>
      <c r="C4134" s="760"/>
      <c r="D4134" s="760"/>
      <c r="E4134" s="760"/>
      <c r="F4134" s="760"/>
      <c r="G4134" s="760"/>
      <c r="H4134" s="760"/>
      <c r="I4134" s="760"/>
      <c r="J4134" s="760"/>
      <c r="K4134" s="760"/>
    </row>
    <row r="4135" spans="1:11">
      <c r="A4135" s="760"/>
      <c r="B4135" s="760"/>
      <c r="C4135" s="760"/>
      <c r="D4135" s="760"/>
      <c r="E4135" s="760"/>
      <c r="F4135" s="760"/>
      <c r="G4135" s="760"/>
      <c r="H4135" s="760"/>
      <c r="I4135" s="760"/>
      <c r="J4135" s="760"/>
      <c r="K4135" s="760"/>
    </row>
    <row r="4136" spans="1:11">
      <c r="A4136" s="760"/>
      <c r="B4136" s="760"/>
      <c r="C4136" s="760"/>
      <c r="D4136" s="760"/>
      <c r="E4136" s="760"/>
      <c r="F4136" s="760"/>
      <c r="G4136" s="760"/>
      <c r="H4136" s="760"/>
      <c r="I4136" s="760"/>
      <c r="J4136" s="760"/>
      <c r="K4136" s="760"/>
    </row>
    <row r="4137" spans="1:11">
      <c r="A4137" s="760"/>
      <c r="B4137" s="760"/>
      <c r="C4137" s="760"/>
      <c r="D4137" s="760"/>
      <c r="E4137" s="760"/>
      <c r="F4137" s="760"/>
      <c r="G4137" s="760"/>
      <c r="H4137" s="760"/>
      <c r="I4137" s="760"/>
      <c r="J4137" s="760"/>
      <c r="K4137" s="760"/>
    </row>
    <row r="4138" spans="1:11">
      <c r="A4138" s="760"/>
      <c r="B4138" s="760"/>
      <c r="C4138" s="760"/>
      <c r="D4138" s="760"/>
      <c r="E4138" s="760"/>
      <c r="F4138" s="760"/>
      <c r="G4138" s="760"/>
      <c r="H4138" s="760"/>
      <c r="I4138" s="760"/>
      <c r="J4138" s="760"/>
      <c r="K4138" s="760"/>
    </row>
    <row r="4139" spans="1:11">
      <c r="A4139" s="760"/>
      <c r="B4139" s="760"/>
      <c r="C4139" s="760"/>
      <c r="D4139" s="760"/>
      <c r="E4139" s="760"/>
      <c r="F4139" s="760"/>
      <c r="G4139" s="760"/>
      <c r="H4139" s="760"/>
      <c r="I4139" s="760"/>
      <c r="J4139" s="760"/>
      <c r="K4139" s="760"/>
    </row>
    <row r="4140" spans="1:11">
      <c r="A4140" s="760"/>
      <c r="B4140" s="760"/>
      <c r="C4140" s="760"/>
      <c r="D4140" s="760"/>
      <c r="E4140" s="760"/>
      <c r="F4140" s="760"/>
      <c r="G4140" s="760"/>
      <c r="H4140" s="760"/>
      <c r="I4140" s="760"/>
      <c r="J4140" s="760"/>
      <c r="K4140" s="760"/>
    </row>
    <row r="4141" spans="1:11">
      <c r="A4141" s="760"/>
      <c r="B4141" s="760"/>
      <c r="C4141" s="760"/>
      <c r="D4141" s="760"/>
      <c r="E4141" s="760"/>
      <c r="F4141" s="760"/>
      <c r="G4141" s="760"/>
      <c r="H4141" s="760"/>
      <c r="I4141" s="760"/>
      <c r="J4141" s="760"/>
      <c r="K4141" s="760"/>
    </row>
    <row r="4142" spans="1:11">
      <c r="A4142" s="760"/>
      <c r="B4142" s="760"/>
      <c r="C4142" s="760"/>
      <c r="D4142" s="760"/>
      <c r="E4142" s="760"/>
      <c r="F4142" s="760"/>
      <c r="G4142" s="760"/>
      <c r="H4142" s="760"/>
      <c r="I4142" s="760"/>
      <c r="J4142" s="760"/>
      <c r="K4142" s="760"/>
    </row>
    <row r="4143" spans="1:11">
      <c r="A4143" s="760"/>
      <c r="B4143" s="760"/>
      <c r="C4143" s="760"/>
      <c r="D4143" s="760"/>
      <c r="E4143" s="760"/>
      <c r="F4143" s="760"/>
      <c r="G4143" s="760"/>
      <c r="H4143" s="760"/>
      <c r="I4143" s="760"/>
      <c r="J4143" s="760"/>
      <c r="K4143" s="760"/>
    </row>
    <row r="4144" spans="1:11">
      <c r="A4144" s="760"/>
      <c r="B4144" s="760"/>
      <c r="C4144" s="760"/>
      <c r="D4144" s="760"/>
      <c r="E4144" s="760"/>
      <c r="F4144" s="760"/>
      <c r="G4144" s="760"/>
      <c r="H4144" s="760"/>
      <c r="I4144" s="760"/>
      <c r="J4144" s="760"/>
      <c r="K4144" s="760"/>
    </row>
    <row r="4145" spans="1:11">
      <c r="A4145" s="760"/>
      <c r="B4145" s="760"/>
      <c r="C4145" s="760"/>
      <c r="D4145" s="760"/>
      <c r="E4145" s="760"/>
      <c r="F4145" s="760"/>
      <c r="G4145" s="760"/>
      <c r="H4145" s="760"/>
      <c r="I4145" s="760"/>
      <c r="J4145" s="760"/>
      <c r="K4145" s="760"/>
    </row>
    <row r="4146" spans="1:11">
      <c r="A4146" s="760"/>
      <c r="B4146" s="760"/>
      <c r="C4146" s="760"/>
      <c r="D4146" s="760"/>
      <c r="E4146" s="760"/>
      <c r="F4146" s="760"/>
      <c r="G4146" s="760"/>
      <c r="H4146" s="760"/>
      <c r="I4146" s="760"/>
      <c r="J4146" s="760"/>
      <c r="K4146" s="760"/>
    </row>
    <row r="4147" spans="1:11">
      <c r="A4147" s="760"/>
      <c r="B4147" s="760"/>
      <c r="C4147" s="760"/>
      <c r="D4147" s="760"/>
      <c r="E4147" s="760"/>
      <c r="F4147" s="760"/>
      <c r="G4147" s="760"/>
      <c r="H4147" s="760"/>
      <c r="I4147" s="760"/>
      <c r="J4147" s="760"/>
      <c r="K4147" s="760"/>
    </row>
    <row r="4148" spans="1:11">
      <c r="A4148" s="760"/>
      <c r="B4148" s="760"/>
      <c r="C4148" s="760"/>
      <c r="D4148" s="760"/>
      <c r="E4148" s="760"/>
      <c r="F4148" s="760"/>
      <c r="G4148" s="760"/>
      <c r="H4148" s="760"/>
      <c r="I4148" s="760"/>
      <c r="J4148" s="760"/>
      <c r="K4148" s="760"/>
    </row>
    <row r="4149" spans="1:11">
      <c r="A4149" s="760"/>
      <c r="B4149" s="760"/>
      <c r="C4149" s="760"/>
      <c r="D4149" s="760"/>
      <c r="E4149" s="760"/>
      <c r="F4149" s="760"/>
      <c r="G4149" s="760"/>
      <c r="H4149" s="760"/>
      <c r="I4149" s="760"/>
      <c r="J4149" s="760"/>
      <c r="K4149" s="760"/>
    </row>
    <row r="4150" spans="1:11">
      <c r="A4150" s="760"/>
      <c r="B4150" s="760"/>
      <c r="C4150" s="760"/>
      <c r="D4150" s="760"/>
      <c r="E4150" s="760"/>
      <c r="F4150" s="760"/>
      <c r="G4150" s="760"/>
      <c r="H4150" s="760"/>
      <c r="I4150" s="760"/>
      <c r="J4150" s="760"/>
      <c r="K4150" s="760"/>
    </row>
    <row r="4151" spans="1:11">
      <c r="A4151" s="760"/>
      <c r="B4151" s="760"/>
      <c r="C4151" s="760"/>
      <c r="D4151" s="760"/>
      <c r="E4151" s="760"/>
      <c r="F4151" s="760"/>
      <c r="G4151" s="760"/>
      <c r="H4151" s="760"/>
      <c r="I4151" s="760"/>
      <c r="J4151" s="760"/>
      <c r="K4151" s="760"/>
    </row>
    <row r="4152" spans="1:11">
      <c r="A4152" s="760"/>
      <c r="B4152" s="760"/>
      <c r="C4152" s="760"/>
      <c r="D4152" s="760"/>
      <c r="E4152" s="760"/>
      <c r="F4152" s="760"/>
      <c r="G4152" s="760"/>
      <c r="H4152" s="760"/>
      <c r="I4152" s="760"/>
      <c r="J4152" s="760"/>
      <c r="K4152" s="760"/>
    </row>
    <row r="4153" spans="1:11">
      <c r="A4153" s="760"/>
      <c r="B4153" s="760"/>
      <c r="C4153" s="760"/>
      <c r="D4153" s="760"/>
      <c r="E4153" s="760"/>
      <c r="F4153" s="760"/>
      <c r="G4153" s="760"/>
      <c r="H4153" s="760"/>
      <c r="I4153" s="760"/>
      <c r="J4153" s="760"/>
      <c r="K4153" s="760"/>
    </row>
    <row r="4154" spans="1:11">
      <c r="A4154" s="760"/>
      <c r="B4154" s="760"/>
      <c r="C4154" s="760"/>
      <c r="D4154" s="760"/>
      <c r="E4154" s="760"/>
      <c r="F4154" s="760"/>
      <c r="G4154" s="760"/>
      <c r="H4154" s="760"/>
      <c r="I4154" s="760"/>
      <c r="J4154" s="760"/>
      <c r="K4154" s="760"/>
    </row>
    <row r="4155" spans="1:11">
      <c r="A4155" s="760"/>
      <c r="B4155" s="760"/>
      <c r="C4155" s="760"/>
      <c r="D4155" s="760"/>
      <c r="E4155" s="760"/>
      <c r="F4155" s="760"/>
      <c r="G4155" s="760"/>
      <c r="H4155" s="760"/>
      <c r="I4155" s="760"/>
      <c r="J4155" s="760"/>
      <c r="K4155" s="760"/>
    </row>
    <row r="4156" spans="1:11">
      <c r="A4156" s="760"/>
      <c r="B4156" s="760"/>
      <c r="C4156" s="760"/>
      <c r="D4156" s="760"/>
      <c r="E4156" s="760"/>
      <c r="F4156" s="760"/>
      <c r="G4156" s="760"/>
      <c r="H4156" s="760"/>
      <c r="I4156" s="760"/>
      <c r="J4156" s="760"/>
      <c r="K4156" s="760"/>
    </row>
    <row r="4157" spans="1:11">
      <c r="A4157" s="760"/>
      <c r="B4157" s="760"/>
      <c r="C4157" s="760"/>
      <c r="D4157" s="760"/>
      <c r="E4157" s="760"/>
      <c r="F4157" s="760"/>
      <c r="G4157" s="760"/>
      <c r="H4157" s="760"/>
      <c r="I4157" s="760"/>
      <c r="J4157" s="760"/>
      <c r="K4157" s="760"/>
    </row>
    <row r="4158" spans="1:11">
      <c r="A4158" s="760"/>
      <c r="B4158" s="760"/>
      <c r="C4158" s="760"/>
      <c r="D4158" s="760"/>
      <c r="E4158" s="760"/>
      <c r="F4158" s="760"/>
      <c r="G4158" s="760"/>
      <c r="H4158" s="760"/>
      <c r="I4158" s="760"/>
      <c r="J4158" s="760"/>
      <c r="K4158" s="760"/>
    </row>
    <row r="4159" spans="1:11">
      <c r="A4159" s="760"/>
      <c r="B4159" s="760"/>
      <c r="C4159" s="760"/>
      <c r="D4159" s="760"/>
      <c r="E4159" s="760"/>
      <c r="F4159" s="760"/>
      <c r="G4159" s="760"/>
      <c r="H4159" s="760"/>
      <c r="I4159" s="760"/>
      <c r="J4159" s="760"/>
      <c r="K4159" s="760"/>
    </row>
    <row r="4160" spans="1:11">
      <c r="A4160" s="760"/>
      <c r="B4160" s="760"/>
      <c r="C4160" s="760"/>
      <c r="D4160" s="760"/>
      <c r="E4160" s="760"/>
      <c r="F4160" s="760"/>
      <c r="G4160" s="760"/>
      <c r="H4160" s="760"/>
      <c r="I4160" s="760"/>
      <c r="J4160" s="760"/>
      <c r="K4160" s="760"/>
    </row>
    <row r="4161" spans="1:11">
      <c r="A4161" s="760"/>
      <c r="B4161" s="760"/>
      <c r="C4161" s="760"/>
      <c r="D4161" s="760"/>
      <c r="E4161" s="760"/>
      <c r="F4161" s="760"/>
      <c r="G4161" s="760"/>
      <c r="H4161" s="760"/>
      <c r="I4161" s="760"/>
      <c r="J4161" s="760"/>
      <c r="K4161" s="760"/>
    </row>
    <row r="4162" spans="1:11">
      <c r="A4162" s="760"/>
      <c r="B4162" s="760"/>
      <c r="C4162" s="760"/>
      <c r="D4162" s="760"/>
      <c r="E4162" s="760"/>
      <c r="F4162" s="760"/>
      <c r="G4162" s="760"/>
      <c r="H4162" s="760"/>
      <c r="I4162" s="760"/>
      <c r="J4162" s="760"/>
      <c r="K4162" s="760"/>
    </row>
    <row r="4163" spans="1:11">
      <c r="A4163" s="760"/>
      <c r="B4163" s="760"/>
      <c r="C4163" s="760"/>
      <c r="D4163" s="760"/>
      <c r="E4163" s="760"/>
      <c r="F4163" s="760"/>
      <c r="G4163" s="760"/>
      <c r="H4163" s="760"/>
      <c r="I4163" s="760"/>
      <c r="J4163" s="760"/>
      <c r="K4163" s="760"/>
    </row>
    <row r="4164" spans="1:11">
      <c r="A4164" s="760"/>
      <c r="B4164" s="760"/>
      <c r="C4164" s="760"/>
      <c r="D4164" s="760"/>
      <c r="E4164" s="760"/>
      <c r="F4164" s="760"/>
      <c r="G4164" s="760"/>
      <c r="H4164" s="760"/>
      <c r="I4164" s="760"/>
      <c r="J4164" s="760"/>
      <c r="K4164" s="760"/>
    </row>
    <row r="4165" spans="1:11">
      <c r="A4165" s="760"/>
      <c r="B4165" s="760"/>
      <c r="C4165" s="760"/>
      <c r="D4165" s="760"/>
      <c r="E4165" s="760"/>
      <c r="F4165" s="760"/>
      <c r="G4165" s="760"/>
      <c r="H4165" s="760"/>
      <c r="I4165" s="760"/>
      <c r="J4165" s="760"/>
      <c r="K4165" s="760"/>
    </row>
    <row r="4166" spans="1:11">
      <c r="A4166" s="760"/>
      <c r="B4166" s="760"/>
      <c r="C4166" s="760"/>
      <c r="D4166" s="760"/>
      <c r="E4166" s="760"/>
      <c r="F4166" s="760"/>
      <c r="G4166" s="760"/>
      <c r="H4166" s="760"/>
      <c r="I4166" s="760"/>
      <c r="J4166" s="760"/>
      <c r="K4166" s="760"/>
    </row>
    <row r="4167" spans="1:11">
      <c r="A4167" s="760"/>
      <c r="B4167" s="760"/>
      <c r="C4167" s="760"/>
      <c r="D4167" s="760"/>
      <c r="E4167" s="760"/>
      <c r="F4167" s="760"/>
      <c r="G4167" s="760"/>
      <c r="H4167" s="760"/>
      <c r="I4167" s="760"/>
      <c r="J4167" s="760"/>
      <c r="K4167" s="760"/>
    </row>
    <row r="4168" spans="1:11">
      <c r="A4168" s="760"/>
      <c r="B4168" s="760"/>
      <c r="C4168" s="760"/>
      <c r="D4168" s="760"/>
      <c r="E4168" s="760"/>
      <c r="F4168" s="760"/>
      <c r="G4168" s="760"/>
      <c r="H4168" s="760"/>
      <c r="I4168" s="760"/>
      <c r="J4168" s="760"/>
      <c r="K4168" s="760"/>
    </row>
    <row r="4169" spans="1:11">
      <c r="A4169" s="760"/>
      <c r="B4169" s="760"/>
      <c r="C4169" s="760"/>
      <c r="D4169" s="760"/>
      <c r="E4169" s="760"/>
      <c r="F4169" s="760"/>
      <c r="G4169" s="760"/>
      <c r="H4169" s="760"/>
      <c r="I4169" s="760"/>
      <c r="J4169" s="760"/>
      <c r="K4169" s="760"/>
    </row>
    <row r="4170" spans="1:11">
      <c r="A4170" s="760"/>
      <c r="B4170" s="760"/>
      <c r="C4170" s="760"/>
      <c r="D4170" s="760"/>
      <c r="E4170" s="760"/>
      <c r="F4170" s="760"/>
      <c r="G4170" s="760"/>
      <c r="H4170" s="760"/>
      <c r="I4170" s="760"/>
      <c r="J4170" s="760"/>
      <c r="K4170" s="760"/>
    </row>
    <row r="4171" spans="1:11">
      <c r="A4171" s="760"/>
      <c r="B4171" s="760"/>
      <c r="C4171" s="760"/>
      <c r="D4171" s="760"/>
      <c r="E4171" s="760"/>
      <c r="F4171" s="760"/>
      <c r="G4171" s="760"/>
      <c r="H4171" s="760"/>
      <c r="I4171" s="760"/>
      <c r="J4171" s="760"/>
      <c r="K4171" s="760"/>
    </row>
    <row r="4172" spans="1:11">
      <c r="A4172" s="760"/>
      <c r="B4172" s="760"/>
      <c r="C4172" s="760"/>
      <c r="D4172" s="760"/>
      <c r="E4172" s="760"/>
      <c r="F4172" s="760"/>
      <c r="G4172" s="760"/>
      <c r="H4172" s="760"/>
      <c r="I4172" s="760"/>
      <c r="J4172" s="760"/>
      <c r="K4172" s="760"/>
    </row>
    <row r="4173" spans="1:11">
      <c r="A4173" s="760"/>
      <c r="B4173" s="760"/>
      <c r="C4173" s="760"/>
      <c r="D4173" s="760"/>
      <c r="E4173" s="760"/>
      <c r="F4173" s="760"/>
      <c r="G4173" s="760"/>
      <c r="H4173" s="760"/>
      <c r="I4173" s="760"/>
      <c r="J4173" s="760"/>
      <c r="K4173" s="760"/>
    </row>
    <row r="4174" spans="1:11">
      <c r="A4174" s="760"/>
      <c r="B4174" s="760"/>
      <c r="C4174" s="760"/>
      <c r="D4174" s="760"/>
      <c r="E4174" s="760"/>
      <c r="F4174" s="760"/>
      <c r="G4174" s="760"/>
      <c r="H4174" s="760"/>
      <c r="I4174" s="760"/>
      <c r="J4174" s="760"/>
      <c r="K4174" s="760"/>
    </row>
    <row r="4175" spans="1:11">
      <c r="A4175" s="760"/>
      <c r="B4175" s="760"/>
      <c r="C4175" s="760"/>
      <c r="D4175" s="760"/>
      <c r="E4175" s="760"/>
      <c r="F4175" s="760"/>
      <c r="G4175" s="760"/>
      <c r="H4175" s="760"/>
      <c r="I4175" s="760"/>
      <c r="J4175" s="760"/>
      <c r="K4175" s="760"/>
    </row>
    <row r="4176" spans="1:11">
      <c r="A4176" s="760"/>
      <c r="B4176" s="760"/>
      <c r="C4176" s="760"/>
      <c r="D4176" s="760"/>
      <c r="E4176" s="760"/>
      <c r="F4176" s="760"/>
      <c r="G4176" s="760"/>
      <c r="H4176" s="760"/>
      <c r="I4176" s="760"/>
      <c r="J4176" s="760"/>
      <c r="K4176" s="760"/>
    </row>
    <row r="4177" spans="1:11">
      <c r="A4177" s="760"/>
      <c r="B4177" s="760"/>
      <c r="C4177" s="760"/>
      <c r="D4177" s="760"/>
      <c r="E4177" s="760"/>
      <c r="F4177" s="760"/>
      <c r="G4177" s="760"/>
      <c r="H4177" s="760"/>
      <c r="I4177" s="760"/>
      <c r="J4177" s="760"/>
      <c r="K4177" s="760"/>
    </row>
    <row r="4178" spans="1:11">
      <c r="A4178" s="760"/>
      <c r="B4178" s="760"/>
      <c r="C4178" s="760"/>
      <c r="D4178" s="760"/>
      <c r="E4178" s="760"/>
      <c r="F4178" s="760"/>
      <c r="G4178" s="760"/>
      <c r="H4178" s="760"/>
      <c r="I4178" s="760"/>
      <c r="J4178" s="760"/>
      <c r="K4178" s="760"/>
    </row>
    <row r="4179" spans="1:11">
      <c r="A4179" s="760"/>
      <c r="B4179" s="760"/>
      <c r="C4179" s="760"/>
      <c r="D4179" s="760"/>
      <c r="E4179" s="760"/>
      <c r="F4179" s="760"/>
      <c r="G4179" s="760"/>
      <c r="H4179" s="760"/>
      <c r="I4179" s="760"/>
      <c r="J4179" s="760"/>
      <c r="K4179" s="760"/>
    </row>
    <row r="4180" spans="1:11">
      <c r="A4180" s="760"/>
      <c r="B4180" s="760"/>
      <c r="C4180" s="760"/>
      <c r="D4180" s="760"/>
      <c r="E4180" s="760"/>
      <c r="F4180" s="760"/>
      <c r="G4180" s="760"/>
      <c r="H4180" s="760"/>
      <c r="I4180" s="760"/>
      <c r="J4180" s="760"/>
      <c r="K4180" s="760"/>
    </row>
    <row r="4181" spans="1:11">
      <c r="A4181" s="760"/>
      <c r="B4181" s="760"/>
      <c r="C4181" s="760"/>
      <c r="D4181" s="760"/>
      <c r="E4181" s="760"/>
      <c r="F4181" s="760"/>
      <c r="G4181" s="760"/>
      <c r="H4181" s="760"/>
      <c r="I4181" s="760"/>
      <c r="J4181" s="760"/>
      <c r="K4181" s="760"/>
    </row>
    <row r="4182" spans="1:11">
      <c r="A4182" s="760"/>
      <c r="B4182" s="760"/>
      <c r="C4182" s="760"/>
      <c r="D4182" s="760"/>
      <c r="E4182" s="760"/>
      <c r="F4182" s="760"/>
      <c r="G4182" s="760"/>
      <c r="H4182" s="760"/>
      <c r="I4182" s="760"/>
      <c r="J4182" s="760"/>
      <c r="K4182" s="760"/>
    </row>
    <row r="4183" spans="1:11">
      <c r="A4183" s="760"/>
      <c r="B4183" s="760"/>
      <c r="C4183" s="760"/>
      <c r="D4183" s="760"/>
      <c r="E4183" s="760"/>
      <c r="F4183" s="760"/>
      <c r="G4183" s="760"/>
      <c r="H4183" s="760"/>
      <c r="I4183" s="760"/>
      <c r="J4183" s="760"/>
      <c r="K4183" s="760"/>
    </row>
    <row r="4184" spans="1:11">
      <c r="A4184" s="760"/>
      <c r="B4184" s="760"/>
      <c r="C4184" s="760"/>
      <c r="D4184" s="760"/>
      <c r="E4184" s="760"/>
      <c r="F4184" s="760"/>
      <c r="G4184" s="760"/>
      <c r="H4184" s="760"/>
      <c r="I4184" s="760"/>
      <c r="J4184" s="760"/>
      <c r="K4184" s="760"/>
    </row>
    <row r="4185" spans="1:11">
      <c r="A4185" s="760"/>
      <c r="B4185" s="760"/>
      <c r="C4185" s="760"/>
      <c r="D4185" s="760"/>
      <c r="E4185" s="760"/>
      <c r="F4185" s="760"/>
      <c r="G4185" s="760"/>
      <c r="H4185" s="760"/>
      <c r="I4185" s="760"/>
      <c r="J4185" s="760"/>
      <c r="K4185" s="760"/>
    </row>
    <row r="4186" spans="1:11">
      <c r="A4186" s="760"/>
      <c r="B4186" s="760"/>
      <c r="C4186" s="760"/>
      <c r="D4186" s="760"/>
      <c r="E4186" s="760"/>
      <c r="F4186" s="760"/>
      <c r="G4186" s="760"/>
      <c r="H4186" s="760"/>
      <c r="I4186" s="760"/>
      <c r="J4186" s="760"/>
      <c r="K4186" s="760"/>
    </row>
    <row r="4187" spans="1:11">
      <c r="A4187" s="760"/>
      <c r="B4187" s="760"/>
      <c r="C4187" s="760"/>
      <c r="D4187" s="760"/>
      <c r="E4187" s="760"/>
      <c r="F4187" s="760"/>
      <c r="G4187" s="760"/>
      <c r="H4187" s="760"/>
      <c r="I4187" s="760"/>
      <c r="J4187" s="760"/>
      <c r="K4187" s="760"/>
    </row>
    <row r="4188" spans="1:11">
      <c r="A4188" s="760"/>
      <c r="B4188" s="760"/>
      <c r="C4188" s="760"/>
      <c r="D4188" s="760"/>
      <c r="E4188" s="760"/>
      <c r="F4188" s="760"/>
      <c r="G4188" s="760"/>
      <c r="H4188" s="760"/>
      <c r="I4188" s="760"/>
      <c r="J4188" s="760"/>
      <c r="K4188" s="760"/>
    </row>
    <row r="4189" spans="1:11">
      <c r="A4189" s="760"/>
      <c r="B4189" s="760"/>
      <c r="C4189" s="760"/>
      <c r="D4189" s="760"/>
      <c r="E4189" s="760"/>
      <c r="F4189" s="760"/>
      <c r="G4189" s="760"/>
      <c r="H4189" s="760"/>
      <c r="I4189" s="760"/>
      <c r="J4189" s="760"/>
      <c r="K4189" s="760"/>
    </row>
    <row r="4190" spans="1:11">
      <c r="A4190" s="760"/>
      <c r="B4190" s="760"/>
      <c r="C4190" s="760"/>
      <c r="D4190" s="760"/>
      <c r="E4190" s="760"/>
      <c r="F4190" s="760"/>
      <c r="G4190" s="760"/>
      <c r="H4190" s="760"/>
      <c r="I4190" s="760"/>
      <c r="J4190" s="760"/>
      <c r="K4190" s="760"/>
    </row>
    <row r="4191" spans="1:11">
      <c r="A4191" s="760"/>
      <c r="B4191" s="760"/>
      <c r="C4191" s="760"/>
      <c r="D4191" s="760"/>
      <c r="E4191" s="760"/>
      <c r="F4191" s="760"/>
      <c r="G4191" s="760"/>
      <c r="H4191" s="760"/>
      <c r="I4191" s="760"/>
      <c r="J4191" s="760"/>
      <c r="K4191" s="760"/>
    </row>
    <row r="4192" spans="1:11">
      <c r="A4192" s="760"/>
      <c r="B4192" s="760"/>
      <c r="C4192" s="760"/>
      <c r="D4192" s="760"/>
      <c r="E4192" s="760"/>
      <c r="F4192" s="760"/>
      <c r="G4192" s="760"/>
      <c r="H4192" s="760"/>
      <c r="I4192" s="760"/>
      <c r="J4192" s="760"/>
      <c r="K4192" s="760"/>
    </row>
    <row r="4193" spans="1:11">
      <c r="A4193" s="760"/>
      <c r="B4193" s="760"/>
      <c r="C4193" s="760"/>
      <c r="D4193" s="760"/>
      <c r="E4193" s="760"/>
      <c r="F4193" s="760"/>
      <c r="G4193" s="760"/>
      <c r="H4193" s="760"/>
      <c r="I4193" s="760"/>
      <c r="J4193" s="760"/>
      <c r="K4193" s="760"/>
    </row>
    <row r="4194" spans="1:11">
      <c r="A4194" s="760"/>
      <c r="B4194" s="760"/>
      <c r="C4194" s="760"/>
      <c r="D4194" s="760"/>
      <c r="E4194" s="760"/>
      <c r="F4194" s="760"/>
      <c r="G4194" s="760"/>
      <c r="H4194" s="760"/>
      <c r="I4194" s="760"/>
      <c r="J4194" s="760"/>
      <c r="K4194" s="760"/>
    </row>
    <row r="4195" spans="1:11">
      <c r="A4195" s="760"/>
      <c r="B4195" s="760"/>
      <c r="C4195" s="760"/>
      <c r="D4195" s="760"/>
      <c r="E4195" s="760"/>
      <c r="F4195" s="760"/>
      <c r="G4195" s="760"/>
      <c r="H4195" s="760"/>
      <c r="I4195" s="760"/>
      <c r="J4195" s="760"/>
      <c r="K4195" s="760"/>
    </row>
    <row r="4196" spans="1:11">
      <c r="A4196" s="760"/>
      <c r="B4196" s="760"/>
      <c r="C4196" s="760"/>
      <c r="D4196" s="760"/>
      <c r="E4196" s="760"/>
      <c r="F4196" s="760"/>
      <c r="G4196" s="760"/>
      <c r="H4196" s="760"/>
      <c r="I4196" s="760"/>
      <c r="J4196" s="760"/>
      <c r="K4196" s="760"/>
    </row>
    <row r="4197" spans="1:11">
      <c r="A4197" s="760"/>
      <c r="B4197" s="760"/>
      <c r="C4197" s="760"/>
      <c r="D4197" s="760"/>
      <c r="E4197" s="760"/>
      <c r="F4197" s="760"/>
      <c r="G4197" s="760"/>
      <c r="H4197" s="760"/>
      <c r="I4197" s="760"/>
      <c r="J4197" s="760"/>
      <c r="K4197" s="760"/>
    </row>
    <row r="4198" spans="1:11">
      <c r="A4198" s="760"/>
      <c r="B4198" s="760"/>
      <c r="C4198" s="760"/>
      <c r="D4198" s="760"/>
      <c r="E4198" s="760"/>
      <c r="F4198" s="760"/>
      <c r="G4198" s="760"/>
      <c r="H4198" s="760"/>
      <c r="I4198" s="760"/>
      <c r="J4198" s="760"/>
      <c r="K4198" s="760"/>
    </row>
    <row r="4199" spans="1:11">
      <c r="A4199" s="760"/>
      <c r="B4199" s="760"/>
      <c r="C4199" s="760"/>
      <c r="D4199" s="760"/>
      <c r="E4199" s="760"/>
      <c r="F4199" s="760"/>
      <c r="G4199" s="760"/>
      <c r="H4199" s="760"/>
      <c r="I4199" s="760"/>
      <c r="J4199" s="760"/>
      <c r="K4199" s="760"/>
    </row>
    <row r="4200" spans="1:11">
      <c r="A4200" s="760"/>
      <c r="B4200" s="760"/>
      <c r="C4200" s="760"/>
      <c r="D4200" s="760"/>
      <c r="E4200" s="760"/>
      <c r="F4200" s="760"/>
      <c r="G4200" s="760"/>
      <c r="H4200" s="760"/>
      <c r="I4200" s="760"/>
      <c r="J4200" s="760"/>
      <c r="K4200" s="760"/>
    </row>
    <row r="4201" spans="1:11">
      <c r="A4201" s="760"/>
      <c r="B4201" s="760"/>
      <c r="C4201" s="760"/>
      <c r="D4201" s="760"/>
      <c r="E4201" s="760"/>
      <c r="F4201" s="760"/>
      <c r="G4201" s="760"/>
      <c r="H4201" s="760"/>
      <c r="I4201" s="760"/>
      <c r="J4201" s="760"/>
      <c r="K4201" s="760"/>
    </row>
    <row r="4202" spans="1:11">
      <c r="A4202" s="760"/>
      <c r="B4202" s="760"/>
      <c r="C4202" s="760"/>
      <c r="D4202" s="760"/>
      <c r="E4202" s="760"/>
      <c r="F4202" s="760"/>
      <c r="G4202" s="760"/>
      <c r="H4202" s="760"/>
      <c r="I4202" s="760"/>
      <c r="J4202" s="760"/>
      <c r="K4202" s="760"/>
    </row>
    <row r="4203" spans="1:11">
      <c r="A4203" s="760"/>
      <c r="B4203" s="760"/>
      <c r="C4203" s="760"/>
      <c r="D4203" s="760"/>
      <c r="E4203" s="760"/>
      <c r="F4203" s="760"/>
      <c r="G4203" s="760"/>
      <c r="H4203" s="760"/>
      <c r="I4203" s="760"/>
      <c r="J4203" s="760"/>
      <c r="K4203" s="760"/>
    </row>
    <row r="4204" spans="1:11">
      <c r="A4204" s="760"/>
      <c r="B4204" s="760"/>
      <c r="C4204" s="760"/>
      <c r="D4204" s="760"/>
      <c r="E4204" s="760"/>
      <c r="F4204" s="760"/>
      <c r="G4204" s="760"/>
      <c r="H4204" s="760"/>
      <c r="I4204" s="760"/>
      <c r="J4204" s="760"/>
      <c r="K4204" s="760"/>
    </row>
    <row r="4205" spans="1:11">
      <c r="A4205" s="760"/>
      <c r="B4205" s="760"/>
      <c r="C4205" s="760"/>
      <c r="D4205" s="760"/>
      <c r="E4205" s="760"/>
      <c r="F4205" s="760"/>
      <c r="G4205" s="760"/>
      <c r="H4205" s="760"/>
      <c r="I4205" s="760"/>
      <c r="J4205" s="760"/>
      <c r="K4205" s="760"/>
    </row>
    <row r="4206" spans="1:11">
      <c r="A4206" s="760"/>
      <c r="B4206" s="760"/>
      <c r="C4206" s="760"/>
      <c r="D4206" s="760"/>
      <c r="E4206" s="760"/>
      <c r="F4206" s="760"/>
      <c r="G4206" s="760"/>
      <c r="H4206" s="760"/>
      <c r="I4206" s="760"/>
      <c r="J4206" s="760"/>
      <c r="K4206" s="760"/>
    </row>
    <row r="4207" spans="1:11">
      <c r="A4207" s="760"/>
      <c r="B4207" s="760"/>
      <c r="C4207" s="760"/>
      <c r="D4207" s="760"/>
      <c r="E4207" s="760"/>
      <c r="F4207" s="760"/>
      <c r="G4207" s="760"/>
      <c r="H4207" s="760"/>
      <c r="I4207" s="760"/>
      <c r="J4207" s="760"/>
      <c r="K4207" s="760"/>
    </row>
    <row r="4208" spans="1:11">
      <c r="A4208" s="760"/>
      <c r="B4208" s="760"/>
      <c r="C4208" s="760"/>
      <c r="D4208" s="760"/>
      <c r="E4208" s="760"/>
      <c r="F4208" s="760"/>
      <c r="G4208" s="760"/>
      <c r="H4208" s="760"/>
      <c r="I4208" s="760"/>
      <c r="J4208" s="760"/>
      <c r="K4208" s="760"/>
    </row>
    <row r="4209" spans="1:11">
      <c r="A4209" s="760"/>
      <c r="B4209" s="760"/>
      <c r="C4209" s="760"/>
      <c r="D4209" s="760"/>
      <c r="E4209" s="760"/>
      <c r="F4209" s="760"/>
      <c r="G4209" s="760"/>
      <c r="H4209" s="760"/>
      <c r="I4209" s="760"/>
      <c r="J4209" s="760"/>
      <c r="K4209" s="760"/>
    </row>
    <row r="4210" spans="1:11">
      <c r="A4210" s="760"/>
      <c r="B4210" s="760"/>
      <c r="C4210" s="760"/>
      <c r="D4210" s="760"/>
      <c r="E4210" s="760"/>
      <c r="F4210" s="760"/>
      <c r="G4210" s="760"/>
      <c r="H4210" s="760"/>
      <c r="I4210" s="760"/>
      <c r="J4210" s="760"/>
      <c r="K4210" s="760"/>
    </row>
    <row r="4211" spans="1:11">
      <c r="A4211" s="760"/>
      <c r="B4211" s="760"/>
      <c r="C4211" s="760"/>
      <c r="D4211" s="760"/>
      <c r="E4211" s="760"/>
      <c r="F4211" s="760"/>
      <c r="G4211" s="760"/>
      <c r="H4211" s="760"/>
      <c r="I4211" s="760"/>
      <c r="J4211" s="760"/>
      <c r="K4211" s="760"/>
    </row>
    <row r="4212" spans="1:11">
      <c r="A4212" s="760"/>
      <c r="B4212" s="760"/>
      <c r="C4212" s="760"/>
      <c r="D4212" s="760"/>
      <c r="E4212" s="760"/>
      <c r="F4212" s="760"/>
      <c r="G4212" s="760"/>
      <c r="H4212" s="760"/>
      <c r="I4212" s="760"/>
      <c r="J4212" s="760"/>
      <c r="K4212" s="760"/>
    </row>
    <row r="4213" spans="1:11">
      <c r="A4213" s="760"/>
      <c r="B4213" s="760"/>
      <c r="C4213" s="760"/>
      <c r="D4213" s="760"/>
      <c r="E4213" s="760"/>
      <c r="F4213" s="760"/>
      <c r="G4213" s="760"/>
      <c r="H4213" s="760"/>
      <c r="I4213" s="760"/>
      <c r="J4213" s="760"/>
      <c r="K4213" s="760"/>
    </row>
    <row r="4214" spans="1:11">
      <c r="A4214" s="760"/>
      <c r="B4214" s="760"/>
      <c r="C4214" s="760"/>
      <c r="D4214" s="760"/>
      <c r="E4214" s="760"/>
      <c r="F4214" s="760"/>
      <c r="G4214" s="760"/>
      <c r="H4214" s="760"/>
      <c r="I4214" s="760"/>
      <c r="J4214" s="760"/>
      <c r="K4214" s="760"/>
    </row>
    <row r="4215" spans="1:11">
      <c r="A4215" s="760"/>
      <c r="B4215" s="760"/>
      <c r="C4215" s="760"/>
      <c r="D4215" s="760"/>
      <c r="E4215" s="760"/>
      <c r="F4215" s="760"/>
      <c r="G4215" s="760"/>
      <c r="H4215" s="760"/>
      <c r="I4215" s="760"/>
      <c r="J4215" s="760"/>
      <c r="K4215" s="760"/>
    </row>
    <row r="4216" spans="1:11">
      <c r="A4216" s="760"/>
      <c r="B4216" s="760"/>
      <c r="C4216" s="760"/>
      <c r="D4216" s="760"/>
      <c r="E4216" s="760"/>
      <c r="F4216" s="760"/>
      <c r="G4216" s="760"/>
      <c r="H4216" s="760"/>
      <c r="I4216" s="760"/>
      <c r="J4216" s="760"/>
      <c r="K4216" s="760"/>
    </row>
    <row r="4217" spans="1:11">
      <c r="A4217" s="760"/>
      <c r="B4217" s="760"/>
      <c r="C4217" s="760"/>
      <c r="D4217" s="760"/>
      <c r="E4217" s="760"/>
      <c r="F4217" s="760"/>
      <c r="G4217" s="760"/>
      <c r="H4217" s="760"/>
      <c r="I4217" s="760"/>
      <c r="J4217" s="760"/>
      <c r="K4217" s="760"/>
    </row>
    <row r="4218" spans="1:11">
      <c r="A4218" s="760"/>
      <c r="B4218" s="760"/>
      <c r="C4218" s="760"/>
      <c r="D4218" s="760"/>
      <c r="E4218" s="760"/>
      <c r="F4218" s="760"/>
      <c r="G4218" s="760"/>
      <c r="H4218" s="760"/>
      <c r="I4218" s="760"/>
      <c r="J4218" s="760"/>
      <c r="K4218" s="760"/>
    </row>
    <row r="4219" spans="1:11">
      <c r="A4219" s="760"/>
      <c r="B4219" s="760"/>
      <c r="C4219" s="760"/>
      <c r="D4219" s="760"/>
      <c r="E4219" s="760"/>
      <c r="F4219" s="760"/>
      <c r="G4219" s="760"/>
      <c r="H4219" s="760"/>
      <c r="I4219" s="760"/>
      <c r="J4219" s="760"/>
      <c r="K4219" s="760"/>
    </row>
    <row r="4220" spans="1:11">
      <c r="A4220" s="760"/>
      <c r="B4220" s="760"/>
      <c r="C4220" s="760"/>
      <c r="D4220" s="760"/>
      <c r="E4220" s="760"/>
      <c r="F4220" s="760"/>
      <c r="G4220" s="760"/>
      <c r="H4220" s="760"/>
      <c r="I4220" s="760"/>
      <c r="J4220" s="760"/>
      <c r="K4220" s="760"/>
    </row>
    <row r="4221" spans="1:11">
      <c r="A4221" s="760"/>
      <c r="B4221" s="760"/>
      <c r="C4221" s="760"/>
      <c r="D4221" s="760"/>
      <c r="E4221" s="760"/>
      <c r="F4221" s="760"/>
      <c r="G4221" s="760"/>
      <c r="H4221" s="760"/>
      <c r="I4221" s="760"/>
      <c r="J4221" s="760"/>
      <c r="K4221" s="760"/>
    </row>
    <row r="4222" spans="1:11">
      <c r="A4222" s="760"/>
      <c r="B4222" s="760"/>
      <c r="C4222" s="760"/>
      <c r="D4222" s="760"/>
      <c r="E4222" s="760"/>
      <c r="F4222" s="760"/>
      <c r="G4222" s="760"/>
      <c r="H4222" s="760"/>
      <c r="I4222" s="760"/>
      <c r="J4222" s="760"/>
      <c r="K4222" s="760"/>
    </row>
    <row r="4223" spans="1:11">
      <c r="A4223" s="760"/>
      <c r="B4223" s="760"/>
      <c r="C4223" s="760"/>
      <c r="D4223" s="760"/>
      <c r="E4223" s="760"/>
      <c r="F4223" s="760"/>
      <c r="G4223" s="760"/>
      <c r="H4223" s="760"/>
      <c r="I4223" s="760"/>
      <c r="J4223" s="760"/>
      <c r="K4223" s="760"/>
    </row>
    <row r="4224" spans="1:11">
      <c r="A4224" s="760"/>
      <c r="B4224" s="760"/>
      <c r="C4224" s="760"/>
      <c r="D4224" s="760"/>
      <c r="E4224" s="760"/>
      <c r="F4224" s="760"/>
      <c r="G4224" s="760"/>
      <c r="H4224" s="760"/>
      <c r="I4224" s="760"/>
      <c r="J4224" s="760"/>
      <c r="K4224" s="760"/>
    </row>
    <row r="4225" spans="1:11">
      <c r="A4225" s="760"/>
      <c r="B4225" s="760"/>
      <c r="C4225" s="760"/>
      <c r="D4225" s="760"/>
      <c r="E4225" s="760"/>
      <c r="F4225" s="760"/>
      <c r="G4225" s="760"/>
      <c r="H4225" s="760"/>
      <c r="I4225" s="760"/>
      <c r="J4225" s="760"/>
      <c r="K4225" s="760"/>
    </row>
    <row r="4226" spans="1:11">
      <c r="A4226" s="760"/>
      <c r="B4226" s="760"/>
      <c r="C4226" s="760"/>
      <c r="D4226" s="760"/>
      <c r="E4226" s="760"/>
      <c r="F4226" s="760"/>
      <c r="G4226" s="760"/>
      <c r="H4226" s="760"/>
      <c r="I4226" s="760"/>
      <c r="J4226" s="760"/>
      <c r="K4226" s="760"/>
    </row>
    <row r="4227" spans="1:11">
      <c r="A4227" s="760"/>
      <c r="B4227" s="760"/>
      <c r="C4227" s="760"/>
      <c r="D4227" s="760"/>
      <c r="E4227" s="760"/>
      <c r="F4227" s="760"/>
      <c r="G4227" s="760"/>
      <c r="H4227" s="760"/>
      <c r="I4227" s="760"/>
      <c r="J4227" s="760"/>
      <c r="K4227" s="760"/>
    </row>
    <row r="4228" spans="1:11">
      <c r="A4228" s="760"/>
      <c r="B4228" s="760"/>
      <c r="C4228" s="760"/>
      <c r="D4228" s="760"/>
      <c r="E4228" s="760"/>
      <c r="F4228" s="760"/>
      <c r="G4228" s="760"/>
      <c r="H4228" s="760"/>
      <c r="I4228" s="760"/>
      <c r="J4228" s="760"/>
      <c r="K4228" s="760"/>
    </row>
    <row r="4229" spans="1:11">
      <c r="A4229" s="760"/>
      <c r="B4229" s="760"/>
      <c r="C4229" s="760"/>
      <c r="D4229" s="760"/>
      <c r="E4229" s="760"/>
      <c r="F4229" s="760"/>
      <c r="G4229" s="760"/>
      <c r="H4229" s="760"/>
      <c r="I4229" s="760"/>
      <c r="J4229" s="760"/>
      <c r="K4229" s="760"/>
    </row>
    <row r="4230" spans="1:11">
      <c r="A4230" s="760"/>
      <c r="B4230" s="760"/>
      <c r="C4230" s="760"/>
      <c r="D4230" s="760"/>
      <c r="E4230" s="760"/>
      <c r="F4230" s="760"/>
      <c r="G4230" s="760"/>
      <c r="H4230" s="760"/>
      <c r="I4230" s="760"/>
      <c r="J4230" s="760"/>
      <c r="K4230" s="760"/>
    </row>
    <row r="4231" spans="1:11">
      <c r="A4231" s="760"/>
      <c r="B4231" s="760"/>
      <c r="C4231" s="760"/>
      <c r="D4231" s="760"/>
      <c r="E4231" s="760"/>
      <c r="F4231" s="760"/>
      <c r="G4231" s="760"/>
      <c r="H4231" s="760"/>
      <c r="I4231" s="760"/>
      <c r="J4231" s="760"/>
      <c r="K4231" s="760"/>
    </row>
    <row r="4232" spans="1:11">
      <c r="A4232" s="760"/>
      <c r="B4232" s="760"/>
      <c r="C4232" s="760"/>
      <c r="D4232" s="760"/>
      <c r="E4232" s="760"/>
      <c r="F4232" s="760"/>
      <c r="G4232" s="760"/>
      <c r="H4232" s="760"/>
      <c r="I4232" s="760"/>
      <c r="J4232" s="760"/>
      <c r="K4232" s="760"/>
    </row>
    <row r="4233" spans="1:11">
      <c r="A4233" s="760"/>
      <c r="B4233" s="760"/>
      <c r="C4233" s="760"/>
      <c r="D4233" s="760"/>
      <c r="E4233" s="760"/>
      <c r="F4233" s="760"/>
      <c r="G4233" s="760"/>
      <c r="H4233" s="760"/>
      <c r="I4233" s="760"/>
      <c r="J4233" s="760"/>
      <c r="K4233" s="760"/>
    </row>
    <row r="4234" spans="1:11">
      <c r="A4234" s="760"/>
      <c r="B4234" s="760"/>
      <c r="C4234" s="760"/>
      <c r="D4234" s="760"/>
      <c r="E4234" s="760"/>
      <c r="F4234" s="760"/>
      <c r="G4234" s="760"/>
      <c r="H4234" s="760"/>
      <c r="I4234" s="760"/>
      <c r="J4234" s="760"/>
      <c r="K4234" s="760"/>
    </row>
    <row r="4235" spans="1:11">
      <c r="A4235" s="760"/>
      <c r="B4235" s="760"/>
      <c r="C4235" s="760"/>
      <c r="D4235" s="760"/>
      <c r="E4235" s="760"/>
      <c r="F4235" s="760"/>
      <c r="G4235" s="760"/>
      <c r="H4235" s="760"/>
      <c r="I4235" s="760"/>
      <c r="J4235" s="760"/>
      <c r="K4235" s="760"/>
    </row>
    <row r="4236" spans="1:11">
      <c r="A4236" s="760"/>
      <c r="B4236" s="760"/>
      <c r="C4236" s="760"/>
      <c r="D4236" s="760"/>
      <c r="E4236" s="760"/>
      <c r="F4236" s="760"/>
      <c r="G4236" s="760"/>
      <c r="H4236" s="760"/>
      <c r="I4236" s="760"/>
      <c r="J4236" s="760"/>
      <c r="K4236" s="760"/>
    </row>
    <row r="4237" spans="1:11">
      <c r="A4237" s="760"/>
      <c r="B4237" s="760"/>
      <c r="C4237" s="760"/>
      <c r="D4237" s="760"/>
      <c r="E4237" s="760"/>
      <c r="F4237" s="760"/>
      <c r="G4237" s="760"/>
      <c r="H4237" s="760"/>
      <c r="I4237" s="760"/>
      <c r="J4237" s="760"/>
      <c r="K4237" s="760"/>
    </row>
    <row r="4238" spans="1:11">
      <c r="A4238" s="760"/>
      <c r="B4238" s="760"/>
      <c r="C4238" s="760"/>
      <c r="D4238" s="760"/>
      <c r="E4238" s="760"/>
      <c r="F4238" s="760"/>
      <c r="G4238" s="760"/>
      <c r="H4238" s="760"/>
      <c r="I4238" s="760"/>
      <c r="J4238" s="760"/>
      <c r="K4238" s="760"/>
    </row>
    <row r="4239" spans="1:11">
      <c r="A4239" s="760"/>
      <c r="B4239" s="760"/>
      <c r="C4239" s="760"/>
      <c r="D4239" s="760"/>
      <c r="E4239" s="760"/>
      <c r="F4239" s="760"/>
      <c r="G4239" s="760"/>
      <c r="H4239" s="760"/>
      <c r="I4239" s="760"/>
      <c r="J4239" s="760"/>
      <c r="K4239" s="760"/>
    </row>
    <row r="4240" spans="1:11">
      <c r="A4240" s="760"/>
      <c r="B4240" s="760"/>
      <c r="C4240" s="760"/>
      <c r="D4240" s="760"/>
      <c r="E4240" s="760"/>
      <c r="F4240" s="760"/>
      <c r="G4240" s="760"/>
      <c r="H4240" s="760"/>
      <c r="I4240" s="760"/>
      <c r="J4240" s="760"/>
      <c r="K4240" s="760"/>
    </row>
    <row r="4241" spans="1:11">
      <c r="A4241" s="760"/>
      <c r="B4241" s="760"/>
      <c r="C4241" s="760"/>
      <c r="D4241" s="760"/>
      <c r="E4241" s="760"/>
      <c r="F4241" s="760"/>
      <c r="G4241" s="760"/>
      <c r="H4241" s="760"/>
      <c r="I4241" s="760"/>
      <c r="J4241" s="760"/>
      <c r="K4241" s="760"/>
    </row>
    <row r="4242" spans="1:11">
      <c r="A4242" s="760"/>
      <c r="B4242" s="760"/>
      <c r="C4242" s="760"/>
      <c r="D4242" s="760"/>
      <c r="E4242" s="760"/>
      <c r="F4242" s="760"/>
      <c r="G4242" s="760"/>
      <c r="H4242" s="760"/>
      <c r="I4242" s="760"/>
      <c r="J4242" s="760"/>
      <c r="K4242" s="760"/>
    </row>
    <row r="4243" spans="1:11">
      <c r="A4243" s="760"/>
      <c r="B4243" s="760"/>
      <c r="C4243" s="760"/>
      <c r="D4243" s="760"/>
      <c r="E4243" s="760"/>
      <c r="F4243" s="760"/>
      <c r="G4243" s="760"/>
      <c r="H4243" s="760"/>
      <c r="I4243" s="760"/>
      <c r="J4243" s="760"/>
      <c r="K4243" s="760"/>
    </row>
    <row r="4244" spans="1:11">
      <c r="A4244" s="760"/>
      <c r="B4244" s="760"/>
      <c r="C4244" s="760"/>
      <c r="D4244" s="760"/>
      <c r="E4244" s="760"/>
      <c r="F4244" s="760"/>
      <c r="G4244" s="760"/>
      <c r="H4244" s="760"/>
      <c r="I4244" s="760"/>
      <c r="J4244" s="760"/>
      <c r="K4244" s="760"/>
    </row>
    <row r="4245" spans="1:11">
      <c r="A4245" s="760"/>
      <c r="B4245" s="760"/>
      <c r="C4245" s="760"/>
      <c r="D4245" s="760"/>
      <c r="E4245" s="760"/>
      <c r="F4245" s="760"/>
      <c r="G4245" s="760"/>
      <c r="H4245" s="760"/>
      <c r="I4245" s="760"/>
      <c r="J4245" s="760"/>
      <c r="K4245" s="760"/>
    </row>
    <row r="4246" spans="1:11">
      <c r="A4246" s="760"/>
      <c r="B4246" s="760"/>
      <c r="C4246" s="760"/>
      <c r="D4246" s="760"/>
      <c r="E4246" s="760"/>
      <c r="F4246" s="760"/>
      <c r="G4246" s="760"/>
      <c r="H4246" s="760"/>
      <c r="I4246" s="760"/>
      <c r="J4246" s="760"/>
      <c r="K4246" s="760"/>
    </row>
    <row r="4247" spans="1:11">
      <c r="A4247" s="760"/>
      <c r="B4247" s="760"/>
      <c r="C4247" s="760"/>
      <c r="D4247" s="760"/>
      <c r="E4247" s="760"/>
      <c r="F4247" s="760"/>
      <c r="G4247" s="760"/>
      <c r="H4247" s="760"/>
      <c r="I4247" s="760"/>
      <c r="J4247" s="760"/>
      <c r="K4247" s="760"/>
    </row>
    <row r="4248" spans="1:11">
      <c r="A4248" s="760"/>
      <c r="B4248" s="760"/>
      <c r="C4248" s="760"/>
      <c r="D4248" s="760"/>
      <c r="E4248" s="760"/>
      <c r="F4248" s="760"/>
      <c r="G4248" s="760"/>
      <c r="H4248" s="760"/>
      <c r="I4248" s="760"/>
      <c r="J4248" s="760"/>
      <c r="K4248" s="760"/>
    </row>
    <row r="4249" spans="1:11">
      <c r="A4249" s="760"/>
      <c r="B4249" s="760"/>
      <c r="C4249" s="760"/>
      <c r="D4249" s="760"/>
      <c r="E4249" s="760"/>
      <c r="F4249" s="760"/>
      <c r="G4249" s="760"/>
      <c r="H4249" s="760"/>
      <c r="I4249" s="760"/>
      <c r="J4249" s="760"/>
      <c r="K4249" s="760"/>
    </row>
    <row r="4250" spans="1:11">
      <c r="A4250" s="760"/>
      <c r="B4250" s="760"/>
      <c r="C4250" s="760"/>
      <c r="D4250" s="760"/>
      <c r="E4250" s="760"/>
      <c r="F4250" s="760"/>
      <c r="G4250" s="760"/>
      <c r="H4250" s="760"/>
      <c r="I4250" s="760"/>
      <c r="J4250" s="760"/>
      <c r="K4250" s="760"/>
    </row>
    <row r="4251" spans="1:11">
      <c r="A4251" s="760"/>
      <c r="B4251" s="760"/>
      <c r="C4251" s="760"/>
      <c r="D4251" s="760"/>
      <c r="E4251" s="760"/>
      <c r="F4251" s="760"/>
      <c r="G4251" s="760"/>
      <c r="H4251" s="760"/>
      <c r="I4251" s="760"/>
      <c r="J4251" s="760"/>
      <c r="K4251" s="760"/>
    </row>
    <row r="4252" spans="1:11">
      <c r="A4252" s="760"/>
      <c r="B4252" s="760"/>
      <c r="C4252" s="760"/>
      <c r="D4252" s="760"/>
      <c r="E4252" s="760"/>
      <c r="F4252" s="760"/>
      <c r="G4252" s="760"/>
      <c r="H4252" s="760"/>
      <c r="I4252" s="760"/>
      <c r="J4252" s="760"/>
      <c r="K4252" s="760"/>
    </row>
    <row r="4253" spans="1:11">
      <c r="A4253" s="760"/>
      <c r="B4253" s="760"/>
      <c r="C4253" s="760"/>
      <c r="D4253" s="760"/>
      <c r="E4253" s="760"/>
      <c r="F4253" s="760"/>
      <c r="G4253" s="760"/>
      <c r="H4253" s="760"/>
      <c r="I4253" s="760"/>
      <c r="J4253" s="760"/>
      <c r="K4253" s="760"/>
    </row>
    <row r="4254" spans="1:11">
      <c r="A4254" s="760"/>
      <c r="B4254" s="760"/>
      <c r="C4254" s="760"/>
      <c r="D4254" s="760"/>
      <c r="E4254" s="760"/>
      <c r="F4254" s="760"/>
      <c r="G4254" s="760"/>
      <c r="H4254" s="760"/>
      <c r="I4254" s="760"/>
      <c r="J4254" s="760"/>
      <c r="K4254" s="760"/>
    </row>
    <row r="4255" spans="1:11">
      <c r="A4255" s="760"/>
      <c r="B4255" s="760"/>
      <c r="C4255" s="760"/>
      <c r="D4255" s="760"/>
      <c r="E4255" s="760"/>
      <c r="F4255" s="760"/>
      <c r="G4255" s="760"/>
      <c r="H4255" s="760"/>
      <c r="I4255" s="760"/>
      <c r="J4255" s="760"/>
      <c r="K4255" s="760"/>
    </row>
    <row r="4256" spans="1:11">
      <c r="A4256" s="760"/>
      <c r="B4256" s="760"/>
      <c r="C4256" s="760"/>
      <c r="D4256" s="760"/>
      <c r="E4256" s="760"/>
      <c r="F4256" s="760"/>
      <c r="G4256" s="760"/>
      <c r="H4256" s="760"/>
      <c r="I4256" s="760"/>
      <c r="J4256" s="760"/>
      <c r="K4256" s="760"/>
    </row>
    <row r="4257" spans="1:11">
      <c r="A4257" s="760"/>
      <c r="B4257" s="760"/>
      <c r="C4257" s="760"/>
      <c r="D4257" s="760"/>
      <c r="E4257" s="760"/>
      <c r="F4257" s="760"/>
      <c r="G4257" s="760"/>
      <c r="H4257" s="760"/>
      <c r="I4257" s="760"/>
      <c r="J4257" s="760"/>
      <c r="K4257" s="760"/>
    </row>
    <row r="4258" spans="1:11">
      <c r="A4258" s="760"/>
      <c r="B4258" s="760"/>
      <c r="C4258" s="760"/>
      <c r="D4258" s="760"/>
      <c r="E4258" s="760"/>
      <c r="F4258" s="760"/>
      <c r="G4258" s="760"/>
      <c r="H4258" s="760"/>
      <c r="I4258" s="760"/>
      <c r="J4258" s="760"/>
      <c r="K4258" s="760"/>
    </row>
    <row r="4259" spans="1:11">
      <c r="A4259" s="760"/>
      <c r="B4259" s="760"/>
      <c r="C4259" s="760"/>
      <c r="D4259" s="760"/>
      <c r="E4259" s="760"/>
      <c r="F4259" s="760"/>
      <c r="G4259" s="760"/>
      <c r="H4259" s="760"/>
      <c r="I4259" s="760"/>
      <c r="J4259" s="760"/>
      <c r="K4259" s="760"/>
    </row>
    <row r="4260" spans="1:11">
      <c r="A4260" s="760"/>
      <c r="B4260" s="760"/>
      <c r="C4260" s="760"/>
      <c r="D4260" s="760"/>
      <c r="E4260" s="760"/>
      <c r="F4260" s="760"/>
      <c r="G4260" s="760"/>
      <c r="H4260" s="760"/>
      <c r="I4260" s="760"/>
      <c r="J4260" s="760"/>
      <c r="K4260" s="760"/>
    </row>
    <row r="4261" spans="1:11">
      <c r="A4261" s="760"/>
      <c r="B4261" s="760"/>
      <c r="C4261" s="760"/>
      <c r="D4261" s="760"/>
      <c r="E4261" s="760"/>
      <c r="F4261" s="760"/>
      <c r="G4261" s="760"/>
      <c r="H4261" s="760"/>
      <c r="I4261" s="760"/>
      <c r="J4261" s="760"/>
      <c r="K4261" s="760"/>
    </row>
    <row r="4262" spans="1:11">
      <c r="A4262" s="760"/>
      <c r="B4262" s="760"/>
      <c r="C4262" s="760"/>
      <c r="D4262" s="760"/>
      <c r="E4262" s="760"/>
      <c r="F4262" s="760"/>
      <c r="G4262" s="760"/>
      <c r="H4262" s="760"/>
      <c r="I4262" s="760"/>
      <c r="J4262" s="760"/>
      <c r="K4262" s="760"/>
    </row>
    <row r="4263" spans="1:11">
      <c r="A4263" s="760"/>
      <c r="B4263" s="760"/>
      <c r="C4263" s="760"/>
      <c r="D4263" s="760"/>
      <c r="E4263" s="760"/>
      <c r="F4263" s="760"/>
      <c r="G4263" s="760"/>
      <c r="H4263" s="760"/>
      <c r="I4263" s="760"/>
      <c r="J4263" s="760"/>
      <c r="K4263" s="760"/>
    </row>
    <row r="4264" spans="1:11">
      <c r="A4264" s="760"/>
      <c r="B4264" s="760"/>
      <c r="C4264" s="760"/>
      <c r="D4264" s="760"/>
      <c r="E4264" s="760"/>
      <c r="F4264" s="760"/>
      <c r="G4264" s="760"/>
      <c r="H4264" s="760"/>
      <c r="I4264" s="760"/>
      <c r="J4264" s="760"/>
      <c r="K4264" s="760"/>
    </row>
    <row r="4265" spans="1:11">
      <c r="A4265" s="760"/>
      <c r="B4265" s="760"/>
      <c r="C4265" s="760"/>
      <c r="D4265" s="760"/>
      <c r="E4265" s="760"/>
      <c r="F4265" s="760"/>
      <c r="G4265" s="760"/>
      <c r="H4265" s="760"/>
      <c r="I4265" s="760"/>
      <c r="J4265" s="760"/>
      <c r="K4265" s="760"/>
    </row>
    <row r="4266" spans="1:11">
      <c r="A4266" s="760"/>
      <c r="B4266" s="760"/>
      <c r="C4266" s="760"/>
      <c r="D4266" s="760"/>
      <c r="E4266" s="760"/>
      <c r="F4266" s="760"/>
      <c r="G4266" s="760"/>
      <c r="H4266" s="760"/>
      <c r="I4266" s="760"/>
      <c r="J4266" s="760"/>
      <c r="K4266" s="760"/>
    </row>
    <row r="4267" spans="1:11">
      <c r="A4267" s="760"/>
      <c r="B4267" s="760"/>
      <c r="C4267" s="760"/>
      <c r="D4267" s="760"/>
      <c r="E4267" s="760"/>
      <c r="F4267" s="760"/>
      <c r="G4267" s="760"/>
      <c r="H4267" s="760"/>
      <c r="I4267" s="760"/>
      <c r="J4267" s="760"/>
      <c r="K4267" s="760"/>
    </row>
    <row r="4268" spans="1:11">
      <c r="A4268" s="760"/>
      <c r="B4268" s="760"/>
      <c r="C4268" s="760"/>
      <c r="D4268" s="760"/>
      <c r="E4268" s="760"/>
      <c r="F4268" s="760"/>
      <c r="G4268" s="760"/>
      <c r="H4268" s="760"/>
      <c r="I4268" s="760"/>
      <c r="J4268" s="760"/>
      <c r="K4268" s="760"/>
    </row>
    <row r="4269" spans="1:11">
      <c r="A4269" s="760"/>
      <c r="B4269" s="760"/>
      <c r="C4269" s="760"/>
      <c r="D4269" s="760"/>
      <c r="E4269" s="760"/>
      <c r="F4269" s="760"/>
      <c r="G4269" s="760"/>
      <c r="H4269" s="760"/>
      <c r="I4269" s="760"/>
      <c r="J4269" s="760"/>
      <c r="K4269" s="760"/>
    </row>
    <row r="4270" spans="1:11">
      <c r="A4270" s="760"/>
      <c r="B4270" s="760"/>
      <c r="C4270" s="760"/>
      <c r="D4270" s="760"/>
      <c r="E4270" s="760"/>
      <c r="F4270" s="760"/>
      <c r="G4270" s="760"/>
      <c r="H4270" s="760"/>
      <c r="I4270" s="760"/>
      <c r="J4270" s="760"/>
      <c r="K4270" s="760"/>
    </row>
    <row r="4271" spans="1:11">
      <c r="A4271" s="760"/>
      <c r="B4271" s="760"/>
      <c r="C4271" s="760"/>
      <c r="D4271" s="760"/>
      <c r="E4271" s="760"/>
      <c r="F4271" s="760"/>
      <c r="G4271" s="760"/>
      <c r="H4271" s="760"/>
      <c r="I4271" s="760"/>
      <c r="J4271" s="760"/>
      <c r="K4271" s="760"/>
    </row>
    <row r="4272" spans="1:11">
      <c r="A4272" s="760"/>
      <c r="B4272" s="760"/>
      <c r="C4272" s="760"/>
      <c r="D4272" s="760"/>
      <c r="E4272" s="760"/>
      <c r="F4272" s="760"/>
      <c r="G4272" s="760"/>
      <c r="H4272" s="760"/>
      <c r="I4272" s="760"/>
      <c r="J4272" s="760"/>
      <c r="K4272" s="760"/>
    </row>
    <row r="4273" spans="1:11">
      <c r="A4273" s="760"/>
      <c r="B4273" s="760"/>
      <c r="C4273" s="760"/>
      <c r="D4273" s="760"/>
      <c r="E4273" s="760"/>
      <c r="F4273" s="760"/>
      <c r="G4273" s="760"/>
      <c r="H4273" s="760"/>
      <c r="I4273" s="760"/>
      <c r="J4273" s="760"/>
      <c r="K4273" s="760"/>
    </row>
    <row r="4274" spans="1:11">
      <c r="A4274" s="760"/>
      <c r="B4274" s="760"/>
      <c r="C4274" s="760"/>
      <c r="D4274" s="760"/>
      <c r="E4274" s="760"/>
      <c r="F4274" s="760"/>
      <c r="G4274" s="760"/>
      <c r="H4274" s="760"/>
      <c r="I4274" s="760"/>
      <c r="J4274" s="760"/>
      <c r="K4274" s="760"/>
    </row>
    <row r="4275" spans="1:11">
      <c r="A4275" s="760"/>
      <c r="B4275" s="760"/>
      <c r="C4275" s="760"/>
      <c r="D4275" s="760"/>
      <c r="E4275" s="760"/>
      <c r="F4275" s="760"/>
      <c r="G4275" s="760"/>
      <c r="H4275" s="760"/>
      <c r="I4275" s="760"/>
      <c r="J4275" s="760"/>
      <c r="K4275" s="760"/>
    </row>
    <row r="4276" spans="1:11">
      <c r="A4276" s="760"/>
      <c r="B4276" s="760"/>
      <c r="C4276" s="760"/>
      <c r="D4276" s="760"/>
      <c r="E4276" s="760"/>
      <c r="F4276" s="760"/>
      <c r="G4276" s="760"/>
      <c r="H4276" s="760"/>
      <c r="I4276" s="760"/>
      <c r="J4276" s="760"/>
      <c r="K4276" s="760"/>
    </row>
    <row r="4277" spans="1:11">
      <c r="A4277" s="760"/>
      <c r="B4277" s="760"/>
      <c r="C4277" s="760"/>
      <c r="D4277" s="760"/>
      <c r="E4277" s="760"/>
      <c r="F4277" s="760"/>
      <c r="G4277" s="760"/>
      <c r="H4277" s="760"/>
      <c r="I4277" s="760"/>
      <c r="J4277" s="760"/>
      <c r="K4277" s="760"/>
    </row>
    <row r="4278" spans="1:11">
      <c r="A4278" s="760"/>
      <c r="B4278" s="760"/>
      <c r="C4278" s="760"/>
      <c r="D4278" s="760"/>
      <c r="E4278" s="760"/>
      <c r="F4278" s="760"/>
      <c r="G4278" s="760"/>
      <c r="H4278" s="760"/>
      <c r="I4278" s="760"/>
      <c r="J4278" s="760"/>
      <c r="K4278" s="760"/>
    </row>
    <row r="4279" spans="1:11">
      <c r="A4279" s="760"/>
      <c r="B4279" s="760"/>
      <c r="C4279" s="760"/>
      <c r="D4279" s="760"/>
      <c r="E4279" s="760"/>
      <c r="F4279" s="760"/>
      <c r="G4279" s="760"/>
      <c r="H4279" s="760"/>
      <c r="I4279" s="760"/>
      <c r="J4279" s="760"/>
      <c r="K4279" s="760"/>
    </row>
    <row r="4280" spans="1:11">
      <c r="A4280" s="760"/>
      <c r="B4280" s="760"/>
      <c r="C4280" s="760"/>
      <c r="D4280" s="760"/>
      <c r="E4280" s="760"/>
      <c r="F4280" s="760"/>
      <c r="G4280" s="760"/>
      <c r="H4280" s="760"/>
      <c r="I4280" s="760"/>
      <c r="J4280" s="760"/>
      <c r="K4280" s="760"/>
    </row>
    <row r="4281" spans="1:11">
      <c r="A4281" s="760"/>
      <c r="B4281" s="760"/>
      <c r="C4281" s="760"/>
      <c r="D4281" s="760"/>
      <c r="E4281" s="760"/>
      <c r="F4281" s="760"/>
      <c r="G4281" s="760"/>
      <c r="H4281" s="760"/>
      <c r="I4281" s="760"/>
      <c r="J4281" s="760"/>
      <c r="K4281" s="760"/>
    </row>
    <row r="4282" spans="1:11">
      <c r="A4282" s="760"/>
      <c r="B4282" s="760"/>
      <c r="C4282" s="760"/>
      <c r="D4282" s="760"/>
      <c r="E4282" s="760"/>
      <c r="F4282" s="760"/>
      <c r="G4282" s="760"/>
      <c r="H4282" s="760"/>
      <c r="I4282" s="760"/>
      <c r="J4282" s="760"/>
      <c r="K4282" s="760"/>
    </row>
    <row r="4283" spans="1:11">
      <c r="A4283" s="760"/>
      <c r="B4283" s="760"/>
      <c r="C4283" s="760"/>
      <c r="D4283" s="760"/>
      <c r="E4283" s="760"/>
      <c r="F4283" s="760"/>
      <c r="G4283" s="760"/>
      <c r="H4283" s="760"/>
      <c r="I4283" s="760"/>
      <c r="J4283" s="760"/>
      <c r="K4283" s="760"/>
    </row>
    <row r="4284" spans="1:11">
      <c r="A4284" s="760"/>
      <c r="B4284" s="760"/>
      <c r="C4284" s="760"/>
      <c r="D4284" s="760"/>
      <c r="E4284" s="760"/>
      <c r="F4284" s="760"/>
      <c r="G4284" s="760"/>
      <c r="H4284" s="760"/>
      <c r="I4284" s="760"/>
      <c r="J4284" s="760"/>
      <c r="K4284" s="760"/>
    </row>
    <row r="4285" spans="1:11">
      <c r="A4285" s="760"/>
      <c r="B4285" s="760"/>
      <c r="C4285" s="760"/>
      <c r="D4285" s="760"/>
      <c r="E4285" s="760"/>
      <c r="F4285" s="760"/>
      <c r="G4285" s="760"/>
      <c r="H4285" s="760"/>
      <c r="I4285" s="760"/>
      <c r="J4285" s="760"/>
      <c r="K4285" s="760"/>
    </row>
    <row r="4286" spans="1:11">
      <c r="A4286" s="760"/>
      <c r="B4286" s="760"/>
      <c r="C4286" s="760"/>
      <c r="D4286" s="760"/>
      <c r="E4286" s="760"/>
      <c r="F4286" s="760"/>
      <c r="G4286" s="760"/>
      <c r="H4286" s="760"/>
      <c r="I4286" s="760"/>
      <c r="J4286" s="760"/>
      <c r="K4286" s="760"/>
    </row>
    <row r="4287" spans="1:11">
      <c r="A4287" s="760"/>
      <c r="B4287" s="760"/>
      <c r="C4287" s="760"/>
      <c r="D4287" s="760"/>
      <c r="E4287" s="760"/>
      <c r="F4287" s="760"/>
      <c r="G4287" s="760"/>
      <c r="H4287" s="760"/>
      <c r="I4287" s="760"/>
      <c r="J4287" s="760"/>
      <c r="K4287" s="760"/>
    </row>
    <row r="4288" spans="1:11">
      <c r="A4288" s="760"/>
      <c r="B4288" s="760"/>
      <c r="C4288" s="760"/>
      <c r="D4288" s="760"/>
      <c r="E4288" s="760"/>
      <c r="F4288" s="760"/>
      <c r="G4288" s="760"/>
      <c r="H4288" s="760"/>
      <c r="I4288" s="760"/>
      <c r="J4288" s="760"/>
      <c r="K4288" s="760"/>
    </row>
    <row r="4289" spans="1:11">
      <c r="A4289" s="760"/>
      <c r="B4289" s="760"/>
      <c r="C4289" s="760"/>
      <c r="D4289" s="760"/>
      <c r="E4289" s="760"/>
      <c r="F4289" s="760"/>
      <c r="G4289" s="760"/>
      <c r="H4289" s="760"/>
      <c r="I4289" s="760"/>
      <c r="J4289" s="760"/>
      <c r="K4289" s="760"/>
    </row>
    <row r="4290" spans="1:11">
      <c r="A4290" s="760"/>
      <c r="B4290" s="760"/>
      <c r="C4290" s="760"/>
      <c r="D4290" s="760"/>
      <c r="E4290" s="760"/>
      <c r="F4290" s="760"/>
      <c r="G4290" s="760"/>
      <c r="H4290" s="760"/>
      <c r="I4290" s="760"/>
      <c r="J4290" s="760"/>
      <c r="K4290" s="760"/>
    </row>
    <row r="4291" spans="1:11">
      <c r="A4291" s="760"/>
      <c r="B4291" s="760"/>
      <c r="C4291" s="760"/>
      <c r="D4291" s="760"/>
      <c r="E4291" s="760"/>
      <c r="F4291" s="760"/>
      <c r="G4291" s="760"/>
      <c r="H4291" s="760"/>
      <c r="I4291" s="760"/>
      <c r="J4291" s="760"/>
      <c r="K4291" s="760"/>
    </row>
    <row r="4292" spans="1:11">
      <c r="A4292" s="760"/>
      <c r="B4292" s="760"/>
      <c r="C4292" s="760"/>
      <c r="D4292" s="760"/>
      <c r="E4292" s="760"/>
      <c r="F4292" s="760"/>
      <c r="G4292" s="760"/>
      <c r="H4292" s="760"/>
      <c r="I4292" s="760"/>
      <c r="J4292" s="760"/>
      <c r="K4292" s="760"/>
    </row>
    <row r="4293" spans="1:11">
      <c r="A4293" s="760"/>
      <c r="B4293" s="760"/>
      <c r="C4293" s="760"/>
      <c r="D4293" s="760"/>
      <c r="E4293" s="760"/>
      <c r="F4293" s="760"/>
      <c r="G4293" s="760"/>
      <c r="H4293" s="760"/>
      <c r="I4293" s="760"/>
      <c r="J4293" s="760"/>
      <c r="K4293" s="760"/>
    </row>
    <row r="4294" spans="1:11">
      <c r="A4294" s="760"/>
      <c r="B4294" s="760"/>
      <c r="C4294" s="760"/>
      <c r="D4294" s="760"/>
      <c r="E4294" s="760"/>
      <c r="F4294" s="760"/>
      <c r="G4294" s="760"/>
      <c r="H4294" s="760"/>
      <c r="I4294" s="760"/>
      <c r="J4294" s="760"/>
      <c r="K4294" s="760"/>
    </row>
    <row r="4295" spans="1:11">
      <c r="A4295" s="760"/>
      <c r="B4295" s="760"/>
      <c r="C4295" s="760"/>
      <c r="D4295" s="760"/>
      <c r="E4295" s="760"/>
      <c r="F4295" s="760"/>
      <c r="G4295" s="760"/>
      <c r="H4295" s="760"/>
      <c r="I4295" s="760"/>
      <c r="J4295" s="760"/>
      <c r="K4295" s="760"/>
    </row>
    <row r="4296" spans="1:11">
      <c r="A4296" s="760"/>
      <c r="B4296" s="760"/>
      <c r="C4296" s="760"/>
      <c r="D4296" s="760"/>
      <c r="E4296" s="760"/>
      <c r="F4296" s="760"/>
      <c r="G4296" s="760"/>
      <c r="H4296" s="760"/>
      <c r="I4296" s="760"/>
      <c r="J4296" s="760"/>
      <c r="K4296" s="760"/>
    </row>
    <row r="4297" spans="1:11">
      <c r="A4297" s="760"/>
      <c r="B4297" s="760"/>
      <c r="C4297" s="760"/>
      <c r="D4297" s="760"/>
      <c r="E4297" s="760"/>
      <c r="F4297" s="760"/>
      <c r="G4297" s="760"/>
      <c r="H4297" s="760"/>
      <c r="I4297" s="760"/>
      <c r="J4297" s="760"/>
      <c r="K4297" s="760"/>
    </row>
    <row r="4298" spans="1:11">
      <c r="A4298" s="760"/>
      <c r="B4298" s="760"/>
      <c r="C4298" s="760"/>
      <c r="D4298" s="760"/>
      <c r="E4298" s="760"/>
      <c r="F4298" s="760"/>
      <c r="G4298" s="760"/>
      <c r="H4298" s="760"/>
      <c r="I4298" s="760"/>
      <c r="J4298" s="760"/>
      <c r="K4298" s="760"/>
    </row>
    <row r="4299" spans="1:11">
      <c r="A4299" s="760"/>
      <c r="B4299" s="760"/>
      <c r="C4299" s="760"/>
      <c r="D4299" s="760"/>
      <c r="E4299" s="760"/>
      <c r="F4299" s="760"/>
      <c r="G4299" s="760"/>
      <c r="H4299" s="760"/>
      <c r="I4299" s="760"/>
      <c r="J4299" s="760"/>
      <c r="K4299" s="760"/>
    </row>
    <row r="4300" spans="1:11">
      <c r="A4300" s="760"/>
      <c r="B4300" s="760"/>
      <c r="C4300" s="760"/>
      <c r="D4300" s="760"/>
      <c r="E4300" s="760"/>
      <c r="F4300" s="760"/>
      <c r="G4300" s="760"/>
      <c r="H4300" s="760"/>
      <c r="I4300" s="760"/>
      <c r="J4300" s="760"/>
      <c r="K4300" s="760"/>
    </row>
    <row r="4301" spans="1:11">
      <c r="A4301" s="760"/>
      <c r="B4301" s="760"/>
      <c r="C4301" s="760"/>
      <c r="D4301" s="760"/>
      <c r="E4301" s="760"/>
      <c r="F4301" s="760"/>
      <c r="G4301" s="760"/>
      <c r="H4301" s="760"/>
      <c r="I4301" s="760"/>
      <c r="J4301" s="760"/>
      <c r="K4301" s="760"/>
    </row>
    <row r="4302" spans="1:11">
      <c r="A4302" s="760"/>
      <c r="B4302" s="760"/>
      <c r="C4302" s="760"/>
      <c r="D4302" s="760"/>
      <c r="E4302" s="760"/>
      <c r="F4302" s="760"/>
      <c r="G4302" s="760"/>
      <c r="H4302" s="760"/>
      <c r="I4302" s="760"/>
      <c r="J4302" s="760"/>
      <c r="K4302" s="760"/>
    </row>
    <row r="4303" spans="1:11">
      <c r="A4303" s="760"/>
      <c r="B4303" s="760"/>
      <c r="C4303" s="760"/>
      <c r="D4303" s="760"/>
      <c r="E4303" s="760"/>
      <c r="F4303" s="760"/>
      <c r="G4303" s="760"/>
      <c r="H4303" s="760"/>
      <c r="I4303" s="760"/>
      <c r="J4303" s="760"/>
      <c r="K4303" s="760"/>
    </row>
    <row r="4304" spans="1:11">
      <c r="A4304" s="760"/>
      <c r="B4304" s="760"/>
      <c r="C4304" s="760"/>
      <c r="D4304" s="760"/>
      <c r="E4304" s="760"/>
      <c r="F4304" s="760"/>
      <c r="G4304" s="760"/>
      <c r="H4304" s="760"/>
      <c r="I4304" s="760"/>
      <c r="J4304" s="760"/>
      <c r="K4304" s="760"/>
    </row>
    <row r="4305" spans="1:11">
      <c r="A4305" s="760"/>
      <c r="B4305" s="760"/>
      <c r="C4305" s="760"/>
      <c r="D4305" s="760"/>
      <c r="E4305" s="760"/>
      <c r="F4305" s="760"/>
      <c r="G4305" s="760"/>
      <c r="H4305" s="760"/>
      <c r="I4305" s="760"/>
      <c r="J4305" s="760"/>
      <c r="K4305" s="760"/>
    </row>
    <row r="4306" spans="1:11">
      <c r="A4306" s="760"/>
      <c r="B4306" s="760"/>
      <c r="C4306" s="760"/>
      <c r="D4306" s="760"/>
      <c r="E4306" s="760"/>
      <c r="F4306" s="760"/>
      <c r="G4306" s="760"/>
      <c r="H4306" s="760"/>
      <c r="I4306" s="760"/>
      <c r="J4306" s="760"/>
      <c r="K4306" s="760"/>
    </row>
    <row r="4307" spans="1:11">
      <c r="A4307" s="760"/>
      <c r="B4307" s="760"/>
      <c r="C4307" s="760"/>
      <c r="D4307" s="760"/>
      <c r="E4307" s="760"/>
      <c r="F4307" s="760"/>
      <c r="G4307" s="760"/>
      <c r="H4307" s="760"/>
      <c r="I4307" s="760"/>
      <c r="J4307" s="760"/>
      <c r="K4307" s="760"/>
    </row>
    <row r="4308" spans="1:11">
      <c r="A4308" s="760"/>
      <c r="B4308" s="760"/>
      <c r="C4308" s="760"/>
      <c r="D4308" s="760"/>
      <c r="E4308" s="760"/>
      <c r="F4308" s="760"/>
      <c r="G4308" s="760"/>
      <c r="H4308" s="760"/>
      <c r="I4308" s="760"/>
      <c r="J4308" s="760"/>
      <c r="K4308" s="760"/>
    </row>
    <row r="4309" spans="1:11">
      <c r="A4309" s="760"/>
      <c r="B4309" s="760"/>
      <c r="C4309" s="760"/>
      <c r="D4309" s="760"/>
      <c r="E4309" s="760"/>
      <c r="F4309" s="760"/>
      <c r="G4309" s="760"/>
      <c r="H4309" s="760"/>
      <c r="I4309" s="760"/>
      <c r="J4309" s="760"/>
      <c r="K4309" s="760"/>
    </row>
    <row r="4310" spans="1:11">
      <c r="A4310" s="760"/>
      <c r="B4310" s="760"/>
      <c r="C4310" s="760"/>
      <c r="D4310" s="760"/>
      <c r="E4310" s="760"/>
      <c r="F4310" s="760"/>
      <c r="G4310" s="760"/>
      <c r="H4310" s="760"/>
      <c r="I4310" s="760"/>
      <c r="J4310" s="760"/>
      <c r="K4310" s="760"/>
    </row>
    <row r="4311" spans="1:11">
      <c r="A4311" s="760"/>
      <c r="B4311" s="760"/>
      <c r="C4311" s="760"/>
      <c r="D4311" s="760"/>
      <c r="E4311" s="760"/>
      <c r="F4311" s="760"/>
      <c r="G4311" s="760"/>
      <c r="H4311" s="760"/>
      <c r="I4311" s="760"/>
      <c r="J4311" s="760"/>
      <c r="K4311" s="760"/>
    </row>
    <row r="4312" spans="1:11">
      <c r="A4312" s="760"/>
      <c r="B4312" s="760"/>
      <c r="C4312" s="760"/>
      <c r="D4312" s="760"/>
      <c r="E4312" s="760"/>
      <c r="F4312" s="760"/>
      <c r="G4312" s="760"/>
      <c r="H4312" s="760"/>
      <c r="I4312" s="760"/>
      <c r="J4312" s="760"/>
      <c r="K4312" s="760"/>
    </row>
    <row r="4313" spans="1:11">
      <c r="A4313" s="760"/>
      <c r="B4313" s="760"/>
      <c r="C4313" s="760"/>
      <c r="D4313" s="760"/>
      <c r="E4313" s="760"/>
      <c r="F4313" s="760"/>
      <c r="G4313" s="760"/>
      <c r="H4313" s="760"/>
      <c r="I4313" s="760"/>
      <c r="J4313" s="760"/>
      <c r="K4313" s="760"/>
    </row>
    <row r="4314" spans="1:11">
      <c r="A4314" s="760"/>
      <c r="B4314" s="760"/>
      <c r="C4314" s="760"/>
      <c r="D4314" s="760"/>
      <c r="E4314" s="760"/>
      <c r="F4314" s="760"/>
      <c r="G4314" s="760"/>
      <c r="H4314" s="760"/>
      <c r="I4314" s="760"/>
      <c r="J4314" s="760"/>
      <c r="K4314" s="760"/>
    </row>
    <row r="4315" spans="1:11">
      <c r="A4315" s="760"/>
      <c r="B4315" s="760"/>
      <c r="C4315" s="760"/>
      <c r="D4315" s="760"/>
      <c r="E4315" s="760"/>
      <c r="F4315" s="760"/>
      <c r="G4315" s="760"/>
      <c r="H4315" s="760"/>
      <c r="I4315" s="760"/>
      <c r="J4315" s="760"/>
      <c r="K4315" s="760"/>
    </row>
    <row r="4316" spans="1:11">
      <c r="A4316" s="760"/>
      <c r="B4316" s="760"/>
      <c r="C4316" s="760"/>
      <c r="D4316" s="760"/>
      <c r="E4316" s="760"/>
      <c r="F4316" s="760"/>
      <c r="G4316" s="760"/>
      <c r="H4316" s="760"/>
      <c r="I4316" s="760"/>
      <c r="J4316" s="760"/>
      <c r="K4316" s="760"/>
    </row>
    <row r="4317" spans="1:11">
      <c r="A4317" s="760"/>
      <c r="B4317" s="760"/>
      <c r="C4317" s="760"/>
      <c r="D4317" s="760"/>
      <c r="E4317" s="760"/>
      <c r="F4317" s="760"/>
      <c r="G4317" s="760"/>
      <c r="H4317" s="760"/>
      <c r="I4317" s="760"/>
      <c r="J4317" s="760"/>
      <c r="K4317" s="760"/>
    </row>
    <row r="4318" spans="1:11">
      <c r="A4318" s="760"/>
      <c r="B4318" s="760"/>
      <c r="C4318" s="760"/>
      <c r="D4318" s="760"/>
      <c r="E4318" s="760"/>
      <c r="F4318" s="760"/>
      <c r="G4318" s="760"/>
      <c r="H4318" s="760"/>
      <c r="I4318" s="760"/>
      <c r="J4318" s="760"/>
      <c r="K4318" s="760"/>
    </row>
    <row r="4319" spans="1:11">
      <c r="A4319" s="760"/>
      <c r="B4319" s="760"/>
      <c r="C4319" s="760"/>
      <c r="D4319" s="760"/>
      <c r="E4319" s="760"/>
      <c r="F4319" s="760"/>
      <c r="G4319" s="760"/>
      <c r="H4319" s="760"/>
      <c r="I4319" s="760"/>
      <c r="J4319" s="760"/>
      <c r="K4319" s="760"/>
    </row>
    <row r="4320" spans="1:11">
      <c r="A4320" s="760"/>
      <c r="B4320" s="760"/>
      <c r="C4320" s="760"/>
      <c r="D4320" s="760"/>
      <c r="E4320" s="760"/>
      <c r="F4320" s="760"/>
      <c r="G4320" s="760"/>
      <c r="H4320" s="760"/>
      <c r="I4320" s="760"/>
      <c r="J4320" s="760"/>
      <c r="K4320" s="760"/>
    </row>
    <row r="4321" spans="1:11">
      <c r="A4321" s="760"/>
      <c r="B4321" s="760"/>
      <c r="C4321" s="760"/>
      <c r="D4321" s="760"/>
      <c r="E4321" s="760"/>
      <c r="F4321" s="760"/>
      <c r="G4321" s="760"/>
      <c r="H4321" s="760"/>
      <c r="I4321" s="760"/>
      <c r="J4321" s="760"/>
      <c r="K4321" s="760"/>
    </row>
    <row r="4322" spans="1:11">
      <c r="A4322" s="760"/>
      <c r="B4322" s="760"/>
      <c r="C4322" s="760"/>
      <c r="D4322" s="760"/>
      <c r="E4322" s="760"/>
      <c r="F4322" s="760"/>
      <c r="G4322" s="760"/>
      <c r="H4322" s="760"/>
      <c r="I4322" s="760"/>
      <c r="J4322" s="760"/>
      <c r="K4322" s="760"/>
    </row>
    <row r="4323" spans="1:11">
      <c r="A4323" s="760"/>
      <c r="B4323" s="760"/>
      <c r="C4323" s="760"/>
      <c r="D4323" s="760"/>
      <c r="E4323" s="760"/>
      <c r="F4323" s="760"/>
      <c r="G4323" s="760"/>
      <c r="H4323" s="760"/>
      <c r="I4323" s="760"/>
      <c r="J4323" s="760"/>
      <c r="K4323" s="760"/>
    </row>
    <row r="4324" spans="1:11">
      <c r="A4324" s="760"/>
      <c r="B4324" s="760"/>
      <c r="C4324" s="760"/>
      <c r="D4324" s="760"/>
      <c r="E4324" s="760"/>
      <c r="F4324" s="760"/>
      <c r="G4324" s="760"/>
      <c r="H4324" s="760"/>
      <c r="I4324" s="760"/>
      <c r="J4324" s="760"/>
      <c r="K4324" s="760"/>
    </row>
    <row r="4325" spans="1:11">
      <c r="A4325" s="760"/>
      <c r="B4325" s="760"/>
      <c r="C4325" s="760"/>
      <c r="D4325" s="760"/>
      <c r="E4325" s="760"/>
      <c r="F4325" s="760"/>
      <c r="G4325" s="760"/>
      <c r="H4325" s="760"/>
      <c r="I4325" s="760"/>
      <c r="J4325" s="760"/>
      <c r="K4325" s="760"/>
    </row>
    <row r="4326" spans="1:11">
      <c r="A4326" s="760"/>
      <c r="B4326" s="760"/>
      <c r="C4326" s="760"/>
      <c r="D4326" s="760"/>
      <c r="E4326" s="760"/>
      <c r="F4326" s="760"/>
      <c r="G4326" s="760"/>
      <c r="H4326" s="760"/>
      <c r="I4326" s="760"/>
      <c r="J4326" s="760"/>
      <c r="K4326" s="760"/>
    </row>
    <row r="4327" spans="1:11">
      <c r="A4327" s="760"/>
      <c r="B4327" s="760"/>
      <c r="C4327" s="760"/>
      <c r="D4327" s="760"/>
      <c r="E4327" s="760"/>
      <c r="F4327" s="760"/>
      <c r="G4327" s="760"/>
      <c r="H4327" s="760"/>
      <c r="I4327" s="760"/>
      <c r="J4327" s="760"/>
      <c r="K4327" s="760"/>
    </row>
    <row r="4328" spans="1:11">
      <c r="A4328" s="760"/>
      <c r="B4328" s="760"/>
      <c r="C4328" s="760"/>
      <c r="D4328" s="760"/>
      <c r="E4328" s="760"/>
      <c r="F4328" s="760"/>
      <c r="G4328" s="760"/>
      <c r="H4328" s="760"/>
      <c r="I4328" s="760"/>
      <c r="J4328" s="760"/>
      <c r="K4328" s="760"/>
    </row>
    <row r="4329" spans="1:11">
      <c r="A4329" s="760"/>
      <c r="B4329" s="760"/>
      <c r="C4329" s="760"/>
      <c r="D4329" s="760"/>
      <c r="E4329" s="760"/>
      <c r="F4329" s="760"/>
      <c r="G4329" s="760"/>
      <c r="H4329" s="760"/>
      <c r="I4329" s="760"/>
      <c r="J4329" s="760"/>
      <c r="K4329" s="760"/>
    </row>
    <row r="4330" spans="1:11">
      <c r="A4330" s="760"/>
      <c r="B4330" s="760"/>
      <c r="C4330" s="760"/>
      <c r="D4330" s="760"/>
      <c r="E4330" s="760"/>
      <c r="F4330" s="760"/>
      <c r="G4330" s="760"/>
      <c r="H4330" s="760"/>
      <c r="I4330" s="760"/>
      <c r="J4330" s="760"/>
      <c r="K4330" s="760"/>
    </row>
    <row r="4331" spans="1:11">
      <c r="A4331" s="760"/>
      <c r="B4331" s="760"/>
      <c r="C4331" s="760"/>
      <c r="D4331" s="760"/>
      <c r="E4331" s="760"/>
      <c r="F4331" s="760"/>
      <c r="G4331" s="760"/>
      <c r="H4331" s="760"/>
      <c r="I4331" s="760"/>
      <c r="J4331" s="760"/>
      <c r="K4331" s="760"/>
    </row>
    <row r="4332" spans="1:11">
      <c r="A4332" s="760"/>
      <c r="B4332" s="760"/>
      <c r="C4332" s="760"/>
      <c r="D4332" s="760"/>
      <c r="E4332" s="760"/>
      <c r="F4332" s="760"/>
      <c r="G4332" s="760"/>
      <c r="H4332" s="760"/>
      <c r="I4332" s="760"/>
      <c r="J4332" s="760"/>
      <c r="K4332" s="760"/>
    </row>
    <row r="4333" spans="1:11">
      <c r="A4333" s="760"/>
      <c r="B4333" s="760"/>
      <c r="C4333" s="760"/>
      <c r="D4333" s="760"/>
      <c r="E4333" s="760"/>
      <c r="F4333" s="760"/>
      <c r="G4333" s="760"/>
      <c r="H4333" s="760"/>
      <c r="I4333" s="760"/>
      <c r="J4333" s="760"/>
      <c r="K4333" s="760"/>
    </row>
    <row r="4334" spans="1:11">
      <c r="A4334" s="760"/>
      <c r="B4334" s="760"/>
      <c r="C4334" s="760"/>
      <c r="D4334" s="760"/>
      <c r="E4334" s="760"/>
      <c r="F4334" s="760"/>
      <c r="G4334" s="760"/>
      <c r="H4334" s="760"/>
      <c r="I4334" s="760"/>
      <c r="J4334" s="760"/>
      <c r="K4334" s="760"/>
    </row>
    <row r="4335" spans="1:11">
      <c r="A4335" s="760"/>
      <c r="B4335" s="760"/>
      <c r="C4335" s="760"/>
      <c r="D4335" s="760"/>
      <c r="E4335" s="760"/>
      <c r="F4335" s="760"/>
      <c r="G4335" s="760"/>
      <c r="H4335" s="760"/>
      <c r="I4335" s="760"/>
      <c r="J4335" s="760"/>
      <c r="K4335" s="760"/>
    </row>
    <row r="4336" spans="1:11">
      <c r="A4336" s="760"/>
      <c r="B4336" s="760"/>
      <c r="C4336" s="760"/>
      <c r="D4336" s="760"/>
      <c r="E4336" s="760"/>
      <c r="F4336" s="760"/>
      <c r="G4336" s="760"/>
      <c r="H4336" s="760"/>
      <c r="I4336" s="760"/>
      <c r="J4336" s="760"/>
      <c r="K4336" s="760"/>
    </row>
    <row r="4337" spans="1:11">
      <c r="A4337" s="760"/>
      <c r="B4337" s="760"/>
      <c r="C4337" s="760"/>
      <c r="D4337" s="760"/>
      <c r="E4337" s="760"/>
      <c r="F4337" s="760"/>
      <c r="G4337" s="760"/>
      <c r="H4337" s="760"/>
      <c r="I4337" s="760"/>
      <c r="J4337" s="760"/>
      <c r="K4337" s="760"/>
    </row>
    <row r="4338" spans="1:11">
      <c r="A4338" s="760"/>
      <c r="B4338" s="760"/>
      <c r="C4338" s="760"/>
      <c r="D4338" s="760"/>
      <c r="E4338" s="760"/>
      <c r="F4338" s="760"/>
      <c r="G4338" s="760"/>
      <c r="H4338" s="760"/>
      <c r="I4338" s="760"/>
      <c r="J4338" s="760"/>
      <c r="K4338" s="760"/>
    </row>
    <row r="4339" spans="1:11">
      <c r="A4339" s="760"/>
      <c r="B4339" s="760"/>
      <c r="C4339" s="760"/>
      <c r="D4339" s="760"/>
      <c r="E4339" s="760"/>
      <c r="F4339" s="760"/>
      <c r="G4339" s="760"/>
      <c r="H4339" s="760"/>
      <c r="I4339" s="760"/>
      <c r="J4339" s="760"/>
      <c r="K4339" s="760"/>
    </row>
    <row r="4340" spans="1:11">
      <c r="A4340" s="760"/>
      <c r="B4340" s="760"/>
      <c r="C4340" s="760"/>
      <c r="D4340" s="760"/>
      <c r="E4340" s="760"/>
      <c r="F4340" s="760"/>
      <c r="G4340" s="760"/>
      <c r="H4340" s="760"/>
      <c r="I4340" s="760"/>
      <c r="J4340" s="760"/>
      <c r="K4340" s="760"/>
    </row>
    <row r="4341" spans="1:11">
      <c r="A4341" s="760"/>
      <c r="B4341" s="760"/>
      <c r="C4341" s="760"/>
      <c r="D4341" s="760"/>
      <c r="E4341" s="760"/>
      <c r="F4341" s="760"/>
      <c r="G4341" s="760"/>
      <c r="H4341" s="760"/>
      <c r="I4341" s="760"/>
      <c r="J4341" s="760"/>
      <c r="K4341" s="760"/>
    </row>
    <row r="4342" spans="1:11">
      <c r="A4342" s="760"/>
      <c r="B4342" s="760"/>
      <c r="C4342" s="760"/>
      <c r="D4342" s="760"/>
      <c r="E4342" s="760"/>
      <c r="F4342" s="760"/>
      <c r="G4342" s="760"/>
      <c r="H4342" s="760"/>
      <c r="I4342" s="760"/>
      <c r="J4342" s="760"/>
      <c r="K4342" s="760"/>
    </row>
    <row r="4343" spans="1:11">
      <c r="A4343" s="760"/>
      <c r="B4343" s="760"/>
      <c r="C4343" s="760"/>
      <c r="D4343" s="760"/>
      <c r="E4343" s="760"/>
      <c r="F4343" s="760"/>
      <c r="G4343" s="760"/>
      <c r="H4343" s="760"/>
      <c r="I4343" s="760"/>
      <c r="J4343" s="760"/>
      <c r="K4343" s="760"/>
    </row>
    <row r="4344" spans="1:11">
      <c r="A4344" s="760"/>
      <c r="B4344" s="760"/>
      <c r="C4344" s="760"/>
      <c r="D4344" s="760"/>
      <c r="E4344" s="760"/>
      <c r="F4344" s="760"/>
      <c r="G4344" s="760"/>
      <c r="H4344" s="760"/>
      <c r="I4344" s="760"/>
      <c r="J4344" s="760"/>
      <c r="K4344" s="760"/>
    </row>
    <row r="4345" spans="1:11">
      <c r="A4345" s="760"/>
      <c r="B4345" s="760"/>
      <c r="C4345" s="760"/>
      <c r="D4345" s="760"/>
      <c r="E4345" s="760"/>
      <c r="F4345" s="760"/>
      <c r="G4345" s="760"/>
      <c r="H4345" s="760"/>
      <c r="I4345" s="760"/>
      <c r="J4345" s="760"/>
      <c r="K4345" s="760"/>
    </row>
    <row r="4346" spans="1:11">
      <c r="A4346" s="760"/>
      <c r="B4346" s="760"/>
      <c r="C4346" s="760"/>
      <c r="D4346" s="760"/>
      <c r="E4346" s="760"/>
      <c r="F4346" s="760"/>
      <c r="G4346" s="760"/>
      <c r="H4346" s="760"/>
      <c r="I4346" s="760"/>
      <c r="J4346" s="760"/>
      <c r="K4346" s="760"/>
    </row>
    <row r="4347" spans="1:11">
      <c r="A4347" s="760"/>
      <c r="B4347" s="760"/>
      <c r="C4347" s="760"/>
      <c r="D4347" s="760"/>
      <c r="E4347" s="760"/>
      <c r="F4347" s="760"/>
      <c r="G4347" s="760"/>
      <c r="H4347" s="760"/>
      <c r="I4347" s="760"/>
      <c r="J4347" s="760"/>
      <c r="K4347" s="760"/>
    </row>
    <row r="4348" spans="1:11">
      <c r="A4348" s="760"/>
      <c r="B4348" s="760"/>
      <c r="C4348" s="760"/>
      <c r="D4348" s="760"/>
      <c r="E4348" s="760"/>
      <c r="F4348" s="760"/>
      <c r="G4348" s="760"/>
      <c r="H4348" s="760"/>
      <c r="I4348" s="760"/>
      <c r="J4348" s="760"/>
      <c r="K4348" s="760"/>
    </row>
    <row r="4349" spans="1:11">
      <c r="A4349" s="760"/>
      <c r="B4349" s="760"/>
      <c r="C4349" s="760"/>
      <c r="D4349" s="760"/>
      <c r="E4349" s="760"/>
      <c r="F4349" s="760"/>
      <c r="G4349" s="760"/>
      <c r="H4349" s="760"/>
      <c r="I4349" s="760"/>
      <c r="J4349" s="760"/>
      <c r="K4349" s="760"/>
    </row>
    <row r="4350" spans="1:11">
      <c r="A4350" s="760"/>
      <c r="B4350" s="760"/>
      <c r="C4350" s="760"/>
      <c r="D4350" s="760"/>
      <c r="E4350" s="760"/>
      <c r="F4350" s="760"/>
      <c r="G4350" s="760"/>
      <c r="H4350" s="760"/>
      <c r="I4350" s="760"/>
      <c r="J4350" s="760"/>
      <c r="K4350" s="760"/>
    </row>
    <row r="4351" spans="1:11">
      <c r="A4351" s="760"/>
      <c r="B4351" s="760"/>
      <c r="C4351" s="760"/>
      <c r="D4351" s="760"/>
      <c r="E4351" s="760"/>
      <c r="F4351" s="760"/>
      <c r="G4351" s="760"/>
      <c r="H4351" s="760"/>
      <c r="I4351" s="760"/>
      <c r="J4351" s="760"/>
      <c r="K4351" s="760"/>
    </row>
    <row r="4352" spans="1:11">
      <c r="A4352" s="760"/>
      <c r="B4352" s="760"/>
      <c r="C4352" s="760"/>
      <c r="D4352" s="760"/>
      <c r="E4352" s="760"/>
      <c r="F4352" s="760"/>
      <c r="G4352" s="760"/>
      <c r="H4352" s="760"/>
      <c r="I4352" s="760"/>
      <c r="J4352" s="760"/>
      <c r="K4352" s="760"/>
    </row>
    <row r="4353" spans="1:11">
      <c r="A4353" s="760"/>
      <c r="B4353" s="760"/>
      <c r="C4353" s="760"/>
      <c r="D4353" s="760"/>
      <c r="E4353" s="760"/>
      <c r="F4353" s="760"/>
      <c r="G4353" s="760"/>
      <c r="H4353" s="760"/>
      <c r="I4353" s="760"/>
      <c r="J4353" s="760"/>
      <c r="K4353" s="760"/>
    </row>
    <row r="4354" spans="1:11">
      <c r="A4354" s="760"/>
      <c r="B4354" s="760"/>
      <c r="C4354" s="760"/>
      <c r="D4354" s="760"/>
      <c r="E4354" s="760"/>
      <c r="F4354" s="760"/>
      <c r="G4354" s="760"/>
      <c r="H4354" s="760"/>
      <c r="I4354" s="760"/>
      <c r="J4354" s="760"/>
      <c r="K4354" s="760"/>
    </row>
    <row r="4355" spans="1:11">
      <c r="A4355" s="760"/>
      <c r="B4355" s="760"/>
      <c r="C4355" s="760"/>
      <c r="D4355" s="760"/>
      <c r="E4355" s="760"/>
      <c r="F4355" s="760"/>
      <c r="G4355" s="760"/>
      <c r="H4355" s="760"/>
      <c r="I4355" s="760"/>
      <c r="J4355" s="760"/>
      <c r="K4355" s="760"/>
    </row>
    <row r="4356" spans="1:11">
      <c r="A4356" s="760"/>
      <c r="B4356" s="760"/>
      <c r="C4356" s="760"/>
      <c r="D4356" s="760"/>
      <c r="E4356" s="760"/>
      <c r="F4356" s="760"/>
      <c r="G4356" s="760"/>
      <c r="H4356" s="760"/>
      <c r="I4356" s="760"/>
      <c r="J4356" s="760"/>
      <c r="K4356" s="760"/>
    </row>
    <row r="4357" spans="1:11">
      <c r="A4357" s="760"/>
      <c r="B4357" s="760"/>
      <c r="C4357" s="760"/>
      <c r="D4357" s="760"/>
      <c r="E4357" s="760"/>
      <c r="F4357" s="760"/>
      <c r="G4357" s="760"/>
      <c r="H4357" s="760"/>
      <c r="I4357" s="760"/>
      <c r="J4357" s="760"/>
      <c r="K4357" s="760"/>
    </row>
    <row r="4358" spans="1:11">
      <c r="A4358" s="760"/>
      <c r="B4358" s="760"/>
      <c r="C4358" s="760"/>
      <c r="D4358" s="760"/>
      <c r="E4358" s="760"/>
      <c r="F4358" s="760"/>
      <c r="G4358" s="760"/>
      <c r="H4358" s="760"/>
      <c r="I4358" s="760"/>
      <c r="J4358" s="760"/>
      <c r="K4358" s="760"/>
    </row>
    <row r="4359" spans="1:11">
      <c r="A4359" s="760"/>
      <c r="B4359" s="760"/>
      <c r="C4359" s="760"/>
      <c r="D4359" s="760"/>
      <c r="E4359" s="760"/>
      <c r="F4359" s="760"/>
      <c r="G4359" s="760"/>
      <c r="H4359" s="760"/>
      <c r="I4359" s="760"/>
      <c r="J4359" s="760"/>
      <c r="K4359" s="760"/>
    </row>
    <row r="4360" spans="1:11">
      <c r="A4360" s="760"/>
      <c r="B4360" s="760"/>
      <c r="C4360" s="760"/>
      <c r="D4360" s="760"/>
      <c r="E4360" s="760"/>
      <c r="F4360" s="760"/>
      <c r="G4360" s="760"/>
      <c r="H4360" s="760"/>
      <c r="I4360" s="760"/>
      <c r="J4360" s="760"/>
      <c r="K4360" s="760"/>
    </row>
    <row r="4361" spans="1:11">
      <c r="A4361" s="760"/>
      <c r="B4361" s="760"/>
      <c r="C4361" s="760"/>
      <c r="D4361" s="760"/>
      <c r="E4361" s="760"/>
      <c r="F4361" s="760"/>
      <c r="G4361" s="760"/>
      <c r="H4361" s="760"/>
      <c r="I4361" s="760"/>
      <c r="J4361" s="760"/>
      <c r="K4361" s="760"/>
    </row>
    <row r="4362" spans="1:11">
      <c r="A4362" s="760"/>
      <c r="B4362" s="760"/>
      <c r="C4362" s="760"/>
      <c r="D4362" s="760"/>
      <c r="E4362" s="760"/>
      <c r="F4362" s="760"/>
      <c r="G4362" s="760"/>
      <c r="H4362" s="760"/>
      <c r="I4362" s="760"/>
      <c r="J4362" s="760"/>
      <c r="K4362" s="760"/>
    </row>
    <row r="4363" spans="1:11">
      <c r="A4363" s="760"/>
      <c r="B4363" s="760"/>
      <c r="C4363" s="760"/>
      <c r="D4363" s="760"/>
      <c r="E4363" s="760"/>
      <c r="F4363" s="760"/>
      <c r="G4363" s="760"/>
      <c r="H4363" s="760"/>
      <c r="I4363" s="760"/>
      <c r="J4363" s="760"/>
      <c r="K4363" s="760"/>
    </row>
    <row r="4364" spans="1:11">
      <c r="A4364" s="760"/>
      <c r="B4364" s="760"/>
      <c r="C4364" s="760"/>
      <c r="D4364" s="760"/>
      <c r="E4364" s="760"/>
      <c r="F4364" s="760"/>
      <c r="G4364" s="760"/>
      <c r="H4364" s="760"/>
      <c r="I4364" s="760"/>
      <c r="J4364" s="760"/>
      <c r="K4364" s="760"/>
    </row>
    <row r="4365" spans="1:11">
      <c r="A4365" s="760"/>
      <c r="B4365" s="760"/>
      <c r="C4365" s="760"/>
      <c r="D4365" s="760"/>
      <c r="E4365" s="760"/>
      <c r="F4365" s="760"/>
      <c r="G4365" s="760"/>
      <c r="H4365" s="760"/>
      <c r="I4365" s="760"/>
      <c r="J4365" s="760"/>
      <c r="K4365" s="760"/>
    </row>
    <row r="4366" spans="1:11">
      <c r="A4366" s="760"/>
      <c r="B4366" s="760"/>
      <c r="C4366" s="760"/>
      <c r="D4366" s="760"/>
      <c r="E4366" s="760"/>
      <c r="F4366" s="760"/>
      <c r="G4366" s="760"/>
      <c r="H4366" s="760"/>
      <c r="I4366" s="760"/>
      <c r="J4366" s="760"/>
      <c r="K4366" s="760"/>
    </row>
    <row r="4367" spans="1:11">
      <c r="A4367" s="760"/>
      <c r="B4367" s="760"/>
      <c r="C4367" s="760"/>
      <c r="D4367" s="760"/>
      <c r="E4367" s="760"/>
      <c r="F4367" s="760"/>
      <c r="G4367" s="760"/>
      <c r="H4367" s="760"/>
      <c r="I4367" s="760"/>
      <c r="J4367" s="760"/>
      <c r="K4367" s="760"/>
    </row>
    <row r="4368" spans="1:11">
      <c r="A4368" s="760"/>
      <c r="B4368" s="760"/>
      <c r="C4368" s="760"/>
      <c r="D4368" s="760"/>
      <c r="E4368" s="760"/>
      <c r="F4368" s="760"/>
      <c r="G4368" s="760"/>
      <c r="H4368" s="760"/>
      <c r="I4368" s="760"/>
      <c r="J4368" s="760"/>
      <c r="K4368" s="760"/>
    </row>
    <row r="4369" spans="1:11">
      <c r="A4369" s="760"/>
      <c r="B4369" s="760"/>
      <c r="C4369" s="760"/>
      <c r="D4369" s="760"/>
      <c r="E4369" s="760"/>
      <c r="F4369" s="760"/>
      <c r="G4369" s="760"/>
      <c r="H4369" s="760"/>
      <c r="I4369" s="760"/>
      <c r="J4369" s="760"/>
      <c r="K4369" s="760"/>
    </row>
    <row r="4370" spans="1:11">
      <c r="A4370" s="760"/>
      <c r="B4370" s="760"/>
      <c r="C4370" s="760"/>
      <c r="D4370" s="760"/>
      <c r="E4370" s="760"/>
      <c r="F4370" s="760"/>
      <c r="G4370" s="760"/>
      <c r="H4370" s="760"/>
      <c r="I4370" s="760"/>
      <c r="J4370" s="760"/>
      <c r="K4370" s="760"/>
    </row>
    <row r="4371" spans="1:11">
      <c r="A4371" s="760"/>
      <c r="B4371" s="760"/>
      <c r="C4371" s="760"/>
      <c r="D4371" s="760"/>
      <c r="E4371" s="760"/>
      <c r="F4371" s="760"/>
      <c r="G4371" s="760"/>
      <c r="H4371" s="760"/>
      <c r="I4371" s="760"/>
      <c r="J4371" s="760"/>
      <c r="K4371" s="760"/>
    </row>
    <row r="4372" spans="1:11">
      <c r="A4372" s="760"/>
      <c r="B4372" s="760"/>
      <c r="C4372" s="760"/>
      <c r="D4372" s="760"/>
      <c r="E4372" s="760"/>
      <c r="F4372" s="760"/>
      <c r="G4372" s="760"/>
      <c r="H4372" s="760"/>
      <c r="I4372" s="760"/>
      <c r="J4372" s="760"/>
      <c r="K4372" s="760"/>
    </row>
    <row r="4373" spans="1:11">
      <c r="A4373" s="760"/>
      <c r="B4373" s="760"/>
      <c r="C4373" s="760"/>
      <c r="D4373" s="760"/>
      <c r="E4373" s="760"/>
      <c r="F4373" s="760"/>
      <c r="G4373" s="760"/>
      <c r="H4373" s="760"/>
      <c r="I4373" s="760"/>
      <c r="J4373" s="760"/>
      <c r="K4373" s="760"/>
    </row>
    <row r="4374" spans="1:11">
      <c r="A4374" s="760"/>
      <c r="B4374" s="760"/>
      <c r="C4374" s="760"/>
      <c r="D4374" s="760"/>
      <c r="E4374" s="760"/>
      <c r="F4374" s="760"/>
      <c r="G4374" s="760"/>
      <c r="H4374" s="760"/>
      <c r="I4374" s="760"/>
      <c r="J4374" s="760"/>
      <c r="K4374" s="760"/>
    </row>
    <row r="4375" spans="1:11">
      <c r="A4375" s="760"/>
      <c r="B4375" s="760"/>
      <c r="C4375" s="760"/>
      <c r="D4375" s="760"/>
      <c r="E4375" s="760"/>
      <c r="F4375" s="760"/>
      <c r="G4375" s="760"/>
      <c r="H4375" s="760"/>
      <c r="I4375" s="760"/>
      <c r="J4375" s="760"/>
      <c r="K4375" s="760"/>
    </row>
    <row r="4376" spans="1:11">
      <c r="A4376" s="760"/>
      <c r="B4376" s="760"/>
      <c r="C4376" s="760"/>
      <c r="D4376" s="760"/>
      <c r="E4376" s="760"/>
      <c r="F4376" s="760"/>
      <c r="G4376" s="760"/>
      <c r="H4376" s="760"/>
      <c r="I4376" s="760"/>
      <c r="J4376" s="760"/>
      <c r="K4376" s="760"/>
    </row>
    <row r="4377" spans="1:11">
      <c r="A4377" s="760"/>
      <c r="B4377" s="760"/>
      <c r="C4377" s="760"/>
      <c r="D4377" s="760"/>
      <c r="E4377" s="760"/>
      <c r="F4377" s="760"/>
      <c r="G4377" s="760"/>
      <c r="H4377" s="760"/>
      <c r="I4377" s="760"/>
      <c r="J4377" s="760"/>
      <c r="K4377" s="760"/>
    </row>
    <row r="4378" spans="1:11">
      <c r="A4378" s="760"/>
      <c r="B4378" s="760"/>
      <c r="C4378" s="760"/>
      <c r="D4378" s="760"/>
      <c r="E4378" s="760"/>
      <c r="F4378" s="760"/>
      <c r="G4378" s="760"/>
      <c r="H4378" s="760"/>
      <c r="I4378" s="760"/>
      <c r="J4378" s="760"/>
      <c r="K4378" s="760"/>
    </row>
    <row r="4379" spans="1:11">
      <c r="A4379" s="760"/>
      <c r="B4379" s="760"/>
      <c r="C4379" s="760"/>
      <c r="D4379" s="760"/>
      <c r="E4379" s="760"/>
      <c r="F4379" s="760"/>
      <c r="G4379" s="760"/>
      <c r="H4379" s="760"/>
      <c r="I4379" s="760"/>
      <c r="J4379" s="760"/>
      <c r="K4379" s="760"/>
    </row>
    <row r="4380" spans="1:11">
      <c r="A4380" s="760"/>
      <c r="B4380" s="760"/>
      <c r="C4380" s="760"/>
      <c r="D4380" s="760"/>
      <c r="E4380" s="760"/>
      <c r="F4380" s="760"/>
      <c r="G4380" s="760"/>
      <c r="H4380" s="760"/>
      <c r="I4380" s="760"/>
      <c r="J4380" s="760"/>
      <c r="K4380" s="760"/>
    </row>
    <row r="4381" spans="1:11">
      <c r="A4381" s="760"/>
      <c r="B4381" s="760"/>
      <c r="C4381" s="760"/>
      <c r="D4381" s="760"/>
      <c r="E4381" s="760"/>
      <c r="F4381" s="760"/>
      <c r="G4381" s="760"/>
      <c r="H4381" s="760"/>
      <c r="I4381" s="760"/>
      <c r="J4381" s="760"/>
      <c r="K4381" s="760"/>
    </row>
    <row r="4382" spans="1:11">
      <c r="A4382" s="760"/>
      <c r="B4382" s="760"/>
      <c r="C4382" s="760"/>
      <c r="D4382" s="760"/>
      <c r="E4382" s="760"/>
      <c r="F4382" s="760"/>
      <c r="G4382" s="760"/>
      <c r="H4382" s="760"/>
      <c r="I4382" s="760"/>
      <c r="J4382" s="760"/>
      <c r="K4382" s="760"/>
    </row>
    <row r="4383" spans="1:11">
      <c r="A4383" s="760"/>
      <c r="B4383" s="760"/>
      <c r="C4383" s="760"/>
      <c r="D4383" s="760"/>
      <c r="E4383" s="760"/>
      <c r="F4383" s="760"/>
      <c r="G4383" s="760"/>
      <c r="H4383" s="760"/>
      <c r="I4383" s="760"/>
      <c r="J4383" s="760"/>
      <c r="K4383" s="760"/>
    </row>
    <row r="4384" spans="1:11">
      <c r="A4384" s="760"/>
      <c r="B4384" s="760"/>
      <c r="C4384" s="760"/>
      <c r="D4384" s="760"/>
      <c r="E4384" s="760"/>
      <c r="F4384" s="760"/>
      <c r="G4384" s="760"/>
      <c r="H4384" s="760"/>
      <c r="I4384" s="760"/>
      <c r="J4384" s="760"/>
      <c r="K4384" s="760"/>
    </row>
    <row r="4385" spans="1:11">
      <c r="A4385" s="760"/>
      <c r="B4385" s="760"/>
      <c r="C4385" s="760"/>
      <c r="D4385" s="760"/>
      <c r="E4385" s="760"/>
      <c r="F4385" s="760"/>
      <c r="G4385" s="760"/>
      <c r="H4385" s="760"/>
      <c r="I4385" s="760"/>
      <c r="J4385" s="760"/>
      <c r="K4385" s="760"/>
    </row>
    <row r="4386" spans="1:11">
      <c r="A4386" s="760"/>
      <c r="B4386" s="760"/>
      <c r="C4386" s="760"/>
      <c r="D4386" s="760"/>
      <c r="E4386" s="760"/>
      <c r="F4386" s="760"/>
      <c r="G4386" s="760"/>
      <c r="H4386" s="760"/>
      <c r="I4386" s="760"/>
      <c r="J4386" s="760"/>
      <c r="K4386" s="760"/>
    </row>
    <row r="4387" spans="1:11">
      <c r="A4387" s="760"/>
      <c r="B4387" s="760"/>
      <c r="C4387" s="760"/>
      <c r="D4387" s="760"/>
      <c r="E4387" s="760"/>
      <c r="F4387" s="760"/>
      <c r="G4387" s="760"/>
      <c r="H4387" s="760"/>
      <c r="I4387" s="760"/>
      <c r="J4387" s="760"/>
      <c r="K4387" s="760"/>
    </row>
    <row r="4388" spans="1:11">
      <c r="A4388" s="760"/>
      <c r="B4388" s="760"/>
      <c r="C4388" s="760"/>
      <c r="D4388" s="760"/>
      <c r="E4388" s="760"/>
      <c r="F4388" s="760"/>
      <c r="G4388" s="760"/>
      <c r="H4388" s="760"/>
      <c r="I4388" s="760"/>
      <c r="J4388" s="760"/>
      <c r="K4388" s="760"/>
    </row>
    <row r="4389" spans="1:11">
      <c r="A4389" s="760"/>
      <c r="B4389" s="760"/>
      <c r="C4389" s="760"/>
      <c r="D4389" s="760"/>
      <c r="E4389" s="760"/>
      <c r="F4389" s="760"/>
      <c r="G4389" s="760"/>
      <c r="H4389" s="760"/>
      <c r="I4389" s="760"/>
      <c r="J4389" s="760"/>
      <c r="K4389" s="760"/>
    </row>
    <row r="4390" spans="1:11">
      <c r="A4390" s="760"/>
      <c r="B4390" s="760"/>
      <c r="C4390" s="760"/>
      <c r="D4390" s="760"/>
      <c r="E4390" s="760"/>
      <c r="F4390" s="760"/>
      <c r="G4390" s="760"/>
      <c r="H4390" s="760"/>
      <c r="I4390" s="760"/>
      <c r="J4390" s="760"/>
      <c r="K4390" s="760"/>
    </row>
    <row r="4391" spans="1:11">
      <c r="A4391" s="760"/>
      <c r="B4391" s="760"/>
      <c r="C4391" s="760"/>
      <c r="D4391" s="760"/>
      <c r="E4391" s="760"/>
      <c r="F4391" s="760"/>
      <c r="G4391" s="760"/>
      <c r="H4391" s="760"/>
      <c r="I4391" s="760"/>
      <c r="J4391" s="760"/>
      <c r="K4391" s="760"/>
    </row>
    <row r="4392" spans="1:11">
      <c r="A4392" s="760"/>
      <c r="B4392" s="760"/>
      <c r="C4392" s="760"/>
      <c r="D4392" s="760"/>
      <c r="E4392" s="760"/>
      <c r="F4392" s="760"/>
      <c r="G4392" s="760"/>
      <c r="H4392" s="760"/>
      <c r="I4392" s="760"/>
      <c r="J4392" s="760"/>
      <c r="K4392" s="760"/>
    </row>
    <row r="4393" spans="1:11">
      <c r="A4393" s="760"/>
      <c r="B4393" s="760"/>
      <c r="C4393" s="760"/>
      <c r="D4393" s="760"/>
      <c r="E4393" s="760"/>
      <c r="F4393" s="760"/>
      <c r="G4393" s="760"/>
      <c r="H4393" s="760"/>
      <c r="I4393" s="760"/>
      <c r="J4393" s="760"/>
      <c r="K4393" s="760"/>
    </row>
    <row r="4394" spans="1:11">
      <c r="A4394" s="760"/>
      <c r="B4394" s="760"/>
      <c r="C4394" s="760"/>
      <c r="D4394" s="760"/>
      <c r="E4394" s="760"/>
      <c r="F4394" s="760"/>
      <c r="G4394" s="760"/>
      <c r="H4394" s="760"/>
      <c r="I4394" s="760"/>
      <c r="J4394" s="760"/>
      <c r="K4394" s="760"/>
    </row>
    <row r="4395" spans="1:11">
      <c r="A4395" s="760"/>
      <c r="B4395" s="760"/>
      <c r="C4395" s="760"/>
      <c r="D4395" s="760"/>
      <c r="E4395" s="760"/>
      <c r="F4395" s="760"/>
      <c r="G4395" s="760"/>
      <c r="H4395" s="760"/>
      <c r="I4395" s="760"/>
      <c r="J4395" s="760"/>
      <c r="K4395" s="760"/>
    </row>
    <row r="4396" spans="1:11">
      <c r="A4396" s="760"/>
      <c r="B4396" s="760"/>
      <c r="C4396" s="760"/>
      <c r="D4396" s="760"/>
      <c r="E4396" s="760"/>
      <c r="F4396" s="760"/>
      <c r="G4396" s="760"/>
      <c r="H4396" s="760"/>
      <c r="I4396" s="760"/>
      <c r="J4396" s="760"/>
      <c r="K4396" s="760"/>
    </row>
    <row r="4397" spans="1:11">
      <c r="A4397" s="760"/>
      <c r="B4397" s="760"/>
      <c r="C4397" s="760"/>
      <c r="D4397" s="760"/>
      <c r="E4397" s="760"/>
      <c r="F4397" s="760"/>
      <c r="G4397" s="760"/>
      <c r="H4397" s="760"/>
      <c r="I4397" s="760"/>
      <c r="J4397" s="760"/>
      <c r="K4397" s="760"/>
    </row>
    <row r="4398" spans="1:11">
      <c r="A4398" s="760"/>
      <c r="B4398" s="760"/>
      <c r="C4398" s="760"/>
      <c r="D4398" s="760"/>
      <c r="E4398" s="760"/>
      <c r="F4398" s="760"/>
      <c r="G4398" s="760"/>
      <c r="H4398" s="760"/>
      <c r="I4398" s="760"/>
      <c r="J4398" s="760"/>
      <c r="K4398" s="760"/>
    </row>
    <row r="4399" spans="1:11">
      <c r="A4399" s="760"/>
      <c r="B4399" s="760"/>
      <c r="C4399" s="760"/>
      <c r="D4399" s="760"/>
      <c r="E4399" s="760"/>
      <c r="F4399" s="760"/>
      <c r="G4399" s="760"/>
      <c r="H4399" s="760"/>
      <c r="I4399" s="760"/>
      <c r="J4399" s="760"/>
      <c r="K4399" s="760"/>
    </row>
    <row r="4400" spans="1:11">
      <c r="A4400" s="760"/>
      <c r="B4400" s="760"/>
      <c r="C4400" s="760"/>
      <c r="D4400" s="760"/>
      <c r="E4400" s="760"/>
      <c r="F4400" s="760"/>
      <c r="G4400" s="760"/>
      <c r="H4400" s="760"/>
      <c r="I4400" s="760"/>
      <c r="J4400" s="760"/>
      <c r="K4400" s="760"/>
    </row>
    <row r="4401" spans="1:11">
      <c r="A4401" s="760"/>
      <c r="B4401" s="760"/>
      <c r="C4401" s="760"/>
      <c r="D4401" s="760"/>
      <c r="E4401" s="760"/>
      <c r="F4401" s="760"/>
      <c r="G4401" s="760"/>
      <c r="H4401" s="760"/>
      <c r="I4401" s="760"/>
      <c r="J4401" s="760"/>
      <c r="K4401" s="760"/>
    </row>
    <row r="4402" spans="1:11">
      <c r="A4402" s="760"/>
      <c r="B4402" s="760"/>
      <c r="C4402" s="760"/>
      <c r="D4402" s="760"/>
      <c r="E4402" s="760"/>
      <c r="F4402" s="760"/>
      <c r="G4402" s="760"/>
      <c r="H4402" s="760"/>
      <c r="I4402" s="760"/>
      <c r="J4402" s="760"/>
      <c r="K4402" s="760"/>
    </row>
    <row r="4403" spans="1:11">
      <c r="A4403" s="760"/>
      <c r="B4403" s="760"/>
      <c r="C4403" s="760"/>
      <c r="D4403" s="760"/>
      <c r="E4403" s="760"/>
      <c r="F4403" s="760"/>
      <c r="G4403" s="760"/>
      <c r="H4403" s="760"/>
      <c r="I4403" s="760"/>
      <c r="J4403" s="760"/>
      <c r="K4403" s="760"/>
    </row>
    <row r="4404" spans="1:11">
      <c r="A4404" s="760"/>
      <c r="B4404" s="760"/>
      <c r="C4404" s="760"/>
      <c r="D4404" s="760"/>
      <c r="E4404" s="760"/>
      <c r="F4404" s="760"/>
      <c r="G4404" s="760"/>
      <c r="H4404" s="760"/>
      <c r="I4404" s="760"/>
      <c r="J4404" s="760"/>
      <c r="K4404" s="760"/>
    </row>
    <row r="4405" spans="1:11">
      <c r="A4405" s="760"/>
      <c r="B4405" s="760"/>
      <c r="C4405" s="760"/>
      <c r="D4405" s="760"/>
      <c r="E4405" s="760"/>
      <c r="F4405" s="760"/>
      <c r="G4405" s="760"/>
      <c r="H4405" s="760"/>
      <c r="I4405" s="760"/>
      <c r="J4405" s="760"/>
      <c r="K4405" s="760"/>
    </row>
    <row r="4406" spans="1:11">
      <c r="A4406" s="760"/>
      <c r="B4406" s="760"/>
      <c r="C4406" s="760"/>
      <c r="D4406" s="760"/>
      <c r="E4406" s="760"/>
      <c r="F4406" s="760"/>
      <c r="G4406" s="760"/>
      <c r="H4406" s="760"/>
      <c r="I4406" s="760"/>
      <c r="J4406" s="760"/>
      <c r="K4406" s="760"/>
    </row>
    <row r="4407" spans="1:11">
      <c r="A4407" s="760"/>
      <c r="B4407" s="760"/>
      <c r="C4407" s="760"/>
      <c r="D4407" s="760"/>
      <c r="E4407" s="760"/>
      <c r="F4407" s="760"/>
      <c r="G4407" s="760"/>
      <c r="H4407" s="760"/>
      <c r="I4407" s="760"/>
      <c r="J4407" s="760"/>
      <c r="K4407" s="760"/>
    </row>
    <row r="4408" spans="1:11">
      <c r="A4408" s="760"/>
      <c r="B4408" s="760"/>
      <c r="C4408" s="760"/>
      <c r="D4408" s="760"/>
      <c r="E4408" s="760"/>
      <c r="F4408" s="760"/>
      <c r="G4408" s="760"/>
      <c r="H4408" s="760"/>
      <c r="I4408" s="760"/>
      <c r="J4408" s="760"/>
      <c r="K4408" s="760"/>
    </row>
    <row r="4409" spans="1:11">
      <c r="A4409" s="760"/>
      <c r="B4409" s="760"/>
      <c r="C4409" s="760"/>
      <c r="D4409" s="760"/>
      <c r="E4409" s="760"/>
      <c r="F4409" s="760"/>
      <c r="G4409" s="760"/>
      <c r="H4409" s="760"/>
      <c r="I4409" s="760"/>
      <c r="J4409" s="760"/>
      <c r="K4409" s="760"/>
    </row>
    <row r="4410" spans="1:11">
      <c r="A4410" s="760"/>
      <c r="B4410" s="760"/>
      <c r="C4410" s="760"/>
      <c r="D4410" s="760"/>
      <c r="E4410" s="760"/>
      <c r="F4410" s="760"/>
      <c r="G4410" s="760"/>
      <c r="H4410" s="760"/>
      <c r="I4410" s="760"/>
      <c r="J4410" s="760"/>
      <c r="K4410" s="760"/>
    </row>
    <row r="4411" spans="1:11">
      <c r="A4411" s="760"/>
      <c r="B4411" s="760"/>
      <c r="C4411" s="760"/>
      <c r="D4411" s="760"/>
      <c r="E4411" s="760"/>
      <c r="F4411" s="760"/>
      <c r="G4411" s="760"/>
      <c r="H4411" s="760"/>
      <c r="I4411" s="760"/>
      <c r="J4411" s="760"/>
      <c r="K4411" s="760"/>
    </row>
    <row r="4412" spans="1:11">
      <c r="A4412" s="760"/>
      <c r="B4412" s="760"/>
      <c r="C4412" s="760"/>
      <c r="D4412" s="760"/>
      <c r="E4412" s="760"/>
      <c r="F4412" s="760"/>
      <c r="G4412" s="760"/>
      <c r="H4412" s="760"/>
      <c r="I4412" s="760"/>
      <c r="J4412" s="760"/>
      <c r="K4412" s="760"/>
    </row>
    <row r="4413" spans="1:11">
      <c r="A4413" s="760"/>
      <c r="B4413" s="760"/>
      <c r="C4413" s="760"/>
      <c r="D4413" s="760"/>
      <c r="E4413" s="760"/>
      <c r="F4413" s="760"/>
      <c r="G4413" s="760"/>
      <c r="H4413" s="760"/>
      <c r="I4413" s="760"/>
      <c r="J4413" s="760"/>
      <c r="K4413" s="760"/>
    </row>
    <row r="4414" spans="1:11">
      <c r="A4414" s="760"/>
      <c r="B4414" s="760"/>
      <c r="C4414" s="760"/>
      <c r="D4414" s="760"/>
      <c r="E4414" s="760"/>
      <c r="F4414" s="760"/>
      <c r="G4414" s="760"/>
      <c r="H4414" s="760"/>
      <c r="I4414" s="760"/>
      <c r="J4414" s="760"/>
      <c r="K4414" s="760"/>
    </row>
    <row r="4415" spans="1:11">
      <c r="A4415" s="760"/>
      <c r="B4415" s="760"/>
      <c r="C4415" s="760"/>
      <c r="D4415" s="760"/>
      <c r="E4415" s="760"/>
      <c r="F4415" s="760"/>
      <c r="G4415" s="760"/>
      <c r="H4415" s="760"/>
      <c r="I4415" s="760"/>
      <c r="J4415" s="760"/>
      <c r="K4415" s="760"/>
    </row>
    <row r="4416" spans="1:11">
      <c r="A4416" s="760"/>
      <c r="B4416" s="760"/>
      <c r="C4416" s="760"/>
      <c r="D4416" s="760"/>
      <c r="E4416" s="760"/>
      <c r="F4416" s="760"/>
      <c r="G4416" s="760"/>
      <c r="H4416" s="760"/>
      <c r="I4416" s="760"/>
      <c r="J4416" s="760"/>
      <c r="K4416" s="760"/>
    </row>
    <row r="4417" spans="1:11">
      <c r="A4417" s="760"/>
      <c r="B4417" s="760"/>
      <c r="C4417" s="760"/>
      <c r="D4417" s="760"/>
      <c r="E4417" s="760"/>
      <c r="F4417" s="760"/>
      <c r="G4417" s="760"/>
      <c r="H4417" s="760"/>
      <c r="I4417" s="760"/>
      <c r="J4417" s="760"/>
      <c r="K4417" s="760"/>
    </row>
    <row r="4418" spans="1:11">
      <c r="A4418" s="760"/>
      <c r="B4418" s="760"/>
      <c r="C4418" s="760"/>
      <c r="D4418" s="760"/>
      <c r="E4418" s="760"/>
      <c r="F4418" s="760"/>
      <c r="G4418" s="760"/>
      <c r="H4418" s="760"/>
      <c r="I4418" s="760"/>
      <c r="J4418" s="760"/>
      <c r="K4418" s="760"/>
    </row>
    <row r="4419" spans="1:11">
      <c r="A4419" s="760"/>
      <c r="B4419" s="760"/>
      <c r="C4419" s="760"/>
      <c r="D4419" s="760"/>
      <c r="E4419" s="760"/>
      <c r="F4419" s="760"/>
      <c r="G4419" s="760"/>
      <c r="H4419" s="760"/>
      <c r="I4419" s="760"/>
      <c r="J4419" s="760"/>
      <c r="K4419" s="760"/>
    </row>
    <row r="4420" spans="1:11">
      <c r="A4420" s="760"/>
      <c r="B4420" s="760"/>
      <c r="C4420" s="760"/>
      <c r="D4420" s="760"/>
      <c r="E4420" s="760"/>
      <c r="F4420" s="760"/>
      <c r="G4420" s="760"/>
      <c r="H4420" s="760"/>
      <c r="I4420" s="760"/>
      <c r="J4420" s="760"/>
      <c r="K4420" s="760"/>
    </row>
    <row r="4421" spans="1:11">
      <c r="A4421" s="760"/>
      <c r="B4421" s="760"/>
      <c r="C4421" s="760"/>
      <c r="D4421" s="760"/>
      <c r="E4421" s="760"/>
      <c r="F4421" s="760"/>
      <c r="G4421" s="760"/>
      <c r="H4421" s="760"/>
      <c r="I4421" s="760"/>
      <c r="J4421" s="760"/>
      <c r="K4421" s="760"/>
    </row>
    <row r="4422" spans="1:11">
      <c r="A4422" s="760"/>
      <c r="B4422" s="760"/>
      <c r="C4422" s="760"/>
      <c r="D4422" s="760"/>
      <c r="E4422" s="760"/>
      <c r="F4422" s="760"/>
      <c r="G4422" s="760"/>
      <c r="H4422" s="760"/>
      <c r="I4422" s="760"/>
      <c r="J4422" s="760"/>
      <c r="K4422" s="760"/>
    </row>
    <row r="4423" spans="1:11">
      <c r="A4423" s="760"/>
      <c r="B4423" s="760"/>
      <c r="C4423" s="760"/>
      <c r="D4423" s="760"/>
      <c r="E4423" s="760"/>
      <c r="F4423" s="760"/>
      <c r="G4423" s="760"/>
      <c r="H4423" s="760"/>
      <c r="I4423" s="760"/>
      <c r="J4423" s="760"/>
      <c r="K4423" s="760"/>
    </row>
    <row r="4424" spans="1:11">
      <c r="A4424" s="760"/>
      <c r="B4424" s="760"/>
      <c r="C4424" s="760"/>
      <c r="D4424" s="760"/>
      <c r="E4424" s="760"/>
      <c r="F4424" s="760"/>
      <c r="G4424" s="760"/>
      <c r="H4424" s="760"/>
      <c r="I4424" s="760"/>
      <c r="J4424" s="760"/>
      <c r="K4424" s="760"/>
    </row>
    <row r="4425" spans="1:11">
      <c r="A4425" s="760"/>
      <c r="B4425" s="760"/>
      <c r="C4425" s="760"/>
      <c r="D4425" s="760"/>
      <c r="E4425" s="760"/>
      <c r="F4425" s="760"/>
      <c r="G4425" s="760"/>
      <c r="H4425" s="760"/>
      <c r="I4425" s="760"/>
      <c r="J4425" s="760"/>
      <c r="K4425" s="760"/>
    </row>
    <row r="4426" spans="1:11">
      <c r="A4426" s="760"/>
      <c r="B4426" s="760"/>
      <c r="C4426" s="760"/>
      <c r="D4426" s="760"/>
      <c r="E4426" s="760"/>
      <c r="F4426" s="760"/>
      <c r="G4426" s="760"/>
      <c r="H4426" s="760"/>
      <c r="I4426" s="760"/>
      <c r="J4426" s="760"/>
      <c r="K4426" s="760"/>
    </row>
    <row r="4427" spans="1:11">
      <c r="A4427" s="760"/>
      <c r="B4427" s="760"/>
      <c r="C4427" s="760"/>
      <c r="D4427" s="760"/>
      <c r="E4427" s="760"/>
      <c r="F4427" s="760"/>
      <c r="G4427" s="760"/>
      <c r="H4427" s="760"/>
      <c r="I4427" s="760"/>
      <c r="J4427" s="760"/>
      <c r="K4427" s="760"/>
    </row>
    <row r="4428" spans="1:11">
      <c r="A4428" s="760"/>
      <c r="B4428" s="760"/>
      <c r="C4428" s="760"/>
      <c r="D4428" s="760"/>
      <c r="E4428" s="760"/>
      <c r="F4428" s="760"/>
      <c r="G4428" s="760"/>
      <c r="H4428" s="760"/>
      <c r="I4428" s="760"/>
      <c r="J4428" s="760"/>
      <c r="K4428" s="760"/>
    </row>
    <row r="4429" spans="1:11">
      <c r="A4429" s="760"/>
      <c r="B4429" s="760"/>
      <c r="C4429" s="760"/>
      <c r="D4429" s="760"/>
      <c r="E4429" s="760"/>
      <c r="F4429" s="760"/>
      <c r="G4429" s="760"/>
      <c r="H4429" s="760"/>
      <c r="I4429" s="760"/>
      <c r="J4429" s="760"/>
      <c r="K4429" s="760"/>
    </row>
    <row r="4430" spans="1:11">
      <c r="A4430" s="760"/>
      <c r="B4430" s="760"/>
      <c r="C4430" s="760"/>
      <c r="D4430" s="760"/>
      <c r="E4430" s="760"/>
      <c r="F4430" s="760"/>
      <c r="G4430" s="760"/>
      <c r="H4430" s="760"/>
      <c r="I4430" s="760"/>
      <c r="J4430" s="760"/>
      <c r="K4430" s="760"/>
    </row>
    <row r="4431" spans="1:11">
      <c r="A4431" s="760"/>
      <c r="B4431" s="760"/>
      <c r="C4431" s="760"/>
      <c r="D4431" s="760"/>
      <c r="E4431" s="760"/>
      <c r="F4431" s="760"/>
      <c r="G4431" s="760"/>
      <c r="H4431" s="760"/>
      <c r="I4431" s="760"/>
      <c r="J4431" s="760"/>
      <c r="K4431" s="760"/>
    </row>
    <row r="4432" spans="1:11">
      <c r="A4432" s="760"/>
      <c r="B4432" s="760"/>
      <c r="C4432" s="760"/>
      <c r="D4432" s="760"/>
      <c r="E4432" s="760"/>
      <c r="F4432" s="760"/>
      <c r="G4432" s="760"/>
      <c r="H4432" s="760"/>
      <c r="I4432" s="760"/>
      <c r="J4432" s="760"/>
      <c r="K4432" s="760"/>
    </row>
    <row r="4433" spans="1:11">
      <c r="A4433" s="760"/>
      <c r="B4433" s="760"/>
      <c r="C4433" s="760"/>
      <c r="D4433" s="760"/>
      <c r="E4433" s="760"/>
      <c r="F4433" s="760"/>
      <c r="G4433" s="760"/>
      <c r="H4433" s="760"/>
      <c r="I4433" s="760"/>
      <c r="J4433" s="760"/>
      <c r="K4433" s="760"/>
    </row>
    <row r="4434" spans="1:11">
      <c r="A4434" s="760"/>
      <c r="B4434" s="760"/>
      <c r="C4434" s="760"/>
      <c r="D4434" s="760"/>
      <c r="E4434" s="760"/>
      <c r="F4434" s="760"/>
      <c r="G4434" s="760"/>
      <c r="H4434" s="760"/>
      <c r="I4434" s="760"/>
      <c r="J4434" s="760"/>
      <c r="K4434" s="760"/>
    </row>
    <row r="4435" spans="1:11">
      <c r="A4435" s="760"/>
      <c r="B4435" s="760"/>
      <c r="C4435" s="760"/>
      <c r="D4435" s="760"/>
      <c r="E4435" s="760"/>
      <c r="F4435" s="760"/>
      <c r="G4435" s="760"/>
      <c r="H4435" s="760"/>
      <c r="I4435" s="760"/>
      <c r="J4435" s="760"/>
      <c r="K4435" s="760"/>
    </row>
    <row r="4436" spans="1:11">
      <c r="A4436" s="760"/>
      <c r="B4436" s="760"/>
      <c r="C4436" s="760"/>
      <c r="D4436" s="760"/>
      <c r="E4436" s="760"/>
      <c r="F4436" s="760"/>
      <c r="G4436" s="760"/>
      <c r="H4436" s="760"/>
      <c r="I4436" s="760"/>
      <c r="J4436" s="760"/>
      <c r="K4436" s="760"/>
    </row>
    <row r="4437" spans="1:11">
      <c r="A4437" s="760"/>
      <c r="B4437" s="760"/>
      <c r="C4437" s="760"/>
      <c r="D4437" s="760"/>
      <c r="E4437" s="760"/>
      <c r="F4437" s="760"/>
      <c r="G4437" s="760"/>
      <c r="H4437" s="760"/>
      <c r="I4437" s="760"/>
      <c r="J4437" s="760"/>
      <c r="K4437" s="760"/>
    </row>
    <row r="4438" spans="1:11">
      <c r="A4438" s="760"/>
      <c r="B4438" s="760"/>
      <c r="C4438" s="760"/>
      <c r="D4438" s="760"/>
      <c r="E4438" s="760"/>
      <c r="F4438" s="760"/>
      <c r="G4438" s="760"/>
      <c r="H4438" s="760"/>
      <c r="I4438" s="760"/>
      <c r="J4438" s="760"/>
      <c r="K4438" s="760"/>
    </row>
    <row r="4439" spans="1:11">
      <c r="A4439" s="760"/>
      <c r="B4439" s="760"/>
      <c r="C4439" s="760"/>
      <c r="D4439" s="760"/>
      <c r="E4439" s="760"/>
      <c r="F4439" s="760"/>
      <c r="G4439" s="760"/>
      <c r="H4439" s="760"/>
      <c r="I4439" s="760"/>
      <c r="J4439" s="760"/>
      <c r="K4439" s="760"/>
    </row>
    <row r="4440" spans="1:11">
      <c r="A4440" s="760"/>
      <c r="B4440" s="760"/>
      <c r="C4440" s="760"/>
      <c r="D4440" s="760"/>
      <c r="E4440" s="760"/>
      <c r="F4440" s="760"/>
      <c r="G4440" s="760"/>
      <c r="H4440" s="760"/>
      <c r="I4440" s="760"/>
      <c r="J4440" s="760"/>
      <c r="K4440" s="760"/>
    </row>
    <row r="4441" spans="1:11">
      <c r="A4441" s="760"/>
      <c r="B4441" s="760"/>
      <c r="C4441" s="760"/>
      <c r="D4441" s="760"/>
      <c r="E4441" s="760"/>
      <c r="F4441" s="760"/>
      <c r="G4441" s="760"/>
      <c r="H4441" s="760"/>
      <c r="I4441" s="760"/>
      <c r="J4441" s="760"/>
      <c r="K4441" s="760"/>
    </row>
    <row r="4442" spans="1:11">
      <c r="A4442" s="760"/>
      <c r="B4442" s="760"/>
      <c r="C4442" s="760"/>
      <c r="D4442" s="760"/>
      <c r="E4442" s="760"/>
      <c r="F4442" s="760"/>
      <c r="G4442" s="760"/>
      <c r="H4442" s="760"/>
      <c r="I4442" s="760"/>
      <c r="J4442" s="760"/>
      <c r="K4442" s="760"/>
    </row>
    <row r="4443" spans="1:11">
      <c r="A4443" s="760"/>
      <c r="B4443" s="760"/>
      <c r="C4443" s="760"/>
      <c r="D4443" s="760"/>
      <c r="E4443" s="760"/>
      <c r="F4443" s="760"/>
      <c r="G4443" s="760"/>
      <c r="H4443" s="760"/>
      <c r="I4443" s="760"/>
      <c r="J4443" s="760"/>
      <c r="K4443" s="760"/>
    </row>
    <row r="4444" spans="1:11">
      <c r="A4444" s="760"/>
      <c r="B4444" s="760"/>
      <c r="C4444" s="760"/>
      <c r="D4444" s="760"/>
      <c r="E4444" s="760"/>
      <c r="F4444" s="760"/>
      <c r="G4444" s="760"/>
      <c r="H4444" s="760"/>
      <c r="I4444" s="760"/>
      <c r="J4444" s="760"/>
      <c r="K4444" s="760"/>
    </row>
    <row r="4445" spans="1:11">
      <c r="A4445" s="760"/>
      <c r="B4445" s="760"/>
      <c r="C4445" s="760"/>
      <c r="D4445" s="760"/>
      <c r="E4445" s="760"/>
      <c r="F4445" s="760"/>
      <c r="G4445" s="760"/>
      <c r="H4445" s="760"/>
      <c r="I4445" s="760"/>
      <c r="J4445" s="760"/>
      <c r="K4445" s="760"/>
    </row>
    <row r="4446" spans="1:11">
      <c r="A4446" s="760"/>
      <c r="B4446" s="760"/>
      <c r="C4446" s="760"/>
      <c r="D4446" s="760"/>
      <c r="E4446" s="760"/>
      <c r="F4446" s="760"/>
      <c r="G4446" s="760"/>
      <c r="H4446" s="760"/>
      <c r="I4446" s="760"/>
      <c r="J4446" s="760"/>
      <c r="K4446" s="760"/>
    </row>
    <row r="4447" spans="1:11">
      <c r="A4447" s="760"/>
      <c r="B4447" s="760"/>
      <c r="C4447" s="760"/>
      <c r="D4447" s="760"/>
      <c r="E4447" s="760"/>
      <c r="F4447" s="760"/>
      <c r="G4447" s="760"/>
      <c r="H4447" s="760"/>
      <c r="I4447" s="760"/>
      <c r="J4447" s="760"/>
      <c r="K4447" s="760"/>
    </row>
    <row r="4448" spans="1:11">
      <c r="A4448" s="760"/>
      <c r="B4448" s="760"/>
      <c r="C4448" s="760"/>
      <c r="D4448" s="760"/>
      <c r="E4448" s="760"/>
      <c r="F4448" s="760"/>
      <c r="G4448" s="760"/>
      <c r="H4448" s="760"/>
      <c r="I4448" s="760"/>
      <c r="J4448" s="760"/>
      <c r="K4448" s="760"/>
    </row>
    <row r="4449" spans="1:11">
      <c r="A4449" s="760"/>
      <c r="B4449" s="760"/>
      <c r="C4449" s="760"/>
      <c r="D4449" s="760"/>
      <c r="E4449" s="760"/>
      <c r="F4449" s="760"/>
      <c r="G4449" s="760"/>
      <c r="H4449" s="760"/>
      <c r="I4449" s="760"/>
      <c r="J4449" s="760"/>
      <c r="K4449" s="760"/>
    </row>
    <row r="4450" spans="1:11">
      <c r="A4450" s="760"/>
      <c r="B4450" s="760"/>
      <c r="C4450" s="760"/>
      <c r="D4450" s="760"/>
      <c r="E4450" s="760"/>
      <c r="F4450" s="760"/>
      <c r="G4450" s="760"/>
      <c r="H4450" s="760"/>
      <c r="I4450" s="760"/>
      <c r="J4450" s="760"/>
      <c r="K4450" s="760"/>
    </row>
    <row r="4451" spans="1:11">
      <c r="A4451" s="760"/>
      <c r="B4451" s="760"/>
      <c r="C4451" s="760"/>
      <c r="D4451" s="760"/>
      <c r="E4451" s="760"/>
      <c r="F4451" s="760"/>
      <c r="G4451" s="760"/>
      <c r="H4451" s="760"/>
      <c r="I4451" s="760"/>
      <c r="J4451" s="760"/>
      <c r="K4451" s="760"/>
    </row>
    <row r="4452" spans="1:11">
      <c r="A4452" s="760"/>
      <c r="B4452" s="760"/>
      <c r="C4452" s="760"/>
      <c r="D4452" s="760"/>
      <c r="E4452" s="760"/>
      <c r="F4452" s="760"/>
      <c r="G4452" s="760"/>
      <c r="H4452" s="760"/>
      <c r="I4452" s="760"/>
      <c r="J4452" s="760"/>
      <c r="K4452" s="760"/>
    </row>
    <row r="4453" spans="1:11">
      <c r="A4453" s="760"/>
      <c r="B4453" s="760"/>
      <c r="C4453" s="760"/>
      <c r="D4453" s="760"/>
      <c r="E4453" s="760"/>
      <c r="F4453" s="760"/>
      <c r="G4453" s="760"/>
      <c r="H4453" s="760"/>
      <c r="I4453" s="760"/>
      <c r="J4453" s="760"/>
      <c r="K4453" s="760"/>
    </row>
    <row r="4454" spans="1:11">
      <c r="A4454" s="760"/>
      <c r="B4454" s="760"/>
      <c r="C4454" s="760"/>
      <c r="D4454" s="760"/>
      <c r="E4454" s="760"/>
      <c r="F4454" s="760"/>
      <c r="G4454" s="760"/>
      <c r="H4454" s="760"/>
      <c r="I4454" s="760"/>
      <c r="J4454" s="760"/>
      <c r="K4454" s="760"/>
    </row>
    <row r="4455" spans="1:11">
      <c r="A4455" s="760"/>
      <c r="B4455" s="760"/>
      <c r="C4455" s="760"/>
      <c r="D4455" s="760"/>
      <c r="E4455" s="760"/>
      <c r="F4455" s="760"/>
      <c r="G4455" s="760"/>
      <c r="H4455" s="760"/>
      <c r="I4455" s="760"/>
      <c r="J4455" s="760"/>
      <c r="K4455" s="760"/>
    </row>
    <row r="4456" spans="1:11">
      <c r="A4456" s="760"/>
      <c r="B4456" s="760"/>
      <c r="C4456" s="760"/>
      <c r="D4456" s="760"/>
      <c r="E4456" s="760"/>
      <c r="F4456" s="760"/>
      <c r="G4456" s="760"/>
      <c r="H4456" s="760"/>
      <c r="I4456" s="760"/>
      <c r="J4456" s="760"/>
      <c r="K4456" s="760"/>
    </row>
    <row r="4457" spans="1:11">
      <c r="A4457" s="760"/>
      <c r="B4457" s="760"/>
      <c r="C4457" s="760"/>
      <c r="D4457" s="760"/>
      <c r="E4457" s="760"/>
      <c r="F4457" s="760"/>
      <c r="G4457" s="760"/>
      <c r="H4457" s="760"/>
      <c r="I4457" s="760"/>
      <c r="J4457" s="760"/>
      <c r="K4457" s="760"/>
    </row>
    <row r="4458" spans="1:11">
      <c r="A4458" s="760"/>
      <c r="B4458" s="760"/>
      <c r="C4458" s="760"/>
      <c r="D4458" s="760"/>
      <c r="E4458" s="760"/>
      <c r="F4458" s="760"/>
      <c r="G4458" s="760"/>
      <c r="H4458" s="760"/>
      <c r="I4458" s="760"/>
      <c r="J4458" s="760"/>
      <c r="K4458" s="760"/>
    </row>
    <row r="4459" spans="1:11">
      <c r="A4459" s="760"/>
      <c r="B4459" s="760"/>
      <c r="C4459" s="760"/>
      <c r="D4459" s="760"/>
      <c r="E4459" s="760"/>
      <c r="F4459" s="760"/>
      <c r="G4459" s="760"/>
      <c r="H4459" s="760"/>
      <c r="I4459" s="760"/>
      <c r="J4459" s="760"/>
      <c r="K4459" s="760"/>
    </row>
    <row r="4460" spans="1:11">
      <c r="A4460" s="760"/>
      <c r="B4460" s="760"/>
      <c r="C4460" s="760"/>
      <c r="D4460" s="760"/>
      <c r="E4460" s="760"/>
      <c r="F4460" s="760"/>
      <c r="G4460" s="760"/>
      <c r="H4460" s="760"/>
      <c r="I4460" s="760"/>
      <c r="J4460" s="760"/>
      <c r="K4460" s="760"/>
    </row>
    <row r="4461" spans="1:11">
      <c r="A4461" s="760"/>
      <c r="B4461" s="760"/>
      <c r="C4461" s="760"/>
      <c r="D4461" s="760"/>
      <c r="E4461" s="760"/>
      <c r="F4461" s="760"/>
      <c r="G4461" s="760"/>
      <c r="H4461" s="760"/>
      <c r="I4461" s="760"/>
      <c r="J4461" s="760"/>
      <c r="K4461" s="760"/>
    </row>
    <row r="4462" spans="1:11">
      <c r="A4462" s="760"/>
      <c r="B4462" s="760"/>
      <c r="C4462" s="760"/>
      <c r="D4462" s="760"/>
      <c r="E4462" s="760"/>
      <c r="F4462" s="760"/>
      <c r="G4462" s="760"/>
      <c r="H4462" s="760"/>
      <c r="I4462" s="760"/>
      <c r="J4462" s="760"/>
      <c r="K4462" s="760"/>
    </row>
    <row r="4463" spans="1:11">
      <c r="A4463" s="760"/>
      <c r="B4463" s="760"/>
      <c r="C4463" s="760"/>
      <c r="D4463" s="760"/>
      <c r="E4463" s="760"/>
      <c r="F4463" s="760"/>
      <c r="G4463" s="760"/>
      <c r="H4463" s="760"/>
      <c r="I4463" s="760"/>
      <c r="J4463" s="760"/>
      <c r="K4463" s="760"/>
    </row>
    <row r="4464" spans="1:11">
      <c r="A4464" s="760"/>
      <c r="B4464" s="760"/>
      <c r="C4464" s="760"/>
      <c r="D4464" s="760"/>
      <c r="E4464" s="760"/>
      <c r="F4464" s="760"/>
      <c r="G4464" s="760"/>
      <c r="H4464" s="760"/>
      <c r="I4464" s="760"/>
      <c r="J4464" s="760"/>
      <c r="K4464" s="760"/>
    </row>
    <row r="4465" spans="1:11">
      <c r="A4465" s="760"/>
      <c r="B4465" s="760"/>
      <c r="C4465" s="760"/>
      <c r="D4465" s="760"/>
      <c r="E4465" s="760"/>
      <c r="F4465" s="760"/>
      <c r="G4465" s="760"/>
      <c r="H4465" s="760"/>
      <c r="I4465" s="760"/>
      <c r="J4465" s="760"/>
      <c r="K4465" s="760"/>
    </row>
    <row r="4466" spans="1:11">
      <c r="A4466" s="760"/>
      <c r="B4466" s="760"/>
      <c r="C4466" s="760"/>
      <c r="D4466" s="760"/>
      <c r="E4466" s="760"/>
      <c r="F4466" s="760"/>
      <c r="G4466" s="760"/>
      <c r="H4466" s="760"/>
      <c r="I4466" s="760"/>
      <c r="J4466" s="760"/>
      <c r="K4466" s="760"/>
    </row>
    <row r="4467" spans="1:11">
      <c r="A4467" s="760"/>
      <c r="B4467" s="760"/>
      <c r="C4467" s="760"/>
      <c r="D4467" s="760"/>
      <c r="E4467" s="760"/>
      <c r="F4467" s="760"/>
      <c r="G4467" s="760"/>
      <c r="H4467" s="760"/>
      <c r="I4467" s="760"/>
      <c r="J4467" s="760"/>
      <c r="K4467" s="760"/>
    </row>
    <row r="4468" spans="1:11">
      <c r="A4468" s="760"/>
      <c r="B4468" s="760"/>
      <c r="C4468" s="760"/>
      <c r="D4468" s="760"/>
      <c r="E4468" s="760"/>
      <c r="F4468" s="760"/>
      <c r="G4468" s="760"/>
      <c r="H4468" s="760"/>
      <c r="I4468" s="760"/>
      <c r="J4468" s="760"/>
      <c r="K4468" s="760"/>
    </row>
    <row r="4469" spans="1:11">
      <c r="A4469" s="760"/>
      <c r="B4469" s="760"/>
      <c r="C4469" s="760"/>
      <c r="D4469" s="760"/>
      <c r="E4469" s="760"/>
      <c r="F4469" s="760"/>
      <c r="G4469" s="760"/>
      <c r="H4469" s="760"/>
      <c r="I4469" s="760"/>
      <c r="J4469" s="760"/>
      <c r="K4469" s="760"/>
    </row>
    <row r="4470" spans="1:11">
      <c r="A4470" s="760"/>
      <c r="B4470" s="760"/>
      <c r="C4470" s="760"/>
      <c r="D4470" s="760"/>
      <c r="E4470" s="760"/>
      <c r="F4470" s="760"/>
      <c r="G4470" s="760"/>
      <c r="H4470" s="760"/>
      <c r="I4470" s="760"/>
      <c r="J4470" s="760"/>
      <c r="K4470" s="760"/>
    </row>
    <row r="4471" spans="1:11">
      <c r="A4471" s="760"/>
      <c r="B4471" s="760"/>
      <c r="C4471" s="760"/>
      <c r="D4471" s="760"/>
      <c r="E4471" s="760"/>
      <c r="F4471" s="760"/>
      <c r="G4471" s="760"/>
      <c r="H4471" s="760"/>
      <c r="I4471" s="760"/>
      <c r="J4471" s="760"/>
      <c r="K4471" s="760"/>
    </row>
    <row r="4472" spans="1:11">
      <c r="A4472" s="760"/>
      <c r="B4472" s="760"/>
      <c r="C4472" s="760"/>
      <c r="D4472" s="760"/>
      <c r="E4472" s="760"/>
      <c r="F4472" s="760"/>
      <c r="G4472" s="760"/>
      <c r="H4472" s="760"/>
      <c r="I4472" s="760"/>
      <c r="J4472" s="760"/>
      <c r="K4472" s="760"/>
    </row>
    <row r="4473" spans="1:11">
      <c r="A4473" s="760"/>
      <c r="B4473" s="760"/>
      <c r="C4473" s="760"/>
      <c r="D4473" s="760"/>
      <c r="E4473" s="760"/>
      <c r="F4473" s="760"/>
      <c r="G4473" s="760"/>
      <c r="H4473" s="760"/>
      <c r="I4473" s="760"/>
      <c r="J4473" s="760"/>
      <c r="K4473" s="760"/>
    </row>
    <row r="4474" spans="1:11">
      <c r="A4474" s="760"/>
      <c r="B4474" s="760"/>
      <c r="C4474" s="760"/>
      <c r="D4474" s="760"/>
      <c r="E4474" s="760"/>
      <c r="F4474" s="760"/>
      <c r="G4474" s="760"/>
      <c r="H4474" s="760"/>
      <c r="I4474" s="760"/>
      <c r="J4474" s="760"/>
      <c r="K4474" s="760"/>
    </row>
    <row r="4475" spans="1:11">
      <c r="A4475" s="760"/>
      <c r="B4475" s="760"/>
      <c r="C4475" s="760"/>
      <c r="D4475" s="760"/>
      <c r="E4475" s="760"/>
      <c r="F4475" s="760"/>
      <c r="G4475" s="760"/>
      <c r="H4475" s="760"/>
      <c r="I4475" s="760"/>
      <c r="J4475" s="760"/>
      <c r="K4475" s="760"/>
    </row>
    <row r="4476" spans="1:11">
      <c r="A4476" s="760"/>
      <c r="B4476" s="760"/>
      <c r="C4476" s="760"/>
      <c r="D4476" s="760"/>
      <c r="E4476" s="760"/>
      <c r="F4476" s="760"/>
      <c r="G4476" s="760"/>
      <c r="H4476" s="760"/>
      <c r="I4476" s="760"/>
      <c r="J4476" s="760"/>
      <c r="K4476" s="760"/>
    </row>
    <row r="4477" spans="1:11">
      <c r="A4477" s="760"/>
      <c r="B4477" s="760"/>
      <c r="C4477" s="760"/>
      <c r="D4477" s="760"/>
      <c r="E4477" s="760"/>
      <c r="F4477" s="760"/>
      <c r="G4477" s="760"/>
      <c r="H4477" s="760"/>
      <c r="I4477" s="760"/>
      <c r="J4477" s="760"/>
      <c r="K4477" s="760"/>
    </row>
    <row r="4478" spans="1:11">
      <c r="A4478" s="760"/>
      <c r="B4478" s="760"/>
      <c r="C4478" s="760"/>
      <c r="D4478" s="760"/>
      <c r="E4478" s="760"/>
      <c r="F4478" s="760"/>
      <c r="G4478" s="760"/>
      <c r="H4478" s="760"/>
      <c r="I4478" s="760"/>
      <c r="J4478" s="760"/>
      <c r="K4478" s="760"/>
    </row>
    <row r="4479" spans="1:11">
      <c r="A4479" s="760"/>
      <c r="B4479" s="760"/>
      <c r="C4479" s="760"/>
      <c r="D4479" s="760"/>
      <c r="E4479" s="760"/>
      <c r="F4479" s="760"/>
      <c r="G4479" s="760"/>
      <c r="H4479" s="760"/>
      <c r="I4479" s="760"/>
      <c r="J4479" s="760"/>
      <c r="K4479" s="760"/>
    </row>
    <row r="4480" spans="1:11">
      <c r="A4480" s="760"/>
      <c r="B4480" s="760"/>
      <c r="C4480" s="760"/>
      <c r="D4480" s="760"/>
      <c r="E4480" s="760"/>
      <c r="F4480" s="760"/>
      <c r="G4480" s="760"/>
      <c r="H4480" s="760"/>
      <c r="I4480" s="760"/>
      <c r="J4480" s="760"/>
      <c r="K4480" s="760"/>
    </row>
    <row r="4481" spans="1:11">
      <c r="A4481" s="760"/>
      <c r="B4481" s="760"/>
      <c r="C4481" s="760"/>
      <c r="D4481" s="760"/>
      <c r="E4481" s="760"/>
      <c r="F4481" s="760"/>
      <c r="G4481" s="760"/>
      <c r="H4481" s="760"/>
      <c r="I4481" s="760"/>
      <c r="J4481" s="760"/>
      <c r="K4481" s="760"/>
    </row>
    <row r="4482" spans="1:11">
      <c r="A4482" s="760"/>
      <c r="B4482" s="760"/>
      <c r="C4482" s="760"/>
      <c r="D4482" s="760"/>
      <c r="E4482" s="760"/>
      <c r="F4482" s="760"/>
      <c r="G4482" s="760"/>
      <c r="H4482" s="760"/>
      <c r="I4482" s="760"/>
      <c r="J4482" s="760"/>
      <c r="K4482" s="760"/>
    </row>
    <row r="4483" spans="1:11">
      <c r="A4483" s="760"/>
      <c r="B4483" s="760"/>
      <c r="C4483" s="760"/>
      <c r="D4483" s="760"/>
      <c r="E4483" s="760"/>
      <c r="F4483" s="760"/>
      <c r="G4483" s="760"/>
      <c r="H4483" s="760"/>
      <c r="I4483" s="760"/>
      <c r="J4483" s="760"/>
      <c r="K4483" s="760"/>
    </row>
    <row r="4484" spans="1:11">
      <c r="A4484" s="760"/>
      <c r="B4484" s="760"/>
      <c r="C4484" s="760"/>
      <c r="D4484" s="760"/>
      <c r="E4484" s="760"/>
      <c r="F4484" s="760"/>
      <c r="G4484" s="760"/>
      <c r="H4484" s="760"/>
      <c r="I4484" s="760"/>
      <c r="J4484" s="760"/>
      <c r="K4484" s="760"/>
    </row>
    <row r="4485" spans="1:11">
      <c r="A4485" s="760"/>
      <c r="B4485" s="760"/>
      <c r="C4485" s="760"/>
      <c r="D4485" s="760"/>
      <c r="E4485" s="760"/>
      <c r="F4485" s="760"/>
      <c r="G4485" s="760"/>
      <c r="H4485" s="760"/>
      <c r="I4485" s="760"/>
      <c r="J4485" s="760"/>
      <c r="K4485" s="760"/>
    </row>
    <row r="4486" spans="1:11">
      <c r="A4486" s="760"/>
      <c r="B4486" s="760"/>
      <c r="C4486" s="760"/>
      <c r="D4486" s="760"/>
      <c r="E4486" s="760"/>
      <c r="F4486" s="760"/>
      <c r="G4486" s="760"/>
      <c r="H4486" s="760"/>
      <c r="I4486" s="760"/>
      <c r="J4486" s="760"/>
      <c r="K4486" s="760"/>
    </row>
    <row r="4487" spans="1:11">
      <c r="A4487" s="760"/>
      <c r="B4487" s="760"/>
      <c r="C4487" s="760"/>
      <c r="D4487" s="760"/>
      <c r="E4487" s="760"/>
      <c r="F4487" s="760"/>
      <c r="G4487" s="760"/>
      <c r="H4487" s="760"/>
      <c r="I4487" s="760"/>
      <c r="J4487" s="760"/>
      <c r="K4487" s="760"/>
    </row>
    <row r="4488" spans="1:11">
      <c r="A4488" s="760"/>
      <c r="B4488" s="760"/>
      <c r="C4488" s="760"/>
      <c r="D4488" s="760"/>
      <c r="E4488" s="760"/>
      <c r="F4488" s="760"/>
      <c r="G4488" s="760"/>
      <c r="H4488" s="760"/>
      <c r="I4488" s="760"/>
      <c r="J4488" s="760"/>
      <c r="K4488" s="760"/>
    </row>
    <row r="4489" spans="1:11">
      <c r="A4489" s="760"/>
      <c r="B4489" s="760"/>
      <c r="C4489" s="760"/>
      <c r="D4489" s="760"/>
      <c r="E4489" s="760"/>
      <c r="F4489" s="760"/>
      <c r="G4489" s="760"/>
      <c r="H4489" s="760"/>
      <c r="I4489" s="760"/>
      <c r="J4489" s="760"/>
      <c r="K4489" s="760"/>
    </row>
    <row r="4490" spans="1:11">
      <c r="A4490" s="760"/>
      <c r="B4490" s="760"/>
      <c r="C4490" s="760"/>
      <c r="D4490" s="760"/>
      <c r="E4490" s="760"/>
      <c r="F4490" s="760"/>
      <c r="G4490" s="760"/>
      <c r="H4490" s="760"/>
      <c r="I4490" s="760"/>
      <c r="J4490" s="760"/>
      <c r="K4490" s="760"/>
    </row>
    <row r="4491" spans="1:11">
      <c r="A4491" s="760"/>
      <c r="B4491" s="760"/>
      <c r="C4491" s="760"/>
      <c r="D4491" s="760"/>
      <c r="E4491" s="760"/>
      <c r="F4491" s="760"/>
      <c r="G4491" s="760"/>
      <c r="H4491" s="760"/>
      <c r="I4491" s="760"/>
      <c r="J4491" s="760"/>
      <c r="K4491" s="760"/>
    </row>
    <row r="4492" spans="1:11">
      <c r="A4492" s="760"/>
      <c r="B4492" s="760"/>
      <c r="C4492" s="760"/>
      <c r="D4492" s="760"/>
      <c r="E4492" s="760"/>
      <c r="F4492" s="760"/>
      <c r="G4492" s="760"/>
      <c r="H4492" s="760"/>
      <c r="I4492" s="760"/>
      <c r="J4492" s="760"/>
      <c r="K4492" s="760"/>
    </row>
    <row r="4493" spans="1:11">
      <c r="A4493" s="760"/>
      <c r="B4493" s="760"/>
      <c r="C4493" s="760"/>
      <c r="D4493" s="760"/>
      <c r="E4493" s="760"/>
      <c r="F4493" s="760"/>
      <c r="G4493" s="760"/>
      <c r="H4493" s="760"/>
      <c r="I4493" s="760"/>
      <c r="J4493" s="760"/>
      <c r="K4493" s="760"/>
    </row>
    <row r="4494" spans="1:11">
      <c r="A4494" s="760"/>
      <c r="B4494" s="760"/>
      <c r="C4494" s="760"/>
      <c r="D4494" s="760"/>
      <c r="E4494" s="760"/>
      <c r="F4494" s="760"/>
      <c r="G4494" s="760"/>
      <c r="H4494" s="760"/>
      <c r="I4494" s="760"/>
      <c r="J4494" s="760"/>
      <c r="K4494" s="760"/>
    </row>
    <row r="4495" spans="1:11">
      <c r="A4495" s="760"/>
      <c r="B4495" s="760"/>
      <c r="C4495" s="760"/>
      <c r="D4495" s="760"/>
      <c r="E4495" s="760"/>
      <c r="F4495" s="760"/>
      <c r="G4495" s="760"/>
      <c r="H4495" s="760"/>
      <c r="I4495" s="760"/>
      <c r="J4495" s="760"/>
      <c r="K4495" s="760"/>
    </row>
    <row r="4496" spans="1:11">
      <c r="A4496" s="760"/>
      <c r="B4496" s="760"/>
      <c r="C4496" s="760"/>
      <c r="D4496" s="760"/>
      <c r="E4496" s="760"/>
      <c r="F4496" s="760"/>
      <c r="G4496" s="760"/>
      <c r="H4496" s="760"/>
      <c r="I4496" s="760"/>
      <c r="J4496" s="760"/>
      <c r="K4496" s="760"/>
    </row>
    <row r="4497" spans="1:11">
      <c r="A4497" s="760"/>
      <c r="B4497" s="760"/>
      <c r="C4497" s="760"/>
      <c r="D4497" s="760"/>
      <c r="E4497" s="760"/>
      <c r="F4497" s="760"/>
      <c r="G4497" s="760"/>
      <c r="H4497" s="760"/>
      <c r="I4497" s="760"/>
      <c r="J4497" s="760"/>
      <c r="K4497" s="760"/>
    </row>
    <row r="4498" spans="1:11">
      <c r="A4498" s="760"/>
      <c r="B4498" s="760"/>
      <c r="C4498" s="760"/>
      <c r="D4498" s="760"/>
      <c r="E4498" s="760"/>
      <c r="F4498" s="760"/>
      <c r="G4498" s="760"/>
      <c r="H4498" s="760"/>
      <c r="I4498" s="760"/>
      <c r="J4498" s="760"/>
      <c r="K4498" s="760"/>
    </row>
    <row r="4499" spans="1:11">
      <c r="A4499" s="760"/>
      <c r="B4499" s="760"/>
      <c r="C4499" s="760"/>
      <c r="D4499" s="760"/>
      <c r="E4499" s="760"/>
      <c r="F4499" s="760"/>
      <c r="G4499" s="760"/>
      <c r="H4499" s="760"/>
      <c r="I4499" s="760"/>
      <c r="J4499" s="760"/>
      <c r="K4499" s="760"/>
    </row>
    <row r="4500" spans="1:11">
      <c r="A4500" s="760"/>
      <c r="B4500" s="760"/>
      <c r="C4500" s="760"/>
      <c r="D4500" s="760"/>
      <c r="E4500" s="760"/>
      <c r="F4500" s="760"/>
      <c r="G4500" s="760"/>
      <c r="H4500" s="760"/>
      <c r="I4500" s="760"/>
      <c r="J4500" s="760"/>
      <c r="K4500" s="760"/>
    </row>
    <row r="4501" spans="1:11">
      <c r="A4501" s="760"/>
      <c r="B4501" s="760"/>
      <c r="C4501" s="760"/>
      <c r="D4501" s="760"/>
      <c r="E4501" s="760"/>
      <c r="F4501" s="760"/>
      <c r="G4501" s="760"/>
      <c r="H4501" s="760"/>
      <c r="I4501" s="760"/>
      <c r="J4501" s="760"/>
      <c r="K4501" s="760"/>
    </row>
    <row r="4502" spans="1:11">
      <c r="A4502" s="760"/>
      <c r="B4502" s="760"/>
      <c r="C4502" s="760"/>
      <c r="D4502" s="760"/>
      <c r="E4502" s="760"/>
      <c r="F4502" s="760"/>
      <c r="G4502" s="760"/>
      <c r="H4502" s="760"/>
      <c r="I4502" s="760"/>
      <c r="J4502" s="760"/>
      <c r="K4502" s="760"/>
    </row>
    <row r="4503" spans="1:11">
      <c r="A4503" s="760"/>
      <c r="B4503" s="760"/>
      <c r="C4503" s="760"/>
      <c r="D4503" s="760"/>
      <c r="E4503" s="760"/>
      <c r="F4503" s="760"/>
      <c r="G4503" s="760"/>
      <c r="H4503" s="760"/>
      <c r="I4503" s="760"/>
      <c r="J4503" s="760"/>
      <c r="K4503" s="760"/>
    </row>
    <row r="4504" spans="1:11">
      <c r="A4504" s="760"/>
      <c r="B4504" s="760"/>
      <c r="C4504" s="760"/>
      <c r="D4504" s="760"/>
      <c r="E4504" s="760"/>
      <c r="F4504" s="760"/>
      <c r="G4504" s="760"/>
      <c r="H4504" s="760"/>
      <c r="I4504" s="760"/>
      <c r="J4504" s="760"/>
      <c r="K4504" s="760"/>
    </row>
    <row r="4505" spans="1:11">
      <c r="A4505" s="760"/>
      <c r="B4505" s="760"/>
      <c r="C4505" s="760"/>
      <c r="D4505" s="760"/>
      <c r="E4505" s="760"/>
      <c r="F4505" s="760"/>
      <c r="G4505" s="760"/>
      <c r="H4505" s="760"/>
      <c r="I4505" s="760"/>
      <c r="J4505" s="760"/>
      <c r="K4505" s="760"/>
    </row>
    <row r="4506" spans="1:11">
      <c r="A4506" s="760"/>
      <c r="B4506" s="760"/>
      <c r="C4506" s="760"/>
      <c r="D4506" s="760"/>
      <c r="E4506" s="760"/>
      <c r="F4506" s="760"/>
      <c r="G4506" s="760"/>
      <c r="H4506" s="760"/>
      <c r="I4506" s="760"/>
      <c r="J4506" s="760"/>
      <c r="K4506" s="760"/>
    </row>
    <row r="4507" spans="1:11">
      <c r="A4507" s="760"/>
      <c r="B4507" s="760"/>
      <c r="C4507" s="760"/>
      <c r="D4507" s="760"/>
      <c r="E4507" s="760"/>
      <c r="F4507" s="760"/>
      <c r="G4507" s="760"/>
      <c r="H4507" s="760"/>
      <c r="I4507" s="760"/>
      <c r="J4507" s="760"/>
      <c r="K4507" s="760"/>
    </row>
    <row r="4508" spans="1:11">
      <c r="A4508" s="760"/>
      <c r="B4508" s="760"/>
      <c r="C4508" s="760"/>
      <c r="D4508" s="760"/>
      <c r="E4508" s="760"/>
      <c r="F4508" s="760"/>
      <c r="G4508" s="760"/>
      <c r="H4508" s="760"/>
      <c r="I4508" s="760"/>
      <c r="J4508" s="760"/>
      <c r="K4508" s="760"/>
    </row>
    <row r="4509" spans="1:11">
      <c r="A4509" s="760"/>
      <c r="B4509" s="760"/>
      <c r="C4509" s="760"/>
      <c r="D4509" s="760"/>
      <c r="E4509" s="760"/>
      <c r="F4509" s="760"/>
      <c r="G4509" s="760"/>
      <c r="H4509" s="760"/>
      <c r="I4509" s="760"/>
      <c r="J4509" s="760"/>
      <c r="K4509" s="760"/>
    </row>
    <row r="4510" spans="1:11">
      <c r="A4510" s="760"/>
      <c r="B4510" s="760"/>
      <c r="C4510" s="760"/>
      <c r="D4510" s="760"/>
      <c r="E4510" s="760"/>
      <c r="F4510" s="760"/>
      <c r="G4510" s="760"/>
      <c r="H4510" s="760"/>
      <c r="I4510" s="760"/>
      <c r="J4510" s="760"/>
      <c r="K4510" s="760"/>
    </row>
    <row r="4511" spans="1:11">
      <c r="A4511" s="760"/>
      <c r="B4511" s="760"/>
      <c r="C4511" s="760"/>
      <c r="D4511" s="760"/>
      <c r="E4511" s="760"/>
      <c r="F4511" s="760"/>
      <c r="G4511" s="760"/>
      <c r="H4511" s="760"/>
      <c r="I4511" s="760"/>
      <c r="J4511" s="760"/>
      <c r="K4511" s="760"/>
    </row>
    <row r="4512" spans="1:11">
      <c r="A4512" s="760"/>
      <c r="B4512" s="760"/>
      <c r="C4512" s="760"/>
      <c r="D4512" s="760"/>
      <c r="E4512" s="760"/>
      <c r="F4512" s="760"/>
      <c r="G4512" s="760"/>
      <c r="H4512" s="760"/>
      <c r="I4512" s="760"/>
      <c r="J4512" s="760"/>
      <c r="K4512" s="760"/>
    </row>
    <row r="4513" spans="1:11">
      <c r="A4513" s="760"/>
      <c r="B4513" s="760"/>
      <c r="C4513" s="760"/>
      <c r="D4513" s="760"/>
      <c r="E4513" s="760"/>
      <c r="F4513" s="760"/>
      <c r="G4513" s="760"/>
      <c r="H4513" s="760"/>
      <c r="I4513" s="760"/>
      <c r="J4513" s="760"/>
      <c r="K4513" s="760"/>
    </row>
    <row r="4514" spans="1:11">
      <c r="A4514" s="760"/>
      <c r="B4514" s="760"/>
      <c r="C4514" s="760"/>
      <c r="D4514" s="760"/>
      <c r="E4514" s="760"/>
      <c r="F4514" s="760"/>
      <c r="G4514" s="760"/>
      <c r="H4514" s="760"/>
      <c r="I4514" s="760"/>
      <c r="J4514" s="760"/>
      <c r="K4514" s="760"/>
    </row>
    <row r="4515" spans="1:11">
      <c r="A4515" s="760"/>
      <c r="B4515" s="760"/>
      <c r="C4515" s="760"/>
      <c r="D4515" s="760"/>
      <c r="E4515" s="760"/>
      <c r="F4515" s="760"/>
      <c r="G4515" s="760"/>
      <c r="H4515" s="760"/>
      <c r="I4515" s="760"/>
      <c r="J4515" s="760"/>
      <c r="K4515" s="760"/>
    </row>
    <row r="4516" spans="1:11">
      <c r="A4516" s="760"/>
      <c r="B4516" s="760"/>
      <c r="C4516" s="760"/>
      <c r="D4516" s="760"/>
      <c r="E4516" s="760"/>
      <c r="F4516" s="760"/>
      <c r="G4516" s="760"/>
      <c r="H4516" s="760"/>
      <c r="I4516" s="760"/>
      <c r="J4516" s="760"/>
      <c r="K4516" s="760"/>
    </row>
    <row r="4517" spans="1:11">
      <c r="A4517" s="760"/>
      <c r="B4517" s="760"/>
      <c r="C4517" s="760"/>
      <c r="D4517" s="760"/>
      <c r="E4517" s="760"/>
      <c r="F4517" s="760"/>
      <c r="G4517" s="760"/>
      <c r="H4517" s="760"/>
      <c r="I4517" s="760"/>
      <c r="J4517" s="760"/>
      <c r="K4517" s="760"/>
    </row>
    <row r="4518" spans="1:11">
      <c r="A4518" s="760"/>
      <c r="B4518" s="760"/>
      <c r="C4518" s="760"/>
      <c r="D4518" s="760"/>
      <c r="E4518" s="760"/>
      <c r="F4518" s="760"/>
      <c r="G4518" s="760"/>
      <c r="H4518" s="760"/>
      <c r="I4518" s="760"/>
      <c r="J4518" s="760"/>
      <c r="K4518" s="760"/>
    </row>
    <row r="4519" spans="1:11">
      <c r="A4519" s="760"/>
      <c r="B4519" s="760"/>
      <c r="C4519" s="760"/>
      <c r="D4519" s="760"/>
      <c r="E4519" s="760"/>
      <c r="F4519" s="760"/>
      <c r="G4519" s="760"/>
      <c r="H4519" s="760"/>
      <c r="I4519" s="760"/>
      <c r="J4519" s="760"/>
      <c r="K4519" s="760"/>
    </row>
    <row r="4520" spans="1:11">
      <c r="A4520" s="760"/>
      <c r="B4520" s="760"/>
      <c r="C4520" s="760"/>
      <c r="D4520" s="760"/>
      <c r="E4520" s="760"/>
      <c r="F4520" s="760"/>
      <c r="G4520" s="760"/>
      <c r="H4520" s="760"/>
      <c r="I4520" s="760"/>
      <c r="J4520" s="760"/>
      <c r="K4520" s="760"/>
    </row>
    <row r="4521" spans="1:11">
      <c r="A4521" s="760"/>
      <c r="B4521" s="760"/>
      <c r="C4521" s="760"/>
      <c r="D4521" s="760"/>
      <c r="E4521" s="760"/>
      <c r="F4521" s="760"/>
      <c r="G4521" s="760"/>
      <c r="H4521" s="760"/>
      <c r="I4521" s="760"/>
      <c r="J4521" s="760"/>
      <c r="K4521" s="760"/>
    </row>
    <row r="4522" spans="1:11">
      <c r="A4522" s="760"/>
      <c r="B4522" s="760"/>
      <c r="C4522" s="760"/>
      <c r="D4522" s="760"/>
      <c r="E4522" s="760"/>
      <c r="F4522" s="760"/>
      <c r="G4522" s="760"/>
      <c r="H4522" s="760"/>
      <c r="I4522" s="760"/>
      <c r="J4522" s="760"/>
      <c r="K4522" s="760"/>
    </row>
    <row r="4523" spans="1:11">
      <c r="A4523" s="760"/>
      <c r="B4523" s="760"/>
      <c r="C4523" s="760"/>
      <c r="D4523" s="760"/>
      <c r="E4523" s="760"/>
      <c r="F4523" s="760"/>
      <c r="G4523" s="760"/>
      <c r="H4523" s="760"/>
      <c r="I4523" s="760"/>
      <c r="J4523" s="760"/>
      <c r="K4523" s="760"/>
    </row>
    <row r="4524" spans="1:11">
      <c r="A4524" s="760"/>
      <c r="B4524" s="760"/>
      <c r="C4524" s="760"/>
      <c r="D4524" s="760"/>
      <c r="E4524" s="760"/>
      <c r="F4524" s="760"/>
      <c r="G4524" s="760"/>
      <c r="H4524" s="760"/>
      <c r="I4524" s="760"/>
      <c r="J4524" s="760"/>
      <c r="K4524" s="760"/>
    </row>
    <row r="4525" spans="1:11">
      <c r="A4525" s="760"/>
      <c r="B4525" s="760"/>
      <c r="C4525" s="760"/>
      <c r="D4525" s="760"/>
      <c r="E4525" s="760"/>
      <c r="F4525" s="760"/>
      <c r="G4525" s="760"/>
      <c r="H4525" s="760"/>
      <c r="I4525" s="760"/>
      <c r="J4525" s="760"/>
      <c r="K4525" s="760"/>
    </row>
    <row r="4526" spans="1:11">
      <c r="A4526" s="760"/>
      <c r="B4526" s="760"/>
      <c r="C4526" s="760"/>
      <c r="D4526" s="760"/>
      <c r="E4526" s="760"/>
      <c r="F4526" s="760"/>
      <c r="G4526" s="760"/>
      <c r="H4526" s="760"/>
      <c r="I4526" s="760"/>
      <c r="J4526" s="760"/>
      <c r="K4526" s="760"/>
    </row>
    <row r="4527" spans="1:11">
      <c r="A4527" s="760"/>
      <c r="B4527" s="760"/>
      <c r="C4527" s="760"/>
      <c r="D4527" s="760"/>
      <c r="E4527" s="760"/>
      <c r="F4527" s="760"/>
      <c r="G4527" s="760"/>
      <c r="H4527" s="760"/>
      <c r="I4527" s="760"/>
      <c r="J4527" s="760"/>
      <c r="K4527" s="760"/>
    </row>
    <row r="4528" spans="1:11">
      <c r="A4528" s="760"/>
      <c r="B4528" s="760"/>
      <c r="C4528" s="760"/>
      <c r="D4528" s="760"/>
      <c r="E4528" s="760"/>
      <c r="F4528" s="760"/>
      <c r="G4528" s="760"/>
      <c r="H4528" s="760"/>
      <c r="I4528" s="760"/>
      <c r="J4528" s="760"/>
      <c r="K4528" s="760"/>
    </row>
    <row r="4529" spans="1:11">
      <c r="A4529" s="760"/>
      <c r="B4529" s="760"/>
      <c r="C4529" s="760"/>
      <c r="D4529" s="760"/>
      <c r="E4529" s="760"/>
      <c r="F4529" s="760"/>
      <c r="G4529" s="760"/>
      <c r="H4529" s="760"/>
      <c r="I4529" s="760"/>
      <c r="J4529" s="760"/>
      <c r="K4529" s="760"/>
    </row>
    <row r="4530" spans="1:11">
      <c r="A4530" s="760"/>
      <c r="B4530" s="760"/>
      <c r="C4530" s="760"/>
      <c r="D4530" s="760"/>
      <c r="E4530" s="760"/>
      <c r="F4530" s="760"/>
      <c r="G4530" s="760"/>
      <c r="H4530" s="760"/>
      <c r="I4530" s="760"/>
      <c r="J4530" s="760"/>
      <c r="K4530" s="760"/>
    </row>
    <row r="4531" spans="1:11">
      <c r="A4531" s="760"/>
      <c r="B4531" s="760"/>
      <c r="C4531" s="760"/>
      <c r="D4531" s="760"/>
      <c r="E4531" s="760"/>
      <c r="F4531" s="760"/>
      <c r="G4531" s="760"/>
      <c r="H4531" s="760"/>
      <c r="I4531" s="760"/>
      <c r="J4531" s="760"/>
      <c r="K4531" s="760"/>
    </row>
    <row r="4532" spans="1:11">
      <c r="A4532" s="760"/>
      <c r="B4532" s="760"/>
      <c r="C4532" s="760"/>
      <c r="D4532" s="760"/>
      <c r="E4532" s="760"/>
      <c r="F4532" s="760"/>
      <c r="G4532" s="760"/>
      <c r="H4532" s="760"/>
      <c r="I4532" s="760"/>
      <c r="J4532" s="760"/>
      <c r="K4532" s="760"/>
    </row>
    <row r="4533" spans="1:11">
      <c r="A4533" s="760"/>
      <c r="B4533" s="760"/>
      <c r="C4533" s="760"/>
      <c r="D4533" s="760"/>
      <c r="E4533" s="760"/>
      <c r="F4533" s="760"/>
      <c r="G4533" s="760"/>
      <c r="H4533" s="760"/>
      <c r="I4533" s="760"/>
      <c r="J4533" s="760"/>
      <c r="K4533" s="760"/>
    </row>
    <row r="4534" spans="1:11">
      <c r="A4534" s="760"/>
      <c r="B4534" s="760"/>
      <c r="C4534" s="760"/>
      <c r="D4534" s="760"/>
      <c r="E4534" s="760"/>
      <c r="F4534" s="760"/>
      <c r="G4534" s="760"/>
      <c r="H4534" s="760"/>
      <c r="I4534" s="760"/>
      <c r="J4534" s="760"/>
      <c r="K4534" s="760"/>
    </row>
    <row r="4535" spans="1:11">
      <c r="A4535" s="760"/>
      <c r="B4535" s="760"/>
      <c r="C4535" s="760"/>
      <c r="D4535" s="760"/>
      <c r="E4535" s="760"/>
      <c r="F4535" s="760"/>
      <c r="G4535" s="760"/>
      <c r="H4535" s="760"/>
      <c r="I4535" s="760"/>
      <c r="J4535" s="760"/>
      <c r="K4535" s="760"/>
    </row>
    <row r="4536" spans="1:11">
      <c r="A4536" s="760"/>
      <c r="B4536" s="760"/>
      <c r="C4536" s="760"/>
      <c r="D4536" s="760"/>
      <c r="E4536" s="760"/>
      <c r="F4536" s="760"/>
      <c r="G4536" s="760"/>
      <c r="H4536" s="760"/>
      <c r="I4536" s="760"/>
      <c r="J4536" s="760"/>
      <c r="K4536" s="760"/>
    </row>
    <row r="4537" spans="1:11">
      <c r="A4537" s="760"/>
      <c r="B4537" s="760"/>
      <c r="C4537" s="760"/>
      <c r="D4537" s="760"/>
      <c r="E4537" s="760"/>
      <c r="F4537" s="760"/>
      <c r="G4537" s="760"/>
      <c r="H4537" s="760"/>
      <c r="I4537" s="760"/>
      <c r="J4537" s="760"/>
      <c r="K4537" s="760"/>
    </row>
    <row r="4538" spans="1:11">
      <c r="A4538" s="760"/>
      <c r="B4538" s="760"/>
      <c r="C4538" s="760"/>
      <c r="D4538" s="760"/>
      <c r="E4538" s="760"/>
      <c r="F4538" s="760"/>
      <c r="G4538" s="760"/>
      <c r="H4538" s="760"/>
      <c r="I4538" s="760"/>
      <c r="J4538" s="760"/>
      <c r="K4538" s="760"/>
    </row>
    <row r="4539" spans="1:11">
      <c r="A4539" s="760"/>
      <c r="B4539" s="760"/>
      <c r="C4539" s="760"/>
      <c r="D4539" s="760"/>
      <c r="E4539" s="760"/>
      <c r="F4539" s="760"/>
      <c r="G4539" s="760"/>
      <c r="H4539" s="760"/>
      <c r="I4539" s="760"/>
      <c r="J4539" s="760"/>
      <c r="K4539" s="760"/>
    </row>
    <row r="4540" spans="1:11">
      <c r="A4540" s="760"/>
      <c r="B4540" s="760"/>
      <c r="C4540" s="760"/>
      <c r="D4540" s="760"/>
      <c r="E4540" s="760"/>
      <c r="F4540" s="760"/>
      <c r="G4540" s="760"/>
      <c r="H4540" s="760"/>
      <c r="I4540" s="760"/>
      <c r="J4540" s="760"/>
      <c r="K4540" s="760"/>
    </row>
    <row r="4541" spans="1:11">
      <c r="A4541" s="760"/>
      <c r="B4541" s="760"/>
      <c r="C4541" s="760"/>
      <c r="D4541" s="760"/>
      <c r="E4541" s="760"/>
      <c r="F4541" s="760"/>
      <c r="G4541" s="760"/>
      <c r="H4541" s="760"/>
      <c r="I4541" s="760"/>
      <c r="J4541" s="760"/>
      <c r="K4541" s="760"/>
    </row>
    <row r="4542" spans="1:11">
      <c r="A4542" s="760"/>
      <c r="B4542" s="760"/>
      <c r="C4542" s="760"/>
      <c r="D4542" s="760"/>
      <c r="E4542" s="760"/>
      <c r="F4542" s="760"/>
      <c r="G4542" s="760"/>
      <c r="H4542" s="760"/>
      <c r="I4542" s="760"/>
      <c r="J4542" s="760"/>
      <c r="K4542" s="760"/>
    </row>
    <row r="4543" spans="1:11">
      <c r="A4543" s="760"/>
      <c r="B4543" s="760"/>
      <c r="C4543" s="760"/>
      <c r="D4543" s="760"/>
      <c r="E4543" s="760"/>
      <c r="F4543" s="760"/>
      <c r="G4543" s="760"/>
      <c r="H4543" s="760"/>
      <c r="I4543" s="760"/>
      <c r="J4543" s="760"/>
      <c r="K4543" s="760"/>
    </row>
    <row r="4544" spans="1:11">
      <c r="A4544" s="760"/>
      <c r="B4544" s="760"/>
      <c r="C4544" s="760"/>
      <c r="D4544" s="760"/>
      <c r="E4544" s="760"/>
      <c r="F4544" s="760"/>
      <c r="G4544" s="760"/>
      <c r="H4544" s="760"/>
      <c r="I4544" s="760"/>
      <c r="J4544" s="760"/>
      <c r="K4544" s="760"/>
    </row>
    <row r="4545" spans="1:11">
      <c r="A4545" s="760"/>
      <c r="B4545" s="760"/>
      <c r="C4545" s="760"/>
      <c r="D4545" s="760"/>
      <c r="E4545" s="760"/>
      <c r="F4545" s="760"/>
      <c r="G4545" s="760"/>
      <c r="H4545" s="760"/>
      <c r="I4545" s="760"/>
      <c r="J4545" s="760"/>
      <c r="K4545" s="760"/>
    </row>
    <row r="4546" spans="1:11">
      <c r="A4546" s="760"/>
      <c r="B4546" s="760"/>
      <c r="C4546" s="760"/>
      <c r="D4546" s="760"/>
      <c r="E4546" s="760"/>
      <c r="F4546" s="760"/>
      <c r="G4546" s="760"/>
      <c r="H4546" s="760"/>
      <c r="I4546" s="760"/>
      <c r="J4546" s="760"/>
      <c r="K4546" s="760"/>
    </row>
    <row r="4547" spans="1:11">
      <c r="A4547" s="760"/>
      <c r="B4547" s="760"/>
      <c r="C4547" s="760"/>
      <c r="D4547" s="760"/>
      <c r="E4547" s="760"/>
      <c r="F4547" s="760"/>
      <c r="G4547" s="760"/>
      <c r="H4547" s="760"/>
      <c r="I4547" s="760"/>
      <c r="J4547" s="760"/>
      <c r="K4547" s="760"/>
    </row>
    <row r="4548" spans="1:11">
      <c r="A4548" s="760"/>
      <c r="B4548" s="760"/>
      <c r="C4548" s="760"/>
      <c r="D4548" s="760"/>
      <c r="E4548" s="760"/>
      <c r="F4548" s="760"/>
      <c r="G4548" s="760"/>
      <c r="H4548" s="760"/>
      <c r="I4548" s="760"/>
      <c r="J4548" s="760"/>
      <c r="K4548" s="760"/>
    </row>
    <row r="4549" spans="1:11">
      <c r="A4549" s="760"/>
      <c r="B4549" s="760"/>
      <c r="C4549" s="760"/>
      <c r="D4549" s="760"/>
      <c r="E4549" s="760"/>
      <c r="F4549" s="760"/>
      <c r="G4549" s="760"/>
      <c r="H4549" s="760"/>
      <c r="I4549" s="760"/>
      <c r="J4549" s="760"/>
      <c r="K4549" s="760"/>
    </row>
    <row r="4550" spans="1:11">
      <c r="A4550" s="760"/>
      <c r="B4550" s="760"/>
      <c r="C4550" s="760"/>
      <c r="D4550" s="760"/>
      <c r="E4550" s="760"/>
      <c r="F4550" s="760"/>
      <c r="G4550" s="760"/>
      <c r="H4550" s="760"/>
      <c r="I4550" s="760"/>
      <c r="J4550" s="760"/>
      <c r="K4550" s="760"/>
    </row>
    <row r="4551" spans="1:11">
      <c r="A4551" s="760"/>
      <c r="B4551" s="760"/>
      <c r="C4551" s="760"/>
      <c r="D4551" s="760"/>
      <c r="E4551" s="760"/>
      <c r="F4551" s="760"/>
      <c r="G4551" s="760"/>
      <c r="H4551" s="760"/>
      <c r="I4551" s="760"/>
      <c r="J4551" s="760"/>
      <c r="K4551" s="760"/>
    </row>
    <row r="4552" spans="1:11">
      <c r="A4552" s="760"/>
      <c r="B4552" s="760"/>
      <c r="C4552" s="760"/>
      <c r="D4552" s="760"/>
      <c r="E4552" s="760"/>
      <c r="F4552" s="760"/>
      <c r="G4552" s="760"/>
      <c r="H4552" s="760"/>
      <c r="I4552" s="760"/>
      <c r="J4552" s="760"/>
      <c r="K4552" s="760"/>
    </row>
    <row r="4553" spans="1:11">
      <c r="A4553" s="760"/>
      <c r="B4553" s="760"/>
      <c r="C4553" s="760"/>
      <c r="D4553" s="760"/>
      <c r="E4553" s="760"/>
      <c r="F4553" s="760"/>
      <c r="G4553" s="760"/>
      <c r="H4553" s="760"/>
      <c r="I4553" s="760"/>
      <c r="J4553" s="760"/>
      <c r="K4553" s="760"/>
    </row>
    <row r="4554" spans="1:11">
      <c r="A4554" s="760"/>
      <c r="B4554" s="760"/>
      <c r="C4554" s="760"/>
      <c r="D4554" s="760"/>
      <c r="E4554" s="760"/>
      <c r="F4554" s="760"/>
      <c r="G4554" s="760"/>
      <c r="H4554" s="760"/>
      <c r="I4554" s="760"/>
      <c r="J4554" s="760"/>
      <c r="K4554" s="760"/>
    </row>
    <row r="4555" spans="1:11">
      <c r="A4555" s="760"/>
      <c r="B4555" s="760"/>
      <c r="C4555" s="760"/>
      <c r="D4555" s="760"/>
      <c r="E4555" s="760"/>
      <c r="F4555" s="760"/>
      <c r="G4555" s="760"/>
      <c r="H4555" s="760"/>
      <c r="I4555" s="760"/>
      <c r="J4555" s="760"/>
      <c r="K4555" s="760"/>
    </row>
    <row r="4556" spans="1:11">
      <c r="A4556" s="760"/>
      <c r="B4556" s="760"/>
      <c r="C4556" s="760"/>
      <c r="D4556" s="760"/>
      <c r="E4556" s="760"/>
      <c r="F4556" s="760"/>
      <c r="G4556" s="760"/>
      <c r="H4556" s="760"/>
      <c r="I4556" s="760"/>
      <c r="J4556" s="760"/>
      <c r="K4556" s="760"/>
    </row>
    <row r="4557" spans="1:11">
      <c r="A4557" s="760"/>
      <c r="B4557" s="760"/>
      <c r="C4557" s="760"/>
      <c r="D4557" s="760"/>
      <c r="E4557" s="760"/>
      <c r="F4557" s="760"/>
      <c r="G4557" s="760"/>
      <c r="H4557" s="760"/>
      <c r="I4557" s="760"/>
      <c r="J4557" s="760"/>
      <c r="K4557" s="760"/>
    </row>
    <row r="4558" spans="1:11">
      <c r="A4558" s="760"/>
      <c r="B4558" s="760"/>
      <c r="C4558" s="760"/>
      <c r="D4558" s="760"/>
      <c r="E4558" s="760"/>
      <c r="F4558" s="760"/>
      <c r="G4558" s="760"/>
      <c r="H4558" s="760"/>
      <c r="I4558" s="760"/>
      <c r="J4558" s="760"/>
      <c r="K4558" s="760"/>
    </row>
    <row r="4559" spans="1:11">
      <c r="A4559" s="760"/>
      <c r="B4559" s="760"/>
      <c r="C4559" s="760"/>
      <c r="D4559" s="760"/>
      <c r="E4559" s="760"/>
      <c r="F4559" s="760"/>
      <c r="G4559" s="760"/>
      <c r="H4559" s="760"/>
      <c r="I4559" s="760"/>
      <c r="J4559" s="760"/>
      <c r="K4559" s="760"/>
    </row>
    <row r="4560" spans="1:11">
      <c r="A4560" s="760"/>
      <c r="B4560" s="760"/>
      <c r="C4560" s="760"/>
      <c r="D4560" s="760"/>
      <c r="E4560" s="760"/>
      <c r="F4560" s="760"/>
      <c r="G4560" s="760"/>
      <c r="H4560" s="760"/>
      <c r="I4560" s="760"/>
      <c r="J4560" s="760"/>
      <c r="K4560" s="760"/>
    </row>
    <row r="4561" spans="1:11">
      <c r="A4561" s="760"/>
      <c r="B4561" s="760"/>
      <c r="C4561" s="760"/>
      <c r="D4561" s="760"/>
      <c r="E4561" s="760"/>
      <c r="F4561" s="760"/>
      <c r="G4561" s="760"/>
      <c r="H4561" s="760"/>
      <c r="I4561" s="760"/>
      <c r="J4561" s="760"/>
      <c r="K4561" s="760"/>
    </row>
    <row r="4562" spans="1:11">
      <c r="A4562" s="760"/>
      <c r="B4562" s="760"/>
      <c r="C4562" s="760"/>
      <c r="D4562" s="760"/>
      <c r="E4562" s="760"/>
      <c r="F4562" s="760"/>
      <c r="G4562" s="760"/>
      <c r="H4562" s="760"/>
      <c r="I4562" s="760"/>
      <c r="J4562" s="760"/>
      <c r="K4562" s="760"/>
    </row>
    <row r="4563" spans="1:11">
      <c r="A4563" s="760"/>
      <c r="B4563" s="760"/>
      <c r="C4563" s="760"/>
      <c r="D4563" s="760"/>
      <c r="E4563" s="760"/>
      <c r="F4563" s="760"/>
      <c r="G4563" s="760"/>
      <c r="H4563" s="760"/>
      <c r="I4563" s="760"/>
      <c r="J4563" s="760"/>
      <c r="K4563" s="760"/>
    </row>
    <row r="4564" spans="1:11">
      <c r="A4564" s="760"/>
      <c r="B4564" s="760"/>
      <c r="C4564" s="760"/>
      <c r="D4564" s="760"/>
      <c r="E4564" s="760"/>
      <c r="F4564" s="760"/>
      <c r="G4564" s="760"/>
      <c r="H4564" s="760"/>
      <c r="I4564" s="760"/>
      <c r="J4564" s="760"/>
      <c r="K4564" s="760"/>
    </row>
    <row r="4565" spans="1:11">
      <c r="A4565" s="760"/>
      <c r="B4565" s="760"/>
      <c r="C4565" s="760"/>
      <c r="D4565" s="760"/>
      <c r="E4565" s="760"/>
      <c r="F4565" s="760"/>
      <c r="G4565" s="760"/>
      <c r="H4565" s="760"/>
      <c r="I4565" s="760"/>
      <c r="J4565" s="760"/>
      <c r="K4565" s="760"/>
    </row>
    <row r="4566" spans="1:11">
      <c r="A4566" s="760"/>
      <c r="B4566" s="760"/>
      <c r="C4566" s="760"/>
      <c r="D4566" s="760"/>
      <c r="E4566" s="760"/>
      <c r="F4566" s="760"/>
      <c r="G4566" s="760"/>
      <c r="H4566" s="760"/>
      <c r="I4566" s="760"/>
      <c r="J4566" s="760"/>
      <c r="K4566" s="760"/>
    </row>
    <row r="4567" spans="1:11">
      <c r="A4567" s="760"/>
      <c r="B4567" s="760"/>
      <c r="C4567" s="760"/>
      <c r="D4567" s="760"/>
      <c r="E4567" s="760"/>
      <c r="F4567" s="760"/>
      <c r="G4567" s="760"/>
      <c r="H4567" s="760"/>
      <c r="I4567" s="760"/>
      <c r="J4567" s="760"/>
      <c r="K4567" s="760"/>
    </row>
    <row r="4568" spans="1:11">
      <c r="A4568" s="760"/>
      <c r="B4568" s="760"/>
      <c r="C4568" s="760"/>
      <c r="D4568" s="760"/>
      <c r="E4568" s="760"/>
      <c r="F4568" s="760"/>
      <c r="G4568" s="760"/>
      <c r="H4568" s="760"/>
      <c r="I4568" s="760"/>
      <c r="J4568" s="760"/>
      <c r="K4568" s="760"/>
    </row>
    <row r="4569" spans="1:11">
      <c r="A4569" s="760"/>
      <c r="B4569" s="760"/>
      <c r="C4569" s="760"/>
      <c r="D4569" s="760"/>
      <c r="E4569" s="760"/>
      <c r="F4569" s="760"/>
      <c r="G4569" s="760"/>
      <c r="H4569" s="760"/>
      <c r="I4569" s="760"/>
      <c r="J4569" s="760"/>
      <c r="K4569" s="760"/>
    </row>
    <row r="4570" spans="1:11">
      <c r="A4570" s="760"/>
      <c r="B4570" s="760"/>
      <c r="C4570" s="760"/>
      <c r="D4570" s="760"/>
      <c r="E4570" s="760"/>
      <c r="F4570" s="760"/>
      <c r="G4570" s="760"/>
      <c r="H4570" s="760"/>
      <c r="I4570" s="760"/>
      <c r="J4570" s="760"/>
      <c r="K4570" s="760"/>
    </row>
    <row r="4571" spans="1:11">
      <c r="A4571" s="760"/>
      <c r="B4571" s="760"/>
      <c r="C4571" s="760"/>
      <c r="D4571" s="760"/>
      <c r="E4571" s="760"/>
      <c r="F4571" s="760"/>
      <c r="G4571" s="760"/>
      <c r="H4571" s="760"/>
      <c r="I4571" s="760"/>
      <c r="J4571" s="760"/>
      <c r="K4571" s="760"/>
    </row>
    <row r="4572" spans="1:11">
      <c r="A4572" s="760"/>
      <c r="B4572" s="760"/>
      <c r="C4572" s="760"/>
      <c r="D4572" s="760"/>
      <c r="E4572" s="760"/>
      <c r="F4572" s="760"/>
      <c r="G4572" s="760"/>
      <c r="H4572" s="760"/>
      <c r="I4572" s="760"/>
      <c r="J4572" s="760"/>
      <c r="K4572" s="760"/>
    </row>
    <row r="4573" spans="1:11">
      <c r="A4573" s="760"/>
      <c r="B4573" s="760"/>
      <c r="C4573" s="760"/>
      <c r="D4573" s="760"/>
      <c r="E4573" s="760"/>
      <c r="F4573" s="760"/>
      <c r="G4573" s="760"/>
      <c r="H4573" s="760"/>
      <c r="I4573" s="760"/>
      <c r="J4573" s="760"/>
      <c r="K4573" s="760"/>
    </row>
    <row r="4574" spans="1:11">
      <c r="A4574" s="760"/>
      <c r="B4574" s="760"/>
      <c r="C4574" s="760"/>
      <c r="D4574" s="760"/>
      <c r="E4574" s="760"/>
      <c r="F4574" s="760"/>
      <c r="G4574" s="760"/>
      <c r="H4574" s="760"/>
      <c r="I4574" s="760"/>
      <c r="J4574" s="760"/>
      <c r="K4574" s="760"/>
    </row>
    <row r="4575" spans="1:11">
      <c r="A4575" s="760"/>
      <c r="B4575" s="760"/>
      <c r="C4575" s="760"/>
      <c r="D4575" s="760"/>
      <c r="E4575" s="760"/>
      <c r="F4575" s="760"/>
      <c r="G4575" s="760"/>
      <c r="H4575" s="760"/>
      <c r="I4575" s="760"/>
      <c r="J4575" s="760"/>
      <c r="K4575" s="760"/>
    </row>
    <row r="4576" spans="1:11">
      <c r="A4576" s="760"/>
      <c r="B4576" s="760"/>
      <c r="C4576" s="760"/>
      <c r="D4576" s="760"/>
      <c r="E4576" s="760"/>
      <c r="F4576" s="760"/>
      <c r="G4576" s="760"/>
      <c r="H4576" s="760"/>
      <c r="I4576" s="760"/>
      <c r="J4576" s="760"/>
      <c r="K4576" s="760"/>
    </row>
    <row r="4577" spans="1:11">
      <c r="A4577" s="760"/>
      <c r="B4577" s="760"/>
      <c r="C4577" s="760"/>
      <c r="D4577" s="760"/>
      <c r="E4577" s="760"/>
      <c r="F4577" s="760"/>
      <c r="G4577" s="760"/>
      <c r="H4577" s="760"/>
      <c r="I4577" s="760"/>
      <c r="J4577" s="760"/>
      <c r="K4577" s="760"/>
    </row>
    <row r="4578" spans="1:11">
      <c r="A4578" s="760"/>
      <c r="B4578" s="760"/>
      <c r="C4578" s="760"/>
      <c r="D4578" s="760"/>
      <c r="E4578" s="760"/>
      <c r="F4578" s="760"/>
      <c r="G4578" s="760"/>
      <c r="H4578" s="760"/>
      <c r="I4578" s="760"/>
      <c r="J4578" s="760"/>
      <c r="K4578" s="760"/>
    </row>
    <row r="4579" spans="1:11">
      <c r="A4579" s="760"/>
      <c r="B4579" s="760"/>
      <c r="C4579" s="760"/>
      <c r="D4579" s="760"/>
      <c r="E4579" s="760"/>
      <c r="F4579" s="760"/>
      <c r="G4579" s="760"/>
      <c r="H4579" s="760"/>
      <c r="I4579" s="760"/>
      <c r="J4579" s="760"/>
      <c r="K4579" s="760"/>
    </row>
    <row r="4580" spans="1:11">
      <c r="A4580" s="760"/>
      <c r="B4580" s="760"/>
      <c r="C4580" s="760"/>
      <c r="D4580" s="760"/>
      <c r="E4580" s="760"/>
      <c r="F4580" s="760"/>
      <c r="G4580" s="760"/>
      <c r="H4580" s="760"/>
      <c r="I4580" s="760"/>
      <c r="J4580" s="760"/>
      <c r="K4580" s="760"/>
    </row>
    <row r="4581" spans="1:11">
      <c r="A4581" s="760"/>
      <c r="B4581" s="760"/>
      <c r="C4581" s="760"/>
      <c r="D4581" s="760"/>
      <c r="E4581" s="760"/>
      <c r="F4581" s="760"/>
      <c r="G4581" s="760"/>
      <c r="H4581" s="760"/>
      <c r="I4581" s="760"/>
      <c r="J4581" s="760"/>
      <c r="K4581" s="760"/>
    </row>
    <row r="4582" spans="1:11">
      <c r="A4582" s="760"/>
      <c r="B4582" s="760"/>
      <c r="C4582" s="760"/>
      <c r="D4582" s="760"/>
      <c r="E4582" s="760"/>
      <c r="F4582" s="760"/>
      <c r="G4582" s="760"/>
      <c r="H4582" s="760"/>
      <c r="I4582" s="760"/>
      <c r="J4582" s="760"/>
      <c r="K4582" s="760"/>
    </row>
    <row r="4583" spans="1:11">
      <c r="A4583" s="760"/>
      <c r="B4583" s="760"/>
      <c r="C4583" s="760"/>
      <c r="D4583" s="760"/>
      <c r="E4583" s="760"/>
      <c r="F4583" s="760"/>
      <c r="G4583" s="760"/>
      <c r="H4583" s="760"/>
      <c r="I4583" s="760"/>
      <c r="J4583" s="760"/>
      <c r="K4583" s="760"/>
    </row>
    <row r="4584" spans="1:11">
      <c r="A4584" s="760"/>
      <c r="B4584" s="760"/>
      <c r="C4584" s="760"/>
      <c r="D4584" s="760"/>
      <c r="E4584" s="760"/>
      <c r="F4584" s="760"/>
      <c r="G4584" s="760"/>
      <c r="H4584" s="760"/>
      <c r="I4584" s="760"/>
      <c r="J4584" s="760"/>
      <c r="K4584" s="760"/>
    </row>
    <row r="4585" spans="1:11">
      <c r="A4585" s="760"/>
      <c r="B4585" s="760"/>
      <c r="C4585" s="760"/>
      <c r="D4585" s="760"/>
      <c r="E4585" s="760"/>
      <c r="F4585" s="760"/>
      <c r="G4585" s="760"/>
      <c r="H4585" s="760"/>
      <c r="I4585" s="760"/>
      <c r="J4585" s="760"/>
      <c r="K4585" s="760"/>
    </row>
    <row r="4586" spans="1:11">
      <c r="A4586" s="760"/>
      <c r="B4586" s="760"/>
      <c r="C4586" s="760"/>
      <c r="D4586" s="760"/>
      <c r="E4586" s="760"/>
      <c r="F4586" s="760"/>
      <c r="G4586" s="760"/>
      <c r="H4586" s="760"/>
      <c r="I4586" s="760"/>
      <c r="J4586" s="760"/>
      <c r="K4586" s="760"/>
    </row>
    <row r="4587" spans="1:11">
      <c r="A4587" s="760"/>
      <c r="B4587" s="760"/>
      <c r="C4587" s="760"/>
      <c r="D4587" s="760"/>
      <c r="E4587" s="760"/>
      <c r="F4587" s="760"/>
      <c r="G4587" s="760"/>
      <c r="H4587" s="760"/>
      <c r="I4587" s="760"/>
      <c r="J4587" s="760"/>
      <c r="K4587" s="760"/>
    </row>
    <row r="4588" spans="1:11">
      <c r="A4588" s="760"/>
      <c r="B4588" s="760"/>
      <c r="C4588" s="760"/>
      <c r="D4588" s="760"/>
      <c r="E4588" s="760"/>
      <c r="F4588" s="760"/>
      <c r="G4588" s="760"/>
      <c r="H4588" s="760"/>
      <c r="I4588" s="760"/>
      <c r="J4588" s="760"/>
      <c r="K4588" s="760"/>
    </row>
    <row r="4589" spans="1:11">
      <c r="A4589" s="760"/>
      <c r="B4589" s="760"/>
      <c r="C4589" s="760"/>
      <c r="D4589" s="760"/>
      <c r="E4589" s="760"/>
      <c r="F4589" s="760"/>
      <c r="G4589" s="760"/>
      <c r="H4589" s="760"/>
      <c r="I4589" s="760"/>
      <c r="J4589" s="760"/>
      <c r="K4589" s="760"/>
    </row>
    <row r="4590" spans="1:11">
      <c r="A4590" s="760"/>
      <c r="B4590" s="760"/>
      <c r="C4590" s="760"/>
      <c r="D4590" s="760"/>
      <c r="E4590" s="760"/>
      <c r="F4590" s="760"/>
      <c r="G4590" s="760"/>
      <c r="H4590" s="760"/>
      <c r="I4590" s="760"/>
      <c r="J4590" s="760"/>
      <c r="K4590" s="760"/>
    </row>
    <row r="4591" spans="1:11">
      <c r="A4591" s="760"/>
      <c r="B4591" s="760"/>
      <c r="C4591" s="760"/>
      <c r="D4591" s="760"/>
      <c r="E4591" s="760"/>
      <c r="F4591" s="760"/>
      <c r="G4591" s="760"/>
      <c r="H4591" s="760"/>
      <c r="I4591" s="760"/>
      <c r="J4591" s="760"/>
      <c r="K4591" s="760"/>
    </row>
    <row r="4592" spans="1:11">
      <c r="A4592" s="760"/>
      <c r="B4592" s="760"/>
      <c r="C4592" s="760"/>
      <c r="D4592" s="760"/>
      <c r="E4592" s="760"/>
      <c r="F4592" s="760"/>
      <c r="G4592" s="760"/>
      <c r="H4592" s="760"/>
      <c r="I4592" s="760"/>
      <c r="J4592" s="760"/>
      <c r="K4592" s="760"/>
    </row>
    <row r="4593" spans="1:11">
      <c r="A4593" s="760"/>
      <c r="B4593" s="760"/>
      <c r="C4593" s="760"/>
      <c r="D4593" s="760"/>
      <c r="E4593" s="760"/>
      <c r="F4593" s="760"/>
      <c r="G4593" s="760"/>
      <c r="H4593" s="760"/>
      <c r="I4593" s="760"/>
      <c r="J4593" s="760"/>
      <c r="K4593" s="760"/>
    </row>
    <row r="4594" spans="1:11">
      <c r="A4594" s="760"/>
      <c r="B4594" s="760"/>
      <c r="C4594" s="760"/>
      <c r="D4594" s="760"/>
      <c r="E4594" s="760"/>
      <c r="F4594" s="760"/>
      <c r="G4594" s="760"/>
      <c r="H4594" s="760"/>
      <c r="I4594" s="760"/>
      <c r="J4594" s="760"/>
      <c r="K4594" s="760"/>
    </row>
    <row r="4595" spans="1:11">
      <c r="A4595" s="760"/>
      <c r="B4595" s="760"/>
      <c r="C4595" s="760"/>
      <c r="D4595" s="760"/>
      <c r="E4595" s="760"/>
      <c r="F4595" s="760"/>
      <c r="G4595" s="760"/>
      <c r="H4595" s="760"/>
      <c r="I4595" s="760"/>
      <c r="J4595" s="760"/>
      <c r="K4595" s="760"/>
    </row>
    <row r="4596" spans="1:11">
      <c r="A4596" s="760"/>
      <c r="B4596" s="760"/>
      <c r="C4596" s="760"/>
      <c r="D4596" s="760"/>
      <c r="E4596" s="760"/>
      <c r="F4596" s="760"/>
      <c r="G4596" s="760"/>
      <c r="H4596" s="760"/>
      <c r="I4596" s="760"/>
      <c r="J4596" s="760"/>
      <c r="K4596" s="760"/>
    </row>
    <row r="4597" spans="1:11">
      <c r="A4597" s="760"/>
      <c r="B4597" s="760"/>
      <c r="C4597" s="760"/>
      <c r="D4597" s="760"/>
      <c r="E4597" s="760"/>
      <c r="F4597" s="760"/>
      <c r="G4597" s="760"/>
      <c r="H4597" s="760"/>
      <c r="I4597" s="760"/>
      <c r="J4597" s="760"/>
      <c r="K4597" s="760"/>
    </row>
    <row r="4598" spans="1:11">
      <c r="A4598" s="760"/>
      <c r="B4598" s="760"/>
      <c r="C4598" s="760"/>
      <c r="D4598" s="760"/>
      <c r="E4598" s="760"/>
      <c r="F4598" s="760"/>
      <c r="G4598" s="760"/>
      <c r="H4598" s="760"/>
      <c r="I4598" s="760"/>
      <c r="J4598" s="760"/>
      <c r="K4598" s="760"/>
    </row>
    <row r="4599" spans="1:11">
      <c r="A4599" s="760"/>
      <c r="B4599" s="760"/>
      <c r="C4599" s="760"/>
      <c r="D4599" s="760"/>
      <c r="E4599" s="760"/>
      <c r="F4599" s="760"/>
      <c r="G4599" s="760"/>
      <c r="H4599" s="760"/>
      <c r="I4599" s="760"/>
      <c r="J4599" s="760"/>
      <c r="K4599" s="760"/>
    </row>
    <row r="4600" spans="1:11">
      <c r="A4600" s="760"/>
      <c r="B4600" s="760"/>
      <c r="C4600" s="760"/>
      <c r="D4600" s="760"/>
      <c r="E4600" s="760"/>
      <c r="F4600" s="760"/>
      <c r="G4600" s="760"/>
      <c r="H4600" s="760"/>
      <c r="I4600" s="760"/>
      <c r="J4600" s="760"/>
      <c r="K4600" s="760"/>
    </row>
    <row r="4601" spans="1:11">
      <c r="A4601" s="760"/>
      <c r="B4601" s="760"/>
      <c r="C4601" s="760"/>
      <c r="D4601" s="760"/>
      <c r="E4601" s="760"/>
      <c r="F4601" s="760"/>
      <c r="G4601" s="760"/>
      <c r="H4601" s="760"/>
      <c r="I4601" s="760"/>
      <c r="J4601" s="760"/>
      <c r="K4601" s="760"/>
    </row>
    <row r="4602" spans="1:11">
      <c r="A4602" s="760"/>
      <c r="B4602" s="760"/>
      <c r="C4602" s="760"/>
      <c r="D4602" s="760"/>
      <c r="E4602" s="760"/>
      <c r="F4602" s="760"/>
      <c r="G4602" s="760"/>
      <c r="H4602" s="760"/>
      <c r="I4602" s="760"/>
      <c r="J4602" s="760"/>
      <c r="K4602" s="760"/>
    </row>
    <row r="4603" spans="1:11">
      <c r="A4603" s="760"/>
      <c r="B4603" s="760"/>
      <c r="C4603" s="760"/>
      <c r="D4603" s="760"/>
      <c r="E4603" s="760"/>
      <c r="F4603" s="760"/>
      <c r="G4603" s="760"/>
      <c r="H4603" s="760"/>
      <c r="I4603" s="760"/>
      <c r="J4603" s="760"/>
      <c r="K4603" s="760"/>
    </row>
    <row r="4604" spans="1:11">
      <c r="A4604" s="760"/>
      <c r="B4604" s="760"/>
      <c r="C4604" s="760"/>
      <c r="D4604" s="760"/>
      <c r="E4604" s="760"/>
      <c r="F4604" s="760"/>
      <c r="G4604" s="760"/>
      <c r="H4604" s="760"/>
      <c r="I4604" s="760"/>
      <c r="J4604" s="760"/>
      <c r="K4604" s="760"/>
    </row>
    <row r="4605" spans="1:11">
      <c r="A4605" s="760"/>
      <c r="B4605" s="760"/>
      <c r="C4605" s="760"/>
      <c r="D4605" s="760"/>
      <c r="E4605" s="760"/>
      <c r="F4605" s="760"/>
      <c r="G4605" s="760"/>
      <c r="H4605" s="760"/>
      <c r="I4605" s="760"/>
      <c r="J4605" s="760"/>
      <c r="K4605" s="760"/>
    </row>
    <row r="4606" spans="1:11">
      <c r="A4606" s="760"/>
      <c r="B4606" s="760"/>
      <c r="C4606" s="760"/>
      <c r="D4606" s="760"/>
      <c r="E4606" s="760"/>
      <c r="F4606" s="760"/>
      <c r="G4606" s="760"/>
      <c r="H4606" s="760"/>
      <c r="I4606" s="760"/>
      <c r="J4606" s="760"/>
      <c r="K4606" s="760"/>
    </row>
    <row r="4607" spans="1:11">
      <c r="A4607" s="760"/>
      <c r="B4607" s="760"/>
      <c r="C4607" s="760"/>
      <c r="D4607" s="760"/>
      <c r="E4607" s="760"/>
      <c r="F4607" s="760"/>
      <c r="G4607" s="760"/>
      <c r="H4607" s="760"/>
      <c r="I4607" s="760"/>
      <c r="J4607" s="760"/>
      <c r="K4607" s="760"/>
    </row>
    <row r="4608" spans="1:11">
      <c r="A4608" s="760"/>
      <c r="B4608" s="760"/>
      <c r="C4608" s="760"/>
      <c r="D4608" s="760"/>
      <c r="E4608" s="760"/>
      <c r="F4608" s="760"/>
      <c r="G4608" s="760"/>
      <c r="H4608" s="760"/>
      <c r="I4608" s="760"/>
      <c r="J4608" s="760"/>
      <c r="K4608" s="760"/>
    </row>
    <row r="4609" spans="1:11">
      <c r="A4609" s="760"/>
      <c r="B4609" s="760"/>
      <c r="C4609" s="760"/>
      <c r="D4609" s="760"/>
      <c r="E4609" s="760"/>
      <c r="F4609" s="760"/>
      <c r="G4609" s="760"/>
      <c r="H4609" s="760"/>
      <c r="I4609" s="760"/>
      <c r="J4609" s="760"/>
      <c r="K4609" s="760"/>
    </row>
    <row r="4610" spans="1:11">
      <c r="A4610" s="760"/>
      <c r="B4610" s="760"/>
      <c r="C4610" s="760"/>
      <c r="D4610" s="760"/>
      <c r="E4610" s="760"/>
      <c r="F4610" s="760"/>
      <c r="G4610" s="760"/>
      <c r="H4610" s="760"/>
      <c r="I4610" s="760"/>
      <c r="J4610" s="760"/>
      <c r="K4610" s="760"/>
    </row>
    <row r="4611" spans="1:11">
      <c r="A4611" s="760"/>
      <c r="B4611" s="760"/>
      <c r="C4611" s="760"/>
      <c r="D4611" s="760"/>
      <c r="E4611" s="760"/>
      <c r="F4611" s="760"/>
      <c r="G4611" s="760"/>
      <c r="H4611" s="760"/>
      <c r="I4611" s="760"/>
      <c r="J4611" s="760"/>
      <c r="K4611" s="760"/>
    </row>
    <row r="4612" spans="1:11">
      <c r="A4612" s="760"/>
      <c r="B4612" s="760"/>
      <c r="C4612" s="760"/>
      <c r="D4612" s="760"/>
      <c r="E4612" s="760"/>
      <c r="F4612" s="760"/>
      <c r="G4612" s="760"/>
      <c r="H4612" s="760"/>
      <c r="I4612" s="760"/>
      <c r="J4612" s="760"/>
      <c r="K4612" s="760"/>
    </row>
    <row r="4613" spans="1:11">
      <c r="A4613" s="760"/>
      <c r="B4613" s="760"/>
      <c r="C4613" s="760"/>
      <c r="D4613" s="760"/>
      <c r="E4613" s="760"/>
      <c r="F4613" s="760"/>
      <c r="G4613" s="760"/>
      <c r="H4613" s="760"/>
      <c r="I4613" s="760"/>
      <c r="J4613" s="760"/>
      <c r="K4613" s="760"/>
    </row>
    <row r="4614" spans="1:11">
      <c r="A4614" s="760"/>
      <c r="B4614" s="760"/>
      <c r="C4614" s="760"/>
      <c r="D4614" s="760"/>
      <c r="E4614" s="760"/>
      <c r="F4614" s="760"/>
      <c r="G4614" s="760"/>
      <c r="H4614" s="760"/>
      <c r="I4614" s="760"/>
      <c r="J4614" s="760"/>
      <c r="K4614" s="760"/>
    </row>
    <row r="4615" spans="1:11">
      <c r="A4615" s="760"/>
      <c r="B4615" s="760"/>
      <c r="C4615" s="760"/>
      <c r="D4615" s="760"/>
      <c r="E4615" s="760"/>
      <c r="F4615" s="760"/>
      <c r="G4615" s="760"/>
      <c r="H4615" s="760"/>
      <c r="I4615" s="760"/>
      <c r="J4615" s="760"/>
      <c r="K4615" s="760"/>
    </row>
    <row r="4616" spans="1:11">
      <c r="A4616" s="760"/>
      <c r="B4616" s="760"/>
      <c r="C4616" s="760"/>
      <c r="D4616" s="760"/>
      <c r="E4616" s="760"/>
      <c r="F4616" s="760"/>
      <c r="G4616" s="760"/>
      <c r="H4616" s="760"/>
      <c r="I4616" s="760"/>
      <c r="J4616" s="760"/>
      <c r="K4616" s="760"/>
    </row>
    <row r="4617" spans="1:11">
      <c r="A4617" s="760"/>
      <c r="B4617" s="760"/>
      <c r="C4617" s="760"/>
      <c r="D4617" s="760"/>
      <c r="E4617" s="760"/>
      <c r="F4617" s="760"/>
      <c r="G4617" s="760"/>
      <c r="H4617" s="760"/>
      <c r="I4617" s="760"/>
      <c r="J4617" s="760"/>
      <c r="K4617" s="760"/>
    </row>
    <row r="4618" spans="1:11">
      <c r="A4618" s="760"/>
      <c r="B4618" s="760"/>
      <c r="C4618" s="760"/>
      <c r="D4618" s="760"/>
      <c r="E4618" s="760"/>
      <c r="F4618" s="760"/>
      <c r="G4618" s="760"/>
      <c r="H4618" s="760"/>
      <c r="I4618" s="760"/>
      <c r="J4618" s="760"/>
      <c r="K4618" s="760"/>
    </row>
    <row r="4619" spans="1:11">
      <c r="A4619" s="760"/>
      <c r="B4619" s="760"/>
      <c r="C4619" s="760"/>
      <c r="D4619" s="760"/>
      <c r="E4619" s="760"/>
      <c r="F4619" s="760"/>
      <c r="G4619" s="760"/>
      <c r="H4619" s="760"/>
      <c r="I4619" s="760"/>
      <c r="J4619" s="760"/>
      <c r="K4619" s="760"/>
    </row>
    <row r="4620" spans="1:11">
      <c r="A4620" s="760"/>
      <c r="B4620" s="760"/>
      <c r="C4620" s="760"/>
      <c r="D4620" s="760"/>
      <c r="E4620" s="760"/>
      <c r="F4620" s="760"/>
      <c r="G4620" s="760"/>
      <c r="H4620" s="760"/>
      <c r="I4620" s="760"/>
      <c r="J4620" s="760"/>
      <c r="K4620" s="760"/>
    </row>
    <row r="4621" spans="1:11">
      <c r="A4621" s="760"/>
      <c r="B4621" s="760"/>
      <c r="C4621" s="760"/>
      <c r="D4621" s="760"/>
      <c r="E4621" s="760"/>
      <c r="F4621" s="760"/>
      <c r="G4621" s="760"/>
      <c r="H4621" s="760"/>
      <c r="I4621" s="760"/>
      <c r="J4621" s="760"/>
      <c r="K4621" s="760"/>
    </row>
    <row r="4622" spans="1:11">
      <c r="A4622" s="760"/>
      <c r="B4622" s="760"/>
      <c r="C4622" s="760"/>
      <c r="D4622" s="760"/>
      <c r="E4622" s="760"/>
      <c r="F4622" s="760"/>
      <c r="G4622" s="760"/>
      <c r="H4622" s="760"/>
      <c r="I4622" s="760"/>
      <c r="J4622" s="760"/>
      <c r="K4622" s="760"/>
    </row>
    <row r="4623" spans="1:11">
      <c r="A4623" s="760"/>
      <c r="B4623" s="760"/>
      <c r="C4623" s="760"/>
      <c r="D4623" s="760"/>
      <c r="E4623" s="760"/>
      <c r="F4623" s="760"/>
      <c r="G4623" s="760"/>
      <c r="H4623" s="760"/>
      <c r="I4623" s="760"/>
      <c r="J4623" s="760"/>
      <c r="K4623" s="760"/>
    </row>
    <row r="4624" spans="1:11">
      <c r="A4624" s="760"/>
      <c r="B4624" s="760"/>
      <c r="C4624" s="760"/>
      <c r="D4624" s="760"/>
      <c r="E4624" s="760"/>
      <c r="F4624" s="760"/>
      <c r="G4624" s="760"/>
      <c r="H4624" s="760"/>
      <c r="I4624" s="760"/>
      <c r="J4624" s="760"/>
      <c r="K4624" s="760"/>
    </row>
    <row r="4625" spans="1:11">
      <c r="A4625" s="760"/>
      <c r="B4625" s="760"/>
      <c r="C4625" s="760"/>
      <c r="D4625" s="760"/>
      <c r="E4625" s="760"/>
      <c r="F4625" s="760"/>
      <c r="G4625" s="760"/>
      <c r="H4625" s="760"/>
      <c r="I4625" s="760"/>
      <c r="J4625" s="760"/>
      <c r="K4625" s="760"/>
    </row>
    <row r="4626" spans="1:11">
      <c r="A4626" s="760"/>
      <c r="B4626" s="760"/>
      <c r="C4626" s="760"/>
      <c r="D4626" s="760"/>
      <c r="E4626" s="760"/>
      <c r="F4626" s="760"/>
      <c r="G4626" s="760"/>
      <c r="H4626" s="760"/>
      <c r="I4626" s="760"/>
      <c r="J4626" s="760"/>
      <c r="K4626" s="760"/>
    </row>
    <row r="4627" spans="1:11">
      <c r="A4627" s="760"/>
      <c r="B4627" s="760"/>
      <c r="C4627" s="760"/>
      <c r="D4627" s="760"/>
      <c r="E4627" s="760"/>
      <c r="F4627" s="760"/>
      <c r="G4627" s="760"/>
      <c r="H4627" s="760"/>
      <c r="I4627" s="760"/>
      <c r="J4627" s="760"/>
      <c r="K4627" s="760"/>
    </row>
    <row r="4628" spans="1:11">
      <c r="A4628" s="760"/>
      <c r="B4628" s="760"/>
      <c r="C4628" s="760"/>
      <c r="D4628" s="760"/>
      <c r="E4628" s="760"/>
      <c r="F4628" s="760"/>
      <c r="G4628" s="760"/>
      <c r="H4628" s="760"/>
      <c r="I4628" s="760"/>
      <c r="J4628" s="760"/>
      <c r="K4628" s="760"/>
    </row>
    <row r="4629" spans="1:11">
      <c r="A4629" s="760"/>
      <c r="B4629" s="760"/>
      <c r="C4629" s="760"/>
      <c r="D4629" s="760"/>
      <c r="E4629" s="760"/>
      <c r="F4629" s="760"/>
      <c r="G4629" s="760"/>
      <c r="H4629" s="760"/>
      <c r="I4629" s="760"/>
      <c r="J4629" s="760"/>
      <c r="K4629" s="760"/>
    </row>
    <row r="4630" spans="1:11">
      <c r="A4630" s="760"/>
      <c r="B4630" s="760"/>
      <c r="C4630" s="760"/>
      <c r="D4630" s="760"/>
      <c r="E4630" s="760"/>
      <c r="F4630" s="760"/>
      <c r="G4630" s="760"/>
      <c r="H4630" s="760"/>
      <c r="I4630" s="760"/>
      <c r="J4630" s="760"/>
      <c r="K4630" s="760"/>
    </row>
    <row r="4631" spans="1:11">
      <c r="A4631" s="760"/>
      <c r="B4631" s="760"/>
      <c r="C4631" s="760"/>
      <c r="D4631" s="760"/>
      <c r="E4631" s="760"/>
      <c r="F4631" s="760"/>
      <c r="G4631" s="760"/>
      <c r="H4631" s="760"/>
      <c r="I4631" s="760"/>
      <c r="J4631" s="760"/>
      <c r="K4631" s="760"/>
    </row>
    <row r="4632" spans="1:11">
      <c r="A4632" s="760"/>
      <c r="B4632" s="760"/>
      <c r="C4632" s="760"/>
      <c r="D4632" s="760"/>
      <c r="E4632" s="760"/>
      <c r="F4632" s="760"/>
      <c r="G4632" s="760"/>
      <c r="H4632" s="760"/>
      <c r="I4632" s="760"/>
      <c r="J4632" s="760"/>
      <c r="K4632" s="760"/>
    </row>
    <row r="4633" spans="1:11">
      <c r="A4633" s="760"/>
      <c r="B4633" s="760"/>
      <c r="C4633" s="760"/>
      <c r="D4633" s="760"/>
      <c r="E4633" s="760"/>
      <c r="F4633" s="760"/>
      <c r="G4633" s="760"/>
      <c r="H4633" s="760"/>
      <c r="I4633" s="760"/>
      <c r="J4633" s="760"/>
      <c r="K4633" s="760"/>
    </row>
    <row r="4634" spans="1:11">
      <c r="A4634" s="760"/>
      <c r="B4634" s="760"/>
      <c r="C4634" s="760"/>
      <c r="D4634" s="760"/>
      <c r="E4634" s="760"/>
      <c r="F4634" s="760"/>
      <c r="G4634" s="760"/>
      <c r="H4634" s="760"/>
      <c r="I4634" s="760"/>
      <c r="J4634" s="760"/>
      <c r="K4634" s="760"/>
    </row>
    <row r="4635" spans="1:11">
      <c r="A4635" s="760"/>
      <c r="B4635" s="760"/>
      <c r="C4635" s="760"/>
      <c r="D4635" s="760"/>
      <c r="E4635" s="760"/>
      <c r="F4635" s="760"/>
      <c r="G4635" s="760"/>
      <c r="H4635" s="760"/>
      <c r="I4635" s="760"/>
      <c r="J4635" s="760"/>
      <c r="K4635" s="760"/>
    </row>
    <row r="4636" spans="1:11">
      <c r="A4636" s="760"/>
      <c r="B4636" s="760"/>
      <c r="C4636" s="760"/>
      <c r="D4636" s="760"/>
      <c r="E4636" s="760"/>
      <c r="F4636" s="760"/>
      <c r="G4636" s="760"/>
      <c r="H4636" s="760"/>
      <c r="I4636" s="760"/>
      <c r="J4636" s="760"/>
      <c r="K4636" s="760"/>
    </row>
    <row r="4637" spans="1:11">
      <c r="A4637" s="760"/>
      <c r="B4637" s="760"/>
      <c r="C4637" s="760"/>
      <c r="D4637" s="760"/>
      <c r="E4637" s="760"/>
      <c r="F4637" s="760"/>
      <c r="G4637" s="760"/>
      <c r="H4637" s="760"/>
      <c r="I4637" s="760"/>
      <c r="J4637" s="760"/>
      <c r="K4637" s="760"/>
    </row>
    <row r="4638" spans="1:11">
      <c r="A4638" s="760"/>
      <c r="B4638" s="760"/>
      <c r="C4638" s="760"/>
      <c r="D4638" s="760"/>
      <c r="E4638" s="760"/>
      <c r="F4638" s="760"/>
      <c r="G4638" s="760"/>
      <c r="H4638" s="760"/>
      <c r="I4638" s="760"/>
      <c r="J4638" s="760"/>
      <c r="K4638" s="760"/>
    </row>
    <row r="4639" spans="1:11">
      <c r="A4639" s="760"/>
      <c r="B4639" s="760"/>
      <c r="C4639" s="760"/>
      <c r="D4639" s="760"/>
      <c r="E4639" s="760"/>
      <c r="F4639" s="760"/>
      <c r="G4639" s="760"/>
      <c r="H4639" s="760"/>
      <c r="I4639" s="760"/>
      <c r="J4639" s="760"/>
      <c r="K4639" s="760"/>
    </row>
    <row r="4640" spans="1:11">
      <c r="A4640" s="760"/>
      <c r="B4640" s="760"/>
      <c r="C4640" s="760"/>
      <c r="D4640" s="760"/>
      <c r="E4640" s="760"/>
      <c r="F4640" s="760"/>
      <c r="G4640" s="760"/>
      <c r="H4640" s="760"/>
      <c r="I4640" s="760"/>
      <c r="J4640" s="760"/>
      <c r="K4640" s="760"/>
    </row>
    <row r="4641" spans="1:11">
      <c r="A4641" s="760"/>
      <c r="B4641" s="760"/>
      <c r="C4641" s="760"/>
      <c r="D4641" s="760"/>
      <c r="E4641" s="760"/>
      <c r="F4641" s="760"/>
      <c r="G4641" s="760"/>
      <c r="H4641" s="760"/>
      <c r="I4641" s="760"/>
      <c r="J4641" s="760"/>
      <c r="K4641" s="760"/>
    </row>
    <row r="4642" spans="1:11">
      <c r="A4642" s="760"/>
      <c r="B4642" s="760"/>
      <c r="C4642" s="760"/>
      <c r="D4642" s="760"/>
      <c r="E4642" s="760"/>
      <c r="F4642" s="760"/>
      <c r="G4642" s="760"/>
      <c r="H4642" s="760"/>
      <c r="I4642" s="760"/>
      <c r="J4642" s="760"/>
      <c r="K4642" s="760"/>
    </row>
    <row r="4643" spans="1:11">
      <c r="A4643" s="760"/>
      <c r="B4643" s="760"/>
      <c r="C4643" s="760"/>
      <c r="D4643" s="760"/>
      <c r="E4643" s="760"/>
      <c r="F4643" s="760"/>
      <c r="G4643" s="760"/>
      <c r="H4643" s="760"/>
      <c r="I4643" s="760"/>
      <c r="J4643" s="760"/>
      <c r="K4643" s="760"/>
    </row>
    <row r="4644" spans="1:11">
      <c r="A4644" s="760"/>
      <c r="B4644" s="760"/>
      <c r="C4644" s="760"/>
      <c r="D4644" s="760"/>
      <c r="E4644" s="760"/>
      <c r="F4644" s="760"/>
      <c r="G4644" s="760"/>
      <c r="H4644" s="760"/>
      <c r="I4644" s="760"/>
      <c r="J4644" s="760"/>
      <c r="K4644" s="760"/>
    </row>
    <row r="4645" spans="1:11">
      <c r="A4645" s="760"/>
      <c r="B4645" s="760"/>
      <c r="C4645" s="760"/>
      <c r="D4645" s="760"/>
      <c r="E4645" s="760"/>
      <c r="F4645" s="760"/>
      <c r="G4645" s="760"/>
      <c r="H4645" s="760"/>
      <c r="I4645" s="760"/>
      <c r="J4645" s="760"/>
      <c r="K4645" s="760"/>
    </row>
    <row r="4646" spans="1:11">
      <c r="A4646" s="760"/>
      <c r="B4646" s="760"/>
      <c r="C4646" s="760"/>
      <c r="D4646" s="760"/>
      <c r="E4646" s="760"/>
      <c r="F4646" s="760"/>
      <c r="G4646" s="760"/>
      <c r="H4646" s="760"/>
      <c r="I4646" s="760"/>
      <c r="J4646" s="760"/>
      <c r="K4646" s="760"/>
    </row>
    <row r="4647" spans="1:11">
      <c r="A4647" s="760"/>
      <c r="B4647" s="760"/>
      <c r="C4647" s="760"/>
      <c r="D4647" s="760"/>
      <c r="E4647" s="760"/>
      <c r="F4647" s="760"/>
      <c r="G4647" s="760"/>
      <c r="H4647" s="760"/>
      <c r="I4647" s="760"/>
      <c r="J4647" s="760"/>
      <c r="K4647" s="760"/>
    </row>
    <row r="4648" spans="1:11">
      <c r="A4648" s="760"/>
      <c r="B4648" s="760"/>
      <c r="C4648" s="760"/>
      <c r="D4648" s="760"/>
      <c r="E4648" s="760"/>
      <c r="F4648" s="760"/>
      <c r="G4648" s="760"/>
      <c r="H4648" s="760"/>
      <c r="I4648" s="760"/>
      <c r="J4648" s="760"/>
      <c r="K4648" s="760"/>
    </row>
    <row r="4649" spans="1:11">
      <c r="A4649" s="760"/>
      <c r="B4649" s="760"/>
      <c r="C4649" s="760"/>
      <c r="D4649" s="760"/>
      <c r="E4649" s="760"/>
      <c r="F4649" s="760"/>
      <c r="G4649" s="760"/>
      <c r="H4649" s="760"/>
      <c r="I4649" s="760"/>
      <c r="J4649" s="760"/>
      <c r="K4649" s="760"/>
    </row>
    <row r="4650" spans="1:11">
      <c r="A4650" s="760"/>
      <c r="B4650" s="760"/>
      <c r="C4650" s="760"/>
      <c r="D4650" s="760"/>
      <c r="E4650" s="760"/>
      <c r="F4650" s="760"/>
      <c r="G4650" s="760"/>
      <c r="H4650" s="760"/>
      <c r="I4650" s="760"/>
      <c r="J4650" s="760"/>
      <c r="K4650" s="760"/>
    </row>
    <row r="4651" spans="1:11">
      <c r="A4651" s="760"/>
      <c r="B4651" s="760"/>
      <c r="C4651" s="760"/>
      <c r="D4651" s="760"/>
      <c r="E4651" s="760"/>
      <c r="F4651" s="760"/>
      <c r="G4651" s="760"/>
      <c r="H4651" s="760"/>
      <c r="I4651" s="760"/>
      <c r="J4651" s="760"/>
      <c r="K4651" s="760"/>
    </row>
    <row r="4652" spans="1:11">
      <c r="A4652" s="760"/>
      <c r="B4652" s="760"/>
      <c r="C4652" s="760"/>
      <c r="D4652" s="760"/>
      <c r="E4652" s="760"/>
      <c r="F4652" s="760"/>
      <c r="G4652" s="760"/>
      <c r="H4652" s="760"/>
      <c r="I4652" s="760"/>
      <c r="J4652" s="760"/>
      <c r="K4652" s="760"/>
    </row>
    <row r="4653" spans="1:11">
      <c r="A4653" s="760"/>
      <c r="B4653" s="760"/>
      <c r="C4653" s="760"/>
      <c r="D4653" s="760"/>
      <c r="E4653" s="760"/>
      <c r="F4653" s="760"/>
      <c r="G4653" s="760"/>
      <c r="H4653" s="760"/>
      <c r="I4653" s="760"/>
      <c r="J4653" s="760"/>
      <c r="K4653" s="760"/>
    </row>
    <row r="4654" spans="1:11">
      <c r="A4654" s="760"/>
      <c r="B4654" s="760"/>
      <c r="C4654" s="760"/>
      <c r="D4654" s="760"/>
      <c r="E4654" s="760"/>
      <c r="F4654" s="760"/>
      <c r="G4654" s="760"/>
      <c r="H4654" s="760"/>
      <c r="I4654" s="760"/>
      <c r="J4654" s="760"/>
      <c r="K4654" s="760"/>
    </row>
    <row r="4655" spans="1:11">
      <c r="A4655" s="760"/>
      <c r="B4655" s="760"/>
      <c r="C4655" s="760"/>
      <c r="D4655" s="760"/>
      <c r="E4655" s="760"/>
      <c r="F4655" s="760"/>
      <c r="G4655" s="760"/>
      <c r="H4655" s="760"/>
      <c r="I4655" s="760"/>
      <c r="J4655" s="760"/>
      <c r="K4655" s="760"/>
    </row>
    <row r="4656" spans="1:11">
      <c r="A4656" s="760"/>
      <c r="B4656" s="760"/>
      <c r="C4656" s="760"/>
      <c r="D4656" s="760"/>
      <c r="E4656" s="760"/>
      <c r="F4656" s="760"/>
      <c r="G4656" s="760"/>
      <c r="H4656" s="760"/>
      <c r="I4656" s="760"/>
      <c r="J4656" s="760"/>
      <c r="K4656" s="760"/>
    </row>
    <row r="4657" spans="1:11">
      <c r="A4657" s="760"/>
      <c r="B4657" s="760"/>
      <c r="C4657" s="760"/>
      <c r="D4657" s="760"/>
      <c r="E4657" s="760"/>
      <c r="F4657" s="760"/>
      <c r="G4657" s="760"/>
      <c r="H4657" s="760"/>
      <c r="I4657" s="760"/>
      <c r="J4657" s="760"/>
      <c r="K4657" s="760"/>
    </row>
    <row r="4658" spans="1:11">
      <c r="A4658" s="760"/>
      <c r="B4658" s="760"/>
      <c r="C4658" s="760"/>
      <c r="D4658" s="760"/>
      <c r="E4658" s="760"/>
      <c r="F4658" s="760"/>
      <c r="G4658" s="760"/>
      <c r="H4658" s="760"/>
      <c r="I4658" s="760"/>
      <c r="J4658" s="760"/>
      <c r="K4658" s="760"/>
    </row>
    <row r="4659" spans="1:11">
      <c r="A4659" s="760"/>
      <c r="B4659" s="760"/>
      <c r="C4659" s="760"/>
      <c r="D4659" s="760"/>
      <c r="E4659" s="760"/>
      <c r="F4659" s="760"/>
      <c r="G4659" s="760"/>
      <c r="H4659" s="760"/>
      <c r="I4659" s="760"/>
      <c r="J4659" s="760"/>
      <c r="K4659" s="760"/>
    </row>
    <row r="4660" spans="1:11">
      <c r="A4660" s="760"/>
      <c r="B4660" s="760"/>
      <c r="C4660" s="760"/>
      <c r="D4660" s="760"/>
      <c r="E4660" s="760"/>
      <c r="F4660" s="760"/>
      <c r="G4660" s="760"/>
      <c r="H4660" s="760"/>
      <c r="I4660" s="760"/>
      <c r="J4660" s="760"/>
      <c r="K4660" s="760"/>
    </row>
    <row r="4661" spans="1:11">
      <c r="A4661" s="760"/>
      <c r="B4661" s="760"/>
      <c r="C4661" s="760"/>
      <c r="D4661" s="760"/>
      <c r="E4661" s="760"/>
      <c r="F4661" s="760"/>
      <c r="G4661" s="760"/>
      <c r="H4661" s="760"/>
      <c r="I4661" s="760"/>
      <c r="J4661" s="760"/>
      <c r="K4661" s="760"/>
    </row>
    <row r="4662" spans="1:11">
      <c r="A4662" s="760"/>
      <c r="B4662" s="760"/>
      <c r="C4662" s="760"/>
      <c r="D4662" s="760"/>
      <c r="E4662" s="760"/>
      <c r="F4662" s="760"/>
      <c r="G4662" s="760"/>
      <c r="H4662" s="760"/>
      <c r="I4662" s="760"/>
      <c r="J4662" s="760"/>
      <c r="K4662" s="760"/>
    </row>
    <row r="4663" spans="1:11">
      <c r="A4663" s="760"/>
      <c r="B4663" s="760"/>
      <c r="C4663" s="760"/>
      <c r="D4663" s="760"/>
      <c r="E4663" s="760"/>
      <c r="F4663" s="760"/>
      <c r="G4663" s="760"/>
      <c r="H4663" s="760"/>
      <c r="I4663" s="760"/>
      <c r="J4663" s="760"/>
      <c r="K4663" s="760"/>
    </row>
    <row r="4664" spans="1:11">
      <c r="A4664" s="760"/>
      <c r="B4664" s="760"/>
      <c r="C4664" s="760"/>
      <c r="D4664" s="760"/>
      <c r="E4664" s="760"/>
      <c r="F4664" s="760"/>
      <c r="G4664" s="760"/>
      <c r="H4664" s="760"/>
      <c r="I4664" s="760"/>
      <c r="J4664" s="760"/>
      <c r="K4664" s="760"/>
    </row>
    <row r="4665" spans="1:11">
      <c r="A4665" s="760"/>
      <c r="B4665" s="760"/>
      <c r="C4665" s="760"/>
      <c r="D4665" s="760"/>
      <c r="E4665" s="760"/>
      <c r="F4665" s="760"/>
      <c r="G4665" s="760"/>
      <c r="H4665" s="760"/>
      <c r="I4665" s="760"/>
      <c r="J4665" s="760"/>
      <c r="K4665" s="760"/>
    </row>
    <row r="4666" spans="1:11">
      <c r="A4666" s="760"/>
      <c r="B4666" s="760"/>
      <c r="C4666" s="760"/>
      <c r="D4666" s="760"/>
      <c r="E4666" s="760"/>
      <c r="F4666" s="760"/>
      <c r="G4666" s="760"/>
      <c r="H4666" s="760"/>
      <c r="I4666" s="760"/>
      <c r="J4666" s="760"/>
      <c r="K4666" s="760"/>
    </row>
    <row r="4667" spans="1:11">
      <c r="A4667" s="760"/>
      <c r="B4667" s="760"/>
      <c r="C4667" s="760"/>
      <c r="D4667" s="760"/>
      <c r="E4667" s="760"/>
      <c r="F4667" s="760"/>
      <c r="G4667" s="760"/>
      <c r="H4667" s="760"/>
      <c r="I4667" s="760"/>
      <c r="J4667" s="760"/>
      <c r="K4667" s="760"/>
    </row>
    <row r="4668" spans="1:11">
      <c r="A4668" s="760"/>
      <c r="B4668" s="760"/>
      <c r="C4668" s="760"/>
      <c r="D4668" s="760"/>
      <c r="E4668" s="760"/>
      <c r="F4668" s="760"/>
      <c r="G4668" s="760"/>
      <c r="H4668" s="760"/>
      <c r="I4668" s="760"/>
      <c r="J4668" s="760"/>
      <c r="K4668" s="760"/>
    </row>
    <row r="4669" spans="1:11">
      <c r="A4669" s="760"/>
      <c r="B4669" s="760"/>
      <c r="C4669" s="760"/>
      <c r="D4669" s="760"/>
      <c r="E4669" s="760"/>
      <c r="F4669" s="760"/>
      <c r="G4669" s="760"/>
      <c r="H4669" s="760"/>
      <c r="I4669" s="760"/>
      <c r="J4669" s="760"/>
      <c r="K4669" s="760"/>
    </row>
    <row r="4670" spans="1:11">
      <c r="A4670" s="760"/>
      <c r="B4670" s="760"/>
      <c r="C4670" s="760"/>
      <c r="D4670" s="760"/>
      <c r="E4670" s="760"/>
      <c r="F4670" s="760"/>
      <c r="G4670" s="760"/>
      <c r="H4670" s="760"/>
      <c r="I4670" s="760"/>
      <c r="J4670" s="760"/>
      <c r="K4670" s="760"/>
    </row>
    <row r="4671" spans="1:11">
      <c r="A4671" s="760"/>
      <c r="B4671" s="760"/>
      <c r="C4671" s="760"/>
      <c r="D4671" s="760"/>
      <c r="E4671" s="760"/>
      <c r="F4671" s="760"/>
      <c r="G4671" s="760"/>
      <c r="H4671" s="760"/>
      <c r="I4671" s="760"/>
      <c r="J4671" s="760"/>
      <c r="K4671" s="760"/>
    </row>
    <row r="4672" spans="1:11">
      <c r="A4672" s="760"/>
      <c r="B4672" s="760"/>
      <c r="C4672" s="760"/>
      <c r="D4672" s="760"/>
      <c r="E4672" s="760"/>
      <c r="F4672" s="760"/>
      <c r="G4672" s="760"/>
      <c r="H4672" s="760"/>
      <c r="I4672" s="760"/>
      <c r="J4672" s="760"/>
      <c r="K4672" s="760"/>
    </row>
    <row r="4673" spans="1:11">
      <c r="A4673" s="760"/>
      <c r="B4673" s="760"/>
      <c r="C4673" s="760"/>
      <c r="D4673" s="760"/>
      <c r="E4673" s="760"/>
      <c r="F4673" s="760"/>
      <c r="G4673" s="760"/>
      <c r="H4673" s="760"/>
      <c r="I4673" s="760"/>
      <c r="J4673" s="760"/>
      <c r="K4673" s="760"/>
    </row>
    <row r="4674" spans="1:11">
      <c r="A4674" s="760"/>
      <c r="B4674" s="760"/>
      <c r="C4674" s="760"/>
      <c r="D4674" s="760"/>
      <c r="E4674" s="760"/>
      <c r="F4674" s="760"/>
      <c r="G4674" s="760"/>
      <c r="H4674" s="760"/>
      <c r="I4674" s="760"/>
      <c r="J4674" s="760"/>
      <c r="K4674" s="760"/>
    </row>
    <row r="4675" spans="1:11">
      <c r="A4675" s="760"/>
      <c r="B4675" s="760"/>
      <c r="C4675" s="760"/>
      <c r="D4675" s="760"/>
      <c r="E4675" s="760"/>
      <c r="F4675" s="760"/>
      <c r="G4675" s="760"/>
      <c r="H4675" s="760"/>
      <c r="I4675" s="760"/>
      <c r="J4675" s="760"/>
      <c r="K4675" s="760"/>
    </row>
    <row r="4676" spans="1:11">
      <c r="A4676" s="760"/>
      <c r="B4676" s="760"/>
      <c r="C4676" s="760"/>
      <c r="D4676" s="760"/>
      <c r="E4676" s="760"/>
      <c r="F4676" s="760"/>
      <c r="G4676" s="760"/>
      <c r="H4676" s="760"/>
      <c r="I4676" s="760"/>
      <c r="J4676" s="760"/>
      <c r="K4676" s="760"/>
    </row>
    <row r="4677" spans="1:11">
      <c r="A4677" s="760"/>
      <c r="B4677" s="760"/>
      <c r="C4677" s="760"/>
      <c r="D4677" s="760"/>
      <c r="E4677" s="760"/>
      <c r="F4677" s="760"/>
      <c r="G4677" s="760"/>
      <c r="H4677" s="760"/>
      <c r="I4677" s="760"/>
      <c r="J4677" s="760"/>
      <c r="K4677" s="760"/>
    </row>
    <row r="4678" spans="1:11">
      <c r="A4678" s="760"/>
      <c r="B4678" s="760"/>
      <c r="C4678" s="760"/>
      <c r="D4678" s="760"/>
      <c r="E4678" s="760"/>
      <c r="F4678" s="760"/>
      <c r="G4678" s="760"/>
      <c r="H4678" s="760"/>
      <c r="I4678" s="760"/>
      <c r="J4678" s="760"/>
      <c r="K4678" s="760"/>
    </row>
    <row r="4679" spans="1:11">
      <c r="A4679" s="760"/>
      <c r="B4679" s="760"/>
      <c r="C4679" s="760"/>
      <c r="D4679" s="760"/>
      <c r="E4679" s="760"/>
      <c r="F4679" s="760"/>
      <c r="G4679" s="760"/>
      <c r="H4679" s="760"/>
      <c r="I4679" s="760"/>
      <c r="J4679" s="760"/>
      <c r="K4679" s="760"/>
    </row>
    <row r="4680" spans="1:11">
      <c r="A4680" s="760"/>
      <c r="B4680" s="760"/>
      <c r="C4680" s="760"/>
      <c r="D4680" s="760"/>
      <c r="E4680" s="760"/>
      <c r="F4680" s="760"/>
      <c r="G4680" s="760"/>
      <c r="H4680" s="760"/>
      <c r="I4680" s="760"/>
      <c r="J4680" s="760"/>
      <c r="K4680" s="760"/>
    </row>
    <row r="4681" spans="1:11">
      <c r="A4681" s="760"/>
      <c r="B4681" s="760"/>
      <c r="C4681" s="760"/>
      <c r="D4681" s="760"/>
      <c r="E4681" s="760"/>
      <c r="F4681" s="760"/>
      <c r="G4681" s="760"/>
      <c r="H4681" s="760"/>
      <c r="I4681" s="760"/>
      <c r="J4681" s="760"/>
      <c r="K4681" s="760"/>
    </row>
    <row r="4682" spans="1:11">
      <c r="A4682" s="760"/>
      <c r="B4682" s="760"/>
      <c r="C4682" s="760"/>
      <c r="D4682" s="760"/>
      <c r="E4682" s="760"/>
      <c r="F4682" s="760"/>
      <c r="G4682" s="760"/>
      <c r="H4682" s="760"/>
      <c r="I4682" s="760"/>
      <c r="J4682" s="760"/>
      <c r="K4682" s="760"/>
    </row>
    <row r="4683" spans="1:11">
      <c r="A4683" s="760"/>
      <c r="B4683" s="760"/>
      <c r="C4683" s="760"/>
      <c r="D4683" s="760"/>
      <c r="E4683" s="760"/>
      <c r="F4683" s="760"/>
      <c r="G4683" s="760"/>
      <c r="H4683" s="760"/>
      <c r="I4683" s="760"/>
      <c r="J4683" s="760"/>
      <c r="K4683" s="760"/>
    </row>
    <row r="4684" spans="1:11">
      <c r="A4684" s="760"/>
      <c r="B4684" s="760"/>
      <c r="C4684" s="760"/>
      <c r="D4684" s="760"/>
      <c r="E4684" s="760"/>
      <c r="F4684" s="760"/>
      <c r="G4684" s="760"/>
      <c r="H4684" s="760"/>
      <c r="I4684" s="760"/>
      <c r="J4684" s="760"/>
      <c r="K4684" s="760"/>
    </row>
    <row r="4685" spans="1:11">
      <c r="A4685" s="760"/>
      <c r="B4685" s="760"/>
      <c r="C4685" s="760"/>
      <c r="D4685" s="760"/>
      <c r="E4685" s="760"/>
      <c r="F4685" s="760"/>
      <c r="G4685" s="760"/>
      <c r="H4685" s="760"/>
      <c r="I4685" s="760"/>
      <c r="J4685" s="760"/>
      <c r="K4685" s="760"/>
    </row>
    <row r="4686" spans="1:11">
      <c r="A4686" s="760"/>
      <c r="B4686" s="760"/>
      <c r="C4686" s="760"/>
      <c r="D4686" s="760"/>
      <c r="E4686" s="760"/>
      <c r="F4686" s="760"/>
      <c r="G4686" s="760"/>
      <c r="H4686" s="760"/>
      <c r="I4686" s="760"/>
      <c r="J4686" s="760"/>
      <c r="K4686" s="760"/>
    </row>
    <row r="4687" spans="1:11">
      <c r="A4687" s="760"/>
      <c r="B4687" s="760"/>
      <c r="C4687" s="760"/>
      <c r="D4687" s="760"/>
      <c r="E4687" s="760"/>
      <c r="F4687" s="760"/>
      <c r="G4687" s="760"/>
      <c r="H4687" s="760"/>
      <c r="I4687" s="760"/>
      <c r="J4687" s="760"/>
      <c r="K4687" s="760"/>
    </row>
    <row r="4688" spans="1:11">
      <c r="A4688" s="760"/>
      <c r="B4688" s="760"/>
      <c r="C4688" s="760"/>
      <c r="D4688" s="760"/>
      <c r="E4688" s="760"/>
      <c r="F4688" s="760"/>
      <c r="G4688" s="760"/>
      <c r="H4688" s="760"/>
      <c r="I4688" s="760"/>
      <c r="J4688" s="760"/>
      <c r="K4688" s="760"/>
    </row>
    <row r="4689" spans="1:11">
      <c r="A4689" s="760"/>
      <c r="B4689" s="760"/>
      <c r="C4689" s="760"/>
      <c r="D4689" s="760"/>
      <c r="E4689" s="760"/>
      <c r="F4689" s="760"/>
      <c r="G4689" s="760"/>
      <c r="H4689" s="760"/>
      <c r="I4689" s="760"/>
      <c r="J4689" s="760"/>
      <c r="K4689" s="760"/>
    </row>
    <row r="4690" spans="1:11">
      <c r="A4690" s="760"/>
      <c r="B4690" s="760"/>
      <c r="C4690" s="760"/>
      <c r="D4690" s="760"/>
      <c r="E4690" s="760"/>
      <c r="F4690" s="760"/>
      <c r="G4690" s="760"/>
      <c r="H4690" s="760"/>
      <c r="I4690" s="760"/>
      <c r="J4690" s="760"/>
      <c r="K4690" s="760"/>
    </row>
    <row r="4691" spans="1:11">
      <c r="A4691" s="760"/>
      <c r="B4691" s="760"/>
      <c r="C4691" s="760"/>
      <c r="D4691" s="760"/>
      <c r="E4691" s="760"/>
      <c r="F4691" s="760"/>
      <c r="G4691" s="760"/>
      <c r="H4691" s="760"/>
      <c r="I4691" s="760"/>
      <c r="J4691" s="760"/>
      <c r="K4691" s="760"/>
    </row>
    <row r="4692" spans="1:11">
      <c r="A4692" s="760"/>
      <c r="B4692" s="760"/>
      <c r="C4692" s="760"/>
      <c r="D4692" s="760"/>
      <c r="E4692" s="760"/>
      <c r="F4692" s="760"/>
      <c r="G4692" s="760"/>
      <c r="H4692" s="760"/>
      <c r="I4692" s="760"/>
      <c r="J4692" s="760"/>
      <c r="K4692" s="760"/>
    </row>
    <row r="4693" spans="1:11">
      <c r="A4693" s="760"/>
      <c r="B4693" s="760"/>
      <c r="C4693" s="760"/>
      <c r="D4693" s="760"/>
      <c r="E4693" s="760"/>
      <c r="F4693" s="760"/>
      <c r="G4693" s="760"/>
      <c r="H4693" s="760"/>
      <c r="I4693" s="760"/>
      <c r="J4693" s="760"/>
      <c r="K4693" s="760"/>
    </row>
    <row r="4694" spans="1:11">
      <c r="A4694" s="760"/>
      <c r="B4694" s="760"/>
      <c r="C4694" s="760"/>
      <c r="D4694" s="760"/>
      <c r="E4694" s="760"/>
      <c r="F4694" s="760"/>
      <c r="G4694" s="760"/>
      <c r="H4694" s="760"/>
      <c r="I4694" s="760"/>
      <c r="J4694" s="760"/>
      <c r="K4694" s="760"/>
    </row>
    <row r="4695" spans="1:11">
      <c r="A4695" s="760"/>
      <c r="B4695" s="760"/>
      <c r="C4695" s="760"/>
      <c r="D4695" s="760"/>
      <c r="E4695" s="760"/>
      <c r="F4695" s="760"/>
      <c r="G4695" s="760"/>
      <c r="H4695" s="760"/>
      <c r="I4695" s="760"/>
      <c r="J4695" s="760"/>
      <c r="K4695" s="760"/>
    </row>
    <row r="4696" spans="1:11">
      <c r="A4696" s="760"/>
      <c r="B4696" s="760"/>
      <c r="C4696" s="760"/>
      <c r="D4696" s="760"/>
      <c r="E4696" s="760"/>
      <c r="F4696" s="760"/>
      <c r="G4696" s="760"/>
      <c r="H4696" s="760"/>
      <c r="I4696" s="760"/>
      <c r="J4696" s="760"/>
      <c r="K4696" s="760"/>
    </row>
    <row r="4697" spans="1:11">
      <c r="A4697" s="760"/>
      <c r="B4697" s="760"/>
      <c r="C4697" s="760"/>
      <c r="D4697" s="760"/>
      <c r="E4697" s="760"/>
      <c r="F4697" s="760"/>
      <c r="G4697" s="760"/>
      <c r="H4697" s="760"/>
      <c r="I4697" s="760"/>
      <c r="J4697" s="760"/>
      <c r="K4697" s="760"/>
    </row>
    <row r="4698" spans="1:11">
      <c r="A4698" s="760"/>
      <c r="B4698" s="760"/>
      <c r="C4698" s="760"/>
      <c r="D4698" s="760"/>
      <c r="E4698" s="760"/>
      <c r="F4698" s="760"/>
      <c r="G4698" s="760"/>
      <c r="H4698" s="760"/>
      <c r="I4698" s="760"/>
      <c r="J4698" s="760"/>
      <c r="K4698" s="760"/>
    </row>
    <row r="4699" spans="1:11">
      <c r="A4699" s="760"/>
      <c r="B4699" s="760"/>
      <c r="C4699" s="760"/>
      <c r="D4699" s="760"/>
      <c r="E4699" s="760"/>
      <c r="F4699" s="760"/>
      <c r="G4699" s="760"/>
      <c r="H4699" s="760"/>
      <c r="I4699" s="760"/>
      <c r="J4699" s="760"/>
      <c r="K4699" s="760"/>
    </row>
    <row r="4700" spans="1:11">
      <c r="A4700" s="760"/>
      <c r="B4700" s="760"/>
      <c r="C4700" s="760"/>
      <c r="D4700" s="760"/>
      <c r="E4700" s="760"/>
      <c r="F4700" s="760"/>
      <c r="G4700" s="760"/>
      <c r="H4700" s="760"/>
      <c r="I4700" s="760"/>
      <c r="J4700" s="760"/>
      <c r="K4700" s="760"/>
    </row>
    <row r="4701" spans="1:11">
      <c r="A4701" s="760"/>
      <c r="B4701" s="760"/>
      <c r="C4701" s="760"/>
      <c r="D4701" s="760"/>
      <c r="E4701" s="760"/>
      <c r="F4701" s="760"/>
      <c r="G4701" s="760"/>
      <c r="H4701" s="760"/>
      <c r="I4701" s="760"/>
      <c r="J4701" s="760"/>
      <c r="K4701" s="760"/>
    </row>
    <row r="4702" spans="1:11">
      <c r="A4702" s="760"/>
      <c r="B4702" s="760"/>
      <c r="C4702" s="760"/>
      <c r="D4702" s="760"/>
      <c r="E4702" s="760"/>
      <c r="F4702" s="760"/>
      <c r="G4702" s="760"/>
      <c r="H4702" s="760"/>
      <c r="I4702" s="760"/>
      <c r="J4702" s="760"/>
      <c r="K4702" s="760"/>
    </row>
    <row r="4703" spans="1:11">
      <c r="A4703" s="760"/>
      <c r="B4703" s="760"/>
      <c r="C4703" s="760"/>
      <c r="D4703" s="760"/>
      <c r="E4703" s="760"/>
      <c r="F4703" s="760"/>
      <c r="G4703" s="760"/>
      <c r="H4703" s="760"/>
      <c r="I4703" s="760"/>
      <c r="J4703" s="760"/>
      <c r="K4703" s="760"/>
    </row>
    <row r="4704" spans="1:11">
      <c r="A4704" s="760"/>
      <c r="B4704" s="760"/>
      <c r="C4704" s="760"/>
      <c r="D4704" s="760"/>
      <c r="E4704" s="760"/>
      <c r="F4704" s="760"/>
      <c r="G4704" s="760"/>
      <c r="H4704" s="760"/>
      <c r="I4704" s="760"/>
      <c r="J4704" s="760"/>
      <c r="K4704" s="760"/>
    </row>
    <row r="4705" spans="1:11">
      <c r="A4705" s="760"/>
      <c r="B4705" s="760"/>
      <c r="C4705" s="760"/>
      <c r="D4705" s="760"/>
      <c r="E4705" s="760"/>
      <c r="F4705" s="760"/>
      <c r="G4705" s="760"/>
      <c r="H4705" s="760"/>
      <c r="I4705" s="760"/>
      <c r="J4705" s="760"/>
      <c r="K4705" s="760"/>
    </row>
    <row r="4706" spans="1:11">
      <c r="A4706" s="760"/>
      <c r="B4706" s="760"/>
      <c r="C4706" s="760"/>
      <c r="D4706" s="760"/>
      <c r="E4706" s="760"/>
      <c r="F4706" s="760"/>
      <c r="G4706" s="760"/>
      <c r="H4706" s="760"/>
      <c r="I4706" s="760"/>
      <c r="J4706" s="760"/>
      <c r="K4706" s="760"/>
    </row>
    <row r="4707" spans="1:11">
      <c r="A4707" s="760"/>
      <c r="B4707" s="760"/>
      <c r="C4707" s="760"/>
      <c r="D4707" s="760"/>
      <c r="E4707" s="760"/>
      <c r="F4707" s="760"/>
      <c r="G4707" s="760"/>
      <c r="H4707" s="760"/>
      <c r="I4707" s="760"/>
      <c r="J4707" s="760"/>
      <c r="K4707" s="760"/>
    </row>
    <row r="4708" spans="1:11">
      <c r="A4708" s="760"/>
      <c r="B4708" s="760"/>
      <c r="C4708" s="760"/>
      <c r="D4708" s="760"/>
      <c r="E4708" s="760"/>
      <c r="F4708" s="760"/>
      <c r="G4708" s="760"/>
      <c r="H4708" s="760"/>
      <c r="I4708" s="760"/>
      <c r="J4708" s="760"/>
      <c r="K4708" s="760"/>
    </row>
    <row r="4709" spans="1:11">
      <c r="A4709" s="760"/>
      <c r="B4709" s="760"/>
      <c r="C4709" s="760"/>
      <c r="D4709" s="760"/>
      <c r="E4709" s="760"/>
      <c r="F4709" s="760"/>
      <c r="G4709" s="760"/>
      <c r="H4709" s="760"/>
      <c r="I4709" s="760"/>
      <c r="J4709" s="760"/>
      <c r="K4709" s="760"/>
    </row>
    <row r="4710" spans="1:11">
      <c r="A4710" s="760"/>
      <c r="B4710" s="760"/>
      <c r="C4710" s="760"/>
      <c r="D4710" s="760"/>
      <c r="E4710" s="760"/>
      <c r="F4710" s="760"/>
      <c r="G4710" s="760"/>
      <c r="H4710" s="760"/>
      <c r="I4710" s="760"/>
      <c r="J4710" s="760"/>
      <c r="K4710" s="760"/>
    </row>
    <row r="4711" spans="1:11">
      <c r="A4711" s="760"/>
      <c r="B4711" s="760"/>
      <c r="C4711" s="760"/>
      <c r="D4711" s="760"/>
      <c r="E4711" s="760"/>
      <c r="F4711" s="760"/>
      <c r="G4711" s="760"/>
      <c r="H4711" s="760"/>
      <c r="I4711" s="760"/>
      <c r="J4711" s="760"/>
      <c r="K4711" s="760"/>
    </row>
    <row r="4712" spans="1:11">
      <c r="A4712" s="760"/>
      <c r="B4712" s="760"/>
      <c r="C4712" s="760"/>
      <c r="D4712" s="760"/>
      <c r="E4712" s="760"/>
      <c r="F4712" s="760"/>
      <c r="G4712" s="760"/>
      <c r="H4712" s="760"/>
      <c r="I4712" s="760"/>
      <c r="J4712" s="760"/>
      <c r="K4712" s="760"/>
    </row>
    <row r="4713" spans="1:11">
      <c r="A4713" s="760"/>
      <c r="B4713" s="760"/>
      <c r="C4713" s="760"/>
      <c r="D4713" s="760"/>
      <c r="E4713" s="760"/>
      <c r="F4713" s="760"/>
      <c r="G4713" s="760"/>
      <c r="H4713" s="760"/>
      <c r="I4713" s="760"/>
      <c r="J4713" s="760"/>
      <c r="K4713" s="760"/>
    </row>
    <row r="4714" spans="1:11">
      <c r="A4714" s="760"/>
      <c r="B4714" s="760"/>
      <c r="C4714" s="760"/>
      <c r="D4714" s="760"/>
      <c r="E4714" s="760"/>
      <c r="F4714" s="760"/>
      <c r="G4714" s="760"/>
      <c r="H4714" s="760"/>
      <c r="I4714" s="760"/>
      <c r="J4714" s="760"/>
      <c r="K4714" s="760"/>
    </row>
    <row r="4715" spans="1:11">
      <c r="A4715" s="760"/>
      <c r="B4715" s="760"/>
      <c r="C4715" s="760"/>
      <c r="D4715" s="760"/>
      <c r="E4715" s="760"/>
      <c r="F4715" s="760"/>
      <c r="G4715" s="760"/>
      <c r="H4715" s="760"/>
      <c r="I4715" s="760"/>
      <c r="J4715" s="760"/>
      <c r="K4715" s="760"/>
    </row>
    <row r="4716" spans="1:11">
      <c r="A4716" s="760"/>
      <c r="B4716" s="760"/>
      <c r="C4716" s="760"/>
      <c r="D4716" s="760"/>
      <c r="E4716" s="760"/>
      <c r="F4716" s="760"/>
      <c r="G4716" s="760"/>
      <c r="H4716" s="760"/>
      <c r="I4716" s="760"/>
      <c r="J4716" s="760"/>
      <c r="K4716" s="760"/>
    </row>
    <row r="4717" spans="1:11">
      <c r="A4717" s="760"/>
      <c r="B4717" s="760"/>
      <c r="C4717" s="760"/>
      <c r="D4717" s="760"/>
      <c r="E4717" s="760"/>
      <c r="F4717" s="760"/>
      <c r="G4717" s="760"/>
      <c r="H4717" s="760"/>
      <c r="I4717" s="760"/>
      <c r="J4717" s="760"/>
      <c r="K4717" s="760"/>
    </row>
    <row r="4718" spans="1:11">
      <c r="A4718" s="760"/>
      <c r="B4718" s="760"/>
      <c r="C4718" s="760"/>
      <c r="D4718" s="760"/>
      <c r="E4718" s="760"/>
      <c r="F4718" s="760"/>
      <c r="G4718" s="760"/>
      <c r="H4718" s="760"/>
      <c r="I4718" s="760"/>
      <c r="J4718" s="760"/>
      <c r="K4718" s="760"/>
    </row>
    <row r="4719" spans="1:11">
      <c r="A4719" s="760"/>
      <c r="B4719" s="760"/>
      <c r="C4719" s="760"/>
      <c r="D4719" s="760"/>
      <c r="E4719" s="760"/>
      <c r="F4719" s="760"/>
      <c r="G4719" s="760"/>
      <c r="H4719" s="760"/>
      <c r="I4719" s="760"/>
      <c r="J4719" s="760"/>
      <c r="K4719" s="760"/>
    </row>
    <row r="4720" spans="1:11">
      <c r="A4720" s="760"/>
      <c r="B4720" s="760"/>
      <c r="C4720" s="760"/>
      <c r="D4720" s="760"/>
      <c r="E4720" s="760"/>
      <c r="F4720" s="760"/>
      <c r="G4720" s="760"/>
      <c r="H4720" s="760"/>
      <c r="I4720" s="760"/>
      <c r="J4720" s="760"/>
      <c r="K4720" s="760"/>
    </row>
    <row r="4721" spans="1:11">
      <c r="A4721" s="760"/>
      <c r="B4721" s="760"/>
      <c r="C4721" s="760"/>
      <c r="D4721" s="760"/>
      <c r="E4721" s="760"/>
      <c r="F4721" s="760"/>
      <c r="G4721" s="760"/>
      <c r="H4721" s="760"/>
      <c r="I4721" s="760"/>
      <c r="J4721" s="760"/>
      <c r="K4721" s="760"/>
    </row>
    <row r="4722" spans="1:11">
      <c r="A4722" s="760"/>
      <c r="B4722" s="760"/>
      <c r="C4722" s="760"/>
      <c r="D4722" s="760"/>
      <c r="E4722" s="760"/>
      <c r="F4722" s="760"/>
      <c r="G4722" s="760"/>
      <c r="H4722" s="760"/>
      <c r="I4722" s="760"/>
      <c r="J4722" s="760"/>
      <c r="K4722" s="760"/>
    </row>
    <row r="4723" spans="1:11">
      <c r="A4723" s="760"/>
      <c r="B4723" s="760"/>
      <c r="C4723" s="760"/>
      <c r="D4723" s="760"/>
      <c r="E4723" s="760"/>
      <c r="F4723" s="760"/>
      <c r="G4723" s="760"/>
      <c r="H4723" s="760"/>
      <c r="I4723" s="760"/>
      <c r="J4723" s="760"/>
      <c r="K4723" s="760"/>
    </row>
    <row r="4724" spans="1:11">
      <c r="A4724" s="760"/>
      <c r="B4724" s="760"/>
      <c r="C4724" s="760"/>
      <c r="D4724" s="760"/>
      <c r="E4724" s="760"/>
      <c r="F4724" s="760"/>
      <c r="G4724" s="760"/>
      <c r="H4724" s="760"/>
      <c r="I4724" s="760"/>
      <c r="J4724" s="760"/>
      <c r="K4724" s="760"/>
    </row>
    <row r="4725" spans="1:11">
      <c r="A4725" s="760"/>
      <c r="B4725" s="760"/>
      <c r="C4725" s="760"/>
      <c r="D4725" s="760"/>
      <c r="E4725" s="760"/>
      <c r="F4725" s="760"/>
      <c r="G4725" s="760"/>
      <c r="H4725" s="760"/>
      <c r="I4725" s="760"/>
      <c r="J4725" s="760"/>
      <c r="K4725" s="760"/>
    </row>
    <row r="4726" spans="1:11">
      <c r="A4726" s="760"/>
      <c r="B4726" s="760"/>
      <c r="C4726" s="760"/>
      <c r="D4726" s="760"/>
      <c r="E4726" s="760"/>
      <c r="F4726" s="760"/>
      <c r="G4726" s="760"/>
      <c r="H4726" s="760"/>
      <c r="I4726" s="760"/>
      <c r="J4726" s="760"/>
      <c r="K4726" s="760"/>
    </row>
    <row r="4727" spans="1:11">
      <c r="A4727" s="760"/>
      <c r="B4727" s="760"/>
      <c r="C4727" s="760"/>
      <c r="D4727" s="760"/>
      <c r="E4727" s="760"/>
      <c r="F4727" s="760"/>
      <c r="G4727" s="760"/>
      <c r="H4727" s="760"/>
      <c r="I4727" s="760"/>
      <c r="J4727" s="760"/>
      <c r="K4727" s="760"/>
    </row>
    <row r="4728" spans="1:11">
      <c r="A4728" s="760"/>
      <c r="B4728" s="760"/>
      <c r="C4728" s="760"/>
      <c r="D4728" s="760"/>
      <c r="E4728" s="760"/>
      <c r="F4728" s="760"/>
      <c r="G4728" s="760"/>
      <c r="H4728" s="760"/>
      <c r="I4728" s="760"/>
      <c r="J4728" s="760"/>
      <c r="K4728" s="760"/>
    </row>
    <row r="4729" spans="1:11">
      <c r="A4729" s="760"/>
      <c r="B4729" s="760"/>
      <c r="C4729" s="760"/>
      <c r="D4729" s="760"/>
      <c r="E4729" s="760"/>
      <c r="F4729" s="760"/>
      <c r="G4729" s="760"/>
      <c r="H4729" s="760"/>
      <c r="I4729" s="760"/>
      <c r="J4729" s="760"/>
      <c r="K4729" s="760"/>
    </row>
    <row r="4730" spans="1:11">
      <c r="A4730" s="760"/>
      <c r="B4730" s="760"/>
      <c r="C4730" s="760"/>
      <c r="D4730" s="760"/>
      <c r="E4730" s="760"/>
      <c r="F4730" s="760"/>
      <c r="G4730" s="760"/>
      <c r="H4730" s="760"/>
      <c r="I4730" s="760"/>
      <c r="J4730" s="760"/>
      <c r="K4730" s="760"/>
    </row>
    <row r="4731" spans="1:11">
      <c r="A4731" s="760"/>
      <c r="B4731" s="760"/>
      <c r="C4731" s="760"/>
      <c r="D4731" s="760"/>
      <c r="E4731" s="760"/>
      <c r="F4731" s="760"/>
      <c r="G4731" s="760"/>
      <c r="H4731" s="760"/>
      <c r="I4731" s="760"/>
      <c r="J4731" s="760"/>
      <c r="K4731" s="760"/>
    </row>
    <row r="4732" spans="1:11">
      <c r="A4732" s="760"/>
      <c r="B4732" s="760"/>
      <c r="C4732" s="760"/>
      <c r="D4732" s="760"/>
      <c r="E4732" s="760"/>
      <c r="F4732" s="760"/>
      <c r="G4732" s="760"/>
      <c r="H4732" s="760"/>
      <c r="I4732" s="760"/>
      <c r="J4732" s="760"/>
      <c r="K4732" s="760"/>
    </row>
    <row r="4733" spans="1:11">
      <c r="A4733" s="760"/>
      <c r="B4733" s="760"/>
      <c r="C4733" s="760"/>
      <c r="D4733" s="760"/>
      <c r="E4733" s="760"/>
      <c r="F4733" s="760"/>
      <c r="G4733" s="760"/>
      <c r="H4733" s="760"/>
      <c r="I4733" s="760"/>
      <c r="J4733" s="760"/>
      <c r="K4733" s="760"/>
    </row>
    <row r="4734" spans="1:11">
      <c r="A4734" s="760"/>
      <c r="B4734" s="760"/>
      <c r="C4734" s="760"/>
      <c r="D4734" s="760"/>
      <c r="E4734" s="760"/>
      <c r="F4734" s="760"/>
      <c r="G4734" s="760"/>
      <c r="H4734" s="760"/>
      <c r="I4734" s="760"/>
      <c r="J4734" s="760"/>
      <c r="K4734" s="760"/>
    </row>
    <row r="4735" spans="1:11">
      <c r="A4735" s="760"/>
      <c r="B4735" s="760"/>
      <c r="C4735" s="760"/>
      <c r="D4735" s="760"/>
      <c r="E4735" s="760"/>
      <c r="F4735" s="760"/>
      <c r="G4735" s="760"/>
      <c r="H4735" s="760"/>
      <c r="I4735" s="760"/>
      <c r="J4735" s="760"/>
      <c r="K4735" s="760"/>
    </row>
    <row r="4736" spans="1:11">
      <c r="A4736" s="760"/>
      <c r="B4736" s="760"/>
      <c r="C4736" s="760"/>
      <c r="D4736" s="760"/>
      <c r="E4736" s="760"/>
      <c r="F4736" s="760"/>
      <c r="G4736" s="760"/>
      <c r="H4736" s="760"/>
      <c r="I4736" s="760"/>
      <c r="J4736" s="760"/>
      <c r="K4736" s="760"/>
    </row>
    <row r="4737" spans="1:11">
      <c r="A4737" s="760"/>
      <c r="B4737" s="760"/>
      <c r="C4737" s="760"/>
      <c r="D4737" s="760"/>
      <c r="E4737" s="760"/>
      <c r="F4737" s="760"/>
      <c r="G4737" s="760"/>
      <c r="H4737" s="760"/>
      <c r="I4737" s="760"/>
      <c r="J4737" s="760"/>
      <c r="K4737" s="760"/>
    </row>
    <row r="4738" spans="1:11">
      <c r="A4738" s="760"/>
      <c r="B4738" s="760"/>
      <c r="C4738" s="760"/>
      <c r="D4738" s="760"/>
      <c r="E4738" s="760"/>
      <c r="F4738" s="760"/>
      <c r="G4738" s="760"/>
      <c r="H4738" s="760"/>
      <c r="I4738" s="760"/>
      <c r="J4738" s="760"/>
      <c r="K4738" s="760"/>
    </row>
    <row r="4739" spans="1:11">
      <c r="A4739" s="760"/>
      <c r="B4739" s="760"/>
      <c r="C4739" s="760"/>
      <c r="D4739" s="760"/>
      <c r="E4739" s="760"/>
      <c r="F4739" s="760"/>
      <c r="G4739" s="760"/>
      <c r="H4739" s="760"/>
      <c r="I4739" s="760"/>
      <c r="J4739" s="760"/>
      <c r="K4739" s="760"/>
    </row>
    <row r="4740" spans="1:11">
      <c r="A4740" s="760"/>
      <c r="B4740" s="760"/>
      <c r="C4740" s="760"/>
      <c r="D4740" s="760"/>
      <c r="E4740" s="760"/>
      <c r="F4740" s="760"/>
      <c r="G4740" s="760"/>
      <c r="H4740" s="760"/>
      <c r="I4740" s="760"/>
      <c r="J4740" s="760"/>
      <c r="K4740" s="760"/>
    </row>
    <row r="4741" spans="1:11">
      <c r="A4741" s="760"/>
      <c r="B4741" s="760"/>
      <c r="C4741" s="760"/>
      <c r="D4741" s="760"/>
      <c r="E4741" s="760"/>
      <c r="F4741" s="760"/>
      <c r="G4741" s="760"/>
      <c r="H4741" s="760"/>
      <c r="I4741" s="760"/>
      <c r="J4741" s="760"/>
      <c r="K4741" s="760"/>
    </row>
    <row r="4742" spans="1:11">
      <c r="A4742" s="760"/>
      <c r="B4742" s="760"/>
      <c r="C4742" s="760"/>
      <c r="D4742" s="760"/>
      <c r="E4742" s="760"/>
      <c r="F4742" s="760"/>
      <c r="G4742" s="760"/>
      <c r="H4742" s="760"/>
      <c r="I4742" s="760"/>
      <c r="J4742" s="760"/>
      <c r="K4742" s="760"/>
    </row>
    <row r="4743" spans="1:11">
      <c r="A4743" s="760"/>
      <c r="B4743" s="760"/>
      <c r="C4743" s="760"/>
      <c r="D4743" s="760"/>
      <c r="E4743" s="760"/>
      <c r="F4743" s="760"/>
      <c r="G4743" s="760"/>
      <c r="H4743" s="760"/>
      <c r="I4743" s="760"/>
      <c r="J4743" s="760"/>
      <c r="K4743" s="760"/>
    </row>
    <row r="4744" spans="1:11">
      <c r="A4744" s="760"/>
      <c r="B4744" s="760"/>
      <c r="C4744" s="760"/>
      <c r="D4744" s="760"/>
      <c r="E4744" s="760"/>
      <c r="F4744" s="760"/>
      <c r="G4744" s="760"/>
      <c r="H4744" s="760"/>
      <c r="I4744" s="760"/>
      <c r="J4744" s="760"/>
      <c r="K4744" s="760"/>
    </row>
    <row r="4745" spans="1:11">
      <c r="A4745" s="760"/>
      <c r="B4745" s="760"/>
      <c r="C4745" s="760"/>
      <c r="D4745" s="760"/>
      <c r="E4745" s="760"/>
      <c r="F4745" s="760"/>
      <c r="G4745" s="760"/>
      <c r="H4745" s="760"/>
      <c r="I4745" s="760"/>
      <c r="J4745" s="760"/>
      <c r="K4745" s="760"/>
    </row>
    <row r="4746" spans="1:11">
      <c r="A4746" s="760"/>
      <c r="B4746" s="760"/>
      <c r="C4746" s="760"/>
      <c r="D4746" s="760"/>
      <c r="E4746" s="760"/>
      <c r="F4746" s="760"/>
      <c r="G4746" s="760"/>
      <c r="H4746" s="760"/>
      <c r="I4746" s="760"/>
      <c r="J4746" s="760"/>
      <c r="K4746" s="760"/>
    </row>
    <row r="4747" spans="1:11">
      <c r="A4747" s="760"/>
      <c r="B4747" s="760"/>
      <c r="C4747" s="760"/>
      <c r="D4747" s="760"/>
      <c r="E4747" s="760"/>
      <c r="F4747" s="760"/>
      <c r="G4747" s="760"/>
      <c r="H4747" s="760"/>
      <c r="I4747" s="760"/>
      <c r="J4747" s="760"/>
      <c r="K4747" s="760"/>
    </row>
    <row r="4748" spans="1:11">
      <c r="A4748" s="760"/>
      <c r="B4748" s="760"/>
      <c r="C4748" s="760"/>
      <c r="D4748" s="760"/>
      <c r="E4748" s="760"/>
      <c r="F4748" s="760"/>
      <c r="G4748" s="760"/>
      <c r="H4748" s="760"/>
      <c r="I4748" s="760"/>
      <c r="J4748" s="760"/>
      <c r="K4748" s="760"/>
    </row>
    <row r="4749" spans="1:11">
      <c r="A4749" s="760"/>
      <c r="B4749" s="760"/>
      <c r="C4749" s="760"/>
      <c r="D4749" s="760"/>
      <c r="E4749" s="760"/>
      <c r="F4749" s="760"/>
      <c r="G4749" s="760"/>
      <c r="H4749" s="760"/>
      <c r="I4749" s="760"/>
      <c r="J4749" s="760"/>
      <c r="K4749" s="760"/>
    </row>
    <row r="4750" spans="1:11">
      <c r="A4750" s="760"/>
      <c r="B4750" s="760"/>
      <c r="C4750" s="760"/>
      <c r="D4750" s="760"/>
      <c r="E4750" s="760"/>
      <c r="F4750" s="760"/>
      <c r="G4750" s="760"/>
      <c r="H4750" s="760"/>
      <c r="I4750" s="760"/>
      <c r="J4750" s="760"/>
      <c r="K4750" s="760"/>
    </row>
    <row r="4751" spans="1:11">
      <c r="A4751" s="760"/>
      <c r="B4751" s="760"/>
      <c r="C4751" s="760"/>
      <c r="D4751" s="760"/>
      <c r="E4751" s="760"/>
      <c r="F4751" s="760"/>
      <c r="G4751" s="760"/>
      <c r="H4751" s="760"/>
      <c r="I4751" s="760"/>
      <c r="J4751" s="760"/>
      <c r="K4751" s="760"/>
    </row>
    <row r="4752" spans="1:11">
      <c r="A4752" s="760"/>
      <c r="B4752" s="760"/>
      <c r="C4752" s="760"/>
      <c r="D4752" s="760"/>
      <c r="E4752" s="760"/>
      <c r="F4752" s="760"/>
      <c r="G4752" s="760"/>
      <c r="H4752" s="760"/>
      <c r="I4752" s="760"/>
      <c r="J4752" s="760"/>
      <c r="K4752" s="760"/>
    </row>
    <row r="4753" spans="1:11">
      <c r="A4753" s="760"/>
      <c r="B4753" s="760"/>
      <c r="C4753" s="760"/>
      <c r="D4753" s="760"/>
      <c r="E4753" s="760"/>
      <c r="F4753" s="760"/>
      <c r="G4753" s="760"/>
      <c r="H4753" s="760"/>
      <c r="I4753" s="760"/>
      <c r="J4753" s="760"/>
      <c r="K4753" s="760"/>
    </row>
    <row r="4754" spans="1:11">
      <c r="A4754" s="760"/>
      <c r="B4754" s="760"/>
      <c r="C4754" s="760"/>
      <c r="D4754" s="760"/>
      <c r="E4754" s="760"/>
      <c r="F4754" s="760"/>
      <c r="G4754" s="760"/>
      <c r="H4754" s="760"/>
      <c r="I4754" s="760"/>
      <c r="J4754" s="760"/>
      <c r="K4754" s="760"/>
    </row>
    <row r="4755" spans="1:11">
      <c r="A4755" s="760"/>
      <c r="B4755" s="760"/>
      <c r="C4755" s="760"/>
      <c r="D4755" s="760"/>
      <c r="E4755" s="760"/>
      <c r="F4755" s="760"/>
      <c r="G4755" s="760"/>
      <c r="H4755" s="760"/>
      <c r="I4755" s="760"/>
      <c r="J4755" s="760"/>
      <c r="K4755" s="760"/>
    </row>
    <row r="4756" spans="1:11">
      <c r="A4756" s="760"/>
      <c r="B4756" s="760"/>
      <c r="C4756" s="760"/>
      <c r="D4756" s="760"/>
      <c r="E4756" s="760"/>
      <c r="F4756" s="760"/>
      <c r="G4756" s="760"/>
      <c r="H4756" s="760"/>
      <c r="I4756" s="760"/>
      <c r="J4756" s="760"/>
      <c r="K4756" s="760"/>
    </row>
    <row r="4757" spans="1:11">
      <c r="A4757" s="760"/>
      <c r="B4757" s="760"/>
      <c r="C4757" s="760"/>
      <c r="D4757" s="760"/>
      <c r="E4757" s="760"/>
      <c r="F4757" s="760"/>
      <c r="G4757" s="760"/>
      <c r="H4757" s="760"/>
      <c r="I4757" s="760"/>
      <c r="J4757" s="760"/>
      <c r="K4757" s="760"/>
    </row>
    <row r="4758" spans="1:11">
      <c r="A4758" s="760"/>
      <c r="B4758" s="760"/>
      <c r="C4758" s="760"/>
      <c r="D4758" s="760"/>
      <c r="E4758" s="760"/>
      <c r="F4758" s="760"/>
      <c r="G4758" s="760"/>
      <c r="H4758" s="760"/>
      <c r="I4758" s="760"/>
      <c r="J4758" s="760"/>
      <c r="K4758" s="760"/>
    </row>
    <row r="4759" spans="1:11">
      <c r="A4759" s="760"/>
      <c r="B4759" s="760"/>
      <c r="C4759" s="760"/>
      <c r="D4759" s="760"/>
      <c r="E4759" s="760"/>
      <c r="F4759" s="760"/>
      <c r="G4759" s="760"/>
      <c r="H4759" s="760"/>
      <c r="I4759" s="760"/>
      <c r="J4759" s="760"/>
      <c r="K4759" s="760"/>
    </row>
    <row r="4760" spans="1:11">
      <c r="A4760" s="760"/>
      <c r="B4760" s="760"/>
      <c r="C4760" s="760"/>
      <c r="D4760" s="760"/>
      <c r="E4760" s="760"/>
      <c r="F4760" s="760"/>
      <c r="G4760" s="760"/>
      <c r="H4760" s="760"/>
      <c r="I4760" s="760"/>
      <c r="J4760" s="760"/>
      <c r="K4760" s="760"/>
    </row>
    <row r="4761" spans="1:11">
      <c r="A4761" s="760"/>
      <c r="B4761" s="760"/>
      <c r="C4761" s="760"/>
      <c r="D4761" s="760"/>
      <c r="E4761" s="760"/>
      <c r="F4761" s="760"/>
      <c r="G4761" s="760"/>
      <c r="H4761" s="760"/>
      <c r="I4761" s="760"/>
      <c r="J4761" s="760"/>
      <c r="K4761" s="760"/>
    </row>
    <row r="4762" spans="1:11">
      <c r="A4762" s="760"/>
      <c r="B4762" s="760"/>
      <c r="C4762" s="760"/>
      <c r="D4762" s="760"/>
      <c r="E4762" s="760"/>
      <c r="F4762" s="760"/>
      <c r="G4762" s="760"/>
      <c r="H4762" s="760"/>
      <c r="I4762" s="760"/>
      <c r="J4762" s="760"/>
      <c r="K4762" s="760"/>
    </row>
    <row r="4763" spans="1:11">
      <c r="A4763" s="760"/>
      <c r="B4763" s="760"/>
      <c r="C4763" s="760"/>
      <c r="D4763" s="760"/>
      <c r="E4763" s="760"/>
      <c r="F4763" s="760"/>
      <c r="G4763" s="760"/>
      <c r="H4763" s="760"/>
      <c r="I4763" s="760"/>
      <c r="J4763" s="760"/>
      <c r="K4763" s="760"/>
    </row>
    <row r="4764" spans="1:11">
      <c r="A4764" s="760"/>
      <c r="B4764" s="760"/>
      <c r="C4764" s="760"/>
      <c r="D4764" s="760"/>
      <c r="E4764" s="760"/>
      <c r="F4764" s="760"/>
      <c r="G4764" s="760"/>
      <c r="H4764" s="760"/>
      <c r="I4764" s="760"/>
      <c r="J4764" s="760"/>
      <c r="K4764" s="760"/>
    </row>
    <row r="4765" spans="1:11">
      <c r="A4765" s="760"/>
      <c r="B4765" s="760"/>
      <c r="C4765" s="760"/>
      <c r="D4765" s="760"/>
      <c r="E4765" s="760"/>
      <c r="F4765" s="760"/>
      <c r="G4765" s="760"/>
      <c r="H4765" s="760"/>
      <c r="I4765" s="760"/>
      <c r="J4765" s="760"/>
      <c r="K4765" s="760"/>
    </row>
    <row r="4766" spans="1:11">
      <c r="A4766" s="760"/>
      <c r="B4766" s="760"/>
      <c r="C4766" s="760"/>
      <c r="D4766" s="760"/>
      <c r="E4766" s="760"/>
      <c r="F4766" s="760"/>
      <c r="G4766" s="760"/>
      <c r="H4766" s="760"/>
      <c r="I4766" s="760"/>
      <c r="J4766" s="760"/>
      <c r="K4766" s="760"/>
    </row>
    <row r="4767" spans="1:11">
      <c r="A4767" s="760"/>
      <c r="B4767" s="760"/>
      <c r="C4767" s="760"/>
      <c r="D4767" s="760"/>
      <c r="E4767" s="760"/>
      <c r="F4767" s="760"/>
      <c r="G4767" s="760"/>
      <c r="H4767" s="760"/>
      <c r="I4767" s="760"/>
      <c r="J4767" s="760"/>
      <c r="K4767" s="760"/>
    </row>
    <row r="4768" spans="1:11">
      <c r="A4768" s="760"/>
      <c r="B4768" s="760"/>
      <c r="C4768" s="760"/>
      <c r="D4768" s="760"/>
      <c r="E4768" s="760"/>
      <c r="F4768" s="760"/>
      <c r="G4768" s="760"/>
      <c r="H4768" s="760"/>
      <c r="I4768" s="760"/>
      <c r="J4768" s="760"/>
      <c r="K4768" s="760"/>
    </row>
    <row r="4769" spans="1:11">
      <c r="A4769" s="760"/>
      <c r="B4769" s="760"/>
      <c r="C4769" s="760"/>
      <c r="D4769" s="760"/>
      <c r="E4769" s="760"/>
      <c r="F4769" s="760"/>
      <c r="G4769" s="760"/>
      <c r="H4769" s="760"/>
      <c r="I4769" s="760"/>
      <c r="J4769" s="760"/>
      <c r="K4769" s="760"/>
    </row>
    <row r="4770" spans="1:11">
      <c r="A4770" s="760"/>
      <c r="B4770" s="760"/>
      <c r="C4770" s="760"/>
      <c r="D4770" s="760"/>
      <c r="E4770" s="760"/>
      <c r="F4770" s="760"/>
      <c r="G4770" s="760"/>
      <c r="H4770" s="760"/>
      <c r="I4770" s="760"/>
      <c r="J4770" s="760"/>
      <c r="K4770" s="760"/>
    </row>
    <row r="4771" spans="1:11">
      <c r="A4771" s="760"/>
      <c r="B4771" s="760"/>
      <c r="C4771" s="760"/>
      <c r="D4771" s="760"/>
      <c r="E4771" s="760"/>
      <c r="F4771" s="760"/>
      <c r="G4771" s="760"/>
      <c r="H4771" s="760"/>
      <c r="I4771" s="760"/>
      <c r="J4771" s="760"/>
      <c r="K4771" s="760"/>
    </row>
    <row r="4772" spans="1:11">
      <c r="A4772" s="760"/>
      <c r="B4772" s="760"/>
      <c r="C4772" s="760"/>
      <c r="D4772" s="760"/>
      <c r="E4772" s="760"/>
      <c r="F4772" s="760"/>
      <c r="G4772" s="760"/>
      <c r="H4772" s="760"/>
      <c r="I4772" s="760"/>
      <c r="J4772" s="760"/>
      <c r="K4772" s="760"/>
    </row>
    <row r="4773" spans="1:11">
      <c r="A4773" s="760"/>
      <c r="B4773" s="760"/>
      <c r="C4773" s="760"/>
      <c r="D4773" s="760"/>
      <c r="E4773" s="760"/>
      <c r="F4773" s="760"/>
      <c r="G4773" s="760"/>
      <c r="H4773" s="760"/>
      <c r="I4773" s="760"/>
      <c r="J4773" s="760"/>
      <c r="K4773" s="760"/>
    </row>
    <row r="4774" spans="1:11">
      <c r="A4774" s="760"/>
      <c r="B4774" s="760"/>
      <c r="C4774" s="760"/>
      <c r="D4774" s="760"/>
      <c r="E4774" s="760"/>
      <c r="F4774" s="760"/>
      <c r="G4774" s="760"/>
      <c r="H4774" s="760"/>
      <c r="I4774" s="760"/>
      <c r="J4774" s="760"/>
      <c r="K4774" s="760"/>
    </row>
    <row r="4775" spans="1:11">
      <c r="A4775" s="760"/>
      <c r="B4775" s="760"/>
      <c r="C4775" s="760"/>
      <c r="D4775" s="760"/>
      <c r="E4775" s="760"/>
      <c r="F4775" s="760"/>
      <c r="G4775" s="760"/>
      <c r="H4775" s="760"/>
      <c r="I4775" s="760"/>
      <c r="J4775" s="760"/>
      <c r="K4775" s="760"/>
    </row>
    <row r="4776" spans="1:11">
      <c r="A4776" s="760"/>
      <c r="B4776" s="760"/>
      <c r="C4776" s="760"/>
      <c r="D4776" s="760"/>
      <c r="E4776" s="760"/>
      <c r="F4776" s="760"/>
      <c r="G4776" s="760"/>
      <c r="H4776" s="760"/>
      <c r="I4776" s="760"/>
      <c r="J4776" s="760"/>
      <c r="K4776" s="760"/>
    </row>
    <row r="4777" spans="1:11">
      <c r="A4777" s="760"/>
      <c r="B4777" s="760"/>
      <c r="C4777" s="760"/>
      <c r="D4777" s="760"/>
      <c r="E4777" s="760"/>
      <c r="F4777" s="760"/>
      <c r="G4777" s="760"/>
      <c r="H4777" s="760"/>
      <c r="I4777" s="760"/>
      <c r="J4777" s="760"/>
      <c r="K4777" s="760"/>
    </row>
    <row r="4778" spans="1:11">
      <c r="A4778" s="760"/>
      <c r="B4778" s="760"/>
      <c r="C4778" s="760"/>
      <c r="D4778" s="760"/>
      <c r="E4778" s="760"/>
      <c r="F4778" s="760"/>
      <c r="G4778" s="760"/>
      <c r="H4778" s="760"/>
      <c r="I4778" s="760"/>
      <c r="J4778" s="760"/>
      <c r="K4778" s="760"/>
    </row>
    <row r="4779" spans="1:11">
      <c r="A4779" s="760"/>
      <c r="B4779" s="760"/>
      <c r="C4779" s="760"/>
      <c r="D4779" s="760"/>
      <c r="E4779" s="760"/>
      <c r="F4779" s="760"/>
      <c r="G4779" s="760"/>
      <c r="H4779" s="760"/>
      <c r="I4779" s="760"/>
      <c r="J4779" s="760"/>
      <c r="K4779" s="760"/>
    </row>
    <row r="4780" spans="1:11">
      <c r="A4780" s="760"/>
      <c r="B4780" s="760"/>
      <c r="C4780" s="760"/>
      <c r="D4780" s="760"/>
      <c r="E4780" s="760"/>
      <c r="F4780" s="760"/>
      <c r="G4780" s="760"/>
      <c r="H4780" s="760"/>
      <c r="I4780" s="760"/>
      <c r="J4780" s="760"/>
      <c r="K4780" s="760"/>
    </row>
    <row r="4781" spans="1:11">
      <c r="A4781" s="760"/>
      <c r="B4781" s="760"/>
      <c r="C4781" s="760"/>
      <c r="D4781" s="760"/>
      <c r="E4781" s="760"/>
      <c r="F4781" s="760"/>
      <c r="G4781" s="760"/>
      <c r="H4781" s="760"/>
      <c r="I4781" s="760"/>
      <c r="J4781" s="760"/>
      <c r="K4781" s="760"/>
    </row>
    <row r="4782" spans="1:11">
      <c r="A4782" s="760"/>
      <c r="B4782" s="760"/>
      <c r="C4782" s="760"/>
      <c r="D4782" s="760"/>
      <c r="E4782" s="760"/>
      <c r="F4782" s="760"/>
      <c r="G4782" s="760"/>
      <c r="H4782" s="760"/>
      <c r="I4782" s="760"/>
      <c r="J4782" s="760"/>
      <c r="K4782" s="760"/>
    </row>
    <row r="4783" spans="1:11">
      <c r="A4783" s="760"/>
      <c r="B4783" s="760"/>
      <c r="C4783" s="760"/>
      <c r="D4783" s="760"/>
      <c r="E4783" s="760"/>
      <c r="F4783" s="760"/>
      <c r="G4783" s="760"/>
      <c r="H4783" s="760"/>
      <c r="I4783" s="760"/>
      <c r="J4783" s="760"/>
      <c r="K4783" s="760"/>
    </row>
    <row r="4784" spans="1:11">
      <c r="A4784" s="760"/>
      <c r="B4784" s="760"/>
      <c r="C4784" s="760"/>
      <c r="D4784" s="760"/>
      <c r="E4784" s="760"/>
      <c r="F4784" s="760"/>
      <c r="G4784" s="760"/>
      <c r="H4784" s="760"/>
      <c r="I4784" s="760"/>
      <c r="J4784" s="760"/>
      <c r="K4784" s="760"/>
    </row>
    <row r="4785" spans="1:11">
      <c r="A4785" s="760"/>
      <c r="B4785" s="760"/>
      <c r="C4785" s="760"/>
      <c r="D4785" s="760"/>
      <c r="E4785" s="760"/>
      <c r="F4785" s="760"/>
      <c r="G4785" s="760"/>
      <c r="H4785" s="760"/>
      <c r="I4785" s="760"/>
      <c r="J4785" s="760"/>
      <c r="K4785" s="760"/>
    </row>
    <row r="4786" spans="1:11">
      <c r="A4786" s="760"/>
      <c r="B4786" s="760"/>
      <c r="C4786" s="760"/>
      <c r="D4786" s="760"/>
      <c r="E4786" s="760"/>
      <c r="F4786" s="760"/>
      <c r="G4786" s="760"/>
      <c r="H4786" s="760"/>
      <c r="I4786" s="760"/>
      <c r="J4786" s="760"/>
      <c r="K4786" s="760"/>
    </row>
    <row r="4787" spans="1:11">
      <c r="A4787" s="760"/>
      <c r="B4787" s="760"/>
      <c r="C4787" s="760"/>
      <c r="D4787" s="760"/>
      <c r="E4787" s="760"/>
      <c r="F4787" s="760"/>
      <c r="G4787" s="760"/>
      <c r="H4787" s="760"/>
      <c r="I4787" s="760"/>
      <c r="J4787" s="760"/>
      <c r="K4787" s="760"/>
    </row>
    <row r="4788" spans="1:11">
      <c r="A4788" s="760"/>
      <c r="B4788" s="760"/>
      <c r="C4788" s="760"/>
      <c r="D4788" s="760"/>
      <c r="E4788" s="760"/>
      <c r="F4788" s="760"/>
      <c r="G4788" s="760"/>
      <c r="H4788" s="760"/>
      <c r="I4788" s="760"/>
      <c r="J4788" s="760"/>
      <c r="K4788" s="760"/>
    </row>
    <row r="4789" spans="1:11">
      <c r="A4789" s="760"/>
      <c r="B4789" s="760"/>
      <c r="C4789" s="760"/>
      <c r="D4789" s="760"/>
      <c r="E4789" s="760"/>
      <c r="F4789" s="760"/>
      <c r="G4789" s="760"/>
      <c r="H4789" s="760"/>
      <c r="I4789" s="760"/>
      <c r="J4789" s="760"/>
      <c r="K4789" s="760"/>
    </row>
    <row r="4790" spans="1:11">
      <c r="A4790" s="760"/>
      <c r="B4790" s="760"/>
      <c r="C4790" s="760"/>
      <c r="D4790" s="760"/>
      <c r="E4790" s="760"/>
      <c r="F4790" s="760"/>
      <c r="G4790" s="760"/>
      <c r="H4790" s="760"/>
      <c r="I4790" s="760"/>
      <c r="J4790" s="760"/>
      <c r="K4790" s="760"/>
    </row>
    <row r="4791" spans="1:11">
      <c r="A4791" s="760"/>
      <c r="B4791" s="760"/>
      <c r="C4791" s="760"/>
      <c r="D4791" s="760"/>
      <c r="E4791" s="760"/>
      <c r="F4791" s="760"/>
      <c r="G4791" s="760"/>
      <c r="H4791" s="760"/>
      <c r="I4791" s="760"/>
      <c r="J4791" s="760"/>
      <c r="K4791" s="760"/>
    </row>
    <row r="4792" spans="1:11">
      <c r="A4792" s="760"/>
      <c r="B4792" s="760"/>
      <c r="C4792" s="760"/>
      <c r="D4792" s="760"/>
      <c r="E4792" s="760"/>
      <c r="F4792" s="760"/>
      <c r="G4792" s="760"/>
      <c r="H4792" s="760"/>
      <c r="I4792" s="760"/>
      <c r="J4792" s="760"/>
      <c r="K4792" s="760"/>
    </row>
    <row r="4793" spans="1:11">
      <c r="A4793" s="760"/>
      <c r="B4793" s="760"/>
      <c r="C4793" s="760"/>
      <c r="D4793" s="760"/>
      <c r="E4793" s="760"/>
      <c r="F4793" s="760"/>
      <c r="G4793" s="760"/>
      <c r="H4793" s="760"/>
      <c r="I4793" s="760"/>
      <c r="J4793" s="760"/>
      <c r="K4793" s="760"/>
    </row>
    <row r="4794" spans="1:11">
      <c r="A4794" s="760"/>
      <c r="B4794" s="760"/>
      <c r="C4794" s="760"/>
      <c r="D4794" s="760"/>
      <c r="E4794" s="760"/>
      <c r="F4794" s="760"/>
      <c r="G4794" s="760"/>
      <c r="H4794" s="760"/>
      <c r="I4794" s="760"/>
      <c r="J4794" s="760"/>
      <c r="K4794" s="760"/>
    </row>
    <row r="4795" spans="1:11">
      <c r="A4795" s="760"/>
      <c r="B4795" s="760"/>
      <c r="C4795" s="760"/>
      <c r="D4795" s="760"/>
      <c r="E4795" s="760"/>
      <c r="F4795" s="760"/>
      <c r="G4795" s="760"/>
      <c r="H4795" s="760"/>
      <c r="I4795" s="760"/>
      <c r="J4795" s="760"/>
      <c r="K4795" s="760"/>
    </row>
    <row r="4796" spans="1:11">
      <c r="A4796" s="760"/>
      <c r="B4796" s="760"/>
      <c r="C4796" s="760"/>
      <c r="D4796" s="760"/>
      <c r="E4796" s="760"/>
      <c r="F4796" s="760"/>
      <c r="G4796" s="760"/>
      <c r="H4796" s="760"/>
      <c r="I4796" s="760"/>
      <c r="J4796" s="760"/>
      <c r="K4796" s="760"/>
    </row>
    <row r="4797" spans="1:11">
      <c r="A4797" s="760"/>
      <c r="B4797" s="760"/>
      <c r="C4797" s="760"/>
      <c r="D4797" s="760"/>
      <c r="E4797" s="760"/>
      <c r="F4797" s="760"/>
      <c r="G4797" s="760"/>
      <c r="H4797" s="760"/>
      <c r="I4797" s="760"/>
      <c r="J4797" s="760"/>
      <c r="K4797" s="760"/>
    </row>
    <row r="4798" spans="1:11">
      <c r="A4798" s="760"/>
      <c r="B4798" s="760"/>
      <c r="C4798" s="760"/>
      <c r="D4798" s="760"/>
      <c r="E4798" s="760"/>
      <c r="F4798" s="760"/>
      <c r="G4798" s="760"/>
      <c r="H4798" s="760"/>
      <c r="I4798" s="760"/>
      <c r="J4798" s="760"/>
      <c r="K4798" s="760"/>
    </row>
    <row r="4799" spans="1:11">
      <c r="A4799" s="760"/>
      <c r="B4799" s="760"/>
      <c r="C4799" s="760"/>
      <c r="D4799" s="760"/>
      <c r="E4799" s="760"/>
      <c r="F4799" s="760"/>
      <c r="G4799" s="760"/>
      <c r="H4799" s="760"/>
      <c r="I4799" s="760"/>
      <c r="J4799" s="760"/>
      <c r="K4799" s="760"/>
    </row>
    <row r="4800" spans="1:11">
      <c r="A4800" s="760"/>
      <c r="B4800" s="760"/>
      <c r="C4800" s="760"/>
      <c r="D4800" s="760"/>
      <c r="E4800" s="760"/>
      <c r="F4800" s="760"/>
      <c r="G4800" s="760"/>
      <c r="H4800" s="760"/>
      <c r="I4800" s="760"/>
      <c r="J4800" s="760"/>
      <c r="K4800" s="760"/>
    </row>
    <row r="4801" spans="1:11">
      <c r="A4801" s="760"/>
      <c r="B4801" s="760"/>
      <c r="C4801" s="760"/>
      <c r="D4801" s="760"/>
      <c r="E4801" s="760"/>
      <c r="F4801" s="760"/>
      <c r="G4801" s="760"/>
      <c r="H4801" s="760"/>
      <c r="I4801" s="760"/>
      <c r="J4801" s="760"/>
      <c r="K4801" s="760"/>
    </row>
    <row r="4802" spans="1:11">
      <c r="A4802" s="760"/>
      <c r="B4802" s="760"/>
      <c r="C4802" s="760"/>
      <c r="D4802" s="760"/>
      <c r="E4802" s="760"/>
      <c r="F4802" s="760"/>
      <c r="G4802" s="760"/>
      <c r="H4802" s="760"/>
      <c r="I4802" s="760"/>
      <c r="J4802" s="760"/>
      <c r="K4802" s="760"/>
    </row>
    <row r="4803" spans="1:11">
      <c r="A4803" s="760"/>
      <c r="B4803" s="760"/>
      <c r="C4803" s="760"/>
      <c r="D4803" s="760"/>
      <c r="E4803" s="760"/>
      <c r="F4803" s="760"/>
      <c r="G4803" s="760"/>
      <c r="H4803" s="760"/>
      <c r="I4803" s="760"/>
      <c r="J4803" s="760"/>
      <c r="K4803" s="760"/>
    </row>
    <row r="4804" spans="1:11">
      <c r="A4804" s="760"/>
      <c r="B4804" s="760"/>
      <c r="C4804" s="760"/>
      <c r="D4804" s="760"/>
      <c r="E4804" s="760"/>
      <c r="F4804" s="760"/>
      <c r="G4804" s="760"/>
      <c r="H4804" s="760"/>
      <c r="I4804" s="760"/>
      <c r="J4804" s="760"/>
      <c r="K4804" s="760"/>
    </row>
    <row r="4805" spans="1:11">
      <c r="A4805" s="760"/>
      <c r="B4805" s="760"/>
      <c r="C4805" s="760"/>
      <c r="D4805" s="760"/>
      <c r="E4805" s="760"/>
      <c r="F4805" s="760"/>
      <c r="G4805" s="760"/>
      <c r="H4805" s="760"/>
      <c r="I4805" s="760"/>
      <c r="J4805" s="760"/>
      <c r="K4805" s="760"/>
    </row>
    <row r="4806" spans="1:11">
      <c r="A4806" s="760"/>
      <c r="B4806" s="760"/>
      <c r="C4806" s="760"/>
      <c r="D4806" s="760"/>
      <c r="E4806" s="760"/>
      <c r="F4806" s="760"/>
      <c r="G4806" s="760"/>
      <c r="H4806" s="760"/>
      <c r="I4806" s="760"/>
      <c r="J4806" s="760"/>
      <c r="K4806" s="760"/>
    </row>
    <row r="4807" spans="1:11">
      <c r="A4807" s="760"/>
      <c r="B4807" s="760"/>
      <c r="C4807" s="760"/>
      <c r="D4807" s="760"/>
      <c r="E4807" s="760"/>
      <c r="F4807" s="760"/>
      <c r="G4807" s="760"/>
      <c r="H4807" s="760"/>
      <c r="I4807" s="760"/>
      <c r="J4807" s="760"/>
      <c r="K4807" s="760"/>
    </row>
    <row r="4808" spans="1:11">
      <c r="A4808" s="760"/>
      <c r="B4808" s="760"/>
      <c r="C4808" s="760"/>
      <c r="D4808" s="760"/>
      <c r="E4808" s="760"/>
      <c r="F4808" s="760"/>
      <c r="G4808" s="760"/>
      <c r="H4808" s="760"/>
      <c r="I4808" s="760"/>
      <c r="J4808" s="760"/>
      <c r="K4808" s="760"/>
    </row>
    <row r="4809" spans="1:11">
      <c r="A4809" s="760"/>
      <c r="B4809" s="760"/>
      <c r="C4809" s="760"/>
      <c r="D4809" s="760"/>
      <c r="E4809" s="760"/>
      <c r="F4809" s="760"/>
      <c r="G4809" s="760"/>
      <c r="H4809" s="760"/>
      <c r="I4809" s="760"/>
      <c r="J4809" s="760"/>
      <c r="K4809" s="760"/>
    </row>
    <row r="4810" spans="1:11">
      <c r="A4810" s="760"/>
      <c r="B4810" s="760"/>
      <c r="C4810" s="760"/>
      <c r="D4810" s="760"/>
      <c r="E4810" s="760"/>
      <c r="F4810" s="760"/>
      <c r="G4810" s="760"/>
      <c r="H4810" s="760"/>
      <c r="I4810" s="760"/>
      <c r="J4810" s="760"/>
      <c r="K4810" s="760"/>
    </row>
    <row r="4811" spans="1:11">
      <c r="A4811" s="760"/>
      <c r="B4811" s="760"/>
      <c r="C4811" s="760"/>
      <c r="D4811" s="760"/>
      <c r="E4811" s="760"/>
      <c r="F4811" s="760"/>
      <c r="G4811" s="760"/>
      <c r="H4811" s="760"/>
      <c r="I4811" s="760"/>
      <c r="J4811" s="760"/>
      <c r="K4811" s="760"/>
    </row>
    <row r="4812" spans="1:11">
      <c r="A4812" s="760"/>
      <c r="B4812" s="760"/>
      <c r="C4812" s="760"/>
      <c r="D4812" s="760"/>
      <c r="E4812" s="760"/>
      <c r="F4812" s="760"/>
      <c r="G4812" s="760"/>
      <c r="H4812" s="760"/>
      <c r="I4812" s="760"/>
      <c r="J4812" s="760"/>
      <c r="K4812" s="760"/>
    </row>
    <row r="4813" spans="1:11">
      <c r="A4813" s="760"/>
      <c r="B4813" s="760"/>
      <c r="C4813" s="760"/>
      <c r="D4813" s="760"/>
      <c r="E4813" s="760"/>
      <c r="F4813" s="760"/>
      <c r="G4813" s="760"/>
      <c r="H4813" s="760"/>
      <c r="I4813" s="760"/>
      <c r="J4813" s="760"/>
      <c r="K4813" s="760"/>
    </row>
    <row r="4814" spans="1:11">
      <c r="A4814" s="760"/>
      <c r="B4814" s="760"/>
      <c r="C4814" s="760"/>
      <c r="D4814" s="760"/>
      <c r="E4814" s="760"/>
      <c r="F4814" s="760"/>
      <c r="G4814" s="760"/>
      <c r="H4814" s="760"/>
      <c r="I4814" s="760"/>
      <c r="J4814" s="760"/>
      <c r="K4814" s="760"/>
    </row>
    <row r="4815" spans="1:11">
      <c r="A4815" s="760"/>
      <c r="B4815" s="760"/>
      <c r="C4815" s="760"/>
      <c r="D4815" s="760"/>
      <c r="E4815" s="760"/>
      <c r="F4815" s="760"/>
      <c r="G4815" s="760"/>
      <c r="H4815" s="760"/>
      <c r="I4815" s="760"/>
      <c r="J4815" s="760"/>
      <c r="K4815" s="760"/>
    </row>
    <row r="4816" spans="1:11">
      <c r="A4816" s="760"/>
      <c r="B4816" s="760"/>
      <c r="C4816" s="760"/>
      <c r="D4816" s="760"/>
      <c r="E4816" s="760"/>
      <c r="F4816" s="760"/>
      <c r="G4816" s="760"/>
      <c r="H4816" s="760"/>
      <c r="I4816" s="760"/>
      <c r="J4816" s="760"/>
      <c r="K4816" s="760"/>
    </row>
    <row r="4817" spans="1:11">
      <c r="A4817" s="760"/>
      <c r="B4817" s="760"/>
      <c r="C4817" s="760"/>
      <c r="D4817" s="760"/>
      <c r="E4817" s="760"/>
      <c r="F4817" s="760"/>
      <c r="G4817" s="760"/>
      <c r="H4817" s="760"/>
      <c r="I4817" s="760"/>
      <c r="J4817" s="760"/>
      <c r="K4817" s="760"/>
    </row>
    <row r="4818" spans="1:11">
      <c r="A4818" s="760"/>
      <c r="B4818" s="760"/>
      <c r="C4818" s="760"/>
      <c r="D4818" s="760"/>
      <c r="E4818" s="760"/>
      <c r="F4818" s="760"/>
      <c r="G4818" s="760"/>
      <c r="H4818" s="760"/>
      <c r="I4818" s="760"/>
      <c r="J4818" s="760"/>
      <c r="K4818" s="760"/>
    </row>
    <row r="4819" spans="1:11">
      <c r="A4819" s="760"/>
      <c r="B4819" s="760"/>
      <c r="C4819" s="760"/>
      <c r="D4819" s="760"/>
      <c r="E4819" s="760"/>
      <c r="F4819" s="760"/>
      <c r="G4819" s="760"/>
      <c r="H4819" s="760"/>
      <c r="I4819" s="760"/>
      <c r="J4819" s="760"/>
      <c r="K4819" s="760"/>
    </row>
    <row r="4820" spans="1:11">
      <c r="A4820" s="760"/>
      <c r="B4820" s="760"/>
      <c r="C4820" s="760"/>
      <c r="D4820" s="760"/>
      <c r="E4820" s="760"/>
      <c r="F4820" s="760"/>
      <c r="G4820" s="760"/>
      <c r="H4820" s="760"/>
      <c r="I4820" s="760"/>
      <c r="J4820" s="760"/>
      <c r="K4820" s="760"/>
    </row>
    <row r="4821" spans="1:11">
      <c r="A4821" s="760"/>
      <c r="B4821" s="760"/>
      <c r="C4821" s="760"/>
      <c r="D4821" s="760"/>
      <c r="E4821" s="760"/>
      <c r="F4821" s="760"/>
      <c r="G4821" s="760"/>
      <c r="H4821" s="760"/>
      <c r="I4821" s="760"/>
      <c r="J4821" s="760"/>
      <c r="K4821" s="760"/>
    </row>
    <row r="4822" spans="1:11">
      <c r="A4822" s="760"/>
      <c r="B4822" s="760"/>
      <c r="C4822" s="760"/>
      <c r="D4822" s="760"/>
      <c r="E4822" s="760"/>
      <c r="F4822" s="760"/>
      <c r="G4822" s="760"/>
      <c r="H4822" s="760"/>
      <c r="I4822" s="760"/>
      <c r="J4822" s="760"/>
      <c r="K4822" s="760"/>
    </row>
    <row r="4823" spans="1:11">
      <c r="A4823" s="760"/>
      <c r="B4823" s="760"/>
      <c r="C4823" s="760"/>
      <c r="D4823" s="760"/>
      <c r="E4823" s="760"/>
      <c r="F4823" s="760"/>
      <c r="G4823" s="760"/>
      <c r="H4823" s="760"/>
      <c r="I4823" s="760"/>
      <c r="J4823" s="760"/>
      <c r="K4823" s="760"/>
    </row>
    <row r="4824" spans="1:11">
      <c r="A4824" s="760"/>
      <c r="B4824" s="760"/>
      <c r="C4824" s="760"/>
      <c r="D4824" s="760"/>
      <c r="E4824" s="760"/>
      <c r="F4824" s="760"/>
      <c r="G4824" s="760"/>
      <c r="H4824" s="760"/>
      <c r="I4824" s="760"/>
      <c r="J4824" s="760"/>
      <c r="K4824" s="760"/>
    </row>
    <row r="4825" spans="1:11">
      <c r="A4825" s="760"/>
      <c r="B4825" s="760"/>
      <c r="C4825" s="760"/>
      <c r="D4825" s="760"/>
      <c r="E4825" s="760"/>
      <c r="F4825" s="760"/>
      <c r="G4825" s="760"/>
      <c r="H4825" s="760"/>
      <c r="I4825" s="760"/>
      <c r="J4825" s="760"/>
      <c r="K4825" s="760"/>
    </row>
    <row r="4826" spans="1:11">
      <c r="A4826" s="760"/>
      <c r="B4826" s="760"/>
      <c r="C4826" s="760"/>
      <c r="D4826" s="760"/>
      <c r="E4826" s="760"/>
      <c r="F4826" s="760"/>
      <c r="G4826" s="760"/>
      <c r="H4826" s="760"/>
      <c r="I4826" s="760"/>
      <c r="J4826" s="760"/>
      <c r="K4826" s="760"/>
    </row>
    <row r="4827" spans="1:11">
      <c r="A4827" s="760"/>
      <c r="B4827" s="760"/>
      <c r="C4827" s="760"/>
      <c r="D4827" s="760"/>
      <c r="E4827" s="760"/>
      <c r="F4827" s="760"/>
      <c r="G4827" s="760"/>
      <c r="H4827" s="760"/>
      <c r="I4827" s="760"/>
      <c r="J4827" s="760"/>
      <c r="K4827" s="760"/>
    </row>
    <row r="4828" spans="1:11">
      <c r="A4828" s="760"/>
      <c r="B4828" s="760"/>
      <c r="C4828" s="760"/>
      <c r="D4828" s="760"/>
      <c r="E4828" s="760"/>
      <c r="F4828" s="760"/>
      <c r="G4828" s="760"/>
      <c r="H4828" s="760"/>
      <c r="I4828" s="760"/>
      <c r="J4828" s="760"/>
      <c r="K4828" s="760"/>
    </row>
    <row r="4829" spans="1:11">
      <c r="A4829" s="760"/>
      <c r="B4829" s="760"/>
      <c r="C4829" s="760"/>
      <c r="D4829" s="760"/>
      <c r="E4829" s="760"/>
      <c r="F4829" s="760"/>
      <c r="G4829" s="760"/>
      <c r="H4829" s="760"/>
      <c r="I4829" s="760"/>
      <c r="J4829" s="760"/>
      <c r="K4829" s="760"/>
    </row>
    <row r="4830" spans="1:11">
      <c r="A4830" s="760"/>
      <c r="B4830" s="760"/>
      <c r="C4830" s="760"/>
      <c r="D4830" s="760"/>
      <c r="E4830" s="760"/>
      <c r="F4830" s="760"/>
      <c r="G4830" s="760"/>
      <c r="H4830" s="760"/>
      <c r="I4830" s="760"/>
      <c r="J4830" s="760"/>
      <c r="K4830" s="760"/>
    </row>
    <row r="4831" spans="1:11">
      <c r="A4831" s="760"/>
      <c r="B4831" s="760"/>
      <c r="C4831" s="760"/>
      <c r="D4831" s="760"/>
      <c r="E4831" s="760"/>
      <c r="F4831" s="760"/>
      <c r="G4831" s="760"/>
      <c r="H4831" s="760"/>
      <c r="I4831" s="760"/>
      <c r="J4831" s="760"/>
      <c r="K4831" s="760"/>
    </row>
    <row r="4832" spans="1:11">
      <c r="A4832" s="760"/>
      <c r="B4832" s="760"/>
      <c r="C4832" s="760"/>
      <c r="D4832" s="760"/>
      <c r="E4832" s="760"/>
      <c r="F4832" s="760"/>
      <c r="G4832" s="760"/>
      <c r="H4832" s="760"/>
      <c r="I4832" s="760"/>
      <c r="J4832" s="760"/>
      <c r="K4832" s="760"/>
    </row>
    <row r="4833" spans="1:11">
      <c r="A4833" s="760"/>
      <c r="B4833" s="760"/>
      <c r="C4833" s="760"/>
      <c r="D4833" s="760"/>
      <c r="E4833" s="760"/>
      <c r="F4833" s="760"/>
      <c r="G4833" s="760"/>
      <c r="H4833" s="760"/>
      <c r="I4833" s="760"/>
      <c r="J4833" s="760"/>
      <c r="K4833" s="760"/>
    </row>
    <row r="4834" spans="1:11">
      <c r="A4834" s="760"/>
      <c r="B4834" s="760"/>
      <c r="C4834" s="760"/>
      <c r="D4834" s="760"/>
      <c r="E4834" s="760"/>
      <c r="F4834" s="760"/>
      <c r="G4834" s="760"/>
      <c r="H4834" s="760"/>
      <c r="I4834" s="760"/>
      <c r="J4834" s="760"/>
      <c r="K4834" s="760"/>
    </row>
    <row r="4835" spans="1:11">
      <c r="A4835" s="760"/>
      <c r="B4835" s="760"/>
      <c r="C4835" s="760"/>
      <c r="D4835" s="760"/>
      <c r="E4835" s="760"/>
      <c r="F4835" s="760"/>
      <c r="G4835" s="760"/>
      <c r="H4835" s="760"/>
      <c r="I4835" s="760"/>
      <c r="J4835" s="760"/>
      <c r="K4835" s="760"/>
    </row>
    <row r="4836" spans="1:11">
      <c r="A4836" s="760"/>
      <c r="B4836" s="760"/>
      <c r="C4836" s="760"/>
      <c r="D4836" s="760"/>
      <c r="E4836" s="760"/>
      <c r="F4836" s="760"/>
      <c r="G4836" s="760"/>
      <c r="H4836" s="760"/>
      <c r="I4836" s="760"/>
      <c r="J4836" s="760"/>
      <c r="K4836" s="760"/>
    </row>
    <row r="4837" spans="1:11">
      <c r="A4837" s="760"/>
      <c r="B4837" s="760"/>
      <c r="C4837" s="760"/>
      <c r="D4837" s="760"/>
      <c r="E4837" s="760"/>
      <c r="F4837" s="760"/>
      <c r="G4837" s="760"/>
      <c r="H4837" s="760"/>
      <c r="I4837" s="760"/>
      <c r="J4837" s="760"/>
      <c r="K4837" s="760"/>
    </row>
    <row r="4838" spans="1:11">
      <c r="A4838" s="760"/>
      <c r="B4838" s="760"/>
      <c r="C4838" s="760"/>
      <c r="D4838" s="760"/>
      <c r="E4838" s="760"/>
      <c r="F4838" s="760"/>
      <c r="G4838" s="760"/>
      <c r="H4838" s="760"/>
      <c r="I4838" s="760"/>
      <c r="J4838" s="760"/>
      <c r="K4838" s="760"/>
    </row>
    <row r="4839" spans="1:11">
      <c r="A4839" s="760"/>
      <c r="B4839" s="760"/>
      <c r="C4839" s="760"/>
      <c r="D4839" s="760"/>
      <c r="E4839" s="760"/>
      <c r="F4839" s="760"/>
      <c r="G4839" s="760"/>
      <c r="H4839" s="760"/>
      <c r="I4839" s="760"/>
      <c r="J4839" s="760"/>
      <c r="K4839" s="760"/>
    </row>
    <row r="4840" spans="1:11">
      <c r="A4840" s="760"/>
      <c r="B4840" s="760"/>
      <c r="C4840" s="760"/>
      <c r="D4840" s="760"/>
      <c r="E4840" s="760"/>
      <c r="F4840" s="760"/>
      <c r="G4840" s="760"/>
      <c r="H4840" s="760"/>
      <c r="I4840" s="760"/>
      <c r="J4840" s="760"/>
      <c r="K4840" s="760"/>
    </row>
    <row r="4841" spans="1:11">
      <c r="A4841" s="760"/>
      <c r="B4841" s="760"/>
      <c r="C4841" s="760"/>
      <c r="D4841" s="760"/>
      <c r="E4841" s="760"/>
      <c r="F4841" s="760"/>
      <c r="G4841" s="760"/>
      <c r="H4841" s="760"/>
      <c r="I4841" s="760"/>
      <c r="J4841" s="760"/>
      <c r="K4841" s="760"/>
    </row>
    <row r="4842" spans="1:11">
      <c r="A4842" s="760"/>
      <c r="B4842" s="760"/>
      <c r="C4842" s="760"/>
      <c r="D4842" s="760"/>
      <c r="E4842" s="760"/>
      <c r="F4842" s="760"/>
      <c r="G4842" s="760"/>
      <c r="H4842" s="760"/>
      <c r="I4842" s="760"/>
      <c r="J4842" s="760"/>
      <c r="K4842" s="760"/>
    </row>
    <row r="4843" spans="1:11">
      <c r="A4843" s="760"/>
      <c r="B4843" s="760"/>
      <c r="C4843" s="760"/>
      <c r="D4843" s="760"/>
      <c r="E4843" s="760"/>
      <c r="F4843" s="760"/>
      <c r="G4843" s="760"/>
      <c r="H4843" s="760"/>
      <c r="I4843" s="760"/>
      <c r="J4843" s="760"/>
      <c r="K4843" s="760"/>
    </row>
    <row r="4844" spans="1:11">
      <c r="A4844" s="760"/>
      <c r="B4844" s="760"/>
      <c r="C4844" s="760"/>
      <c r="D4844" s="760"/>
      <c r="E4844" s="760"/>
      <c r="F4844" s="760"/>
      <c r="G4844" s="760"/>
      <c r="H4844" s="760"/>
      <c r="I4844" s="760"/>
      <c r="J4844" s="760"/>
      <c r="K4844" s="760"/>
    </row>
    <row r="4845" spans="1:11">
      <c r="A4845" s="760"/>
      <c r="B4845" s="760"/>
      <c r="C4845" s="760"/>
      <c r="D4845" s="760"/>
      <c r="E4845" s="760"/>
      <c r="F4845" s="760"/>
      <c r="G4845" s="760"/>
      <c r="H4845" s="760"/>
      <c r="I4845" s="760"/>
      <c r="J4845" s="760"/>
      <c r="K4845" s="760"/>
    </row>
    <row r="4846" spans="1:11">
      <c r="A4846" s="760"/>
      <c r="B4846" s="760"/>
      <c r="C4846" s="760"/>
      <c r="D4846" s="760"/>
      <c r="E4846" s="760"/>
      <c r="F4846" s="760"/>
      <c r="G4846" s="760"/>
      <c r="H4846" s="760"/>
      <c r="I4846" s="760"/>
      <c r="J4846" s="760"/>
      <c r="K4846" s="760"/>
    </row>
    <row r="4847" spans="1:11">
      <c r="A4847" s="760"/>
      <c r="B4847" s="760"/>
      <c r="C4847" s="760"/>
      <c r="D4847" s="760"/>
      <c r="E4847" s="760"/>
      <c r="F4847" s="760"/>
      <c r="G4847" s="760"/>
      <c r="H4847" s="760"/>
      <c r="I4847" s="760"/>
      <c r="J4847" s="760"/>
      <c r="K4847" s="760"/>
    </row>
    <row r="4848" spans="1:11">
      <c r="A4848" s="760"/>
      <c r="B4848" s="760"/>
      <c r="C4848" s="760"/>
      <c r="D4848" s="760"/>
      <c r="E4848" s="760"/>
      <c r="F4848" s="760"/>
      <c r="G4848" s="760"/>
      <c r="H4848" s="760"/>
      <c r="I4848" s="760"/>
      <c r="J4848" s="760"/>
      <c r="K4848" s="760"/>
    </row>
    <row r="4849" spans="1:11">
      <c r="A4849" s="760"/>
      <c r="B4849" s="760"/>
      <c r="C4849" s="760"/>
      <c r="D4849" s="760"/>
      <c r="E4849" s="760"/>
      <c r="F4849" s="760"/>
      <c r="G4849" s="760"/>
      <c r="H4849" s="760"/>
      <c r="I4849" s="760"/>
      <c r="J4849" s="760"/>
      <c r="K4849" s="760"/>
    </row>
    <row r="4850" spans="1:11">
      <c r="A4850" s="760"/>
      <c r="B4850" s="760"/>
      <c r="C4850" s="760"/>
      <c r="D4850" s="760"/>
      <c r="E4850" s="760"/>
      <c r="F4850" s="760"/>
      <c r="G4850" s="760"/>
      <c r="H4850" s="760"/>
      <c r="I4850" s="760"/>
      <c r="J4850" s="760"/>
      <c r="K4850" s="760"/>
    </row>
    <row r="4851" spans="1:11">
      <c r="A4851" s="760"/>
      <c r="B4851" s="760"/>
      <c r="C4851" s="760"/>
      <c r="D4851" s="760"/>
      <c r="E4851" s="760"/>
      <c r="F4851" s="760"/>
      <c r="G4851" s="760"/>
      <c r="H4851" s="760"/>
      <c r="I4851" s="760"/>
      <c r="J4851" s="760"/>
      <c r="K4851" s="760"/>
    </row>
    <row r="4852" spans="1:11">
      <c r="A4852" s="760"/>
      <c r="B4852" s="760"/>
      <c r="C4852" s="760"/>
      <c r="D4852" s="760"/>
      <c r="E4852" s="760"/>
      <c r="F4852" s="760"/>
      <c r="G4852" s="760"/>
      <c r="H4852" s="760"/>
      <c r="I4852" s="760"/>
      <c r="J4852" s="760"/>
      <c r="K4852" s="760"/>
    </row>
    <row r="4853" spans="1:11">
      <c r="A4853" s="760"/>
      <c r="B4853" s="760"/>
      <c r="C4853" s="760"/>
      <c r="D4853" s="760"/>
      <c r="E4853" s="760"/>
      <c r="F4853" s="760"/>
      <c r="G4853" s="760"/>
      <c r="H4853" s="760"/>
      <c r="I4853" s="760"/>
      <c r="J4853" s="760"/>
      <c r="K4853" s="760"/>
    </row>
    <row r="4854" spans="1:11">
      <c r="A4854" s="760"/>
      <c r="B4854" s="760"/>
      <c r="C4854" s="760"/>
      <c r="D4854" s="760"/>
      <c r="E4854" s="760"/>
      <c r="F4854" s="760"/>
      <c r="G4854" s="760"/>
      <c r="H4854" s="760"/>
      <c r="I4854" s="760"/>
      <c r="J4854" s="760"/>
      <c r="K4854" s="760"/>
    </row>
    <row r="4855" spans="1:11">
      <c r="A4855" s="760"/>
      <c r="B4855" s="760"/>
      <c r="C4855" s="760"/>
      <c r="D4855" s="760"/>
      <c r="E4855" s="760"/>
      <c r="F4855" s="760"/>
      <c r="G4855" s="760"/>
      <c r="H4855" s="760"/>
      <c r="I4855" s="760"/>
      <c r="J4855" s="760"/>
      <c r="K4855" s="760"/>
    </row>
    <row r="4856" spans="1:11">
      <c r="A4856" s="760"/>
      <c r="B4856" s="760"/>
      <c r="C4856" s="760"/>
      <c r="D4856" s="760"/>
      <c r="E4856" s="760"/>
      <c r="F4856" s="760"/>
      <c r="G4856" s="760"/>
      <c r="H4856" s="760"/>
      <c r="I4856" s="760"/>
      <c r="J4856" s="760"/>
      <c r="K4856" s="760"/>
    </row>
    <row r="4857" spans="1:11">
      <c r="A4857" s="760"/>
      <c r="B4857" s="760"/>
      <c r="C4857" s="760"/>
      <c r="D4857" s="760"/>
      <c r="E4857" s="760"/>
      <c r="F4857" s="760"/>
      <c r="G4857" s="760"/>
      <c r="H4857" s="760"/>
      <c r="I4857" s="760"/>
      <c r="J4857" s="760"/>
      <c r="K4857" s="760"/>
    </row>
    <row r="4858" spans="1:11">
      <c r="A4858" s="760"/>
      <c r="B4858" s="760"/>
      <c r="C4858" s="760"/>
      <c r="D4858" s="760"/>
      <c r="E4858" s="760"/>
      <c r="F4858" s="760"/>
      <c r="G4858" s="760"/>
      <c r="H4858" s="760"/>
      <c r="I4858" s="760"/>
      <c r="J4858" s="760"/>
      <c r="K4858" s="760"/>
    </row>
    <row r="4859" spans="1:11">
      <c r="A4859" s="760"/>
      <c r="B4859" s="760"/>
      <c r="C4859" s="760"/>
      <c r="D4859" s="760"/>
      <c r="E4859" s="760"/>
      <c r="F4859" s="760"/>
      <c r="G4859" s="760"/>
      <c r="H4859" s="760"/>
      <c r="I4859" s="760"/>
      <c r="J4859" s="760"/>
      <c r="K4859" s="760"/>
    </row>
    <row r="4860" spans="1:11">
      <c r="A4860" s="760"/>
      <c r="B4860" s="760"/>
      <c r="C4860" s="760"/>
      <c r="D4860" s="760"/>
      <c r="E4860" s="760"/>
      <c r="F4860" s="760"/>
      <c r="G4860" s="760"/>
      <c r="H4860" s="760"/>
      <c r="I4860" s="760"/>
      <c r="J4860" s="760"/>
      <c r="K4860" s="760"/>
    </row>
    <row r="4861" spans="1:11">
      <c r="A4861" s="760"/>
      <c r="B4861" s="760"/>
      <c r="C4861" s="760"/>
      <c r="D4861" s="760"/>
      <c r="E4861" s="760"/>
      <c r="F4861" s="760"/>
      <c r="G4861" s="760"/>
      <c r="H4861" s="760"/>
      <c r="I4861" s="760"/>
      <c r="J4861" s="760"/>
      <c r="K4861" s="760"/>
    </row>
    <row r="4862" spans="1:11">
      <c r="A4862" s="760"/>
      <c r="B4862" s="760"/>
      <c r="C4862" s="760"/>
      <c r="D4862" s="760"/>
      <c r="E4862" s="760"/>
      <c r="F4862" s="760"/>
      <c r="G4862" s="760"/>
      <c r="H4862" s="760"/>
      <c r="I4862" s="760"/>
      <c r="J4862" s="760"/>
      <c r="K4862" s="760"/>
    </row>
    <row r="4863" spans="1:11">
      <c r="A4863" s="760"/>
      <c r="B4863" s="760"/>
      <c r="C4863" s="760"/>
      <c r="D4863" s="760"/>
      <c r="E4863" s="760"/>
      <c r="F4863" s="760"/>
      <c r="G4863" s="760"/>
      <c r="H4863" s="760"/>
      <c r="I4863" s="760"/>
      <c r="J4863" s="760"/>
      <c r="K4863" s="760"/>
    </row>
    <row r="4864" spans="1:11">
      <c r="A4864" s="760"/>
      <c r="B4864" s="760"/>
      <c r="C4864" s="760"/>
      <c r="D4864" s="760"/>
      <c r="E4864" s="760"/>
      <c r="F4864" s="760"/>
      <c r="G4864" s="760"/>
      <c r="H4864" s="760"/>
      <c r="I4864" s="760"/>
      <c r="J4864" s="760"/>
      <c r="K4864" s="760"/>
    </row>
    <row r="4865" spans="1:11">
      <c r="A4865" s="760"/>
      <c r="B4865" s="760"/>
      <c r="C4865" s="760"/>
      <c r="D4865" s="760"/>
      <c r="E4865" s="760"/>
      <c r="F4865" s="760"/>
      <c r="G4865" s="760"/>
      <c r="H4865" s="760"/>
      <c r="I4865" s="760"/>
      <c r="J4865" s="760"/>
      <c r="K4865" s="760"/>
    </row>
    <row r="4866" spans="1:11">
      <c r="A4866" s="760"/>
      <c r="B4866" s="760"/>
      <c r="C4866" s="760"/>
      <c r="D4866" s="760"/>
      <c r="E4866" s="760"/>
      <c r="F4866" s="760"/>
      <c r="G4866" s="760"/>
      <c r="H4866" s="760"/>
      <c r="I4866" s="760"/>
      <c r="J4866" s="760"/>
      <c r="K4866" s="760"/>
    </row>
    <row r="4867" spans="1:11">
      <c r="A4867" s="760"/>
      <c r="B4867" s="760"/>
      <c r="C4867" s="760"/>
      <c r="D4867" s="760"/>
      <c r="E4867" s="760"/>
      <c r="F4867" s="760"/>
      <c r="G4867" s="760"/>
      <c r="H4867" s="760"/>
      <c r="I4867" s="760"/>
      <c r="J4867" s="760"/>
      <c r="K4867" s="760"/>
    </row>
    <row r="4868" spans="1:11">
      <c r="A4868" s="760"/>
      <c r="B4868" s="760"/>
      <c r="C4868" s="760"/>
      <c r="D4868" s="760"/>
      <c r="E4868" s="760"/>
      <c r="F4868" s="760"/>
      <c r="G4868" s="760"/>
      <c r="H4868" s="760"/>
      <c r="I4868" s="760"/>
      <c r="J4868" s="760"/>
      <c r="K4868" s="760"/>
    </row>
    <row r="4869" spans="1:11">
      <c r="A4869" s="760"/>
      <c r="B4869" s="760"/>
      <c r="C4869" s="760"/>
      <c r="D4869" s="760"/>
      <c r="E4869" s="760"/>
      <c r="F4869" s="760"/>
      <c r="G4869" s="760"/>
      <c r="H4869" s="760"/>
      <c r="I4869" s="760"/>
      <c r="J4869" s="760"/>
      <c r="K4869" s="760"/>
    </row>
    <row r="4870" spans="1:11">
      <c r="A4870" s="760"/>
      <c r="B4870" s="760"/>
      <c r="C4870" s="760"/>
      <c r="D4870" s="760"/>
      <c r="E4870" s="760"/>
      <c r="F4870" s="760"/>
      <c r="G4870" s="760"/>
      <c r="H4870" s="760"/>
      <c r="I4870" s="760"/>
      <c r="J4870" s="760"/>
      <c r="K4870" s="760"/>
    </row>
    <row r="4871" spans="1:11">
      <c r="A4871" s="760"/>
      <c r="B4871" s="760"/>
      <c r="C4871" s="760"/>
      <c r="D4871" s="760"/>
      <c r="E4871" s="760"/>
      <c r="F4871" s="760"/>
      <c r="G4871" s="760"/>
      <c r="H4871" s="760"/>
      <c r="I4871" s="760"/>
      <c r="J4871" s="760"/>
      <c r="K4871" s="760"/>
    </row>
    <row r="4872" spans="1:11">
      <c r="A4872" s="760"/>
      <c r="B4872" s="760"/>
      <c r="C4872" s="760"/>
      <c r="D4872" s="760"/>
      <c r="E4872" s="760"/>
      <c r="F4872" s="760"/>
      <c r="G4872" s="760"/>
      <c r="H4872" s="760"/>
      <c r="I4872" s="760"/>
      <c r="J4872" s="760"/>
      <c r="K4872" s="760"/>
    </row>
    <row r="4873" spans="1:11">
      <c r="A4873" s="760"/>
      <c r="B4873" s="760"/>
      <c r="C4873" s="760"/>
      <c r="D4873" s="760"/>
      <c r="E4873" s="760"/>
      <c r="F4873" s="760"/>
      <c r="G4873" s="760"/>
      <c r="H4873" s="760"/>
      <c r="I4873" s="760"/>
      <c r="J4873" s="760"/>
      <c r="K4873" s="760"/>
    </row>
    <row r="4874" spans="1:11">
      <c r="A4874" s="760"/>
      <c r="B4874" s="760"/>
      <c r="C4874" s="760"/>
      <c r="D4874" s="760"/>
      <c r="E4874" s="760"/>
      <c r="F4874" s="760"/>
      <c r="G4874" s="760"/>
      <c r="H4874" s="760"/>
      <c r="I4874" s="760"/>
      <c r="J4874" s="760"/>
      <c r="K4874" s="760"/>
    </row>
    <row r="4875" spans="1:11">
      <c r="A4875" s="760"/>
      <c r="B4875" s="760"/>
      <c r="C4875" s="760"/>
      <c r="D4875" s="760"/>
      <c r="E4875" s="760"/>
      <c r="F4875" s="760"/>
      <c r="G4875" s="760"/>
      <c r="H4875" s="760"/>
      <c r="I4875" s="760"/>
      <c r="J4875" s="760"/>
      <c r="K4875" s="760"/>
    </row>
    <row r="4876" spans="1:11">
      <c r="A4876" s="760"/>
      <c r="B4876" s="760"/>
      <c r="C4876" s="760"/>
      <c r="D4876" s="760"/>
      <c r="E4876" s="760"/>
      <c r="F4876" s="760"/>
      <c r="G4876" s="760"/>
      <c r="H4876" s="760"/>
      <c r="I4876" s="760"/>
      <c r="J4876" s="760"/>
      <c r="K4876" s="760"/>
    </row>
    <row r="4877" spans="1:11">
      <c r="A4877" s="760"/>
      <c r="B4877" s="760"/>
      <c r="C4877" s="760"/>
      <c r="D4877" s="760"/>
      <c r="E4877" s="760"/>
      <c r="F4877" s="760"/>
      <c r="G4877" s="760"/>
      <c r="H4877" s="760"/>
      <c r="I4877" s="760"/>
      <c r="J4877" s="760"/>
      <c r="K4877" s="760"/>
    </row>
    <row r="4878" spans="1:11">
      <c r="A4878" s="760"/>
      <c r="B4878" s="760"/>
      <c r="C4878" s="760"/>
      <c r="D4878" s="760"/>
      <c r="E4878" s="760"/>
      <c r="F4878" s="760"/>
      <c r="G4878" s="760"/>
      <c r="H4878" s="760"/>
      <c r="I4878" s="760"/>
      <c r="J4878" s="760"/>
      <c r="K4878" s="760"/>
    </row>
    <row r="4879" spans="1:11">
      <c r="A4879" s="760"/>
      <c r="B4879" s="760"/>
      <c r="C4879" s="760"/>
      <c r="D4879" s="760"/>
      <c r="E4879" s="760"/>
      <c r="F4879" s="760"/>
      <c r="G4879" s="760"/>
      <c r="H4879" s="760"/>
      <c r="I4879" s="760"/>
      <c r="J4879" s="760"/>
      <c r="K4879" s="760"/>
    </row>
    <row r="4880" spans="1:11">
      <c r="A4880" s="760"/>
      <c r="B4880" s="760"/>
      <c r="C4880" s="760"/>
      <c r="D4880" s="760"/>
      <c r="E4880" s="760"/>
      <c r="F4880" s="760"/>
      <c r="G4880" s="760"/>
      <c r="H4880" s="760"/>
      <c r="I4880" s="760"/>
      <c r="J4880" s="760"/>
      <c r="K4880" s="760"/>
    </row>
    <row r="4881" spans="1:11">
      <c r="A4881" s="760"/>
      <c r="B4881" s="760"/>
      <c r="C4881" s="760"/>
      <c r="D4881" s="760"/>
      <c r="E4881" s="760"/>
      <c r="F4881" s="760"/>
      <c r="G4881" s="760"/>
      <c r="H4881" s="760"/>
      <c r="I4881" s="760"/>
      <c r="J4881" s="760"/>
      <c r="K4881" s="760"/>
    </row>
    <row r="4882" spans="1:11">
      <c r="A4882" s="760"/>
      <c r="B4882" s="760"/>
      <c r="C4882" s="760"/>
      <c r="D4882" s="760"/>
      <c r="E4882" s="760"/>
      <c r="F4882" s="760"/>
      <c r="G4882" s="760"/>
      <c r="H4882" s="760"/>
      <c r="I4882" s="760"/>
      <c r="J4882" s="760"/>
      <c r="K4882" s="760"/>
    </row>
    <row r="4883" spans="1:11">
      <c r="A4883" s="760"/>
      <c r="B4883" s="760"/>
      <c r="C4883" s="760"/>
      <c r="D4883" s="760"/>
      <c r="E4883" s="760"/>
      <c r="F4883" s="760"/>
      <c r="G4883" s="760"/>
      <c r="H4883" s="760"/>
      <c r="I4883" s="760"/>
      <c r="J4883" s="760"/>
      <c r="K4883" s="760"/>
    </row>
    <row r="4884" spans="1:11">
      <c r="A4884" s="760"/>
      <c r="B4884" s="760"/>
      <c r="C4884" s="760"/>
      <c r="D4884" s="760"/>
      <c r="E4884" s="760"/>
      <c r="F4884" s="760"/>
      <c r="G4884" s="760"/>
      <c r="H4884" s="760"/>
      <c r="I4884" s="760"/>
      <c r="J4884" s="760"/>
      <c r="K4884" s="760"/>
    </row>
    <row r="4885" spans="1:11">
      <c r="A4885" s="760"/>
      <c r="B4885" s="760"/>
      <c r="C4885" s="760"/>
      <c r="D4885" s="760"/>
      <c r="E4885" s="760"/>
      <c r="F4885" s="760"/>
      <c r="G4885" s="760"/>
      <c r="H4885" s="760"/>
      <c r="I4885" s="760"/>
      <c r="J4885" s="760"/>
      <c r="K4885" s="760"/>
    </row>
    <row r="4886" spans="1:11">
      <c r="A4886" s="760"/>
      <c r="B4886" s="760"/>
      <c r="C4886" s="760"/>
      <c r="D4886" s="760"/>
      <c r="E4886" s="760"/>
      <c r="F4886" s="760"/>
      <c r="G4886" s="760"/>
      <c r="H4886" s="760"/>
      <c r="I4886" s="760"/>
      <c r="J4886" s="760"/>
      <c r="K4886" s="760"/>
    </row>
    <row r="4887" spans="1:11">
      <c r="A4887" s="760"/>
      <c r="B4887" s="760"/>
      <c r="C4887" s="760"/>
      <c r="D4887" s="760"/>
      <c r="E4887" s="760"/>
      <c r="F4887" s="760"/>
      <c r="G4887" s="760"/>
      <c r="H4887" s="760"/>
      <c r="I4887" s="760"/>
      <c r="J4887" s="760"/>
      <c r="K4887" s="760"/>
    </row>
    <row r="4888" spans="1:11">
      <c r="A4888" s="760"/>
      <c r="B4888" s="760"/>
      <c r="C4888" s="760"/>
      <c r="D4888" s="760"/>
      <c r="E4888" s="760"/>
      <c r="F4888" s="760"/>
      <c r="G4888" s="760"/>
      <c r="H4888" s="760"/>
      <c r="I4888" s="760"/>
      <c r="J4888" s="760"/>
      <c r="K4888" s="760"/>
    </row>
    <row r="4889" spans="1:11">
      <c r="A4889" s="760"/>
      <c r="B4889" s="760"/>
      <c r="C4889" s="760"/>
      <c r="D4889" s="760"/>
      <c r="E4889" s="760"/>
      <c r="F4889" s="760"/>
      <c r="G4889" s="760"/>
      <c r="H4889" s="760"/>
      <c r="I4889" s="760"/>
      <c r="J4889" s="760"/>
      <c r="K4889" s="760"/>
    </row>
    <row r="4890" spans="1:11">
      <c r="A4890" s="760"/>
      <c r="B4890" s="760"/>
      <c r="C4890" s="760"/>
      <c r="D4890" s="760"/>
      <c r="E4890" s="760"/>
      <c r="F4890" s="760"/>
      <c r="G4890" s="760"/>
      <c r="H4890" s="760"/>
      <c r="I4890" s="760"/>
      <c r="J4890" s="760"/>
      <c r="K4890" s="760"/>
    </row>
    <row r="4891" spans="1:11">
      <c r="A4891" s="760"/>
      <c r="B4891" s="760"/>
      <c r="C4891" s="760"/>
      <c r="D4891" s="760"/>
      <c r="E4891" s="760"/>
      <c r="F4891" s="760"/>
      <c r="G4891" s="760"/>
      <c r="H4891" s="760"/>
      <c r="I4891" s="760"/>
      <c r="J4891" s="760"/>
      <c r="K4891" s="760"/>
    </row>
    <row r="4892" spans="1:11">
      <c r="A4892" s="760"/>
      <c r="B4892" s="760"/>
      <c r="C4892" s="760"/>
      <c r="D4892" s="760"/>
      <c r="E4892" s="760"/>
      <c r="F4892" s="760"/>
      <c r="G4892" s="760"/>
      <c r="H4892" s="760"/>
      <c r="I4892" s="760"/>
      <c r="J4892" s="760"/>
      <c r="K4892" s="760"/>
    </row>
    <row r="4893" spans="1:11">
      <c r="A4893" s="760"/>
      <c r="B4893" s="760"/>
      <c r="C4893" s="760"/>
      <c r="D4893" s="760"/>
      <c r="E4893" s="760"/>
      <c r="F4893" s="760"/>
      <c r="G4893" s="760"/>
      <c r="H4893" s="760"/>
      <c r="I4893" s="760"/>
      <c r="J4893" s="760"/>
      <c r="K4893" s="760"/>
    </row>
    <row r="4894" spans="1:11">
      <c r="A4894" s="760"/>
      <c r="B4894" s="760"/>
      <c r="C4894" s="760"/>
      <c r="D4894" s="760"/>
      <c r="E4894" s="760"/>
      <c r="F4894" s="760"/>
      <c r="G4894" s="760"/>
      <c r="H4894" s="760"/>
      <c r="I4894" s="760"/>
      <c r="J4894" s="760"/>
      <c r="K4894" s="760"/>
    </row>
    <row r="4895" spans="1:11">
      <c r="A4895" s="760"/>
      <c r="B4895" s="760"/>
      <c r="C4895" s="760"/>
      <c r="D4895" s="760"/>
      <c r="E4895" s="760"/>
      <c r="F4895" s="760"/>
      <c r="G4895" s="760"/>
      <c r="H4895" s="760"/>
      <c r="I4895" s="760"/>
      <c r="J4895" s="760"/>
      <c r="K4895" s="760"/>
    </row>
    <row r="4896" spans="1:11">
      <c r="A4896" s="760"/>
      <c r="B4896" s="760"/>
      <c r="C4896" s="760"/>
      <c r="D4896" s="760"/>
      <c r="E4896" s="760"/>
      <c r="F4896" s="760"/>
      <c r="G4896" s="760"/>
      <c r="H4896" s="760"/>
      <c r="I4896" s="760"/>
      <c r="J4896" s="760"/>
      <c r="K4896" s="760"/>
    </row>
    <row r="4897" spans="1:11">
      <c r="A4897" s="760"/>
      <c r="B4897" s="760"/>
      <c r="C4897" s="760"/>
      <c r="D4897" s="760"/>
      <c r="E4897" s="760"/>
      <c r="F4897" s="760"/>
      <c r="G4897" s="760"/>
      <c r="H4897" s="760"/>
      <c r="I4897" s="760"/>
      <c r="J4897" s="760"/>
      <c r="K4897" s="760"/>
    </row>
    <row r="4898" spans="1:11">
      <c r="A4898" s="760"/>
      <c r="B4898" s="760"/>
      <c r="C4898" s="760"/>
      <c r="D4898" s="760"/>
      <c r="E4898" s="760"/>
      <c r="F4898" s="760"/>
      <c r="G4898" s="760"/>
      <c r="H4898" s="760"/>
      <c r="I4898" s="760"/>
      <c r="J4898" s="760"/>
      <c r="K4898" s="760"/>
    </row>
    <row r="4899" spans="1:11">
      <c r="A4899" s="760"/>
      <c r="B4899" s="760"/>
      <c r="C4899" s="760"/>
      <c r="D4899" s="760"/>
      <c r="E4899" s="760"/>
      <c r="F4899" s="760"/>
      <c r="G4899" s="760"/>
      <c r="H4899" s="760"/>
      <c r="I4899" s="760"/>
      <c r="J4899" s="760"/>
      <c r="K4899" s="760"/>
    </row>
    <row r="4900" spans="1:11">
      <c r="A4900" s="760"/>
      <c r="B4900" s="760"/>
      <c r="C4900" s="760"/>
      <c r="D4900" s="760"/>
      <c r="E4900" s="760"/>
      <c r="F4900" s="760"/>
      <c r="G4900" s="760"/>
      <c r="H4900" s="760"/>
      <c r="I4900" s="760"/>
      <c r="J4900" s="760"/>
      <c r="K4900" s="760"/>
    </row>
    <row r="4901" spans="1:11">
      <c r="A4901" s="760"/>
      <c r="B4901" s="760"/>
      <c r="C4901" s="760"/>
      <c r="D4901" s="760"/>
      <c r="E4901" s="760"/>
      <c r="F4901" s="760"/>
      <c r="G4901" s="760"/>
      <c r="H4901" s="760"/>
      <c r="I4901" s="760"/>
      <c r="J4901" s="760"/>
      <c r="K4901" s="760"/>
    </row>
    <row r="4902" spans="1:11">
      <c r="A4902" s="760"/>
      <c r="B4902" s="760"/>
      <c r="C4902" s="760"/>
      <c r="D4902" s="760"/>
      <c r="E4902" s="760"/>
      <c r="F4902" s="760"/>
      <c r="G4902" s="760"/>
      <c r="H4902" s="760"/>
      <c r="I4902" s="760"/>
      <c r="J4902" s="760"/>
      <c r="K4902" s="760"/>
    </row>
    <row r="4903" spans="1:11">
      <c r="A4903" s="760"/>
      <c r="B4903" s="760"/>
      <c r="C4903" s="760"/>
      <c r="D4903" s="760"/>
      <c r="E4903" s="760"/>
      <c r="F4903" s="760"/>
      <c r="G4903" s="760"/>
      <c r="H4903" s="760"/>
      <c r="I4903" s="760"/>
      <c r="J4903" s="760"/>
      <c r="K4903" s="760"/>
    </row>
    <row r="4904" spans="1:11">
      <c r="A4904" s="760"/>
      <c r="B4904" s="760"/>
      <c r="C4904" s="760"/>
      <c r="D4904" s="760"/>
      <c r="E4904" s="760"/>
      <c r="F4904" s="760"/>
      <c r="G4904" s="760"/>
      <c r="H4904" s="760"/>
      <c r="I4904" s="760"/>
      <c r="J4904" s="760"/>
      <c r="K4904" s="760"/>
    </row>
    <row r="4905" spans="1:11">
      <c r="A4905" s="760"/>
      <c r="B4905" s="760"/>
      <c r="C4905" s="760"/>
      <c r="D4905" s="760"/>
      <c r="E4905" s="760"/>
      <c r="F4905" s="760"/>
      <c r="G4905" s="760"/>
      <c r="H4905" s="760"/>
      <c r="I4905" s="760"/>
      <c r="J4905" s="760"/>
      <c r="K4905" s="760"/>
    </row>
    <row r="4906" spans="1:11">
      <c r="A4906" s="760"/>
      <c r="B4906" s="760"/>
      <c r="C4906" s="760"/>
      <c r="D4906" s="760"/>
      <c r="E4906" s="760"/>
      <c r="F4906" s="760"/>
      <c r="G4906" s="760"/>
      <c r="H4906" s="760"/>
      <c r="I4906" s="760"/>
      <c r="J4906" s="760"/>
      <c r="K4906" s="760"/>
    </row>
    <row r="4907" spans="1:11">
      <c r="A4907" s="760"/>
      <c r="B4907" s="760"/>
      <c r="C4907" s="760"/>
      <c r="D4907" s="760"/>
      <c r="E4907" s="760"/>
      <c r="F4907" s="760"/>
      <c r="G4907" s="760"/>
      <c r="H4907" s="760"/>
      <c r="I4907" s="760"/>
      <c r="J4907" s="760"/>
      <c r="K4907" s="760"/>
    </row>
    <row r="4908" spans="1:11">
      <c r="A4908" s="760"/>
      <c r="B4908" s="760"/>
      <c r="C4908" s="760"/>
      <c r="D4908" s="760"/>
      <c r="E4908" s="760"/>
      <c r="F4908" s="760"/>
      <c r="G4908" s="760"/>
      <c r="H4908" s="760"/>
      <c r="I4908" s="760"/>
      <c r="J4908" s="760"/>
      <c r="K4908" s="760"/>
    </row>
    <row r="4909" spans="1:11">
      <c r="A4909" s="760"/>
      <c r="B4909" s="760"/>
      <c r="C4909" s="760"/>
      <c r="D4909" s="760"/>
      <c r="E4909" s="760"/>
      <c r="F4909" s="760"/>
      <c r="G4909" s="760"/>
      <c r="H4909" s="760"/>
      <c r="I4909" s="760"/>
      <c r="J4909" s="760"/>
      <c r="K4909" s="760"/>
    </row>
    <row r="4910" spans="1:11">
      <c r="A4910" s="760"/>
      <c r="B4910" s="760"/>
      <c r="C4910" s="760"/>
      <c r="D4910" s="760"/>
      <c r="E4910" s="760"/>
      <c r="F4910" s="760"/>
      <c r="G4910" s="760"/>
      <c r="H4910" s="760"/>
      <c r="I4910" s="760"/>
      <c r="J4910" s="760"/>
      <c r="K4910" s="760"/>
    </row>
    <row r="4911" spans="1:11">
      <c r="A4911" s="760"/>
      <c r="B4911" s="760"/>
      <c r="C4911" s="760"/>
      <c r="D4911" s="760"/>
      <c r="E4911" s="760"/>
      <c r="F4911" s="760"/>
      <c r="G4911" s="760"/>
      <c r="H4911" s="760"/>
      <c r="I4911" s="760"/>
      <c r="J4911" s="760"/>
      <c r="K4911" s="760"/>
    </row>
    <row r="4912" spans="1:11">
      <c r="A4912" s="760"/>
      <c r="B4912" s="760"/>
      <c r="C4912" s="760"/>
      <c r="D4912" s="760"/>
      <c r="E4912" s="760"/>
      <c r="F4912" s="760"/>
      <c r="G4912" s="760"/>
      <c r="H4912" s="760"/>
      <c r="I4912" s="760"/>
      <c r="J4912" s="760"/>
      <c r="K4912" s="760"/>
    </row>
    <row r="4913" spans="1:11">
      <c r="A4913" s="760"/>
      <c r="B4913" s="760"/>
      <c r="C4913" s="760"/>
      <c r="D4913" s="760"/>
      <c r="E4913" s="760"/>
      <c r="F4913" s="760"/>
      <c r="G4913" s="760"/>
      <c r="H4913" s="760"/>
      <c r="I4913" s="760"/>
      <c r="J4913" s="760"/>
      <c r="K4913" s="760"/>
    </row>
    <row r="4914" spans="1:11">
      <c r="A4914" s="760"/>
      <c r="B4914" s="760"/>
      <c r="C4914" s="760"/>
      <c r="D4914" s="760"/>
      <c r="E4914" s="760"/>
      <c r="F4914" s="760"/>
      <c r="G4914" s="760"/>
      <c r="H4914" s="760"/>
      <c r="I4914" s="760"/>
      <c r="J4914" s="760"/>
      <c r="K4914" s="760"/>
    </row>
    <row r="4915" spans="1:11">
      <c r="A4915" s="760"/>
      <c r="B4915" s="760"/>
      <c r="C4915" s="760"/>
      <c r="D4915" s="760"/>
      <c r="E4915" s="760"/>
      <c r="F4915" s="760"/>
      <c r="G4915" s="760"/>
      <c r="H4915" s="760"/>
      <c r="I4915" s="760"/>
      <c r="J4915" s="760"/>
      <c r="K4915" s="760"/>
    </row>
    <row r="4916" spans="1:11">
      <c r="A4916" s="760"/>
      <c r="B4916" s="760"/>
      <c r="C4916" s="760"/>
      <c r="D4916" s="760"/>
      <c r="E4916" s="760"/>
      <c r="F4916" s="760"/>
      <c r="G4916" s="760"/>
      <c r="H4916" s="760"/>
      <c r="I4916" s="760"/>
      <c r="J4916" s="760"/>
      <c r="K4916" s="760"/>
    </row>
    <row r="4917" spans="1:11">
      <c r="A4917" s="760"/>
      <c r="B4917" s="760"/>
      <c r="C4917" s="760"/>
      <c r="D4917" s="760"/>
      <c r="E4917" s="760"/>
      <c r="F4917" s="760"/>
      <c r="G4917" s="760"/>
      <c r="H4917" s="760"/>
      <c r="I4917" s="760"/>
      <c r="J4917" s="760"/>
      <c r="K4917" s="760"/>
    </row>
    <row r="4918" spans="1:11">
      <c r="A4918" s="760"/>
      <c r="B4918" s="760"/>
      <c r="C4918" s="760"/>
      <c r="D4918" s="760"/>
      <c r="E4918" s="760"/>
      <c r="F4918" s="760"/>
      <c r="G4918" s="760"/>
      <c r="H4918" s="760"/>
      <c r="I4918" s="760"/>
      <c r="J4918" s="760"/>
      <c r="K4918" s="760"/>
    </row>
    <row r="4919" spans="1:11">
      <c r="A4919" s="760"/>
      <c r="B4919" s="760"/>
      <c r="C4919" s="760"/>
      <c r="D4919" s="760"/>
      <c r="E4919" s="760"/>
      <c r="F4919" s="760"/>
      <c r="G4919" s="760"/>
      <c r="H4919" s="760"/>
      <c r="I4919" s="760"/>
      <c r="J4919" s="760"/>
      <c r="K4919" s="760"/>
    </row>
    <row r="4920" spans="1:11">
      <c r="A4920" s="760"/>
      <c r="B4920" s="760"/>
      <c r="C4920" s="760"/>
      <c r="D4920" s="760"/>
      <c r="E4920" s="760"/>
      <c r="F4920" s="760"/>
      <c r="G4920" s="760"/>
      <c r="H4920" s="760"/>
      <c r="I4920" s="760"/>
      <c r="J4920" s="760"/>
      <c r="K4920" s="760"/>
    </row>
    <row r="4921" spans="1:11">
      <c r="A4921" s="760"/>
      <c r="B4921" s="760"/>
      <c r="C4921" s="760"/>
      <c r="D4921" s="760"/>
      <c r="E4921" s="760"/>
      <c r="F4921" s="760"/>
      <c r="G4921" s="760"/>
      <c r="H4921" s="760"/>
      <c r="I4921" s="760"/>
      <c r="J4921" s="760"/>
      <c r="K4921" s="760"/>
    </row>
    <row r="4922" spans="1:11">
      <c r="A4922" s="760"/>
      <c r="B4922" s="760"/>
      <c r="C4922" s="760"/>
      <c r="D4922" s="760"/>
      <c r="E4922" s="760"/>
      <c r="F4922" s="760"/>
      <c r="G4922" s="760"/>
      <c r="H4922" s="760"/>
      <c r="I4922" s="760"/>
      <c r="J4922" s="760"/>
      <c r="K4922" s="760"/>
    </row>
    <row r="4923" spans="1:11">
      <c r="A4923" s="760"/>
      <c r="B4923" s="760"/>
      <c r="C4923" s="760"/>
      <c r="D4923" s="760"/>
      <c r="E4923" s="760"/>
      <c r="F4923" s="760"/>
      <c r="G4923" s="760"/>
      <c r="H4923" s="760"/>
      <c r="I4923" s="760"/>
      <c r="J4923" s="760"/>
      <c r="K4923" s="760"/>
    </row>
    <row r="4924" spans="1:11">
      <c r="A4924" s="760"/>
      <c r="B4924" s="760"/>
      <c r="C4924" s="760"/>
      <c r="D4924" s="760"/>
      <c r="E4924" s="760"/>
      <c r="F4924" s="760"/>
      <c r="G4924" s="760"/>
      <c r="H4924" s="760"/>
      <c r="I4924" s="760"/>
      <c r="J4924" s="760"/>
      <c r="K4924" s="760"/>
    </row>
    <row r="4925" spans="1:11">
      <c r="A4925" s="760"/>
      <c r="B4925" s="760"/>
      <c r="C4925" s="760"/>
      <c r="D4925" s="760"/>
      <c r="E4925" s="760"/>
      <c r="F4925" s="760"/>
      <c r="G4925" s="760"/>
      <c r="H4925" s="760"/>
      <c r="I4925" s="760"/>
      <c r="J4925" s="760"/>
      <c r="K4925" s="760"/>
    </row>
    <row r="4926" spans="1:11">
      <c r="A4926" s="760"/>
      <c r="B4926" s="760"/>
      <c r="C4926" s="760"/>
      <c r="D4926" s="760"/>
      <c r="E4926" s="760"/>
      <c r="F4926" s="760"/>
      <c r="G4926" s="760"/>
      <c r="H4926" s="760"/>
      <c r="I4926" s="760"/>
      <c r="J4926" s="760"/>
      <c r="K4926" s="760"/>
    </row>
    <row r="4927" spans="1:11">
      <c r="A4927" s="760"/>
      <c r="B4927" s="760"/>
      <c r="C4927" s="760"/>
      <c r="D4927" s="760"/>
      <c r="E4927" s="760"/>
      <c r="F4927" s="760"/>
      <c r="G4927" s="760"/>
      <c r="H4927" s="760"/>
      <c r="I4927" s="760"/>
      <c r="J4927" s="760"/>
      <c r="K4927" s="760"/>
    </row>
    <row r="4928" spans="1:11">
      <c r="A4928" s="760"/>
      <c r="B4928" s="760"/>
      <c r="C4928" s="760"/>
      <c r="D4928" s="760"/>
      <c r="E4928" s="760"/>
      <c r="F4928" s="760"/>
      <c r="G4928" s="760"/>
      <c r="H4928" s="760"/>
      <c r="I4928" s="760"/>
      <c r="J4928" s="760"/>
      <c r="K4928" s="760"/>
    </row>
    <row r="4929" spans="1:11">
      <c r="A4929" s="760"/>
      <c r="B4929" s="760"/>
      <c r="C4929" s="760"/>
      <c r="D4929" s="760"/>
      <c r="E4929" s="760"/>
      <c r="F4929" s="760"/>
      <c r="G4929" s="760"/>
      <c r="H4929" s="760"/>
      <c r="I4929" s="760"/>
      <c r="J4929" s="760"/>
      <c r="K4929" s="760"/>
    </row>
    <row r="4930" spans="1:11">
      <c r="A4930" s="760"/>
      <c r="B4930" s="760"/>
      <c r="C4930" s="760"/>
      <c r="D4930" s="760"/>
      <c r="E4930" s="760"/>
      <c r="F4930" s="760"/>
      <c r="G4930" s="760"/>
      <c r="H4930" s="760"/>
      <c r="I4930" s="760"/>
      <c r="J4930" s="760"/>
      <c r="K4930" s="760"/>
    </row>
    <row r="4931" spans="1:11">
      <c r="A4931" s="760"/>
      <c r="B4931" s="760"/>
      <c r="C4931" s="760"/>
      <c r="D4931" s="760"/>
      <c r="E4931" s="760"/>
      <c r="F4931" s="760"/>
      <c r="G4931" s="760"/>
      <c r="H4931" s="760"/>
      <c r="I4931" s="760"/>
      <c r="J4931" s="760"/>
      <c r="K4931" s="760"/>
    </row>
    <row r="4932" spans="1:11">
      <c r="A4932" s="760"/>
      <c r="B4932" s="760"/>
      <c r="C4932" s="760"/>
      <c r="D4932" s="760"/>
      <c r="E4932" s="760"/>
      <c r="F4932" s="760"/>
      <c r="G4932" s="760"/>
      <c r="H4932" s="760"/>
      <c r="I4932" s="760"/>
      <c r="J4932" s="760"/>
      <c r="K4932" s="760"/>
    </row>
    <row r="4933" spans="1:11">
      <c r="A4933" s="760"/>
      <c r="B4933" s="760"/>
      <c r="C4933" s="760"/>
      <c r="D4933" s="760"/>
      <c r="E4933" s="760"/>
      <c r="F4933" s="760"/>
      <c r="G4933" s="760"/>
      <c r="H4933" s="760"/>
      <c r="I4933" s="760"/>
      <c r="J4933" s="760"/>
      <c r="K4933" s="760"/>
    </row>
    <row r="4934" spans="1:11">
      <c r="A4934" s="760"/>
      <c r="B4934" s="760"/>
      <c r="C4934" s="760"/>
      <c r="D4934" s="760"/>
      <c r="E4934" s="760"/>
      <c r="F4934" s="760"/>
      <c r="G4934" s="760"/>
      <c r="H4934" s="760"/>
      <c r="I4934" s="760"/>
      <c r="J4934" s="760"/>
      <c r="K4934" s="760"/>
    </row>
    <row r="4935" spans="1:11">
      <c r="A4935" s="760"/>
      <c r="B4935" s="760"/>
      <c r="C4935" s="760"/>
      <c r="D4935" s="760"/>
      <c r="E4935" s="760"/>
      <c r="F4935" s="760"/>
      <c r="G4935" s="760"/>
      <c r="H4935" s="760"/>
      <c r="I4935" s="760"/>
      <c r="J4935" s="760"/>
      <c r="K4935" s="760"/>
    </row>
    <row r="4936" spans="1:11">
      <c r="A4936" s="760"/>
      <c r="B4936" s="760"/>
      <c r="C4936" s="760"/>
      <c r="D4936" s="760"/>
      <c r="E4936" s="760"/>
      <c r="F4936" s="760"/>
      <c r="G4936" s="760"/>
      <c r="H4936" s="760"/>
      <c r="I4936" s="760"/>
      <c r="J4936" s="760"/>
      <c r="K4936" s="760"/>
    </row>
    <row r="4937" spans="1:11">
      <c r="A4937" s="760"/>
      <c r="B4937" s="760"/>
      <c r="C4937" s="760"/>
      <c r="D4937" s="760"/>
      <c r="E4937" s="760"/>
      <c r="F4937" s="760"/>
      <c r="G4937" s="760"/>
      <c r="H4937" s="760"/>
      <c r="I4937" s="760"/>
      <c r="J4937" s="760"/>
      <c r="K4937" s="760"/>
    </row>
    <row r="4938" spans="1:11">
      <c r="A4938" s="760"/>
      <c r="B4938" s="760"/>
      <c r="C4938" s="760"/>
      <c r="D4938" s="760"/>
      <c r="E4938" s="760"/>
      <c r="F4938" s="760"/>
      <c r="G4938" s="760"/>
      <c r="H4938" s="760"/>
      <c r="I4938" s="760"/>
      <c r="J4938" s="760"/>
      <c r="K4938" s="760"/>
    </row>
    <row r="4939" spans="1:11">
      <c r="A4939" s="760"/>
      <c r="B4939" s="760"/>
      <c r="C4939" s="760"/>
      <c r="D4939" s="760"/>
      <c r="E4939" s="760"/>
      <c r="F4939" s="760"/>
      <c r="G4939" s="760"/>
      <c r="H4939" s="760"/>
      <c r="I4939" s="760"/>
      <c r="J4939" s="760"/>
      <c r="K4939" s="760"/>
    </row>
    <row r="4940" spans="1:11">
      <c r="A4940" s="760"/>
      <c r="B4940" s="760"/>
      <c r="C4940" s="760"/>
      <c r="D4940" s="760"/>
      <c r="E4940" s="760"/>
      <c r="F4940" s="760"/>
      <c r="G4940" s="760"/>
      <c r="H4940" s="760"/>
      <c r="I4940" s="760"/>
      <c r="J4940" s="760"/>
      <c r="K4940" s="760"/>
    </row>
    <row r="4941" spans="1:11">
      <c r="A4941" s="760"/>
      <c r="B4941" s="760"/>
      <c r="C4941" s="760"/>
      <c r="D4941" s="760"/>
      <c r="E4941" s="760"/>
      <c r="F4941" s="760"/>
      <c r="G4941" s="760"/>
      <c r="H4941" s="760"/>
      <c r="I4941" s="760"/>
      <c r="J4941" s="760"/>
      <c r="K4941" s="760"/>
    </row>
    <row r="4942" spans="1:11">
      <c r="A4942" s="760"/>
      <c r="B4942" s="760"/>
      <c r="C4942" s="760"/>
      <c r="D4942" s="760"/>
      <c r="E4942" s="760"/>
      <c r="F4942" s="760"/>
      <c r="G4942" s="760"/>
      <c r="H4942" s="760"/>
      <c r="I4942" s="760"/>
      <c r="J4942" s="760"/>
      <c r="K4942" s="760"/>
    </row>
    <row r="4943" spans="1:11">
      <c r="A4943" s="760"/>
      <c r="B4943" s="760"/>
      <c r="C4943" s="760"/>
      <c r="D4943" s="760"/>
      <c r="E4943" s="760"/>
      <c r="F4943" s="760"/>
      <c r="G4943" s="760"/>
      <c r="H4943" s="760"/>
      <c r="I4943" s="760"/>
      <c r="J4943" s="760"/>
      <c r="K4943" s="760"/>
    </row>
    <row r="4944" spans="1:11">
      <c r="A4944" s="760"/>
      <c r="B4944" s="760"/>
      <c r="C4944" s="760"/>
      <c r="D4944" s="760"/>
      <c r="E4944" s="760"/>
      <c r="F4944" s="760"/>
      <c r="G4944" s="760"/>
      <c r="H4944" s="760"/>
      <c r="I4944" s="760"/>
      <c r="J4944" s="760"/>
      <c r="K4944" s="760"/>
    </row>
    <row r="4945" spans="1:11">
      <c r="A4945" s="760"/>
      <c r="B4945" s="760"/>
      <c r="C4945" s="760"/>
      <c r="D4945" s="760"/>
      <c r="E4945" s="760"/>
      <c r="F4945" s="760"/>
      <c r="G4945" s="760"/>
      <c r="H4945" s="760"/>
      <c r="I4945" s="760"/>
      <c r="J4945" s="760"/>
      <c r="K4945" s="760"/>
    </row>
    <row r="4946" spans="1:11">
      <c r="A4946" s="760"/>
      <c r="B4946" s="760"/>
      <c r="C4946" s="760"/>
      <c r="D4946" s="760"/>
      <c r="E4946" s="760"/>
      <c r="F4946" s="760"/>
      <c r="G4946" s="760"/>
      <c r="H4946" s="760"/>
      <c r="I4946" s="760"/>
      <c r="J4946" s="760"/>
      <c r="K4946" s="760"/>
    </row>
    <row r="4947" spans="1:11">
      <c r="A4947" s="760"/>
      <c r="B4947" s="760"/>
      <c r="C4947" s="760"/>
      <c r="D4947" s="760"/>
      <c r="E4947" s="760"/>
      <c r="F4947" s="760"/>
      <c r="G4947" s="760"/>
      <c r="H4947" s="760"/>
      <c r="I4947" s="760"/>
      <c r="J4947" s="760"/>
      <c r="K4947" s="760"/>
    </row>
    <row r="4948" spans="1:11">
      <c r="A4948" s="760"/>
      <c r="B4948" s="760"/>
      <c r="C4948" s="760"/>
      <c r="D4948" s="760"/>
      <c r="E4948" s="760"/>
      <c r="F4948" s="760"/>
      <c r="G4948" s="760"/>
      <c r="H4948" s="760"/>
      <c r="I4948" s="760"/>
      <c r="J4948" s="760"/>
      <c r="K4948" s="760"/>
    </row>
    <row r="4949" spans="1:11">
      <c r="A4949" s="760"/>
      <c r="B4949" s="760"/>
      <c r="C4949" s="760"/>
      <c r="D4949" s="760"/>
      <c r="E4949" s="760"/>
      <c r="F4949" s="760"/>
      <c r="G4949" s="760"/>
      <c r="H4949" s="760"/>
      <c r="I4949" s="760"/>
      <c r="J4949" s="760"/>
      <c r="K4949" s="760"/>
    </row>
    <row r="4950" spans="1:11">
      <c r="A4950" s="760"/>
      <c r="B4950" s="760"/>
      <c r="C4950" s="760"/>
      <c r="D4950" s="760"/>
      <c r="E4950" s="760"/>
      <c r="F4950" s="760"/>
      <c r="G4950" s="760"/>
      <c r="H4950" s="760"/>
      <c r="I4950" s="760"/>
      <c r="J4950" s="760"/>
      <c r="K4950" s="760"/>
    </row>
    <row r="4951" spans="1:11">
      <c r="A4951" s="760"/>
      <c r="B4951" s="760"/>
      <c r="C4951" s="760"/>
      <c r="D4951" s="760"/>
      <c r="E4951" s="760"/>
      <c r="F4951" s="760"/>
      <c r="G4951" s="760"/>
      <c r="H4951" s="760"/>
      <c r="I4951" s="760"/>
      <c r="J4951" s="760"/>
      <c r="K4951" s="760"/>
    </row>
    <row r="4952" spans="1:11">
      <c r="A4952" s="760"/>
      <c r="B4952" s="760"/>
      <c r="C4952" s="760"/>
      <c r="D4952" s="760"/>
      <c r="E4952" s="760"/>
      <c r="F4952" s="760"/>
      <c r="G4952" s="760"/>
      <c r="H4952" s="760"/>
      <c r="I4952" s="760"/>
      <c r="J4952" s="760"/>
      <c r="K4952" s="760"/>
    </row>
    <row r="4953" spans="1:11">
      <c r="A4953" s="760"/>
      <c r="B4953" s="760"/>
      <c r="C4953" s="760"/>
      <c r="D4953" s="760"/>
      <c r="E4953" s="760"/>
      <c r="F4953" s="760"/>
      <c r="G4953" s="760"/>
      <c r="H4953" s="760"/>
      <c r="I4953" s="760"/>
      <c r="J4953" s="760"/>
      <c r="K4953" s="760"/>
    </row>
    <row r="4954" spans="1:11">
      <c r="A4954" s="760"/>
      <c r="B4954" s="760"/>
      <c r="C4954" s="760"/>
      <c r="D4954" s="760"/>
      <c r="E4954" s="760"/>
      <c r="F4954" s="760"/>
      <c r="G4954" s="760"/>
      <c r="H4954" s="760"/>
      <c r="I4954" s="760"/>
      <c r="J4954" s="760"/>
      <c r="K4954" s="760"/>
    </row>
    <row r="4955" spans="1:11">
      <c r="A4955" s="760"/>
      <c r="B4955" s="760"/>
      <c r="C4955" s="760"/>
      <c r="D4955" s="760"/>
      <c r="E4955" s="760"/>
      <c r="F4955" s="760"/>
      <c r="G4955" s="760"/>
      <c r="H4955" s="760"/>
      <c r="I4955" s="760"/>
      <c r="J4955" s="760"/>
      <c r="K4955" s="760"/>
    </row>
    <row r="4956" spans="1:11">
      <c r="A4956" s="760"/>
      <c r="B4956" s="760"/>
      <c r="C4956" s="760"/>
      <c r="D4956" s="760"/>
      <c r="E4956" s="760"/>
      <c r="F4956" s="760"/>
      <c r="G4956" s="760"/>
      <c r="H4956" s="760"/>
      <c r="I4956" s="760"/>
      <c r="J4956" s="760"/>
      <c r="K4956" s="760"/>
    </row>
    <row r="4957" spans="1:11">
      <c r="A4957" s="760"/>
      <c r="B4957" s="760"/>
      <c r="C4957" s="760"/>
      <c r="D4957" s="760"/>
      <c r="E4957" s="760"/>
      <c r="F4957" s="760"/>
      <c r="G4957" s="760"/>
      <c r="H4957" s="760"/>
      <c r="I4957" s="760"/>
      <c r="J4957" s="760"/>
      <c r="K4957" s="760"/>
    </row>
    <row r="4958" spans="1:11">
      <c r="A4958" s="760"/>
      <c r="B4958" s="760"/>
      <c r="C4958" s="760"/>
      <c r="D4958" s="760"/>
      <c r="E4958" s="760"/>
      <c r="F4958" s="760"/>
      <c r="G4958" s="760"/>
      <c r="H4958" s="760"/>
      <c r="I4958" s="760"/>
      <c r="J4958" s="760"/>
      <c r="K4958" s="760"/>
    </row>
    <row r="4959" spans="1:11">
      <c r="A4959" s="760"/>
      <c r="B4959" s="760"/>
      <c r="C4959" s="760"/>
      <c r="D4959" s="760"/>
      <c r="E4959" s="760"/>
      <c r="F4959" s="760"/>
      <c r="G4959" s="760"/>
      <c r="H4959" s="760"/>
      <c r="I4959" s="760"/>
      <c r="J4959" s="760"/>
      <c r="K4959" s="760"/>
    </row>
    <row r="4960" spans="1:11">
      <c r="A4960" s="760"/>
      <c r="B4960" s="760"/>
      <c r="C4960" s="760"/>
      <c r="D4960" s="760"/>
      <c r="E4960" s="760"/>
      <c r="F4960" s="760"/>
      <c r="G4960" s="760"/>
      <c r="H4960" s="760"/>
      <c r="I4960" s="760"/>
      <c r="J4960" s="760"/>
      <c r="K4960" s="760"/>
    </row>
    <row r="4961" spans="1:11">
      <c r="A4961" s="760"/>
      <c r="B4961" s="760"/>
      <c r="C4961" s="760"/>
      <c r="D4961" s="760"/>
      <c r="E4961" s="760"/>
      <c r="F4961" s="760"/>
      <c r="G4961" s="760"/>
      <c r="H4961" s="760"/>
      <c r="I4961" s="760"/>
      <c r="J4961" s="760"/>
      <c r="K4961" s="760"/>
    </row>
    <row r="4962" spans="1:11">
      <c r="A4962" s="760"/>
      <c r="B4962" s="760"/>
      <c r="C4962" s="760"/>
      <c r="D4962" s="760"/>
      <c r="E4962" s="760"/>
      <c r="F4962" s="760"/>
      <c r="G4962" s="760"/>
      <c r="H4962" s="760"/>
      <c r="I4962" s="760"/>
      <c r="J4962" s="760"/>
      <c r="K4962" s="760"/>
    </row>
    <row r="4963" spans="1:11">
      <c r="A4963" s="760"/>
      <c r="B4963" s="760"/>
      <c r="C4963" s="760"/>
      <c r="D4963" s="760"/>
      <c r="E4963" s="760"/>
      <c r="F4963" s="760"/>
      <c r="G4963" s="760"/>
      <c r="H4963" s="760"/>
      <c r="I4963" s="760"/>
      <c r="J4963" s="760"/>
      <c r="K4963" s="760"/>
    </row>
    <row r="4964" spans="1:11">
      <c r="A4964" s="760"/>
      <c r="B4964" s="760"/>
      <c r="C4964" s="760"/>
      <c r="D4964" s="760"/>
      <c r="E4964" s="760"/>
      <c r="F4964" s="760"/>
      <c r="G4964" s="760"/>
      <c r="H4964" s="760"/>
      <c r="I4964" s="760"/>
      <c r="J4964" s="760"/>
      <c r="K4964" s="760"/>
    </row>
    <row r="4965" spans="1:11">
      <c r="A4965" s="760"/>
      <c r="B4965" s="760"/>
      <c r="C4965" s="760"/>
      <c r="D4965" s="760"/>
      <c r="E4965" s="760"/>
      <c r="F4965" s="760"/>
      <c r="G4965" s="760"/>
      <c r="H4965" s="760"/>
      <c r="I4965" s="760"/>
      <c r="J4965" s="760"/>
      <c r="K4965" s="760"/>
    </row>
    <row r="4966" spans="1:11">
      <c r="A4966" s="760"/>
      <c r="B4966" s="760"/>
      <c r="C4966" s="760"/>
      <c r="D4966" s="760"/>
      <c r="E4966" s="760"/>
      <c r="F4966" s="760"/>
      <c r="G4966" s="760"/>
      <c r="H4966" s="760"/>
      <c r="I4966" s="760"/>
      <c r="J4966" s="760"/>
      <c r="K4966" s="760"/>
    </row>
    <row r="4967" spans="1:11">
      <c r="A4967" s="760"/>
      <c r="B4967" s="760"/>
      <c r="C4967" s="760"/>
      <c r="D4967" s="760"/>
      <c r="E4967" s="760"/>
      <c r="F4967" s="760"/>
      <c r="G4967" s="760"/>
      <c r="H4967" s="760"/>
      <c r="I4967" s="760"/>
      <c r="J4967" s="760"/>
      <c r="K4967" s="760"/>
    </row>
    <row r="4968" spans="1:11">
      <c r="A4968" s="760"/>
      <c r="B4968" s="760"/>
      <c r="C4968" s="760"/>
      <c r="D4968" s="760"/>
      <c r="E4968" s="760"/>
      <c r="F4968" s="760"/>
      <c r="G4968" s="760"/>
      <c r="H4968" s="760"/>
      <c r="I4968" s="760"/>
      <c r="J4968" s="760"/>
      <c r="K4968" s="760"/>
    </row>
    <row r="4969" spans="1:11">
      <c r="A4969" s="760"/>
      <c r="B4969" s="760"/>
      <c r="C4969" s="760"/>
      <c r="D4969" s="760"/>
      <c r="E4969" s="760"/>
      <c r="F4969" s="760"/>
      <c r="G4969" s="760"/>
      <c r="H4969" s="760"/>
      <c r="I4969" s="760"/>
      <c r="J4969" s="760"/>
      <c r="K4969" s="760"/>
    </row>
    <row r="4970" spans="1:11">
      <c r="A4970" s="760"/>
      <c r="B4970" s="760"/>
      <c r="C4970" s="760"/>
      <c r="D4970" s="760"/>
      <c r="E4970" s="760"/>
      <c r="F4970" s="760"/>
      <c r="G4970" s="760"/>
      <c r="H4970" s="760"/>
      <c r="I4970" s="760"/>
      <c r="J4970" s="760"/>
      <c r="K4970" s="760"/>
    </row>
    <row r="4971" spans="1:11">
      <c r="A4971" s="760"/>
      <c r="B4971" s="760"/>
      <c r="C4971" s="760"/>
      <c r="D4971" s="760"/>
      <c r="E4971" s="760"/>
      <c r="F4971" s="760"/>
      <c r="G4971" s="760"/>
      <c r="H4971" s="760"/>
      <c r="I4971" s="760"/>
      <c r="J4971" s="760"/>
      <c r="K4971" s="760"/>
    </row>
    <row r="4972" spans="1:11">
      <c r="A4972" s="760"/>
      <c r="B4972" s="760"/>
      <c r="C4972" s="760"/>
      <c r="D4972" s="760"/>
      <c r="E4972" s="760"/>
      <c r="F4972" s="760"/>
      <c r="G4972" s="760"/>
      <c r="H4972" s="760"/>
      <c r="I4972" s="760"/>
      <c r="J4972" s="760"/>
      <c r="K4972" s="760"/>
    </row>
    <row r="4973" spans="1:11">
      <c r="A4973" s="760"/>
      <c r="B4973" s="760"/>
      <c r="C4973" s="760"/>
      <c r="D4973" s="760"/>
      <c r="E4973" s="760"/>
      <c r="F4973" s="760"/>
      <c r="G4973" s="760"/>
      <c r="H4973" s="760"/>
      <c r="I4973" s="760"/>
      <c r="J4973" s="760"/>
      <c r="K4973" s="760"/>
    </row>
    <row r="4974" spans="1:11">
      <c r="A4974" s="760"/>
      <c r="B4974" s="760"/>
      <c r="C4974" s="760"/>
      <c r="D4974" s="760"/>
      <c r="E4974" s="760"/>
      <c r="F4974" s="760"/>
      <c r="G4974" s="760"/>
      <c r="H4974" s="760"/>
      <c r="I4974" s="760"/>
      <c r="J4974" s="760"/>
      <c r="K4974" s="760"/>
    </row>
    <row r="4975" spans="1:11">
      <c r="A4975" s="760"/>
      <c r="B4975" s="760"/>
      <c r="C4975" s="760"/>
      <c r="D4975" s="760"/>
      <c r="E4975" s="760"/>
      <c r="F4975" s="760"/>
      <c r="G4975" s="760"/>
      <c r="H4975" s="760"/>
      <c r="I4975" s="760"/>
      <c r="J4975" s="760"/>
      <c r="K4975" s="760"/>
    </row>
    <row r="4976" spans="1:11">
      <c r="A4976" s="760"/>
      <c r="B4976" s="760"/>
      <c r="C4976" s="760"/>
      <c r="D4976" s="760"/>
      <c r="E4976" s="760"/>
      <c r="F4976" s="760"/>
      <c r="G4976" s="760"/>
      <c r="H4976" s="760"/>
      <c r="I4976" s="760"/>
      <c r="J4976" s="760"/>
      <c r="K4976" s="760"/>
    </row>
    <row r="4977" spans="1:11">
      <c r="A4977" s="760"/>
      <c r="B4977" s="760"/>
      <c r="C4977" s="760"/>
      <c r="D4977" s="760"/>
      <c r="E4977" s="760"/>
      <c r="F4977" s="760"/>
      <c r="G4977" s="760"/>
      <c r="H4977" s="760"/>
      <c r="I4977" s="760"/>
      <c r="J4977" s="760"/>
      <c r="K4977" s="760"/>
    </row>
    <row r="4978" spans="1:11">
      <c r="A4978" s="760"/>
      <c r="B4978" s="760"/>
      <c r="C4978" s="760"/>
      <c r="D4978" s="760"/>
      <c r="E4978" s="760"/>
      <c r="F4978" s="760"/>
      <c r="G4978" s="760"/>
      <c r="H4978" s="760"/>
      <c r="I4978" s="760"/>
      <c r="J4978" s="760"/>
      <c r="K4978" s="760"/>
    </row>
    <row r="4979" spans="1:11">
      <c r="A4979" s="760"/>
      <c r="B4979" s="760"/>
      <c r="C4979" s="760"/>
      <c r="D4979" s="760"/>
      <c r="E4979" s="760"/>
      <c r="F4979" s="760"/>
      <c r="G4979" s="760"/>
      <c r="H4979" s="760"/>
      <c r="I4979" s="760"/>
      <c r="J4979" s="760"/>
      <c r="K4979" s="760"/>
    </row>
    <row r="4980" spans="1:11">
      <c r="A4980" s="760"/>
      <c r="B4980" s="760"/>
      <c r="C4980" s="760"/>
      <c r="D4980" s="760"/>
      <c r="E4980" s="760"/>
      <c r="F4980" s="760"/>
      <c r="G4980" s="760"/>
      <c r="H4980" s="760"/>
      <c r="I4980" s="760"/>
      <c r="J4980" s="760"/>
      <c r="K4980" s="760"/>
    </row>
    <row r="4981" spans="1:11">
      <c r="A4981" s="760"/>
      <c r="B4981" s="760"/>
      <c r="C4981" s="760"/>
      <c r="D4981" s="760"/>
      <c r="E4981" s="760"/>
      <c r="F4981" s="760"/>
      <c r="G4981" s="760"/>
      <c r="H4981" s="760"/>
      <c r="I4981" s="760"/>
      <c r="J4981" s="760"/>
      <c r="K4981" s="760"/>
    </row>
    <row r="4982" spans="1:11">
      <c r="A4982" s="760"/>
      <c r="B4982" s="760"/>
      <c r="C4982" s="760"/>
      <c r="D4982" s="760"/>
      <c r="E4982" s="760"/>
      <c r="F4982" s="760"/>
      <c r="G4982" s="760"/>
      <c r="H4982" s="760"/>
      <c r="I4982" s="760"/>
      <c r="J4982" s="760"/>
      <c r="K4982" s="760"/>
    </row>
    <row r="4983" spans="1:11">
      <c r="A4983" s="760"/>
      <c r="B4983" s="760"/>
      <c r="C4983" s="760"/>
      <c r="D4983" s="760"/>
      <c r="E4983" s="760"/>
      <c r="F4983" s="760"/>
      <c r="G4983" s="760"/>
      <c r="H4983" s="760"/>
      <c r="I4983" s="760"/>
      <c r="J4983" s="760"/>
      <c r="K4983" s="760"/>
    </row>
    <row r="4984" spans="1:11">
      <c r="A4984" s="760"/>
      <c r="B4984" s="760"/>
      <c r="C4984" s="760"/>
      <c r="D4984" s="760"/>
      <c r="E4984" s="760"/>
      <c r="F4984" s="760"/>
      <c r="G4984" s="760"/>
      <c r="H4984" s="760"/>
      <c r="I4984" s="760"/>
      <c r="J4984" s="760"/>
      <c r="K4984" s="760"/>
    </row>
    <row r="4985" spans="1:11">
      <c r="A4985" s="760"/>
      <c r="B4985" s="760"/>
      <c r="C4985" s="760"/>
      <c r="D4985" s="760"/>
      <c r="E4985" s="760"/>
      <c r="F4985" s="760"/>
      <c r="G4985" s="760"/>
      <c r="H4985" s="760"/>
      <c r="I4985" s="760"/>
      <c r="J4985" s="760"/>
      <c r="K4985" s="760"/>
    </row>
    <row r="4986" spans="1:11">
      <c r="A4986" s="760"/>
      <c r="B4986" s="760"/>
      <c r="C4986" s="760"/>
      <c r="D4986" s="760"/>
      <c r="E4986" s="760"/>
      <c r="F4986" s="760"/>
      <c r="G4986" s="760"/>
      <c r="H4986" s="760"/>
      <c r="I4986" s="760"/>
      <c r="J4986" s="760"/>
      <c r="K4986" s="760"/>
    </row>
    <row r="4987" spans="1:11">
      <c r="A4987" s="760"/>
      <c r="B4987" s="760"/>
      <c r="C4987" s="760"/>
      <c r="D4987" s="760"/>
      <c r="E4987" s="760"/>
      <c r="F4987" s="760"/>
      <c r="G4987" s="760"/>
      <c r="H4987" s="760"/>
      <c r="I4987" s="760"/>
      <c r="J4987" s="760"/>
      <c r="K4987" s="760"/>
    </row>
    <row r="4988" spans="1:11">
      <c r="A4988" s="760"/>
      <c r="B4988" s="760"/>
      <c r="C4988" s="760"/>
      <c r="D4988" s="760"/>
      <c r="E4988" s="760"/>
      <c r="F4988" s="760"/>
      <c r="G4988" s="760"/>
      <c r="H4988" s="760"/>
      <c r="I4988" s="760"/>
      <c r="J4988" s="760"/>
      <c r="K4988" s="760"/>
    </row>
    <row r="4989" spans="1:11">
      <c r="A4989" s="760"/>
      <c r="B4989" s="760"/>
      <c r="C4989" s="760"/>
      <c r="D4989" s="760"/>
      <c r="E4989" s="760"/>
      <c r="F4989" s="760"/>
      <c r="G4989" s="760"/>
      <c r="H4989" s="760"/>
      <c r="I4989" s="760"/>
      <c r="J4989" s="760"/>
      <c r="K4989" s="760"/>
    </row>
    <row r="4990" spans="1:11">
      <c r="A4990" s="760"/>
      <c r="B4990" s="760"/>
      <c r="C4990" s="760"/>
      <c r="D4990" s="760"/>
      <c r="E4990" s="760"/>
      <c r="F4990" s="760"/>
      <c r="G4990" s="760"/>
      <c r="H4990" s="760"/>
      <c r="I4990" s="760"/>
      <c r="J4990" s="760"/>
      <c r="K4990" s="760"/>
    </row>
    <row r="4991" spans="1:11">
      <c r="A4991" s="760"/>
      <c r="B4991" s="760"/>
      <c r="C4991" s="760"/>
      <c r="D4991" s="760"/>
      <c r="E4991" s="760"/>
      <c r="F4991" s="760"/>
      <c r="G4991" s="760"/>
      <c r="H4991" s="760"/>
      <c r="I4991" s="760"/>
      <c r="J4991" s="760"/>
      <c r="K4991" s="760"/>
    </row>
    <row r="4992" spans="1:11">
      <c r="A4992" s="760"/>
      <c r="B4992" s="760"/>
      <c r="C4992" s="760"/>
      <c r="D4992" s="760"/>
      <c r="E4992" s="760"/>
      <c r="F4992" s="760"/>
      <c r="G4992" s="760"/>
      <c r="H4992" s="760"/>
      <c r="I4992" s="760"/>
      <c r="J4992" s="760"/>
      <c r="K4992" s="760"/>
    </row>
    <row r="4993" spans="1:11">
      <c r="A4993" s="760"/>
      <c r="B4993" s="760"/>
      <c r="C4993" s="760"/>
      <c r="D4993" s="760"/>
      <c r="E4993" s="760"/>
      <c r="F4993" s="760"/>
      <c r="G4993" s="760"/>
      <c r="H4993" s="760"/>
      <c r="I4993" s="760"/>
      <c r="J4993" s="760"/>
      <c r="K4993" s="760"/>
    </row>
    <row r="4994" spans="1:11">
      <c r="A4994" s="760"/>
      <c r="B4994" s="760"/>
      <c r="C4994" s="760"/>
      <c r="D4994" s="760"/>
      <c r="E4994" s="760"/>
      <c r="F4994" s="760"/>
      <c r="G4994" s="760"/>
      <c r="H4994" s="760"/>
      <c r="I4994" s="760"/>
      <c r="J4994" s="760"/>
      <c r="K4994" s="760"/>
    </row>
    <row r="4995" spans="1:11">
      <c r="A4995" s="760"/>
      <c r="B4995" s="760"/>
      <c r="C4995" s="760"/>
      <c r="D4995" s="760"/>
      <c r="E4995" s="760"/>
      <c r="F4995" s="760"/>
      <c r="G4995" s="760"/>
      <c r="H4995" s="760"/>
      <c r="I4995" s="760"/>
      <c r="J4995" s="760"/>
      <c r="K4995" s="760"/>
    </row>
    <row r="4996" spans="1:11">
      <c r="A4996" s="760"/>
      <c r="B4996" s="760"/>
      <c r="C4996" s="760"/>
      <c r="D4996" s="760"/>
      <c r="E4996" s="760"/>
      <c r="F4996" s="760"/>
      <c r="G4996" s="760"/>
      <c r="H4996" s="760"/>
      <c r="I4996" s="760"/>
      <c r="J4996" s="760"/>
      <c r="K4996" s="760"/>
    </row>
    <row r="4997" spans="1:11">
      <c r="A4997" s="760"/>
      <c r="B4997" s="760"/>
      <c r="C4997" s="760"/>
      <c r="D4997" s="760"/>
      <c r="E4997" s="760"/>
      <c r="F4997" s="760"/>
      <c r="G4997" s="760"/>
      <c r="H4997" s="760"/>
      <c r="I4997" s="760"/>
      <c r="J4997" s="760"/>
      <c r="K4997" s="760"/>
    </row>
    <row r="4998" spans="1:11">
      <c r="A4998" s="760"/>
      <c r="B4998" s="760"/>
      <c r="C4998" s="760"/>
      <c r="D4998" s="760"/>
      <c r="E4998" s="760"/>
      <c r="F4998" s="760"/>
      <c r="G4998" s="760"/>
      <c r="H4998" s="760"/>
      <c r="I4998" s="760"/>
      <c r="J4998" s="760"/>
      <c r="K4998" s="760"/>
    </row>
    <row r="4999" spans="1:11">
      <c r="A4999" s="760"/>
      <c r="B4999" s="760"/>
      <c r="C4999" s="760"/>
      <c r="D4999" s="760"/>
      <c r="E4999" s="760"/>
      <c r="F4999" s="760"/>
      <c r="G4999" s="760"/>
      <c r="H4999" s="760"/>
      <c r="I4999" s="760"/>
      <c r="J4999" s="760"/>
      <c r="K4999" s="760"/>
    </row>
    <row r="5000" spans="1:11">
      <c r="A5000" s="760"/>
      <c r="B5000" s="760"/>
      <c r="C5000" s="760"/>
      <c r="D5000" s="760"/>
      <c r="E5000" s="760"/>
      <c r="F5000" s="760"/>
      <c r="G5000" s="760"/>
      <c r="H5000" s="760"/>
      <c r="I5000" s="760"/>
      <c r="J5000" s="760"/>
      <c r="K5000" s="760"/>
    </row>
    <row r="5001" spans="1:11">
      <c r="A5001" s="760"/>
      <c r="B5001" s="760"/>
      <c r="C5001" s="760"/>
      <c r="D5001" s="760"/>
      <c r="E5001" s="760"/>
      <c r="F5001" s="760"/>
      <c r="G5001" s="760"/>
      <c r="H5001" s="760"/>
      <c r="I5001" s="760"/>
      <c r="J5001" s="760"/>
      <c r="K5001" s="760"/>
    </row>
    <row r="5002" spans="1:11">
      <c r="A5002" s="760"/>
      <c r="B5002" s="760"/>
      <c r="C5002" s="760"/>
      <c r="D5002" s="760"/>
      <c r="E5002" s="760"/>
      <c r="F5002" s="760"/>
      <c r="G5002" s="760"/>
      <c r="H5002" s="760"/>
      <c r="I5002" s="760"/>
      <c r="J5002" s="760"/>
      <c r="K5002" s="760"/>
    </row>
    <row r="5003" spans="1:11">
      <c r="A5003" s="760"/>
      <c r="B5003" s="760"/>
      <c r="C5003" s="760"/>
      <c r="D5003" s="760"/>
      <c r="E5003" s="760"/>
      <c r="F5003" s="760"/>
      <c r="G5003" s="760"/>
      <c r="H5003" s="760"/>
      <c r="I5003" s="760"/>
      <c r="J5003" s="760"/>
      <c r="K5003" s="760"/>
    </row>
    <row r="5004" spans="1:11">
      <c r="A5004" s="760"/>
      <c r="B5004" s="760"/>
      <c r="C5004" s="760"/>
      <c r="D5004" s="760"/>
      <c r="E5004" s="760"/>
      <c r="F5004" s="760"/>
      <c r="G5004" s="760"/>
      <c r="H5004" s="760"/>
      <c r="I5004" s="760"/>
      <c r="J5004" s="760"/>
      <c r="K5004" s="760"/>
    </row>
    <row r="5005" spans="1:11">
      <c r="A5005" s="760"/>
      <c r="B5005" s="760"/>
      <c r="C5005" s="760"/>
      <c r="D5005" s="760"/>
      <c r="E5005" s="760"/>
      <c r="F5005" s="760"/>
      <c r="G5005" s="760"/>
      <c r="H5005" s="760"/>
      <c r="I5005" s="760"/>
      <c r="J5005" s="760"/>
      <c r="K5005" s="760"/>
    </row>
    <row r="5006" spans="1:11">
      <c r="A5006" s="760"/>
      <c r="B5006" s="760"/>
      <c r="C5006" s="760"/>
      <c r="D5006" s="760"/>
      <c r="E5006" s="760"/>
      <c r="F5006" s="760"/>
      <c r="G5006" s="760"/>
      <c r="H5006" s="760"/>
      <c r="I5006" s="760"/>
      <c r="J5006" s="760"/>
      <c r="K5006" s="760"/>
    </row>
    <row r="5007" spans="1:11">
      <c r="A5007" s="760"/>
      <c r="B5007" s="760"/>
      <c r="C5007" s="760"/>
      <c r="D5007" s="760"/>
      <c r="E5007" s="760"/>
      <c r="F5007" s="760"/>
      <c r="G5007" s="760"/>
      <c r="H5007" s="760"/>
      <c r="I5007" s="760"/>
      <c r="J5007" s="760"/>
      <c r="K5007" s="760"/>
    </row>
    <row r="5008" spans="1:11">
      <c r="A5008" s="760"/>
      <c r="B5008" s="760"/>
      <c r="C5008" s="760"/>
      <c r="D5008" s="760"/>
      <c r="E5008" s="760"/>
      <c r="F5008" s="760"/>
      <c r="G5008" s="760"/>
      <c r="H5008" s="760"/>
      <c r="I5008" s="760"/>
      <c r="J5008" s="760"/>
      <c r="K5008" s="760"/>
    </row>
    <row r="5009" spans="1:11">
      <c r="A5009" s="760"/>
      <c r="B5009" s="760"/>
      <c r="C5009" s="760"/>
      <c r="D5009" s="760"/>
      <c r="E5009" s="760"/>
      <c r="F5009" s="760"/>
      <c r="G5009" s="760"/>
      <c r="H5009" s="760"/>
      <c r="I5009" s="760"/>
      <c r="J5009" s="760"/>
      <c r="K5009" s="760"/>
    </row>
    <row r="5010" spans="1:11">
      <c r="A5010" s="760"/>
      <c r="B5010" s="760"/>
      <c r="C5010" s="760"/>
      <c r="D5010" s="760"/>
      <c r="E5010" s="760"/>
      <c r="F5010" s="760"/>
      <c r="G5010" s="760"/>
      <c r="H5010" s="760"/>
      <c r="I5010" s="760"/>
      <c r="J5010" s="760"/>
      <c r="K5010" s="760"/>
    </row>
    <row r="5011" spans="1:11">
      <c r="A5011" s="760"/>
      <c r="B5011" s="760"/>
      <c r="C5011" s="760"/>
      <c r="D5011" s="760"/>
      <c r="E5011" s="760"/>
      <c r="F5011" s="760"/>
      <c r="G5011" s="760"/>
      <c r="H5011" s="760"/>
      <c r="I5011" s="760"/>
      <c r="J5011" s="760"/>
      <c r="K5011" s="760"/>
    </row>
    <row r="5012" spans="1:11">
      <c r="A5012" s="760"/>
      <c r="B5012" s="760"/>
      <c r="C5012" s="760"/>
      <c r="D5012" s="760"/>
      <c r="E5012" s="760"/>
      <c r="F5012" s="760"/>
      <c r="G5012" s="760"/>
      <c r="H5012" s="760"/>
      <c r="I5012" s="760"/>
      <c r="J5012" s="760"/>
      <c r="K5012" s="760"/>
    </row>
    <row r="5013" spans="1:11">
      <c r="A5013" s="760"/>
      <c r="B5013" s="760"/>
      <c r="C5013" s="760"/>
      <c r="D5013" s="760"/>
      <c r="E5013" s="760"/>
      <c r="F5013" s="760"/>
      <c r="G5013" s="760"/>
      <c r="H5013" s="760"/>
      <c r="I5013" s="760"/>
      <c r="J5013" s="760"/>
      <c r="K5013" s="760"/>
    </row>
    <row r="5014" spans="1:11">
      <c r="A5014" s="760"/>
      <c r="B5014" s="760"/>
      <c r="C5014" s="760"/>
      <c r="D5014" s="760"/>
      <c r="E5014" s="760"/>
      <c r="F5014" s="760"/>
      <c r="G5014" s="760"/>
      <c r="H5014" s="760"/>
      <c r="I5014" s="760"/>
      <c r="J5014" s="760"/>
      <c r="K5014" s="760"/>
    </row>
    <row r="5015" spans="1:11">
      <c r="A5015" s="760"/>
      <c r="B5015" s="760"/>
      <c r="C5015" s="760"/>
      <c r="D5015" s="760"/>
      <c r="E5015" s="760"/>
      <c r="F5015" s="760"/>
      <c r="G5015" s="760"/>
      <c r="H5015" s="760"/>
      <c r="I5015" s="760"/>
      <c r="J5015" s="760"/>
      <c r="K5015" s="760"/>
    </row>
    <row r="5016" spans="1:11">
      <c r="A5016" s="760"/>
      <c r="B5016" s="760"/>
      <c r="C5016" s="760"/>
      <c r="D5016" s="760"/>
      <c r="E5016" s="760"/>
      <c r="F5016" s="760"/>
      <c r="G5016" s="760"/>
      <c r="H5016" s="760"/>
      <c r="I5016" s="760"/>
      <c r="J5016" s="760"/>
      <c r="K5016" s="760"/>
    </row>
    <row r="5017" spans="1:11">
      <c r="A5017" s="760"/>
      <c r="B5017" s="760"/>
      <c r="C5017" s="760"/>
      <c r="D5017" s="760"/>
      <c r="E5017" s="760"/>
      <c r="F5017" s="760"/>
      <c r="G5017" s="760"/>
      <c r="H5017" s="760"/>
      <c r="I5017" s="760"/>
      <c r="J5017" s="760"/>
      <c r="K5017" s="760"/>
    </row>
    <row r="5018" spans="1:11">
      <c r="A5018" s="760"/>
      <c r="B5018" s="760"/>
      <c r="C5018" s="760"/>
      <c r="D5018" s="760"/>
      <c r="E5018" s="760"/>
      <c r="F5018" s="760"/>
      <c r="G5018" s="760"/>
      <c r="H5018" s="760"/>
      <c r="I5018" s="760"/>
      <c r="J5018" s="760"/>
      <c r="K5018" s="760"/>
    </row>
    <row r="5019" spans="1:11">
      <c r="A5019" s="760"/>
      <c r="B5019" s="760"/>
      <c r="C5019" s="760"/>
      <c r="D5019" s="760"/>
      <c r="E5019" s="760"/>
      <c r="F5019" s="760"/>
      <c r="G5019" s="760"/>
      <c r="H5019" s="760"/>
      <c r="I5019" s="760"/>
      <c r="J5019" s="760"/>
      <c r="K5019" s="760"/>
    </row>
    <row r="5020" spans="1:11">
      <c r="A5020" s="760"/>
      <c r="B5020" s="760"/>
      <c r="C5020" s="760"/>
      <c r="D5020" s="760"/>
      <c r="E5020" s="760"/>
      <c r="F5020" s="760"/>
      <c r="G5020" s="760"/>
      <c r="H5020" s="760"/>
      <c r="I5020" s="760"/>
      <c r="J5020" s="760"/>
      <c r="K5020" s="760"/>
    </row>
    <row r="5021" spans="1:11">
      <c r="A5021" s="760"/>
      <c r="B5021" s="760"/>
      <c r="C5021" s="760"/>
      <c r="D5021" s="760"/>
      <c r="E5021" s="760"/>
      <c r="F5021" s="760"/>
      <c r="G5021" s="760"/>
      <c r="H5021" s="760"/>
      <c r="I5021" s="760"/>
      <c r="J5021" s="760"/>
      <c r="K5021" s="760"/>
    </row>
    <row r="5022" spans="1:11">
      <c r="A5022" s="760"/>
      <c r="B5022" s="760"/>
      <c r="C5022" s="760"/>
      <c r="D5022" s="760"/>
      <c r="E5022" s="760"/>
      <c r="F5022" s="760"/>
      <c r="G5022" s="760"/>
      <c r="H5022" s="760"/>
      <c r="I5022" s="760"/>
      <c r="J5022" s="760"/>
      <c r="K5022" s="760"/>
    </row>
    <row r="5023" spans="1:11">
      <c r="A5023" s="760"/>
      <c r="B5023" s="760"/>
      <c r="C5023" s="760"/>
      <c r="D5023" s="760"/>
      <c r="E5023" s="760"/>
      <c r="F5023" s="760"/>
      <c r="G5023" s="760"/>
      <c r="H5023" s="760"/>
      <c r="I5023" s="760"/>
      <c r="J5023" s="760"/>
      <c r="K5023" s="760"/>
    </row>
    <row r="5024" spans="1:11">
      <c r="A5024" s="760"/>
      <c r="B5024" s="760"/>
      <c r="C5024" s="760"/>
      <c r="D5024" s="760"/>
      <c r="E5024" s="760"/>
      <c r="F5024" s="760"/>
      <c r="G5024" s="760"/>
      <c r="H5024" s="760"/>
      <c r="I5024" s="760"/>
      <c r="J5024" s="760"/>
      <c r="K5024" s="760"/>
    </row>
    <row r="5025" spans="1:11">
      <c r="A5025" s="760"/>
      <c r="B5025" s="760"/>
      <c r="C5025" s="760"/>
      <c r="D5025" s="760"/>
      <c r="E5025" s="760"/>
      <c r="F5025" s="760"/>
      <c r="G5025" s="760"/>
      <c r="H5025" s="760"/>
      <c r="I5025" s="760"/>
      <c r="J5025" s="760"/>
      <c r="K5025" s="760"/>
    </row>
    <row r="5026" spans="1:11">
      <c r="A5026" s="760"/>
      <c r="B5026" s="760"/>
      <c r="C5026" s="760"/>
      <c r="D5026" s="760"/>
      <c r="E5026" s="760"/>
      <c r="F5026" s="760"/>
      <c r="G5026" s="760"/>
      <c r="H5026" s="760"/>
      <c r="I5026" s="760"/>
      <c r="J5026" s="760"/>
      <c r="K5026" s="760"/>
    </row>
    <row r="5027" spans="1:11">
      <c r="A5027" s="760"/>
      <c r="B5027" s="760"/>
      <c r="C5027" s="760"/>
      <c r="D5027" s="760"/>
      <c r="E5027" s="760"/>
      <c r="F5027" s="760"/>
      <c r="G5027" s="760"/>
      <c r="H5027" s="760"/>
      <c r="I5027" s="760"/>
      <c r="J5027" s="760"/>
      <c r="K5027" s="760"/>
    </row>
    <row r="5028" spans="1:11">
      <c r="A5028" s="760"/>
      <c r="B5028" s="760"/>
      <c r="C5028" s="760"/>
      <c r="D5028" s="760"/>
      <c r="E5028" s="760"/>
      <c r="F5028" s="760"/>
      <c r="G5028" s="760"/>
      <c r="H5028" s="760"/>
      <c r="I5028" s="760"/>
      <c r="J5028" s="760"/>
      <c r="K5028" s="760"/>
    </row>
    <row r="5029" spans="1:11">
      <c r="A5029" s="760"/>
      <c r="B5029" s="760"/>
      <c r="C5029" s="760"/>
      <c r="D5029" s="760"/>
      <c r="E5029" s="760"/>
      <c r="F5029" s="760"/>
      <c r="G5029" s="760"/>
      <c r="H5029" s="760"/>
      <c r="I5029" s="760"/>
      <c r="J5029" s="760"/>
      <c r="K5029" s="760"/>
    </row>
    <row r="5030" spans="1:11">
      <c r="A5030" s="760"/>
      <c r="B5030" s="760"/>
      <c r="C5030" s="760"/>
      <c r="D5030" s="760"/>
      <c r="E5030" s="760"/>
      <c r="F5030" s="760"/>
      <c r="G5030" s="760"/>
      <c r="H5030" s="760"/>
      <c r="I5030" s="760"/>
      <c r="J5030" s="760"/>
      <c r="K5030" s="760"/>
    </row>
    <row r="5031" spans="1:11">
      <c r="A5031" s="760"/>
      <c r="B5031" s="760"/>
      <c r="C5031" s="760"/>
      <c r="D5031" s="760"/>
      <c r="E5031" s="760"/>
      <c r="F5031" s="760"/>
      <c r="G5031" s="760"/>
      <c r="H5031" s="760"/>
      <c r="I5031" s="760"/>
      <c r="J5031" s="760"/>
      <c r="K5031" s="760"/>
    </row>
    <row r="5032" spans="1:11">
      <c r="A5032" s="760"/>
      <c r="B5032" s="760"/>
      <c r="C5032" s="760"/>
      <c r="D5032" s="760"/>
      <c r="E5032" s="760"/>
      <c r="F5032" s="760"/>
      <c r="G5032" s="760"/>
      <c r="H5032" s="760"/>
      <c r="I5032" s="760"/>
      <c r="J5032" s="760"/>
      <c r="K5032" s="760"/>
    </row>
    <row r="5033" spans="1:11">
      <c r="A5033" s="760"/>
      <c r="B5033" s="760"/>
      <c r="C5033" s="760"/>
      <c r="D5033" s="760"/>
      <c r="E5033" s="760"/>
      <c r="F5033" s="760"/>
      <c r="G5033" s="760"/>
      <c r="H5033" s="760"/>
      <c r="I5033" s="760"/>
      <c r="J5033" s="760"/>
      <c r="K5033" s="760"/>
    </row>
    <row r="5034" spans="1:11">
      <c r="A5034" s="760"/>
      <c r="B5034" s="760"/>
      <c r="C5034" s="760"/>
      <c r="D5034" s="760"/>
      <c r="E5034" s="760"/>
      <c r="F5034" s="760"/>
      <c r="G5034" s="760"/>
      <c r="H5034" s="760"/>
      <c r="I5034" s="760"/>
      <c r="J5034" s="760"/>
      <c r="K5034" s="760"/>
    </row>
    <row r="5035" spans="1:11">
      <c r="A5035" s="760"/>
      <c r="B5035" s="760"/>
      <c r="C5035" s="760"/>
      <c r="D5035" s="760"/>
      <c r="E5035" s="760"/>
      <c r="F5035" s="760"/>
      <c r="G5035" s="760"/>
      <c r="H5035" s="760"/>
      <c r="I5035" s="760"/>
      <c r="J5035" s="760"/>
      <c r="K5035" s="760"/>
    </row>
    <row r="5036" spans="1:11">
      <c r="A5036" s="760"/>
      <c r="B5036" s="760"/>
      <c r="C5036" s="760"/>
      <c r="D5036" s="760"/>
      <c r="E5036" s="760"/>
      <c r="F5036" s="760"/>
      <c r="G5036" s="760"/>
      <c r="H5036" s="760"/>
      <c r="I5036" s="760"/>
      <c r="J5036" s="760"/>
      <c r="K5036" s="760"/>
    </row>
    <row r="5037" spans="1:11">
      <c r="A5037" s="760"/>
      <c r="B5037" s="760"/>
      <c r="C5037" s="760"/>
      <c r="D5037" s="760"/>
      <c r="E5037" s="760"/>
      <c r="F5037" s="760"/>
      <c r="G5037" s="760"/>
      <c r="H5037" s="760"/>
      <c r="I5037" s="760"/>
      <c r="J5037" s="760"/>
      <c r="K5037" s="760"/>
    </row>
    <row r="5038" spans="1:11">
      <c r="A5038" s="760"/>
      <c r="B5038" s="760"/>
      <c r="C5038" s="760"/>
      <c r="D5038" s="760"/>
      <c r="E5038" s="760"/>
      <c r="F5038" s="760"/>
      <c r="G5038" s="760"/>
      <c r="H5038" s="760"/>
      <c r="I5038" s="760"/>
      <c r="J5038" s="760"/>
      <c r="K5038" s="760"/>
    </row>
    <row r="5039" spans="1:11">
      <c r="A5039" s="760"/>
      <c r="B5039" s="760"/>
      <c r="C5039" s="760"/>
      <c r="D5039" s="760"/>
      <c r="E5039" s="760"/>
      <c r="F5039" s="760"/>
      <c r="G5039" s="760"/>
      <c r="H5039" s="760"/>
      <c r="I5039" s="760"/>
      <c r="J5039" s="760"/>
      <c r="K5039" s="760"/>
    </row>
    <row r="5040" spans="1:11">
      <c r="A5040" s="760"/>
      <c r="B5040" s="760"/>
      <c r="C5040" s="760"/>
      <c r="D5040" s="760"/>
      <c r="E5040" s="760"/>
      <c r="F5040" s="760"/>
      <c r="G5040" s="760"/>
      <c r="H5040" s="760"/>
      <c r="I5040" s="760"/>
      <c r="J5040" s="760"/>
      <c r="K5040" s="760"/>
    </row>
    <row r="5041" spans="1:11">
      <c r="A5041" s="760"/>
      <c r="B5041" s="760"/>
      <c r="C5041" s="760"/>
      <c r="D5041" s="760"/>
      <c r="E5041" s="760"/>
      <c r="F5041" s="760"/>
      <c r="G5041" s="760"/>
      <c r="H5041" s="760"/>
      <c r="I5041" s="760"/>
      <c r="J5041" s="760"/>
      <c r="K5041" s="760"/>
    </row>
    <row r="5042" spans="1:11">
      <c r="A5042" s="760"/>
      <c r="B5042" s="760"/>
      <c r="C5042" s="760"/>
      <c r="D5042" s="760"/>
      <c r="E5042" s="760"/>
      <c r="F5042" s="760"/>
      <c r="G5042" s="760"/>
      <c r="H5042" s="760"/>
      <c r="I5042" s="760"/>
      <c r="J5042" s="760"/>
      <c r="K5042" s="760"/>
    </row>
    <row r="5043" spans="1:11">
      <c r="A5043" s="760"/>
      <c r="B5043" s="760"/>
      <c r="C5043" s="760"/>
      <c r="D5043" s="760"/>
      <c r="E5043" s="760"/>
      <c r="F5043" s="760"/>
      <c r="G5043" s="760"/>
      <c r="H5043" s="760"/>
      <c r="I5043" s="760"/>
      <c r="J5043" s="760"/>
      <c r="K5043" s="760"/>
    </row>
    <row r="5044" spans="1:11">
      <c r="A5044" s="760"/>
      <c r="B5044" s="760"/>
      <c r="C5044" s="760"/>
      <c r="D5044" s="760"/>
      <c r="E5044" s="760"/>
      <c r="F5044" s="760"/>
      <c r="G5044" s="760"/>
      <c r="H5044" s="760"/>
      <c r="I5044" s="760"/>
      <c r="J5044" s="760"/>
      <c r="K5044" s="760"/>
    </row>
    <row r="5045" spans="1:11">
      <c r="A5045" s="760"/>
      <c r="B5045" s="760"/>
      <c r="C5045" s="760"/>
      <c r="D5045" s="760"/>
      <c r="E5045" s="760"/>
      <c r="F5045" s="760"/>
      <c r="G5045" s="760"/>
      <c r="H5045" s="760"/>
      <c r="I5045" s="760"/>
      <c r="J5045" s="760"/>
      <c r="K5045" s="760"/>
    </row>
    <row r="5046" spans="1:11">
      <c r="A5046" s="760"/>
      <c r="B5046" s="760"/>
      <c r="C5046" s="760"/>
      <c r="D5046" s="760"/>
      <c r="E5046" s="760"/>
      <c r="F5046" s="760"/>
      <c r="G5046" s="760"/>
      <c r="H5046" s="760"/>
      <c r="I5046" s="760"/>
      <c r="J5046" s="760"/>
      <c r="K5046" s="760"/>
    </row>
    <row r="5047" spans="1:11">
      <c r="A5047" s="760"/>
      <c r="B5047" s="760"/>
      <c r="C5047" s="760"/>
      <c r="D5047" s="760"/>
      <c r="E5047" s="760"/>
      <c r="F5047" s="760"/>
      <c r="G5047" s="760"/>
      <c r="H5047" s="760"/>
      <c r="I5047" s="760"/>
      <c r="J5047" s="760"/>
      <c r="K5047" s="760"/>
    </row>
    <row r="5048" spans="1:11">
      <c r="A5048" s="760"/>
      <c r="B5048" s="760"/>
      <c r="C5048" s="760"/>
      <c r="D5048" s="760"/>
      <c r="E5048" s="760"/>
      <c r="F5048" s="760"/>
      <c r="G5048" s="760"/>
      <c r="H5048" s="760"/>
      <c r="I5048" s="760"/>
      <c r="J5048" s="760"/>
      <c r="K5048" s="760"/>
    </row>
    <row r="5049" spans="1:11">
      <c r="A5049" s="760"/>
      <c r="B5049" s="760"/>
      <c r="C5049" s="760"/>
      <c r="D5049" s="760"/>
      <c r="E5049" s="760"/>
      <c r="F5049" s="760"/>
      <c r="G5049" s="760"/>
      <c r="H5049" s="760"/>
      <c r="I5049" s="760"/>
      <c r="J5049" s="760"/>
      <c r="K5049" s="760"/>
    </row>
    <row r="5050" spans="1:11">
      <c r="A5050" s="760"/>
      <c r="B5050" s="760"/>
      <c r="C5050" s="760"/>
      <c r="D5050" s="760"/>
      <c r="E5050" s="760"/>
      <c r="F5050" s="760"/>
      <c r="G5050" s="760"/>
      <c r="H5050" s="760"/>
      <c r="I5050" s="760"/>
      <c r="J5050" s="760"/>
      <c r="K5050" s="760"/>
    </row>
    <row r="5051" spans="1:11">
      <c r="A5051" s="760"/>
      <c r="B5051" s="760"/>
      <c r="C5051" s="760"/>
      <c r="D5051" s="760"/>
      <c r="E5051" s="760"/>
      <c r="F5051" s="760"/>
      <c r="G5051" s="760"/>
      <c r="H5051" s="760"/>
      <c r="I5051" s="760"/>
      <c r="J5051" s="760"/>
      <c r="K5051" s="760"/>
    </row>
    <row r="5052" spans="1:11">
      <c r="A5052" s="760"/>
      <c r="B5052" s="760"/>
      <c r="C5052" s="760"/>
      <c r="D5052" s="760"/>
      <c r="E5052" s="760"/>
      <c r="F5052" s="760"/>
      <c r="G5052" s="760"/>
      <c r="H5052" s="760"/>
      <c r="I5052" s="760"/>
      <c r="J5052" s="760"/>
      <c r="K5052" s="760"/>
    </row>
    <row r="5053" spans="1:11">
      <c r="A5053" s="760"/>
      <c r="B5053" s="760"/>
      <c r="C5053" s="760"/>
      <c r="D5053" s="760"/>
      <c r="E5053" s="760"/>
      <c r="F5053" s="760"/>
      <c r="G5053" s="760"/>
      <c r="H5053" s="760"/>
      <c r="I5053" s="760"/>
      <c r="J5053" s="760"/>
      <c r="K5053" s="760"/>
    </row>
    <row r="5054" spans="1:11">
      <c r="A5054" s="760"/>
      <c r="B5054" s="760"/>
      <c r="C5054" s="760"/>
      <c r="D5054" s="760"/>
      <c r="E5054" s="760"/>
      <c r="F5054" s="760"/>
      <c r="G5054" s="760"/>
      <c r="H5054" s="760"/>
      <c r="I5054" s="760"/>
      <c r="J5054" s="760"/>
      <c r="K5054" s="760"/>
    </row>
    <row r="5055" spans="1:11">
      <c r="A5055" s="760"/>
      <c r="B5055" s="760"/>
      <c r="C5055" s="760"/>
      <c r="D5055" s="760"/>
      <c r="E5055" s="760"/>
      <c r="F5055" s="760"/>
      <c r="G5055" s="760"/>
      <c r="H5055" s="760"/>
      <c r="I5055" s="760"/>
      <c r="J5055" s="760"/>
      <c r="K5055" s="760"/>
    </row>
    <row r="5056" spans="1:11">
      <c r="A5056" s="760"/>
      <c r="B5056" s="760"/>
      <c r="C5056" s="760"/>
      <c r="D5056" s="760"/>
      <c r="E5056" s="760"/>
      <c r="F5056" s="760"/>
      <c r="G5056" s="760"/>
      <c r="H5056" s="760"/>
      <c r="I5056" s="760"/>
      <c r="J5056" s="760"/>
      <c r="K5056" s="760"/>
    </row>
    <row r="5057" spans="1:11">
      <c r="A5057" s="760"/>
      <c r="B5057" s="760"/>
      <c r="C5057" s="760"/>
      <c r="D5057" s="760"/>
      <c r="E5057" s="760"/>
      <c r="F5057" s="760"/>
      <c r="G5057" s="760"/>
      <c r="H5057" s="760"/>
      <c r="I5057" s="760"/>
      <c r="J5057" s="760"/>
      <c r="K5057" s="760"/>
    </row>
    <row r="5058" spans="1:11">
      <c r="A5058" s="760"/>
      <c r="B5058" s="760"/>
      <c r="C5058" s="760"/>
      <c r="D5058" s="760"/>
      <c r="E5058" s="760"/>
      <c r="F5058" s="760"/>
      <c r="G5058" s="760"/>
      <c r="H5058" s="760"/>
      <c r="I5058" s="760"/>
      <c r="J5058" s="760"/>
      <c r="K5058" s="760"/>
    </row>
    <row r="5059" spans="1:11">
      <c r="A5059" s="760"/>
      <c r="B5059" s="760"/>
      <c r="C5059" s="760"/>
      <c r="D5059" s="760"/>
      <c r="E5059" s="760"/>
      <c r="F5059" s="760"/>
      <c r="G5059" s="760"/>
      <c r="H5059" s="760"/>
      <c r="I5059" s="760"/>
      <c r="J5059" s="760"/>
      <c r="K5059" s="760"/>
    </row>
    <row r="5060" spans="1:11">
      <c r="A5060" s="760"/>
      <c r="B5060" s="760"/>
      <c r="C5060" s="760"/>
      <c r="D5060" s="760"/>
      <c r="E5060" s="760"/>
      <c r="F5060" s="760"/>
      <c r="G5060" s="760"/>
      <c r="H5060" s="760"/>
      <c r="I5060" s="760"/>
      <c r="J5060" s="760"/>
      <c r="K5060" s="760"/>
    </row>
    <row r="5061" spans="1:11">
      <c r="A5061" s="760"/>
      <c r="B5061" s="760"/>
      <c r="C5061" s="760"/>
      <c r="D5061" s="760"/>
      <c r="E5061" s="760"/>
      <c r="F5061" s="760"/>
      <c r="G5061" s="760"/>
      <c r="H5061" s="760"/>
      <c r="I5061" s="760"/>
      <c r="J5061" s="760"/>
      <c r="K5061" s="760"/>
    </row>
    <row r="5062" spans="1:11">
      <c r="A5062" s="760"/>
      <c r="B5062" s="760"/>
      <c r="C5062" s="760"/>
      <c r="D5062" s="760"/>
      <c r="E5062" s="760"/>
      <c r="F5062" s="760"/>
      <c r="G5062" s="760"/>
      <c r="H5062" s="760"/>
      <c r="I5062" s="760"/>
      <c r="J5062" s="760"/>
      <c r="K5062" s="760"/>
    </row>
    <row r="5063" spans="1:11">
      <c r="A5063" s="760"/>
      <c r="B5063" s="760"/>
      <c r="C5063" s="760"/>
      <c r="D5063" s="760"/>
      <c r="E5063" s="760"/>
      <c r="F5063" s="760"/>
      <c r="G5063" s="760"/>
      <c r="H5063" s="760"/>
      <c r="I5063" s="760"/>
      <c r="J5063" s="760"/>
      <c r="K5063" s="760"/>
    </row>
    <row r="5064" spans="1:11">
      <c r="A5064" s="760"/>
      <c r="B5064" s="760"/>
      <c r="C5064" s="760"/>
      <c r="D5064" s="760"/>
      <c r="E5064" s="760"/>
      <c r="F5064" s="760"/>
      <c r="G5064" s="760"/>
      <c r="H5064" s="760"/>
      <c r="I5064" s="760"/>
      <c r="J5064" s="760"/>
      <c r="K5064" s="760"/>
    </row>
    <row r="5065" spans="1:11">
      <c r="A5065" s="760"/>
      <c r="B5065" s="760"/>
      <c r="C5065" s="760"/>
      <c r="D5065" s="760"/>
      <c r="E5065" s="760"/>
      <c r="F5065" s="760"/>
      <c r="G5065" s="760"/>
      <c r="H5065" s="760"/>
      <c r="I5065" s="760"/>
      <c r="J5065" s="760"/>
      <c r="K5065" s="760"/>
    </row>
    <row r="5066" spans="1:11">
      <c r="A5066" s="760"/>
      <c r="B5066" s="760"/>
      <c r="C5066" s="760"/>
      <c r="D5066" s="760"/>
      <c r="E5066" s="760"/>
      <c r="F5066" s="760"/>
      <c r="G5066" s="760"/>
      <c r="H5066" s="760"/>
      <c r="I5066" s="760"/>
      <c r="J5066" s="760"/>
      <c r="K5066" s="760"/>
    </row>
    <row r="5067" spans="1:11">
      <c r="A5067" s="760"/>
      <c r="B5067" s="760"/>
      <c r="C5067" s="760"/>
      <c r="D5067" s="760"/>
      <c r="E5067" s="760"/>
      <c r="F5067" s="760"/>
      <c r="G5067" s="760"/>
      <c r="H5067" s="760"/>
      <c r="I5067" s="760"/>
      <c r="J5067" s="760"/>
      <c r="K5067" s="760"/>
    </row>
    <row r="5068" spans="1:11">
      <c r="A5068" s="760"/>
      <c r="B5068" s="760"/>
      <c r="C5068" s="760"/>
      <c r="D5068" s="760"/>
      <c r="E5068" s="760"/>
      <c r="F5068" s="760"/>
      <c r="G5068" s="760"/>
      <c r="H5068" s="760"/>
      <c r="I5068" s="760"/>
      <c r="J5068" s="760"/>
      <c r="K5068" s="760"/>
    </row>
    <row r="5069" spans="1:11">
      <c r="A5069" s="760"/>
      <c r="B5069" s="760"/>
      <c r="C5069" s="760"/>
      <c r="D5069" s="760"/>
      <c r="E5069" s="760"/>
      <c r="F5069" s="760"/>
      <c r="G5069" s="760"/>
      <c r="H5069" s="760"/>
      <c r="I5069" s="760"/>
      <c r="J5069" s="760"/>
      <c r="K5069" s="760"/>
    </row>
    <row r="5070" spans="1:11">
      <c r="A5070" s="760"/>
      <c r="B5070" s="760"/>
      <c r="C5070" s="760"/>
      <c r="D5070" s="760"/>
      <c r="E5070" s="760"/>
      <c r="F5070" s="760"/>
      <c r="G5070" s="760"/>
      <c r="H5070" s="760"/>
      <c r="I5070" s="760"/>
      <c r="J5070" s="760"/>
      <c r="K5070" s="760"/>
    </row>
    <row r="5071" spans="1:11">
      <c r="A5071" s="760"/>
      <c r="B5071" s="760"/>
      <c r="C5071" s="760"/>
      <c r="D5071" s="760"/>
      <c r="E5071" s="760"/>
      <c r="F5071" s="760"/>
      <c r="G5071" s="760"/>
      <c r="H5071" s="760"/>
      <c r="I5071" s="760"/>
      <c r="J5071" s="760"/>
      <c r="K5071" s="760"/>
    </row>
    <row r="5072" spans="1:11">
      <c r="A5072" s="760"/>
      <c r="B5072" s="760"/>
      <c r="C5072" s="760"/>
      <c r="D5072" s="760"/>
      <c r="E5072" s="760"/>
      <c r="F5072" s="760"/>
      <c r="G5072" s="760"/>
      <c r="H5072" s="760"/>
      <c r="I5072" s="760"/>
      <c r="J5072" s="760"/>
      <c r="K5072" s="760"/>
    </row>
    <row r="5073" spans="1:11">
      <c r="A5073" s="760"/>
      <c r="B5073" s="760"/>
      <c r="C5073" s="760"/>
      <c r="D5073" s="760"/>
      <c r="E5073" s="760"/>
      <c r="F5073" s="760"/>
      <c r="G5073" s="760"/>
      <c r="H5073" s="760"/>
      <c r="I5073" s="760"/>
      <c r="J5073" s="760"/>
      <c r="K5073" s="760"/>
    </row>
    <row r="5074" spans="1:11">
      <c r="A5074" s="760"/>
      <c r="B5074" s="760"/>
      <c r="C5074" s="760"/>
      <c r="D5074" s="760"/>
      <c r="E5074" s="760"/>
      <c r="F5074" s="760"/>
      <c r="G5074" s="760"/>
      <c r="H5074" s="760"/>
      <c r="I5074" s="760"/>
      <c r="J5074" s="760"/>
      <c r="K5074" s="760"/>
    </row>
    <row r="5075" spans="1:11">
      <c r="A5075" s="760"/>
      <c r="B5075" s="760"/>
      <c r="C5075" s="760"/>
      <c r="D5075" s="760"/>
      <c r="E5075" s="760"/>
      <c r="F5075" s="760"/>
      <c r="G5075" s="760"/>
      <c r="H5075" s="760"/>
      <c r="I5075" s="760"/>
      <c r="J5075" s="760"/>
      <c r="K5075" s="760"/>
    </row>
    <row r="5076" spans="1:11">
      <c r="A5076" s="760"/>
      <c r="B5076" s="760"/>
      <c r="C5076" s="760"/>
      <c r="D5076" s="760"/>
      <c r="E5076" s="760"/>
      <c r="F5076" s="760"/>
      <c r="G5076" s="760"/>
      <c r="H5076" s="760"/>
      <c r="I5076" s="760"/>
      <c r="J5076" s="760"/>
      <c r="K5076" s="760"/>
    </row>
    <row r="5077" spans="1:11">
      <c r="A5077" s="760"/>
      <c r="B5077" s="760"/>
      <c r="C5077" s="760"/>
      <c r="D5077" s="760"/>
      <c r="E5077" s="760"/>
      <c r="F5077" s="760"/>
      <c r="G5077" s="760"/>
      <c r="H5077" s="760"/>
      <c r="I5077" s="760"/>
      <c r="J5077" s="760"/>
      <c r="K5077" s="760"/>
    </row>
    <row r="5078" spans="1:11">
      <c r="A5078" s="760"/>
      <c r="B5078" s="760"/>
      <c r="C5078" s="760"/>
      <c r="D5078" s="760"/>
      <c r="E5078" s="760"/>
      <c r="F5078" s="760"/>
      <c r="G5078" s="760"/>
      <c r="H5078" s="760"/>
      <c r="I5078" s="760"/>
      <c r="J5078" s="760"/>
      <c r="K5078" s="760"/>
    </row>
    <row r="5079" spans="1:11">
      <c r="A5079" s="760"/>
      <c r="B5079" s="760"/>
      <c r="C5079" s="760"/>
      <c r="D5079" s="760"/>
      <c r="E5079" s="760"/>
      <c r="F5079" s="760"/>
      <c r="G5079" s="760"/>
      <c r="H5079" s="760"/>
      <c r="I5079" s="760"/>
      <c r="J5079" s="760"/>
      <c r="K5079" s="760"/>
    </row>
    <row r="5080" spans="1:11">
      <c r="A5080" s="760"/>
      <c r="B5080" s="760"/>
      <c r="C5080" s="760"/>
      <c r="D5080" s="760"/>
      <c r="E5080" s="760"/>
      <c r="F5080" s="760"/>
      <c r="G5080" s="760"/>
      <c r="H5080" s="760"/>
      <c r="I5080" s="760"/>
      <c r="J5080" s="760"/>
      <c r="K5080" s="760"/>
    </row>
    <row r="5081" spans="1:11">
      <c r="A5081" s="760"/>
      <c r="B5081" s="760"/>
      <c r="C5081" s="760"/>
      <c r="D5081" s="760"/>
      <c r="E5081" s="760"/>
      <c r="F5081" s="760"/>
      <c r="G5081" s="760"/>
      <c r="H5081" s="760"/>
      <c r="I5081" s="760"/>
      <c r="J5081" s="760"/>
      <c r="K5081" s="760"/>
    </row>
    <row r="5082" spans="1:11">
      <c r="A5082" s="760"/>
      <c r="B5082" s="760"/>
      <c r="C5082" s="760"/>
      <c r="D5082" s="760"/>
      <c r="E5082" s="760"/>
      <c r="F5082" s="760"/>
      <c r="G5082" s="760"/>
      <c r="H5082" s="760"/>
      <c r="I5082" s="760"/>
      <c r="J5082" s="760"/>
      <c r="K5082" s="760"/>
    </row>
    <row r="5083" spans="1:11">
      <c r="A5083" s="760"/>
      <c r="B5083" s="760"/>
      <c r="C5083" s="760"/>
      <c r="D5083" s="760"/>
      <c r="E5083" s="760"/>
      <c r="F5083" s="760"/>
      <c r="G5083" s="760"/>
      <c r="H5083" s="760"/>
      <c r="I5083" s="760"/>
      <c r="J5083" s="760"/>
      <c r="K5083" s="760"/>
    </row>
    <row r="5084" spans="1:11">
      <c r="A5084" s="760"/>
      <c r="B5084" s="760"/>
      <c r="C5084" s="760"/>
      <c r="D5084" s="760"/>
      <c r="E5084" s="760"/>
      <c r="F5084" s="760"/>
      <c r="G5084" s="760"/>
      <c r="H5084" s="760"/>
      <c r="I5084" s="760"/>
      <c r="J5084" s="760"/>
      <c r="K5084" s="760"/>
    </row>
    <row r="5085" spans="1:11">
      <c r="A5085" s="760"/>
      <c r="B5085" s="760"/>
      <c r="C5085" s="760"/>
      <c r="D5085" s="760"/>
      <c r="E5085" s="760"/>
      <c r="F5085" s="760"/>
      <c r="G5085" s="760"/>
      <c r="H5085" s="760"/>
      <c r="I5085" s="760"/>
      <c r="J5085" s="760"/>
      <c r="K5085" s="760"/>
    </row>
    <row r="5086" spans="1:11">
      <c r="A5086" s="760"/>
      <c r="B5086" s="760"/>
      <c r="C5086" s="760"/>
      <c r="D5086" s="760"/>
      <c r="E5086" s="760"/>
      <c r="F5086" s="760"/>
      <c r="G5086" s="760"/>
      <c r="H5086" s="760"/>
      <c r="I5086" s="760"/>
      <c r="J5086" s="760"/>
      <c r="K5086" s="760"/>
    </row>
    <row r="5087" spans="1:11">
      <c r="A5087" s="760"/>
      <c r="B5087" s="760"/>
      <c r="C5087" s="760"/>
      <c r="D5087" s="760"/>
      <c r="E5087" s="760"/>
      <c r="F5087" s="760"/>
      <c r="G5087" s="760"/>
      <c r="H5087" s="760"/>
      <c r="I5087" s="760"/>
      <c r="J5087" s="760"/>
      <c r="K5087" s="760"/>
    </row>
    <row r="5088" spans="1:11">
      <c r="A5088" s="760"/>
      <c r="B5088" s="760"/>
      <c r="C5088" s="760"/>
      <c r="D5088" s="760"/>
      <c r="E5088" s="760"/>
      <c r="F5088" s="760"/>
      <c r="G5088" s="760"/>
      <c r="H5088" s="760"/>
      <c r="I5088" s="760"/>
      <c r="J5088" s="760"/>
      <c r="K5088" s="760"/>
    </row>
    <row r="5089" spans="1:11">
      <c r="A5089" s="760"/>
      <c r="B5089" s="760"/>
      <c r="C5089" s="760"/>
      <c r="D5089" s="760"/>
      <c r="E5089" s="760"/>
      <c r="F5089" s="760"/>
      <c r="G5089" s="760"/>
      <c r="H5089" s="760"/>
      <c r="I5089" s="760"/>
      <c r="J5089" s="760"/>
      <c r="K5089" s="760"/>
    </row>
    <row r="5090" spans="1:11">
      <c r="A5090" s="760"/>
      <c r="B5090" s="760"/>
      <c r="C5090" s="760"/>
      <c r="D5090" s="760"/>
      <c r="E5090" s="760"/>
      <c r="F5090" s="760"/>
      <c r="G5090" s="760"/>
      <c r="H5090" s="760"/>
      <c r="I5090" s="760"/>
      <c r="J5090" s="760"/>
      <c r="K5090" s="760"/>
    </row>
    <row r="5091" spans="1:11">
      <c r="A5091" s="760"/>
      <c r="B5091" s="760"/>
      <c r="C5091" s="760"/>
      <c r="D5091" s="760"/>
      <c r="E5091" s="760"/>
      <c r="F5091" s="760"/>
      <c r="G5091" s="760"/>
      <c r="H5091" s="760"/>
      <c r="I5091" s="760"/>
      <c r="J5091" s="760"/>
      <c r="K5091" s="760"/>
    </row>
    <row r="5092" spans="1:11">
      <c r="A5092" s="760"/>
      <c r="B5092" s="760"/>
      <c r="C5092" s="760"/>
      <c r="D5092" s="760"/>
      <c r="E5092" s="760"/>
      <c r="F5092" s="760"/>
      <c r="G5092" s="760"/>
      <c r="H5092" s="760"/>
      <c r="I5092" s="760"/>
      <c r="J5092" s="760"/>
      <c r="K5092" s="760"/>
    </row>
    <row r="5093" spans="1:11">
      <c r="A5093" s="760"/>
      <c r="B5093" s="760"/>
      <c r="C5093" s="760"/>
      <c r="D5093" s="760"/>
      <c r="E5093" s="760"/>
      <c r="F5093" s="760"/>
      <c r="G5093" s="760"/>
      <c r="H5093" s="760"/>
      <c r="I5093" s="760"/>
      <c r="J5093" s="760"/>
      <c r="K5093" s="760"/>
    </row>
    <row r="5094" spans="1:11">
      <c r="A5094" s="760"/>
      <c r="B5094" s="760"/>
      <c r="C5094" s="760"/>
      <c r="D5094" s="760"/>
      <c r="E5094" s="760"/>
      <c r="F5094" s="760"/>
      <c r="G5094" s="760"/>
      <c r="H5094" s="760"/>
      <c r="I5094" s="760"/>
      <c r="J5094" s="760"/>
      <c r="K5094" s="760"/>
    </row>
    <row r="5095" spans="1:11">
      <c r="A5095" s="760"/>
      <c r="B5095" s="760"/>
      <c r="C5095" s="760"/>
      <c r="D5095" s="760"/>
      <c r="E5095" s="760"/>
      <c r="F5095" s="760"/>
      <c r="G5095" s="760"/>
      <c r="H5095" s="760"/>
      <c r="I5095" s="760"/>
      <c r="J5095" s="760"/>
      <c r="K5095" s="760"/>
    </row>
    <row r="5096" spans="1:11">
      <c r="A5096" s="760"/>
      <c r="B5096" s="760"/>
      <c r="C5096" s="760"/>
      <c r="D5096" s="760"/>
      <c r="E5096" s="760"/>
      <c r="F5096" s="760"/>
      <c r="G5096" s="760"/>
      <c r="H5096" s="760"/>
      <c r="I5096" s="760"/>
      <c r="J5096" s="760"/>
      <c r="K5096" s="760"/>
    </row>
    <row r="5097" spans="1:11">
      <c r="A5097" s="760"/>
      <c r="B5097" s="760"/>
      <c r="C5097" s="760"/>
      <c r="D5097" s="760"/>
      <c r="E5097" s="760"/>
      <c r="F5097" s="760"/>
      <c r="G5097" s="760"/>
      <c r="H5097" s="760"/>
      <c r="I5097" s="760"/>
      <c r="J5097" s="760"/>
      <c r="K5097" s="760"/>
    </row>
    <row r="5098" spans="1:11">
      <c r="A5098" s="760"/>
      <c r="B5098" s="760"/>
      <c r="C5098" s="760"/>
      <c r="D5098" s="760"/>
      <c r="E5098" s="760"/>
      <c r="F5098" s="760"/>
      <c r="G5098" s="760"/>
      <c r="H5098" s="760"/>
      <c r="I5098" s="760"/>
      <c r="J5098" s="760"/>
      <c r="K5098" s="760"/>
    </row>
    <row r="5099" spans="1:11">
      <c r="A5099" s="760"/>
      <c r="B5099" s="760"/>
      <c r="C5099" s="760"/>
      <c r="D5099" s="760"/>
      <c r="E5099" s="760"/>
      <c r="F5099" s="760"/>
      <c r="G5099" s="760"/>
      <c r="H5099" s="760"/>
      <c r="I5099" s="760"/>
      <c r="J5099" s="760"/>
      <c r="K5099" s="760"/>
    </row>
    <row r="5100" spans="1:11">
      <c r="A5100" s="760"/>
      <c r="B5100" s="760"/>
      <c r="C5100" s="760"/>
      <c r="D5100" s="760"/>
      <c r="E5100" s="760"/>
      <c r="F5100" s="760"/>
      <c r="G5100" s="760"/>
      <c r="H5100" s="760"/>
      <c r="I5100" s="760"/>
      <c r="J5100" s="760"/>
      <c r="K5100" s="760"/>
    </row>
    <row r="5101" spans="1:11">
      <c r="A5101" s="760"/>
      <c r="B5101" s="760"/>
      <c r="C5101" s="760"/>
      <c r="D5101" s="760"/>
      <c r="E5101" s="760"/>
      <c r="F5101" s="760"/>
      <c r="G5101" s="760"/>
      <c r="H5101" s="760"/>
      <c r="I5101" s="760"/>
      <c r="J5101" s="760"/>
      <c r="K5101" s="760"/>
    </row>
    <row r="5102" spans="1:11">
      <c r="A5102" s="760"/>
      <c r="B5102" s="760"/>
      <c r="C5102" s="760"/>
      <c r="D5102" s="760"/>
      <c r="E5102" s="760"/>
      <c r="F5102" s="760"/>
      <c r="G5102" s="760"/>
      <c r="H5102" s="760"/>
      <c r="I5102" s="760"/>
      <c r="J5102" s="760"/>
      <c r="K5102" s="760"/>
    </row>
    <row r="5103" spans="1:11">
      <c r="A5103" s="760"/>
      <c r="B5103" s="760"/>
      <c r="C5103" s="760"/>
      <c r="D5103" s="760"/>
      <c r="E5103" s="760"/>
      <c r="F5103" s="760"/>
      <c r="G5103" s="760"/>
      <c r="H5103" s="760"/>
      <c r="I5103" s="760"/>
      <c r="J5103" s="760"/>
      <c r="K5103" s="760"/>
    </row>
    <row r="5104" spans="1:11">
      <c r="A5104" s="760"/>
      <c r="B5104" s="760"/>
      <c r="C5104" s="760"/>
      <c r="D5104" s="760"/>
      <c r="E5104" s="760"/>
      <c r="F5104" s="760"/>
      <c r="G5104" s="760"/>
      <c r="H5104" s="760"/>
      <c r="I5104" s="760"/>
      <c r="J5104" s="760"/>
      <c r="K5104" s="760"/>
    </row>
    <row r="5105" spans="1:11">
      <c r="A5105" s="760"/>
      <c r="B5105" s="760"/>
      <c r="C5105" s="760"/>
      <c r="D5105" s="760"/>
      <c r="E5105" s="760"/>
      <c r="F5105" s="760"/>
      <c r="G5105" s="760"/>
      <c r="H5105" s="760"/>
      <c r="I5105" s="760"/>
      <c r="J5105" s="760"/>
      <c r="K5105" s="760"/>
    </row>
    <row r="5106" spans="1:11">
      <c r="A5106" s="760"/>
      <c r="B5106" s="760"/>
      <c r="C5106" s="760"/>
      <c r="D5106" s="760"/>
      <c r="E5106" s="760"/>
      <c r="F5106" s="760"/>
      <c r="G5106" s="760"/>
      <c r="H5106" s="760"/>
      <c r="I5106" s="760"/>
      <c r="J5106" s="760"/>
      <c r="K5106" s="760"/>
    </row>
    <row r="5107" spans="1:11">
      <c r="A5107" s="760"/>
      <c r="B5107" s="760"/>
      <c r="C5107" s="760"/>
      <c r="D5107" s="760"/>
      <c r="E5107" s="760"/>
      <c r="F5107" s="760"/>
      <c r="G5107" s="760"/>
      <c r="H5107" s="760"/>
      <c r="I5107" s="760"/>
      <c r="J5107" s="760"/>
      <c r="K5107" s="760"/>
    </row>
    <row r="5108" spans="1:11">
      <c r="A5108" s="760"/>
      <c r="B5108" s="760"/>
      <c r="C5108" s="760"/>
      <c r="D5108" s="760"/>
      <c r="E5108" s="760"/>
      <c r="F5108" s="760"/>
      <c r="G5108" s="760"/>
      <c r="H5108" s="760"/>
      <c r="I5108" s="760"/>
      <c r="J5108" s="760"/>
      <c r="K5108" s="760"/>
    </row>
    <row r="5109" spans="1:11">
      <c r="A5109" s="760"/>
      <c r="B5109" s="760"/>
      <c r="C5109" s="760"/>
      <c r="D5109" s="760"/>
      <c r="E5109" s="760"/>
      <c r="F5109" s="760"/>
      <c r="G5109" s="760"/>
      <c r="H5109" s="760"/>
      <c r="I5109" s="760"/>
      <c r="J5109" s="760"/>
      <c r="K5109" s="760"/>
    </row>
    <row r="5110" spans="1:11">
      <c r="A5110" s="760"/>
      <c r="B5110" s="760"/>
      <c r="C5110" s="760"/>
      <c r="D5110" s="760"/>
      <c r="E5110" s="760"/>
      <c r="F5110" s="760"/>
      <c r="G5110" s="760"/>
      <c r="H5110" s="760"/>
      <c r="I5110" s="760"/>
      <c r="J5110" s="760"/>
      <c r="K5110" s="760"/>
    </row>
    <row r="5111" spans="1:11">
      <c r="A5111" s="760"/>
      <c r="B5111" s="760"/>
      <c r="C5111" s="760"/>
      <c r="D5111" s="760"/>
      <c r="E5111" s="760"/>
      <c r="F5111" s="760"/>
      <c r="G5111" s="760"/>
      <c r="H5111" s="760"/>
      <c r="I5111" s="760"/>
      <c r="J5111" s="760"/>
      <c r="K5111" s="760"/>
    </row>
    <row r="5112" spans="1:11">
      <c r="A5112" s="760"/>
      <c r="B5112" s="760"/>
      <c r="C5112" s="760"/>
      <c r="D5112" s="760"/>
      <c r="E5112" s="760"/>
      <c r="F5112" s="760"/>
      <c r="G5112" s="760"/>
      <c r="H5112" s="760"/>
      <c r="I5112" s="760"/>
      <c r="J5112" s="760"/>
      <c r="K5112" s="760"/>
    </row>
    <row r="5113" spans="1:11">
      <c r="A5113" s="760"/>
      <c r="B5113" s="760"/>
      <c r="C5113" s="760"/>
      <c r="D5113" s="760"/>
      <c r="E5113" s="760"/>
      <c r="F5113" s="760"/>
      <c r="G5113" s="760"/>
      <c r="H5113" s="760"/>
      <c r="I5113" s="760"/>
      <c r="J5113" s="760"/>
      <c r="K5113" s="760"/>
    </row>
    <row r="5114" spans="1:11">
      <c r="A5114" s="760"/>
      <c r="B5114" s="760"/>
      <c r="C5114" s="760"/>
      <c r="D5114" s="760"/>
      <c r="E5114" s="760"/>
      <c r="F5114" s="760"/>
      <c r="G5114" s="760"/>
      <c r="H5114" s="760"/>
      <c r="I5114" s="760"/>
      <c r="J5114" s="760"/>
      <c r="K5114" s="760"/>
    </row>
    <row r="5115" spans="1:11">
      <c r="A5115" s="760"/>
      <c r="B5115" s="760"/>
      <c r="C5115" s="760"/>
      <c r="D5115" s="760"/>
      <c r="E5115" s="760"/>
      <c r="F5115" s="760"/>
      <c r="G5115" s="760"/>
      <c r="H5115" s="760"/>
      <c r="I5115" s="760"/>
      <c r="J5115" s="760"/>
      <c r="K5115" s="760"/>
    </row>
    <row r="5116" spans="1:11">
      <c r="A5116" s="760"/>
      <c r="B5116" s="760"/>
      <c r="C5116" s="760"/>
      <c r="D5116" s="760"/>
      <c r="E5116" s="760"/>
      <c r="F5116" s="760"/>
      <c r="G5116" s="760"/>
      <c r="H5116" s="760"/>
      <c r="I5116" s="760"/>
      <c r="J5116" s="760"/>
      <c r="K5116" s="760"/>
    </row>
    <row r="5117" spans="1:11">
      <c r="A5117" s="760"/>
      <c r="B5117" s="760"/>
      <c r="C5117" s="760"/>
      <c r="D5117" s="760"/>
      <c r="E5117" s="760"/>
      <c r="F5117" s="760"/>
      <c r="G5117" s="760"/>
      <c r="H5117" s="760"/>
      <c r="I5117" s="760"/>
      <c r="J5117" s="760"/>
      <c r="K5117" s="760"/>
    </row>
    <row r="5118" spans="1:11">
      <c r="A5118" s="760"/>
      <c r="B5118" s="760"/>
      <c r="C5118" s="760"/>
      <c r="D5118" s="760"/>
      <c r="E5118" s="760"/>
      <c r="F5118" s="760"/>
      <c r="G5118" s="760"/>
      <c r="H5118" s="760"/>
      <c r="I5118" s="760"/>
      <c r="J5118" s="760"/>
      <c r="K5118" s="760"/>
    </row>
    <row r="5119" spans="1:11">
      <c r="A5119" s="760"/>
      <c r="B5119" s="760"/>
      <c r="C5119" s="760"/>
      <c r="D5119" s="760"/>
      <c r="E5119" s="760"/>
      <c r="F5119" s="760"/>
      <c r="G5119" s="760"/>
      <c r="H5119" s="760"/>
      <c r="I5119" s="760"/>
      <c r="J5119" s="760"/>
      <c r="K5119" s="760"/>
    </row>
    <row r="5120" spans="1:11">
      <c r="A5120" s="760"/>
      <c r="B5120" s="760"/>
      <c r="C5120" s="760"/>
      <c r="D5120" s="760"/>
      <c r="E5120" s="760"/>
      <c r="F5120" s="760"/>
      <c r="G5120" s="760"/>
      <c r="H5120" s="760"/>
      <c r="I5120" s="760"/>
      <c r="J5120" s="760"/>
      <c r="K5120" s="760"/>
    </row>
    <row r="5121" spans="1:11">
      <c r="A5121" s="760"/>
      <c r="B5121" s="760"/>
      <c r="C5121" s="760"/>
      <c r="D5121" s="760"/>
      <c r="E5121" s="760"/>
      <c r="F5121" s="760"/>
      <c r="G5121" s="760"/>
      <c r="H5121" s="760"/>
      <c r="I5121" s="760"/>
      <c r="J5121" s="760"/>
      <c r="K5121" s="760"/>
    </row>
    <row r="5122" spans="1:11">
      <c r="A5122" s="760"/>
      <c r="B5122" s="760"/>
      <c r="C5122" s="760"/>
      <c r="D5122" s="760"/>
      <c r="E5122" s="760"/>
      <c r="F5122" s="760"/>
      <c r="G5122" s="760"/>
      <c r="H5122" s="760"/>
      <c r="I5122" s="760"/>
      <c r="J5122" s="760"/>
      <c r="K5122" s="760"/>
    </row>
    <row r="5123" spans="1:11">
      <c r="A5123" s="760"/>
      <c r="B5123" s="760"/>
      <c r="C5123" s="760"/>
      <c r="D5123" s="760"/>
      <c r="E5123" s="760"/>
      <c r="F5123" s="760"/>
      <c r="G5123" s="760"/>
      <c r="H5123" s="760"/>
      <c r="I5123" s="760"/>
      <c r="J5123" s="760"/>
      <c r="K5123" s="760"/>
    </row>
    <row r="5124" spans="1:11">
      <c r="A5124" s="760"/>
      <c r="B5124" s="760"/>
      <c r="C5124" s="760"/>
      <c r="D5124" s="760"/>
      <c r="E5124" s="760"/>
      <c r="F5124" s="760"/>
      <c r="G5124" s="760"/>
      <c r="H5124" s="760"/>
      <c r="I5124" s="760"/>
      <c r="J5124" s="760"/>
      <c r="K5124" s="760"/>
    </row>
    <row r="5125" spans="1:11">
      <c r="A5125" s="760"/>
      <c r="B5125" s="760"/>
      <c r="C5125" s="760"/>
      <c r="D5125" s="760"/>
      <c r="E5125" s="760"/>
      <c r="F5125" s="760"/>
      <c r="G5125" s="760"/>
      <c r="H5125" s="760"/>
      <c r="I5125" s="760"/>
      <c r="J5125" s="760"/>
      <c r="K5125" s="760"/>
    </row>
    <row r="5126" spans="1:11">
      <c r="A5126" s="760"/>
      <c r="B5126" s="760"/>
      <c r="C5126" s="760"/>
      <c r="D5126" s="760"/>
      <c r="E5126" s="760"/>
      <c r="F5126" s="760"/>
      <c r="G5126" s="760"/>
      <c r="H5126" s="760"/>
      <c r="I5126" s="760"/>
      <c r="J5126" s="760"/>
      <c r="K5126" s="760"/>
    </row>
    <row r="5127" spans="1:11">
      <c r="A5127" s="760"/>
      <c r="B5127" s="760"/>
      <c r="C5127" s="760"/>
      <c r="D5127" s="760"/>
      <c r="E5127" s="760"/>
      <c r="F5127" s="760"/>
      <c r="G5127" s="760"/>
      <c r="H5127" s="760"/>
      <c r="I5127" s="760"/>
      <c r="J5127" s="760"/>
      <c r="K5127" s="760"/>
    </row>
    <row r="5128" spans="1:11">
      <c r="A5128" s="760"/>
      <c r="B5128" s="760"/>
      <c r="C5128" s="760"/>
      <c r="D5128" s="760"/>
      <c r="E5128" s="760"/>
      <c r="F5128" s="760"/>
      <c r="G5128" s="760"/>
      <c r="H5128" s="760"/>
      <c r="I5128" s="760"/>
      <c r="J5128" s="760"/>
      <c r="K5128" s="760"/>
    </row>
    <row r="5129" spans="1:11">
      <c r="A5129" s="760"/>
      <c r="B5129" s="760"/>
      <c r="C5129" s="760"/>
      <c r="D5129" s="760"/>
      <c r="E5129" s="760"/>
      <c r="F5129" s="760"/>
      <c r="G5129" s="760"/>
      <c r="H5129" s="760"/>
      <c r="I5129" s="760"/>
      <c r="J5129" s="760"/>
      <c r="K5129" s="760"/>
    </row>
    <row r="5130" spans="1:11">
      <c r="A5130" s="760"/>
      <c r="B5130" s="760"/>
      <c r="C5130" s="760"/>
      <c r="D5130" s="760"/>
      <c r="E5130" s="760"/>
      <c r="F5130" s="760"/>
      <c r="G5130" s="760"/>
      <c r="H5130" s="760"/>
      <c r="I5130" s="760"/>
      <c r="J5130" s="760"/>
      <c r="K5130" s="760"/>
    </row>
    <row r="5131" spans="1:11">
      <c r="A5131" s="760"/>
      <c r="B5131" s="760"/>
      <c r="C5131" s="760"/>
      <c r="D5131" s="760"/>
      <c r="E5131" s="760"/>
      <c r="F5131" s="760"/>
      <c r="G5131" s="760"/>
      <c r="H5131" s="760"/>
      <c r="I5131" s="760"/>
      <c r="J5131" s="760"/>
      <c r="K5131" s="760"/>
    </row>
    <row r="5132" spans="1:11">
      <c r="A5132" s="760"/>
      <c r="B5132" s="760"/>
      <c r="C5132" s="760"/>
      <c r="D5132" s="760"/>
      <c r="E5132" s="760"/>
      <c r="F5132" s="760"/>
      <c r="G5132" s="760"/>
      <c r="H5132" s="760"/>
      <c r="I5132" s="760"/>
      <c r="J5132" s="760"/>
      <c r="K5132" s="760"/>
    </row>
    <row r="5133" spans="1:11">
      <c r="A5133" s="760"/>
      <c r="B5133" s="760"/>
      <c r="C5133" s="760"/>
      <c r="D5133" s="760"/>
      <c r="E5133" s="760"/>
      <c r="F5133" s="760"/>
      <c r="G5133" s="760"/>
      <c r="H5133" s="760"/>
      <c r="I5133" s="760"/>
      <c r="J5133" s="760"/>
      <c r="K5133" s="760"/>
    </row>
    <row r="5134" spans="1:11">
      <c r="A5134" s="760"/>
      <c r="B5134" s="760"/>
      <c r="C5134" s="760"/>
      <c r="D5134" s="760"/>
      <c r="E5134" s="760"/>
      <c r="F5134" s="760"/>
      <c r="G5134" s="760"/>
      <c r="H5134" s="760"/>
      <c r="I5134" s="760"/>
      <c r="J5134" s="760"/>
      <c r="K5134" s="760"/>
    </row>
    <row r="5135" spans="1:11">
      <c r="A5135" s="760"/>
      <c r="B5135" s="760"/>
      <c r="C5135" s="760"/>
      <c r="D5135" s="760"/>
      <c r="E5135" s="760"/>
      <c r="F5135" s="760"/>
      <c r="G5135" s="760"/>
      <c r="H5135" s="760"/>
      <c r="I5135" s="760"/>
      <c r="J5135" s="760"/>
      <c r="K5135" s="760"/>
    </row>
    <row r="5136" spans="1:11">
      <c r="A5136" s="760"/>
      <c r="B5136" s="760"/>
      <c r="C5136" s="760"/>
      <c r="D5136" s="760"/>
      <c r="E5136" s="760"/>
      <c r="F5136" s="760"/>
      <c r="G5136" s="760"/>
      <c r="H5136" s="760"/>
      <c r="I5136" s="760"/>
      <c r="J5136" s="760"/>
      <c r="K5136" s="760"/>
    </row>
    <row r="5137" spans="1:11">
      <c r="A5137" s="760"/>
      <c r="B5137" s="760"/>
      <c r="C5137" s="760"/>
      <c r="D5137" s="760"/>
      <c r="E5137" s="760"/>
      <c r="F5137" s="760"/>
      <c r="G5137" s="760"/>
      <c r="H5137" s="760"/>
      <c r="I5137" s="760"/>
      <c r="J5137" s="760"/>
      <c r="K5137" s="760"/>
    </row>
    <row r="5138" spans="1:11">
      <c r="A5138" s="760"/>
      <c r="B5138" s="760"/>
      <c r="C5138" s="760"/>
      <c r="D5138" s="760"/>
      <c r="E5138" s="760"/>
      <c r="F5138" s="760"/>
      <c r="G5138" s="760"/>
      <c r="H5138" s="760"/>
      <c r="I5138" s="760"/>
      <c r="J5138" s="760"/>
      <c r="K5138" s="760"/>
    </row>
    <row r="5139" spans="1:11">
      <c r="A5139" s="760"/>
      <c r="B5139" s="760"/>
      <c r="C5139" s="760"/>
      <c r="D5139" s="760"/>
      <c r="E5139" s="760"/>
      <c r="F5139" s="760"/>
      <c r="G5139" s="760"/>
      <c r="H5139" s="760"/>
      <c r="I5139" s="760"/>
      <c r="J5139" s="760"/>
      <c r="K5139" s="760"/>
    </row>
    <row r="5140" spans="1:11">
      <c r="A5140" s="760"/>
      <c r="B5140" s="760"/>
      <c r="C5140" s="760"/>
      <c r="D5140" s="760"/>
      <c r="E5140" s="760"/>
      <c r="F5140" s="760"/>
      <c r="G5140" s="760"/>
      <c r="H5140" s="760"/>
      <c r="I5140" s="760"/>
      <c r="J5140" s="760"/>
      <c r="K5140" s="760"/>
    </row>
    <row r="5141" spans="1:11">
      <c r="A5141" s="760"/>
      <c r="B5141" s="760"/>
      <c r="C5141" s="760"/>
      <c r="D5141" s="760"/>
      <c r="E5141" s="760"/>
      <c r="F5141" s="760"/>
      <c r="G5141" s="760"/>
      <c r="H5141" s="760"/>
      <c r="I5141" s="760"/>
      <c r="J5141" s="760"/>
      <c r="K5141" s="760"/>
    </row>
    <row r="5142" spans="1:11">
      <c r="A5142" s="760"/>
      <c r="B5142" s="760"/>
      <c r="C5142" s="760"/>
      <c r="D5142" s="760"/>
      <c r="E5142" s="760"/>
      <c r="F5142" s="760"/>
      <c r="G5142" s="760"/>
      <c r="H5142" s="760"/>
      <c r="I5142" s="760"/>
      <c r="J5142" s="760"/>
      <c r="K5142" s="760"/>
    </row>
    <row r="5143" spans="1:11">
      <c r="A5143" s="760"/>
      <c r="B5143" s="760"/>
      <c r="C5143" s="760"/>
      <c r="D5143" s="760"/>
      <c r="E5143" s="760"/>
      <c r="F5143" s="760"/>
      <c r="G5143" s="760"/>
      <c r="H5143" s="760"/>
      <c r="I5143" s="760"/>
      <c r="J5143" s="760"/>
      <c r="K5143" s="760"/>
    </row>
    <row r="5144" spans="1:11">
      <c r="A5144" s="760"/>
      <c r="B5144" s="760"/>
      <c r="C5144" s="760"/>
      <c r="D5144" s="760"/>
      <c r="E5144" s="760"/>
      <c r="F5144" s="760"/>
      <c r="G5144" s="760"/>
      <c r="H5144" s="760"/>
      <c r="I5144" s="760"/>
      <c r="J5144" s="760"/>
      <c r="K5144" s="760"/>
    </row>
    <row r="5145" spans="1:11">
      <c r="A5145" s="760"/>
      <c r="B5145" s="760"/>
      <c r="C5145" s="760"/>
      <c r="D5145" s="760"/>
      <c r="E5145" s="760"/>
      <c r="F5145" s="760"/>
      <c r="G5145" s="760"/>
      <c r="H5145" s="760"/>
      <c r="I5145" s="760"/>
      <c r="J5145" s="760"/>
      <c r="K5145" s="760"/>
    </row>
    <row r="5146" spans="1:11">
      <c r="A5146" s="760"/>
      <c r="B5146" s="760"/>
      <c r="C5146" s="760"/>
      <c r="D5146" s="760"/>
      <c r="E5146" s="760"/>
      <c r="F5146" s="760"/>
      <c r="G5146" s="760"/>
      <c r="H5146" s="760"/>
      <c r="I5146" s="760"/>
      <c r="J5146" s="760"/>
      <c r="K5146" s="760"/>
    </row>
    <row r="5147" spans="1:11">
      <c r="A5147" s="760"/>
      <c r="B5147" s="760"/>
      <c r="C5147" s="760"/>
      <c r="D5147" s="760"/>
      <c r="E5147" s="760"/>
      <c r="F5147" s="760"/>
      <c r="G5147" s="760"/>
      <c r="H5147" s="760"/>
      <c r="I5147" s="760"/>
      <c r="J5147" s="760"/>
      <c r="K5147" s="760"/>
    </row>
    <row r="5148" spans="1:11">
      <c r="A5148" s="760"/>
      <c r="B5148" s="760"/>
      <c r="C5148" s="760"/>
      <c r="D5148" s="760"/>
      <c r="E5148" s="760"/>
      <c r="F5148" s="760"/>
      <c r="G5148" s="760"/>
      <c r="H5148" s="760"/>
      <c r="I5148" s="760"/>
      <c r="J5148" s="760"/>
      <c r="K5148" s="760"/>
    </row>
    <row r="5149" spans="1:11">
      <c r="A5149" s="760"/>
      <c r="B5149" s="760"/>
      <c r="C5149" s="760"/>
      <c r="D5149" s="760"/>
      <c r="E5149" s="760"/>
      <c r="F5149" s="760"/>
      <c r="G5149" s="760"/>
      <c r="H5149" s="760"/>
      <c r="I5149" s="760"/>
      <c r="J5149" s="760"/>
      <c r="K5149" s="760"/>
    </row>
    <row r="5150" spans="1:11">
      <c r="A5150" s="760"/>
      <c r="B5150" s="760"/>
      <c r="C5150" s="760"/>
      <c r="D5150" s="760"/>
      <c r="E5150" s="760"/>
      <c r="F5150" s="760"/>
      <c r="G5150" s="760"/>
      <c r="H5150" s="760"/>
      <c r="I5150" s="760"/>
      <c r="J5150" s="760"/>
      <c r="K5150" s="760"/>
    </row>
    <row r="5151" spans="1:11">
      <c r="A5151" s="760"/>
      <c r="B5151" s="760"/>
      <c r="C5151" s="760"/>
      <c r="D5151" s="760"/>
      <c r="E5151" s="760"/>
      <c r="F5151" s="760"/>
      <c r="G5151" s="760"/>
      <c r="H5151" s="760"/>
      <c r="I5151" s="760"/>
      <c r="J5151" s="760"/>
      <c r="K5151" s="760"/>
    </row>
    <row r="5152" spans="1:11">
      <c r="A5152" s="760"/>
      <c r="B5152" s="760"/>
      <c r="C5152" s="760"/>
      <c r="D5152" s="760"/>
      <c r="E5152" s="760"/>
      <c r="F5152" s="760"/>
      <c r="G5152" s="760"/>
      <c r="H5152" s="760"/>
      <c r="I5152" s="760"/>
      <c r="J5152" s="760"/>
      <c r="K5152" s="760"/>
    </row>
    <row r="5153" spans="1:11">
      <c r="A5153" s="760"/>
      <c r="B5153" s="760"/>
      <c r="C5153" s="760"/>
      <c r="D5153" s="760"/>
      <c r="E5153" s="760"/>
      <c r="F5153" s="760"/>
      <c r="G5153" s="760"/>
      <c r="H5153" s="760"/>
      <c r="I5153" s="760"/>
      <c r="J5153" s="760"/>
      <c r="K5153" s="760"/>
    </row>
    <row r="5154" spans="1:11">
      <c r="A5154" s="760"/>
      <c r="B5154" s="760"/>
      <c r="C5154" s="760"/>
      <c r="D5154" s="760"/>
      <c r="E5154" s="760"/>
      <c r="F5154" s="760"/>
      <c r="G5154" s="760"/>
      <c r="H5154" s="760"/>
      <c r="I5154" s="760"/>
      <c r="J5154" s="760"/>
      <c r="K5154" s="760"/>
    </row>
    <row r="5155" spans="1:11">
      <c r="A5155" s="760"/>
      <c r="B5155" s="760"/>
      <c r="C5155" s="760"/>
      <c r="D5155" s="760"/>
      <c r="E5155" s="760"/>
      <c r="F5155" s="760"/>
      <c r="G5155" s="760"/>
      <c r="H5155" s="760"/>
      <c r="I5155" s="760"/>
      <c r="J5155" s="760"/>
      <c r="K5155" s="760"/>
    </row>
    <row r="5156" spans="1:11">
      <c r="A5156" s="760"/>
      <c r="B5156" s="760"/>
      <c r="C5156" s="760"/>
      <c r="D5156" s="760"/>
      <c r="E5156" s="760"/>
      <c r="F5156" s="760"/>
      <c r="G5156" s="760"/>
      <c r="H5156" s="760"/>
      <c r="I5156" s="760"/>
      <c r="J5156" s="760"/>
      <c r="K5156" s="760"/>
    </row>
    <row r="5157" spans="1:11">
      <c r="A5157" s="760"/>
      <c r="B5157" s="760"/>
      <c r="C5157" s="760"/>
      <c r="D5157" s="760"/>
      <c r="E5157" s="760"/>
      <c r="F5157" s="760"/>
      <c r="G5157" s="760"/>
      <c r="H5157" s="760"/>
      <c r="I5157" s="760"/>
      <c r="J5157" s="760"/>
      <c r="K5157" s="760"/>
    </row>
    <row r="5158" spans="1:11">
      <c r="A5158" s="760"/>
      <c r="B5158" s="760"/>
      <c r="C5158" s="760"/>
      <c r="D5158" s="760"/>
      <c r="E5158" s="760"/>
      <c r="F5158" s="760"/>
      <c r="G5158" s="760"/>
      <c r="H5158" s="760"/>
      <c r="I5158" s="760"/>
      <c r="J5158" s="760"/>
      <c r="K5158" s="760"/>
    </row>
    <row r="5159" spans="1:11">
      <c r="A5159" s="760"/>
      <c r="B5159" s="760"/>
      <c r="C5159" s="760"/>
      <c r="D5159" s="760"/>
      <c r="E5159" s="760"/>
      <c r="F5159" s="760"/>
      <c r="G5159" s="760"/>
      <c r="H5159" s="760"/>
      <c r="I5159" s="760"/>
      <c r="J5159" s="760"/>
      <c r="K5159" s="760"/>
    </row>
    <row r="5160" spans="1:11">
      <c r="A5160" s="760"/>
      <c r="B5160" s="760"/>
      <c r="C5160" s="760"/>
      <c r="D5160" s="760"/>
      <c r="E5160" s="760"/>
      <c r="F5160" s="760"/>
      <c r="G5160" s="760"/>
      <c r="H5160" s="760"/>
      <c r="I5160" s="760"/>
      <c r="J5160" s="760"/>
      <c r="K5160" s="760"/>
    </row>
    <row r="5161" spans="1:11">
      <c r="A5161" s="760"/>
      <c r="B5161" s="760"/>
      <c r="C5161" s="760"/>
      <c r="D5161" s="760"/>
      <c r="E5161" s="760"/>
      <c r="F5161" s="760"/>
      <c r="G5161" s="760"/>
      <c r="H5161" s="760"/>
      <c r="I5161" s="760"/>
      <c r="J5161" s="760"/>
      <c r="K5161" s="760"/>
    </row>
    <row r="5162" spans="1:11">
      <c r="A5162" s="760"/>
      <c r="B5162" s="760"/>
      <c r="C5162" s="760"/>
      <c r="D5162" s="760"/>
      <c r="E5162" s="760"/>
      <c r="F5162" s="760"/>
      <c r="G5162" s="760"/>
      <c r="H5162" s="760"/>
      <c r="I5162" s="760"/>
      <c r="J5162" s="760"/>
      <c r="K5162" s="760"/>
    </row>
    <row r="5163" spans="1:11">
      <c r="A5163" s="760"/>
      <c r="B5163" s="760"/>
      <c r="C5163" s="760"/>
      <c r="D5163" s="760"/>
      <c r="E5163" s="760"/>
      <c r="F5163" s="760"/>
      <c r="G5163" s="760"/>
      <c r="H5163" s="760"/>
      <c r="I5163" s="760"/>
      <c r="J5163" s="760"/>
      <c r="K5163" s="760"/>
    </row>
    <row r="5164" spans="1:11">
      <c r="A5164" s="760"/>
      <c r="B5164" s="760"/>
      <c r="C5164" s="760"/>
      <c r="D5164" s="760"/>
      <c r="E5164" s="760"/>
      <c r="F5164" s="760"/>
      <c r="G5164" s="760"/>
      <c r="H5164" s="760"/>
      <c r="I5164" s="760"/>
      <c r="J5164" s="760"/>
      <c r="K5164" s="760"/>
    </row>
    <row r="5165" spans="1:11">
      <c r="A5165" s="760"/>
      <c r="B5165" s="760"/>
      <c r="C5165" s="760"/>
      <c r="D5165" s="760"/>
      <c r="E5165" s="760"/>
      <c r="F5165" s="760"/>
      <c r="G5165" s="760"/>
      <c r="H5165" s="760"/>
      <c r="I5165" s="760"/>
      <c r="J5165" s="760"/>
      <c r="K5165" s="760"/>
    </row>
    <row r="5166" spans="1:11">
      <c r="A5166" s="760"/>
      <c r="B5166" s="760"/>
      <c r="C5166" s="760"/>
      <c r="D5166" s="760"/>
      <c r="E5166" s="760"/>
      <c r="F5166" s="760"/>
      <c r="G5166" s="760"/>
      <c r="H5166" s="760"/>
      <c r="I5166" s="760"/>
      <c r="J5166" s="760"/>
      <c r="K5166" s="760"/>
    </row>
    <row r="5167" spans="1:11">
      <c r="A5167" s="760"/>
      <c r="B5167" s="760"/>
      <c r="C5167" s="760"/>
      <c r="D5167" s="760"/>
      <c r="E5167" s="760"/>
      <c r="F5167" s="760"/>
      <c r="G5167" s="760"/>
      <c r="H5167" s="760"/>
      <c r="I5167" s="760"/>
      <c r="J5167" s="760"/>
      <c r="K5167" s="760"/>
    </row>
    <row r="5168" spans="1:11">
      <c r="A5168" s="760"/>
      <c r="B5168" s="760"/>
      <c r="C5168" s="760"/>
      <c r="D5168" s="760"/>
      <c r="E5168" s="760"/>
      <c r="F5168" s="760"/>
      <c r="G5168" s="760"/>
      <c r="H5168" s="760"/>
      <c r="I5168" s="760"/>
      <c r="J5168" s="760"/>
      <c r="K5168" s="760"/>
    </row>
    <row r="5169" spans="1:11">
      <c r="A5169" s="760"/>
      <c r="B5169" s="760"/>
      <c r="C5169" s="760"/>
      <c r="D5169" s="760"/>
      <c r="E5169" s="760"/>
      <c r="F5169" s="760"/>
      <c r="G5169" s="760"/>
      <c r="H5169" s="760"/>
      <c r="I5169" s="760"/>
      <c r="J5169" s="760"/>
      <c r="K5169" s="760"/>
    </row>
    <row r="5170" spans="1:11">
      <c r="A5170" s="760"/>
      <c r="B5170" s="760"/>
      <c r="C5170" s="760"/>
      <c r="D5170" s="760"/>
      <c r="E5170" s="760"/>
      <c r="F5170" s="760"/>
      <c r="G5170" s="760"/>
      <c r="H5170" s="760"/>
      <c r="I5170" s="760"/>
      <c r="J5170" s="760"/>
      <c r="K5170" s="760"/>
    </row>
    <row r="5171" spans="1:11">
      <c r="A5171" s="760"/>
      <c r="B5171" s="760"/>
      <c r="C5171" s="760"/>
      <c r="D5171" s="760"/>
      <c r="E5171" s="760"/>
      <c r="F5171" s="760"/>
      <c r="G5171" s="760"/>
      <c r="H5171" s="760"/>
      <c r="I5171" s="760"/>
      <c r="J5171" s="760"/>
      <c r="K5171" s="760"/>
    </row>
    <row r="5172" spans="1:11">
      <c r="A5172" s="760"/>
      <c r="B5172" s="760"/>
      <c r="C5172" s="760"/>
      <c r="D5172" s="760"/>
      <c r="E5172" s="760"/>
      <c r="F5172" s="760"/>
      <c r="G5172" s="760"/>
      <c r="H5172" s="760"/>
      <c r="I5172" s="760"/>
      <c r="J5172" s="760"/>
      <c r="K5172" s="760"/>
    </row>
    <row r="5173" spans="1:11">
      <c r="A5173" s="760"/>
      <c r="B5173" s="760"/>
      <c r="C5173" s="760"/>
      <c r="D5173" s="760"/>
      <c r="E5173" s="760"/>
      <c r="F5173" s="760"/>
      <c r="G5173" s="760"/>
      <c r="H5173" s="760"/>
      <c r="I5173" s="760"/>
      <c r="J5173" s="760"/>
      <c r="K5173" s="760"/>
    </row>
    <row r="5174" spans="1:11">
      <c r="A5174" s="760"/>
      <c r="B5174" s="760"/>
      <c r="C5174" s="760"/>
      <c r="D5174" s="760"/>
      <c r="E5174" s="760"/>
      <c r="F5174" s="760"/>
      <c r="G5174" s="760"/>
      <c r="H5174" s="760"/>
      <c r="I5174" s="760"/>
      <c r="J5174" s="760"/>
      <c r="K5174" s="760"/>
    </row>
    <row r="5175" spans="1:11">
      <c r="A5175" s="760"/>
      <c r="B5175" s="760"/>
      <c r="C5175" s="760"/>
      <c r="D5175" s="760"/>
      <c r="E5175" s="760"/>
      <c r="F5175" s="760"/>
      <c r="G5175" s="760"/>
      <c r="H5175" s="760"/>
      <c r="I5175" s="760"/>
      <c r="J5175" s="760"/>
      <c r="K5175" s="760"/>
    </row>
    <row r="5176" spans="1:11">
      <c r="A5176" s="760"/>
      <c r="B5176" s="760"/>
      <c r="C5176" s="760"/>
      <c r="D5176" s="760"/>
      <c r="E5176" s="760"/>
      <c r="F5176" s="760"/>
      <c r="G5176" s="760"/>
      <c r="H5176" s="760"/>
      <c r="I5176" s="760"/>
      <c r="J5176" s="760"/>
      <c r="K5176" s="760"/>
    </row>
    <row r="5177" spans="1:11">
      <c r="A5177" s="760"/>
      <c r="B5177" s="760"/>
      <c r="C5177" s="760"/>
      <c r="D5177" s="760"/>
      <c r="E5177" s="760"/>
      <c r="F5177" s="760"/>
      <c r="G5177" s="760"/>
      <c r="H5177" s="760"/>
      <c r="I5177" s="760"/>
      <c r="J5177" s="760"/>
      <c r="K5177" s="760"/>
    </row>
    <row r="5178" spans="1:11">
      <c r="A5178" s="760"/>
      <c r="B5178" s="760"/>
      <c r="C5178" s="760"/>
      <c r="D5178" s="760"/>
      <c r="E5178" s="760"/>
      <c r="F5178" s="760"/>
      <c r="G5178" s="760"/>
      <c r="H5178" s="760"/>
      <c r="I5178" s="760"/>
      <c r="J5178" s="760"/>
      <c r="K5178" s="760"/>
    </row>
    <row r="5179" spans="1:11">
      <c r="A5179" s="760"/>
      <c r="B5179" s="760"/>
      <c r="C5179" s="760"/>
      <c r="D5179" s="760"/>
      <c r="E5179" s="760"/>
      <c r="F5179" s="760"/>
      <c r="G5179" s="760"/>
      <c r="H5179" s="760"/>
      <c r="I5179" s="760"/>
      <c r="J5179" s="760"/>
      <c r="K5179" s="760"/>
    </row>
    <row r="5180" spans="1:11">
      <c r="A5180" s="760"/>
      <c r="B5180" s="760"/>
      <c r="C5180" s="760"/>
      <c r="D5180" s="760"/>
      <c r="E5180" s="760"/>
      <c r="F5180" s="760"/>
      <c r="G5180" s="760"/>
      <c r="H5180" s="760"/>
      <c r="I5180" s="760"/>
      <c r="J5180" s="760"/>
      <c r="K5180" s="760"/>
    </row>
    <row r="5181" spans="1:11">
      <c r="A5181" s="760"/>
      <c r="B5181" s="760"/>
      <c r="C5181" s="760"/>
      <c r="D5181" s="760"/>
      <c r="E5181" s="760"/>
      <c r="F5181" s="760"/>
      <c r="G5181" s="760"/>
      <c r="H5181" s="760"/>
      <c r="I5181" s="760"/>
      <c r="J5181" s="760"/>
      <c r="K5181" s="760"/>
    </row>
    <row r="5182" spans="1:11">
      <c r="A5182" s="760"/>
      <c r="B5182" s="760"/>
      <c r="C5182" s="760"/>
      <c r="D5182" s="760"/>
      <c r="E5182" s="760"/>
      <c r="F5182" s="760"/>
      <c r="G5182" s="760"/>
      <c r="H5182" s="760"/>
      <c r="I5182" s="760"/>
      <c r="J5182" s="760"/>
      <c r="K5182" s="760"/>
    </row>
    <row r="5183" spans="1:11">
      <c r="A5183" s="760"/>
      <c r="B5183" s="760"/>
      <c r="C5183" s="760"/>
      <c r="D5183" s="760"/>
      <c r="E5183" s="760"/>
      <c r="F5183" s="760"/>
      <c r="G5183" s="760"/>
      <c r="H5183" s="760"/>
      <c r="I5183" s="760"/>
      <c r="J5183" s="760"/>
      <c r="K5183" s="760"/>
    </row>
    <row r="5184" spans="1:11">
      <c r="A5184" s="760"/>
      <c r="B5184" s="760"/>
      <c r="C5184" s="760"/>
      <c r="D5184" s="760"/>
      <c r="E5184" s="760"/>
      <c r="F5184" s="760"/>
      <c r="G5184" s="760"/>
      <c r="H5184" s="760"/>
      <c r="I5184" s="760"/>
      <c r="J5184" s="760"/>
      <c r="K5184" s="760"/>
    </row>
    <row r="5185" spans="1:11">
      <c r="A5185" s="760"/>
      <c r="B5185" s="760"/>
      <c r="C5185" s="760"/>
      <c r="D5185" s="760"/>
      <c r="E5185" s="760"/>
      <c r="F5185" s="760"/>
      <c r="G5185" s="760"/>
      <c r="H5185" s="760"/>
      <c r="I5185" s="760"/>
      <c r="J5185" s="760"/>
      <c r="K5185" s="760"/>
    </row>
    <row r="5186" spans="1:11">
      <c r="A5186" s="760"/>
      <c r="B5186" s="760"/>
      <c r="C5186" s="760"/>
      <c r="D5186" s="760"/>
      <c r="E5186" s="760"/>
      <c r="F5186" s="760"/>
      <c r="G5186" s="760"/>
      <c r="H5186" s="760"/>
      <c r="I5186" s="760"/>
      <c r="J5186" s="760"/>
      <c r="K5186" s="760"/>
    </row>
    <row r="5187" spans="1:11">
      <c r="A5187" s="760"/>
      <c r="B5187" s="760"/>
      <c r="C5187" s="760"/>
      <c r="D5187" s="760"/>
      <c r="E5187" s="760"/>
      <c r="F5187" s="760"/>
      <c r="G5187" s="760"/>
      <c r="H5187" s="760"/>
      <c r="I5187" s="760"/>
      <c r="J5187" s="760"/>
      <c r="K5187" s="760"/>
    </row>
    <row r="5188" spans="1:11">
      <c r="A5188" s="760"/>
      <c r="B5188" s="760"/>
      <c r="C5188" s="760"/>
      <c r="D5188" s="760"/>
      <c r="E5188" s="760"/>
      <c r="F5188" s="760"/>
      <c r="G5188" s="760"/>
      <c r="H5188" s="760"/>
      <c r="I5188" s="760"/>
      <c r="J5188" s="760"/>
      <c r="K5188" s="760"/>
    </row>
    <row r="5189" spans="1:11">
      <c r="A5189" s="760"/>
      <c r="B5189" s="760"/>
      <c r="C5189" s="760"/>
      <c r="D5189" s="760"/>
      <c r="E5189" s="760"/>
      <c r="F5189" s="760"/>
      <c r="G5189" s="760"/>
      <c r="H5189" s="760"/>
      <c r="I5189" s="760"/>
      <c r="J5189" s="760"/>
      <c r="K5189" s="760"/>
    </row>
    <row r="5190" spans="1:11">
      <c r="A5190" s="760"/>
      <c r="B5190" s="760"/>
      <c r="C5190" s="760"/>
      <c r="D5190" s="760"/>
      <c r="E5190" s="760"/>
      <c r="F5190" s="760"/>
      <c r="G5190" s="760"/>
      <c r="H5190" s="760"/>
      <c r="I5190" s="760"/>
      <c r="J5190" s="760"/>
      <c r="K5190" s="760"/>
    </row>
    <row r="5191" spans="1:11">
      <c r="A5191" s="760"/>
      <c r="B5191" s="760"/>
      <c r="C5191" s="760"/>
      <c r="D5191" s="760"/>
      <c r="E5191" s="760"/>
      <c r="F5191" s="760"/>
      <c r="G5191" s="760"/>
      <c r="H5191" s="760"/>
      <c r="I5191" s="760"/>
      <c r="J5191" s="760"/>
      <c r="K5191" s="760"/>
    </row>
    <row r="5192" spans="1:11">
      <c r="A5192" s="760"/>
      <c r="B5192" s="760"/>
      <c r="C5192" s="760"/>
      <c r="D5192" s="760"/>
      <c r="E5192" s="760"/>
      <c r="F5192" s="760"/>
      <c r="G5192" s="760"/>
      <c r="H5192" s="760"/>
      <c r="I5192" s="760"/>
      <c r="J5192" s="760"/>
      <c r="K5192" s="760"/>
    </row>
    <row r="5193" spans="1:11">
      <c r="A5193" s="760"/>
      <c r="B5193" s="760"/>
      <c r="C5193" s="760"/>
      <c r="D5193" s="760"/>
      <c r="E5193" s="760"/>
      <c r="F5193" s="760"/>
      <c r="G5193" s="760"/>
      <c r="H5193" s="760"/>
      <c r="I5193" s="760"/>
      <c r="J5193" s="760"/>
      <c r="K5193" s="760"/>
    </row>
    <row r="5194" spans="1:11">
      <c r="A5194" s="760"/>
      <c r="B5194" s="760"/>
      <c r="C5194" s="760"/>
      <c r="D5194" s="760"/>
      <c r="E5194" s="760"/>
      <c r="F5194" s="760"/>
      <c r="G5194" s="760"/>
      <c r="H5194" s="760"/>
      <c r="I5194" s="760"/>
      <c r="J5194" s="760"/>
      <c r="K5194" s="760"/>
    </row>
    <row r="5195" spans="1:11">
      <c r="A5195" s="760"/>
      <c r="B5195" s="760"/>
      <c r="C5195" s="760"/>
      <c r="D5195" s="760"/>
      <c r="E5195" s="760"/>
      <c r="F5195" s="760"/>
      <c r="G5195" s="760"/>
      <c r="H5195" s="760"/>
      <c r="I5195" s="760"/>
      <c r="J5195" s="760"/>
      <c r="K5195" s="760"/>
    </row>
    <row r="5196" spans="1:11">
      <c r="A5196" s="760"/>
      <c r="B5196" s="760"/>
      <c r="C5196" s="760"/>
      <c r="D5196" s="760"/>
      <c r="E5196" s="760"/>
      <c r="F5196" s="760"/>
      <c r="G5196" s="760"/>
      <c r="H5196" s="760"/>
      <c r="I5196" s="760"/>
      <c r="J5196" s="760"/>
      <c r="K5196" s="760"/>
    </row>
    <row r="5197" spans="1:11">
      <c r="A5197" s="760"/>
      <c r="B5197" s="760"/>
      <c r="C5197" s="760"/>
      <c r="D5197" s="760"/>
      <c r="E5197" s="760"/>
      <c r="F5197" s="760"/>
      <c r="G5197" s="760"/>
      <c r="H5197" s="760"/>
      <c r="I5197" s="760"/>
      <c r="J5197" s="760"/>
      <c r="K5197" s="760"/>
    </row>
    <row r="5198" spans="1:11">
      <c r="A5198" s="760"/>
      <c r="B5198" s="760"/>
      <c r="C5198" s="760"/>
      <c r="D5198" s="760"/>
      <c r="E5198" s="760"/>
      <c r="F5198" s="760"/>
      <c r="G5198" s="760"/>
      <c r="H5198" s="760"/>
      <c r="I5198" s="760"/>
      <c r="J5198" s="760"/>
      <c r="K5198" s="760"/>
    </row>
    <row r="5199" spans="1:11">
      <c r="A5199" s="760"/>
      <c r="B5199" s="760"/>
      <c r="C5199" s="760"/>
      <c r="D5199" s="760"/>
      <c r="E5199" s="760"/>
      <c r="F5199" s="760"/>
      <c r="G5199" s="760"/>
      <c r="H5199" s="760"/>
      <c r="I5199" s="760"/>
      <c r="J5199" s="760"/>
      <c r="K5199" s="760"/>
    </row>
    <row r="5200" spans="1:11">
      <c r="A5200" s="760"/>
      <c r="B5200" s="760"/>
      <c r="C5200" s="760"/>
      <c r="D5200" s="760"/>
      <c r="E5200" s="760"/>
      <c r="F5200" s="760"/>
      <c r="G5200" s="760"/>
      <c r="H5200" s="760"/>
      <c r="I5200" s="760"/>
      <c r="J5200" s="760"/>
      <c r="K5200" s="760"/>
    </row>
    <row r="5201" spans="1:11">
      <c r="A5201" s="760"/>
      <c r="B5201" s="760"/>
      <c r="C5201" s="760"/>
      <c r="D5201" s="760"/>
      <c r="E5201" s="760"/>
      <c r="F5201" s="760"/>
      <c r="G5201" s="760"/>
      <c r="H5201" s="760"/>
      <c r="I5201" s="760"/>
      <c r="J5201" s="760"/>
      <c r="K5201" s="760"/>
    </row>
    <row r="5202" spans="1:11">
      <c r="A5202" s="760"/>
      <c r="B5202" s="760"/>
      <c r="C5202" s="760"/>
      <c r="D5202" s="760"/>
      <c r="E5202" s="760"/>
      <c r="F5202" s="760"/>
      <c r="G5202" s="760"/>
      <c r="H5202" s="760"/>
      <c r="I5202" s="760"/>
      <c r="J5202" s="760"/>
      <c r="K5202" s="760"/>
    </row>
    <row r="5203" spans="1:11">
      <c r="A5203" s="760"/>
      <c r="B5203" s="760"/>
      <c r="C5203" s="760"/>
      <c r="D5203" s="760"/>
      <c r="E5203" s="760"/>
      <c r="F5203" s="760"/>
      <c r="G5203" s="760"/>
      <c r="H5203" s="760"/>
      <c r="I5203" s="760"/>
      <c r="J5203" s="760"/>
      <c r="K5203" s="760"/>
    </row>
    <row r="5204" spans="1:11">
      <c r="A5204" s="760"/>
      <c r="B5204" s="760"/>
      <c r="C5204" s="760"/>
      <c r="D5204" s="760"/>
      <c r="E5204" s="760"/>
      <c r="F5204" s="760"/>
      <c r="G5204" s="760"/>
      <c r="H5204" s="760"/>
      <c r="I5204" s="760"/>
      <c r="J5204" s="760"/>
      <c r="K5204" s="760"/>
    </row>
    <row r="5205" spans="1:11">
      <c r="A5205" s="760"/>
      <c r="B5205" s="760"/>
      <c r="C5205" s="760"/>
      <c r="D5205" s="760"/>
      <c r="E5205" s="760"/>
      <c r="F5205" s="760"/>
      <c r="G5205" s="760"/>
      <c r="H5205" s="760"/>
      <c r="I5205" s="760"/>
      <c r="J5205" s="760"/>
      <c r="K5205" s="760"/>
    </row>
    <row r="5206" spans="1:11">
      <c r="A5206" s="760"/>
      <c r="B5206" s="760"/>
      <c r="C5206" s="760"/>
      <c r="D5206" s="760"/>
      <c r="E5206" s="760"/>
      <c r="F5206" s="760"/>
      <c r="G5206" s="760"/>
      <c r="H5206" s="760"/>
      <c r="I5206" s="760"/>
      <c r="J5206" s="760"/>
      <c r="K5206" s="760"/>
    </row>
    <row r="5207" spans="1:11">
      <c r="A5207" s="760"/>
      <c r="B5207" s="760"/>
      <c r="C5207" s="760"/>
      <c r="D5207" s="760"/>
      <c r="E5207" s="760"/>
      <c r="F5207" s="760"/>
      <c r="G5207" s="760"/>
      <c r="H5207" s="760"/>
      <c r="I5207" s="760"/>
      <c r="J5207" s="760"/>
      <c r="K5207" s="760"/>
    </row>
    <row r="5208" spans="1:11">
      <c r="A5208" s="760"/>
      <c r="B5208" s="760"/>
      <c r="C5208" s="760"/>
      <c r="D5208" s="760"/>
      <c r="E5208" s="760"/>
      <c r="F5208" s="760"/>
      <c r="G5208" s="760"/>
      <c r="H5208" s="760"/>
      <c r="I5208" s="760"/>
      <c r="J5208" s="760"/>
      <c r="K5208" s="760"/>
    </row>
    <row r="5209" spans="1:11">
      <c r="A5209" s="760"/>
      <c r="B5209" s="760"/>
      <c r="C5209" s="760"/>
      <c r="D5209" s="760"/>
      <c r="E5209" s="760"/>
      <c r="F5209" s="760"/>
      <c r="G5209" s="760"/>
      <c r="H5209" s="760"/>
      <c r="I5209" s="760"/>
      <c r="J5209" s="760"/>
      <c r="K5209" s="760"/>
    </row>
    <row r="5210" spans="1:11">
      <c r="A5210" s="760"/>
      <c r="B5210" s="760"/>
      <c r="C5210" s="760"/>
      <c r="D5210" s="760"/>
      <c r="E5210" s="760"/>
      <c r="F5210" s="760"/>
      <c r="G5210" s="760"/>
      <c r="H5210" s="760"/>
      <c r="I5210" s="760"/>
      <c r="J5210" s="760"/>
      <c r="K5210" s="760"/>
    </row>
    <row r="5211" spans="1:11">
      <c r="A5211" s="760"/>
      <c r="B5211" s="760"/>
      <c r="C5211" s="760"/>
      <c r="D5211" s="760"/>
      <c r="E5211" s="760"/>
      <c r="F5211" s="760"/>
      <c r="G5211" s="760"/>
      <c r="H5211" s="760"/>
      <c r="I5211" s="760"/>
      <c r="J5211" s="760"/>
      <c r="K5211" s="760"/>
    </row>
    <row r="5212" spans="1:11">
      <c r="A5212" s="760"/>
      <c r="B5212" s="760"/>
      <c r="C5212" s="760"/>
      <c r="D5212" s="760"/>
      <c r="E5212" s="760"/>
      <c r="F5212" s="760"/>
      <c r="G5212" s="760"/>
      <c r="H5212" s="760"/>
      <c r="I5212" s="760"/>
      <c r="J5212" s="760"/>
      <c r="K5212" s="760"/>
    </row>
    <row r="5213" spans="1:11">
      <c r="A5213" s="760"/>
      <c r="B5213" s="760"/>
      <c r="C5213" s="760"/>
      <c r="D5213" s="760"/>
      <c r="E5213" s="760"/>
      <c r="F5213" s="760"/>
      <c r="G5213" s="760"/>
      <c r="H5213" s="760"/>
      <c r="I5213" s="760"/>
      <c r="J5213" s="760"/>
      <c r="K5213" s="760"/>
    </row>
    <row r="5214" spans="1:11">
      <c r="A5214" s="760"/>
      <c r="B5214" s="760"/>
      <c r="C5214" s="760"/>
      <c r="D5214" s="760"/>
      <c r="E5214" s="760"/>
      <c r="F5214" s="760"/>
      <c r="G5214" s="760"/>
      <c r="H5214" s="760"/>
      <c r="I5214" s="760"/>
      <c r="J5214" s="760"/>
      <c r="K5214" s="760"/>
    </row>
    <row r="5215" spans="1:11">
      <c r="A5215" s="760"/>
      <c r="B5215" s="760"/>
      <c r="C5215" s="760"/>
      <c r="D5215" s="760"/>
      <c r="E5215" s="760"/>
      <c r="F5215" s="760"/>
      <c r="G5215" s="760"/>
      <c r="H5215" s="760"/>
      <c r="I5215" s="760"/>
      <c r="J5215" s="760"/>
      <c r="K5215" s="760"/>
    </row>
    <row r="5216" spans="1:11">
      <c r="A5216" s="760"/>
      <c r="B5216" s="760"/>
      <c r="C5216" s="760"/>
      <c r="D5216" s="760"/>
      <c r="E5216" s="760"/>
      <c r="F5216" s="760"/>
      <c r="G5216" s="760"/>
      <c r="H5216" s="760"/>
      <c r="I5216" s="760"/>
      <c r="J5216" s="760"/>
      <c r="K5216" s="760"/>
    </row>
    <row r="5217" spans="1:11">
      <c r="A5217" s="760"/>
      <c r="B5217" s="760"/>
      <c r="C5217" s="760"/>
      <c r="D5217" s="760"/>
      <c r="E5217" s="760"/>
      <c r="F5217" s="760"/>
      <c r="G5217" s="760"/>
      <c r="H5217" s="760"/>
      <c r="I5217" s="760"/>
      <c r="J5217" s="760"/>
      <c r="K5217" s="760"/>
    </row>
    <row r="5218" spans="1:11">
      <c r="A5218" s="760"/>
      <c r="B5218" s="760"/>
      <c r="C5218" s="760"/>
      <c r="D5218" s="760"/>
      <c r="E5218" s="760"/>
      <c r="F5218" s="760"/>
      <c r="G5218" s="760"/>
      <c r="H5218" s="760"/>
      <c r="I5218" s="760"/>
      <c r="J5218" s="760"/>
      <c r="K5218" s="760"/>
    </row>
    <row r="5219" spans="1:11">
      <c r="A5219" s="760"/>
      <c r="B5219" s="760"/>
      <c r="C5219" s="760"/>
      <c r="D5219" s="760"/>
      <c r="E5219" s="760"/>
      <c r="F5219" s="760"/>
      <c r="G5219" s="760"/>
      <c r="H5219" s="760"/>
      <c r="I5219" s="760"/>
      <c r="J5219" s="760"/>
      <c r="K5219" s="760"/>
    </row>
    <row r="5220" spans="1:11">
      <c r="A5220" s="760"/>
      <c r="B5220" s="760"/>
      <c r="C5220" s="760"/>
      <c r="D5220" s="760"/>
      <c r="E5220" s="760"/>
      <c r="F5220" s="760"/>
      <c r="G5220" s="760"/>
      <c r="H5220" s="760"/>
      <c r="I5220" s="760"/>
      <c r="J5220" s="760"/>
      <c r="K5220" s="760"/>
    </row>
    <row r="5221" spans="1:11">
      <c r="A5221" s="760"/>
      <c r="B5221" s="760"/>
      <c r="C5221" s="760"/>
      <c r="D5221" s="760"/>
      <c r="E5221" s="760"/>
      <c r="F5221" s="760"/>
      <c r="G5221" s="760"/>
      <c r="H5221" s="760"/>
      <c r="I5221" s="760"/>
      <c r="J5221" s="760"/>
      <c r="K5221" s="760"/>
    </row>
    <row r="5222" spans="1:11">
      <c r="A5222" s="760"/>
      <c r="B5222" s="760"/>
      <c r="C5222" s="760"/>
      <c r="D5222" s="760"/>
      <c r="E5222" s="760"/>
      <c r="F5222" s="760"/>
      <c r="G5222" s="760"/>
      <c r="H5222" s="760"/>
      <c r="I5222" s="760"/>
      <c r="J5222" s="760"/>
      <c r="K5222" s="760"/>
    </row>
    <row r="5223" spans="1:11">
      <c r="A5223" s="760"/>
      <c r="B5223" s="760"/>
      <c r="C5223" s="760"/>
      <c r="D5223" s="760"/>
      <c r="E5223" s="760"/>
      <c r="F5223" s="760"/>
      <c r="G5223" s="760"/>
      <c r="H5223" s="760"/>
      <c r="I5223" s="760"/>
      <c r="J5223" s="760"/>
      <c r="K5223" s="760"/>
    </row>
    <row r="5224" spans="1:11">
      <c r="A5224" s="760"/>
      <c r="B5224" s="760"/>
      <c r="C5224" s="760"/>
      <c r="D5224" s="760"/>
      <c r="E5224" s="760"/>
      <c r="F5224" s="760"/>
      <c r="G5224" s="760"/>
      <c r="H5224" s="760"/>
      <c r="I5224" s="760"/>
      <c r="J5224" s="760"/>
      <c r="K5224" s="760"/>
    </row>
    <row r="5225" spans="1:11">
      <c r="A5225" s="760"/>
      <c r="B5225" s="760"/>
      <c r="C5225" s="760"/>
      <c r="D5225" s="760"/>
      <c r="E5225" s="760"/>
      <c r="F5225" s="760"/>
      <c r="G5225" s="760"/>
      <c r="H5225" s="760"/>
      <c r="I5225" s="760"/>
      <c r="J5225" s="760"/>
      <c r="K5225" s="760"/>
    </row>
    <row r="5226" spans="1:11">
      <c r="A5226" s="760"/>
      <c r="B5226" s="760"/>
      <c r="C5226" s="760"/>
      <c r="D5226" s="760"/>
      <c r="E5226" s="760"/>
      <c r="F5226" s="760"/>
      <c r="G5226" s="760"/>
      <c r="H5226" s="760"/>
      <c r="I5226" s="760"/>
      <c r="J5226" s="760"/>
      <c r="K5226" s="760"/>
    </row>
    <row r="5227" spans="1:11">
      <c r="A5227" s="760"/>
      <c r="B5227" s="760"/>
      <c r="C5227" s="760"/>
      <c r="D5227" s="760"/>
      <c r="E5227" s="760"/>
      <c r="F5227" s="760"/>
      <c r="G5227" s="760"/>
      <c r="H5227" s="760"/>
      <c r="I5227" s="760"/>
      <c r="J5227" s="760"/>
      <c r="K5227" s="760"/>
    </row>
    <row r="5228" spans="1:11">
      <c r="A5228" s="760"/>
      <c r="B5228" s="760"/>
      <c r="C5228" s="760"/>
      <c r="D5228" s="760"/>
      <c r="E5228" s="760"/>
      <c r="F5228" s="760"/>
      <c r="G5228" s="760"/>
      <c r="H5228" s="760"/>
      <c r="I5228" s="760"/>
      <c r="J5228" s="760"/>
      <c r="K5228" s="760"/>
    </row>
    <row r="5229" spans="1:11">
      <c r="A5229" s="760"/>
      <c r="B5229" s="760"/>
      <c r="C5229" s="760"/>
      <c r="D5229" s="760"/>
      <c r="E5229" s="760"/>
      <c r="F5229" s="760"/>
      <c r="G5229" s="760"/>
      <c r="H5229" s="760"/>
      <c r="I5229" s="760"/>
      <c r="J5229" s="760"/>
      <c r="K5229" s="760"/>
    </row>
    <row r="5230" spans="1:11">
      <c r="A5230" s="760"/>
      <c r="B5230" s="760"/>
      <c r="C5230" s="760"/>
      <c r="D5230" s="760"/>
      <c r="E5230" s="760"/>
      <c r="F5230" s="760"/>
      <c r="G5230" s="760"/>
      <c r="H5230" s="760"/>
      <c r="I5230" s="760"/>
      <c r="J5230" s="760"/>
      <c r="K5230" s="760"/>
    </row>
    <row r="5231" spans="1:11">
      <c r="A5231" s="760"/>
      <c r="B5231" s="760"/>
      <c r="C5231" s="760"/>
      <c r="D5231" s="760"/>
      <c r="E5231" s="760"/>
      <c r="F5231" s="760"/>
      <c r="G5231" s="760"/>
      <c r="H5231" s="760"/>
      <c r="I5231" s="760"/>
      <c r="J5231" s="760"/>
      <c r="K5231" s="760"/>
    </row>
    <row r="5232" spans="1:11">
      <c r="A5232" s="760"/>
      <c r="B5232" s="760"/>
      <c r="C5232" s="760"/>
      <c r="D5232" s="760"/>
      <c r="E5232" s="760"/>
      <c r="F5232" s="760"/>
      <c r="G5232" s="760"/>
      <c r="H5232" s="760"/>
      <c r="I5232" s="760"/>
      <c r="J5232" s="760"/>
      <c r="K5232" s="760"/>
    </row>
    <row r="5233" spans="1:11">
      <c r="A5233" s="760"/>
      <c r="B5233" s="760"/>
      <c r="C5233" s="760"/>
      <c r="D5233" s="760"/>
      <c r="E5233" s="760"/>
      <c r="F5233" s="760"/>
      <c r="G5233" s="760"/>
      <c r="H5233" s="760"/>
      <c r="I5233" s="760"/>
      <c r="J5233" s="760"/>
      <c r="K5233" s="760"/>
    </row>
    <row r="5234" spans="1:11">
      <c r="A5234" s="760"/>
      <c r="B5234" s="760"/>
      <c r="C5234" s="760"/>
      <c r="D5234" s="760"/>
      <c r="E5234" s="760"/>
      <c r="F5234" s="760"/>
      <c r="G5234" s="760"/>
      <c r="H5234" s="760"/>
      <c r="I5234" s="760"/>
      <c r="J5234" s="760"/>
      <c r="K5234" s="760"/>
    </row>
    <row r="5235" spans="1:11">
      <c r="A5235" s="760"/>
      <c r="B5235" s="760"/>
      <c r="C5235" s="760"/>
      <c r="D5235" s="760"/>
      <c r="E5235" s="760"/>
      <c r="F5235" s="760"/>
      <c r="G5235" s="760"/>
      <c r="H5235" s="760"/>
      <c r="I5235" s="760"/>
      <c r="J5235" s="760"/>
      <c r="K5235" s="760"/>
    </row>
    <row r="5236" spans="1:11">
      <c r="A5236" s="760"/>
      <c r="B5236" s="760"/>
      <c r="C5236" s="760"/>
      <c r="D5236" s="760"/>
      <c r="E5236" s="760"/>
      <c r="F5236" s="760"/>
      <c r="G5236" s="760"/>
      <c r="H5236" s="760"/>
      <c r="I5236" s="760"/>
      <c r="J5236" s="760"/>
      <c r="K5236" s="760"/>
    </row>
    <row r="5237" spans="1:11">
      <c r="A5237" s="760"/>
      <c r="B5237" s="760"/>
      <c r="C5237" s="760"/>
      <c r="D5237" s="760"/>
      <c r="E5237" s="760"/>
      <c r="F5237" s="760"/>
      <c r="G5237" s="760"/>
      <c r="H5237" s="760"/>
      <c r="I5237" s="760"/>
      <c r="J5237" s="760"/>
      <c r="K5237" s="760"/>
    </row>
    <row r="5238" spans="1:11">
      <c r="A5238" s="760"/>
      <c r="B5238" s="760"/>
      <c r="C5238" s="760"/>
      <c r="D5238" s="760"/>
      <c r="E5238" s="760"/>
      <c r="F5238" s="760"/>
      <c r="G5238" s="760"/>
      <c r="H5238" s="760"/>
      <c r="I5238" s="760"/>
      <c r="J5238" s="760"/>
      <c r="K5238" s="760"/>
    </row>
    <row r="5239" spans="1:11">
      <c r="A5239" s="760"/>
      <c r="B5239" s="760"/>
      <c r="C5239" s="760"/>
      <c r="D5239" s="760"/>
      <c r="E5239" s="760"/>
      <c r="F5239" s="760"/>
      <c r="G5239" s="760"/>
      <c r="H5239" s="760"/>
      <c r="I5239" s="760"/>
      <c r="J5239" s="760"/>
      <c r="K5239" s="760"/>
    </row>
    <row r="5240" spans="1:11">
      <c r="A5240" s="760"/>
      <c r="B5240" s="760"/>
      <c r="C5240" s="760"/>
      <c r="D5240" s="760"/>
      <c r="E5240" s="760"/>
      <c r="F5240" s="760"/>
      <c r="G5240" s="760"/>
      <c r="H5240" s="760"/>
      <c r="I5240" s="760"/>
      <c r="J5240" s="760"/>
      <c r="K5240" s="760"/>
    </row>
    <row r="5241" spans="1:11">
      <c r="A5241" s="760"/>
      <c r="B5241" s="760"/>
      <c r="C5241" s="760"/>
      <c r="D5241" s="760"/>
      <c r="E5241" s="760"/>
      <c r="F5241" s="760"/>
      <c r="G5241" s="760"/>
      <c r="H5241" s="760"/>
      <c r="I5241" s="760"/>
      <c r="J5241" s="760"/>
      <c r="K5241" s="760"/>
    </row>
    <row r="5242" spans="1:11">
      <c r="A5242" s="760"/>
      <c r="B5242" s="760"/>
      <c r="C5242" s="760"/>
      <c r="D5242" s="760"/>
      <c r="E5242" s="760"/>
      <c r="F5242" s="760"/>
      <c r="G5242" s="760"/>
      <c r="H5242" s="760"/>
      <c r="I5242" s="760"/>
      <c r="J5242" s="760"/>
      <c r="K5242" s="760"/>
    </row>
    <row r="5243" spans="1:11">
      <c r="A5243" s="760"/>
      <c r="B5243" s="760"/>
      <c r="C5243" s="760"/>
      <c r="D5243" s="760"/>
      <c r="E5243" s="760"/>
      <c r="F5243" s="760"/>
      <c r="G5243" s="760"/>
      <c r="H5243" s="760"/>
      <c r="I5243" s="760"/>
      <c r="J5243" s="760"/>
      <c r="K5243" s="760"/>
    </row>
    <row r="5244" spans="1:11">
      <c r="A5244" s="760"/>
      <c r="B5244" s="760"/>
      <c r="C5244" s="760"/>
      <c r="D5244" s="760"/>
      <c r="E5244" s="760"/>
      <c r="F5244" s="760"/>
      <c r="G5244" s="760"/>
      <c r="H5244" s="760"/>
      <c r="I5244" s="760"/>
      <c r="J5244" s="760"/>
      <c r="K5244" s="760"/>
    </row>
    <row r="5245" spans="1:11">
      <c r="A5245" s="760"/>
      <c r="B5245" s="760"/>
      <c r="C5245" s="760"/>
      <c r="D5245" s="760"/>
      <c r="E5245" s="760"/>
      <c r="F5245" s="760"/>
      <c r="G5245" s="760"/>
      <c r="H5245" s="760"/>
      <c r="I5245" s="760"/>
      <c r="J5245" s="760"/>
      <c r="K5245" s="760"/>
    </row>
    <row r="5246" spans="1:11">
      <c r="A5246" s="760"/>
      <c r="B5246" s="760"/>
      <c r="C5246" s="760"/>
      <c r="D5246" s="760"/>
      <c r="E5246" s="760"/>
      <c r="F5246" s="760"/>
      <c r="G5246" s="760"/>
      <c r="H5246" s="760"/>
      <c r="I5246" s="760"/>
      <c r="J5246" s="760"/>
      <c r="K5246" s="760"/>
    </row>
    <row r="5247" spans="1:11">
      <c r="A5247" s="760"/>
      <c r="B5247" s="760"/>
      <c r="C5247" s="760"/>
      <c r="D5247" s="760"/>
      <c r="E5247" s="760"/>
      <c r="F5247" s="760"/>
      <c r="G5247" s="760"/>
      <c r="H5247" s="760"/>
      <c r="I5247" s="760"/>
      <c r="J5247" s="760"/>
      <c r="K5247" s="760"/>
    </row>
    <row r="5248" spans="1:11">
      <c r="A5248" s="760"/>
      <c r="B5248" s="760"/>
      <c r="C5248" s="760"/>
      <c r="D5248" s="760"/>
      <c r="E5248" s="760"/>
      <c r="F5248" s="760"/>
      <c r="G5248" s="760"/>
      <c r="H5248" s="760"/>
      <c r="I5248" s="760"/>
      <c r="J5248" s="760"/>
      <c r="K5248" s="760"/>
    </row>
    <row r="5249" spans="1:11">
      <c r="A5249" s="760"/>
      <c r="B5249" s="760"/>
      <c r="C5249" s="760"/>
      <c r="D5249" s="760"/>
      <c r="E5249" s="760"/>
      <c r="F5249" s="760"/>
      <c r="G5249" s="760"/>
      <c r="H5249" s="760"/>
      <c r="I5249" s="760"/>
      <c r="J5249" s="760"/>
      <c r="K5249" s="760"/>
    </row>
    <row r="5250" spans="1:11">
      <c r="A5250" s="760"/>
      <c r="B5250" s="760"/>
      <c r="C5250" s="760"/>
      <c r="D5250" s="760"/>
      <c r="E5250" s="760"/>
      <c r="F5250" s="760"/>
      <c r="G5250" s="760"/>
      <c r="H5250" s="760"/>
      <c r="I5250" s="760"/>
      <c r="J5250" s="760"/>
      <c r="K5250" s="760"/>
    </row>
    <row r="5251" spans="1:11">
      <c r="A5251" s="760"/>
      <c r="B5251" s="760"/>
      <c r="C5251" s="760"/>
      <c r="D5251" s="760"/>
      <c r="E5251" s="760"/>
      <c r="F5251" s="760"/>
      <c r="G5251" s="760"/>
      <c r="H5251" s="760"/>
      <c r="I5251" s="760"/>
      <c r="J5251" s="760"/>
      <c r="K5251" s="760"/>
    </row>
    <row r="5252" spans="1:11">
      <c r="A5252" s="760"/>
      <c r="B5252" s="760"/>
      <c r="C5252" s="760"/>
      <c r="D5252" s="760"/>
      <c r="E5252" s="760"/>
      <c r="F5252" s="760"/>
      <c r="G5252" s="760"/>
      <c r="H5252" s="760"/>
      <c r="I5252" s="760"/>
      <c r="J5252" s="760"/>
      <c r="K5252" s="760"/>
    </row>
    <row r="5253" spans="1:11">
      <c r="A5253" s="760"/>
      <c r="B5253" s="760"/>
      <c r="C5253" s="760"/>
      <c r="D5253" s="760"/>
      <c r="E5253" s="760"/>
      <c r="F5253" s="760"/>
      <c r="G5253" s="760"/>
      <c r="H5253" s="760"/>
      <c r="I5253" s="760"/>
      <c r="J5253" s="760"/>
      <c r="K5253" s="760"/>
    </row>
    <row r="5254" spans="1:11">
      <c r="A5254" s="760"/>
      <c r="B5254" s="760"/>
      <c r="C5254" s="760"/>
      <c r="D5254" s="760"/>
      <c r="E5254" s="760"/>
      <c r="F5254" s="760"/>
      <c r="G5254" s="760"/>
      <c r="H5254" s="760"/>
      <c r="I5254" s="760"/>
      <c r="J5254" s="760"/>
      <c r="K5254" s="760"/>
    </row>
    <row r="5255" spans="1:11">
      <c r="A5255" s="760"/>
      <c r="B5255" s="760"/>
      <c r="C5255" s="760"/>
      <c r="D5255" s="760"/>
      <c r="E5255" s="760"/>
      <c r="F5255" s="760"/>
      <c r="G5255" s="760"/>
      <c r="H5255" s="760"/>
      <c r="I5255" s="760"/>
      <c r="J5255" s="760"/>
      <c r="K5255" s="760"/>
    </row>
    <row r="5256" spans="1:11">
      <c r="A5256" s="760"/>
      <c r="B5256" s="760"/>
      <c r="C5256" s="760"/>
      <c r="D5256" s="760"/>
      <c r="E5256" s="760"/>
      <c r="F5256" s="760"/>
      <c r="G5256" s="760"/>
      <c r="H5256" s="760"/>
      <c r="I5256" s="760"/>
      <c r="J5256" s="760"/>
      <c r="K5256" s="760"/>
    </row>
    <row r="5257" spans="1:11">
      <c r="A5257" s="760"/>
      <c r="B5257" s="760"/>
      <c r="C5257" s="760"/>
      <c r="D5257" s="760"/>
      <c r="E5257" s="760"/>
      <c r="F5257" s="760"/>
      <c r="G5257" s="760"/>
      <c r="H5257" s="760"/>
      <c r="I5257" s="760"/>
      <c r="J5257" s="760"/>
      <c r="K5257" s="760"/>
    </row>
    <row r="5258" spans="1:11">
      <c r="A5258" s="760"/>
      <c r="B5258" s="760"/>
      <c r="C5258" s="760"/>
      <c r="D5258" s="760"/>
      <c r="E5258" s="760"/>
      <c r="F5258" s="760"/>
      <c r="G5258" s="760"/>
      <c r="H5258" s="760"/>
      <c r="I5258" s="760"/>
      <c r="J5258" s="760"/>
      <c r="K5258" s="760"/>
    </row>
    <row r="5259" spans="1:11">
      <c r="A5259" s="760"/>
      <c r="B5259" s="760"/>
      <c r="C5259" s="760"/>
      <c r="D5259" s="760"/>
      <c r="E5259" s="760"/>
      <c r="F5259" s="760"/>
      <c r="G5259" s="760"/>
      <c r="H5259" s="760"/>
      <c r="I5259" s="760"/>
      <c r="J5259" s="760"/>
      <c r="K5259" s="760"/>
    </row>
    <row r="5260" spans="1:11">
      <c r="A5260" s="760"/>
      <c r="B5260" s="760"/>
      <c r="C5260" s="760"/>
      <c r="D5260" s="760"/>
      <c r="E5260" s="760"/>
      <c r="F5260" s="760"/>
      <c r="G5260" s="760"/>
      <c r="H5260" s="760"/>
      <c r="I5260" s="760"/>
      <c r="J5260" s="760"/>
      <c r="K5260" s="760"/>
    </row>
    <row r="5261" spans="1:11">
      <c r="A5261" s="760"/>
      <c r="B5261" s="760"/>
      <c r="C5261" s="760"/>
      <c r="D5261" s="760"/>
      <c r="E5261" s="760"/>
      <c r="F5261" s="760"/>
      <c r="G5261" s="760"/>
      <c r="H5261" s="760"/>
      <c r="I5261" s="760"/>
      <c r="J5261" s="760"/>
      <c r="K5261" s="760"/>
    </row>
    <row r="5262" spans="1:11">
      <c r="A5262" s="760"/>
      <c r="B5262" s="760"/>
      <c r="C5262" s="760"/>
      <c r="D5262" s="760"/>
      <c r="E5262" s="760"/>
      <c r="F5262" s="760"/>
      <c r="G5262" s="760"/>
      <c r="H5262" s="760"/>
      <c r="I5262" s="760"/>
      <c r="J5262" s="760"/>
      <c r="K5262" s="760"/>
    </row>
    <row r="5263" spans="1:11">
      <c r="A5263" s="760"/>
      <c r="B5263" s="760"/>
      <c r="C5263" s="760"/>
      <c r="D5263" s="760"/>
      <c r="E5263" s="760"/>
      <c r="F5263" s="760"/>
      <c r="G5263" s="760"/>
      <c r="H5263" s="760"/>
      <c r="I5263" s="760"/>
      <c r="J5263" s="760"/>
      <c r="K5263" s="760"/>
    </row>
    <row r="5264" spans="1:11">
      <c r="A5264" s="760"/>
      <c r="B5264" s="760"/>
      <c r="C5264" s="760"/>
      <c r="D5264" s="760"/>
      <c r="E5264" s="760"/>
      <c r="F5264" s="760"/>
      <c r="G5264" s="760"/>
      <c r="H5264" s="760"/>
      <c r="I5264" s="760"/>
      <c r="J5264" s="760"/>
      <c r="K5264" s="760"/>
    </row>
    <row r="5265" spans="1:11">
      <c r="A5265" s="760"/>
      <c r="B5265" s="760"/>
      <c r="C5265" s="760"/>
      <c r="D5265" s="760"/>
      <c r="E5265" s="760"/>
      <c r="F5265" s="760"/>
      <c r="G5265" s="760"/>
      <c r="H5265" s="760"/>
      <c r="I5265" s="760"/>
      <c r="J5265" s="760"/>
      <c r="K5265" s="760"/>
    </row>
    <row r="5266" spans="1:11">
      <c r="A5266" s="760"/>
      <c r="B5266" s="760"/>
      <c r="C5266" s="760"/>
      <c r="D5266" s="760"/>
      <c r="E5266" s="760"/>
      <c r="F5266" s="760"/>
      <c r="G5266" s="760"/>
      <c r="H5266" s="760"/>
      <c r="I5266" s="760"/>
      <c r="J5266" s="760"/>
      <c r="K5266" s="760"/>
    </row>
    <row r="5267" spans="1:11">
      <c r="A5267" s="760"/>
      <c r="B5267" s="760"/>
      <c r="C5267" s="760"/>
      <c r="D5267" s="760"/>
      <c r="E5267" s="760"/>
      <c r="F5267" s="760"/>
      <c r="G5267" s="760"/>
      <c r="H5267" s="760"/>
      <c r="I5267" s="760"/>
      <c r="J5267" s="760"/>
      <c r="K5267" s="760"/>
    </row>
    <row r="5268" spans="1:11">
      <c r="A5268" s="760"/>
      <c r="B5268" s="760"/>
      <c r="C5268" s="760"/>
      <c r="D5268" s="760"/>
      <c r="E5268" s="760"/>
      <c r="F5268" s="760"/>
      <c r="G5268" s="760"/>
      <c r="H5268" s="760"/>
      <c r="I5268" s="760"/>
      <c r="J5268" s="760"/>
      <c r="K5268" s="760"/>
    </row>
    <row r="5269" spans="1:11">
      <c r="A5269" s="760"/>
      <c r="B5269" s="760"/>
      <c r="C5269" s="760"/>
      <c r="D5269" s="760"/>
      <c r="E5269" s="760"/>
      <c r="F5269" s="760"/>
      <c r="G5269" s="760"/>
      <c r="H5269" s="760"/>
      <c r="I5269" s="760"/>
      <c r="J5269" s="760"/>
      <c r="K5269" s="760"/>
    </row>
    <row r="5270" spans="1:11">
      <c r="A5270" s="760"/>
      <c r="B5270" s="760"/>
      <c r="C5270" s="760"/>
      <c r="D5270" s="760"/>
      <c r="E5270" s="760"/>
      <c r="F5270" s="760"/>
      <c r="G5270" s="760"/>
      <c r="H5270" s="760"/>
      <c r="I5270" s="760"/>
      <c r="J5270" s="760"/>
      <c r="K5270" s="760"/>
    </row>
    <row r="5271" spans="1:11">
      <c r="A5271" s="760"/>
      <c r="B5271" s="760"/>
      <c r="C5271" s="760"/>
      <c r="D5271" s="760"/>
      <c r="E5271" s="760"/>
      <c r="F5271" s="760"/>
      <c r="G5271" s="760"/>
      <c r="H5271" s="760"/>
      <c r="I5271" s="760"/>
      <c r="J5271" s="760"/>
      <c r="K5271" s="760"/>
    </row>
    <row r="5272" spans="1:11">
      <c r="A5272" s="760"/>
      <c r="B5272" s="760"/>
      <c r="C5272" s="760"/>
      <c r="D5272" s="760"/>
      <c r="E5272" s="760"/>
      <c r="F5272" s="760"/>
      <c r="G5272" s="760"/>
      <c r="H5272" s="760"/>
      <c r="I5272" s="760"/>
      <c r="J5272" s="760"/>
      <c r="K5272" s="760"/>
    </row>
    <row r="5273" spans="1:11">
      <c r="A5273" s="760"/>
      <c r="B5273" s="760"/>
      <c r="C5273" s="760"/>
      <c r="D5273" s="760"/>
      <c r="E5273" s="760"/>
      <c r="F5273" s="760"/>
      <c r="G5273" s="760"/>
      <c r="H5273" s="760"/>
      <c r="I5273" s="760"/>
      <c r="J5273" s="760"/>
      <c r="K5273" s="760"/>
    </row>
    <row r="5274" spans="1:11">
      <c r="A5274" s="760"/>
      <c r="B5274" s="760"/>
      <c r="C5274" s="760"/>
      <c r="D5274" s="760"/>
      <c r="E5274" s="760"/>
      <c r="F5274" s="760"/>
      <c r="G5274" s="760"/>
      <c r="H5274" s="760"/>
      <c r="I5274" s="760"/>
      <c r="J5274" s="760"/>
      <c r="K5274" s="760"/>
    </row>
    <row r="5275" spans="1:11">
      <c r="A5275" s="760"/>
      <c r="B5275" s="760"/>
      <c r="C5275" s="760"/>
      <c r="D5275" s="760"/>
      <c r="E5275" s="760"/>
      <c r="F5275" s="760"/>
      <c r="G5275" s="760"/>
      <c r="H5275" s="760"/>
      <c r="I5275" s="760"/>
      <c r="J5275" s="760"/>
      <c r="K5275" s="760"/>
    </row>
    <row r="5276" spans="1:11">
      <c r="A5276" s="760"/>
      <c r="B5276" s="760"/>
      <c r="C5276" s="760"/>
      <c r="D5276" s="760"/>
      <c r="E5276" s="760"/>
      <c r="F5276" s="760"/>
      <c r="G5276" s="760"/>
      <c r="H5276" s="760"/>
      <c r="I5276" s="760"/>
      <c r="J5276" s="760"/>
      <c r="K5276" s="760"/>
    </row>
    <row r="5277" spans="1:11">
      <c r="A5277" s="760"/>
      <c r="B5277" s="760"/>
      <c r="C5277" s="760"/>
      <c r="D5277" s="760"/>
      <c r="E5277" s="760"/>
      <c r="F5277" s="760"/>
      <c r="G5277" s="760"/>
      <c r="H5277" s="760"/>
      <c r="I5277" s="760"/>
      <c r="J5277" s="760"/>
      <c r="K5277" s="760"/>
    </row>
    <row r="5278" spans="1:11">
      <c r="A5278" s="760"/>
      <c r="B5278" s="760"/>
      <c r="C5278" s="760"/>
      <c r="D5278" s="760"/>
      <c r="E5278" s="760"/>
      <c r="F5278" s="760"/>
      <c r="G5278" s="760"/>
      <c r="H5278" s="760"/>
      <c r="I5278" s="760"/>
      <c r="J5278" s="760"/>
      <c r="K5278" s="760"/>
    </row>
    <row r="5279" spans="1:11">
      <c r="A5279" s="760"/>
      <c r="B5279" s="760"/>
      <c r="C5279" s="760"/>
      <c r="D5279" s="760"/>
      <c r="E5279" s="760"/>
      <c r="F5279" s="760"/>
      <c r="G5279" s="760"/>
      <c r="H5279" s="760"/>
      <c r="I5279" s="760"/>
      <c r="J5279" s="760"/>
      <c r="K5279" s="760"/>
    </row>
    <row r="5280" spans="1:11">
      <c r="A5280" s="760"/>
      <c r="B5280" s="760"/>
      <c r="C5280" s="760"/>
      <c r="D5280" s="760"/>
      <c r="E5280" s="760"/>
      <c r="F5280" s="760"/>
      <c r="G5280" s="760"/>
      <c r="H5280" s="760"/>
      <c r="I5280" s="760"/>
      <c r="J5280" s="760"/>
      <c r="K5280" s="760"/>
    </row>
    <row r="5281" spans="1:11">
      <c r="A5281" s="760"/>
      <c r="B5281" s="760"/>
      <c r="C5281" s="760"/>
      <c r="D5281" s="760"/>
      <c r="E5281" s="760"/>
      <c r="F5281" s="760"/>
      <c r="G5281" s="760"/>
      <c r="H5281" s="760"/>
      <c r="I5281" s="760"/>
      <c r="J5281" s="760"/>
      <c r="K5281" s="760"/>
    </row>
    <row r="5282" spans="1:11">
      <c r="A5282" s="760"/>
      <c r="B5282" s="760"/>
      <c r="C5282" s="760"/>
      <c r="D5282" s="760"/>
      <c r="E5282" s="760"/>
      <c r="F5282" s="760"/>
      <c r="G5282" s="760"/>
      <c r="H5282" s="760"/>
      <c r="I5282" s="760"/>
      <c r="J5282" s="760"/>
      <c r="K5282" s="760"/>
    </row>
    <row r="5283" spans="1:11">
      <c r="A5283" s="760"/>
      <c r="B5283" s="760"/>
      <c r="C5283" s="760"/>
      <c r="D5283" s="760"/>
      <c r="E5283" s="760"/>
      <c r="F5283" s="760"/>
      <c r="G5283" s="760"/>
      <c r="H5283" s="760"/>
      <c r="I5283" s="760"/>
      <c r="J5283" s="760"/>
      <c r="K5283" s="760"/>
    </row>
    <row r="5284" spans="1:11">
      <c r="A5284" s="760"/>
      <c r="B5284" s="760"/>
      <c r="C5284" s="760"/>
      <c r="D5284" s="760"/>
      <c r="E5284" s="760"/>
      <c r="F5284" s="760"/>
      <c r="G5284" s="760"/>
      <c r="H5284" s="760"/>
      <c r="I5284" s="760"/>
      <c r="J5284" s="760"/>
      <c r="K5284" s="760"/>
    </row>
    <row r="5285" spans="1:11">
      <c r="A5285" s="760"/>
      <c r="B5285" s="760"/>
      <c r="C5285" s="760"/>
      <c r="D5285" s="760"/>
      <c r="E5285" s="760"/>
      <c r="F5285" s="760"/>
      <c r="G5285" s="760"/>
      <c r="H5285" s="760"/>
      <c r="I5285" s="760"/>
      <c r="J5285" s="760"/>
      <c r="K5285" s="760"/>
    </row>
    <row r="5286" spans="1:11">
      <c r="A5286" s="760"/>
      <c r="B5286" s="760"/>
      <c r="C5286" s="760"/>
      <c r="D5286" s="760"/>
      <c r="E5286" s="760"/>
      <c r="F5286" s="760"/>
      <c r="G5286" s="760"/>
      <c r="H5286" s="760"/>
      <c r="I5286" s="760"/>
      <c r="J5286" s="760"/>
      <c r="K5286" s="760"/>
    </row>
    <row r="5287" spans="1:11">
      <c r="A5287" s="760"/>
      <c r="B5287" s="760"/>
      <c r="C5287" s="760"/>
      <c r="D5287" s="760"/>
      <c r="E5287" s="760"/>
      <c r="F5287" s="760"/>
      <c r="G5287" s="760"/>
      <c r="H5287" s="760"/>
      <c r="I5287" s="760"/>
      <c r="J5287" s="760"/>
      <c r="K5287" s="760"/>
    </row>
    <row r="5288" spans="1:11">
      <c r="A5288" s="760"/>
      <c r="B5288" s="760"/>
      <c r="C5288" s="760"/>
      <c r="D5288" s="760"/>
      <c r="E5288" s="760"/>
      <c r="F5288" s="760"/>
      <c r="G5288" s="760"/>
      <c r="H5288" s="760"/>
      <c r="I5288" s="760"/>
      <c r="J5288" s="760"/>
      <c r="K5288" s="760"/>
    </row>
    <row r="5289" spans="1:11">
      <c r="A5289" s="760"/>
      <c r="B5289" s="760"/>
      <c r="C5289" s="760"/>
      <c r="D5289" s="760"/>
      <c r="E5289" s="760"/>
      <c r="F5289" s="760"/>
      <c r="G5289" s="760"/>
      <c r="H5289" s="760"/>
      <c r="I5289" s="760"/>
      <c r="J5289" s="760"/>
      <c r="K5289" s="760"/>
    </row>
    <row r="5290" spans="1:11">
      <c r="A5290" s="760"/>
      <c r="B5290" s="760"/>
      <c r="C5290" s="760"/>
      <c r="D5290" s="760"/>
      <c r="E5290" s="760"/>
      <c r="F5290" s="760"/>
      <c r="G5290" s="760"/>
      <c r="H5290" s="760"/>
      <c r="I5290" s="760"/>
      <c r="J5290" s="760"/>
      <c r="K5290" s="760"/>
    </row>
    <row r="5291" spans="1:11">
      <c r="A5291" s="760"/>
      <c r="B5291" s="760"/>
      <c r="C5291" s="760"/>
      <c r="D5291" s="760"/>
      <c r="E5291" s="760"/>
      <c r="F5291" s="760"/>
      <c r="G5291" s="760"/>
      <c r="H5291" s="760"/>
      <c r="I5291" s="760"/>
      <c r="J5291" s="760"/>
      <c r="K5291" s="760"/>
    </row>
    <row r="5292" spans="1:11">
      <c r="A5292" s="760"/>
      <c r="B5292" s="760"/>
      <c r="C5292" s="760"/>
      <c r="D5292" s="760"/>
      <c r="E5292" s="760"/>
      <c r="F5292" s="760"/>
      <c r="G5292" s="760"/>
      <c r="H5292" s="760"/>
      <c r="I5292" s="760"/>
      <c r="J5292" s="760"/>
      <c r="K5292" s="760"/>
    </row>
    <row r="5293" spans="1:11">
      <c r="A5293" s="760"/>
      <c r="B5293" s="760"/>
      <c r="C5293" s="760"/>
      <c r="D5293" s="760"/>
      <c r="E5293" s="760"/>
      <c r="F5293" s="760"/>
      <c r="G5293" s="760"/>
      <c r="H5293" s="760"/>
      <c r="I5293" s="760"/>
      <c r="J5293" s="760"/>
      <c r="K5293" s="760"/>
    </row>
    <row r="5294" spans="1:11">
      <c r="A5294" s="760"/>
      <c r="B5294" s="760"/>
      <c r="C5294" s="760"/>
      <c r="D5294" s="760"/>
      <c r="E5294" s="760"/>
      <c r="F5294" s="760"/>
      <c r="G5294" s="760"/>
      <c r="H5294" s="760"/>
      <c r="I5294" s="760"/>
      <c r="J5294" s="760"/>
      <c r="K5294" s="760"/>
    </row>
    <row r="5295" spans="1:11">
      <c r="A5295" s="760"/>
      <c r="B5295" s="760"/>
      <c r="C5295" s="760"/>
      <c r="D5295" s="760"/>
      <c r="E5295" s="760"/>
      <c r="F5295" s="760"/>
      <c r="G5295" s="760"/>
      <c r="H5295" s="760"/>
      <c r="I5295" s="760"/>
      <c r="J5295" s="760"/>
      <c r="K5295" s="760"/>
    </row>
    <row r="5296" spans="1:11">
      <c r="A5296" s="760"/>
      <c r="B5296" s="760"/>
      <c r="C5296" s="760"/>
      <c r="D5296" s="760"/>
      <c r="E5296" s="760"/>
      <c r="F5296" s="760"/>
      <c r="G5296" s="760"/>
      <c r="H5296" s="760"/>
      <c r="I5296" s="760"/>
      <c r="J5296" s="760"/>
      <c r="K5296" s="760"/>
    </row>
    <row r="5297" spans="1:11">
      <c r="A5297" s="760"/>
      <c r="B5297" s="760"/>
      <c r="C5297" s="760"/>
      <c r="D5297" s="760"/>
      <c r="E5297" s="760"/>
      <c r="F5297" s="760"/>
      <c r="G5297" s="760"/>
      <c r="H5297" s="760"/>
      <c r="I5297" s="760"/>
      <c r="J5297" s="760"/>
      <c r="K5297" s="760"/>
    </row>
    <row r="5298" spans="1:11">
      <c r="A5298" s="760"/>
      <c r="B5298" s="760"/>
      <c r="C5298" s="760"/>
      <c r="D5298" s="760"/>
      <c r="E5298" s="760"/>
      <c r="F5298" s="760"/>
      <c r="G5298" s="760"/>
      <c r="H5298" s="760"/>
      <c r="I5298" s="760"/>
      <c r="J5298" s="760"/>
      <c r="K5298" s="760"/>
    </row>
    <row r="5299" spans="1:11">
      <c r="A5299" s="760"/>
      <c r="B5299" s="760"/>
      <c r="C5299" s="760"/>
      <c r="D5299" s="760"/>
      <c r="E5299" s="760"/>
      <c r="F5299" s="760"/>
      <c r="G5299" s="760"/>
      <c r="H5299" s="760"/>
      <c r="I5299" s="760"/>
      <c r="J5299" s="760"/>
      <c r="K5299" s="760"/>
    </row>
    <row r="5300" spans="1:11">
      <c r="A5300" s="760"/>
      <c r="B5300" s="760"/>
      <c r="C5300" s="760"/>
      <c r="D5300" s="760"/>
      <c r="E5300" s="760"/>
      <c r="F5300" s="760"/>
      <c r="G5300" s="760"/>
      <c r="H5300" s="760"/>
      <c r="I5300" s="760"/>
      <c r="J5300" s="760"/>
      <c r="K5300" s="760"/>
    </row>
    <row r="5301" spans="1:11">
      <c r="A5301" s="760"/>
      <c r="B5301" s="760"/>
      <c r="C5301" s="760"/>
      <c r="D5301" s="760"/>
      <c r="E5301" s="760"/>
      <c r="F5301" s="760"/>
      <c r="G5301" s="760"/>
      <c r="H5301" s="760"/>
      <c r="I5301" s="760"/>
      <c r="J5301" s="760"/>
      <c r="K5301" s="760"/>
    </row>
    <row r="5302" spans="1:11">
      <c r="A5302" s="760"/>
      <c r="B5302" s="760"/>
      <c r="C5302" s="760"/>
      <c r="D5302" s="760"/>
      <c r="E5302" s="760"/>
      <c r="F5302" s="760"/>
      <c r="G5302" s="760"/>
      <c r="H5302" s="760"/>
      <c r="I5302" s="760"/>
      <c r="J5302" s="760"/>
      <c r="K5302" s="760"/>
    </row>
    <row r="5303" spans="1:11">
      <c r="A5303" s="760"/>
      <c r="B5303" s="760"/>
      <c r="C5303" s="760"/>
      <c r="D5303" s="760"/>
      <c r="E5303" s="760"/>
      <c r="F5303" s="760"/>
      <c r="G5303" s="760"/>
      <c r="H5303" s="760"/>
      <c r="I5303" s="760"/>
      <c r="J5303" s="760"/>
      <c r="K5303" s="760"/>
    </row>
    <row r="5304" spans="1:11">
      <c r="A5304" s="760"/>
      <c r="B5304" s="760"/>
      <c r="C5304" s="760"/>
      <c r="D5304" s="760"/>
      <c r="E5304" s="760"/>
      <c r="F5304" s="760"/>
      <c r="G5304" s="760"/>
      <c r="H5304" s="760"/>
      <c r="I5304" s="760"/>
      <c r="J5304" s="760"/>
      <c r="K5304" s="760"/>
    </row>
    <row r="5305" spans="1:11">
      <c r="A5305" s="760"/>
      <c r="B5305" s="760"/>
      <c r="C5305" s="760"/>
      <c r="D5305" s="760"/>
      <c r="E5305" s="760"/>
      <c r="F5305" s="760"/>
      <c r="G5305" s="760"/>
      <c r="H5305" s="760"/>
      <c r="I5305" s="760"/>
      <c r="J5305" s="760"/>
      <c r="K5305" s="760"/>
    </row>
    <row r="5306" spans="1:11">
      <c r="A5306" s="760"/>
      <c r="B5306" s="760"/>
      <c r="C5306" s="760"/>
      <c r="D5306" s="760"/>
      <c r="E5306" s="760"/>
      <c r="F5306" s="760"/>
      <c r="G5306" s="760"/>
      <c r="H5306" s="760"/>
      <c r="I5306" s="760"/>
      <c r="J5306" s="760"/>
      <c r="K5306" s="760"/>
    </row>
    <row r="5307" spans="1:11">
      <c r="A5307" s="760"/>
      <c r="B5307" s="760"/>
      <c r="C5307" s="760"/>
      <c r="D5307" s="760"/>
      <c r="E5307" s="760"/>
      <c r="F5307" s="760"/>
      <c r="G5307" s="760"/>
      <c r="H5307" s="760"/>
      <c r="I5307" s="760"/>
      <c r="J5307" s="760"/>
      <c r="K5307" s="760"/>
    </row>
    <row r="5308" spans="1:11">
      <c r="A5308" s="760"/>
      <c r="B5308" s="760"/>
      <c r="C5308" s="760"/>
      <c r="D5308" s="760"/>
      <c r="E5308" s="760"/>
      <c r="F5308" s="760"/>
      <c r="G5308" s="760"/>
      <c r="H5308" s="760"/>
      <c r="I5308" s="760"/>
      <c r="J5308" s="760"/>
      <c r="K5308" s="760"/>
    </row>
    <row r="5309" spans="1:11">
      <c r="A5309" s="760"/>
      <c r="B5309" s="760"/>
      <c r="C5309" s="760"/>
      <c r="D5309" s="760"/>
      <c r="E5309" s="760"/>
      <c r="F5309" s="760"/>
      <c r="G5309" s="760"/>
      <c r="H5309" s="760"/>
      <c r="I5309" s="760"/>
      <c r="J5309" s="760"/>
      <c r="K5309" s="760"/>
    </row>
    <row r="5310" spans="1:11">
      <c r="A5310" s="760"/>
      <c r="B5310" s="760"/>
      <c r="C5310" s="760"/>
      <c r="D5310" s="760"/>
      <c r="E5310" s="760"/>
      <c r="F5310" s="760"/>
      <c r="G5310" s="760"/>
      <c r="H5310" s="760"/>
      <c r="I5310" s="760"/>
      <c r="J5310" s="760"/>
      <c r="K5310" s="760"/>
    </row>
    <row r="5311" spans="1:11">
      <c r="A5311" s="760"/>
      <c r="B5311" s="760"/>
      <c r="C5311" s="760"/>
      <c r="D5311" s="760"/>
      <c r="E5311" s="760"/>
      <c r="F5311" s="760"/>
      <c r="G5311" s="760"/>
      <c r="H5311" s="760"/>
      <c r="I5311" s="760"/>
      <c r="J5311" s="760"/>
      <c r="K5311" s="760"/>
    </row>
    <row r="5312" spans="1:11">
      <c r="A5312" s="760"/>
      <c r="B5312" s="760"/>
      <c r="C5312" s="760"/>
      <c r="D5312" s="760"/>
      <c r="E5312" s="760"/>
      <c r="F5312" s="760"/>
      <c r="G5312" s="760"/>
      <c r="H5312" s="760"/>
      <c r="I5312" s="760"/>
      <c r="J5312" s="760"/>
      <c r="K5312" s="760"/>
    </row>
    <row r="5313" spans="1:11">
      <c r="A5313" s="760"/>
      <c r="B5313" s="760"/>
      <c r="C5313" s="760"/>
      <c r="D5313" s="760"/>
      <c r="E5313" s="760"/>
      <c r="F5313" s="760"/>
      <c r="G5313" s="760"/>
      <c r="H5313" s="760"/>
      <c r="I5313" s="760"/>
      <c r="J5313" s="760"/>
      <c r="K5313" s="760"/>
    </row>
    <row r="5314" spans="1:11">
      <c r="A5314" s="760"/>
      <c r="B5314" s="760"/>
      <c r="C5314" s="760"/>
      <c r="D5314" s="760"/>
      <c r="E5314" s="760"/>
      <c r="F5314" s="760"/>
      <c r="G5314" s="760"/>
      <c r="H5314" s="760"/>
      <c r="I5314" s="760"/>
      <c r="J5314" s="760"/>
      <c r="K5314" s="760"/>
    </row>
    <row r="5315" spans="1:11">
      <c r="A5315" s="760"/>
      <c r="B5315" s="760"/>
      <c r="C5315" s="760"/>
      <c r="D5315" s="760"/>
      <c r="E5315" s="760"/>
      <c r="F5315" s="760"/>
      <c r="G5315" s="760"/>
      <c r="H5315" s="760"/>
      <c r="I5315" s="760"/>
      <c r="J5315" s="760"/>
      <c r="K5315" s="760"/>
    </row>
    <row r="5316" spans="1:11">
      <c r="A5316" s="760"/>
      <c r="B5316" s="760"/>
      <c r="C5316" s="760"/>
      <c r="D5316" s="760"/>
      <c r="E5316" s="760"/>
      <c r="F5316" s="760"/>
      <c r="G5316" s="760"/>
      <c r="H5316" s="760"/>
      <c r="I5316" s="760"/>
      <c r="J5316" s="760"/>
      <c r="K5316" s="760"/>
    </row>
    <row r="5317" spans="1:11">
      <c r="A5317" s="760"/>
      <c r="B5317" s="760"/>
      <c r="C5317" s="760"/>
      <c r="D5317" s="760"/>
      <c r="E5317" s="760"/>
      <c r="F5317" s="760"/>
      <c r="G5317" s="760"/>
      <c r="H5317" s="760"/>
      <c r="I5317" s="760"/>
      <c r="J5317" s="760"/>
      <c r="K5317" s="760"/>
    </row>
    <row r="5318" spans="1:11">
      <c r="A5318" s="760"/>
      <c r="B5318" s="760"/>
      <c r="C5318" s="760"/>
      <c r="D5318" s="760"/>
      <c r="E5318" s="760"/>
      <c r="F5318" s="760"/>
      <c r="G5318" s="760"/>
      <c r="H5318" s="760"/>
      <c r="I5318" s="760"/>
      <c r="J5318" s="760"/>
      <c r="K5318" s="760"/>
    </row>
    <row r="5319" spans="1:11">
      <c r="A5319" s="760"/>
      <c r="B5319" s="760"/>
      <c r="C5319" s="760"/>
      <c r="D5319" s="760"/>
      <c r="E5319" s="760"/>
      <c r="F5319" s="760"/>
      <c r="G5319" s="760"/>
      <c r="H5319" s="760"/>
      <c r="I5319" s="760"/>
      <c r="J5319" s="760"/>
      <c r="K5319" s="760"/>
    </row>
    <row r="5320" spans="1:11">
      <c r="A5320" s="760"/>
      <c r="B5320" s="760"/>
      <c r="C5320" s="760"/>
      <c r="D5320" s="760"/>
      <c r="E5320" s="760"/>
      <c r="F5320" s="760"/>
      <c r="G5320" s="760"/>
      <c r="H5320" s="760"/>
      <c r="I5320" s="760"/>
      <c r="J5320" s="760"/>
      <c r="K5320" s="760"/>
    </row>
    <row r="5321" spans="1:11">
      <c r="A5321" s="760"/>
      <c r="B5321" s="760"/>
      <c r="C5321" s="760"/>
      <c r="D5321" s="760"/>
      <c r="E5321" s="760"/>
      <c r="F5321" s="760"/>
      <c r="G5321" s="760"/>
      <c r="H5321" s="760"/>
      <c r="I5321" s="760"/>
      <c r="J5321" s="760"/>
      <c r="K5321" s="760"/>
    </row>
    <row r="5322" spans="1:11">
      <c r="A5322" s="760"/>
      <c r="B5322" s="760"/>
      <c r="C5322" s="760"/>
      <c r="D5322" s="760"/>
      <c r="E5322" s="760"/>
      <c r="F5322" s="760"/>
      <c r="G5322" s="760"/>
      <c r="H5322" s="760"/>
      <c r="I5322" s="760"/>
      <c r="J5322" s="760"/>
      <c r="K5322" s="760"/>
    </row>
    <row r="5323" spans="1:11">
      <c r="A5323" s="760"/>
      <c r="B5323" s="760"/>
      <c r="C5323" s="760"/>
      <c r="D5323" s="760"/>
      <c r="E5323" s="760"/>
      <c r="F5323" s="760"/>
      <c r="G5323" s="760"/>
      <c r="H5323" s="760"/>
      <c r="I5323" s="760"/>
      <c r="J5323" s="760"/>
      <c r="K5323" s="760"/>
    </row>
    <row r="5324" spans="1:11">
      <c r="A5324" s="760"/>
      <c r="B5324" s="760"/>
      <c r="C5324" s="760"/>
      <c r="D5324" s="760"/>
      <c r="E5324" s="760"/>
      <c r="F5324" s="760"/>
      <c r="G5324" s="760"/>
      <c r="H5324" s="760"/>
      <c r="I5324" s="760"/>
      <c r="J5324" s="760"/>
      <c r="K5324" s="760"/>
    </row>
    <row r="5325" spans="1:11">
      <c r="A5325" s="760"/>
      <c r="B5325" s="760"/>
      <c r="C5325" s="760"/>
      <c r="D5325" s="760"/>
      <c r="E5325" s="760"/>
      <c r="F5325" s="760"/>
      <c r="G5325" s="760"/>
      <c r="H5325" s="760"/>
      <c r="I5325" s="760"/>
      <c r="J5325" s="760"/>
      <c r="K5325" s="760"/>
    </row>
    <row r="5326" spans="1:11">
      <c r="A5326" s="760"/>
      <c r="B5326" s="760"/>
      <c r="C5326" s="760"/>
      <c r="D5326" s="760"/>
      <c r="E5326" s="760"/>
      <c r="F5326" s="760"/>
      <c r="G5326" s="760"/>
      <c r="H5326" s="760"/>
      <c r="I5326" s="760"/>
      <c r="J5326" s="760"/>
      <c r="K5326" s="760"/>
    </row>
    <row r="5327" spans="1:11">
      <c r="A5327" s="760"/>
      <c r="B5327" s="760"/>
      <c r="C5327" s="760"/>
      <c r="D5327" s="760"/>
      <c r="E5327" s="760"/>
      <c r="F5327" s="760"/>
      <c r="G5327" s="760"/>
      <c r="H5327" s="760"/>
      <c r="I5327" s="760"/>
      <c r="J5327" s="760"/>
      <c r="K5327" s="760"/>
    </row>
    <row r="5328" spans="1:11">
      <c r="A5328" s="760"/>
      <c r="B5328" s="760"/>
      <c r="C5328" s="760"/>
      <c r="D5328" s="760"/>
      <c r="E5328" s="760"/>
      <c r="F5328" s="760"/>
      <c r="G5328" s="760"/>
      <c r="H5328" s="760"/>
      <c r="I5328" s="760"/>
      <c r="J5328" s="760"/>
      <c r="K5328" s="760"/>
    </row>
    <row r="5329" spans="1:11">
      <c r="A5329" s="760"/>
      <c r="B5329" s="760"/>
      <c r="C5329" s="760"/>
      <c r="D5329" s="760"/>
      <c r="E5329" s="760"/>
      <c r="F5329" s="760"/>
      <c r="G5329" s="760"/>
      <c r="H5329" s="760"/>
      <c r="I5329" s="760"/>
      <c r="J5329" s="760"/>
      <c r="K5329" s="760"/>
    </row>
    <row r="5330" spans="1:11">
      <c r="A5330" s="760"/>
      <c r="B5330" s="760"/>
      <c r="C5330" s="760"/>
      <c r="D5330" s="760"/>
      <c r="E5330" s="760"/>
      <c r="F5330" s="760"/>
      <c r="G5330" s="760"/>
      <c r="H5330" s="760"/>
      <c r="I5330" s="760"/>
      <c r="J5330" s="760"/>
      <c r="K5330" s="760"/>
    </row>
    <row r="5331" spans="1:11">
      <c r="A5331" s="760"/>
      <c r="B5331" s="760"/>
      <c r="C5331" s="760"/>
      <c r="D5331" s="760"/>
      <c r="E5331" s="760"/>
      <c r="F5331" s="760"/>
      <c r="G5331" s="760"/>
      <c r="H5331" s="760"/>
      <c r="I5331" s="760"/>
      <c r="J5331" s="760"/>
      <c r="K5331" s="760"/>
    </row>
    <row r="5332" spans="1:11">
      <c r="A5332" s="760"/>
      <c r="B5332" s="760"/>
      <c r="C5332" s="760"/>
      <c r="D5332" s="760"/>
      <c r="E5332" s="760"/>
      <c r="F5332" s="760"/>
      <c r="G5332" s="760"/>
      <c r="H5332" s="760"/>
      <c r="I5332" s="760"/>
      <c r="J5332" s="760"/>
      <c r="K5332" s="760"/>
    </row>
    <row r="5333" spans="1:11">
      <c r="A5333" s="760"/>
      <c r="B5333" s="760"/>
      <c r="C5333" s="760"/>
      <c r="D5333" s="760"/>
      <c r="E5333" s="760"/>
      <c r="F5333" s="760"/>
      <c r="G5333" s="760"/>
      <c r="H5333" s="760"/>
      <c r="I5333" s="760"/>
      <c r="J5333" s="760"/>
      <c r="K5333" s="760"/>
    </row>
    <row r="5334" spans="1:11">
      <c r="A5334" s="760"/>
      <c r="B5334" s="760"/>
      <c r="C5334" s="760"/>
      <c r="D5334" s="760"/>
      <c r="E5334" s="760"/>
      <c r="F5334" s="760"/>
      <c r="G5334" s="760"/>
      <c r="H5334" s="760"/>
      <c r="I5334" s="760"/>
      <c r="J5334" s="760"/>
      <c r="K5334" s="760"/>
    </row>
    <row r="5335" spans="1:11">
      <c r="A5335" s="760"/>
      <c r="B5335" s="760"/>
      <c r="C5335" s="760"/>
      <c r="D5335" s="760"/>
      <c r="E5335" s="760"/>
      <c r="F5335" s="760"/>
      <c r="G5335" s="760"/>
      <c r="H5335" s="760"/>
      <c r="I5335" s="760"/>
      <c r="J5335" s="760"/>
      <c r="K5335" s="760"/>
    </row>
    <row r="5336" spans="1:11">
      <c r="A5336" s="760"/>
      <c r="B5336" s="760"/>
      <c r="C5336" s="760"/>
      <c r="D5336" s="760"/>
      <c r="E5336" s="760"/>
      <c r="F5336" s="760"/>
      <c r="G5336" s="760"/>
      <c r="H5336" s="760"/>
      <c r="I5336" s="760"/>
      <c r="J5336" s="760"/>
      <c r="K5336" s="760"/>
    </row>
    <row r="5337" spans="1:11">
      <c r="A5337" s="760"/>
      <c r="B5337" s="760"/>
      <c r="C5337" s="760"/>
      <c r="D5337" s="760"/>
      <c r="E5337" s="760"/>
      <c r="F5337" s="760"/>
      <c r="G5337" s="760"/>
      <c r="H5337" s="760"/>
      <c r="I5337" s="760"/>
      <c r="J5337" s="760"/>
      <c r="K5337" s="760"/>
    </row>
    <row r="5338" spans="1:11">
      <c r="A5338" s="760"/>
      <c r="B5338" s="760"/>
      <c r="C5338" s="760"/>
      <c r="D5338" s="760"/>
      <c r="E5338" s="760"/>
      <c r="F5338" s="760"/>
      <c r="G5338" s="760"/>
      <c r="H5338" s="760"/>
      <c r="I5338" s="760"/>
      <c r="J5338" s="760"/>
      <c r="K5338" s="760"/>
    </row>
    <row r="5339" spans="1:11">
      <c r="A5339" s="760"/>
      <c r="B5339" s="760"/>
      <c r="C5339" s="760"/>
      <c r="D5339" s="760"/>
      <c r="E5339" s="760"/>
      <c r="F5339" s="760"/>
      <c r="G5339" s="760"/>
      <c r="H5339" s="760"/>
      <c r="I5339" s="760"/>
      <c r="J5339" s="760"/>
      <c r="K5339" s="760"/>
    </row>
    <row r="5340" spans="1:11">
      <c r="A5340" s="760"/>
      <c r="B5340" s="760"/>
      <c r="C5340" s="760"/>
      <c r="D5340" s="760"/>
      <c r="E5340" s="760"/>
      <c r="F5340" s="760"/>
      <c r="G5340" s="760"/>
      <c r="H5340" s="760"/>
      <c r="I5340" s="760"/>
      <c r="J5340" s="760"/>
      <c r="K5340" s="760"/>
    </row>
    <row r="5341" spans="1:11">
      <c r="A5341" s="760"/>
      <c r="B5341" s="760"/>
      <c r="C5341" s="760"/>
      <c r="D5341" s="760"/>
      <c r="E5341" s="760"/>
      <c r="F5341" s="760"/>
      <c r="G5341" s="760"/>
      <c r="H5341" s="760"/>
      <c r="I5341" s="760"/>
      <c r="J5341" s="760"/>
      <c r="K5341" s="760"/>
    </row>
    <row r="5342" spans="1:11">
      <c r="A5342" s="760"/>
      <c r="B5342" s="760"/>
      <c r="C5342" s="760"/>
      <c r="D5342" s="760"/>
      <c r="E5342" s="760"/>
      <c r="F5342" s="760"/>
      <c r="G5342" s="760"/>
      <c r="H5342" s="760"/>
      <c r="I5342" s="760"/>
      <c r="J5342" s="760"/>
      <c r="K5342" s="760"/>
    </row>
    <row r="5343" spans="1:11">
      <c r="A5343" s="760"/>
      <c r="B5343" s="760"/>
      <c r="C5343" s="760"/>
      <c r="D5343" s="760"/>
      <c r="E5343" s="760"/>
      <c r="F5343" s="760"/>
      <c r="G5343" s="760"/>
      <c r="H5343" s="760"/>
      <c r="I5343" s="760"/>
      <c r="J5343" s="760"/>
      <c r="K5343" s="760"/>
    </row>
    <row r="5344" spans="1:11">
      <c r="A5344" s="760"/>
      <c r="B5344" s="760"/>
      <c r="C5344" s="760"/>
      <c r="D5344" s="760"/>
      <c r="E5344" s="760"/>
      <c r="F5344" s="760"/>
      <c r="G5344" s="760"/>
      <c r="H5344" s="760"/>
      <c r="I5344" s="760"/>
      <c r="J5344" s="760"/>
      <c r="K5344" s="760"/>
    </row>
    <row r="5345" spans="1:11">
      <c r="A5345" s="760"/>
      <c r="B5345" s="760"/>
      <c r="C5345" s="760"/>
      <c r="D5345" s="760"/>
      <c r="E5345" s="760"/>
      <c r="F5345" s="760"/>
      <c r="G5345" s="760"/>
      <c r="H5345" s="760"/>
      <c r="I5345" s="760"/>
      <c r="J5345" s="760"/>
      <c r="K5345" s="760"/>
    </row>
    <row r="5346" spans="1:11">
      <c r="A5346" s="760"/>
      <c r="B5346" s="760"/>
      <c r="C5346" s="760"/>
      <c r="D5346" s="760"/>
      <c r="E5346" s="760"/>
      <c r="F5346" s="760"/>
      <c r="G5346" s="760"/>
      <c r="H5346" s="760"/>
      <c r="I5346" s="760"/>
      <c r="J5346" s="760"/>
      <c r="K5346" s="760"/>
    </row>
    <row r="5347" spans="1:11">
      <c r="A5347" s="760"/>
      <c r="B5347" s="760"/>
      <c r="C5347" s="760"/>
      <c r="D5347" s="760"/>
      <c r="E5347" s="760"/>
      <c r="F5347" s="760"/>
      <c r="G5347" s="760"/>
      <c r="H5347" s="760"/>
      <c r="I5347" s="760"/>
      <c r="J5347" s="760"/>
      <c r="K5347" s="760"/>
    </row>
    <row r="5348" spans="1:11">
      <c r="A5348" s="760"/>
      <c r="B5348" s="760"/>
      <c r="C5348" s="760"/>
      <c r="D5348" s="760"/>
      <c r="E5348" s="760"/>
      <c r="F5348" s="760"/>
      <c r="G5348" s="760"/>
      <c r="H5348" s="760"/>
      <c r="I5348" s="760"/>
      <c r="J5348" s="760"/>
      <c r="K5348" s="760"/>
    </row>
    <row r="5349" spans="1:11">
      <c r="A5349" s="760"/>
      <c r="B5349" s="760"/>
      <c r="C5349" s="760"/>
      <c r="D5349" s="760"/>
      <c r="E5349" s="760"/>
      <c r="F5349" s="760"/>
      <c r="G5349" s="760"/>
      <c r="H5349" s="760"/>
      <c r="I5349" s="760"/>
      <c r="J5349" s="760"/>
      <c r="K5349" s="760"/>
    </row>
    <row r="5350" spans="1:11">
      <c r="A5350" s="760"/>
      <c r="B5350" s="760"/>
      <c r="C5350" s="760"/>
      <c r="D5350" s="760"/>
      <c r="E5350" s="760"/>
      <c r="F5350" s="760"/>
      <c r="G5350" s="760"/>
      <c r="H5350" s="760"/>
      <c r="I5350" s="760"/>
      <c r="J5350" s="760"/>
      <c r="K5350" s="760"/>
    </row>
    <row r="5351" spans="1:11">
      <c r="A5351" s="760"/>
      <c r="B5351" s="760"/>
      <c r="C5351" s="760"/>
      <c r="D5351" s="760"/>
      <c r="E5351" s="760"/>
      <c r="F5351" s="760"/>
      <c r="G5351" s="760"/>
      <c r="H5351" s="760"/>
      <c r="I5351" s="760"/>
      <c r="J5351" s="760"/>
      <c r="K5351" s="760"/>
    </row>
    <row r="5352" spans="1:11">
      <c r="A5352" s="760"/>
      <c r="B5352" s="760"/>
      <c r="C5352" s="760"/>
      <c r="D5352" s="760"/>
      <c r="E5352" s="760"/>
      <c r="F5352" s="760"/>
      <c r="G5352" s="760"/>
      <c r="H5352" s="760"/>
      <c r="I5352" s="760"/>
      <c r="J5352" s="760"/>
      <c r="K5352" s="760"/>
    </row>
    <row r="5353" spans="1:11">
      <c r="A5353" s="760"/>
      <c r="B5353" s="760"/>
      <c r="C5353" s="760"/>
      <c r="D5353" s="760"/>
      <c r="E5353" s="760"/>
      <c r="F5353" s="760"/>
      <c r="G5353" s="760"/>
      <c r="H5353" s="760"/>
      <c r="I5353" s="760"/>
      <c r="J5353" s="760"/>
      <c r="K5353" s="760"/>
    </row>
    <row r="5354" spans="1:11">
      <c r="A5354" s="760"/>
      <c r="B5354" s="760"/>
      <c r="C5354" s="760"/>
      <c r="D5354" s="760"/>
      <c r="E5354" s="760"/>
      <c r="F5354" s="760"/>
      <c r="G5354" s="760"/>
      <c r="H5354" s="760"/>
      <c r="I5354" s="760"/>
      <c r="J5354" s="760"/>
      <c r="K5354" s="760"/>
    </row>
    <row r="5355" spans="1:11">
      <c r="A5355" s="760"/>
      <c r="B5355" s="760"/>
      <c r="C5355" s="760"/>
      <c r="D5355" s="760"/>
      <c r="E5355" s="760"/>
      <c r="F5355" s="760"/>
      <c r="G5355" s="760"/>
      <c r="H5355" s="760"/>
      <c r="I5355" s="760"/>
      <c r="J5355" s="760"/>
      <c r="K5355" s="760"/>
    </row>
    <row r="5356" spans="1:11">
      <c r="A5356" s="760"/>
      <c r="B5356" s="760"/>
      <c r="C5356" s="760"/>
      <c r="D5356" s="760"/>
      <c r="E5356" s="760"/>
      <c r="F5356" s="760"/>
      <c r="G5356" s="760"/>
      <c r="H5356" s="760"/>
      <c r="I5356" s="760"/>
      <c r="J5356" s="760"/>
      <c r="K5356" s="760"/>
    </row>
    <row r="5357" spans="1:11">
      <c r="A5357" s="760"/>
      <c r="B5357" s="760"/>
      <c r="C5357" s="760"/>
      <c r="D5357" s="760"/>
      <c r="E5357" s="760"/>
      <c r="F5357" s="760"/>
      <c r="G5357" s="760"/>
      <c r="H5357" s="760"/>
      <c r="I5357" s="760"/>
      <c r="J5357" s="760"/>
      <c r="K5357" s="760"/>
    </row>
    <row r="5358" spans="1:11">
      <c r="A5358" s="760"/>
      <c r="B5358" s="760"/>
      <c r="C5358" s="760"/>
      <c r="D5358" s="760"/>
      <c r="E5358" s="760"/>
      <c r="F5358" s="760"/>
      <c r="G5358" s="760"/>
      <c r="H5358" s="760"/>
      <c r="I5358" s="760"/>
      <c r="J5358" s="760"/>
      <c r="K5358" s="760"/>
    </row>
    <row r="5359" spans="1:11">
      <c r="A5359" s="760"/>
      <c r="B5359" s="760"/>
      <c r="C5359" s="760"/>
      <c r="D5359" s="760"/>
      <c r="E5359" s="760"/>
      <c r="F5359" s="760"/>
      <c r="G5359" s="760"/>
      <c r="H5359" s="760"/>
      <c r="I5359" s="760"/>
      <c r="J5359" s="760"/>
      <c r="K5359" s="760"/>
    </row>
    <row r="5360" spans="1:11">
      <c r="A5360" s="760"/>
      <c r="B5360" s="760"/>
      <c r="C5360" s="760"/>
      <c r="D5360" s="760"/>
      <c r="E5360" s="760"/>
      <c r="F5360" s="760"/>
      <c r="G5360" s="760"/>
      <c r="H5360" s="760"/>
      <c r="I5360" s="760"/>
      <c r="J5360" s="760"/>
      <c r="K5360" s="760"/>
    </row>
    <row r="5361" spans="1:11">
      <c r="A5361" s="760"/>
      <c r="B5361" s="760"/>
      <c r="C5361" s="760"/>
      <c r="D5361" s="760"/>
      <c r="E5361" s="760"/>
      <c r="F5361" s="760"/>
      <c r="G5361" s="760"/>
      <c r="H5361" s="760"/>
      <c r="I5361" s="760"/>
      <c r="J5361" s="760"/>
      <c r="K5361" s="760"/>
    </row>
    <row r="5362" spans="1:11">
      <c r="A5362" s="760"/>
      <c r="B5362" s="760"/>
      <c r="C5362" s="760"/>
      <c r="D5362" s="760"/>
      <c r="E5362" s="760"/>
      <c r="F5362" s="760"/>
      <c r="G5362" s="760"/>
      <c r="H5362" s="760"/>
      <c r="I5362" s="760"/>
      <c r="J5362" s="760"/>
      <c r="K5362" s="760"/>
    </row>
    <row r="5363" spans="1:11">
      <c r="A5363" s="760"/>
      <c r="B5363" s="760"/>
      <c r="C5363" s="760"/>
      <c r="D5363" s="760"/>
      <c r="E5363" s="760"/>
      <c r="F5363" s="760"/>
      <c r="G5363" s="760"/>
      <c r="H5363" s="760"/>
      <c r="I5363" s="760"/>
      <c r="J5363" s="760"/>
      <c r="K5363" s="760"/>
    </row>
    <row r="5364" spans="1:11">
      <c r="A5364" s="760"/>
      <c r="B5364" s="760"/>
      <c r="C5364" s="760"/>
      <c r="D5364" s="760"/>
      <c r="E5364" s="760"/>
      <c r="F5364" s="760"/>
      <c r="G5364" s="760"/>
      <c r="H5364" s="760"/>
      <c r="I5364" s="760"/>
      <c r="J5364" s="760"/>
      <c r="K5364" s="760"/>
    </row>
    <row r="5365" spans="1:11">
      <c r="A5365" s="760"/>
      <c r="B5365" s="760"/>
      <c r="C5365" s="760"/>
      <c r="D5365" s="760"/>
      <c r="E5365" s="760"/>
      <c r="F5365" s="760"/>
      <c r="G5365" s="760"/>
      <c r="H5365" s="760"/>
      <c r="I5365" s="760"/>
      <c r="J5365" s="760"/>
      <c r="K5365" s="760"/>
    </row>
    <row r="5366" spans="1:11">
      <c r="A5366" s="760"/>
      <c r="B5366" s="760"/>
      <c r="C5366" s="760"/>
      <c r="D5366" s="760"/>
      <c r="E5366" s="760"/>
      <c r="F5366" s="760"/>
      <c r="G5366" s="760"/>
      <c r="H5366" s="760"/>
      <c r="I5366" s="760"/>
      <c r="J5366" s="760"/>
      <c r="K5366" s="760"/>
    </row>
    <row r="5367" spans="1:11">
      <c r="A5367" s="760"/>
      <c r="B5367" s="760"/>
      <c r="C5367" s="760"/>
      <c r="D5367" s="760"/>
      <c r="E5367" s="760"/>
      <c r="F5367" s="760"/>
      <c r="G5367" s="760"/>
      <c r="H5367" s="760"/>
      <c r="I5367" s="760"/>
      <c r="J5367" s="760"/>
      <c r="K5367" s="760"/>
    </row>
    <row r="5368" spans="1:11">
      <c r="A5368" s="760"/>
      <c r="B5368" s="760"/>
      <c r="C5368" s="760"/>
      <c r="D5368" s="760"/>
      <c r="E5368" s="760"/>
      <c r="F5368" s="760"/>
      <c r="G5368" s="760"/>
      <c r="H5368" s="760"/>
      <c r="I5368" s="760"/>
      <c r="J5368" s="760"/>
      <c r="K5368" s="760"/>
    </row>
    <row r="5369" spans="1:11">
      <c r="A5369" s="760"/>
      <c r="B5369" s="760"/>
      <c r="C5369" s="760"/>
      <c r="D5369" s="760"/>
      <c r="E5369" s="760"/>
      <c r="F5369" s="760"/>
      <c r="G5369" s="760"/>
      <c r="H5369" s="760"/>
      <c r="I5369" s="760"/>
      <c r="J5369" s="760"/>
      <c r="K5369" s="760"/>
    </row>
    <row r="5370" spans="1:11">
      <c r="A5370" s="760"/>
      <c r="B5370" s="760"/>
      <c r="C5370" s="760"/>
      <c r="D5370" s="760"/>
      <c r="E5370" s="760"/>
      <c r="F5370" s="760"/>
      <c r="G5370" s="760"/>
      <c r="H5370" s="760"/>
      <c r="I5370" s="760"/>
      <c r="J5370" s="760"/>
      <c r="K5370" s="760"/>
    </row>
    <row r="5371" spans="1:11">
      <c r="A5371" s="760"/>
      <c r="B5371" s="760"/>
      <c r="C5371" s="760"/>
      <c r="D5371" s="760"/>
      <c r="E5371" s="760"/>
      <c r="F5371" s="760"/>
      <c r="G5371" s="760"/>
      <c r="H5371" s="760"/>
      <c r="I5371" s="760"/>
      <c r="J5371" s="760"/>
      <c r="K5371" s="760"/>
    </row>
    <row r="5372" spans="1:11">
      <c r="A5372" s="760"/>
      <c r="B5372" s="760"/>
      <c r="C5372" s="760"/>
      <c r="D5372" s="760"/>
      <c r="E5372" s="760"/>
      <c r="F5372" s="760"/>
      <c r="G5372" s="760"/>
      <c r="H5372" s="760"/>
      <c r="I5372" s="760"/>
      <c r="J5372" s="760"/>
      <c r="K5372" s="760"/>
    </row>
    <row r="5373" spans="1:11">
      <c r="A5373" s="760"/>
      <c r="B5373" s="760"/>
      <c r="C5373" s="760"/>
      <c r="D5373" s="760"/>
      <c r="E5373" s="760"/>
      <c r="F5373" s="760"/>
      <c r="G5373" s="760"/>
      <c r="H5373" s="760"/>
      <c r="I5373" s="760"/>
      <c r="J5373" s="760"/>
      <c r="K5373" s="760"/>
    </row>
    <row r="5374" spans="1:11">
      <c r="A5374" s="760"/>
      <c r="B5374" s="760"/>
      <c r="C5374" s="760"/>
      <c r="D5374" s="760"/>
      <c r="E5374" s="760"/>
      <c r="F5374" s="760"/>
      <c r="G5374" s="760"/>
      <c r="H5374" s="760"/>
      <c r="I5374" s="760"/>
      <c r="J5374" s="760"/>
      <c r="K5374" s="760"/>
    </row>
    <row r="5375" spans="1:11">
      <c r="A5375" s="760"/>
      <c r="B5375" s="760"/>
      <c r="C5375" s="760"/>
      <c r="D5375" s="760"/>
      <c r="E5375" s="760"/>
      <c r="F5375" s="760"/>
      <c r="G5375" s="760"/>
      <c r="H5375" s="760"/>
      <c r="I5375" s="760"/>
      <c r="J5375" s="760"/>
      <c r="K5375" s="760"/>
    </row>
    <row r="5376" spans="1:11">
      <c r="A5376" s="760"/>
      <c r="B5376" s="760"/>
      <c r="C5376" s="760"/>
      <c r="D5376" s="760"/>
      <c r="E5376" s="760"/>
      <c r="F5376" s="760"/>
      <c r="G5376" s="760"/>
      <c r="H5376" s="760"/>
      <c r="I5376" s="760"/>
      <c r="J5376" s="760"/>
      <c r="K5376" s="760"/>
    </row>
    <row r="5377" spans="1:11">
      <c r="A5377" s="760"/>
      <c r="B5377" s="760"/>
      <c r="C5377" s="760"/>
      <c r="D5377" s="760"/>
      <c r="E5377" s="760"/>
      <c r="F5377" s="760"/>
      <c r="G5377" s="760"/>
      <c r="H5377" s="760"/>
      <c r="I5377" s="760"/>
      <c r="J5377" s="760"/>
      <c r="K5377" s="760"/>
    </row>
    <row r="5378" spans="1:11">
      <c r="A5378" s="760"/>
      <c r="B5378" s="760"/>
      <c r="C5378" s="760"/>
      <c r="D5378" s="760"/>
      <c r="E5378" s="760"/>
      <c r="F5378" s="760"/>
      <c r="G5378" s="760"/>
      <c r="H5378" s="760"/>
      <c r="I5378" s="760"/>
      <c r="J5378" s="760"/>
      <c r="K5378" s="760"/>
    </row>
    <row r="5379" spans="1:11">
      <c r="A5379" s="760"/>
      <c r="B5379" s="760"/>
      <c r="C5379" s="760"/>
      <c r="D5379" s="760"/>
      <c r="E5379" s="760"/>
      <c r="F5379" s="760"/>
      <c r="G5379" s="760"/>
      <c r="H5379" s="760"/>
      <c r="I5379" s="760"/>
      <c r="J5379" s="760"/>
      <c r="K5379" s="760"/>
    </row>
    <row r="5380" spans="1:11">
      <c r="A5380" s="760"/>
      <c r="B5380" s="760"/>
      <c r="C5380" s="760"/>
      <c r="D5380" s="760"/>
      <c r="E5380" s="760"/>
      <c r="F5380" s="760"/>
      <c r="G5380" s="760"/>
      <c r="H5380" s="760"/>
      <c r="I5380" s="760"/>
      <c r="J5380" s="760"/>
      <c r="K5380" s="760"/>
    </row>
    <row r="5381" spans="1:11">
      <c r="A5381" s="760"/>
      <c r="B5381" s="760"/>
      <c r="C5381" s="760"/>
      <c r="D5381" s="760"/>
      <c r="E5381" s="760"/>
      <c r="F5381" s="760"/>
      <c r="G5381" s="760"/>
      <c r="H5381" s="760"/>
      <c r="I5381" s="760"/>
      <c r="J5381" s="760"/>
      <c r="K5381" s="760"/>
    </row>
    <row r="5382" spans="1:11">
      <c r="A5382" s="760"/>
      <c r="B5382" s="760"/>
      <c r="C5382" s="760"/>
      <c r="D5382" s="760"/>
      <c r="E5382" s="760"/>
      <c r="F5382" s="760"/>
      <c r="G5382" s="760"/>
      <c r="H5382" s="760"/>
      <c r="I5382" s="760"/>
      <c r="J5382" s="760"/>
      <c r="K5382" s="760"/>
    </row>
    <row r="5383" spans="1:11">
      <c r="A5383" s="760"/>
      <c r="B5383" s="760"/>
      <c r="C5383" s="760"/>
      <c r="D5383" s="760"/>
      <c r="E5383" s="760"/>
      <c r="F5383" s="760"/>
      <c r="G5383" s="760"/>
      <c r="H5383" s="760"/>
      <c r="I5383" s="760"/>
      <c r="J5383" s="760"/>
      <c r="K5383" s="760"/>
    </row>
    <row r="5384" spans="1:11">
      <c r="A5384" s="760"/>
      <c r="B5384" s="760"/>
      <c r="C5384" s="760"/>
      <c r="D5384" s="760"/>
      <c r="E5384" s="760"/>
      <c r="F5384" s="760"/>
      <c r="G5384" s="760"/>
      <c r="H5384" s="760"/>
      <c r="I5384" s="760"/>
      <c r="J5384" s="760"/>
      <c r="K5384" s="760"/>
    </row>
    <row r="5385" spans="1:11">
      <c r="A5385" s="760"/>
      <c r="B5385" s="760"/>
      <c r="C5385" s="760"/>
      <c r="D5385" s="760"/>
      <c r="E5385" s="760"/>
      <c r="F5385" s="760"/>
      <c r="G5385" s="760"/>
      <c r="H5385" s="760"/>
      <c r="I5385" s="760"/>
      <c r="J5385" s="760"/>
      <c r="K5385" s="760"/>
    </row>
    <row r="5386" spans="1:11">
      <c r="A5386" s="760"/>
      <c r="B5386" s="760"/>
      <c r="C5386" s="760"/>
      <c r="D5386" s="760"/>
      <c r="E5386" s="760"/>
      <c r="F5386" s="760"/>
      <c r="G5386" s="760"/>
      <c r="H5386" s="760"/>
      <c r="I5386" s="760"/>
      <c r="J5386" s="760"/>
      <c r="K5386" s="760"/>
    </row>
    <row r="5387" spans="1:11">
      <c r="A5387" s="760"/>
      <c r="B5387" s="760"/>
      <c r="C5387" s="760"/>
      <c r="D5387" s="760"/>
      <c r="E5387" s="760"/>
      <c r="F5387" s="760"/>
      <c r="G5387" s="760"/>
      <c r="H5387" s="760"/>
      <c r="I5387" s="760"/>
      <c r="J5387" s="760"/>
      <c r="K5387" s="760"/>
    </row>
    <row r="5388" spans="1:11">
      <c r="A5388" s="760"/>
      <c r="B5388" s="760"/>
      <c r="C5388" s="760"/>
      <c r="D5388" s="760"/>
      <c r="E5388" s="760"/>
      <c r="F5388" s="760"/>
      <c r="G5388" s="760"/>
      <c r="H5388" s="760"/>
      <c r="I5388" s="760"/>
      <c r="J5388" s="760"/>
      <c r="K5388" s="760"/>
    </row>
    <row r="5389" spans="1:11">
      <c r="A5389" s="760"/>
      <c r="B5389" s="760"/>
      <c r="C5389" s="760"/>
      <c r="D5389" s="760"/>
      <c r="E5389" s="760"/>
      <c r="F5389" s="760"/>
      <c r="G5389" s="760"/>
      <c r="H5389" s="760"/>
      <c r="I5389" s="760"/>
      <c r="J5389" s="760"/>
      <c r="K5389" s="760"/>
    </row>
    <row r="5390" spans="1:11">
      <c r="A5390" s="760"/>
      <c r="B5390" s="760"/>
      <c r="C5390" s="760"/>
      <c r="D5390" s="760"/>
      <c r="E5390" s="760"/>
      <c r="F5390" s="760"/>
      <c r="G5390" s="760"/>
      <c r="H5390" s="760"/>
      <c r="I5390" s="760"/>
      <c r="J5390" s="760"/>
      <c r="K5390" s="760"/>
    </row>
    <row r="5391" spans="1:11">
      <c r="A5391" s="760"/>
      <c r="B5391" s="760"/>
      <c r="C5391" s="760"/>
      <c r="D5391" s="760"/>
      <c r="E5391" s="760"/>
      <c r="F5391" s="760"/>
      <c r="G5391" s="760"/>
      <c r="H5391" s="760"/>
      <c r="I5391" s="760"/>
      <c r="J5391" s="760"/>
      <c r="K5391" s="760"/>
    </row>
    <row r="5392" spans="1:11">
      <c r="A5392" s="760"/>
      <c r="B5392" s="760"/>
      <c r="C5392" s="760"/>
      <c r="D5392" s="760"/>
      <c r="E5392" s="760"/>
      <c r="F5392" s="760"/>
      <c r="G5392" s="760"/>
      <c r="H5392" s="760"/>
      <c r="I5392" s="760"/>
      <c r="J5392" s="760"/>
      <c r="K5392" s="760"/>
    </row>
    <row r="5393" spans="1:11">
      <c r="A5393" s="760"/>
      <c r="B5393" s="760"/>
      <c r="C5393" s="760"/>
      <c r="D5393" s="760"/>
      <c r="E5393" s="760"/>
      <c r="F5393" s="760"/>
      <c r="G5393" s="760"/>
      <c r="H5393" s="760"/>
      <c r="I5393" s="760"/>
      <c r="J5393" s="760"/>
      <c r="K5393" s="760"/>
    </row>
    <row r="5394" spans="1:11">
      <c r="A5394" s="760"/>
      <c r="B5394" s="760"/>
      <c r="C5394" s="760"/>
      <c r="D5394" s="760"/>
      <c r="E5394" s="760"/>
      <c r="F5394" s="760"/>
      <c r="G5394" s="760"/>
      <c r="H5394" s="760"/>
      <c r="I5394" s="760"/>
      <c r="J5394" s="760"/>
      <c r="K5394" s="760"/>
    </row>
    <row r="5395" spans="1:11">
      <c r="A5395" s="760"/>
      <c r="B5395" s="760"/>
      <c r="C5395" s="760"/>
      <c r="D5395" s="760"/>
      <c r="E5395" s="760"/>
      <c r="F5395" s="760"/>
      <c r="G5395" s="760"/>
      <c r="H5395" s="760"/>
      <c r="I5395" s="760"/>
      <c r="J5395" s="760"/>
      <c r="K5395" s="760"/>
    </row>
    <row r="5396" spans="1:11">
      <c r="A5396" s="760"/>
      <c r="B5396" s="760"/>
      <c r="C5396" s="760"/>
      <c r="D5396" s="760"/>
      <c r="E5396" s="760"/>
      <c r="F5396" s="760"/>
      <c r="G5396" s="760"/>
      <c r="H5396" s="760"/>
      <c r="I5396" s="760"/>
      <c r="J5396" s="760"/>
      <c r="K5396" s="760"/>
    </row>
    <row r="5397" spans="1:11">
      <c r="A5397" s="760"/>
      <c r="B5397" s="760"/>
      <c r="C5397" s="760"/>
      <c r="D5397" s="760"/>
      <c r="E5397" s="760"/>
      <c r="F5397" s="760"/>
      <c r="G5397" s="760"/>
      <c r="H5397" s="760"/>
      <c r="I5397" s="760"/>
      <c r="J5397" s="760"/>
      <c r="K5397" s="760"/>
    </row>
    <row r="5398" spans="1:11">
      <c r="A5398" s="760"/>
      <c r="B5398" s="760"/>
      <c r="C5398" s="760"/>
      <c r="D5398" s="760"/>
      <c r="E5398" s="760"/>
      <c r="F5398" s="760"/>
      <c r="G5398" s="760"/>
      <c r="H5398" s="760"/>
      <c r="I5398" s="760"/>
      <c r="J5398" s="760"/>
      <c r="K5398" s="760"/>
    </row>
    <row r="5399" spans="1:11">
      <c r="A5399" s="760"/>
      <c r="B5399" s="760"/>
      <c r="C5399" s="760"/>
      <c r="D5399" s="760"/>
      <c r="E5399" s="760"/>
      <c r="F5399" s="760"/>
      <c r="G5399" s="760"/>
      <c r="H5399" s="760"/>
      <c r="I5399" s="760"/>
      <c r="J5399" s="760"/>
      <c r="K5399" s="760"/>
    </row>
    <row r="5400" spans="1:11">
      <c r="A5400" s="760"/>
      <c r="B5400" s="760"/>
      <c r="C5400" s="760"/>
      <c r="D5400" s="760"/>
      <c r="E5400" s="760"/>
      <c r="F5400" s="760"/>
      <c r="G5400" s="760"/>
      <c r="H5400" s="760"/>
      <c r="I5400" s="760"/>
      <c r="J5400" s="760"/>
      <c r="K5400" s="760"/>
    </row>
    <row r="5401" spans="1:11">
      <c r="A5401" s="760"/>
      <c r="B5401" s="760"/>
      <c r="C5401" s="760"/>
      <c r="D5401" s="760"/>
      <c r="E5401" s="760"/>
      <c r="F5401" s="760"/>
      <c r="G5401" s="760"/>
      <c r="H5401" s="760"/>
      <c r="I5401" s="760"/>
      <c r="J5401" s="760"/>
      <c r="K5401" s="760"/>
    </row>
    <row r="5402" spans="1:11">
      <c r="A5402" s="760"/>
      <c r="B5402" s="760"/>
      <c r="C5402" s="760"/>
      <c r="D5402" s="760"/>
      <c r="E5402" s="760"/>
      <c r="F5402" s="760"/>
      <c r="G5402" s="760"/>
      <c r="H5402" s="760"/>
      <c r="I5402" s="760"/>
      <c r="J5402" s="760"/>
      <c r="K5402" s="760"/>
    </row>
    <row r="5403" spans="1:11">
      <c r="A5403" s="760"/>
      <c r="B5403" s="760"/>
      <c r="C5403" s="760"/>
      <c r="D5403" s="760"/>
      <c r="E5403" s="760"/>
      <c r="F5403" s="760"/>
      <c r="G5403" s="760"/>
      <c r="H5403" s="760"/>
      <c r="I5403" s="760"/>
      <c r="J5403" s="760"/>
      <c r="K5403" s="760"/>
    </row>
    <row r="5404" spans="1:11">
      <c r="A5404" s="760"/>
      <c r="B5404" s="760"/>
      <c r="C5404" s="760"/>
      <c r="D5404" s="760"/>
      <c r="E5404" s="760"/>
      <c r="F5404" s="760"/>
      <c r="G5404" s="760"/>
      <c r="H5404" s="760"/>
      <c r="I5404" s="760"/>
      <c r="J5404" s="760"/>
      <c r="K5404" s="760"/>
    </row>
    <row r="5405" spans="1:11">
      <c r="A5405" s="760"/>
      <c r="B5405" s="760"/>
      <c r="C5405" s="760"/>
      <c r="D5405" s="760"/>
      <c r="E5405" s="760"/>
      <c r="F5405" s="760"/>
      <c r="G5405" s="760"/>
      <c r="H5405" s="760"/>
      <c r="I5405" s="760"/>
      <c r="J5405" s="760"/>
      <c r="K5405" s="760"/>
    </row>
    <row r="5406" spans="1:11">
      <c r="A5406" s="760"/>
      <c r="B5406" s="760"/>
      <c r="C5406" s="760"/>
      <c r="D5406" s="760"/>
      <c r="E5406" s="760"/>
      <c r="F5406" s="760"/>
      <c r="G5406" s="760"/>
      <c r="H5406" s="760"/>
      <c r="I5406" s="760"/>
      <c r="J5406" s="760"/>
      <c r="K5406" s="760"/>
    </row>
    <row r="5407" spans="1:11">
      <c r="A5407" s="760"/>
      <c r="B5407" s="760"/>
      <c r="C5407" s="760"/>
      <c r="D5407" s="760"/>
      <c r="E5407" s="760"/>
      <c r="F5407" s="760"/>
      <c r="G5407" s="760"/>
      <c r="H5407" s="760"/>
      <c r="I5407" s="760"/>
      <c r="J5407" s="760"/>
      <c r="K5407" s="760"/>
    </row>
    <row r="5408" spans="1:11">
      <c r="A5408" s="760"/>
      <c r="B5408" s="760"/>
      <c r="C5408" s="760"/>
      <c r="D5408" s="760"/>
      <c r="E5408" s="760"/>
      <c r="F5408" s="760"/>
      <c r="G5408" s="760"/>
      <c r="H5408" s="760"/>
      <c r="I5408" s="760"/>
      <c r="J5408" s="760"/>
      <c r="K5408" s="760"/>
    </row>
    <row r="5409" spans="1:11">
      <c r="A5409" s="760"/>
      <c r="B5409" s="760"/>
      <c r="C5409" s="760"/>
      <c r="D5409" s="760"/>
      <c r="E5409" s="760"/>
      <c r="F5409" s="760"/>
      <c r="G5409" s="760"/>
      <c r="H5409" s="760"/>
      <c r="I5409" s="760"/>
      <c r="J5409" s="760"/>
      <c r="K5409" s="760"/>
    </row>
    <row r="5410" spans="1:11">
      <c r="A5410" s="760"/>
      <c r="B5410" s="760"/>
      <c r="C5410" s="760"/>
      <c r="D5410" s="760"/>
      <c r="E5410" s="760"/>
      <c r="F5410" s="760"/>
      <c r="G5410" s="760"/>
      <c r="H5410" s="760"/>
      <c r="I5410" s="760"/>
      <c r="J5410" s="760"/>
      <c r="K5410" s="760"/>
    </row>
    <row r="5411" spans="1:11">
      <c r="A5411" s="760"/>
      <c r="B5411" s="760"/>
      <c r="C5411" s="760"/>
      <c r="D5411" s="760"/>
      <c r="E5411" s="760"/>
      <c r="F5411" s="760"/>
      <c r="G5411" s="760"/>
      <c r="H5411" s="760"/>
      <c r="I5411" s="760"/>
      <c r="J5411" s="760"/>
      <c r="K5411" s="760"/>
    </row>
    <row r="5412" spans="1:11">
      <c r="A5412" s="760"/>
      <c r="B5412" s="760"/>
      <c r="C5412" s="760"/>
      <c r="D5412" s="760"/>
      <c r="E5412" s="760"/>
      <c r="F5412" s="760"/>
      <c r="G5412" s="760"/>
      <c r="H5412" s="760"/>
      <c r="I5412" s="760"/>
      <c r="J5412" s="760"/>
      <c r="K5412" s="760"/>
    </row>
    <row r="5413" spans="1:11">
      <c r="A5413" s="760"/>
      <c r="B5413" s="760"/>
      <c r="C5413" s="760"/>
      <c r="D5413" s="760"/>
      <c r="E5413" s="760"/>
      <c r="F5413" s="760"/>
      <c r="G5413" s="760"/>
      <c r="H5413" s="760"/>
      <c r="I5413" s="760"/>
      <c r="J5413" s="760"/>
      <c r="K5413" s="760"/>
    </row>
    <row r="5414" spans="1:11">
      <c r="A5414" s="760"/>
      <c r="B5414" s="760"/>
      <c r="C5414" s="760"/>
      <c r="D5414" s="760"/>
      <c r="E5414" s="760"/>
      <c r="F5414" s="760"/>
      <c r="G5414" s="760"/>
      <c r="H5414" s="760"/>
      <c r="I5414" s="760"/>
      <c r="J5414" s="760"/>
      <c r="K5414" s="760"/>
    </row>
    <row r="5415" spans="1:11">
      <c r="A5415" s="760"/>
      <c r="B5415" s="760"/>
      <c r="C5415" s="760"/>
      <c r="D5415" s="760"/>
      <c r="E5415" s="760"/>
      <c r="F5415" s="760"/>
      <c r="G5415" s="760"/>
      <c r="H5415" s="760"/>
      <c r="I5415" s="760"/>
      <c r="J5415" s="760"/>
      <c r="K5415" s="760"/>
    </row>
    <row r="5416" spans="1:11">
      <c r="A5416" s="760"/>
      <c r="B5416" s="760"/>
      <c r="C5416" s="760"/>
      <c r="D5416" s="760"/>
      <c r="E5416" s="760"/>
      <c r="F5416" s="760"/>
      <c r="G5416" s="760"/>
      <c r="H5416" s="760"/>
      <c r="I5416" s="760"/>
      <c r="J5416" s="760"/>
      <c r="K5416" s="760"/>
    </row>
    <row r="5417" spans="1:11">
      <c r="A5417" s="760"/>
      <c r="B5417" s="760"/>
      <c r="C5417" s="760"/>
      <c r="D5417" s="760"/>
      <c r="E5417" s="760"/>
      <c r="F5417" s="760"/>
      <c r="G5417" s="760"/>
      <c r="H5417" s="760"/>
      <c r="I5417" s="760"/>
      <c r="J5417" s="760"/>
      <c r="K5417" s="760"/>
    </row>
    <row r="5418" spans="1:11">
      <c r="A5418" s="760"/>
      <c r="B5418" s="760"/>
      <c r="C5418" s="760"/>
      <c r="D5418" s="760"/>
      <c r="E5418" s="760"/>
      <c r="F5418" s="760"/>
      <c r="G5418" s="760"/>
      <c r="H5418" s="760"/>
      <c r="I5418" s="760"/>
      <c r="J5418" s="760"/>
      <c r="K5418" s="760"/>
    </row>
    <row r="5419" spans="1:11">
      <c r="A5419" s="760"/>
      <c r="B5419" s="760"/>
      <c r="C5419" s="760"/>
      <c r="D5419" s="760"/>
      <c r="E5419" s="760"/>
      <c r="F5419" s="760"/>
      <c r="G5419" s="760"/>
      <c r="H5419" s="760"/>
      <c r="I5419" s="760"/>
      <c r="J5419" s="760"/>
      <c r="K5419" s="760"/>
    </row>
    <row r="5420" spans="1:11">
      <c r="A5420" s="760"/>
      <c r="B5420" s="760"/>
      <c r="C5420" s="760"/>
      <c r="D5420" s="760"/>
      <c r="E5420" s="760"/>
      <c r="F5420" s="760"/>
      <c r="G5420" s="760"/>
      <c r="H5420" s="760"/>
      <c r="I5420" s="760"/>
      <c r="J5420" s="760"/>
      <c r="K5420" s="760"/>
    </row>
    <row r="5421" spans="1:11">
      <c r="A5421" s="760"/>
      <c r="B5421" s="760"/>
      <c r="C5421" s="760"/>
      <c r="D5421" s="760"/>
      <c r="E5421" s="760"/>
      <c r="F5421" s="760"/>
      <c r="G5421" s="760"/>
      <c r="H5421" s="760"/>
      <c r="I5421" s="760"/>
      <c r="J5421" s="760"/>
      <c r="K5421" s="760"/>
    </row>
    <row r="5422" spans="1:11">
      <c r="A5422" s="760"/>
      <c r="B5422" s="760"/>
      <c r="C5422" s="760"/>
      <c r="D5422" s="760"/>
      <c r="E5422" s="760"/>
      <c r="F5422" s="760"/>
      <c r="G5422" s="760"/>
      <c r="H5422" s="760"/>
      <c r="I5422" s="760"/>
      <c r="J5422" s="760"/>
      <c r="K5422" s="760"/>
    </row>
    <row r="5423" spans="1:11">
      <c r="A5423" s="760"/>
      <c r="B5423" s="760"/>
      <c r="C5423" s="760"/>
      <c r="D5423" s="760"/>
      <c r="E5423" s="760"/>
      <c r="F5423" s="760"/>
      <c r="G5423" s="760"/>
      <c r="H5423" s="760"/>
      <c r="I5423" s="760"/>
      <c r="J5423" s="760"/>
      <c r="K5423" s="760"/>
    </row>
    <row r="5424" spans="1:11">
      <c r="A5424" s="760"/>
      <c r="B5424" s="760"/>
      <c r="C5424" s="760"/>
      <c r="D5424" s="760"/>
      <c r="E5424" s="760"/>
      <c r="F5424" s="760"/>
      <c r="G5424" s="760"/>
      <c r="H5424" s="760"/>
      <c r="I5424" s="760"/>
      <c r="J5424" s="760"/>
      <c r="K5424" s="760"/>
    </row>
    <row r="5425" spans="1:11">
      <c r="A5425" s="760"/>
      <c r="B5425" s="760"/>
      <c r="C5425" s="760"/>
      <c r="D5425" s="760"/>
      <c r="E5425" s="760"/>
      <c r="F5425" s="760"/>
      <c r="G5425" s="760"/>
      <c r="H5425" s="760"/>
      <c r="I5425" s="760"/>
      <c r="J5425" s="760"/>
      <c r="K5425" s="760"/>
    </row>
    <row r="5426" spans="1:11">
      <c r="A5426" s="760"/>
      <c r="B5426" s="760"/>
      <c r="C5426" s="760"/>
      <c r="D5426" s="760"/>
      <c r="E5426" s="760"/>
      <c r="F5426" s="760"/>
      <c r="G5426" s="760"/>
      <c r="H5426" s="760"/>
      <c r="I5426" s="760"/>
      <c r="J5426" s="760"/>
      <c r="K5426" s="760"/>
    </row>
    <row r="5427" spans="1:11">
      <c r="A5427" s="760"/>
      <c r="B5427" s="760"/>
      <c r="C5427" s="760"/>
      <c r="D5427" s="760"/>
      <c r="E5427" s="760"/>
      <c r="F5427" s="760"/>
      <c r="G5427" s="760"/>
      <c r="H5427" s="760"/>
      <c r="I5427" s="760"/>
      <c r="J5427" s="760"/>
      <c r="K5427" s="760"/>
    </row>
    <row r="5428" spans="1:11">
      <c r="A5428" s="760"/>
      <c r="B5428" s="760"/>
      <c r="C5428" s="760"/>
      <c r="D5428" s="760"/>
      <c r="E5428" s="760"/>
      <c r="F5428" s="760"/>
      <c r="G5428" s="760"/>
      <c r="H5428" s="760"/>
      <c r="I5428" s="760"/>
      <c r="J5428" s="760"/>
      <c r="K5428" s="760"/>
    </row>
    <row r="5429" spans="1:11">
      <c r="A5429" s="760"/>
      <c r="B5429" s="760"/>
      <c r="C5429" s="760"/>
      <c r="D5429" s="760"/>
      <c r="E5429" s="760"/>
      <c r="F5429" s="760"/>
      <c r="G5429" s="760"/>
      <c r="H5429" s="760"/>
      <c r="I5429" s="760"/>
      <c r="J5429" s="760"/>
      <c r="K5429" s="760"/>
    </row>
    <row r="5430" spans="1:11">
      <c r="A5430" s="760"/>
      <c r="B5430" s="760"/>
      <c r="C5430" s="760"/>
      <c r="D5430" s="760"/>
      <c r="E5430" s="760"/>
      <c r="F5430" s="760"/>
      <c r="G5430" s="760"/>
      <c r="H5430" s="760"/>
      <c r="I5430" s="760"/>
      <c r="J5430" s="760"/>
      <c r="K5430" s="760"/>
    </row>
    <row r="5431" spans="1:11">
      <c r="A5431" s="760"/>
      <c r="B5431" s="760"/>
      <c r="C5431" s="760"/>
      <c r="D5431" s="760"/>
      <c r="E5431" s="760"/>
      <c r="F5431" s="760"/>
      <c r="G5431" s="760"/>
      <c r="H5431" s="760"/>
      <c r="I5431" s="760"/>
      <c r="J5431" s="760"/>
      <c r="K5431" s="760"/>
    </row>
    <row r="5432" spans="1:11">
      <c r="A5432" s="760"/>
      <c r="B5432" s="760"/>
      <c r="C5432" s="760"/>
      <c r="D5432" s="760"/>
      <c r="E5432" s="760"/>
      <c r="F5432" s="760"/>
      <c r="G5432" s="760"/>
      <c r="H5432" s="760"/>
      <c r="I5432" s="760"/>
      <c r="J5432" s="760"/>
      <c r="K5432" s="760"/>
    </row>
    <row r="5433" spans="1:11">
      <c r="A5433" s="760"/>
      <c r="B5433" s="760"/>
      <c r="C5433" s="760"/>
      <c r="D5433" s="760"/>
      <c r="E5433" s="760"/>
      <c r="F5433" s="760"/>
      <c r="G5433" s="760"/>
      <c r="H5433" s="760"/>
      <c r="I5433" s="760"/>
      <c r="J5433" s="760"/>
      <c r="K5433" s="760"/>
    </row>
    <row r="5434" spans="1:11">
      <c r="A5434" s="760"/>
      <c r="B5434" s="760"/>
      <c r="C5434" s="760"/>
      <c r="D5434" s="760"/>
      <c r="E5434" s="760"/>
      <c r="F5434" s="760"/>
      <c r="G5434" s="760"/>
      <c r="H5434" s="760"/>
      <c r="I5434" s="760"/>
      <c r="J5434" s="760"/>
      <c r="K5434" s="760"/>
    </row>
    <row r="5435" spans="1:11">
      <c r="A5435" s="760"/>
      <c r="B5435" s="760"/>
      <c r="C5435" s="760"/>
      <c r="D5435" s="760"/>
      <c r="E5435" s="760"/>
      <c r="F5435" s="760"/>
      <c r="G5435" s="760"/>
      <c r="H5435" s="760"/>
      <c r="I5435" s="760"/>
      <c r="J5435" s="760"/>
      <c r="K5435" s="760"/>
    </row>
    <row r="5436" spans="1:11">
      <c r="A5436" s="760"/>
      <c r="B5436" s="760"/>
      <c r="C5436" s="760"/>
      <c r="D5436" s="760"/>
      <c r="E5436" s="760"/>
      <c r="F5436" s="760"/>
      <c r="G5436" s="760"/>
      <c r="H5436" s="760"/>
      <c r="I5436" s="760"/>
      <c r="J5436" s="760"/>
      <c r="K5436" s="760"/>
    </row>
    <row r="5437" spans="1:11">
      <c r="A5437" s="760"/>
      <c r="B5437" s="760"/>
      <c r="C5437" s="760"/>
      <c r="D5437" s="760"/>
      <c r="E5437" s="760"/>
      <c r="F5437" s="760"/>
      <c r="G5437" s="760"/>
      <c r="H5437" s="760"/>
      <c r="I5437" s="760"/>
      <c r="J5437" s="760"/>
      <c r="K5437" s="760"/>
    </row>
    <row r="5438" spans="1:11">
      <c r="A5438" s="760"/>
      <c r="B5438" s="760"/>
      <c r="C5438" s="760"/>
      <c r="D5438" s="760"/>
      <c r="E5438" s="760"/>
      <c r="F5438" s="760"/>
      <c r="G5438" s="760"/>
      <c r="H5438" s="760"/>
      <c r="I5438" s="760"/>
      <c r="J5438" s="760"/>
      <c r="K5438" s="760"/>
    </row>
    <row r="5439" spans="1:11">
      <c r="A5439" s="760"/>
      <c r="B5439" s="760"/>
      <c r="C5439" s="760"/>
      <c r="D5439" s="760"/>
      <c r="E5439" s="760"/>
      <c r="F5439" s="760"/>
      <c r="G5439" s="760"/>
      <c r="H5439" s="760"/>
      <c r="I5439" s="760"/>
      <c r="J5439" s="760"/>
      <c r="K5439" s="760"/>
    </row>
    <row r="5440" spans="1:11">
      <c r="A5440" s="760"/>
      <c r="B5440" s="760"/>
      <c r="C5440" s="760"/>
      <c r="D5440" s="760"/>
      <c r="E5440" s="760"/>
      <c r="F5440" s="760"/>
      <c r="G5440" s="760"/>
      <c r="H5440" s="760"/>
      <c r="I5440" s="760"/>
      <c r="J5440" s="760"/>
      <c r="K5440" s="760"/>
    </row>
    <row r="5441" spans="1:11">
      <c r="A5441" s="760"/>
      <c r="B5441" s="760"/>
      <c r="C5441" s="760"/>
      <c r="D5441" s="760"/>
      <c r="E5441" s="760"/>
      <c r="F5441" s="760"/>
      <c r="G5441" s="760"/>
      <c r="H5441" s="760"/>
      <c r="I5441" s="760"/>
      <c r="J5441" s="760"/>
      <c r="K5441" s="760"/>
    </row>
    <row r="5442" spans="1:11">
      <c r="A5442" s="760"/>
      <c r="B5442" s="760"/>
      <c r="C5442" s="760"/>
      <c r="D5442" s="760"/>
      <c r="E5442" s="760"/>
      <c r="F5442" s="760"/>
      <c r="G5442" s="760"/>
      <c r="H5442" s="760"/>
      <c r="I5442" s="760"/>
      <c r="J5442" s="760"/>
      <c r="K5442" s="760"/>
    </row>
    <row r="5443" spans="1:11">
      <c r="A5443" s="760"/>
      <c r="B5443" s="760"/>
      <c r="C5443" s="760"/>
      <c r="D5443" s="760"/>
      <c r="E5443" s="760"/>
      <c r="F5443" s="760"/>
      <c r="G5443" s="760"/>
      <c r="H5443" s="760"/>
      <c r="I5443" s="760"/>
      <c r="J5443" s="760"/>
      <c r="K5443" s="760"/>
    </row>
    <row r="5444" spans="1:11">
      <c r="A5444" s="760"/>
      <c r="B5444" s="760"/>
      <c r="C5444" s="760"/>
      <c r="D5444" s="760"/>
      <c r="E5444" s="760"/>
      <c r="F5444" s="760"/>
      <c r="G5444" s="760"/>
      <c r="H5444" s="760"/>
      <c r="I5444" s="760"/>
      <c r="J5444" s="760"/>
      <c r="K5444" s="760"/>
    </row>
    <row r="5445" spans="1:11">
      <c r="A5445" s="760"/>
      <c r="B5445" s="760"/>
      <c r="C5445" s="760"/>
      <c r="D5445" s="760"/>
      <c r="E5445" s="760"/>
      <c r="F5445" s="760"/>
      <c r="G5445" s="760"/>
      <c r="H5445" s="760"/>
      <c r="I5445" s="760"/>
      <c r="J5445" s="760"/>
      <c r="K5445" s="760"/>
    </row>
    <row r="5446" spans="1:11">
      <c r="A5446" s="760"/>
      <c r="B5446" s="760"/>
      <c r="C5446" s="760"/>
      <c r="D5446" s="760"/>
      <c r="E5446" s="760"/>
      <c r="F5446" s="760"/>
      <c r="G5446" s="760"/>
      <c r="H5446" s="760"/>
      <c r="I5446" s="760"/>
      <c r="J5446" s="760"/>
      <c r="K5446" s="760"/>
    </row>
    <row r="5447" spans="1:11">
      <c r="A5447" s="760"/>
      <c r="B5447" s="760"/>
      <c r="C5447" s="760"/>
      <c r="D5447" s="760"/>
      <c r="E5447" s="760"/>
      <c r="F5447" s="760"/>
      <c r="G5447" s="760"/>
      <c r="H5447" s="760"/>
      <c r="I5447" s="760"/>
      <c r="J5447" s="760"/>
      <c r="K5447" s="760"/>
    </row>
    <row r="5448" spans="1:11">
      <c r="A5448" s="760"/>
      <c r="B5448" s="760"/>
      <c r="C5448" s="760"/>
      <c r="D5448" s="760"/>
      <c r="E5448" s="760"/>
      <c r="F5448" s="760"/>
      <c r="G5448" s="760"/>
      <c r="H5448" s="760"/>
      <c r="I5448" s="760"/>
      <c r="J5448" s="760"/>
      <c r="K5448" s="760"/>
    </row>
    <row r="5449" spans="1:11">
      <c r="A5449" s="760"/>
      <c r="B5449" s="760"/>
      <c r="C5449" s="760"/>
      <c r="D5449" s="760"/>
      <c r="E5449" s="760"/>
      <c r="F5449" s="760"/>
      <c r="G5449" s="760"/>
      <c r="H5449" s="760"/>
      <c r="I5449" s="760"/>
      <c r="J5449" s="760"/>
      <c r="K5449" s="760"/>
    </row>
    <row r="5450" spans="1:11">
      <c r="A5450" s="760"/>
      <c r="B5450" s="760"/>
      <c r="C5450" s="760"/>
      <c r="D5450" s="760"/>
      <c r="E5450" s="760"/>
      <c r="F5450" s="760"/>
      <c r="G5450" s="760"/>
      <c r="H5450" s="760"/>
      <c r="I5450" s="760"/>
      <c r="J5450" s="760"/>
      <c r="K5450" s="760"/>
    </row>
    <row r="5451" spans="1:11">
      <c r="A5451" s="760"/>
      <c r="B5451" s="760"/>
      <c r="C5451" s="760"/>
      <c r="D5451" s="760"/>
      <c r="E5451" s="760"/>
      <c r="F5451" s="760"/>
      <c r="G5451" s="760"/>
      <c r="H5451" s="760"/>
      <c r="I5451" s="760"/>
      <c r="J5451" s="760"/>
      <c r="K5451" s="760"/>
    </row>
    <row r="5452" spans="1:11">
      <c r="A5452" s="760"/>
      <c r="B5452" s="760"/>
      <c r="C5452" s="760"/>
      <c r="D5452" s="760"/>
      <c r="E5452" s="760"/>
      <c r="F5452" s="760"/>
      <c r="G5452" s="760"/>
      <c r="H5452" s="760"/>
      <c r="I5452" s="760"/>
      <c r="J5452" s="760"/>
      <c r="K5452" s="760"/>
    </row>
    <row r="5453" spans="1:11">
      <c r="A5453" s="760"/>
      <c r="B5453" s="760"/>
      <c r="C5453" s="760"/>
      <c r="D5453" s="760"/>
      <c r="E5453" s="760"/>
      <c r="F5453" s="760"/>
      <c r="G5453" s="760"/>
      <c r="H5453" s="760"/>
      <c r="I5453" s="760"/>
      <c r="J5453" s="760"/>
      <c r="K5453" s="760"/>
    </row>
    <row r="5454" spans="1:11">
      <c r="A5454" s="760"/>
      <c r="B5454" s="760"/>
      <c r="C5454" s="760"/>
      <c r="D5454" s="760"/>
      <c r="E5454" s="760"/>
      <c r="F5454" s="760"/>
      <c r="G5454" s="760"/>
      <c r="H5454" s="760"/>
      <c r="I5454" s="760"/>
      <c r="J5454" s="760"/>
      <c r="K5454" s="760"/>
    </row>
    <row r="5455" spans="1:11">
      <c r="A5455" s="760"/>
      <c r="B5455" s="760"/>
      <c r="C5455" s="760"/>
      <c r="D5455" s="760"/>
      <c r="E5455" s="760"/>
      <c r="F5455" s="760"/>
      <c r="G5455" s="760"/>
      <c r="H5455" s="760"/>
      <c r="I5455" s="760"/>
      <c r="J5455" s="760"/>
      <c r="K5455" s="760"/>
    </row>
    <row r="5456" spans="1:11">
      <c r="A5456" s="760"/>
      <c r="B5456" s="760"/>
      <c r="C5456" s="760"/>
      <c r="D5456" s="760"/>
      <c r="E5456" s="760"/>
      <c r="F5456" s="760"/>
      <c r="G5456" s="760"/>
      <c r="H5456" s="760"/>
      <c r="I5456" s="760"/>
      <c r="J5456" s="760"/>
      <c r="K5456" s="760"/>
    </row>
    <row r="5457" spans="1:11">
      <c r="A5457" s="760"/>
      <c r="B5457" s="760"/>
      <c r="C5457" s="760"/>
      <c r="D5457" s="760"/>
      <c r="E5457" s="760"/>
      <c r="F5457" s="760"/>
      <c r="G5457" s="760"/>
      <c r="H5457" s="760"/>
      <c r="I5457" s="760"/>
      <c r="J5457" s="760"/>
      <c r="K5457" s="760"/>
    </row>
    <row r="5458" spans="1:11">
      <c r="A5458" s="760"/>
      <c r="B5458" s="760"/>
      <c r="C5458" s="760"/>
      <c r="D5458" s="760"/>
      <c r="E5458" s="760"/>
      <c r="F5458" s="760"/>
      <c r="G5458" s="760"/>
      <c r="H5458" s="760"/>
      <c r="I5458" s="760"/>
      <c r="J5458" s="760"/>
      <c r="K5458" s="760"/>
    </row>
    <row r="5459" spans="1:11">
      <c r="A5459" s="760"/>
      <c r="B5459" s="760"/>
      <c r="C5459" s="760"/>
      <c r="D5459" s="760"/>
      <c r="E5459" s="760"/>
      <c r="F5459" s="760"/>
      <c r="G5459" s="760"/>
      <c r="H5459" s="760"/>
      <c r="I5459" s="760"/>
      <c r="J5459" s="760"/>
      <c r="K5459" s="760"/>
    </row>
    <row r="5460" spans="1:11">
      <c r="A5460" s="760"/>
      <c r="B5460" s="760"/>
      <c r="C5460" s="760"/>
      <c r="D5460" s="760"/>
      <c r="E5460" s="760"/>
      <c r="F5460" s="760"/>
      <c r="G5460" s="760"/>
      <c r="H5460" s="760"/>
      <c r="I5460" s="760"/>
      <c r="J5460" s="760"/>
      <c r="K5460" s="760"/>
    </row>
    <row r="5461" spans="1:11">
      <c r="A5461" s="760"/>
      <c r="B5461" s="760"/>
      <c r="C5461" s="760"/>
      <c r="D5461" s="760"/>
      <c r="E5461" s="760"/>
      <c r="F5461" s="760"/>
      <c r="G5461" s="760"/>
      <c r="H5461" s="760"/>
      <c r="I5461" s="760"/>
      <c r="J5461" s="760"/>
      <c r="K5461" s="760"/>
    </row>
    <row r="5462" spans="1:11">
      <c r="A5462" s="760"/>
      <c r="B5462" s="760"/>
      <c r="C5462" s="760"/>
      <c r="D5462" s="760"/>
      <c r="E5462" s="760"/>
      <c r="F5462" s="760"/>
      <c r="G5462" s="760"/>
      <c r="H5462" s="760"/>
      <c r="I5462" s="760"/>
      <c r="J5462" s="760"/>
      <c r="K5462" s="760"/>
    </row>
    <row r="5463" spans="1:11">
      <c r="A5463" s="760"/>
      <c r="B5463" s="760"/>
      <c r="C5463" s="760"/>
      <c r="D5463" s="760"/>
      <c r="E5463" s="760"/>
      <c r="F5463" s="760"/>
      <c r="G5463" s="760"/>
      <c r="H5463" s="760"/>
      <c r="I5463" s="760"/>
      <c r="J5463" s="760"/>
      <c r="K5463" s="760"/>
    </row>
    <row r="5464" spans="1:11">
      <c r="A5464" s="760"/>
      <c r="B5464" s="760"/>
      <c r="C5464" s="760"/>
      <c r="D5464" s="760"/>
      <c r="E5464" s="760"/>
      <c r="F5464" s="760"/>
      <c r="G5464" s="760"/>
      <c r="H5464" s="760"/>
      <c r="I5464" s="760"/>
      <c r="J5464" s="760"/>
      <c r="K5464" s="760"/>
    </row>
    <row r="5465" spans="1:11">
      <c r="A5465" s="760"/>
      <c r="B5465" s="760"/>
      <c r="C5465" s="760"/>
      <c r="D5465" s="760"/>
      <c r="E5465" s="760"/>
      <c r="F5465" s="760"/>
      <c r="G5465" s="760"/>
      <c r="H5465" s="760"/>
      <c r="I5465" s="760"/>
      <c r="J5465" s="760"/>
      <c r="K5465" s="760"/>
    </row>
    <row r="5466" spans="1:11">
      <c r="A5466" s="760"/>
      <c r="B5466" s="760"/>
      <c r="C5466" s="760"/>
      <c r="D5466" s="760"/>
      <c r="E5466" s="760"/>
      <c r="F5466" s="760"/>
      <c r="G5466" s="760"/>
      <c r="H5466" s="760"/>
      <c r="I5466" s="760"/>
      <c r="J5466" s="760"/>
      <c r="K5466" s="760"/>
    </row>
    <row r="5467" spans="1:11">
      <c r="A5467" s="760"/>
      <c r="B5467" s="760"/>
      <c r="C5467" s="760"/>
      <c r="D5467" s="760"/>
      <c r="E5467" s="760"/>
      <c r="F5467" s="760"/>
      <c r="G5467" s="760"/>
      <c r="H5467" s="760"/>
      <c r="I5467" s="760"/>
      <c r="J5467" s="760"/>
      <c r="K5467" s="760"/>
    </row>
    <row r="5468" spans="1:11">
      <c r="A5468" s="760"/>
      <c r="B5468" s="760"/>
      <c r="C5468" s="760"/>
      <c r="D5468" s="760"/>
      <c r="E5468" s="760"/>
      <c r="F5468" s="760"/>
      <c r="G5468" s="760"/>
      <c r="H5468" s="760"/>
      <c r="I5468" s="760"/>
      <c r="J5468" s="760"/>
      <c r="K5468" s="760"/>
    </row>
    <row r="5469" spans="1:11">
      <c r="A5469" s="760"/>
      <c r="B5469" s="760"/>
      <c r="C5469" s="760"/>
      <c r="D5469" s="760"/>
      <c r="E5469" s="760"/>
      <c r="F5469" s="760"/>
      <c r="G5469" s="760"/>
      <c r="H5469" s="760"/>
      <c r="I5469" s="760"/>
      <c r="J5469" s="760"/>
      <c r="K5469" s="760"/>
    </row>
    <row r="5470" spans="1:11">
      <c r="A5470" s="760"/>
      <c r="B5470" s="760"/>
      <c r="C5470" s="760"/>
      <c r="D5470" s="760"/>
      <c r="E5470" s="760"/>
      <c r="F5470" s="760"/>
      <c r="G5470" s="760"/>
      <c r="H5470" s="760"/>
      <c r="I5470" s="760"/>
      <c r="J5470" s="760"/>
      <c r="K5470" s="760"/>
    </row>
    <row r="5471" spans="1:11">
      <c r="A5471" s="760"/>
      <c r="B5471" s="760"/>
      <c r="C5471" s="760"/>
      <c r="D5471" s="760"/>
      <c r="E5471" s="760"/>
      <c r="F5471" s="760"/>
      <c r="G5471" s="760"/>
      <c r="H5471" s="760"/>
      <c r="I5471" s="760"/>
      <c r="J5471" s="760"/>
      <c r="K5471" s="760"/>
    </row>
    <row r="5472" spans="1:11">
      <c r="A5472" s="760"/>
      <c r="B5472" s="760"/>
      <c r="C5472" s="760"/>
      <c r="D5472" s="760"/>
      <c r="E5472" s="760"/>
      <c r="F5472" s="760"/>
      <c r="G5472" s="760"/>
      <c r="H5472" s="760"/>
      <c r="I5472" s="760"/>
      <c r="J5472" s="760"/>
      <c r="K5472" s="760"/>
    </row>
    <row r="5473" spans="1:11">
      <c r="A5473" s="760"/>
      <c r="B5473" s="760"/>
      <c r="C5473" s="760"/>
      <c r="D5473" s="760"/>
      <c r="E5473" s="760"/>
      <c r="F5473" s="760"/>
      <c r="G5473" s="760"/>
      <c r="H5473" s="760"/>
      <c r="I5473" s="760"/>
      <c r="J5473" s="760"/>
      <c r="K5473" s="760"/>
    </row>
    <row r="5474" spans="1:11">
      <c r="A5474" s="760"/>
      <c r="B5474" s="760"/>
      <c r="C5474" s="760"/>
      <c r="D5474" s="760"/>
      <c r="E5474" s="760"/>
      <c r="F5474" s="760"/>
      <c r="G5474" s="760"/>
      <c r="H5474" s="760"/>
      <c r="I5474" s="760"/>
      <c r="J5474" s="760"/>
      <c r="K5474" s="760"/>
    </row>
    <row r="5475" spans="1:11">
      <c r="A5475" s="760"/>
      <c r="B5475" s="760"/>
      <c r="C5475" s="760"/>
      <c r="D5475" s="760"/>
      <c r="E5475" s="760"/>
      <c r="F5475" s="760"/>
      <c r="G5475" s="760"/>
      <c r="H5475" s="760"/>
      <c r="I5475" s="760"/>
      <c r="J5475" s="760"/>
      <c r="K5475" s="760"/>
    </row>
    <row r="5476" spans="1:11">
      <c r="A5476" s="760"/>
      <c r="B5476" s="760"/>
      <c r="C5476" s="760"/>
      <c r="D5476" s="760"/>
      <c r="E5476" s="760"/>
      <c r="F5476" s="760"/>
      <c r="G5476" s="760"/>
      <c r="H5476" s="760"/>
      <c r="I5476" s="760"/>
      <c r="J5476" s="760"/>
      <c r="K5476" s="760"/>
    </row>
    <row r="5477" spans="1:11">
      <c r="A5477" s="760"/>
      <c r="B5477" s="760"/>
      <c r="C5477" s="760"/>
      <c r="D5477" s="760"/>
      <c r="E5477" s="760"/>
      <c r="F5477" s="760"/>
      <c r="G5477" s="760"/>
      <c r="H5477" s="760"/>
      <c r="I5477" s="760"/>
      <c r="J5477" s="760"/>
      <c r="K5477" s="760"/>
    </row>
    <row r="5478" spans="1:11">
      <c r="A5478" s="760"/>
      <c r="B5478" s="760"/>
      <c r="C5478" s="760"/>
      <c r="D5478" s="760"/>
      <c r="E5478" s="760"/>
      <c r="F5478" s="760"/>
      <c r="G5478" s="760"/>
      <c r="H5478" s="760"/>
      <c r="I5478" s="760"/>
      <c r="J5478" s="760"/>
      <c r="K5478" s="760"/>
    </row>
    <row r="5479" spans="1:11">
      <c r="A5479" s="760"/>
      <c r="B5479" s="760"/>
      <c r="C5479" s="760"/>
      <c r="D5479" s="760"/>
      <c r="E5479" s="760"/>
      <c r="F5479" s="760"/>
      <c r="G5479" s="760"/>
      <c r="H5479" s="760"/>
      <c r="I5479" s="760"/>
      <c r="J5479" s="760"/>
      <c r="K5479" s="760"/>
    </row>
    <row r="5480" spans="1:11">
      <c r="A5480" s="760"/>
      <c r="B5480" s="760"/>
      <c r="C5480" s="760"/>
      <c r="D5480" s="760"/>
      <c r="E5480" s="760"/>
      <c r="F5480" s="760"/>
      <c r="G5480" s="760"/>
      <c r="H5480" s="760"/>
      <c r="I5480" s="760"/>
      <c r="J5480" s="760"/>
      <c r="K5480" s="760"/>
    </row>
    <row r="5481" spans="1:11">
      <c r="A5481" s="760"/>
      <c r="B5481" s="760"/>
      <c r="C5481" s="760"/>
      <c r="D5481" s="760"/>
      <c r="E5481" s="760"/>
      <c r="F5481" s="760"/>
      <c r="G5481" s="760"/>
      <c r="H5481" s="760"/>
      <c r="I5481" s="760"/>
      <c r="J5481" s="760"/>
      <c r="K5481" s="760"/>
    </row>
    <row r="5482" spans="1:11">
      <c r="A5482" s="760"/>
      <c r="B5482" s="760"/>
      <c r="C5482" s="760"/>
      <c r="D5482" s="760"/>
      <c r="E5482" s="760"/>
      <c r="F5482" s="760"/>
      <c r="G5482" s="760"/>
      <c r="H5482" s="760"/>
      <c r="I5482" s="760"/>
      <c r="J5482" s="760"/>
      <c r="K5482" s="760"/>
    </row>
    <row r="5483" spans="1:11">
      <c r="A5483" s="760"/>
      <c r="B5483" s="760"/>
      <c r="C5483" s="760"/>
      <c r="D5483" s="760"/>
      <c r="E5483" s="760"/>
      <c r="F5483" s="760"/>
      <c r="G5483" s="760"/>
      <c r="H5483" s="760"/>
      <c r="I5483" s="760"/>
      <c r="J5483" s="760"/>
      <c r="K5483" s="760"/>
    </row>
    <row r="5484" spans="1:11">
      <c r="A5484" s="760"/>
      <c r="B5484" s="760"/>
      <c r="C5484" s="760"/>
      <c r="D5484" s="760"/>
      <c r="E5484" s="760"/>
      <c r="F5484" s="760"/>
      <c r="G5484" s="760"/>
      <c r="H5484" s="760"/>
      <c r="I5484" s="760"/>
      <c r="J5484" s="760"/>
      <c r="K5484" s="760"/>
    </row>
    <row r="5485" spans="1:11">
      <c r="A5485" s="760"/>
      <c r="B5485" s="760"/>
      <c r="C5485" s="760"/>
      <c r="D5485" s="760"/>
      <c r="E5485" s="760"/>
      <c r="F5485" s="760"/>
      <c r="G5485" s="760"/>
      <c r="H5485" s="760"/>
      <c r="I5485" s="760"/>
      <c r="J5485" s="760"/>
      <c r="K5485" s="760"/>
    </row>
    <row r="5486" spans="1:11">
      <c r="A5486" s="760"/>
      <c r="B5486" s="760"/>
      <c r="C5486" s="760"/>
      <c r="D5486" s="760"/>
      <c r="E5486" s="760"/>
      <c r="F5486" s="760"/>
      <c r="G5486" s="760"/>
      <c r="H5486" s="760"/>
      <c r="I5486" s="760"/>
      <c r="J5486" s="760"/>
      <c r="K5486" s="760"/>
    </row>
    <row r="5487" spans="1:11">
      <c r="A5487" s="760"/>
      <c r="B5487" s="760"/>
      <c r="C5487" s="760"/>
      <c r="D5487" s="760"/>
      <c r="E5487" s="760"/>
      <c r="F5487" s="760"/>
      <c r="G5487" s="760"/>
      <c r="H5487" s="760"/>
      <c r="I5487" s="760"/>
      <c r="J5487" s="760"/>
      <c r="K5487" s="760"/>
    </row>
    <row r="5488" spans="1:11">
      <c r="A5488" s="760"/>
      <c r="B5488" s="760"/>
      <c r="C5488" s="760"/>
      <c r="D5488" s="760"/>
      <c r="E5488" s="760"/>
      <c r="F5488" s="760"/>
      <c r="G5488" s="760"/>
      <c r="H5488" s="760"/>
      <c r="I5488" s="760"/>
      <c r="J5488" s="760"/>
      <c r="K5488" s="760"/>
    </row>
    <row r="5489" spans="1:11">
      <c r="A5489" s="760"/>
      <c r="B5489" s="760"/>
      <c r="C5489" s="760"/>
      <c r="D5489" s="760"/>
      <c r="E5489" s="760"/>
      <c r="F5489" s="760"/>
      <c r="G5489" s="760"/>
      <c r="H5489" s="760"/>
      <c r="I5489" s="760"/>
      <c r="J5489" s="760"/>
      <c r="K5489" s="760"/>
    </row>
    <row r="5490" spans="1:11">
      <c r="A5490" s="760"/>
      <c r="B5490" s="760"/>
      <c r="C5490" s="760"/>
      <c r="D5490" s="760"/>
      <c r="E5490" s="760"/>
      <c r="F5490" s="760"/>
      <c r="G5490" s="760"/>
      <c r="H5490" s="760"/>
      <c r="I5490" s="760"/>
      <c r="J5490" s="760"/>
      <c r="K5490" s="760"/>
    </row>
    <row r="5491" spans="1:11">
      <c r="A5491" s="760"/>
      <c r="B5491" s="760"/>
      <c r="C5491" s="760"/>
      <c r="D5491" s="760"/>
      <c r="E5491" s="760"/>
      <c r="F5491" s="760"/>
      <c r="G5491" s="760"/>
      <c r="H5491" s="760"/>
      <c r="I5491" s="760"/>
      <c r="J5491" s="760"/>
      <c r="K5491" s="760"/>
    </row>
    <row r="5492" spans="1:11">
      <c r="A5492" s="760"/>
      <c r="B5492" s="760"/>
      <c r="C5492" s="760"/>
      <c r="D5492" s="760"/>
      <c r="E5492" s="760"/>
      <c r="F5492" s="760"/>
      <c r="G5492" s="760"/>
      <c r="H5492" s="760"/>
      <c r="I5492" s="760"/>
      <c r="J5492" s="760"/>
      <c r="K5492" s="760"/>
    </row>
    <row r="5493" spans="1:11">
      <c r="A5493" s="760"/>
      <c r="B5493" s="760"/>
      <c r="C5493" s="760"/>
      <c r="D5493" s="760"/>
      <c r="E5493" s="760"/>
      <c r="F5493" s="760"/>
      <c r="G5493" s="760"/>
      <c r="H5493" s="760"/>
      <c r="I5493" s="760"/>
      <c r="J5493" s="760"/>
      <c r="K5493" s="760"/>
    </row>
    <row r="5494" spans="1:11">
      <c r="A5494" s="760"/>
      <c r="B5494" s="760"/>
      <c r="C5494" s="760"/>
      <c r="D5494" s="760"/>
      <c r="E5494" s="760"/>
      <c r="F5494" s="760"/>
      <c r="G5494" s="760"/>
      <c r="H5494" s="760"/>
      <c r="I5494" s="760"/>
      <c r="J5494" s="760"/>
      <c r="K5494" s="760"/>
    </row>
    <row r="5495" spans="1:11">
      <c r="A5495" s="760"/>
      <c r="B5495" s="760"/>
      <c r="C5495" s="760"/>
      <c r="D5495" s="760"/>
      <c r="E5495" s="760"/>
      <c r="F5495" s="760"/>
      <c r="G5495" s="760"/>
      <c r="H5495" s="760"/>
      <c r="I5495" s="760"/>
      <c r="J5495" s="760"/>
      <c r="K5495" s="760"/>
    </row>
    <row r="5496" spans="1:11">
      <c r="A5496" s="760"/>
      <c r="B5496" s="760"/>
      <c r="C5496" s="760"/>
      <c r="D5496" s="760"/>
      <c r="E5496" s="760"/>
      <c r="F5496" s="760"/>
      <c r="G5496" s="760"/>
      <c r="H5496" s="760"/>
      <c r="I5496" s="760"/>
      <c r="J5496" s="760"/>
      <c r="K5496" s="760"/>
    </row>
    <row r="5497" spans="1:11">
      <c r="A5497" s="760"/>
      <c r="B5497" s="760"/>
      <c r="C5497" s="760"/>
      <c r="D5497" s="760"/>
      <c r="E5497" s="760"/>
      <c r="F5497" s="760"/>
      <c r="G5497" s="760"/>
      <c r="H5497" s="760"/>
      <c r="I5497" s="760"/>
      <c r="J5497" s="760"/>
      <c r="K5497" s="760"/>
    </row>
    <row r="5498" spans="1:11">
      <c r="A5498" s="760"/>
      <c r="B5498" s="760"/>
      <c r="C5498" s="760"/>
      <c r="D5498" s="760"/>
      <c r="E5498" s="760"/>
      <c r="F5498" s="760"/>
      <c r="G5498" s="760"/>
      <c r="H5498" s="760"/>
      <c r="I5498" s="760"/>
      <c r="J5498" s="760"/>
      <c r="K5498" s="760"/>
    </row>
    <row r="5499" spans="1:11">
      <c r="A5499" s="760"/>
      <c r="B5499" s="760"/>
      <c r="C5499" s="760"/>
      <c r="D5499" s="760"/>
      <c r="E5499" s="760"/>
      <c r="F5499" s="760"/>
      <c r="G5499" s="760"/>
      <c r="H5499" s="760"/>
      <c r="I5499" s="760"/>
      <c r="J5499" s="760"/>
      <c r="K5499" s="760"/>
    </row>
    <row r="5500" spans="1:11">
      <c r="A5500" s="760"/>
      <c r="B5500" s="760"/>
      <c r="C5500" s="760"/>
      <c r="D5500" s="760"/>
      <c r="E5500" s="760"/>
      <c r="F5500" s="760"/>
      <c r="G5500" s="760"/>
      <c r="H5500" s="760"/>
      <c r="I5500" s="760"/>
      <c r="J5500" s="760"/>
      <c r="K5500" s="760"/>
    </row>
    <row r="5501" spans="1:11">
      <c r="A5501" s="760"/>
      <c r="B5501" s="760"/>
      <c r="C5501" s="760"/>
      <c r="D5501" s="760"/>
      <c r="E5501" s="760"/>
      <c r="F5501" s="760"/>
      <c r="G5501" s="760"/>
      <c r="H5501" s="760"/>
      <c r="I5501" s="760"/>
      <c r="J5501" s="760"/>
      <c r="K5501" s="760"/>
    </row>
    <row r="5502" spans="1:11">
      <c r="A5502" s="760"/>
      <c r="B5502" s="760"/>
      <c r="C5502" s="760"/>
      <c r="D5502" s="760"/>
      <c r="E5502" s="760"/>
      <c r="F5502" s="760"/>
      <c r="G5502" s="760"/>
      <c r="H5502" s="760"/>
      <c r="I5502" s="760"/>
      <c r="J5502" s="760"/>
      <c r="K5502" s="760"/>
    </row>
    <row r="5503" spans="1:11">
      <c r="A5503" s="760"/>
      <c r="B5503" s="760"/>
      <c r="C5503" s="760"/>
      <c r="D5503" s="760"/>
      <c r="E5503" s="760"/>
      <c r="F5503" s="760"/>
      <c r="G5503" s="760"/>
      <c r="H5503" s="760"/>
      <c r="I5503" s="760"/>
      <c r="J5503" s="760"/>
      <c r="K5503" s="760"/>
    </row>
    <row r="5504" spans="1:11">
      <c r="A5504" s="760"/>
      <c r="B5504" s="760"/>
      <c r="C5504" s="760"/>
      <c r="D5504" s="760"/>
      <c r="E5504" s="760"/>
      <c r="F5504" s="760"/>
      <c r="G5504" s="760"/>
      <c r="H5504" s="760"/>
      <c r="I5504" s="760"/>
      <c r="J5504" s="760"/>
      <c r="K5504" s="760"/>
    </row>
    <row r="5505" spans="1:11">
      <c r="A5505" s="760"/>
      <c r="B5505" s="760"/>
      <c r="C5505" s="760"/>
      <c r="D5505" s="760"/>
      <c r="E5505" s="760"/>
      <c r="F5505" s="760"/>
      <c r="G5505" s="760"/>
      <c r="H5505" s="760"/>
      <c r="I5505" s="760"/>
      <c r="J5505" s="760"/>
      <c r="K5505" s="760"/>
    </row>
    <row r="5506" spans="1:11">
      <c r="A5506" s="760"/>
      <c r="B5506" s="760"/>
      <c r="C5506" s="760"/>
      <c r="D5506" s="760"/>
      <c r="E5506" s="760"/>
      <c r="F5506" s="760"/>
      <c r="G5506" s="760"/>
      <c r="H5506" s="760"/>
      <c r="I5506" s="760"/>
      <c r="J5506" s="760"/>
      <c r="K5506" s="760"/>
    </row>
    <row r="5507" spans="1:11">
      <c r="A5507" s="760"/>
      <c r="B5507" s="760"/>
      <c r="C5507" s="760"/>
      <c r="D5507" s="760"/>
      <c r="E5507" s="760"/>
      <c r="F5507" s="760"/>
      <c r="G5507" s="760"/>
      <c r="H5507" s="760"/>
      <c r="I5507" s="760"/>
      <c r="J5507" s="760"/>
      <c r="K5507" s="760"/>
    </row>
    <row r="5508" spans="1:11">
      <c r="A5508" s="760"/>
      <c r="B5508" s="760"/>
      <c r="C5508" s="760"/>
      <c r="D5508" s="760"/>
      <c r="E5508" s="760"/>
      <c r="F5508" s="760"/>
      <c r="G5508" s="760"/>
      <c r="H5508" s="760"/>
      <c r="I5508" s="760"/>
      <c r="J5508" s="760"/>
      <c r="K5508" s="760"/>
    </row>
    <row r="5509" spans="1:11">
      <c r="A5509" s="760"/>
      <c r="B5509" s="760"/>
      <c r="C5509" s="760"/>
      <c r="D5509" s="760"/>
      <c r="E5509" s="760"/>
      <c r="F5509" s="760"/>
      <c r="G5509" s="760"/>
      <c r="H5509" s="760"/>
      <c r="I5509" s="760"/>
      <c r="J5509" s="760"/>
      <c r="K5509" s="760"/>
    </row>
    <row r="5510" spans="1:11">
      <c r="A5510" s="760"/>
      <c r="B5510" s="760"/>
      <c r="C5510" s="760"/>
      <c r="D5510" s="760"/>
      <c r="E5510" s="760"/>
      <c r="F5510" s="760"/>
      <c r="G5510" s="760"/>
      <c r="H5510" s="760"/>
      <c r="I5510" s="760"/>
      <c r="J5510" s="760"/>
      <c r="K5510" s="760"/>
    </row>
    <row r="5511" spans="1:11">
      <c r="A5511" s="760"/>
      <c r="B5511" s="760"/>
      <c r="C5511" s="760"/>
      <c r="D5511" s="760"/>
      <c r="E5511" s="760"/>
      <c r="F5511" s="760"/>
      <c r="G5511" s="760"/>
      <c r="H5511" s="760"/>
      <c r="I5511" s="760"/>
      <c r="J5511" s="760"/>
      <c r="K5511" s="760"/>
    </row>
    <row r="5512" spans="1:11">
      <c r="A5512" s="760"/>
      <c r="B5512" s="760"/>
      <c r="C5512" s="760"/>
      <c r="D5512" s="760"/>
      <c r="E5512" s="760"/>
      <c r="F5512" s="760"/>
      <c r="G5512" s="760"/>
      <c r="H5512" s="760"/>
      <c r="I5512" s="760"/>
      <c r="J5512" s="760"/>
      <c r="K5512" s="760"/>
    </row>
    <row r="5513" spans="1:11">
      <c r="A5513" s="760"/>
      <c r="B5513" s="760"/>
      <c r="C5513" s="760"/>
      <c r="D5513" s="760"/>
      <c r="E5513" s="760"/>
      <c r="F5513" s="760"/>
      <c r="G5513" s="760"/>
      <c r="H5513" s="760"/>
      <c r="I5513" s="760"/>
      <c r="J5513" s="760"/>
      <c r="K5513" s="760"/>
    </row>
    <row r="5514" spans="1:11">
      <c r="A5514" s="760"/>
      <c r="B5514" s="760"/>
      <c r="C5514" s="760"/>
      <c r="D5514" s="760"/>
      <c r="E5514" s="760"/>
      <c r="F5514" s="760"/>
      <c r="G5514" s="760"/>
      <c r="H5514" s="760"/>
      <c r="I5514" s="760"/>
      <c r="J5514" s="760"/>
      <c r="K5514" s="760"/>
    </row>
    <row r="5515" spans="1:11">
      <c r="A5515" s="760"/>
      <c r="B5515" s="760"/>
      <c r="C5515" s="760"/>
      <c r="D5515" s="760"/>
      <c r="E5515" s="760"/>
      <c r="F5515" s="760"/>
      <c r="G5515" s="760"/>
      <c r="H5515" s="760"/>
      <c r="I5515" s="760"/>
      <c r="J5515" s="760"/>
      <c r="K5515" s="760"/>
    </row>
    <row r="5516" spans="1:11">
      <c r="A5516" s="760"/>
      <c r="B5516" s="760"/>
      <c r="C5516" s="760"/>
      <c r="D5516" s="760"/>
      <c r="E5516" s="760"/>
      <c r="F5516" s="760"/>
      <c r="G5516" s="760"/>
      <c r="H5516" s="760"/>
      <c r="I5516" s="760"/>
      <c r="J5516" s="760"/>
      <c r="K5516" s="760"/>
    </row>
    <row r="5517" spans="1:11">
      <c r="A5517" s="760"/>
      <c r="B5517" s="760"/>
      <c r="C5517" s="760"/>
      <c r="D5517" s="760"/>
      <c r="E5517" s="760"/>
      <c r="F5517" s="760"/>
      <c r="G5517" s="760"/>
      <c r="H5517" s="760"/>
      <c r="I5517" s="760"/>
      <c r="J5517" s="760"/>
      <c r="K5517" s="760"/>
    </row>
    <row r="5518" spans="1:11">
      <c r="A5518" s="760"/>
      <c r="B5518" s="760"/>
      <c r="C5518" s="760"/>
      <c r="D5518" s="760"/>
      <c r="E5518" s="760"/>
      <c r="F5518" s="760"/>
      <c r="G5518" s="760"/>
      <c r="H5518" s="760"/>
      <c r="I5518" s="760"/>
      <c r="J5518" s="760"/>
      <c r="K5518" s="760"/>
    </row>
    <row r="5519" spans="1:11">
      <c r="A5519" s="760"/>
      <c r="B5519" s="760"/>
      <c r="C5519" s="760"/>
      <c r="D5519" s="760"/>
      <c r="E5519" s="760"/>
      <c r="F5519" s="760"/>
      <c r="G5519" s="760"/>
      <c r="H5519" s="760"/>
      <c r="I5519" s="760"/>
      <c r="J5519" s="760"/>
      <c r="K5519" s="760"/>
    </row>
    <row r="5520" spans="1:11">
      <c r="A5520" s="760"/>
      <c r="B5520" s="760"/>
      <c r="C5520" s="760"/>
      <c r="D5520" s="760"/>
      <c r="E5520" s="760"/>
      <c r="F5520" s="760"/>
      <c r="G5520" s="760"/>
      <c r="H5520" s="760"/>
      <c r="I5520" s="760"/>
      <c r="J5520" s="760"/>
      <c r="K5520" s="760"/>
    </row>
    <row r="5521" spans="1:11">
      <c r="A5521" s="760"/>
      <c r="B5521" s="760"/>
      <c r="C5521" s="760"/>
      <c r="D5521" s="760"/>
      <c r="E5521" s="760"/>
      <c r="F5521" s="760"/>
      <c r="G5521" s="760"/>
      <c r="H5521" s="760"/>
      <c r="I5521" s="760"/>
      <c r="J5521" s="760"/>
      <c r="K5521" s="760"/>
    </row>
    <row r="5522" spans="1:11">
      <c r="A5522" s="760"/>
      <c r="B5522" s="760"/>
      <c r="C5522" s="760"/>
      <c r="D5522" s="760"/>
      <c r="E5522" s="760"/>
      <c r="F5522" s="760"/>
      <c r="G5522" s="760"/>
      <c r="H5522" s="760"/>
      <c r="I5522" s="760"/>
      <c r="J5522" s="760"/>
      <c r="K5522" s="760"/>
    </row>
    <row r="5523" spans="1:11">
      <c r="A5523" s="760"/>
      <c r="B5523" s="760"/>
      <c r="C5523" s="760"/>
      <c r="D5523" s="760"/>
      <c r="E5523" s="760"/>
      <c r="F5523" s="760"/>
      <c r="G5523" s="760"/>
      <c r="H5523" s="760"/>
      <c r="I5523" s="760"/>
      <c r="J5523" s="760"/>
      <c r="K5523" s="760"/>
    </row>
    <row r="5524" spans="1:11">
      <c r="A5524" s="760"/>
      <c r="B5524" s="760"/>
      <c r="C5524" s="760"/>
      <c r="D5524" s="760"/>
      <c r="E5524" s="760"/>
      <c r="F5524" s="760"/>
      <c r="G5524" s="760"/>
      <c r="H5524" s="760"/>
      <c r="I5524" s="760"/>
      <c r="J5524" s="760"/>
      <c r="K5524" s="760"/>
    </row>
    <row r="5525" spans="1:11">
      <c r="A5525" s="760"/>
      <c r="B5525" s="760"/>
      <c r="C5525" s="760"/>
      <c r="D5525" s="760"/>
      <c r="E5525" s="760"/>
      <c r="F5525" s="760"/>
      <c r="G5525" s="760"/>
      <c r="H5525" s="760"/>
      <c r="I5525" s="760"/>
      <c r="J5525" s="760"/>
      <c r="K5525" s="760"/>
    </row>
    <row r="5526" spans="1:11">
      <c r="A5526" s="760"/>
      <c r="B5526" s="760"/>
      <c r="C5526" s="760"/>
      <c r="D5526" s="760"/>
      <c r="E5526" s="760"/>
      <c r="F5526" s="760"/>
      <c r="G5526" s="760"/>
      <c r="H5526" s="760"/>
      <c r="I5526" s="760"/>
      <c r="J5526" s="760"/>
      <c r="K5526" s="760"/>
    </row>
    <row r="5527" spans="1:11">
      <c r="A5527" s="760"/>
      <c r="B5527" s="760"/>
      <c r="C5527" s="760"/>
      <c r="D5527" s="760"/>
      <c r="E5527" s="760"/>
      <c r="F5527" s="760"/>
      <c r="G5527" s="760"/>
      <c r="H5527" s="760"/>
      <c r="I5527" s="760"/>
      <c r="J5527" s="760"/>
      <c r="K5527" s="760"/>
    </row>
    <row r="5528" spans="1:11">
      <c r="A5528" s="760"/>
      <c r="B5528" s="760"/>
      <c r="C5528" s="760"/>
      <c r="D5528" s="760"/>
      <c r="E5528" s="760"/>
      <c r="F5528" s="760"/>
      <c r="G5528" s="760"/>
      <c r="H5528" s="760"/>
      <c r="I5528" s="760"/>
      <c r="J5528" s="760"/>
      <c r="K5528" s="760"/>
    </row>
    <row r="5529" spans="1:11">
      <c r="A5529" s="760"/>
      <c r="B5529" s="760"/>
      <c r="C5529" s="760"/>
      <c r="D5529" s="760"/>
      <c r="E5529" s="760"/>
      <c r="F5529" s="760"/>
      <c r="G5529" s="760"/>
      <c r="H5529" s="760"/>
      <c r="I5529" s="760"/>
      <c r="J5529" s="760"/>
      <c r="K5529" s="760"/>
    </row>
    <row r="5530" spans="1:11">
      <c r="A5530" s="760"/>
      <c r="B5530" s="760"/>
      <c r="C5530" s="760"/>
      <c r="D5530" s="760"/>
      <c r="E5530" s="760"/>
      <c r="F5530" s="760"/>
      <c r="G5530" s="760"/>
      <c r="H5530" s="760"/>
      <c r="I5530" s="760"/>
      <c r="J5530" s="760"/>
      <c r="K5530" s="760"/>
    </row>
    <row r="5531" spans="1:11">
      <c r="A5531" s="760"/>
      <c r="B5531" s="760"/>
      <c r="C5531" s="760"/>
      <c r="D5531" s="760"/>
      <c r="E5531" s="760"/>
      <c r="F5531" s="760"/>
      <c r="G5531" s="760"/>
      <c r="H5531" s="760"/>
      <c r="I5531" s="760"/>
      <c r="J5531" s="760"/>
      <c r="K5531" s="760"/>
    </row>
    <row r="5532" spans="1:11">
      <c r="A5532" s="760"/>
      <c r="B5532" s="760"/>
      <c r="C5532" s="760"/>
      <c r="D5532" s="760"/>
      <c r="E5532" s="760"/>
      <c r="F5532" s="760"/>
      <c r="G5532" s="760"/>
      <c r="H5532" s="760"/>
      <c r="I5532" s="760"/>
      <c r="J5532" s="760"/>
      <c r="K5532" s="760"/>
    </row>
    <row r="5533" spans="1:11">
      <c r="A5533" s="760"/>
      <c r="B5533" s="760"/>
      <c r="C5533" s="760"/>
      <c r="D5533" s="760"/>
      <c r="E5533" s="760"/>
      <c r="F5533" s="760"/>
      <c r="G5533" s="760"/>
      <c r="H5533" s="760"/>
      <c r="I5533" s="760"/>
      <c r="J5533" s="760"/>
      <c r="K5533" s="760"/>
    </row>
    <row r="5534" spans="1:11">
      <c r="A5534" s="760"/>
      <c r="B5534" s="760"/>
      <c r="C5534" s="760"/>
      <c r="D5534" s="760"/>
      <c r="E5534" s="760"/>
      <c r="F5534" s="760"/>
      <c r="G5534" s="760"/>
      <c r="H5534" s="760"/>
      <c r="I5534" s="760"/>
      <c r="J5534" s="760"/>
      <c r="K5534" s="760"/>
    </row>
    <row r="5535" spans="1:11">
      <c r="A5535" s="760"/>
      <c r="B5535" s="760"/>
      <c r="C5535" s="760"/>
      <c r="D5535" s="760"/>
      <c r="E5535" s="760"/>
      <c r="F5535" s="760"/>
      <c r="G5535" s="760"/>
      <c r="H5535" s="760"/>
      <c r="I5535" s="760"/>
      <c r="J5535" s="760"/>
      <c r="K5535" s="760"/>
    </row>
    <row r="5536" spans="1:11">
      <c r="A5536" s="760"/>
      <c r="B5536" s="760"/>
      <c r="C5536" s="760"/>
      <c r="D5536" s="760"/>
      <c r="E5536" s="760"/>
      <c r="F5536" s="760"/>
      <c r="G5536" s="760"/>
      <c r="H5536" s="760"/>
      <c r="I5536" s="760"/>
      <c r="J5536" s="760"/>
      <c r="K5536" s="760"/>
    </row>
    <row r="5537" spans="1:11">
      <c r="A5537" s="760"/>
      <c r="B5537" s="760"/>
      <c r="C5537" s="760"/>
      <c r="D5537" s="760"/>
      <c r="E5537" s="760"/>
      <c r="F5537" s="760"/>
      <c r="G5537" s="760"/>
      <c r="H5537" s="760"/>
      <c r="I5537" s="760"/>
      <c r="J5537" s="760"/>
      <c r="K5537" s="760"/>
    </row>
    <row r="5538" spans="1:11">
      <c r="A5538" s="760"/>
      <c r="B5538" s="760"/>
      <c r="C5538" s="760"/>
      <c r="D5538" s="760"/>
      <c r="E5538" s="760"/>
      <c r="F5538" s="760"/>
      <c r="G5538" s="760"/>
      <c r="H5538" s="760"/>
      <c r="I5538" s="760"/>
      <c r="J5538" s="760"/>
      <c r="K5538" s="760"/>
    </row>
    <row r="5539" spans="1:11">
      <c r="A5539" s="760"/>
      <c r="B5539" s="760"/>
      <c r="C5539" s="760"/>
      <c r="D5539" s="760"/>
      <c r="E5539" s="760"/>
      <c r="F5539" s="760"/>
      <c r="G5539" s="760"/>
      <c r="H5539" s="760"/>
      <c r="I5539" s="760"/>
      <c r="J5539" s="760"/>
      <c r="K5539" s="760"/>
    </row>
    <row r="5540" spans="1:11">
      <c r="A5540" s="760"/>
      <c r="B5540" s="760"/>
      <c r="C5540" s="760"/>
      <c r="D5540" s="760"/>
      <c r="E5540" s="760"/>
      <c r="F5540" s="760"/>
      <c r="G5540" s="760"/>
      <c r="H5540" s="760"/>
      <c r="I5540" s="760"/>
      <c r="J5540" s="760"/>
      <c r="K5540" s="760"/>
    </row>
    <row r="5541" spans="1:11">
      <c r="A5541" s="760"/>
      <c r="B5541" s="760"/>
      <c r="C5541" s="760"/>
      <c r="D5541" s="760"/>
      <c r="E5541" s="760"/>
      <c r="F5541" s="760"/>
      <c r="G5541" s="760"/>
      <c r="H5541" s="760"/>
      <c r="I5541" s="760"/>
      <c r="J5541" s="760"/>
      <c r="K5541" s="760"/>
    </row>
    <row r="5542" spans="1:11">
      <c r="A5542" s="760"/>
      <c r="B5542" s="760"/>
      <c r="C5542" s="760"/>
      <c r="D5542" s="760"/>
      <c r="E5542" s="760"/>
      <c r="F5542" s="760"/>
      <c r="G5542" s="760"/>
      <c r="H5542" s="760"/>
      <c r="I5542" s="760"/>
      <c r="J5542" s="760"/>
      <c r="K5542" s="760"/>
    </row>
    <row r="5543" spans="1:11">
      <c r="A5543" s="760"/>
      <c r="B5543" s="760"/>
      <c r="C5543" s="760"/>
      <c r="D5543" s="760"/>
      <c r="E5543" s="760"/>
      <c r="F5543" s="760"/>
      <c r="G5543" s="760"/>
      <c r="H5543" s="760"/>
      <c r="I5543" s="760"/>
      <c r="J5543" s="760"/>
      <c r="K5543" s="760"/>
    </row>
    <row r="5544" spans="1:11">
      <c r="A5544" s="760"/>
      <c r="B5544" s="760"/>
      <c r="C5544" s="760"/>
      <c r="D5544" s="760"/>
      <c r="E5544" s="760"/>
      <c r="F5544" s="760"/>
      <c r="G5544" s="760"/>
      <c r="H5544" s="760"/>
      <c r="I5544" s="760"/>
      <c r="J5544" s="760"/>
      <c r="K5544" s="760"/>
    </row>
    <row r="5545" spans="1:11">
      <c r="A5545" s="760"/>
      <c r="B5545" s="760"/>
      <c r="C5545" s="760"/>
      <c r="D5545" s="760"/>
      <c r="E5545" s="760"/>
      <c r="F5545" s="760"/>
      <c r="G5545" s="760"/>
      <c r="H5545" s="760"/>
      <c r="I5545" s="760"/>
      <c r="J5545" s="760"/>
      <c r="K5545" s="760"/>
    </row>
    <row r="5546" spans="1:11">
      <c r="A5546" s="760"/>
      <c r="B5546" s="760"/>
      <c r="C5546" s="760"/>
      <c r="D5546" s="760"/>
      <c r="E5546" s="760"/>
      <c r="F5546" s="760"/>
      <c r="G5546" s="760"/>
      <c r="H5546" s="760"/>
      <c r="I5546" s="760"/>
      <c r="J5546" s="760"/>
      <c r="K5546" s="760"/>
    </row>
    <row r="5547" spans="1:11">
      <c r="A5547" s="760"/>
      <c r="B5547" s="760"/>
      <c r="C5547" s="760"/>
      <c r="D5547" s="760"/>
      <c r="E5547" s="760"/>
      <c r="F5547" s="760"/>
      <c r="G5547" s="760"/>
      <c r="H5547" s="760"/>
      <c r="I5547" s="760"/>
      <c r="J5547" s="760"/>
      <c r="K5547" s="760"/>
    </row>
    <row r="5548" spans="1:11">
      <c r="A5548" s="760"/>
      <c r="B5548" s="760"/>
      <c r="C5548" s="760"/>
      <c r="D5548" s="760"/>
      <c r="E5548" s="760"/>
      <c r="F5548" s="760"/>
      <c r="G5548" s="760"/>
      <c r="H5548" s="760"/>
      <c r="I5548" s="760"/>
      <c r="J5548" s="760"/>
      <c r="K5548" s="760"/>
    </row>
    <row r="5549" spans="1:11">
      <c r="A5549" s="760"/>
      <c r="B5549" s="760"/>
      <c r="C5549" s="760"/>
      <c r="D5549" s="760"/>
      <c r="E5549" s="760"/>
      <c r="F5549" s="760"/>
      <c r="G5549" s="760"/>
      <c r="H5549" s="760"/>
      <c r="I5549" s="760"/>
      <c r="J5549" s="760"/>
      <c r="K5549" s="760"/>
    </row>
    <row r="5550" spans="1:11">
      <c r="A5550" s="760"/>
      <c r="B5550" s="760"/>
      <c r="C5550" s="760"/>
      <c r="D5550" s="760"/>
      <c r="E5550" s="760"/>
      <c r="F5550" s="760"/>
      <c r="G5550" s="760"/>
      <c r="H5550" s="760"/>
      <c r="I5550" s="760"/>
      <c r="J5550" s="760"/>
      <c r="K5550" s="760"/>
    </row>
    <row r="5551" spans="1:11">
      <c r="A5551" s="760"/>
      <c r="B5551" s="760"/>
      <c r="C5551" s="760"/>
      <c r="D5551" s="760"/>
      <c r="E5551" s="760"/>
      <c r="F5551" s="760"/>
      <c r="G5551" s="760"/>
      <c r="H5551" s="760"/>
      <c r="I5551" s="760"/>
      <c r="J5551" s="760"/>
      <c r="K5551" s="760"/>
    </row>
    <row r="5552" spans="1:11">
      <c r="A5552" s="760"/>
      <c r="B5552" s="760"/>
      <c r="C5552" s="760"/>
      <c r="D5552" s="760"/>
      <c r="E5552" s="760"/>
      <c r="F5552" s="760"/>
      <c r="G5552" s="760"/>
      <c r="H5552" s="760"/>
      <c r="I5552" s="760"/>
      <c r="J5552" s="760"/>
      <c r="K5552" s="760"/>
    </row>
    <row r="5553" spans="1:11">
      <c r="A5553" s="760"/>
      <c r="B5553" s="760"/>
      <c r="C5553" s="760"/>
      <c r="D5553" s="760"/>
      <c r="E5553" s="760"/>
      <c r="F5553" s="760"/>
      <c r="G5553" s="760"/>
      <c r="H5553" s="760"/>
      <c r="I5553" s="760"/>
      <c r="J5553" s="760"/>
      <c r="K5553" s="760"/>
    </row>
    <row r="5554" spans="1:11">
      <c r="A5554" s="760"/>
      <c r="B5554" s="760"/>
      <c r="C5554" s="760"/>
      <c r="D5554" s="760"/>
      <c r="E5554" s="760"/>
      <c r="F5554" s="760"/>
      <c r="G5554" s="760"/>
      <c r="H5554" s="760"/>
      <c r="I5554" s="760"/>
      <c r="J5554" s="760"/>
      <c r="K5554" s="760"/>
    </row>
    <row r="5555" spans="1:11">
      <c r="A5555" s="760"/>
      <c r="B5555" s="760"/>
      <c r="C5555" s="760"/>
      <c r="D5555" s="760"/>
      <c r="E5555" s="760"/>
      <c r="F5555" s="760"/>
      <c r="G5555" s="760"/>
      <c r="H5555" s="760"/>
      <c r="I5555" s="760"/>
      <c r="J5555" s="760"/>
      <c r="K5555" s="760"/>
    </row>
    <row r="5556" spans="1:11">
      <c r="A5556" s="760"/>
      <c r="B5556" s="760"/>
      <c r="C5556" s="760"/>
      <c r="D5556" s="760"/>
      <c r="E5556" s="760"/>
      <c r="F5556" s="760"/>
      <c r="G5556" s="760"/>
      <c r="H5556" s="760"/>
      <c r="I5556" s="760"/>
      <c r="J5556" s="760"/>
      <c r="K5556" s="760"/>
    </row>
    <row r="5557" spans="1:11">
      <c r="A5557" s="760"/>
      <c r="B5557" s="760"/>
      <c r="C5557" s="760"/>
      <c r="D5557" s="760"/>
      <c r="E5557" s="760"/>
      <c r="F5557" s="760"/>
      <c r="G5557" s="760"/>
      <c r="H5557" s="760"/>
      <c r="I5557" s="760"/>
      <c r="J5557" s="760"/>
      <c r="K5557" s="760"/>
    </row>
    <row r="5558" spans="1:11">
      <c r="A5558" s="760"/>
      <c r="B5558" s="760"/>
      <c r="C5558" s="760"/>
      <c r="D5558" s="760"/>
      <c r="E5558" s="760"/>
      <c r="F5558" s="760"/>
      <c r="G5558" s="760"/>
      <c r="H5558" s="760"/>
      <c r="I5558" s="760"/>
      <c r="J5558" s="760"/>
      <c r="K5558" s="760"/>
    </row>
    <row r="5559" spans="1:11">
      <c r="A5559" s="760"/>
      <c r="B5559" s="760"/>
      <c r="C5559" s="760"/>
      <c r="D5559" s="760"/>
      <c r="E5559" s="760"/>
      <c r="F5559" s="760"/>
      <c r="G5559" s="760"/>
      <c r="H5559" s="760"/>
      <c r="I5559" s="760"/>
      <c r="J5559" s="760"/>
      <c r="K5559" s="760"/>
    </row>
    <row r="5560" spans="1:11">
      <c r="A5560" s="760"/>
      <c r="B5560" s="760"/>
      <c r="C5560" s="760"/>
      <c r="D5560" s="760"/>
      <c r="E5560" s="760"/>
      <c r="F5560" s="760"/>
      <c r="G5560" s="760"/>
      <c r="H5560" s="760"/>
      <c r="I5560" s="760"/>
      <c r="J5560" s="760"/>
      <c r="K5560" s="760"/>
    </row>
    <row r="5561" spans="1:11">
      <c r="A5561" s="760"/>
      <c r="B5561" s="760"/>
      <c r="C5561" s="760"/>
      <c r="D5561" s="760"/>
      <c r="E5561" s="760"/>
      <c r="F5561" s="760"/>
      <c r="G5561" s="760"/>
      <c r="H5561" s="760"/>
      <c r="I5561" s="760"/>
      <c r="J5561" s="760"/>
      <c r="K5561" s="760"/>
    </row>
    <row r="5562" spans="1:11">
      <c r="A5562" s="760"/>
      <c r="B5562" s="760"/>
      <c r="C5562" s="760"/>
      <c r="D5562" s="760"/>
      <c r="E5562" s="760"/>
      <c r="F5562" s="760"/>
      <c r="G5562" s="760"/>
      <c r="H5562" s="760"/>
      <c r="I5562" s="760"/>
      <c r="J5562" s="760"/>
      <c r="K5562" s="760"/>
    </row>
    <row r="5563" spans="1:11">
      <c r="A5563" s="760"/>
      <c r="B5563" s="760"/>
      <c r="C5563" s="760"/>
      <c r="D5563" s="760"/>
      <c r="E5563" s="760"/>
      <c r="F5563" s="760"/>
      <c r="G5563" s="760"/>
      <c r="H5563" s="760"/>
      <c r="I5563" s="760"/>
      <c r="J5563" s="760"/>
      <c r="K5563" s="760"/>
    </row>
    <row r="5564" spans="1:11">
      <c r="A5564" s="760"/>
      <c r="B5564" s="760"/>
      <c r="C5564" s="760"/>
      <c r="D5564" s="760"/>
      <c r="E5564" s="760"/>
      <c r="F5564" s="760"/>
      <c r="G5564" s="760"/>
      <c r="H5564" s="760"/>
      <c r="I5564" s="760"/>
      <c r="J5564" s="760"/>
      <c r="K5564" s="760"/>
    </row>
    <row r="5565" spans="1:11">
      <c r="A5565" s="760"/>
      <c r="B5565" s="760"/>
      <c r="C5565" s="760"/>
      <c r="D5565" s="760"/>
      <c r="E5565" s="760"/>
      <c r="F5565" s="760"/>
      <c r="G5565" s="760"/>
      <c r="H5565" s="760"/>
      <c r="I5565" s="760"/>
      <c r="J5565" s="760"/>
      <c r="K5565" s="760"/>
    </row>
    <row r="5566" spans="1:11">
      <c r="A5566" s="760"/>
      <c r="B5566" s="760"/>
      <c r="C5566" s="760"/>
      <c r="D5566" s="760"/>
      <c r="E5566" s="760"/>
      <c r="F5566" s="760"/>
      <c r="G5566" s="760"/>
      <c r="H5566" s="760"/>
      <c r="I5566" s="760"/>
      <c r="J5566" s="760"/>
      <c r="K5566" s="760"/>
    </row>
    <row r="5567" spans="1:11">
      <c r="A5567" s="760"/>
      <c r="B5567" s="760"/>
      <c r="C5567" s="760"/>
      <c r="D5567" s="760"/>
      <c r="E5567" s="760"/>
      <c r="F5567" s="760"/>
      <c r="G5567" s="760"/>
      <c r="H5567" s="760"/>
      <c r="I5567" s="760"/>
      <c r="J5567" s="760"/>
      <c r="K5567" s="760"/>
    </row>
    <row r="5568" spans="1:11">
      <c r="A5568" s="760"/>
      <c r="B5568" s="760"/>
      <c r="C5568" s="760"/>
      <c r="D5568" s="760"/>
      <c r="E5568" s="760"/>
      <c r="F5568" s="760"/>
      <c r="G5568" s="760"/>
      <c r="H5568" s="760"/>
      <c r="I5568" s="760"/>
      <c r="J5568" s="760"/>
      <c r="K5568" s="760"/>
    </row>
    <row r="5569" spans="1:11">
      <c r="A5569" s="760"/>
      <c r="B5569" s="760"/>
      <c r="C5569" s="760"/>
      <c r="D5569" s="760"/>
      <c r="E5569" s="760"/>
      <c r="F5569" s="760"/>
      <c r="G5569" s="760"/>
      <c r="H5569" s="760"/>
      <c r="I5569" s="760"/>
      <c r="J5569" s="760"/>
      <c r="K5569" s="760"/>
    </row>
    <row r="5570" spans="1:11">
      <c r="A5570" s="760"/>
      <c r="B5570" s="760"/>
      <c r="C5570" s="760"/>
      <c r="D5570" s="760"/>
      <c r="E5570" s="760"/>
      <c r="F5570" s="760"/>
      <c r="G5570" s="760"/>
      <c r="H5570" s="760"/>
      <c r="I5570" s="760"/>
      <c r="J5570" s="760"/>
      <c r="K5570" s="760"/>
    </row>
    <row r="5571" spans="1:11">
      <c r="A5571" s="760"/>
      <c r="B5571" s="760"/>
      <c r="C5571" s="760"/>
      <c r="D5571" s="760"/>
      <c r="E5571" s="760"/>
      <c r="F5571" s="760"/>
      <c r="G5571" s="760"/>
      <c r="H5571" s="760"/>
      <c r="I5571" s="760"/>
      <c r="J5571" s="760"/>
      <c r="K5571" s="760"/>
    </row>
    <row r="5572" spans="1:11">
      <c r="A5572" s="760"/>
      <c r="B5572" s="760"/>
      <c r="C5572" s="760"/>
      <c r="D5572" s="760"/>
      <c r="E5572" s="760"/>
      <c r="F5572" s="760"/>
      <c r="G5572" s="760"/>
      <c r="H5572" s="760"/>
      <c r="I5572" s="760"/>
      <c r="J5572" s="760"/>
      <c r="K5572" s="760"/>
    </row>
    <row r="5573" spans="1:11">
      <c r="A5573" s="760"/>
      <c r="B5573" s="760"/>
      <c r="C5573" s="760"/>
      <c r="D5573" s="760"/>
      <c r="E5573" s="760"/>
      <c r="F5573" s="760"/>
      <c r="G5573" s="760"/>
      <c r="H5573" s="760"/>
      <c r="I5573" s="760"/>
      <c r="J5573" s="760"/>
      <c r="K5573" s="760"/>
    </row>
    <row r="5574" spans="1:11">
      <c r="A5574" s="760"/>
      <c r="B5574" s="760"/>
      <c r="C5574" s="760"/>
      <c r="D5574" s="760"/>
      <c r="E5574" s="760"/>
      <c r="F5574" s="760"/>
      <c r="G5574" s="760"/>
      <c r="H5574" s="760"/>
      <c r="I5574" s="760"/>
      <c r="J5574" s="760"/>
      <c r="K5574" s="760"/>
    </row>
    <row r="5575" spans="1:11">
      <c r="A5575" s="760"/>
      <c r="B5575" s="760"/>
      <c r="C5575" s="760"/>
      <c r="D5575" s="760"/>
      <c r="E5575" s="760"/>
      <c r="F5575" s="760"/>
      <c r="G5575" s="760"/>
      <c r="H5575" s="760"/>
      <c r="I5575" s="760"/>
      <c r="J5575" s="760"/>
      <c r="K5575" s="760"/>
    </row>
    <row r="5576" spans="1:11">
      <c r="A5576" s="760"/>
      <c r="B5576" s="760"/>
      <c r="C5576" s="760"/>
      <c r="D5576" s="760"/>
      <c r="E5576" s="760"/>
      <c r="F5576" s="760"/>
      <c r="G5576" s="760"/>
      <c r="H5576" s="760"/>
      <c r="I5576" s="760"/>
      <c r="J5576" s="760"/>
      <c r="K5576" s="760"/>
    </row>
    <row r="5577" spans="1:11">
      <c r="A5577" s="760"/>
      <c r="B5577" s="760"/>
      <c r="C5577" s="760"/>
      <c r="D5577" s="760"/>
      <c r="E5577" s="760"/>
      <c r="F5577" s="760"/>
      <c r="G5577" s="760"/>
      <c r="H5577" s="760"/>
      <c r="I5577" s="760"/>
      <c r="J5577" s="760"/>
      <c r="K5577" s="760"/>
    </row>
    <row r="5578" spans="1:11">
      <c r="A5578" s="760"/>
      <c r="B5578" s="760"/>
      <c r="C5578" s="760"/>
      <c r="D5578" s="760"/>
      <c r="E5578" s="760"/>
      <c r="F5578" s="760"/>
      <c r="G5578" s="760"/>
      <c r="H5578" s="760"/>
      <c r="I5578" s="760"/>
      <c r="J5578" s="760"/>
      <c r="K5578" s="760"/>
    </row>
    <row r="5579" spans="1:11">
      <c r="A5579" s="760"/>
      <c r="B5579" s="760"/>
      <c r="C5579" s="760"/>
      <c r="D5579" s="760"/>
      <c r="E5579" s="760"/>
      <c r="F5579" s="760"/>
      <c r="G5579" s="760"/>
      <c r="H5579" s="760"/>
      <c r="I5579" s="760"/>
      <c r="J5579" s="760"/>
      <c r="K5579" s="760"/>
    </row>
    <row r="5580" spans="1:11">
      <c r="A5580" s="760"/>
      <c r="B5580" s="760"/>
      <c r="C5580" s="760"/>
      <c r="D5580" s="760"/>
      <c r="E5580" s="760"/>
      <c r="F5580" s="760"/>
      <c r="G5580" s="760"/>
      <c r="H5580" s="760"/>
      <c r="I5580" s="760"/>
      <c r="J5580" s="760"/>
      <c r="K5580" s="760"/>
    </row>
    <row r="5581" spans="1:11">
      <c r="A5581" s="760"/>
      <c r="B5581" s="760"/>
      <c r="C5581" s="760"/>
      <c r="D5581" s="760"/>
      <c r="E5581" s="760"/>
      <c r="F5581" s="760"/>
      <c r="G5581" s="760"/>
      <c r="H5581" s="760"/>
      <c r="I5581" s="760"/>
      <c r="J5581" s="760"/>
      <c r="K5581" s="760"/>
    </row>
    <row r="5582" spans="1:11">
      <c r="A5582" s="760"/>
      <c r="B5582" s="760"/>
      <c r="C5582" s="760"/>
      <c r="D5582" s="760"/>
      <c r="E5582" s="760"/>
      <c r="F5582" s="760"/>
      <c r="G5582" s="760"/>
      <c r="H5582" s="760"/>
      <c r="I5582" s="760"/>
      <c r="J5582" s="760"/>
      <c r="K5582" s="760"/>
    </row>
    <row r="5583" spans="1:11">
      <c r="A5583" s="760"/>
      <c r="B5583" s="760"/>
      <c r="C5583" s="760"/>
      <c r="D5583" s="760"/>
      <c r="E5583" s="760"/>
      <c r="F5583" s="760"/>
      <c r="G5583" s="760"/>
      <c r="H5583" s="760"/>
      <c r="I5583" s="760"/>
      <c r="J5583" s="760"/>
      <c r="K5583" s="760"/>
    </row>
    <row r="5584" spans="1:11">
      <c r="A5584" s="760"/>
      <c r="B5584" s="760"/>
      <c r="C5584" s="760"/>
      <c r="D5584" s="760"/>
      <c r="E5584" s="760"/>
      <c r="F5584" s="760"/>
      <c r="G5584" s="760"/>
      <c r="H5584" s="760"/>
      <c r="I5584" s="760"/>
      <c r="J5584" s="760"/>
      <c r="K5584" s="760"/>
    </row>
    <row r="5585" spans="1:11">
      <c r="A5585" s="760"/>
      <c r="B5585" s="760"/>
      <c r="C5585" s="760"/>
      <c r="D5585" s="760"/>
      <c r="E5585" s="760"/>
      <c r="F5585" s="760"/>
      <c r="G5585" s="760"/>
      <c r="H5585" s="760"/>
      <c r="I5585" s="760"/>
      <c r="J5585" s="760"/>
      <c r="K5585" s="760"/>
    </row>
    <row r="5586" spans="1:11">
      <c r="A5586" s="760"/>
      <c r="B5586" s="760"/>
      <c r="C5586" s="760"/>
      <c r="D5586" s="760"/>
      <c r="E5586" s="760"/>
      <c r="F5586" s="760"/>
      <c r="G5586" s="760"/>
      <c r="H5586" s="760"/>
      <c r="I5586" s="760"/>
      <c r="J5586" s="760"/>
      <c r="K5586" s="760"/>
    </row>
    <row r="5587" spans="1:11">
      <c r="A5587" s="760"/>
      <c r="B5587" s="760"/>
      <c r="C5587" s="760"/>
      <c r="D5587" s="760"/>
      <c r="E5587" s="760"/>
      <c r="F5587" s="760"/>
      <c r="G5587" s="760"/>
      <c r="H5587" s="760"/>
      <c r="I5587" s="760"/>
      <c r="J5587" s="760"/>
      <c r="K5587" s="760"/>
    </row>
    <row r="5588" spans="1:11">
      <c r="A5588" s="760"/>
      <c r="B5588" s="760"/>
      <c r="C5588" s="760"/>
      <c r="D5588" s="760"/>
      <c r="E5588" s="760"/>
      <c r="F5588" s="760"/>
      <c r="G5588" s="760"/>
      <c r="H5588" s="760"/>
      <c r="I5588" s="760"/>
      <c r="J5588" s="760"/>
      <c r="K5588" s="760"/>
    </row>
    <row r="5589" spans="1:11">
      <c r="A5589" s="760"/>
      <c r="B5589" s="760"/>
      <c r="C5589" s="760"/>
      <c r="D5589" s="760"/>
      <c r="E5589" s="760"/>
      <c r="F5589" s="760"/>
      <c r="G5589" s="760"/>
      <c r="H5589" s="760"/>
      <c r="I5589" s="760"/>
      <c r="J5589" s="760"/>
      <c r="K5589" s="760"/>
    </row>
    <row r="5590" spans="1:11">
      <c r="A5590" s="760"/>
      <c r="B5590" s="760"/>
      <c r="C5590" s="760"/>
      <c r="D5590" s="760"/>
      <c r="E5590" s="760"/>
      <c r="F5590" s="760"/>
      <c r="G5590" s="760"/>
      <c r="H5590" s="760"/>
      <c r="I5590" s="760"/>
      <c r="J5590" s="760"/>
      <c r="K5590" s="760"/>
    </row>
    <row r="5591" spans="1:11">
      <c r="A5591" s="760"/>
      <c r="B5591" s="760"/>
      <c r="C5591" s="760"/>
      <c r="D5591" s="760"/>
      <c r="E5591" s="760"/>
      <c r="F5591" s="760"/>
      <c r="G5591" s="760"/>
      <c r="H5591" s="760"/>
      <c r="I5591" s="760"/>
      <c r="J5591" s="760"/>
      <c r="K5591" s="760"/>
    </row>
    <row r="5592" spans="1:11">
      <c r="A5592" s="760"/>
      <c r="B5592" s="760"/>
      <c r="C5592" s="760"/>
      <c r="D5592" s="760"/>
      <c r="E5592" s="760"/>
      <c r="F5592" s="760"/>
      <c r="G5592" s="760"/>
      <c r="H5592" s="760"/>
      <c r="I5592" s="760"/>
      <c r="J5592" s="760"/>
      <c r="K5592" s="760"/>
    </row>
    <row r="5593" spans="1:11">
      <c r="A5593" s="760"/>
      <c r="B5593" s="760"/>
      <c r="C5593" s="760"/>
      <c r="D5593" s="760"/>
      <c r="E5593" s="760"/>
      <c r="F5593" s="760"/>
      <c r="G5593" s="760"/>
      <c r="H5593" s="760"/>
      <c r="I5593" s="760"/>
      <c r="J5593" s="760"/>
      <c r="K5593" s="760"/>
    </row>
    <row r="5594" spans="1:11">
      <c r="A5594" s="760"/>
      <c r="B5594" s="760"/>
      <c r="C5594" s="760"/>
      <c r="D5594" s="760"/>
      <c r="E5594" s="760"/>
      <c r="F5594" s="760"/>
      <c r="G5594" s="760"/>
      <c r="H5594" s="760"/>
      <c r="I5594" s="760"/>
      <c r="J5594" s="760"/>
      <c r="K5594" s="760"/>
    </row>
    <row r="5595" spans="1:11">
      <c r="A5595" s="760"/>
      <c r="B5595" s="760"/>
      <c r="C5595" s="760"/>
      <c r="D5595" s="760"/>
      <c r="E5595" s="760"/>
      <c r="F5595" s="760"/>
      <c r="G5595" s="760"/>
      <c r="H5595" s="760"/>
      <c r="I5595" s="760"/>
      <c r="J5595" s="760"/>
      <c r="K5595" s="760"/>
    </row>
    <row r="5596" spans="1:11">
      <c r="A5596" s="760"/>
      <c r="B5596" s="760"/>
      <c r="C5596" s="760"/>
      <c r="D5596" s="760"/>
      <c r="E5596" s="760"/>
      <c r="F5596" s="760"/>
      <c r="G5596" s="760"/>
      <c r="H5596" s="760"/>
      <c r="I5596" s="760"/>
      <c r="J5596" s="760"/>
      <c r="K5596" s="760"/>
    </row>
    <row r="5597" spans="1:11">
      <c r="A5597" s="760"/>
      <c r="B5597" s="760"/>
      <c r="C5597" s="760"/>
      <c r="D5597" s="760"/>
      <c r="E5597" s="760"/>
      <c r="F5597" s="760"/>
      <c r="G5597" s="760"/>
      <c r="H5597" s="760"/>
      <c r="I5597" s="760"/>
      <c r="J5597" s="760"/>
      <c r="K5597" s="760"/>
    </row>
    <row r="5598" spans="1:11">
      <c r="A5598" s="760"/>
      <c r="B5598" s="760"/>
      <c r="C5598" s="760"/>
      <c r="D5598" s="760"/>
      <c r="E5598" s="760"/>
      <c r="F5598" s="760"/>
      <c r="G5598" s="760"/>
      <c r="H5598" s="760"/>
      <c r="I5598" s="760"/>
      <c r="J5598" s="760"/>
      <c r="K5598" s="760"/>
    </row>
    <row r="5599" spans="1:11">
      <c r="A5599" s="760"/>
      <c r="B5599" s="760"/>
      <c r="C5599" s="760"/>
      <c r="D5599" s="760"/>
      <c r="E5599" s="760"/>
      <c r="F5599" s="760"/>
      <c r="G5599" s="760"/>
      <c r="H5599" s="760"/>
      <c r="I5599" s="760"/>
      <c r="J5599" s="760"/>
      <c r="K5599" s="760"/>
    </row>
    <row r="5600" spans="1:11">
      <c r="A5600" s="760"/>
      <c r="B5600" s="760"/>
      <c r="C5600" s="760"/>
      <c r="D5600" s="760"/>
      <c r="E5600" s="760"/>
      <c r="F5600" s="760"/>
      <c r="G5600" s="760"/>
      <c r="H5600" s="760"/>
      <c r="I5600" s="760"/>
      <c r="J5600" s="760"/>
      <c r="K5600" s="760"/>
    </row>
    <row r="5601" spans="1:11">
      <c r="A5601" s="760"/>
      <c r="B5601" s="760"/>
      <c r="C5601" s="760"/>
      <c r="D5601" s="760"/>
      <c r="E5601" s="760"/>
      <c r="F5601" s="760"/>
      <c r="G5601" s="760"/>
      <c r="H5601" s="760"/>
      <c r="I5601" s="760"/>
      <c r="J5601" s="760"/>
      <c r="K5601" s="760"/>
    </row>
    <row r="5602" spans="1:11">
      <c r="A5602" s="760"/>
      <c r="B5602" s="760"/>
      <c r="C5602" s="760"/>
      <c r="D5602" s="760"/>
      <c r="E5602" s="760"/>
      <c r="F5602" s="760"/>
      <c r="G5602" s="760"/>
      <c r="H5602" s="760"/>
      <c r="I5602" s="760"/>
      <c r="J5602" s="760"/>
      <c r="K5602" s="760"/>
    </row>
    <row r="5603" spans="1:11">
      <c r="A5603" s="760"/>
      <c r="B5603" s="760"/>
      <c r="C5603" s="760"/>
      <c r="D5603" s="760"/>
      <c r="E5603" s="760"/>
      <c r="F5603" s="760"/>
      <c r="G5603" s="760"/>
      <c r="H5603" s="760"/>
      <c r="I5603" s="760"/>
      <c r="J5603" s="760"/>
      <c r="K5603" s="760"/>
    </row>
    <row r="5604" spans="1:11">
      <c r="A5604" s="760"/>
      <c r="B5604" s="760"/>
      <c r="C5604" s="760"/>
      <c r="D5604" s="760"/>
      <c r="E5604" s="760"/>
      <c r="F5604" s="760"/>
      <c r="G5604" s="760"/>
      <c r="H5604" s="760"/>
      <c r="I5604" s="760"/>
      <c r="J5604" s="760"/>
      <c r="K5604" s="760"/>
    </row>
    <row r="5605" spans="1:11">
      <c r="A5605" s="760"/>
      <c r="B5605" s="760"/>
      <c r="C5605" s="760"/>
      <c r="D5605" s="760"/>
      <c r="E5605" s="760"/>
      <c r="F5605" s="760"/>
      <c r="G5605" s="760"/>
      <c r="H5605" s="760"/>
      <c r="I5605" s="760"/>
      <c r="J5605" s="760"/>
      <c r="K5605" s="760"/>
    </row>
    <row r="5606" spans="1:11">
      <c r="A5606" s="760"/>
      <c r="B5606" s="760"/>
      <c r="C5606" s="760"/>
      <c r="D5606" s="760"/>
      <c r="E5606" s="760"/>
      <c r="F5606" s="760"/>
      <c r="G5606" s="760"/>
      <c r="H5606" s="760"/>
      <c r="I5606" s="760"/>
      <c r="J5606" s="760"/>
      <c r="K5606" s="760"/>
    </row>
    <row r="5607" spans="1:11">
      <c r="A5607" s="760"/>
      <c r="B5607" s="760"/>
      <c r="C5607" s="760"/>
      <c r="D5607" s="760"/>
      <c r="E5607" s="760"/>
      <c r="F5607" s="760"/>
      <c r="G5607" s="760"/>
      <c r="H5607" s="760"/>
      <c r="I5607" s="760"/>
      <c r="J5607" s="760"/>
      <c r="K5607" s="760"/>
    </row>
    <row r="5608" spans="1:11">
      <c r="A5608" s="760"/>
      <c r="B5608" s="760"/>
      <c r="C5608" s="760"/>
      <c r="D5608" s="760"/>
      <c r="E5608" s="760"/>
      <c r="F5608" s="760"/>
      <c r="G5608" s="760"/>
      <c r="H5608" s="760"/>
      <c r="I5608" s="760"/>
      <c r="J5608" s="760"/>
      <c r="K5608" s="760"/>
    </row>
    <row r="5609" spans="1:11">
      <c r="A5609" s="760"/>
      <c r="B5609" s="760"/>
      <c r="C5609" s="760"/>
      <c r="D5609" s="760"/>
      <c r="E5609" s="760"/>
      <c r="F5609" s="760"/>
      <c r="G5609" s="760"/>
      <c r="H5609" s="760"/>
      <c r="I5609" s="760"/>
      <c r="J5609" s="760"/>
      <c r="K5609" s="760"/>
    </row>
    <row r="5610" spans="1:11">
      <c r="A5610" s="760"/>
      <c r="B5610" s="760"/>
      <c r="C5610" s="760"/>
      <c r="D5610" s="760"/>
      <c r="E5610" s="760"/>
      <c r="F5610" s="760"/>
      <c r="G5610" s="760"/>
      <c r="H5610" s="760"/>
      <c r="I5610" s="760"/>
      <c r="J5610" s="760"/>
      <c r="K5610" s="760"/>
    </row>
    <row r="5611" spans="1:11">
      <c r="A5611" s="760"/>
      <c r="B5611" s="760"/>
      <c r="C5611" s="760"/>
      <c r="D5611" s="760"/>
      <c r="E5611" s="760"/>
      <c r="F5611" s="760"/>
      <c r="G5611" s="760"/>
      <c r="H5611" s="760"/>
      <c r="I5611" s="760"/>
      <c r="J5611" s="760"/>
      <c r="K5611" s="760"/>
    </row>
    <row r="5612" spans="1:11">
      <c r="A5612" s="760"/>
      <c r="B5612" s="760"/>
      <c r="C5612" s="760"/>
      <c r="D5612" s="760"/>
      <c r="E5612" s="760"/>
      <c r="F5612" s="760"/>
      <c r="G5612" s="760"/>
      <c r="H5612" s="760"/>
      <c r="I5612" s="760"/>
      <c r="J5612" s="760"/>
      <c r="K5612" s="760"/>
    </row>
    <row r="5613" spans="1:11">
      <c r="A5613" s="760"/>
      <c r="B5613" s="760"/>
      <c r="C5613" s="760"/>
      <c r="D5613" s="760"/>
      <c r="E5613" s="760"/>
      <c r="F5613" s="760"/>
      <c r="G5613" s="760"/>
      <c r="H5613" s="760"/>
      <c r="I5613" s="760"/>
      <c r="J5613" s="760"/>
      <c r="K5613" s="760"/>
    </row>
    <row r="5614" spans="1:11">
      <c r="A5614" s="760"/>
      <c r="B5614" s="760"/>
      <c r="C5614" s="760"/>
      <c r="D5614" s="760"/>
      <c r="E5614" s="760"/>
      <c r="F5614" s="760"/>
      <c r="G5614" s="760"/>
      <c r="H5614" s="760"/>
      <c r="I5614" s="760"/>
      <c r="J5614" s="760"/>
      <c r="K5614" s="760"/>
    </row>
    <row r="5615" spans="1:11">
      <c r="A5615" s="760"/>
      <c r="B5615" s="760"/>
      <c r="C5615" s="760"/>
      <c r="D5615" s="760"/>
      <c r="E5615" s="760"/>
      <c r="F5615" s="760"/>
      <c r="G5615" s="760"/>
      <c r="H5615" s="760"/>
      <c r="I5615" s="760"/>
      <c r="J5615" s="760"/>
      <c r="K5615" s="760"/>
    </row>
    <row r="5616" spans="1:11">
      <c r="A5616" s="760"/>
      <c r="B5616" s="760"/>
      <c r="C5616" s="760"/>
      <c r="D5616" s="760"/>
      <c r="E5616" s="760"/>
      <c r="F5616" s="760"/>
      <c r="G5616" s="760"/>
      <c r="H5616" s="760"/>
      <c r="I5616" s="760"/>
      <c r="J5616" s="760"/>
      <c r="K5616" s="760"/>
    </row>
    <row r="5617" spans="1:11">
      <c r="A5617" s="760"/>
      <c r="B5617" s="760"/>
      <c r="C5617" s="760"/>
      <c r="D5617" s="760"/>
      <c r="E5617" s="760"/>
      <c r="F5617" s="760"/>
      <c r="G5617" s="760"/>
      <c r="H5617" s="760"/>
      <c r="I5617" s="760"/>
      <c r="J5617" s="760"/>
      <c r="K5617" s="760"/>
    </row>
    <row r="5618" spans="1:11">
      <c r="A5618" s="760"/>
      <c r="B5618" s="760"/>
      <c r="C5618" s="760"/>
      <c r="D5618" s="760"/>
      <c r="E5618" s="760"/>
      <c r="F5618" s="760"/>
      <c r="G5618" s="760"/>
      <c r="H5618" s="760"/>
      <c r="I5618" s="760"/>
      <c r="J5618" s="760"/>
      <c r="K5618" s="760"/>
    </row>
    <row r="5619" spans="1:11">
      <c r="A5619" s="760"/>
      <c r="B5619" s="760"/>
      <c r="C5619" s="760"/>
      <c r="D5619" s="760"/>
      <c r="E5619" s="760"/>
      <c r="F5619" s="760"/>
      <c r="G5619" s="760"/>
      <c r="H5619" s="760"/>
      <c r="I5619" s="760"/>
      <c r="J5619" s="760"/>
      <c r="K5619" s="760"/>
    </row>
    <row r="5620" spans="1:11">
      <c r="A5620" s="760"/>
      <c r="B5620" s="760"/>
      <c r="C5620" s="760"/>
      <c r="D5620" s="760"/>
      <c r="E5620" s="760"/>
      <c r="F5620" s="760"/>
      <c r="G5620" s="760"/>
      <c r="H5620" s="760"/>
      <c r="I5620" s="760"/>
      <c r="J5620" s="760"/>
      <c r="K5620" s="760"/>
    </row>
    <row r="5621" spans="1:11">
      <c r="A5621" s="760"/>
      <c r="B5621" s="760"/>
      <c r="C5621" s="760"/>
      <c r="D5621" s="760"/>
      <c r="E5621" s="760"/>
      <c r="F5621" s="760"/>
      <c r="G5621" s="760"/>
      <c r="H5621" s="760"/>
      <c r="I5621" s="760"/>
      <c r="J5621" s="760"/>
      <c r="K5621" s="760"/>
    </row>
    <row r="5622" spans="1:11">
      <c r="A5622" s="760"/>
      <c r="B5622" s="760"/>
      <c r="C5622" s="760"/>
      <c r="D5622" s="760"/>
      <c r="E5622" s="760"/>
      <c r="F5622" s="760"/>
      <c r="G5622" s="760"/>
      <c r="H5622" s="760"/>
      <c r="I5622" s="760"/>
      <c r="J5622" s="760"/>
      <c r="K5622" s="760"/>
    </row>
    <row r="5623" spans="1:11">
      <c r="A5623" s="760"/>
      <c r="B5623" s="760"/>
      <c r="C5623" s="760"/>
      <c r="D5623" s="760"/>
      <c r="E5623" s="760"/>
      <c r="F5623" s="760"/>
      <c r="G5623" s="760"/>
      <c r="H5623" s="760"/>
      <c r="I5623" s="760"/>
      <c r="J5623" s="760"/>
      <c r="K5623" s="760"/>
    </row>
    <row r="5624" spans="1:11">
      <c r="A5624" s="760"/>
      <c r="B5624" s="760"/>
      <c r="C5624" s="760"/>
      <c r="D5624" s="760"/>
      <c r="E5624" s="760"/>
      <c r="F5624" s="760"/>
      <c r="G5624" s="760"/>
      <c r="H5624" s="760"/>
      <c r="I5624" s="760"/>
      <c r="J5624" s="760"/>
      <c r="K5624" s="760"/>
    </row>
    <row r="5625" spans="1:11">
      <c r="A5625" s="760"/>
      <c r="B5625" s="760"/>
      <c r="C5625" s="760"/>
      <c r="D5625" s="760"/>
      <c r="E5625" s="760"/>
      <c r="F5625" s="760"/>
      <c r="G5625" s="760"/>
      <c r="H5625" s="760"/>
      <c r="I5625" s="760"/>
      <c r="J5625" s="760"/>
      <c r="K5625" s="760"/>
    </row>
    <row r="5626" spans="1:11">
      <c r="A5626" s="760"/>
      <c r="B5626" s="760"/>
      <c r="C5626" s="760"/>
      <c r="D5626" s="760"/>
      <c r="E5626" s="760"/>
      <c r="F5626" s="760"/>
      <c r="G5626" s="760"/>
      <c r="H5626" s="760"/>
      <c r="I5626" s="760"/>
      <c r="J5626" s="760"/>
      <c r="K5626" s="760"/>
    </row>
    <row r="5627" spans="1:11">
      <c r="A5627" s="760"/>
      <c r="B5627" s="760"/>
      <c r="C5627" s="760"/>
      <c r="D5627" s="760"/>
      <c r="E5627" s="760"/>
      <c r="F5627" s="760"/>
      <c r="G5627" s="760"/>
      <c r="H5627" s="760"/>
      <c r="I5627" s="760"/>
      <c r="J5627" s="760"/>
      <c r="K5627" s="760"/>
    </row>
    <row r="5628" spans="1:11">
      <c r="A5628" s="760"/>
      <c r="B5628" s="760"/>
      <c r="C5628" s="760"/>
      <c r="D5628" s="760"/>
      <c r="E5628" s="760"/>
      <c r="F5628" s="760"/>
      <c r="G5628" s="760"/>
      <c r="H5628" s="760"/>
      <c r="I5628" s="760"/>
      <c r="J5628" s="760"/>
      <c r="K5628" s="760"/>
    </row>
    <row r="5629" spans="1:11">
      <c r="A5629" s="760"/>
      <c r="B5629" s="760"/>
      <c r="C5629" s="760"/>
      <c r="D5629" s="760"/>
      <c r="E5629" s="760"/>
      <c r="F5629" s="760"/>
      <c r="G5629" s="760"/>
      <c r="H5629" s="760"/>
      <c r="I5629" s="760"/>
      <c r="J5629" s="760"/>
      <c r="K5629" s="760"/>
    </row>
    <row r="5630" spans="1:11">
      <c r="A5630" s="760"/>
      <c r="B5630" s="760"/>
      <c r="C5630" s="760"/>
      <c r="D5630" s="760"/>
      <c r="E5630" s="760"/>
      <c r="F5630" s="760"/>
      <c r="G5630" s="760"/>
      <c r="H5630" s="760"/>
      <c r="I5630" s="760"/>
      <c r="J5630" s="760"/>
      <c r="K5630" s="760"/>
    </row>
    <row r="5631" spans="1:11">
      <c r="A5631" s="760"/>
      <c r="B5631" s="760"/>
      <c r="C5631" s="760"/>
      <c r="D5631" s="760"/>
      <c r="E5631" s="760"/>
      <c r="F5631" s="760"/>
      <c r="G5631" s="760"/>
      <c r="H5631" s="760"/>
      <c r="I5631" s="760"/>
      <c r="J5631" s="760"/>
      <c r="K5631" s="760"/>
    </row>
    <row r="5632" spans="1:11">
      <c r="A5632" s="760"/>
      <c r="B5632" s="760"/>
      <c r="C5632" s="760"/>
      <c r="D5632" s="760"/>
      <c r="E5632" s="760"/>
      <c r="F5632" s="760"/>
      <c r="G5632" s="760"/>
      <c r="H5632" s="760"/>
      <c r="I5632" s="760"/>
      <c r="J5632" s="760"/>
      <c r="K5632" s="760"/>
    </row>
    <row r="5633" spans="1:11">
      <c r="A5633" s="760"/>
      <c r="B5633" s="760"/>
      <c r="C5633" s="760"/>
      <c r="D5633" s="760"/>
      <c r="E5633" s="760"/>
      <c r="F5633" s="760"/>
      <c r="G5633" s="760"/>
      <c r="H5633" s="760"/>
      <c r="I5633" s="760"/>
      <c r="J5633" s="760"/>
      <c r="K5633" s="760"/>
    </row>
    <row r="5634" spans="1:11">
      <c r="A5634" s="760"/>
      <c r="B5634" s="760"/>
      <c r="C5634" s="760"/>
      <c r="D5634" s="760"/>
      <c r="E5634" s="760"/>
      <c r="F5634" s="760"/>
      <c r="G5634" s="760"/>
      <c r="H5634" s="760"/>
      <c r="I5634" s="760"/>
      <c r="J5634" s="760"/>
      <c r="K5634" s="760"/>
    </row>
    <row r="5635" spans="1:11">
      <c r="A5635" s="760"/>
      <c r="B5635" s="760"/>
      <c r="C5635" s="760"/>
      <c r="D5635" s="760"/>
      <c r="E5635" s="760"/>
      <c r="F5635" s="760"/>
      <c r="G5635" s="760"/>
      <c r="H5635" s="760"/>
      <c r="I5635" s="760"/>
      <c r="J5635" s="760"/>
      <c r="K5635" s="760"/>
    </row>
    <row r="5636" spans="1:11">
      <c r="A5636" s="760"/>
      <c r="B5636" s="760"/>
      <c r="C5636" s="760"/>
      <c r="D5636" s="760"/>
      <c r="E5636" s="760"/>
      <c r="F5636" s="760"/>
      <c r="G5636" s="760"/>
      <c r="H5636" s="760"/>
      <c r="I5636" s="760"/>
      <c r="J5636" s="760"/>
      <c r="K5636" s="760"/>
    </row>
    <row r="5637" spans="1:11">
      <c r="A5637" s="760"/>
      <c r="B5637" s="760"/>
      <c r="C5637" s="760"/>
      <c r="D5637" s="760"/>
      <c r="E5637" s="760"/>
      <c r="F5637" s="760"/>
      <c r="G5637" s="760"/>
      <c r="H5637" s="760"/>
      <c r="I5637" s="760"/>
      <c r="J5637" s="760"/>
      <c r="K5637" s="760"/>
    </row>
    <row r="5638" spans="1:11">
      <c r="A5638" s="760"/>
      <c r="B5638" s="760"/>
      <c r="C5638" s="760"/>
      <c r="D5638" s="760"/>
      <c r="E5638" s="760"/>
      <c r="F5638" s="760"/>
      <c r="G5638" s="760"/>
      <c r="H5638" s="760"/>
      <c r="I5638" s="760"/>
      <c r="J5638" s="760"/>
      <c r="K5638" s="760"/>
    </row>
    <row r="5639" spans="1:11">
      <c r="A5639" s="760"/>
      <c r="B5639" s="760"/>
      <c r="C5639" s="760"/>
      <c r="D5639" s="760"/>
      <c r="E5639" s="760"/>
      <c r="F5639" s="760"/>
      <c r="G5639" s="760"/>
      <c r="H5639" s="760"/>
      <c r="I5639" s="760"/>
      <c r="J5639" s="760"/>
      <c r="K5639" s="760"/>
    </row>
    <row r="5640" spans="1:11">
      <c r="A5640" s="760"/>
      <c r="B5640" s="760"/>
      <c r="C5640" s="760"/>
      <c r="D5640" s="760"/>
      <c r="E5640" s="760"/>
      <c r="F5640" s="760"/>
      <c r="G5640" s="760"/>
      <c r="H5640" s="760"/>
      <c r="I5640" s="760"/>
      <c r="J5640" s="760"/>
      <c r="K5640" s="760"/>
    </row>
    <row r="5641" spans="1:11">
      <c r="A5641" s="760"/>
      <c r="B5641" s="760"/>
      <c r="C5641" s="760"/>
      <c r="D5641" s="760"/>
      <c r="E5641" s="760"/>
      <c r="F5641" s="760"/>
      <c r="G5641" s="760"/>
      <c r="H5641" s="760"/>
      <c r="I5641" s="760"/>
      <c r="J5641" s="760"/>
      <c r="K5641" s="760"/>
    </row>
    <row r="5642" spans="1:11">
      <c r="A5642" s="760"/>
      <c r="B5642" s="760"/>
      <c r="C5642" s="760"/>
      <c r="D5642" s="760"/>
      <c r="E5642" s="760"/>
      <c r="F5642" s="760"/>
      <c r="G5642" s="760"/>
      <c r="H5642" s="760"/>
      <c r="I5642" s="760"/>
      <c r="J5642" s="760"/>
      <c r="K5642" s="760"/>
    </row>
    <row r="5643" spans="1:11">
      <c r="A5643" s="760"/>
      <c r="B5643" s="760"/>
      <c r="C5643" s="760"/>
      <c r="D5643" s="760"/>
      <c r="E5643" s="760"/>
      <c r="F5643" s="760"/>
      <c r="G5643" s="760"/>
      <c r="H5643" s="760"/>
      <c r="I5643" s="760"/>
      <c r="J5643" s="760"/>
      <c r="K5643" s="760"/>
    </row>
    <row r="5644" spans="1:11">
      <c r="A5644" s="760"/>
      <c r="B5644" s="760"/>
      <c r="C5644" s="760"/>
      <c r="D5644" s="760"/>
      <c r="E5644" s="760"/>
      <c r="F5644" s="760"/>
      <c r="G5644" s="760"/>
      <c r="H5644" s="760"/>
      <c r="I5644" s="760"/>
      <c r="J5644" s="760"/>
      <c r="K5644" s="760"/>
    </row>
    <row r="5645" spans="1:11">
      <c r="A5645" s="760"/>
      <c r="B5645" s="760"/>
      <c r="C5645" s="760"/>
      <c r="D5645" s="760"/>
      <c r="E5645" s="760"/>
      <c r="F5645" s="760"/>
      <c r="G5645" s="760"/>
      <c r="H5645" s="760"/>
      <c r="I5645" s="760"/>
      <c r="J5645" s="760"/>
      <c r="K5645" s="760"/>
    </row>
    <row r="5646" spans="1:11">
      <c r="A5646" s="760"/>
      <c r="B5646" s="760"/>
      <c r="C5646" s="760"/>
      <c r="D5646" s="760"/>
      <c r="E5646" s="760"/>
      <c r="F5646" s="760"/>
      <c r="G5646" s="760"/>
      <c r="H5646" s="760"/>
      <c r="I5646" s="760"/>
      <c r="J5646" s="760"/>
      <c r="K5646" s="760"/>
    </row>
    <row r="5647" spans="1:11">
      <c r="A5647" s="760"/>
      <c r="B5647" s="760"/>
      <c r="C5647" s="760"/>
      <c r="D5647" s="760"/>
      <c r="E5647" s="760"/>
      <c r="F5647" s="760"/>
      <c r="G5647" s="760"/>
      <c r="H5647" s="760"/>
      <c r="I5647" s="760"/>
      <c r="J5647" s="760"/>
      <c r="K5647" s="760"/>
    </row>
    <row r="5648" spans="1:11">
      <c r="A5648" s="760"/>
      <c r="B5648" s="760"/>
      <c r="C5648" s="760"/>
      <c r="D5648" s="760"/>
      <c r="E5648" s="760"/>
      <c r="F5648" s="760"/>
      <c r="G5648" s="760"/>
      <c r="H5648" s="760"/>
      <c r="I5648" s="760"/>
      <c r="J5648" s="760"/>
      <c r="K5648" s="760"/>
    </row>
    <row r="5649" spans="1:11">
      <c r="A5649" s="760"/>
      <c r="B5649" s="760"/>
      <c r="C5649" s="760"/>
      <c r="D5649" s="760"/>
      <c r="E5649" s="760"/>
      <c r="F5649" s="760"/>
      <c r="G5649" s="760"/>
      <c r="H5649" s="760"/>
      <c r="I5649" s="760"/>
      <c r="J5649" s="760"/>
      <c r="K5649" s="760"/>
    </row>
    <row r="5650" spans="1:11">
      <c r="A5650" s="760"/>
      <c r="B5650" s="760"/>
      <c r="C5650" s="760"/>
      <c r="D5650" s="760"/>
      <c r="E5650" s="760"/>
      <c r="F5650" s="760"/>
      <c r="G5650" s="760"/>
      <c r="H5650" s="760"/>
      <c r="I5650" s="760"/>
      <c r="J5650" s="760"/>
      <c r="K5650" s="760"/>
    </row>
    <row r="5651" spans="1:11">
      <c r="A5651" s="760"/>
      <c r="B5651" s="760"/>
      <c r="C5651" s="760"/>
      <c r="D5651" s="760"/>
      <c r="E5651" s="760"/>
      <c r="F5651" s="760"/>
      <c r="G5651" s="760"/>
      <c r="H5651" s="760"/>
      <c r="I5651" s="760"/>
      <c r="J5651" s="760"/>
      <c r="K5651" s="760"/>
    </row>
    <row r="5652" spans="1:11">
      <c r="A5652" s="760"/>
      <c r="B5652" s="760"/>
      <c r="C5652" s="760"/>
      <c r="D5652" s="760"/>
      <c r="E5652" s="760"/>
      <c r="F5652" s="760"/>
      <c r="G5652" s="760"/>
      <c r="H5652" s="760"/>
      <c r="I5652" s="760"/>
      <c r="J5652" s="760"/>
      <c r="K5652" s="760"/>
    </row>
    <row r="5653" spans="1:11">
      <c r="A5653" s="760"/>
      <c r="B5653" s="760"/>
      <c r="C5653" s="760"/>
      <c r="D5653" s="760"/>
      <c r="E5653" s="760"/>
      <c r="F5653" s="760"/>
      <c r="G5653" s="760"/>
      <c r="H5653" s="760"/>
      <c r="I5653" s="760"/>
      <c r="J5653" s="760"/>
      <c r="K5653" s="760"/>
    </row>
    <row r="5654" spans="1:11">
      <c r="A5654" s="760"/>
      <c r="B5654" s="760"/>
      <c r="C5654" s="760"/>
      <c r="D5654" s="760"/>
      <c r="E5654" s="760"/>
      <c r="F5654" s="760"/>
      <c r="G5654" s="760"/>
      <c r="H5654" s="760"/>
      <c r="I5654" s="760"/>
      <c r="J5654" s="760"/>
      <c r="K5654" s="760"/>
    </row>
    <row r="5655" spans="1:11">
      <c r="A5655" s="760"/>
      <c r="B5655" s="760"/>
      <c r="C5655" s="760"/>
      <c r="D5655" s="760"/>
      <c r="E5655" s="760"/>
      <c r="F5655" s="760"/>
      <c r="G5655" s="760"/>
      <c r="H5655" s="760"/>
      <c r="I5655" s="760"/>
      <c r="J5655" s="760"/>
      <c r="K5655" s="760"/>
    </row>
    <row r="5656" spans="1:11">
      <c r="A5656" s="760"/>
      <c r="B5656" s="760"/>
      <c r="C5656" s="760"/>
      <c r="D5656" s="760"/>
      <c r="E5656" s="760"/>
      <c r="F5656" s="760"/>
      <c r="G5656" s="760"/>
      <c r="H5656" s="760"/>
      <c r="I5656" s="760"/>
      <c r="J5656" s="760"/>
      <c r="K5656" s="760"/>
    </row>
    <row r="5657" spans="1:11">
      <c r="A5657" s="760"/>
      <c r="B5657" s="760"/>
      <c r="C5657" s="760"/>
      <c r="D5657" s="760"/>
      <c r="E5657" s="760"/>
      <c r="F5657" s="760"/>
      <c r="G5657" s="760"/>
      <c r="H5657" s="760"/>
      <c r="I5657" s="760"/>
      <c r="J5657" s="760"/>
      <c r="K5657" s="760"/>
    </row>
    <row r="5658" spans="1:11">
      <c r="A5658" s="760"/>
      <c r="B5658" s="760"/>
      <c r="C5658" s="760"/>
      <c r="D5658" s="760"/>
      <c r="E5658" s="760"/>
      <c r="F5658" s="760"/>
      <c r="G5658" s="760"/>
      <c r="H5658" s="760"/>
      <c r="I5658" s="760"/>
      <c r="J5658" s="760"/>
      <c r="K5658" s="760"/>
    </row>
    <row r="5659" spans="1:11">
      <c r="A5659" s="760"/>
      <c r="B5659" s="760"/>
      <c r="C5659" s="760"/>
      <c r="D5659" s="760"/>
      <c r="E5659" s="760"/>
      <c r="F5659" s="760"/>
      <c r="G5659" s="760"/>
      <c r="H5659" s="760"/>
      <c r="I5659" s="760"/>
      <c r="J5659" s="760"/>
      <c r="K5659" s="760"/>
    </row>
    <row r="5660" spans="1:11">
      <c r="A5660" s="760"/>
      <c r="B5660" s="760"/>
      <c r="C5660" s="760"/>
      <c r="D5660" s="760"/>
      <c r="E5660" s="760"/>
      <c r="F5660" s="760"/>
      <c r="G5660" s="760"/>
      <c r="H5660" s="760"/>
      <c r="I5660" s="760"/>
      <c r="J5660" s="760"/>
      <c r="K5660" s="760"/>
    </row>
    <row r="5661" spans="1:11">
      <c r="A5661" s="760"/>
      <c r="B5661" s="760"/>
      <c r="C5661" s="760"/>
      <c r="D5661" s="760"/>
      <c r="E5661" s="760"/>
      <c r="F5661" s="760"/>
      <c r="G5661" s="760"/>
      <c r="H5661" s="760"/>
      <c r="I5661" s="760"/>
      <c r="J5661" s="760"/>
      <c r="K5661" s="760"/>
    </row>
    <row r="5662" spans="1:11">
      <c r="A5662" s="760"/>
      <c r="B5662" s="760"/>
      <c r="C5662" s="760"/>
      <c r="D5662" s="760"/>
      <c r="E5662" s="760"/>
      <c r="F5662" s="760"/>
      <c r="G5662" s="760"/>
      <c r="H5662" s="760"/>
      <c r="I5662" s="760"/>
      <c r="J5662" s="760"/>
      <c r="K5662" s="760"/>
    </row>
    <row r="5663" spans="1:11">
      <c r="A5663" s="760"/>
      <c r="B5663" s="760"/>
      <c r="C5663" s="760"/>
      <c r="D5663" s="760"/>
      <c r="E5663" s="760"/>
      <c r="F5663" s="760"/>
      <c r="G5663" s="760"/>
      <c r="H5663" s="760"/>
      <c r="I5663" s="760"/>
      <c r="J5663" s="760"/>
      <c r="K5663" s="760"/>
    </row>
    <row r="5664" spans="1:11">
      <c r="A5664" s="760"/>
      <c r="B5664" s="760"/>
      <c r="C5664" s="760"/>
      <c r="D5664" s="760"/>
      <c r="E5664" s="760"/>
      <c r="F5664" s="760"/>
      <c r="G5664" s="760"/>
      <c r="H5664" s="760"/>
      <c r="I5664" s="760"/>
      <c r="J5664" s="760"/>
      <c r="K5664" s="760"/>
    </row>
    <row r="5665" spans="1:11">
      <c r="A5665" s="760"/>
      <c r="B5665" s="760"/>
      <c r="C5665" s="760"/>
      <c r="D5665" s="760"/>
      <c r="E5665" s="760"/>
      <c r="F5665" s="760"/>
      <c r="G5665" s="760"/>
      <c r="H5665" s="760"/>
      <c r="I5665" s="760"/>
      <c r="J5665" s="760"/>
      <c r="K5665" s="760"/>
    </row>
    <row r="5666" spans="1:11">
      <c r="A5666" s="760"/>
      <c r="B5666" s="760"/>
      <c r="C5666" s="760"/>
      <c r="D5666" s="760"/>
      <c r="E5666" s="760"/>
      <c r="F5666" s="760"/>
      <c r="G5666" s="760"/>
      <c r="H5666" s="760"/>
      <c r="I5666" s="760"/>
      <c r="J5666" s="760"/>
      <c r="K5666" s="760"/>
    </row>
    <row r="5667" spans="1:11">
      <c r="A5667" s="760"/>
      <c r="B5667" s="760"/>
      <c r="C5667" s="760"/>
      <c r="D5667" s="760"/>
      <c r="E5667" s="760"/>
      <c r="F5667" s="760"/>
      <c r="G5667" s="760"/>
      <c r="H5667" s="760"/>
      <c r="I5667" s="760"/>
      <c r="J5667" s="760"/>
      <c r="K5667" s="760"/>
    </row>
    <row r="5668" spans="1:11">
      <c r="A5668" s="760"/>
      <c r="B5668" s="760"/>
      <c r="C5668" s="760"/>
      <c r="D5668" s="760"/>
      <c r="E5668" s="760"/>
      <c r="F5668" s="760"/>
      <c r="G5668" s="760"/>
      <c r="H5668" s="760"/>
      <c r="I5668" s="760"/>
      <c r="J5668" s="760"/>
      <c r="K5668" s="760"/>
    </row>
    <row r="5669" spans="1:11">
      <c r="A5669" s="760"/>
      <c r="B5669" s="760"/>
      <c r="C5669" s="760"/>
      <c r="D5669" s="760"/>
      <c r="E5669" s="760"/>
      <c r="F5669" s="760"/>
      <c r="G5669" s="760"/>
      <c r="H5669" s="760"/>
      <c r="I5669" s="760"/>
      <c r="J5669" s="760"/>
      <c r="K5669" s="760"/>
    </row>
    <row r="5670" spans="1:11">
      <c r="A5670" s="760"/>
      <c r="B5670" s="760"/>
      <c r="C5670" s="760"/>
      <c r="D5670" s="760"/>
      <c r="E5670" s="760"/>
      <c r="F5670" s="760"/>
      <c r="G5670" s="760"/>
      <c r="H5670" s="760"/>
      <c r="I5670" s="760"/>
      <c r="J5670" s="760"/>
      <c r="K5670" s="760"/>
    </row>
    <row r="5671" spans="1:11">
      <c r="A5671" s="760"/>
      <c r="B5671" s="760"/>
      <c r="C5671" s="760"/>
      <c r="D5671" s="760"/>
      <c r="E5671" s="760"/>
      <c r="F5671" s="760"/>
      <c r="G5671" s="760"/>
      <c r="H5671" s="760"/>
      <c r="I5671" s="760"/>
      <c r="J5671" s="760"/>
      <c r="K5671" s="760"/>
    </row>
    <row r="5672" spans="1:11">
      <c r="A5672" s="760"/>
      <c r="B5672" s="760"/>
      <c r="C5672" s="760"/>
      <c r="D5672" s="760"/>
      <c r="E5672" s="760"/>
      <c r="F5672" s="760"/>
      <c r="G5672" s="760"/>
      <c r="H5672" s="760"/>
      <c r="I5672" s="760"/>
      <c r="J5672" s="760"/>
      <c r="K5672" s="760"/>
    </row>
    <row r="5673" spans="1:11">
      <c r="A5673" s="760"/>
      <c r="B5673" s="760"/>
      <c r="C5673" s="760"/>
      <c r="D5673" s="760"/>
      <c r="E5673" s="760"/>
      <c r="F5673" s="760"/>
      <c r="G5673" s="760"/>
      <c r="H5673" s="760"/>
      <c r="I5673" s="760"/>
      <c r="J5673" s="760"/>
      <c r="K5673" s="760"/>
    </row>
    <row r="5674" spans="1:11">
      <c r="A5674" s="760"/>
      <c r="B5674" s="760"/>
      <c r="C5674" s="760"/>
      <c r="D5674" s="760"/>
      <c r="E5674" s="760"/>
      <c r="F5674" s="760"/>
      <c r="G5674" s="760"/>
      <c r="H5674" s="760"/>
      <c r="I5674" s="760"/>
      <c r="J5674" s="760"/>
      <c r="K5674" s="760"/>
    </row>
    <row r="5675" spans="1:11">
      <c r="A5675" s="760"/>
      <c r="B5675" s="760"/>
      <c r="C5675" s="760"/>
      <c r="D5675" s="760"/>
      <c r="E5675" s="760"/>
      <c r="F5675" s="760"/>
      <c r="G5675" s="760"/>
      <c r="H5675" s="760"/>
      <c r="I5675" s="760"/>
      <c r="J5675" s="760"/>
      <c r="K5675" s="760"/>
    </row>
    <row r="5676" spans="1:11">
      <c r="A5676" s="760"/>
      <c r="B5676" s="760"/>
      <c r="C5676" s="760"/>
      <c r="D5676" s="760"/>
      <c r="E5676" s="760"/>
      <c r="F5676" s="760"/>
      <c r="G5676" s="760"/>
      <c r="H5676" s="760"/>
      <c r="I5676" s="760"/>
      <c r="J5676" s="760"/>
      <c r="K5676" s="760"/>
    </row>
    <row r="5677" spans="1:11">
      <c r="A5677" s="760"/>
      <c r="B5677" s="760"/>
      <c r="C5677" s="760"/>
      <c r="D5677" s="760"/>
      <c r="E5677" s="760"/>
      <c r="F5677" s="760"/>
      <c r="G5677" s="760"/>
      <c r="H5677" s="760"/>
      <c r="I5677" s="760"/>
      <c r="J5677" s="760"/>
      <c r="K5677" s="760"/>
    </row>
    <row r="5678" spans="1:11">
      <c r="A5678" s="760"/>
      <c r="B5678" s="760"/>
      <c r="C5678" s="760"/>
      <c r="D5678" s="760"/>
      <c r="E5678" s="760"/>
      <c r="F5678" s="760"/>
      <c r="G5678" s="760"/>
      <c r="H5678" s="760"/>
      <c r="I5678" s="760"/>
      <c r="J5678" s="760"/>
      <c r="K5678" s="760"/>
    </row>
    <row r="5679" spans="1:11">
      <c r="A5679" s="760"/>
      <c r="B5679" s="760"/>
      <c r="C5679" s="760"/>
      <c r="D5679" s="760"/>
      <c r="E5679" s="760"/>
      <c r="F5679" s="760"/>
      <c r="G5679" s="760"/>
      <c r="H5679" s="760"/>
      <c r="I5679" s="760"/>
      <c r="J5679" s="760"/>
      <c r="K5679" s="760"/>
    </row>
    <row r="5680" spans="1:11">
      <c r="A5680" s="760"/>
      <c r="B5680" s="760"/>
      <c r="C5680" s="760"/>
      <c r="D5680" s="760"/>
      <c r="E5680" s="760"/>
      <c r="F5680" s="760"/>
      <c r="G5680" s="760"/>
      <c r="H5680" s="760"/>
      <c r="I5680" s="760"/>
      <c r="J5680" s="760"/>
      <c r="K5680" s="760"/>
    </row>
    <row r="5681" spans="1:11">
      <c r="A5681" s="760"/>
      <c r="B5681" s="760"/>
      <c r="C5681" s="760"/>
      <c r="D5681" s="760"/>
      <c r="E5681" s="760"/>
      <c r="F5681" s="760"/>
      <c r="G5681" s="760"/>
      <c r="H5681" s="760"/>
      <c r="I5681" s="760"/>
      <c r="J5681" s="760"/>
      <c r="K5681" s="760"/>
    </row>
    <row r="5682" spans="1:11">
      <c r="A5682" s="760"/>
      <c r="B5682" s="760"/>
      <c r="C5682" s="760"/>
      <c r="D5682" s="760"/>
      <c r="E5682" s="760"/>
      <c r="F5682" s="760"/>
      <c r="G5682" s="760"/>
      <c r="H5682" s="760"/>
      <c r="I5682" s="760"/>
      <c r="J5682" s="760"/>
      <c r="K5682" s="760"/>
    </row>
    <row r="5683" spans="1:11">
      <c r="A5683" s="760"/>
      <c r="B5683" s="760"/>
      <c r="C5683" s="760"/>
      <c r="D5683" s="760"/>
      <c r="E5683" s="760"/>
      <c r="F5683" s="760"/>
      <c r="G5683" s="760"/>
      <c r="H5683" s="760"/>
      <c r="I5683" s="760"/>
      <c r="J5683" s="760"/>
      <c r="K5683" s="760"/>
    </row>
    <row r="5684" spans="1:11">
      <c r="A5684" s="760"/>
      <c r="B5684" s="760"/>
      <c r="C5684" s="760"/>
      <c r="D5684" s="760"/>
      <c r="E5684" s="760"/>
      <c r="F5684" s="760"/>
      <c r="G5684" s="760"/>
      <c r="H5684" s="760"/>
      <c r="I5684" s="760"/>
      <c r="J5684" s="760"/>
      <c r="K5684" s="760"/>
    </row>
    <row r="5685" spans="1:11">
      <c r="A5685" s="760"/>
      <c r="B5685" s="760"/>
      <c r="C5685" s="760"/>
      <c r="D5685" s="760"/>
      <c r="E5685" s="760"/>
      <c r="F5685" s="760"/>
      <c r="G5685" s="760"/>
      <c r="H5685" s="760"/>
      <c r="I5685" s="760"/>
      <c r="J5685" s="760"/>
      <c r="K5685" s="760"/>
    </row>
    <row r="5686" spans="1:11">
      <c r="A5686" s="760"/>
      <c r="B5686" s="760"/>
      <c r="C5686" s="760"/>
      <c r="D5686" s="760"/>
      <c r="E5686" s="760"/>
      <c r="F5686" s="760"/>
      <c r="G5686" s="760"/>
      <c r="H5686" s="760"/>
      <c r="I5686" s="760"/>
      <c r="J5686" s="760"/>
      <c r="K5686" s="760"/>
    </row>
    <row r="5687" spans="1:11">
      <c r="A5687" s="760"/>
      <c r="B5687" s="760"/>
      <c r="C5687" s="760"/>
      <c r="D5687" s="760"/>
      <c r="E5687" s="760"/>
      <c r="F5687" s="760"/>
      <c r="G5687" s="760"/>
      <c r="H5687" s="760"/>
      <c r="I5687" s="760"/>
      <c r="J5687" s="760"/>
      <c r="K5687" s="760"/>
    </row>
    <row r="5688" spans="1:11">
      <c r="A5688" s="760"/>
      <c r="B5688" s="760"/>
      <c r="C5688" s="760"/>
      <c r="D5688" s="760"/>
      <c r="E5688" s="760"/>
      <c r="F5688" s="760"/>
      <c r="G5688" s="760"/>
      <c r="H5688" s="760"/>
      <c r="I5688" s="760"/>
      <c r="J5688" s="760"/>
      <c r="K5688" s="760"/>
    </row>
    <row r="5689" spans="1:11">
      <c r="A5689" s="760"/>
      <c r="B5689" s="760"/>
      <c r="C5689" s="760"/>
      <c r="D5689" s="760"/>
      <c r="E5689" s="760"/>
      <c r="F5689" s="760"/>
      <c r="G5689" s="760"/>
      <c r="H5689" s="760"/>
      <c r="I5689" s="760"/>
      <c r="J5689" s="760"/>
      <c r="K5689" s="760"/>
    </row>
    <row r="5690" spans="1:11">
      <c r="A5690" s="760"/>
      <c r="B5690" s="760"/>
      <c r="C5690" s="760"/>
      <c r="D5690" s="760"/>
      <c r="E5690" s="760"/>
      <c r="F5690" s="760"/>
      <c r="G5690" s="760"/>
      <c r="H5690" s="760"/>
      <c r="I5690" s="760"/>
      <c r="J5690" s="760"/>
      <c r="K5690" s="760"/>
    </row>
    <row r="5691" spans="1:11">
      <c r="A5691" s="760"/>
      <c r="B5691" s="760"/>
      <c r="C5691" s="760"/>
      <c r="D5691" s="760"/>
      <c r="E5691" s="760"/>
      <c r="F5691" s="760"/>
      <c r="G5691" s="760"/>
      <c r="H5691" s="760"/>
      <c r="I5691" s="760"/>
      <c r="J5691" s="760"/>
      <c r="K5691" s="760"/>
    </row>
    <row r="5692" spans="1:11">
      <c r="A5692" s="760"/>
      <c r="B5692" s="760"/>
      <c r="C5692" s="760"/>
      <c r="D5692" s="760"/>
      <c r="E5692" s="760"/>
      <c r="F5692" s="760"/>
      <c r="G5692" s="760"/>
      <c r="H5692" s="760"/>
      <c r="I5692" s="760"/>
      <c r="J5692" s="760"/>
      <c r="K5692" s="760"/>
    </row>
    <row r="5693" spans="1:11">
      <c r="A5693" s="760"/>
      <c r="B5693" s="760"/>
      <c r="C5693" s="760"/>
      <c r="D5693" s="760"/>
      <c r="E5693" s="760"/>
      <c r="F5693" s="760"/>
      <c r="G5693" s="760"/>
      <c r="H5693" s="760"/>
      <c r="I5693" s="760"/>
      <c r="J5693" s="760"/>
      <c r="K5693" s="760"/>
    </row>
    <row r="5694" spans="1:11">
      <c r="A5694" s="760"/>
      <c r="B5694" s="760"/>
      <c r="C5694" s="760"/>
      <c r="D5694" s="760"/>
      <c r="E5694" s="760"/>
      <c r="F5694" s="760"/>
      <c r="G5694" s="760"/>
      <c r="H5694" s="760"/>
      <c r="I5694" s="760"/>
      <c r="J5694" s="760"/>
      <c r="K5694" s="760"/>
    </row>
    <row r="5695" spans="1:11">
      <c r="A5695" s="760"/>
      <c r="B5695" s="760"/>
      <c r="C5695" s="760"/>
      <c r="D5695" s="760"/>
      <c r="E5695" s="760"/>
      <c r="F5695" s="760"/>
      <c r="G5695" s="760"/>
      <c r="H5695" s="760"/>
      <c r="I5695" s="760"/>
      <c r="J5695" s="760"/>
      <c r="K5695" s="760"/>
    </row>
    <row r="5696" spans="1:11">
      <c r="A5696" s="760"/>
      <c r="B5696" s="760"/>
      <c r="C5696" s="760"/>
      <c r="D5696" s="760"/>
      <c r="E5696" s="760"/>
      <c r="F5696" s="760"/>
      <c r="G5696" s="760"/>
      <c r="H5696" s="760"/>
      <c r="I5696" s="760"/>
      <c r="J5696" s="760"/>
      <c r="K5696" s="760"/>
    </row>
    <row r="5697" spans="1:11">
      <c r="A5697" s="760"/>
      <c r="B5697" s="760"/>
      <c r="C5697" s="760"/>
      <c r="D5697" s="760"/>
      <c r="E5697" s="760"/>
      <c r="F5697" s="760"/>
      <c r="G5697" s="760"/>
      <c r="H5697" s="760"/>
      <c r="I5697" s="760"/>
      <c r="J5697" s="760"/>
      <c r="K5697" s="760"/>
    </row>
    <row r="5698" spans="1:11">
      <c r="A5698" s="760"/>
      <c r="B5698" s="760"/>
      <c r="C5698" s="760"/>
      <c r="D5698" s="760"/>
      <c r="E5698" s="760"/>
      <c r="F5698" s="760"/>
      <c r="G5698" s="760"/>
      <c r="H5698" s="760"/>
      <c r="I5698" s="760"/>
      <c r="J5698" s="760"/>
      <c r="K5698" s="760"/>
    </row>
    <row r="5699" spans="1:11">
      <c r="A5699" s="760"/>
      <c r="B5699" s="760"/>
      <c r="C5699" s="760"/>
      <c r="D5699" s="760"/>
      <c r="E5699" s="760"/>
      <c r="F5699" s="760"/>
      <c r="G5699" s="760"/>
      <c r="H5699" s="760"/>
      <c r="I5699" s="760"/>
      <c r="J5699" s="760"/>
      <c r="K5699" s="760"/>
    </row>
    <row r="5700" spans="1:11">
      <c r="A5700" s="760"/>
      <c r="B5700" s="760"/>
      <c r="C5700" s="760"/>
      <c r="D5700" s="760"/>
      <c r="E5700" s="760"/>
      <c r="F5700" s="760"/>
      <c r="G5700" s="760"/>
      <c r="H5700" s="760"/>
      <c r="I5700" s="760"/>
      <c r="J5700" s="760"/>
      <c r="K5700" s="760"/>
    </row>
    <row r="5701" spans="1:11">
      <c r="A5701" s="760"/>
      <c r="B5701" s="760"/>
      <c r="C5701" s="760"/>
      <c r="D5701" s="760"/>
      <c r="E5701" s="760"/>
      <c r="F5701" s="760"/>
      <c r="G5701" s="760"/>
      <c r="H5701" s="760"/>
      <c r="I5701" s="760"/>
      <c r="J5701" s="760"/>
      <c r="K5701" s="760"/>
    </row>
    <row r="5702" spans="1:11">
      <c r="A5702" s="760"/>
      <c r="B5702" s="760"/>
      <c r="C5702" s="760"/>
      <c r="D5702" s="760"/>
      <c r="E5702" s="760"/>
      <c r="F5702" s="760"/>
      <c r="G5702" s="760"/>
      <c r="H5702" s="760"/>
      <c r="I5702" s="760"/>
      <c r="J5702" s="760"/>
      <c r="K5702" s="760"/>
    </row>
    <row r="5703" spans="1:11">
      <c r="A5703" s="760"/>
      <c r="B5703" s="760"/>
      <c r="C5703" s="760"/>
      <c r="D5703" s="760"/>
      <c r="E5703" s="760"/>
      <c r="F5703" s="760"/>
      <c r="G5703" s="760"/>
      <c r="H5703" s="760"/>
      <c r="I5703" s="760"/>
      <c r="J5703" s="760"/>
      <c r="K5703" s="760"/>
    </row>
    <row r="5704" spans="1:11">
      <c r="A5704" s="760"/>
      <c r="B5704" s="760"/>
      <c r="C5704" s="760"/>
      <c r="D5704" s="760"/>
      <c r="E5704" s="760"/>
      <c r="F5704" s="760"/>
      <c r="G5704" s="760"/>
      <c r="H5704" s="760"/>
      <c r="I5704" s="760"/>
      <c r="J5704" s="760"/>
      <c r="K5704" s="760"/>
    </row>
    <row r="5705" spans="1:11">
      <c r="A5705" s="760"/>
      <c r="B5705" s="760"/>
      <c r="C5705" s="760"/>
      <c r="D5705" s="760"/>
      <c r="E5705" s="760"/>
      <c r="F5705" s="760"/>
      <c r="G5705" s="760"/>
      <c r="H5705" s="760"/>
      <c r="I5705" s="760"/>
      <c r="J5705" s="760"/>
      <c r="K5705" s="760"/>
    </row>
    <row r="5706" spans="1:11">
      <c r="A5706" s="760"/>
      <c r="B5706" s="760"/>
      <c r="C5706" s="760"/>
      <c r="D5706" s="760"/>
      <c r="E5706" s="760"/>
      <c r="F5706" s="760"/>
      <c r="G5706" s="760"/>
      <c r="H5706" s="760"/>
      <c r="I5706" s="760"/>
      <c r="J5706" s="760"/>
      <c r="K5706" s="760"/>
    </row>
    <row r="5707" spans="1:11">
      <c r="A5707" s="760"/>
      <c r="B5707" s="760"/>
      <c r="C5707" s="760"/>
      <c r="D5707" s="760"/>
      <c r="E5707" s="760"/>
      <c r="F5707" s="760"/>
      <c r="G5707" s="760"/>
      <c r="H5707" s="760"/>
      <c r="I5707" s="760"/>
      <c r="J5707" s="760"/>
      <c r="K5707" s="760"/>
    </row>
    <row r="5708" spans="1:11">
      <c r="A5708" s="760"/>
      <c r="B5708" s="760"/>
      <c r="C5708" s="760"/>
      <c r="D5708" s="760"/>
      <c r="E5708" s="760"/>
      <c r="F5708" s="760"/>
      <c r="G5708" s="760"/>
      <c r="H5708" s="760"/>
      <c r="I5708" s="760"/>
      <c r="J5708" s="760"/>
      <c r="K5708" s="760"/>
    </row>
    <row r="5709" spans="1:11">
      <c r="A5709" s="760"/>
      <c r="B5709" s="760"/>
      <c r="C5709" s="760"/>
      <c r="D5709" s="760"/>
      <c r="E5709" s="760"/>
      <c r="F5709" s="760"/>
      <c r="G5709" s="760"/>
      <c r="H5709" s="760"/>
      <c r="I5709" s="760"/>
      <c r="J5709" s="760"/>
      <c r="K5709" s="760"/>
    </row>
    <row r="5710" spans="1:11">
      <c r="A5710" s="760"/>
      <c r="B5710" s="760"/>
      <c r="C5710" s="760"/>
      <c r="D5710" s="760"/>
      <c r="E5710" s="760"/>
      <c r="F5710" s="760"/>
      <c r="G5710" s="760"/>
      <c r="H5710" s="760"/>
      <c r="I5710" s="760"/>
      <c r="J5710" s="760"/>
      <c r="K5710" s="760"/>
    </row>
    <row r="5711" spans="1:11">
      <c r="A5711" s="760"/>
      <c r="B5711" s="760"/>
      <c r="C5711" s="760"/>
      <c r="D5711" s="760"/>
      <c r="E5711" s="760"/>
      <c r="F5711" s="760"/>
      <c r="G5711" s="760"/>
      <c r="H5711" s="760"/>
      <c r="I5711" s="760"/>
      <c r="J5711" s="760"/>
      <c r="K5711" s="760"/>
    </row>
    <row r="5712" spans="1:11">
      <c r="A5712" s="760"/>
      <c r="B5712" s="760"/>
      <c r="C5712" s="760"/>
      <c r="D5712" s="760"/>
      <c r="E5712" s="760"/>
      <c r="F5712" s="760"/>
      <c r="G5712" s="760"/>
      <c r="H5712" s="760"/>
      <c r="I5712" s="760"/>
      <c r="J5712" s="760"/>
      <c r="K5712" s="760"/>
    </row>
    <row r="5713" spans="1:11">
      <c r="A5713" s="760"/>
      <c r="B5713" s="760"/>
      <c r="C5713" s="760"/>
      <c r="D5713" s="760"/>
      <c r="E5713" s="760"/>
      <c r="F5713" s="760"/>
      <c r="G5713" s="760"/>
      <c r="H5713" s="760"/>
      <c r="I5713" s="760"/>
      <c r="J5713" s="760"/>
      <c r="K5713" s="760"/>
    </row>
    <row r="5714" spans="1:11">
      <c r="A5714" s="760"/>
      <c r="B5714" s="760"/>
      <c r="C5714" s="760"/>
      <c r="D5714" s="760"/>
      <c r="E5714" s="760"/>
      <c r="F5714" s="760"/>
      <c r="G5714" s="760"/>
      <c r="H5714" s="760"/>
      <c r="I5714" s="760"/>
      <c r="J5714" s="760"/>
      <c r="K5714" s="760"/>
    </row>
    <row r="5715" spans="1:11">
      <c r="A5715" s="760"/>
      <c r="B5715" s="760"/>
      <c r="C5715" s="760"/>
      <c r="D5715" s="760"/>
      <c r="E5715" s="760"/>
      <c r="F5715" s="760"/>
      <c r="G5715" s="760"/>
      <c r="H5715" s="760"/>
      <c r="I5715" s="760"/>
      <c r="J5715" s="760"/>
      <c r="K5715" s="760"/>
    </row>
    <row r="5716" spans="1:11">
      <c r="A5716" s="760"/>
      <c r="B5716" s="760"/>
      <c r="C5716" s="760"/>
      <c r="D5716" s="760"/>
      <c r="E5716" s="760"/>
      <c r="F5716" s="760"/>
      <c r="G5716" s="760"/>
      <c r="H5716" s="760"/>
      <c r="I5716" s="760"/>
      <c r="J5716" s="760"/>
      <c r="K5716" s="760"/>
    </row>
    <row r="5717" spans="1:11">
      <c r="A5717" s="760"/>
      <c r="B5717" s="760"/>
      <c r="C5717" s="760"/>
      <c r="D5717" s="760"/>
      <c r="E5717" s="760"/>
      <c r="F5717" s="760"/>
      <c r="G5717" s="760"/>
      <c r="H5717" s="760"/>
      <c r="I5717" s="760"/>
      <c r="J5717" s="760"/>
      <c r="K5717" s="760"/>
    </row>
    <row r="5718" spans="1:11">
      <c r="A5718" s="760"/>
      <c r="B5718" s="760"/>
      <c r="C5718" s="760"/>
      <c r="D5718" s="760"/>
      <c r="E5718" s="760"/>
      <c r="F5718" s="760"/>
      <c r="G5718" s="760"/>
      <c r="H5718" s="760"/>
      <c r="I5718" s="760"/>
      <c r="J5718" s="760"/>
      <c r="K5718" s="760"/>
    </row>
    <row r="5719" spans="1:11">
      <c r="A5719" s="760"/>
      <c r="B5719" s="760"/>
      <c r="C5719" s="760"/>
      <c r="D5719" s="760"/>
      <c r="E5719" s="760"/>
      <c r="F5719" s="760"/>
      <c r="G5719" s="760"/>
      <c r="H5719" s="760"/>
      <c r="I5719" s="760"/>
      <c r="J5719" s="760"/>
      <c r="K5719" s="760"/>
    </row>
    <row r="5720" spans="1:11">
      <c r="A5720" s="760"/>
      <c r="B5720" s="760"/>
      <c r="C5720" s="760"/>
      <c r="D5720" s="760"/>
      <c r="E5720" s="760"/>
      <c r="F5720" s="760"/>
      <c r="G5720" s="760"/>
      <c r="H5720" s="760"/>
      <c r="I5720" s="760"/>
      <c r="J5720" s="760"/>
      <c r="K5720" s="760"/>
    </row>
    <row r="5721" spans="1:11">
      <c r="A5721" s="760"/>
      <c r="B5721" s="760"/>
      <c r="C5721" s="760"/>
      <c r="D5721" s="760"/>
      <c r="E5721" s="760"/>
      <c r="F5721" s="760"/>
      <c r="G5721" s="760"/>
      <c r="H5721" s="760"/>
      <c r="I5721" s="760"/>
      <c r="J5721" s="760"/>
      <c r="K5721" s="760"/>
    </row>
    <row r="5722" spans="1:11">
      <c r="A5722" s="760"/>
      <c r="B5722" s="760"/>
      <c r="C5722" s="760"/>
      <c r="D5722" s="760"/>
      <c r="E5722" s="760"/>
      <c r="F5722" s="760"/>
      <c r="G5722" s="760"/>
      <c r="H5722" s="760"/>
      <c r="I5722" s="760"/>
      <c r="J5722" s="760"/>
      <c r="K5722" s="760"/>
    </row>
    <row r="5723" spans="1:11">
      <c r="A5723" s="760"/>
      <c r="B5723" s="760"/>
      <c r="C5723" s="760"/>
      <c r="D5723" s="760"/>
      <c r="E5723" s="760"/>
      <c r="F5723" s="760"/>
      <c r="G5723" s="760"/>
      <c r="H5723" s="760"/>
      <c r="I5723" s="760"/>
      <c r="J5723" s="760"/>
      <c r="K5723" s="760"/>
    </row>
    <row r="5724" spans="1:11">
      <c r="A5724" s="760"/>
      <c r="B5724" s="760"/>
      <c r="C5724" s="760"/>
      <c r="D5724" s="760"/>
      <c r="E5724" s="760"/>
      <c r="F5724" s="760"/>
      <c r="G5724" s="760"/>
      <c r="H5724" s="760"/>
      <c r="I5724" s="760"/>
      <c r="J5724" s="760"/>
      <c r="K5724" s="760"/>
    </row>
    <row r="5725" spans="1:11">
      <c r="A5725" s="760"/>
      <c r="B5725" s="760"/>
      <c r="C5725" s="760"/>
      <c r="D5725" s="760"/>
      <c r="E5725" s="760"/>
      <c r="F5725" s="760"/>
      <c r="G5725" s="760"/>
      <c r="H5725" s="760"/>
      <c r="I5725" s="760"/>
      <c r="J5725" s="760"/>
      <c r="K5725" s="760"/>
    </row>
    <row r="5726" spans="1:11">
      <c r="A5726" s="760"/>
      <c r="B5726" s="760"/>
      <c r="C5726" s="760"/>
      <c r="D5726" s="760"/>
      <c r="E5726" s="760"/>
      <c r="F5726" s="760"/>
      <c r="G5726" s="760"/>
      <c r="H5726" s="760"/>
      <c r="I5726" s="760"/>
      <c r="J5726" s="760"/>
      <c r="K5726" s="760"/>
    </row>
    <row r="5727" spans="1:11">
      <c r="A5727" s="760"/>
      <c r="B5727" s="760"/>
      <c r="C5727" s="760"/>
      <c r="D5727" s="760"/>
      <c r="E5727" s="760"/>
      <c r="F5727" s="760"/>
      <c r="G5727" s="760"/>
      <c r="H5727" s="760"/>
      <c r="I5727" s="760"/>
      <c r="J5727" s="760"/>
      <c r="K5727" s="760"/>
    </row>
    <row r="5728" spans="1:11">
      <c r="A5728" s="760"/>
      <c r="B5728" s="760"/>
      <c r="C5728" s="760"/>
      <c r="D5728" s="760"/>
      <c r="E5728" s="760"/>
      <c r="F5728" s="760"/>
      <c r="G5728" s="760"/>
      <c r="H5728" s="760"/>
      <c r="I5728" s="760"/>
      <c r="J5728" s="760"/>
      <c r="K5728" s="760"/>
    </row>
    <row r="5729" spans="1:11">
      <c r="A5729" s="760"/>
      <c r="B5729" s="760"/>
      <c r="C5729" s="760"/>
      <c r="D5729" s="760"/>
      <c r="E5729" s="760"/>
      <c r="F5729" s="760"/>
      <c r="G5729" s="760"/>
      <c r="H5729" s="760"/>
      <c r="I5729" s="760"/>
      <c r="J5729" s="760"/>
      <c r="K5729" s="760"/>
    </row>
    <row r="5730" spans="1:11">
      <c r="A5730" s="760"/>
      <c r="B5730" s="760"/>
      <c r="C5730" s="760"/>
      <c r="D5730" s="760"/>
      <c r="E5730" s="760"/>
      <c r="F5730" s="760"/>
      <c r="G5730" s="760"/>
      <c r="H5730" s="760"/>
      <c r="I5730" s="760"/>
      <c r="J5730" s="760"/>
      <c r="K5730" s="760"/>
    </row>
    <row r="5731" spans="1:11">
      <c r="A5731" s="760"/>
      <c r="B5731" s="760"/>
      <c r="C5731" s="760"/>
      <c r="D5731" s="760"/>
      <c r="E5731" s="760"/>
      <c r="F5731" s="760"/>
      <c r="G5731" s="760"/>
      <c r="H5731" s="760"/>
      <c r="I5731" s="760"/>
      <c r="J5731" s="760"/>
      <c r="K5731" s="760"/>
    </row>
    <row r="5732" spans="1:11">
      <c r="A5732" s="760"/>
      <c r="B5732" s="760"/>
      <c r="C5732" s="760"/>
      <c r="D5732" s="760"/>
      <c r="E5732" s="760"/>
      <c r="F5732" s="760"/>
      <c r="G5732" s="760"/>
      <c r="H5732" s="760"/>
      <c r="I5732" s="760"/>
      <c r="J5732" s="760"/>
      <c r="K5732" s="760"/>
    </row>
    <row r="5733" spans="1:11">
      <c r="A5733" s="760"/>
      <c r="B5733" s="760"/>
      <c r="C5733" s="760"/>
      <c r="D5733" s="760"/>
      <c r="E5733" s="760"/>
      <c r="F5733" s="760"/>
      <c r="G5733" s="760"/>
      <c r="H5733" s="760"/>
      <c r="I5733" s="760"/>
      <c r="J5733" s="760"/>
      <c r="K5733" s="760"/>
    </row>
    <row r="5734" spans="1:11">
      <c r="A5734" s="760"/>
      <c r="B5734" s="760"/>
      <c r="C5734" s="760"/>
      <c r="D5734" s="760"/>
      <c r="E5734" s="760"/>
      <c r="F5734" s="760"/>
      <c r="G5734" s="760"/>
      <c r="H5734" s="760"/>
      <c r="I5734" s="760"/>
      <c r="J5734" s="760"/>
      <c r="K5734" s="760"/>
    </row>
    <row r="5735" spans="1:11">
      <c r="A5735" s="760"/>
      <c r="B5735" s="760"/>
      <c r="C5735" s="760"/>
      <c r="D5735" s="760"/>
      <c r="E5735" s="760"/>
      <c r="F5735" s="760"/>
      <c r="G5735" s="760"/>
      <c r="H5735" s="760"/>
      <c r="I5735" s="760"/>
      <c r="J5735" s="760"/>
      <c r="K5735" s="760"/>
    </row>
    <row r="5736" spans="1:11">
      <c r="A5736" s="760"/>
      <c r="B5736" s="760"/>
      <c r="C5736" s="760"/>
      <c r="D5736" s="760"/>
      <c r="E5736" s="760"/>
      <c r="F5736" s="760"/>
      <c r="G5736" s="760"/>
      <c r="H5736" s="760"/>
      <c r="I5736" s="760"/>
      <c r="J5736" s="760"/>
      <c r="K5736" s="760"/>
    </row>
    <row r="5737" spans="1:11">
      <c r="A5737" s="760"/>
      <c r="B5737" s="760"/>
      <c r="C5737" s="760"/>
      <c r="D5737" s="760"/>
      <c r="E5737" s="760"/>
      <c r="F5737" s="760"/>
      <c r="G5737" s="760"/>
      <c r="H5737" s="760"/>
      <c r="I5737" s="760"/>
      <c r="J5737" s="760"/>
      <c r="K5737" s="760"/>
    </row>
    <row r="5738" spans="1:11">
      <c r="A5738" s="760"/>
      <c r="B5738" s="760"/>
      <c r="C5738" s="760"/>
      <c r="D5738" s="760"/>
      <c r="E5738" s="760"/>
      <c r="F5738" s="760"/>
      <c r="G5738" s="760"/>
      <c r="H5738" s="760"/>
      <c r="I5738" s="760"/>
      <c r="J5738" s="760"/>
      <c r="K5738" s="760"/>
    </row>
    <row r="5739" spans="1:11">
      <c r="A5739" s="760"/>
      <c r="B5739" s="760"/>
      <c r="C5739" s="760"/>
      <c r="D5739" s="760"/>
      <c r="E5739" s="760"/>
      <c r="F5739" s="760"/>
      <c r="G5739" s="760"/>
      <c r="H5739" s="760"/>
      <c r="I5739" s="760"/>
      <c r="J5739" s="760"/>
      <c r="K5739" s="760"/>
    </row>
    <row r="5740" spans="1:11">
      <c r="A5740" s="760"/>
      <c r="B5740" s="760"/>
      <c r="C5740" s="760"/>
      <c r="D5740" s="760"/>
      <c r="E5740" s="760"/>
      <c r="F5740" s="760"/>
      <c r="G5740" s="760"/>
      <c r="H5740" s="760"/>
      <c r="I5740" s="760"/>
      <c r="J5740" s="760"/>
      <c r="K5740" s="760"/>
    </row>
    <row r="5741" spans="1:11">
      <c r="A5741" s="760"/>
      <c r="B5741" s="760"/>
      <c r="C5741" s="760"/>
      <c r="D5741" s="760"/>
      <c r="E5741" s="760"/>
      <c r="F5741" s="760"/>
      <c r="G5741" s="760"/>
      <c r="H5741" s="760"/>
      <c r="I5741" s="760"/>
      <c r="J5741" s="760"/>
      <c r="K5741" s="760"/>
    </row>
    <row r="5742" spans="1:11">
      <c r="A5742" s="760"/>
      <c r="B5742" s="760"/>
      <c r="C5742" s="760"/>
      <c r="D5742" s="760"/>
      <c r="E5742" s="760"/>
      <c r="F5742" s="760"/>
      <c r="G5742" s="760"/>
      <c r="H5742" s="760"/>
      <c r="I5742" s="760"/>
      <c r="J5742" s="760"/>
      <c r="K5742" s="760"/>
    </row>
    <row r="5743" spans="1:11">
      <c r="A5743" s="760"/>
      <c r="B5743" s="760"/>
      <c r="C5743" s="760"/>
      <c r="D5743" s="760"/>
      <c r="E5743" s="760"/>
      <c r="F5743" s="760"/>
      <c r="G5743" s="760"/>
      <c r="H5743" s="760"/>
      <c r="I5743" s="760"/>
      <c r="J5743" s="760"/>
      <c r="K5743" s="760"/>
    </row>
    <row r="5744" spans="1:11">
      <c r="A5744" s="760"/>
      <c r="B5744" s="760"/>
      <c r="C5744" s="760"/>
      <c r="D5744" s="760"/>
      <c r="E5744" s="760"/>
      <c r="F5744" s="760"/>
      <c r="G5744" s="760"/>
      <c r="H5744" s="760"/>
      <c r="I5744" s="760"/>
      <c r="J5744" s="760"/>
      <c r="K5744" s="760"/>
    </row>
    <row r="5745" spans="1:11">
      <c r="A5745" s="760"/>
      <c r="B5745" s="760"/>
      <c r="C5745" s="760"/>
      <c r="D5745" s="760"/>
      <c r="E5745" s="760"/>
      <c r="F5745" s="760"/>
      <c r="G5745" s="760"/>
      <c r="H5745" s="760"/>
      <c r="I5745" s="760"/>
      <c r="J5745" s="760"/>
      <c r="K5745" s="760"/>
    </row>
    <row r="5746" spans="1:11">
      <c r="A5746" s="760"/>
      <c r="B5746" s="760"/>
      <c r="C5746" s="760"/>
      <c r="D5746" s="760"/>
      <c r="E5746" s="760"/>
      <c r="F5746" s="760"/>
      <c r="G5746" s="760"/>
      <c r="H5746" s="760"/>
      <c r="I5746" s="760"/>
      <c r="J5746" s="760"/>
      <c r="K5746" s="760"/>
    </row>
    <row r="5747" spans="1:11">
      <c r="A5747" s="760"/>
      <c r="B5747" s="760"/>
      <c r="C5747" s="760"/>
      <c r="D5747" s="760"/>
      <c r="E5747" s="760"/>
      <c r="F5747" s="760"/>
      <c r="G5747" s="760"/>
      <c r="H5747" s="760"/>
      <c r="I5747" s="760"/>
      <c r="J5747" s="760"/>
      <c r="K5747" s="760"/>
    </row>
    <row r="5748" spans="1:11">
      <c r="A5748" s="760"/>
      <c r="B5748" s="760"/>
      <c r="C5748" s="760"/>
      <c r="D5748" s="760"/>
      <c r="E5748" s="760"/>
      <c r="F5748" s="760"/>
      <c r="G5748" s="760"/>
      <c r="H5748" s="760"/>
      <c r="I5748" s="760"/>
      <c r="J5748" s="760"/>
      <c r="K5748" s="760"/>
    </row>
    <row r="5749" spans="1:11">
      <c r="A5749" s="760"/>
      <c r="B5749" s="760"/>
      <c r="C5749" s="760"/>
      <c r="D5749" s="760"/>
      <c r="E5749" s="760"/>
      <c r="F5749" s="760"/>
      <c r="G5749" s="760"/>
      <c r="H5749" s="760"/>
      <c r="I5749" s="760"/>
      <c r="J5749" s="760"/>
      <c r="K5749" s="760"/>
    </row>
    <row r="5750" spans="1:11">
      <c r="A5750" s="760"/>
      <c r="B5750" s="760"/>
      <c r="C5750" s="760"/>
      <c r="D5750" s="760"/>
      <c r="E5750" s="760"/>
      <c r="F5750" s="760"/>
      <c r="G5750" s="760"/>
      <c r="H5750" s="760"/>
      <c r="I5750" s="760"/>
      <c r="J5750" s="760"/>
      <c r="K5750" s="760"/>
    </row>
    <row r="5751" spans="1:11">
      <c r="A5751" s="760"/>
      <c r="B5751" s="760"/>
      <c r="C5751" s="760"/>
      <c r="D5751" s="760"/>
      <c r="E5751" s="760"/>
      <c r="F5751" s="760"/>
      <c r="G5751" s="760"/>
      <c r="H5751" s="760"/>
      <c r="I5751" s="760"/>
      <c r="J5751" s="760"/>
      <c r="K5751" s="760"/>
    </row>
    <row r="5752" spans="1:11">
      <c r="A5752" s="760"/>
      <c r="B5752" s="760"/>
      <c r="C5752" s="760"/>
      <c r="D5752" s="760"/>
      <c r="E5752" s="760"/>
      <c r="F5752" s="760"/>
      <c r="G5752" s="760"/>
      <c r="H5752" s="760"/>
      <c r="I5752" s="760"/>
      <c r="J5752" s="760"/>
      <c r="K5752" s="760"/>
    </row>
    <row r="5753" spans="1:11">
      <c r="A5753" s="760"/>
      <c r="B5753" s="760"/>
      <c r="C5753" s="760"/>
      <c r="D5753" s="760"/>
      <c r="E5753" s="760"/>
      <c r="F5753" s="760"/>
      <c r="G5753" s="760"/>
      <c r="H5753" s="760"/>
      <c r="I5753" s="760"/>
      <c r="J5753" s="760"/>
      <c r="K5753" s="760"/>
    </row>
    <row r="5754" spans="1:11">
      <c r="A5754" s="760"/>
      <c r="B5754" s="760"/>
      <c r="C5754" s="760"/>
      <c r="D5754" s="760"/>
      <c r="E5754" s="760"/>
      <c r="F5754" s="760"/>
      <c r="G5754" s="760"/>
      <c r="H5754" s="760"/>
      <c r="I5754" s="760"/>
      <c r="J5754" s="760"/>
      <c r="K5754" s="760"/>
    </row>
    <row r="5755" spans="1:11">
      <c r="A5755" s="760"/>
      <c r="B5755" s="760"/>
      <c r="C5755" s="760"/>
      <c r="D5755" s="760"/>
      <c r="E5755" s="760"/>
      <c r="F5755" s="760"/>
      <c r="G5755" s="760"/>
      <c r="H5755" s="760"/>
      <c r="I5755" s="760"/>
      <c r="J5755" s="760"/>
      <c r="K5755" s="760"/>
    </row>
    <row r="5756" spans="1:11">
      <c r="A5756" s="760"/>
      <c r="B5756" s="760"/>
      <c r="C5756" s="760"/>
      <c r="D5756" s="760"/>
      <c r="E5756" s="760"/>
      <c r="F5756" s="760"/>
      <c r="G5756" s="760"/>
      <c r="H5756" s="760"/>
      <c r="I5756" s="760"/>
      <c r="J5756" s="760"/>
      <c r="K5756" s="760"/>
    </row>
    <row r="5757" spans="1:11">
      <c r="A5757" s="760"/>
      <c r="B5757" s="760"/>
      <c r="C5757" s="760"/>
      <c r="D5757" s="760"/>
      <c r="E5757" s="760"/>
      <c r="F5757" s="760"/>
      <c r="G5757" s="760"/>
      <c r="H5757" s="760"/>
      <c r="I5757" s="760"/>
      <c r="J5757" s="760"/>
      <c r="K5757" s="760"/>
    </row>
    <row r="5758" spans="1:11">
      <c r="A5758" s="760"/>
      <c r="B5758" s="760"/>
      <c r="C5758" s="760"/>
      <c r="D5758" s="760"/>
      <c r="E5758" s="760"/>
      <c r="F5758" s="760"/>
      <c r="G5758" s="760"/>
      <c r="H5758" s="760"/>
      <c r="I5758" s="760"/>
      <c r="J5758" s="760"/>
      <c r="K5758" s="760"/>
    </row>
    <row r="5759" spans="1:11">
      <c r="A5759" s="760"/>
      <c r="B5759" s="760"/>
      <c r="C5759" s="760"/>
      <c r="D5759" s="760"/>
      <c r="E5759" s="760"/>
      <c r="F5759" s="760"/>
      <c r="G5759" s="760"/>
      <c r="H5759" s="760"/>
      <c r="I5759" s="760"/>
      <c r="J5759" s="760"/>
      <c r="K5759" s="760"/>
    </row>
    <row r="5760" spans="1:11">
      <c r="A5760" s="760"/>
      <c r="B5760" s="760"/>
      <c r="C5760" s="760"/>
      <c r="D5760" s="760"/>
      <c r="E5760" s="760"/>
      <c r="F5760" s="760"/>
      <c r="G5760" s="760"/>
      <c r="H5760" s="760"/>
      <c r="I5760" s="760"/>
      <c r="J5760" s="760"/>
      <c r="K5760" s="760"/>
    </row>
    <row r="5761" spans="1:11">
      <c r="A5761" s="760"/>
      <c r="B5761" s="760"/>
      <c r="C5761" s="760"/>
      <c r="D5761" s="760"/>
      <c r="E5761" s="760"/>
      <c r="F5761" s="760"/>
      <c r="G5761" s="760"/>
      <c r="H5761" s="760"/>
      <c r="I5761" s="760"/>
      <c r="J5761" s="760"/>
      <c r="K5761" s="760"/>
    </row>
    <row r="5762" spans="1:11">
      <c r="A5762" s="760"/>
      <c r="B5762" s="760"/>
      <c r="C5762" s="760"/>
      <c r="D5762" s="760"/>
      <c r="E5762" s="760"/>
      <c r="F5762" s="760"/>
      <c r="G5762" s="760"/>
      <c r="H5762" s="760"/>
      <c r="I5762" s="760"/>
      <c r="J5762" s="760"/>
      <c r="K5762" s="760"/>
    </row>
    <row r="5763" spans="1:11">
      <c r="A5763" s="760"/>
      <c r="B5763" s="760"/>
      <c r="C5763" s="760"/>
      <c r="D5763" s="760"/>
      <c r="E5763" s="760"/>
      <c r="F5763" s="760"/>
      <c r="G5763" s="760"/>
      <c r="H5763" s="760"/>
      <c r="I5763" s="760"/>
      <c r="J5763" s="760"/>
      <c r="K5763" s="760"/>
    </row>
    <row r="5764" spans="1:11">
      <c r="A5764" s="760"/>
      <c r="B5764" s="760"/>
      <c r="C5764" s="760"/>
      <c r="D5764" s="760"/>
      <c r="E5764" s="760"/>
      <c r="F5764" s="760"/>
      <c r="G5764" s="760"/>
      <c r="H5764" s="760"/>
      <c r="I5764" s="760"/>
      <c r="J5764" s="760"/>
      <c r="K5764" s="760"/>
    </row>
    <row r="5765" spans="1:11">
      <c r="A5765" s="760"/>
      <c r="B5765" s="760"/>
      <c r="C5765" s="760"/>
      <c r="D5765" s="760"/>
      <c r="E5765" s="760"/>
      <c r="F5765" s="760"/>
      <c r="G5765" s="760"/>
      <c r="H5765" s="760"/>
      <c r="I5765" s="760"/>
      <c r="J5765" s="760"/>
      <c r="K5765" s="760"/>
    </row>
    <row r="5766" spans="1:11">
      <c r="A5766" s="760"/>
      <c r="B5766" s="760"/>
      <c r="C5766" s="760"/>
      <c r="D5766" s="760"/>
      <c r="E5766" s="760"/>
      <c r="F5766" s="760"/>
      <c r="G5766" s="760"/>
      <c r="H5766" s="760"/>
      <c r="I5766" s="760"/>
      <c r="J5766" s="760"/>
      <c r="K5766" s="760"/>
    </row>
    <row r="5767" spans="1:11">
      <c r="A5767" s="760"/>
      <c r="B5767" s="760"/>
      <c r="C5767" s="760"/>
      <c r="D5767" s="760"/>
      <c r="E5767" s="760"/>
      <c r="F5767" s="760"/>
      <c r="G5767" s="760"/>
      <c r="H5767" s="760"/>
      <c r="I5767" s="760"/>
      <c r="J5767" s="760"/>
      <c r="K5767" s="760"/>
    </row>
    <row r="5768" spans="1:11">
      <c r="A5768" s="760"/>
      <c r="B5768" s="760"/>
      <c r="C5768" s="760"/>
      <c r="D5768" s="760"/>
      <c r="E5768" s="760"/>
      <c r="F5768" s="760"/>
      <c r="G5768" s="760"/>
      <c r="H5768" s="760"/>
      <c r="I5768" s="760"/>
      <c r="J5768" s="760"/>
      <c r="K5768" s="760"/>
    </row>
    <row r="5769" spans="1:11">
      <c r="A5769" s="760"/>
      <c r="B5769" s="760"/>
      <c r="C5769" s="760"/>
      <c r="D5769" s="760"/>
      <c r="E5769" s="760"/>
      <c r="F5769" s="760"/>
      <c r="G5769" s="760"/>
      <c r="H5769" s="760"/>
      <c r="I5769" s="760"/>
      <c r="J5769" s="760"/>
      <c r="K5769" s="760"/>
    </row>
    <row r="5770" spans="1:11">
      <c r="A5770" s="760"/>
      <c r="B5770" s="760"/>
      <c r="C5770" s="760"/>
      <c r="D5770" s="760"/>
      <c r="E5770" s="760"/>
      <c r="F5770" s="760"/>
      <c r="G5770" s="760"/>
      <c r="H5770" s="760"/>
      <c r="I5770" s="760"/>
      <c r="J5770" s="760"/>
      <c r="K5770" s="760"/>
    </row>
    <row r="5771" spans="1:11">
      <c r="A5771" s="760"/>
      <c r="B5771" s="760"/>
      <c r="C5771" s="760"/>
      <c r="D5771" s="760"/>
      <c r="E5771" s="760"/>
      <c r="F5771" s="760"/>
      <c r="G5771" s="760"/>
      <c r="H5771" s="760"/>
      <c r="I5771" s="760"/>
      <c r="J5771" s="760"/>
      <c r="K5771" s="760"/>
    </row>
    <row r="5772" spans="1:11">
      <c r="A5772" s="760"/>
      <c r="B5772" s="760"/>
      <c r="C5772" s="760"/>
      <c r="D5772" s="760"/>
      <c r="E5772" s="760"/>
      <c r="F5772" s="760"/>
      <c r="G5772" s="760"/>
      <c r="H5772" s="760"/>
      <c r="I5772" s="760"/>
      <c r="J5772" s="760"/>
      <c r="K5772" s="760"/>
    </row>
    <row r="5773" spans="1:11">
      <c r="A5773" s="760"/>
      <c r="B5773" s="760"/>
      <c r="C5773" s="760"/>
      <c r="D5773" s="760"/>
      <c r="E5773" s="760"/>
      <c r="F5773" s="760"/>
      <c r="G5773" s="760"/>
      <c r="H5773" s="760"/>
      <c r="I5773" s="760"/>
      <c r="J5773" s="760"/>
      <c r="K5773" s="760"/>
    </row>
    <row r="5774" spans="1:11">
      <c r="A5774" s="760"/>
      <c r="B5774" s="760"/>
      <c r="C5774" s="760"/>
      <c r="D5774" s="760"/>
      <c r="E5774" s="760"/>
      <c r="F5774" s="760"/>
      <c r="G5774" s="760"/>
      <c r="H5774" s="760"/>
      <c r="I5774" s="760"/>
      <c r="J5774" s="760"/>
      <c r="K5774" s="760"/>
    </row>
    <row r="5775" spans="1:11">
      <c r="A5775" s="760"/>
      <c r="B5775" s="760"/>
      <c r="C5775" s="760"/>
      <c r="D5775" s="760"/>
      <c r="E5775" s="760"/>
      <c r="F5775" s="760"/>
      <c r="G5775" s="760"/>
      <c r="H5775" s="760"/>
      <c r="I5775" s="760"/>
      <c r="J5775" s="760"/>
      <c r="K5775" s="760"/>
    </row>
    <row r="5776" spans="1:11">
      <c r="A5776" s="760"/>
      <c r="B5776" s="760"/>
      <c r="C5776" s="760"/>
      <c r="D5776" s="760"/>
      <c r="E5776" s="760"/>
      <c r="F5776" s="760"/>
      <c r="G5776" s="760"/>
      <c r="H5776" s="760"/>
      <c r="I5776" s="760"/>
      <c r="J5776" s="760"/>
      <c r="K5776" s="760"/>
    </row>
    <row r="5777" spans="1:11">
      <c r="A5777" s="760"/>
      <c r="B5777" s="760"/>
      <c r="C5777" s="760"/>
      <c r="D5777" s="760"/>
      <c r="E5777" s="760"/>
      <c r="F5777" s="760"/>
      <c r="G5777" s="760"/>
      <c r="H5777" s="760"/>
      <c r="I5777" s="760"/>
      <c r="J5777" s="760"/>
      <c r="K5777" s="760"/>
    </row>
    <row r="5778" spans="1:11">
      <c r="A5778" s="760"/>
      <c r="B5778" s="760"/>
      <c r="C5778" s="760"/>
      <c r="D5778" s="760"/>
      <c r="E5778" s="760"/>
      <c r="F5778" s="760"/>
      <c r="G5778" s="760"/>
      <c r="H5778" s="760"/>
      <c r="I5778" s="760"/>
      <c r="J5778" s="760"/>
      <c r="K5778" s="760"/>
    </row>
    <row r="5779" spans="1:11">
      <c r="A5779" s="760"/>
      <c r="B5779" s="760"/>
      <c r="C5779" s="760"/>
      <c r="D5779" s="760"/>
      <c r="E5779" s="760"/>
      <c r="F5779" s="760"/>
      <c r="G5779" s="760"/>
      <c r="H5779" s="760"/>
      <c r="I5779" s="760"/>
      <c r="J5779" s="760"/>
      <c r="K5779" s="760"/>
    </row>
    <row r="5780" spans="1:11">
      <c r="A5780" s="760"/>
      <c r="B5780" s="760"/>
      <c r="C5780" s="760"/>
      <c r="D5780" s="760"/>
      <c r="E5780" s="760"/>
      <c r="F5780" s="760"/>
      <c r="G5780" s="760"/>
      <c r="H5780" s="760"/>
      <c r="I5780" s="760"/>
      <c r="J5780" s="760"/>
      <c r="K5780" s="760"/>
    </row>
    <row r="5781" spans="1:11">
      <c r="A5781" s="760"/>
      <c r="B5781" s="760"/>
      <c r="C5781" s="760"/>
      <c r="D5781" s="760"/>
      <c r="E5781" s="760"/>
      <c r="F5781" s="760"/>
      <c r="G5781" s="760"/>
      <c r="H5781" s="760"/>
      <c r="I5781" s="760"/>
      <c r="J5781" s="760"/>
      <c r="K5781" s="760"/>
    </row>
    <row r="5782" spans="1:11">
      <c r="A5782" s="760"/>
      <c r="B5782" s="760"/>
      <c r="C5782" s="760"/>
      <c r="D5782" s="760"/>
      <c r="E5782" s="760"/>
      <c r="F5782" s="760"/>
      <c r="G5782" s="760"/>
      <c r="H5782" s="760"/>
      <c r="I5782" s="760"/>
      <c r="J5782" s="760"/>
      <c r="K5782" s="760"/>
    </row>
    <row r="5783" spans="1:11">
      <c r="A5783" s="760"/>
      <c r="B5783" s="760"/>
      <c r="C5783" s="760"/>
      <c r="D5783" s="760"/>
      <c r="E5783" s="760"/>
      <c r="F5783" s="760"/>
      <c r="G5783" s="760"/>
      <c r="H5783" s="760"/>
      <c r="I5783" s="760"/>
      <c r="J5783" s="760"/>
      <c r="K5783" s="760"/>
    </row>
    <row r="5784" spans="1:11">
      <c r="A5784" s="760"/>
      <c r="B5784" s="760"/>
      <c r="C5784" s="760"/>
      <c r="D5784" s="760"/>
      <c r="E5784" s="760"/>
      <c r="F5784" s="760"/>
      <c r="G5784" s="760"/>
      <c r="H5784" s="760"/>
      <c r="I5784" s="760"/>
      <c r="J5784" s="760"/>
      <c r="K5784" s="760"/>
    </row>
    <row r="5785" spans="1:11">
      <c r="A5785" s="760"/>
      <c r="B5785" s="760"/>
      <c r="C5785" s="760"/>
      <c r="D5785" s="760"/>
      <c r="E5785" s="760"/>
      <c r="F5785" s="760"/>
      <c r="G5785" s="760"/>
      <c r="H5785" s="760"/>
      <c r="I5785" s="760"/>
      <c r="J5785" s="760"/>
      <c r="K5785" s="760"/>
    </row>
    <row r="5786" spans="1:11">
      <c r="A5786" s="760"/>
      <c r="B5786" s="760"/>
      <c r="C5786" s="760"/>
      <c r="D5786" s="760"/>
      <c r="E5786" s="760"/>
      <c r="F5786" s="760"/>
      <c r="G5786" s="760"/>
      <c r="H5786" s="760"/>
      <c r="I5786" s="760"/>
      <c r="J5786" s="760"/>
      <c r="K5786" s="760"/>
    </row>
    <row r="5787" spans="1:11">
      <c r="A5787" s="760"/>
      <c r="B5787" s="760"/>
      <c r="C5787" s="760"/>
      <c r="D5787" s="760"/>
      <c r="E5787" s="760"/>
      <c r="F5787" s="760"/>
      <c r="G5787" s="760"/>
      <c r="H5787" s="760"/>
      <c r="I5787" s="760"/>
      <c r="J5787" s="760"/>
      <c r="K5787" s="760"/>
    </row>
    <row r="5788" spans="1:11">
      <c r="A5788" s="760"/>
      <c r="B5788" s="760"/>
      <c r="C5788" s="760"/>
      <c r="D5788" s="760"/>
      <c r="E5788" s="760"/>
      <c r="F5788" s="760"/>
      <c r="G5788" s="760"/>
      <c r="H5788" s="760"/>
      <c r="I5788" s="760"/>
      <c r="J5788" s="760"/>
      <c r="K5788" s="760"/>
    </row>
    <row r="5789" spans="1:11">
      <c r="A5789" s="760"/>
      <c r="B5789" s="760"/>
      <c r="C5789" s="760"/>
      <c r="D5789" s="760"/>
      <c r="E5789" s="760"/>
      <c r="F5789" s="760"/>
      <c r="G5789" s="760"/>
      <c r="H5789" s="760"/>
      <c r="I5789" s="760"/>
      <c r="J5789" s="760"/>
      <c r="K5789" s="760"/>
    </row>
    <row r="5790" spans="1:11">
      <c r="A5790" s="760"/>
      <c r="B5790" s="760"/>
      <c r="C5790" s="760"/>
      <c r="D5790" s="760"/>
      <c r="E5790" s="760"/>
      <c r="F5790" s="760"/>
      <c r="G5790" s="760"/>
      <c r="H5790" s="760"/>
      <c r="I5790" s="760"/>
      <c r="J5790" s="760"/>
      <c r="K5790" s="760"/>
    </row>
    <row r="5791" spans="1:11">
      <c r="A5791" s="760"/>
      <c r="B5791" s="760"/>
      <c r="C5791" s="760"/>
      <c r="D5791" s="760"/>
      <c r="E5791" s="760"/>
      <c r="F5791" s="760"/>
      <c r="G5791" s="760"/>
      <c r="H5791" s="760"/>
      <c r="I5791" s="760"/>
      <c r="J5791" s="760"/>
      <c r="K5791" s="760"/>
    </row>
    <row r="5792" spans="1:11">
      <c r="A5792" s="760"/>
      <c r="B5792" s="760"/>
      <c r="C5792" s="760"/>
      <c r="D5792" s="760"/>
      <c r="E5792" s="760"/>
      <c r="F5792" s="760"/>
      <c r="G5792" s="760"/>
      <c r="H5792" s="760"/>
      <c r="I5792" s="760"/>
      <c r="J5792" s="760"/>
      <c r="K5792" s="760"/>
    </row>
    <row r="5793" spans="1:11">
      <c r="A5793" s="760"/>
      <c r="B5793" s="760"/>
      <c r="C5793" s="760"/>
      <c r="D5793" s="760"/>
      <c r="E5793" s="760"/>
      <c r="F5793" s="760"/>
      <c r="G5793" s="760"/>
      <c r="H5793" s="760"/>
      <c r="I5793" s="760"/>
      <c r="J5793" s="760"/>
      <c r="K5793" s="760"/>
    </row>
    <row r="5794" spans="1:11">
      <c r="A5794" s="760"/>
      <c r="B5794" s="760"/>
      <c r="C5794" s="760"/>
      <c r="D5794" s="760"/>
      <c r="E5794" s="760"/>
      <c r="F5794" s="760"/>
      <c r="G5794" s="760"/>
      <c r="H5794" s="760"/>
      <c r="I5794" s="760"/>
      <c r="J5794" s="760"/>
      <c r="K5794" s="760"/>
    </row>
    <row r="5795" spans="1:11">
      <c r="A5795" s="760"/>
      <c r="B5795" s="760"/>
      <c r="C5795" s="760"/>
      <c r="D5795" s="760"/>
      <c r="E5795" s="760"/>
      <c r="F5795" s="760"/>
      <c r="G5795" s="760"/>
      <c r="H5795" s="760"/>
      <c r="I5795" s="760"/>
      <c r="J5795" s="760"/>
      <c r="K5795" s="760"/>
    </row>
    <row r="5796" spans="1:11">
      <c r="A5796" s="760"/>
      <c r="B5796" s="760"/>
      <c r="C5796" s="760"/>
      <c r="D5796" s="760"/>
      <c r="E5796" s="760"/>
      <c r="F5796" s="760"/>
      <c r="G5796" s="760"/>
      <c r="H5796" s="760"/>
      <c r="I5796" s="760"/>
      <c r="J5796" s="760"/>
      <c r="K5796" s="760"/>
    </row>
    <row r="5797" spans="1:11">
      <c r="A5797" s="760"/>
      <c r="B5797" s="760"/>
      <c r="C5797" s="760"/>
      <c r="D5797" s="760"/>
      <c r="E5797" s="760"/>
      <c r="F5797" s="760"/>
      <c r="G5797" s="760"/>
      <c r="H5797" s="760"/>
      <c r="I5797" s="760"/>
      <c r="J5797" s="760"/>
      <c r="K5797" s="760"/>
    </row>
    <row r="5798" spans="1:11">
      <c r="A5798" s="760"/>
      <c r="B5798" s="760"/>
      <c r="C5798" s="760"/>
      <c r="D5798" s="760"/>
      <c r="E5798" s="760"/>
      <c r="F5798" s="760"/>
      <c r="G5798" s="760"/>
      <c r="H5798" s="760"/>
      <c r="I5798" s="760"/>
      <c r="J5798" s="760"/>
      <c r="K5798" s="760"/>
    </row>
    <row r="5799" spans="1:11">
      <c r="A5799" s="760"/>
      <c r="B5799" s="760"/>
      <c r="C5799" s="760"/>
      <c r="D5799" s="760"/>
      <c r="E5799" s="760"/>
      <c r="F5799" s="760"/>
      <c r="G5799" s="760"/>
      <c r="H5799" s="760"/>
      <c r="I5799" s="760"/>
      <c r="J5799" s="760"/>
      <c r="K5799" s="760"/>
    </row>
    <row r="5800" spans="1:11">
      <c r="A5800" s="760"/>
      <c r="B5800" s="760"/>
      <c r="C5800" s="760"/>
      <c r="D5800" s="760"/>
      <c r="E5800" s="760"/>
      <c r="F5800" s="760"/>
      <c r="G5800" s="760"/>
      <c r="H5800" s="760"/>
      <c r="I5800" s="760"/>
      <c r="J5800" s="760"/>
      <c r="K5800" s="760"/>
    </row>
    <row r="5801" spans="1:11">
      <c r="A5801" s="760"/>
      <c r="B5801" s="760"/>
      <c r="C5801" s="760"/>
      <c r="D5801" s="760"/>
      <c r="E5801" s="760"/>
      <c r="F5801" s="760"/>
      <c r="G5801" s="760"/>
      <c r="H5801" s="760"/>
      <c r="I5801" s="760"/>
      <c r="J5801" s="760"/>
      <c r="K5801" s="760"/>
    </row>
    <row r="5802" spans="1:11">
      <c r="A5802" s="760"/>
      <c r="B5802" s="760"/>
      <c r="C5802" s="760"/>
      <c r="D5802" s="760"/>
      <c r="E5802" s="760"/>
      <c r="F5802" s="760"/>
      <c r="G5802" s="760"/>
      <c r="H5802" s="760"/>
      <c r="I5802" s="760"/>
      <c r="J5802" s="760"/>
      <c r="K5802" s="760"/>
    </row>
    <row r="5803" spans="1:11">
      <c r="A5803" s="760"/>
      <c r="B5803" s="760"/>
      <c r="C5803" s="760"/>
      <c r="D5803" s="760"/>
      <c r="E5803" s="760"/>
      <c r="F5803" s="760"/>
      <c r="G5803" s="760"/>
      <c r="H5803" s="760"/>
      <c r="I5803" s="760"/>
      <c r="J5803" s="760"/>
      <c r="K5803" s="760"/>
    </row>
    <row r="5804" spans="1:11">
      <c r="A5804" s="760"/>
      <c r="B5804" s="760"/>
      <c r="C5804" s="760"/>
      <c r="D5804" s="760"/>
      <c r="E5804" s="760"/>
      <c r="F5804" s="760"/>
      <c r="G5804" s="760"/>
      <c r="H5804" s="760"/>
      <c r="I5804" s="760"/>
      <c r="J5804" s="760"/>
      <c r="K5804" s="760"/>
    </row>
    <row r="5805" spans="1:11">
      <c r="A5805" s="760"/>
      <c r="B5805" s="760"/>
      <c r="C5805" s="760"/>
      <c r="D5805" s="760"/>
      <c r="E5805" s="760"/>
      <c r="F5805" s="760"/>
      <c r="G5805" s="760"/>
      <c r="H5805" s="760"/>
      <c r="I5805" s="760"/>
      <c r="J5805" s="760"/>
      <c r="K5805" s="760"/>
    </row>
    <row r="5806" spans="1:11">
      <c r="A5806" s="760"/>
      <c r="B5806" s="760"/>
      <c r="C5806" s="760"/>
      <c r="D5806" s="760"/>
      <c r="E5806" s="760"/>
      <c r="F5806" s="760"/>
      <c r="G5806" s="760"/>
      <c r="H5806" s="760"/>
      <c r="I5806" s="760"/>
      <c r="J5806" s="760"/>
      <c r="K5806" s="760"/>
    </row>
    <row r="5807" spans="1:11">
      <c r="A5807" s="760"/>
      <c r="B5807" s="760"/>
      <c r="C5807" s="760"/>
      <c r="D5807" s="760"/>
      <c r="E5807" s="760"/>
      <c r="F5807" s="760"/>
      <c r="G5807" s="760"/>
      <c r="H5807" s="760"/>
      <c r="I5807" s="760"/>
      <c r="J5807" s="760"/>
      <c r="K5807" s="760"/>
    </row>
    <row r="5808" spans="1:11">
      <c r="A5808" s="760"/>
      <c r="B5808" s="760"/>
      <c r="C5808" s="760"/>
      <c r="D5808" s="760"/>
      <c r="E5808" s="760"/>
      <c r="F5808" s="760"/>
      <c r="G5808" s="760"/>
      <c r="H5808" s="760"/>
      <c r="I5808" s="760"/>
      <c r="J5808" s="760"/>
      <c r="K5808" s="760"/>
    </row>
    <row r="5809" spans="1:11">
      <c r="A5809" s="760"/>
      <c r="B5809" s="760"/>
      <c r="C5809" s="760"/>
      <c r="D5809" s="760"/>
      <c r="E5809" s="760"/>
      <c r="F5809" s="760"/>
      <c r="G5809" s="760"/>
      <c r="H5809" s="760"/>
      <c r="I5809" s="760"/>
      <c r="J5809" s="760"/>
      <c r="K5809" s="760"/>
    </row>
    <row r="5810" spans="1:11">
      <c r="A5810" s="760"/>
      <c r="B5810" s="760"/>
      <c r="C5810" s="760"/>
      <c r="D5810" s="760"/>
      <c r="E5810" s="760"/>
      <c r="F5810" s="760"/>
      <c r="G5810" s="760"/>
      <c r="H5810" s="760"/>
      <c r="I5810" s="760"/>
      <c r="J5810" s="760"/>
      <c r="K5810" s="760"/>
    </row>
    <row r="5811" spans="1:11">
      <c r="A5811" s="760"/>
      <c r="B5811" s="760"/>
      <c r="C5811" s="760"/>
      <c r="D5811" s="760"/>
      <c r="E5811" s="760"/>
      <c r="F5811" s="760"/>
      <c r="G5811" s="760"/>
      <c r="H5811" s="760"/>
      <c r="I5811" s="760"/>
      <c r="J5811" s="760"/>
      <c r="K5811" s="760"/>
    </row>
    <row r="5812" spans="1:11">
      <c r="A5812" s="760"/>
      <c r="B5812" s="760"/>
      <c r="C5812" s="760"/>
      <c r="D5812" s="760"/>
      <c r="E5812" s="760"/>
      <c r="F5812" s="760"/>
      <c r="G5812" s="760"/>
      <c r="H5812" s="760"/>
      <c r="I5812" s="760"/>
      <c r="J5812" s="760"/>
      <c r="K5812" s="760"/>
    </row>
    <row r="5813" spans="1:11">
      <c r="A5813" s="760"/>
      <c r="B5813" s="760"/>
      <c r="C5813" s="760"/>
      <c r="D5813" s="760"/>
      <c r="E5813" s="760"/>
      <c r="F5813" s="760"/>
      <c r="G5813" s="760"/>
      <c r="H5813" s="760"/>
      <c r="I5813" s="760"/>
      <c r="J5813" s="760"/>
      <c r="K5813" s="760"/>
    </row>
    <row r="5814" spans="1:11">
      <c r="A5814" s="760"/>
      <c r="B5814" s="760"/>
      <c r="C5814" s="760"/>
      <c r="D5814" s="760"/>
      <c r="E5814" s="760"/>
      <c r="F5814" s="760"/>
      <c r="G5814" s="760"/>
      <c r="H5814" s="760"/>
      <c r="I5814" s="760"/>
      <c r="J5814" s="760"/>
      <c r="K5814" s="760"/>
    </row>
    <row r="5815" spans="1:11">
      <c r="A5815" s="760"/>
      <c r="B5815" s="760"/>
      <c r="C5815" s="760"/>
      <c r="D5815" s="760"/>
      <c r="E5815" s="760"/>
      <c r="F5815" s="760"/>
      <c r="G5815" s="760"/>
      <c r="H5815" s="760"/>
      <c r="I5815" s="760"/>
      <c r="J5815" s="760"/>
      <c r="K5815" s="760"/>
    </row>
    <row r="5816" spans="1:11">
      <c r="A5816" s="760"/>
      <c r="B5816" s="760"/>
      <c r="C5816" s="760"/>
      <c r="D5816" s="760"/>
      <c r="E5816" s="760"/>
      <c r="F5816" s="760"/>
      <c r="G5816" s="760"/>
      <c r="H5816" s="760"/>
      <c r="I5816" s="760"/>
      <c r="J5816" s="760"/>
      <c r="K5816" s="760"/>
    </row>
    <row r="5817" spans="1:11">
      <c r="A5817" s="760"/>
      <c r="B5817" s="760"/>
      <c r="C5817" s="760"/>
      <c r="D5817" s="760"/>
      <c r="E5817" s="760"/>
      <c r="F5817" s="760"/>
      <c r="G5817" s="760"/>
      <c r="H5817" s="760"/>
      <c r="I5817" s="760"/>
      <c r="J5817" s="760"/>
      <c r="K5817" s="760"/>
    </row>
    <row r="5818" spans="1:11">
      <c r="A5818" s="760"/>
      <c r="B5818" s="760"/>
      <c r="C5818" s="760"/>
      <c r="D5818" s="760"/>
      <c r="E5818" s="760"/>
      <c r="F5818" s="760"/>
      <c r="G5818" s="760"/>
      <c r="H5818" s="760"/>
      <c r="I5818" s="760"/>
      <c r="J5818" s="760"/>
      <c r="K5818" s="760"/>
    </row>
    <row r="5819" spans="1:11">
      <c r="A5819" s="760"/>
      <c r="B5819" s="760"/>
      <c r="C5819" s="760"/>
      <c r="D5819" s="760"/>
      <c r="E5819" s="760"/>
      <c r="F5819" s="760"/>
      <c r="G5819" s="760"/>
      <c r="H5819" s="760"/>
      <c r="I5819" s="760"/>
      <c r="J5819" s="760"/>
      <c r="K5819" s="760"/>
    </row>
    <row r="5820" spans="1:11">
      <c r="A5820" s="760"/>
      <c r="B5820" s="760"/>
      <c r="C5820" s="760"/>
      <c r="D5820" s="760"/>
      <c r="E5820" s="760"/>
      <c r="F5820" s="760"/>
      <c r="G5820" s="760"/>
      <c r="H5820" s="760"/>
      <c r="I5820" s="760"/>
      <c r="J5820" s="760"/>
      <c r="K5820" s="760"/>
    </row>
    <row r="5821" spans="1:11">
      <c r="A5821" s="760"/>
      <c r="B5821" s="760"/>
      <c r="C5821" s="760"/>
      <c r="D5821" s="760"/>
      <c r="E5821" s="760"/>
      <c r="F5821" s="760"/>
      <c r="G5821" s="760"/>
      <c r="H5821" s="760"/>
      <c r="I5821" s="760"/>
      <c r="J5821" s="760"/>
      <c r="K5821" s="760"/>
    </row>
    <row r="5822" spans="1:11">
      <c r="A5822" s="760"/>
      <c r="B5822" s="760"/>
      <c r="C5822" s="760"/>
      <c r="D5822" s="760"/>
      <c r="E5822" s="760"/>
      <c r="F5822" s="760"/>
      <c r="G5822" s="760"/>
      <c r="H5822" s="760"/>
      <c r="I5822" s="760"/>
      <c r="J5822" s="760"/>
      <c r="K5822" s="760"/>
    </row>
    <row r="5823" spans="1:11">
      <c r="A5823" s="760"/>
      <c r="B5823" s="760"/>
      <c r="C5823" s="760"/>
      <c r="D5823" s="760"/>
      <c r="E5823" s="760"/>
      <c r="F5823" s="760"/>
      <c r="G5823" s="760"/>
      <c r="H5823" s="760"/>
      <c r="I5823" s="760"/>
      <c r="J5823" s="760"/>
      <c r="K5823" s="760"/>
    </row>
    <row r="5824" spans="1:11">
      <c r="A5824" s="760"/>
      <c r="B5824" s="760"/>
      <c r="C5824" s="760"/>
      <c r="D5824" s="760"/>
      <c r="E5824" s="760"/>
      <c r="F5824" s="760"/>
      <c r="G5824" s="760"/>
      <c r="H5824" s="760"/>
      <c r="I5824" s="760"/>
      <c r="J5824" s="760"/>
      <c r="K5824" s="760"/>
    </row>
    <row r="5825" spans="1:11">
      <c r="A5825" s="760"/>
      <c r="B5825" s="760"/>
      <c r="C5825" s="760"/>
      <c r="D5825" s="760"/>
      <c r="E5825" s="760"/>
      <c r="F5825" s="760"/>
      <c r="G5825" s="760"/>
      <c r="H5825" s="760"/>
      <c r="I5825" s="760"/>
      <c r="J5825" s="760"/>
      <c r="K5825" s="760"/>
    </row>
    <row r="5826" spans="1:11">
      <c r="A5826" s="760"/>
      <c r="B5826" s="760"/>
      <c r="C5826" s="760"/>
      <c r="D5826" s="760"/>
      <c r="E5826" s="760"/>
      <c r="F5826" s="760"/>
      <c r="G5826" s="760"/>
      <c r="H5826" s="760"/>
      <c r="I5826" s="760"/>
      <c r="J5826" s="760"/>
      <c r="K5826" s="760"/>
    </row>
    <row r="5827" spans="1:11">
      <c r="A5827" s="760"/>
      <c r="B5827" s="760"/>
      <c r="C5827" s="760"/>
      <c r="D5827" s="760"/>
      <c r="E5827" s="760"/>
      <c r="F5827" s="760"/>
      <c r="G5827" s="760"/>
      <c r="H5827" s="760"/>
      <c r="I5827" s="760"/>
      <c r="J5827" s="760"/>
      <c r="K5827" s="760"/>
    </row>
    <row r="5828" spans="1:11">
      <c r="A5828" s="760"/>
      <c r="B5828" s="760"/>
      <c r="C5828" s="760"/>
      <c r="D5828" s="760"/>
      <c r="E5828" s="760"/>
      <c r="F5828" s="760"/>
      <c r="G5828" s="760"/>
      <c r="H5828" s="760"/>
      <c r="I5828" s="760"/>
      <c r="J5828" s="760"/>
      <c r="K5828" s="760"/>
    </row>
    <row r="5829" spans="1:11">
      <c r="A5829" s="760"/>
      <c r="B5829" s="760"/>
      <c r="C5829" s="760"/>
      <c r="D5829" s="760"/>
      <c r="E5829" s="760"/>
      <c r="F5829" s="760"/>
      <c r="G5829" s="760"/>
      <c r="H5829" s="760"/>
      <c r="I5829" s="760"/>
      <c r="J5829" s="760"/>
      <c r="K5829" s="760"/>
    </row>
    <row r="5830" spans="1:11">
      <c r="A5830" s="760"/>
      <c r="B5830" s="760"/>
      <c r="C5830" s="760"/>
      <c r="D5830" s="760"/>
      <c r="E5830" s="760"/>
      <c r="F5830" s="760"/>
      <c r="G5830" s="760"/>
      <c r="H5830" s="760"/>
      <c r="I5830" s="760"/>
      <c r="J5830" s="760"/>
      <c r="K5830" s="760"/>
    </row>
    <row r="5831" spans="1:11">
      <c r="A5831" s="760"/>
      <c r="B5831" s="760"/>
      <c r="C5831" s="760"/>
      <c r="D5831" s="760"/>
      <c r="E5831" s="760"/>
      <c r="F5831" s="760"/>
      <c r="G5831" s="760"/>
      <c r="H5831" s="760"/>
      <c r="I5831" s="760"/>
      <c r="J5831" s="760"/>
      <c r="K5831" s="760"/>
    </row>
    <row r="5832" spans="1:11">
      <c r="A5832" s="760"/>
      <c r="B5832" s="760"/>
      <c r="C5832" s="760"/>
      <c r="D5832" s="760"/>
      <c r="E5832" s="760"/>
      <c r="F5832" s="760"/>
      <c r="G5832" s="760"/>
      <c r="H5832" s="760"/>
      <c r="I5832" s="760"/>
      <c r="J5832" s="760"/>
      <c r="K5832" s="760"/>
    </row>
    <row r="5833" spans="1:11">
      <c r="A5833" s="760"/>
      <c r="B5833" s="760"/>
      <c r="C5833" s="760"/>
      <c r="D5833" s="760"/>
      <c r="E5833" s="760"/>
      <c r="F5833" s="760"/>
      <c r="G5833" s="760"/>
      <c r="H5833" s="760"/>
      <c r="I5833" s="760"/>
      <c r="J5833" s="760"/>
      <c r="K5833" s="760"/>
    </row>
    <row r="5834" spans="1:11">
      <c r="A5834" s="760"/>
      <c r="B5834" s="760"/>
      <c r="C5834" s="760"/>
      <c r="D5834" s="760"/>
      <c r="E5834" s="760"/>
      <c r="F5834" s="760"/>
      <c r="G5834" s="760"/>
      <c r="H5834" s="760"/>
      <c r="I5834" s="760"/>
      <c r="J5834" s="760"/>
      <c r="K5834" s="760"/>
    </row>
    <row r="5835" spans="1:11">
      <c r="A5835" s="760"/>
      <c r="B5835" s="760"/>
      <c r="C5835" s="760"/>
      <c r="D5835" s="760"/>
      <c r="E5835" s="760"/>
      <c r="F5835" s="760"/>
      <c r="G5835" s="760"/>
      <c r="H5835" s="760"/>
      <c r="I5835" s="760"/>
      <c r="J5835" s="760"/>
      <c r="K5835" s="760"/>
    </row>
    <row r="5836" spans="1:11">
      <c r="A5836" s="760"/>
      <c r="B5836" s="760"/>
      <c r="C5836" s="760"/>
      <c r="D5836" s="760"/>
      <c r="E5836" s="760"/>
      <c r="F5836" s="760"/>
      <c r="G5836" s="760"/>
      <c r="H5836" s="760"/>
      <c r="I5836" s="760"/>
      <c r="J5836" s="760"/>
      <c r="K5836" s="760"/>
    </row>
    <row r="5837" spans="1:11">
      <c r="A5837" s="760"/>
      <c r="B5837" s="760"/>
      <c r="C5837" s="760"/>
      <c r="D5837" s="760"/>
      <c r="E5837" s="760"/>
      <c r="F5837" s="760"/>
      <c r="G5837" s="760"/>
      <c r="H5837" s="760"/>
      <c r="I5837" s="760"/>
      <c r="J5837" s="760"/>
      <c r="K5837" s="760"/>
    </row>
    <row r="5838" spans="1:11">
      <c r="A5838" s="760"/>
      <c r="B5838" s="760"/>
      <c r="C5838" s="760"/>
      <c r="D5838" s="760"/>
      <c r="E5838" s="760"/>
      <c r="F5838" s="760"/>
      <c r="G5838" s="760"/>
      <c r="H5838" s="760"/>
      <c r="I5838" s="760"/>
      <c r="J5838" s="760"/>
      <c r="K5838" s="760"/>
    </row>
    <row r="5839" spans="1:11">
      <c r="A5839" s="760"/>
      <c r="B5839" s="760"/>
      <c r="C5839" s="760"/>
      <c r="D5839" s="760"/>
      <c r="E5839" s="760"/>
      <c r="F5839" s="760"/>
      <c r="G5839" s="760"/>
      <c r="H5839" s="760"/>
      <c r="I5839" s="760"/>
      <c r="J5839" s="760"/>
      <c r="K5839" s="760"/>
    </row>
    <row r="5840" spans="1:11">
      <c r="A5840" s="760"/>
      <c r="B5840" s="760"/>
      <c r="C5840" s="760"/>
      <c r="D5840" s="760"/>
      <c r="E5840" s="760"/>
      <c r="F5840" s="760"/>
      <c r="G5840" s="760"/>
      <c r="H5840" s="760"/>
      <c r="I5840" s="760"/>
      <c r="J5840" s="760"/>
      <c r="K5840" s="760"/>
    </row>
    <row r="5841" spans="1:11">
      <c r="A5841" s="760"/>
      <c r="B5841" s="760"/>
      <c r="C5841" s="760"/>
      <c r="D5841" s="760"/>
      <c r="E5841" s="760"/>
      <c r="F5841" s="760"/>
      <c r="G5841" s="760"/>
      <c r="H5841" s="760"/>
      <c r="I5841" s="760"/>
      <c r="J5841" s="760"/>
      <c r="K5841" s="760"/>
    </row>
    <row r="5842" spans="1:11">
      <c r="A5842" s="760"/>
      <c r="B5842" s="760"/>
      <c r="C5842" s="760"/>
      <c r="D5842" s="760"/>
      <c r="E5842" s="760"/>
      <c r="F5842" s="760"/>
      <c r="G5842" s="760"/>
      <c r="H5842" s="760"/>
      <c r="I5842" s="760"/>
      <c r="J5842" s="760"/>
      <c r="K5842" s="760"/>
    </row>
    <row r="5843" spans="1:11">
      <c r="A5843" s="760"/>
      <c r="B5843" s="760"/>
      <c r="C5843" s="760"/>
      <c r="D5843" s="760"/>
      <c r="E5843" s="760"/>
      <c r="F5843" s="760"/>
      <c r="G5843" s="760"/>
      <c r="H5843" s="760"/>
      <c r="I5843" s="760"/>
      <c r="J5843" s="760"/>
      <c r="K5843" s="760"/>
    </row>
    <row r="5844" spans="1:11">
      <c r="A5844" s="760"/>
      <c r="B5844" s="760"/>
      <c r="C5844" s="760"/>
      <c r="D5844" s="760"/>
      <c r="E5844" s="760"/>
      <c r="F5844" s="760"/>
      <c r="G5844" s="760"/>
      <c r="H5844" s="760"/>
      <c r="I5844" s="760"/>
      <c r="J5844" s="760"/>
      <c r="K5844" s="760"/>
    </row>
    <row r="5845" spans="1:11">
      <c r="A5845" s="760"/>
      <c r="B5845" s="760"/>
      <c r="C5845" s="760"/>
      <c r="D5845" s="760"/>
      <c r="E5845" s="760"/>
      <c r="F5845" s="760"/>
      <c r="G5845" s="760"/>
      <c r="H5845" s="760"/>
      <c r="I5845" s="760"/>
      <c r="J5845" s="760"/>
      <c r="K5845" s="760"/>
    </row>
    <row r="5846" spans="1:11">
      <c r="A5846" s="760"/>
      <c r="B5846" s="760"/>
      <c r="C5846" s="760"/>
      <c r="D5846" s="760"/>
      <c r="E5846" s="760"/>
      <c r="F5846" s="760"/>
      <c r="G5846" s="760"/>
      <c r="H5846" s="760"/>
      <c r="I5846" s="760"/>
      <c r="J5846" s="760"/>
      <c r="K5846" s="760"/>
    </row>
    <row r="5847" spans="1:11">
      <c r="A5847" s="760"/>
      <c r="B5847" s="760"/>
      <c r="C5847" s="760"/>
      <c r="D5847" s="760"/>
      <c r="E5847" s="760"/>
      <c r="F5847" s="760"/>
      <c r="G5847" s="760"/>
      <c r="H5847" s="760"/>
      <c r="I5847" s="760"/>
      <c r="J5847" s="760"/>
      <c r="K5847" s="760"/>
    </row>
    <row r="5848" spans="1:11">
      <c r="A5848" s="760"/>
      <c r="B5848" s="760"/>
      <c r="C5848" s="760"/>
      <c r="D5848" s="760"/>
      <c r="E5848" s="760"/>
      <c r="F5848" s="760"/>
      <c r="G5848" s="760"/>
      <c r="H5848" s="760"/>
      <c r="I5848" s="760"/>
      <c r="J5848" s="760"/>
      <c r="K5848" s="760"/>
    </row>
    <row r="5849" spans="1:11">
      <c r="A5849" s="760"/>
      <c r="B5849" s="760"/>
      <c r="C5849" s="760"/>
      <c r="D5849" s="760"/>
      <c r="E5849" s="760"/>
      <c r="F5849" s="760"/>
      <c r="G5849" s="760"/>
      <c r="H5849" s="760"/>
      <c r="I5849" s="760"/>
      <c r="J5849" s="760"/>
      <c r="K5849" s="760"/>
    </row>
    <row r="5850" spans="1:11">
      <c r="A5850" s="760"/>
      <c r="B5850" s="760"/>
      <c r="C5850" s="760"/>
      <c r="D5850" s="760"/>
      <c r="E5850" s="760"/>
      <c r="F5850" s="760"/>
      <c r="G5850" s="760"/>
      <c r="H5850" s="760"/>
      <c r="I5850" s="760"/>
      <c r="J5850" s="760"/>
      <c r="K5850" s="760"/>
    </row>
    <row r="5851" spans="1:11">
      <c r="A5851" s="760"/>
      <c r="B5851" s="760"/>
      <c r="C5851" s="760"/>
      <c r="D5851" s="760"/>
      <c r="E5851" s="760"/>
      <c r="F5851" s="760"/>
      <c r="G5851" s="760"/>
      <c r="H5851" s="760"/>
      <c r="I5851" s="760"/>
      <c r="J5851" s="760"/>
      <c r="K5851" s="760"/>
    </row>
    <row r="5852" spans="1:11">
      <c r="A5852" s="760"/>
      <c r="B5852" s="760"/>
      <c r="C5852" s="760"/>
      <c r="D5852" s="760"/>
      <c r="E5852" s="760"/>
      <c r="F5852" s="760"/>
      <c r="G5852" s="760"/>
      <c r="H5852" s="760"/>
      <c r="I5852" s="760"/>
      <c r="J5852" s="760"/>
      <c r="K5852" s="760"/>
    </row>
    <row r="5853" spans="1:11">
      <c r="A5853" s="760"/>
      <c r="B5853" s="760"/>
      <c r="C5853" s="760"/>
      <c r="D5853" s="760"/>
      <c r="E5853" s="760"/>
      <c r="F5853" s="760"/>
      <c r="G5853" s="760"/>
      <c r="H5853" s="760"/>
      <c r="I5853" s="760"/>
      <c r="J5853" s="760"/>
      <c r="K5853" s="760"/>
    </row>
    <row r="5854" spans="1:11">
      <c r="A5854" s="760"/>
      <c r="B5854" s="760"/>
      <c r="C5854" s="760"/>
      <c r="D5854" s="760"/>
      <c r="E5854" s="760"/>
      <c r="F5854" s="760"/>
      <c r="G5854" s="760"/>
      <c r="H5854" s="760"/>
      <c r="I5854" s="760"/>
      <c r="J5854" s="760"/>
      <c r="K5854" s="760"/>
    </row>
    <row r="5855" spans="1:11">
      <c r="A5855" s="760"/>
      <c r="B5855" s="760"/>
      <c r="C5855" s="760"/>
      <c r="D5855" s="760"/>
      <c r="E5855" s="760"/>
      <c r="F5855" s="760"/>
      <c r="G5855" s="760"/>
      <c r="H5855" s="760"/>
      <c r="I5855" s="760"/>
      <c r="J5855" s="760"/>
      <c r="K5855" s="760"/>
    </row>
    <row r="5856" spans="1:11">
      <c r="A5856" s="760"/>
      <c r="B5856" s="760"/>
      <c r="C5856" s="760"/>
      <c r="D5856" s="760"/>
      <c r="E5856" s="760"/>
      <c r="F5856" s="760"/>
      <c r="G5856" s="760"/>
      <c r="H5856" s="760"/>
      <c r="I5856" s="760"/>
      <c r="J5856" s="760"/>
      <c r="K5856" s="760"/>
    </row>
    <row r="5857" spans="1:11">
      <c r="A5857" s="760"/>
      <c r="B5857" s="760"/>
      <c r="C5857" s="760"/>
      <c r="D5857" s="760"/>
      <c r="E5857" s="760"/>
      <c r="F5857" s="760"/>
      <c r="G5857" s="760"/>
      <c r="H5857" s="760"/>
      <c r="I5857" s="760"/>
      <c r="J5857" s="760"/>
      <c r="K5857" s="760"/>
    </row>
    <row r="5858" spans="1:11">
      <c r="A5858" s="760"/>
      <c r="B5858" s="760"/>
      <c r="C5858" s="760"/>
      <c r="D5858" s="760"/>
      <c r="E5858" s="760"/>
      <c r="F5858" s="760"/>
      <c r="G5858" s="760"/>
      <c r="H5858" s="760"/>
      <c r="I5858" s="760"/>
      <c r="J5858" s="760"/>
      <c r="K5858" s="760"/>
    </row>
    <row r="5859" spans="1:11">
      <c r="A5859" s="760"/>
      <c r="B5859" s="760"/>
      <c r="C5859" s="760"/>
      <c r="D5859" s="760"/>
      <c r="E5859" s="760"/>
      <c r="F5859" s="760"/>
      <c r="G5859" s="760"/>
      <c r="H5859" s="760"/>
      <c r="I5859" s="760"/>
      <c r="J5859" s="760"/>
      <c r="K5859" s="760"/>
    </row>
    <row r="5860" spans="1:11">
      <c r="A5860" s="760"/>
      <c r="B5860" s="760"/>
      <c r="C5860" s="760"/>
      <c r="D5860" s="760"/>
      <c r="E5860" s="760"/>
      <c r="F5860" s="760"/>
      <c r="G5860" s="760"/>
      <c r="H5860" s="760"/>
      <c r="I5860" s="760"/>
      <c r="J5860" s="760"/>
      <c r="K5860" s="760"/>
    </row>
    <row r="5861" spans="1:11">
      <c r="A5861" s="760"/>
      <c r="B5861" s="760"/>
      <c r="C5861" s="760"/>
      <c r="D5861" s="760"/>
      <c r="E5861" s="760"/>
      <c r="F5861" s="760"/>
      <c r="G5861" s="760"/>
      <c r="H5861" s="760"/>
      <c r="I5861" s="760"/>
      <c r="J5861" s="760"/>
      <c r="K5861" s="760"/>
    </row>
    <row r="5862" spans="1:11">
      <c r="A5862" s="760"/>
      <c r="B5862" s="760"/>
      <c r="C5862" s="760"/>
      <c r="D5862" s="760"/>
      <c r="E5862" s="760"/>
      <c r="F5862" s="760"/>
      <c r="G5862" s="760"/>
      <c r="H5862" s="760"/>
      <c r="I5862" s="760"/>
      <c r="J5862" s="760"/>
      <c r="K5862" s="760"/>
    </row>
    <row r="5863" spans="1:11">
      <c r="A5863" s="760"/>
      <c r="B5863" s="760"/>
      <c r="C5863" s="760"/>
      <c r="D5863" s="760"/>
      <c r="E5863" s="760"/>
      <c r="F5863" s="760"/>
      <c r="G5863" s="760"/>
      <c r="H5863" s="760"/>
      <c r="I5863" s="760"/>
      <c r="J5863" s="760"/>
      <c r="K5863" s="760"/>
    </row>
    <row r="5864" spans="1:11">
      <c r="A5864" s="760"/>
      <c r="B5864" s="760"/>
      <c r="C5864" s="760"/>
      <c r="D5864" s="760"/>
      <c r="E5864" s="760"/>
      <c r="F5864" s="760"/>
      <c r="G5864" s="760"/>
      <c r="H5864" s="760"/>
      <c r="I5864" s="760"/>
      <c r="J5864" s="760"/>
      <c r="K5864" s="760"/>
    </row>
    <row r="5865" spans="1:11">
      <c r="A5865" s="760"/>
      <c r="B5865" s="760"/>
      <c r="C5865" s="760"/>
      <c r="D5865" s="760"/>
      <c r="E5865" s="760"/>
      <c r="F5865" s="760"/>
      <c r="G5865" s="760"/>
      <c r="H5865" s="760"/>
      <c r="I5865" s="760"/>
      <c r="J5865" s="760"/>
      <c r="K5865" s="760"/>
    </row>
    <row r="5866" spans="1:11">
      <c r="A5866" s="760"/>
      <c r="B5866" s="760"/>
      <c r="C5866" s="760"/>
      <c r="D5866" s="760"/>
      <c r="E5866" s="760"/>
      <c r="F5866" s="760"/>
      <c r="G5866" s="760"/>
      <c r="H5866" s="760"/>
      <c r="I5866" s="760"/>
      <c r="J5866" s="760"/>
      <c r="K5866" s="760"/>
    </row>
    <row r="5867" spans="1:11">
      <c r="A5867" s="760"/>
      <c r="B5867" s="760"/>
      <c r="C5867" s="760"/>
      <c r="D5867" s="760"/>
      <c r="E5867" s="760"/>
      <c r="F5867" s="760"/>
      <c r="G5867" s="760"/>
      <c r="H5867" s="760"/>
      <c r="I5867" s="760"/>
      <c r="J5867" s="760"/>
      <c r="K5867" s="760"/>
    </row>
    <row r="5868" spans="1:11">
      <c r="A5868" s="760"/>
      <c r="B5868" s="760"/>
      <c r="C5868" s="760"/>
      <c r="D5868" s="760"/>
      <c r="E5868" s="760"/>
      <c r="F5868" s="760"/>
      <c r="G5868" s="760"/>
      <c r="H5868" s="760"/>
      <c r="I5868" s="760"/>
      <c r="J5868" s="760"/>
      <c r="K5868" s="760"/>
    </row>
    <row r="5869" spans="1:11">
      <c r="A5869" s="760"/>
      <c r="B5869" s="760"/>
      <c r="C5869" s="760"/>
      <c r="D5869" s="760"/>
      <c r="E5869" s="760"/>
      <c r="F5869" s="760"/>
      <c r="G5869" s="760"/>
      <c r="H5869" s="760"/>
      <c r="I5869" s="760"/>
      <c r="J5869" s="760"/>
      <c r="K5869" s="760"/>
    </row>
    <row r="5870" spans="1:11">
      <c r="A5870" s="760"/>
      <c r="B5870" s="760"/>
      <c r="C5870" s="760"/>
      <c r="D5870" s="760"/>
      <c r="E5870" s="760"/>
      <c r="F5870" s="760"/>
      <c r="G5870" s="760"/>
      <c r="H5870" s="760"/>
      <c r="I5870" s="760"/>
      <c r="J5870" s="760"/>
      <c r="K5870" s="760"/>
    </row>
    <row r="5871" spans="1:11">
      <c r="A5871" s="760"/>
      <c r="B5871" s="760"/>
      <c r="C5871" s="760"/>
      <c r="D5871" s="760"/>
      <c r="E5871" s="760"/>
      <c r="F5871" s="760"/>
      <c r="G5871" s="760"/>
      <c r="H5871" s="760"/>
      <c r="I5871" s="760"/>
      <c r="J5871" s="760"/>
      <c r="K5871" s="760"/>
    </row>
    <row r="5872" spans="1:11">
      <c r="A5872" s="760"/>
      <c r="B5872" s="760"/>
      <c r="C5872" s="760"/>
      <c r="D5872" s="760"/>
      <c r="E5872" s="760"/>
      <c r="F5872" s="760"/>
      <c r="G5872" s="760"/>
      <c r="H5872" s="760"/>
      <c r="I5872" s="760"/>
      <c r="J5872" s="760"/>
      <c r="K5872" s="760"/>
    </row>
    <row r="5873" spans="1:11">
      <c r="A5873" s="760"/>
      <c r="B5873" s="760"/>
      <c r="C5873" s="760"/>
      <c r="D5873" s="760"/>
      <c r="E5873" s="760"/>
      <c r="F5873" s="760"/>
      <c r="G5873" s="760"/>
      <c r="H5873" s="760"/>
      <c r="I5873" s="760"/>
      <c r="J5873" s="760"/>
      <c r="K5873" s="760"/>
    </row>
    <row r="5874" spans="1:11">
      <c r="A5874" s="760"/>
      <c r="B5874" s="760"/>
      <c r="C5874" s="760"/>
      <c r="D5874" s="760"/>
      <c r="E5874" s="760"/>
      <c r="F5874" s="760"/>
      <c r="G5874" s="760"/>
      <c r="H5874" s="760"/>
      <c r="I5874" s="760"/>
      <c r="J5874" s="760"/>
      <c r="K5874" s="760"/>
    </row>
    <row r="5875" spans="1:11">
      <c r="A5875" s="760"/>
      <c r="B5875" s="760"/>
      <c r="C5875" s="760"/>
      <c r="D5875" s="760"/>
      <c r="E5875" s="760"/>
      <c r="F5875" s="760"/>
      <c r="G5875" s="760"/>
      <c r="H5875" s="760"/>
      <c r="I5875" s="760"/>
      <c r="J5875" s="760"/>
      <c r="K5875" s="760"/>
    </row>
    <row r="5876" spans="1:11">
      <c r="A5876" s="760"/>
      <c r="B5876" s="760"/>
      <c r="C5876" s="760"/>
      <c r="D5876" s="760"/>
      <c r="E5876" s="760"/>
      <c r="F5876" s="760"/>
      <c r="G5876" s="760"/>
      <c r="H5876" s="760"/>
      <c r="I5876" s="760"/>
      <c r="J5876" s="760"/>
      <c r="K5876" s="760"/>
    </row>
    <row r="5877" spans="1:11">
      <c r="A5877" s="760"/>
      <c r="B5877" s="760"/>
      <c r="C5877" s="760"/>
      <c r="D5877" s="760"/>
      <c r="E5877" s="760"/>
      <c r="F5877" s="760"/>
      <c r="G5877" s="760"/>
      <c r="H5877" s="760"/>
      <c r="I5877" s="760"/>
      <c r="J5877" s="760"/>
      <c r="K5877" s="760"/>
    </row>
    <row r="5878" spans="1:11">
      <c r="A5878" s="760"/>
      <c r="B5878" s="760"/>
      <c r="C5878" s="760"/>
      <c r="D5878" s="760"/>
      <c r="E5878" s="760"/>
      <c r="F5878" s="760"/>
      <c r="G5878" s="760"/>
      <c r="H5878" s="760"/>
      <c r="I5878" s="760"/>
      <c r="J5878" s="760"/>
      <c r="K5878" s="760"/>
    </row>
    <row r="5879" spans="1:11">
      <c r="A5879" s="760"/>
      <c r="B5879" s="760"/>
      <c r="C5879" s="760"/>
      <c r="D5879" s="760"/>
      <c r="E5879" s="760"/>
      <c r="F5879" s="760"/>
      <c r="G5879" s="760"/>
      <c r="H5879" s="760"/>
      <c r="I5879" s="760"/>
      <c r="J5879" s="760"/>
      <c r="K5879" s="760"/>
    </row>
    <row r="5880" spans="1:11">
      <c r="A5880" s="760"/>
      <c r="B5880" s="760"/>
      <c r="C5880" s="760"/>
      <c r="D5880" s="760"/>
      <c r="E5880" s="760"/>
      <c r="F5880" s="760"/>
      <c r="G5880" s="760"/>
      <c r="H5880" s="760"/>
      <c r="I5880" s="760"/>
      <c r="J5880" s="760"/>
      <c r="K5880" s="760"/>
    </row>
    <row r="5881" spans="1:11">
      <c r="A5881" s="760"/>
      <c r="B5881" s="760"/>
      <c r="C5881" s="760"/>
      <c r="D5881" s="760"/>
      <c r="E5881" s="760"/>
      <c r="F5881" s="760"/>
      <c r="G5881" s="760"/>
      <c r="H5881" s="760"/>
      <c r="I5881" s="760"/>
      <c r="J5881" s="760"/>
      <c r="K5881" s="760"/>
    </row>
    <row r="5882" spans="1:11">
      <c r="A5882" s="760"/>
      <c r="B5882" s="760"/>
      <c r="C5882" s="760"/>
      <c r="D5882" s="760"/>
      <c r="E5882" s="760"/>
      <c r="F5882" s="760"/>
      <c r="G5882" s="760"/>
      <c r="H5882" s="760"/>
      <c r="I5882" s="760"/>
      <c r="J5882" s="760"/>
      <c r="K5882" s="760"/>
    </row>
    <row r="5883" spans="1:11">
      <c r="A5883" s="760"/>
      <c r="B5883" s="760"/>
      <c r="C5883" s="760"/>
      <c r="D5883" s="760"/>
      <c r="E5883" s="760"/>
      <c r="F5883" s="760"/>
      <c r="G5883" s="760"/>
      <c r="H5883" s="760"/>
      <c r="I5883" s="760"/>
      <c r="J5883" s="760"/>
      <c r="K5883" s="760"/>
    </row>
    <row r="5884" spans="1:11">
      <c r="A5884" s="760"/>
      <c r="B5884" s="760"/>
      <c r="C5884" s="760"/>
      <c r="D5884" s="760"/>
      <c r="E5884" s="760"/>
      <c r="F5884" s="760"/>
      <c r="G5884" s="760"/>
      <c r="H5884" s="760"/>
      <c r="I5884" s="760"/>
      <c r="J5884" s="760"/>
      <c r="K5884" s="760"/>
    </row>
    <row r="5885" spans="1:11">
      <c r="A5885" s="760"/>
      <c r="B5885" s="760"/>
      <c r="C5885" s="760"/>
      <c r="D5885" s="760"/>
      <c r="E5885" s="760"/>
      <c r="F5885" s="760"/>
      <c r="G5885" s="760"/>
      <c r="H5885" s="760"/>
      <c r="I5885" s="760"/>
      <c r="J5885" s="760"/>
      <c r="K5885" s="760"/>
    </row>
    <row r="5886" spans="1:11">
      <c r="A5886" s="760"/>
      <c r="B5886" s="760"/>
      <c r="C5886" s="760"/>
      <c r="D5886" s="760"/>
      <c r="E5886" s="760"/>
      <c r="F5886" s="760"/>
      <c r="G5886" s="760"/>
      <c r="H5886" s="760"/>
      <c r="I5886" s="760"/>
      <c r="J5886" s="760"/>
      <c r="K5886" s="760"/>
    </row>
    <row r="5887" spans="1:11">
      <c r="A5887" s="760"/>
      <c r="B5887" s="760"/>
      <c r="C5887" s="760"/>
      <c r="D5887" s="760"/>
      <c r="E5887" s="760"/>
      <c r="F5887" s="760"/>
      <c r="G5887" s="760"/>
      <c r="H5887" s="760"/>
      <c r="I5887" s="760"/>
      <c r="J5887" s="760"/>
      <c r="K5887" s="760"/>
    </row>
    <row r="5888" spans="1:11">
      <c r="A5888" s="760"/>
      <c r="B5888" s="760"/>
      <c r="C5888" s="760"/>
      <c r="D5888" s="760"/>
      <c r="E5888" s="760"/>
      <c r="F5888" s="760"/>
      <c r="G5888" s="760"/>
      <c r="H5888" s="760"/>
      <c r="I5888" s="760"/>
      <c r="J5888" s="760"/>
      <c r="K5888" s="760"/>
    </row>
    <row r="5889" spans="1:11">
      <c r="A5889" s="760"/>
      <c r="B5889" s="760"/>
      <c r="C5889" s="760"/>
      <c r="D5889" s="760"/>
      <c r="E5889" s="760"/>
      <c r="F5889" s="760"/>
      <c r="G5889" s="760"/>
      <c r="H5889" s="760"/>
      <c r="I5889" s="760"/>
      <c r="J5889" s="760"/>
      <c r="K5889" s="760"/>
    </row>
    <row r="5890" spans="1:11">
      <c r="A5890" s="760"/>
      <c r="B5890" s="760"/>
      <c r="C5890" s="760"/>
      <c r="D5890" s="760"/>
      <c r="E5890" s="760"/>
      <c r="F5890" s="760"/>
      <c r="G5890" s="760"/>
      <c r="H5890" s="760"/>
      <c r="I5890" s="760"/>
      <c r="J5890" s="760"/>
      <c r="K5890" s="760"/>
    </row>
    <row r="5891" spans="1:11">
      <c r="A5891" s="760"/>
      <c r="B5891" s="760"/>
      <c r="C5891" s="760"/>
      <c r="D5891" s="760"/>
      <c r="E5891" s="760"/>
      <c r="F5891" s="760"/>
      <c r="G5891" s="760"/>
      <c r="H5891" s="760"/>
      <c r="I5891" s="760"/>
      <c r="J5891" s="760"/>
      <c r="K5891" s="760"/>
    </row>
    <row r="5892" spans="1:11">
      <c r="A5892" s="760"/>
      <c r="B5892" s="760"/>
      <c r="C5892" s="760"/>
      <c r="D5892" s="760"/>
      <c r="E5892" s="760"/>
      <c r="F5892" s="760"/>
      <c r="G5892" s="760"/>
      <c r="H5892" s="760"/>
      <c r="I5892" s="760"/>
      <c r="J5892" s="760"/>
      <c r="K5892" s="760"/>
    </row>
    <row r="5893" spans="1:11">
      <c r="A5893" s="760"/>
      <c r="B5893" s="760"/>
      <c r="C5893" s="760"/>
      <c r="D5893" s="760"/>
      <c r="E5893" s="760"/>
      <c r="F5893" s="760"/>
      <c r="G5893" s="760"/>
      <c r="H5893" s="760"/>
      <c r="I5893" s="760"/>
      <c r="J5893" s="760"/>
      <c r="K5893" s="760"/>
    </row>
    <row r="5894" spans="1:11">
      <c r="A5894" s="760"/>
      <c r="B5894" s="760"/>
      <c r="C5894" s="760"/>
      <c r="D5894" s="760"/>
      <c r="E5894" s="760"/>
      <c r="F5894" s="760"/>
      <c r="G5894" s="760"/>
      <c r="H5894" s="760"/>
      <c r="I5894" s="760"/>
      <c r="J5894" s="760"/>
      <c r="K5894" s="760"/>
    </row>
    <row r="5895" spans="1:11">
      <c r="A5895" s="760"/>
      <c r="B5895" s="760"/>
      <c r="C5895" s="760"/>
      <c r="D5895" s="760"/>
      <c r="E5895" s="760"/>
      <c r="F5895" s="760"/>
      <c r="G5895" s="760"/>
      <c r="H5895" s="760"/>
      <c r="I5895" s="760"/>
      <c r="J5895" s="760"/>
      <c r="K5895" s="760"/>
    </row>
    <row r="5896" spans="1:11">
      <c r="A5896" s="760"/>
      <c r="B5896" s="760"/>
      <c r="C5896" s="760"/>
      <c r="D5896" s="760"/>
      <c r="E5896" s="760"/>
      <c r="F5896" s="760"/>
      <c r="G5896" s="760"/>
      <c r="H5896" s="760"/>
      <c r="I5896" s="760"/>
      <c r="J5896" s="760"/>
      <c r="K5896" s="760"/>
    </row>
    <row r="5897" spans="1:11">
      <c r="A5897" s="760"/>
      <c r="B5897" s="760"/>
      <c r="C5897" s="760"/>
      <c r="D5897" s="760"/>
      <c r="E5897" s="760"/>
      <c r="F5897" s="760"/>
      <c r="G5897" s="760"/>
      <c r="H5897" s="760"/>
      <c r="I5897" s="760"/>
      <c r="J5897" s="760"/>
      <c r="K5897" s="760"/>
    </row>
    <row r="5898" spans="1:11">
      <c r="A5898" s="760"/>
      <c r="B5898" s="760"/>
      <c r="C5898" s="760"/>
      <c r="D5898" s="760"/>
      <c r="E5898" s="760"/>
      <c r="F5898" s="760"/>
      <c r="G5898" s="760"/>
      <c r="H5898" s="760"/>
      <c r="I5898" s="760"/>
      <c r="J5898" s="760"/>
      <c r="K5898" s="760"/>
    </row>
    <row r="5899" spans="1:11">
      <c r="A5899" s="760"/>
      <c r="B5899" s="760"/>
      <c r="C5899" s="760"/>
      <c r="D5899" s="760"/>
      <c r="E5899" s="760"/>
      <c r="F5899" s="760"/>
      <c r="G5899" s="760"/>
      <c r="H5899" s="760"/>
      <c r="I5899" s="760"/>
      <c r="J5899" s="760"/>
      <c r="K5899" s="760"/>
    </row>
    <row r="5900" spans="1:11">
      <c r="A5900" s="760"/>
      <c r="B5900" s="760"/>
      <c r="C5900" s="760"/>
      <c r="D5900" s="760"/>
      <c r="E5900" s="760"/>
      <c r="F5900" s="760"/>
      <c r="G5900" s="760"/>
      <c r="H5900" s="760"/>
      <c r="I5900" s="760"/>
      <c r="J5900" s="760"/>
      <c r="K5900" s="760"/>
    </row>
    <row r="5901" spans="1:11">
      <c r="A5901" s="760"/>
      <c r="B5901" s="760"/>
      <c r="C5901" s="760"/>
      <c r="D5901" s="760"/>
      <c r="E5901" s="760"/>
      <c r="F5901" s="760"/>
      <c r="G5901" s="760"/>
      <c r="H5901" s="760"/>
      <c r="I5901" s="760"/>
      <c r="J5901" s="760"/>
      <c r="K5901" s="760"/>
    </row>
    <row r="5902" spans="1:11">
      <c r="A5902" s="760"/>
      <c r="B5902" s="760"/>
      <c r="C5902" s="760"/>
      <c r="D5902" s="760"/>
      <c r="E5902" s="760"/>
      <c r="F5902" s="760"/>
      <c r="G5902" s="760"/>
      <c r="H5902" s="760"/>
      <c r="I5902" s="760"/>
      <c r="J5902" s="760"/>
      <c r="K5902" s="760"/>
    </row>
    <row r="5903" spans="1:11">
      <c r="A5903" s="760"/>
      <c r="B5903" s="760"/>
      <c r="C5903" s="760"/>
      <c r="D5903" s="760"/>
      <c r="E5903" s="760"/>
      <c r="F5903" s="760"/>
      <c r="G5903" s="760"/>
      <c r="H5903" s="760"/>
      <c r="I5903" s="760"/>
      <c r="J5903" s="760"/>
      <c r="K5903" s="760"/>
    </row>
    <row r="5904" spans="1:11">
      <c r="A5904" s="760"/>
      <c r="B5904" s="760"/>
      <c r="C5904" s="760"/>
      <c r="D5904" s="760"/>
      <c r="E5904" s="760"/>
      <c r="F5904" s="760"/>
      <c r="G5904" s="760"/>
      <c r="H5904" s="760"/>
      <c r="I5904" s="760"/>
      <c r="J5904" s="760"/>
      <c r="K5904" s="760"/>
    </row>
    <row r="5905" spans="1:11">
      <c r="A5905" s="760"/>
      <c r="B5905" s="760"/>
      <c r="C5905" s="760"/>
      <c r="D5905" s="760"/>
      <c r="E5905" s="760"/>
      <c r="F5905" s="760"/>
      <c r="G5905" s="760"/>
      <c r="H5905" s="760"/>
      <c r="I5905" s="760"/>
      <c r="J5905" s="760"/>
      <c r="K5905" s="760"/>
    </row>
    <row r="5906" spans="1:11">
      <c r="A5906" s="760"/>
      <c r="B5906" s="760"/>
      <c r="C5906" s="760"/>
      <c r="D5906" s="760"/>
      <c r="E5906" s="760"/>
      <c r="F5906" s="760"/>
      <c r="G5906" s="760"/>
      <c r="H5906" s="760"/>
      <c r="I5906" s="760"/>
      <c r="J5906" s="760"/>
      <c r="K5906" s="760"/>
    </row>
    <row r="5907" spans="1:11">
      <c r="A5907" s="760"/>
      <c r="B5907" s="760"/>
      <c r="C5907" s="760"/>
      <c r="D5907" s="760"/>
      <c r="E5907" s="760"/>
      <c r="F5907" s="760"/>
      <c r="G5907" s="760"/>
      <c r="H5907" s="760"/>
      <c r="I5907" s="760"/>
      <c r="J5907" s="760"/>
      <c r="K5907" s="760"/>
    </row>
    <row r="5908" spans="1:11">
      <c r="A5908" s="760"/>
      <c r="B5908" s="760"/>
      <c r="C5908" s="760"/>
      <c r="D5908" s="760"/>
      <c r="E5908" s="760"/>
      <c r="F5908" s="760"/>
      <c r="G5908" s="760"/>
      <c r="H5908" s="760"/>
      <c r="I5908" s="760"/>
      <c r="J5908" s="760"/>
      <c r="K5908" s="760"/>
    </row>
    <row r="5909" spans="1:11">
      <c r="A5909" s="760"/>
      <c r="B5909" s="760"/>
      <c r="C5909" s="760"/>
      <c r="D5909" s="760"/>
      <c r="E5909" s="760"/>
      <c r="F5909" s="760"/>
      <c r="G5909" s="760"/>
      <c r="H5909" s="760"/>
      <c r="I5909" s="760"/>
      <c r="J5909" s="760"/>
      <c r="K5909" s="760"/>
    </row>
    <row r="5910" spans="1:11">
      <c r="A5910" s="760"/>
      <c r="B5910" s="760"/>
      <c r="C5910" s="760"/>
      <c r="D5910" s="760"/>
      <c r="E5910" s="760"/>
      <c r="F5910" s="760"/>
      <c r="G5910" s="760"/>
      <c r="H5910" s="760"/>
      <c r="I5910" s="760"/>
      <c r="J5910" s="760"/>
      <c r="K5910" s="760"/>
    </row>
    <row r="5911" spans="1:11">
      <c r="A5911" s="760"/>
      <c r="B5911" s="760"/>
      <c r="C5911" s="760"/>
      <c r="D5911" s="760"/>
      <c r="E5911" s="760"/>
      <c r="F5911" s="760"/>
      <c r="G5911" s="760"/>
      <c r="H5911" s="760"/>
      <c r="I5911" s="760"/>
      <c r="J5911" s="760"/>
      <c r="K5911" s="760"/>
    </row>
    <row r="5912" spans="1:11">
      <c r="A5912" s="760"/>
      <c r="B5912" s="760"/>
      <c r="C5912" s="760"/>
      <c r="D5912" s="760"/>
      <c r="E5912" s="760"/>
      <c r="F5912" s="760"/>
      <c r="G5912" s="760"/>
      <c r="H5912" s="760"/>
      <c r="I5912" s="760"/>
      <c r="J5912" s="760"/>
      <c r="K5912" s="760"/>
    </row>
    <row r="5913" spans="1:11">
      <c r="A5913" s="760"/>
      <c r="B5913" s="760"/>
      <c r="C5913" s="760"/>
      <c r="D5913" s="760"/>
      <c r="E5913" s="760"/>
      <c r="F5913" s="760"/>
      <c r="G5913" s="760"/>
      <c r="H5913" s="760"/>
      <c r="I5913" s="760"/>
      <c r="J5913" s="760"/>
      <c r="K5913" s="760"/>
    </row>
    <row r="5914" spans="1:11">
      <c r="A5914" s="760"/>
      <c r="B5914" s="760"/>
      <c r="C5914" s="760"/>
      <c r="D5914" s="760"/>
      <c r="E5914" s="760"/>
      <c r="F5914" s="760"/>
      <c r="G5914" s="760"/>
      <c r="H5914" s="760"/>
      <c r="I5914" s="760"/>
      <c r="J5914" s="760"/>
      <c r="K5914" s="760"/>
    </row>
    <row r="5915" spans="1:11">
      <c r="A5915" s="760"/>
      <c r="B5915" s="760"/>
      <c r="C5915" s="760"/>
      <c r="D5915" s="760"/>
      <c r="E5915" s="760"/>
      <c r="F5915" s="760"/>
      <c r="G5915" s="760"/>
      <c r="H5915" s="760"/>
      <c r="I5915" s="760"/>
      <c r="J5915" s="760"/>
      <c r="K5915" s="760"/>
    </row>
    <row r="5916" spans="1:11">
      <c r="A5916" s="760"/>
      <c r="B5916" s="760"/>
      <c r="C5916" s="760"/>
      <c r="D5916" s="760"/>
      <c r="E5916" s="760"/>
      <c r="F5916" s="760"/>
      <c r="G5916" s="760"/>
      <c r="H5916" s="760"/>
      <c r="I5916" s="760"/>
      <c r="J5916" s="760"/>
      <c r="K5916" s="760"/>
    </row>
    <row r="5917" spans="1:11">
      <c r="A5917" s="760"/>
      <c r="B5917" s="760"/>
      <c r="C5917" s="760"/>
      <c r="D5917" s="760"/>
      <c r="E5917" s="760"/>
      <c r="F5917" s="760"/>
      <c r="G5917" s="760"/>
      <c r="H5917" s="760"/>
      <c r="I5917" s="760"/>
      <c r="J5917" s="760"/>
      <c r="K5917" s="760"/>
    </row>
    <row r="5918" spans="1:11">
      <c r="A5918" s="760"/>
      <c r="B5918" s="760"/>
      <c r="C5918" s="760"/>
      <c r="D5918" s="760"/>
      <c r="E5918" s="760"/>
      <c r="F5918" s="760"/>
      <c r="G5918" s="760"/>
      <c r="H5918" s="760"/>
      <c r="I5918" s="760"/>
      <c r="J5918" s="760"/>
      <c r="K5918" s="760"/>
    </row>
    <row r="5919" spans="1:11">
      <c r="A5919" s="760"/>
      <c r="B5919" s="760"/>
      <c r="C5919" s="760"/>
      <c r="D5919" s="760"/>
      <c r="E5919" s="760"/>
      <c r="F5919" s="760"/>
      <c r="G5919" s="760"/>
      <c r="H5919" s="760"/>
      <c r="I5919" s="760"/>
      <c r="J5919" s="760"/>
      <c r="K5919" s="760"/>
    </row>
    <row r="5920" spans="1:11">
      <c r="A5920" s="760"/>
      <c r="B5920" s="760"/>
      <c r="C5920" s="760"/>
      <c r="D5920" s="760"/>
      <c r="E5920" s="760"/>
      <c r="F5920" s="760"/>
      <c r="G5920" s="760"/>
      <c r="H5920" s="760"/>
      <c r="I5920" s="760"/>
      <c r="J5920" s="760"/>
      <c r="K5920" s="760"/>
    </row>
    <row r="5921" spans="1:11">
      <c r="A5921" s="760"/>
      <c r="B5921" s="760"/>
      <c r="C5921" s="760"/>
      <c r="D5921" s="760"/>
      <c r="E5921" s="760"/>
      <c r="F5921" s="760"/>
      <c r="G5921" s="760"/>
      <c r="H5921" s="760"/>
      <c r="I5921" s="760"/>
      <c r="J5921" s="760"/>
      <c r="K5921" s="760"/>
    </row>
    <row r="5922" spans="1:11">
      <c r="A5922" s="760"/>
      <c r="B5922" s="760"/>
      <c r="C5922" s="760"/>
      <c r="D5922" s="760"/>
      <c r="E5922" s="760"/>
      <c r="F5922" s="760"/>
      <c r="G5922" s="760"/>
      <c r="H5922" s="760"/>
      <c r="I5922" s="760"/>
      <c r="J5922" s="760"/>
      <c r="K5922" s="760"/>
    </row>
    <row r="5923" spans="1:11">
      <c r="A5923" s="760"/>
      <c r="B5923" s="760"/>
      <c r="C5923" s="760"/>
      <c r="D5923" s="760"/>
      <c r="E5923" s="760"/>
      <c r="F5923" s="760"/>
      <c r="G5923" s="760"/>
      <c r="H5923" s="760"/>
      <c r="I5923" s="760"/>
      <c r="J5923" s="760"/>
      <c r="K5923" s="760"/>
    </row>
    <row r="5924" spans="1:11">
      <c r="A5924" s="760"/>
      <c r="B5924" s="760"/>
      <c r="C5924" s="760"/>
      <c r="D5924" s="760"/>
      <c r="E5924" s="760"/>
      <c r="F5924" s="760"/>
      <c r="G5924" s="760"/>
      <c r="H5924" s="760"/>
      <c r="I5924" s="760"/>
      <c r="J5924" s="760"/>
      <c r="K5924" s="760"/>
    </row>
    <row r="5925" spans="1:11">
      <c r="A5925" s="760"/>
      <c r="B5925" s="760"/>
      <c r="C5925" s="760"/>
      <c r="D5925" s="760"/>
      <c r="E5925" s="760"/>
      <c r="F5925" s="760"/>
      <c r="G5925" s="760"/>
      <c r="H5925" s="760"/>
      <c r="I5925" s="760"/>
      <c r="J5925" s="760"/>
      <c r="K5925" s="760"/>
    </row>
    <row r="5926" spans="1:11">
      <c r="A5926" s="760"/>
      <c r="B5926" s="760"/>
      <c r="C5926" s="760"/>
      <c r="D5926" s="760"/>
      <c r="E5926" s="760"/>
      <c r="F5926" s="760"/>
      <c r="G5926" s="760"/>
      <c r="H5926" s="760"/>
      <c r="I5926" s="760"/>
      <c r="J5926" s="760"/>
      <c r="K5926" s="760"/>
    </row>
    <row r="5927" spans="1:11">
      <c r="A5927" s="760"/>
      <c r="B5927" s="760"/>
      <c r="C5927" s="760"/>
      <c r="D5927" s="760"/>
      <c r="E5927" s="760"/>
      <c r="F5927" s="760"/>
      <c r="G5927" s="760"/>
      <c r="H5927" s="760"/>
      <c r="I5927" s="760"/>
      <c r="J5927" s="760"/>
      <c r="K5927" s="760"/>
    </row>
    <row r="5928" spans="1:11">
      <c r="A5928" s="760"/>
      <c r="B5928" s="760"/>
      <c r="C5928" s="760"/>
      <c r="D5928" s="760"/>
      <c r="E5928" s="760"/>
      <c r="F5928" s="760"/>
      <c r="G5928" s="760"/>
      <c r="H5928" s="760"/>
      <c r="I5928" s="760"/>
      <c r="J5928" s="760"/>
      <c r="K5928" s="760"/>
    </row>
    <row r="5929" spans="1:11">
      <c r="A5929" s="760"/>
      <c r="B5929" s="760"/>
      <c r="C5929" s="760"/>
      <c r="D5929" s="760"/>
      <c r="E5929" s="760"/>
      <c r="F5929" s="760"/>
      <c r="G5929" s="760"/>
      <c r="H5929" s="760"/>
      <c r="I5929" s="760"/>
      <c r="J5929" s="760"/>
      <c r="K5929" s="760"/>
    </row>
    <row r="5930" spans="1:11">
      <c r="A5930" s="760"/>
      <c r="B5930" s="760"/>
      <c r="C5930" s="760"/>
      <c r="D5930" s="760"/>
      <c r="E5930" s="760"/>
      <c r="F5930" s="760"/>
      <c r="G5930" s="760"/>
      <c r="H5930" s="760"/>
      <c r="I5930" s="760"/>
      <c r="J5930" s="760"/>
      <c r="K5930" s="760"/>
    </row>
    <row r="5931" spans="1:11">
      <c r="A5931" s="760"/>
      <c r="B5931" s="760"/>
      <c r="C5931" s="760"/>
      <c r="D5931" s="760"/>
      <c r="E5931" s="760"/>
      <c r="F5931" s="760"/>
      <c r="G5931" s="760"/>
      <c r="H5931" s="760"/>
      <c r="I5931" s="760"/>
      <c r="J5931" s="760"/>
      <c r="K5931" s="760"/>
    </row>
    <row r="5932" spans="1:11">
      <c r="A5932" s="760"/>
      <c r="B5932" s="760"/>
      <c r="C5932" s="760"/>
      <c r="D5932" s="760"/>
      <c r="E5932" s="760"/>
      <c r="F5932" s="760"/>
      <c r="G5932" s="760"/>
      <c r="H5932" s="760"/>
      <c r="I5932" s="760"/>
      <c r="J5932" s="760"/>
      <c r="K5932" s="760"/>
    </row>
    <row r="5933" spans="1:11">
      <c r="A5933" s="760"/>
      <c r="B5933" s="760"/>
      <c r="C5933" s="760"/>
      <c r="D5933" s="760"/>
      <c r="E5933" s="760"/>
      <c r="F5933" s="760"/>
      <c r="G5933" s="760"/>
      <c r="H5933" s="760"/>
      <c r="I5933" s="760"/>
      <c r="J5933" s="760"/>
      <c r="K5933" s="760"/>
    </row>
    <row r="5934" spans="1:11">
      <c r="A5934" s="760"/>
      <c r="B5934" s="760"/>
      <c r="C5934" s="760"/>
      <c r="D5934" s="760"/>
      <c r="E5934" s="760"/>
      <c r="F5934" s="760"/>
      <c r="G5934" s="760"/>
      <c r="H5934" s="760"/>
      <c r="I5934" s="760"/>
      <c r="J5934" s="760"/>
      <c r="K5934" s="760"/>
    </row>
    <row r="5935" spans="1:11">
      <c r="A5935" s="760"/>
      <c r="B5935" s="760"/>
      <c r="C5935" s="760"/>
      <c r="D5935" s="760"/>
      <c r="E5935" s="760"/>
      <c r="F5935" s="760"/>
      <c r="G5935" s="760"/>
      <c r="H5935" s="760"/>
      <c r="I5935" s="760"/>
      <c r="J5935" s="760"/>
      <c r="K5935" s="760"/>
    </row>
    <row r="5936" spans="1:11">
      <c r="A5936" s="760"/>
      <c r="B5936" s="760"/>
      <c r="C5936" s="760"/>
      <c r="D5936" s="760"/>
      <c r="E5936" s="760"/>
      <c r="F5936" s="760"/>
      <c r="G5936" s="760"/>
      <c r="H5936" s="760"/>
      <c r="I5936" s="760"/>
      <c r="J5936" s="760"/>
      <c r="K5936" s="760"/>
    </row>
    <row r="5937" spans="1:11">
      <c r="A5937" s="760"/>
      <c r="B5937" s="760"/>
      <c r="C5937" s="760"/>
      <c r="D5937" s="760"/>
      <c r="E5937" s="760"/>
      <c r="F5937" s="760"/>
      <c r="G5937" s="760"/>
      <c r="H5937" s="760"/>
      <c r="I5937" s="760"/>
      <c r="J5937" s="760"/>
      <c r="K5937" s="760"/>
    </row>
    <row r="5938" spans="1:11">
      <c r="A5938" s="760"/>
      <c r="B5938" s="760"/>
      <c r="C5938" s="760"/>
      <c r="D5938" s="760"/>
      <c r="E5938" s="760"/>
      <c r="F5938" s="760"/>
      <c r="G5938" s="760"/>
      <c r="H5938" s="760"/>
      <c r="I5938" s="760"/>
      <c r="J5938" s="760"/>
      <c r="K5938" s="760"/>
    </row>
    <row r="5939" spans="1:11">
      <c r="A5939" s="760"/>
      <c r="B5939" s="760"/>
      <c r="C5939" s="760"/>
      <c r="D5939" s="760"/>
      <c r="E5939" s="760"/>
      <c r="F5939" s="760"/>
      <c r="G5939" s="760"/>
      <c r="H5939" s="760"/>
      <c r="I5939" s="760"/>
      <c r="J5939" s="760"/>
      <c r="K5939" s="760"/>
    </row>
    <row r="5940" spans="1:11">
      <c r="A5940" s="760"/>
      <c r="B5940" s="760"/>
      <c r="C5940" s="760"/>
      <c r="D5940" s="760"/>
      <c r="E5940" s="760"/>
      <c r="F5940" s="760"/>
      <c r="G5940" s="760"/>
      <c r="H5940" s="760"/>
      <c r="I5940" s="760"/>
      <c r="J5940" s="760"/>
      <c r="K5940" s="760"/>
    </row>
    <row r="5941" spans="1:11">
      <c r="A5941" s="760"/>
      <c r="B5941" s="760"/>
      <c r="C5941" s="760"/>
      <c r="D5941" s="760"/>
      <c r="E5941" s="760"/>
      <c r="F5941" s="760"/>
      <c r="G5941" s="760"/>
      <c r="H5941" s="760"/>
      <c r="I5941" s="760"/>
      <c r="J5941" s="760"/>
      <c r="K5941" s="760"/>
    </row>
    <row r="5942" spans="1:11">
      <c r="A5942" s="760"/>
      <c r="B5942" s="760"/>
      <c r="C5942" s="760"/>
      <c r="D5942" s="760"/>
      <c r="E5942" s="760"/>
      <c r="F5942" s="760"/>
      <c r="G5942" s="760"/>
      <c r="H5942" s="760"/>
      <c r="I5942" s="760"/>
      <c r="J5942" s="760"/>
      <c r="K5942" s="760"/>
    </row>
    <row r="5943" spans="1:11">
      <c r="A5943" s="760"/>
      <c r="B5943" s="760"/>
      <c r="C5943" s="760"/>
      <c r="D5943" s="760"/>
      <c r="E5943" s="760"/>
      <c r="F5943" s="760"/>
      <c r="G5943" s="760"/>
      <c r="H5943" s="760"/>
      <c r="I5943" s="760"/>
      <c r="J5943" s="760"/>
      <c r="K5943" s="760"/>
    </row>
    <row r="5944" spans="1:11">
      <c r="A5944" s="760"/>
      <c r="B5944" s="760"/>
      <c r="C5944" s="760"/>
      <c r="D5944" s="760"/>
      <c r="E5944" s="760"/>
      <c r="F5944" s="760"/>
      <c r="G5944" s="760"/>
      <c r="H5944" s="760"/>
      <c r="I5944" s="760"/>
      <c r="J5944" s="760"/>
      <c r="K5944" s="760"/>
    </row>
    <row r="5945" spans="1:11">
      <c r="A5945" s="760"/>
      <c r="B5945" s="760"/>
      <c r="C5945" s="760"/>
      <c r="D5945" s="760"/>
      <c r="E5945" s="760"/>
      <c r="F5945" s="760"/>
      <c r="G5945" s="760"/>
      <c r="H5945" s="760"/>
      <c r="I5945" s="760"/>
      <c r="J5945" s="760"/>
      <c r="K5945" s="760"/>
    </row>
    <row r="5946" spans="1:11">
      <c r="A5946" s="760"/>
      <c r="B5946" s="760"/>
      <c r="C5946" s="760"/>
      <c r="D5946" s="760"/>
      <c r="E5946" s="760"/>
      <c r="F5946" s="760"/>
      <c r="G5946" s="760"/>
      <c r="H5946" s="760"/>
      <c r="I5946" s="760"/>
      <c r="J5946" s="760"/>
      <c r="K5946" s="760"/>
    </row>
    <row r="5947" spans="1:11">
      <c r="A5947" s="760"/>
      <c r="B5947" s="760"/>
      <c r="C5947" s="760"/>
      <c r="D5947" s="760"/>
      <c r="E5947" s="760"/>
      <c r="F5947" s="760"/>
      <c r="G5947" s="760"/>
      <c r="H5947" s="760"/>
      <c r="I5947" s="760"/>
      <c r="J5947" s="760"/>
      <c r="K5947" s="760"/>
    </row>
    <row r="5948" spans="1:11">
      <c r="A5948" s="760"/>
      <c r="B5948" s="760"/>
      <c r="C5948" s="760"/>
      <c r="D5948" s="760"/>
      <c r="E5948" s="760"/>
      <c r="F5948" s="760"/>
      <c r="G5948" s="760"/>
      <c r="H5948" s="760"/>
      <c r="I5948" s="760"/>
      <c r="J5948" s="760"/>
      <c r="K5948" s="760"/>
    </row>
    <row r="5949" spans="1:11">
      <c r="A5949" s="760"/>
      <c r="B5949" s="760"/>
      <c r="C5949" s="760"/>
      <c r="D5949" s="760"/>
      <c r="E5949" s="760"/>
      <c r="F5949" s="760"/>
      <c r="G5949" s="760"/>
      <c r="H5949" s="760"/>
      <c r="I5949" s="760"/>
      <c r="J5949" s="760"/>
      <c r="K5949" s="760"/>
    </row>
    <row r="5950" spans="1:11">
      <c r="A5950" s="760"/>
      <c r="B5950" s="760"/>
      <c r="C5950" s="760"/>
      <c r="D5950" s="760"/>
      <c r="E5950" s="760"/>
      <c r="F5950" s="760"/>
      <c r="G5950" s="760"/>
      <c r="H5950" s="760"/>
      <c r="I5950" s="760"/>
      <c r="J5950" s="760"/>
      <c r="K5950" s="760"/>
    </row>
    <row r="5951" spans="1:11">
      <c r="A5951" s="760"/>
      <c r="B5951" s="760"/>
      <c r="C5951" s="760"/>
      <c r="D5951" s="760"/>
      <c r="E5951" s="760"/>
      <c r="F5951" s="760"/>
      <c r="G5951" s="760"/>
      <c r="H5951" s="760"/>
      <c r="I5951" s="760"/>
      <c r="J5951" s="760"/>
      <c r="K5951" s="760"/>
    </row>
    <row r="5952" spans="1:11">
      <c r="A5952" s="760"/>
      <c r="B5952" s="760"/>
      <c r="C5952" s="760"/>
      <c r="D5952" s="760"/>
      <c r="E5952" s="760"/>
      <c r="F5952" s="760"/>
      <c r="G5952" s="760"/>
      <c r="H5952" s="760"/>
      <c r="I5952" s="760"/>
      <c r="J5952" s="760"/>
      <c r="K5952" s="760"/>
    </row>
    <row r="5953" spans="1:11">
      <c r="A5953" s="760"/>
      <c r="B5953" s="760"/>
      <c r="C5953" s="760"/>
      <c r="D5953" s="760"/>
      <c r="E5953" s="760"/>
      <c r="F5953" s="760"/>
      <c r="G5953" s="760"/>
      <c r="H5953" s="760"/>
      <c r="I5953" s="760"/>
      <c r="J5953" s="760"/>
      <c r="K5953" s="760"/>
    </row>
    <row r="5954" spans="1:11">
      <c r="A5954" s="760"/>
      <c r="B5954" s="760"/>
      <c r="C5954" s="760"/>
      <c r="D5954" s="760"/>
      <c r="E5954" s="760"/>
      <c r="F5954" s="760"/>
      <c r="G5954" s="760"/>
      <c r="H5954" s="760"/>
      <c r="I5954" s="760"/>
      <c r="J5954" s="760"/>
      <c r="K5954" s="760"/>
    </row>
    <row r="5955" spans="1:11">
      <c r="A5955" s="760"/>
      <c r="B5955" s="760"/>
      <c r="C5955" s="760"/>
      <c r="D5955" s="760"/>
      <c r="E5955" s="760"/>
      <c r="F5955" s="760"/>
      <c r="G5955" s="760"/>
      <c r="H5955" s="760"/>
      <c r="I5955" s="760"/>
      <c r="J5955" s="760"/>
      <c r="K5955" s="760"/>
    </row>
    <row r="5956" spans="1:11">
      <c r="A5956" s="760"/>
      <c r="B5956" s="760"/>
      <c r="C5956" s="760"/>
      <c r="D5956" s="760"/>
      <c r="E5956" s="760"/>
      <c r="F5956" s="760"/>
      <c r="G5956" s="760"/>
      <c r="H5956" s="760"/>
      <c r="I5956" s="760"/>
      <c r="J5956" s="760"/>
      <c r="K5956" s="760"/>
    </row>
    <row r="5957" spans="1:11">
      <c r="A5957" s="760"/>
      <c r="B5957" s="760"/>
      <c r="C5957" s="760"/>
      <c r="D5957" s="760"/>
      <c r="E5957" s="760"/>
      <c r="F5957" s="760"/>
      <c r="G5957" s="760"/>
      <c r="H5957" s="760"/>
      <c r="I5957" s="760"/>
      <c r="J5957" s="760"/>
      <c r="K5957" s="760"/>
    </row>
    <row r="5958" spans="1:11">
      <c r="A5958" s="760"/>
      <c r="B5958" s="760"/>
      <c r="C5958" s="760"/>
      <c r="D5958" s="760"/>
      <c r="E5958" s="760"/>
      <c r="F5958" s="760"/>
      <c r="G5958" s="760"/>
      <c r="H5958" s="760"/>
      <c r="I5958" s="760"/>
      <c r="J5958" s="760"/>
      <c r="K5958" s="760"/>
    </row>
    <row r="5959" spans="1:11">
      <c r="A5959" s="760"/>
      <c r="B5959" s="760"/>
      <c r="C5959" s="760"/>
      <c r="D5959" s="760"/>
      <c r="E5959" s="760"/>
      <c r="F5959" s="760"/>
      <c r="G5959" s="760"/>
      <c r="H5959" s="760"/>
      <c r="I5959" s="760"/>
      <c r="J5959" s="760"/>
      <c r="K5959" s="760"/>
    </row>
    <row r="5960" spans="1:11">
      <c r="A5960" s="760"/>
      <c r="B5960" s="760"/>
      <c r="C5960" s="760"/>
      <c r="D5960" s="760"/>
      <c r="E5960" s="760"/>
      <c r="F5960" s="760"/>
      <c r="G5960" s="760"/>
      <c r="H5960" s="760"/>
      <c r="I5960" s="760"/>
      <c r="J5960" s="760"/>
      <c r="K5960" s="760"/>
    </row>
    <row r="5961" spans="1:11">
      <c r="A5961" s="760"/>
      <c r="B5961" s="760"/>
      <c r="C5961" s="760"/>
      <c r="D5961" s="760"/>
      <c r="E5961" s="760"/>
      <c r="F5961" s="760"/>
      <c r="G5961" s="760"/>
      <c r="H5961" s="760"/>
      <c r="I5961" s="760"/>
      <c r="J5961" s="760"/>
      <c r="K5961" s="760"/>
    </row>
    <row r="5962" spans="1:11">
      <c r="A5962" s="760"/>
      <c r="B5962" s="760"/>
      <c r="C5962" s="760"/>
      <c r="D5962" s="760"/>
      <c r="E5962" s="760"/>
      <c r="F5962" s="760"/>
      <c r="G5962" s="760"/>
      <c r="H5962" s="760"/>
      <c r="I5962" s="760"/>
      <c r="J5962" s="760"/>
      <c r="K5962" s="760"/>
    </row>
    <row r="5963" spans="1:11">
      <c r="A5963" s="760"/>
      <c r="B5963" s="760"/>
      <c r="C5963" s="760"/>
      <c r="D5963" s="760"/>
      <c r="E5963" s="760"/>
      <c r="F5963" s="760"/>
      <c r="G5963" s="760"/>
      <c r="H5963" s="760"/>
      <c r="I5963" s="760"/>
      <c r="J5963" s="760"/>
      <c r="K5963" s="760"/>
    </row>
    <row r="5964" spans="1:11">
      <c r="A5964" s="760"/>
      <c r="B5964" s="760"/>
      <c r="C5964" s="760"/>
      <c r="D5964" s="760"/>
      <c r="E5964" s="760"/>
      <c r="F5964" s="760"/>
      <c r="G5964" s="760"/>
      <c r="H5964" s="760"/>
      <c r="I5964" s="760"/>
      <c r="J5964" s="760"/>
      <c r="K5964" s="760"/>
    </row>
    <row r="5965" spans="1:11">
      <c r="A5965" s="760"/>
      <c r="B5965" s="760"/>
      <c r="C5965" s="760"/>
      <c r="D5965" s="760"/>
      <c r="E5965" s="760"/>
      <c r="F5965" s="760"/>
      <c r="G5965" s="760"/>
      <c r="H5965" s="760"/>
      <c r="I5965" s="760"/>
      <c r="J5965" s="760"/>
      <c r="K5965" s="760"/>
    </row>
    <row r="5966" spans="1:11">
      <c r="A5966" s="760"/>
      <c r="B5966" s="760"/>
      <c r="C5966" s="760"/>
      <c r="D5966" s="760"/>
      <c r="E5966" s="760"/>
      <c r="F5966" s="760"/>
      <c r="G5966" s="760"/>
      <c r="H5966" s="760"/>
      <c r="I5966" s="760"/>
      <c r="J5966" s="760"/>
      <c r="K5966" s="760"/>
    </row>
    <row r="5967" spans="1:11">
      <c r="A5967" s="760"/>
      <c r="B5967" s="760"/>
      <c r="C5967" s="760"/>
      <c r="D5967" s="760"/>
      <c r="E5967" s="760"/>
      <c r="F5967" s="760"/>
      <c r="G5967" s="760"/>
      <c r="H5967" s="760"/>
      <c r="I5967" s="760"/>
      <c r="J5967" s="760"/>
      <c r="K5967" s="760"/>
    </row>
    <row r="5968" spans="1:11">
      <c r="A5968" s="760"/>
      <c r="B5968" s="760"/>
      <c r="C5968" s="760"/>
      <c r="D5968" s="760"/>
      <c r="E5968" s="760"/>
      <c r="F5968" s="760"/>
      <c r="G5968" s="760"/>
      <c r="H5968" s="760"/>
      <c r="I5968" s="760"/>
      <c r="J5968" s="760"/>
      <c r="K5968" s="760"/>
    </row>
    <row r="5969" spans="1:11">
      <c r="A5969" s="760"/>
      <c r="B5969" s="760"/>
      <c r="C5969" s="760"/>
      <c r="D5969" s="760"/>
      <c r="E5969" s="760"/>
      <c r="F5969" s="760"/>
      <c r="G5969" s="760"/>
      <c r="H5969" s="760"/>
      <c r="I5969" s="760"/>
      <c r="J5969" s="760"/>
      <c r="K5969" s="760"/>
    </row>
    <row r="5970" spans="1:11">
      <c r="A5970" s="760"/>
      <c r="B5970" s="760"/>
      <c r="C5970" s="760"/>
      <c r="D5970" s="760"/>
      <c r="E5970" s="760"/>
      <c r="F5970" s="760"/>
      <c r="G5970" s="760"/>
      <c r="H5970" s="760"/>
      <c r="I5970" s="760"/>
      <c r="J5970" s="760"/>
      <c r="K5970" s="760"/>
    </row>
    <row r="5971" spans="1:11">
      <c r="A5971" s="760"/>
      <c r="B5971" s="760"/>
      <c r="C5971" s="760"/>
      <c r="D5971" s="760"/>
      <c r="E5971" s="760"/>
      <c r="F5971" s="760"/>
      <c r="G5971" s="760"/>
      <c r="H5971" s="760"/>
      <c r="I5971" s="760"/>
      <c r="J5971" s="760"/>
      <c r="K5971" s="760"/>
    </row>
    <row r="5972" spans="1:11">
      <c r="A5972" s="760"/>
      <c r="B5972" s="760"/>
      <c r="C5972" s="760"/>
      <c r="D5972" s="760"/>
      <c r="E5972" s="760"/>
      <c r="F5972" s="760"/>
      <c r="G5972" s="760"/>
      <c r="H5972" s="760"/>
      <c r="I5972" s="760"/>
      <c r="J5972" s="760"/>
      <c r="K5972" s="760"/>
    </row>
    <row r="5973" spans="1:11">
      <c r="A5973" s="760"/>
      <c r="B5973" s="760"/>
      <c r="C5973" s="760"/>
      <c r="D5973" s="760"/>
      <c r="E5973" s="760"/>
      <c r="F5973" s="760"/>
      <c r="G5973" s="760"/>
      <c r="H5973" s="760"/>
      <c r="I5973" s="760"/>
      <c r="J5973" s="760"/>
      <c r="K5973" s="760"/>
    </row>
    <row r="5974" spans="1:11">
      <c r="A5974" s="760"/>
      <c r="B5974" s="760"/>
      <c r="C5974" s="760"/>
      <c r="D5974" s="760"/>
      <c r="E5974" s="760"/>
      <c r="F5974" s="760"/>
      <c r="G5974" s="760"/>
      <c r="H5974" s="760"/>
      <c r="I5974" s="760"/>
      <c r="J5974" s="760"/>
      <c r="K5974" s="760"/>
    </row>
    <row r="5975" spans="1:11">
      <c r="A5975" s="760"/>
      <c r="B5975" s="760"/>
      <c r="C5975" s="760"/>
      <c r="D5975" s="760"/>
      <c r="E5975" s="760"/>
      <c r="F5975" s="760"/>
      <c r="G5975" s="760"/>
      <c r="H5975" s="760"/>
      <c r="I5975" s="760"/>
      <c r="J5975" s="760"/>
      <c r="K5975" s="760"/>
    </row>
    <row r="5976" spans="1:11">
      <c r="A5976" s="760"/>
      <c r="B5976" s="760"/>
      <c r="C5976" s="760"/>
      <c r="D5976" s="760"/>
      <c r="E5976" s="760"/>
      <c r="F5976" s="760"/>
      <c r="G5976" s="760"/>
      <c r="H5976" s="760"/>
      <c r="I5976" s="760"/>
      <c r="J5976" s="760"/>
      <c r="K5976" s="760"/>
    </row>
    <row r="5977" spans="1:11">
      <c r="A5977" s="760"/>
      <c r="B5977" s="760"/>
      <c r="C5977" s="760"/>
      <c r="D5977" s="760"/>
      <c r="E5977" s="760"/>
      <c r="F5977" s="760"/>
      <c r="G5977" s="760"/>
      <c r="H5977" s="760"/>
      <c r="I5977" s="760"/>
      <c r="J5977" s="760"/>
      <c r="K5977" s="760"/>
    </row>
    <row r="5978" spans="1:11">
      <c r="A5978" s="760"/>
      <c r="B5978" s="760"/>
      <c r="C5978" s="760"/>
      <c r="D5978" s="760"/>
      <c r="E5978" s="760"/>
      <c r="F5978" s="760"/>
      <c r="G5978" s="760"/>
      <c r="H5978" s="760"/>
      <c r="I5978" s="760"/>
      <c r="J5978" s="760"/>
      <c r="K5978" s="760"/>
    </row>
    <row r="5979" spans="1:11">
      <c r="A5979" s="760"/>
      <c r="B5979" s="760"/>
      <c r="C5979" s="760"/>
      <c r="D5979" s="760"/>
      <c r="E5979" s="760"/>
      <c r="F5979" s="760"/>
      <c r="G5979" s="760"/>
      <c r="H5979" s="760"/>
      <c r="I5979" s="760"/>
      <c r="J5979" s="760"/>
      <c r="K5979" s="760"/>
    </row>
    <row r="5980" spans="1:11">
      <c r="A5980" s="760"/>
      <c r="B5980" s="760"/>
      <c r="C5980" s="760"/>
      <c r="D5980" s="760"/>
      <c r="E5980" s="760"/>
      <c r="F5980" s="760"/>
      <c r="G5980" s="760"/>
      <c r="H5980" s="760"/>
      <c r="I5980" s="760"/>
      <c r="J5980" s="760"/>
      <c r="K5980" s="760"/>
    </row>
    <row r="5981" spans="1:11">
      <c r="A5981" s="760"/>
      <c r="B5981" s="760"/>
      <c r="C5981" s="760"/>
      <c r="D5981" s="760"/>
      <c r="E5981" s="760"/>
      <c r="F5981" s="760"/>
      <c r="G5981" s="760"/>
      <c r="H5981" s="760"/>
      <c r="I5981" s="760"/>
      <c r="J5981" s="760"/>
      <c r="K5981" s="760"/>
    </row>
    <row r="5982" spans="1:11">
      <c r="A5982" s="760"/>
      <c r="B5982" s="760"/>
      <c r="C5982" s="760"/>
      <c r="D5982" s="760"/>
      <c r="E5982" s="760"/>
      <c r="F5982" s="760"/>
      <c r="G5982" s="760"/>
      <c r="H5982" s="760"/>
      <c r="I5982" s="760"/>
      <c r="J5982" s="760"/>
      <c r="K5982" s="760"/>
    </row>
    <row r="5983" spans="1:11">
      <c r="A5983" s="760"/>
      <c r="B5983" s="760"/>
      <c r="C5983" s="760"/>
      <c r="D5983" s="760"/>
      <c r="E5983" s="760"/>
      <c r="F5983" s="760"/>
      <c r="G5983" s="760"/>
      <c r="H5983" s="760"/>
      <c r="I5983" s="760"/>
      <c r="J5983" s="760"/>
      <c r="K5983" s="760"/>
    </row>
    <row r="5984" spans="1:11">
      <c r="A5984" s="760"/>
      <c r="B5984" s="760"/>
      <c r="C5984" s="760"/>
      <c r="D5984" s="760"/>
      <c r="E5984" s="760"/>
      <c r="F5984" s="760"/>
      <c r="G5984" s="760"/>
      <c r="H5984" s="760"/>
      <c r="I5984" s="760"/>
      <c r="J5984" s="760"/>
      <c r="K5984" s="760"/>
    </row>
    <row r="5985" spans="1:11">
      <c r="A5985" s="760"/>
      <c r="B5985" s="760"/>
      <c r="C5985" s="760"/>
      <c r="D5985" s="760"/>
      <c r="E5985" s="760"/>
      <c r="F5985" s="760"/>
      <c r="G5985" s="760"/>
      <c r="H5985" s="760"/>
      <c r="I5985" s="760"/>
      <c r="J5985" s="760"/>
      <c r="K5985" s="760"/>
    </row>
    <row r="5986" spans="1:11">
      <c r="A5986" s="760"/>
      <c r="B5986" s="760"/>
      <c r="C5986" s="760"/>
      <c r="D5986" s="760"/>
      <c r="E5986" s="760"/>
      <c r="F5986" s="760"/>
      <c r="G5986" s="760"/>
      <c r="H5986" s="760"/>
      <c r="I5986" s="760"/>
      <c r="J5986" s="760"/>
      <c r="K5986" s="760"/>
    </row>
    <row r="5987" spans="1:11">
      <c r="A5987" s="760"/>
      <c r="B5987" s="760"/>
      <c r="C5987" s="760"/>
      <c r="D5987" s="760"/>
      <c r="E5987" s="760"/>
      <c r="F5987" s="760"/>
      <c r="G5987" s="760"/>
      <c r="H5987" s="760"/>
      <c r="I5987" s="760"/>
      <c r="J5987" s="760"/>
      <c r="K5987" s="760"/>
    </row>
    <row r="5988" spans="1:11">
      <c r="A5988" s="760"/>
      <c r="B5988" s="760"/>
      <c r="C5988" s="760"/>
      <c r="D5988" s="760"/>
      <c r="E5988" s="760"/>
      <c r="F5988" s="760"/>
      <c r="G5988" s="760"/>
      <c r="H5988" s="760"/>
      <c r="I5988" s="760"/>
      <c r="J5988" s="760"/>
      <c r="K5988" s="760"/>
    </row>
    <row r="5989" spans="1:11">
      <c r="A5989" s="760"/>
      <c r="B5989" s="760"/>
      <c r="C5989" s="760"/>
      <c r="D5989" s="760"/>
      <c r="E5989" s="760"/>
      <c r="F5989" s="760"/>
      <c r="G5989" s="760"/>
      <c r="H5989" s="760"/>
      <c r="I5989" s="760"/>
      <c r="J5989" s="760"/>
      <c r="K5989" s="760"/>
    </row>
    <row r="5990" spans="1:11">
      <c r="A5990" s="760"/>
      <c r="B5990" s="760"/>
      <c r="C5990" s="760"/>
      <c r="D5990" s="760"/>
      <c r="E5990" s="760"/>
      <c r="F5990" s="760"/>
      <c r="G5990" s="760"/>
      <c r="H5990" s="760"/>
      <c r="I5990" s="760"/>
      <c r="J5990" s="760"/>
      <c r="K5990" s="760"/>
    </row>
    <row r="5991" spans="1:11">
      <c r="A5991" s="760"/>
      <c r="B5991" s="760"/>
      <c r="C5991" s="760"/>
      <c r="D5991" s="760"/>
      <c r="E5991" s="760"/>
      <c r="F5991" s="760"/>
      <c r="G5991" s="760"/>
      <c r="H5991" s="760"/>
      <c r="I5991" s="760"/>
      <c r="J5991" s="760"/>
      <c r="K5991" s="760"/>
    </row>
    <row r="5992" spans="1:11">
      <c r="A5992" s="760"/>
      <c r="B5992" s="760"/>
      <c r="C5992" s="760"/>
      <c r="D5992" s="760"/>
      <c r="E5992" s="760"/>
      <c r="F5992" s="760"/>
      <c r="G5992" s="760"/>
      <c r="H5992" s="760"/>
      <c r="I5992" s="760"/>
      <c r="J5992" s="760"/>
      <c r="K5992" s="760"/>
    </row>
    <row r="5993" spans="1:11">
      <c r="A5993" s="760"/>
      <c r="B5993" s="760"/>
      <c r="C5993" s="760"/>
      <c r="D5993" s="760"/>
      <c r="E5993" s="760"/>
      <c r="F5993" s="760"/>
      <c r="G5993" s="760"/>
      <c r="H5993" s="760"/>
      <c r="I5993" s="760"/>
      <c r="J5993" s="760"/>
      <c r="K5993" s="760"/>
    </row>
    <row r="5994" spans="1:11">
      <c r="A5994" s="760"/>
      <c r="B5994" s="760"/>
      <c r="C5994" s="760"/>
      <c r="D5994" s="760"/>
      <c r="E5994" s="760"/>
      <c r="F5994" s="760"/>
      <c r="G5994" s="760"/>
      <c r="H5994" s="760"/>
      <c r="I5994" s="760"/>
      <c r="J5994" s="760"/>
      <c r="K5994" s="760"/>
    </row>
    <row r="5995" spans="1:11">
      <c r="A5995" s="760"/>
      <c r="B5995" s="760"/>
      <c r="C5995" s="760"/>
      <c r="D5995" s="760"/>
      <c r="E5995" s="760"/>
      <c r="F5995" s="760"/>
      <c r="G5995" s="760"/>
      <c r="H5995" s="760"/>
      <c r="I5995" s="760"/>
      <c r="J5995" s="760"/>
      <c r="K5995" s="760"/>
    </row>
    <row r="5996" spans="1:11">
      <c r="A5996" s="760"/>
      <c r="B5996" s="760"/>
      <c r="C5996" s="760"/>
      <c r="D5996" s="760"/>
      <c r="E5996" s="760"/>
      <c r="F5996" s="760"/>
      <c r="G5996" s="760"/>
      <c r="H5996" s="760"/>
      <c r="I5996" s="760"/>
      <c r="J5996" s="760"/>
      <c r="K5996" s="760"/>
    </row>
    <row r="5997" spans="1:11">
      <c r="A5997" s="760"/>
      <c r="B5997" s="760"/>
      <c r="C5997" s="760"/>
      <c r="D5997" s="760"/>
      <c r="E5997" s="760"/>
      <c r="F5997" s="760"/>
      <c r="G5997" s="760"/>
      <c r="H5997" s="760"/>
      <c r="I5997" s="760"/>
      <c r="J5997" s="760"/>
      <c r="K5997" s="760"/>
    </row>
    <row r="5998" spans="1:11">
      <c r="A5998" s="760"/>
      <c r="B5998" s="760"/>
      <c r="C5998" s="760"/>
      <c r="D5998" s="760"/>
      <c r="E5998" s="760"/>
      <c r="F5998" s="760"/>
      <c r="G5998" s="760"/>
      <c r="H5998" s="760"/>
      <c r="I5998" s="760"/>
      <c r="J5998" s="760"/>
      <c r="K5998" s="760"/>
    </row>
    <row r="5999" spans="1:11">
      <c r="A5999" s="760"/>
      <c r="B5999" s="760"/>
      <c r="C5999" s="760"/>
      <c r="D5999" s="760"/>
      <c r="E5999" s="760"/>
      <c r="F5999" s="760"/>
      <c r="G5999" s="760"/>
      <c r="H5999" s="760"/>
      <c r="I5999" s="760"/>
      <c r="J5999" s="760"/>
      <c r="K5999" s="760"/>
    </row>
    <row r="6000" spans="1:11">
      <c r="A6000" s="760"/>
      <c r="B6000" s="760"/>
      <c r="C6000" s="760"/>
      <c r="D6000" s="760"/>
      <c r="E6000" s="760"/>
      <c r="F6000" s="760"/>
      <c r="G6000" s="760"/>
      <c r="H6000" s="760"/>
      <c r="I6000" s="760"/>
      <c r="J6000" s="760"/>
      <c r="K6000" s="760"/>
    </row>
    <row r="6001" spans="1:11">
      <c r="A6001" s="760"/>
      <c r="B6001" s="760"/>
      <c r="C6001" s="760"/>
      <c r="D6001" s="760"/>
      <c r="E6001" s="760"/>
      <c r="F6001" s="760"/>
      <c r="G6001" s="760"/>
      <c r="H6001" s="760"/>
      <c r="I6001" s="760"/>
      <c r="J6001" s="760"/>
      <c r="K6001" s="760"/>
    </row>
    <row r="6002" spans="1:11">
      <c r="A6002" s="760"/>
      <c r="B6002" s="760"/>
      <c r="C6002" s="760"/>
      <c r="D6002" s="760"/>
      <c r="E6002" s="760"/>
      <c r="F6002" s="760"/>
      <c r="G6002" s="760"/>
      <c r="H6002" s="760"/>
      <c r="I6002" s="760"/>
      <c r="J6002" s="760"/>
      <c r="K6002" s="760"/>
    </row>
    <row r="6003" spans="1:11">
      <c r="A6003" s="760"/>
      <c r="B6003" s="760"/>
      <c r="C6003" s="760"/>
      <c r="D6003" s="760"/>
      <c r="E6003" s="760"/>
      <c r="F6003" s="760"/>
      <c r="G6003" s="760"/>
      <c r="H6003" s="760"/>
      <c r="I6003" s="760"/>
      <c r="J6003" s="760"/>
      <c r="K6003" s="760"/>
    </row>
    <row r="6004" spans="1:11">
      <c r="A6004" s="760"/>
      <c r="B6004" s="760"/>
      <c r="C6004" s="760"/>
      <c r="D6004" s="760"/>
      <c r="E6004" s="760"/>
      <c r="F6004" s="760"/>
      <c r="G6004" s="760"/>
      <c r="H6004" s="760"/>
      <c r="I6004" s="760"/>
      <c r="J6004" s="760"/>
      <c r="K6004" s="760"/>
    </row>
    <row r="6005" spans="1:11">
      <c r="A6005" s="760"/>
      <c r="B6005" s="760"/>
      <c r="C6005" s="760"/>
      <c r="D6005" s="760"/>
      <c r="E6005" s="760"/>
      <c r="F6005" s="760"/>
      <c r="G6005" s="760"/>
      <c r="H6005" s="760"/>
      <c r="I6005" s="760"/>
      <c r="J6005" s="760"/>
      <c r="K6005" s="760"/>
    </row>
    <row r="6006" spans="1:11">
      <c r="A6006" s="760"/>
      <c r="B6006" s="760"/>
      <c r="C6006" s="760"/>
      <c r="D6006" s="760"/>
      <c r="E6006" s="760"/>
      <c r="F6006" s="760"/>
      <c r="G6006" s="760"/>
      <c r="H6006" s="760"/>
      <c r="I6006" s="760"/>
      <c r="J6006" s="760"/>
      <c r="K6006" s="760"/>
    </row>
    <row r="6007" spans="1:11">
      <c r="A6007" s="760"/>
      <c r="B6007" s="760"/>
      <c r="C6007" s="760"/>
      <c r="D6007" s="760"/>
      <c r="E6007" s="760"/>
      <c r="F6007" s="760"/>
      <c r="G6007" s="760"/>
      <c r="H6007" s="760"/>
      <c r="I6007" s="760"/>
      <c r="J6007" s="760"/>
      <c r="K6007" s="760"/>
    </row>
    <row r="6008" spans="1:11">
      <c r="A6008" s="760"/>
      <c r="B6008" s="760"/>
      <c r="C6008" s="760"/>
      <c r="D6008" s="760"/>
      <c r="E6008" s="760"/>
      <c r="F6008" s="760"/>
      <c r="G6008" s="760"/>
      <c r="H6008" s="760"/>
      <c r="I6008" s="760"/>
      <c r="J6008" s="760"/>
      <c r="K6008" s="760"/>
    </row>
    <row r="6009" spans="1:11">
      <c r="A6009" s="760"/>
      <c r="B6009" s="760"/>
      <c r="C6009" s="760"/>
      <c r="D6009" s="760"/>
      <c r="E6009" s="760"/>
      <c r="F6009" s="760"/>
      <c r="G6009" s="760"/>
      <c r="H6009" s="760"/>
      <c r="I6009" s="760"/>
      <c r="J6009" s="760"/>
      <c r="K6009" s="760"/>
    </row>
    <row r="6010" spans="1:11">
      <c r="A6010" s="760"/>
      <c r="B6010" s="760"/>
      <c r="C6010" s="760"/>
      <c r="D6010" s="760"/>
      <c r="E6010" s="760"/>
      <c r="F6010" s="760"/>
      <c r="G6010" s="760"/>
      <c r="H6010" s="760"/>
      <c r="I6010" s="760"/>
      <c r="J6010" s="760"/>
      <c r="K6010" s="760"/>
    </row>
    <row r="6011" spans="1:11">
      <c r="A6011" s="760"/>
      <c r="B6011" s="760"/>
      <c r="C6011" s="760"/>
      <c r="D6011" s="760"/>
      <c r="E6011" s="760"/>
      <c r="F6011" s="760"/>
      <c r="G6011" s="760"/>
      <c r="H6011" s="760"/>
      <c r="I6011" s="760"/>
      <c r="J6011" s="760"/>
      <c r="K6011" s="760"/>
    </row>
    <row r="6012" spans="1:11">
      <c r="A6012" s="760"/>
      <c r="B6012" s="760"/>
      <c r="C6012" s="760"/>
      <c r="D6012" s="760"/>
      <c r="E6012" s="760"/>
      <c r="F6012" s="760"/>
      <c r="G6012" s="760"/>
      <c r="H6012" s="760"/>
      <c r="I6012" s="760"/>
      <c r="J6012" s="760"/>
      <c r="K6012" s="760"/>
    </row>
    <row r="6013" spans="1:11">
      <c r="A6013" s="760"/>
      <c r="B6013" s="760"/>
      <c r="C6013" s="760"/>
      <c r="D6013" s="760"/>
      <c r="E6013" s="760"/>
      <c r="F6013" s="760"/>
      <c r="G6013" s="760"/>
      <c r="H6013" s="760"/>
      <c r="I6013" s="760"/>
      <c r="J6013" s="760"/>
      <c r="K6013" s="760"/>
    </row>
    <row r="6014" spans="1:11">
      <c r="A6014" s="760"/>
      <c r="B6014" s="760"/>
      <c r="C6014" s="760"/>
      <c r="D6014" s="760"/>
      <c r="E6014" s="760"/>
      <c r="F6014" s="760"/>
      <c r="G6014" s="760"/>
      <c r="H6014" s="760"/>
      <c r="I6014" s="760"/>
      <c r="J6014" s="760"/>
      <c r="K6014" s="760"/>
    </row>
    <row r="6015" spans="1:11">
      <c r="A6015" s="760"/>
      <c r="B6015" s="760"/>
      <c r="C6015" s="760"/>
      <c r="D6015" s="760"/>
      <c r="E6015" s="760"/>
      <c r="F6015" s="760"/>
      <c r="G6015" s="760"/>
      <c r="H6015" s="760"/>
      <c r="I6015" s="760"/>
      <c r="J6015" s="760"/>
      <c r="K6015" s="760"/>
    </row>
    <row r="6016" spans="1:11">
      <c r="A6016" s="760"/>
      <c r="B6016" s="760"/>
      <c r="C6016" s="760"/>
      <c r="D6016" s="760"/>
      <c r="E6016" s="760"/>
      <c r="F6016" s="760"/>
      <c r="G6016" s="760"/>
      <c r="H6016" s="760"/>
      <c r="I6016" s="760"/>
      <c r="J6016" s="760"/>
      <c r="K6016" s="760"/>
    </row>
    <row r="6017" spans="1:11">
      <c r="A6017" s="760"/>
      <c r="B6017" s="760"/>
      <c r="C6017" s="760"/>
      <c r="D6017" s="760"/>
      <c r="E6017" s="760"/>
      <c r="F6017" s="760"/>
      <c r="G6017" s="760"/>
      <c r="H6017" s="760"/>
      <c r="I6017" s="760"/>
      <c r="J6017" s="760"/>
      <c r="K6017" s="760"/>
    </row>
    <row r="6018" spans="1:11">
      <c r="A6018" s="760"/>
      <c r="B6018" s="760"/>
      <c r="C6018" s="760"/>
      <c r="D6018" s="760"/>
      <c r="E6018" s="760"/>
      <c r="F6018" s="760"/>
      <c r="G6018" s="760"/>
      <c r="H6018" s="760"/>
      <c r="I6018" s="760"/>
      <c r="J6018" s="760"/>
      <c r="K6018" s="760"/>
    </row>
    <row r="6019" spans="1:11">
      <c r="A6019" s="760"/>
      <c r="B6019" s="760"/>
      <c r="C6019" s="760"/>
      <c r="D6019" s="760"/>
      <c r="E6019" s="760"/>
      <c r="F6019" s="760"/>
      <c r="G6019" s="760"/>
      <c r="H6019" s="760"/>
      <c r="I6019" s="760"/>
      <c r="J6019" s="760"/>
      <c r="K6019" s="760"/>
    </row>
    <row r="6020" spans="1:11">
      <c r="A6020" s="760"/>
      <c r="B6020" s="760"/>
      <c r="C6020" s="760"/>
      <c r="D6020" s="760"/>
      <c r="E6020" s="760"/>
      <c r="F6020" s="760"/>
      <c r="G6020" s="760"/>
      <c r="H6020" s="760"/>
      <c r="I6020" s="760"/>
      <c r="J6020" s="760"/>
      <c r="K6020" s="760"/>
    </row>
    <row r="6021" spans="1:11">
      <c r="A6021" s="760"/>
      <c r="B6021" s="760"/>
      <c r="C6021" s="760"/>
      <c r="D6021" s="760"/>
      <c r="E6021" s="760"/>
      <c r="F6021" s="760"/>
      <c r="G6021" s="760"/>
      <c r="H6021" s="760"/>
      <c r="I6021" s="760"/>
      <c r="J6021" s="760"/>
      <c r="K6021" s="760"/>
    </row>
    <row r="6022" spans="1:11">
      <c r="A6022" s="760"/>
      <c r="B6022" s="760"/>
      <c r="C6022" s="760"/>
      <c r="D6022" s="760"/>
      <c r="E6022" s="760"/>
      <c r="F6022" s="760"/>
      <c r="G6022" s="760"/>
      <c r="H6022" s="760"/>
      <c r="I6022" s="760"/>
      <c r="J6022" s="760"/>
      <c r="K6022" s="760"/>
    </row>
    <row r="6023" spans="1:11">
      <c r="A6023" s="760"/>
      <c r="B6023" s="760"/>
      <c r="C6023" s="760"/>
      <c r="D6023" s="760"/>
      <c r="E6023" s="760"/>
      <c r="F6023" s="760"/>
      <c r="G6023" s="760"/>
      <c r="H6023" s="760"/>
      <c r="I6023" s="760"/>
      <c r="J6023" s="760"/>
      <c r="K6023" s="760"/>
    </row>
    <row r="6024" spans="1:11">
      <c r="A6024" s="760"/>
      <c r="B6024" s="760"/>
      <c r="C6024" s="760"/>
      <c r="D6024" s="760"/>
      <c r="E6024" s="760"/>
      <c r="F6024" s="760"/>
      <c r="G6024" s="760"/>
      <c r="H6024" s="760"/>
      <c r="I6024" s="760"/>
      <c r="J6024" s="760"/>
      <c r="K6024" s="760"/>
    </row>
    <row r="6025" spans="1:11">
      <c r="A6025" s="760"/>
      <c r="B6025" s="760"/>
      <c r="C6025" s="760"/>
      <c r="D6025" s="760"/>
      <c r="E6025" s="760"/>
      <c r="F6025" s="760"/>
      <c r="G6025" s="760"/>
      <c r="H6025" s="760"/>
      <c r="I6025" s="760"/>
      <c r="J6025" s="760"/>
      <c r="K6025" s="760"/>
    </row>
    <row r="6026" spans="1:11">
      <c r="A6026" s="760"/>
      <c r="B6026" s="760"/>
      <c r="C6026" s="760"/>
      <c r="D6026" s="760"/>
      <c r="E6026" s="760"/>
      <c r="F6026" s="760"/>
      <c r="G6026" s="760"/>
      <c r="H6026" s="760"/>
      <c r="I6026" s="760"/>
      <c r="J6026" s="760"/>
      <c r="K6026" s="760"/>
    </row>
    <row r="6027" spans="1:11">
      <c r="A6027" s="760"/>
      <c r="B6027" s="760"/>
      <c r="C6027" s="760"/>
      <c r="D6027" s="760"/>
      <c r="E6027" s="760"/>
      <c r="F6027" s="760"/>
      <c r="G6027" s="760"/>
      <c r="H6027" s="760"/>
      <c r="I6027" s="760"/>
      <c r="J6027" s="760"/>
      <c r="K6027" s="760"/>
    </row>
    <row r="6028" spans="1:11">
      <c r="A6028" s="760"/>
      <c r="B6028" s="760"/>
      <c r="C6028" s="760"/>
      <c r="D6028" s="760"/>
      <c r="E6028" s="760"/>
      <c r="F6028" s="760"/>
      <c r="G6028" s="760"/>
      <c r="H6028" s="760"/>
      <c r="I6028" s="760"/>
      <c r="J6028" s="760"/>
      <c r="K6028" s="760"/>
    </row>
    <row r="6029" spans="1:11">
      <c r="A6029" s="760"/>
      <c r="B6029" s="760"/>
      <c r="C6029" s="760"/>
      <c r="D6029" s="760"/>
      <c r="E6029" s="760"/>
      <c r="F6029" s="760"/>
      <c r="G6029" s="760"/>
      <c r="H6029" s="760"/>
      <c r="I6029" s="760"/>
      <c r="J6029" s="760"/>
      <c r="K6029" s="760"/>
    </row>
    <row r="6030" spans="1:11">
      <c r="A6030" s="760"/>
      <c r="B6030" s="760"/>
      <c r="C6030" s="760"/>
      <c r="D6030" s="760"/>
      <c r="E6030" s="760"/>
      <c r="F6030" s="760"/>
      <c r="G6030" s="760"/>
      <c r="H6030" s="760"/>
      <c r="I6030" s="760"/>
      <c r="J6030" s="760"/>
      <c r="K6030" s="760"/>
    </row>
    <row r="6031" spans="1:11">
      <c r="A6031" s="760"/>
      <c r="B6031" s="760"/>
      <c r="C6031" s="760"/>
      <c r="D6031" s="760"/>
      <c r="E6031" s="760"/>
      <c r="F6031" s="760"/>
      <c r="G6031" s="760"/>
      <c r="H6031" s="760"/>
      <c r="I6031" s="760"/>
      <c r="J6031" s="760"/>
      <c r="K6031" s="760"/>
    </row>
    <row r="6032" spans="1:11">
      <c r="A6032" s="760"/>
      <c r="B6032" s="760"/>
      <c r="C6032" s="760"/>
      <c r="D6032" s="760"/>
      <c r="E6032" s="760"/>
      <c r="F6032" s="760"/>
      <c r="G6032" s="760"/>
      <c r="H6032" s="760"/>
      <c r="I6032" s="760"/>
      <c r="J6032" s="760"/>
      <c r="K6032" s="760"/>
    </row>
    <row r="6033" spans="1:11">
      <c r="A6033" s="760"/>
      <c r="B6033" s="760"/>
      <c r="C6033" s="760"/>
      <c r="D6033" s="760"/>
      <c r="E6033" s="760"/>
      <c r="F6033" s="760"/>
      <c r="G6033" s="760"/>
      <c r="H6033" s="760"/>
      <c r="I6033" s="760"/>
      <c r="J6033" s="760"/>
      <c r="K6033" s="760"/>
    </row>
    <row r="6034" spans="1:11">
      <c r="A6034" s="760"/>
      <c r="B6034" s="760"/>
      <c r="C6034" s="760"/>
      <c r="D6034" s="760"/>
      <c r="E6034" s="760"/>
      <c r="F6034" s="760"/>
      <c r="G6034" s="760"/>
      <c r="H6034" s="760"/>
      <c r="I6034" s="760"/>
      <c r="J6034" s="760"/>
      <c r="K6034" s="760"/>
    </row>
    <row r="6035" spans="1:11">
      <c r="A6035" s="760"/>
      <c r="B6035" s="760"/>
      <c r="C6035" s="760"/>
      <c r="D6035" s="760"/>
      <c r="E6035" s="760"/>
      <c r="F6035" s="760"/>
      <c r="G6035" s="760"/>
      <c r="H6035" s="760"/>
      <c r="I6035" s="760"/>
      <c r="J6035" s="760"/>
      <c r="K6035" s="760"/>
    </row>
    <row r="6036" spans="1:11">
      <c r="A6036" s="760"/>
      <c r="B6036" s="760"/>
      <c r="C6036" s="760"/>
      <c r="D6036" s="760"/>
      <c r="E6036" s="760"/>
      <c r="F6036" s="760"/>
      <c r="G6036" s="760"/>
      <c r="H6036" s="760"/>
      <c r="I6036" s="760"/>
      <c r="J6036" s="760"/>
      <c r="K6036" s="760"/>
    </row>
    <row r="6037" spans="1:11">
      <c r="A6037" s="760"/>
      <c r="B6037" s="760"/>
      <c r="C6037" s="760"/>
      <c r="D6037" s="760"/>
      <c r="E6037" s="760"/>
      <c r="F6037" s="760"/>
      <c r="G6037" s="760"/>
      <c r="H6037" s="760"/>
      <c r="I6037" s="760"/>
      <c r="J6037" s="760"/>
      <c r="K6037" s="760"/>
    </row>
    <row r="6038" spans="1:11">
      <c r="A6038" s="760"/>
      <c r="B6038" s="760"/>
      <c r="C6038" s="760"/>
      <c r="D6038" s="760"/>
      <c r="E6038" s="760"/>
      <c r="F6038" s="760"/>
      <c r="G6038" s="760"/>
      <c r="H6038" s="760"/>
      <c r="I6038" s="760"/>
      <c r="J6038" s="760"/>
      <c r="K6038" s="760"/>
    </row>
    <row r="6039" spans="1:11">
      <c r="A6039" s="760"/>
      <c r="B6039" s="760"/>
      <c r="C6039" s="760"/>
      <c r="D6039" s="760"/>
      <c r="E6039" s="760"/>
      <c r="F6039" s="760"/>
      <c r="G6039" s="760"/>
      <c r="H6039" s="760"/>
      <c r="I6039" s="760"/>
      <c r="J6039" s="760"/>
      <c r="K6039" s="760"/>
    </row>
    <row r="6040" spans="1:11">
      <c r="A6040" s="760"/>
      <c r="B6040" s="760"/>
      <c r="C6040" s="760"/>
      <c r="D6040" s="760"/>
      <c r="E6040" s="760"/>
      <c r="F6040" s="760"/>
      <c r="G6040" s="760"/>
      <c r="H6040" s="760"/>
      <c r="I6040" s="760"/>
      <c r="J6040" s="760"/>
      <c r="K6040" s="760"/>
    </row>
    <row r="6041" spans="1:11">
      <c r="A6041" s="760"/>
      <c r="B6041" s="760"/>
      <c r="C6041" s="760"/>
      <c r="D6041" s="760"/>
      <c r="E6041" s="760"/>
      <c r="F6041" s="760"/>
      <c r="G6041" s="760"/>
      <c r="H6041" s="760"/>
      <c r="I6041" s="760"/>
      <c r="J6041" s="760"/>
      <c r="K6041" s="760"/>
    </row>
    <row r="6042" spans="1:11">
      <c r="A6042" s="760"/>
      <c r="B6042" s="760"/>
      <c r="C6042" s="760"/>
      <c r="D6042" s="760"/>
      <c r="E6042" s="760"/>
      <c r="F6042" s="760"/>
      <c r="G6042" s="760"/>
      <c r="H6042" s="760"/>
      <c r="I6042" s="760"/>
      <c r="J6042" s="760"/>
      <c r="K6042" s="760"/>
    </row>
    <row r="6043" spans="1:11">
      <c r="A6043" s="760"/>
      <c r="B6043" s="760"/>
      <c r="C6043" s="760"/>
      <c r="D6043" s="760"/>
      <c r="E6043" s="760"/>
      <c r="F6043" s="760"/>
      <c r="G6043" s="760"/>
      <c r="H6043" s="760"/>
      <c r="I6043" s="760"/>
      <c r="J6043" s="760"/>
      <c r="K6043" s="760"/>
    </row>
    <row r="6044" spans="1:11">
      <c r="A6044" s="760"/>
      <c r="B6044" s="760"/>
      <c r="C6044" s="760"/>
      <c r="D6044" s="760"/>
      <c r="E6044" s="760"/>
      <c r="F6044" s="760"/>
      <c r="G6044" s="760"/>
      <c r="H6044" s="760"/>
      <c r="I6044" s="760"/>
      <c r="J6044" s="760"/>
      <c r="K6044" s="760"/>
    </row>
    <row r="6045" spans="1:11">
      <c r="A6045" s="760"/>
      <c r="B6045" s="760"/>
      <c r="C6045" s="760"/>
      <c r="D6045" s="760"/>
      <c r="E6045" s="760"/>
      <c r="F6045" s="760"/>
      <c r="G6045" s="760"/>
      <c r="H6045" s="760"/>
      <c r="I6045" s="760"/>
      <c r="J6045" s="760"/>
      <c r="K6045" s="760"/>
    </row>
    <row r="6046" spans="1:11">
      <c r="A6046" s="760"/>
      <c r="B6046" s="760"/>
      <c r="C6046" s="760"/>
      <c r="D6046" s="760"/>
      <c r="E6046" s="760"/>
      <c r="F6046" s="760"/>
      <c r="G6046" s="760"/>
      <c r="H6046" s="760"/>
      <c r="I6046" s="760"/>
      <c r="J6046" s="760"/>
      <c r="K6046" s="760"/>
    </row>
    <row r="6047" spans="1:11">
      <c r="A6047" s="760"/>
      <c r="B6047" s="760"/>
      <c r="C6047" s="760"/>
      <c r="D6047" s="760"/>
      <c r="E6047" s="760"/>
      <c r="F6047" s="760"/>
      <c r="G6047" s="760"/>
      <c r="H6047" s="760"/>
      <c r="I6047" s="760"/>
      <c r="J6047" s="760"/>
      <c r="K6047" s="760"/>
    </row>
    <row r="6048" spans="1:11">
      <c r="A6048" s="760"/>
      <c r="B6048" s="760"/>
      <c r="C6048" s="760"/>
      <c r="D6048" s="760"/>
      <c r="E6048" s="760"/>
      <c r="F6048" s="760"/>
      <c r="G6048" s="760"/>
      <c r="H6048" s="760"/>
      <c r="I6048" s="760"/>
      <c r="J6048" s="760"/>
      <c r="K6048" s="760"/>
    </row>
    <row r="6049" spans="1:11">
      <c r="A6049" s="760"/>
      <c r="B6049" s="760"/>
      <c r="C6049" s="760"/>
      <c r="D6049" s="760"/>
      <c r="E6049" s="760"/>
      <c r="F6049" s="760"/>
      <c r="G6049" s="760"/>
      <c r="H6049" s="760"/>
      <c r="I6049" s="760"/>
      <c r="J6049" s="760"/>
      <c r="K6049" s="760"/>
    </row>
    <row r="6050" spans="1:11">
      <c r="A6050" s="760"/>
      <c r="B6050" s="760"/>
      <c r="C6050" s="760"/>
      <c r="D6050" s="760"/>
      <c r="E6050" s="760"/>
      <c r="F6050" s="760"/>
      <c r="G6050" s="760"/>
      <c r="H6050" s="760"/>
      <c r="I6050" s="760"/>
      <c r="J6050" s="760"/>
      <c r="K6050" s="760"/>
    </row>
    <row r="6051" spans="1:11">
      <c r="A6051" s="760"/>
      <c r="B6051" s="760"/>
      <c r="C6051" s="760"/>
      <c r="D6051" s="760"/>
      <c r="E6051" s="760"/>
      <c r="F6051" s="760"/>
      <c r="G6051" s="760"/>
      <c r="H6051" s="760"/>
      <c r="I6051" s="760"/>
      <c r="J6051" s="760"/>
      <c r="K6051" s="760"/>
    </row>
    <row r="6052" spans="1:11">
      <c r="A6052" s="760"/>
      <c r="B6052" s="760"/>
      <c r="C6052" s="760"/>
      <c r="D6052" s="760"/>
      <c r="E6052" s="760"/>
      <c r="F6052" s="760"/>
      <c r="G6052" s="760"/>
      <c r="H6052" s="760"/>
      <c r="I6052" s="760"/>
      <c r="J6052" s="760"/>
      <c r="K6052" s="760"/>
    </row>
    <row r="6053" spans="1:11">
      <c r="A6053" s="760"/>
      <c r="B6053" s="760"/>
      <c r="C6053" s="760"/>
      <c r="D6053" s="760"/>
      <c r="E6053" s="760"/>
      <c r="F6053" s="760"/>
      <c r="G6053" s="760"/>
      <c r="H6053" s="760"/>
      <c r="I6053" s="760"/>
      <c r="J6053" s="760"/>
      <c r="K6053" s="760"/>
    </row>
    <row r="6054" spans="1:11">
      <c r="A6054" s="760"/>
      <c r="B6054" s="760"/>
      <c r="C6054" s="760"/>
      <c r="D6054" s="760"/>
      <c r="E6054" s="760"/>
      <c r="F6054" s="760"/>
      <c r="G6054" s="760"/>
      <c r="H6054" s="760"/>
      <c r="I6054" s="760"/>
      <c r="J6054" s="760"/>
      <c r="K6054" s="760"/>
    </row>
    <row r="6055" spans="1:11">
      <c r="A6055" s="760"/>
      <c r="B6055" s="760"/>
      <c r="C6055" s="760"/>
      <c r="D6055" s="760"/>
      <c r="E6055" s="760"/>
      <c r="F6055" s="760"/>
      <c r="G6055" s="760"/>
      <c r="H6055" s="760"/>
      <c r="I6055" s="760"/>
      <c r="J6055" s="760"/>
      <c r="K6055" s="760"/>
    </row>
    <row r="6056" spans="1:11">
      <c r="A6056" s="760"/>
      <c r="B6056" s="760"/>
      <c r="C6056" s="760"/>
      <c r="D6056" s="760"/>
      <c r="E6056" s="760"/>
      <c r="F6056" s="760"/>
      <c r="G6056" s="760"/>
      <c r="H6056" s="760"/>
      <c r="I6056" s="760"/>
      <c r="J6056" s="760"/>
      <c r="K6056" s="760"/>
    </row>
    <row r="6057" spans="1:11">
      <c r="A6057" s="760"/>
      <c r="B6057" s="760"/>
      <c r="C6057" s="760"/>
      <c r="D6057" s="760"/>
      <c r="E6057" s="760"/>
      <c r="F6057" s="760"/>
      <c r="G6057" s="760"/>
      <c r="H6057" s="760"/>
      <c r="I6057" s="760"/>
      <c r="J6057" s="760"/>
      <c r="K6057" s="760"/>
    </row>
    <row r="6058" spans="1:11">
      <c r="A6058" s="760"/>
      <c r="B6058" s="760"/>
      <c r="C6058" s="760"/>
      <c r="D6058" s="760"/>
      <c r="E6058" s="760"/>
      <c r="F6058" s="760"/>
      <c r="G6058" s="760"/>
      <c r="H6058" s="760"/>
      <c r="I6058" s="760"/>
      <c r="J6058" s="760"/>
      <c r="K6058" s="760"/>
    </row>
    <row r="6059" spans="1:11">
      <c r="A6059" s="760"/>
      <c r="B6059" s="760"/>
      <c r="C6059" s="760"/>
      <c r="D6059" s="760"/>
      <c r="E6059" s="760"/>
      <c r="F6059" s="760"/>
      <c r="G6059" s="760"/>
      <c r="H6059" s="760"/>
      <c r="I6059" s="760"/>
      <c r="J6059" s="760"/>
      <c r="K6059" s="760"/>
    </row>
    <row r="6060" spans="1:11">
      <c r="A6060" s="760"/>
      <c r="B6060" s="760"/>
      <c r="C6060" s="760"/>
      <c r="D6060" s="760"/>
      <c r="E6060" s="760"/>
      <c r="F6060" s="760"/>
      <c r="G6060" s="760"/>
      <c r="H6060" s="760"/>
      <c r="I6060" s="760"/>
      <c r="J6060" s="760"/>
      <c r="K6060" s="760"/>
    </row>
    <row r="6061" spans="1:11">
      <c r="A6061" s="760"/>
      <c r="B6061" s="760"/>
      <c r="C6061" s="760"/>
      <c r="D6061" s="760"/>
      <c r="E6061" s="760"/>
      <c r="F6061" s="760"/>
      <c r="G6061" s="760"/>
      <c r="H6061" s="760"/>
      <c r="I6061" s="760"/>
      <c r="J6061" s="760"/>
      <c r="K6061" s="760"/>
    </row>
    <row r="6062" spans="1:11">
      <c r="A6062" s="760"/>
      <c r="B6062" s="760"/>
      <c r="C6062" s="760"/>
      <c r="D6062" s="760"/>
      <c r="E6062" s="760"/>
      <c r="F6062" s="760"/>
      <c r="G6062" s="760"/>
      <c r="H6062" s="760"/>
      <c r="I6062" s="760"/>
      <c r="J6062" s="760"/>
      <c r="K6062" s="760"/>
    </row>
    <row r="6063" spans="1:11">
      <c r="A6063" s="760"/>
      <c r="B6063" s="760"/>
      <c r="C6063" s="760"/>
      <c r="D6063" s="760"/>
      <c r="E6063" s="760"/>
      <c r="F6063" s="760"/>
      <c r="G6063" s="760"/>
      <c r="H6063" s="760"/>
      <c r="I6063" s="760"/>
      <c r="J6063" s="760"/>
      <c r="K6063" s="760"/>
    </row>
    <row r="6064" spans="1:11">
      <c r="A6064" s="760"/>
      <c r="B6064" s="760"/>
      <c r="C6064" s="760"/>
      <c r="D6064" s="760"/>
      <c r="E6064" s="760"/>
      <c r="F6064" s="760"/>
      <c r="G6064" s="760"/>
      <c r="H6064" s="760"/>
      <c r="I6064" s="760"/>
      <c r="J6064" s="760"/>
      <c r="K6064" s="760"/>
    </row>
    <row r="6065" spans="1:11">
      <c r="A6065" s="760"/>
      <c r="B6065" s="760"/>
      <c r="C6065" s="760"/>
      <c r="D6065" s="760"/>
      <c r="E6065" s="760"/>
      <c r="F6065" s="760"/>
      <c r="G6065" s="760"/>
      <c r="H6065" s="760"/>
      <c r="I6065" s="760"/>
      <c r="J6065" s="760"/>
      <c r="K6065" s="760"/>
    </row>
    <row r="6066" spans="1:11">
      <c r="A6066" s="760"/>
      <c r="B6066" s="760"/>
      <c r="C6066" s="760"/>
      <c r="D6066" s="760"/>
      <c r="E6066" s="760"/>
      <c r="F6066" s="760"/>
      <c r="G6066" s="760"/>
      <c r="H6066" s="760"/>
      <c r="I6066" s="760"/>
      <c r="J6066" s="760"/>
      <c r="K6066" s="760"/>
    </row>
    <row r="6067" spans="1:11">
      <c r="A6067" s="760"/>
      <c r="B6067" s="760"/>
      <c r="C6067" s="760"/>
      <c r="D6067" s="760"/>
      <c r="E6067" s="760"/>
      <c r="F6067" s="760"/>
      <c r="G6067" s="760"/>
      <c r="H6067" s="760"/>
      <c r="I6067" s="760"/>
      <c r="J6067" s="760"/>
      <c r="K6067" s="760"/>
    </row>
    <row r="6068" spans="1:11">
      <c r="A6068" s="760"/>
      <c r="B6068" s="760"/>
      <c r="C6068" s="760"/>
      <c r="D6068" s="760"/>
      <c r="E6068" s="760"/>
      <c r="F6068" s="760"/>
      <c r="G6068" s="760"/>
      <c r="H6068" s="760"/>
      <c r="I6068" s="760"/>
      <c r="J6068" s="760"/>
      <c r="K6068" s="760"/>
    </row>
    <row r="6069" spans="1:11">
      <c r="A6069" s="760"/>
      <c r="B6069" s="760"/>
      <c r="C6069" s="760"/>
      <c r="D6069" s="760"/>
      <c r="E6069" s="760"/>
      <c r="F6069" s="760"/>
      <c r="G6069" s="760"/>
      <c r="H6069" s="760"/>
      <c r="I6069" s="760"/>
      <c r="J6069" s="760"/>
      <c r="K6069" s="760"/>
    </row>
    <row r="6070" spans="1:11">
      <c r="A6070" s="760"/>
      <c r="B6070" s="760"/>
      <c r="C6070" s="760"/>
      <c r="D6070" s="760"/>
      <c r="E6070" s="760"/>
      <c r="F6070" s="760"/>
      <c r="G6070" s="760"/>
      <c r="H6070" s="760"/>
      <c r="I6070" s="760"/>
      <c r="J6070" s="760"/>
      <c r="K6070" s="760"/>
    </row>
    <row r="6071" spans="1:11">
      <c r="A6071" s="760"/>
      <c r="B6071" s="760"/>
      <c r="C6071" s="760"/>
      <c r="D6071" s="760"/>
      <c r="E6071" s="760"/>
      <c r="F6071" s="760"/>
      <c r="G6071" s="760"/>
      <c r="H6071" s="760"/>
      <c r="I6071" s="760"/>
      <c r="J6071" s="760"/>
      <c r="K6071" s="760"/>
    </row>
    <row r="6072" spans="1:11">
      <c r="A6072" s="760"/>
      <c r="B6072" s="760"/>
      <c r="C6072" s="760"/>
      <c r="D6072" s="760"/>
      <c r="E6072" s="760"/>
      <c r="F6072" s="760"/>
      <c r="G6072" s="760"/>
      <c r="H6072" s="760"/>
      <c r="I6072" s="760"/>
      <c r="J6072" s="760"/>
      <c r="K6072" s="760"/>
    </row>
    <row r="6073" spans="1:11">
      <c r="A6073" s="760"/>
      <c r="B6073" s="760"/>
      <c r="C6073" s="760"/>
      <c r="D6073" s="760"/>
      <c r="E6073" s="760"/>
      <c r="F6073" s="760"/>
      <c r="G6073" s="760"/>
      <c r="H6073" s="760"/>
      <c r="I6073" s="760"/>
      <c r="J6073" s="760"/>
      <c r="K6073" s="760"/>
    </row>
    <row r="6074" spans="1:11">
      <c r="A6074" s="760"/>
      <c r="B6074" s="760"/>
      <c r="C6074" s="760"/>
      <c r="D6074" s="760"/>
      <c r="E6074" s="760"/>
      <c r="F6074" s="760"/>
      <c r="G6074" s="760"/>
      <c r="H6074" s="760"/>
      <c r="I6074" s="760"/>
      <c r="J6074" s="760"/>
      <c r="K6074" s="760"/>
    </row>
    <row r="6075" spans="1:11">
      <c r="A6075" s="760"/>
      <c r="B6075" s="760"/>
      <c r="C6075" s="760"/>
      <c r="D6075" s="760"/>
      <c r="E6075" s="760"/>
      <c r="F6075" s="760"/>
      <c r="G6075" s="760"/>
      <c r="H6075" s="760"/>
      <c r="I6075" s="760"/>
      <c r="J6075" s="760"/>
      <c r="K6075" s="760"/>
    </row>
    <row r="6076" spans="1:11">
      <c r="A6076" s="760"/>
      <c r="B6076" s="760"/>
      <c r="C6076" s="760"/>
      <c r="D6076" s="760"/>
      <c r="E6076" s="760"/>
      <c r="F6076" s="760"/>
      <c r="G6076" s="760"/>
      <c r="H6076" s="760"/>
      <c r="I6076" s="760"/>
      <c r="J6076" s="760"/>
      <c r="K6076" s="760"/>
    </row>
    <row r="6077" spans="1:11">
      <c r="A6077" s="760"/>
      <c r="B6077" s="760"/>
      <c r="C6077" s="760"/>
      <c r="D6077" s="760"/>
      <c r="E6077" s="760"/>
      <c r="F6077" s="760"/>
      <c r="G6077" s="760"/>
      <c r="H6077" s="760"/>
      <c r="I6077" s="760"/>
      <c r="J6077" s="760"/>
      <c r="K6077" s="760"/>
    </row>
    <row r="6078" spans="1:11">
      <c r="A6078" s="760"/>
      <c r="B6078" s="760"/>
      <c r="C6078" s="760"/>
      <c r="D6078" s="760"/>
      <c r="E6078" s="760"/>
      <c r="F6078" s="760"/>
      <c r="G6078" s="760"/>
      <c r="H6078" s="760"/>
      <c r="I6078" s="760"/>
      <c r="J6078" s="760"/>
      <c r="K6078" s="760"/>
    </row>
    <row r="6079" spans="1:11">
      <c r="A6079" s="760"/>
      <c r="B6079" s="760"/>
      <c r="C6079" s="760"/>
      <c r="D6079" s="760"/>
      <c r="E6079" s="760"/>
      <c r="F6079" s="760"/>
      <c r="G6079" s="760"/>
      <c r="H6079" s="760"/>
      <c r="I6079" s="760"/>
      <c r="J6079" s="760"/>
      <c r="K6079" s="760"/>
    </row>
    <row r="6080" spans="1:11">
      <c r="A6080" s="760"/>
      <c r="B6080" s="760"/>
      <c r="C6080" s="760"/>
      <c r="D6080" s="760"/>
      <c r="E6080" s="760"/>
      <c r="F6080" s="760"/>
      <c r="G6080" s="760"/>
      <c r="H6080" s="760"/>
      <c r="I6080" s="760"/>
      <c r="J6080" s="760"/>
      <c r="K6080" s="760"/>
    </row>
    <row r="6081" spans="1:11">
      <c r="A6081" s="760"/>
      <c r="B6081" s="760"/>
      <c r="C6081" s="760"/>
      <c r="D6081" s="760"/>
      <c r="E6081" s="760"/>
      <c r="F6081" s="760"/>
      <c r="G6081" s="760"/>
      <c r="H6081" s="760"/>
      <c r="I6081" s="760"/>
      <c r="J6081" s="760"/>
      <c r="K6081" s="760"/>
    </row>
    <row r="6082" spans="1:11">
      <c r="A6082" s="760"/>
      <c r="B6082" s="760"/>
      <c r="C6082" s="760"/>
      <c r="D6082" s="760"/>
      <c r="E6082" s="760"/>
      <c r="F6082" s="760"/>
      <c r="G6082" s="760"/>
      <c r="H6082" s="760"/>
      <c r="I6082" s="760"/>
      <c r="J6082" s="760"/>
      <c r="K6082" s="760"/>
    </row>
    <row r="6083" spans="1:11">
      <c r="A6083" s="760"/>
      <c r="B6083" s="760"/>
      <c r="C6083" s="760"/>
      <c r="D6083" s="760"/>
      <c r="E6083" s="760"/>
      <c r="F6083" s="760"/>
      <c r="G6083" s="760"/>
      <c r="H6083" s="760"/>
      <c r="I6083" s="760"/>
      <c r="J6083" s="760"/>
      <c r="K6083" s="760"/>
    </row>
    <row r="6084" spans="1:11">
      <c r="A6084" s="760"/>
      <c r="B6084" s="760"/>
      <c r="C6084" s="760"/>
      <c r="D6084" s="760"/>
      <c r="E6084" s="760"/>
      <c r="F6084" s="760"/>
      <c r="G6084" s="760"/>
      <c r="H6084" s="760"/>
      <c r="I6084" s="760"/>
      <c r="J6084" s="760"/>
      <c r="K6084" s="760"/>
    </row>
    <row r="6085" spans="1:11">
      <c r="A6085" s="760"/>
      <c r="B6085" s="760"/>
      <c r="C6085" s="760"/>
      <c r="D6085" s="760"/>
      <c r="E6085" s="760"/>
      <c r="F6085" s="760"/>
      <c r="G6085" s="760"/>
      <c r="H6085" s="760"/>
      <c r="I6085" s="760"/>
      <c r="J6085" s="760"/>
      <c r="K6085" s="760"/>
    </row>
    <row r="6086" spans="1:11">
      <c r="A6086" s="760"/>
      <c r="B6086" s="760"/>
      <c r="C6086" s="760"/>
      <c r="D6086" s="760"/>
      <c r="E6086" s="760"/>
      <c r="F6086" s="760"/>
      <c r="G6086" s="760"/>
      <c r="H6086" s="760"/>
      <c r="I6086" s="760"/>
      <c r="J6086" s="760"/>
      <c r="K6086" s="760"/>
    </row>
    <row r="6087" spans="1:11">
      <c r="A6087" s="760"/>
      <c r="B6087" s="760"/>
      <c r="C6087" s="760"/>
      <c r="D6087" s="760"/>
      <c r="E6087" s="760"/>
      <c r="F6087" s="760"/>
      <c r="G6087" s="760"/>
      <c r="H6087" s="760"/>
      <c r="I6087" s="760"/>
      <c r="J6087" s="760"/>
      <c r="K6087" s="760"/>
    </row>
    <row r="6088" spans="1:11">
      <c r="A6088" s="760"/>
      <c r="B6088" s="760"/>
      <c r="C6088" s="760"/>
      <c r="D6088" s="760"/>
      <c r="E6088" s="760"/>
      <c r="F6088" s="760"/>
      <c r="G6088" s="760"/>
      <c r="H6088" s="760"/>
      <c r="I6088" s="760"/>
      <c r="J6088" s="760"/>
      <c r="K6088" s="760"/>
    </row>
    <row r="6089" spans="1:11">
      <c r="A6089" s="760"/>
      <c r="B6089" s="760"/>
      <c r="C6089" s="760"/>
      <c r="D6089" s="760"/>
      <c r="E6089" s="760"/>
      <c r="F6089" s="760"/>
      <c r="G6089" s="760"/>
      <c r="H6089" s="760"/>
      <c r="I6089" s="760"/>
      <c r="J6089" s="760"/>
      <c r="K6089" s="760"/>
    </row>
    <row r="6090" spans="1:11">
      <c r="A6090" s="760"/>
      <c r="B6090" s="760"/>
      <c r="C6090" s="760"/>
      <c r="D6090" s="760"/>
      <c r="E6090" s="760"/>
      <c r="F6090" s="760"/>
      <c r="G6090" s="760"/>
      <c r="H6090" s="760"/>
      <c r="I6090" s="760"/>
      <c r="J6090" s="760"/>
      <c r="K6090" s="760"/>
    </row>
    <row r="6091" spans="1:11">
      <c r="A6091" s="760"/>
      <c r="B6091" s="760"/>
      <c r="C6091" s="760"/>
      <c r="D6091" s="760"/>
      <c r="E6091" s="760"/>
      <c r="F6091" s="760"/>
      <c r="G6091" s="760"/>
      <c r="H6091" s="760"/>
      <c r="I6091" s="760"/>
      <c r="J6091" s="760"/>
      <c r="K6091" s="760"/>
    </row>
    <row r="6092" spans="1:11">
      <c r="A6092" s="760"/>
      <c r="B6092" s="760"/>
      <c r="C6092" s="760"/>
      <c r="D6092" s="760"/>
      <c r="E6092" s="760"/>
      <c r="F6092" s="760"/>
      <c r="G6092" s="760"/>
      <c r="H6092" s="760"/>
      <c r="I6092" s="760"/>
      <c r="J6092" s="760"/>
      <c r="K6092" s="760"/>
    </row>
    <row r="6093" spans="1:11">
      <c r="A6093" s="760"/>
      <c r="B6093" s="760"/>
      <c r="C6093" s="760"/>
      <c r="D6093" s="760"/>
      <c r="E6093" s="760"/>
      <c r="F6093" s="760"/>
      <c r="G6093" s="760"/>
      <c r="H6093" s="760"/>
      <c r="I6093" s="760"/>
      <c r="J6093" s="760"/>
      <c r="K6093" s="760"/>
    </row>
    <row r="6094" spans="1:11">
      <c r="A6094" s="760"/>
      <c r="B6094" s="760"/>
      <c r="C6094" s="760"/>
      <c r="D6094" s="760"/>
      <c r="E6094" s="760"/>
      <c r="F6094" s="760"/>
      <c r="G6094" s="760"/>
      <c r="H6094" s="760"/>
      <c r="I6094" s="760"/>
      <c r="J6094" s="760"/>
      <c r="K6094" s="760"/>
    </row>
    <row r="6095" spans="1:11">
      <c r="A6095" s="760"/>
      <c r="B6095" s="760"/>
      <c r="C6095" s="760"/>
      <c r="D6095" s="760"/>
      <c r="E6095" s="760"/>
      <c r="F6095" s="760"/>
      <c r="G6095" s="760"/>
      <c r="H6095" s="760"/>
      <c r="I6095" s="760"/>
      <c r="J6095" s="760"/>
      <c r="K6095" s="760"/>
    </row>
    <row r="6096" spans="1:11">
      <c r="A6096" s="760"/>
      <c r="B6096" s="760"/>
      <c r="C6096" s="760"/>
      <c r="D6096" s="760"/>
      <c r="E6096" s="760"/>
      <c r="F6096" s="760"/>
      <c r="G6096" s="760"/>
      <c r="H6096" s="760"/>
      <c r="I6096" s="760"/>
      <c r="J6096" s="760"/>
      <c r="K6096" s="760"/>
    </row>
    <row r="6097" spans="1:11">
      <c r="A6097" s="760"/>
      <c r="B6097" s="760"/>
      <c r="C6097" s="760"/>
      <c r="D6097" s="760"/>
      <c r="E6097" s="760"/>
      <c r="F6097" s="760"/>
      <c r="G6097" s="760"/>
      <c r="H6097" s="760"/>
      <c r="I6097" s="760"/>
      <c r="J6097" s="760"/>
      <c r="K6097" s="760"/>
    </row>
    <row r="6098" spans="1:11">
      <c r="A6098" s="760"/>
      <c r="B6098" s="760"/>
      <c r="C6098" s="760"/>
      <c r="D6098" s="760"/>
      <c r="E6098" s="760"/>
      <c r="F6098" s="760"/>
      <c r="G6098" s="760"/>
      <c r="H6098" s="760"/>
      <c r="I6098" s="760"/>
      <c r="J6098" s="760"/>
      <c r="K6098" s="760"/>
    </row>
    <row r="6099" spans="1:11">
      <c r="A6099" s="760"/>
      <c r="B6099" s="760"/>
      <c r="C6099" s="760"/>
      <c r="D6099" s="760"/>
      <c r="E6099" s="760"/>
      <c r="F6099" s="760"/>
      <c r="G6099" s="760"/>
      <c r="H6099" s="760"/>
      <c r="I6099" s="760"/>
      <c r="J6099" s="760"/>
      <c r="K6099" s="760"/>
    </row>
    <row r="6100" spans="1:11">
      <c r="A6100" s="760"/>
      <c r="B6100" s="760"/>
      <c r="C6100" s="760"/>
      <c r="D6100" s="760"/>
      <c r="E6100" s="760"/>
      <c r="F6100" s="760"/>
      <c r="G6100" s="760"/>
      <c r="H6100" s="760"/>
      <c r="I6100" s="760"/>
      <c r="J6100" s="760"/>
      <c r="K6100" s="760"/>
    </row>
    <row r="6101" spans="1:11">
      <c r="A6101" s="760"/>
      <c r="B6101" s="760"/>
      <c r="C6101" s="760"/>
      <c r="D6101" s="760"/>
      <c r="E6101" s="760"/>
      <c r="F6101" s="760"/>
      <c r="G6101" s="760"/>
      <c r="H6101" s="760"/>
      <c r="I6101" s="760"/>
      <c r="J6101" s="760"/>
      <c r="K6101" s="760"/>
    </row>
    <row r="6102" spans="1:11">
      <c r="A6102" s="760"/>
      <c r="B6102" s="760"/>
      <c r="C6102" s="760"/>
      <c r="D6102" s="760"/>
      <c r="E6102" s="760"/>
      <c r="F6102" s="760"/>
      <c r="G6102" s="760"/>
      <c r="H6102" s="760"/>
      <c r="I6102" s="760"/>
      <c r="J6102" s="760"/>
      <c r="K6102" s="760"/>
    </row>
    <row r="6103" spans="1:11">
      <c r="A6103" s="760"/>
      <c r="B6103" s="760"/>
      <c r="C6103" s="760"/>
      <c r="D6103" s="760"/>
      <c r="E6103" s="760"/>
      <c r="F6103" s="760"/>
      <c r="G6103" s="760"/>
      <c r="H6103" s="760"/>
      <c r="I6103" s="760"/>
      <c r="J6103" s="760"/>
      <c r="K6103" s="760"/>
    </row>
    <row r="6104" spans="1:11">
      <c r="A6104" s="760"/>
      <c r="B6104" s="760"/>
      <c r="C6104" s="760"/>
      <c r="D6104" s="760"/>
      <c r="E6104" s="760"/>
      <c r="F6104" s="760"/>
      <c r="G6104" s="760"/>
      <c r="H6104" s="760"/>
      <c r="I6104" s="760"/>
      <c r="J6104" s="760"/>
      <c r="K6104" s="760"/>
    </row>
    <row r="6105" spans="1:11">
      <c r="A6105" s="760"/>
      <c r="B6105" s="760"/>
      <c r="C6105" s="760"/>
      <c r="D6105" s="760"/>
      <c r="E6105" s="760"/>
      <c r="F6105" s="760"/>
      <c r="G6105" s="760"/>
      <c r="H6105" s="760"/>
      <c r="I6105" s="760"/>
      <c r="J6105" s="760"/>
      <c r="K6105" s="760"/>
    </row>
    <row r="6106" spans="1:11">
      <c r="A6106" s="760"/>
      <c r="B6106" s="760"/>
      <c r="C6106" s="760"/>
      <c r="D6106" s="760"/>
      <c r="E6106" s="760"/>
      <c r="F6106" s="760"/>
      <c r="G6106" s="760"/>
      <c r="H6106" s="760"/>
      <c r="I6106" s="760"/>
      <c r="J6106" s="760"/>
      <c r="K6106" s="760"/>
    </row>
    <row r="6107" spans="1:11">
      <c r="A6107" s="760"/>
      <c r="B6107" s="760"/>
      <c r="C6107" s="760"/>
      <c r="D6107" s="760"/>
      <c r="E6107" s="760"/>
      <c r="F6107" s="760"/>
      <c r="G6107" s="760"/>
      <c r="H6107" s="760"/>
      <c r="I6107" s="760"/>
      <c r="J6107" s="760"/>
      <c r="K6107" s="760"/>
    </row>
    <row r="6108" spans="1:11">
      <c r="A6108" s="760"/>
      <c r="B6108" s="760"/>
      <c r="C6108" s="760"/>
      <c r="D6108" s="760"/>
      <c r="E6108" s="760"/>
      <c r="F6108" s="760"/>
      <c r="G6108" s="760"/>
      <c r="H6108" s="760"/>
      <c r="I6108" s="760"/>
      <c r="J6108" s="760"/>
      <c r="K6108" s="760"/>
    </row>
    <row r="6109" spans="1:11">
      <c r="A6109" s="760"/>
      <c r="B6109" s="760"/>
      <c r="C6109" s="760"/>
      <c r="D6109" s="760"/>
      <c r="E6109" s="760"/>
      <c r="F6109" s="760"/>
      <c r="G6109" s="760"/>
      <c r="H6109" s="760"/>
      <c r="I6109" s="760"/>
      <c r="J6109" s="760"/>
      <c r="K6109" s="760"/>
    </row>
    <row r="6110" spans="1:11">
      <c r="A6110" s="760"/>
      <c r="B6110" s="760"/>
      <c r="C6110" s="760"/>
      <c r="D6110" s="760"/>
      <c r="E6110" s="760"/>
      <c r="F6110" s="760"/>
      <c r="G6110" s="760"/>
      <c r="H6110" s="760"/>
      <c r="I6110" s="760"/>
      <c r="J6110" s="760"/>
      <c r="K6110" s="760"/>
    </row>
    <row r="6111" spans="1:11">
      <c r="A6111" s="760"/>
      <c r="B6111" s="760"/>
      <c r="C6111" s="760"/>
      <c r="D6111" s="760"/>
      <c r="E6111" s="760"/>
      <c r="F6111" s="760"/>
      <c r="G6111" s="760"/>
      <c r="H6111" s="760"/>
      <c r="I6111" s="760"/>
      <c r="J6111" s="760"/>
      <c r="K6111" s="760"/>
    </row>
    <row r="6112" spans="1:11">
      <c r="A6112" s="760"/>
      <c r="B6112" s="760"/>
      <c r="C6112" s="760"/>
      <c r="D6112" s="760"/>
      <c r="E6112" s="760"/>
      <c r="F6112" s="760"/>
      <c r="G6112" s="760"/>
      <c r="H6112" s="760"/>
      <c r="I6112" s="760"/>
      <c r="J6112" s="760"/>
      <c r="K6112" s="760"/>
    </row>
    <row r="6113" spans="1:11">
      <c r="A6113" s="760"/>
      <c r="B6113" s="760"/>
      <c r="C6113" s="760"/>
      <c r="D6113" s="760"/>
      <c r="E6113" s="760"/>
      <c r="F6113" s="760"/>
      <c r="G6113" s="760"/>
      <c r="H6113" s="760"/>
      <c r="I6113" s="760"/>
      <c r="J6113" s="760"/>
      <c r="K6113" s="760"/>
    </row>
    <row r="6114" spans="1:11">
      <c r="A6114" s="760"/>
      <c r="B6114" s="760"/>
      <c r="C6114" s="760"/>
      <c r="D6114" s="760"/>
      <c r="E6114" s="760"/>
      <c r="F6114" s="760"/>
      <c r="G6114" s="760"/>
      <c r="H6114" s="760"/>
      <c r="I6114" s="760"/>
      <c r="J6114" s="760"/>
      <c r="K6114" s="760"/>
    </row>
    <row r="6115" spans="1:11">
      <c r="A6115" s="760"/>
      <c r="B6115" s="760"/>
      <c r="C6115" s="760"/>
      <c r="D6115" s="760"/>
      <c r="E6115" s="760"/>
      <c r="F6115" s="760"/>
      <c r="G6115" s="760"/>
      <c r="H6115" s="760"/>
      <c r="I6115" s="760"/>
      <c r="J6115" s="760"/>
      <c r="K6115" s="760"/>
    </row>
    <row r="6116" spans="1:11">
      <c r="A6116" s="760"/>
      <c r="B6116" s="760"/>
      <c r="C6116" s="760"/>
      <c r="D6116" s="760"/>
      <c r="E6116" s="760"/>
      <c r="F6116" s="760"/>
      <c r="G6116" s="760"/>
      <c r="H6116" s="760"/>
      <c r="I6116" s="760"/>
      <c r="J6116" s="760"/>
      <c r="K6116" s="760"/>
    </row>
    <row r="6117" spans="1:11">
      <c r="A6117" s="760"/>
      <c r="B6117" s="760"/>
      <c r="C6117" s="760"/>
      <c r="D6117" s="760"/>
      <c r="E6117" s="760"/>
      <c r="F6117" s="760"/>
      <c r="G6117" s="760"/>
      <c r="H6117" s="760"/>
      <c r="I6117" s="760"/>
      <c r="J6117" s="760"/>
      <c r="K6117" s="760"/>
    </row>
    <row r="6118" spans="1:11">
      <c r="A6118" s="760"/>
      <c r="B6118" s="760"/>
      <c r="C6118" s="760"/>
      <c r="D6118" s="760"/>
      <c r="E6118" s="760"/>
      <c r="F6118" s="760"/>
      <c r="G6118" s="760"/>
      <c r="H6118" s="760"/>
      <c r="I6118" s="760"/>
      <c r="J6118" s="760"/>
      <c r="K6118" s="760"/>
    </row>
    <row r="6119" spans="1:11">
      <c r="A6119" s="760"/>
      <c r="B6119" s="760"/>
      <c r="C6119" s="760"/>
      <c r="D6119" s="760"/>
      <c r="E6119" s="760"/>
      <c r="F6119" s="760"/>
      <c r="G6119" s="760"/>
      <c r="H6119" s="760"/>
      <c r="I6119" s="760"/>
      <c r="J6119" s="760"/>
      <c r="K6119" s="760"/>
    </row>
    <row r="6120" spans="1:11">
      <c r="A6120" s="760"/>
      <c r="B6120" s="760"/>
      <c r="C6120" s="760"/>
      <c r="D6120" s="760"/>
      <c r="E6120" s="760"/>
      <c r="F6120" s="760"/>
      <c r="G6120" s="760"/>
      <c r="H6120" s="760"/>
      <c r="I6120" s="760"/>
      <c r="J6120" s="760"/>
      <c r="K6120" s="760"/>
    </row>
    <row r="6121" spans="1:11">
      <c r="A6121" s="760"/>
      <c r="B6121" s="760"/>
      <c r="C6121" s="760"/>
      <c r="D6121" s="760"/>
      <c r="E6121" s="760"/>
      <c r="F6121" s="760"/>
      <c r="G6121" s="760"/>
      <c r="H6121" s="760"/>
      <c r="I6121" s="760"/>
      <c r="J6121" s="760"/>
      <c r="K6121" s="760"/>
    </row>
    <row r="6122" spans="1:11">
      <c r="A6122" s="760"/>
      <c r="B6122" s="760"/>
      <c r="C6122" s="760"/>
      <c r="D6122" s="760"/>
      <c r="E6122" s="760"/>
      <c r="F6122" s="760"/>
      <c r="G6122" s="760"/>
      <c r="H6122" s="760"/>
      <c r="I6122" s="760"/>
      <c r="J6122" s="760"/>
      <c r="K6122" s="760"/>
    </row>
    <row r="6123" spans="1:11">
      <c r="A6123" s="760"/>
      <c r="B6123" s="760"/>
      <c r="C6123" s="760"/>
      <c r="D6123" s="760"/>
      <c r="E6123" s="760"/>
      <c r="F6123" s="760"/>
      <c r="G6123" s="760"/>
      <c r="H6123" s="760"/>
      <c r="I6123" s="760"/>
      <c r="J6123" s="760"/>
      <c r="K6123" s="760"/>
    </row>
    <row r="6124" spans="1:11">
      <c r="A6124" s="760"/>
      <c r="B6124" s="760"/>
      <c r="C6124" s="760"/>
      <c r="D6124" s="760"/>
      <c r="E6124" s="760"/>
      <c r="F6124" s="760"/>
      <c r="G6124" s="760"/>
      <c r="H6124" s="760"/>
      <c r="I6124" s="760"/>
      <c r="J6124" s="760"/>
      <c r="K6124" s="760"/>
    </row>
    <row r="6125" spans="1:11">
      <c r="A6125" s="760"/>
      <c r="B6125" s="760"/>
      <c r="C6125" s="760"/>
      <c r="D6125" s="760"/>
      <c r="E6125" s="760"/>
      <c r="F6125" s="760"/>
      <c r="G6125" s="760"/>
      <c r="H6125" s="760"/>
      <c r="I6125" s="760"/>
      <c r="J6125" s="760"/>
      <c r="K6125" s="760"/>
    </row>
    <row r="6126" spans="1:11">
      <c r="A6126" s="760"/>
      <c r="B6126" s="760"/>
      <c r="C6126" s="760"/>
      <c r="D6126" s="760"/>
      <c r="E6126" s="760"/>
      <c r="F6126" s="760"/>
      <c r="G6126" s="760"/>
      <c r="H6126" s="760"/>
      <c r="I6126" s="760"/>
      <c r="J6126" s="760"/>
      <c r="K6126" s="760"/>
    </row>
    <row r="6127" spans="1:11">
      <c r="A6127" s="760"/>
      <c r="B6127" s="760"/>
      <c r="C6127" s="760"/>
      <c r="D6127" s="760"/>
      <c r="E6127" s="760"/>
      <c r="F6127" s="760"/>
      <c r="G6127" s="760"/>
      <c r="H6127" s="760"/>
      <c r="I6127" s="760"/>
      <c r="J6127" s="760"/>
      <c r="K6127" s="760"/>
    </row>
    <row r="6128" spans="1:11">
      <c r="A6128" s="760"/>
      <c r="B6128" s="760"/>
      <c r="C6128" s="760"/>
      <c r="D6128" s="760"/>
      <c r="E6128" s="760"/>
      <c r="F6128" s="760"/>
      <c r="G6128" s="760"/>
      <c r="H6128" s="760"/>
      <c r="I6128" s="760"/>
      <c r="J6128" s="760"/>
      <c r="K6128" s="760"/>
    </row>
    <row r="6129" spans="1:11">
      <c r="A6129" s="760"/>
      <c r="B6129" s="760"/>
      <c r="C6129" s="760"/>
      <c r="D6129" s="760"/>
      <c r="E6129" s="760"/>
      <c r="F6129" s="760"/>
      <c r="G6129" s="760"/>
      <c r="H6129" s="760"/>
      <c r="I6129" s="760"/>
      <c r="J6129" s="760"/>
      <c r="K6129" s="760"/>
    </row>
    <row r="6130" spans="1:11">
      <c r="A6130" s="760"/>
      <c r="B6130" s="760"/>
      <c r="C6130" s="760"/>
      <c r="D6130" s="760"/>
      <c r="E6130" s="760"/>
      <c r="F6130" s="760"/>
      <c r="G6130" s="760"/>
      <c r="H6130" s="760"/>
      <c r="I6130" s="760"/>
      <c r="J6130" s="760"/>
      <c r="K6130" s="760"/>
    </row>
    <row r="6131" spans="1:11">
      <c r="A6131" s="760"/>
      <c r="B6131" s="760"/>
      <c r="C6131" s="760"/>
      <c r="D6131" s="760"/>
      <c r="E6131" s="760"/>
      <c r="F6131" s="760"/>
      <c r="G6131" s="760"/>
      <c r="H6131" s="760"/>
      <c r="I6131" s="760"/>
      <c r="J6131" s="760"/>
      <c r="K6131" s="760"/>
    </row>
    <row r="6132" spans="1:11">
      <c r="A6132" s="760"/>
      <c r="B6132" s="760"/>
      <c r="C6132" s="760"/>
      <c r="D6132" s="760"/>
      <c r="E6132" s="760"/>
      <c r="F6132" s="760"/>
      <c r="G6132" s="760"/>
      <c r="H6132" s="760"/>
      <c r="I6132" s="760"/>
      <c r="J6132" s="760"/>
      <c r="K6132" s="760"/>
    </row>
    <row r="6133" spans="1:11">
      <c r="A6133" s="760"/>
      <c r="B6133" s="760"/>
      <c r="C6133" s="760"/>
      <c r="D6133" s="760"/>
      <c r="E6133" s="760"/>
      <c r="F6133" s="760"/>
      <c r="G6133" s="760"/>
      <c r="H6133" s="760"/>
      <c r="I6133" s="760"/>
      <c r="J6133" s="760"/>
      <c r="K6133" s="760"/>
    </row>
    <row r="6134" spans="1:11">
      <c r="A6134" s="760"/>
      <c r="B6134" s="760"/>
      <c r="C6134" s="760"/>
      <c r="D6134" s="760"/>
      <c r="E6134" s="760"/>
      <c r="F6134" s="760"/>
      <c r="G6134" s="760"/>
      <c r="H6134" s="760"/>
      <c r="I6134" s="760"/>
      <c r="J6134" s="760"/>
      <c r="K6134" s="760"/>
    </row>
    <row r="6135" spans="1:11">
      <c r="A6135" s="760"/>
      <c r="B6135" s="760"/>
      <c r="C6135" s="760"/>
      <c r="D6135" s="760"/>
      <c r="E6135" s="760"/>
      <c r="F6135" s="760"/>
      <c r="G6135" s="760"/>
      <c r="H6135" s="760"/>
      <c r="I6135" s="760"/>
      <c r="J6135" s="760"/>
      <c r="K6135" s="760"/>
    </row>
    <row r="6136" spans="1:11">
      <c r="A6136" s="760"/>
      <c r="B6136" s="760"/>
      <c r="C6136" s="760"/>
      <c r="D6136" s="760"/>
      <c r="E6136" s="760"/>
      <c r="F6136" s="760"/>
      <c r="G6136" s="760"/>
      <c r="H6136" s="760"/>
      <c r="I6136" s="760"/>
      <c r="J6136" s="760"/>
      <c r="K6136" s="760"/>
    </row>
    <row r="6137" spans="1:11">
      <c r="A6137" s="760"/>
      <c r="B6137" s="760"/>
      <c r="C6137" s="760"/>
      <c r="D6137" s="760"/>
      <c r="E6137" s="760"/>
      <c r="F6137" s="760"/>
      <c r="G6137" s="760"/>
      <c r="H6137" s="760"/>
      <c r="I6137" s="760"/>
      <c r="J6137" s="760"/>
      <c r="K6137" s="760"/>
    </row>
    <row r="6138" spans="1:11">
      <c r="A6138" s="760"/>
      <c r="B6138" s="760"/>
      <c r="C6138" s="760"/>
      <c r="D6138" s="760"/>
      <c r="E6138" s="760"/>
      <c r="F6138" s="760"/>
      <c r="G6138" s="760"/>
      <c r="H6138" s="760"/>
      <c r="I6138" s="760"/>
      <c r="J6138" s="760"/>
      <c r="K6138" s="760"/>
    </row>
    <row r="6139" spans="1:11">
      <c r="A6139" s="760"/>
      <c r="B6139" s="760"/>
      <c r="C6139" s="760"/>
      <c r="D6139" s="760"/>
      <c r="E6139" s="760"/>
      <c r="F6139" s="760"/>
      <c r="G6139" s="760"/>
      <c r="H6139" s="760"/>
      <c r="I6139" s="760"/>
      <c r="J6139" s="760"/>
      <c r="K6139" s="760"/>
    </row>
    <row r="6140" spans="1:11">
      <c r="A6140" s="760"/>
      <c r="B6140" s="760"/>
      <c r="C6140" s="760"/>
      <c r="D6140" s="760"/>
      <c r="E6140" s="760"/>
      <c r="F6140" s="760"/>
      <c r="G6140" s="760"/>
      <c r="H6140" s="760"/>
      <c r="I6140" s="760"/>
      <c r="J6140" s="760"/>
      <c r="K6140" s="760"/>
    </row>
    <row r="6141" spans="1:11">
      <c r="A6141" s="760"/>
      <c r="B6141" s="760"/>
      <c r="C6141" s="760"/>
      <c r="D6141" s="760"/>
      <c r="E6141" s="760"/>
      <c r="F6141" s="760"/>
      <c r="G6141" s="760"/>
      <c r="H6141" s="760"/>
      <c r="I6141" s="760"/>
      <c r="J6141" s="760"/>
      <c r="K6141" s="760"/>
    </row>
    <row r="6142" spans="1:11">
      <c r="A6142" s="760"/>
      <c r="B6142" s="760"/>
      <c r="C6142" s="760"/>
      <c r="D6142" s="760"/>
      <c r="E6142" s="760"/>
      <c r="F6142" s="760"/>
      <c r="G6142" s="760"/>
      <c r="H6142" s="760"/>
      <c r="I6142" s="760"/>
      <c r="J6142" s="760"/>
      <c r="K6142" s="760"/>
    </row>
    <row r="6143" spans="1:11">
      <c r="A6143" s="760"/>
      <c r="B6143" s="760"/>
      <c r="C6143" s="760"/>
      <c r="D6143" s="760"/>
      <c r="E6143" s="760"/>
      <c r="F6143" s="760"/>
      <c r="G6143" s="760"/>
      <c r="H6143" s="760"/>
      <c r="I6143" s="760"/>
      <c r="J6143" s="760"/>
      <c r="K6143" s="760"/>
    </row>
    <row r="6144" spans="1:11">
      <c r="A6144" s="760"/>
      <c r="B6144" s="760"/>
      <c r="C6144" s="760"/>
      <c r="D6144" s="760"/>
      <c r="E6144" s="760"/>
      <c r="F6144" s="760"/>
      <c r="G6144" s="760"/>
      <c r="H6144" s="760"/>
      <c r="I6144" s="760"/>
      <c r="J6144" s="760"/>
      <c r="K6144" s="760"/>
    </row>
    <row r="6145" spans="1:11">
      <c r="A6145" s="760"/>
      <c r="B6145" s="760"/>
      <c r="C6145" s="760"/>
      <c r="D6145" s="760"/>
      <c r="E6145" s="760"/>
      <c r="F6145" s="760"/>
      <c r="G6145" s="760"/>
      <c r="H6145" s="760"/>
      <c r="I6145" s="760"/>
      <c r="J6145" s="760"/>
      <c r="K6145" s="760"/>
    </row>
    <row r="6146" spans="1:11">
      <c r="A6146" s="760"/>
      <c r="B6146" s="760"/>
      <c r="C6146" s="760"/>
      <c r="D6146" s="760"/>
      <c r="E6146" s="760"/>
      <c r="F6146" s="760"/>
      <c r="G6146" s="760"/>
      <c r="H6146" s="760"/>
      <c r="I6146" s="760"/>
      <c r="J6146" s="760"/>
      <c r="K6146" s="760"/>
    </row>
    <row r="6147" spans="1:11">
      <c r="A6147" s="760"/>
      <c r="B6147" s="760"/>
      <c r="C6147" s="760"/>
      <c r="D6147" s="760"/>
      <c r="E6147" s="760"/>
      <c r="F6147" s="760"/>
      <c r="G6147" s="760"/>
      <c r="H6147" s="760"/>
      <c r="I6147" s="760"/>
      <c r="J6147" s="760"/>
      <c r="K6147" s="760"/>
    </row>
    <row r="6148" spans="1:11">
      <c r="A6148" s="760"/>
      <c r="B6148" s="760"/>
      <c r="C6148" s="760"/>
      <c r="D6148" s="760"/>
      <c r="E6148" s="760"/>
      <c r="F6148" s="760"/>
      <c r="G6148" s="760"/>
      <c r="H6148" s="760"/>
      <c r="I6148" s="760"/>
      <c r="J6148" s="760"/>
      <c r="K6148" s="760"/>
    </row>
    <row r="6149" spans="1:11">
      <c r="A6149" s="760"/>
      <c r="B6149" s="760"/>
      <c r="C6149" s="760"/>
      <c r="D6149" s="760"/>
      <c r="E6149" s="760"/>
      <c r="F6149" s="760"/>
      <c r="G6149" s="760"/>
      <c r="H6149" s="760"/>
      <c r="I6149" s="760"/>
      <c r="J6149" s="760"/>
      <c r="K6149" s="760"/>
    </row>
    <row r="6150" spans="1:11">
      <c r="A6150" s="760"/>
      <c r="B6150" s="760"/>
      <c r="C6150" s="760"/>
      <c r="D6150" s="760"/>
      <c r="E6150" s="760"/>
      <c r="F6150" s="760"/>
      <c r="G6150" s="760"/>
      <c r="H6150" s="760"/>
      <c r="I6150" s="760"/>
      <c r="J6150" s="760"/>
      <c r="K6150" s="760"/>
    </row>
    <row r="6151" spans="1:11">
      <c r="A6151" s="760"/>
      <c r="B6151" s="760"/>
      <c r="C6151" s="760"/>
      <c r="D6151" s="760"/>
      <c r="E6151" s="760"/>
      <c r="F6151" s="760"/>
      <c r="G6151" s="760"/>
      <c r="H6151" s="760"/>
      <c r="I6151" s="760"/>
      <c r="J6151" s="760"/>
      <c r="K6151" s="760"/>
    </row>
    <row r="6152" spans="1:11">
      <c r="A6152" s="760"/>
      <c r="B6152" s="760"/>
      <c r="C6152" s="760"/>
      <c r="D6152" s="760"/>
      <c r="E6152" s="760"/>
      <c r="F6152" s="760"/>
      <c r="G6152" s="760"/>
      <c r="H6152" s="760"/>
      <c r="I6152" s="760"/>
      <c r="J6152" s="760"/>
      <c r="K6152" s="760"/>
    </row>
    <row r="6153" spans="1:11">
      <c r="A6153" s="760"/>
      <c r="B6153" s="760"/>
      <c r="C6153" s="760"/>
      <c r="D6153" s="760"/>
      <c r="E6153" s="760"/>
      <c r="F6153" s="760"/>
      <c r="G6153" s="760"/>
      <c r="H6153" s="760"/>
      <c r="I6153" s="760"/>
      <c r="J6153" s="760"/>
      <c r="K6153" s="760"/>
    </row>
    <row r="6154" spans="1:11">
      <c r="A6154" s="760"/>
      <c r="B6154" s="760"/>
      <c r="C6154" s="760"/>
      <c r="D6154" s="760"/>
      <c r="E6154" s="760"/>
      <c r="F6154" s="760"/>
      <c r="G6154" s="760"/>
      <c r="H6154" s="760"/>
      <c r="I6154" s="760"/>
      <c r="J6154" s="760"/>
      <c r="K6154" s="760"/>
    </row>
    <row r="6155" spans="1:11">
      <c r="A6155" s="760"/>
      <c r="B6155" s="760"/>
      <c r="C6155" s="760"/>
      <c r="D6155" s="760"/>
      <c r="E6155" s="760"/>
      <c r="F6155" s="760"/>
      <c r="G6155" s="760"/>
      <c r="H6155" s="760"/>
      <c r="I6155" s="760"/>
      <c r="J6155" s="760"/>
      <c r="K6155" s="760"/>
    </row>
    <row r="6156" spans="1:11">
      <c r="A6156" s="760"/>
      <c r="B6156" s="760"/>
      <c r="C6156" s="760"/>
      <c r="D6156" s="760"/>
      <c r="E6156" s="760"/>
      <c r="F6156" s="760"/>
      <c r="G6156" s="760"/>
      <c r="H6156" s="760"/>
      <c r="I6156" s="760"/>
      <c r="J6156" s="760"/>
      <c r="K6156" s="760"/>
    </row>
    <row r="6157" spans="1:11">
      <c r="A6157" s="760"/>
      <c r="B6157" s="760"/>
      <c r="C6157" s="760"/>
      <c r="D6157" s="760"/>
      <c r="E6157" s="760"/>
      <c r="F6157" s="760"/>
      <c r="G6157" s="760"/>
      <c r="H6157" s="760"/>
      <c r="I6157" s="760"/>
      <c r="J6157" s="760"/>
      <c r="K6157" s="760"/>
    </row>
    <row r="6158" spans="1:11">
      <c r="A6158" s="760"/>
      <c r="B6158" s="760"/>
      <c r="C6158" s="760"/>
      <c r="D6158" s="760"/>
      <c r="E6158" s="760"/>
      <c r="F6158" s="760"/>
      <c r="G6158" s="760"/>
      <c r="H6158" s="760"/>
      <c r="I6158" s="760"/>
      <c r="J6158" s="760"/>
      <c r="K6158" s="760"/>
    </row>
    <row r="6159" spans="1:11">
      <c r="A6159" s="760"/>
      <c r="B6159" s="760"/>
      <c r="C6159" s="760"/>
      <c r="D6159" s="760"/>
      <c r="E6159" s="760"/>
      <c r="F6159" s="760"/>
      <c r="G6159" s="760"/>
      <c r="H6159" s="760"/>
      <c r="I6159" s="760"/>
      <c r="J6159" s="760"/>
      <c r="K6159" s="760"/>
    </row>
    <row r="6160" spans="1:11">
      <c r="A6160" s="760"/>
      <c r="B6160" s="760"/>
      <c r="C6160" s="760"/>
      <c r="D6160" s="760"/>
      <c r="E6160" s="760"/>
      <c r="F6160" s="760"/>
      <c r="G6160" s="760"/>
      <c r="H6160" s="760"/>
      <c r="I6160" s="760"/>
      <c r="J6160" s="760"/>
      <c r="K6160" s="760"/>
    </row>
    <row r="6161" spans="1:11">
      <c r="A6161" s="760"/>
      <c r="B6161" s="760"/>
      <c r="C6161" s="760"/>
      <c r="D6161" s="760"/>
      <c r="E6161" s="760"/>
      <c r="F6161" s="760"/>
      <c r="G6161" s="760"/>
      <c r="H6161" s="760"/>
      <c r="I6161" s="760"/>
      <c r="J6161" s="760"/>
      <c r="K6161" s="760"/>
    </row>
    <row r="6162" spans="1:11">
      <c r="A6162" s="760"/>
      <c r="B6162" s="760"/>
      <c r="C6162" s="760"/>
      <c r="D6162" s="760"/>
      <c r="E6162" s="760"/>
      <c r="F6162" s="760"/>
      <c r="G6162" s="760"/>
      <c r="H6162" s="760"/>
      <c r="I6162" s="760"/>
      <c r="J6162" s="760"/>
      <c r="K6162" s="760"/>
    </row>
    <row r="6163" spans="1:11">
      <c r="A6163" s="760"/>
      <c r="B6163" s="760"/>
      <c r="C6163" s="760"/>
      <c r="D6163" s="760"/>
      <c r="E6163" s="760"/>
      <c r="F6163" s="760"/>
      <c r="G6163" s="760"/>
      <c r="H6163" s="760"/>
      <c r="I6163" s="760"/>
      <c r="J6163" s="760"/>
      <c r="K6163" s="760"/>
    </row>
    <row r="6164" spans="1:11">
      <c r="A6164" s="760"/>
      <c r="B6164" s="760"/>
      <c r="C6164" s="760"/>
      <c r="D6164" s="760"/>
      <c r="E6164" s="760"/>
      <c r="F6164" s="760"/>
      <c r="G6164" s="760"/>
      <c r="H6164" s="760"/>
      <c r="I6164" s="760"/>
      <c r="J6164" s="760"/>
      <c r="K6164" s="760"/>
    </row>
    <row r="6165" spans="1:11">
      <c r="A6165" s="760"/>
      <c r="B6165" s="760"/>
      <c r="C6165" s="760"/>
      <c r="D6165" s="760"/>
      <c r="E6165" s="760"/>
      <c r="F6165" s="760"/>
      <c r="G6165" s="760"/>
      <c r="H6165" s="760"/>
      <c r="I6165" s="760"/>
      <c r="J6165" s="760"/>
      <c r="K6165" s="760"/>
    </row>
    <row r="6166" spans="1:11">
      <c r="A6166" s="760"/>
      <c r="B6166" s="760"/>
      <c r="C6166" s="760"/>
      <c r="D6166" s="760"/>
      <c r="E6166" s="760"/>
      <c r="F6166" s="760"/>
      <c r="G6166" s="760"/>
      <c r="H6166" s="760"/>
      <c r="I6166" s="760"/>
      <c r="J6166" s="760"/>
      <c r="K6166" s="760"/>
    </row>
    <row r="6167" spans="1:11">
      <c r="A6167" s="760"/>
      <c r="B6167" s="760"/>
      <c r="C6167" s="760"/>
      <c r="D6167" s="760"/>
      <c r="E6167" s="760"/>
      <c r="F6167" s="760"/>
      <c r="G6167" s="760"/>
      <c r="H6167" s="760"/>
      <c r="I6167" s="760"/>
      <c r="J6167" s="760"/>
      <c r="K6167" s="760"/>
    </row>
    <row r="6168" spans="1:11">
      <c r="A6168" s="760"/>
      <c r="B6168" s="760"/>
      <c r="C6168" s="760"/>
      <c r="D6168" s="760"/>
      <c r="E6168" s="760"/>
      <c r="F6168" s="760"/>
      <c r="G6168" s="760"/>
      <c r="H6168" s="760"/>
      <c r="I6168" s="760"/>
      <c r="J6168" s="760"/>
      <c r="K6168" s="760"/>
    </row>
    <row r="6169" spans="1:11">
      <c r="A6169" s="760"/>
      <c r="B6169" s="760"/>
      <c r="C6169" s="760"/>
      <c r="D6169" s="760"/>
      <c r="E6169" s="760"/>
      <c r="F6169" s="760"/>
      <c r="G6169" s="760"/>
      <c r="H6169" s="760"/>
      <c r="I6169" s="760"/>
      <c r="J6169" s="760"/>
      <c r="K6169" s="760"/>
    </row>
    <row r="6170" spans="1:11">
      <c r="A6170" s="760"/>
      <c r="B6170" s="760"/>
      <c r="C6170" s="760"/>
      <c r="D6170" s="760"/>
      <c r="E6170" s="760"/>
      <c r="F6170" s="760"/>
      <c r="G6170" s="760"/>
      <c r="H6170" s="760"/>
      <c r="I6170" s="760"/>
      <c r="J6170" s="760"/>
      <c r="K6170" s="760"/>
    </row>
    <row r="6171" spans="1:11">
      <c r="A6171" s="760"/>
      <c r="B6171" s="760"/>
      <c r="C6171" s="760"/>
      <c r="D6171" s="760"/>
      <c r="E6171" s="760"/>
      <c r="F6171" s="760"/>
      <c r="G6171" s="760"/>
      <c r="H6171" s="760"/>
      <c r="I6171" s="760"/>
      <c r="J6171" s="760"/>
      <c r="K6171" s="760"/>
    </row>
    <row r="6172" spans="1:11">
      <c r="A6172" s="760"/>
      <c r="B6172" s="760"/>
      <c r="C6172" s="760"/>
      <c r="D6172" s="760"/>
      <c r="E6172" s="760"/>
      <c r="F6172" s="760"/>
      <c r="G6172" s="760"/>
      <c r="H6172" s="760"/>
      <c r="I6172" s="760"/>
      <c r="J6172" s="760"/>
      <c r="K6172" s="760"/>
    </row>
    <row r="6173" spans="1:11">
      <c r="A6173" s="760"/>
      <c r="B6173" s="760"/>
      <c r="C6173" s="760"/>
      <c r="D6173" s="760"/>
      <c r="E6173" s="760"/>
      <c r="F6173" s="760"/>
      <c r="G6173" s="760"/>
      <c r="H6173" s="760"/>
      <c r="I6173" s="760"/>
      <c r="J6173" s="760"/>
      <c r="K6173" s="760"/>
    </row>
    <row r="6174" spans="1:11">
      <c r="A6174" s="760"/>
      <c r="B6174" s="760"/>
      <c r="C6174" s="760"/>
      <c r="D6174" s="760"/>
      <c r="E6174" s="760"/>
      <c r="F6174" s="760"/>
      <c r="G6174" s="760"/>
      <c r="H6174" s="760"/>
      <c r="I6174" s="760"/>
      <c r="J6174" s="760"/>
      <c r="K6174" s="760"/>
    </row>
    <row r="6175" spans="1:11">
      <c r="A6175" s="760"/>
      <c r="B6175" s="760"/>
      <c r="C6175" s="760"/>
      <c r="D6175" s="760"/>
      <c r="E6175" s="760"/>
      <c r="F6175" s="760"/>
      <c r="G6175" s="760"/>
      <c r="H6175" s="760"/>
      <c r="I6175" s="760"/>
      <c r="J6175" s="760"/>
      <c r="K6175" s="760"/>
    </row>
    <row r="6176" spans="1:11">
      <c r="A6176" s="760"/>
      <c r="B6176" s="760"/>
      <c r="C6176" s="760"/>
      <c r="D6176" s="760"/>
      <c r="E6176" s="760"/>
      <c r="F6176" s="760"/>
      <c r="G6176" s="760"/>
      <c r="H6176" s="760"/>
      <c r="I6176" s="760"/>
      <c r="J6176" s="760"/>
      <c r="K6176" s="760"/>
    </row>
    <row r="6177" spans="1:11">
      <c r="A6177" s="760"/>
      <c r="B6177" s="760"/>
      <c r="C6177" s="760"/>
      <c r="D6177" s="760"/>
      <c r="E6177" s="760"/>
      <c r="F6177" s="760"/>
      <c r="G6177" s="760"/>
      <c r="H6177" s="760"/>
      <c r="I6177" s="760"/>
      <c r="J6177" s="760"/>
      <c r="K6177" s="760"/>
    </row>
    <row r="6178" spans="1:11">
      <c r="A6178" s="760"/>
      <c r="B6178" s="760"/>
      <c r="C6178" s="760"/>
      <c r="D6178" s="760"/>
      <c r="E6178" s="760"/>
      <c r="F6178" s="760"/>
      <c r="G6178" s="760"/>
      <c r="H6178" s="760"/>
      <c r="I6178" s="760"/>
      <c r="J6178" s="760"/>
      <c r="K6178" s="760"/>
    </row>
    <row r="6179" spans="1:11">
      <c r="A6179" s="760"/>
      <c r="B6179" s="760"/>
      <c r="C6179" s="760"/>
      <c r="D6179" s="760"/>
      <c r="E6179" s="760"/>
      <c r="F6179" s="760"/>
      <c r="G6179" s="760"/>
      <c r="H6179" s="760"/>
      <c r="I6179" s="760"/>
      <c r="J6179" s="760"/>
      <c r="K6179" s="760"/>
    </row>
    <row r="6180" spans="1:11">
      <c r="A6180" s="760"/>
      <c r="B6180" s="760"/>
      <c r="C6180" s="760"/>
      <c r="D6180" s="760"/>
      <c r="E6180" s="760"/>
      <c r="F6180" s="760"/>
      <c r="G6180" s="760"/>
      <c r="H6180" s="760"/>
      <c r="I6180" s="760"/>
      <c r="J6180" s="760"/>
      <c r="K6180" s="760"/>
    </row>
    <row r="6181" spans="1:11">
      <c r="A6181" s="760"/>
      <c r="B6181" s="760"/>
      <c r="C6181" s="760"/>
      <c r="D6181" s="760"/>
      <c r="E6181" s="760"/>
      <c r="F6181" s="760"/>
      <c r="G6181" s="760"/>
      <c r="H6181" s="760"/>
      <c r="I6181" s="760"/>
      <c r="J6181" s="760"/>
      <c r="K6181" s="760"/>
    </row>
    <row r="6182" spans="1:11">
      <c r="A6182" s="760"/>
      <c r="B6182" s="760"/>
      <c r="C6182" s="760"/>
      <c r="D6182" s="760"/>
      <c r="E6182" s="760"/>
      <c r="F6182" s="760"/>
      <c r="G6182" s="760"/>
      <c r="H6182" s="760"/>
      <c r="I6182" s="760"/>
      <c r="J6182" s="760"/>
      <c r="K6182" s="760"/>
    </row>
    <row r="6183" spans="1:11">
      <c r="A6183" s="760"/>
      <c r="B6183" s="760"/>
      <c r="C6183" s="760"/>
      <c r="D6183" s="760"/>
      <c r="E6183" s="760"/>
      <c r="F6183" s="760"/>
      <c r="G6183" s="760"/>
      <c r="H6183" s="760"/>
      <c r="I6183" s="760"/>
      <c r="J6183" s="760"/>
      <c r="K6183" s="760"/>
    </row>
    <row r="6184" spans="1:11">
      <c r="A6184" s="760"/>
      <c r="B6184" s="760"/>
      <c r="C6184" s="760"/>
      <c r="D6184" s="760"/>
      <c r="E6184" s="760"/>
      <c r="F6184" s="760"/>
      <c r="G6184" s="760"/>
      <c r="H6184" s="760"/>
      <c r="I6184" s="760"/>
      <c r="J6184" s="760"/>
      <c r="K6184" s="760"/>
    </row>
    <row r="6185" spans="1:11">
      <c r="A6185" s="760"/>
      <c r="B6185" s="760"/>
      <c r="C6185" s="760"/>
      <c r="D6185" s="760"/>
      <c r="E6185" s="760"/>
      <c r="F6185" s="760"/>
      <c r="G6185" s="760"/>
      <c r="H6185" s="760"/>
      <c r="I6185" s="760"/>
      <c r="J6185" s="760"/>
      <c r="K6185" s="760"/>
    </row>
    <row r="6186" spans="1:11">
      <c r="A6186" s="760"/>
      <c r="B6186" s="760"/>
      <c r="C6186" s="760"/>
      <c r="D6186" s="760"/>
      <c r="E6186" s="760"/>
      <c r="F6186" s="760"/>
      <c r="G6186" s="760"/>
      <c r="H6186" s="760"/>
      <c r="I6186" s="760"/>
      <c r="J6186" s="760"/>
      <c r="K6186" s="760"/>
    </row>
    <row r="6187" spans="1:11">
      <c r="A6187" s="760"/>
      <c r="B6187" s="760"/>
      <c r="C6187" s="760"/>
      <c r="D6187" s="760"/>
      <c r="E6187" s="760"/>
      <c r="F6187" s="760"/>
      <c r="G6187" s="760"/>
      <c r="H6187" s="760"/>
      <c r="I6187" s="760"/>
      <c r="J6187" s="760"/>
      <c r="K6187" s="760"/>
    </row>
    <row r="6188" spans="1:11">
      <c r="A6188" s="760"/>
      <c r="B6188" s="760"/>
      <c r="C6188" s="760"/>
      <c r="D6188" s="760"/>
      <c r="E6188" s="760"/>
      <c r="F6188" s="760"/>
      <c r="G6188" s="760"/>
      <c r="H6188" s="760"/>
      <c r="I6188" s="760"/>
      <c r="J6188" s="760"/>
      <c r="K6188" s="760"/>
    </row>
    <row r="6189" spans="1:11">
      <c r="A6189" s="760"/>
      <c r="B6189" s="760"/>
      <c r="C6189" s="760"/>
      <c r="D6189" s="760"/>
      <c r="E6189" s="760"/>
      <c r="F6189" s="760"/>
      <c r="G6189" s="760"/>
      <c r="H6189" s="760"/>
      <c r="I6189" s="760"/>
      <c r="J6189" s="760"/>
      <c r="K6189" s="760"/>
    </row>
    <row r="6190" spans="1:11">
      <c r="A6190" s="760"/>
      <c r="B6190" s="760"/>
      <c r="C6190" s="760"/>
      <c r="D6190" s="760"/>
      <c r="E6190" s="760"/>
      <c r="F6190" s="760"/>
      <c r="G6190" s="760"/>
      <c r="H6190" s="760"/>
      <c r="I6190" s="760"/>
      <c r="J6190" s="760"/>
      <c r="K6190" s="760"/>
    </row>
    <row r="6191" spans="1:11">
      <c r="A6191" s="760"/>
      <c r="B6191" s="760"/>
      <c r="C6191" s="760"/>
      <c r="D6191" s="760"/>
      <c r="E6191" s="760"/>
      <c r="F6191" s="760"/>
      <c r="G6191" s="760"/>
      <c r="H6191" s="760"/>
      <c r="I6191" s="760"/>
      <c r="J6191" s="760"/>
      <c r="K6191" s="760"/>
    </row>
    <row r="6192" spans="1:11">
      <c r="A6192" s="760"/>
      <c r="B6192" s="760"/>
      <c r="C6192" s="760"/>
      <c r="D6192" s="760"/>
      <c r="E6192" s="760"/>
      <c r="F6192" s="760"/>
      <c r="G6192" s="760"/>
      <c r="H6192" s="760"/>
      <c r="I6192" s="760"/>
      <c r="J6192" s="760"/>
      <c r="K6192" s="760"/>
    </row>
    <row r="6193" spans="1:11">
      <c r="A6193" s="760"/>
      <c r="B6193" s="760"/>
      <c r="C6193" s="760"/>
      <c r="D6193" s="760"/>
      <c r="E6193" s="760"/>
      <c r="F6193" s="760"/>
      <c r="G6193" s="760"/>
      <c r="H6193" s="760"/>
      <c r="I6193" s="760"/>
      <c r="J6193" s="760"/>
      <c r="K6193" s="760"/>
    </row>
    <row r="6194" spans="1:11">
      <c r="A6194" s="760"/>
      <c r="B6194" s="760"/>
      <c r="C6194" s="760"/>
      <c r="D6194" s="760"/>
      <c r="E6194" s="760"/>
      <c r="F6194" s="760"/>
      <c r="G6194" s="760"/>
      <c r="H6194" s="760"/>
      <c r="I6194" s="760"/>
      <c r="J6194" s="760"/>
      <c r="K6194" s="760"/>
    </row>
    <row r="6195" spans="1:11">
      <c r="A6195" s="760"/>
      <c r="B6195" s="760"/>
      <c r="C6195" s="760"/>
      <c r="D6195" s="760"/>
      <c r="E6195" s="760"/>
      <c r="F6195" s="760"/>
      <c r="G6195" s="760"/>
      <c r="H6195" s="760"/>
      <c r="I6195" s="760"/>
      <c r="J6195" s="760"/>
      <c r="K6195" s="760"/>
    </row>
    <row r="6196" spans="1:11">
      <c r="A6196" s="760"/>
      <c r="B6196" s="760"/>
      <c r="C6196" s="760"/>
      <c r="D6196" s="760"/>
      <c r="E6196" s="760"/>
      <c r="F6196" s="760"/>
      <c r="G6196" s="760"/>
      <c r="H6196" s="760"/>
      <c r="I6196" s="760"/>
      <c r="J6196" s="760"/>
      <c r="K6196" s="760"/>
    </row>
    <row r="6197" spans="1:11">
      <c r="A6197" s="760"/>
      <c r="B6197" s="760"/>
      <c r="C6197" s="760"/>
      <c r="D6197" s="760"/>
      <c r="E6197" s="760"/>
      <c r="F6197" s="760"/>
      <c r="G6197" s="760"/>
      <c r="H6197" s="760"/>
      <c r="I6197" s="760"/>
      <c r="J6197" s="760"/>
      <c r="K6197" s="760"/>
    </row>
    <row r="6198" spans="1:11">
      <c r="A6198" s="760"/>
      <c r="B6198" s="760"/>
      <c r="C6198" s="760"/>
      <c r="D6198" s="760"/>
      <c r="E6198" s="760"/>
      <c r="F6198" s="760"/>
      <c r="G6198" s="760"/>
      <c r="H6198" s="760"/>
      <c r="I6198" s="760"/>
      <c r="J6198" s="760"/>
      <c r="K6198" s="760"/>
    </row>
    <row r="6199" spans="1:11">
      <c r="A6199" s="760"/>
      <c r="B6199" s="760"/>
      <c r="C6199" s="760"/>
      <c r="D6199" s="760"/>
      <c r="E6199" s="760"/>
      <c r="F6199" s="760"/>
      <c r="G6199" s="760"/>
      <c r="H6199" s="760"/>
      <c r="I6199" s="760"/>
      <c r="J6199" s="760"/>
      <c r="K6199" s="760"/>
    </row>
    <row r="6200" spans="1:11">
      <c r="A6200" s="760"/>
      <c r="B6200" s="760"/>
      <c r="C6200" s="760"/>
      <c r="D6200" s="760"/>
      <c r="E6200" s="760"/>
      <c r="F6200" s="760"/>
      <c r="G6200" s="760"/>
      <c r="H6200" s="760"/>
      <c r="I6200" s="760"/>
      <c r="J6200" s="760"/>
      <c r="K6200" s="760"/>
    </row>
    <row r="6201" spans="1:11">
      <c r="A6201" s="760"/>
      <c r="B6201" s="760"/>
      <c r="C6201" s="760"/>
      <c r="D6201" s="760"/>
      <c r="E6201" s="760"/>
      <c r="F6201" s="760"/>
      <c r="G6201" s="760"/>
      <c r="H6201" s="760"/>
      <c r="I6201" s="760"/>
      <c r="J6201" s="760"/>
      <c r="K6201" s="760"/>
    </row>
    <row r="6202" spans="1:11">
      <c r="A6202" s="760"/>
      <c r="B6202" s="760"/>
      <c r="C6202" s="760"/>
      <c r="D6202" s="760"/>
      <c r="E6202" s="760"/>
      <c r="F6202" s="760"/>
      <c r="G6202" s="760"/>
      <c r="H6202" s="760"/>
      <c r="I6202" s="760"/>
      <c r="J6202" s="760"/>
      <c r="K6202" s="760"/>
    </row>
    <row r="6203" spans="1:11">
      <c r="A6203" s="760"/>
      <c r="B6203" s="760"/>
      <c r="C6203" s="760"/>
      <c r="D6203" s="760"/>
      <c r="E6203" s="760"/>
      <c r="F6203" s="760"/>
      <c r="G6203" s="760"/>
      <c r="H6203" s="760"/>
      <c r="I6203" s="760"/>
      <c r="J6203" s="760"/>
      <c r="K6203" s="760"/>
    </row>
    <row r="6204" spans="1:11">
      <c r="A6204" s="760"/>
      <c r="B6204" s="760"/>
      <c r="C6204" s="760"/>
      <c r="D6204" s="760"/>
      <c r="E6204" s="760"/>
      <c r="F6204" s="760"/>
      <c r="G6204" s="760"/>
      <c r="H6204" s="760"/>
      <c r="I6204" s="760"/>
      <c r="J6204" s="760"/>
      <c r="K6204" s="760"/>
    </row>
    <row r="6205" spans="1:11">
      <c r="A6205" s="760"/>
      <c r="B6205" s="760"/>
      <c r="C6205" s="760"/>
      <c r="D6205" s="760"/>
      <c r="E6205" s="760"/>
      <c r="F6205" s="760"/>
      <c r="G6205" s="760"/>
      <c r="H6205" s="760"/>
      <c r="I6205" s="760"/>
      <c r="J6205" s="760"/>
      <c r="K6205" s="760"/>
    </row>
    <row r="6206" spans="1:11">
      <c r="A6206" s="760"/>
      <c r="B6206" s="760"/>
      <c r="C6206" s="760"/>
      <c r="D6206" s="760"/>
      <c r="E6206" s="760"/>
      <c r="F6206" s="760"/>
      <c r="G6206" s="760"/>
      <c r="H6206" s="760"/>
      <c r="I6206" s="760"/>
      <c r="J6206" s="760"/>
      <c r="K6206" s="760"/>
    </row>
    <row r="6207" spans="1:11">
      <c r="A6207" s="760"/>
      <c r="B6207" s="760"/>
      <c r="C6207" s="760"/>
      <c r="D6207" s="760"/>
      <c r="E6207" s="760"/>
      <c r="F6207" s="760"/>
      <c r="G6207" s="760"/>
      <c r="H6207" s="760"/>
      <c r="I6207" s="760"/>
      <c r="J6207" s="760"/>
      <c r="K6207" s="760"/>
    </row>
    <row r="6208" spans="1:11">
      <c r="A6208" s="760"/>
      <c r="B6208" s="760"/>
      <c r="C6208" s="760"/>
      <c r="D6208" s="760"/>
      <c r="E6208" s="760"/>
      <c r="F6208" s="760"/>
      <c r="G6208" s="760"/>
      <c r="H6208" s="760"/>
      <c r="I6208" s="760"/>
      <c r="J6208" s="760"/>
      <c r="K6208" s="760"/>
    </row>
    <row r="6209" spans="1:11">
      <c r="A6209" s="760"/>
      <c r="B6209" s="760"/>
      <c r="C6209" s="760"/>
      <c r="D6209" s="760"/>
      <c r="E6209" s="760"/>
      <c r="F6209" s="760"/>
      <c r="G6209" s="760"/>
      <c r="H6209" s="760"/>
      <c r="I6209" s="760"/>
      <c r="J6209" s="760"/>
      <c r="K6209" s="760"/>
    </row>
    <row r="6210" spans="1:11">
      <c r="A6210" s="760"/>
      <c r="B6210" s="760"/>
      <c r="C6210" s="760"/>
      <c r="D6210" s="760"/>
      <c r="E6210" s="760"/>
      <c r="F6210" s="760"/>
      <c r="G6210" s="760"/>
      <c r="H6210" s="760"/>
      <c r="I6210" s="760"/>
      <c r="J6210" s="760"/>
      <c r="K6210" s="760"/>
    </row>
    <row r="6211" spans="1:11">
      <c r="A6211" s="760"/>
      <c r="B6211" s="760"/>
      <c r="C6211" s="760"/>
      <c r="D6211" s="760"/>
      <c r="E6211" s="760"/>
      <c r="F6211" s="760"/>
      <c r="G6211" s="760"/>
      <c r="H6211" s="760"/>
      <c r="I6211" s="760"/>
      <c r="J6211" s="760"/>
      <c r="K6211" s="760"/>
    </row>
    <row r="6212" spans="1:11">
      <c r="A6212" s="760"/>
      <c r="B6212" s="760"/>
      <c r="C6212" s="760"/>
      <c r="D6212" s="760"/>
      <c r="E6212" s="760"/>
      <c r="F6212" s="760"/>
      <c r="G6212" s="760"/>
      <c r="H6212" s="760"/>
      <c r="I6212" s="760"/>
      <c r="J6212" s="760"/>
      <c r="K6212" s="760"/>
    </row>
    <row r="6213" spans="1:11">
      <c r="A6213" s="760"/>
      <c r="B6213" s="760"/>
      <c r="C6213" s="760"/>
      <c r="D6213" s="760"/>
      <c r="E6213" s="760"/>
      <c r="F6213" s="760"/>
      <c r="G6213" s="760"/>
      <c r="H6213" s="760"/>
      <c r="I6213" s="760"/>
      <c r="J6213" s="760"/>
      <c r="K6213" s="760"/>
    </row>
    <row r="6214" spans="1:11">
      <c r="A6214" s="760"/>
      <c r="B6214" s="760"/>
      <c r="C6214" s="760"/>
      <c r="D6214" s="760"/>
      <c r="E6214" s="760"/>
      <c r="F6214" s="760"/>
      <c r="G6214" s="760"/>
      <c r="H6214" s="760"/>
      <c r="I6214" s="760"/>
      <c r="J6214" s="760"/>
      <c r="K6214" s="760"/>
    </row>
    <row r="6215" spans="1:11">
      <c r="A6215" s="760"/>
      <c r="B6215" s="760"/>
      <c r="C6215" s="760"/>
      <c r="D6215" s="760"/>
      <c r="E6215" s="760"/>
      <c r="F6215" s="760"/>
      <c r="G6215" s="760"/>
      <c r="H6215" s="760"/>
      <c r="I6215" s="760"/>
      <c r="J6215" s="760"/>
      <c r="K6215" s="760"/>
    </row>
    <row r="6216" spans="1:11">
      <c r="A6216" s="760"/>
      <c r="B6216" s="760"/>
      <c r="C6216" s="760"/>
      <c r="D6216" s="760"/>
      <c r="E6216" s="760"/>
      <c r="F6216" s="760"/>
      <c r="G6216" s="760"/>
      <c r="H6216" s="760"/>
      <c r="I6216" s="760"/>
      <c r="J6216" s="760"/>
      <c r="K6216" s="760"/>
    </row>
    <row r="6217" spans="1:11">
      <c r="A6217" s="760"/>
      <c r="B6217" s="760"/>
      <c r="C6217" s="760"/>
      <c r="D6217" s="760"/>
      <c r="E6217" s="760"/>
      <c r="F6217" s="760"/>
      <c r="G6217" s="760"/>
      <c r="H6217" s="760"/>
      <c r="I6217" s="760"/>
      <c r="J6217" s="760"/>
      <c r="K6217" s="760"/>
    </row>
    <row r="6218" spans="1:11">
      <c r="A6218" s="760"/>
      <c r="B6218" s="760"/>
      <c r="C6218" s="760"/>
      <c r="D6218" s="760"/>
      <c r="E6218" s="760"/>
      <c r="F6218" s="760"/>
      <c r="G6218" s="760"/>
      <c r="H6218" s="760"/>
      <c r="I6218" s="760"/>
      <c r="J6218" s="760"/>
      <c r="K6218" s="760"/>
    </row>
    <row r="6219" spans="1:11">
      <c r="A6219" s="760"/>
      <c r="B6219" s="760"/>
      <c r="C6219" s="760"/>
      <c r="D6219" s="760"/>
      <c r="E6219" s="760"/>
      <c r="F6219" s="760"/>
      <c r="G6219" s="760"/>
      <c r="H6219" s="760"/>
      <c r="I6219" s="760"/>
      <c r="J6219" s="760"/>
      <c r="K6219" s="760"/>
    </row>
    <row r="6220" spans="1:11">
      <c r="A6220" s="760"/>
      <c r="B6220" s="760"/>
      <c r="C6220" s="760"/>
      <c r="D6220" s="760"/>
      <c r="E6220" s="760"/>
      <c r="F6220" s="760"/>
      <c r="G6220" s="760"/>
      <c r="H6220" s="760"/>
      <c r="I6220" s="760"/>
      <c r="J6220" s="760"/>
      <c r="K6220" s="760"/>
    </row>
    <row r="6221" spans="1:11">
      <c r="A6221" s="760"/>
      <c r="B6221" s="760"/>
      <c r="C6221" s="760"/>
      <c r="D6221" s="760"/>
      <c r="E6221" s="760"/>
      <c r="F6221" s="760"/>
      <c r="G6221" s="760"/>
      <c r="H6221" s="760"/>
      <c r="I6221" s="760"/>
      <c r="J6221" s="760"/>
      <c r="K6221" s="760"/>
    </row>
    <row r="6222" spans="1:11">
      <c r="A6222" s="760"/>
      <c r="B6222" s="760"/>
      <c r="C6222" s="760"/>
      <c r="D6222" s="760"/>
      <c r="E6222" s="760"/>
      <c r="F6222" s="760"/>
      <c r="G6222" s="760"/>
      <c r="H6222" s="760"/>
      <c r="I6222" s="760"/>
      <c r="J6222" s="760"/>
      <c r="K6222" s="760"/>
    </row>
    <row r="6223" spans="1:11">
      <c r="A6223" s="760"/>
      <c r="B6223" s="760"/>
      <c r="C6223" s="760"/>
      <c r="D6223" s="760"/>
      <c r="E6223" s="760"/>
      <c r="F6223" s="760"/>
      <c r="G6223" s="760"/>
      <c r="H6223" s="760"/>
      <c r="I6223" s="760"/>
      <c r="J6223" s="760"/>
      <c r="K6223" s="760"/>
    </row>
    <row r="6224" spans="1:11">
      <c r="A6224" s="760"/>
      <c r="B6224" s="760"/>
      <c r="C6224" s="760"/>
      <c r="D6224" s="760"/>
      <c r="E6224" s="760"/>
      <c r="F6224" s="760"/>
      <c r="G6224" s="760"/>
      <c r="H6224" s="760"/>
      <c r="I6224" s="760"/>
      <c r="J6224" s="760"/>
      <c r="K6224" s="760"/>
    </row>
    <row r="6225" spans="1:11">
      <c r="A6225" s="760"/>
      <c r="B6225" s="760"/>
      <c r="C6225" s="760"/>
      <c r="D6225" s="760"/>
      <c r="E6225" s="760"/>
      <c r="F6225" s="760"/>
      <c r="G6225" s="760"/>
      <c r="H6225" s="760"/>
      <c r="I6225" s="760"/>
      <c r="J6225" s="760"/>
      <c r="K6225" s="760"/>
    </row>
    <row r="6226" spans="1:11">
      <c r="A6226" s="760"/>
      <c r="B6226" s="760"/>
      <c r="C6226" s="760"/>
      <c r="D6226" s="760"/>
      <c r="E6226" s="760"/>
      <c r="F6226" s="760"/>
      <c r="G6226" s="760"/>
      <c r="H6226" s="760"/>
      <c r="I6226" s="760"/>
      <c r="J6226" s="760"/>
      <c r="K6226" s="760"/>
    </row>
    <row r="6227" spans="1:11">
      <c r="A6227" s="760"/>
      <c r="B6227" s="760"/>
      <c r="C6227" s="760"/>
      <c r="D6227" s="760"/>
      <c r="E6227" s="760"/>
      <c r="F6227" s="760"/>
      <c r="G6227" s="760"/>
      <c r="H6227" s="760"/>
      <c r="I6227" s="760"/>
      <c r="J6227" s="760"/>
      <c r="K6227" s="760"/>
    </row>
    <row r="6228" spans="1:11">
      <c r="A6228" s="760"/>
      <c r="B6228" s="760"/>
      <c r="C6228" s="760"/>
      <c r="D6228" s="760"/>
      <c r="E6228" s="760"/>
      <c r="F6228" s="760"/>
      <c r="G6228" s="760"/>
      <c r="H6228" s="760"/>
      <c r="I6228" s="760"/>
      <c r="J6228" s="760"/>
      <c r="K6228" s="760"/>
    </row>
    <row r="6229" spans="1:11">
      <c r="A6229" s="760"/>
      <c r="B6229" s="760"/>
      <c r="C6229" s="760"/>
      <c r="D6229" s="760"/>
      <c r="E6229" s="760"/>
      <c r="F6229" s="760"/>
      <c r="G6229" s="760"/>
      <c r="H6229" s="760"/>
      <c r="I6229" s="760"/>
      <c r="J6229" s="760"/>
      <c r="K6229" s="760"/>
    </row>
    <row r="6230" spans="1:11">
      <c r="A6230" s="760"/>
      <c r="B6230" s="760"/>
      <c r="C6230" s="760"/>
      <c r="D6230" s="760"/>
      <c r="E6230" s="760"/>
      <c r="F6230" s="760"/>
      <c r="G6230" s="760"/>
      <c r="H6230" s="760"/>
      <c r="I6230" s="760"/>
      <c r="J6230" s="760"/>
      <c r="K6230" s="760"/>
    </row>
    <row r="6231" spans="1:11">
      <c r="A6231" s="760"/>
      <c r="B6231" s="760"/>
      <c r="C6231" s="760"/>
      <c r="D6231" s="760"/>
      <c r="E6231" s="760"/>
      <c r="F6231" s="760"/>
      <c r="G6231" s="760"/>
      <c r="H6231" s="760"/>
      <c r="I6231" s="760"/>
      <c r="J6231" s="760"/>
      <c r="K6231" s="760"/>
    </row>
    <row r="6232" spans="1:11">
      <c r="A6232" s="760"/>
      <c r="B6232" s="760"/>
      <c r="C6232" s="760"/>
      <c r="D6232" s="760"/>
      <c r="E6232" s="760"/>
      <c r="F6232" s="760"/>
      <c r="G6232" s="760"/>
      <c r="H6232" s="760"/>
      <c r="I6232" s="760"/>
      <c r="J6232" s="760"/>
      <c r="K6232" s="760"/>
    </row>
    <row r="6233" spans="1:11">
      <c r="A6233" s="760"/>
      <c r="B6233" s="760"/>
      <c r="C6233" s="760"/>
      <c r="D6233" s="760"/>
      <c r="E6233" s="760"/>
      <c r="F6233" s="760"/>
      <c r="G6233" s="760"/>
      <c r="H6233" s="760"/>
      <c r="I6233" s="760"/>
      <c r="J6233" s="760"/>
      <c r="K6233" s="760"/>
    </row>
    <row r="6234" spans="1:11">
      <c r="A6234" s="760"/>
      <c r="B6234" s="760"/>
      <c r="C6234" s="760"/>
      <c r="D6234" s="760"/>
      <c r="E6234" s="760"/>
      <c r="F6234" s="760"/>
      <c r="G6234" s="760"/>
      <c r="H6234" s="760"/>
      <c r="I6234" s="760"/>
      <c r="J6234" s="760"/>
      <c r="K6234" s="760"/>
    </row>
    <row r="6235" spans="1:11">
      <c r="A6235" s="760"/>
      <c r="B6235" s="760"/>
      <c r="C6235" s="760"/>
      <c r="D6235" s="760"/>
      <c r="E6235" s="760"/>
      <c r="F6235" s="760"/>
      <c r="G6235" s="760"/>
      <c r="H6235" s="760"/>
      <c r="I6235" s="760"/>
      <c r="J6235" s="760"/>
      <c r="K6235" s="760"/>
    </row>
    <row r="6236" spans="1:11">
      <c r="A6236" s="760"/>
      <c r="B6236" s="760"/>
      <c r="C6236" s="760"/>
      <c r="D6236" s="760"/>
      <c r="E6236" s="760"/>
      <c r="F6236" s="760"/>
      <c r="G6236" s="760"/>
      <c r="H6236" s="760"/>
      <c r="I6236" s="760"/>
      <c r="J6236" s="760"/>
      <c r="K6236" s="760"/>
    </row>
    <row r="6237" spans="1:11">
      <c r="A6237" s="760"/>
      <c r="B6237" s="760"/>
      <c r="C6237" s="760"/>
      <c r="D6237" s="760"/>
      <c r="E6237" s="760"/>
      <c r="F6237" s="760"/>
      <c r="G6237" s="760"/>
      <c r="H6237" s="760"/>
      <c r="I6237" s="760"/>
      <c r="J6237" s="760"/>
      <c r="K6237" s="760"/>
    </row>
    <row r="6238" spans="1:11">
      <c r="A6238" s="760"/>
      <c r="B6238" s="760"/>
      <c r="C6238" s="760"/>
      <c r="D6238" s="760"/>
      <c r="E6238" s="760"/>
      <c r="F6238" s="760"/>
      <c r="G6238" s="760"/>
      <c r="H6238" s="760"/>
      <c r="I6238" s="760"/>
      <c r="J6238" s="760"/>
      <c r="K6238" s="760"/>
    </row>
    <row r="6239" spans="1:11">
      <c r="A6239" s="760"/>
      <c r="B6239" s="760"/>
      <c r="C6239" s="760"/>
      <c r="D6239" s="760"/>
      <c r="E6239" s="760"/>
      <c r="F6239" s="760"/>
      <c r="G6239" s="760"/>
      <c r="H6239" s="760"/>
      <c r="I6239" s="760"/>
      <c r="J6239" s="760"/>
      <c r="K6239" s="760"/>
    </row>
    <row r="6240" spans="1:11">
      <c r="A6240" s="760"/>
      <c r="B6240" s="760"/>
      <c r="C6240" s="760"/>
      <c r="D6240" s="760"/>
      <c r="E6240" s="760"/>
      <c r="F6240" s="760"/>
      <c r="G6240" s="760"/>
      <c r="H6240" s="760"/>
      <c r="I6240" s="760"/>
      <c r="J6240" s="760"/>
      <c r="K6240" s="760"/>
    </row>
    <row r="6241" spans="1:11">
      <c r="A6241" s="760"/>
      <c r="B6241" s="760"/>
      <c r="C6241" s="760"/>
      <c r="D6241" s="760"/>
      <c r="E6241" s="760"/>
      <c r="F6241" s="760"/>
      <c r="G6241" s="760"/>
      <c r="H6241" s="760"/>
      <c r="I6241" s="760"/>
      <c r="J6241" s="760"/>
      <c r="K6241" s="760"/>
    </row>
    <row r="6242" spans="1:11">
      <c r="A6242" s="760"/>
      <c r="B6242" s="760"/>
      <c r="C6242" s="760"/>
      <c r="D6242" s="760"/>
      <c r="E6242" s="760"/>
      <c r="F6242" s="760"/>
      <c r="G6242" s="760"/>
      <c r="H6242" s="760"/>
      <c r="I6242" s="760"/>
      <c r="J6242" s="760"/>
      <c r="K6242" s="760"/>
    </row>
    <row r="6243" spans="1:11">
      <c r="A6243" s="760"/>
      <c r="B6243" s="760"/>
      <c r="C6243" s="760"/>
      <c r="D6243" s="760"/>
      <c r="E6243" s="760"/>
      <c r="F6243" s="760"/>
      <c r="G6243" s="760"/>
      <c r="H6243" s="760"/>
      <c r="I6243" s="760"/>
      <c r="J6243" s="760"/>
      <c r="K6243" s="760"/>
    </row>
    <row r="6244" spans="1:11">
      <c r="A6244" s="760"/>
      <c r="B6244" s="760"/>
      <c r="C6244" s="760"/>
      <c r="D6244" s="760"/>
      <c r="E6244" s="760"/>
      <c r="F6244" s="760"/>
      <c r="G6244" s="760"/>
      <c r="H6244" s="760"/>
      <c r="I6244" s="760"/>
      <c r="J6244" s="760"/>
      <c r="K6244" s="760"/>
    </row>
    <row r="6245" spans="1:11">
      <c r="A6245" s="760"/>
      <c r="B6245" s="760"/>
      <c r="C6245" s="760"/>
      <c r="D6245" s="760"/>
      <c r="E6245" s="760"/>
      <c r="F6245" s="760"/>
      <c r="G6245" s="760"/>
      <c r="H6245" s="760"/>
      <c r="I6245" s="760"/>
      <c r="J6245" s="760"/>
      <c r="K6245" s="760"/>
    </row>
    <row r="6246" spans="1:11">
      <c r="A6246" s="760"/>
      <c r="B6246" s="760"/>
      <c r="C6246" s="760"/>
      <c r="D6246" s="760"/>
      <c r="E6246" s="760"/>
      <c r="F6246" s="760"/>
      <c r="G6246" s="760"/>
      <c r="H6246" s="760"/>
      <c r="I6246" s="760"/>
      <c r="J6246" s="760"/>
      <c r="K6246" s="760"/>
    </row>
    <row r="6247" spans="1:11">
      <c r="A6247" s="760"/>
      <c r="B6247" s="760"/>
      <c r="C6247" s="760"/>
      <c r="D6247" s="760"/>
      <c r="E6247" s="760"/>
      <c r="F6247" s="760"/>
      <c r="G6247" s="760"/>
      <c r="H6247" s="760"/>
      <c r="I6247" s="760"/>
      <c r="J6247" s="760"/>
      <c r="K6247" s="760"/>
    </row>
    <row r="6248" spans="1:11">
      <c r="A6248" s="760"/>
      <c r="B6248" s="760"/>
      <c r="C6248" s="760"/>
      <c r="D6248" s="760"/>
      <c r="E6248" s="760"/>
      <c r="F6248" s="760"/>
      <c r="G6248" s="760"/>
      <c r="H6248" s="760"/>
      <c r="I6248" s="760"/>
      <c r="J6248" s="760"/>
      <c r="K6248" s="760"/>
    </row>
    <row r="6249" spans="1:11">
      <c r="A6249" s="760"/>
      <c r="B6249" s="760"/>
      <c r="C6249" s="760"/>
      <c r="D6249" s="760"/>
      <c r="E6249" s="760"/>
      <c r="F6249" s="760"/>
      <c r="G6249" s="760"/>
      <c r="H6249" s="760"/>
      <c r="I6249" s="760"/>
      <c r="J6249" s="760"/>
      <c r="K6249" s="760"/>
    </row>
    <row r="6250" spans="1:11">
      <c r="A6250" s="760"/>
      <c r="B6250" s="760"/>
      <c r="C6250" s="760"/>
      <c r="D6250" s="760"/>
      <c r="E6250" s="760"/>
      <c r="F6250" s="760"/>
      <c r="G6250" s="760"/>
      <c r="H6250" s="760"/>
      <c r="I6250" s="760"/>
      <c r="J6250" s="760"/>
      <c r="K6250" s="760"/>
    </row>
    <row r="6251" spans="1:11">
      <c r="A6251" s="760"/>
      <c r="B6251" s="760"/>
      <c r="C6251" s="760"/>
      <c r="D6251" s="760"/>
      <c r="E6251" s="760"/>
      <c r="F6251" s="760"/>
      <c r="G6251" s="760"/>
      <c r="H6251" s="760"/>
      <c r="I6251" s="760"/>
      <c r="J6251" s="760"/>
      <c r="K6251" s="760"/>
    </row>
    <row r="6252" spans="1:11">
      <c r="A6252" s="760"/>
      <c r="B6252" s="760"/>
      <c r="C6252" s="760"/>
      <c r="D6252" s="760"/>
      <c r="E6252" s="760"/>
      <c r="F6252" s="760"/>
      <c r="G6252" s="760"/>
      <c r="H6252" s="760"/>
      <c r="I6252" s="760"/>
      <c r="J6252" s="760"/>
      <c r="K6252" s="760"/>
    </row>
    <row r="6253" spans="1:11">
      <c r="A6253" s="760"/>
      <c r="B6253" s="760"/>
      <c r="C6253" s="760"/>
      <c r="D6253" s="760"/>
      <c r="E6253" s="760"/>
      <c r="F6253" s="760"/>
      <c r="G6253" s="760"/>
      <c r="H6253" s="760"/>
      <c r="I6253" s="760"/>
      <c r="J6253" s="760"/>
      <c r="K6253" s="760"/>
    </row>
    <row r="6254" spans="1:11">
      <c r="A6254" s="760"/>
      <c r="B6254" s="760"/>
      <c r="C6254" s="760"/>
      <c r="D6254" s="760"/>
      <c r="E6254" s="760"/>
      <c r="F6254" s="760"/>
      <c r="G6254" s="760"/>
      <c r="H6254" s="760"/>
      <c r="I6254" s="760"/>
      <c r="J6254" s="760"/>
      <c r="K6254" s="760"/>
    </row>
    <row r="6255" spans="1:11">
      <c r="A6255" s="760"/>
      <c r="B6255" s="760"/>
      <c r="C6255" s="760"/>
      <c r="D6255" s="760"/>
      <c r="E6255" s="760"/>
      <c r="F6255" s="760"/>
      <c r="G6255" s="760"/>
      <c r="H6255" s="760"/>
      <c r="I6255" s="760"/>
      <c r="J6255" s="760"/>
      <c r="K6255" s="760"/>
    </row>
    <row r="6256" spans="1:11">
      <c r="A6256" s="760"/>
      <c r="B6256" s="760"/>
      <c r="C6256" s="760"/>
      <c r="D6256" s="760"/>
      <c r="E6256" s="760"/>
      <c r="F6256" s="760"/>
      <c r="G6256" s="760"/>
      <c r="H6256" s="760"/>
      <c r="I6256" s="760"/>
      <c r="J6256" s="760"/>
      <c r="K6256" s="760"/>
    </row>
    <row r="6257" spans="1:11">
      <c r="A6257" s="760"/>
      <c r="B6257" s="760"/>
      <c r="C6257" s="760"/>
      <c r="D6257" s="760"/>
      <c r="E6257" s="760"/>
      <c r="F6257" s="760"/>
      <c r="G6257" s="760"/>
      <c r="H6257" s="760"/>
      <c r="I6257" s="760"/>
      <c r="J6257" s="760"/>
      <c r="K6257" s="760"/>
    </row>
    <row r="6258" spans="1:11">
      <c r="A6258" s="760"/>
      <c r="B6258" s="760"/>
      <c r="C6258" s="760"/>
      <c r="D6258" s="760"/>
      <c r="E6258" s="760"/>
      <c r="F6258" s="760"/>
      <c r="G6258" s="760"/>
      <c r="H6258" s="760"/>
      <c r="I6258" s="760"/>
      <c r="J6258" s="760"/>
      <c r="K6258" s="760"/>
    </row>
    <row r="6259" spans="1:11">
      <c r="A6259" s="760"/>
      <c r="B6259" s="760"/>
      <c r="C6259" s="760"/>
      <c r="D6259" s="760"/>
      <c r="E6259" s="760"/>
      <c r="F6259" s="760"/>
      <c r="G6259" s="760"/>
      <c r="H6259" s="760"/>
      <c r="I6259" s="760"/>
      <c r="J6259" s="760"/>
      <c r="K6259" s="760"/>
    </row>
    <row r="6260" spans="1:11">
      <c r="A6260" s="760"/>
      <c r="B6260" s="760"/>
      <c r="C6260" s="760"/>
      <c r="D6260" s="760"/>
      <c r="E6260" s="760"/>
      <c r="F6260" s="760"/>
      <c r="G6260" s="760"/>
      <c r="H6260" s="760"/>
      <c r="I6260" s="760"/>
      <c r="J6260" s="760"/>
      <c r="K6260" s="760"/>
    </row>
    <row r="6261" spans="1:11">
      <c r="A6261" s="760"/>
      <c r="B6261" s="760"/>
      <c r="C6261" s="760"/>
      <c r="D6261" s="760"/>
      <c r="E6261" s="760"/>
      <c r="F6261" s="760"/>
      <c r="G6261" s="760"/>
      <c r="H6261" s="760"/>
      <c r="I6261" s="760"/>
      <c r="J6261" s="760"/>
      <c r="K6261" s="760"/>
    </row>
    <row r="6262" spans="1:11">
      <c r="A6262" s="760"/>
      <c r="B6262" s="760"/>
      <c r="C6262" s="760"/>
      <c r="D6262" s="760"/>
      <c r="E6262" s="760"/>
      <c r="F6262" s="760"/>
      <c r="G6262" s="760"/>
      <c r="H6262" s="760"/>
      <c r="I6262" s="760"/>
      <c r="J6262" s="760"/>
      <c r="K6262" s="760"/>
    </row>
    <row r="6263" spans="1:11">
      <c r="A6263" s="760"/>
      <c r="B6263" s="760"/>
      <c r="C6263" s="760"/>
      <c r="D6263" s="760"/>
      <c r="E6263" s="760"/>
      <c r="F6263" s="760"/>
      <c r="G6263" s="760"/>
      <c r="H6263" s="760"/>
      <c r="I6263" s="760"/>
      <c r="J6263" s="760"/>
      <c r="K6263" s="760"/>
    </row>
    <row r="6264" spans="1:11">
      <c r="A6264" s="760"/>
      <c r="B6264" s="760"/>
      <c r="C6264" s="760"/>
      <c r="D6264" s="760"/>
      <c r="E6264" s="760"/>
      <c r="F6264" s="760"/>
      <c r="G6264" s="760"/>
      <c r="H6264" s="760"/>
      <c r="I6264" s="760"/>
      <c r="J6264" s="760"/>
      <c r="K6264" s="760"/>
    </row>
    <row r="6265" spans="1:11">
      <c r="A6265" s="760"/>
      <c r="B6265" s="760"/>
      <c r="C6265" s="760"/>
      <c r="D6265" s="760"/>
      <c r="E6265" s="760"/>
      <c r="F6265" s="760"/>
      <c r="G6265" s="760"/>
      <c r="H6265" s="760"/>
      <c r="I6265" s="760"/>
      <c r="J6265" s="760"/>
      <c r="K6265" s="760"/>
    </row>
    <row r="6266" spans="1:11">
      <c r="A6266" s="760"/>
      <c r="B6266" s="760"/>
      <c r="C6266" s="760"/>
      <c r="D6266" s="760"/>
      <c r="E6266" s="760"/>
      <c r="F6266" s="760"/>
      <c r="G6266" s="760"/>
      <c r="H6266" s="760"/>
      <c r="I6266" s="760"/>
      <c r="J6266" s="760"/>
      <c r="K6266" s="760"/>
    </row>
    <row r="6267" spans="1:11">
      <c r="A6267" s="760"/>
      <c r="B6267" s="760"/>
      <c r="C6267" s="760"/>
      <c r="D6267" s="760"/>
      <c r="E6267" s="760"/>
      <c r="F6267" s="760"/>
      <c r="G6267" s="760"/>
      <c r="H6267" s="760"/>
      <c r="I6267" s="760"/>
      <c r="J6267" s="760"/>
      <c r="K6267" s="760"/>
    </row>
    <row r="6268" spans="1:11">
      <c r="A6268" s="760"/>
      <c r="B6268" s="760"/>
      <c r="C6268" s="760"/>
      <c r="D6268" s="760"/>
      <c r="E6268" s="760"/>
      <c r="F6268" s="760"/>
      <c r="G6268" s="760"/>
      <c r="H6268" s="760"/>
      <c r="I6268" s="760"/>
      <c r="J6268" s="760"/>
      <c r="K6268" s="760"/>
    </row>
    <row r="6269" spans="1:11">
      <c r="A6269" s="760"/>
      <c r="B6269" s="760"/>
      <c r="C6269" s="760"/>
      <c r="D6269" s="760"/>
      <c r="E6269" s="760"/>
      <c r="F6269" s="760"/>
      <c r="G6269" s="760"/>
      <c r="H6269" s="760"/>
      <c r="I6269" s="760"/>
      <c r="J6269" s="760"/>
      <c r="K6269" s="760"/>
    </row>
    <row r="6270" spans="1:11">
      <c r="A6270" s="760"/>
      <c r="B6270" s="760"/>
      <c r="C6270" s="760"/>
      <c r="D6270" s="760"/>
      <c r="E6270" s="760"/>
      <c r="F6270" s="760"/>
      <c r="G6270" s="760"/>
      <c r="H6270" s="760"/>
      <c r="I6270" s="760"/>
      <c r="J6270" s="760"/>
      <c r="K6270" s="760"/>
    </row>
    <row r="6271" spans="1:11">
      <c r="A6271" s="760"/>
      <c r="B6271" s="760"/>
      <c r="C6271" s="760"/>
      <c r="D6271" s="760"/>
      <c r="E6271" s="760"/>
      <c r="F6271" s="760"/>
      <c r="G6271" s="760"/>
      <c r="H6271" s="760"/>
      <c r="I6271" s="760"/>
      <c r="J6271" s="760"/>
      <c r="K6271" s="760"/>
    </row>
    <row r="6272" spans="1:11">
      <c r="A6272" s="760"/>
      <c r="B6272" s="760"/>
      <c r="C6272" s="760"/>
      <c r="D6272" s="760"/>
      <c r="E6272" s="760"/>
      <c r="F6272" s="760"/>
      <c r="G6272" s="760"/>
      <c r="H6272" s="760"/>
      <c r="I6272" s="760"/>
      <c r="J6272" s="760"/>
      <c r="K6272" s="760"/>
    </row>
    <row r="6273" spans="1:11">
      <c r="A6273" s="760"/>
      <c r="B6273" s="760"/>
      <c r="C6273" s="760"/>
      <c r="D6273" s="760"/>
      <c r="E6273" s="760"/>
      <c r="F6273" s="760"/>
      <c r="G6273" s="760"/>
      <c r="H6273" s="760"/>
      <c r="I6273" s="760"/>
      <c r="J6273" s="760"/>
      <c r="K6273" s="760"/>
    </row>
    <row r="6274" spans="1:11">
      <c r="A6274" s="760"/>
      <c r="B6274" s="760"/>
      <c r="C6274" s="760"/>
      <c r="D6274" s="760"/>
      <c r="E6274" s="760"/>
      <c r="F6274" s="760"/>
      <c r="G6274" s="760"/>
      <c r="H6274" s="760"/>
      <c r="I6274" s="760"/>
      <c r="J6274" s="760"/>
      <c r="K6274" s="760"/>
    </row>
    <row r="6275" spans="1:11">
      <c r="A6275" s="760"/>
      <c r="B6275" s="760"/>
      <c r="C6275" s="760"/>
      <c r="D6275" s="760"/>
      <c r="E6275" s="760"/>
      <c r="F6275" s="760"/>
      <c r="G6275" s="760"/>
      <c r="H6275" s="760"/>
      <c r="I6275" s="760"/>
      <c r="J6275" s="760"/>
      <c r="K6275" s="760"/>
    </row>
    <row r="6276" spans="1:11">
      <c r="A6276" s="760"/>
      <c r="B6276" s="760"/>
      <c r="C6276" s="760"/>
      <c r="D6276" s="760"/>
      <c r="E6276" s="760"/>
      <c r="F6276" s="760"/>
      <c r="G6276" s="760"/>
      <c r="H6276" s="760"/>
      <c r="I6276" s="760"/>
      <c r="J6276" s="760"/>
      <c r="K6276" s="760"/>
    </row>
    <row r="6277" spans="1:11">
      <c r="A6277" s="760"/>
      <c r="B6277" s="760"/>
      <c r="C6277" s="760"/>
      <c r="D6277" s="760"/>
      <c r="E6277" s="760"/>
      <c r="F6277" s="760"/>
      <c r="G6277" s="760"/>
      <c r="H6277" s="760"/>
      <c r="I6277" s="760"/>
      <c r="J6277" s="760"/>
      <c r="K6277" s="760"/>
    </row>
    <row r="6278" spans="1:11">
      <c r="A6278" s="760"/>
      <c r="B6278" s="760"/>
      <c r="C6278" s="760"/>
      <c r="D6278" s="760"/>
      <c r="E6278" s="760"/>
      <c r="F6278" s="760"/>
      <c r="G6278" s="760"/>
      <c r="H6278" s="760"/>
      <c r="I6278" s="760"/>
      <c r="J6278" s="760"/>
      <c r="K6278" s="760"/>
    </row>
    <row r="6279" spans="1:11">
      <c r="A6279" s="760"/>
      <c r="B6279" s="760"/>
      <c r="C6279" s="760"/>
      <c r="D6279" s="760"/>
      <c r="E6279" s="760"/>
      <c r="F6279" s="760"/>
      <c r="G6279" s="760"/>
      <c r="H6279" s="760"/>
      <c r="I6279" s="760"/>
      <c r="J6279" s="760"/>
      <c r="K6279" s="760"/>
    </row>
    <row r="6280" spans="1:11">
      <c r="A6280" s="760"/>
      <c r="B6280" s="760"/>
      <c r="C6280" s="760"/>
      <c r="D6280" s="760"/>
      <c r="E6280" s="760"/>
      <c r="F6280" s="760"/>
      <c r="G6280" s="760"/>
      <c r="H6280" s="760"/>
      <c r="I6280" s="760"/>
      <c r="J6280" s="760"/>
      <c r="K6280" s="760"/>
    </row>
    <row r="6281" spans="1:11">
      <c r="A6281" s="760"/>
      <c r="B6281" s="760"/>
      <c r="C6281" s="760"/>
      <c r="D6281" s="760"/>
      <c r="E6281" s="760"/>
      <c r="F6281" s="760"/>
      <c r="G6281" s="760"/>
      <c r="H6281" s="760"/>
      <c r="I6281" s="760"/>
      <c r="J6281" s="760"/>
      <c r="K6281" s="760"/>
    </row>
    <row r="6282" spans="1:11">
      <c r="A6282" s="760"/>
      <c r="B6282" s="760"/>
      <c r="C6282" s="760"/>
      <c r="D6282" s="760"/>
      <c r="E6282" s="760"/>
      <c r="F6282" s="760"/>
      <c r="G6282" s="760"/>
      <c r="H6282" s="760"/>
      <c r="I6282" s="760"/>
      <c r="J6282" s="760"/>
      <c r="K6282" s="760"/>
    </row>
    <row r="6283" spans="1:11">
      <c r="A6283" s="760"/>
      <c r="B6283" s="760"/>
      <c r="C6283" s="760"/>
      <c r="D6283" s="760"/>
      <c r="E6283" s="760"/>
      <c r="F6283" s="760"/>
      <c r="G6283" s="760"/>
      <c r="H6283" s="760"/>
      <c r="I6283" s="760"/>
      <c r="J6283" s="760"/>
      <c r="K6283" s="760"/>
    </row>
    <row r="6284" spans="1:11">
      <c r="A6284" s="760"/>
      <c r="B6284" s="760"/>
      <c r="C6284" s="760"/>
      <c r="D6284" s="760"/>
      <c r="E6284" s="760"/>
      <c r="F6284" s="760"/>
      <c r="G6284" s="760"/>
      <c r="H6284" s="760"/>
      <c r="I6284" s="760"/>
      <c r="J6284" s="760"/>
      <c r="K6284" s="760"/>
    </row>
    <row r="6285" spans="1:11">
      <c r="A6285" s="760"/>
      <c r="B6285" s="760"/>
      <c r="C6285" s="760"/>
      <c r="D6285" s="760"/>
      <c r="E6285" s="760"/>
      <c r="F6285" s="760"/>
      <c r="G6285" s="760"/>
      <c r="H6285" s="760"/>
      <c r="I6285" s="760"/>
      <c r="J6285" s="760"/>
      <c r="K6285" s="760"/>
    </row>
    <row r="6286" spans="1:11">
      <c r="A6286" s="760"/>
      <c r="B6286" s="760"/>
      <c r="C6286" s="760"/>
      <c r="D6286" s="760"/>
      <c r="E6286" s="760"/>
      <c r="F6286" s="760"/>
      <c r="G6286" s="760"/>
      <c r="H6286" s="760"/>
      <c r="I6286" s="760"/>
      <c r="J6286" s="760"/>
      <c r="K6286" s="760"/>
    </row>
    <row r="6287" spans="1:11">
      <c r="A6287" s="760"/>
      <c r="B6287" s="760"/>
      <c r="C6287" s="760"/>
      <c r="D6287" s="760"/>
      <c r="E6287" s="760"/>
      <c r="F6287" s="760"/>
      <c r="G6287" s="760"/>
      <c r="H6287" s="760"/>
      <c r="I6287" s="760"/>
      <c r="J6287" s="760"/>
      <c r="K6287" s="760"/>
    </row>
    <row r="6288" spans="1:11">
      <c r="A6288" s="760"/>
      <c r="B6288" s="760"/>
      <c r="C6288" s="760"/>
      <c r="D6288" s="760"/>
      <c r="E6288" s="760"/>
      <c r="F6288" s="760"/>
      <c r="G6288" s="760"/>
      <c r="H6288" s="760"/>
      <c r="I6288" s="760"/>
      <c r="J6288" s="760"/>
      <c r="K6288" s="760"/>
    </row>
    <row r="6289" spans="1:11">
      <c r="A6289" s="760"/>
      <c r="B6289" s="760"/>
      <c r="C6289" s="760"/>
      <c r="D6289" s="760"/>
      <c r="E6289" s="760"/>
      <c r="F6289" s="760"/>
      <c r="G6289" s="760"/>
      <c r="H6289" s="760"/>
      <c r="I6289" s="760"/>
      <c r="J6289" s="760"/>
      <c r="K6289" s="760"/>
    </row>
    <row r="6290" spans="1:11">
      <c r="A6290" s="760"/>
      <c r="B6290" s="760"/>
      <c r="C6290" s="760"/>
      <c r="D6290" s="760"/>
      <c r="E6290" s="760"/>
      <c r="F6290" s="760"/>
      <c r="G6290" s="760"/>
      <c r="H6290" s="760"/>
      <c r="I6290" s="760"/>
      <c r="J6290" s="760"/>
      <c r="K6290" s="760"/>
    </row>
    <row r="6291" spans="1:11">
      <c r="A6291" s="760"/>
      <c r="B6291" s="760"/>
      <c r="C6291" s="760"/>
      <c r="D6291" s="760"/>
      <c r="E6291" s="760"/>
      <c r="F6291" s="760"/>
      <c r="G6291" s="760"/>
      <c r="H6291" s="760"/>
      <c r="I6291" s="760"/>
      <c r="J6291" s="760"/>
      <c r="K6291" s="760"/>
    </row>
    <row r="6292" spans="1:11">
      <c r="A6292" s="760"/>
      <c r="B6292" s="760"/>
      <c r="C6292" s="760"/>
      <c r="D6292" s="760"/>
      <c r="E6292" s="760"/>
      <c r="F6292" s="760"/>
      <c r="G6292" s="760"/>
      <c r="H6292" s="760"/>
      <c r="I6292" s="760"/>
      <c r="J6292" s="760"/>
      <c r="K6292" s="760"/>
    </row>
    <row r="6293" spans="1:11">
      <c r="A6293" s="760"/>
      <c r="B6293" s="760"/>
      <c r="C6293" s="760"/>
      <c r="D6293" s="760"/>
      <c r="E6293" s="760"/>
      <c r="F6293" s="760"/>
      <c r="G6293" s="760"/>
      <c r="H6293" s="760"/>
      <c r="I6293" s="760"/>
      <c r="J6293" s="760"/>
      <c r="K6293" s="760"/>
    </row>
    <row r="6294" spans="1:11">
      <c r="A6294" s="760"/>
      <c r="B6294" s="760"/>
      <c r="C6294" s="760"/>
      <c r="D6294" s="760"/>
      <c r="E6294" s="760"/>
      <c r="F6294" s="760"/>
      <c r="G6294" s="760"/>
      <c r="H6294" s="760"/>
      <c r="I6294" s="760"/>
      <c r="J6294" s="760"/>
      <c r="K6294" s="760"/>
    </row>
    <row r="6295" spans="1:11">
      <c r="A6295" s="760"/>
      <c r="B6295" s="760"/>
      <c r="C6295" s="760"/>
      <c r="D6295" s="760"/>
      <c r="E6295" s="760"/>
      <c r="F6295" s="760"/>
      <c r="G6295" s="760"/>
      <c r="H6295" s="760"/>
      <c r="I6295" s="760"/>
      <c r="J6295" s="760"/>
      <c r="K6295" s="760"/>
    </row>
    <row r="6296" spans="1:11">
      <c r="A6296" s="760"/>
      <c r="B6296" s="760"/>
      <c r="C6296" s="760"/>
      <c r="D6296" s="760"/>
      <c r="E6296" s="760"/>
      <c r="F6296" s="760"/>
      <c r="G6296" s="760"/>
      <c r="H6296" s="760"/>
      <c r="I6296" s="760"/>
      <c r="J6296" s="760"/>
      <c r="K6296" s="760"/>
    </row>
    <row r="6297" spans="1:11">
      <c r="A6297" s="760"/>
      <c r="B6297" s="760"/>
      <c r="C6297" s="760"/>
      <c r="D6297" s="760"/>
      <c r="E6297" s="760"/>
      <c r="F6297" s="760"/>
      <c r="G6297" s="760"/>
      <c r="H6297" s="760"/>
      <c r="I6297" s="760"/>
      <c r="J6297" s="760"/>
      <c r="K6297" s="760"/>
    </row>
    <row r="6298" spans="1:11">
      <c r="A6298" s="760"/>
      <c r="B6298" s="760"/>
      <c r="C6298" s="760"/>
      <c r="D6298" s="760"/>
      <c r="E6298" s="760"/>
      <c r="F6298" s="760"/>
      <c r="G6298" s="760"/>
      <c r="H6298" s="760"/>
      <c r="I6298" s="760"/>
      <c r="J6298" s="760"/>
      <c r="K6298" s="760"/>
    </row>
    <row r="6299" spans="1:11">
      <c r="A6299" s="760"/>
      <c r="B6299" s="760"/>
      <c r="C6299" s="760"/>
      <c r="D6299" s="760"/>
      <c r="E6299" s="760"/>
      <c r="F6299" s="760"/>
      <c r="G6299" s="760"/>
      <c r="H6299" s="760"/>
      <c r="I6299" s="760"/>
      <c r="J6299" s="760"/>
      <c r="K6299" s="760"/>
    </row>
    <row r="6300" spans="1:11">
      <c r="A6300" s="760"/>
      <c r="B6300" s="760"/>
      <c r="C6300" s="760"/>
      <c r="D6300" s="760"/>
      <c r="E6300" s="760"/>
      <c r="F6300" s="760"/>
      <c r="G6300" s="760"/>
      <c r="H6300" s="760"/>
      <c r="I6300" s="760"/>
      <c r="J6300" s="760"/>
      <c r="K6300" s="760"/>
    </row>
    <row r="6301" spans="1:11">
      <c r="A6301" s="760"/>
      <c r="B6301" s="760"/>
      <c r="C6301" s="760"/>
      <c r="D6301" s="760"/>
      <c r="E6301" s="760"/>
      <c r="F6301" s="760"/>
      <c r="G6301" s="760"/>
      <c r="H6301" s="760"/>
      <c r="I6301" s="760"/>
      <c r="J6301" s="760"/>
      <c r="K6301" s="760"/>
    </row>
    <row r="6302" spans="1:11">
      <c r="A6302" s="760"/>
      <c r="B6302" s="760"/>
      <c r="C6302" s="760"/>
      <c r="D6302" s="760"/>
      <c r="E6302" s="760"/>
      <c r="F6302" s="760"/>
      <c r="G6302" s="760"/>
      <c r="H6302" s="760"/>
      <c r="I6302" s="760"/>
      <c r="J6302" s="760"/>
      <c r="K6302" s="760"/>
    </row>
    <row r="6303" spans="1:11">
      <c r="A6303" s="760"/>
      <c r="B6303" s="760"/>
      <c r="C6303" s="760"/>
      <c r="D6303" s="760"/>
      <c r="E6303" s="760"/>
      <c r="F6303" s="760"/>
      <c r="G6303" s="760"/>
      <c r="H6303" s="760"/>
      <c r="I6303" s="760"/>
      <c r="J6303" s="760"/>
      <c r="K6303" s="760"/>
    </row>
    <row r="6304" spans="1:11">
      <c r="A6304" s="760"/>
      <c r="B6304" s="760"/>
      <c r="C6304" s="760"/>
      <c r="D6304" s="760"/>
      <c r="E6304" s="760"/>
      <c r="F6304" s="760"/>
      <c r="G6304" s="760"/>
      <c r="H6304" s="760"/>
      <c r="I6304" s="760"/>
      <c r="J6304" s="760"/>
      <c r="K6304" s="760"/>
    </row>
    <row r="6305" spans="1:11">
      <c r="A6305" s="760"/>
      <c r="B6305" s="760"/>
      <c r="C6305" s="760"/>
      <c r="D6305" s="760"/>
      <c r="E6305" s="760"/>
      <c r="F6305" s="760"/>
      <c r="G6305" s="760"/>
      <c r="H6305" s="760"/>
      <c r="I6305" s="760"/>
      <c r="J6305" s="760"/>
      <c r="K6305" s="760"/>
    </row>
    <row r="6306" spans="1:11">
      <c r="A6306" s="760"/>
      <c r="B6306" s="760"/>
      <c r="C6306" s="760"/>
      <c r="D6306" s="760"/>
      <c r="E6306" s="760"/>
      <c r="F6306" s="760"/>
      <c r="G6306" s="760"/>
      <c r="H6306" s="760"/>
      <c r="I6306" s="760"/>
      <c r="J6306" s="760"/>
      <c r="K6306" s="760"/>
    </row>
    <row r="6307" spans="1:11">
      <c r="A6307" s="760"/>
      <c r="B6307" s="760"/>
      <c r="C6307" s="760"/>
      <c r="D6307" s="760"/>
      <c r="E6307" s="760"/>
      <c r="F6307" s="760"/>
      <c r="G6307" s="760"/>
      <c r="H6307" s="760"/>
      <c r="I6307" s="760"/>
      <c r="J6307" s="760"/>
      <c r="K6307" s="760"/>
    </row>
    <row r="6308" spans="1:11">
      <c r="A6308" s="760"/>
      <c r="B6308" s="760"/>
      <c r="C6308" s="760"/>
      <c r="D6308" s="760"/>
      <c r="E6308" s="760"/>
      <c r="F6308" s="760"/>
      <c r="G6308" s="760"/>
      <c r="H6308" s="760"/>
      <c r="I6308" s="760"/>
      <c r="J6308" s="760"/>
      <c r="K6308" s="760"/>
    </row>
    <row r="6309" spans="1:11">
      <c r="A6309" s="760"/>
      <c r="B6309" s="760"/>
      <c r="C6309" s="760"/>
      <c r="D6309" s="760"/>
      <c r="E6309" s="760"/>
      <c r="F6309" s="760"/>
      <c r="G6309" s="760"/>
      <c r="H6309" s="760"/>
      <c r="I6309" s="760"/>
      <c r="J6309" s="760"/>
      <c r="K6309" s="760"/>
    </row>
    <row r="6310" spans="1:11">
      <c r="A6310" s="760"/>
      <c r="B6310" s="760"/>
      <c r="C6310" s="760"/>
      <c r="D6310" s="760"/>
      <c r="E6310" s="760"/>
      <c r="F6310" s="760"/>
      <c r="G6310" s="760"/>
      <c r="H6310" s="760"/>
      <c r="I6310" s="760"/>
      <c r="J6310" s="760"/>
      <c r="K6310" s="760"/>
    </row>
    <row r="6311" spans="1:11">
      <c r="A6311" s="760"/>
      <c r="B6311" s="760"/>
      <c r="C6311" s="760"/>
      <c r="D6311" s="760"/>
      <c r="E6311" s="760"/>
      <c r="F6311" s="760"/>
      <c r="G6311" s="760"/>
      <c r="H6311" s="760"/>
      <c r="I6311" s="760"/>
      <c r="J6311" s="760"/>
      <c r="K6311" s="760"/>
    </row>
    <row r="6312" spans="1:11">
      <c r="A6312" s="760"/>
      <c r="B6312" s="760"/>
      <c r="C6312" s="760"/>
      <c r="D6312" s="760"/>
      <c r="E6312" s="760"/>
      <c r="F6312" s="760"/>
      <c r="G6312" s="760"/>
      <c r="H6312" s="760"/>
      <c r="I6312" s="760"/>
      <c r="J6312" s="760"/>
      <c r="K6312" s="760"/>
    </row>
    <row r="6313" spans="1:11">
      <c r="A6313" s="760"/>
      <c r="B6313" s="760"/>
      <c r="C6313" s="760"/>
      <c r="D6313" s="760"/>
      <c r="E6313" s="760"/>
      <c r="F6313" s="760"/>
      <c r="G6313" s="760"/>
      <c r="H6313" s="760"/>
      <c r="I6313" s="760"/>
      <c r="J6313" s="760"/>
      <c r="K6313" s="760"/>
    </row>
    <row r="6314" spans="1:11">
      <c r="A6314" s="760"/>
      <c r="B6314" s="760"/>
      <c r="C6314" s="760"/>
      <c r="D6314" s="760"/>
      <c r="E6314" s="760"/>
      <c r="F6314" s="760"/>
      <c r="G6314" s="760"/>
      <c r="H6314" s="760"/>
      <c r="I6314" s="760"/>
      <c r="J6314" s="760"/>
      <c r="K6314" s="760"/>
    </row>
    <row r="6315" spans="1:11">
      <c r="A6315" s="760"/>
      <c r="B6315" s="760"/>
      <c r="C6315" s="760"/>
      <c r="D6315" s="760"/>
      <c r="E6315" s="760"/>
      <c r="F6315" s="760"/>
      <c r="G6315" s="760"/>
      <c r="H6315" s="760"/>
      <c r="I6315" s="760"/>
      <c r="J6315" s="760"/>
      <c r="K6315" s="760"/>
    </row>
    <row r="6316" spans="1:11">
      <c r="A6316" s="760"/>
      <c r="B6316" s="760"/>
      <c r="C6316" s="760"/>
      <c r="D6316" s="760"/>
      <c r="E6316" s="760"/>
      <c r="F6316" s="760"/>
      <c r="G6316" s="760"/>
      <c r="H6316" s="760"/>
      <c r="I6316" s="760"/>
      <c r="J6316" s="760"/>
      <c r="K6316" s="760"/>
    </row>
    <row r="6317" spans="1:11">
      <c r="A6317" s="760"/>
      <c r="B6317" s="760"/>
      <c r="C6317" s="760"/>
      <c r="D6317" s="760"/>
      <c r="E6317" s="760"/>
      <c r="F6317" s="760"/>
      <c r="G6317" s="760"/>
      <c r="H6317" s="760"/>
      <c r="I6317" s="760"/>
      <c r="J6317" s="760"/>
      <c r="K6317" s="760"/>
    </row>
    <row r="6318" spans="1:11">
      <c r="A6318" s="760"/>
      <c r="B6318" s="760"/>
      <c r="C6318" s="760"/>
      <c r="D6318" s="760"/>
      <c r="E6318" s="760"/>
      <c r="F6318" s="760"/>
      <c r="G6318" s="760"/>
      <c r="H6318" s="760"/>
      <c r="I6318" s="760"/>
      <c r="J6318" s="760"/>
      <c r="K6318" s="760"/>
    </row>
    <row r="6319" spans="1:11">
      <c r="A6319" s="760"/>
      <c r="B6319" s="760"/>
      <c r="C6319" s="760"/>
      <c r="D6319" s="760"/>
      <c r="E6319" s="760"/>
      <c r="F6319" s="760"/>
      <c r="G6319" s="760"/>
      <c r="H6319" s="760"/>
      <c r="I6319" s="760"/>
      <c r="J6319" s="760"/>
      <c r="K6319" s="760"/>
    </row>
    <row r="6320" spans="1:11">
      <c r="A6320" s="760"/>
      <c r="B6320" s="760"/>
      <c r="C6320" s="760"/>
      <c r="D6320" s="760"/>
      <c r="E6320" s="760"/>
      <c r="F6320" s="760"/>
      <c r="G6320" s="760"/>
      <c r="H6320" s="760"/>
      <c r="I6320" s="760"/>
      <c r="J6320" s="760"/>
      <c r="K6320" s="760"/>
    </row>
    <row r="6321" spans="1:11">
      <c r="A6321" s="760"/>
      <c r="B6321" s="760"/>
      <c r="C6321" s="760"/>
      <c r="D6321" s="760"/>
      <c r="E6321" s="760"/>
      <c r="F6321" s="760"/>
      <c r="G6321" s="760"/>
      <c r="H6321" s="760"/>
      <c r="I6321" s="760"/>
      <c r="J6321" s="760"/>
      <c r="K6321" s="760"/>
    </row>
    <row r="6322" spans="1:11">
      <c r="A6322" s="760"/>
      <c r="B6322" s="760"/>
      <c r="C6322" s="760"/>
      <c r="D6322" s="760"/>
      <c r="E6322" s="760"/>
      <c r="F6322" s="760"/>
      <c r="G6322" s="760"/>
      <c r="H6322" s="760"/>
      <c r="I6322" s="760"/>
      <c r="J6322" s="760"/>
      <c r="K6322" s="760"/>
    </row>
    <row r="6323" spans="1:11">
      <c r="A6323" s="760"/>
      <c r="B6323" s="760"/>
      <c r="C6323" s="760"/>
      <c r="D6323" s="760"/>
      <c r="E6323" s="760"/>
      <c r="F6323" s="760"/>
      <c r="G6323" s="760"/>
      <c r="H6323" s="760"/>
      <c r="I6323" s="760"/>
      <c r="J6323" s="760"/>
      <c r="K6323" s="760"/>
    </row>
    <row r="6324" spans="1:11">
      <c r="A6324" s="760"/>
      <c r="B6324" s="760"/>
      <c r="C6324" s="760"/>
      <c r="D6324" s="760"/>
      <c r="E6324" s="760"/>
      <c r="F6324" s="760"/>
      <c r="G6324" s="760"/>
      <c r="H6324" s="760"/>
      <c r="I6324" s="760"/>
      <c r="J6324" s="760"/>
      <c r="K6324" s="760"/>
    </row>
    <row r="6325" spans="1:11">
      <c r="A6325" s="760"/>
      <c r="B6325" s="760"/>
      <c r="C6325" s="760"/>
      <c r="D6325" s="760"/>
      <c r="E6325" s="760"/>
      <c r="F6325" s="760"/>
      <c r="G6325" s="760"/>
      <c r="H6325" s="760"/>
      <c r="I6325" s="760"/>
      <c r="J6325" s="760"/>
      <c r="K6325" s="760"/>
    </row>
    <row r="6326" spans="1:11">
      <c r="A6326" s="760"/>
      <c r="B6326" s="760"/>
      <c r="C6326" s="760"/>
      <c r="D6326" s="760"/>
      <c r="E6326" s="760"/>
      <c r="F6326" s="760"/>
      <c r="G6326" s="760"/>
      <c r="H6326" s="760"/>
      <c r="I6326" s="760"/>
      <c r="J6326" s="760"/>
      <c r="K6326" s="760"/>
    </row>
    <row r="6327" spans="1:11">
      <c r="A6327" s="760"/>
      <c r="B6327" s="760"/>
      <c r="C6327" s="760"/>
      <c r="D6327" s="760"/>
      <c r="E6327" s="760"/>
      <c r="F6327" s="760"/>
      <c r="G6327" s="760"/>
      <c r="H6327" s="760"/>
      <c r="I6327" s="760"/>
      <c r="J6327" s="760"/>
      <c r="K6327" s="760"/>
    </row>
    <row r="6328" spans="1:11">
      <c r="A6328" s="760"/>
      <c r="B6328" s="760"/>
      <c r="C6328" s="760"/>
      <c r="D6328" s="760"/>
      <c r="E6328" s="760"/>
      <c r="F6328" s="760"/>
      <c r="G6328" s="760"/>
      <c r="H6328" s="760"/>
      <c r="I6328" s="760"/>
      <c r="J6328" s="760"/>
      <c r="K6328" s="760"/>
    </row>
    <row r="6329" spans="1:11">
      <c r="A6329" s="760"/>
      <c r="B6329" s="760"/>
      <c r="C6329" s="760"/>
      <c r="D6329" s="760"/>
      <c r="E6329" s="760"/>
      <c r="F6329" s="760"/>
      <c r="G6329" s="760"/>
      <c r="H6329" s="760"/>
      <c r="I6329" s="760"/>
      <c r="J6329" s="760"/>
      <c r="K6329" s="760"/>
    </row>
    <row r="6330" spans="1:11">
      <c r="A6330" s="760"/>
      <c r="B6330" s="760"/>
      <c r="C6330" s="760"/>
      <c r="D6330" s="760"/>
      <c r="E6330" s="760"/>
      <c r="F6330" s="760"/>
      <c r="G6330" s="760"/>
      <c r="H6330" s="760"/>
      <c r="I6330" s="760"/>
      <c r="J6330" s="760"/>
      <c r="K6330" s="760"/>
    </row>
    <row r="6331" spans="1:11">
      <c r="A6331" s="760"/>
      <c r="B6331" s="760"/>
      <c r="C6331" s="760"/>
      <c r="D6331" s="760"/>
      <c r="E6331" s="760"/>
      <c r="F6331" s="760"/>
      <c r="G6331" s="760"/>
      <c r="H6331" s="760"/>
      <c r="I6331" s="760"/>
      <c r="J6331" s="760"/>
      <c r="K6331" s="760"/>
    </row>
    <row r="6332" spans="1:11">
      <c r="A6332" s="760"/>
      <c r="B6332" s="760"/>
      <c r="C6332" s="760"/>
      <c r="D6332" s="760"/>
      <c r="E6332" s="760"/>
      <c r="F6332" s="760"/>
      <c r="G6332" s="760"/>
      <c r="H6332" s="760"/>
      <c r="I6332" s="760"/>
      <c r="J6332" s="760"/>
      <c r="K6332" s="760"/>
    </row>
    <row r="6333" spans="1:11">
      <c r="A6333" s="760"/>
      <c r="B6333" s="760"/>
      <c r="C6333" s="760"/>
      <c r="D6333" s="760"/>
      <c r="E6333" s="760"/>
      <c r="F6333" s="760"/>
      <c r="G6333" s="760"/>
      <c r="H6333" s="760"/>
      <c r="I6333" s="760"/>
      <c r="J6333" s="760"/>
      <c r="K6333" s="760"/>
    </row>
    <row r="6334" spans="1:11">
      <c r="A6334" s="760"/>
      <c r="B6334" s="760"/>
      <c r="C6334" s="760"/>
      <c r="D6334" s="760"/>
      <c r="E6334" s="760"/>
      <c r="F6334" s="760"/>
      <c r="G6334" s="760"/>
      <c r="H6334" s="760"/>
      <c r="I6334" s="760"/>
      <c r="J6334" s="760"/>
      <c r="K6334" s="760"/>
    </row>
    <row r="6335" spans="1:11">
      <c r="A6335" s="760"/>
      <c r="B6335" s="760"/>
      <c r="C6335" s="760"/>
      <c r="D6335" s="760"/>
      <c r="E6335" s="760"/>
      <c r="F6335" s="760"/>
      <c r="G6335" s="760"/>
      <c r="H6335" s="760"/>
      <c r="I6335" s="760"/>
      <c r="J6335" s="760"/>
      <c r="K6335" s="760"/>
    </row>
    <row r="6336" spans="1:11">
      <c r="A6336" s="760"/>
      <c r="B6336" s="760"/>
      <c r="C6336" s="760"/>
      <c r="D6336" s="760"/>
      <c r="E6336" s="760"/>
      <c r="F6336" s="760"/>
      <c r="G6336" s="760"/>
      <c r="H6336" s="760"/>
      <c r="I6336" s="760"/>
      <c r="J6336" s="760"/>
      <c r="K6336" s="760"/>
    </row>
    <row r="6337" spans="1:11">
      <c r="A6337" s="760"/>
      <c r="B6337" s="760"/>
      <c r="C6337" s="760"/>
      <c r="D6337" s="760"/>
      <c r="E6337" s="760"/>
      <c r="F6337" s="760"/>
      <c r="G6337" s="760"/>
      <c r="H6337" s="760"/>
      <c r="I6337" s="760"/>
      <c r="J6337" s="760"/>
      <c r="K6337" s="760"/>
    </row>
    <row r="6338" spans="1:11">
      <c r="A6338" s="760"/>
      <c r="B6338" s="760"/>
      <c r="C6338" s="760"/>
      <c r="D6338" s="760"/>
      <c r="E6338" s="760"/>
      <c r="F6338" s="760"/>
      <c r="G6338" s="760"/>
      <c r="H6338" s="760"/>
      <c r="I6338" s="760"/>
      <c r="J6338" s="760"/>
      <c r="K6338" s="760"/>
    </row>
    <row r="6339" spans="1:11">
      <c r="A6339" s="760"/>
      <c r="B6339" s="760"/>
      <c r="C6339" s="760"/>
      <c r="D6339" s="760"/>
      <c r="E6339" s="760"/>
      <c r="F6339" s="760"/>
      <c r="G6339" s="760"/>
      <c r="H6339" s="760"/>
      <c r="I6339" s="760"/>
      <c r="J6339" s="760"/>
      <c r="K6339" s="760"/>
    </row>
    <row r="6340" spans="1:11">
      <c r="A6340" s="760"/>
      <c r="B6340" s="760"/>
      <c r="C6340" s="760"/>
      <c r="D6340" s="760"/>
      <c r="E6340" s="760"/>
      <c r="F6340" s="760"/>
      <c r="G6340" s="760"/>
      <c r="H6340" s="760"/>
      <c r="I6340" s="760"/>
      <c r="J6340" s="760"/>
      <c r="K6340" s="760"/>
    </row>
    <row r="6341" spans="1:11">
      <c r="A6341" s="760"/>
      <c r="B6341" s="760"/>
      <c r="C6341" s="760"/>
      <c r="D6341" s="760"/>
      <c r="E6341" s="760"/>
      <c r="F6341" s="760"/>
      <c r="G6341" s="760"/>
      <c r="H6341" s="760"/>
      <c r="I6341" s="760"/>
      <c r="J6341" s="760"/>
      <c r="K6341" s="760"/>
    </row>
    <row r="6342" spans="1:11">
      <c r="A6342" s="760"/>
      <c r="B6342" s="760"/>
      <c r="C6342" s="760"/>
      <c r="D6342" s="760"/>
      <c r="E6342" s="760"/>
      <c r="F6342" s="760"/>
      <c r="G6342" s="760"/>
      <c r="H6342" s="760"/>
      <c r="I6342" s="760"/>
      <c r="J6342" s="760"/>
      <c r="K6342" s="760"/>
    </row>
    <row r="6343" spans="1:11">
      <c r="A6343" s="760"/>
      <c r="B6343" s="760"/>
      <c r="C6343" s="760"/>
      <c r="D6343" s="760"/>
      <c r="E6343" s="760"/>
      <c r="F6343" s="760"/>
      <c r="G6343" s="760"/>
      <c r="H6343" s="760"/>
      <c r="I6343" s="760"/>
      <c r="J6343" s="760"/>
      <c r="K6343" s="760"/>
    </row>
    <row r="6344" spans="1:11">
      <c r="A6344" s="760"/>
      <c r="B6344" s="760"/>
      <c r="C6344" s="760"/>
      <c r="D6344" s="760"/>
      <c r="E6344" s="760"/>
      <c r="F6344" s="760"/>
      <c r="G6344" s="760"/>
      <c r="H6344" s="760"/>
      <c r="I6344" s="760"/>
      <c r="J6344" s="760"/>
      <c r="K6344" s="760"/>
    </row>
    <row r="6345" spans="1:11">
      <c r="A6345" s="760"/>
      <c r="B6345" s="760"/>
      <c r="C6345" s="760"/>
      <c r="D6345" s="760"/>
      <c r="E6345" s="760"/>
      <c r="F6345" s="760"/>
      <c r="G6345" s="760"/>
      <c r="H6345" s="760"/>
      <c r="I6345" s="760"/>
      <c r="J6345" s="760"/>
      <c r="K6345" s="760"/>
    </row>
    <row r="6346" spans="1:11">
      <c r="A6346" s="760"/>
      <c r="B6346" s="760"/>
      <c r="C6346" s="760"/>
      <c r="D6346" s="760"/>
      <c r="E6346" s="760"/>
      <c r="F6346" s="760"/>
      <c r="G6346" s="760"/>
      <c r="H6346" s="760"/>
      <c r="I6346" s="760"/>
      <c r="J6346" s="760"/>
      <c r="K6346" s="760"/>
    </row>
    <row r="6347" spans="1:11">
      <c r="A6347" s="760"/>
      <c r="B6347" s="760"/>
      <c r="C6347" s="760"/>
      <c r="D6347" s="760"/>
      <c r="E6347" s="760"/>
      <c r="F6347" s="760"/>
      <c r="G6347" s="760"/>
      <c r="H6347" s="760"/>
      <c r="I6347" s="760"/>
      <c r="J6347" s="760"/>
      <c r="K6347" s="760"/>
    </row>
    <row r="6348" spans="1:11">
      <c r="A6348" s="760"/>
      <c r="B6348" s="760"/>
      <c r="C6348" s="760"/>
      <c r="D6348" s="760"/>
      <c r="E6348" s="760"/>
      <c r="F6348" s="760"/>
      <c r="G6348" s="760"/>
      <c r="H6348" s="760"/>
      <c r="I6348" s="760"/>
      <c r="J6348" s="760"/>
      <c r="K6348" s="760"/>
    </row>
    <row r="6349" spans="1:11">
      <c r="A6349" s="760"/>
      <c r="B6349" s="760"/>
      <c r="C6349" s="760"/>
      <c r="D6349" s="760"/>
      <c r="E6349" s="760"/>
      <c r="F6349" s="760"/>
      <c r="G6349" s="760"/>
      <c r="H6349" s="760"/>
      <c r="I6349" s="760"/>
      <c r="J6349" s="760"/>
      <c r="K6349" s="760"/>
    </row>
    <row r="6350" spans="1:11">
      <c r="A6350" s="760"/>
      <c r="B6350" s="760"/>
      <c r="C6350" s="760"/>
      <c r="D6350" s="760"/>
      <c r="E6350" s="760"/>
      <c r="F6350" s="760"/>
      <c r="G6350" s="760"/>
      <c r="H6350" s="760"/>
      <c r="I6350" s="760"/>
      <c r="J6350" s="760"/>
      <c r="K6350" s="760"/>
    </row>
    <row r="6351" spans="1:11">
      <c r="A6351" s="760"/>
      <c r="B6351" s="760"/>
      <c r="C6351" s="760"/>
      <c r="D6351" s="760"/>
      <c r="E6351" s="760"/>
      <c r="F6351" s="760"/>
      <c r="G6351" s="760"/>
      <c r="H6351" s="760"/>
      <c r="I6351" s="760"/>
      <c r="J6351" s="760"/>
      <c r="K6351" s="760"/>
    </row>
    <row r="6352" spans="1:11">
      <c r="A6352" s="760"/>
      <c r="B6352" s="760"/>
      <c r="C6352" s="760"/>
      <c r="D6352" s="760"/>
      <c r="E6352" s="760"/>
      <c r="F6352" s="760"/>
      <c r="G6352" s="760"/>
      <c r="H6352" s="760"/>
      <c r="I6352" s="760"/>
      <c r="J6352" s="760"/>
      <c r="K6352" s="760"/>
    </row>
    <row r="6353" spans="1:11">
      <c r="A6353" s="760"/>
      <c r="B6353" s="760"/>
      <c r="C6353" s="760"/>
      <c r="D6353" s="760"/>
      <c r="E6353" s="760"/>
      <c r="F6353" s="760"/>
      <c r="G6353" s="760"/>
      <c r="H6353" s="760"/>
      <c r="I6353" s="760"/>
      <c r="J6353" s="760"/>
      <c r="K6353" s="760"/>
    </row>
    <row r="6354" spans="1:11">
      <c r="A6354" s="760"/>
      <c r="B6354" s="760"/>
      <c r="C6354" s="760"/>
      <c r="D6354" s="760"/>
      <c r="E6354" s="760"/>
      <c r="F6354" s="760"/>
      <c r="G6354" s="760"/>
      <c r="H6354" s="760"/>
      <c r="I6354" s="760"/>
      <c r="J6354" s="760"/>
      <c r="K6354" s="760"/>
    </row>
    <row r="6355" spans="1:11">
      <c r="A6355" s="760"/>
      <c r="B6355" s="760"/>
      <c r="C6355" s="760"/>
      <c r="D6355" s="760"/>
      <c r="E6355" s="760"/>
      <c r="F6355" s="760"/>
      <c r="G6355" s="760"/>
      <c r="H6355" s="760"/>
      <c r="I6355" s="760"/>
      <c r="J6355" s="760"/>
      <c r="K6355" s="760"/>
    </row>
    <row r="6356" spans="1:11">
      <c r="A6356" s="760"/>
      <c r="B6356" s="760"/>
      <c r="C6356" s="760"/>
      <c r="D6356" s="760"/>
      <c r="E6356" s="760"/>
      <c r="F6356" s="760"/>
      <c r="G6356" s="760"/>
      <c r="H6356" s="760"/>
      <c r="I6356" s="760"/>
      <c r="J6356" s="760"/>
      <c r="K6356" s="760"/>
    </row>
    <row r="6357" spans="1:11">
      <c r="A6357" s="760"/>
      <c r="B6357" s="760"/>
      <c r="C6357" s="760"/>
      <c r="D6357" s="760"/>
      <c r="E6357" s="760"/>
      <c r="F6357" s="760"/>
      <c r="G6357" s="760"/>
      <c r="H6357" s="760"/>
      <c r="I6357" s="760"/>
      <c r="J6357" s="760"/>
      <c r="K6357" s="760"/>
    </row>
    <row r="6358" spans="1:11">
      <c r="A6358" s="760"/>
      <c r="B6358" s="760"/>
      <c r="C6358" s="760"/>
      <c r="D6358" s="760"/>
      <c r="E6358" s="760"/>
      <c r="F6358" s="760"/>
      <c r="G6358" s="760"/>
      <c r="H6358" s="760"/>
      <c r="I6358" s="760"/>
      <c r="J6358" s="760"/>
      <c r="K6358" s="760"/>
    </row>
    <row r="6359" spans="1:11">
      <c r="A6359" s="760"/>
      <c r="B6359" s="760"/>
      <c r="C6359" s="760"/>
      <c r="D6359" s="760"/>
      <c r="E6359" s="760"/>
      <c r="F6359" s="760"/>
      <c r="G6359" s="760"/>
      <c r="H6359" s="760"/>
      <c r="I6359" s="760"/>
      <c r="J6359" s="760"/>
      <c r="K6359" s="760"/>
    </row>
    <row r="6360" spans="1:11">
      <c r="A6360" s="760"/>
      <c r="B6360" s="760"/>
      <c r="C6360" s="760"/>
      <c r="D6360" s="760"/>
      <c r="E6360" s="760"/>
      <c r="F6360" s="760"/>
      <c r="G6360" s="760"/>
      <c r="H6360" s="760"/>
      <c r="I6360" s="760"/>
      <c r="J6360" s="760"/>
      <c r="K6360" s="760"/>
    </row>
    <row r="6361" spans="1:11">
      <c r="A6361" s="760"/>
      <c r="B6361" s="760"/>
      <c r="C6361" s="760"/>
      <c r="D6361" s="760"/>
      <c r="E6361" s="760"/>
      <c r="F6361" s="760"/>
      <c r="G6361" s="760"/>
      <c r="H6361" s="760"/>
      <c r="I6361" s="760"/>
      <c r="J6361" s="760"/>
      <c r="K6361" s="760"/>
    </row>
    <row r="6362" spans="1:11">
      <c r="A6362" s="760"/>
      <c r="B6362" s="760"/>
      <c r="C6362" s="760"/>
      <c r="D6362" s="760"/>
      <c r="E6362" s="760"/>
      <c r="F6362" s="760"/>
      <c r="G6362" s="760"/>
      <c r="H6362" s="760"/>
      <c r="I6362" s="760"/>
      <c r="J6362" s="760"/>
      <c r="K6362" s="760"/>
    </row>
    <row r="6363" spans="1:11">
      <c r="A6363" s="760"/>
      <c r="B6363" s="760"/>
      <c r="C6363" s="760"/>
      <c r="D6363" s="760"/>
      <c r="E6363" s="760"/>
      <c r="F6363" s="760"/>
      <c r="G6363" s="760"/>
      <c r="H6363" s="760"/>
      <c r="I6363" s="760"/>
      <c r="J6363" s="760"/>
      <c r="K6363" s="760"/>
    </row>
    <row r="6364" spans="1:11">
      <c r="A6364" s="760"/>
      <c r="B6364" s="760"/>
      <c r="C6364" s="760"/>
      <c r="D6364" s="760"/>
      <c r="E6364" s="760"/>
      <c r="F6364" s="760"/>
      <c r="G6364" s="760"/>
      <c r="H6364" s="760"/>
      <c r="I6364" s="760"/>
      <c r="J6364" s="760"/>
      <c r="K6364" s="760"/>
    </row>
    <row r="6365" spans="1:11">
      <c r="A6365" s="760"/>
      <c r="B6365" s="760"/>
      <c r="C6365" s="760"/>
      <c r="D6365" s="760"/>
      <c r="E6365" s="760"/>
      <c r="F6365" s="760"/>
      <c r="G6365" s="760"/>
      <c r="H6365" s="760"/>
      <c r="I6365" s="760"/>
      <c r="J6365" s="760"/>
      <c r="K6365" s="760"/>
    </row>
    <row r="6366" spans="1:11">
      <c r="A6366" s="760"/>
      <c r="B6366" s="760"/>
      <c r="C6366" s="760"/>
      <c r="D6366" s="760"/>
      <c r="E6366" s="760"/>
      <c r="F6366" s="760"/>
      <c r="G6366" s="760"/>
      <c r="H6366" s="760"/>
      <c r="I6366" s="760"/>
      <c r="J6366" s="760"/>
      <c r="K6366" s="760"/>
    </row>
    <row r="6367" spans="1:11">
      <c r="A6367" s="760"/>
      <c r="B6367" s="760"/>
      <c r="C6367" s="760"/>
      <c r="D6367" s="760"/>
      <c r="E6367" s="760"/>
      <c r="F6367" s="760"/>
      <c r="G6367" s="760"/>
      <c r="H6367" s="760"/>
      <c r="I6367" s="760"/>
      <c r="J6367" s="760"/>
      <c r="K6367" s="760"/>
    </row>
    <row r="6368" spans="1:11">
      <c r="A6368" s="760"/>
      <c r="B6368" s="760"/>
      <c r="C6368" s="760"/>
      <c r="D6368" s="760"/>
      <c r="E6368" s="760"/>
      <c r="F6368" s="760"/>
      <c r="G6368" s="760"/>
      <c r="H6368" s="760"/>
      <c r="I6368" s="760"/>
      <c r="J6368" s="760"/>
      <c r="K6368" s="760"/>
    </row>
    <row r="6369" spans="1:11">
      <c r="A6369" s="760"/>
      <c r="B6369" s="760"/>
      <c r="C6369" s="760"/>
      <c r="D6369" s="760"/>
      <c r="E6369" s="760"/>
      <c r="F6369" s="760"/>
      <c r="G6369" s="760"/>
      <c r="H6369" s="760"/>
      <c r="I6369" s="760"/>
      <c r="J6369" s="760"/>
      <c r="K6369" s="760"/>
    </row>
    <row r="6370" spans="1:11">
      <c r="A6370" s="760"/>
      <c r="B6370" s="760"/>
      <c r="C6370" s="760"/>
      <c r="D6370" s="760"/>
      <c r="E6370" s="760"/>
      <c r="F6370" s="760"/>
      <c r="G6370" s="760"/>
      <c r="H6370" s="760"/>
      <c r="I6370" s="760"/>
      <c r="J6370" s="760"/>
      <c r="K6370" s="760"/>
    </row>
    <row r="6371" spans="1:11">
      <c r="A6371" s="760"/>
      <c r="B6371" s="760"/>
      <c r="C6371" s="760"/>
      <c r="D6371" s="760"/>
      <c r="E6371" s="760"/>
      <c r="F6371" s="760"/>
      <c r="G6371" s="760"/>
      <c r="H6371" s="760"/>
      <c r="I6371" s="760"/>
      <c r="J6371" s="760"/>
      <c r="K6371" s="760"/>
    </row>
    <row r="6372" spans="1:11">
      <c r="A6372" s="760"/>
      <c r="B6372" s="760"/>
      <c r="C6372" s="760"/>
      <c r="D6372" s="760"/>
      <c r="E6372" s="760"/>
      <c r="F6372" s="760"/>
      <c r="G6372" s="760"/>
      <c r="H6372" s="760"/>
      <c r="I6372" s="760"/>
      <c r="J6372" s="760"/>
      <c r="K6372" s="760"/>
    </row>
    <row r="6373" spans="1:11">
      <c r="A6373" s="760"/>
      <c r="B6373" s="760"/>
      <c r="C6373" s="760"/>
      <c r="D6373" s="760"/>
      <c r="E6373" s="760"/>
      <c r="F6373" s="760"/>
      <c r="G6373" s="760"/>
      <c r="H6373" s="760"/>
      <c r="I6373" s="760"/>
      <c r="J6373" s="760"/>
      <c r="K6373" s="760"/>
    </row>
    <row r="6374" spans="1:11">
      <c r="A6374" s="760"/>
      <c r="B6374" s="760"/>
      <c r="C6374" s="760"/>
      <c r="D6374" s="760"/>
      <c r="E6374" s="760"/>
      <c r="F6374" s="760"/>
      <c r="G6374" s="760"/>
      <c r="H6374" s="760"/>
      <c r="I6374" s="760"/>
      <c r="J6374" s="760"/>
      <c r="K6374" s="760"/>
    </row>
    <row r="6375" spans="1:11">
      <c r="A6375" s="760"/>
      <c r="B6375" s="760"/>
      <c r="C6375" s="760"/>
      <c r="D6375" s="760"/>
      <c r="E6375" s="760"/>
      <c r="F6375" s="760"/>
      <c r="G6375" s="760"/>
      <c r="H6375" s="760"/>
      <c r="I6375" s="760"/>
      <c r="J6375" s="760"/>
      <c r="K6375" s="760"/>
    </row>
    <row r="6376" spans="1:11">
      <c r="A6376" s="760"/>
      <c r="B6376" s="760"/>
      <c r="C6376" s="760"/>
      <c r="D6376" s="760"/>
      <c r="E6376" s="760"/>
      <c r="F6376" s="760"/>
      <c r="G6376" s="760"/>
      <c r="H6376" s="760"/>
      <c r="I6376" s="760"/>
      <c r="J6376" s="760"/>
      <c r="K6376" s="760"/>
    </row>
    <row r="6377" spans="1:11">
      <c r="A6377" s="760"/>
      <c r="B6377" s="760"/>
      <c r="C6377" s="760"/>
      <c r="D6377" s="760"/>
      <c r="E6377" s="760"/>
      <c r="F6377" s="760"/>
      <c r="G6377" s="760"/>
      <c r="H6377" s="760"/>
      <c r="I6377" s="760"/>
      <c r="J6377" s="760"/>
      <c r="K6377" s="760"/>
    </row>
    <row r="6378" spans="1:11">
      <c r="A6378" s="760"/>
      <c r="B6378" s="760"/>
      <c r="C6378" s="760"/>
      <c r="D6378" s="760"/>
      <c r="E6378" s="760"/>
      <c r="F6378" s="760"/>
      <c r="G6378" s="760"/>
      <c r="H6378" s="760"/>
      <c r="I6378" s="760"/>
      <c r="J6378" s="760"/>
      <c r="K6378" s="760"/>
    </row>
    <row r="6379" spans="1:11">
      <c r="A6379" s="760"/>
      <c r="B6379" s="760"/>
      <c r="C6379" s="760"/>
      <c r="D6379" s="760"/>
      <c r="E6379" s="760"/>
      <c r="F6379" s="760"/>
      <c r="G6379" s="760"/>
      <c r="H6379" s="760"/>
      <c r="I6379" s="760"/>
      <c r="J6379" s="760"/>
      <c r="K6379" s="760"/>
    </row>
    <row r="6380" spans="1:11">
      <c r="A6380" s="760"/>
      <c r="B6380" s="760"/>
      <c r="C6380" s="760"/>
      <c r="D6380" s="760"/>
      <c r="E6380" s="760"/>
      <c r="F6380" s="760"/>
      <c r="G6380" s="760"/>
      <c r="H6380" s="760"/>
      <c r="I6380" s="760"/>
      <c r="J6380" s="760"/>
      <c r="K6380" s="760"/>
    </row>
    <row r="6381" spans="1:11">
      <c r="A6381" s="760"/>
      <c r="B6381" s="760"/>
      <c r="C6381" s="760"/>
      <c r="D6381" s="760"/>
      <c r="E6381" s="760"/>
      <c r="F6381" s="760"/>
      <c r="G6381" s="760"/>
      <c r="H6381" s="760"/>
      <c r="I6381" s="760"/>
      <c r="J6381" s="760"/>
      <c r="K6381" s="760"/>
    </row>
    <row r="6382" spans="1:11">
      <c r="A6382" s="760"/>
      <c r="B6382" s="760"/>
      <c r="C6382" s="760"/>
      <c r="D6382" s="760"/>
      <c r="E6382" s="760"/>
      <c r="F6382" s="760"/>
      <c r="G6382" s="760"/>
      <c r="H6382" s="760"/>
      <c r="I6382" s="760"/>
      <c r="J6382" s="760"/>
      <c r="K6382" s="760"/>
    </row>
    <row r="6383" spans="1:11">
      <c r="A6383" s="760"/>
      <c r="B6383" s="760"/>
      <c r="C6383" s="760"/>
      <c r="D6383" s="760"/>
      <c r="E6383" s="760"/>
      <c r="F6383" s="760"/>
      <c r="G6383" s="760"/>
      <c r="H6383" s="760"/>
      <c r="I6383" s="760"/>
      <c r="J6383" s="760"/>
      <c r="K6383" s="760"/>
    </row>
    <row r="6384" spans="1:11">
      <c r="A6384" s="760"/>
      <c r="B6384" s="760"/>
      <c r="C6384" s="760"/>
      <c r="D6384" s="760"/>
      <c r="E6384" s="760"/>
      <c r="F6384" s="760"/>
      <c r="G6384" s="760"/>
      <c r="H6384" s="760"/>
      <c r="I6384" s="760"/>
      <c r="J6384" s="760"/>
      <c r="K6384" s="760"/>
    </row>
    <row r="6385" spans="1:11">
      <c r="A6385" s="760"/>
      <c r="B6385" s="760"/>
      <c r="C6385" s="760"/>
      <c r="D6385" s="760"/>
      <c r="E6385" s="760"/>
      <c r="F6385" s="760"/>
      <c r="G6385" s="760"/>
      <c r="H6385" s="760"/>
      <c r="I6385" s="760"/>
      <c r="J6385" s="760"/>
      <c r="K6385" s="760"/>
    </row>
    <row r="6386" spans="1:11">
      <c r="A6386" s="760"/>
      <c r="B6386" s="760"/>
      <c r="C6386" s="760"/>
      <c r="D6386" s="760"/>
      <c r="E6386" s="760"/>
      <c r="F6386" s="760"/>
      <c r="G6386" s="760"/>
      <c r="H6386" s="760"/>
      <c r="I6386" s="760"/>
      <c r="J6386" s="760"/>
      <c r="K6386" s="760"/>
    </row>
    <row r="6387" spans="1:11">
      <c r="A6387" s="760"/>
      <c r="B6387" s="760"/>
      <c r="C6387" s="760"/>
      <c r="D6387" s="760"/>
      <c r="E6387" s="760"/>
      <c r="F6387" s="760"/>
      <c r="G6387" s="760"/>
      <c r="H6387" s="760"/>
      <c r="I6387" s="760"/>
      <c r="J6387" s="760"/>
      <c r="K6387" s="760"/>
    </row>
    <row r="6388" spans="1:11">
      <c r="A6388" s="760"/>
      <c r="B6388" s="760"/>
      <c r="C6388" s="760"/>
      <c r="D6388" s="760"/>
      <c r="E6388" s="760"/>
      <c r="F6388" s="760"/>
      <c r="G6388" s="760"/>
      <c r="H6388" s="760"/>
      <c r="I6388" s="760"/>
      <c r="J6388" s="760"/>
      <c r="K6388" s="760"/>
    </row>
    <row r="6389" spans="1:11">
      <c r="A6389" s="760"/>
      <c r="B6389" s="760"/>
      <c r="C6389" s="760"/>
      <c r="D6389" s="760"/>
      <c r="E6389" s="760"/>
      <c r="F6389" s="760"/>
      <c r="G6389" s="760"/>
      <c r="H6389" s="760"/>
      <c r="I6389" s="760"/>
      <c r="J6389" s="760"/>
      <c r="K6389" s="760"/>
    </row>
    <row r="6390" spans="1:11">
      <c r="A6390" s="760"/>
      <c r="B6390" s="760"/>
      <c r="C6390" s="760"/>
      <c r="D6390" s="760"/>
      <c r="E6390" s="760"/>
      <c r="F6390" s="760"/>
      <c r="G6390" s="760"/>
      <c r="H6390" s="760"/>
      <c r="I6390" s="760"/>
      <c r="J6390" s="760"/>
      <c r="K6390" s="760"/>
    </row>
    <row r="6391" spans="1:11">
      <c r="A6391" s="760"/>
      <c r="B6391" s="760"/>
      <c r="C6391" s="760"/>
      <c r="D6391" s="760"/>
      <c r="E6391" s="760"/>
      <c r="F6391" s="760"/>
      <c r="G6391" s="760"/>
      <c r="H6391" s="760"/>
      <c r="I6391" s="760"/>
      <c r="J6391" s="760"/>
      <c r="K6391" s="760"/>
    </row>
    <row r="6392" spans="1:11">
      <c r="A6392" s="760"/>
      <c r="B6392" s="760"/>
      <c r="C6392" s="760"/>
      <c r="D6392" s="760"/>
      <c r="E6392" s="760"/>
      <c r="F6392" s="760"/>
      <c r="G6392" s="760"/>
      <c r="H6392" s="760"/>
      <c r="I6392" s="760"/>
      <c r="J6392" s="760"/>
      <c r="K6392" s="760"/>
    </row>
    <row r="6393" spans="1:11">
      <c r="A6393" s="760"/>
      <c r="B6393" s="760"/>
      <c r="C6393" s="760"/>
      <c r="D6393" s="760"/>
      <c r="E6393" s="760"/>
      <c r="F6393" s="760"/>
      <c r="G6393" s="760"/>
      <c r="H6393" s="760"/>
      <c r="I6393" s="760"/>
      <c r="J6393" s="760"/>
      <c r="K6393" s="760"/>
    </row>
    <row r="6394" spans="1:11">
      <c r="A6394" s="760"/>
      <c r="B6394" s="760"/>
      <c r="C6394" s="760"/>
      <c r="D6394" s="760"/>
      <c r="E6394" s="760"/>
      <c r="F6394" s="760"/>
      <c r="G6394" s="760"/>
      <c r="H6394" s="760"/>
      <c r="I6394" s="760"/>
      <c r="J6394" s="760"/>
      <c r="K6394" s="760"/>
    </row>
    <row r="6395" spans="1:11">
      <c r="A6395" s="760"/>
      <c r="B6395" s="760"/>
      <c r="C6395" s="760"/>
      <c r="D6395" s="760"/>
      <c r="E6395" s="760"/>
      <c r="F6395" s="760"/>
      <c r="G6395" s="760"/>
      <c r="H6395" s="760"/>
      <c r="I6395" s="760"/>
      <c r="J6395" s="760"/>
      <c r="K6395" s="760"/>
    </row>
    <row r="6396" spans="1:11">
      <c r="A6396" s="760"/>
      <c r="B6396" s="760"/>
      <c r="C6396" s="760"/>
      <c r="D6396" s="760"/>
      <c r="E6396" s="760"/>
      <c r="F6396" s="760"/>
      <c r="G6396" s="760"/>
      <c r="H6396" s="760"/>
      <c r="I6396" s="760"/>
      <c r="J6396" s="760"/>
      <c r="K6396" s="760"/>
    </row>
    <row r="6397" spans="1:11">
      <c r="A6397" s="760"/>
      <c r="B6397" s="760"/>
      <c r="C6397" s="760"/>
      <c r="D6397" s="760"/>
      <c r="E6397" s="760"/>
      <c r="F6397" s="760"/>
      <c r="G6397" s="760"/>
      <c r="H6397" s="760"/>
      <c r="I6397" s="760"/>
      <c r="J6397" s="760"/>
      <c r="K6397" s="760"/>
    </row>
    <row r="6398" spans="1:11">
      <c r="A6398" s="760"/>
      <c r="B6398" s="760"/>
      <c r="C6398" s="760"/>
      <c r="D6398" s="760"/>
      <c r="E6398" s="760"/>
      <c r="F6398" s="760"/>
      <c r="G6398" s="760"/>
      <c r="H6398" s="760"/>
      <c r="I6398" s="760"/>
      <c r="J6398" s="760"/>
      <c r="K6398" s="760"/>
    </row>
    <row r="6399" spans="1:11">
      <c r="A6399" s="760"/>
      <c r="B6399" s="760"/>
      <c r="C6399" s="760"/>
      <c r="D6399" s="760"/>
      <c r="E6399" s="760"/>
      <c r="F6399" s="760"/>
      <c r="G6399" s="760"/>
      <c r="H6399" s="760"/>
      <c r="I6399" s="760"/>
      <c r="J6399" s="760"/>
      <c r="K6399" s="760"/>
    </row>
    <row r="6400" spans="1:11">
      <c r="A6400" s="760"/>
      <c r="B6400" s="760"/>
      <c r="C6400" s="760"/>
      <c r="D6400" s="760"/>
      <c r="E6400" s="760"/>
      <c r="F6400" s="760"/>
      <c r="G6400" s="760"/>
      <c r="H6400" s="760"/>
      <c r="I6400" s="760"/>
      <c r="J6400" s="760"/>
      <c r="K6400" s="760"/>
    </row>
    <row r="6401" spans="1:11">
      <c r="A6401" s="760"/>
      <c r="B6401" s="760"/>
      <c r="C6401" s="760"/>
      <c r="D6401" s="760"/>
      <c r="E6401" s="760"/>
      <c r="F6401" s="760"/>
      <c r="G6401" s="760"/>
      <c r="H6401" s="760"/>
      <c r="I6401" s="760"/>
      <c r="J6401" s="760"/>
      <c r="K6401" s="760"/>
    </row>
    <row r="6402" spans="1:11">
      <c r="A6402" s="760"/>
      <c r="B6402" s="760"/>
      <c r="C6402" s="760"/>
      <c r="D6402" s="760"/>
      <c r="E6402" s="760"/>
      <c r="F6402" s="760"/>
      <c r="G6402" s="760"/>
      <c r="H6402" s="760"/>
      <c r="I6402" s="760"/>
      <c r="J6402" s="760"/>
      <c r="K6402" s="760"/>
    </row>
    <row r="6403" spans="1:11">
      <c r="A6403" s="760"/>
      <c r="B6403" s="760"/>
      <c r="C6403" s="760"/>
      <c r="D6403" s="760"/>
      <c r="E6403" s="760"/>
      <c r="F6403" s="760"/>
      <c r="G6403" s="760"/>
      <c r="H6403" s="760"/>
      <c r="I6403" s="760"/>
      <c r="J6403" s="760"/>
      <c r="K6403" s="760"/>
    </row>
    <row r="6404" spans="1:11">
      <c r="A6404" s="760"/>
      <c r="B6404" s="760"/>
      <c r="C6404" s="760"/>
      <c r="D6404" s="760"/>
      <c r="E6404" s="760"/>
      <c r="F6404" s="760"/>
      <c r="G6404" s="760"/>
      <c r="H6404" s="760"/>
      <c r="I6404" s="760"/>
      <c r="J6404" s="760"/>
      <c r="K6404" s="760"/>
    </row>
    <row r="6405" spans="1:11">
      <c r="A6405" s="760"/>
      <c r="B6405" s="760"/>
      <c r="C6405" s="760"/>
      <c r="D6405" s="760"/>
      <c r="E6405" s="760"/>
      <c r="F6405" s="760"/>
      <c r="G6405" s="760"/>
      <c r="H6405" s="760"/>
      <c r="I6405" s="760"/>
      <c r="J6405" s="760"/>
      <c r="K6405" s="760"/>
    </row>
    <row r="6406" spans="1:11">
      <c r="A6406" s="760"/>
      <c r="B6406" s="760"/>
      <c r="C6406" s="760"/>
      <c r="D6406" s="760"/>
      <c r="E6406" s="760"/>
      <c r="F6406" s="760"/>
      <c r="G6406" s="760"/>
      <c r="H6406" s="760"/>
      <c r="I6406" s="760"/>
      <c r="J6406" s="760"/>
      <c r="K6406" s="760"/>
    </row>
    <row r="6407" spans="1:11">
      <c r="A6407" s="760"/>
      <c r="B6407" s="760"/>
      <c r="C6407" s="760"/>
      <c r="D6407" s="760"/>
      <c r="E6407" s="760"/>
      <c r="F6407" s="760"/>
      <c r="G6407" s="760"/>
      <c r="H6407" s="760"/>
      <c r="I6407" s="760"/>
      <c r="J6407" s="760"/>
      <c r="K6407" s="760"/>
    </row>
    <row r="6408" spans="1:11">
      <c r="A6408" s="760"/>
      <c r="B6408" s="760"/>
      <c r="C6408" s="760"/>
      <c r="D6408" s="760"/>
      <c r="E6408" s="760"/>
      <c r="F6408" s="760"/>
      <c r="G6408" s="760"/>
      <c r="H6408" s="760"/>
      <c r="I6408" s="760"/>
      <c r="J6408" s="760"/>
      <c r="K6408" s="760"/>
    </row>
    <row r="6409" spans="1:11">
      <c r="A6409" s="760"/>
      <c r="B6409" s="760"/>
      <c r="C6409" s="760"/>
      <c r="D6409" s="760"/>
      <c r="E6409" s="760"/>
      <c r="F6409" s="760"/>
      <c r="G6409" s="760"/>
      <c r="H6409" s="760"/>
      <c r="I6409" s="760"/>
      <c r="J6409" s="760"/>
      <c r="K6409" s="760"/>
    </row>
    <row r="6410" spans="1:11">
      <c r="A6410" s="760"/>
      <c r="B6410" s="760"/>
      <c r="C6410" s="760"/>
      <c r="D6410" s="760"/>
      <c r="E6410" s="760"/>
      <c r="F6410" s="760"/>
      <c r="G6410" s="760"/>
      <c r="H6410" s="760"/>
      <c r="I6410" s="760"/>
      <c r="J6410" s="760"/>
      <c r="K6410" s="760"/>
    </row>
    <row r="6411" spans="1:11">
      <c r="A6411" s="760"/>
      <c r="B6411" s="760"/>
      <c r="C6411" s="760"/>
      <c r="D6411" s="760"/>
      <c r="E6411" s="760"/>
      <c r="F6411" s="760"/>
      <c r="G6411" s="760"/>
      <c r="H6411" s="760"/>
      <c r="I6411" s="760"/>
      <c r="J6411" s="760"/>
      <c r="K6411" s="760"/>
    </row>
    <row r="6412" spans="1:11">
      <c r="A6412" s="760"/>
      <c r="B6412" s="760"/>
      <c r="C6412" s="760"/>
      <c r="D6412" s="760"/>
      <c r="E6412" s="760"/>
      <c r="F6412" s="760"/>
      <c r="G6412" s="760"/>
      <c r="H6412" s="760"/>
      <c r="I6412" s="760"/>
      <c r="J6412" s="760"/>
      <c r="K6412" s="760"/>
    </row>
    <row r="6413" spans="1:11">
      <c r="A6413" s="760"/>
      <c r="B6413" s="760"/>
      <c r="C6413" s="760"/>
      <c r="D6413" s="760"/>
      <c r="E6413" s="760"/>
      <c r="F6413" s="760"/>
      <c r="G6413" s="760"/>
      <c r="H6413" s="760"/>
      <c r="I6413" s="760"/>
      <c r="J6413" s="760"/>
      <c r="K6413" s="760"/>
    </row>
    <row r="6414" spans="1:11">
      <c r="A6414" s="760"/>
      <c r="B6414" s="760"/>
      <c r="C6414" s="760"/>
      <c r="D6414" s="760"/>
      <c r="E6414" s="760"/>
      <c r="F6414" s="760"/>
      <c r="G6414" s="760"/>
      <c r="H6414" s="760"/>
      <c r="I6414" s="760"/>
      <c r="J6414" s="760"/>
      <c r="K6414" s="760"/>
    </row>
    <row r="6415" spans="1:11">
      <c r="A6415" s="760"/>
      <c r="B6415" s="760"/>
      <c r="C6415" s="760"/>
      <c r="D6415" s="760"/>
      <c r="E6415" s="760"/>
      <c r="F6415" s="760"/>
      <c r="G6415" s="760"/>
      <c r="H6415" s="760"/>
      <c r="I6415" s="760"/>
      <c r="J6415" s="760"/>
      <c r="K6415" s="760"/>
    </row>
    <row r="6416" spans="1:11">
      <c r="A6416" s="760"/>
      <c r="B6416" s="760"/>
      <c r="C6416" s="760"/>
      <c r="D6416" s="760"/>
      <c r="E6416" s="760"/>
      <c r="F6416" s="760"/>
      <c r="G6416" s="760"/>
      <c r="H6416" s="760"/>
      <c r="I6416" s="760"/>
      <c r="J6416" s="760"/>
      <c r="K6416" s="760"/>
    </row>
    <row r="6417" spans="1:11">
      <c r="A6417" s="760"/>
      <c r="B6417" s="760"/>
      <c r="C6417" s="760"/>
      <c r="D6417" s="760"/>
      <c r="E6417" s="760"/>
      <c r="F6417" s="760"/>
      <c r="G6417" s="760"/>
      <c r="H6417" s="760"/>
      <c r="I6417" s="760"/>
      <c r="J6417" s="760"/>
      <c r="K6417" s="760"/>
    </row>
    <row r="6418" spans="1:11">
      <c r="A6418" s="760"/>
      <c r="B6418" s="760"/>
      <c r="C6418" s="760"/>
      <c r="D6418" s="760"/>
      <c r="E6418" s="760"/>
      <c r="F6418" s="760"/>
      <c r="G6418" s="760"/>
      <c r="H6418" s="760"/>
      <c r="I6418" s="760"/>
      <c r="J6418" s="760"/>
      <c r="K6418" s="760"/>
    </row>
    <row r="6419" spans="1:11">
      <c r="A6419" s="760"/>
      <c r="B6419" s="760"/>
      <c r="C6419" s="760"/>
      <c r="D6419" s="760"/>
      <c r="E6419" s="760"/>
      <c r="F6419" s="760"/>
      <c r="G6419" s="760"/>
      <c r="H6419" s="760"/>
      <c r="I6419" s="760"/>
      <c r="J6419" s="760"/>
      <c r="K6419" s="760"/>
    </row>
    <row r="6420" spans="1:11">
      <c r="A6420" s="760"/>
      <c r="B6420" s="760"/>
      <c r="C6420" s="760"/>
      <c r="D6420" s="760"/>
      <c r="E6420" s="760"/>
      <c r="F6420" s="760"/>
      <c r="G6420" s="760"/>
      <c r="H6420" s="760"/>
      <c r="I6420" s="760"/>
      <c r="J6420" s="760"/>
      <c r="K6420" s="760"/>
    </row>
    <row r="6421" spans="1:11">
      <c r="A6421" s="760"/>
      <c r="B6421" s="760"/>
      <c r="C6421" s="760"/>
      <c r="D6421" s="760"/>
      <c r="E6421" s="760"/>
      <c r="F6421" s="760"/>
      <c r="G6421" s="760"/>
      <c r="H6421" s="760"/>
      <c r="I6421" s="760"/>
      <c r="J6421" s="760"/>
      <c r="K6421" s="760"/>
    </row>
    <row r="6422" spans="1:11">
      <c r="A6422" s="760"/>
      <c r="B6422" s="760"/>
      <c r="C6422" s="760"/>
      <c r="D6422" s="760"/>
      <c r="E6422" s="760"/>
      <c r="F6422" s="760"/>
      <c r="G6422" s="760"/>
      <c r="H6422" s="760"/>
      <c r="I6422" s="760"/>
      <c r="J6422" s="760"/>
      <c r="K6422" s="760"/>
    </row>
    <row r="6423" spans="1:11">
      <c r="A6423" s="760"/>
      <c r="B6423" s="760"/>
      <c r="C6423" s="760"/>
      <c r="D6423" s="760"/>
      <c r="E6423" s="760"/>
      <c r="F6423" s="760"/>
      <c r="G6423" s="760"/>
      <c r="H6423" s="760"/>
      <c r="I6423" s="760"/>
      <c r="J6423" s="760"/>
      <c r="K6423" s="760"/>
    </row>
    <row r="6424" spans="1:11">
      <c r="A6424" s="760"/>
      <c r="B6424" s="760"/>
      <c r="C6424" s="760"/>
      <c r="D6424" s="760"/>
      <c r="E6424" s="760"/>
      <c r="F6424" s="760"/>
      <c r="G6424" s="760"/>
      <c r="H6424" s="760"/>
      <c r="I6424" s="760"/>
      <c r="J6424" s="760"/>
      <c r="K6424" s="760"/>
    </row>
    <row r="6425" spans="1:11">
      <c r="A6425" s="760"/>
      <c r="B6425" s="760"/>
      <c r="C6425" s="760"/>
      <c r="D6425" s="760"/>
      <c r="E6425" s="760"/>
      <c r="F6425" s="760"/>
      <c r="G6425" s="760"/>
      <c r="H6425" s="760"/>
      <c r="I6425" s="760"/>
      <c r="J6425" s="760"/>
      <c r="K6425" s="760"/>
    </row>
    <row r="6426" spans="1:11">
      <c r="A6426" s="760"/>
      <c r="B6426" s="760"/>
      <c r="C6426" s="760"/>
      <c r="D6426" s="760"/>
      <c r="E6426" s="760"/>
      <c r="F6426" s="760"/>
      <c r="G6426" s="760"/>
      <c r="H6426" s="760"/>
      <c r="I6426" s="760"/>
      <c r="J6426" s="760"/>
      <c r="K6426" s="760"/>
    </row>
    <row r="6427" spans="1:11">
      <c r="A6427" s="760"/>
      <c r="B6427" s="760"/>
      <c r="C6427" s="760"/>
      <c r="D6427" s="760"/>
      <c r="E6427" s="760"/>
      <c r="F6427" s="760"/>
      <c r="G6427" s="760"/>
      <c r="H6427" s="760"/>
      <c r="I6427" s="760"/>
      <c r="J6427" s="760"/>
      <c r="K6427" s="760"/>
    </row>
    <row r="6428" spans="1:11">
      <c r="A6428" s="760"/>
      <c r="B6428" s="760"/>
      <c r="C6428" s="760"/>
      <c r="D6428" s="760"/>
      <c r="E6428" s="760"/>
      <c r="F6428" s="760"/>
      <c r="G6428" s="760"/>
      <c r="H6428" s="760"/>
      <c r="I6428" s="760"/>
      <c r="J6428" s="760"/>
      <c r="K6428" s="760"/>
    </row>
    <row r="6429" spans="1:11">
      <c r="A6429" s="760"/>
      <c r="B6429" s="760"/>
      <c r="C6429" s="760"/>
      <c r="D6429" s="760"/>
      <c r="E6429" s="760"/>
      <c r="F6429" s="760"/>
      <c r="G6429" s="760"/>
      <c r="H6429" s="760"/>
      <c r="I6429" s="760"/>
      <c r="J6429" s="760"/>
      <c r="K6429" s="760"/>
    </row>
    <row r="6430" spans="1:11">
      <c r="A6430" s="760"/>
      <c r="B6430" s="760"/>
      <c r="C6430" s="760"/>
      <c r="D6430" s="760"/>
      <c r="E6430" s="760"/>
      <c r="F6430" s="760"/>
      <c r="G6430" s="760"/>
      <c r="H6430" s="760"/>
      <c r="I6430" s="760"/>
      <c r="J6430" s="760"/>
      <c r="K6430" s="760"/>
    </row>
    <row r="6431" spans="1:11">
      <c r="A6431" s="760"/>
      <c r="B6431" s="760"/>
      <c r="C6431" s="760"/>
      <c r="D6431" s="760"/>
      <c r="E6431" s="760"/>
      <c r="F6431" s="760"/>
      <c r="G6431" s="760"/>
      <c r="H6431" s="760"/>
      <c r="I6431" s="760"/>
      <c r="J6431" s="760"/>
      <c r="K6431" s="760"/>
    </row>
    <row r="6432" spans="1:11">
      <c r="A6432" s="760"/>
      <c r="B6432" s="760"/>
      <c r="C6432" s="760"/>
      <c r="D6432" s="760"/>
      <c r="E6432" s="760"/>
      <c r="F6432" s="760"/>
      <c r="G6432" s="760"/>
      <c r="H6432" s="760"/>
      <c r="I6432" s="760"/>
      <c r="J6432" s="760"/>
      <c r="K6432" s="760"/>
    </row>
    <row r="6433" spans="1:11">
      <c r="A6433" s="760"/>
      <c r="B6433" s="760"/>
      <c r="C6433" s="760"/>
      <c r="D6433" s="760"/>
      <c r="E6433" s="760"/>
      <c r="F6433" s="760"/>
      <c r="G6433" s="760"/>
      <c r="H6433" s="760"/>
      <c r="I6433" s="760"/>
      <c r="J6433" s="760"/>
      <c r="K6433" s="760"/>
    </row>
    <row r="6434" spans="1:11">
      <c r="A6434" s="760"/>
      <c r="B6434" s="760"/>
      <c r="C6434" s="760"/>
      <c r="D6434" s="760"/>
      <c r="E6434" s="760"/>
      <c r="F6434" s="760"/>
      <c r="G6434" s="760"/>
      <c r="H6434" s="760"/>
      <c r="I6434" s="760"/>
      <c r="J6434" s="760"/>
      <c r="K6434" s="760"/>
    </row>
    <row r="6435" spans="1:11">
      <c r="A6435" s="760"/>
      <c r="B6435" s="760"/>
      <c r="C6435" s="760"/>
      <c r="D6435" s="760"/>
      <c r="E6435" s="760"/>
      <c r="F6435" s="760"/>
      <c r="G6435" s="760"/>
      <c r="H6435" s="760"/>
      <c r="I6435" s="760"/>
      <c r="J6435" s="760"/>
      <c r="K6435" s="760"/>
    </row>
    <row r="6436" spans="1:11">
      <c r="A6436" s="760"/>
      <c r="B6436" s="760"/>
      <c r="C6436" s="760"/>
      <c r="D6436" s="760"/>
      <c r="E6436" s="760"/>
      <c r="F6436" s="760"/>
      <c r="G6436" s="760"/>
      <c r="H6436" s="760"/>
      <c r="I6436" s="760"/>
      <c r="J6436" s="760"/>
      <c r="K6436" s="760"/>
    </row>
    <row r="6437" spans="1:11">
      <c r="A6437" s="760"/>
      <c r="B6437" s="760"/>
      <c r="C6437" s="760"/>
      <c r="D6437" s="760"/>
      <c r="E6437" s="760"/>
      <c r="F6437" s="760"/>
      <c r="G6437" s="760"/>
      <c r="H6437" s="760"/>
      <c r="I6437" s="760"/>
      <c r="J6437" s="760"/>
      <c r="K6437" s="760"/>
    </row>
    <row r="6438" spans="1:11">
      <c r="A6438" s="760"/>
      <c r="B6438" s="760"/>
      <c r="C6438" s="760"/>
      <c r="D6438" s="760"/>
      <c r="E6438" s="760"/>
      <c r="F6438" s="760"/>
      <c r="G6438" s="760"/>
      <c r="H6438" s="760"/>
      <c r="I6438" s="760"/>
      <c r="J6438" s="760"/>
      <c r="K6438" s="760"/>
    </row>
    <row r="6439" spans="1:11">
      <c r="A6439" s="760"/>
      <c r="B6439" s="760"/>
      <c r="C6439" s="760"/>
      <c r="D6439" s="760"/>
      <c r="E6439" s="760"/>
      <c r="F6439" s="760"/>
      <c r="G6439" s="760"/>
      <c r="H6439" s="760"/>
      <c r="I6439" s="760"/>
      <c r="J6439" s="760"/>
      <c r="K6439" s="760"/>
    </row>
    <row r="6440" spans="1:11">
      <c r="A6440" s="760"/>
      <c r="B6440" s="760"/>
      <c r="C6440" s="760"/>
      <c r="D6440" s="760"/>
      <c r="E6440" s="760"/>
      <c r="F6440" s="760"/>
      <c r="G6440" s="760"/>
      <c r="H6440" s="760"/>
      <c r="I6440" s="760"/>
      <c r="J6440" s="760"/>
      <c r="K6440" s="760"/>
    </row>
    <row r="6441" spans="1:11">
      <c r="A6441" s="760"/>
      <c r="B6441" s="760"/>
      <c r="C6441" s="760"/>
      <c r="D6441" s="760"/>
      <c r="E6441" s="760"/>
      <c r="F6441" s="760"/>
      <c r="G6441" s="760"/>
      <c r="H6441" s="760"/>
      <c r="I6441" s="760"/>
      <c r="J6441" s="760"/>
      <c r="K6441" s="760"/>
    </row>
    <row r="6442" spans="1:11">
      <c r="A6442" s="760"/>
      <c r="B6442" s="760"/>
      <c r="C6442" s="760"/>
      <c r="D6442" s="760"/>
      <c r="E6442" s="760"/>
      <c r="F6442" s="760"/>
      <c r="G6442" s="760"/>
      <c r="H6442" s="760"/>
      <c r="I6442" s="760"/>
      <c r="J6442" s="760"/>
      <c r="K6442" s="760"/>
    </row>
    <row r="6443" spans="1:11">
      <c r="A6443" s="760"/>
      <c r="B6443" s="760"/>
      <c r="C6443" s="760"/>
      <c r="D6443" s="760"/>
      <c r="E6443" s="760"/>
      <c r="F6443" s="760"/>
      <c r="G6443" s="760"/>
      <c r="H6443" s="760"/>
      <c r="I6443" s="760"/>
      <c r="J6443" s="760"/>
      <c r="K6443" s="760"/>
    </row>
    <row r="6444" spans="1:11">
      <c r="A6444" s="760"/>
      <c r="B6444" s="760"/>
      <c r="C6444" s="760"/>
      <c r="D6444" s="760"/>
      <c r="E6444" s="760"/>
      <c r="F6444" s="760"/>
      <c r="G6444" s="760"/>
      <c r="H6444" s="760"/>
      <c r="I6444" s="760"/>
      <c r="J6444" s="760"/>
      <c r="K6444" s="760"/>
    </row>
    <row r="6445" spans="1:11">
      <c r="A6445" s="760"/>
      <c r="B6445" s="760"/>
      <c r="C6445" s="760"/>
      <c r="D6445" s="760"/>
      <c r="E6445" s="760"/>
      <c r="F6445" s="760"/>
      <c r="G6445" s="760"/>
      <c r="H6445" s="760"/>
      <c r="I6445" s="760"/>
      <c r="J6445" s="760"/>
      <c r="K6445" s="760"/>
    </row>
    <row r="6446" spans="1:11">
      <c r="A6446" s="760"/>
      <c r="B6446" s="760"/>
      <c r="C6446" s="760"/>
      <c r="D6446" s="760"/>
      <c r="E6446" s="760"/>
      <c r="F6446" s="760"/>
      <c r="G6446" s="760"/>
      <c r="H6446" s="760"/>
      <c r="I6446" s="760"/>
      <c r="J6446" s="760"/>
      <c r="K6446" s="760"/>
    </row>
    <row r="6447" spans="1:11">
      <c r="A6447" s="760"/>
      <c r="B6447" s="760"/>
      <c r="C6447" s="760"/>
      <c r="D6447" s="760"/>
      <c r="E6447" s="760"/>
      <c r="F6447" s="760"/>
      <c r="G6447" s="760"/>
      <c r="H6447" s="760"/>
      <c r="I6447" s="760"/>
      <c r="J6447" s="760"/>
      <c r="K6447" s="760"/>
    </row>
    <row r="6448" spans="1:11">
      <c r="A6448" s="760"/>
      <c r="B6448" s="760"/>
      <c r="C6448" s="760"/>
      <c r="D6448" s="760"/>
      <c r="E6448" s="760"/>
      <c r="F6448" s="760"/>
      <c r="G6448" s="760"/>
      <c r="H6448" s="760"/>
      <c r="I6448" s="760"/>
      <c r="J6448" s="760"/>
      <c r="K6448" s="760"/>
    </row>
    <row r="6449" spans="1:11">
      <c r="A6449" s="760"/>
      <c r="B6449" s="760"/>
      <c r="C6449" s="760"/>
      <c r="D6449" s="760"/>
      <c r="E6449" s="760"/>
      <c r="F6449" s="760"/>
      <c r="G6449" s="760"/>
      <c r="H6449" s="760"/>
      <c r="I6449" s="760"/>
      <c r="J6449" s="760"/>
      <c r="K6449" s="760"/>
    </row>
    <row r="6450" spans="1:11">
      <c r="A6450" s="760"/>
      <c r="B6450" s="760"/>
      <c r="C6450" s="760"/>
      <c r="D6450" s="760"/>
      <c r="E6450" s="760"/>
      <c r="F6450" s="760"/>
      <c r="G6450" s="760"/>
      <c r="H6450" s="760"/>
      <c r="I6450" s="760"/>
      <c r="J6450" s="760"/>
      <c r="K6450" s="760"/>
    </row>
    <row r="6451" spans="1:11">
      <c r="A6451" s="760"/>
      <c r="B6451" s="760"/>
      <c r="C6451" s="760"/>
      <c r="D6451" s="760"/>
      <c r="E6451" s="760"/>
      <c r="F6451" s="760"/>
      <c r="G6451" s="760"/>
      <c r="H6451" s="760"/>
      <c r="I6451" s="760"/>
      <c r="J6451" s="760"/>
      <c r="K6451" s="760"/>
    </row>
    <row r="6452" spans="1:11">
      <c r="A6452" s="760"/>
      <c r="B6452" s="760"/>
      <c r="C6452" s="760"/>
      <c r="D6452" s="760"/>
      <c r="E6452" s="760"/>
      <c r="F6452" s="760"/>
      <c r="G6452" s="760"/>
      <c r="H6452" s="760"/>
      <c r="I6452" s="760"/>
      <c r="J6452" s="760"/>
      <c r="K6452" s="760"/>
    </row>
    <row r="6453" spans="1:11">
      <c r="A6453" s="760"/>
      <c r="B6453" s="760"/>
      <c r="C6453" s="760"/>
      <c r="D6453" s="760"/>
      <c r="E6453" s="760"/>
      <c r="F6453" s="760"/>
      <c r="G6453" s="760"/>
      <c r="H6453" s="760"/>
      <c r="I6453" s="760"/>
      <c r="J6453" s="760"/>
      <c r="K6453" s="760"/>
    </row>
    <row r="6454" spans="1:11">
      <c r="A6454" s="760"/>
      <c r="B6454" s="760"/>
      <c r="C6454" s="760"/>
      <c r="D6454" s="760"/>
      <c r="E6454" s="760"/>
      <c r="F6454" s="760"/>
      <c r="G6454" s="760"/>
      <c r="H6454" s="760"/>
      <c r="I6454" s="760"/>
      <c r="J6454" s="760"/>
      <c r="K6454" s="760"/>
    </row>
    <row r="6455" spans="1:11">
      <c r="A6455" s="760"/>
      <c r="B6455" s="760"/>
      <c r="C6455" s="760"/>
      <c r="D6455" s="760"/>
      <c r="E6455" s="760"/>
      <c r="F6455" s="760"/>
      <c r="G6455" s="760"/>
      <c r="H6455" s="760"/>
      <c r="I6455" s="760"/>
      <c r="J6455" s="760"/>
      <c r="K6455" s="760"/>
    </row>
    <row r="6456" spans="1:11">
      <c r="A6456" s="760"/>
      <c r="B6456" s="760"/>
      <c r="C6456" s="760"/>
      <c r="D6456" s="760"/>
      <c r="E6456" s="760"/>
      <c r="F6456" s="760"/>
      <c r="G6456" s="760"/>
      <c r="H6456" s="760"/>
      <c r="I6456" s="760"/>
      <c r="J6456" s="760"/>
      <c r="K6456" s="760"/>
    </row>
    <row r="6457" spans="1:11">
      <c r="A6457" s="760"/>
      <c r="B6457" s="760"/>
      <c r="C6457" s="760"/>
      <c r="D6457" s="760"/>
      <c r="E6457" s="760"/>
      <c r="F6457" s="760"/>
      <c r="G6457" s="760"/>
      <c r="H6457" s="760"/>
      <c r="I6457" s="760"/>
      <c r="J6457" s="760"/>
      <c r="K6457" s="760"/>
    </row>
    <row r="6458" spans="1:11">
      <c r="A6458" s="760"/>
      <c r="B6458" s="760"/>
      <c r="C6458" s="760"/>
      <c r="D6458" s="760"/>
      <c r="E6458" s="760"/>
      <c r="F6458" s="760"/>
      <c r="G6458" s="760"/>
      <c r="H6458" s="760"/>
      <c r="I6458" s="760"/>
      <c r="J6458" s="760"/>
      <c r="K6458" s="760"/>
    </row>
    <row r="6459" spans="1:11">
      <c r="A6459" s="760"/>
      <c r="B6459" s="760"/>
      <c r="C6459" s="760"/>
      <c r="D6459" s="760"/>
      <c r="E6459" s="760"/>
      <c r="F6459" s="760"/>
      <c r="G6459" s="760"/>
      <c r="H6459" s="760"/>
      <c r="I6459" s="760"/>
      <c r="J6459" s="760"/>
      <c r="K6459" s="760"/>
    </row>
    <row r="6460" spans="1:11">
      <c r="A6460" s="760"/>
      <c r="B6460" s="760"/>
      <c r="C6460" s="760"/>
      <c r="D6460" s="760"/>
      <c r="E6460" s="760"/>
      <c r="F6460" s="760"/>
      <c r="G6460" s="760"/>
      <c r="H6460" s="760"/>
      <c r="I6460" s="760"/>
      <c r="J6460" s="760"/>
      <c r="K6460" s="760"/>
    </row>
    <row r="6461" spans="1:11">
      <c r="A6461" s="760"/>
      <c r="B6461" s="760"/>
      <c r="C6461" s="760"/>
      <c r="D6461" s="760"/>
      <c r="E6461" s="760"/>
      <c r="F6461" s="760"/>
      <c r="G6461" s="760"/>
      <c r="H6461" s="760"/>
      <c r="I6461" s="760"/>
      <c r="J6461" s="760"/>
      <c r="K6461" s="760"/>
    </row>
    <row r="6462" spans="1:11">
      <c r="A6462" s="760"/>
      <c r="B6462" s="760"/>
      <c r="C6462" s="760"/>
      <c r="D6462" s="760"/>
      <c r="E6462" s="760"/>
      <c r="F6462" s="760"/>
      <c r="G6462" s="760"/>
      <c r="H6462" s="760"/>
      <c r="I6462" s="760"/>
      <c r="J6462" s="760"/>
      <c r="K6462" s="760"/>
    </row>
    <row r="6463" spans="1:11">
      <c r="A6463" s="760"/>
      <c r="B6463" s="760"/>
      <c r="C6463" s="760"/>
      <c r="D6463" s="760"/>
      <c r="E6463" s="760"/>
      <c r="F6463" s="760"/>
      <c r="G6463" s="760"/>
      <c r="H6463" s="760"/>
      <c r="I6463" s="760"/>
      <c r="J6463" s="760"/>
      <c r="K6463" s="760"/>
    </row>
    <row r="6464" spans="1:11">
      <c r="A6464" s="760"/>
      <c r="B6464" s="760"/>
      <c r="C6464" s="760"/>
      <c r="D6464" s="760"/>
      <c r="E6464" s="760"/>
      <c r="F6464" s="760"/>
      <c r="G6464" s="760"/>
      <c r="H6464" s="760"/>
      <c r="I6464" s="760"/>
      <c r="J6464" s="760"/>
      <c r="K6464" s="760"/>
    </row>
    <row r="6465" spans="1:11">
      <c r="A6465" s="760"/>
      <c r="B6465" s="760"/>
      <c r="C6465" s="760"/>
      <c r="D6465" s="760"/>
      <c r="E6465" s="760"/>
      <c r="F6465" s="760"/>
      <c r="G6465" s="760"/>
      <c r="H6465" s="760"/>
      <c r="I6465" s="760"/>
      <c r="J6465" s="760"/>
      <c r="K6465" s="760"/>
    </row>
    <row r="6466" spans="1:11">
      <c r="A6466" s="760"/>
      <c r="B6466" s="760"/>
      <c r="C6466" s="760"/>
      <c r="D6466" s="760"/>
      <c r="E6466" s="760"/>
      <c r="F6466" s="760"/>
      <c r="G6466" s="760"/>
      <c r="H6466" s="760"/>
      <c r="I6466" s="760"/>
      <c r="J6466" s="760"/>
      <c r="K6466" s="760"/>
    </row>
    <row r="6467" spans="1:11">
      <c r="A6467" s="760"/>
      <c r="B6467" s="760"/>
      <c r="C6467" s="760"/>
      <c r="D6467" s="760"/>
      <c r="E6467" s="760"/>
      <c r="F6467" s="760"/>
      <c r="G6467" s="760"/>
      <c r="H6467" s="760"/>
      <c r="I6467" s="760"/>
      <c r="J6467" s="760"/>
      <c r="K6467" s="760"/>
    </row>
    <row r="6468" spans="1:11">
      <c r="A6468" s="760"/>
      <c r="B6468" s="760"/>
      <c r="C6468" s="760"/>
      <c r="D6468" s="760"/>
      <c r="E6468" s="760"/>
      <c r="F6468" s="760"/>
      <c r="G6468" s="760"/>
      <c r="H6468" s="760"/>
      <c r="I6468" s="760"/>
      <c r="J6468" s="760"/>
      <c r="K6468" s="760"/>
    </row>
    <row r="6469" spans="1:11">
      <c r="A6469" s="760"/>
      <c r="B6469" s="760"/>
      <c r="C6469" s="760"/>
      <c r="D6469" s="760"/>
      <c r="E6469" s="760"/>
      <c r="F6469" s="760"/>
      <c r="G6469" s="760"/>
      <c r="H6469" s="760"/>
      <c r="I6469" s="760"/>
      <c r="J6469" s="760"/>
      <c r="K6469" s="760"/>
    </row>
    <row r="6470" spans="1:11">
      <c r="A6470" s="760"/>
      <c r="B6470" s="760"/>
      <c r="C6470" s="760"/>
      <c r="D6470" s="760"/>
      <c r="E6470" s="760"/>
      <c r="F6470" s="760"/>
      <c r="G6470" s="760"/>
      <c r="H6470" s="760"/>
      <c r="I6470" s="760"/>
      <c r="J6470" s="760"/>
      <c r="K6470" s="760"/>
    </row>
    <row r="6471" spans="1:11">
      <c r="A6471" s="760"/>
      <c r="B6471" s="760"/>
      <c r="C6471" s="760"/>
      <c r="D6471" s="760"/>
      <c r="E6471" s="760"/>
      <c r="F6471" s="760"/>
      <c r="G6471" s="760"/>
      <c r="H6471" s="760"/>
      <c r="I6471" s="760"/>
      <c r="J6471" s="760"/>
      <c r="K6471" s="760"/>
    </row>
    <row r="6472" spans="1:11">
      <c r="A6472" s="760"/>
      <c r="B6472" s="760"/>
      <c r="C6472" s="760"/>
      <c r="D6472" s="760"/>
      <c r="E6472" s="760"/>
      <c r="F6472" s="760"/>
      <c r="G6472" s="760"/>
      <c r="H6472" s="760"/>
      <c r="I6472" s="760"/>
      <c r="J6472" s="760"/>
      <c r="K6472" s="760"/>
    </row>
    <row r="6473" spans="1:11">
      <c r="A6473" s="760"/>
      <c r="B6473" s="760"/>
      <c r="C6473" s="760"/>
      <c r="D6473" s="760"/>
      <c r="E6473" s="760"/>
      <c r="F6473" s="760"/>
      <c r="G6473" s="760"/>
      <c r="H6473" s="760"/>
      <c r="I6473" s="760"/>
      <c r="J6473" s="760"/>
      <c r="K6473" s="760"/>
    </row>
    <row r="6474" spans="1:11">
      <c r="A6474" s="760"/>
      <c r="B6474" s="760"/>
      <c r="C6474" s="760"/>
      <c r="D6474" s="760"/>
      <c r="E6474" s="760"/>
      <c r="F6474" s="760"/>
      <c r="G6474" s="760"/>
      <c r="H6474" s="760"/>
      <c r="I6474" s="760"/>
      <c r="J6474" s="760"/>
      <c r="K6474" s="760"/>
    </row>
    <row r="6475" spans="1:11">
      <c r="A6475" s="760"/>
      <c r="B6475" s="760"/>
      <c r="C6475" s="760"/>
      <c r="D6475" s="760"/>
      <c r="E6475" s="760"/>
      <c r="F6475" s="760"/>
      <c r="G6475" s="760"/>
      <c r="H6475" s="760"/>
      <c r="I6475" s="760"/>
      <c r="J6475" s="760"/>
      <c r="K6475" s="760"/>
    </row>
    <row r="6476" spans="1:11">
      <c r="A6476" s="760"/>
      <c r="B6476" s="760"/>
      <c r="C6476" s="760"/>
      <c r="D6476" s="760"/>
      <c r="E6476" s="760"/>
      <c r="F6476" s="760"/>
      <c r="G6476" s="760"/>
      <c r="H6476" s="760"/>
      <c r="I6476" s="760"/>
      <c r="J6476" s="760"/>
      <c r="K6476" s="760"/>
    </row>
    <row r="6477" spans="1:11">
      <c r="A6477" s="760"/>
      <c r="B6477" s="760"/>
      <c r="C6477" s="760"/>
      <c r="D6477" s="760"/>
      <c r="E6477" s="760"/>
      <c r="F6477" s="760"/>
      <c r="G6477" s="760"/>
      <c r="H6477" s="760"/>
      <c r="I6477" s="760"/>
      <c r="J6477" s="760"/>
      <c r="K6477" s="760"/>
    </row>
    <row r="6478" spans="1:11">
      <c r="A6478" s="760"/>
      <c r="B6478" s="760"/>
      <c r="C6478" s="760"/>
      <c r="D6478" s="760"/>
      <c r="E6478" s="760"/>
      <c r="F6478" s="760"/>
      <c r="G6478" s="760"/>
      <c r="H6478" s="760"/>
      <c r="I6478" s="760"/>
      <c r="J6478" s="760"/>
      <c r="K6478" s="760"/>
    </row>
    <row r="6479" spans="1:11">
      <c r="A6479" s="760"/>
      <c r="B6479" s="760"/>
      <c r="C6479" s="760"/>
      <c r="D6479" s="760"/>
      <c r="E6479" s="760"/>
      <c r="F6479" s="760"/>
      <c r="G6479" s="760"/>
      <c r="H6479" s="760"/>
      <c r="I6479" s="760"/>
      <c r="J6479" s="760"/>
      <c r="K6479" s="760"/>
    </row>
    <row r="6480" spans="1:11">
      <c r="A6480" s="760"/>
      <c r="B6480" s="760"/>
      <c r="C6480" s="760"/>
      <c r="D6480" s="760"/>
      <c r="E6480" s="760"/>
      <c r="F6480" s="760"/>
      <c r="G6480" s="760"/>
      <c r="H6480" s="760"/>
      <c r="I6480" s="760"/>
      <c r="J6480" s="760"/>
      <c r="K6480" s="760"/>
    </row>
    <row r="6481" spans="1:11">
      <c r="A6481" s="760"/>
      <c r="B6481" s="760"/>
      <c r="C6481" s="760"/>
      <c r="D6481" s="760"/>
      <c r="E6481" s="760"/>
      <c r="F6481" s="760"/>
      <c r="G6481" s="760"/>
      <c r="H6481" s="760"/>
      <c r="I6481" s="760"/>
      <c r="J6481" s="760"/>
      <c r="K6481" s="760"/>
    </row>
    <row r="6482" spans="1:11">
      <c r="A6482" s="760"/>
      <c r="B6482" s="760"/>
      <c r="C6482" s="760"/>
      <c r="D6482" s="760"/>
      <c r="E6482" s="760"/>
      <c r="F6482" s="760"/>
      <c r="G6482" s="760"/>
      <c r="H6482" s="760"/>
      <c r="I6482" s="760"/>
      <c r="J6482" s="760"/>
      <c r="K6482" s="760"/>
    </row>
    <row r="6483" spans="1:11">
      <c r="A6483" s="760"/>
      <c r="B6483" s="760"/>
      <c r="C6483" s="760"/>
      <c r="D6483" s="760"/>
      <c r="E6483" s="760"/>
      <c r="F6483" s="760"/>
      <c r="G6483" s="760"/>
      <c r="H6483" s="760"/>
      <c r="I6483" s="760"/>
      <c r="J6483" s="760"/>
      <c r="K6483" s="760"/>
    </row>
    <row r="6484" spans="1:11">
      <c r="A6484" s="760"/>
      <c r="B6484" s="760"/>
      <c r="C6484" s="760"/>
      <c r="D6484" s="760"/>
      <c r="E6484" s="760"/>
      <c r="F6484" s="760"/>
      <c r="G6484" s="760"/>
      <c r="H6484" s="760"/>
      <c r="I6484" s="760"/>
      <c r="J6484" s="760"/>
      <c r="K6484" s="760"/>
    </row>
    <row r="6485" spans="1:11">
      <c r="A6485" s="760"/>
      <c r="B6485" s="760"/>
      <c r="C6485" s="760"/>
      <c r="D6485" s="760"/>
      <c r="E6485" s="760"/>
      <c r="F6485" s="760"/>
      <c r="G6485" s="760"/>
      <c r="H6485" s="760"/>
      <c r="I6485" s="760"/>
      <c r="J6485" s="760"/>
      <c r="K6485" s="760"/>
    </row>
    <row r="6486" spans="1:11">
      <c r="A6486" s="760"/>
      <c r="B6486" s="760"/>
      <c r="C6486" s="760"/>
      <c r="D6486" s="760"/>
      <c r="E6486" s="760"/>
      <c r="F6486" s="760"/>
      <c r="G6486" s="760"/>
      <c r="H6486" s="760"/>
      <c r="I6486" s="760"/>
      <c r="J6486" s="760"/>
      <c r="K6486" s="760"/>
    </row>
    <row r="6487" spans="1:11">
      <c r="A6487" s="760"/>
      <c r="B6487" s="760"/>
      <c r="C6487" s="760"/>
      <c r="D6487" s="760"/>
      <c r="E6487" s="760"/>
      <c r="F6487" s="760"/>
      <c r="G6487" s="760"/>
      <c r="H6487" s="760"/>
      <c r="I6487" s="760"/>
      <c r="J6487" s="760"/>
      <c r="K6487" s="760"/>
    </row>
    <row r="6488" spans="1:11">
      <c r="A6488" s="760"/>
      <c r="B6488" s="760"/>
      <c r="C6488" s="760"/>
      <c r="D6488" s="760"/>
      <c r="E6488" s="760"/>
      <c r="F6488" s="760"/>
      <c r="G6488" s="760"/>
      <c r="H6488" s="760"/>
      <c r="I6488" s="760"/>
      <c r="J6488" s="760"/>
      <c r="K6488" s="760"/>
    </row>
    <row r="6489" spans="1:11">
      <c r="A6489" s="760"/>
      <c r="B6489" s="760"/>
      <c r="C6489" s="760"/>
      <c r="D6489" s="760"/>
      <c r="E6489" s="760"/>
      <c r="F6489" s="760"/>
      <c r="G6489" s="760"/>
      <c r="H6489" s="760"/>
      <c r="I6489" s="760"/>
      <c r="J6489" s="760"/>
      <c r="K6489" s="760"/>
    </row>
    <row r="6490" spans="1:11">
      <c r="A6490" s="760"/>
      <c r="B6490" s="760"/>
      <c r="C6490" s="760"/>
      <c r="D6490" s="760"/>
      <c r="E6490" s="760"/>
      <c r="F6490" s="760"/>
      <c r="G6490" s="760"/>
      <c r="H6490" s="760"/>
      <c r="I6490" s="760"/>
      <c r="J6490" s="760"/>
      <c r="K6490" s="760"/>
    </row>
    <row r="6491" spans="1:11">
      <c r="A6491" s="760"/>
      <c r="B6491" s="760"/>
      <c r="C6491" s="760"/>
      <c r="D6491" s="760"/>
      <c r="E6491" s="760"/>
      <c r="F6491" s="760"/>
      <c r="G6491" s="760"/>
      <c r="H6491" s="760"/>
      <c r="I6491" s="760"/>
      <c r="J6491" s="760"/>
      <c r="K6491" s="760"/>
    </row>
    <row r="6492" spans="1:11">
      <c r="A6492" s="760"/>
      <c r="B6492" s="760"/>
      <c r="C6492" s="760"/>
      <c r="D6492" s="760"/>
      <c r="E6492" s="760"/>
      <c r="F6492" s="760"/>
      <c r="G6492" s="760"/>
      <c r="H6492" s="760"/>
      <c r="I6492" s="760"/>
      <c r="J6492" s="760"/>
      <c r="K6492" s="760"/>
    </row>
    <row r="6493" spans="1:11">
      <c r="A6493" s="760"/>
      <c r="B6493" s="760"/>
      <c r="C6493" s="760"/>
      <c r="D6493" s="760"/>
      <c r="E6493" s="760"/>
      <c r="F6493" s="760"/>
      <c r="G6493" s="760"/>
      <c r="H6493" s="760"/>
      <c r="I6493" s="760"/>
      <c r="J6493" s="760"/>
      <c r="K6493" s="760"/>
    </row>
    <row r="6494" spans="1:11">
      <c r="A6494" s="760"/>
      <c r="B6494" s="760"/>
      <c r="C6494" s="760"/>
      <c r="D6494" s="760"/>
      <c r="E6494" s="760"/>
      <c r="F6494" s="760"/>
      <c r="G6494" s="760"/>
      <c r="H6494" s="760"/>
      <c r="I6494" s="760"/>
      <c r="J6494" s="760"/>
      <c r="K6494" s="760"/>
    </row>
    <row r="6495" spans="1:11">
      <c r="A6495" s="760"/>
      <c r="B6495" s="760"/>
      <c r="C6495" s="760"/>
      <c r="D6495" s="760"/>
      <c r="E6495" s="760"/>
      <c r="F6495" s="760"/>
      <c r="G6495" s="760"/>
      <c r="H6495" s="760"/>
      <c r="I6495" s="760"/>
      <c r="J6495" s="760"/>
      <c r="K6495" s="760"/>
    </row>
    <row r="6496" spans="1:11">
      <c r="A6496" s="760"/>
      <c r="B6496" s="760"/>
      <c r="C6496" s="760"/>
      <c r="D6496" s="760"/>
      <c r="E6496" s="760"/>
      <c r="F6496" s="760"/>
      <c r="G6496" s="760"/>
      <c r="H6496" s="760"/>
      <c r="I6496" s="760"/>
      <c r="J6496" s="760"/>
      <c r="K6496" s="760"/>
    </row>
    <row r="6497" spans="1:11">
      <c r="A6497" s="760"/>
      <c r="B6497" s="760"/>
      <c r="C6497" s="760"/>
      <c r="D6497" s="760"/>
      <c r="E6497" s="760"/>
      <c r="F6497" s="760"/>
      <c r="G6497" s="760"/>
      <c r="H6497" s="760"/>
      <c r="I6497" s="760"/>
      <c r="J6497" s="760"/>
      <c r="K6497" s="760"/>
    </row>
    <row r="6498" spans="1:11">
      <c r="A6498" s="760"/>
      <c r="B6498" s="760"/>
      <c r="C6498" s="760"/>
      <c r="D6498" s="760"/>
      <c r="E6498" s="760"/>
      <c r="F6498" s="760"/>
      <c r="G6498" s="760"/>
      <c r="H6498" s="760"/>
      <c r="I6498" s="760"/>
      <c r="J6498" s="760"/>
      <c r="K6498" s="760"/>
    </row>
    <row r="6499" spans="1:11">
      <c r="A6499" s="760"/>
      <c r="B6499" s="760"/>
      <c r="C6499" s="760"/>
      <c r="D6499" s="760"/>
      <c r="E6499" s="760"/>
      <c r="F6499" s="760"/>
      <c r="G6499" s="760"/>
      <c r="H6499" s="760"/>
      <c r="I6499" s="760"/>
      <c r="J6499" s="760"/>
      <c r="K6499" s="760"/>
    </row>
    <row r="6500" spans="1:11">
      <c r="A6500" s="760"/>
      <c r="B6500" s="760"/>
      <c r="C6500" s="760"/>
      <c r="D6500" s="760"/>
      <c r="E6500" s="760"/>
      <c r="F6500" s="760"/>
      <c r="G6500" s="760"/>
      <c r="H6500" s="760"/>
      <c r="I6500" s="760"/>
      <c r="J6500" s="760"/>
      <c r="K6500" s="760"/>
    </row>
    <row r="6501" spans="1:11">
      <c r="A6501" s="760"/>
      <c r="B6501" s="760"/>
      <c r="C6501" s="760"/>
      <c r="D6501" s="760"/>
      <c r="E6501" s="760"/>
      <c r="F6501" s="760"/>
      <c r="G6501" s="760"/>
      <c r="H6501" s="760"/>
      <c r="I6501" s="760"/>
      <c r="J6501" s="760"/>
      <c r="K6501" s="760"/>
    </row>
    <row r="6502" spans="1:11">
      <c r="A6502" s="760"/>
      <c r="B6502" s="760"/>
      <c r="C6502" s="760"/>
      <c r="D6502" s="760"/>
      <c r="E6502" s="760"/>
      <c r="F6502" s="760"/>
      <c r="G6502" s="760"/>
      <c r="H6502" s="760"/>
      <c r="I6502" s="760"/>
      <c r="J6502" s="760"/>
      <c r="K6502" s="760"/>
    </row>
    <row r="6503" spans="1:11">
      <c r="A6503" s="760"/>
      <c r="B6503" s="760"/>
      <c r="C6503" s="760"/>
      <c r="D6503" s="760"/>
      <c r="E6503" s="760"/>
      <c r="F6503" s="760"/>
      <c r="G6503" s="760"/>
      <c r="H6503" s="760"/>
      <c r="I6503" s="760"/>
      <c r="J6503" s="760"/>
      <c r="K6503" s="760"/>
    </row>
    <row r="6504" spans="1:11">
      <c r="A6504" s="760"/>
      <c r="B6504" s="760"/>
      <c r="C6504" s="760"/>
      <c r="D6504" s="760"/>
      <c r="E6504" s="760"/>
      <c r="F6504" s="760"/>
      <c r="G6504" s="760"/>
      <c r="H6504" s="760"/>
      <c r="I6504" s="760"/>
      <c r="J6504" s="760"/>
      <c r="K6504" s="760"/>
    </row>
    <row r="6505" spans="1:11">
      <c r="A6505" s="760"/>
      <c r="B6505" s="760"/>
      <c r="C6505" s="760"/>
      <c r="D6505" s="760"/>
      <c r="E6505" s="760"/>
      <c r="F6505" s="760"/>
      <c r="G6505" s="760"/>
      <c r="H6505" s="760"/>
      <c r="I6505" s="760"/>
      <c r="J6505" s="760"/>
      <c r="K6505" s="760"/>
    </row>
    <row r="6506" spans="1:11">
      <c r="A6506" s="760"/>
      <c r="B6506" s="760"/>
      <c r="C6506" s="760"/>
      <c r="D6506" s="760"/>
      <c r="E6506" s="760"/>
      <c r="F6506" s="760"/>
      <c r="G6506" s="760"/>
      <c r="H6506" s="760"/>
      <c r="I6506" s="760"/>
      <c r="J6506" s="760"/>
      <c r="K6506" s="760"/>
    </row>
    <row r="6507" spans="1:11">
      <c r="A6507" s="760"/>
      <c r="B6507" s="760"/>
      <c r="C6507" s="760"/>
      <c r="D6507" s="760"/>
      <c r="E6507" s="760"/>
      <c r="F6507" s="760"/>
      <c r="G6507" s="760"/>
      <c r="H6507" s="760"/>
      <c r="I6507" s="760"/>
      <c r="J6507" s="760"/>
      <c r="K6507" s="760"/>
    </row>
    <row r="6508" spans="1:11">
      <c r="A6508" s="760"/>
      <c r="B6508" s="760"/>
      <c r="C6508" s="760"/>
      <c r="D6508" s="760"/>
      <c r="E6508" s="760"/>
      <c r="F6508" s="760"/>
      <c r="G6508" s="760"/>
      <c r="H6508" s="760"/>
      <c r="I6508" s="760"/>
      <c r="J6508" s="760"/>
      <c r="K6508" s="760"/>
    </row>
    <row r="6509" spans="1:11">
      <c r="A6509" s="760"/>
      <c r="B6509" s="760"/>
      <c r="C6509" s="760"/>
      <c r="D6509" s="760"/>
      <c r="E6509" s="760"/>
      <c r="F6509" s="760"/>
      <c r="G6509" s="760"/>
      <c r="H6509" s="760"/>
      <c r="I6509" s="760"/>
      <c r="J6509" s="760"/>
      <c r="K6509" s="760"/>
    </row>
    <row r="6510" spans="1:11">
      <c r="A6510" s="760"/>
      <c r="B6510" s="760"/>
      <c r="C6510" s="760"/>
      <c r="D6510" s="760"/>
      <c r="E6510" s="760"/>
      <c r="F6510" s="760"/>
      <c r="G6510" s="760"/>
      <c r="H6510" s="760"/>
      <c r="I6510" s="760"/>
      <c r="J6510" s="760"/>
      <c r="K6510" s="760"/>
    </row>
    <row r="6511" spans="1:11">
      <c r="A6511" s="760"/>
      <c r="B6511" s="760"/>
      <c r="C6511" s="760"/>
      <c r="D6511" s="760"/>
      <c r="E6511" s="760"/>
      <c r="F6511" s="760"/>
      <c r="G6511" s="760"/>
      <c r="H6511" s="760"/>
      <c r="I6511" s="760"/>
      <c r="J6511" s="760"/>
      <c r="K6511" s="760"/>
    </row>
    <row r="6512" spans="1:11">
      <c r="A6512" s="760"/>
      <c r="B6512" s="760"/>
      <c r="C6512" s="760"/>
      <c r="D6512" s="760"/>
      <c r="E6512" s="760"/>
      <c r="F6512" s="760"/>
      <c r="G6512" s="760"/>
      <c r="H6512" s="760"/>
      <c r="I6512" s="760"/>
      <c r="J6512" s="760"/>
      <c r="K6512" s="760"/>
    </row>
    <row r="6513" spans="1:11">
      <c r="A6513" s="760"/>
      <c r="B6513" s="760"/>
      <c r="C6513" s="760"/>
      <c r="D6513" s="760"/>
      <c r="E6513" s="760"/>
      <c r="F6513" s="760"/>
      <c r="G6513" s="760"/>
      <c r="H6513" s="760"/>
      <c r="I6513" s="760"/>
      <c r="J6513" s="760"/>
      <c r="K6513" s="760"/>
    </row>
    <row r="6514" spans="1:11">
      <c r="A6514" s="760"/>
      <c r="B6514" s="760"/>
      <c r="C6514" s="760"/>
      <c r="D6514" s="760"/>
      <c r="E6514" s="760"/>
      <c r="F6514" s="760"/>
      <c r="G6514" s="760"/>
      <c r="H6514" s="760"/>
      <c r="I6514" s="760"/>
      <c r="J6514" s="760"/>
      <c r="K6514" s="760"/>
    </row>
    <row r="6515" spans="1:11">
      <c r="A6515" s="760"/>
      <c r="B6515" s="760"/>
      <c r="C6515" s="760"/>
      <c r="D6515" s="760"/>
      <c r="E6515" s="760"/>
      <c r="F6515" s="760"/>
      <c r="G6515" s="760"/>
      <c r="H6515" s="760"/>
      <c r="I6515" s="760"/>
      <c r="J6515" s="760"/>
      <c r="K6515" s="760"/>
    </row>
    <row r="6516" spans="1:11">
      <c r="A6516" s="760"/>
      <c r="B6516" s="760"/>
      <c r="C6516" s="760"/>
      <c r="D6516" s="760"/>
      <c r="E6516" s="760"/>
      <c r="F6516" s="760"/>
      <c r="G6516" s="760"/>
      <c r="H6516" s="760"/>
      <c r="I6516" s="760"/>
      <c r="J6516" s="760"/>
      <c r="K6516" s="760"/>
    </row>
    <row r="6517" spans="1:11">
      <c r="A6517" s="760"/>
      <c r="B6517" s="760"/>
      <c r="C6517" s="760"/>
      <c r="D6517" s="760"/>
      <c r="E6517" s="760"/>
      <c r="F6517" s="760"/>
      <c r="G6517" s="760"/>
      <c r="H6517" s="760"/>
      <c r="I6517" s="760"/>
      <c r="J6517" s="760"/>
      <c r="K6517" s="760"/>
    </row>
    <row r="6518" spans="1:11">
      <c r="A6518" s="760"/>
      <c r="B6518" s="760"/>
      <c r="C6518" s="760"/>
      <c r="D6518" s="760"/>
      <c r="E6518" s="760"/>
      <c r="F6518" s="760"/>
      <c r="G6518" s="760"/>
      <c r="H6518" s="760"/>
      <c r="I6518" s="760"/>
      <c r="J6518" s="760"/>
      <c r="K6518" s="760"/>
    </row>
    <row r="6519" spans="1:11">
      <c r="A6519" s="760"/>
      <c r="B6519" s="760"/>
      <c r="C6519" s="760"/>
      <c r="D6519" s="760"/>
      <c r="E6519" s="760"/>
      <c r="F6519" s="760"/>
      <c r="G6519" s="760"/>
      <c r="H6519" s="760"/>
      <c r="I6519" s="760"/>
      <c r="J6519" s="760"/>
      <c r="K6519" s="760"/>
    </row>
    <row r="6520" spans="1:11">
      <c r="A6520" s="760"/>
      <c r="B6520" s="760"/>
      <c r="C6520" s="760"/>
      <c r="D6520" s="760"/>
      <c r="E6520" s="760"/>
      <c r="F6520" s="760"/>
      <c r="G6520" s="760"/>
      <c r="H6520" s="760"/>
      <c r="I6520" s="760"/>
      <c r="J6520" s="760"/>
      <c r="K6520" s="760"/>
    </row>
    <row r="6521" spans="1:11">
      <c r="A6521" s="760"/>
      <c r="B6521" s="760"/>
      <c r="C6521" s="760"/>
      <c r="D6521" s="760"/>
      <c r="E6521" s="760"/>
      <c r="F6521" s="760"/>
      <c r="G6521" s="760"/>
      <c r="H6521" s="760"/>
      <c r="I6521" s="760"/>
      <c r="J6521" s="760"/>
      <c r="K6521" s="760"/>
    </row>
    <row r="6522" spans="1:11">
      <c r="A6522" s="760"/>
      <c r="B6522" s="760"/>
      <c r="C6522" s="760"/>
      <c r="D6522" s="760"/>
      <c r="E6522" s="760"/>
      <c r="F6522" s="760"/>
      <c r="G6522" s="760"/>
      <c r="H6522" s="760"/>
      <c r="I6522" s="760"/>
      <c r="J6522" s="760"/>
      <c r="K6522" s="760"/>
    </row>
    <row r="6523" spans="1:11">
      <c r="A6523" s="760"/>
      <c r="B6523" s="760"/>
      <c r="C6523" s="760"/>
      <c r="D6523" s="760"/>
      <c r="E6523" s="760"/>
      <c r="F6523" s="760"/>
      <c r="G6523" s="760"/>
      <c r="H6523" s="760"/>
      <c r="I6523" s="760"/>
      <c r="J6523" s="760"/>
      <c r="K6523" s="760"/>
    </row>
    <row r="6524" spans="1:11">
      <c r="A6524" s="760"/>
      <c r="B6524" s="760"/>
      <c r="C6524" s="760"/>
      <c r="D6524" s="760"/>
      <c r="E6524" s="760"/>
      <c r="F6524" s="760"/>
      <c r="G6524" s="760"/>
      <c r="H6524" s="760"/>
      <c r="I6524" s="760"/>
      <c r="J6524" s="760"/>
      <c r="K6524" s="760"/>
    </row>
    <row r="6525" spans="1:11">
      <c r="A6525" s="760"/>
      <c r="B6525" s="760"/>
      <c r="C6525" s="760"/>
      <c r="D6525" s="760"/>
      <c r="E6525" s="760"/>
      <c r="F6525" s="760"/>
      <c r="G6525" s="760"/>
      <c r="H6525" s="760"/>
      <c r="I6525" s="760"/>
      <c r="J6525" s="760"/>
      <c r="K6525" s="760"/>
    </row>
    <row r="6526" spans="1:11">
      <c r="A6526" s="760"/>
      <c r="B6526" s="760"/>
      <c r="C6526" s="760"/>
      <c r="D6526" s="760"/>
      <c r="E6526" s="760"/>
      <c r="F6526" s="760"/>
      <c r="G6526" s="760"/>
      <c r="H6526" s="760"/>
      <c r="I6526" s="760"/>
      <c r="J6526" s="760"/>
      <c r="K6526" s="760"/>
    </row>
    <row r="6527" spans="1:11">
      <c r="A6527" s="760"/>
      <c r="B6527" s="760"/>
      <c r="C6527" s="760"/>
      <c r="D6527" s="760"/>
      <c r="E6527" s="760"/>
      <c r="F6527" s="760"/>
      <c r="G6527" s="760"/>
      <c r="H6527" s="760"/>
      <c r="I6527" s="760"/>
      <c r="J6527" s="760"/>
      <c r="K6527" s="760"/>
    </row>
    <row r="6528" spans="1:11">
      <c r="A6528" s="760"/>
      <c r="B6528" s="760"/>
      <c r="C6528" s="760"/>
      <c r="D6528" s="760"/>
      <c r="E6528" s="760"/>
      <c r="F6528" s="760"/>
      <c r="G6528" s="760"/>
      <c r="H6528" s="760"/>
      <c r="I6528" s="760"/>
      <c r="J6528" s="760"/>
      <c r="K6528" s="760"/>
    </row>
    <row r="6529" spans="1:11">
      <c r="A6529" s="760"/>
      <c r="B6529" s="760"/>
      <c r="C6529" s="760"/>
      <c r="D6529" s="760"/>
      <c r="E6529" s="760"/>
      <c r="F6529" s="760"/>
      <c r="G6529" s="760"/>
      <c r="H6529" s="760"/>
      <c r="I6529" s="760"/>
      <c r="J6529" s="760"/>
      <c r="K6529" s="760"/>
    </row>
    <row r="6530" spans="1:11">
      <c r="A6530" s="760"/>
      <c r="B6530" s="760"/>
      <c r="C6530" s="760"/>
      <c r="D6530" s="760"/>
      <c r="E6530" s="760"/>
      <c r="F6530" s="760"/>
      <c r="G6530" s="760"/>
      <c r="H6530" s="760"/>
      <c r="I6530" s="760"/>
      <c r="J6530" s="760"/>
      <c r="K6530" s="760"/>
    </row>
    <row r="6531" spans="1:11">
      <c r="A6531" s="760"/>
      <c r="B6531" s="760"/>
      <c r="C6531" s="760"/>
      <c r="D6531" s="760"/>
      <c r="E6531" s="760"/>
      <c r="F6531" s="760"/>
      <c r="G6531" s="760"/>
      <c r="H6531" s="760"/>
      <c r="I6531" s="760"/>
      <c r="J6531" s="760"/>
      <c r="K6531" s="760"/>
    </row>
    <row r="6532" spans="1:11">
      <c r="A6532" s="760"/>
      <c r="B6532" s="760"/>
      <c r="C6532" s="760"/>
      <c r="D6532" s="760"/>
      <c r="E6532" s="760"/>
      <c r="F6532" s="760"/>
      <c r="G6532" s="760"/>
      <c r="H6532" s="760"/>
      <c r="I6532" s="760"/>
      <c r="J6532" s="760"/>
      <c r="K6532" s="760"/>
    </row>
    <row r="6533" spans="1:11">
      <c r="A6533" s="760"/>
      <c r="B6533" s="760"/>
      <c r="C6533" s="760"/>
      <c r="D6533" s="760"/>
      <c r="E6533" s="760"/>
      <c r="F6533" s="760"/>
      <c r="G6533" s="760"/>
      <c r="H6533" s="760"/>
      <c r="I6533" s="760"/>
      <c r="J6533" s="760"/>
      <c r="K6533" s="760"/>
    </row>
    <row r="6534" spans="1:11">
      <c r="A6534" s="760"/>
      <c r="B6534" s="760"/>
      <c r="C6534" s="760"/>
      <c r="D6534" s="760"/>
      <c r="E6534" s="760"/>
      <c r="F6534" s="760"/>
      <c r="G6534" s="760"/>
      <c r="H6534" s="760"/>
      <c r="I6534" s="760"/>
      <c r="J6534" s="760"/>
      <c r="K6534" s="760"/>
    </row>
    <row r="6535" spans="1:11">
      <c r="A6535" s="760"/>
      <c r="B6535" s="760"/>
      <c r="C6535" s="760"/>
      <c r="D6535" s="760"/>
      <c r="E6535" s="760"/>
      <c r="F6535" s="760"/>
      <c r="G6535" s="760"/>
      <c r="H6535" s="760"/>
      <c r="I6535" s="760"/>
      <c r="J6535" s="760"/>
      <c r="K6535" s="760"/>
    </row>
    <row r="6536" spans="1:11">
      <c r="A6536" s="760"/>
      <c r="B6536" s="760"/>
      <c r="C6536" s="760"/>
      <c r="D6536" s="760"/>
      <c r="E6536" s="760"/>
      <c r="F6536" s="760"/>
      <c r="G6536" s="760"/>
      <c r="H6536" s="760"/>
      <c r="I6536" s="760"/>
      <c r="J6536" s="760"/>
      <c r="K6536" s="760"/>
    </row>
    <row r="6537" spans="1:11">
      <c r="A6537" s="760"/>
      <c r="B6537" s="760"/>
      <c r="C6537" s="760"/>
      <c r="D6537" s="760"/>
      <c r="E6537" s="760"/>
      <c r="F6537" s="760"/>
      <c r="G6537" s="760"/>
      <c r="H6537" s="760"/>
      <c r="I6537" s="760"/>
      <c r="J6537" s="760"/>
      <c r="K6537" s="760"/>
    </row>
    <row r="6538" spans="1:11">
      <c r="A6538" s="760"/>
      <c r="B6538" s="760"/>
      <c r="C6538" s="760"/>
      <c r="D6538" s="760"/>
      <c r="E6538" s="760"/>
      <c r="F6538" s="760"/>
      <c r="G6538" s="760"/>
      <c r="H6538" s="760"/>
      <c r="I6538" s="760"/>
      <c r="J6538" s="760"/>
      <c r="K6538" s="760"/>
    </row>
    <row r="6539" spans="1:11">
      <c r="A6539" s="760"/>
      <c r="B6539" s="760"/>
      <c r="C6539" s="760"/>
      <c r="D6539" s="760"/>
      <c r="E6539" s="760"/>
      <c r="F6539" s="760"/>
      <c r="G6539" s="760"/>
      <c r="H6539" s="760"/>
      <c r="I6539" s="760"/>
      <c r="J6539" s="760"/>
      <c r="K6539" s="760"/>
    </row>
    <row r="6540" spans="1:11">
      <c r="A6540" s="760"/>
      <c r="B6540" s="760"/>
      <c r="C6540" s="760"/>
      <c r="D6540" s="760"/>
      <c r="E6540" s="760"/>
      <c r="F6540" s="760"/>
      <c r="G6540" s="760"/>
      <c r="H6540" s="760"/>
      <c r="I6540" s="760"/>
      <c r="J6540" s="760"/>
      <c r="K6540" s="760"/>
    </row>
    <row r="6541" spans="1:11">
      <c r="A6541" s="760"/>
      <c r="B6541" s="760"/>
      <c r="C6541" s="760"/>
      <c r="D6541" s="760"/>
      <c r="E6541" s="760"/>
      <c r="F6541" s="760"/>
      <c r="G6541" s="760"/>
      <c r="H6541" s="760"/>
      <c r="I6541" s="760"/>
      <c r="J6541" s="760"/>
      <c r="K6541" s="760"/>
    </row>
    <row r="6542" spans="1:11">
      <c r="A6542" s="760"/>
      <c r="B6542" s="760"/>
      <c r="C6542" s="760"/>
      <c r="D6542" s="760"/>
      <c r="E6542" s="760"/>
      <c r="F6542" s="760"/>
      <c r="G6542" s="760"/>
      <c r="H6542" s="760"/>
      <c r="I6542" s="760"/>
      <c r="J6542" s="760"/>
      <c r="K6542" s="760"/>
    </row>
    <row r="6543" spans="1:11">
      <c r="A6543" s="760"/>
      <c r="B6543" s="760"/>
      <c r="C6543" s="760"/>
      <c r="D6543" s="760"/>
      <c r="E6543" s="760"/>
      <c r="F6543" s="760"/>
      <c r="G6543" s="760"/>
      <c r="H6543" s="760"/>
      <c r="I6543" s="760"/>
      <c r="J6543" s="760"/>
      <c r="K6543" s="760"/>
    </row>
    <row r="6544" spans="1:11">
      <c r="A6544" s="760"/>
      <c r="B6544" s="760"/>
      <c r="C6544" s="760"/>
      <c r="D6544" s="760"/>
      <c r="E6544" s="760"/>
      <c r="F6544" s="760"/>
      <c r="G6544" s="760"/>
      <c r="H6544" s="760"/>
      <c r="I6544" s="760"/>
      <c r="J6544" s="760"/>
      <c r="K6544" s="760"/>
    </row>
    <row r="6545" spans="1:11">
      <c r="A6545" s="760"/>
      <c r="B6545" s="760"/>
      <c r="C6545" s="760"/>
      <c r="D6545" s="760"/>
      <c r="E6545" s="760"/>
      <c r="F6545" s="760"/>
      <c r="G6545" s="760"/>
      <c r="H6545" s="760"/>
      <c r="I6545" s="760"/>
      <c r="J6545" s="760"/>
      <c r="K6545" s="760"/>
    </row>
    <row r="6546" spans="1:11">
      <c r="A6546" s="760"/>
      <c r="B6546" s="760"/>
      <c r="C6546" s="760"/>
      <c r="D6546" s="760"/>
      <c r="E6546" s="760"/>
      <c r="F6546" s="760"/>
      <c r="G6546" s="760"/>
      <c r="H6546" s="760"/>
      <c r="I6546" s="760"/>
      <c r="J6546" s="760"/>
      <c r="K6546" s="760"/>
    </row>
    <row r="6547" spans="1:11">
      <c r="A6547" s="760"/>
      <c r="B6547" s="760"/>
      <c r="C6547" s="760"/>
      <c r="D6547" s="760"/>
      <c r="E6547" s="760"/>
      <c r="F6547" s="760"/>
      <c r="G6547" s="760"/>
      <c r="H6547" s="760"/>
      <c r="I6547" s="760"/>
      <c r="J6547" s="760"/>
      <c r="K6547" s="760"/>
    </row>
    <row r="6548" spans="1:11">
      <c r="A6548" s="760"/>
      <c r="B6548" s="760"/>
      <c r="C6548" s="760"/>
      <c r="D6548" s="760"/>
      <c r="E6548" s="760"/>
      <c r="F6548" s="760"/>
      <c r="G6548" s="760"/>
      <c r="H6548" s="760"/>
      <c r="I6548" s="760"/>
      <c r="J6548" s="760"/>
      <c r="K6548" s="760"/>
    </row>
    <row r="6549" spans="1:11">
      <c r="A6549" s="760"/>
      <c r="B6549" s="760"/>
      <c r="C6549" s="760"/>
      <c r="D6549" s="760"/>
      <c r="E6549" s="760"/>
      <c r="F6549" s="760"/>
      <c r="G6549" s="760"/>
      <c r="H6549" s="760"/>
      <c r="I6549" s="760"/>
      <c r="J6549" s="760"/>
      <c r="K6549" s="760"/>
    </row>
    <row r="6550" spans="1:11">
      <c r="A6550" s="760"/>
      <c r="B6550" s="760"/>
      <c r="C6550" s="760"/>
      <c r="D6550" s="760"/>
      <c r="E6550" s="760"/>
      <c r="F6550" s="760"/>
      <c r="G6550" s="760"/>
      <c r="H6550" s="760"/>
      <c r="I6550" s="760"/>
      <c r="J6550" s="760"/>
      <c r="K6550" s="760"/>
    </row>
    <row r="6551" spans="1:11">
      <c r="A6551" s="760"/>
      <c r="B6551" s="760"/>
      <c r="C6551" s="760"/>
      <c r="D6551" s="760"/>
      <c r="E6551" s="760"/>
      <c r="F6551" s="760"/>
      <c r="G6551" s="760"/>
      <c r="H6551" s="760"/>
      <c r="I6551" s="760"/>
      <c r="J6551" s="760"/>
      <c r="K6551" s="760"/>
    </row>
    <row r="6552" spans="1:11">
      <c r="A6552" s="760"/>
      <c r="B6552" s="760"/>
      <c r="C6552" s="760"/>
      <c r="D6552" s="760"/>
      <c r="E6552" s="760"/>
      <c r="F6552" s="760"/>
      <c r="G6552" s="760"/>
      <c r="H6552" s="760"/>
      <c r="I6552" s="760"/>
      <c r="J6552" s="760"/>
      <c r="K6552" s="760"/>
    </row>
    <row r="6553" spans="1:11">
      <c r="A6553" s="760"/>
      <c r="B6553" s="760"/>
      <c r="C6553" s="760"/>
      <c r="D6553" s="760"/>
      <c r="E6553" s="760"/>
      <c r="F6553" s="760"/>
      <c r="G6553" s="760"/>
      <c r="H6553" s="760"/>
      <c r="I6553" s="760"/>
      <c r="J6553" s="760"/>
      <c r="K6553" s="760"/>
    </row>
    <row r="6554" spans="1:11">
      <c r="A6554" s="760"/>
      <c r="B6554" s="760"/>
      <c r="C6554" s="760"/>
      <c r="D6554" s="760"/>
      <c r="E6554" s="760"/>
      <c r="F6554" s="760"/>
      <c r="G6554" s="760"/>
      <c r="H6554" s="760"/>
      <c r="I6554" s="760"/>
      <c r="J6554" s="760"/>
      <c r="K6554" s="760"/>
    </row>
    <row r="6555" spans="1:11">
      <c r="A6555" s="760"/>
      <c r="B6555" s="760"/>
      <c r="C6555" s="760"/>
      <c r="D6555" s="760"/>
      <c r="E6555" s="760"/>
      <c r="F6555" s="760"/>
      <c r="G6555" s="760"/>
      <c r="H6555" s="760"/>
      <c r="I6555" s="760"/>
      <c r="J6555" s="760"/>
      <c r="K6555" s="760"/>
    </row>
    <row r="6556" spans="1:11">
      <c r="A6556" s="760"/>
      <c r="B6556" s="760"/>
      <c r="C6556" s="760"/>
      <c r="D6556" s="760"/>
      <c r="E6556" s="760"/>
      <c r="F6556" s="760"/>
      <c r="G6556" s="760"/>
      <c r="H6556" s="760"/>
      <c r="I6556" s="760"/>
      <c r="J6556" s="760"/>
      <c r="K6556" s="760"/>
    </row>
    <row r="6557" spans="1:11">
      <c r="A6557" s="760"/>
      <c r="B6557" s="760"/>
      <c r="C6557" s="760"/>
      <c r="D6557" s="760"/>
      <c r="E6557" s="760"/>
      <c r="F6557" s="760"/>
      <c r="G6557" s="760"/>
      <c r="H6557" s="760"/>
      <c r="I6557" s="760"/>
      <c r="J6557" s="760"/>
      <c r="K6557" s="760"/>
    </row>
    <row r="6558" spans="1:11">
      <c r="A6558" s="760"/>
      <c r="B6558" s="760"/>
      <c r="C6558" s="760"/>
      <c r="D6558" s="760"/>
      <c r="E6558" s="760"/>
      <c r="F6558" s="760"/>
      <c r="G6558" s="760"/>
      <c r="H6558" s="760"/>
      <c r="I6558" s="760"/>
      <c r="J6558" s="760"/>
      <c r="K6558" s="760"/>
    </row>
    <row r="6559" spans="1:11">
      <c r="A6559" s="760"/>
      <c r="B6559" s="760"/>
      <c r="C6559" s="760"/>
      <c r="D6559" s="760"/>
      <c r="E6559" s="760"/>
      <c r="F6559" s="760"/>
      <c r="G6559" s="760"/>
      <c r="H6559" s="760"/>
      <c r="I6559" s="760"/>
      <c r="J6559" s="760"/>
      <c r="K6559" s="760"/>
    </row>
    <row r="6560" spans="1:11">
      <c r="A6560" s="760"/>
      <c r="B6560" s="760"/>
      <c r="C6560" s="760"/>
      <c r="D6560" s="760"/>
      <c r="E6560" s="760"/>
      <c r="F6560" s="760"/>
      <c r="G6560" s="760"/>
      <c r="H6560" s="760"/>
      <c r="I6560" s="760"/>
      <c r="J6560" s="760"/>
      <c r="K6560" s="760"/>
    </row>
    <row r="6561" spans="1:11">
      <c r="A6561" s="760"/>
      <c r="B6561" s="760"/>
      <c r="C6561" s="760"/>
      <c r="D6561" s="760"/>
      <c r="E6561" s="760"/>
      <c r="F6561" s="760"/>
      <c r="G6561" s="760"/>
      <c r="H6561" s="760"/>
      <c r="I6561" s="760"/>
      <c r="J6561" s="760"/>
      <c r="K6561" s="760"/>
    </row>
    <row r="6562" spans="1:11">
      <c r="A6562" s="760"/>
      <c r="B6562" s="760"/>
      <c r="C6562" s="760"/>
      <c r="D6562" s="760"/>
      <c r="E6562" s="760"/>
      <c r="F6562" s="760"/>
      <c r="G6562" s="760"/>
      <c r="H6562" s="760"/>
      <c r="I6562" s="760"/>
      <c r="J6562" s="760"/>
      <c r="K6562" s="760"/>
    </row>
    <row r="6563" spans="1:11">
      <c r="A6563" s="760"/>
      <c r="B6563" s="760"/>
      <c r="C6563" s="760"/>
      <c r="D6563" s="760"/>
      <c r="E6563" s="760"/>
      <c r="F6563" s="760"/>
      <c r="G6563" s="760"/>
      <c r="H6563" s="760"/>
      <c r="I6563" s="760"/>
      <c r="J6563" s="760"/>
      <c r="K6563" s="760"/>
    </row>
    <row r="6564" spans="1:11">
      <c r="A6564" s="760"/>
      <c r="B6564" s="760"/>
      <c r="C6564" s="760"/>
      <c r="D6564" s="760"/>
      <c r="E6564" s="760"/>
      <c r="F6564" s="760"/>
      <c r="G6564" s="760"/>
      <c r="H6564" s="760"/>
      <c r="I6564" s="760"/>
      <c r="J6564" s="760"/>
      <c r="K6564" s="760"/>
    </row>
    <row r="6565" spans="1:11">
      <c r="A6565" s="760"/>
      <c r="B6565" s="760"/>
      <c r="C6565" s="760"/>
      <c r="D6565" s="760"/>
      <c r="E6565" s="760"/>
      <c r="F6565" s="760"/>
      <c r="G6565" s="760"/>
      <c r="H6565" s="760"/>
      <c r="I6565" s="760"/>
      <c r="J6565" s="760"/>
      <c r="K6565" s="760"/>
    </row>
    <row r="6566" spans="1:11">
      <c r="A6566" s="760"/>
      <c r="B6566" s="760"/>
      <c r="C6566" s="760"/>
      <c r="D6566" s="760"/>
      <c r="E6566" s="760"/>
      <c r="F6566" s="760"/>
      <c r="G6566" s="760"/>
      <c r="H6566" s="760"/>
      <c r="I6566" s="760"/>
      <c r="J6566" s="760"/>
      <c r="K6566" s="760"/>
    </row>
    <row r="6567" spans="1:11">
      <c r="A6567" s="760"/>
      <c r="B6567" s="760"/>
      <c r="C6567" s="760"/>
      <c r="D6567" s="760"/>
      <c r="E6567" s="760"/>
      <c r="F6567" s="760"/>
      <c r="G6567" s="760"/>
      <c r="H6567" s="760"/>
      <c r="I6567" s="760"/>
      <c r="J6567" s="760"/>
      <c r="K6567" s="760"/>
    </row>
    <row r="6568" spans="1:11">
      <c r="A6568" s="760"/>
      <c r="B6568" s="760"/>
      <c r="C6568" s="760"/>
      <c r="D6568" s="760"/>
      <c r="E6568" s="760"/>
      <c r="F6568" s="760"/>
      <c r="G6568" s="760"/>
      <c r="H6568" s="760"/>
      <c r="I6568" s="760"/>
      <c r="J6568" s="760"/>
      <c r="K6568" s="760"/>
    </row>
    <row r="6569" spans="1:11">
      <c r="A6569" s="760"/>
      <c r="B6569" s="760"/>
      <c r="C6569" s="760"/>
      <c r="D6569" s="760"/>
      <c r="E6569" s="760"/>
      <c r="F6569" s="760"/>
      <c r="G6569" s="760"/>
      <c r="H6569" s="760"/>
      <c r="I6569" s="760"/>
      <c r="J6569" s="760"/>
      <c r="K6569" s="760"/>
    </row>
    <row r="6570" spans="1:11">
      <c r="A6570" s="760"/>
      <c r="B6570" s="760"/>
      <c r="C6570" s="760"/>
      <c r="D6570" s="760"/>
      <c r="E6570" s="760"/>
      <c r="F6570" s="760"/>
      <c r="G6570" s="760"/>
      <c r="H6570" s="760"/>
      <c r="I6570" s="760"/>
      <c r="J6570" s="760"/>
      <c r="K6570" s="760"/>
    </row>
    <row r="6571" spans="1:11">
      <c r="A6571" s="760"/>
      <c r="B6571" s="760"/>
      <c r="C6571" s="760"/>
      <c r="D6571" s="760"/>
      <c r="E6571" s="760"/>
      <c r="F6571" s="760"/>
      <c r="G6571" s="760"/>
      <c r="H6571" s="760"/>
      <c r="I6571" s="760"/>
      <c r="J6571" s="760"/>
      <c r="K6571" s="760"/>
    </row>
    <row r="6572" spans="1:11">
      <c r="A6572" s="760"/>
      <c r="B6572" s="760"/>
      <c r="C6572" s="760"/>
      <c r="D6572" s="760"/>
      <c r="E6572" s="760"/>
      <c r="F6572" s="760"/>
      <c r="G6572" s="760"/>
      <c r="H6572" s="760"/>
      <c r="I6572" s="760"/>
      <c r="J6572" s="760"/>
      <c r="K6572" s="760"/>
    </row>
    <row r="6573" spans="1:11">
      <c r="A6573" s="760"/>
      <c r="B6573" s="760"/>
      <c r="C6573" s="760"/>
      <c r="D6573" s="760"/>
      <c r="E6573" s="760"/>
      <c r="F6573" s="760"/>
      <c r="G6573" s="760"/>
      <c r="H6573" s="760"/>
      <c r="I6573" s="760"/>
      <c r="J6573" s="760"/>
      <c r="K6573" s="760"/>
    </row>
    <row r="6574" spans="1:11">
      <c r="A6574" s="760"/>
      <c r="B6574" s="760"/>
      <c r="C6574" s="760"/>
      <c r="D6574" s="760"/>
      <c r="E6574" s="760"/>
      <c r="F6574" s="760"/>
      <c r="G6574" s="760"/>
      <c r="H6574" s="760"/>
      <c r="I6574" s="760"/>
      <c r="J6574" s="760"/>
      <c r="K6574" s="760"/>
    </row>
    <row r="6575" spans="1:11">
      <c r="A6575" s="760"/>
      <c r="B6575" s="760"/>
      <c r="C6575" s="760"/>
      <c r="D6575" s="760"/>
      <c r="E6575" s="760"/>
      <c r="F6575" s="760"/>
      <c r="G6575" s="760"/>
      <c r="H6575" s="760"/>
      <c r="I6575" s="760"/>
      <c r="J6575" s="760"/>
      <c r="K6575" s="760"/>
    </row>
    <row r="6576" spans="1:11">
      <c r="A6576" s="760"/>
      <c r="B6576" s="760"/>
      <c r="C6576" s="760"/>
      <c r="D6576" s="760"/>
      <c r="E6576" s="760"/>
      <c r="F6576" s="760"/>
      <c r="G6576" s="760"/>
      <c r="H6576" s="760"/>
      <c r="I6576" s="760"/>
      <c r="J6576" s="760"/>
      <c r="K6576" s="760"/>
    </row>
    <row r="6577" spans="1:11">
      <c r="A6577" s="760"/>
      <c r="B6577" s="760"/>
      <c r="C6577" s="760"/>
      <c r="D6577" s="760"/>
      <c r="E6577" s="760"/>
      <c r="F6577" s="760"/>
      <c r="G6577" s="760"/>
      <c r="H6577" s="760"/>
      <c r="I6577" s="760"/>
      <c r="J6577" s="760"/>
      <c r="K6577" s="760"/>
    </row>
    <row r="6578" spans="1:11">
      <c r="A6578" s="760"/>
      <c r="B6578" s="760"/>
      <c r="C6578" s="760"/>
      <c r="D6578" s="760"/>
      <c r="E6578" s="760"/>
      <c r="F6578" s="760"/>
      <c r="G6578" s="760"/>
      <c r="H6578" s="760"/>
      <c r="I6578" s="760"/>
      <c r="J6578" s="760"/>
      <c r="K6578" s="760"/>
    </row>
    <row r="6579" spans="1:11">
      <c r="A6579" s="760"/>
      <c r="B6579" s="760"/>
      <c r="C6579" s="760"/>
      <c r="D6579" s="760"/>
      <c r="E6579" s="760"/>
      <c r="F6579" s="760"/>
      <c r="G6579" s="760"/>
      <c r="H6579" s="760"/>
      <c r="I6579" s="760"/>
      <c r="J6579" s="760"/>
      <c r="K6579" s="760"/>
    </row>
    <row r="6580" spans="1:11">
      <c r="A6580" s="760"/>
      <c r="B6580" s="760"/>
      <c r="C6580" s="760"/>
      <c r="D6580" s="760"/>
      <c r="E6580" s="760"/>
      <c r="F6580" s="760"/>
      <c r="G6580" s="760"/>
      <c r="H6580" s="760"/>
      <c r="I6580" s="760"/>
      <c r="J6580" s="760"/>
      <c r="K6580" s="760"/>
    </row>
    <row r="6581" spans="1:11">
      <c r="A6581" s="760"/>
      <c r="B6581" s="760"/>
      <c r="C6581" s="760"/>
      <c r="D6581" s="760"/>
      <c r="E6581" s="760"/>
      <c r="F6581" s="760"/>
      <c r="G6581" s="760"/>
      <c r="H6581" s="760"/>
      <c r="I6581" s="760"/>
      <c r="J6581" s="760"/>
      <c r="K6581" s="760"/>
    </row>
    <row r="6582" spans="1:11">
      <c r="A6582" s="760"/>
      <c r="B6582" s="760"/>
      <c r="C6582" s="760"/>
      <c r="D6582" s="760"/>
      <c r="E6582" s="760"/>
      <c r="F6582" s="760"/>
      <c r="G6582" s="760"/>
      <c r="H6582" s="760"/>
      <c r="I6582" s="760"/>
      <c r="J6582" s="760"/>
      <c r="K6582" s="760"/>
    </row>
    <row r="6583" spans="1:11">
      <c r="A6583" s="760"/>
      <c r="B6583" s="760"/>
      <c r="C6583" s="760"/>
      <c r="D6583" s="760"/>
      <c r="E6583" s="760"/>
      <c r="F6583" s="760"/>
      <c r="G6583" s="760"/>
      <c r="H6583" s="760"/>
      <c r="I6583" s="760"/>
      <c r="J6583" s="760"/>
      <c r="K6583" s="760"/>
    </row>
    <row r="6584" spans="1:11">
      <c r="A6584" s="760"/>
      <c r="B6584" s="760"/>
      <c r="C6584" s="760"/>
      <c r="D6584" s="760"/>
      <c r="E6584" s="760"/>
      <c r="F6584" s="760"/>
      <c r="G6584" s="760"/>
      <c r="H6584" s="760"/>
      <c r="I6584" s="760"/>
      <c r="J6584" s="760"/>
      <c r="K6584" s="760"/>
    </row>
    <row r="6585" spans="1:11">
      <c r="A6585" s="760"/>
      <c r="B6585" s="760"/>
      <c r="C6585" s="760"/>
      <c r="D6585" s="760"/>
      <c r="E6585" s="760"/>
      <c r="F6585" s="760"/>
      <c r="G6585" s="760"/>
      <c r="H6585" s="760"/>
      <c r="I6585" s="760"/>
      <c r="J6585" s="760"/>
      <c r="K6585" s="760"/>
    </row>
    <row r="6586" spans="1:11">
      <c r="A6586" s="760"/>
      <c r="B6586" s="760"/>
      <c r="C6586" s="760"/>
      <c r="D6586" s="760"/>
      <c r="E6586" s="760"/>
      <c r="F6586" s="760"/>
      <c r="G6586" s="760"/>
      <c r="H6586" s="760"/>
      <c r="I6586" s="760"/>
      <c r="J6586" s="760"/>
      <c r="K6586" s="760"/>
    </row>
    <row r="6587" spans="1:11">
      <c r="A6587" s="760"/>
      <c r="B6587" s="760"/>
      <c r="C6587" s="760"/>
      <c r="D6587" s="760"/>
      <c r="E6587" s="760"/>
      <c r="F6587" s="760"/>
      <c r="G6587" s="760"/>
      <c r="H6587" s="760"/>
      <c r="I6587" s="760"/>
      <c r="J6587" s="760"/>
      <c r="K6587" s="760"/>
    </row>
    <row r="6588" spans="1:11">
      <c r="A6588" s="760"/>
      <c r="B6588" s="760"/>
      <c r="C6588" s="760"/>
      <c r="D6588" s="760"/>
      <c r="E6588" s="760"/>
      <c r="F6588" s="760"/>
      <c r="G6588" s="760"/>
      <c r="H6588" s="760"/>
      <c r="I6588" s="760"/>
      <c r="J6588" s="760"/>
      <c r="K6588" s="760"/>
    </row>
    <row r="6589" spans="1:11">
      <c r="A6589" s="760"/>
      <c r="B6589" s="760"/>
      <c r="C6589" s="760"/>
      <c r="D6589" s="760"/>
      <c r="E6589" s="760"/>
      <c r="F6589" s="760"/>
      <c r="G6589" s="760"/>
      <c r="H6589" s="760"/>
      <c r="I6589" s="760"/>
      <c r="J6589" s="760"/>
      <c r="K6589" s="760"/>
    </row>
    <row r="6590" spans="1:11">
      <c r="A6590" s="760"/>
      <c r="B6590" s="760"/>
      <c r="C6590" s="760"/>
      <c r="D6590" s="760"/>
      <c r="E6590" s="760"/>
      <c r="F6590" s="760"/>
      <c r="G6590" s="760"/>
      <c r="H6590" s="760"/>
      <c r="I6590" s="760"/>
      <c r="J6590" s="760"/>
      <c r="K6590" s="760"/>
    </row>
    <row r="6591" spans="1:11">
      <c r="A6591" s="760"/>
      <c r="B6591" s="760"/>
      <c r="C6591" s="760"/>
      <c r="D6591" s="760"/>
      <c r="E6591" s="760"/>
      <c r="F6591" s="760"/>
      <c r="G6591" s="760"/>
      <c r="H6591" s="760"/>
      <c r="I6591" s="760"/>
      <c r="J6591" s="760"/>
      <c r="K6591" s="760"/>
    </row>
    <row r="6592" spans="1:11">
      <c r="A6592" s="760"/>
      <c r="B6592" s="760"/>
      <c r="C6592" s="760"/>
      <c r="D6592" s="760"/>
      <c r="E6592" s="760"/>
      <c r="F6592" s="760"/>
      <c r="G6592" s="760"/>
      <c r="H6592" s="760"/>
      <c r="I6592" s="760"/>
      <c r="J6592" s="760"/>
      <c r="K6592" s="760"/>
    </row>
    <row r="6593" spans="1:11">
      <c r="A6593" s="760"/>
      <c r="B6593" s="760"/>
      <c r="C6593" s="760"/>
      <c r="D6593" s="760"/>
      <c r="E6593" s="760"/>
      <c r="F6593" s="760"/>
      <c r="G6593" s="760"/>
      <c r="H6593" s="760"/>
      <c r="I6593" s="760"/>
      <c r="J6593" s="760"/>
      <c r="K6593" s="760"/>
    </row>
    <row r="6594" spans="1:11">
      <c r="A6594" s="760"/>
      <c r="B6594" s="760"/>
      <c r="C6594" s="760"/>
      <c r="D6594" s="760"/>
      <c r="E6594" s="760"/>
      <c r="F6594" s="760"/>
      <c r="G6594" s="760"/>
      <c r="H6594" s="760"/>
      <c r="I6594" s="760"/>
      <c r="J6594" s="760"/>
      <c r="K6594" s="760"/>
    </row>
    <row r="6595" spans="1:11">
      <c r="A6595" s="760"/>
      <c r="B6595" s="760"/>
      <c r="C6595" s="760"/>
      <c r="D6595" s="760"/>
      <c r="E6595" s="760"/>
      <c r="F6595" s="760"/>
      <c r="G6595" s="760"/>
      <c r="H6595" s="760"/>
      <c r="I6595" s="760"/>
      <c r="J6595" s="760"/>
      <c r="K6595" s="760"/>
    </row>
    <row r="6596" spans="1:11">
      <c r="A6596" s="760"/>
      <c r="B6596" s="760"/>
      <c r="C6596" s="760"/>
      <c r="D6596" s="760"/>
      <c r="E6596" s="760"/>
      <c r="F6596" s="760"/>
      <c r="G6596" s="760"/>
      <c r="H6596" s="760"/>
      <c r="I6596" s="760"/>
      <c r="J6596" s="760"/>
      <c r="K6596" s="760"/>
    </row>
    <row r="6597" spans="1:11">
      <c r="A6597" s="760"/>
      <c r="B6597" s="760"/>
      <c r="C6597" s="760"/>
      <c r="D6597" s="760"/>
      <c r="E6597" s="760"/>
      <c r="F6597" s="760"/>
      <c r="G6597" s="760"/>
      <c r="H6597" s="760"/>
      <c r="I6597" s="760"/>
      <c r="J6597" s="760"/>
      <c r="K6597" s="760"/>
    </row>
    <row r="6598" spans="1:11">
      <c r="A6598" s="760"/>
      <c r="B6598" s="760"/>
      <c r="C6598" s="760"/>
      <c r="D6598" s="760"/>
      <c r="E6598" s="760"/>
      <c r="F6598" s="760"/>
      <c r="G6598" s="760"/>
      <c r="H6598" s="760"/>
      <c r="I6598" s="760"/>
      <c r="J6598" s="760"/>
      <c r="K6598" s="760"/>
    </row>
    <row r="6599" spans="1:11">
      <c r="A6599" s="760"/>
      <c r="B6599" s="760"/>
      <c r="C6599" s="760"/>
      <c r="D6599" s="760"/>
      <c r="E6599" s="760"/>
      <c r="F6599" s="760"/>
      <c r="G6599" s="760"/>
      <c r="H6599" s="760"/>
      <c r="I6599" s="760"/>
      <c r="J6599" s="760"/>
      <c r="K6599" s="760"/>
    </row>
    <row r="6600" spans="1:11">
      <c r="A6600" s="760"/>
      <c r="B6600" s="760"/>
      <c r="C6600" s="760"/>
      <c r="D6600" s="760"/>
      <c r="E6600" s="760"/>
      <c r="F6600" s="760"/>
      <c r="G6600" s="760"/>
      <c r="H6600" s="760"/>
      <c r="I6600" s="760"/>
      <c r="J6600" s="760"/>
      <c r="K6600" s="760"/>
    </row>
    <row r="6601" spans="1:11">
      <c r="A6601" s="760"/>
      <c r="B6601" s="760"/>
      <c r="C6601" s="760"/>
      <c r="D6601" s="760"/>
      <c r="E6601" s="760"/>
      <c r="F6601" s="760"/>
      <c r="G6601" s="760"/>
      <c r="H6601" s="760"/>
      <c r="I6601" s="760"/>
      <c r="J6601" s="760"/>
      <c r="K6601" s="760"/>
    </row>
    <row r="6602" spans="1:11">
      <c r="A6602" s="760"/>
      <c r="B6602" s="760"/>
      <c r="C6602" s="760"/>
      <c r="D6602" s="760"/>
      <c r="E6602" s="760"/>
      <c r="F6602" s="760"/>
      <c r="G6602" s="760"/>
      <c r="H6602" s="760"/>
      <c r="I6602" s="760"/>
      <c r="J6602" s="760"/>
      <c r="K6602" s="760"/>
    </row>
    <row r="6603" spans="1:11">
      <c r="A6603" s="760"/>
      <c r="B6603" s="760"/>
      <c r="C6603" s="760"/>
      <c r="D6603" s="760"/>
      <c r="E6603" s="760"/>
      <c r="F6603" s="760"/>
      <c r="G6603" s="760"/>
      <c r="H6603" s="760"/>
      <c r="I6603" s="760"/>
      <c r="J6603" s="760"/>
      <c r="K6603" s="760"/>
    </row>
    <row r="6604" spans="1:11">
      <c r="A6604" s="760"/>
      <c r="B6604" s="760"/>
      <c r="C6604" s="760"/>
      <c r="D6604" s="760"/>
      <c r="E6604" s="760"/>
      <c r="F6604" s="760"/>
      <c r="G6604" s="760"/>
      <c r="H6604" s="760"/>
      <c r="I6604" s="760"/>
      <c r="J6604" s="760"/>
      <c r="K6604" s="760"/>
    </row>
    <row r="6605" spans="1:11">
      <c r="A6605" s="760"/>
      <c r="B6605" s="760"/>
      <c r="C6605" s="760"/>
      <c r="D6605" s="760"/>
      <c r="E6605" s="760"/>
      <c r="F6605" s="760"/>
      <c r="G6605" s="760"/>
      <c r="H6605" s="760"/>
      <c r="I6605" s="760"/>
      <c r="J6605" s="760"/>
      <c r="K6605" s="760"/>
    </row>
    <row r="6606" spans="1:11">
      <c r="A6606" s="760"/>
      <c r="B6606" s="760"/>
      <c r="C6606" s="760"/>
      <c r="D6606" s="760"/>
      <c r="E6606" s="760"/>
      <c r="F6606" s="760"/>
      <c r="G6606" s="760"/>
      <c r="H6606" s="760"/>
      <c r="I6606" s="760"/>
      <c r="J6606" s="760"/>
      <c r="K6606" s="760"/>
    </row>
    <row r="6607" spans="1:11">
      <c r="A6607" s="760"/>
      <c r="B6607" s="760"/>
      <c r="C6607" s="760"/>
      <c r="D6607" s="760"/>
      <c r="E6607" s="760"/>
      <c r="F6607" s="760"/>
      <c r="G6607" s="760"/>
      <c r="H6607" s="760"/>
      <c r="I6607" s="760"/>
      <c r="J6607" s="760"/>
      <c r="K6607" s="760"/>
    </row>
    <row r="6608" spans="1:11">
      <c r="A6608" s="760"/>
      <c r="B6608" s="760"/>
      <c r="C6608" s="760"/>
      <c r="D6608" s="760"/>
      <c r="E6608" s="760"/>
      <c r="F6608" s="760"/>
      <c r="G6608" s="760"/>
      <c r="H6608" s="760"/>
      <c r="I6608" s="760"/>
      <c r="J6608" s="760"/>
      <c r="K6608" s="760"/>
    </row>
    <row r="6609" spans="1:11">
      <c r="A6609" s="760"/>
      <c r="B6609" s="760"/>
      <c r="C6609" s="760"/>
      <c r="D6609" s="760"/>
      <c r="E6609" s="760"/>
      <c r="F6609" s="760"/>
      <c r="G6609" s="760"/>
      <c r="H6609" s="760"/>
      <c r="I6609" s="760"/>
      <c r="J6609" s="760"/>
      <c r="K6609" s="760"/>
    </row>
    <row r="6610" spans="1:11">
      <c r="A6610" s="760"/>
      <c r="B6610" s="760"/>
      <c r="C6610" s="760"/>
      <c r="D6610" s="760"/>
      <c r="E6610" s="760"/>
      <c r="F6610" s="760"/>
      <c r="G6610" s="760"/>
      <c r="H6610" s="760"/>
      <c r="I6610" s="760"/>
      <c r="J6610" s="760"/>
      <c r="K6610" s="760"/>
    </row>
    <row r="6611" spans="1:11">
      <c r="A6611" s="760"/>
      <c r="B6611" s="760"/>
      <c r="C6611" s="760"/>
      <c r="D6611" s="760"/>
      <c r="E6611" s="760"/>
      <c r="F6611" s="760"/>
      <c r="G6611" s="760"/>
      <c r="H6611" s="760"/>
      <c r="I6611" s="760"/>
      <c r="J6611" s="760"/>
      <c r="K6611" s="760"/>
    </row>
    <row r="6612" spans="1:11">
      <c r="A6612" s="760"/>
      <c r="B6612" s="760"/>
      <c r="C6612" s="760"/>
      <c r="D6612" s="760"/>
      <c r="E6612" s="760"/>
      <c r="F6612" s="760"/>
      <c r="G6612" s="760"/>
      <c r="H6612" s="760"/>
      <c r="I6612" s="760"/>
      <c r="J6612" s="760"/>
      <c r="K6612" s="760"/>
    </row>
    <row r="6613" spans="1:11">
      <c r="A6613" s="760"/>
      <c r="B6613" s="760"/>
      <c r="C6613" s="760"/>
      <c r="D6613" s="760"/>
      <c r="E6613" s="760"/>
      <c r="F6613" s="760"/>
      <c r="G6613" s="760"/>
      <c r="H6613" s="760"/>
      <c r="I6613" s="760"/>
      <c r="J6613" s="760"/>
      <c r="K6613" s="760"/>
    </row>
    <row r="6614" spans="1:11">
      <c r="A6614" s="760"/>
      <c r="B6614" s="760"/>
      <c r="C6614" s="760"/>
      <c r="D6614" s="760"/>
      <c r="E6614" s="760"/>
      <c r="F6614" s="760"/>
      <c r="G6614" s="760"/>
      <c r="H6614" s="760"/>
      <c r="I6614" s="760"/>
      <c r="J6614" s="760"/>
      <c r="K6614" s="760"/>
    </row>
    <row r="6615" spans="1:11">
      <c r="A6615" s="760"/>
      <c r="B6615" s="760"/>
      <c r="C6615" s="760"/>
      <c r="D6615" s="760"/>
      <c r="E6615" s="760"/>
      <c r="F6615" s="760"/>
      <c r="G6615" s="760"/>
      <c r="H6615" s="760"/>
      <c r="I6615" s="760"/>
      <c r="J6615" s="760"/>
      <c r="K6615" s="760"/>
    </row>
    <row r="6616" spans="1:11">
      <c r="A6616" s="760"/>
      <c r="B6616" s="760"/>
      <c r="C6616" s="760"/>
      <c r="D6616" s="760"/>
      <c r="E6616" s="760"/>
      <c r="F6616" s="760"/>
      <c r="G6616" s="760"/>
      <c r="H6616" s="760"/>
      <c r="I6616" s="760"/>
      <c r="J6616" s="760"/>
      <c r="K6616" s="760"/>
    </row>
    <row r="6617" spans="1:11">
      <c r="A6617" s="760"/>
      <c r="B6617" s="760"/>
      <c r="C6617" s="760"/>
      <c r="D6617" s="760"/>
      <c r="E6617" s="760"/>
      <c r="F6617" s="760"/>
      <c r="G6617" s="760"/>
      <c r="H6617" s="760"/>
      <c r="I6617" s="760"/>
      <c r="J6617" s="760"/>
      <c r="K6617" s="760"/>
    </row>
    <row r="6618" spans="1:11">
      <c r="A6618" s="760"/>
      <c r="B6618" s="760"/>
      <c r="C6618" s="760"/>
      <c r="D6618" s="760"/>
      <c r="E6618" s="760"/>
      <c r="F6618" s="760"/>
      <c r="G6618" s="760"/>
      <c r="H6618" s="760"/>
      <c r="I6618" s="760"/>
      <c r="J6618" s="760"/>
      <c r="K6618" s="760"/>
    </row>
    <row r="6619" spans="1:11">
      <c r="A6619" s="760"/>
      <c r="B6619" s="760"/>
      <c r="C6619" s="760"/>
      <c r="D6619" s="760"/>
      <c r="E6619" s="760"/>
      <c r="F6619" s="760"/>
      <c r="G6619" s="760"/>
      <c r="H6619" s="760"/>
      <c r="I6619" s="760"/>
      <c r="J6619" s="760"/>
      <c r="K6619" s="760"/>
    </row>
    <row r="6620" spans="1:11">
      <c r="A6620" s="760"/>
      <c r="B6620" s="760"/>
      <c r="C6620" s="760"/>
      <c r="D6620" s="760"/>
      <c r="E6620" s="760"/>
      <c r="F6620" s="760"/>
      <c r="G6620" s="760"/>
      <c r="H6620" s="760"/>
      <c r="I6620" s="760"/>
      <c r="J6620" s="760"/>
      <c r="K6620" s="760"/>
    </row>
    <row r="6621" spans="1:11">
      <c r="A6621" s="760"/>
      <c r="B6621" s="760"/>
      <c r="C6621" s="760"/>
      <c r="D6621" s="760"/>
      <c r="E6621" s="760"/>
      <c r="F6621" s="760"/>
      <c r="G6621" s="760"/>
      <c r="H6621" s="760"/>
      <c r="I6621" s="760"/>
      <c r="J6621" s="760"/>
      <c r="K6621" s="760"/>
    </row>
    <row r="6622" spans="1:11">
      <c r="A6622" s="760"/>
      <c r="B6622" s="760"/>
      <c r="C6622" s="760"/>
      <c r="D6622" s="760"/>
      <c r="E6622" s="760"/>
      <c r="F6622" s="760"/>
      <c r="G6622" s="760"/>
      <c r="H6622" s="760"/>
      <c r="I6622" s="760"/>
      <c r="J6622" s="760"/>
      <c r="K6622" s="760"/>
    </row>
    <row r="6623" spans="1:11">
      <c r="A6623" s="760"/>
      <c r="B6623" s="760"/>
      <c r="C6623" s="760"/>
      <c r="D6623" s="760"/>
      <c r="E6623" s="760"/>
      <c r="F6623" s="760"/>
      <c r="G6623" s="760"/>
      <c r="H6623" s="760"/>
      <c r="I6623" s="760"/>
      <c r="J6623" s="760"/>
      <c r="K6623" s="760"/>
    </row>
    <row r="6624" spans="1:11">
      <c r="A6624" s="760"/>
      <c r="B6624" s="760"/>
      <c r="C6624" s="760"/>
      <c r="D6624" s="760"/>
      <c r="E6624" s="760"/>
      <c r="F6624" s="760"/>
      <c r="G6624" s="760"/>
      <c r="H6624" s="760"/>
      <c r="I6624" s="760"/>
      <c r="J6624" s="760"/>
      <c r="K6624" s="760"/>
    </row>
    <row r="6625" spans="1:11">
      <c r="A6625" s="760"/>
      <c r="B6625" s="760"/>
      <c r="C6625" s="760"/>
      <c r="D6625" s="760"/>
      <c r="E6625" s="760"/>
      <c r="F6625" s="760"/>
      <c r="G6625" s="760"/>
      <c r="H6625" s="760"/>
      <c r="I6625" s="760"/>
      <c r="J6625" s="760"/>
      <c r="K6625" s="760"/>
    </row>
    <row r="6626" spans="1:11">
      <c r="A6626" s="760"/>
      <c r="B6626" s="760"/>
      <c r="C6626" s="760"/>
      <c r="D6626" s="760"/>
      <c r="E6626" s="760"/>
      <c r="F6626" s="760"/>
      <c r="G6626" s="760"/>
      <c r="H6626" s="760"/>
      <c r="I6626" s="760"/>
      <c r="J6626" s="760"/>
      <c r="K6626" s="760"/>
    </row>
    <row r="6627" spans="1:11">
      <c r="A6627" s="760"/>
      <c r="B6627" s="760"/>
      <c r="C6627" s="760"/>
      <c r="D6627" s="760"/>
      <c r="E6627" s="760"/>
      <c r="F6627" s="760"/>
      <c r="G6627" s="760"/>
      <c r="H6627" s="760"/>
      <c r="I6627" s="760"/>
      <c r="J6627" s="760"/>
      <c r="K6627" s="760"/>
    </row>
    <row r="6628" spans="1:11">
      <c r="A6628" s="760"/>
      <c r="B6628" s="760"/>
      <c r="C6628" s="760"/>
      <c r="D6628" s="760"/>
      <c r="E6628" s="760"/>
      <c r="F6628" s="760"/>
      <c r="G6628" s="760"/>
      <c r="H6628" s="760"/>
      <c r="I6628" s="760"/>
      <c r="J6628" s="760"/>
      <c r="K6628" s="760"/>
    </row>
    <row r="6629" spans="1:11">
      <c r="A6629" s="760"/>
      <c r="B6629" s="760"/>
      <c r="C6629" s="760"/>
      <c r="D6629" s="760"/>
      <c r="E6629" s="760"/>
      <c r="F6629" s="760"/>
      <c r="G6629" s="760"/>
      <c r="H6629" s="760"/>
      <c r="I6629" s="760"/>
      <c r="J6629" s="760"/>
      <c r="K6629" s="760"/>
    </row>
    <row r="6630" spans="1:11">
      <c r="A6630" s="760"/>
      <c r="B6630" s="760"/>
      <c r="C6630" s="760"/>
      <c r="D6630" s="760"/>
      <c r="E6630" s="760"/>
      <c r="F6630" s="760"/>
      <c r="G6630" s="760"/>
      <c r="H6630" s="760"/>
      <c r="I6630" s="760"/>
      <c r="J6630" s="760"/>
      <c r="K6630" s="760"/>
    </row>
    <row r="6631" spans="1:11">
      <c r="A6631" s="760"/>
      <c r="B6631" s="760"/>
      <c r="C6631" s="760"/>
      <c r="D6631" s="760"/>
      <c r="E6631" s="760"/>
      <c r="F6631" s="760"/>
      <c r="G6631" s="760"/>
      <c r="H6631" s="760"/>
      <c r="I6631" s="760"/>
      <c r="J6631" s="760"/>
      <c r="K6631" s="760"/>
    </row>
    <row r="6632" spans="1:11">
      <c r="A6632" s="760"/>
      <c r="B6632" s="760"/>
      <c r="C6632" s="760"/>
      <c r="D6632" s="760"/>
      <c r="E6632" s="760"/>
      <c r="F6632" s="760"/>
      <c r="G6632" s="760"/>
      <c r="H6632" s="760"/>
      <c r="I6632" s="760"/>
      <c r="J6632" s="760"/>
      <c r="K6632" s="760"/>
    </row>
    <row r="6633" spans="1:11">
      <c r="A6633" s="760"/>
      <c r="B6633" s="760"/>
      <c r="C6633" s="760"/>
      <c r="D6633" s="760"/>
      <c r="E6633" s="760"/>
      <c r="F6633" s="760"/>
      <c r="G6633" s="760"/>
      <c r="H6633" s="760"/>
      <c r="I6633" s="760"/>
      <c r="J6633" s="760"/>
      <c r="K6633" s="760"/>
    </row>
    <row r="6634" spans="1:11">
      <c r="A6634" s="760"/>
      <c r="B6634" s="760"/>
      <c r="C6634" s="760"/>
      <c r="D6634" s="760"/>
      <c r="E6634" s="760"/>
      <c r="F6634" s="760"/>
      <c r="G6634" s="760"/>
      <c r="H6634" s="760"/>
      <c r="I6634" s="760"/>
      <c r="J6634" s="760"/>
      <c r="K6634" s="760"/>
    </row>
    <row r="6635" spans="1:11">
      <c r="A6635" s="760"/>
      <c r="B6635" s="760"/>
      <c r="C6635" s="760"/>
      <c r="D6635" s="760"/>
      <c r="E6635" s="760"/>
      <c r="F6635" s="760"/>
      <c r="G6635" s="760"/>
      <c r="H6635" s="760"/>
      <c r="I6635" s="760"/>
      <c r="J6635" s="760"/>
      <c r="K6635" s="760"/>
    </row>
    <row r="6636" spans="1:11">
      <c r="A6636" s="760"/>
      <c r="B6636" s="760"/>
      <c r="C6636" s="760"/>
      <c r="D6636" s="760"/>
      <c r="E6636" s="760"/>
      <c r="F6636" s="760"/>
      <c r="G6636" s="760"/>
      <c r="H6636" s="760"/>
      <c r="I6636" s="760"/>
      <c r="J6636" s="760"/>
      <c r="K6636" s="760"/>
    </row>
    <row r="6637" spans="1:11">
      <c r="A6637" s="760"/>
      <c r="B6637" s="760"/>
      <c r="C6637" s="760"/>
      <c r="D6637" s="760"/>
      <c r="E6637" s="760"/>
      <c r="F6637" s="760"/>
      <c r="G6637" s="760"/>
      <c r="H6637" s="760"/>
      <c r="I6637" s="760"/>
      <c r="J6637" s="760"/>
      <c r="K6637" s="760"/>
    </row>
    <row r="6638" spans="1:11">
      <c r="A6638" s="760"/>
      <c r="B6638" s="760"/>
      <c r="C6638" s="760"/>
      <c r="D6638" s="760"/>
      <c r="E6638" s="760"/>
      <c r="F6638" s="760"/>
      <c r="G6638" s="760"/>
      <c r="H6638" s="760"/>
      <c r="I6638" s="760"/>
      <c r="J6638" s="760"/>
      <c r="K6638" s="760"/>
    </row>
    <row r="6639" spans="1:11">
      <c r="A6639" s="760"/>
      <c r="B6639" s="760"/>
      <c r="C6639" s="760"/>
      <c r="D6639" s="760"/>
      <c r="E6639" s="760"/>
      <c r="F6639" s="760"/>
      <c r="G6639" s="760"/>
      <c r="H6639" s="760"/>
      <c r="I6639" s="760"/>
      <c r="J6639" s="760"/>
      <c r="K6639" s="760"/>
    </row>
    <row r="6640" spans="1:11">
      <c r="A6640" s="760"/>
      <c r="B6640" s="760"/>
      <c r="C6640" s="760"/>
      <c r="D6640" s="760"/>
      <c r="E6640" s="760"/>
      <c r="F6640" s="760"/>
      <c r="G6640" s="760"/>
      <c r="H6640" s="760"/>
      <c r="I6640" s="760"/>
      <c r="J6640" s="760"/>
      <c r="K6640" s="760"/>
    </row>
    <row r="6641" spans="1:11">
      <c r="A6641" s="760"/>
      <c r="B6641" s="760"/>
      <c r="C6641" s="760"/>
      <c r="D6641" s="760"/>
      <c r="E6641" s="760"/>
      <c r="F6641" s="760"/>
      <c r="G6641" s="760"/>
      <c r="H6641" s="760"/>
      <c r="I6641" s="760"/>
      <c r="J6641" s="760"/>
      <c r="K6641" s="760"/>
    </row>
    <row r="6642" spans="1:11">
      <c r="A6642" s="760"/>
      <c r="B6642" s="760"/>
      <c r="C6642" s="760"/>
      <c r="D6642" s="760"/>
      <c r="E6642" s="760"/>
      <c r="F6642" s="760"/>
      <c r="G6642" s="760"/>
      <c r="H6642" s="760"/>
      <c r="I6642" s="760"/>
      <c r="J6642" s="760"/>
      <c r="K6642" s="760"/>
    </row>
    <row r="6643" spans="1:11">
      <c r="A6643" s="760"/>
      <c r="B6643" s="760"/>
      <c r="C6643" s="760"/>
      <c r="D6643" s="760"/>
      <c r="E6643" s="760"/>
      <c r="F6643" s="760"/>
      <c r="G6643" s="760"/>
      <c r="H6643" s="760"/>
      <c r="I6643" s="760"/>
      <c r="J6643" s="760"/>
      <c r="K6643" s="760"/>
    </row>
    <row r="6644" spans="1:11">
      <c r="A6644" s="760"/>
      <c r="B6644" s="760"/>
      <c r="C6644" s="760"/>
      <c r="D6644" s="760"/>
      <c r="E6644" s="760"/>
      <c r="F6644" s="760"/>
      <c r="G6644" s="760"/>
      <c r="H6644" s="760"/>
      <c r="I6644" s="760"/>
      <c r="J6644" s="760"/>
      <c r="K6644" s="760"/>
    </row>
    <row r="6645" spans="1:11">
      <c r="A6645" s="760"/>
      <c r="B6645" s="760"/>
      <c r="C6645" s="760"/>
      <c r="D6645" s="760"/>
      <c r="E6645" s="760"/>
      <c r="F6645" s="760"/>
      <c r="G6645" s="760"/>
      <c r="H6645" s="760"/>
      <c r="I6645" s="760"/>
      <c r="J6645" s="760"/>
      <c r="K6645" s="760"/>
    </row>
    <row r="6646" spans="1:11">
      <c r="A6646" s="760"/>
      <c r="B6646" s="760"/>
      <c r="C6646" s="760"/>
      <c r="D6646" s="760"/>
      <c r="E6646" s="760"/>
      <c r="F6646" s="760"/>
      <c r="G6646" s="760"/>
      <c r="H6646" s="760"/>
      <c r="I6646" s="760"/>
      <c r="J6646" s="760"/>
      <c r="K6646" s="760"/>
    </row>
    <row r="6647" spans="1:11">
      <c r="A6647" s="760"/>
      <c r="B6647" s="760"/>
      <c r="C6647" s="760"/>
      <c r="D6647" s="760"/>
      <c r="E6647" s="760"/>
      <c r="F6647" s="760"/>
      <c r="G6647" s="760"/>
      <c r="H6647" s="760"/>
      <c r="I6647" s="760"/>
      <c r="J6647" s="760"/>
      <c r="K6647" s="760"/>
    </row>
    <row r="6648" spans="1:11">
      <c r="A6648" s="760"/>
      <c r="B6648" s="760"/>
      <c r="C6648" s="760"/>
      <c r="D6648" s="760"/>
      <c r="E6648" s="760"/>
      <c r="F6648" s="760"/>
      <c r="G6648" s="760"/>
      <c r="H6648" s="760"/>
      <c r="I6648" s="760"/>
      <c r="J6648" s="760"/>
      <c r="K6648" s="760"/>
    </row>
    <row r="6649" spans="1:11">
      <c r="A6649" s="760"/>
      <c r="B6649" s="760"/>
      <c r="C6649" s="760"/>
      <c r="D6649" s="760"/>
      <c r="E6649" s="760"/>
      <c r="F6649" s="760"/>
      <c r="G6649" s="760"/>
      <c r="H6649" s="760"/>
      <c r="I6649" s="760"/>
      <c r="J6649" s="760"/>
      <c r="K6649" s="760"/>
    </row>
    <row r="6650" spans="1:11">
      <c r="A6650" s="760"/>
      <c r="B6650" s="760"/>
      <c r="C6650" s="760"/>
      <c r="D6650" s="760"/>
      <c r="E6650" s="760"/>
      <c r="F6650" s="760"/>
      <c r="G6650" s="760"/>
      <c r="H6650" s="760"/>
      <c r="I6650" s="760"/>
      <c r="J6650" s="760"/>
      <c r="K6650" s="760"/>
    </row>
    <row r="6651" spans="1:11">
      <c r="A6651" s="760"/>
      <c r="B6651" s="760"/>
      <c r="C6651" s="760"/>
      <c r="D6651" s="760"/>
      <c r="E6651" s="760"/>
      <c r="F6651" s="760"/>
      <c r="G6651" s="760"/>
      <c r="H6651" s="760"/>
      <c r="I6651" s="760"/>
      <c r="J6651" s="760"/>
      <c r="K6651" s="760"/>
    </row>
    <row r="6652" spans="1:11">
      <c r="A6652" s="760"/>
      <c r="B6652" s="760"/>
      <c r="C6652" s="760"/>
      <c r="D6652" s="760"/>
      <c r="E6652" s="760"/>
      <c r="F6652" s="760"/>
      <c r="G6652" s="760"/>
      <c r="H6652" s="760"/>
      <c r="I6652" s="760"/>
      <c r="J6652" s="760"/>
      <c r="K6652" s="760"/>
    </row>
    <row r="6653" spans="1:11">
      <c r="A6653" s="760"/>
      <c r="B6653" s="760"/>
      <c r="C6653" s="760"/>
      <c r="D6653" s="760"/>
      <c r="E6653" s="760"/>
      <c r="F6653" s="760"/>
      <c r="G6653" s="760"/>
      <c r="H6653" s="760"/>
      <c r="I6653" s="760"/>
      <c r="J6653" s="760"/>
      <c r="K6653" s="760"/>
    </row>
    <row r="6654" spans="1:11">
      <c r="A6654" s="760"/>
      <c r="B6654" s="760"/>
      <c r="C6654" s="760"/>
      <c r="D6654" s="760"/>
      <c r="E6654" s="760"/>
      <c r="F6654" s="760"/>
      <c r="G6654" s="760"/>
      <c r="H6654" s="760"/>
      <c r="I6654" s="760"/>
      <c r="J6654" s="760"/>
      <c r="K6654" s="760"/>
    </row>
    <row r="6655" spans="1:11">
      <c r="A6655" s="760"/>
      <c r="B6655" s="760"/>
      <c r="C6655" s="760"/>
      <c r="D6655" s="760"/>
      <c r="E6655" s="760"/>
      <c r="F6655" s="760"/>
      <c r="G6655" s="760"/>
      <c r="H6655" s="760"/>
      <c r="I6655" s="760"/>
      <c r="J6655" s="760"/>
      <c r="K6655" s="760"/>
    </row>
    <row r="6656" spans="1:11">
      <c r="A6656" s="760"/>
      <c r="B6656" s="760"/>
      <c r="C6656" s="760"/>
      <c r="D6656" s="760"/>
      <c r="E6656" s="760"/>
      <c r="F6656" s="760"/>
      <c r="G6656" s="760"/>
      <c r="H6656" s="760"/>
      <c r="I6656" s="760"/>
      <c r="J6656" s="760"/>
      <c r="K6656" s="760"/>
    </row>
    <row r="6657" spans="1:11">
      <c r="A6657" s="760"/>
      <c r="B6657" s="760"/>
      <c r="C6657" s="760"/>
      <c r="D6657" s="760"/>
      <c r="E6657" s="760"/>
      <c r="F6657" s="760"/>
      <c r="G6657" s="760"/>
      <c r="H6657" s="760"/>
      <c r="I6657" s="760"/>
      <c r="J6657" s="760"/>
      <c r="K6657" s="760"/>
    </row>
    <row r="6658" spans="1:11">
      <c r="A6658" s="760"/>
      <c r="B6658" s="760"/>
      <c r="C6658" s="760"/>
      <c r="D6658" s="760"/>
      <c r="E6658" s="760"/>
      <c r="F6658" s="760"/>
      <c r="G6658" s="760"/>
      <c r="H6658" s="760"/>
      <c r="I6658" s="760"/>
      <c r="J6658" s="760"/>
      <c r="K6658" s="760"/>
    </row>
    <row r="6659" spans="1:11">
      <c r="A6659" s="760"/>
      <c r="B6659" s="760"/>
      <c r="C6659" s="760"/>
      <c r="D6659" s="760"/>
      <c r="E6659" s="760"/>
      <c r="F6659" s="760"/>
      <c r="G6659" s="760"/>
      <c r="H6659" s="760"/>
      <c r="I6659" s="760"/>
      <c r="J6659" s="760"/>
      <c r="K6659" s="760"/>
    </row>
    <row r="6660" spans="1:11">
      <c r="A6660" s="760"/>
      <c r="B6660" s="760"/>
      <c r="C6660" s="760"/>
      <c r="D6660" s="760"/>
      <c r="E6660" s="760"/>
      <c r="F6660" s="760"/>
      <c r="G6660" s="760"/>
      <c r="H6660" s="760"/>
      <c r="I6660" s="760"/>
      <c r="J6660" s="760"/>
      <c r="K6660" s="760"/>
    </row>
    <row r="6661" spans="1:11">
      <c r="A6661" s="760"/>
      <c r="B6661" s="760"/>
      <c r="C6661" s="760"/>
      <c r="D6661" s="760"/>
      <c r="E6661" s="760"/>
      <c r="F6661" s="760"/>
      <c r="G6661" s="760"/>
      <c r="H6661" s="760"/>
      <c r="I6661" s="760"/>
      <c r="J6661" s="760"/>
      <c r="K6661" s="760"/>
    </row>
    <row r="6662" spans="1:11">
      <c r="A6662" s="760"/>
      <c r="B6662" s="760"/>
      <c r="C6662" s="760"/>
      <c r="D6662" s="760"/>
      <c r="E6662" s="760"/>
      <c r="F6662" s="760"/>
      <c r="G6662" s="760"/>
      <c r="H6662" s="760"/>
      <c r="I6662" s="760"/>
      <c r="J6662" s="760"/>
      <c r="K6662" s="760"/>
    </row>
    <row r="6663" spans="1:11">
      <c r="A6663" s="760"/>
      <c r="B6663" s="760"/>
      <c r="C6663" s="760"/>
      <c r="D6663" s="760"/>
      <c r="E6663" s="760"/>
      <c r="F6663" s="760"/>
      <c r="G6663" s="760"/>
      <c r="H6663" s="760"/>
      <c r="I6663" s="760"/>
      <c r="J6663" s="760"/>
      <c r="K6663" s="760"/>
    </row>
    <row r="6664" spans="1:11">
      <c r="A6664" s="760"/>
      <c r="B6664" s="760"/>
      <c r="C6664" s="760"/>
      <c r="D6664" s="760"/>
      <c r="E6664" s="760"/>
      <c r="F6664" s="760"/>
      <c r="G6664" s="760"/>
      <c r="H6664" s="760"/>
      <c r="I6664" s="760"/>
      <c r="J6664" s="760"/>
      <c r="K6664" s="760"/>
    </row>
    <row r="6665" spans="1:11">
      <c r="A6665" s="760"/>
      <c r="B6665" s="760"/>
      <c r="C6665" s="760"/>
      <c r="D6665" s="760"/>
      <c r="E6665" s="760"/>
      <c r="F6665" s="760"/>
      <c r="G6665" s="760"/>
      <c r="H6665" s="760"/>
      <c r="I6665" s="760"/>
      <c r="J6665" s="760"/>
      <c r="K6665" s="760"/>
    </row>
    <row r="6666" spans="1:11">
      <c r="A6666" s="760"/>
      <c r="B6666" s="760"/>
      <c r="C6666" s="760"/>
      <c r="D6666" s="760"/>
      <c r="E6666" s="760"/>
      <c r="F6666" s="760"/>
      <c r="G6666" s="760"/>
      <c r="H6666" s="760"/>
      <c r="I6666" s="760"/>
      <c r="J6666" s="760"/>
      <c r="K6666" s="760"/>
    </row>
    <row r="6667" spans="1:11">
      <c r="A6667" s="760"/>
      <c r="B6667" s="760"/>
      <c r="C6667" s="760"/>
      <c r="D6667" s="760"/>
      <c r="E6667" s="760"/>
      <c r="F6667" s="760"/>
      <c r="G6667" s="760"/>
      <c r="H6667" s="760"/>
      <c r="I6667" s="760"/>
      <c r="J6667" s="760"/>
      <c r="K6667" s="760"/>
    </row>
    <row r="6668" spans="1:11">
      <c r="A6668" s="760"/>
      <c r="B6668" s="760"/>
      <c r="C6668" s="760"/>
      <c r="D6668" s="760"/>
      <c r="E6668" s="760"/>
      <c r="F6668" s="760"/>
      <c r="G6668" s="760"/>
      <c r="H6668" s="760"/>
      <c r="I6668" s="760"/>
      <c r="J6668" s="760"/>
      <c r="K6668" s="760"/>
    </row>
    <row r="6669" spans="1:11">
      <c r="A6669" s="760"/>
      <c r="B6669" s="760"/>
      <c r="C6669" s="760"/>
      <c r="D6669" s="760"/>
      <c r="E6669" s="760"/>
      <c r="F6669" s="760"/>
      <c r="G6669" s="760"/>
      <c r="H6669" s="760"/>
      <c r="I6669" s="760"/>
      <c r="J6669" s="760"/>
      <c r="K6669" s="760"/>
    </row>
    <row r="6670" spans="1:11">
      <c r="A6670" s="760"/>
      <c r="B6670" s="760"/>
      <c r="C6670" s="760"/>
      <c r="D6670" s="760"/>
      <c r="E6670" s="760"/>
      <c r="F6670" s="760"/>
      <c r="G6670" s="760"/>
      <c r="H6670" s="760"/>
      <c r="I6670" s="760"/>
      <c r="J6670" s="760"/>
      <c r="K6670" s="760"/>
    </row>
    <row r="6671" spans="1:11">
      <c r="A6671" s="760"/>
      <c r="B6671" s="760"/>
      <c r="C6671" s="760"/>
      <c r="D6671" s="760"/>
      <c r="E6671" s="760"/>
      <c r="F6671" s="760"/>
      <c r="G6671" s="760"/>
      <c r="H6671" s="760"/>
      <c r="I6671" s="760"/>
      <c r="J6671" s="760"/>
      <c r="K6671" s="760"/>
    </row>
    <row r="6672" spans="1:11">
      <c r="A6672" s="760"/>
      <c r="B6672" s="760"/>
      <c r="C6672" s="760"/>
      <c r="D6672" s="760"/>
      <c r="E6672" s="760"/>
      <c r="F6672" s="760"/>
      <c r="G6672" s="760"/>
      <c r="H6672" s="760"/>
      <c r="I6672" s="760"/>
      <c r="J6672" s="760"/>
      <c r="K6672" s="760"/>
    </row>
    <row r="6673" spans="1:11">
      <c r="A6673" s="760"/>
      <c r="B6673" s="760"/>
      <c r="C6673" s="760"/>
      <c r="D6673" s="760"/>
      <c r="E6673" s="760"/>
      <c r="F6673" s="760"/>
      <c r="G6673" s="760"/>
      <c r="H6673" s="760"/>
      <c r="I6673" s="760"/>
      <c r="J6673" s="760"/>
      <c r="K6673" s="760"/>
    </row>
    <row r="6674" spans="1:11">
      <c r="A6674" s="760"/>
      <c r="B6674" s="760"/>
      <c r="C6674" s="760"/>
      <c r="D6674" s="760"/>
      <c r="E6674" s="760"/>
      <c r="F6674" s="760"/>
      <c r="G6674" s="760"/>
      <c r="H6674" s="760"/>
      <c r="I6674" s="760"/>
      <c r="J6674" s="760"/>
      <c r="K6674" s="760"/>
    </row>
    <row r="6675" spans="1:11">
      <c r="A6675" s="760"/>
      <c r="B6675" s="760"/>
      <c r="C6675" s="760"/>
      <c r="D6675" s="760"/>
      <c r="E6675" s="760"/>
      <c r="F6675" s="760"/>
      <c r="G6675" s="760"/>
      <c r="H6675" s="760"/>
      <c r="I6675" s="760"/>
      <c r="J6675" s="760"/>
      <c r="K6675" s="760"/>
    </row>
    <row r="6676" spans="1:11">
      <c r="A6676" s="760"/>
      <c r="B6676" s="760"/>
      <c r="C6676" s="760"/>
      <c r="D6676" s="760"/>
      <c r="E6676" s="760"/>
      <c r="F6676" s="760"/>
      <c r="G6676" s="760"/>
      <c r="H6676" s="760"/>
      <c r="I6676" s="760"/>
      <c r="J6676" s="760"/>
      <c r="K6676" s="760"/>
    </row>
    <row r="6677" spans="1:11">
      <c r="A6677" s="760"/>
      <c r="B6677" s="760"/>
      <c r="C6677" s="760"/>
      <c r="D6677" s="760"/>
      <c r="E6677" s="760"/>
      <c r="F6677" s="760"/>
      <c r="G6677" s="760"/>
      <c r="H6677" s="760"/>
      <c r="I6677" s="760"/>
      <c r="J6677" s="760"/>
      <c r="K6677" s="760"/>
    </row>
    <row r="6678" spans="1:11">
      <c r="A6678" s="760"/>
      <c r="B6678" s="760"/>
      <c r="C6678" s="760"/>
      <c r="D6678" s="760"/>
      <c r="E6678" s="760"/>
      <c r="F6678" s="760"/>
      <c r="G6678" s="760"/>
      <c r="H6678" s="760"/>
      <c r="I6678" s="760"/>
      <c r="J6678" s="760"/>
      <c r="K6678" s="760"/>
    </row>
    <row r="6679" spans="1:11">
      <c r="A6679" s="760"/>
      <c r="B6679" s="760"/>
      <c r="C6679" s="760"/>
      <c r="D6679" s="760"/>
      <c r="E6679" s="760"/>
      <c r="F6679" s="760"/>
      <c r="G6679" s="760"/>
      <c r="H6679" s="760"/>
      <c r="I6679" s="760"/>
      <c r="J6679" s="760"/>
      <c r="K6679" s="760"/>
    </row>
    <row r="6680" spans="1:11">
      <c r="A6680" s="760"/>
      <c r="B6680" s="760"/>
      <c r="C6680" s="760"/>
      <c r="D6680" s="760"/>
      <c r="E6680" s="760"/>
      <c r="F6680" s="760"/>
      <c r="G6680" s="760"/>
      <c r="H6680" s="760"/>
      <c r="I6680" s="760"/>
      <c r="J6680" s="760"/>
      <c r="K6680" s="760"/>
    </row>
    <row r="6681" spans="1:11">
      <c r="A6681" s="760"/>
      <c r="B6681" s="760"/>
      <c r="C6681" s="760"/>
      <c r="D6681" s="760"/>
      <c r="E6681" s="760"/>
      <c r="F6681" s="760"/>
      <c r="G6681" s="760"/>
      <c r="H6681" s="760"/>
      <c r="I6681" s="760"/>
      <c r="J6681" s="760"/>
      <c r="K6681" s="760"/>
    </row>
    <row r="6682" spans="1:11">
      <c r="A6682" s="760"/>
      <c r="B6682" s="760"/>
      <c r="C6682" s="760"/>
      <c r="D6682" s="760"/>
      <c r="E6682" s="760"/>
      <c r="F6682" s="760"/>
      <c r="G6682" s="760"/>
      <c r="H6682" s="760"/>
      <c r="I6682" s="760"/>
      <c r="J6682" s="760"/>
      <c r="K6682" s="760"/>
    </row>
    <row r="6683" spans="1:11">
      <c r="A6683" s="760"/>
      <c r="B6683" s="760"/>
      <c r="C6683" s="760"/>
      <c r="D6683" s="760"/>
      <c r="E6683" s="760"/>
      <c r="F6683" s="760"/>
      <c r="G6683" s="760"/>
      <c r="H6683" s="760"/>
      <c r="I6683" s="760"/>
      <c r="J6683" s="760"/>
      <c r="K6683" s="760"/>
    </row>
    <row r="6684" spans="1:11">
      <c r="A6684" s="760"/>
      <c r="B6684" s="760"/>
      <c r="C6684" s="760"/>
      <c r="D6684" s="760"/>
      <c r="E6684" s="760"/>
      <c r="F6684" s="760"/>
      <c r="G6684" s="760"/>
      <c r="H6684" s="760"/>
      <c r="I6684" s="760"/>
      <c r="J6684" s="760"/>
      <c r="K6684" s="760"/>
    </row>
    <row r="6685" spans="1:11">
      <c r="A6685" s="760"/>
      <c r="B6685" s="760"/>
      <c r="C6685" s="760"/>
      <c r="D6685" s="760"/>
      <c r="E6685" s="760"/>
      <c r="F6685" s="760"/>
      <c r="G6685" s="760"/>
      <c r="H6685" s="760"/>
      <c r="I6685" s="760"/>
      <c r="J6685" s="760"/>
      <c r="K6685" s="760"/>
    </row>
    <row r="6686" spans="1:11">
      <c r="A6686" s="760"/>
      <c r="B6686" s="760"/>
      <c r="C6686" s="760"/>
      <c r="D6686" s="760"/>
      <c r="E6686" s="760"/>
      <c r="F6686" s="760"/>
      <c r="G6686" s="760"/>
      <c r="H6686" s="760"/>
      <c r="I6686" s="760"/>
      <c r="J6686" s="760"/>
      <c r="K6686" s="760"/>
    </row>
    <row r="6687" spans="1:11">
      <c r="A6687" s="760"/>
      <c r="B6687" s="760"/>
      <c r="C6687" s="760"/>
      <c r="D6687" s="760"/>
      <c r="E6687" s="760"/>
      <c r="F6687" s="760"/>
      <c r="G6687" s="760"/>
      <c r="H6687" s="760"/>
      <c r="I6687" s="760"/>
      <c r="J6687" s="760"/>
      <c r="K6687" s="760"/>
    </row>
    <row r="6688" spans="1:11">
      <c r="A6688" s="760"/>
      <c r="B6688" s="760"/>
      <c r="C6688" s="760"/>
      <c r="D6688" s="760"/>
      <c r="E6688" s="760"/>
      <c r="F6688" s="760"/>
      <c r="G6688" s="760"/>
      <c r="H6688" s="760"/>
      <c r="I6688" s="760"/>
      <c r="J6688" s="760"/>
      <c r="K6688" s="760"/>
    </row>
    <row r="6689" spans="1:11">
      <c r="A6689" s="760"/>
      <c r="B6689" s="760"/>
      <c r="C6689" s="760"/>
      <c r="D6689" s="760"/>
      <c r="E6689" s="760"/>
      <c r="F6689" s="760"/>
      <c r="G6689" s="760"/>
      <c r="H6689" s="760"/>
      <c r="I6689" s="760"/>
      <c r="J6689" s="760"/>
      <c r="K6689" s="760"/>
    </row>
    <row r="6690" spans="1:11">
      <c r="A6690" s="760"/>
      <c r="B6690" s="760"/>
      <c r="C6690" s="760"/>
      <c r="D6690" s="760"/>
      <c r="E6690" s="760"/>
      <c r="F6690" s="760"/>
      <c r="G6690" s="760"/>
      <c r="H6690" s="760"/>
      <c r="I6690" s="760"/>
      <c r="J6690" s="760"/>
      <c r="K6690" s="760"/>
    </row>
    <row r="6691" spans="1:11">
      <c r="A6691" s="760"/>
      <c r="B6691" s="760"/>
      <c r="C6691" s="760"/>
      <c r="D6691" s="760"/>
      <c r="E6691" s="760"/>
      <c r="F6691" s="760"/>
      <c r="G6691" s="760"/>
      <c r="H6691" s="760"/>
      <c r="I6691" s="760"/>
      <c r="J6691" s="760"/>
      <c r="K6691" s="760"/>
    </row>
    <row r="6692" spans="1:11">
      <c r="A6692" s="760"/>
      <c r="B6692" s="760"/>
      <c r="C6692" s="760"/>
      <c r="D6692" s="760"/>
      <c r="E6692" s="760"/>
      <c r="F6692" s="760"/>
      <c r="G6692" s="760"/>
      <c r="H6692" s="760"/>
      <c r="I6692" s="760"/>
      <c r="J6692" s="760"/>
      <c r="K6692" s="760"/>
    </row>
    <row r="6693" spans="1:11">
      <c r="A6693" s="760"/>
      <c r="B6693" s="760"/>
      <c r="C6693" s="760"/>
      <c r="D6693" s="760"/>
      <c r="E6693" s="760"/>
      <c r="F6693" s="760"/>
      <c r="G6693" s="760"/>
      <c r="H6693" s="760"/>
      <c r="I6693" s="760"/>
      <c r="J6693" s="760"/>
      <c r="K6693" s="760"/>
    </row>
    <row r="6694" spans="1:11">
      <c r="A6694" s="760"/>
      <c r="B6694" s="760"/>
      <c r="C6694" s="760"/>
      <c r="D6694" s="760"/>
      <c r="E6694" s="760"/>
      <c r="F6694" s="760"/>
      <c r="G6694" s="760"/>
      <c r="H6694" s="760"/>
      <c r="I6694" s="760"/>
      <c r="J6694" s="760"/>
      <c r="K6694" s="760"/>
    </row>
    <row r="6695" spans="1:11">
      <c r="A6695" s="760"/>
      <c r="B6695" s="760"/>
      <c r="C6695" s="760"/>
      <c r="D6695" s="760"/>
      <c r="E6695" s="760"/>
      <c r="F6695" s="760"/>
      <c r="G6695" s="760"/>
      <c r="H6695" s="760"/>
      <c r="I6695" s="760"/>
      <c r="J6695" s="760"/>
      <c r="K6695" s="760"/>
    </row>
    <row r="6696" spans="1:11">
      <c r="A6696" s="760"/>
      <c r="B6696" s="760"/>
      <c r="C6696" s="760"/>
      <c r="D6696" s="760"/>
      <c r="E6696" s="760"/>
      <c r="F6696" s="760"/>
      <c r="G6696" s="760"/>
      <c r="H6696" s="760"/>
      <c r="I6696" s="760"/>
      <c r="J6696" s="760"/>
      <c r="K6696" s="760"/>
    </row>
    <row r="6697" spans="1:11">
      <c r="A6697" s="760"/>
      <c r="B6697" s="760"/>
      <c r="C6697" s="760"/>
      <c r="D6697" s="760"/>
      <c r="E6697" s="760"/>
      <c r="F6697" s="760"/>
      <c r="G6697" s="760"/>
      <c r="H6697" s="760"/>
      <c r="I6697" s="760"/>
      <c r="J6697" s="760"/>
      <c r="K6697" s="760"/>
    </row>
    <row r="6698" spans="1:11">
      <c r="A6698" s="760"/>
      <c r="B6698" s="760"/>
      <c r="C6698" s="760"/>
      <c r="D6698" s="760"/>
      <c r="E6698" s="760"/>
      <c r="F6698" s="760"/>
      <c r="G6698" s="760"/>
      <c r="H6698" s="760"/>
      <c r="I6698" s="760"/>
      <c r="J6698" s="760"/>
      <c r="K6698" s="760"/>
    </row>
    <row r="6699" spans="1:11">
      <c r="A6699" s="760"/>
      <c r="B6699" s="760"/>
      <c r="C6699" s="760"/>
      <c r="D6699" s="760"/>
      <c r="E6699" s="760"/>
      <c r="F6699" s="760"/>
      <c r="G6699" s="760"/>
      <c r="H6699" s="760"/>
      <c r="I6699" s="760"/>
      <c r="J6699" s="760"/>
      <c r="K6699" s="760"/>
    </row>
    <row r="6700" spans="1:11">
      <c r="A6700" s="760"/>
      <c r="B6700" s="760"/>
      <c r="C6700" s="760"/>
      <c r="D6700" s="760"/>
      <c r="E6700" s="760"/>
      <c r="F6700" s="760"/>
      <c r="G6700" s="760"/>
      <c r="H6700" s="760"/>
      <c r="I6700" s="760"/>
      <c r="J6700" s="760"/>
      <c r="K6700" s="760"/>
    </row>
    <row r="6701" spans="1:11">
      <c r="A6701" s="760"/>
      <c r="B6701" s="760"/>
      <c r="C6701" s="760"/>
      <c r="D6701" s="760"/>
      <c r="E6701" s="760"/>
      <c r="F6701" s="760"/>
      <c r="G6701" s="760"/>
      <c r="H6701" s="760"/>
      <c r="I6701" s="760"/>
      <c r="J6701" s="760"/>
      <c r="K6701" s="760"/>
    </row>
    <row r="6702" spans="1:11">
      <c r="A6702" s="760"/>
      <c r="B6702" s="760"/>
      <c r="C6702" s="760"/>
      <c r="D6702" s="760"/>
      <c r="E6702" s="760"/>
      <c r="F6702" s="760"/>
      <c r="G6702" s="760"/>
      <c r="H6702" s="760"/>
      <c r="I6702" s="760"/>
      <c r="J6702" s="760"/>
      <c r="K6702" s="760"/>
    </row>
    <row r="6703" spans="1:11">
      <c r="A6703" s="760"/>
      <c r="B6703" s="760"/>
      <c r="C6703" s="760"/>
      <c r="D6703" s="760"/>
      <c r="E6703" s="760"/>
      <c r="F6703" s="760"/>
      <c r="G6703" s="760"/>
      <c r="H6703" s="760"/>
      <c r="I6703" s="760"/>
      <c r="J6703" s="760"/>
      <c r="K6703" s="760"/>
    </row>
    <row r="6704" spans="1:11">
      <c r="A6704" s="760"/>
      <c r="B6704" s="760"/>
      <c r="C6704" s="760"/>
      <c r="D6704" s="760"/>
      <c r="E6704" s="760"/>
      <c r="F6704" s="760"/>
      <c r="G6704" s="760"/>
      <c r="H6704" s="760"/>
      <c r="I6704" s="760"/>
      <c r="J6704" s="760"/>
      <c r="K6704" s="760"/>
    </row>
    <row r="6705" spans="1:11">
      <c r="A6705" s="760"/>
      <c r="B6705" s="760"/>
      <c r="C6705" s="760"/>
      <c r="D6705" s="760"/>
      <c r="E6705" s="760"/>
      <c r="F6705" s="760"/>
      <c r="G6705" s="760"/>
      <c r="H6705" s="760"/>
      <c r="I6705" s="760"/>
      <c r="J6705" s="760"/>
      <c r="K6705" s="760"/>
    </row>
    <row r="6706" spans="1:11">
      <c r="A6706" s="760"/>
      <c r="B6706" s="760"/>
      <c r="C6706" s="760"/>
      <c r="D6706" s="760"/>
      <c r="E6706" s="760"/>
      <c r="F6706" s="760"/>
      <c r="G6706" s="760"/>
      <c r="H6706" s="760"/>
      <c r="I6706" s="760"/>
      <c r="J6706" s="760"/>
      <c r="K6706" s="760"/>
    </row>
    <row r="6707" spans="1:11">
      <c r="A6707" s="760"/>
      <c r="B6707" s="760"/>
      <c r="C6707" s="760"/>
      <c r="D6707" s="760"/>
      <c r="E6707" s="760"/>
      <c r="F6707" s="760"/>
      <c r="G6707" s="760"/>
      <c r="H6707" s="760"/>
      <c r="I6707" s="760"/>
      <c r="J6707" s="760"/>
      <c r="K6707" s="760"/>
    </row>
    <row r="6708" spans="1:11">
      <c r="A6708" s="760"/>
      <c r="B6708" s="760"/>
      <c r="C6708" s="760"/>
      <c r="D6708" s="760"/>
      <c r="E6708" s="760"/>
      <c r="F6708" s="760"/>
      <c r="G6708" s="760"/>
      <c r="H6708" s="760"/>
      <c r="I6708" s="760"/>
      <c r="J6708" s="760"/>
      <c r="K6708" s="760"/>
    </row>
    <row r="6709" spans="1:11">
      <c r="A6709" s="760"/>
      <c r="B6709" s="760"/>
      <c r="C6709" s="760"/>
      <c r="D6709" s="760"/>
      <c r="E6709" s="760"/>
      <c r="F6709" s="760"/>
      <c r="G6709" s="760"/>
      <c r="H6709" s="760"/>
      <c r="I6709" s="760"/>
      <c r="J6709" s="760"/>
      <c r="K6709" s="760"/>
    </row>
    <row r="6710" spans="1:11">
      <c r="A6710" s="760"/>
      <c r="B6710" s="760"/>
      <c r="C6710" s="760"/>
      <c r="D6710" s="760"/>
      <c r="E6710" s="760"/>
      <c r="F6710" s="760"/>
      <c r="G6710" s="760"/>
      <c r="H6710" s="760"/>
      <c r="I6710" s="760"/>
      <c r="J6710" s="760"/>
      <c r="K6710" s="760"/>
    </row>
    <row r="6711" spans="1:11">
      <c r="A6711" s="760"/>
      <c r="B6711" s="760"/>
      <c r="C6711" s="760"/>
      <c r="D6711" s="760"/>
      <c r="E6711" s="760"/>
      <c r="F6711" s="760"/>
      <c r="G6711" s="760"/>
      <c r="H6711" s="760"/>
      <c r="I6711" s="760"/>
      <c r="J6711" s="760"/>
      <c r="K6711" s="760"/>
    </row>
    <row r="6712" spans="1:11">
      <c r="A6712" s="760"/>
      <c r="B6712" s="760"/>
      <c r="C6712" s="760"/>
      <c r="D6712" s="760"/>
      <c r="E6712" s="760"/>
      <c r="F6712" s="760"/>
      <c r="G6712" s="760"/>
      <c r="H6712" s="760"/>
      <c r="I6712" s="760"/>
      <c r="J6712" s="760"/>
      <c r="K6712" s="760"/>
    </row>
    <row r="6713" spans="1:11">
      <c r="A6713" s="760"/>
      <c r="B6713" s="760"/>
      <c r="C6713" s="760"/>
      <c r="D6713" s="760"/>
      <c r="E6713" s="760"/>
      <c r="F6713" s="760"/>
      <c r="G6713" s="760"/>
      <c r="H6713" s="760"/>
      <c r="I6713" s="760"/>
      <c r="J6713" s="760"/>
      <c r="K6713" s="760"/>
    </row>
    <row r="6714" spans="1:11">
      <c r="A6714" s="760"/>
      <c r="B6714" s="760"/>
      <c r="C6714" s="760"/>
      <c r="D6714" s="760"/>
      <c r="E6714" s="760"/>
      <c r="F6714" s="760"/>
      <c r="G6714" s="760"/>
      <c r="H6714" s="760"/>
      <c r="I6714" s="760"/>
      <c r="J6714" s="760"/>
      <c r="K6714" s="760"/>
    </row>
    <row r="6715" spans="1:11">
      <c r="A6715" s="760"/>
      <c r="B6715" s="760"/>
      <c r="C6715" s="760"/>
      <c r="D6715" s="760"/>
      <c r="E6715" s="760"/>
      <c r="F6715" s="760"/>
      <c r="G6715" s="760"/>
      <c r="H6715" s="760"/>
      <c r="I6715" s="760"/>
      <c r="J6715" s="760"/>
      <c r="K6715" s="760"/>
    </row>
    <row r="6716" spans="1:11">
      <c r="A6716" s="760"/>
      <c r="B6716" s="760"/>
      <c r="C6716" s="760"/>
      <c r="D6716" s="760"/>
      <c r="E6716" s="760"/>
      <c r="F6716" s="760"/>
      <c r="G6716" s="760"/>
      <c r="H6716" s="760"/>
      <c r="I6716" s="760"/>
      <c r="J6716" s="760"/>
      <c r="K6716" s="760"/>
    </row>
    <row r="6717" spans="1:11">
      <c r="A6717" s="760"/>
      <c r="B6717" s="760"/>
      <c r="C6717" s="760"/>
      <c r="D6717" s="760"/>
      <c r="E6717" s="760"/>
      <c r="F6717" s="760"/>
      <c r="G6717" s="760"/>
      <c r="H6717" s="760"/>
      <c r="I6717" s="760"/>
      <c r="J6717" s="760"/>
      <c r="K6717" s="760"/>
    </row>
    <row r="6718" spans="1:11">
      <c r="A6718" s="760"/>
      <c r="B6718" s="760"/>
      <c r="C6718" s="760"/>
      <c r="D6718" s="760"/>
      <c r="E6718" s="760"/>
      <c r="F6718" s="760"/>
      <c r="G6718" s="760"/>
      <c r="H6718" s="760"/>
      <c r="I6718" s="760"/>
      <c r="J6718" s="760"/>
      <c r="K6718" s="760"/>
    </row>
    <row r="6719" spans="1:11">
      <c r="A6719" s="760"/>
      <c r="B6719" s="760"/>
      <c r="C6719" s="760"/>
      <c r="D6719" s="760"/>
      <c r="E6719" s="760"/>
      <c r="F6719" s="760"/>
      <c r="G6719" s="760"/>
      <c r="H6719" s="760"/>
      <c r="I6719" s="760"/>
      <c r="J6719" s="760"/>
      <c r="K6719" s="760"/>
    </row>
    <row r="6720" spans="1:11">
      <c r="A6720" s="760"/>
      <c r="B6720" s="760"/>
      <c r="C6720" s="760"/>
      <c r="D6720" s="760"/>
      <c r="E6720" s="760"/>
      <c r="F6720" s="760"/>
      <c r="G6720" s="760"/>
      <c r="H6720" s="760"/>
      <c r="I6720" s="760"/>
      <c r="J6720" s="760"/>
      <c r="K6720" s="760"/>
    </row>
    <row r="6721" spans="1:11">
      <c r="A6721" s="760"/>
      <c r="B6721" s="760"/>
      <c r="C6721" s="760"/>
      <c r="D6721" s="760"/>
      <c r="E6721" s="760"/>
      <c r="F6721" s="760"/>
      <c r="G6721" s="760"/>
      <c r="H6721" s="760"/>
      <c r="I6721" s="760"/>
      <c r="J6721" s="760"/>
      <c r="K6721" s="760"/>
    </row>
    <row r="6722" spans="1:11">
      <c r="A6722" s="760"/>
      <c r="B6722" s="760"/>
      <c r="C6722" s="760"/>
      <c r="D6722" s="760"/>
      <c r="E6722" s="760"/>
      <c r="F6722" s="760"/>
      <c r="G6722" s="760"/>
      <c r="H6722" s="760"/>
      <c r="I6722" s="760"/>
      <c r="J6722" s="760"/>
      <c r="K6722" s="760"/>
    </row>
    <row r="6723" spans="1:11">
      <c r="A6723" s="760"/>
      <c r="B6723" s="760"/>
      <c r="C6723" s="760"/>
      <c r="D6723" s="760"/>
      <c r="E6723" s="760"/>
      <c r="F6723" s="760"/>
      <c r="G6723" s="760"/>
      <c r="H6723" s="760"/>
      <c r="I6723" s="760"/>
      <c r="J6723" s="760"/>
      <c r="K6723" s="760"/>
    </row>
    <row r="6724" spans="1:11">
      <c r="A6724" s="760"/>
      <c r="B6724" s="760"/>
      <c r="C6724" s="760"/>
      <c r="D6724" s="760"/>
      <c r="E6724" s="760"/>
      <c r="F6724" s="760"/>
      <c r="G6724" s="760"/>
      <c r="H6724" s="760"/>
      <c r="I6724" s="760"/>
      <c r="J6724" s="760"/>
      <c r="K6724" s="760"/>
    </row>
    <row r="6725" spans="1:11">
      <c r="A6725" s="760"/>
      <c r="B6725" s="760"/>
      <c r="C6725" s="760"/>
      <c r="D6725" s="760"/>
      <c r="E6725" s="760"/>
      <c r="F6725" s="760"/>
      <c r="G6725" s="760"/>
      <c r="H6725" s="760"/>
      <c r="I6725" s="760"/>
      <c r="J6725" s="760"/>
      <c r="K6725" s="760"/>
    </row>
    <row r="6726" spans="1:11">
      <c r="A6726" s="760"/>
      <c r="B6726" s="760"/>
      <c r="C6726" s="760"/>
      <c r="D6726" s="760"/>
      <c r="E6726" s="760"/>
      <c r="F6726" s="760"/>
      <c r="G6726" s="760"/>
      <c r="H6726" s="760"/>
      <c r="I6726" s="760"/>
      <c r="J6726" s="760"/>
      <c r="K6726" s="760"/>
    </row>
    <row r="6727" spans="1:11">
      <c r="A6727" s="760"/>
      <c r="B6727" s="760"/>
      <c r="C6727" s="760"/>
      <c r="D6727" s="760"/>
      <c r="E6727" s="760"/>
      <c r="F6727" s="760"/>
      <c r="G6727" s="760"/>
      <c r="H6727" s="760"/>
      <c r="I6727" s="760"/>
      <c r="J6727" s="760"/>
      <c r="K6727" s="760"/>
    </row>
    <row r="6728" spans="1:11">
      <c r="A6728" s="760"/>
      <c r="B6728" s="760"/>
      <c r="C6728" s="760"/>
      <c r="D6728" s="760"/>
      <c r="E6728" s="760"/>
      <c r="F6728" s="760"/>
      <c r="G6728" s="760"/>
      <c r="H6728" s="760"/>
      <c r="I6728" s="760"/>
      <c r="J6728" s="760"/>
      <c r="K6728" s="760"/>
    </row>
    <row r="6729" spans="1:11">
      <c r="A6729" s="760"/>
      <c r="B6729" s="760"/>
      <c r="C6729" s="760"/>
      <c r="D6729" s="760"/>
      <c r="E6729" s="760"/>
      <c r="F6729" s="760"/>
      <c r="G6729" s="760"/>
      <c r="H6729" s="760"/>
      <c r="I6729" s="760"/>
      <c r="J6729" s="760"/>
      <c r="K6729" s="760"/>
    </row>
    <row r="6730" spans="1:11">
      <c r="A6730" s="760"/>
      <c r="B6730" s="760"/>
      <c r="C6730" s="760"/>
      <c r="D6730" s="760"/>
      <c r="E6730" s="760"/>
      <c r="F6730" s="760"/>
      <c r="G6730" s="760"/>
      <c r="H6730" s="760"/>
      <c r="I6730" s="760"/>
      <c r="J6730" s="760"/>
      <c r="K6730" s="760"/>
    </row>
    <row r="6731" spans="1:11">
      <c r="A6731" s="760"/>
      <c r="B6731" s="760"/>
      <c r="C6731" s="760"/>
      <c r="D6731" s="760"/>
      <c r="E6731" s="760"/>
      <c r="F6731" s="760"/>
      <c r="G6731" s="760"/>
      <c r="H6731" s="760"/>
      <c r="I6731" s="760"/>
      <c r="J6731" s="760"/>
      <c r="K6731" s="760"/>
    </row>
    <row r="6732" spans="1:11">
      <c r="A6732" s="760"/>
      <c r="B6732" s="760"/>
      <c r="C6732" s="760"/>
      <c r="D6732" s="760"/>
      <c r="E6732" s="760"/>
      <c r="F6732" s="760"/>
      <c r="G6732" s="760"/>
      <c r="H6732" s="760"/>
      <c r="I6732" s="760"/>
      <c r="J6732" s="760"/>
      <c r="K6732" s="760"/>
    </row>
    <row r="6733" spans="1:11">
      <c r="A6733" s="760"/>
      <c r="B6733" s="760"/>
      <c r="C6733" s="760"/>
      <c r="D6733" s="760"/>
      <c r="E6733" s="760"/>
      <c r="F6733" s="760"/>
      <c r="G6733" s="760"/>
      <c r="H6733" s="760"/>
      <c r="I6733" s="760"/>
      <c r="J6733" s="760"/>
      <c r="K6733" s="760"/>
    </row>
    <row r="6734" spans="1:11">
      <c r="A6734" s="760"/>
      <c r="B6734" s="760"/>
      <c r="C6734" s="760"/>
      <c r="D6734" s="760"/>
      <c r="E6734" s="760"/>
      <c r="F6734" s="760"/>
      <c r="G6734" s="760"/>
      <c r="H6734" s="760"/>
      <c r="I6734" s="760"/>
      <c r="J6734" s="760"/>
      <c r="K6734" s="760"/>
    </row>
    <row r="6735" spans="1:11">
      <c r="A6735" s="760"/>
      <c r="B6735" s="760"/>
      <c r="C6735" s="760"/>
      <c r="D6735" s="760"/>
      <c r="E6735" s="760"/>
      <c r="F6735" s="760"/>
      <c r="G6735" s="760"/>
      <c r="H6735" s="760"/>
      <c r="I6735" s="760"/>
      <c r="J6735" s="760"/>
      <c r="K6735" s="760"/>
    </row>
    <row r="6736" spans="1:11">
      <c r="A6736" s="760"/>
      <c r="B6736" s="760"/>
      <c r="C6736" s="760"/>
      <c r="D6736" s="760"/>
      <c r="E6736" s="760"/>
      <c r="F6736" s="760"/>
      <c r="G6736" s="760"/>
      <c r="H6736" s="760"/>
      <c r="I6736" s="760"/>
      <c r="J6736" s="760"/>
      <c r="K6736" s="760"/>
    </row>
    <row r="6737" spans="1:11">
      <c r="A6737" s="760"/>
      <c r="B6737" s="760"/>
      <c r="C6737" s="760"/>
      <c r="D6737" s="760"/>
      <c r="E6737" s="760"/>
      <c r="F6737" s="760"/>
      <c r="G6737" s="760"/>
      <c r="H6737" s="760"/>
      <c r="I6737" s="760"/>
      <c r="J6737" s="760"/>
      <c r="K6737" s="760"/>
    </row>
    <row r="6738" spans="1:11">
      <c r="A6738" s="760"/>
      <c r="B6738" s="760"/>
      <c r="C6738" s="760"/>
      <c r="D6738" s="760"/>
      <c r="E6738" s="760"/>
      <c r="F6738" s="760"/>
      <c r="G6738" s="760"/>
      <c r="H6738" s="760"/>
      <c r="I6738" s="760"/>
      <c r="J6738" s="760"/>
      <c r="K6738" s="760"/>
    </row>
    <row r="6739" spans="1:11">
      <c r="A6739" s="760"/>
      <c r="B6739" s="760"/>
      <c r="C6739" s="760"/>
      <c r="D6739" s="760"/>
      <c r="E6739" s="760"/>
      <c r="F6739" s="760"/>
      <c r="G6739" s="760"/>
      <c r="H6739" s="760"/>
      <c r="I6739" s="760"/>
      <c r="J6739" s="760"/>
      <c r="K6739" s="760"/>
    </row>
    <row r="6740" spans="1:11">
      <c r="A6740" s="760"/>
      <c r="B6740" s="760"/>
      <c r="C6740" s="760"/>
      <c r="D6740" s="760"/>
      <c r="E6740" s="760"/>
      <c r="F6740" s="760"/>
      <c r="G6740" s="760"/>
      <c r="H6740" s="760"/>
      <c r="I6740" s="760"/>
      <c r="J6740" s="760"/>
      <c r="K6740" s="760"/>
    </row>
    <row r="6741" spans="1:11">
      <c r="A6741" s="760"/>
      <c r="B6741" s="760"/>
      <c r="C6741" s="760"/>
      <c r="D6741" s="760"/>
      <c r="E6741" s="760"/>
      <c r="F6741" s="760"/>
      <c r="G6741" s="760"/>
      <c r="H6741" s="760"/>
      <c r="I6741" s="760"/>
      <c r="J6741" s="760"/>
      <c r="K6741" s="760"/>
    </row>
    <row r="6742" spans="1:11">
      <c r="A6742" s="760"/>
      <c r="B6742" s="760"/>
      <c r="C6742" s="760"/>
      <c r="D6742" s="760"/>
      <c r="E6742" s="760"/>
      <c r="F6742" s="760"/>
      <c r="G6742" s="760"/>
      <c r="H6742" s="760"/>
      <c r="I6742" s="760"/>
      <c r="J6742" s="760"/>
      <c r="K6742" s="760"/>
    </row>
    <row r="6743" spans="1:11">
      <c r="A6743" s="760"/>
      <c r="B6743" s="760"/>
      <c r="C6743" s="760"/>
      <c r="D6743" s="760"/>
      <c r="E6743" s="760"/>
      <c r="F6743" s="760"/>
      <c r="G6743" s="760"/>
      <c r="H6743" s="760"/>
      <c r="I6743" s="760"/>
      <c r="J6743" s="760"/>
      <c r="K6743" s="760"/>
    </row>
    <row r="6744" spans="1:11">
      <c r="A6744" s="760"/>
      <c r="B6744" s="760"/>
      <c r="C6744" s="760"/>
      <c r="D6744" s="760"/>
      <c r="E6744" s="760"/>
      <c r="F6744" s="760"/>
      <c r="G6744" s="760"/>
      <c r="H6744" s="760"/>
      <c r="I6744" s="760"/>
      <c r="J6744" s="760"/>
      <c r="K6744" s="760"/>
    </row>
    <row r="6745" spans="1:11">
      <c r="A6745" s="760"/>
      <c r="B6745" s="760"/>
      <c r="C6745" s="760"/>
      <c r="D6745" s="760"/>
      <c r="E6745" s="760"/>
      <c r="F6745" s="760"/>
      <c r="G6745" s="760"/>
      <c r="H6745" s="760"/>
      <c r="I6745" s="760"/>
      <c r="J6745" s="760"/>
      <c r="K6745" s="760"/>
    </row>
    <row r="6746" spans="1:11">
      <c r="A6746" s="760"/>
      <c r="B6746" s="760"/>
      <c r="C6746" s="760"/>
      <c r="D6746" s="760"/>
      <c r="E6746" s="760"/>
      <c r="F6746" s="760"/>
      <c r="G6746" s="760"/>
      <c r="H6746" s="760"/>
      <c r="I6746" s="760"/>
      <c r="J6746" s="760"/>
      <c r="K6746" s="760"/>
    </row>
    <row r="6747" spans="1:11">
      <c r="A6747" s="760"/>
      <c r="B6747" s="760"/>
      <c r="C6747" s="760"/>
      <c r="D6747" s="760"/>
      <c r="E6747" s="760"/>
      <c r="F6747" s="760"/>
      <c r="G6747" s="760"/>
      <c r="H6747" s="760"/>
      <c r="I6747" s="760"/>
      <c r="J6747" s="760"/>
      <c r="K6747" s="760"/>
    </row>
    <row r="6748" spans="1:11">
      <c r="A6748" s="760"/>
      <c r="B6748" s="760"/>
      <c r="C6748" s="760"/>
      <c r="D6748" s="760"/>
      <c r="E6748" s="760"/>
      <c r="F6748" s="760"/>
      <c r="G6748" s="760"/>
      <c r="H6748" s="760"/>
      <c r="I6748" s="760"/>
      <c r="J6748" s="760"/>
      <c r="K6748" s="760"/>
    </row>
    <row r="6749" spans="1:11">
      <c r="A6749" s="760"/>
      <c r="B6749" s="760"/>
      <c r="C6749" s="760"/>
      <c r="D6749" s="760"/>
      <c r="E6749" s="760"/>
      <c r="F6749" s="760"/>
      <c r="G6749" s="760"/>
      <c r="H6749" s="760"/>
      <c r="I6749" s="760"/>
      <c r="J6749" s="760"/>
      <c r="K6749" s="760"/>
    </row>
    <row r="6750" spans="1:11">
      <c r="A6750" s="760"/>
      <c r="B6750" s="760"/>
      <c r="C6750" s="760"/>
      <c r="D6750" s="760"/>
      <c r="E6750" s="760"/>
      <c r="F6750" s="760"/>
      <c r="G6750" s="760"/>
      <c r="H6750" s="760"/>
      <c r="I6750" s="760"/>
      <c r="J6750" s="760"/>
      <c r="K6750" s="760"/>
    </row>
    <row r="6751" spans="1:11">
      <c r="A6751" s="760"/>
      <c r="B6751" s="760"/>
      <c r="C6751" s="760"/>
      <c r="D6751" s="760"/>
      <c r="E6751" s="760"/>
      <c r="F6751" s="760"/>
      <c r="G6751" s="760"/>
      <c r="H6751" s="760"/>
      <c r="I6751" s="760"/>
      <c r="J6751" s="760"/>
      <c r="K6751" s="760"/>
    </row>
    <row r="6752" spans="1:11">
      <c r="A6752" s="760"/>
      <c r="B6752" s="760"/>
      <c r="C6752" s="760"/>
      <c r="D6752" s="760"/>
      <c r="E6752" s="760"/>
      <c r="F6752" s="760"/>
      <c r="G6752" s="760"/>
      <c r="H6752" s="760"/>
      <c r="I6752" s="760"/>
      <c r="J6752" s="760"/>
      <c r="K6752" s="760"/>
    </row>
    <row r="6753" spans="1:11">
      <c r="A6753" s="760"/>
      <c r="B6753" s="760"/>
      <c r="C6753" s="760"/>
      <c r="D6753" s="760"/>
      <c r="E6753" s="760"/>
      <c r="F6753" s="760"/>
      <c r="G6753" s="760"/>
      <c r="H6753" s="760"/>
      <c r="I6753" s="760"/>
      <c r="J6753" s="760"/>
      <c r="K6753" s="760"/>
    </row>
    <row r="6754" spans="1:11">
      <c r="A6754" s="760"/>
      <c r="B6754" s="760"/>
      <c r="C6754" s="760"/>
      <c r="D6754" s="760"/>
      <c r="E6754" s="760"/>
      <c r="F6754" s="760"/>
      <c r="G6754" s="760"/>
      <c r="H6754" s="760"/>
      <c r="I6754" s="760"/>
      <c r="J6754" s="760"/>
      <c r="K6754" s="760"/>
    </row>
    <row r="6755" spans="1:11">
      <c r="A6755" s="760"/>
      <c r="B6755" s="760"/>
      <c r="C6755" s="760"/>
      <c r="D6755" s="760"/>
      <c r="E6755" s="760"/>
      <c r="F6755" s="760"/>
      <c r="G6755" s="760"/>
      <c r="H6755" s="760"/>
      <c r="I6755" s="760"/>
      <c r="J6755" s="760"/>
      <c r="K6755" s="760"/>
    </row>
    <row r="6756" spans="1:11">
      <c r="A6756" s="760"/>
      <c r="B6756" s="760"/>
      <c r="C6756" s="760"/>
      <c r="D6756" s="760"/>
      <c r="E6756" s="760"/>
      <c r="F6756" s="760"/>
      <c r="G6756" s="760"/>
      <c r="H6756" s="760"/>
      <c r="I6756" s="760"/>
      <c r="J6756" s="760"/>
      <c r="K6756" s="760"/>
    </row>
    <row r="6757" spans="1:11">
      <c r="A6757" s="760"/>
      <c r="B6757" s="760"/>
      <c r="C6757" s="760"/>
      <c r="D6757" s="760"/>
      <c r="E6757" s="760"/>
      <c r="F6757" s="760"/>
      <c r="G6757" s="760"/>
      <c r="H6757" s="760"/>
      <c r="I6757" s="760"/>
      <c r="J6757" s="760"/>
      <c r="K6757" s="760"/>
    </row>
    <row r="6758" spans="1:11">
      <c r="A6758" s="760"/>
      <c r="B6758" s="760"/>
      <c r="C6758" s="760"/>
      <c r="D6758" s="760"/>
      <c r="E6758" s="760"/>
      <c r="F6758" s="760"/>
      <c r="G6758" s="760"/>
      <c r="H6758" s="760"/>
      <c r="I6758" s="760"/>
      <c r="J6758" s="760"/>
      <c r="K6758" s="760"/>
    </row>
    <row r="6759" spans="1:11">
      <c r="A6759" s="760"/>
      <c r="B6759" s="760"/>
      <c r="C6759" s="760"/>
      <c r="D6759" s="760"/>
      <c r="E6759" s="760"/>
      <c r="F6759" s="760"/>
      <c r="G6759" s="760"/>
      <c r="H6759" s="760"/>
      <c r="I6759" s="760"/>
      <c r="J6759" s="760"/>
      <c r="K6759" s="760"/>
    </row>
    <row r="6760" spans="1:11">
      <c r="A6760" s="760"/>
      <c r="B6760" s="760"/>
      <c r="C6760" s="760"/>
      <c r="D6760" s="760"/>
      <c r="E6760" s="760"/>
      <c r="F6760" s="760"/>
      <c r="G6760" s="760"/>
      <c r="H6760" s="760"/>
      <c r="I6760" s="760"/>
      <c r="J6760" s="760"/>
      <c r="K6760" s="760"/>
    </row>
    <row r="6761" spans="1:11">
      <c r="A6761" s="760"/>
      <c r="B6761" s="760"/>
      <c r="C6761" s="760"/>
      <c r="D6761" s="760"/>
      <c r="E6761" s="760"/>
      <c r="F6761" s="760"/>
      <c r="G6761" s="760"/>
      <c r="H6761" s="760"/>
      <c r="I6761" s="760"/>
      <c r="J6761" s="760"/>
      <c r="K6761" s="760"/>
    </row>
    <row r="6762" spans="1:11">
      <c r="A6762" s="760"/>
      <c r="B6762" s="760"/>
      <c r="C6762" s="760"/>
      <c r="D6762" s="760"/>
      <c r="E6762" s="760"/>
      <c r="F6762" s="760"/>
      <c r="G6762" s="760"/>
      <c r="H6762" s="760"/>
      <c r="I6762" s="760"/>
      <c r="J6762" s="760"/>
      <c r="K6762" s="760"/>
    </row>
    <row r="6763" spans="1:11">
      <c r="A6763" s="760"/>
      <c r="B6763" s="760"/>
      <c r="C6763" s="760"/>
      <c r="D6763" s="760"/>
      <c r="E6763" s="760"/>
      <c r="F6763" s="760"/>
      <c r="G6763" s="760"/>
      <c r="H6763" s="760"/>
      <c r="I6763" s="760"/>
      <c r="J6763" s="760"/>
      <c r="K6763" s="760"/>
    </row>
    <row r="6764" spans="1:11">
      <c r="A6764" s="760"/>
      <c r="B6764" s="760"/>
      <c r="C6764" s="760"/>
      <c r="D6764" s="760"/>
      <c r="E6764" s="760"/>
      <c r="F6764" s="760"/>
      <c r="G6764" s="760"/>
      <c r="H6764" s="760"/>
      <c r="I6764" s="760"/>
      <c r="J6764" s="760"/>
      <c r="K6764" s="760"/>
    </row>
    <row r="6765" spans="1:11">
      <c r="A6765" s="760"/>
      <c r="B6765" s="760"/>
      <c r="C6765" s="760"/>
      <c r="D6765" s="760"/>
      <c r="E6765" s="760"/>
      <c r="F6765" s="760"/>
      <c r="G6765" s="760"/>
      <c r="H6765" s="760"/>
      <c r="I6765" s="760"/>
      <c r="J6765" s="760"/>
      <c r="K6765" s="760"/>
    </row>
    <row r="6766" spans="1:11">
      <c r="A6766" s="760"/>
      <c r="B6766" s="760"/>
      <c r="C6766" s="760"/>
      <c r="D6766" s="760"/>
      <c r="E6766" s="760"/>
      <c r="F6766" s="760"/>
      <c r="G6766" s="760"/>
      <c r="H6766" s="760"/>
      <c r="I6766" s="760"/>
      <c r="J6766" s="760"/>
      <c r="K6766" s="760"/>
    </row>
    <row r="6767" spans="1:11">
      <c r="A6767" s="760"/>
      <c r="B6767" s="760"/>
      <c r="C6767" s="760"/>
      <c r="D6767" s="760"/>
      <c r="E6767" s="760"/>
      <c r="F6767" s="760"/>
      <c r="G6767" s="760"/>
      <c r="H6767" s="760"/>
      <c r="I6767" s="760"/>
      <c r="J6767" s="760"/>
      <c r="K6767" s="760"/>
    </row>
    <row r="6768" spans="1:11">
      <c r="A6768" s="760"/>
      <c r="B6768" s="760"/>
      <c r="C6768" s="760"/>
      <c r="D6768" s="760"/>
      <c r="E6768" s="760"/>
      <c r="F6768" s="760"/>
      <c r="G6768" s="760"/>
      <c r="H6768" s="760"/>
      <c r="I6768" s="760"/>
      <c r="J6768" s="760"/>
      <c r="K6768" s="760"/>
    </row>
    <row r="6769" spans="1:11">
      <c r="A6769" s="760"/>
      <c r="B6769" s="760"/>
      <c r="C6769" s="760"/>
      <c r="D6769" s="760"/>
      <c r="E6769" s="760"/>
      <c r="F6769" s="760"/>
      <c r="G6769" s="760"/>
      <c r="H6769" s="760"/>
      <c r="I6769" s="760"/>
      <c r="J6769" s="760"/>
      <c r="K6769" s="760"/>
    </row>
    <row r="6770" spans="1:11">
      <c r="A6770" s="760"/>
      <c r="B6770" s="760"/>
      <c r="C6770" s="760"/>
      <c r="D6770" s="760"/>
      <c r="E6770" s="760"/>
      <c r="F6770" s="760"/>
      <c r="G6770" s="760"/>
      <c r="H6770" s="760"/>
      <c r="I6770" s="760"/>
      <c r="J6770" s="760"/>
      <c r="K6770" s="760"/>
    </row>
    <row r="6771" spans="1:11">
      <c r="A6771" s="760"/>
      <c r="B6771" s="760"/>
      <c r="C6771" s="760"/>
      <c r="D6771" s="760"/>
      <c r="E6771" s="760"/>
      <c r="F6771" s="760"/>
      <c r="G6771" s="760"/>
      <c r="H6771" s="760"/>
      <c r="I6771" s="760"/>
      <c r="J6771" s="760"/>
      <c r="K6771" s="760"/>
    </row>
    <row r="6772" spans="1:11">
      <c r="A6772" s="760"/>
      <c r="B6772" s="760"/>
      <c r="C6772" s="760"/>
      <c r="D6772" s="760"/>
      <c r="E6772" s="760"/>
      <c r="F6772" s="760"/>
      <c r="G6772" s="760"/>
      <c r="H6772" s="760"/>
      <c r="I6772" s="760"/>
      <c r="J6772" s="760"/>
      <c r="K6772" s="760"/>
    </row>
    <row r="6773" spans="1:11">
      <c r="A6773" s="760"/>
      <c r="B6773" s="760"/>
      <c r="C6773" s="760"/>
      <c r="D6773" s="760"/>
      <c r="E6773" s="760"/>
      <c r="F6773" s="760"/>
      <c r="G6773" s="760"/>
      <c r="H6773" s="760"/>
      <c r="I6773" s="760"/>
      <c r="J6773" s="760"/>
      <c r="K6773" s="760"/>
    </row>
    <row r="6774" spans="1:11">
      <c r="A6774" s="760"/>
      <c r="B6774" s="760"/>
      <c r="C6774" s="760"/>
      <c r="D6774" s="760"/>
      <c r="E6774" s="760"/>
      <c r="F6774" s="760"/>
      <c r="G6774" s="760"/>
      <c r="H6774" s="760"/>
      <c r="I6774" s="760"/>
      <c r="J6774" s="760"/>
      <c r="K6774" s="760"/>
    </row>
    <row r="6775" spans="1:11">
      <c r="A6775" s="760"/>
      <c r="B6775" s="760"/>
      <c r="C6775" s="760"/>
      <c r="D6775" s="760"/>
      <c r="E6775" s="760"/>
      <c r="F6775" s="760"/>
      <c r="G6775" s="760"/>
      <c r="H6775" s="760"/>
      <c r="I6775" s="760"/>
      <c r="J6775" s="760"/>
      <c r="K6775" s="760"/>
    </row>
    <row r="6776" spans="1:11">
      <c r="A6776" s="760"/>
      <c r="B6776" s="760"/>
      <c r="C6776" s="760"/>
      <c r="D6776" s="760"/>
      <c r="E6776" s="760"/>
      <c r="F6776" s="760"/>
      <c r="G6776" s="760"/>
      <c r="H6776" s="760"/>
      <c r="I6776" s="760"/>
      <c r="J6776" s="760"/>
      <c r="K6776" s="760"/>
    </row>
    <row r="6777" spans="1:11">
      <c r="A6777" s="760"/>
      <c r="B6777" s="760"/>
      <c r="C6777" s="760"/>
      <c r="D6777" s="760"/>
      <c r="E6777" s="760"/>
      <c r="F6777" s="760"/>
      <c r="G6777" s="760"/>
      <c r="H6777" s="760"/>
      <c r="I6777" s="760"/>
      <c r="J6777" s="760"/>
      <c r="K6777" s="760"/>
    </row>
    <row r="6778" spans="1:11">
      <c r="A6778" s="760"/>
      <c r="B6778" s="760"/>
      <c r="C6778" s="760"/>
      <c r="D6778" s="760"/>
      <c r="E6778" s="760"/>
      <c r="F6778" s="760"/>
      <c r="G6778" s="760"/>
      <c r="H6778" s="760"/>
      <c r="I6778" s="760"/>
      <c r="J6778" s="760"/>
      <c r="K6778" s="760"/>
    </row>
    <row r="6779" spans="1:11">
      <c r="A6779" s="760"/>
      <c r="B6779" s="760"/>
      <c r="C6779" s="760"/>
      <c r="D6779" s="760"/>
      <c r="E6779" s="760"/>
      <c r="F6779" s="760"/>
      <c r="G6779" s="760"/>
      <c r="H6779" s="760"/>
      <c r="I6779" s="760"/>
      <c r="J6779" s="760"/>
      <c r="K6779" s="760"/>
    </row>
    <row r="6780" spans="1:11">
      <c r="A6780" s="760"/>
      <c r="B6780" s="760"/>
      <c r="C6780" s="760"/>
      <c r="D6780" s="760"/>
      <c r="E6780" s="760"/>
      <c r="F6780" s="760"/>
      <c r="G6780" s="760"/>
      <c r="H6780" s="760"/>
      <c r="I6780" s="760"/>
      <c r="J6780" s="760"/>
      <c r="K6780" s="760"/>
    </row>
    <row r="6781" spans="1:11">
      <c r="A6781" s="760"/>
      <c r="B6781" s="760"/>
      <c r="C6781" s="760"/>
      <c r="D6781" s="760"/>
      <c r="E6781" s="760"/>
      <c r="F6781" s="760"/>
      <c r="G6781" s="760"/>
      <c r="H6781" s="760"/>
      <c r="I6781" s="760"/>
      <c r="J6781" s="760"/>
      <c r="K6781" s="760"/>
    </row>
    <row r="6782" spans="1:11">
      <c r="A6782" s="760"/>
      <c r="B6782" s="760"/>
      <c r="C6782" s="760"/>
      <c r="D6782" s="760"/>
      <c r="E6782" s="760"/>
      <c r="F6782" s="760"/>
      <c r="G6782" s="760"/>
      <c r="H6782" s="760"/>
      <c r="I6782" s="760"/>
      <c r="J6782" s="760"/>
      <c r="K6782" s="760"/>
    </row>
    <row r="6783" spans="1:11">
      <c r="A6783" s="760"/>
      <c r="B6783" s="760"/>
      <c r="C6783" s="760"/>
      <c r="D6783" s="760"/>
      <c r="E6783" s="760"/>
      <c r="F6783" s="760"/>
      <c r="G6783" s="760"/>
      <c r="H6783" s="760"/>
      <c r="I6783" s="760"/>
      <c r="J6783" s="760"/>
      <c r="K6783" s="760"/>
    </row>
    <row r="6784" spans="1:11">
      <c r="A6784" s="760"/>
      <c r="B6784" s="760"/>
      <c r="C6784" s="760"/>
      <c r="D6784" s="760"/>
      <c r="E6784" s="760"/>
      <c r="F6784" s="760"/>
      <c r="G6784" s="760"/>
      <c r="H6784" s="760"/>
      <c r="I6784" s="760"/>
      <c r="J6784" s="760"/>
      <c r="K6784" s="760"/>
    </row>
    <row r="6785" spans="1:11">
      <c r="A6785" s="760"/>
      <c r="B6785" s="760"/>
      <c r="C6785" s="760"/>
      <c r="D6785" s="760"/>
      <c r="E6785" s="760"/>
      <c r="F6785" s="760"/>
      <c r="G6785" s="760"/>
      <c r="H6785" s="760"/>
      <c r="I6785" s="760"/>
      <c r="J6785" s="760"/>
      <c r="K6785" s="760"/>
    </row>
    <row r="6786" spans="1:11">
      <c r="A6786" s="760"/>
      <c r="B6786" s="760"/>
      <c r="C6786" s="760"/>
      <c r="D6786" s="760"/>
      <c r="E6786" s="760"/>
      <c r="F6786" s="760"/>
      <c r="G6786" s="760"/>
      <c r="H6786" s="760"/>
      <c r="I6786" s="760"/>
      <c r="J6786" s="760"/>
      <c r="K6786" s="760"/>
    </row>
    <row r="6787" spans="1:11">
      <c r="A6787" s="760"/>
      <c r="B6787" s="760"/>
      <c r="C6787" s="760"/>
      <c r="D6787" s="760"/>
      <c r="E6787" s="760"/>
      <c r="F6787" s="760"/>
      <c r="G6787" s="760"/>
      <c r="H6787" s="760"/>
      <c r="I6787" s="760"/>
      <c r="J6787" s="760"/>
      <c r="K6787" s="760"/>
    </row>
    <row r="6788" spans="1:11">
      <c r="A6788" s="760"/>
      <c r="B6788" s="760"/>
      <c r="C6788" s="760"/>
      <c r="D6788" s="760"/>
      <c r="E6788" s="760"/>
      <c r="F6788" s="760"/>
      <c r="G6788" s="760"/>
      <c r="H6788" s="760"/>
      <c r="I6788" s="760"/>
      <c r="J6788" s="760"/>
      <c r="K6788" s="760"/>
    </row>
    <row r="6789" spans="1:11">
      <c r="A6789" s="760"/>
      <c r="B6789" s="760"/>
      <c r="C6789" s="760"/>
      <c r="D6789" s="760"/>
      <c r="E6789" s="760"/>
      <c r="F6789" s="760"/>
      <c r="G6789" s="760"/>
      <c r="H6789" s="760"/>
      <c r="I6789" s="760"/>
      <c r="J6789" s="760"/>
      <c r="K6789" s="760"/>
    </row>
    <row r="6790" spans="1:11">
      <c r="A6790" s="760"/>
      <c r="B6790" s="760"/>
      <c r="C6790" s="760"/>
      <c r="D6790" s="760"/>
      <c r="E6790" s="760"/>
      <c r="F6790" s="760"/>
      <c r="G6790" s="760"/>
      <c r="H6790" s="760"/>
      <c r="I6790" s="760"/>
      <c r="J6790" s="760"/>
      <c r="K6790" s="760"/>
    </row>
    <row r="6791" spans="1:11">
      <c r="A6791" s="760"/>
      <c r="B6791" s="760"/>
      <c r="C6791" s="760"/>
      <c r="D6791" s="760"/>
      <c r="E6791" s="760"/>
      <c r="F6791" s="760"/>
      <c r="G6791" s="760"/>
      <c r="H6791" s="760"/>
      <c r="I6791" s="760"/>
      <c r="J6791" s="760"/>
      <c r="K6791" s="760"/>
    </row>
    <row r="6792" spans="1:11">
      <c r="A6792" s="760"/>
      <c r="B6792" s="760"/>
      <c r="C6792" s="760"/>
      <c r="D6792" s="760"/>
      <c r="E6792" s="760"/>
      <c r="F6792" s="760"/>
      <c r="G6792" s="760"/>
      <c r="H6792" s="760"/>
      <c r="I6792" s="760"/>
      <c r="J6792" s="760"/>
      <c r="K6792" s="760"/>
    </row>
    <row r="6793" spans="1:11">
      <c r="A6793" s="760"/>
      <c r="B6793" s="760"/>
      <c r="C6793" s="760"/>
      <c r="D6793" s="760"/>
      <c r="E6793" s="760"/>
      <c r="F6793" s="760"/>
      <c r="G6793" s="760"/>
      <c r="H6793" s="760"/>
      <c r="I6793" s="760"/>
      <c r="J6793" s="760"/>
      <c r="K6793" s="760"/>
    </row>
    <row r="6794" spans="1:11">
      <c r="A6794" s="760"/>
      <c r="B6794" s="760"/>
      <c r="C6794" s="760"/>
      <c r="D6794" s="760"/>
      <c r="E6794" s="760"/>
      <c r="F6794" s="760"/>
      <c r="G6794" s="760"/>
      <c r="H6794" s="760"/>
      <c r="I6794" s="760"/>
      <c r="J6794" s="760"/>
      <c r="K6794" s="760"/>
    </row>
    <row r="6795" spans="1:11">
      <c r="A6795" s="760"/>
      <c r="B6795" s="760"/>
      <c r="C6795" s="760"/>
      <c r="D6795" s="760"/>
      <c r="E6795" s="760"/>
      <c r="F6795" s="760"/>
      <c r="G6795" s="760"/>
      <c r="H6795" s="760"/>
      <c r="I6795" s="760"/>
      <c r="J6795" s="760"/>
      <c r="K6795" s="760"/>
    </row>
    <row r="6796" spans="1:11">
      <c r="A6796" s="760"/>
      <c r="B6796" s="760"/>
      <c r="C6796" s="760"/>
      <c r="D6796" s="760"/>
      <c r="E6796" s="760"/>
      <c r="F6796" s="760"/>
      <c r="G6796" s="760"/>
      <c r="H6796" s="760"/>
      <c r="I6796" s="760"/>
      <c r="J6796" s="760"/>
      <c r="K6796" s="760"/>
    </row>
    <row r="6797" spans="1:11">
      <c r="A6797" s="760"/>
      <c r="B6797" s="760"/>
      <c r="C6797" s="760"/>
      <c r="D6797" s="760"/>
      <c r="E6797" s="760"/>
      <c r="F6797" s="760"/>
      <c r="G6797" s="760"/>
      <c r="H6797" s="760"/>
      <c r="I6797" s="760"/>
      <c r="J6797" s="760"/>
      <c r="K6797" s="760"/>
    </row>
    <row r="6798" spans="1:11">
      <c r="A6798" s="760"/>
      <c r="B6798" s="760"/>
      <c r="C6798" s="760"/>
      <c r="D6798" s="760"/>
      <c r="E6798" s="760"/>
      <c r="F6798" s="760"/>
      <c r="G6798" s="760"/>
      <c r="H6798" s="760"/>
      <c r="I6798" s="760"/>
      <c r="J6798" s="760"/>
      <c r="K6798" s="760"/>
    </row>
    <row r="6799" spans="1:11">
      <c r="A6799" s="760"/>
      <c r="B6799" s="760"/>
      <c r="C6799" s="760"/>
      <c r="D6799" s="760"/>
      <c r="E6799" s="760"/>
      <c r="F6799" s="760"/>
      <c r="G6799" s="760"/>
      <c r="H6799" s="760"/>
      <c r="I6799" s="760"/>
      <c r="J6799" s="760"/>
      <c r="K6799" s="760"/>
    </row>
    <row r="6800" spans="1:11">
      <c r="A6800" s="760"/>
      <c r="B6800" s="760"/>
      <c r="C6800" s="760"/>
      <c r="D6800" s="760"/>
      <c r="E6800" s="760"/>
      <c r="F6800" s="760"/>
      <c r="G6800" s="760"/>
      <c r="H6800" s="760"/>
      <c r="I6800" s="760"/>
      <c r="J6800" s="760"/>
      <c r="K6800" s="760"/>
    </row>
    <row r="6801" spans="1:11">
      <c r="A6801" s="760"/>
      <c r="B6801" s="760"/>
      <c r="C6801" s="760"/>
      <c r="D6801" s="760"/>
      <c r="E6801" s="760"/>
      <c r="F6801" s="760"/>
      <c r="G6801" s="760"/>
      <c r="H6801" s="760"/>
      <c r="I6801" s="760"/>
      <c r="J6801" s="760"/>
      <c r="K6801" s="760"/>
    </row>
    <row r="6802" spans="1:11">
      <c r="A6802" s="760"/>
      <c r="B6802" s="760"/>
      <c r="C6802" s="760"/>
      <c r="D6802" s="760"/>
      <c r="E6802" s="760"/>
      <c r="F6802" s="760"/>
      <c r="G6802" s="760"/>
      <c r="H6802" s="760"/>
      <c r="I6802" s="760"/>
      <c r="J6802" s="760"/>
      <c r="K6802" s="760"/>
    </row>
    <row r="6803" spans="1:11">
      <c r="A6803" s="760"/>
      <c r="B6803" s="760"/>
      <c r="C6803" s="760"/>
      <c r="D6803" s="760"/>
      <c r="E6803" s="760"/>
      <c r="F6803" s="760"/>
      <c r="G6803" s="760"/>
      <c r="H6803" s="760"/>
      <c r="I6803" s="760"/>
      <c r="J6803" s="760"/>
      <c r="K6803" s="760"/>
    </row>
    <row r="6804" spans="1:11">
      <c r="A6804" s="760"/>
      <c r="B6804" s="760"/>
      <c r="C6804" s="760"/>
      <c r="D6804" s="760"/>
      <c r="E6804" s="760"/>
      <c r="F6804" s="760"/>
      <c r="G6804" s="760"/>
      <c r="H6804" s="760"/>
      <c r="I6804" s="760"/>
      <c r="J6804" s="760"/>
      <c r="K6804" s="760"/>
    </row>
    <row r="6805" spans="1:11">
      <c r="A6805" s="760"/>
      <c r="B6805" s="760"/>
      <c r="C6805" s="760"/>
      <c r="D6805" s="760"/>
      <c r="E6805" s="760"/>
      <c r="F6805" s="760"/>
      <c r="G6805" s="760"/>
      <c r="H6805" s="760"/>
      <c r="I6805" s="760"/>
      <c r="J6805" s="760"/>
      <c r="K6805" s="760"/>
    </row>
    <row r="6806" spans="1:11">
      <c r="A6806" s="760"/>
      <c r="B6806" s="760"/>
      <c r="C6806" s="760"/>
      <c r="D6806" s="760"/>
      <c r="E6806" s="760"/>
      <c r="F6806" s="760"/>
      <c r="G6806" s="760"/>
      <c r="H6806" s="760"/>
      <c r="I6806" s="760"/>
      <c r="J6806" s="760"/>
      <c r="K6806" s="760"/>
    </row>
    <row r="6807" spans="1:11">
      <c r="A6807" s="760"/>
      <c r="B6807" s="760"/>
      <c r="C6807" s="760"/>
      <c r="D6807" s="760"/>
      <c r="E6807" s="760"/>
      <c r="F6807" s="760"/>
      <c r="G6807" s="760"/>
      <c r="H6807" s="760"/>
      <c r="I6807" s="760"/>
      <c r="J6807" s="760"/>
      <c r="K6807" s="760"/>
    </row>
    <row r="6808" spans="1:11">
      <c r="A6808" s="760"/>
      <c r="B6808" s="760"/>
      <c r="C6808" s="760"/>
      <c r="D6808" s="760"/>
      <c r="E6808" s="760"/>
      <c r="F6808" s="760"/>
      <c r="G6808" s="760"/>
      <c r="H6808" s="760"/>
      <c r="I6808" s="760"/>
      <c r="J6808" s="760"/>
      <c r="K6808" s="760"/>
    </row>
    <row r="6809" spans="1:11">
      <c r="A6809" s="760"/>
      <c r="B6809" s="760"/>
      <c r="C6809" s="760"/>
      <c r="D6809" s="760"/>
      <c r="E6809" s="760"/>
      <c r="F6809" s="760"/>
      <c r="G6809" s="760"/>
      <c r="H6809" s="760"/>
      <c r="I6809" s="760"/>
      <c r="J6809" s="760"/>
      <c r="K6809" s="760"/>
    </row>
    <row r="6810" spans="1:11">
      <c r="A6810" s="760"/>
      <c r="B6810" s="760"/>
      <c r="C6810" s="760"/>
      <c r="D6810" s="760"/>
      <c r="E6810" s="760"/>
      <c r="F6810" s="760"/>
      <c r="G6810" s="760"/>
      <c r="H6810" s="760"/>
      <c r="I6810" s="760"/>
      <c r="J6810" s="760"/>
      <c r="K6810" s="760"/>
    </row>
    <row r="6811" spans="1:11">
      <c r="A6811" s="760"/>
      <c r="B6811" s="760"/>
      <c r="C6811" s="760"/>
      <c r="D6811" s="760"/>
      <c r="E6811" s="760"/>
      <c r="F6811" s="760"/>
      <c r="G6811" s="760"/>
      <c r="H6811" s="760"/>
      <c r="I6811" s="760"/>
      <c r="J6811" s="760"/>
      <c r="K6811" s="760"/>
    </row>
    <row r="6812" spans="1:11">
      <c r="A6812" s="760"/>
      <c r="B6812" s="760"/>
      <c r="C6812" s="760"/>
      <c r="D6812" s="760"/>
      <c r="E6812" s="760"/>
      <c r="F6812" s="760"/>
      <c r="G6812" s="760"/>
      <c r="H6812" s="760"/>
      <c r="I6812" s="760"/>
      <c r="J6812" s="760"/>
      <c r="K6812" s="760"/>
    </row>
    <row r="6813" spans="1:11">
      <c r="A6813" s="760"/>
      <c r="B6813" s="760"/>
      <c r="C6813" s="760"/>
      <c r="D6813" s="760"/>
      <c r="E6813" s="760"/>
      <c r="F6813" s="760"/>
      <c r="G6813" s="760"/>
      <c r="H6813" s="760"/>
      <c r="I6813" s="760"/>
      <c r="J6813" s="760"/>
      <c r="K6813" s="760"/>
    </row>
    <row r="6814" spans="1:11">
      <c r="A6814" s="760"/>
      <c r="B6814" s="760"/>
      <c r="C6814" s="760"/>
      <c r="D6814" s="760"/>
      <c r="E6814" s="760"/>
      <c r="F6814" s="760"/>
      <c r="G6814" s="760"/>
      <c r="H6814" s="760"/>
      <c r="I6814" s="760"/>
      <c r="J6814" s="760"/>
      <c r="K6814" s="760"/>
    </row>
    <row r="6815" spans="1:11">
      <c r="A6815" s="760"/>
      <c r="B6815" s="760"/>
      <c r="C6815" s="760"/>
      <c r="D6815" s="760"/>
      <c r="E6815" s="760"/>
      <c r="F6815" s="760"/>
      <c r="G6815" s="760"/>
      <c r="H6815" s="760"/>
      <c r="I6815" s="760"/>
      <c r="J6815" s="760"/>
      <c r="K6815" s="760"/>
    </row>
    <row r="6816" spans="1:11">
      <c r="A6816" s="760"/>
      <c r="B6816" s="760"/>
      <c r="C6816" s="760"/>
      <c r="D6816" s="760"/>
      <c r="E6816" s="760"/>
      <c r="F6816" s="760"/>
      <c r="G6816" s="760"/>
      <c r="H6816" s="760"/>
      <c r="I6816" s="760"/>
      <c r="J6816" s="760"/>
      <c r="K6816" s="760"/>
    </row>
    <row r="6817" spans="1:11">
      <c r="A6817" s="760"/>
      <c r="B6817" s="760"/>
      <c r="C6817" s="760"/>
      <c r="D6817" s="760"/>
      <c r="E6817" s="760"/>
      <c r="F6817" s="760"/>
      <c r="G6817" s="760"/>
      <c r="H6817" s="760"/>
      <c r="I6817" s="760"/>
      <c r="J6817" s="760"/>
      <c r="K6817" s="760"/>
    </row>
    <row r="6818" spans="1:11">
      <c r="A6818" s="760"/>
      <c r="B6818" s="760"/>
      <c r="C6818" s="760"/>
      <c r="D6818" s="760"/>
      <c r="E6818" s="760"/>
      <c r="F6818" s="760"/>
      <c r="G6818" s="760"/>
      <c r="H6818" s="760"/>
      <c r="I6818" s="760"/>
      <c r="J6818" s="760"/>
      <c r="K6818" s="760"/>
    </row>
    <row r="6819" spans="1:11">
      <c r="A6819" s="760"/>
      <c r="B6819" s="760"/>
      <c r="C6819" s="760"/>
      <c r="D6819" s="760"/>
      <c r="E6819" s="760"/>
      <c r="F6819" s="760"/>
      <c r="G6819" s="760"/>
      <c r="H6819" s="760"/>
      <c r="I6819" s="760"/>
      <c r="J6819" s="760"/>
      <c r="K6819" s="760"/>
    </row>
    <row r="6820" spans="1:11">
      <c r="A6820" s="760"/>
      <c r="B6820" s="760"/>
      <c r="C6820" s="760"/>
      <c r="D6820" s="760"/>
      <c r="E6820" s="760"/>
      <c r="F6820" s="760"/>
      <c r="G6820" s="760"/>
      <c r="H6820" s="760"/>
      <c r="I6820" s="760"/>
      <c r="J6820" s="760"/>
      <c r="K6820" s="760"/>
    </row>
    <row r="6821" spans="1:11">
      <c r="A6821" s="760"/>
      <c r="B6821" s="760"/>
      <c r="C6821" s="760"/>
      <c r="D6821" s="760"/>
      <c r="E6821" s="760"/>
      <c r="F6821" s="760"/>
      <c r="G6821" s="760"/>
      <c r="H6821" s="760"/>
      <c r="I6821" s="760"/>
      <c r="J6821" s="760"/>
      <c r="K6821" s="760"/>
    </row>
    <row r="6822" spans="1:11">
      <c r="A6822" s="760"/>
      <c r="B6822" s="760"/>
      <c r="C6822" s="760"/>
      <c r="D6822" s="760"/>
      <c r="E6822" s="760"/>
      <c r="F6822" s="760"/>
      <c r="G6822" s="760"/>
      <c r="H6822" s="760"/>
      <c r="I6822" s="760"/>
      <c r="J6822" s="760"/>
      <c r="K6822" s="760"/>
    </row>
    <row r="6823" spans="1:11">
      <c r="A6823" s="760"/>
      <c r="B6823" s="760"/>
      <c r="C6823" s="760"/>
      <c r="D6823" s="760"/>
      <c r="E6823" s="760"/>
      <c r="F6823" s="760"/>
      <c r="G6823" s="760"/>
      <c r="H6823" s="760"/>
      <c r="I6823" s="760"/>
      <c r="J6823" s="760"/>
      <c r="K6823" s="760"/>
    </row>
    <row r="6824" spans="1:11">
      <c r="A6824" s="760"/>
      <c r="B6824" s="760"/>
      <c r="C6824" s="760"/>
      <c r="D6824" s="760"/>
      <c r="E6824" s="760"/>
      <c r="F6824" s="760"/>
      <c r="G6824" s="760"/>
      <c r="H6824" s="760"/>
      <c r="I6824" s="760"/>
      <c r="J6824" s="760"/>
      <c r="K6824" s="760"/>
    </row>
    <row r="6825" spans="1:11">
      <c r="A6825" s="760"/>
      <c r="B6825" s="760"/>
      <c r="C6825" s="760"/>
      <c r="D6825" s="760"/>
      <c r="E6825" s="760"/>
      <c r="F6825" s="760"/>
      <c r="G6825" s="760"/>
      <c r="H6825" s="760"/>
      <c r="I6825" s="760"/>
      <c r="J6825" s="760"/>
      <c r="K6825" s="760"/>
    </row>
    <row r="6826" spans="1:11">
      <c r="A6826" s="760"/>
      <c r="B6826" s="760"/>
      <c r="C6826" s="760"/>
      <c r="D6826" s="760"/>
      <c r="E6826" s="760"/>
      <c r="F6826" s="760"/>
      <c r="G6826" s="760"/>
      <c r="H6826" s="760"/>
      <c r="I6826" s="760"/>
      <c r="J6826" s="760"/>
      <c r="K6826" s="760"/>
    </row>
    <row r="6827" spans="1:11">
      <c r="A6827" s="760"/>
      <c r="B6827" s="760"/>
      <c r="C6827" s="760"/>
      <c r="D6827" s="760"/>
      <c r="E6827" s="760"/>
      <c r="F6827" s="760"/>
      <c r="G6827" s="760"/>
      <c r="H6827" s="760"/>
      <c r="I6827" s="760"/>
      <c r="J6827" s="760"/>
      <c r="K6827" s="760"/>
    </row>
    <row r="6828" spans="1:11">
      <c r="A6828" s="760"/>
      <c r="B6828" s="760"/>
      <c r="C6828" s="760"/>
      <c r="D6828" s="760"/>
      <c r="E6828" s="760"/>
      <c r="F6828" s="760"/>
      <c r="G6828" s="760"/>
      <c r="H6828" s="760"/>
      <c r="I6828" s="760"/>
      <c r="J6828" s="760"/>
      <c r="K6828" s="760"/>
    </row>
    <row r="6829" spans="1:11">
      <c r="A6829" s="760"/>
      <c r="B6829" s="760"/>
      <c r="C6829" s="760"/>
      <c r="D6829" s="760"/>
      <c r="E6829" s="760"/>
      <c r="F6829" s="760"/>
      <c r="G6829" s="760"/>
      <c r="H6829" s="760"/>
      <c r="I6829" s="760"/>
      <c r="J6829" s="760"/>
      <c r="K6829" s="760"/>
    </row>
    <row r="6830" spans="1:11">
      <c r="A6830" s="760"/>
      <c r="B6830" s="760"/>
      <c r="C6830" s="760"/>
      <c r="D6830" s="760"/>
      <c r="E6830" s="760"/>
      <c r="F6830" s="760"/>
      <c r="G6830" s="760"/>
      <c r="H6830" s="760"/>
      <c r="I6830" s="760"/>
      <c r="J6830" s="760"/>
      <c r="K6830" s="760"/>
    </row>
    <row r="6831" spans="1:11">
      <c r="A6831" s="760"/>
      <c r="B6831" s="760"/>
      <c r="C6831" s="760"/>
      <c r="D6831" s="760"/>
      <c r="E6831" s="760"/>
      <c r="F6831" s="760"/>
      <c r="G6831" s="760"/>
      <c r="H6831" s="760"/>
      <c r="I6831" s="760"/>
      <c r="J6831" s="760"/>
      <c r="K6831" s="760"/>
    </row>
    <row r="6832" spans="1:11">
      <c r="A6832" s="760"/>
      <c r="B6832" s="760"/>
      <c r="C6832" s="760"/>
      <c r="D6832" s="760"/>
      <c r="E6832" s="760"/>
      <c r="F6832" s="760"/>
      <c r="G6832" s="760"/>
      <c r="H6832" s="760"/>
      <c r="I6832" s="760"/>
      <c r="J6832" s="760"/>
      <c r="K6832" s="760"/>
    </row>
    <row r="6833" spans="1:11">
      <c r="A6833" s="760"/>
      <c r="B6833" s="760"/>
      <c r="C6833" s="760"/>
      <c r="D6833" s="760"/>
      <c r="E6833" s="760"/>
      <c r="F6833" s="760"/>
      <c r="G6833" s="760"/>
      <c r="H6833" s="760"/>
      <c r="I6833" s="760"/>
      <c r="J6833" s="760"/>
      <c r="K6833" s="760"/>
    </row>
    <row r="6834" spans="1:11">
      <c r="A6834" s="760"/>
      <c r="B6834" s="760"/>
      <c r="C6834" s="760"/>
      <c r="D6834" s="760"/>
      <c r="E6834" s="760"/>
      <c r="F6834" s="760"/>
      <c r="G6834" s="760"/>
      <c r="H6834" s="760"/>
      <c r="I6834" s="760"/>
      <c r="J6834" s="760"/>
      <c r="K6834" s="760"/>
    </row>
    <row r="6835" spans="1:11">
      <c r="A6835" s="760"/>
      <c r="B6835" s="760"/>
      <c r="C6835" s="760"/>
      <c r="D6835" s="760"/>
      <c r="E6835" s="760"/>
      <c r="F6835" s="760"/>
      <c r="G6835" s="760"/>
      <c r="H6835" s="760"/>
      <c r="I6835" s="760"/>
      <c r="J6835" s="760"/>
      <c r="K6835" s="760"/>
    </row>
    <row r="6836" spans="1:11">
      <c r="A6836" s="760"/>
      <c r="B6836" s="760"/>
      <c r="C6836" s="760"/>
      <c r="D6836" s="760"/>
      <c r="E6836" s="760"/>
      <c r="F6836" s="760"/>
      <c r="G6836" s="760"/>
      <c r="H6836" s="760"/>
      <c r="I6836" s="760"/>
      <c r="J6836" s="760"/>
      <c r="K6836" s="760"/>
    </row>
    <row r="6837" spans="1:11">
      <c r="A6837" s="760"/>
      <c r="B6837" s="760"/>
      <c r="C6837" s="760"/>
      <c r="D6837" s="760"/>
      <c r="E6837" s="760"/>
      <c r="F6837" s="760"/>
      <c r="G6837" s="760"/>
      <c r="H6837" s="760"/>
      <c r="I6837" s="760"/>
      <c r="J6837" s="760"/>
      <c r="K6837" s="760"/>
    </row>
    <row r="6838" spans="1:11">
      <c r="A6838" s="760"/>
      <c r="B6838" s="760"/>
      <c r="C6838" s="760"/>
      <c r="D6838" s="760"/>
      <c r="E6838" s="760"/>
      <c r="F6838" s="760"/>
      <c r="G6838" s="760"/>
      <c r="H6838" s="760"/>
      <c r="I6838" s="760"/>
      <c r="J6838" s="760"/>
      <c r="K6838" s="760"/>
    </row>
    <row r="6839" spans="1:11">
      <c r="A6839" s="760"/>
      <c r="B6839" s="760"/>
      <c r="C6839" s="760"/>
      <c r="D6839" s="760"/>
      <c r="E6839" s="760"/>
      <c r="F6839" s="760"/>
      <c r="G6839" s="760"/>
      <c r="H6839" s="760"/>
      <c r="I6839" s="760"/>
      <c r="J6839" s="760"/>
      <c r="K6839" s="760"/>
    </row>
    <row r="6840" spans="1:11">
      <c r="A6840" s="760"/>
      <c r="B6840" s="760"/>
      <c r="C6840" s="760"/>
      <c r="D6840" s="760"/>
      <c r="E6840" s="760"/>
      <c r="F6840" s="760"/>
      <c r="G6840" s="760"/>
      <c r="H6840" s="760"/>
      <c r="I6840" s="760"/>
      <c r="J6840" s="760"/>
      <c r="K6840" s="760"/>
    </row>
    <row r="6841" spans="1:11">
      <c r="A6841" s="760"/>
      <c r="B6841" s="760"/>
      <c r="C6841" s="760"/>
      <c r="D6841" s="760"/>
      <c r="E6841" s="760"/>
      <c r="F6841" s="760"/>
      <c r="G6841" s="760"/>
      <c r="H6841" s="760"/>
      <c r="I6841" s="760"/>
      <c r="J6841" s="760"/>
      <c r="K6841" s="760"/>
    </row>
    <row r="6842" spans="1:11">
      <c r="A6842" s="760"/>
      <c r="B6842" s="760"/>
      <c r="C6842" s="760"/>
      <c r="D6842" s="760"/>
      <c r="E6842" s="760"/>
      <c r="F6842" s="760"/>
      <c r="G6842" s="760"/>
      <c r="H6842" s="760"/>
      <c r="I6842" s="760"/>
      <c r="J6842" s="760"/>
      <c r="K6842" s="760"/>
    </row>
    <row r="6843" spans="1:11">
      <c r="A6843" s="760"/>
      <c r="B6843" s="760"/>
      <c r="C6843" s="760"/>
      <c r="D6843" s="760"/>
      <c r="E6843" s="760"/>
      <c r="F6843" s="760"/>
      <c r="G6843" s="760"/>
      <c r="H6843" s="760"/>
      <c r="I6843" s="760"/>
      <c r="J6843" s="760"/>
      <c r="K6843" s="760"/>
    </row>
    <row r="6844" spans="1:11">
      <c r="A6844" s="760"/>
      <c r="B6844" s="760"/>
      <c r="C6844" s="760"/>
      <c r="D6844" s="760"/>
      <c r="E6844" s="760"/>
      <c r="F6844" s="760"/>
      <c r="G6844" s="760"/>
      <c r="H6844" s="760"/>
      <c r="I6844" s="760"/>
      <c r="J6844" s="760"/>
      <c r="K6844" s="760"/>
    </row>
    <row r="6845" spans="1:11">
      <c r="A6845" s="760"/>
      <c r="B6845" s="760"/>
      <c r="C6845" s="760"/>
      <c r="D6845" s="760"/>
      <c r="E6845" s="760"/>
      <c r="F6845" s="760"/>
      <c r="G6845" s="760"/>
      <c r="H6845" s="760"/>
      <c r="I6845" s="760"/>
      <c r="J6845" s="760"/>
      <c r="K6845" s="760"/>
    </row>
    <row r="6846" spans="1:11">
      <c r="A6846" s="760"/>
      <c r="B6846" s="760"/>
      <c r="C6846" s="760"/>
      <c r="D6846" s="760"/>
      <c r="E6846" s="760"/>
      <c r="F6846" s="760"/>
      <c r="G6846" s="760"/>
      <c r="H6846" s="760"/>
      <c r="I6846" s="760"/>
      <c r="J6846" s="760"/>
      <c r="K6846" s="760"/>
    </row>
    <row r="6847" spans="1:11">
      <c r="A6847" s="760"/>
      <c r="B6847" s="760"/>
      <c r="C6847" s="760"/>
      <c r="D6847" s="760"/>
      <c r="E6847" s="760"/>
      <c r="F6847" s="760"/>
      <c r="G6847" s="760"/>
      <c r="H6847" s="760"/>
      <c r="I6847" s="760"/>
      <c r="J6847" s="760"/>
      <c r="K6847" s="760"/>
    </row>
    <row r="6848" spans="1:11">
      <c r="A6848" s="760"/>
      <c r="B6848" s="760"/>
      <c r="C6848" s="760"/>
      <c r="D6848" s="760"/>
      <c r="E6848" s="760"/>
      <c r="F6848" s="760"/>
      <c r="G6848" s="760"/>
      <c r="H6848" s="760"/>
      <c r="I6848" s="760"/>
      <c r="J6848" s="760"/>
      <c r="K6848" s="760"/>
    </row>
    <row r="6849" spans="1:11">
      <c r="A6849" s="760"/>
      <c r="B6849" s="760"/>
      <c r="C6849" s="760"/>
      <c r="D6849" s="760"/>
      <c r="E6849" s="760"/>
      <c r="F6849" s="760"/>
      <c r="G6849" s="760"/>
      <c r="H6849" s="760"/>
      <c r="I6849" s="760"/>
      <c r="J6849" s="760"/>
      <c r="K6849" s="760"/>
    </row>
    <row r="6850" spans="1:11">
      <c r="A6850" s="760"/>
      <c r="B6850" s="760"/>
      <c r="C6850" s="760"/>
      <c r="D6850" s="760"/>
      <c r="E6850" s="760"/>
      <c r="F6850" s="760"/>
      <c r="G6850" s="760"/>
      <c r="H6850" s="760"/>
      <c r="I6850" s="760"/>
      <c r="J6850" s="760"/>
      <c r="K6850" s="760"/>
    </row>
    <row r="6851" spans="1:11">
      <c r="A6851" s="760"/>
      <c r="B6851" s="760"/>
      <c r="C6851" s="760"/>
      <c r="D6851" s="760"/>
      <c r="E6851" s="760"/>
      <c r="F6851" s="760"/>
      <c r="G6851" s="760"/>
      <c r="H6851" s="760"/>
      <c r="I6851" s="760"/>
      <c r="J6851" s="760"/>
      <c r="K6851" s="760"/>
    </row>
    <row r="6852" spans="1:11">
      <c r="A6852" s="760"/>
      <c r="B6852" s="760"/>
      <c r="C6852" s="760"/>
      <c r="D6852" s="760"/>
      <c r="E6852" s="760"/>
      <c r="F6852" s="760"/>
      <c r="G6852" s="760"/>
      <c r="H6852" s="760"/>
      <c r="I6852" s="760"/>
      <c r="J6852" s="760"/>
      <c r="K6852" s="760"/>
    </row>
    <row r="6853" spans="1:11">
      <c r="A6853" s="760"/>
      <c r="B6853" s="760"/>
      <c r="C6853" s="760"/>
      <c r="D6853" s="760"/>
      <c r="E6853" s="760"/>
      <c r="F6853" s="760"/>
      <c r="G6853" s="760"/>
      <c r="H6853" s="760"/>
      <c r="I6853" s="760"/>
      <c r="J6853" s="760"/>
      <c r="K6853" s="760"/>
    </row>
    <row r="6854" spans="1:11">
      <c r="A6854" s="760"/>
      <c r="B6854" s="760"/>
      <c r="C6854" s="760"/>
      <c r="D6854" s="760"/>
      <c r="E6854" s="760"/>
      <c r="F6854" s="760"/>
      <c r="G6854" s="760"/>
      <c r="H6854" s="760"/>
      <c r="I6854" s="760"/>
      <c r="J6854" s="760"/>
      <c r="K6854" s="760"/>
    </row>
    <row r="6855" spans="1:11">
      <c r="A6855" s="760"/>
      <c r="B6855" s="760"/>
      <c r="C6855" s="760"/>
      <c r="D6855" s="760"/>
      <c r="E6855" s="760"/>
      <c r="F6855" s="760"/>
      <c r="G6855" s="760"/>
      <c r="H6855" s="760"/>
      <c r="I6855" s="760"/>
      <c r="J6855" s="760"/>
      <c r="K6855" s="760"/>
    </row>
    <row r="6856" spans="1:11">
      <c r="A6856" s="760"/>
      <c r="B6856" s="760"/>
      <c r="C6856" s="760"/>
      <c r="D6856" s="760"/>
      <c r="E6856" s="760"/>
      <c r="F6856" s="760"/>
      <c r="G6856" s="760"/>
      <c r="H6856" s="760"/>
      <c r="I6856" s="760"/>
      <c r="J6856" s="760"/>
      <c r="K6856" s="760"/>
    </row>
    <row r="6857" spans="1:11">
      <c r="A6857" s="760"/>
      <c r="B6857" s="760"/>
      <c r="C6857" s="760"/>
      <c r="D6857" s="760"/>
      <c r="E6857" s="760"/>
      <c r="F6857" s="760"/>
      <c r="G6857" s="760"/>
      <c r="H6857" s="760"/>
      <c r="I6857" s="760"/>
      <c r="J6857" s="760"/>
      <c r="K6857" s="760"/>
    </row>
    <row r="6858" spans="1:11">
      <c r="A6858" s="760"/>
      <c r="B6858" s="760"/>
      <c r="C6858" s="760"/>
      <c r="D6858" s="760"/>
      <c r="E6858" s="760"/>
      <c r="F6858" s="760"/>
      <c r="G6858" s="760"/>
      <c r="H6858" s="760"/>
      <c r="I6858" s="760"/>
      <c r="J6858" s="760"/>
      <c r="K6858" s="760"/>
    </row>
    <row r="6859" spans="1:11">
      <c r="A6859" s="760"/>
      <c r="B6859" s="760"/>
      <c r="C6859" s="760"/>
      <c r="D6859" s="760"/>
      <c r="E6859" s="760"/>
      <c r="F6859" s="760"/>
      <c r="G6859" s="760"/>
      <c r="H6859" s="760"/>
      <c r="I6859" s="760"/>
      <c r="J6859" s="760"/>
      <c r="K6859" s="760"/>
    </row>
    <row r="6860" spans="1:11">
      <c r="A6860" s="760"/>
      <c r="B6860" s="760"/>
      <c r="C6860" s="760"/>
      <c r="D6860" s="760"/>
      <c r="E6860" s="760"/>
      <c r="F6860" s="760"/>
      <c r="G6860" s="760"/>
      <c r="H6860" s="760"/>
      <c r="I6860" s="760"/>
      <c r="J6860" s="760"/>
      <c r="K6860" s="760"/>
    </row>
    <row r="6861" spans="1:11">
      <c r="A6861" s="760"/>
      <c r="B6861" s="760"/>
      <c r="C6861" s="760"/>
      <c r="D6861" s="760"/>
      <c r="E6861" s="760"/>
      <c r="F6861" s="760"/>
      <c r="G6861" s="760"/>
      <c r="H6861" s="760"/>
      <c r="I6861" s="760"/>
      <c r="J6861" s="760"/>
      <c r="K6861" s="760"/>
    </row>
    <row r="6862" spans="1:11">
      <c r="A6862" s="760"/>
      <c r="B6862" s="760"/>
      <c r="C6862" s="760"/>
      <c r="D6862" s="760"/>
      <c r="E6862" s="760"/>
      <c r="F6862" s="760"/>
      <c r="G6862" s="760"/>
      <c r="H6862" s="760"/>
      <c r="I6862" s="760"/>
      <c r="J6862" s="760"/>
      <c r="K6862" s="760"/>
    </row>
    <row r="6863" spans="1:11">
      <c r="A6863" s="760"/>
      <c r="B6863" s="760"/>
      <c r="C6863" s="760"/>
      <c r="D6863" s="760"/>
      <c r="E6863" s="760"/>
      <c r="F6863" s="760"/>
      <c r="G6863" s="760"/>
      <c r="H6863" s="760"/>
      <c r="I6863" s="760"/>
      <c r="J6863" s="760"/>
      <c r="K6863" s="760"/>
    </row>
    <row r="6864" spans="1:11">
      <c r="A6864" s="760"/>
      <c r="B6864" s="760"/>
      <c r="C6864" s="760"/>
      <c r="D6864" s="760"/>
      <c r="E6864" s="760"/>
      <c r="F6864" s="760"/>
      <c r="G6864" s="760"/>
      <c r="H6864" s="760"/>
      <c r="I6864" s="760"/>
      <c r="J6864" s="760"/>
      <c r="K6864" s="760"/>
    </row>
    <row r="6865" spans="1:11">
      <c r="A6865" s="760"/>
      <c r="B6865" s="760"/>
      <c r="C6865" s="760"/>
      <c r="D6865" s="760"/>
      <c r="E6865" s="760"/>
      <c r="F6865" s="760"/>
      <c r="G6865" s="760"/>
      <c r="H6865" s="760"/>
      <c r="I6865" s="760"/>
      <c r="J6865" s="760"/>
      <c r="K6865" s="760"/>
    </row>
    <row r="6866" spans="1:11">
      <c r="A6866" s="760"/>
      <c r="B6866" s="760"/>
      <c r="C6866" s="760"/>
      <c r="D6866" s="760"/>
      <c r="E6866" s="760"/>
      <c r="F6866" s="760"/>
      <c r="G6866" s="760"/>
      <c r="H6866" s="760"/>
      <c r="I6866" s="760"/>
      <c r="J6866" s="760"/>
      <c r="K6866" s="760"/>
    </row>
    <row r="6867" spans="1:11">
      <c r="A6867" s="760"/>
      <c r="B6867" s="760"/>
      <c r="C6867" s="760"/>
      <c r="D6867" s="760"/>
      <c r="E6867" s="760"/>
      <c r="F6867" s="760"/>
      <c r="G6867" s="760"/>
      <c r="H6867" s="760"/>
      <c r="I6867" s="760"/>
      <c r="J6867" s="760"/>
      <c r="K6867" s="760"/>
    </row>
    <row r="6868" spans="1:11">
      <c r="A6868" s="760"/>
      <c r="B6868" s="760"/>
      <c r="C6868" s="760"/>
      <c r="D6868" s="760"/>
      <c r="E6868" s="760"/>
      <c r="F6868" s="760"/>
      <c r="G6868" s="760"/>
      <c r="H6868" s="760"/>
      <c r="I6868" s="760"/>
      <c r="J6868" s="760"/>
      <c r="K6868" s="760"/>
    </row>
    <row r="6869" spans="1:11">
      <c r="A6869" s="760"/>
      <c r="B6869" s="760"/>
      <c r="C6869" s="760"/>
      <c r="D6869" s="760"/>
      <c r="E6869" s="760"/>
      <c r="F6869" s="760"/>
      <c r="G6869" s="760"/>
      <c r="H6869" s="760"/>
      <c r="I6869" s="760"/>
      <c r="J6869" s="760"/>
      <c r="K6869" s="760"/>
    </row>
    <row r="6870" spans="1:11">
      <c r="A6870" s="760"/>
      <c r="B6870" s="760"/>
      <c r="C6870" s="760"/>
      <c r="D6870" s="760"/>
      <c r="E6870" s="760"/>
      <c r="F6870" s="760"/>
      <c r="G6870" s="760"/>
      <c r="H6870" s="760"/>
      <c r="I6870" s="760"/>
      <c r="J6870" s="760"/>
      <c r="K6870" s="760"/>
    </row>
    <row r="6871" spans="1:11">
      <c r="A6871" s="760"/>
      <c r="B6871" s="760"/>
      <c r="C6871" s="760"/>
      <c r="D6871" s="760"/>
      <c r="E6871" s="760"/>
      <c r="F6871" s="760"/>
      <c r="G6871" s="760"/>
      <c r="H6871" s="760"/>
      <c r="I6871" s="760"/>
      <c r="J6871" s="760"/>
      <c r="K6871" s="760"/>
    </row>
    <row r="6872" spans="1:11">
      <c r="A6872" s="760"/>
      <c r="B6872" s="760"/>
      <c r="C6872" s="760"/>
      <c r="D6872" s="760"/>
      <c r="E6872" s="760"/>
      <c r="F6872" s="760"/>
      <c r="G6872" s="760"/>
      <c r="H6872" s="760"/>
      <c r="I6872" s="760"/>
      <c r="J6872" s="760"/>
      <c r="K6872" s="760"/>
    </row>
    <row r="6873" spans="1:11">
      <c r="A6873" s="760"/>
      <c r="B6873" s="760"/>
      <c r="C6873" s="760"/>
      <c r="D6873" s="760"/>
      <c r="E6873" s="760"/>
      <c r="F6873" s="760"/>
      <c r="G6873" s="760"/>
      <c r="H6873" s="760"/>
      <c r="I6873" s="760"/>
      <c r="J6873" s="760"/>
      <c r="K6873" s="760"/>
    </row>
    <row r="6874" spans="1:11">
      <c r="A6874" s="760"/>
      <c r="B6874" s="760"/>
      <c r="C6874" s="760"/>
      <c r="D6874" s="760"/>
      <c r="E6874" s="760"/>
      <c r="F6874" s="760"/>
      <c r="G6874" s="760"/>
      <c r="H6874" s="760"/>
      <c r="I6874" s="760"/>
      <c r="J6874" s="760"/>
      <c r="K6874" s="760"/>
    </row>
    <row r="6875" spans="1:11">
      <c r="A6875" s="760"/>
      <c r="B6875" s="760"/>
      <c r="C6875" s="760"/>
      <c r="D6875" s="760"/>
      <c r="E6875" s="760"/>
      <c r="F6875" s="760"/>
      <c r="G6875" s="760"/>
      <c r="H6875" s="760"/>
      <c r="I6875" s="760"/>
      <c r="J6875" s="760"/>
      <c r="K6875" s="760"/>
    </row>
    <row r="6876" spans="1:11">
      <c r="A6876" s="760"/>
      <c r="B6876" s="760"/>
      <c r="C6876" s="760"/>
      <c r="D6876" s="760"/>
      <c r="E6876" s="760"/>
      <c r="F6876" s="760"/>
      <c r="G6876" s="760"/>
      <c r="H6876" s="760"/>
      <c r="I6876" s="760"/>
      <c r="J6876" s="760"/>
      <c r="K6876" s="760"/>
    </row>
    <row r="6877" spans="1:11">
      <c r="A6877" s="760"/>
      <c r="B6877" s="760"/>
      <c r="C6877" s="760"/>
      <c r="D6877" s="760"/>
      <c r="E6877" s="760"/>
      <c r="F6877" s="760"/>
      <c r="G6877" s="760"/>
      <c r="H6877" s="760"/>
      <c r="I6877" s="760"/>
      <c r="J6877" s="760"/>
      <c r="K6877" s="760"/>
    </row>
    <row r="6878" spans="1:11">
      <c r="A6878" s="760"/>
      <c r="B6878" s="760"/>
      <c r="C6878" s="760"/>
      <c r="D6878" s="760"/>
      <c r="E6878" s="760"/>
      <c r="F6878" s="760"/>
      <c r="G6878" s="760"/>
      <c r="H6878" s="760"/>
      <c r="I6878" s="760"/>
      <c r="J6878" s="760"/>
      <c r="K6878" s="760"/>
    </row>
    <row r="6879" spans="1:11">
      <c r="A6879" s="760"/>
      <c r="B6879" s="760"/>
      <c r="C6879" s="760"/>
      <c r="D6879" s="760"/>
      <c r="E6879" s="760"/>
      <c r="F6879" s="760"/>
      <c r="G6879" s="760"/>
      <c r="H6879" s="760"/>
      <c r="I6879" s="760"/>
      <c r="J6879" s="760"/>
      <c r="K6879" s="760"/>
    </row>
    <row r="6880" spans="1:11">
      <c r="A6880" s="760"/>
      <c r="B6880" s="760"/>
      <c r="C6880" s="760"/>
      <c r="D6880" s="760"/>
      <c r="E6880" s="760"/>
      <c r="F6880" s="760"/>
      <c r="G6880" s="760"/>
      <c r="H6880" s="760"/>
      <c r="I6880" s="760"/>
      <c r="J6880" s="760"/>
      <c r="K6880" s="760"/>
    </row>
    <row r="6881" spans="1:11">
      <c r="A6881" s="760"/>
      <c r="B6881" s="760"/>
      <c r="C6881" s="760"/>
      <c r="D6881" s="760"/>
      <c r="E6881" s="760"/>
      <c r="F6881" s="760"/>
      <c r="G6881" s="760"/>
      <c r="H6881" s="760"/>
      <c r="I6881" s="760"/>
      <c r="J6881" s="760"/>
      <c r="K6881" s="760"/>
    </row>
    <row r="6882" spans="1:11">
      <c r="A6882" s="760"/>
      <c r="B6882" s="760"/>
      <c r="C6882" s="760"/>
      <c r="D6882" s="760"/>
      <c r="E6882" s="760"/>
      <c r="F6882" s="760"/>
      <c r="G6882" s="760"/>
      <c r="H6882" s="760"/>
      <c r="I6882" s="760"/>
      <c r="J6882" s="760"/>
      <c r="K6882" s="760"/>
    </row>
    <row r="6883" spans="1:11">
      <c r="A6883" s="760"/>
      <c r="B6883" s="760"/>
      <c r="C6883" s="760"/>
      <c r="D6883" s="760"/>
      <c r="E6883" s="760"/>
      <c r="F6883" s="760"/>
      <c r="G6883" s="760"/>
      <c r="H6883" s="760"/>
      <c r="I6883" s="760"/>
      <c r="J6883" s="760"/>
      <c r="K6883" s="760"/>
    </row>
    <row r="6884" spans="1:11">
      <c r="A6884" s="760"/>
      <c r="B6884" s="760"/>
      <c r="C6884" s="760"/>
      <c r="D6884" s="760"/>
      <c r="E6884" s="760"/>
      <c r="F6884" s="760"/>
      <c r="G6884" s="760"/>
      <c r="H6884" s="760"/>
      <c r="I6884" s="760"/>
      <c r="J6884" s="760"/>
      <c r="K6884" s="760"/>
    </row>
    <row r="6885" spans="1:11">
      <c r="A6885" s="760"/>
      <c r="B6885" s="760"/>
      <c r="C6885" s="760"/>
      <c r="D6885" s="760"/>
      <c r="E6885" s="760"/>
      <c r="F6885" s="760"/>
      <c r="G6885" s="760"/>
      <c r="H6885" s="760"/>
      <c r="I6885" s="760"/>
      <c r="J6885" s="760"/>
      <c r="K6885" s="760"/>
    </row>
    <row r="6886" spans="1:11">
      <c r="A6886" s="760"/>
      <c r="B6886" s="760"/>
      <c r="C6886" s="760"/>
      <c r="D6886" s="760"/>
      <c r="E6886" s="760"/>
      <c r="F6886" s="760"/>
      <c r="G6886" s="760"/>
      <c r="H6886" s="760"/>
      <c r="I6886" s="760"/>
      <c r="J6886" s="760"/>
      <c r="K6886" s="760"/>
    </row>
    <row r="6887" spans="1:11">
      <c r="A6887" s="760"/>
      <c r="B6887" s="760"/>
      <c r="C6887" s="760"/>
      <c r="D6887" s="760"/>
      <c r="E6887" s="760"/>
      <c r="F6887" s="760"/>
      <c r="G6887" s="760"/>
      <c r="H6887" s="760"/>
      <c r="I6887" s="760"/>
      <c r="J6887" s="760"/>
      <c r="K6887" s="760"/>
    </row>
    <row r="6888" spans="1:11">
      <c r="A6888" s="760"/>
      <c r="B6888" s="760"/>
      <c r="C6888" s="760"/>
      <c r="D6888" s="760"/>
      <c r="E6888" s="760"/>
      <c r="F6888" s="760"/>
      <c r="G6888" s="760"/>
      <c r="H6888" s="760"/>
      <c r="I6888" s="760"/>
      <c r="J6888" s="760"/>
      <c r="K6888" s="760"/>
    </row>
    <row r="6889" spans="1:11">
      <c r="A6889" s="760"/>
      <c r="B6889" s="760"/>
      <c r="C6889" s="760"/>
      <c r="D6889" s="760"/>
      <c r="E6889" s="760"/>
      <c r="F6889" s="760"/>
      <c r="G6889" s="760"/>
      <c r="H6889" s="760"/>
      <c r="I6889" s="760"/>
      <c r="J6889" s="760"/>
      <c r="K6889" s="760"/>
    </row>
    <row r="6890" spans="1:11">
      <c r="A6890" s="760"/>
      <c r="B6890" s="760"/>
      <c r="C6890" s="760"/>
      <c r="D6890" s="760"/>
      <c r="E6890" s="760"/>
      <c r="F6890" s="760"/>
      <c r="G6890" s="760"/>
      <c r="H6890" s="760"/>
      <c r="I6890" s="760"/>
      <c r="J6890" s="760"/>
      <c r="K6890" s="760"/>
    </row>
    <row r="6891" spans="1:11">
      <c r="A6891" s="760"/>
      <c r="B6891" s="760"/>
      <c r="C6891" s="760"/>
      <c r="D6891" s="760"/>
      <c r="E6891" s="760"/>
      <c r="F6891" s="760"/>
      <c r="G6891" s="760"/>
      <c r="H6891" s="760"/>
      <c r="I6891" s="760"/>
      <c r="J6891" s="760"/>
      <c r="K6891" s="760"/>
    </row>
    <row r="6892" spans="1:11">
      <c r="A6892" s="760"/>
      <c r="B6892" s="760"/>
      <c r="C6892" s="760"/>
      <c r="D6892" s="760"/>
      <c r="E6892" s="760"/>
      <c r="F6892" s="760"/>
      <c r="G6892" s="760"/>
      <c r="H6892" s="760"/>
      <c r="I6892" s="760"/>
      <c r="J6892" s="760"/>
      <c r="K6892" s="760"/>
    </row>
    <row r="6893" spans="1:11">
      <c r="A6893" s="760"/>
      <c r="B6893" s="760"/>
      <c r="C6893" s="760"/>
      <c r="D6893" s="760"/>
      <c r="E6893" s="760"/>
      <c r="F6893" s="760"/>
      <c r="G6893" s="760"/>
      <c r="H6893" s="760"/>
      <c r="I6893" s="760"/>
      <c r="J6893" s="760"/>
      <c r="K6893" s="760"/>
    </row>
    <row r="6894" spans="1:11">
      <c r="A6894" s="760"/>
      <c r="B6894" s="760"/>
      <c r="C6894" s="760"/>
      <c r="D6894" s="760"/>
      <c r="E6894" s="760"/>
      <c r="F6894" s="760"/>
      <c r="G6894" s="760"/>
      <c r="H6894" s="760"/>
      <c r="I6894" s="760"/>
      <c r="J6894" s="760"/>
      <c r="K6894" s="760"/>
    </row>
    <row r="6895" spans="1:11">
      <c r="A6895" s="760"/>
      <c r="B6895" s="760"/>
      <c r="C6895" s="760"/>
      <c r="D6895" s="760"/>
      <c r="E6895" s="760"/>
      <c r="F6895" s="760"/>
      <c r="G6895" s="760"/>
      <c r="H6895" s="760"/>
      <c r="I6895" s="760"/>
      <c r="J6895" s="760"/>
      <c r="K6895" s="760"/>
    </row>
    <row r="6896" spans="1:11">
      <c r="A6896" s="760"/>
      <c r="B6896" s="760"/>
      <c r="C6896" s="760"/>
      <c r="D6896" s="760"/>
      <c r="E6896" s="760"/>
      <c r="F6896" s="760"/>
      <c r="G6896" s="760"/>
      <c r="H6896" s="760"/>
      <c r="I6896" s="760"/>
      <c r="J6896" s="760"/>
      <c r="K6896" s="760"/>
    </row>
    <row r="6897" spans="1:11">
      <c r="A6897" s="760"/>
      <c r="B6897" s="760"/>
      <c r="C6897" s="760"/>
      <c r="D6897" s="760"/>
      <c r="E6897" s="760"/>
      <c r="F6897" s="760"/>
      <c r="G6897" s="760"/>
      <c r="H6897" s="760"/>
      <c r="I6897" s="760"/>
      <c r="J6897" s="760"/>
      <c r="K6897" s="760"/>
    </row>
    <row r="6898" spans="1:11">
      <c r="A6898" s="760"/>
      <c r="B6898" s="760"/>
      <c r="C6898" s="760"/>
      <c r="D6898" s="760"/>
      <c r="E6898" s="760"/>
      <c r="F6898" s="760"/>
      <c r="G6898" s="760"/>
      <c r="H6898" s="760"/>
      <c r="I6898" s="760"/>
      <c r="J6898" s="760"/>
      <c r="K6898" s="760"/>
    </row>
    <row r="6899" spans="1:11">
      <c r="A6899" s="760"/>
      <c r="B6899" s="760"/>
      <c r="C6899" s="760"/>
      <c r="D6899" s="760"/>
      <c r="E6899" s="760"/>
      <c r="F6899" s="760"/>
      <c r="G6899" s="760"/>
      <c r="H6899" s="760"/>
      <c r="I6899" s="760"/>
      <c r="J6899" s="760"/>
      <c r="K6899" s="760"/>
    </row>
    <row r="6900" spans="1:11">
      <c r="A6900" s="760"/>
      <c r="B6900" s="760"/>
      <c r="C6900" s="760"/>
      <c r="D6900" s="760"/>
      <c r="E6900" s="760"/>
      <c r="F6900" s="760"/>
      <c r="G6900" s="760"/>
      <c r="H6900" s="760"/>
      <c r="I6900" s="760"/>
      <c r="J6900" s="760"/>
      <c r="K6900" s="760"/>
    </row>
    <row r="6901" spans="1:11">
      <c r="A6901" s="760"/>
      <c r="B6901" s="760"/>
      <c r="C6901" s="760"/>
      <c r="D6901" s="760"/>
      <c r="E6901" s="760"/>
      <c r="F6901" s="760"/>
      <c r="G6901" s="760"/>
      <c r="H6901" s="760"/>
      <c r="I6901" s="760"/>
      <c r="J6901" s="760"/>
      <c r="K6901" s="760"/>
    </row>
    <row r="6902" spans="1:11">
      <c r="A6902" s="760"/>
      <c r="B6902" s="760"/>
      <c r="C6902" s="760"/>
      <c r="D6902" s="760"/>
      <c r="E6902" s="760"/>
      <c r="F6902" s="760"/>
      <c r="G6902" s="760"/>
      <c r="H6902" s="760"/>
      <c r="I6902" s="760"/>
      <c r="J6902" s="760"/>
      <c r="K6902" s="760"/>
    </row>
    <row r="6903" spans="1:11">
      <c r="A6903" s="760"/>
      <c r="B6903" s="760"/>
      <c r="C6903" s="760"/>
      <c r="D6903" s="760"/>
      <c r="E6903" s="760"/>
      <c r="F6903" s="760"/>
      <c r="G6903" s="760"/>
      <c r="H6903" s="760"/>
      <c r="I6903" s="760"/>
      <c r="J6903" s="760"/>
      <c r="K6903" s="760"/>
    </row>
    <row r="6904" spans="1:11">
      <c r="A6904" s="760"/>
      <c r="B6904" s="760"/>
      <c r="C6904" s="760"/>
      <c r="D6904" s="760"/>
      <c r="E6904" s="760"/>
      <c r="F6904" s="760"/>
      <c r="G6904" s="760"/>
      <c r="H6904" s="760"/>
      <c r="I6904" s="760"/>
      <c r="J6904" s="760"/>
      <c r="K6904" s="760"/>
    </row>
    <row r="6905" spans="1:11">
      <c r="A6905" s="760"/>
      <c r="B6905" s="760"/>
      <c r="C6905" s="760"/>
      <c r="D6905" s="760"/>
      <c r="E6905" s="760"/>
      <c r="F6905" s="760"/>
      <c r="G6905" s="760"/>
      <c r="H6905" s="760"/>
      <c r="I6905" s="760"/>
      <c r="J6905" s="760"/>
      <c r="K6905" s="760"/>
    </row>
    <row r="6906" spans="1:11">
      <c r="A6906" s="760"/>
      <c r="B6906" s="760"/>
      <c r="C6906" s="760"/>
      <c r="D6906" s="760"/>
      <c r="E6906" s="760"/>
      <c r="F6906" s="760"/>
      <c r="G6906" s="760"/>
      <c r="H6906" s="760"/>
      <c r="I6906" s="760"/>
      <c r="J6906" s="760"/>
      <c r="K6906" s="760"/>
    </row>
    <row r="6907" spans="1:11">
      <c r="A6907" s="760"/>
      <c r="B6907" s="760"/>
      <c r="C6907" s="760"/>
      <c r="D6907" s="760"/>
      <c r="E6907" s="760"/>
      <c r="F6907" s="760"/>
      <c r="G6907" s="760"/>
      <c r="H6907" s="760"/>
      <c r="I6907" s="760"/>
      <c r="J6907" s="760"/>
      <c r="K6907" s="760"/>
    </row>
    <row r="6908" spans="1:11">
      <c r="A6908" s="760"/>
      <c r="B6908" s="760"/>
      <c r="C6908" s="760"/>
      <c r="D6908" s="760"/>
      <c r="E6908" s="760"/>
      <c r="F6908" s="760"/>
      <c r="G6908" s="760"/>
      <c r="H6908" s="760"/>
      <c r="I6908" s="760"/>
      <c r="J6908" s="760"/>
      <c r="K6908" s="760"/>
    </row>
    <row r="6909" spans="1:11">
      <c r="A6909" s="760"/>
      <c r="B6909" s="760"/>
      <c r="C6909" s="760"/>
      <c r="D6909" s="760"/>
      <c r="E6909" s="760"/>
      <c r="F6909" s="760"/>
      <c r="G6909" s="760"/>
      <c r="H6909" s="760"/>
      <c r="I6909" s="760"/>
      <c r="J6909" s="760"/>
      <c r="K6909" s="760"/>
    </row>
    <row r="6910" spans="1:11">
      <c r="A6910" s="760"/>
      <c r="B6910" s="760"/>
      <c r="C6910" s="760"/>
      <c r="D6910" s="760"/>
      <c r="E6910" s="760"/>
      <c r="F6910" s="760"/>
      <c r="G6910" s="760"/>
      <c r="H6910" s="760"/>
      <c r="I6910" s="760"/>
      <c r="J6910" s="760"/>
      <c r="K6910" s="760"/>
    </row>
    <row r="6911" spans="1:11">
      <c r="A6911" s="760"/>
      <c r="B6911" s="760"/>
      <c r="C6911" s="760"/>
      <c r="D6911" s="760"/>
      <c r="E6911" s="760"/>
      <c r="F6911" s="760"/>
      <c r="G6911" s="760"/>
      <c r="H6911" s="760"/>
      <c r="I6911" s="760"/>
      <c r="J6911" s="760"/>
      <c r="K6911" s="760"/>
    </row>
    <row r="6912" spans="1:11">
      <c r="A6912" s="760"/>
      <c r="B6912" s="760"/>
      <c r="C6912" s="760"/>
      <c r="D6912" s="760"/>
      <c r="E6912" s="760"/>
      <c r="F6912" s="760"/>
      <c r="G6912" s="760"/>
      <c r="H6912" s="760"/>
      <c r="I6912" s="760"/>
      <c r="J6912" s="760"/>
      <c r="K6912" s="760"/>
    </row>
    <row r="6913" spans="1:11">
      <c r="A6913" s="760"/>
      <c r="B6913" s="760"/>
      <c r="C6913" s="760"/>
      <c r="D6913" s="760"/>
      <c r="E6913" s="760"/>
      <c r="F6913" s="760"/>
      <c r="G6913" s="760"/>
      <c r="H6913" s="760"/>
      <c r="I6913" s="760"/>
      <c r="J6913" s="760"/>
      <c r="K6913" s="760"/>
    </row>
    <row r="6914" spans="1:11">
      <c r="A6914" s="760"/>
      <c r="B6914" s="760"/>
      <c r="C6914" s="760"/>
      <c r="D6914" s="760"/>
      <c r="E6914" s="760"/>
      <c r="F6914" s="760"/>
      <c r="G6914" s="760"/>
      <c r="H6914" s="760"/>
      <c r="I6914" s="760"/>
      <c r="J6914" s="760"/>
      <c r="K6914" s="760"/>
    </row>
    <row r="6915" spans="1:11">
      <c r="A6915" s="760"/>
      <c r="B6915" s="760"/>
      <c r="C6915" s="760"/>
      <c r="D6915" s="760"/>
      <c r="E6915" s="760"/>
      <c r="F6915" s="760"/>
      <c r="G6915" s="760"/>
      <c r="H6915" s="760"/>
      <c r="I6915" s="760"/>
      <c r="J6915" s="760"/>
      <c r="K6915" s="760"/>
    </row>
    <row r="6916" spans="1:11">
      <c r="A6916" s="760"/>
      <c r="B6916" s="760"/>
      <c r="C6916" s="760"/>
      <c r="D6916" s="760"/>
      <c r="E6916" s="760"/>
      <c r="F6916" s="760"/>
      <c r="G6916" s="760"/>
      <c r="H6916" s="760"/>
      <c r="I6916" s="760"/>
      <c r="J6916" s="760"/>
      <c r="K6916" s="760"/>
    </row>
    <row r="6917" spans="1:11">
      <c r="A6917" s="760"/>
      <c r="B6917" s="760"/>
      <c r="C6917" s="760"/>
      <c r="D6917" s="760"/>
      <c r="E6917" s="760"/>
      <c r="F6917" s="760"/>
      <c r="G6917" s="760"/>
      <c r="H6917" s="760"/>
      <c r="I6917" s="760"/>
      <c r="J6917" s="760"/>
      <c r="K6917" s="760"/>
    </row>
    <row r="6918" spans="1:11">
      <c r="A6918" s="760"/>
      <c r="B6918" s="760"/>
      <c r="C6918" s="760"/>
      <c r="D6918" s="760"/>
      <c r="E6918" s="760"/>
      <c r="F6918" s="760"/>
      <c r="G6918" s="760"/>
      <c r="H6918" s="760"/>
      <c r="I6918" s="760"/>
      <c r="J6918" s="760"/>
      <c r="K6918" s="760"/>
    </row>
    <row r="6919" spans="1:11">
      <c r="A6919" s="760"/>
      <c r="B6919" s="760"/>
      <c r="C6919" s="760"/>
      <c r="D6919" s="760"/>
      <c r="E6919" s="760"/>
      <c r="F6919" s="760"/>
      <c r="G6919" s="760"/>
      <c r="H6919" s="760"/>
      <c r="I6919" s="760"/>
      <c r="J6919" s="760"/>
      <c r="K6919" s="760"/>
    </row>
    <row r="6920" spans="1:11">
      <c r="A6920" s="760"/>
      <c r="B6920" s="760"/>
      <c r="C6920" s="760"/>
      <c r="D6920" s="760"/>
      <c r="E6920" s="760"/>
      <c r="F6920" s="760"/>
      <c r="G6920" s="760"/>
      <c r="H6920" s="760"/>
      <c r="I6920" s="760"/>
      <c r="J6920" s="760"/>
      <c r="K6920" s="760"/>
    </row>
    <row r="6921" spans="1:11">
      <c r="A6921" s="760"/>
      <c r="B6921" s="760"/>
      <c r="C6921" s="760"/>
      <c r="D6921" s="760"/>
      <c r="E6921" s="760"/>
      <c r="F6921" s="760"/>
      <c r="G6921" s="760"/>
      <c r="H6921" s="760"/>
      <c r="I6921" s="760"/>
      <c r="J6921" s="760"/>
      <c r="K6921" s="760"/>
    </row>
    <row r="6922" spans="1:11">
      <c r="A6922" s="760"/>
      <c r="B6922" s="760"/>
      <c r="C6922" s="760"/>
      <c r="D6922" s="760"/>
      <c r="E6922" s="760"/>
      <c r="F6922" s="760"/>
      <c r="G6922" s="760"/>
      <c r="H6922" s="760"/>
      <c r="I6922" s="760"/>
      <c r="J6922" s="760"/>
      <c r="K6922" s="760"/>
    </row>
    <row r="6923" spans="1:11">
      <c r="A6923" s="760"/>
      <c r="B6923" s="760"/>
      <c r="C6923" s="760"/>
      <c r="D6923" s="760"/>
      <c r="E6923" s="760"/>
      <c r="F6923" s="760"/>
      <c r="G6923" s="760"/>
      <c r="H6923" s="760"/>
      <c r="I6923" s="760"/>
      <c r="J6923" s="760"/>
      <c r="K6923" s="760"/>
    </row>
    <row r="6924" spans="1:11">
      <c r="A6924" s="760"/>
      <c r="B6924" s="760"/>
      <c r="C6924" s="760"/>
      <c r="D6924" s="760"/>
      <c r="E6924" s="760"/>
      <c r="F6924" s="760"/>
      <c r="G6924" s="760"/>
      <c r="H6924" s="760"/>
      <c r="I6924" s="760"/>
      <c r="J6924" s="760"/>
      <c r="K6924" s="760"/>
    </row>
    <row r="6925" spans="1:11">
      <c r="A6925" s="760"/>
      <c r="B6925" s="760"/>
      <c r="C6925" s="760"/>
      <c r="D6925" s="760"/>
      <c r="E6925" s="760"/>
      <c r="F6925" s="760"/>
      <c r="G6925" s="760"/>
      <c r="H6925" s="760"/>
      <c r="I6925" s="760"/>
      <c r="J6925" s="760"/>
      <c r="K6925" s="760"/>
    </row>
    <row r="6926" spans="1:11">
      <c r="A6926" s="760"/>
      <c r="B6926" s="760"/>
      <c r="C6926" s="760"/>
      <c r="D6926" s="760"/>
      <c r="E6926" s="760"/>
      <c r="F6926" s="760"/>
      <c r="G6926" s="760"/>
      <c r="H6926" s="760"/>
      <c r="I6926" s="760"/>
      <c r="J6926" s="760"/>
      <c r="K6926" s="760"/>
    </row>
    <row r="6927" spans="1:11">
      <c r="A6927" s="760"/>
      <c r="B6927" s="760"/>
      <c r="C6927" s="760"/>
      <c r="D6927" s="760"/>
      <c r="E6927" s="760"/>
      <c r="F6927" s="760"/>
      <c r="G6927" s="760"/>
      <c r="H6927" s="760"/>
      <c r="I6927" s="760"/>
      <c r="J6927" s="760"/>
      <c r="K6927" s="760"/>
    </row>
    <row r="6928" spans="1:11">
      <c r="A6928" s="760"/>
      <c r="B6928" s="760"/>
      <c r="C6928" s="760"/>
      <c r="D6928" s="760"/>
      <c r="E6928" s="760"/>
      <c r="F6928" s="760"/>
      <c r="G6928" s="760"/>
      <c r="H6928" s="760"/>
      <c r="I6928" s="760"/>
      <c r="J6928" s="760"/>
      <c r="K6928" s="760"/>
    </row>
    <row r="6929" spans="1:11">
      <c r="A6929" s="760"/>
      <c r="B6929" s="760"/>
      <c r="C6929" s="760"/>
      <c r="D6929" s="760"/>
      <c r="E6929" s="760"/>
      <c r="F6929" s="760"/>
      <c r="G6929" s="760"/>
      <c r="H6929" s="760"/>
      <c r="I6929" s="760"/>
      <c r="J6929" s="760"/>
      <c r="K6929" s="760"/>
    </row>
    <row r="6930" spans="1:11">
      <c r="A6930" s="760"/>
      <c r="B6930" s="760"/>
      <c r="C6930" s="760"/>
      <c r="D6930" s="760"/>
      <c r="E6930" s="760"/>
      <c r="F6930" s="760"/>
      <c r="G6930" s="760"/>
      <c r="H6930" s="760"/>
      <c r="I6930" s="760"/>
      <c r="J6930" s="760"/>
      <c r="K6930" s="760"/>
    </row>
    <row r="6931" spans="1:11">
      <c r="A6931" s="760"/>
      <c r="B6931" s="760"/>
      <c r="C6931" s="760"/>
      <c r="D6931" s="760"/>
      <c r="E6931" s="760"/>
      <c r="F6931" s="760"/>
      <c r="G6931" s="760"/>
      <c r="H6931" s="760"/>
      <c r="I6931" s="760"/>
      <c r="J6931" s="760"/>
      <c r="K6931" s="760"/>
    </row>
    <row r="6932" spans="1:11">
      <c r="A6932" s="760"/>
      <c r="B6932" s="760"/>
      <c r="C6932" s="760"/>
      <c r="D6932" s="760"/>
      <c r="E6932" s="760"/>
      <c r="F6932" s="760"/>
      <c r="G6932" s="760"/>
      <c r="H6932" s="760"/>
      <c r="I6932" s="760"/>
      <c r="J6932" s="760"/>
      <c r="K6932" s="760"/>
    </row>
    <row r="6933" spans="1:11">
      <c r="A6933" s="760"/>
      <c r="B6933" s="760"/>
      <c r="C6933" s="760"/>
      <c r="D6933" s="760"/>
      <c r="E6933" s="760"/>
      <c r="F6933" s="760"/>
      <c r="G6933" s="760"/>
      <c r="H6933" s="760"/>
      <c r="I6933" s="760"/>
      <c r="J6933" s="760"/>
      <c r="K6933" s="760"/>
    </row>
    <row r="6934" spans="1:11">
      <c r="A6934" s="760"/>
      <c r="B6934" s="760"/>
      <c r="C6934" s="760"/>
      <c r="D6934" s="760"/>
      <c r="E6934" s="760"/>
      <c r="F6934" s="760"/>
      <c r="G6934" s="760"/>
      <c r="H6934" s="760"/>
      <c r="I6934" s="760"/>
      <c r="J6934" s="760"/>
      <c r="K6934" s="760"/>
    </row>
    <row r="6935" spans="1:11">
      <c r="A6935" s="760"/>
      <c r="B6935" s="760"/>
      <c r="C6935" s="760"/>
      <c r="D6935" s="760"/>
      <c r="E6935" s="760"/>
      <c r="F6935" s="760"/>
      <c r="G6935" s="760"/>
      <c r="H6935" s="760"/>
      <c r="I6935" s="760"/>
      <c r="J6935" s="760"/>
      <c r="K6935" s="760"/>
    </row>
    <row r="6936" spans="1:11">
      <c r="A6936" s="760"/>
      <c r="B6936" s="760"/>
      <c r="C6936" s="760"/>
      <c r="D6936" s="760"/>
      <c r="E6936" s="760"/>
      <c r="F6936" s="760"/>
      <c r="G6936" s="760"/>
      <c r="H6936" s="760"/>
      <c r="I6936" s="760"/>
      <c r="J6936" s="760"/>
      <c r="K6936" s="760"/>
    </row>
    <row r="6937" spans="1:11">
      <c r="A6937" s="760"/>
      <c r="B6937" s="760"/>
      <c r="C6937" s="760"/>
      <c r="D6937" s="760"/>
      <c r="E6937" s="760"/>
      <c r="F6937" s="760"/>
      <c r="G6937" s="760"/>
      <c r="H6937" s="760"/>
      <c r="I6937" s="760"/>
      <c r="J6937" s="760"/>
      <c r="K6937" s="760"/>
    </row>
    <row r="6938" spans="1:11">
      <c r="A6938" s="760"/>
      <c r="B6938" s="760"/>
      <c r="C6938" s="760"/>
      <c r="D6938" s="760"/>
      <c r="E6938" s="760"/>
      <c r="F6938" s="760"/>
      <c r="G6938" s="760"/>
      <c r="H6938" s="760"/>
      <c r="I6938" s="760"/>
      <c r="J6938" s="760"/>
      <c r="K6938" s="760"/>
    </row>
    <row r="6939" spans="1:11">
      <c r="A6939" s="760"/>
      <c r="B6939" s="760"/>
      <c r="C6939" s="760"/>
      <c r="D6939" s="760"/>
      <c r="E6939" s="760"/>
      <c r="F6939" s="760"/>
      <c r="G6939" s="760"/>
      <c r="H6939" s="760"/>
      <c r="I6939" s="760"/>
      <c r="J6939" s="760"/>
      <c r="K6939" s="760"/>
    </row>
    <row r="6940" spans="1:11">
      <c r="A6940" s="760"/>
      <c r="B6940" s="760"/>
      <c r="C6940" s="760"/>
      <c r="D6940" s="760"/>
      <c r="E6940" s="760"/>
      <c r="F6940" s="760"/>
      <c r="G6940" s="760"/>
      <c r="H6940" s="760"/>
      <c r="I6940" s="760"/>
      <c r="J6940" s="760"/>
      <c r="K6940" s="760"/>
    </row>
    <row r="6941" spans="1:11">
      <c r="A6941" s="760"/>
      <c r="B6941" s="760"/>
      <c r="C6941" s="760"/>
      <c r="D6941" s="760"/>
      <c r="E6941" s="760"/>
      <c r="F6941" s="760"/>
      <c r="G6941" s="760"/>
      <c r="H6941" s="760"/>
      <c r="I6941" s="760"/>
      <c r="J6941" s="760"/>
      <c r="K6941" s="760"/>
    </row>
    <row r="6942" spans="1:11">
      <c r="A6942" s="760"/>
      <c r="B6942" s="760"/>
      <c r="C6942" s="760"/>
      <c r="D6942" s="760"/>
      <c r="E6942" s="760"/>
      <c r="F6942" s="760"/>
      <c r="G6942" s="760"/>
      <c r="H6942" s="760"/>
      <c r="I6942" s="760"/>
      <c r="J6942" s="760"/>
      <c r="K6942" s="760"/>
    </row>
    <row r="6943" spans="1:11">
      <c r="A6943" s="760"/>
      <c r="B6943" s="760"/>
      <c r="C6943" s="760"/>
      <c r="D6943" s="760"/>
      <c r="E6943" s="760"/>
      <c r="F6943" s="760"/>
      <c r="G6943" s="760"/>
      <c r="H6943" s="760"/>
      <c r="I6943" s="760"/>
      <c r="J6943" s="760"/>
      <c r="K6943" s="760"/>
    </row>
    <row r="6944" spans="1:11">
      <c r="A6944" s="760"/>
      <c r="B6944" s="760"/>
      <c r="C6944" s="760"/>
      <c r="D6944" s="760"/>
      <c r="E6944" s="760"/>
      <c r="F6944" s="760"/>
      <c r="G6944" s="760"/>
      <c r="H6944" s="760"/>
      <c r="I6944" s="760"/>
      <c r="J6944" s="760"/>
      <c r="K6944" s="760"/>
    </row>
    <row r="6945" spans="1:11">
      <c r="A6945" s="760"/>
      <c r="B6945" s="760"/>
      <c r="C6945" s="760"/>
      <c r="D6945" s="760"/>
      <c r="E6945" s="760"/>
      <c r="F6945" s="760"/>
      <c r="G6945" s="760"/>
      <c r="H6945" s="760"/>
      <c r="I6945" s="760"/>
      <c r="J6945" s="760"/>
      <c r="K6945" s="760"/>
    </row>
    <row r="6946" spans="1:11">
      <c r="A6946" s="760"/>
      <c r="B6946" s="760"/>
      <c r="C6946" s="760"/>
      <c r="D6946" s="760"/>
      <c r="E6946" s="760"/>
      <c r="F6946" s="760"/>
      <c r="G6946" s="760"/>
      <c r="H6946" s="760"/>
      <c r="I6946" s="760"/>
      <c r="J6946" s="760"/>
      <c r="K6946" s="760"/>
    </row>
    <row r="6947" spans="1:11">
      <c r="A6947" s="760"/>
      <c r="B6947" s="760"/>
      <c r="C6947" s="760"/>
      <c r="D6947" s="760"/>
      <c r="E6947" s="760"/>
      <c r="F6947" s="760"/>
      <c r="G6947" s="760"/>
      <c r="H6947" s="760"/>
      <c r="I6947" s="760"/>
      <c r="J6947" s="760"/>
      <c r="K6947" s="760"/>
    </row>
    <row r="6948" spans="1:11">
      <c r="A6948" s="760"/>
      <c r="B6948" s="760"/>
      <c r="C6948" s="760"/>
      <c r="D6948" s="760"/>
      <c r="E6948" s="760"/>
      <c r="F6948" s="760"/>
      <c r="G6948" s="760"/>
      <c r="H6948" s="760"/>
      <c r="I6948" s="760"/>
      <c r="J6948" s="760"/>
      <c r="K6948" s="760"/>
    </row>
    <row r="6949" spans="1:11">
      <c r="A6949" s="760"/>
      <c r="B6949" s="760"/>
      <c r="C6949" s="760"/>
      <c r="D6949" s="760"/>
      <c r="E6949" s="760"/>
      <c r="F6949" s="760"/>
      <c r="G6949" s="760"/>
      <c r="H6949" s="760"/>
      <c r="I6949" s="760"/>
      <c r="J6949" s="760"/>
      <c r="K6949" s="760"/>
    </row>
    <row r="6950" spans="1:11">
      <c r="A6950" s="760"/>
      <c r="B6950" s="760"/>
      <c r="C6950" s="760"/>
      <c r="D6950" s="760"/>
      <c r="E6950" s="760"/>
      <c r="F6950" s="760"/>
      <c r="G6950" s="760"/>
      <c r="H6950" s="760"/>
      <c r="I6950" s="760"/>
      <c r="J6950" s="760"/>
      <c r="K6950" s="760"/>
    </row>
    <row r="6951" spans="1:11">
      <c r="A6951" s="760"/>
      <c r="B6951" s="760"/>
      <c r="C6951" s="760"/>
      <c r="D6951" s="760"/>
      <c r="E6951" s="760"/>
      <c r="F6951" s="760"/>
      <c r="G6951" s="760"/>
      <c r="H6951" s="760"/>
      <c r="I6951" s="760"/>
      <c r="J6951" s="760"/>
      <c r="K6951" s="760"/>
    </row>
    <row r="6952" spans="1:11">
      <c r="A6952" s="760"/>
      <c r="B6952" s="760"/>
      <c r="C6952" s="760"/>
      <c r="D6952" s="760"/>
      <c r="E6952" s="760"/>
      <c r="F6952" s="760"/>
      <c r="G6952" s="760"/>
      <c r="H6952" s="760"/>
      <c r="I6952" s="760"/>
      <c r="J6952" s="760"/>
      <c r="K6952" s="760"/>
    </row>
    <row r="6953" spans="1:11">
      <c r="A6953" s="760"/>
      <c r="B6953" s="760"/>
      <c r="C6953" s="760"/>
      <c r="D6953" s="760"/>
      <c r="E6953" s="760"/>
      <c r="F6953" s="760"/>
      <c r="G6953" s="760"/>
      <c r="H6953" s="760"/>
      <c r="I6953" s="760"/>
      <c r="J6953" s="760"/>
      <c r="K6953" s="760"/>
    </row>
    <row r="6954" spans="1:11">
      <c r="A6954" s="760"/>
      <c r="B6954" s="760"/>
      <c r="C6954" s="760"/>
      <c r="D6954" s="760"/>
      <c r="E6954" s="760"/>
      <c r="F6954" s="760"/>
      <c r="G6954" s="760"/>
      <c r="H6954" s="760"/>
      <c r="I6954" s="760"/>
      <c r="J6954" s="760"/>
      <c r="K6954" s="760"/>
    </row>
    <row r="6955" spans="1:11">
      <c r="A6955" s="760"/>
      <c r="B6955" s="760"/>
      <c r="C6955" s="760"/>
      <c r="D6955" s="760"/>
      <c r="E6955" s="760"/>
      <c r="F6955" s="760"/>
      <c r="G6955" s="760"/>
      <c r="H6955" s="760"/>
      <c r="I6955" s="760"/>
      <c r="J6955" s="760"/>
      <c r="K6955" s="760"/>
    </row>
    <row r="6956" spans="1:11">
      <c r="A6956" s="760"/>
      <c r="B6956" s="760"/>
      <c r="C6956" s="760"/>
      <c r="D6956" s="760"/>
      <c r="E6956" s="760"/>
      <c r="F6956" s="760"/>
      <c r="G6956" s="760"/>
      <c r="H6956" s="760"/>
      <c r="I6956" s="760"/>
      <c r="J6956" s="760"/>
      <c r="K6956" s="760"/>
    </row>
    <row r="6957" spans="1:11">
      <c r="A6957" s="760"/>
      <c r="B6957" s="760"/>
      <c r="C6957" s="760"/>
      <c r="D6957" s="760"/>
      <c r="E6957" s="760"/>
      <c r="F6957" s="760"/>
      <c r="G6957" s="760"/>
      <c r="H6957" s="760"/>
      <c r="I6957" s="760"/>
      <c r="J6957" s="760"/>
      <c r="K6957" s="760"/>
    </row>
    <row r="6958" spans="1:11">
      <c r="A6958" s="760"/>
      <c r="B6958" s="760"/>
      <c r="C6958" s="760"/>
      <c r="D6958" s="760"/>
      <c r="E6958" s="760"/>
      <c r="F6958" s="760"/>
      <c r="G6958" s="760"/>
      <c r="H6958" s="760"/>
      <c r="I6958" s="760"/>
      <c r="J6958" s="760"/>
      <c r="K6958" s="760"/>
    </row>
    <row r="6959" spans="1:11">
      <c r="A6959" s="760"/>
      <c r="B6959" s="760"/>
      <c r="C6959" s="760"/>
      <c r="D6959" s="760"/>
      <c r="E6959" s="760"/>
      <c r="F6959" s="760"/>
      <c r="G6959" s="760"/>
      <c r="H6959" s="760"/>
      <c r="I6959" s="760"/>
      <c r="J6959" s="760"/>
      <c r="K6959" s="760"/>
    </row>
    <row r="6960" spans="1:11">
      <c r="A6960" s="760"/>
      <c r="B6960" s="760"/>
      <c r="C6960" s="760"/>
      <c r="D6960" s="760"/>
      <c r="E6960" s="760"/>
      <c r="F6960" s="760"/>
      <c r="G6960" s="760"/>
      <c r="H6960" s="760"/>
      <c r="I6960" s="760"/>
      <c r="J6960" s="760"/>
      <c r="K6960" s="760"/>
    </row>
    <row r="6961" spans="1:11">
      <c r="A6961" s="760"/>
      <c r="B6961" s="760"/>
      <c r="C6961" s="760"/>
      <c r="D6961" s="760"/>
      <c r="E6961" s="760"/>
      <c r="F6961" s="760"/>
      <c r="G6961" s="760"/>
      <c r="H6961" s="760"/>
      <c r="I6961" s="760"/>
      <c r="J6961" s="760"/>
      <c r="K6961" s="760"/>
    </row>
    <row r="6962" spans="1:11">
      <c r="A6962" s="760"/>
      <c r="B6962" s="760"/>
      <c r="C6962" s="760"/>
      <c r="D6962" s="760"/>
      <c r="E6962" s="760"/>
      <c r="F6962" s="760"/>
      <c r="G6962" s="760"/>
      <c r="H6962" s="760"/>
      <c r="I6962" s="760"/>
      <c r="J6962" s="760"/>
      <c r="K6962" s="760"/>
    </row>
    <row r="6963" spans="1:11">
      <c r="A6963" s="760"/>
      <c r="B6963" s="760"/>
      <c r="C6963" s="760"/>
      <c r="D6963" s="760"/>
      <c r="E6963" s="760"/>
      <c r="F6963" s="760"/>
      <c r="G6963" s="760"/>
      <c r="H6963" s="760"/>
      <c r="I6963" s="760"/>
      <c r="J6963" s="760"/>
      <c r="K6963" s="760"/>
    </row>
    <row r="6964" spans="1:11">
      <c r="A6964" s="760"/>
      <c r="B6964" s="760"/>
      <c r="C6964" s="760"/>
      <c r="D6964" s="760"/>
      <c r="E6964" s="760"/>
      <c r="F6964" s="760"/>
      <c r="G6964" s="760"/>
      <c r="H6964" s="760"/>
      <c r="I6964" s="760"/>
      <c r="J6964" s="760"/>
      <c r="K6964" s="760"/>
    </row>
    <row r="6965" spans="1:11">
      <c r="A6965" s="760"/>
      <c r="B6965" s="760"/>
      <c r="C6965" s="760"/>
      <c r="D6965" s="760"/>
      <c r="E6965" s="760"/>
      <c r="F6965" s="760"/>
      <c r="G6965" s="760"/>
      <c r="H6965" s="760"/>
      <c r="I6965" s="760"/>
      <c r="J6965" s="760"/>
      <c r="K6965" s="760"/>
    </row>
    <row r="6966" spans="1:11">
      <c r="A6966" s="760"/>
      <c r="B6966" s="760"/>
      <c r="C6966" s="760"/>
      <c r="D6966" s="760"/>
      <c r="E6966" s="760"/>
      <c r="F6966" s="760"/>
      <c r="G6966" s="760"/>
      <c r="H6966" s="760"/>
      <c r="I6966" s="760"/>
      <c r="J6966" s="760"/>
      <c r="K6966" s="760"/>
    </row>
    <row r="6967" spans="1:11">
      <c r="A6967" s="760"/>
      <c r="B6967" s="760"/>
      <c r="C6967" s="760"/>
      <c r="D6967" s="760"/>
      <c r="E6967" s="760"/>
      <c r="F6967" s="760"/>
      <c r="G6967" s="760"/>
      <c r="H6967" s="760"/>
      <c r="I6967" s="760"/>
      <c r="J6967" s="760"/>
      <c r="K6967" s="760"/>
    </row>
    <row r="6968" spans="1:11">
      <c r="A6968" s="760"/>
      <c r="B6968" s="760"/>
      <c r="C6968" s="760"/>
      <c r="D6968" s="760"/>
      <c r="E6968" s="760"/>
      <c r="F6968" s="760"/>
      <c r="G6968" s="760"/>
      <c r="H6968" s="760"/>
      <c r="I6968" s="760"/>
      <c r="J6968" s="760"/>
      <c r="K6968" s="760"/>
    </row>
    <row r="6969" spans="1:11">
      <c r="A6969" s="760"/>
      <c r="B6969" s="760"/>
      <c r="C6969" s="760"/>
      <c r="D6969" s="760"/>
      <c r="E6969" s="760"/>
      <c r="F6969" s="760"/>
      <c r="G6969" s="760"/>
      <c r="H6969" s="760"/>
      <c r="I6969" s="760"/>
      <c r="J6969" s="760"/>
      <c r="K6969" s="760"/>
    </row>
    <row r="6970" spans="1:11">
      <c r="A6970" s="760"/>
      <c r="B6970" s="760"/>
      <c r="C6970" s="760"/>
      <c r="D6970" s="760"/>
      <c r="E6970" s="760"/>
      <c r="F6970" s="760"/>
      <c r="G6970" s="760"/>
      <c r="H6970" s="760"/>
      <c r="I6970" s="760"/>
      <c r="J6970" s="760"/>
      <c r="K6970" s="760"/>
    </row>
    <row r="6971" spans="1:11">
      <c r="A6971" s="760"/>
      <c r="B6971" s="760"/>
      <c r="C6971" s="760"/>
      <c r="D6971" s="760"/>
      <c r="E6971" s="760"/>
      <c r="F6971" s="760"/>
      <c r="G6971" s="760"/>
      <c r="H6971" s="760"/>
      <c r="I6971" s="760"/>
      <c r="J6971" s="760"/>
      <c r="K6971" s="760"/>
    </row>
    <row r="6972" spans="1:11">
      <c r="A6972" s="760"/>
      <c r="B6972" s="760"/>
      <c r="C6972" s="760"/>
      <c r="D6972" s="760"/>
      <c r="E6972" s="760"/>
      <c r="F6972" s="760"/>
      <c r="G6972" s="760"/>
      <c r="H6972" s="760"/>
      <c r="I6972" s="760"/>
      <c r="J6972" s="760"/>
      <c r="K6972" s="760"/>
    </row>
    <row r="6973" spans="1:11">
      <c r="A6973" s="760"/>
      <c r="B6973" s="760"/>
      <c r="C6973" s="760"/>
      <c r="D6973" s="760"/>
      <c r="E6973" s="760"/>
      <c r="F6973" s="760"/>
      <c r="G6973" s="760"/>
      <c r="H6973" s="760"/>
      <c r="I6973" s="760"/>
      <c r="J6973" s="760"/>
      <c r="K6973" s="760"/>
    </row>
    <row r="6974" spans="1:11">
      <c r="A6974" s="760"/>
      <c r="B6974" s="760"/>
      <c r="C6974" s="760"/>
      <c r="D6974" s="760"/>
      <c r="E6974" s="760"/>
      <c r="F6974" s="760"/>
      <c r="G6974" s="760"/>
      <c r="H6974" s="760"/>
      <c r="I6974" s="760"/>
      <c r="J6974" s="760"/>
      <c r="K6974" s="760"/>
    </row>
    <row r="6975" spans="1:11">
      <c r="A6975" s="760"/>
      <c r="B6975" s="760"/>
      <c r="C6975" s="760"/>
      <c r="D6975" s="760"/>
      <c r="E6975" s="760"/>
      <c r="F6975" s="760"/>
      <c r="G6975" s="760"/>
      <c r="H6975" s="760"/>
      <c r="I6975" s="760"/>
      <c r="J6975" s="760"/>
      <c r="K6975" s="760"/>
    </row>
    <row r="6976" spans="1:11">
      <c r="A6976" s="760"/>
      <c r="B6976" s="760"/>
      <c r="C6976" s="760"/>
      <c r="D6976" s="760"/>
      <c r="E6976" s="760"/>
      <c r="F6976" s="760"/>
      <c r="G6976" s="760"/>
      <c r="H6976" s="760"/>
      <c r="I6976" s="760"/>
      <c r="J6976" s="760"/>
      <c r="K6976" s="760"/>
    </row>
    <row r="6977" spans="1:11">
      <c r="A6977" s="760"/>
      <c r="B6977" s="760"/>
      <c r="C6977" s="760"/>
      <c r="D6977" s="760"/>
      <c r="E6977" s="760"/>
      <c r="F6977" s="760"/>
      <c r="G6977" s="760"/>
      <c r="H6977" s="760"/>
      <c r="I6977" s="760"/>
      <c r="J6977" s="760"/>
      <c r="K6977" s="760"/>
    </row>
    <row r="6978" spans="1:11">
      <c r="A6978" s="760"/>
      <c r="B6978" s="760"/>
      <c r="C6978" s="760"/>
      <c r="D6978" s="760"/>
      <c r="E6978" s="760"/>
      <c r="F6978" s="760"/>
      <c r="G6978" s="760"/>
      <c r="H6978" s="760"/>
      <c r="I6978" s="760"/>
      <c r="J6978" s="760"/>
      <c r="K6978" s="760"/>
    </row>
    <row r="6979" spans="1:11">
      <c r="A6979" s="760"/>
      <c r="B6979" s="760"/>
      <c r="C6979" s="760"/>
      <c r="D6979" s="760"/>
      <c r="E6979" s="760"/>
      <c r="F6979" s="760"/>
      <c r="G6979" s="760"/>
      <c r="H6979" s="760"/>
      <c r="I6979" s="760"/>
      <c r="J6979" s="760"/>
      <c r="K6979" s="760"/>
    </row>
    <row r="6980" spans="1:11">
      <c r="A6980" s="760"/>
      <c r="B6980" s="760"/>
      <c r="C6980" s="760"/>
      <c r="D6980" s="760"/>
      <c r="E6980" s="760"/>
      <c r="F6980" s="760"/>
      <c r="G6980" s="760"/>
      <c r="H6980" s="760"/>
      <c r="I6980" s="760"/>
      <c r="J6980" s="760"/>
      <c r="K6980" s="760"/>
    </row>
    <row r="6981" spans="1:11">
      <c r="A6981" s="760"/>
      <c r="B6981" s="760"/>
      <c r="C6981" s="760"/>
      <c r="D6981" s="760"/>
      <c r="E6981" s="760"/>
      <c r="F6981" s="760"/>
      <c r="G6981" s="760"/>
      <c r="H6981" s="760"/>
      <c r="I6981" s="760"/>
      <c r="J6981" s="760"/>
      <c r="K6981" s="760"/>
    </row>
    <row r="6982" spans="1:11">
      <c r="A6982" s="760"/>
      <c r="B6982" s="760"/>
      <c r="C6982" s="760"/>
      <c r="D6982" s="760"/>
      <c r="E6982" s="760"/>
      <c r="F6982" s="760"/>
      <c r="G6982" s="760"/>
      <c r="H6982" s="760"/>
      <c r="I6982" s="760"/>
      <c r="J6982" s="760"/>
      <c r="K6982" s="760"/>
    </row>
    <row r="6983" spans="1:11">
      <c r="A6983" s="760"/>
      <c r="B6983" s="760"/>
      <c r="C6983" s="760"/>
      <c r="D6983" s="760"/>
      <c r="E6983" s="760"/>
      <c r="F6983" s="760"/>
      <c r="G6983" s="760"/>
      <c r="H6983" s="760"/>
      <c r="I6983" s="760"/>
      <c r="J6983" s="760"/>
      <c r="K6983" s="760"/>
    </row>
    <row r="6984" spans="1:11">
      <c r="A6984" s="760"/>
      <c r="B6984" s="760"/>
      <c r="C6984" s="760"/>
      <c r="D6984" s="760"/>
      <c r="E6984" s="760"/>
      <c r="F6984" s="760"/>
      <c r="G6984" s="760"/>
      <c r="H6984" s="760"/>
      <c r="I6984" s="760"/>
      <c r="J6984" s="760"/>
      <c r="K6984" s="760"/>
    </row>
    <row r="6985" spans="1:11">
      <c r="A6985" s="760"/>
      <c r="B6985" s="760"/>
      <c r="C6985" s="760"/>
      <c r="D6985" s="760"/>
      <c r="E6985" s="760"/>
      <c r="F6985" s="760"/>
      <c r="G6985" s="760"/>
      <c r="H6985" s="760"/>
      <c r="I6985" s="760"/>
      <c r="J6985" s="760"/>
      <c r="K6985" s="760"/>
    </row>
    <row r="6986" spans="1:11">
      <c r="A6986" s="760"/>
      <c r="B6986" s="760"/>
      <c r="C6986" s="760"/>
      <c r="D6986" s="760"/>
      <c r="E6986" s="760"/>
      <c r="F6986" s="760"/>
      <c r="G6986" s="760"/>
      <c r="H6986" s="760"/>
      <c r="I6986" s="760"/>
      <c r="J6986" s="760"/>
      <c r="K6986" s="760"/>
    </row>
    <row r="6987" spans="1:11">
      <c r="A6987" s="760"/>
      <c r="B6987" s="760"/>
      <c r="C6987" s="760"/>
      <c r="D6987" s="760"/>
      <c r="E6987" s="760"/>
      <c r="F6987" s="760"/>
      <c r="G6987" s="760"/>
      <c r="H6987" s="760"/>
      <c r="I6987" s="760"/>
      <c r="J6987" s="760"/>
      <c r="K6987" s="760"/>
    </row>
    <row r="6988" spans="1:11">
      <c r="A6988" s="760"/>
      <c r="B6988" s="760"/>
      <c r="C6988" s="760"/>
      <c r="D6988" s="760"/>
      <c r="E6988" s="760"/>
      <c r="F6988" s="760"/>
      <c r="G6988" s="760"/>
      <c r="H6988" s="760"/>
      <c r="I6988" s="760"/>
      <c r="J6988" s="760"/>
      <c r="K6988" s="760"/>
    </row>
    <row r="6989" spans="1:11">
      <c r="A6989" s="760"/>
      <c r="B6989" s="760"/>
      <c r="C6989" s="760"/>
      <c r="D6989" s="760"/>
      <c r="E6989" s="760"/>
      <c r="F6989" s="760"/>
      <c r="G6989" s="760"/>
      <c r="H6989" s="760"/>
      <c r="I6989" s="760"/>
      <c r="J6989" s="760"/>
      <c r="K6989" s="760"/>
    </row>
    <row r="6990" spans="1:11">
      <c r="A6990" s="760"/>
      <c r="B6990" s="760"/>
      <c r="C6990" s="760"/>
      <c r="D6990" s="760"/>
      <c r="E6990" s="760"/>
      <c r="F6990" s="760"/>
      <c r="G6990" s="760"/>
      <c r="H6990" s="760"/>
      <c r="I6990" s="760"/>
      <c r="J6990" s="760"/>
      <c r="K6990" s="760"/>
    </row>
    <row r="6991" spans="1:11">
      <c r="A6991" s="760"/>
      <c r="B6991" s="760"/>
      <c r="C6991" s="760"/>
      <c r="D6991" s="760"/>
      <c r="E6991" s="760"/>
      <c r="F6991" s="760"/>
      <c r="G6991" s="760"/>
      <c r="H6991" s="760"/>
      <c r="I6991" s="760"/>
      <c r="J6991" s="760"/>
      <c r="K6991" s="760"/>
    </row>
    <row r="6992" spans="1:11">
      <c r="A6992" s="760"/>
      <c r="B6992" s="760"/>
      <c r="C6992" s="760"/>
      <c r="D6992" s="760"/>
      <c r="E6992" s="760"/>
      <c r="F6992" s="760"/>
      <c r="G6992" s="760"/>
      <c r="H6992" s="760"/>
      <c r="I6992" s="760"/>
      <c r="J6992" s="760"/>
      <c r="K6992" s="760"/>
    </row>
    <row r="6993" spans="1:11">
      <c r="A6993" s="760"/>
      <c r="B6993" s="760"/>
      <c r="C6993" s="760"/>
      <c r="D6993" s="760"/>
      <c r="E6993" s="760"/>
      <c r="F6993" s="760"/>
      <c r="G6993" s="760"/>
      <c r="H6993" s="760"/>
      <c r="I6993" s="760"/>
      <c r="J6993" s="760"/>
      <c r="K6993" s="760"/>
    </row>
    <row r="6994" spans="1:11">
      <c r="A6994" s="760"/>
      <c r="B6994" s="760"/>
      <c r="C6994" s="760"/>
      <c r="D6994" s="760"/>
      <c r="E6994" s="760"/>
      <c r="F6994" s="760"/>
      <c r="G6994" s="760"/>
      <c r="H6994" s="760"/>
      <c r="I6994" s="760"/>
      <c r="J6994" s="760"/>
      <c r="K6994" s="760"/>
    </row>
    <row r="6995" spans="1:11">
      <c r="A6995" s="760"/>
      <c r="B6995" s="760"/>
      <c r="C6995" s="760"/>
      <c r="D6995" s="760"/>
      <c r="E6995" s="760"/>
      <c r="F6995" s="760"/>
      <c r="G6995" s="760"/>
      <c r="H6995" s="760"/>
      <c r="I6995" s="760"/>
      <c r="J6995" s="760"/>
      <c r="K6995" s="760"/>
    </row>
    <row r="6996" spans="1:11">
      <c r="A6996" s="760"/>
      <c r="B6996" s="760"/>
      <c r="C6996" s="760"/>
      <c r="D6996" s="760"/>
      <c r="E6996" s="760"/>
      <c r="F6996" s="760"/>
      <c r="G6996" s="760"/>
      <c r="H6996" s="760"/>
      <c r="I6996" s="760"/>
      <c r="J6996" s="760"/>
      <c r="K6996" s="760"/>
    </row>
    <row r="6997" spans="1:11">
      <c r="A6997" s="760"/>
      <c r="B6997" s="760"/>
      <c r="C6997" s="760"/>
      <c r="D6997" s="760"/>
      <c r="E6997" s="760"/>
      <c r="F6997" s="760"/>
      <c r="G6997" s="760"/>
      <c r="H6997" s="760"/>
      <c r="I6997" s="760"/>
      <c r="J6997" s="760"/>
      <c r="K6997" s="760"/>
    </row>
    <row r="6998" spans="1:11">
      <c r="A6998" s="760"/>
      <c r="B6998" s="760"/>
      <c r="C6998" s="760"/>
      <c r="D6998" s="760"/>
      <c r="E6998" s="760"/>
      <c r="F6998" s="760"/>
      <c r="G6998" s="760"/>
      <c r="H6998" s="760"/>
      <c r="I6998" s="760"/>
      <c r="J6998" s="760"/>
      <c r="K6998" s="760"/>
    </row>
    <row r="6999" spans="1:11">
      <c r="A6999" s="760"/>
      <c r="B6999" s="760"/>
      <c r="C6999" s="760"/>
      <c r="D6999" s="760"/>
      <c r="E6999" s="760"/>
      <c r="F6999" s="760"/>
      <c r="G6999" s="760"/>
      <c r="H6999" s="760"/>
      <c r="I6999" s="760"/>
      <c r="J6999" s="760"/>
      <c r="K6999" s="760"/>
    </row>
    <row r="7000" spans="1:11">
      <c r="A7000" s="760"/>
      <c r="B7000" s="760"/>
      <c r="C7000" s="760"/>
      <c r="D7000" s="760"/>
      <c r="E7000" s="760"/>
      <c r="F7000" s="760"/>
      <c r="G7000" s="760"/>
      <c r="H7000" s="760"/>
      <c r="I7000" s="760"/>
      <c r="J7000" s="760"/>
      <c r="K7000" s="760"/>
    </row>
    <row r="7001" spans="1:11">
      <c r="A7001" s="760"/>
      <c r="B7001" s="760"/>
      <c r="C7001" s="760"/>
      <c r="D7001" s="760"/>
      <c r="E7001" s="760"/>
      <c r="F7001" s="760"/>
      <c r="G7001" s="760"/>
      <c r="H7001" s="760"/>
      <c r="I7001" s="760"/>
      <c r="J7001" s="760"/>
      <c r="K7001" s="760"/>
    </row>
    <row r="7002" spans="1:11">
      <c r="A7002" s="760"/>
      <c r="B7002" s="760"/>
      <c r="C7002" s="760"/>
      <c r="D7002" s="760"/>
      <c r="E7002" s="760"/>
      <c r="F7002" s="760"/>
      <c r="G7002" s="760"/>
      <c r="H7002" s="760"/>
      <c r="I7002" s="760"/>
      <c r="J7002" s="760"/>
      <c r="K7002" s="760"/>
    </row>
    <row r="7003" spans="1:11">
      <c r="A7003" s="760"/>
      <c r="B7003" s="760"/>
      <c r="C7003" s="760"/>
      <c r="D7003" s="760"/>
      <c r="E7003" s="760"/>
      <c r="F7003" s="760"/>
      <c r="G7003" s="760"/>
      <c r="H7003" s="760"/>
      <c r="I7003" s="760"/>
      <c r="J7003" s="760"/>
      <c r="K7003" s="760"/>
    </row>
    <row r="7004" spans="1:11">
      <c r="A7004" s="760"/>
      <c r="B7004" s="760"/>
      <c r="C7004" s="760"/>
      <c r="D7004" s="760"/>
      <c r="E7004" s="760"/>
      <c r="F7004" s="760"/>
      <c r="G7004" s="760"/>
      <c r="H7004" s="760"/>
      <c r="I7004" s="760"/>
      <c r="J7004" s="760"/>
      <c r="K7004" s="760"/>
    </row>
    <row r="7005" spans="1:11">
      <c r="A7005" s="760"/>
      <c r="B7005" s="760"/>
      <c r="C7005" s="760"/>
      <c r="D7005" s="760"/>
      <c r="E7005" s="760"/>
      <c r="F7005" s="760"/>
      <c r="G7005" s="760"/>
      <c r="H7005" s="760"/>
      <c r="I7005" s="760"/>
      <c r="J7005" s="760"/>
      <c r="K7005" s="760"/>
    </row>
    <row r="7006" spans="1:11">
      <c r="A7006" s="760"/>
      <c r="B7006" s="760"/>
      <c r="C7006" s="760"/>
      <c r="D7006" s="760"/>
      <c r="E7006" s="760"/>
      <c r="F7006" s="760"/>
      <c r="G7006" s="760"/>
      <c r="H7006" s="760"/>
      <c r="I7006" s="760"/>
      <c r="J7006" s="760"/>
      <c r="K7006" s="760"/>
    </row>
    <row r="7007" spans="1:11">
      <c r="A7007" s="760"/>
      <c r="B7007" s="760"/>
      <c r="C7007" s="760"/>
      <c r="D7007" s="760"/>
      <c r="E7007" s="760"/>
      <c r="F7007" s="760"/>
      <c r="G7007" s="760"/>
      <c r="H7007" s="760"/>
      <c r="I7007" s="760"/>
      <c r="J7007" s="760"/>
      <c r="K7007" s="760"/>
    </row>
    <row r="7008" spans="1:11">
      <c r="A7008" s="760"/>
      <c r="B7008" s="760"/>
      <c r="C7008" s="760"/>
      <c r="D7008" s="760"/>
      <c r="E7008" s="760"/>
      <c r="F7008" s="760"/>
      <c r="G7008" s="760"/>
      <c r="H7008" s="760"/>
      <c r="I7008" s="760"/>
      <c r="J7008" s="760"/>
      <c r="K7008" s="760"/>
    </row>
    <row r="7009" spans="1:11">
      <c r="A7009" s="760"/>
      <c r="B7009" s="760"/>
      <c r="C7009" s="760"/>
      <c r="D7009" s="760"/>
      <c r="E7009" s="760"/>
      <c r="F7009" s="760"/>
      <c r="G7009" s="760"/>
      <c r="H7009" s="760"/>
      <c r="I7009" s="760"/>
      <c r="J7009" s="760"/>
      <c r="K7009" s="760"/>
    </row>
    <row r="7010" spans="1:11">
      <c r="A7010" s="760"/>
      <c r="B7010" s="760"/>
      <c r="C7010" s="760"/>
      <c r="D7010" s="760"/>
      <c r="E7010" s="760"/>
      <c r="F7010" s="760"/>
      <c r="G7010" s="760"/>
      <c r="H7010" s="760"/>
      <c r="I7010" s="760"/>
      <c r="J7010" s="760"/>
      <c r="K7010" s="760"/>
    </row>
    <row r="7011" spans="1:11">
      <c r="A7011" s="760"/>
      <c r="B7011" s="760"/>
      <c r="C7011" s="760"/>
      <c r="D7011" s="760"/>
      <c r="E7011" s="760"/>
      <c r="F7011" s="760"/>
      <c r="G7011" s="760"/>
      <c r="H7011" s="760"/>
      <c r="I7011" s="760"/>
      <c r="J7011" s="760"/>
      <c r="K7011" s="760"/>
    </row>
    <row r="7012" spans="1:11">
      <c r="A7012" s="760"/>
      <c r="B7012" s="760"/>
      <c r="C7012" s="760"/>
      <c r="D7012" s="760"/>
      <c r="E7012" s="760"/>
      <c r="F7012" s="760"/>
      <c r="G7012" s="760"/>
      <c r="H7012" s="760"/>
      <c r="I7012" s="760"/>
      <c r="J7012" s="760"/>
      <c r="K7012" s="760"/>
    </row>
    <row r="7013" spans="1:11">
      <c r="A7013" s="760"/>
      <c r="B7013" s="760"/>
      <c r="C7013" s="760"/>
      <c r="D7013" s="760"/>
      <c r="E7013" s="760"/>
      <c r="F7013" s="760"/>
      <c r="G7013" s="760"/>
      <c r="H7013" s="760"/>
      <c r="I7013" s="760"/>
      <c r="J7013" s="760"/>
      <c r="K7013" s="760"/>
    </row>
    <row r="7014" spans="1:11">
      <c r="A7014" s="760"/>
      <c r="B7014" s="760"/>
      <c r="C7014" s="760"/>
      <c r="D7014" s="760"/>
      <c r="E7014" s="760"/>
      <c r="F7014" s="760"/>
      <c r="G7014" s="760"/>
      <c r="H7014" s="760"/>
      <c r="I7014" s="760"/>
      <c r="J7014" s="760"/>
      <c r="K7014" s="760"/>
    </row>
    <row r="7015" spans="1:11">
      <c r="A7015" s="760"/>
      <c r="B7015" s="760"/>
      <c r="C7015" s="760"/>
      <c r="D7015" s="760"/>
      <c r="E7015" s="760"/>
      <c r="F7015" s="760"/>
      <c r="G7015" s="760"/>
      <c r="H7015" s="760"/>
      <c r="I7015" s="760"/>
      <c r="J7015" s="760"/>
      <c r="K7015" s="760"/>
    </row>
    <row r="7016" spans="1:11">
      <c r="A7016" s="760"/>
      <c r="B7016" s="760"/>
      <c r="C7016" s="760"/>
      <c r="D7016" s="760"/>
      <c r="E7016" s="760"/>
      <c r="F7016" s="760"/>
      <c r="G7016" s="760"/>
      <c r="H7016" s="760"/>
      <c r="I7016" s="760"/>
      <c r="J7016" s="760"/>
      <c r="K7016" s="760"/>
    </row>
    <row r="7017" spans="1:11">
      <c r="A7017" s="760"/>
      <c r="B7017" s="760"/>
      <c r="C7017" s="760"/>
      <c r="D7017" s="760"/>
      <c r="E7017" s="760"/>
      <c r="F7017" s="760"/>
      <c r="G7017" s="760"/>
      <c r="H7017" s="760"/>
      <c r="I7017" s="760"/>
      <c r="J7017" s="760"/>
      <c r="K7017" s="760"/>
    </row>
    <row r="7018" spans="1:11">
      <c r="A7018" s="760"/>
      <c r="B7018" s="760"/>
      <c r="C7018" s="760"/>
      <c r="D7018" s="760"/>
      <c r="E7018" s="760"/>
      <c r="F7018" s="760"/>
      <c r="G7018" s="760"/>
      <c r="H7018" s="760"/>
      <c r="I7018" s="760"/>
      <c r="J7018" s="760"/>
      <c r="K7018" s="760"/>
    </row>
    <row r="7019" spans="1:11">
      <c r="A7019" s="760"/>
      <c r="B7019" s="760"/>
      <c r="C7019" s="760"/>
      <c r="D7019" s="760"/>
      <c r="E7019" s="760"/>
      <c r="F7019" s="760"/>
      <c r="G7019" s="760"/>
      <c r="H7019" s="760"/>
      <c r="I7019" s="760"/>
      <c r="J7019" s="760"/>
      <c r="K7019" s="760"/>
    </row>
    <row r="7020" spans="1:11">
      <c r="A7020" s="760"/>
      <c r="B7020" s="760"/>
      <c r="C7020" s="760"/>
      <c r="D7020" s="760"/>
      <c r="E7020" s="760"/>
      <c r="F7020" s="760"/>
      <c r="G7020" s="760"/>
      <c r="H7020" s="760"/>
      <c r="I7020" s="760"/>
      <c r="J7020" s="760"/>
      <c r="K7020" s="760"/>
    </row>
    <row r="7021" spans="1:11">
      <c r="A7021" s="760"/>
      <c r="B7021" s="760"/>
      <c r="C7021" s="760"/>
      <c r="D7021" s="760"/>
      <c r="E7021" s="760"/>
      <c r="F7021" s="760"/>
      <c r="G7021" s="760"/>
      <c r="H7021" s="760"/>
      <c r="I7021" s="760"/>
      <c r="J7021" s="760"/>
      <c r="K7021" s="760"/>
    </row>
    <row r="7022" spans="1:11">
      <c r="A7022" s="760"/>
      <c r="B7022" s="760"/>
      <c r="C7022" s="760"/>
      <c r="D7022" s="760"/>
      <c r="E7022" s="760"/>
      <c r="F7022" s="760"/>
      <c r="G7022" s="760"/>
      <c r="H7022" s="760"/>
      <c r="I7022" s="760"/>
      <c r="J7022" s="760"/>
      <c r="K7022" s="760"/>
    </row>
    <row r="7023" spans="1:11">
      <c r="A7023" s="760"/>
      <c r="B7023" s="760"/>
      <c r="C7023" s="760"/>
      <c r="D7023" s="760"/>
      <c r="E7023" s="760"/>
      <c r="F7023" s="760"/>
      <c r="G7023" s="760"/>
      <c r="H7023" s="760"/>
      <c r="I7023" s="760"/>
      <c r="J7023" s="760"/>
      <c r="K7023" s="760"/>
    </row>
    <row r="7024" spans="1:11">
      <c r="A7024" s="760"/>
      <c r="B7024" s="760"/>
      <c r="C7024" s="760"/>
      <c r="D7024" s="760"/>
      <c r="E7024" s="760"/>
      <c r="F7024" s="760"/>
      <c r="G7024" s="760"/>
      <c r="H7024" s="760"/>
      <c r="I7024" s="760"/>
      <c r="J7024" s="760"/>
      <c r="K7024" s="760"/>
    </row>
    <row r="7025" spans="1:11">
      <c r="A7025" s="760"/>
      <c r="B7025" s="760"/>
      <c r="C7025" s="760"/>
      <c r="D7025" s="760"/>
      <c r="E7025" s="760"/>
      <c r="F7025" s="760"/>
      <c r="G7025" s="760"/>
      <c r="H7025" s="760"/>
      <c r="I7025" s="760"/>
      <c r="J7025" s="760"/>
      <c r="K7025" s="760"/>
    </row>
    <row r="7026" spans="1:11">
      <c r="A7026" s="760"/>
      <c r="B7026" s="760"/>
      <c r="C7026" s="760"/>
      <c r="D7026" s="760"/>
      <c r="E7026" s="760"/>
      <c r="F7026" s="760"/>
      <c r="G7026" s="760"/>
      <c r="H7026" s="760"/>
      <c r="I7026" s="760"/>
      <c r="J7026" s="760"/>
      <c r="K7026" s="760"/>
    </row>
    <row r="7027" spans="1:11">
      <c r="A7027" s="760"/>
      <c r="B7027" s="760"/>
      <c r="C7027" s="760"/>
      <c r="D7027" s="760"/>
      <c r="E7027" s="760"/>
      <c r="F7027" s="760"/>
      <c r="G7027" s="760"/>
      <c r="H7027" s="760"/>
      <c r="I7027" s="760"/>
      <c r="J7027" s="760"/>
      <c r="K7027" s="760"/>
    </row>
    <row r="7028" spans="1:11">
      <c r="A7028" s="760"/>
      <c r="B7028" s="760"/>
      <c r="C7028" s="760"/>
      <c r="D7028" s="760"/>
      <c r="E7028" s="760"/>
      <c r="F7028" s="760"/>
      <c r="G7028" s="760"/>
      <c r="H7028" s="760"/>
      <c r="I7028" s="760"/>
      <c r="J7028" s="760"/>
      <c r="K7028" s="760"/>
    </row>
    <row r="7029" spans="1:11">
      <c r="A7029" s="760"/>
      <c r="B7029" s="760"/>
      <c r="C7029" s="760"/>
      <c r="D7029" s="760"/>
      <c r="E7029" s="760"/>
      <c r="F7029" s="760"/>
      <c r="G7029" s="760"/>
      <c r="H7029" s="760"/>
      <c r="I7029" s="760"/>
      <c r="J7029" s="760"/>
      <c r="K7029" s="760"/>
    </row>
    <row r="7030" spans="1:11">
      <c r="A7030" s="760"/>
      <c r="B7030" s="760"/>
      <c r="C7030" s="760"/>
      <c r="D7030" s="760"/>
      <c r="E7030" s="760"/>
      <c r="F7030" s="760"/>
      <c r="G7030" s="760"/>
      <c r="H7030" s="760"/>
      <c r="I7030" s="760"/>
      <c r="J7030" s="760"/>
      <c r="K7030" s="760"/>
    </row>
    <row r="7031" spans="1:11">
      <c r="A7031" s="760"/>
      <c r="B7031" s="760"/>
      <c r="C7031" s="760"/>
      <c r="D7031" s="760"/>
      <c r="E7031" s="760"/>
      <c r="F7031" s="760"/>
      <c r="G7031" s="760"/>
      <c r="H7031" s="760"/>
      <c r="I7031" s="760"/>
      <c r="J7031" s="760"/>
      <c r="K7031" s="760"/>
    </row>
    <row r="7032" spans="1:11">
      <c r="A7032" s="760"/>
      <c r="B7032" s="760"/>
      <c r="C7032" s="760"/>
      <c r="D7032" s="760"/>
      <c r="E7032" s="760"/>
      <c r="F7032" s="760"/>
      <c r="G7032" s="760"/>
      <c r="H7032" s="760"/>
      <c r="I7032" s="760"/>
      <c r="J7032" s="760"/>
      <c r="K7032" s="760"/>
    </row>
    <row r="7033" spans="1:11">
      <c r="A7033" s="760"/>
      <c r="B7033" s="760"/>
      <c r="C7033" s="760"/>
      <c r="D7033" s="760"/>
      <c r="E7033" s="760"/>
      <c r="F7033" s="760"/>
      <c r="G7033" s="760"/>
      <c r="H7033" s="760"/>
      <c r="I7033" s="760"/>
      <c r="J7033" s="760"/>
      <c r="K7033" s="760"/>
    </row>
    <row r="7034" spans="1:11">
      <c r="A7034" s="760"/>
      <c r="B7034" s="760"/>
      <c r="C7034" s="760"/>
      <c r="D7034" s="760"/>
      <c r="E7034" s="760"/>
      <c r="F7034" s="760"/>
      <c r="G7034" s="760"/>
      <c r="H7034" s="760"/>
      <c r="I7034" s="760"/>
      <c r="J7034" s="760"/>
      <c r="K7034" s="760"/>
    </row>
    <row r="7035" spans="1:11">
      <c r="A7035" s="760"/>
      <c r="B7035" s="760"/>
      <c r="C7035" s="760"/>
      <c r="D7035" s="760"/>
      <c r="E7035" s="760"/>
      <c r="F7035" s="760"/>
      <c r="G7035" s="760"/>
      <c r="H7035" s="760"/>
      <c r="I7035" s="760"/>
      <c r="J7035" s="760"/>
      <c r="K7035" s="760"/>
    </row>
    <row r="7036" spans="1:11">
      <c r="A7036" s="760"/>
      <c r="B7036" s="760"/>
      <c r="C7036" s="760"/>
      <c r="D7036" s="760"/>
      <c r="E7036" s="760"/>
      <c r="F7036" s="760"/>
      <c r="G7036" s="760"/>
      <c r="H7036" s="760"/>
      <c r="I7036" s="760"/>
      <c r="J7036" s="760"/>
      <c r="K7036" s="760"/>
    </row>
    <row r="7037" spans="1:11">
      <c r="A7037" s="760"/>
      <c r="B7037" s="760"/>
      <c r="C7037" s="760"/>
      <c r="D7037" s="760"/>
      <c r="E7037" s="760"/>
      <c r="F7037" s="760"/>
      <c r="G7037" s="760"/>
      <c r="H7037" s="760"/>
      <c r="I7037" s="760"/>
      <c r="J7037" s="760"/>
      <c r="K7037" s="760"/>
    </row>
    <row r="7038" spans="1:11">
      <c r="A7038" s="760"/>
      <c r="B7038" s="760"/>
      <c r="C7038" s="760"/>
      <c r="D7038" s="760"/>
      <c r="E7038" s="760"/>
      <c r="F7038" s="760"/>
      <c r="G7038" s="760"/>
      <c r="H7038" s="760"/>
      <c r="I7038" s="760"/>
      <c r="J7038" s="760"/>
      <c r="K7038" s="760"/>
    </row>
    <row r="7039" spans="1:11">
      <c r="A7039" s="760"/>
      <c r="B7039" s="760"/>
      <c r="C7039" s="760"/>
      <c r="D7039" s="760"/>
      <c r="E7039" s="760"/>
      <c r="F7039" s="760"/>
      <c r="G7039" s="760"/>
      <c r="H7039" s="760"/>
      <c r="I7039" s="760"/>
      <c r="J7039" s="760"/>
      <c r="K7039" s="760"/>
    </row>
    <row r="7040" spans="1:11">
      <c r="A7040" s="760"/>
      <c r="B7040" s="760"/>
      <c r="C7040" s="760"/>
      <c r="D7040" s="760"/>
      <c r="E7040" s="760"/>
      <c r="F7040" s="760"/>
      <c r="G7040" s="760"/>
      <c r="H7040" s="760"/>
      <c r="I7040" s="760"/>
      <c r="J7040" s="760"/>
      <c r="K7040" s="760"/>
    </row>
    <row r="7041" spans="1:11">
      <c r="A7041" s="760"/>
      <c r="B7041" s="760"/>
      <c r="C7041" s="760"/>
      <c r="D7041" s="760"/>
      <c r="E7041" s="760"/>
      <c r="F7041" s="760"/>
      <c r="G7041" s="760"/>
      <c r="H7041" s="760"/>
      <c r="I7041" s="760"/>
      <c r="J7041" s="760"/>
      <c r="K7041" s="760"/>
    </row>
    <row r="7042" spans="1:11">
      <c r="A7042" s="760"/>
      <c r="B7042" s="760"/>
      <c r="C7042" s="760"/>
      <c r="D7042" s="760"/>
      <c r="E7042" s="760"/>
      <c r="F7042" s="760"/>
      <c r="G7042" s="760"/>
      <c r="H7042" s="760"/>
      <c r="I7042" s="760"/>
      <c r="J7042" s="760"/>
      <c r="K7042" s="760"/>
    </row>
    <row r="7043" spans="1:11">
      <c r="A7043" s="760"/>
      <c r="B7043" s="760"/>
      <c r="C7043" s="760"/>
      <c r="D7043" s="760"/>
      <c r="E7043" s="760"/>
      <c r="F7043" s="760"/>
      <c r="G7043" s="760"/>
      <c r="H7043" s="760"/>
      <c r="I7043" s="760"/>
      <c r="J7043" s="760"/>
      <c r="K7043" s="760"/>
    </row>
    <row r="7044" spans="1:11">
      <c r="A7044" s="760"/>
      <c r="B7044" s="760"/>
      <c r="C7044" s="760"/>
      <c r="D7044" s="760"/>
      <c r="E7044" s="760"/>
      <c r="F7044" s="760"/>
      <c r="G7044" s="760"/>
      <c r="H7044" s="760"/>
      <c r="I7044" s="760"/>
      <c r="J7044" s="760"/>
      <c r="K7044" s="760"/>
    </row>
    <row r="7045" spans="1:11">
      <c r="A7045" s="760"/>
      <c r="B7045" s="760"/>
      <c r="C7045" s="760"/>
      <c r="D7045" s="760"/>
      <c r="E7045" s="760"/>
      <c r="F7045" s="760"/>
      <c r="G7045" s="760"/>
      <c r="H7045" s="760"/>
      <c r="I7045" s="760"/>
      <c r="J7045" s="760"/>
      <c r="K7045" s="760"/>
    </row>
    <row r="7046" spans="1:11">
      <c r="A7046" s="760"/>
      <c r="B7046" s="760"/>
      <c r="C7046" s="760"/>
      <c r="D7046" s="760"/>
      <c r="E7046" s="760"/>
      <c r="F7046" s="760"/>
      <c r="G7046" s="760"/>
      <c r="H7046" s="760"/>
      <c r="I7046" s="760"/>
      <c r="J7046" s="760"/>
      <c r="K7046" s="760"/>
    </row>
    <row r="7047" spans="1:11">
      <c r="A7047" s="760"/>
      <c r="B7047" s="760"/>
      <c r="C7047" s="760"/>
      <c r="D7047" s="760"/>
      <c r="E7047" s="760"/>
      <c r="F7047" s="760"/>
      <c r="G7047" s="760"/>
      <c r="H7047" s="760"/>
      <c r="I7047" s="760"/>
      <c r="J7047" s="760"/>
      <c r="K7047" s="760"/>
    </row>
    <row r="7048" spans="1:11">
      <c r="A7048" s="760"/>
      <c r="B7048" s="760"/>
      <c r="C7048" s="760"/>
      <c r="D7048" s="760"/>
      <c r="E7048" s="760"/>
      <c r="F7048" s="760"/>
      <c r="G7048" s="760"/>
      <c r="H7048" s="760"/>
      <c r="I7048" s="760"/>
      <c r="J7048" s="760"/>
      <c r="K7048" s="760"/>
    </row>
    <row r="7049" spans="1:11">
      <c r="A7049" s="760"/>
      <c r="B7049" s="760"/>
      <c r="C7049" s="760"/>
      <c r="D7049" s="760"/>
      <c r="E7049" s="760"/>
      <c r="F7049" s="760"/>
      <c r="G7049" s="760"/>
      <c r="H7049" s="760"/>
      <c r="I7049" s="760"/>
      <c r="J7049" s="760"/>
      <c r="K7049" s="760"/>
    </row>
    <row r="7050" spans="1:11">
      <c r="A7050" s="760"/>
      <c r="B7050" s="760"/>
      <c r="C7050" s="760"/>
      <c r="D7050" s="760"/>
      <c r="E7050" s="760"/>
      <c r="F7050" s="760"/>
      <c r="G7050" s="760"/>
      <c r="H7050" s="760"/>
      <c r="I7050" s="760"/>
      <c r="J7050" s="760"/>
      <c r="K7050" s="760"/>
    </row>
    <row r="7051" spans="1:11">
      <c r="A7051" s="760"/>
      <c r="B7051" s="760"/>
      <c r="C7051" s="760"/>
      <c r="D7051" s="760"/>
      <c r="E7051" s="760"/>
      <c r="F7051" s="760"/>
      <c r="G7051" s="760"/>
      <c r="H7051" s="760"/>
      <c r="I7051" s="760"/>
      <c r="J7051" s="760"/>
      <c r="K7051" s="760"/>
    </row>
    <row r="7052" spans="1:11">
      <c r="A7052" s="760"/>
      <c r="B7052" s="760"/>
      <c r="C7052" s="760"/>
      <c r="D7052" s="760"/>
      <c r="E7052" s="760"/>
      <c r="F7052" s="760"/>
      <c r="G7052" s="760"/>
      <c r="H7052" s="760"/>
      <c r="I7052" s="760"/>
      <c r="J7052" s="760"/>
      <c r="K7052" s="760"/>
    </row>
    <row r="7053" spans="1:11">
      <c r="A7053" s="760"/>
      <c r="B7053" s="760"/>
      <c r="C7053" s="760"/>
      <c r="D7053" s="760"/>
      <c r="E7053" s="760"/>
      <c r="F7053" s="760"/>
      <c r="G7053" s="760"/>
      <c r="H7053" s="760"/>
      <c r="I7053" s="760"/>
      <c r="J7053" s="760"/>
      <c r="K7053" s="760"/>
    </row>
    <row r="7054" spans="1:11">
      <c r="A7054" s="760"/>
      <c r="B7054" s="760"/>
      <c r="C7054" s="760"/>
      <c r="D7054" s="760"/>
      <c r="E7054" s="760"/>
      <c r="F7054" s="760"/>
      <c r="G7054" s="760"/>
      <c r="H7054" s="760"/>
      <c r="I7054" s="760"/>
      <c r="J7054" s="760"/>
      <c r="K7054" s="760"/>
    </row>
    <row r="7055" spans="1:11">
      <c r="A7055" s="760"/>
      <c r="B7055" s="760"/>
      <c r="C7055" s="760"/>
      <c r="D7055" s="760"/>
      <c r="E7055" s="760"/>
      <c r="F7055" s="760"/>
      <c r="G7055" s="760"/>
      <c r="H7055" s="760"/>
      <c r="I7055" s="760"/>
      <c r="J7055" s="760"/>
      <c r="K7055" s="760"/>
    </row>
    <row r="7056" spans="1:11">
      <c r="A7056" s="760"/>
      <c r="B7056" s="760"/>
      <c r="C7056" s="760"/>
      <c r="D7056" s="760"/>
      <c r="E7056" s="760"/>
      <c r="F7056" s="760"/>
      <c r="G7056" s="760"/>
      <c r="H7056" s="760"/>
      <c r="I7056" s="760"/>
      <c r="J7056" s="760"/>
      <c r="K7056" s="760"/>
    </row>
    <row r="7057" spans="1:11">
      <c r="A7057" s="760"/>
      <c r="B7057" s="760"/>
      <c r="C7057" s="760"/>
      <c r="D7057" s="760"/>
      <c r="E7057" s="760"/>
      <c r="F7057" s="760"/>
      <c r="G7057" s="760"/>
      <c r="H7057" s="760"/>
      <c r="I7057" s="760"/>
      <c r="J7057" s="760"/>
      <c r="K7057" s="760"/>
    </row>
    <row r="7058" spans="1:11">
      <c r="A7058" s="760"/>
      <c r="B7058" s="760"/>
      <c r="C7058" s="760"/>
      <c r="D7058" s="760"/>
      <c r="E7058" s="760"/>
      <c r="F7058" s="760"/>
      <c r="G7058" s="760"/>
      <c r="H7058" s="760"/>
      <c r="I7058" s="760"/>
      <c r="J7058" s="760"/>
      <c r="K7058" s="760"/>
    </row>
    <row r="7059" spans="1:11">
      <c r="A7059" s="760"/>
      <c r="B7059" s="760"/>
      <c r="C7059" s="760"/>
      <c r="D7059" s="760"/>
      <c r="E7059" s="760"/>
      <c r="F7059" s="760"/>
      <c r="G7059" s="760"/>
      <c r="H7059" s="760"/>
      <c r="I7059" s="760"/>
      <c r="J7059" s="760"/>
      <c r="K7059" s="760"/>
    </row>
    <row r="7060" spans="1:11">
      <c r="A7060" s="760"/>
      <c r="B7060" s="760"/>
      <c r="C7060" s="760"/>
      <c r="D7060" s="760"/>
      <c r="E7060" s="760"/>
      <c r="F7060" s="760"/>
      <c r="G7060" s="760"/>
      <c r="H7060" s="760"/>
      <c r="I7060" s="760"/>
      <c r="J7060" s="760"/>
      <c r="K7060" s="760"/>
    </row>
    <row r="7061" spans="1:11">
      <c r="A7061" s="760"/>
      <c r="B7061" s="760"/>
      <c r="C7061" s="760"/>
      <c r="D7061" s="760"/>
      <c r="E7061" s="760"/>
      <c r="F7061" s="760"/>
      <c r="G7061" s="760"/>
      <c r="H7061" s="760"/>
      <c r="I7061" s="760"/>
      <c r="J7061" s="760"/>
      <c r="K7061" s="760"/>
    </row>
    <row r="7062" spans="1:11">
      <c r="A7062" s="760"/>
      <c r="B7062" s="760"/>
      <c r="C7062" s="760"/>
      <c r="D7062" s="760"/>
      <c r="E7062" s="760"/>
      <c r="F7062" s="760"/>
      <c r="G7062" s="760"/>
      <c r="H7062" s="760"/>
      <c r="I7062" s="760"/>
      <c r="J7062" s="760"/>
      <c r="K7062" s="760"/>
    </row>
    <row r="7063" spans="1:11">
      <c r="A7063" s="760"/>
      <c r="B7063" s="760"/>
      <c r="C7063" s="760"/>
      <c r="D7063" s="760"/>
      <c r="E7063" s="760"/>
      <c r="F7063" s="760"/>
      <c r="G7063" s="760"/>
      <c r="H7063" s="760"/>
      <c r="I7063" s="760"/>
      <c r="J7063" s="760"/>
      <c r="K7063" s="760"/>
    </row>
    <row r="7064" spans="1:11">
      <c r="A7064" s="760"/>
      <c r="B7064" s="760"/>
      <c r="C7064" s="760"/>
      <c r="D7064" s="760"/>
      <c r="E7064" s="760"/>
      <c r="F7064" s="760"/>
      <c r="G7064" s="760"/>
      <c r="H7064" s="760"/>
      <c r="I7064" s="760"/>
      <c r="J7064" s="760"/>
      <c r="K7064" s="760"/>
    </row>
    <row r="7065" spans="1:11">
      <c r="A7065" s="760"/>
      <c r="B7065" s="760"/>
      <c r="C7065" s="760"/>
      <c r="D7065" s="760"/>
      <c r="E7065" s="760"/>
      <c r="F7065" s="760"/>
      <c r="G7065" s="760"/>
      <c r="H7065" s="760"/>
      <c r="I7065" s="760"/>
      <c r="J7065" s="760"/>
      <c r="K7065" s="760"/>
    </row>
    <row r="7066" spans="1:11">
      <c r="A7066" s="760"/>
      <c r="B7066" s="760"/>
      <c r="C7066" s="760"/>
      <c r="D7066" s="760"/>
      <c r="E7066" s="760"/>
      <c r="F7066" s="760"/>
      <c r="G7066" s="760"/>
      <c r="H7066" s="760"/>
      <c r="I7066" s="760"/>
      <c r="J7066" s="760"/>
      <c r="K7066" s="760"/>
    </row>
    <row r="7067" spans="1:11">
      <c r="A7067" s="760"/>
      <c r="B7067" s="760"/>
      <c r="C7067" s="760"/>
      <c r="D7067" s="760"/>
      <c r="E7067" s="760"/>
      <c r="F7067" s="760"/>
      <c r="G7067" s="760"/>
      <c r="H7067" s="760"/>
      <c r="I7067" s="760"/>
      <c r="J7067" s="760"/>
      <c r="K7067" s="760"/>
    </row>
    <row r="7068" spans="1:11">
      <c r="A7068" s="760"/>
      <c r="B7068" s="760"/>
      <c r="C7068" s="760"/>
      <c r="D7068" s="760"/>
      <c r="E7068" s="760"/>
      <c r="F7068" s="760"/>
      <c r="G7068" s="760"/>
      <c r="H7068" s="760"/>
      <c r="I7068" s="760"/>
      <c r="J7068" s="760"/>
      <c r="K7068" s="760"/>
    </row>
    <row r="7069" spans="1:11">
      <c r="A7069" s="760"/>
      <c r="B7069" s="760"/>
      <c r="C7069" s="760"/>
      <c r="D7069" s="760"/>
      <c r="E7069" s="760"/>
      <c r="F7069" s="760"/>
      <c r="G7069" s="760"/>
      <c r="H7069" s="760"/>
      <c r="I7069" s="760"/>
      <c r="J7069" s="760"/>
      <c r="K7069" s="760"/>
    </row>
    <row r="7070" spans="1:11">
      <c r="A7070" s="760"/>
      <c r="B7070" s="760"/>
      <c r="C7070" s="760"/>
      <c r="D7070" s="760"/>
      <c r="E7070" s="760"/>
      <c r="F7070" s="760"/>
      <c r="G7070" s="760"/>
      <c r="H7070" s="760"/>
      <c r="I7070" s="760"/>
      <c r="J7070" s="760"/>
      <c r="K7070" s="760"/>
    </row>
    <row r="7071" spans="1:11">
      <c r="A7071" s="760"/>
      <c r="B7071" s="760"/>
      <c r="C7071" s="760"/>
      <c r="D7071" s="760"/>
      <c r="E7071" s="760"/>
      <c r="F7071" s="760"/>
      <c r="G7071" s="760"/>
      <c r="H7071" s="760"/>
      <c r="I7071" s="760"/>
      <c r="J7071" s="760"/>
      <c r="K7071" s="760"/>
    </row>
    <row r="7072" spans="1:11">
      <c r="A7072" s="760"/>
      <c r="B7072" s="760"/>
      <c r="C7072" s="760"/>
      <c r="D7072" s="760"/>
      <c r="E7072" s="760"/>
      <c r="F7072" s="760"/>
      <c r="G7072" s="760"/>
      <c r="H7072" s="760"/>
      <c r="I7072" s="760"/>
      <c r="J7072" s="760"/>
      <c r="K7072" s="760"/>
    </row>
    <row r="7073" spans="1:11">
      <c r="A7073" s="760"/>
      <c r="B7073" s="760"/>
      <c r="C7073" s="760"/>
      <c r="D7073" s="760"/>
      <c r="E7073" s="760"/>
      <c r="F7073" s="760"/>
      <c r="G7073" s="760"/>
      <c r="H7073" s="760"/>
      <c r="I7073" s="760"/>
      <c r="J7073" s="760"/>
      <c r="K7073" s="760"/>
    </row>
    <row r="7074" spans="1:11">
      <c r="A7074" s="760"/>
      <c r="B7074" s="760"/>
      <c r="C7074" s="760"/>
      <c r="D7074" s="760"/>
      <c r="E7074" s="760"/>
      <c r="F7074" s="760"/>
      <c r="G7074" s="760"/>
      <c r="H7074" s="760"/>
      <c r="I7074" s="760"/>
      <c r="J7074" s="760"/>
      <c r="K7074" s="760"/>
    </row>
    <row r="7075" spans="1:11">
      <c r="A7075" s="760"/>
      <c r="B7075" s="760"/>
      <c r="C7075" s="760"/>
      <c r="D7075" s="760"/>
      <c r="E7075" s="760"/>
      <c r="F7075" s="760"/>
      <c r="G7075" s="760"/>
      <c r="H7075" s="760"/>
      <c r="I7075" s="760"/>
      <c r="J7075" s="760"/>
      <c r="K7075" s="760"/>
    </row>
    <row r="7076" spans="1:11">
      <c r="A7076" s="760"/>
      <c r="B7076" s="760"/>
      <c r="C7076" s="760"/>
      <c r="D7076" s="760"/>
      <c r="E7076" s="760"/>
      <c r="F7076" s="760"/>
      <c r="G7076" s="760"/>
      <c r="H7076" s="760"/>
      <c r="I7076" s="760"/>
      <c r="J7076" s="760"/>
      <c r="K7076" s="760"/>
    </row>
    <row r="7077" spans="1:11">
      <c r="A7077" s="760"/>
      <c r="B7077" s="760"/>
      <c r="C7077" s="760"/>
      <c r="D7077" s="760"/>
      <c r="E7077" s="760"/>
      <c r="F7077" s="760"/>
      <c r="G7077" s="760"/>
      <c r="H7077" s="760"/>
      <c r="I7077" s="760"/>
      <c r="J7077" s="760"/>
      <c r="K7077" s="760"/>
    </row>
    <row r="7078" spans="1:11">
      <c r="A7078" s="760"/>
      <c r="B7078" s="760"/>
      <c r="C7078" s="760"/>
      <c r="D7078" s="760"/>
      <c r="E7078" s="760"/>
      <c r="F7078" s="760"/>
      <c r="G7078" s="760"/>
      <c r="H7078" s="760"/>
      <c r="I7078" s="760"/>
      <c r="J7078" s="760"/>
      <c r="K7078" s="760"/>
    </row>
    <row r="7079" spans="1:11">
      <c r="A7079" s="760"/>
      <c r="B7079" s="760"/>
      <c r="C7079" s="760"/>
      <c r="D7079" s="760"/>
      <c r="E7079" s="760"/>
      <c r="F7079" s="760"/>
      <c r="G7079" s="760"/>
      <c r="H7079" s="760"/>
      <c r="I7079" s="760"/>
      <c r="J7079" s="760"/>
      <c r="K7079" s="760"/>
    </row>
    <row r="7080" spans="1:11">
      <c r="A7080" s="760"/>
      <c r="B7080" s="760"/>
      <c r="C7080" s="760"/>
      <c r="D7080" s="760"/>
      <c r="E7080" s="760"/>
      <c r="F7080" s="760"/>
      <c r="G7080" s="760"/>
      <c r="H7080" s="760"/>
      <c r="I7080" s="760"/>
      <c r="J7080" s="760"/>
      <c r="K7080" s="760"/>
    </row>
    <row r="7081" spans="1:11">
      <c r="A7081" s="760"/>
      <c r="B7081" s="760"/>
      <c r="C7081" s="760"/>
      <c r="D7081" s="760"/>
      <c r="E7081" s="760"/>
      <c r="F7081" s="760"/>
      <c r="G7081" s="760"/>
      <c r="H7081" s="760"/>
      <c r="I7081" s="760"/>
      <c r="J7081" s="760"/>
      <c r="K7081" s="760"/>
    </row>
    <row r="7082" spans="1:11">
      <c r="A7082" s="760"/>
      <c r="B7082" s="760"/>
      <c r="C7082" s="760"/>
      <c r="D7082" s="760"/>
      <c r="E7082" s="760"/>
      <c r="F7082" s="760"/>
      <c r="G7082" s="760"/>
      <c r="H7082" s="760"/>
      <c r="I7082" s="760"/>
      <c r="J7082" s="760"/>
      <c r="K7082" s="760"/>
    </row>
    <row r="7083" spans="1:11">
      <c r="A7083" s="760"/>
      <c r="B7083" s="760"/>
      <c r="C7083" s="760"/>
      <c r="D7083" s="760"/>
      <c r="E7083" s="760"/>
      <c r="F7083" s="760"/>
      <c r="G7083" s="760"/>
      <c r="H7083" s="760"/>
      <c r="I7083" s="760"/>
      <c r="J7083" s="760"/>
      <c r="K7083" s="760"/>
    </row>
    <row r="7084" spans="1:11">
      <c r="A7084" s="760"/>
      <c r="B7084" s="760"/>
      <c r="C7084" s="760"/>
      <c r="D7084" s="760"/>
      <c r="E7084" s="760"/>
      <c r="F7084" s="760"/>
      <c r="G7084" s="760"/>
      <c r="H7084" s="760"/>
      <c r="I7084" s="760"/>
      <c r="J7084" s="760"/>
      <c r="K7084" s="760"/>
    </row>
    <row r="7085" spans="1:11">
      <c r="A7085" s="760"/>
      <c r="B7085" s="760"/>
      <c r="C7085" s="760"/>
      <c r="D7085" s="760"/>
      <c r="E7085" s="760"/>
      <c r="F7085" s="760"/>
      <c r="G7085" s="760"/>
      <c r="H7085" s="760"/>
      <c r="I7085" s="760"/>
      <c r="J7085" s="760"/>
      <c r="K7085" s="760"/>
    </row>
    <row r="7086" spans="1:11">
      <c r="A7086" s="760"/>
      <c r="B7086" s="760"/>
      <c r="C7086" s="760"/>
      <c r="D7086" s="760"/>
      <c r="E7086" s="760"/>
      <c r="F7086" s="760"/>
      <c r="G7086" s="760"/>
      <c r="H7086" s="760"/>
      <c r="I7086" s="760"/>
      <c r="J7086" s="760"/>
      <c r="K7086" s="760"/>
    </row>
    <row r="7087" spans="1:11">
      <c r="A7087" s="760"/>
      <c r="B7087" s="760"/>
      <c r="C7087" s="760"/>
      <c r="D7087" s="760"/>
      <c r="E7087" s="760"/>
      <c r="F7087" s="760"/>
      <c r="G7087" s="760"/>
      <c r="H7087" s="760"/>
      <c r="I7087" s="760"/>
      <c r="J7087" s="760"/>
      <c r="K7087" s="760"/>
    </row>
    <row r="7088" spans="1:11">
      <c r="A7088" s="760"/>
      <c r="B7088" s="760"/>
      <c r="C7088" s="760"/>
      <c r="D7088" s="760"/>
      <c r="E7088" s="760"/>
      <c r="F7088" s="760"/>
      <c r="G7088" s="760"/>
      <c r="H7088" s="760"/>
      <c r="I7088" s="760"/>
      <c r="J7088" s="760"/>
      <c r="K7088" s="760"/>
    </row>
    <row r="7089" spans="1:11">
      <c r="A7089" s="760"/>
      <c r="B7089" s="760"/>
      <c r="C7089" s="760"/>
      <c r="D7089" s="760"/>
      <c r="E7089" s="760"/>
      <c r="F7089" s="760"/>
      <c r="G7089" s="760"/>
      <c r="H7089" s="760"/>
      <c r="I7089" s="760"/>
      <c r="J7089" s="760"/>
      <c r="K7089" s="760"/>
    </row>
    <row r="7090" spans="1:11">
      <c r="A7090" s="760"/>
      <c r="B7090" s="760"/>
      <c r="C7090" s="760"/>
      <c r="D7090" s="760"/>
      <c r="E7090" s="760"/>
      <c r="F7090" s="760"/>
      <c r="G7090" s="760"/>
      <c r="H7090" s="760"/>
      <c r="I7090" s="760"/>
      <c r="J7090" s="760"/>
      <c r="K7090" s="760"/>
    </row>
    <row r="7091" spans="1:11">
      <c r="A7091" s="760"/>
      <c r="B7091" s="760"/>
      <c r="C7091" s="760"/>
      <c r="D7091" s="760"/>
      <c r="E7091" s="760"/>
      <c r="F7091" s="760"/>
      <c r="G7091" s="760"/>
      <c r="H7091" s="760"/>
      <c r="I7091" s="760"/>
      <c r="J7091" s="760"/>
      <c r="K7091" s="760"/>
    </row>
    <row r="7092" spans="1:11">
      <c r="A7092" s="760"/>
      <c r="B7092" s="760"/>
      <c r="C7092" s="760"/>
      <c r="D7092" s="760"/>
      <c r="E7092" s="760"/>
      <c r="F7092" s="760"/>
      <c r="G7092" s="760"/>
      <c r="H7092" s="760"/>
      <c r="I7092" s="760"/>
      <c r="J7092" s="760"/>
      <c r="K7092" s="760"/>
    </row>
    <row r="7093" spans="1:11">
      <c r="A7093" s="760"/>
      <c r="B7093" s="760"/>
      <c r="C7093" s="760"/>
      <c r="D7093" s="760"/>
      <c r="E7093" s="760"/>
      <c r="F7093" s="760"/>
      <c r="G7093" s="760"/>
      <c r="H7093" s="760"/>
      <c r="I7093" s="760"/>
      <c r="J7093" s="760"/>
      <c r="K7093" s="760"/>
    </row>
    <row r="7094" spans="1:11">
      <c r="A7094" s="760"/>
      <c r="B7094" s="760"/>
      <c r="C7094" s="760"/>
      <c r="D7094" s="760"/>
      <c r="E7094" s="760"/>
      <c r="F7094" s="760"/>
      <c r="G7094" s="760"/>
      <c r="H7094" s="760"/>
      <c r="I7094" s="760"/>
      <c r="J7094" s="760"/>
      <c r="K7094" s="760"/>
    </row>
    <row r="7095" spans="1:11">
      <c r="A7095" s="760"/>
      <c r="B7095" s="760"/>
      <c r="C7095" s="760"/>
      <c r="D7095" s="760"/>
      <c r="E7095" s="760"/>
      <c r="F7095" s="760"/>
      <c r="G7095" s="760"/>
      <c r="H7095" s="760"/>
      <c r="I7095" s="760"/>
      <c r="J7095" s="760"/>
      <c r="K7095" s="760"/>
    </row>
    <row r="7096" spans="1:11">
      <c r="A7096" s="760"/>
      <c r="B7096" s="760"/>
      <c r="C7096" s="760"/>
      <c r="D7096" s="760"/>
      <c r="E7096" s="760"/>
      <c r="F7096" s="760"/>
      <c r="G7096" s="760"/>
      <c r="H7096" s="760"/>
      <c r="I7096" s="760"/>
      <c r="J7096" s="760"/>
      <c r="K7096" s="760"/>
    </row>
    <row r="7097" spans="1:11">
      <c r="A7097" s="760"/>
      <c r="B7097" s="760"/>
      <c r="C7097" s="760"/>
      <c r="D7097" s="760"/>
      <c r="E7097" s="760"/>
      <c r="F7097" s="760"/>
      <c r="G7097" s="760"/>
      <c r="H7097" s="760"/>
      <c r="I7097" s="760"/>
      <c r="J7097" s="760"/>
      <c r="K7097" s="760"/>
    </row>
    <row r="7098" spans="1:11">
      <c r="A7098" s="760"/>
      <c r="B7098" s="760"/>
      <c r="C7098" s="760"/>
      <c r="D7098" s="760"/>
      <c r="E7098" s="760"/>
      <c r="F7098" s="760"/>
      <c r="G7098" s="760"/>
      <c r="H7098" s="760"/>
      <c r="I7098" s="760"/>
      <c r="J7098" s="760"/>
      <c r="K7098" s="760"/>
    </row>
    <row r="7099" spans="1:11">
      <c r="A7099" s="760"/>
      <c r="B7099" s="760"/>
      <c r="C7099" s="760"/>
      <c r="D7099" s="760"/>
      <c r="E7099" s="760"/>
      <c r="F7099" s="760"/>
      <c r="G7099" s="760"/>
      <c r="H7099" s="760"/>
      <c r="I7099" s="760"/>
      <c r="J7099" s="760"/>
      <c r="K7099" s="760"/>
    </row>
    <row r="7100" spans="1:11">
      <c r="A7100" s="760"/>
      <c r="B7100" s="760"/>
      <c r="C7100" s="760"/>
      <c r="D7100" s="760"/>
      <c r="E7100" s="760"/>
      <c r="F7100" s="760"/>
      <c r="G7100" s="760"/>
      <c r="H7100" s="760"/>
      <c r="I7100" s="760"/>
      <c r="J7100" s="760"/>
      <c r="K7100" s="760"/>
    </row>
    <row r="7101" spans="1:11">
      <c r="A7101" s="760"/>
      <c r="B7101" s="760"/>
      <c r="C7101" s="760"/>
      <c r="D7101" s="760"/>
      <c r="E7101" s="760"/>
      <c r="F7101" s="760"/>
      <c r="G7101" s="760"/>
      <c r="H7101" s="760"/>
      <c r="I7101" s="760"/>
      <c r="J7101" s="760"/>
      <c r="K7101" s="760"/>
    </row>
    <row r="7102" spans="1:11">
      <c r="A7102" s="760"/>
      <c r="B7102" s="760"/>
      <c r="C7102" s="760"/>
      <c r="D7102" s="760"/>
      <c r="E7102" s="760"/>
      <c r="F7102" s="760"/>
      <c r="G7102" s="760"/>
      <c r="H7102" s="760"/>
      <c r="I7102" s="760"/>
      <c r="J7102" s="760"/>
      <c r="K7102" s="760"/>
    </row>
    <row r="7103" spans="1:11">
      <c r="A7103" s="760"/>
      <c r="B7103" s="760"/>
      <c r="C7103" s="760"/>
      <c r="D7103" s="760"/>
      <c r="E7103" s="760"/>
      <c r="F7103" s="760"/>
      <c r="G7103" s="760"/>
      <c r="H7103" s="760"/>
      <c r="I7103" s="760"/>
      <c r="J7103" s="760"/>
      <c r="K7103" s="760"/>
    </row>
    <row r="7104" spans="1:11">
      <c r="A7104" s="760"/>
      <c r="B7104" s="760"/>
      <c r="C7104" s="760"/>
      <c r="D7104" s="760"/>
      <c r="E7104" s="760"/>
      <c r="F7104" s="760"/>
      <c r="G7104" s="760"/>
      <c r="H7104" s="760"/>
      <c r="I7104" s="760"/>
      <c r="J7104" s="760"/>
      <c r="K7104" s="760"/>
    </row>
    <row r="7105" spans="1:11">
      <c r="A7105" s="760"/>
      <c r="B7105" s="760"/>
      <c r="C7105" s="760"/>
      <c r="D7105" s="760"/>
      <c r="E7105" s="760"/>
      <c r="F7105" s="760"/>
      <c r="G7105" s="760"/>
      <c r="H7105" s="760"/>
      <c r="I7105" s="760"/>
      <c r="J7105" s="760"/>
      <c r="K7105" s="760"/>
    </row>
    <row r="7106" spans="1:11">
      <c r="A7106" s="760"/>
      <c r="B7106" s="760"/>
      <c r="C7106" s="760"/>
      <c r="D7106" s="760"/>
      <c r="E7106" s="760"/>
      <c r="F7106" s="760"/>
      <c r="G7106" s="760"/>
      <c r="H7106" s="760"/>
      <c r="I7106" s="760"/>
      <c r="J7106" s="760"/>
      <c r="K7106" s="760"/>
    </row>
    <row r="7107" spans="1:11">
      <c r="A7107" s="760"/>
      <c r="B7107" s="760"/>
      <c r="C7107" s="760"/>
      <c r="D7107" s="760"/>
      <c r="E7107" s="760"/>
      <c r="F7107" s="760"/>
      <c r="G7107" s="760"/>
      <c r="H7107" s="760"/>
      <c r="I7107" s="760"/>
      <c r="J7107" s="760"/>
      <c r="K7107" s="760"/>
    </row>
    <row r="7108" spans="1:11">
      <c r="A7108" s="760"/>
      <c r="B7108" s="760"/>
      <c r="C7108" s="760"/>
      <c r="D7108" s="760"/>
      <c r="E7108" s="760"/>
      <c r="F7108" s="760"/>
      <c r="G7108" s="760"/>
      <c r="H7108" s="760"/>
      <c r="I7108" s="760"/>
      <c r="J7108" s="760"/>
      <c r="K7108" s="760"/>
    </row>
    <row r="7109" spans="1:11">
      <c r="A7109" s="760"/>
      <c r="B7109" s="760"/>
      <c r="C7109" s="760"/>
      <c r="D7109" s="760"/>
      <c r="E7109" s="760"/>
      <c r="F7109" s="760"/>
      <c r="G7109" s="760"/>
      <c r="H7109" s="760"/>
      <c r="I7109" s="760"/>
      <c r="J7109" s="760"/>
      <c r="K7109" s="760"/>
    </row>
    <row r="7110" spans="1:11">
      <c r="A7110" s="760"/>
      <c r="B7110" s="760"/>
      <c r="C7110" s="760"/>
      <c r="D7110" s="760"/>
      <c r="E7110" s="760"/>
      <c r="F7110" s="760"/>
      <c r="G7110" s="760"/>
      <c r="H7110" s="760"/>
      <c r="I7110" s="760"/>
      <c r="J7110" s="760"/>
      <c r="K7110" s="760"/>
    </row>
    <row r="7111" spans="1:11">
      <c r="A7111" s="760"/>
      <c r="B7111" s="760"/>
      <c r="C7111" s="760"/>
      <c r="D7111" s="760"/>
      <c r="E7111" s="760"/>
      <c r="F7111" s="760"/>
      <c r="G7111" s="760"/>
      <c r="H7111" s="760"/>
      <c r="I7111" s="760"/>
      <c r="J7111" s="760"/>
      <c r="K7111" s="760"/>
    </row>
    <row r="7112" spans="1:11">
      <c r="A7112" s="760"/>
      <c r="B7112" s="760"/>
      <c r="C7112" s="760"/>
      <c r="D7112" s="760"/>
      <c r="E7112" s="760"/>
      <c r="F7112" s="760"/>
      <c r="G7112" s="760"/>
      <c r="H7112" s="760"/>
      <c r="I7112" s="760"/>
      <c r="J7112" s="760"/>
      <c r="K7112" s="760"/>
    </row>
    <row r="7113" spans="1:11">
      <c r="A7113" s="760"/>
      <c r="B7113" s="760"/>
      <c r="C7113" s="760"/>
      <c r="D7113" s="760"/>
      <c r="E7113" s="760"/>
      <c r="F7113" s="760"/>
      <c r="G7113" s="760"/>
      <c r="H7113" s="760"/>
      <c r="I7113" s="760"/>
      <c r="J7113" s="760"/>
      <c r="K7113" s="760"/>
    </row>
    <row r="7114" spans="1:11">
      <c r="A7114" s="760"/>
      <c r="B7114" s="760"/>
      <c r="C7114" s="760"/>
      <c r="D7114" s="760"/>
      <c r="E7114" s="760"/>
      <c r="F7114" s="760"/>
      <c r="G7114" s="760"/>
      <c r="H7114" s="760"/>
      <c r="I7114" s="760"/>
      <c r="J7114" s="760"/>
      <c r="K7114" s="760"/>
    </row>
    <row r="7115" spans="1:11">
      <c r="A7115" s="760"/>
      <c r="B7115" s="760"/>
      <c r="C7115" s="760"/>
      <c r="D7115" s="760"/>
      <c r="E7115" s="760"/>
      <c r="F7115" s="760"/>
      <c r="G7115" s="760"/>
      <c r="H7115" s="760"/>
      <c r="I7115" s="760"/>
      <c r="J7115" s="760"/>
      <c r="K7115" s="760"/>
    </row>
    <row r="7116" spans="1:11">
      <c r="A7116" s="760"/>
      <c r="B7116" s="760"/>
      <c r="C7116" s="760"/>
      <c r="D7116" s="760"/>
      <c r="E7116" s="760"/>
      <c r="F7116" s="760"/>
      <c r="G7116" s="760"/>
      <c r="H7116" s="760"/>
      <c r="I7116" s="760"/>
      <c r="J7116" s="760"/>
      <c r="K7116" s="760"/>
    </row>
    <row r="7117" spans="1:11">
      <c r="A7117" s="760"/>
      <c r="B7117" s="760"/>
      <c r="C7117" s="760"/>
      <c r="D7117" s="760"/>
      <c r="E7117" s="760"/>
      <c r="F7117" s="760"/>
      <c r="G7117" s="760"/>
      <c r="H7117" s="760"/>
      <c r="I7117" s="760"/>
      <c r="J7117" s="760"/>
      <c r="K7117" s="760"/>
    </row>
    <row r="7118" spans="1:11">
      <c r="A7118" s="760"/>
      <c r="B7118" s="760"/>
      <c r="C7118" s="760"/>
      <c r="D7118" s="760"/>
      <c r="E7118" s="760"/>
      <c r="F7118" s="760"/>
      <c r="G7118" s="760"/>
      <c r="H7118" s="760"/>
      <c r="I7118" s="760"/>
      <c r="J7118" s="760"/>
      <c r="K7118" s="760"/>
    </row>
    <row r="7119" spans="1:11">
      <c r="A7119" s="760"/>
      <c r="B7119" s="760"/>
      <c r="C7119" s="760"/>
      <c r="D7119" s="760"/>
      <c r="E7119" s="760"/>
      <c r="F7119" s="760"/>
      <c r="G7119" s="760"/>
      <c r="H7119" s="760"/>
      <c r="I7119" s="760"/>
      <c r="J7119" s="760"/>
      <c r="K7119" s="760"/>
    </row>
    <row r="7120" spans="1:11">
      <c r="A7120" s="760"/>
      <c r="B7120" s="760"/>
      <c r="C7120" s="760"/>
      <c r="D7120" s="760"/>
      <c r="E7120" s="760"/>
      <c r="F7120" s="760"/>
      <c r="G7120" s="760"/>
      <c r="H7120" s="760"/>
      <c r="I7120" s="760"/>
      <c r="J7120" s="760"/>
      <c r="K7120" s="760"/>
    </row>
    <row r="7121" spans="1:11">
      <c r="A7121" s="760"/>
      <c r="B7121" s="760"/>
      <c r="C7121" s="760"/>
      <c r="D7121" s="760"/>
      <c r="E7121" s="760"/>
      <c r="F7121" s="760"/>
      <c r="G7121" s="760"/>
      <c r="H7121" s="760"/>
      <c r="I7121" s="760"/>
      <c r="J7121" s="760"/>
      <c r="K7121" s="760"/>
    </row>
    <row r="7122" spans="1:11">
      <c r="A7122" s="760"/>
      <c r="B7122" s="760"/>
      <c r="C7122" s="760"/>
      <c r="D7122" s="760"/>
      <c r="E7122" s="760"/>
      <c r="F7122" s="760"/>
      <c r="G7122" s="760"/>
      <c r="H7122" s="760"/>
      <c r="I7122" s="760"/>
      <c r="J7122" s="760"/>
      <c r="K7122" s="760"/>
    </row>
    <row r="7123" spans="1:11">
      <c r="A7123" s="760"/>
      <c r="B7123" s="760"/>
      <c r="C7123" s="760"/>
      <c r="D7123" s="760"/>
      <c r="E7123" s="760"/>
      <c r="F7123" s="760"/>
      <c r="G7123" s="760"/>
      <c r="H7123" s="760"/>
      <c r="I7123" s="760"/>
      <c r="J7123" s="760"/>
      <c r="K7123" s="760"/>
    </row>
    <row r="7124" spans="1:11">
      <c r="A7124" s="760"/>
      <c r="B7124" s="760"/>
      <c r="C7124" s="760"/>
      <c r="D7124" s="760"/>
      <c r="E7124" s="760"/>
      <c r="F7124" s="760"/>
      <c r="G7124" s="760"/>
      <c r="H7124" s="760"/>
      <c r="I7124" s="760"/>
      <c r="J7124" s="760"/>
      <c r="K7124" s="760"/>
    </row>
    <row r="7125" spans="1:11">
      <c r="A7125" s="760"/>
      <c r="B7125" s="760"/>
      <c r="C7125" s="760"/>
      <c r="D7125" s="760"/>
      <c r="E7125" s="760"/>
      <c r="F7125" s="760"/>
      <c r="G7125" s="760"/>
      <c r="H7125" s="760"/>
      <c r="I7125" s="760"/>
      <c r="J7125" s="760"/>
      <c r="K7125" s="760"/>
    </row>
    <row r="7126" spans="1:11">
      <c r="A7126" s="760"/>
      <c r="B7126" s="760"/>
      <c r="C7126" s="760"/>
      <c r="D7126" s="760"/>
      <c r="E7126" s="760"/>
      <c r="F7126" s="760"/>
      <c r="G7126" s="760"/>
      <c r="H7126" s="760"/>
      <c r="I7126" s="760"/>
      <c r="J7126" s="760"/>
      <c r="K7126" s="760"/>
    </row>
    <row r="7127" spans="1:11">
      <c r="A7127" s="760"/>
      <c r="B7127" s="760"/>
      <c r="C7127" s="760"/>
      <c r="D7127" s="760"/>
      <c r="E7127" s="760"/>
      <c r="F7127" s="760"/>
      <c r="G7127" s="760"/>
      <c r="H7127" s="760"/>
      <c r="I7127" s="760"/>
      <c r="J7127" s="760"/>
      <c r="K7127" s="760"/>
    </row>
    <row r="7128" spans="1:11">
      <c r="A7128" s="760"/>
      <c r="B7128" s="760"/>
      <c r="C7128" s="760"/>
      <c r="D7128" s="760"/>
      <c r="E7128" s="760"/>
      <c r="F7128" s="760"/>
      <c r="G7128" s="760"/>
      <c r="H7128" s="760"/>
      <c r="I7128" s="760"/>
      <c r="J7128" s="760"/>
      <c r="K7128" s="760"/>
    </row>
    <row r="7129" spans="1:11">
      <c r="A7129" s="760"/>
      <c r="B7129" s="760"/>
      <c r="C7129" s="760"/>
      <c r="D7129" s="760"/>
      <c r="E7129" s="760"/>
      <c r="F7129" s="760"/>
      <c r="G7129" s="760"/>
      <c r="H7129" s="760"/>
      <c r="I7129" s="760"/>
      <c r="J7129" s="760"/>
      <c r="K7129" s="760"/>
    </row>
    <row r="7130" spans="1:11">
      <c r="A7130" s="760"/>
      <c r="B7130" s="760"/>
      <c r="C7130" s="760"/>
      <c r="D7130" s="760"/>
      <c r="E7130" s="760"/>
      <c r="F7130" s="760"/>
      <c r="G7130" s="760"/>
      <c r="H7130" s="760"/>
      <c r="I7130" s="760"/>
      <c r="J7130" s="760"/>
      <c r="K7130" s="760"/>
    </row>
    <row r="7131" spans="1:11">
      <c r="A7131" s="760"/>
      <c r="B7131" s="760"/>
      <c r="C7131" s="760"/>
      <c r="D7131" s="760"/>
      <c r="E7131" s="760"/>
      <c r="F7131" s="760"/>
      <c r="G7131" s="760"/>
      <c r="H7131" s="760"/>
      <c r="I7131" s="760"/>
      <c r="J7131" s="760"/>
      <c r="K7131" s="760"/>
    </row>
    <row r="7132" spans="1:11">
      <c r="A7132" s="760"/>
      <c r="B7132" s="760"/>
      <c r="C7132" s="760"/>
      <c r="D7132" s="760"/>
      <c r="E7132" s="760"/>
      <c r="F7132" s="760"/>
      <c r="G7132" s="760"/>
      <c r="H7132" s="760"/>
      <c r="I7132" s="760"/>
      <c r="J7132" s="760"/>
      <c r="K7132" s="760"/>
    </row>
    <row r="7133" spans="1:11">
      <c r="A7133" s="760"/>
      <c r="B7133" s="760"/>
      <c r="C7133" s="760"/>
      <c r="D7133" s="760"/>
      <c r="E7133" s="760"/>
      <c r="F7133" s="760"/>
      <c r="G7133" s="760"/>
      <c r="H7133" s="760"/>
      <c r="I7133" s="760"/>
      <c r="J7133" s="760"/>
      <c r="K7133" s="760"/>
    </row>
    <row r="7134" spans="1:11">
      <c r="A7134" s="760"/>
      <c r="B7134" s="760"/>
      <c r="C7134" s="760"/>
      <c r="D7134" s="760"/>
      <c r="E7134" s="760"/>
      <c r="F7134" s="760"/>
      <c r="G7134" s="760"/>
      <c r="H7134" s="760"/>
      <c r="I7134" s="760"/>
      <c r="J7134" s="760"/>
      <c r="K7134" s="760"/>
    </row>
    <row r="7135" spans="1:11">
      <c r="A7135" s="760"/>
      <c r="B7135" s="760"/>
      <c r="C7135" s="760"/>
      <c r="D7135" s="760"/>
      <c r="E7135" s="760"/>
      <c r="F7135" s="760"/>
      <c r="G7135" s="760"/>
      <c r="H7135" s="760"/>
      <c r="I7135" s="760"/>
      <c r="J7135" s="760"/>
      <c r="K7135" s="760"/>
    </row>
    <row r="7136" spans="1:11">
      <c r="A7136" s="760"/>
      <c r="B7136" s="760"/>
      <c r="C7136" s="760"/>
      <c r="D7136" s="760"/>
      <c r="E7136" s="760"/>
      <c r="F7136" s="760"/>
      <c r="G7136" s="760"/>
      <c r="H7136" s="760"/>
      <c r="I7136" s="760"/>
      <c r="J7136" s="760"/>
      <c r="K7136" s="760"/>
    </row>
    <row r="7137" spans="1:11">
      <c r="A7137" s="760"/>
      <c r="B7137" s="760"/>
      <c r="C7137" s="760"/>
      <c r="D7137" s="760"/>
      <c r="E7137" s="760"/>
      <c r="F7137" s="760"/>
      <c r="G7137" s="760"/>
      <c r="H7137" s="760"/>
      <c r="I7137" s="760"/>
      <c r="J7137" s="760"/>
      <c r="K7137" s="760"/>
    </row>
    <row r="7138" spans="1:11">
      <c r="A7138" s="760"/>
      <c r="B7138" s="760"/>
      <c r="C7138" s="760"/>
      <c r="D7138" s="760"/>
      <c r="E7138" s="760"/>
      <c r="F7138" s="760"/>
      <c r="G7138" s="760"/>
      <c r="H7138" s="760"/>
      <c r="I7138" s="760"/>
      <c r="J7138" s="760"/>
      <c r="K7138" s="760"/>
    </row>
    <row r="7139" spans="1:11">
      <c r="A7139" s="760"/>
      <c r="B7139" s="760"/>
      <c r="C7139" s="760"/>
      <c r="D7139" s="760"/>
      <c r="E7139" s="760"/>
      <c r="F7139" s="760"/>
      <c r="G7139" s="760"/>
      <c r="H7139" s="760"/>
      <c r="I7139" s="760"/>
      <c r="J7139" s="760"/>
      <c r="K7139" s="760"/>
    </row>
    <row r="7140" spans="1:11">
      <c r="A7140" s="760"/>
      <c r="B7140" s="760"/>
      <c r="C7140" s="760"/>
      <c r="D7140" s="760"/>
      <c r="E7140" s="760"/>
      <c r="F7140" s="760"/>
      <c r="G7140" s="760"/>
      <c r="H7140" s="760"/>
      <c r="I7140" s="760"/>
      <c r="J7140" s="760"/>
      <c r="K7140" s="760"/>
    </row>
    <row r="7141" spans="1:11">
      <c r="A7141" s="760"/>
      <c r="B7141" s="760"/>
      <c r="C7141" s="760"/>
      <c r="D7141" s="760"/>
      <c r="E7141" s="760"/>
      <c r="F7141" s="760"/>
      <c r="G7141" s="760"/>
      <c r="H7141" s="760"/>
      <c r="I7141" s="760"/>
      <c r="J7141" s="760"/>
      <c r="K7141" s="760"/>
    </row>
    <row r="7142" spans="1:11">
      <c r="A7142" s="760"/>
      <c r="B7142" s="760"/>
      <c r="C7142" s="760"/>
      <c r="D7142" s="760"/>
      <c r="E7142" s="760"/>
      <c r="F7142" s="760"/>
      <c r="G7142" s="760"/>
      <c r="H7142" s="760"/>
      <c r="I7142" s="760"/>
      <c r="J7142" s="760"/>
      <c r="K7142" s="760"/>
    </row>
    <row r="7143" spans="1:11">
      <c r="A7143" s="760"/>
      <c r="B7143" s="760"/>
      <c r="C7143" s="760"/>
      <c r="D7143" s="760"/>
      <c r="E7143" s="760"/>
      <c r="F7143" s="760"/>
      <c r="G7143" s="760"/>
      <c r="H7143" s="760"/>
      <c r="I7143" s="760"/>
      <c r="J7143" s="760"/>
      <c r="K7143" s="760"/>
    </row>
    <row r="7144" spans="1:11">
      <c r="A7144" s="760"/>
      <c r="B7144" s="760"/>
      <c r="C7144" s="760"/>
      <c r="D7144" s="760"/>
      <c r="E7144" s="760"/>
      <c r="F7144" s="760"/>
      <c r="G7144" s="760"/>
      <c r="H7144" s="760"/>
      <c r="I7144" s="760"/>
      <c r="J7144" s="760"/>
      <c r="K7144" s="760"/>
    </row>
    <row r="7145" spans="1:11">
      <c r="A7145" s="760"/>
      <c r="B7145" s="760"/>
      <c r="C7145" s="760"/>
      <c r="D7145" s="760"/>
      <c r="E7145" s="760"/>
      <c r="F7145" s="760"/>
      <c r="G7145" s="760"/>
      <c r="H7145" s="760"/>
      <c r="I7145" s="760"/>
      <c r="J7145" s="760"/>
      <c r="K7145" s="760"/>
    </row>
    <row r="7146" spans="1:11">
      <c r="A7146" s="760"/>
      <c r="B7146" s="760"/>
      <c r="C7146" s="760"/>
      <c r="D7146" s="760"/>
      <c r="E7146" s="760"/>
      <c r="F7146" s="760"/>
      <c r="G7146" s="760"/>
      <c r="H7146" s="760"/>
      <c r="I7146" s="760"/>
      <c r="J7146" s="760"/>
      <c r="K7146" s="760"/>
    </row>
    <row r="7147" spans="1:11">
      <c r="A7147" s="760"/>
      <c r="B7147" s="760"/>
      <c r="C7147" s="760"/>
      <c r="D7147" s="760"/>
      <c r="E7147" s="760"/>
      <c r="F7147" s="760"/>
      <c r="G7147" s="760"/>
      <c r="H7147" s="760"/>
      <c r="I7147" s="760"/>
      <c r="J7147" s="760"/>
      <c r="K7147" s="760"/>
    </row>
    <row r="7148" spans="1:11">
      <c r="A7148" s="760"/>
      <c r="B7148" s="760"/>
      <c r="C7148" s="760"/>
      <c r="D7148" s="760"/>
      <c r="E7148" s="760"/>
      <c r="F7148" s="760"/>
      <c r="G7148" s="760"/>
      <c r="H7148" s="760"/>
      <c r="I7148" s="760"/>
      <c r="J7148" s="760"/>
      <c r="K7148" s="760"/>
    </row>
    <row r="7149" spans="1:11">
      <c r="A7149" s="760"/>
      <c r="B7149" s="760"/>
      <c r="C7149" s="760"/>
      <c r="D7149" s="760"/>
      <c r="E7149" s="760"/>
      <c r="F7149" s="760"/>
      <c r="G7149" s="760"/>
      <c r="H7149" s="760"/>
      <c r="I7149" s="760"/>
      <c r="J7149" s="760"/>
      <c r="K7149" s="760"/>
    </row>
    <row r="7150" spans="1:11">
      <c r="A7150" s="760"/>
      <c r="B7150" s="760"/>
      <c r="C7150" s="760"/>
      <c r="D7150" s="760"/>
      <c r="E7150" s="760"/>
      <c r="F7150" s="760"/>
      <c r="G7150" s="760"/>
      <c r="H7150" s="760"/>
      <c r="I7150" s="760"/>
      <c r="J7150" s="760"/>
      <c r="K7150" s="760"/>
    </row>
    <row r="7151" spans="1:11">
      <c r="A7151" s="760"/>
      <c r="B7151" s="760"/>
      <c r="C7151" s="760"/>
      <c r="D7151" s="760"/>
      <c r="E7151" s="760"/>
      <c r="F7151" s="760"/>
      <c r="G7151" s="760"/>
      <c r="H7151" s="760"/>
      <c r="I7151" s="760"/>
      <c r="J7151" s="760"/>
      <c r="K7151" s="760"/>
    </row>
    <row r="7152" spans="1:11">
      <c r="A7152" s="760"/>
      <c r="B7152" s="760"/>
      <c r="C7152" s="760"/>
      <c r="D7152" s="760"/>
      <c r="E7152" s="760"/>
      <c r="F7152" s="760"/>
      <c r="G7152" s="760"/>
      <c r="H7152" s="760"/>
      <c r="I7152" s="760"/>
      <c r="J7152" s="760"/>
      <c r="K7152" s="760"/>
    </row>
    <row r="7153" spans="1:11">
      <c r="A7153" s="760"/>
      <c r="B7153" s="760"/>
      <c r="C7153" s="760"/>
      <c r="D7153" s="760"/>
      <c r="E7153" s="760"/>
      <c r="F7153" s="760"/>
      <c r="G7153" s="760"/>
      <c r="H7153" s="760"/>
      <c r="I7153" s="760"/>
      <c r="J7153" s="760"/>
      <c r="K7153" s="760"/>
    </row>
    <row r="7154" spans="1:11">
      <c r="A7154" s="760"/>
      <c r="B7154" s="760"/>
      <c r="C7154" s="760"/>
      <c r="D7154" s="760"/>
      <c r="E7154" s="760"/>
      <c r="F7154" s="760"/>
      <c r="G7154" s="760"/>
      <c r="H7154" s="760"/>
      <c r="I7154" s="760"/>
      <c r="J7154" s="760"/>
      <c r="K7154" s="760"/>
    </row>
    <row r="7155" spans="1:11">
      <c r="A7155" s="760"/>
      <c r="B7155" s="760"/>
      <c r="C7155" s="760"/>
      <c r="D7155" s="760"/>
      <c r="E7155" s="760"/>
      <c r="F7155" s="760"/>
      <c r="G7155" s="760"/>
      <c r="H7155" s="760"/>
      <c r="I7155" s="760"/>
      <c r="J7155" s="760"/>
      <c r="K7155" s="760"/>
    </row>
    <row r="7156" spans="1:11">
      <c r="A7156" s="760"/>
      <c r="B7156" s="760"/>
      <c r="C7156" s="760"/>
      <c r="D7156" s="760"/>
      <c r="E7156" s="760"/>
      <c r="F7156" s="760"/>
      <c r="G7156" s="760"/>
      <c r="H7156" s="760"/>
      <c r="I7156" s="760"/>
      <c r="J7156" s="760"/>
      <c r="K7156" s="760"/>
    </row>
    <row r="7157" spans="1:11">
      <c r="A7157" s="760"/>
      <c r="B7157" s="760"/>
      <c r="C7157" s="760"/>
      <c r="D7157" s="760"/>
      <c r="E7157" s="760"/>
      <c r="F7157" s="760"/>
      <c r="G7157" s="760"/>
      <c r="H7157" s="760"/>
      <c r="I7157" s="760"/>
      <c r="J7157" s="760"/>
      <c r="K7157" s="760"/>
    </row>
    <row r="7158" spans="1:11">
      <c r="A7158" s="760"/>
      <c r="B7158" s="760"/>
      <c r="C7158" s="760"/>
      <c r="D7158" s="760"/>
      <c r="E7158" s="760"/>
      <c r="F7158" s="760"/>
      <c r="G7158" s="760"/>
      <c r="H7158" s="760"/>
      <c r="I7158" s="760"/>
      <c r="J7158" s="760"/>
      <c r="K7158" s="760"/>
    </row>
    <row r="7159" spans="1:11">
      <c r="A7159" s="760"/>
      <c r="B7159" s="760"/>
      <c r="C7159" s="760"/>
      <c r="D7159" s="760"/>
      <c r="E7159" s="760"/>
      <c r="F7159" s="760"/>
      <c r="G7159" s="760"/>
      <c r="H7159" s="760"/>
      <c r="I7159" s="760"/>
      <c r="J7159" s="760"/>
      <c r="K7159" s="760"/>
    </row>
    <row r="7160" spans="1:11">
      <c r="A7160" s="760"/>
      <c r="B7160" s="760"/>
      <c r="C7160" s="760"/>
      <c r="D7160" s="760"/>
      <c r="E7160" s="760"/>
      <c r="F7160" s="760"/>
      <c r="G7160" s="760"/>
      <c r="H7160" s="760"/>
      <c r="I7160" s="760"/>
      <c r="J7160" s="760"/>
      <c r="K7160" s="760"/>
    </row>
    <row r="7161" spans="1:11">
      <c r="A7161" s="760"/>
      <c r="B7161" s="760"/>
      <c r="C7161" s="760"/>
      <c r="D7161" s="760"/>
      <c r="E7161" s="760"/>
      <c r="F7161" s="760"/>
      <c r="G7161" s="760"/>
      <c r="H7161" s="760"/>
      <c r="I7161" s="760"/>
      <c r="J7161" s="760"/>
      <c r="K7161" s="760"/>
    </row>
    <row r="7162" spans="1:11">
      <c r="A7162" s="760"/>
      <c r="B7162" s="760"/>
      <c r="C7162" s="760"/>
      <c r="D7162" s="760"/>
      <c r="E7162" s="760"/>
      <c r="F7162" s="760"/>
      <c r="G7162" s="760"/>
      <c r="H7162" s="760"/>
      <c r="I7162" s="760"/>
      <c r="J7162" s="760"/>
      <c r="K7162" s="760"/>
    </row>
    <row r="7163" spans="1:11">
      <c r="A7163" s="760"/>
      <c r="B7163" s="760"/>
      <c r="C7163" s="760"/>
      <c r="D7163" s="760"/>
      <c r="E7163" s="760"/>
      <c r="F7163" s="760"/>
      <c r="G7163" s="760"/>
      <c r="H7163" s="760"/>
      <c r="I7163" s="760"/>
      <c r="J7163" s="760"/>
      <c r="K7163" s="760"/>
    </row>
    <row r="7164" spans="1:11">
      <c r="A7164" s="760"/>
      <c r="B7164" s="760"/>
      <c r="C7164" s="760"/>
      <c r="D7164" s="760"/>
      <c r="E7164" s="760"/>
      <c r="F7164" s="760"/>
      <c r="G7164" s="760"/>
      <c r="H7164" s="760"/>
      <c r="I7164" s="760"/>
      <c r="J7164" s="760"/>
      <c r="K7164" s="760"/>
    </row>
    <row r="7165" spans="1:11">
      <c r="A7165" s="760"/>
      <c r="B7165" s="760"/>
      <c r="C7165" s="760"/>
      <c r="D7165" s="760"/>
      <c r="E7165" s="760"/>
      <c r="F7165" s="760"/>
      <c r="G7165" s="760"/>
      <c r="H7165" s="760"/>
      <c r="I7165" s="760"/>
      <c r="J7165" s="760"/>
      <c r="K7165" s="760"/>
    </row>
    <row r="7166" spans="1:11">
      <c r="A7166" s="760"/>
      <c r="B7166" s="760"/>
      <c r="C7166" s="760"/>
      <c r="D7166" s="760"/>
      <c r="E7166" s="760"/>
      <c r="F7166" s="760"/>
      <c r="G7166" s="760"/>
      <c r="H7166" s="760"/>
      <c r="I7166" s="760"/>
      <c r="J7166" s="760"/>
      <c r="K7166" s="760"/>
    </row>
    <row r="7167" spans="1:11">
      <c r="A7167" s="760"/>
      <c r="B7167" s="760"/>
      <c r="C7167" s="760"/>
      <c r="D7167" s="760"/>
      <c r="E7167" s="760"/>
      <c r="F7167" s="760"/>
      <c r="G7167" s="760"/>
      <c r="H7167" s="760"/>
      <c r="I7167" s="760"/>
      <c r="J7167" s="760"/>
      <c r="K7167" s="760"/>
    </row>
    <row r="7168" spans="1:11">
      <c r="A7168" s="760"/>
      <c r="B7168" s="760"/>
      <c r="C7168" s="760"/>
      <c r="D7168" s="760"/>
      <c r="E7168" s="760"/>
      <c r="F7168" s="760"/>
      <c r="G7168" s="760"/>
      <c r="H7168" s="760"/>
      <c r="I7168" s="760"/>
      <c r="J7168" s="760"/>
      <c r="K7168" s="760"/>
    </row>
    <row r="7169" spans="1:11">
      <c r="A7169" s="760"/>
      <c r="B7169" s="760"/>
      <c r="C7169" s="760"/>
      <c r="D7169" s="760"/>
      <c r="E7169" s="760"/>
      <c r="F7169" s="760"/>
      <c r="G7169" s="760"/>
      <c r="H7169" s="760"/>
      <c r="I7169" s="760"/>
      <c r="J7169" s="760"/>
      <c r="K7169" s="760"/>
    </row>
    <row r="7170" spans="1:11">
      <c r="A7170" s="760"/>
      <c r="B7170" s="760"/>
      <c r="C7170" s="760"/>
      <c r="D7170" s="760"/>
      <c r="E7170" s="760"/>
      <c r="F7170" s="760"/>
      <c r="G7170" s="760"/>
      <c r="H7170" s="760"/>
      <c r="I7170" s="760"/>
      <c r="J7170" s="760"/>
      <c r="K7170" s="760"/>
    </row>
    <row r="7171" spans="1:11">
      <c r="A7171" s="760"/>
      <c r="B7171" s="760"/>
      <c r="C7171" s="760"/>
      <c r="D7171" s="760"/>
      <c r="E7171" s="760"/>
      <c r="F7171" s="760"/>
      <c r="G7171" s="760"/>
      <c r="H7171" s="760"/>
      <c r="I7171" s="760"/>
      <c r="J7171" s="760"/>
      <c r="K7171" s="760"/>
    </row>
    <row r="7172" spans="1:11">
      <c r="A7172" s="760"/>
      <c r="B7172" s="760"/>
      <c r="C7172" s="760"/>
      <c r="D7172" s="760"/>
      <c r="E7172" s="760"/>
      <c r="F7172" s="760"/>
      <c r="G7172" s="760"/>
      <c r="H7172" s="760"/>
      <c r="I7172" s="760"/>
      <c r="J7172" s="760"/>
      <c r="K7172" s="760"/>
    </row>
    <row r="7173" spans="1:11">
      <c r="A7173" s="760"/>
      <c r="B7173" s="760"/>
      <c r="C7173" s="760"/>
      <c r="D7173" s="760"/>
      <c r="E7173" s="760"/>
      <c r="F7173" s="760"/>
      <c r="G7173" s="760"/>
      <c r="H7173" s="760"/>
      <c r="I7173" s="760"/>
      <c r="J7173" s="760"/>
      <c r="K7173" s="760"/>
    </row>
    <row r="7174" spans="1:11">
      <c r="A7174" s="760"/>
      <c r="B7174" s="760"/>
      <c r="C7174" s="760"/>
      <c r="D7174" s="760"/>
      <c r="E7174" s="760"/>
      <c r="F7174" s="760"/>
      <c r="G7174" s="760"/>
      <c r="H7174" s="760"/>
      <c r="I7174" s="760"/>
      <c r="J7174" s="760"/>
      <c r="K7174" s="760"/>
    </row>
    <row r="7175" spans="1:11">
      <c r="A7175" s="760"/>
      <c r="B7175" s="760"/>
      <c r="C7175" s="760"/>
      <c r="D7175" s="760"/>
      <c r="E7175" s="760"/>
      <c r="F7175" s="760"/>
      <c r="G7175" s="760"/>
      <c r="H7175" s="760"/>
      <c r="I7175" s="760"/>
      <c r="J7175" s="760"/>
      <c r="K7175" s="760"/>
    </row>
    <row r="7176" spans="1:11">
      <c r="A7176" s="760"/>
      <c r="B7176" s="760"/>
      <c r="C7176" s="760"/>
      <c r="D7176" s="760"/>
      <c r="E7176" s="760"/>
      <c r="F7176" s="760"/>
      <c r="G7176" s="760"/>
      <c r="H7176" s="760"/>
      <c r="I7176" s="760"/>
      <c r="J7176" s="760"/>
      <c r="K7176" s="760"/>
    </row>
    <row r="7177" spans="1:11">
      <c r="A7177" s="760"/>
      <c r="B7177" s="760"/>
      <c r="C7177" s="760"/>
      <c r="D7177" s="760"/>
      <c r="E7177" s="760"/>
      <c r="F7177" s="760"/>
      <c r="G7177" s="760"/>
      <c r="H7177" s="760"/>
      <c r="I7177" s="760"/>
      <c r="J7177" s="760"/>
      <c r="K7177" s="760"/>
    </row>
    <row r="7178" spans="1:11">
      <c r="A7178" s="760"/>
      <c r="B7178" s="760"/>
      <c r="C7178" s="760"/>
      <c r="D7178" s="760"/>
      <c r="E7178" s="760"/>
      <c r="F7178" s="760"/>
      <c r="G7178" s="760"/>
      <c r="H7178" s="760"/>
      <c r="I7178" s="760"/>
      <c r="J7178" s="760"/>
      <c r="K7178" s="760"/>
    </row>
    <row r="7179" spans="1:11">
      <c r="A7179" s="760"/>
      <c r="B7179" s="760"/>
      <c r="C7179" s="760"/>
      <c r="D7179" s="760"/>
      <c r="E7179" s="760"/>
      <c r="F7179" s="760"/>
      <c r="G7179" s="760"/>
      <c r="H7179" s="760"/>
      <c r="I7179" s="760"/>
      <c r="J7179" s="760"/>
      <c r="K7179" s="760"/>
    </row>
    <row r="7180" spans="1:11">
      <c r="A7180" s="760"/>
      <c r="B7180" s="760"/>
      <c r="C7180" s="760"/>
      <c r="D7180" s="760"/>
      <c r="E7180" s="760"/>
      <c r="F7180" s="760"/>
      <c r="G7180" s="760"/>
      <c r="H7180" s="760"/>
      <c r="I7180" s="760"/>
      <c r="J7180" s="760"/>
      <c r="K7180" s="760"/>
    </row>
    <row r="7181" spans="1:11">
      <c r="A7181" s="760"/>
      <c r="B7181" s="760"/>
      <c r="C7181" s="760"/>
      <c r="D7181" s="760"/>
      <c r="E7181" s="760"/>
      <c r="F7181" s="760"/>
      <c r="G7181" s="760"/>
      <c r="H7181" s="760"/>
      <c r="I7181" s="760"/>
      <c r="J7181" s="760"/>
      <c r="K7181" s="760"/>
    </row>
    <row r="7182" spans="1:11">
      <c r="A7182" s="760"/>
      <c r="B7182" s="760"/>
      <c r="C7182" s="760"/>
      <c r="D7182" s="760"/>
      <c r="E7182" s="760"/>
      <c r="F7182" s="760"/>
      <c r="G7182" s="760"/>
      <c r="H7182" s="760"/>
      <c r="I7182" s="760"/>
      <c r="J7182" s="760"/>
      <c r="K7182" s="760"/>
    </row>
    <row r="7183" spans="1:11">
      <c r="A7183" s="760"/>
      <c r="B7183" s="760"/>
      <c r="C7183" s="760"/>
      <c r="D7183" s="760"/>
      <c r="E7183" s="760"/>
      <c r="F7183" s="760"/>
      <c r="G7183" s="760"/>
      <c r="H7183" s="760"/>
      <c r="I7183" s="760"/>
      <c r="J7183" s="760"/>
      <c r="K7183" s="760"/>
    </row>
    <row r="7184" spans="1:11">
      <c r="A7184" s="760"/>
      <c r="B7184" s="760"/>
      <c r="C7184" s="760"/>
      <c r="D7184" s="760"/>
      <c r="E7184" s="760"/>
      <c r="F7184" s="760"/>
      <c r="G7184" s="760"/>
      <c r="H7184" s="760"/>
      <c r="I7184" s="760"/>
      <c r="J7184" s="760"/>
      <c r="K7184" s="760"/>
    </row>
    <row r="7185" spans="1:11">
      <c r="A7185" s="760"/>
      <c r="B7185" s="760"/>
      <c r="C7185" s="760"/>
      <c r="D7185" s="760"/>
      <c r="E7185" s="760"/>
      <c r="F7185" s="760"/>
      <c r="G7185" s="760"/>
      <c r="H7185" s="760"/>
      <c r="I7185" s="760"/>
      <c r="J7185" s="760"/>
      <c r="K7185" s="760"/>
    </row>
    <row r="7186" spans="1:11">
      <c r="A7186" s="760"/>
      <c r="B7186" s="760"/>
      <c r="C7186" s="760"/>
      <c r="D7186" s="760"/>
      <c r="E7186" s="760"/>
      <c r="F7186" s="760"/>
      <c r="G7186" s="760"/>
      <c r="H7186" s="760"/>
      <c r="I7186" s="760"/>
      <c r="J7186" s="760"/>
      <c r="K7186" s="760"/>
    </row>
    <row r="7187" spans="1:11">
      <c r="A7187" s="760"/>
      <c r="B7187" s="760"/>
      <c r="C7187" s="760"/>
      <c r="D7187" s="760"/>
      <c r="E7187" s="760"/>
      <c r="F7187" s="760"/>
      <c r="G7187" s="760"/>
      <c r="H7187" s="760"/>
      <c r="I7187" s="760"/>
      <c r="J7187" s="760"/>
      <c r="K7187" s="760"/>
    </row>
    <row r="7188" spans="1:11">
      <c r="A7188" s="760"/>
      <c r="B7188" s="760"/>
      <c r="C7188" s="760"/>
      <c r="D7188" s="760"/>
      <c r="E7188" s="760"/>
      <c r="F7188" s="760"/>
      <c r="G7188" s="760"/>
      <c r="H7188" s="760"/>
      <c r="I7188" s="760"/>
      <c r="J7188" s="760"/>
      <c r="K7188" s="760"/>
    </row>
    <row r="7189" spans="1:11">
      <c r="A7189" s="760"/>
      <c r="B7189" s="760"/>
      <c r="C7189" s="760"/>
      <c r="D7189" s="760"/>
      <c r="E7189" s="760"/>
      <c r="F7189" s="760"/>
      <c r="G7189" s="760"/>
      <c r="H7189" s="760"/>
      <c r="I7189" s="760"/>
      <c r="J7189" s="760"/>
      <c r="K7189" s="760"/>
    </row>
    <row r="7190" spans="1:11">
      <c r="A7190" s="760"/>
      <c r="B7190" s="760"/>
      <c r="C7190" s="760"/>
      <c r="D7190" s="760"/>
      <c r="E7190" s="760"/>
      <c r="F7190" s="760"/>
      <c r="G7190" s="760"/>
      <c r="H7190" s="760"/>
      <c r="I7190" s="760"/>
      <c r="J7190" s="760"/>
      <c r="K7190" s="760"/>
    </row>
    <row r="7191" spans="1:11">
      <c r="A7191" s="760"/>
      <c r="B7191" s="760"/>
      <c r="C7191" s="760"/>
      <c r="D7191" s="760"/>
      <c r="E7191" s="760"/>
      <c r="F7191" s="760"/>
      <c r="G7191" s="760"/>
      <c r="H7191" s="760"/>
      <c r="I7191" s="760"/>
      <c r="J7191" s="760"/>
      <c r="K7191" s="760"/>
    </row>
    <row r="7192" spans="1:11">
      <c r="A7192" s="760"/>
      <c r="B7192" s="760"/>
      <c r="C7192" s="760"/>
      <c r="D7192" s="760"/>
      <c r="E7192" s="760"/>
      <c r="F7192" s="760"/>
      <c r="G7192" s="760"/>
      <c r="H7192" s="760"/>
      <c r="I7192" s="760"/>
      <c r="J7192" s="760"/>
      <c r="K7192" s="760"/>
    </row>
    <row r="7193" spans="1:11">
      <c r="A7193" s="760"/>
      <c r="B7193" s="760"/>
      <c r="C7193" s="760"/>
      <c r="D7193" s="760"/>
      <c r="E7193" s="760"/>
      <c r="F7193" s="760"/>
      <c r="G7193" s="760"/>
      <c r="H7193" s="760"/>
      <c r="I7193" s="760"/>
      <c r="J7193" s="760"/>
      <c r="K7193" s="760"/>
    </row>
    <row r="7194" spans="1:11">
      <c r="A7194" s="760"/>
      <c r="B7194" s="760"/>
      <c r="C7194" s="760"/>
      <c r="D7194" s="760"/>
      <c r="E7194" s="760"/>
      <c r="F7194" s="760"/>
      <c r="G7194" s="760"/>
      <c r="H7194" s="760"/>
      <c r="I7194" s="760"/>
      <c r="J7194" s="760"/>
      <c r="K7194" s="760"/>
    </row>
    <row r="7195" spans="1:11">
      <c r="A7195" s="760"/>
      <c r="B7195" s="760"/>
      <c r="C7195" s="760"/>
      <c r="D7195" s="760"/>
      <c r="E7195" s="760"/>
      <c r="F7195" s="760"/>
      <c r="G7195" s="760"/>
      <c r="H7195" s="760"/>
      <c r="I7195" s="760"/>
      <c r="J7195" s="760"/>
      <c r="K7195" s="760"/>
    </row>
    <row r="7196" spans="1:11">
      <c r="A7196" s="760"/>
      <c r="B7196" s="760"/>
      <c r="C7196" s="760"/>
      <c r="D7196" s="760"/>
      <c r="E7196" s="760"/>
      <c r="F7196" s="760"/>
      <c r="G7196" s="760"/>
      <c r="H7196" s="760"/>
      <c r="I7196" s="760"/>
      <c r="J7196" s="760"/>
      <c r="K7196" s="760"/>
    </row>
    <row r="7197" spans="1:11">
      <c r="A7197" s="760"/>
      <c r="B7197" s="760"/>
      <c r="C7197" s="760"/>
      <c r="D7197" s="760"/>
      <c r="E7197" s="760"/>
      <c r="F7197" s="760"/>
      <c r="G7197" s="760"/>
      <c r="H7197" s="760"/>
      <c r="I7197" s="760"/>
      <c r="J7197" s="760"/>
      <c r="K7197" s="760"/>
    </row>
    <row r="7198" spans="1:11">
      <c r="A7198" s="760"/>
      <c r="B7198" s="760"/>
      <c r="C7198" s="760"/>
      <c r="D7198" s="760"/>
      <c r="E7198" s="760"/>
      <c r="F7198" s="760"/>
      <c r="G7198" s="760"/>
      <c r="H7198" s="760"/>
      <c r="I7198" s="760"/>
      <c r="J7198" s="760"/>
      <c r="K7198" s="760"/>
    </row>
    <row r="7199" spans="1:11">
      <c r="A7199" s="760"/>
      <c r="B7199" s="760"/>
      <c r="C7199" s="760"/>
      <c r="D7199" s="760"/>
      <c r="E7199" s="760"/>
      <c r="F7199" s="760"/>
      <c r="G7199" s="760"/>
      <c r="H7199" s="760"/>
      <c r="I7199" s="760"/>
      <c r="J7199" s="760"/>
      <c r="K7199" s="760"/>
    </row>
    <row r="7200" spans="1:11">
      <c r="A7200" s="760"/>
      <c r="B7200" s="760"/>
      <c r="C7200" s="760"/>
      <c r="D7200" s="760"/>
      <c r="E7200" s="760"/>
      <c r="F7200" s="760"/>
      <c r="G7200" s="760"/>
      <c r="H7200" s="760"/>
      <c r="I7200" s="760"/>
      <c r="J7200" s="760"/>
      <c r="K7200" s="760"/>
    </row>
    <row r="7201" spans="1:11">
      <c r="A7201" s="760"/>
      <c r="B7201" s="760"/>
      <c r="C7201" s="760"/>
      <c r="D7201" s="760"/>
      <c r="E7201" s="760"/>
      <c r="F7201" s="760"/>
      <c r="G7201" s="760"/>
      <c r="H7201" s="760"/>
      <c r="I7201" s="760"/>
      <c r="J7201" s="760"/>
      <c r="K7201" s="760"/>
    </row>
    <row r="7202" spans="1:11">
      <c r="A7202" s="760"/>
      <c r="B7202" s="760"/>
      <c r="C7202" s="760"/>
      <c r="D7202" s="760"/>
      <c r="E7202" s="760"/>
      <c r="F7202" s="760"/>
      <c r="G7202" s="760"/>
      <c r="H7202" s="760"/>
      <c r="I7202" s="760"/>
      <c r="J7202" s="760"/>
      <c r="K7202" s="760"/>
    </row>
    <row r="7203" spans="1:11">
      <c r="A7203" s="760"/>
      <c r="B7203" s="760"/>
      <c r="C7203" s="760"/>
      <c r="D7203" s="760"/>
      <c r="E7203" s="760"/>
      <c r="F7203" s="760"/>
      <c r="G7203" s="760"/>
      <c r="H7203" s="760"/>
      <c r="I7203" s="760"/>
      <c r="J7203" s="760"/>
      <c r="K7203" s="760"/>
    </row>
    <row r="7204" spans="1:11">
      <c r="A7204" s="760"/>
      <c r="B7204" s="760"/>
      <c r="C7204" s="760"/>
      <c r="D7204" s="760"/>
      <c r="E7204" s="760"/>
      <c r="F7204" s="760"/>
      <c r="G7204" s="760"/>
      <c r="H7204" s="760"/>
      <c r="I7204" s="760"/>
      <c r="J7204" s="760"/>
      <c r="K7204" s="760"/>
    </row>
    <row r="7205" spans="1:11">
      <c r="A7205" s="760"/>
      <c r="B7205" s="760"/>
      <c r="C7205" s="760"/>
      <c r="D7205" s="760"/>
      <c r="E7205" s="760"/>
      <c r="F7205" s="760"/>
      <c r="G7205" s="760"/>
      <c r="H7205" s="760"/>
      <c r="I7205" s="760"/>
      <c r="J7205" s="760"/>
      <c r="K7205" s="760"/>
    </row>
    <row r="7206" spans="1:11">
      <c r="A7206" s="760"/>
      <c r="B7206" s="760"/>
      <c r="C7206" s="760"/>
      <c r="D7206" s="760"/>
      <c r="E7206" s="760"/>
      <c r="F7206" s="760"/>
      <c r="G7206" s="760"/>
      <c r="H7206" s="760"/>
      <c r="I7206" s="760"/>
      <c r="J7206" s="760"/>
      <c r="K7206" s="760"/>
    </row>
    <row r="7207" spans="1:11">
      <c r="A7207" s="760"/>
      <c r="B7207" s="760"/>
      <c r="C7207" s="760"/>
      <c r="D7207" s="760"/>
      <c r="E7207" s="760"/>
      <c r="F7207" s="760"/>
      <c r="G7207" s="760"/>
      <c r="H7207" s="760"/>
      <c r="I7207" s="760"/>
      <c r="J7207" s="760"/>
      <c r="K7207" s="760"/>
    </row>
    <row r="7208" spans="1:11">
      <c r="A7208" s="760"/>
      <c r="B7208" s="760"/>
      <c r="C7208" s="760"/>
      <c r="D7208" s="760"/>
      <c r="E7208" s="760"/>
      <c r="F7208" s="760"/>
      <c r="G7208" s="760"/>
      <c r="H7208" s="760"/>
      <c r="I7208" s="760"/>
      <c r="J7208" s="760"/>
      <c r="K7208" s="760"/>
    </row>
    <row r="7209" spans="1:11">
      <c r="A7209" s="760"/>
      <c r="B7209" s="760"/>
      <c r="C7209" s="760"/>
      <c r="D7209" s="760"/>
      <c r="E7209" s="760"/>
      <c r="F7209" s="760"/>
      <c r="G7209" s="760"/>
      <c r="H7209" s="760"/>
      <c r="I7209" s="760"/>
      <c r="J7209" s="760"/>
      <c r="K7209" s="760"/>
    </row>
    <row r="7210" spans="1:11">
      <c r="A7210" s="760"/>
      <c r="B7210" s="760"/>
      <c r="C7210" s="760"/>
      <c r="D7210" s="760"/>
      <c r="E7210" s="760"/>
      <c r="F7210" s="760"/>
      <c r="G7210" s="760"/>
      <c r="H7210" s="760"/>
      <c r="I7210" s="760"/>
      <c r="J7210" s="760"/>
      <c r="K7210" s="760"/>
    </row>
    <row r="7211" spans="1:11">
      <c r="A7211" s="760"/>
      <c r="B7211" s="760"/>
      <c r="C7211" s="760"/>
      <c r="D7211" s="760"/>
      <c r="E7211" s="760"/>
      <c r="F7211" s="760"/>
      <c r="G7211" s="760"/>
      <c r="H7211" s="760"/>
      <c r="I7211" s="760"/>
      <c r="J7211" s="760"/>
      <c r="K7211" s="760"/>
    </row>
    <row r="7212" spans="1:11">
      <c r="A7212" s="760"/>
      <c r="B7212" s="760"/>
      <c r="C7212" s="760"/>
      <c r="D7212" s="760"/>
      <c r="E7212" s="760"/>
      <c r="F7212" s="760"/>
      <c r="G7212" s="760"/>
      <c r="H7212" s="760"/>
      <c r="I7212" s="760"/>
      <c r="J7212" s="760"/>
      <c r="K7212" s="760"/>
    </row>
    <row r="7213" spans="1:11">
      <c r="A7213" s="760"/>
      <c r="B7213" s="760"/>
      <c r="C7213" s="760"/>
      <c r="D7213" s="760"/>
      <c r="E7213" s="760"/>
      <c r="F7213" s="760"/>
      <c r="G7213" s="760"/>
      <c r="H7213" s="760"/>
      <c r="I7213" s="760"/>
      <c r="J7213" s="760"/>
      <c r="K7213" s="760"/>
    </row>
    <row r="7214" spans="1:11">
      <c r="A7214" s="760"/>
      <c r="B7214" s="760"/>
      <c r="C7214" s="760"/>
      <c r="D7214" s="760"/>
      <c r="E7214" s="760"/>
      <c r="F7214" s="760"/>
      <c r="G7214" s="760"/>
      <c r="H7214" s="760"/>
      <c r="I7214" s="760"/>
      <c r="J7214" s="760"/>
      <c r="K7214" s="760"/>
    </row>
    <row r="7215" spans="1:11">
      <c r="A7215" s="760"/>
      <c r="B7215" s="760"/>
      <c r="C7215" s="760"/>
      <c r="D7215" s="760"/>
      <c r="E7215" s="760"/>
      <c r="F7215" s="760"/>
      <c r="G7215" s="760"/>
      <c r="H7215" s="760"/>
      <c r="I7215" s="760"/>
      <c r="J7215" s="760"/>
      <c r="K7215" s="760"/>
    </row>
    <row r="7216" spans="1:11">
      <c r="A7216" s="760"/>
      <c r="B7216" s="760"/>
      <c r="C7216" s="760"/>
      <c r="D7216" s="760"/>
      <c r="E7216" s="760"/>
      <c r="F7216" s="760"/>
      <c r="G7216" s="760"/>
      <c r="H7216" s="760"/>
      <c r="I7216" s="760"/>
      <c r="J7216" s="760"/>
      <c r="K7216" s="760"/>
    </row>
    <row r="7217" spans="1:11">
      <c r="A7217" s="760"/>
      <c r="B7217" s="760"/>
      <c r="C7217" s="760"/>
      <c r="D7217" s="760"/>
      <c r="E7217" s="760"/>
      <c r="F7217" s="760"/>
      <c r="G7217" s="760"/>
      <c r="H7217" s="760"/>
      <c r="I7217" s="760"/>
      <c r="J7217" s="760"/>
      <c r="K7217" s="760"/>
    </row>
    <row r="7218" spans="1:11">
      <c r="A7218" s="760"/>
      <c r="B7218" s="760"/>
      <c r="C7218" s="760"/>
      <c r="D7218" s="760"/>
      <c r="E7218" s="760"/>
      <c r="F7218" s="760"/>
      <c r="G7218" s="760"/>
      <c r="H7218" s="760"/>
      <c r="I7218" s="760"/>
      <c r="J7218" s="760"/>
      <c r="K7218" s="760"/>
    </row>
    <row r="7219" spans="1:11">
      <c r="A7219" s="760"/>
      <c r="B7219" s="760"/>
      <c r="C7219" s="760"/>
      <c r="D7219" s="760"/>
      <c r="E7219" s="760"/>
      <c r="F7219" s="760"/>
      <c r="G7219" s="760"/>
      <c r="H7219" s="760"/>
      <c r="I7219" s="760"/>
      <c r="J7219" s="760"/>
      <c r="K7219" s="760"/>
    </row>
    <row r="7220" spans="1:11">
      <c r="A7220" s="760"/>
      <c r="B7220" s="760"/>
      <c r="C7220" s="760"/>
      <c r="D7220" s="760"/>
      <c r="E7220" s="760"/>
      <c r="F7220" s="760"/>
      <c r="G7220" s="760"/>
      <c r="H7220" s="760"/>
      <c r="I7220" s="760"/>
      <c r="J7220" s="760"/>
      <c r="K7220" s="760"/>
    </row>
    <row r="7221" spans="1:11">
      <c r="A7221" s="760"/>
      <c r="B7221" s="760"/>
      <c r="C7221" s="760"/>
      <c r="D7221" s="760"/>
      <c r="E7221" s="760"/>
      <c r="F7221" s="760"/>
      <c r="G7221" s="760"/>
      <c r="H7221" s="760"/>
      <c r="I7221" s="760"/>
      <c r="J7221" s="760"/>
      <c r="K7221" s="760"/>
    </row>
    <row r="7222" spans="1:11">
      <c r="A7222" s="760"/>
      <c r="B7222" s="760"/>
      <c r="C7222" s="760"/>
      <c r="D7222" s="760"/>
      <c r="E7222" s="760"/>
      <c r="F7222" s="760"/>
      <c r="G7222" s="760"/>
      <c r="H7222" s="760"/>
      <c r="I7222" s="760"/>
      <c r="J7222" s="760"/>
      <c r="K7222" s="760"/>
    </row>
    <row r="7223" spans="1:11">
      <c r="A7223" s="760"/>
      <c r="B7223" s="760"/>
      <c r="C7223" s="760"/>
      <c r="D7223" s="760"/>
      <c r="E7223" s="760"/>
      <c r="F7223" s="760"/>
      <c r="G7223" s="760"/>
      <c r="H7223" s="760"/>
      <c r="I7223" s="760"/>
      <c r="J7223" s="760"/>
      <c r="K7223" s="760"/>
    </row>
    <row r="7224" spans="1:11">
      <c r="A7224" s="760"/>
      <c r="B7224" s="760"/>
      <c r="C7224" s="760"/>
      <c r="D7224" s="760"/>
      <c r="E7224" s="760"/>
      <c r="F7224" s="760"/>
      <c r="G7224" s="760"/>
      <c r="H7224" s="760"/>
      <c r="I7224" s="760"/>
      <c r="J7224" s="760"/>
      <c r="K7224" s="760"/>
    </row>
    <row r="7225" spans="1:11">
      <c r="A7225" s="760"/>
      <c r="B7225" s="760"/>
      <c r="C7225" s="760"/>
      <c r="D7225" s="760"/>
      <c r="E7225" s="760"/>
      <c r="F7225" s="760"/>
      <c r="G7225" s="760"/>
      <c r="H7225" s="760"/>
      <c r="I7225" s="760"/>
      <c r="J7225" s="760"/>
      <c r="K7225" s="760"/>
    </row>
    <row r="7226" spans="1:11">
      <c r="A7226" s="760"/>
      <c r="B7226" s="760"/>
      <c r="C7226" s="760"/>
      <c r="D7226" s="760"/>
      <c r="E7226" s="760"/>
      <c r="F7226" s="760"/>
      <c r="G7226" s="760"/>
      <c r="H7226" s="760"/>
      <c r="I7226" s="760"/>
      <c r="J7226" s="760"/>
      <c r="K7226" s="760"/>
    </row>
    <row r="7227" spans="1:11">
      <c r="A7227" s="760"/>
      <c r="B7227" s="760"/>
      <c r="C7227" s="760"/>
      <c r="D7227" s="760"/>
      <c r="E7227" s="760"/>
      <c r="F7227" s="760"/>
      <c r="G7227" s="760"/>
      <c r="H7227" s="760"/>
      <c r="I7227" s="760"/>
      <c r="J7227" s="760"/>
      <c r="K7227" s="760"/>
    </row>
    <row r="7228" spans="1:11">
      <c r="A7228" s="760"/>
      <c r="B7228" s="760"/>
      <c r="C7228" s="760"/>
      <c r="D7228" s="760"/>
      <c r="E7228" s="760"/>
      <c r="F7228" s="760"/>
      <c r="G7228" s="760"/>
      <c r="H7228" s="760"/>
      <c r="I7228" s="760"/>
      <c r="J7228" s="760"/>
      <c r="K7228" s="760"/>
    </row>
    <row r="7229" spans="1:11">
      <c r="A7229" s="760"/>
      <c r="B7229" s="760"/>
      <c r="C7229" s="760"/>
      <c r="D7229" s="760"/>
      <c r="E7229" s="760"/>
      <c r="F7229" s="760"/>
      <c r="G7229" s="760"/>
      <c r="H7229" s="760"/>
      <c r="I7229" s="760"/>
      <c r="J7229" s="760"/>
      <c r="K7229" s="760"/>
    </row>
    <row r="7230" spans="1:11">
      <c r="A7230" s="760"/>
      <c r="B7230" s="760"/>
      <c r="C7230" s="760"/>
      <c r="D7230" s="760"/>
      <c r="E7230" s="760"/>
      <c r="F7230" s="760"/>
      <c r="G7230" s="760"/>
      <c r="H7230" s="760"/>
      <c r="I7230" s="760"/>
      <c r="J7230" s="760"/>
      <c r="K7230" s="760"/>
    </row>
    <row r="7231" spans="1:11">
      <c r="A7231" s="760"/>
      <c r="B7231" s="760"/>
      <c r="C7231" s="760"/>
      <c r="D7231" s="760"/>
      <c r="E7231" s="760"/>
      <c r="F7231" s="760"/>
      <c r="G7231" s="760"/>
      <c r="H7231" s="760"/>
      <c r="I7231" s="760"/>
      <c r="J7231" s="760"/>
      <c r="K7231" s="760"/>
    </row>
    <row r="7232" spans="1:11">
      <c r="A7232" s="760"/>
      <c r="B7232" s="760"/>
      <c r="C7232" s="760"/>
      <c r="D7232" s="760"/>
      <c r="E7232" s="760"/>
      <c r="F7232" s="760"/>
      <c r="G7232" s="760"/>
      <c r="H7232" s="760"/>
      <c r="I7232" s="760"/>
      <c r="J7232" s="760"/>
      <c r="K7232" s="760"/>
    </row>
    <row r="7233" spans="1:11">
      <c r="A7233" s="760"/>
      <c r="B7233" s="760"/>
      <c r="C7233" s="760"/>
      <c r="D7233" s="760"/>
      <c r="E7233" s="760"/>
      <c r="F7233" s="760"/>
      <c r="G7233" s="760"/>
      <c r="H7233" s="760"/>
      <c r="I7233" s="760"/>
      <c r="J7233" s="760"/>
      <c r="K7233" s="760"/>
    </row>
    <row r="7234" spans="1:11">
      <c r="A7234" s="760"/>
      <c r="B7234" s="760"/>
      <c r="C7234" s="760"/>
      <c r="D7234" s="760"/>
      <c r="E7234" s="760"/>
      <c r="F7234" s="760"/>
      <c r="G7234" s="760"/>
      <c r="H7234" s="760"/>
      <c r="I7234" s="760"/>
      <c r="J7234" s="760"/>
      <c r="K7234" s="760"/>
    </row>
    <row r="7235" spans="1:11">
      <c r="A7235" s="760"/>
      <c r="B7235" s="760"/>
      <c r="C7235" s="760"/>
      <c r="D7235" s="760"/>
      <c r="E7235" s="760"/>
      <c r="F7235" s="760"/>
      <c r="G7235" s="760"/>
      <c r="H7235" s="760"/>
      <c r="I7235" s="760"/>
      <c r="J7235" s="760"/>
      <c r="K7235" s="760"/>
    </row>
    <row r="7236" spans="1:11">
      <c r="A7236" s="760"/>
      <c r="B7236" s="760"/>
      <c r="C7236" s="760"/>
      <c r="D7236" s="760"/>
      <c r="E7236" s="760"/>
      <c r="F7236" s="760"/>
      <c r="G7236" s="760"/>
      <c r="H7236" s="760"/>
      <c r="I7236" s="760"/>
      <c r="J7236" s="760"/>
      <c r="K7236" s="760"/>
    </row>
    <row r="7237" spans="1:11">
      <c r="A7237" s="760"/>
      <c r="B7237" s="760"/>
      <c r="C7237" s="760"/>
      <c r="D7237" s="760"/>
      <c r="E7237" s="760"/>
      <c r="F7237" s="760"/>
      <c r="G7237" s="760"/>
      <c r="H7237" s="760"/>
      <c r="I7237" s="760"/>
      <c r="J7237" s="760"/>
      <c r="K7237" s="760"/>
    </row>
    <row r="7238" spans="1:11">
      <c r="A7238" s="760"/>
      <c r="B7238" s="760"/>
      <c r="C7238" s="760"/>
      <c r="D7238" s="760"/>
      <c r="E7238" s="760"/>
      <c r="F7238" s="760"/>
      <c r="G7238" s="760"/>
      <c r="H7238" s="760"/>
      <c r="I7238" s="760"/>
      <c r="J7238" s="760"/>
      <c r="K7238" s="760"/>
    </row>
    <row r="7239" spans="1:11">
      <c r="A7239" s="760"/>
      <c r="B7239" s="760"/>
      <c r="C7239" s="760"/>
      <c r="D7239" s="760"/>
      <c r="E7239" s="760"/>
      <c r="F7239" s="760"/>
      <c r="G7239" s="760"/>
      <c r="H7239" s="760"/>
      <c r="I7239" s="760"/>
      <c r="J7239" s="760"/>
      <c r="K7239" s="760"/>
    </row>
    <row r="7240" spans="1:11">
      <c r="A7240" s="760"/>
      <c r="B7240" s="760"/>
      <c r="C7240" s="760"/>
      <c r="D7240" s="760"/>
      <c r="E7240" s="760"/>
      <c r="F7240" s="760"/>
      <c r="G7240" s="760"/>
      <c r="H7240" s="760"/>
      <c r="I7240" s="760"/>
      <c r="J7240" s="760"/>
      <c r="K7240" s="760"/>
    </row>
    <row r="7241" spans="1:11">
      <c r="A7241" s="760"/>
      <c r="B7241" s="760"/>
      <c r="C7241" s="760"/>
      <c r="D7241" s="760"/>
      <c r="E7241" s="760"/>
      <c r="F7241" s="760"/>
      <c r="G7241" s="760"/>
      <c r="H7241" s="760"/>
      <c r="I7241" s="760"/>
      <c r="J7241" s="760"/>
      <c r="K7241" s="760"/>
    </row>
    <row r="7242" spans="1:11">
      <c r="A7242" s="760"/>
      <c r="B7242" s="760"/>
      <c r="C7242" s="760"/>
      <c r="D7242" s="760"/>
      <c r="E7242" s="760"/>
      <c r="F7242" s="760"/>
      <c r="G7242" s="760"/>
      <c r="H7242" s="760"/>
      <c r="I7242" s="760"/>
      <c r="J7242" s="760"/>
      <c r="K7242" s="760"/>
    </row>
    <row r="7243" spans="1:11">
      <c r="A7243" s="760"/>
      <c r="B7243" s="760"/>
      <c r="C7243" s="760"/>
      <c r="D7243" s="760"/>
      <c r="E7243" s="760"/>
      <c r="F7243" s="760"/>
      <c r="G7243" s="760"/>
      <c r="H7243" s="760"/>
      <c r="I7243" s="760"/>
      <c r="J7243" s="760"/>
      <c r="K7243" s="760"/>
    </row>
    <row r="7244" spans="1:11">
      <c r="A7244" s="760"/>
      <c r="B7244" s="760"/>
      <c r="C7244" s="760"/>
      <c r="D7244" s="760"/>
      <c r="E7244" s="760"/>
      <c r="F7244" s="760"/>
      <c r="G7244" s="760"/>
      <c r="H7244" s="760"/>
      <c r="I7244" s="760"/>
      <c r="J7244" s="760"/>
      <c r="K7244" s="760"/>
    </row>
    <row r="7245" spans="1:11">
      <c r="A7245" s="760"/>
      <c r="B7245" s="760"/>
      <c r="C7245" s="760"/>
      <c r="D7245" s="760"/>
      <c r="E7245" s="760"/>
      <c r="F7245" s="760"/>
      <c r="G7245" s="760"/>
      <c r="H7245" s="760"/>
      <c r="I7245" s="760"/>
      <c r="J7245" s="760"/>
      <c r="K7245" s="760"/>
    </row>
    <row r="7246" spans="1:11">
      <c r="A7246" s="760"/>
      <c r="B7246" s="760"/>
      <c r="C7246" s="760"/>
      <c r="D7246" s="760"/>
      <c r="E7246" s="760"/>
      <c r="F7246" s="760"/>
      <c r="G7246" s="760"/>
      <c r="H7246" s="760"/>
      <c r="I7246" s="760"/>
      <c r="J7246" s="760"/>
      <c r="K7246" s="760"/>
    </row>
    <row r="7247" spans="1:11">
      <c r="A7247" s="760"/>
      <c r="B7247" s="760"/>
      <c r="C7247" s="760"/>
      <c r="D7247" s="760"/>
      <c r="E7247" s="760"/>
      <c r="F7247" s="760"/>
      <c r="G7247" s="760"/>
      <c r="H7247" s="760"/>
      <c r="I7247" s="760"/>
      <c r="J7247" s="760"/>
      <c r="K7247" s="760"/>
    </row>
    <row r="7248" spans="1:11">
      <c r="A7248" s="760"/>
      <c r="B7248" s="760"/>
      <c r="C7248" s="760"/>
      <c r="D7248" s="760"/>
      <c r="E7248" s="760"/>
      <c r="F7248" s="760"/>
      <c r="G7248" s="760"/>
      <c r="H7248" s="760"/>
      <c r="I7248" s="760"/>
      <c r="J7248" s="760"/>
      <c r="K7248" s="760"/>
    </row>
    <row r="7249" spans="1:11">
      <c r="A7249" s="760"/>
      <c r="B7249" s="760"/>
      <c r="C7249" s="760"/>
      <c r="D7249" s="760"/>
      <c r="E7249" s="760"/>
      <c r="F7249" s="760"/>
      <c r="G7249" s="760"/>
      <c r="H7249" s="760"/>
      <c r="I7249" s="760"/>
      <c r="J7249" s="760"/>
      <c r="K7249" s="760"/>
    </row>
    <row r="7250" spans="1:11">
      <c r="A7250" s="760"/>
      <c r="B7250" s="760"/>
      <c r="C7250" s="760"/>
      <c r="D7250" s="760"/>
      <c r="E7250" s="760"/>
      <c r="F7250" s="760"/>
      <c r="G7250" s="760"/>
      <c r="H7250" s="760"/>
      <c r="I7250" s="760"/>
      <c r="J7250" s="760"/>
      <c r="K7250" s="760"/>
    </row>
    <row r="7251" spans="1:11">
      <c r="A7251" s="760"/>
      <c r="B7251" s="760"/>
      <c r="C7251" s="760"/>
      <c r="D7251" s="760"/>
      <c r="E7251" s="760"/>
      <c r="F7251" s="760"/>
      <c r="G7251" s="760"/>
      <c r="H7251" s="760"/>
      <c r="I7251" s="760"/>
      <c r="J7251" s="760"/>
      <c r="K7251" s="760"/>
    </row>
    <row r="7252" spans="1:11">
      <c r="A7252" s="760"/>
      <c r="B7252" s="760"/>
      <c r="C7252" s="760"/>
      <c r="D7252" s="760"/>
      <c r="E7252" s="760"/>
      <c r="F7252" s="760"/>
      <c r="G7252" s="760"/>
      <c r="H7252" s="760"/>
      <c r="I7252" s="760"/>
      <c r="J7252" s="760"/>
      <c r="K7252" s="760"/>
    </row>
    <row r="7253" spans="1:11">
      <c r="A7253" s="760"/>
      <c r="B7253" s="760"/>
      <c r="C7253" s="760"/>
      <c r="D7253" s="760"/>
      <c r="E7253" s="760"/>
      <c r="F7253" s="760"/>
      <c r="G7253" s="760"/>
      <c r="H7253" s="760"/>
      <c r="I7253" s="760"/>
      <c r="J7253" s="760"/>
      <c r="K7253" s="760"/>
    </row>
    <row r="7254" spans="1:11">
      <c r="A7254" s="760"/>
      <c r="B7254" s="760"/>
      <c r="C7254" s="760"/>
      <c r="D7254" s="760"/>
      <c r="E7254" s="760"/>
      <c r="F7254" s="760"/>
      <c r="G7254" s="760"/>
      <c r="H7254" s="760"/>
      <c r="I7254" s="760"/>
      <c r="J7254" s="760"/>
      <c r="K7254" s="760"/>
    </row>
    <row r="7255" spans="1:11">
      <c r="A7255" s="760"/>
      <c r="B7255" s="760"/>
      <c r="C7255" s="760"/>
      <c r="D7255" s="760"/>
      <c r="E7255" s="760"/>
      <c r="F7255" s="760"/>
      <c r="G7255" s="760"/>
      <c r="H7255" s="760"/>
      <c r="I7255" s="760"/>
      <c r="J7255" s="760"/>
      <c r="K7255" s="760"/>
    </row>
    <row r="7256" spans="1:11">
      <c r="A7256" s="760"/>
      <c r="B7256" s="760"/>
      <c r="C7256" s="760"/>
      <c r="D7256" s="760"/>
      <c r="E7256" s="760"/>
      <c r="F7256" s="760"/>
      <c r="G7256" s="760"/>
      <c r="H7256" s="760"/>
      <c r="I7256" s="760"/>
      <c r="J7256" s="760"/>
      <c r="K7256" s="760"/>
    </row>
    <row r="7257" spans="1:11">
      <c r="A7257" s="760"/>
      <c r="B7257" s="760"/>
      <c r="C7257" s="760"/>
      <c r="D7257" s="760"/>
      <c r="E7257" s="760"/>
      <c r="F7257" s="760"/>
      <c r="G7257" s="760"/>
      <c r="H7257" s="760"/>
      <c r="I7257" s="760"/>
      <c r="J7257" s="760"/>
      <c r="K7257" s="760"/>
    </row>
    <row r="7258" spans="1:11">
      <c r="A7258" s="760"/>
      <c r="B7258" s="760"/>
      <c r="C7258" s="760"/>
      <c r="D7258" s="760"/>
      <c r="E7258" s="760"/>
      <c r="F7258" s="760"/>
      <c r="G7258" s="760"/>
      <c r="H7258" s="760"/>
      <c r="I7258" s="760"/>
      <c r="J7258" s="760"/>
      <c r="K7258" s="760"/>
    </row>
    <row r="7259" spans="1:11">
      <c r="A7259" s="760"/>
      <c r="B7259" s="760"/>
      <c r="C7259" s="760"/>
      <c r="D7259" s="760"/>
      <c r="E7259" s="760"/>
      <c r="F7259" s="760"/>
      <c r="G7259" s="760"/>
      <c r="H7259" s="760"/>
      <c r="I7259" s="760"/>
      <c r="J7259" s="760"/>
      <c r="K7259" s="760"/>
    </row>
    <row r="7260" spans="1:11">
      <c r="A7260" s="760"/>
      <c r="B7260" s="760"/>
      <c r="C7260" s="760"/>
      <c r="D7260" s="760"/>
      <c r="E7260" s="760"/>
      <c r="F7260" s="760"/>
      <c r="G7260" s="760"/>
      <c r="H7260" s="760"/>
      <c r="I7260" s="760"/>
      <c r="J7260" s="760"/>
      <c r="K7260" s="760"/>
    </row>
    <row r="7261" spans="1:11">
      <c r="A7261" s="760"/>
      <c r="B7261" s="760"/>
      <c r="C7261" s="760"/>
      <c r="D7261" s="760"/>
      <c r="E7261" s="760"/>
      <c r="F7261" s="760"/>
      <c r="G7261" s="760"/>
      <c r="H7261" s="760"/>
      <c r="I7261" s="760"/>
      <c r="J7261" s="760"/>
      <c r="K7261" s="760"/>
    </row>
    <row r="7262" spans="1:11">
      <c r="A7262" s="760"/>
      <c r="B7262" s="760"/>
      <c r="C7262" s="760"/>
      <c r="D7262" s="760"/>
      <c r="E7262" s="760"/>
      <c r="F7262" s="760"/>
      <c r="G7262" s="760"/>
      <c r="H7262" s="760"/>
      <c r="I7262" s="760"/>
      <c r="J7262" s="760"/>
      <c r="K7262" s="760"/>
    </row>
    <row r="7263" spans="1:11">
      <c r="A7263" s="760"/>
      <c r="B7263" s="760"/>
      <c r="C7263" s="760"/>
      <c r="D7263" s="760"/>
      <c r="E7263" s="760"/>
      <c r="F7263" s="760"/>
      <c r="G7263" s="760"/>
      <c r="H7263" s="760"/>
      <c r="I7263" s="760"/>
      <c r="J7263" s="760"/>
      <c r="K7263" s="760"/>
    </row>
    <row r="7264" spans="1:11">
      <c r="A7264" s="760"/>
      <c r="B7264" s="760"/>
      <c r="C7264" s="760"/>
      <c r="D7264" s="760"/>
      <c r="E7264" s="760"/>
      <c r="F7264" s="760"/>
      <c r="G7264" s="760"/>
      <c r="H7264" s="760"/>
      <c r="I7264" s="760"/>
      <c r="J7264" s="760"/>
      <c r="K7264" s="760"/>
    </row>
    <row r="7265" spans="1:11">
      <c r="A7265" s="760"/>
      <c r="B7265" s="760"/>
      <c r="C7265" s="760"/>
      <c r="D7265" s="760"/>
      <c r="E7265" s="760"/>
      <c r="F7265" s="760"/>
      <c r="G7265" s="760"/>
      <c r="H7265" s="760"/>
      <c r="I7265" s="760"/>
      <c r="J7265" s="760"/>
      <c r="K7265" s="760"/>
    </row>
    <row r="7266" spans="1:11">
      <c r="A7266" s="760"/>
      <c r="B7266" s="760"/>
      <c r="C7266" s="760"/>
      <c r="D7266" s="760"/>
      <c r="E7266" s="760"/>
      <c r="F7266" s="760"/>
      <c r="G7266" s="760"/>
      <c r="H7266" s="760"/>
      <c r="I7266" s="760"/>
      <c r="J7266" s="760"/>
      <c r="K7266" s="760"/>
    </row>
    <row r="7267" spans="1:11">
      <c r="A7267" s="760"/>
      <c r="B7267" s="760"/>
      <c r="C7267" s="760"/>
      <c r="D7267" s="760"/>
      <c r="E7267" s="760"/>
      <c r="F7267" s="760"/>
      <c r="G7267" s="760"/>
      <c r="H7267" s="760"/>
      <c r="I7267" s="760"/>
      <c r="J7267" s="760"/>
      <c r="K7267" s="760"/>
    </row>
    <row r="7268" spans="1:11">
      <c r="A7268" s="760"/>
      <c r="B7268" s="760"/>
      <c r="C7268" s="760"/>
      <c r="D7268" s="760"/>
      <c r="E7268" s="760"/>
      <c r="F7268" s="760"/>
      <c r="G7268" s="760"/>
      <c r="H7268" s="760"/>
      <c r="I7268" s="760"/>
      <c r="J7268" s="760"/>
      <c r="K7268" s="760"/>
    </row>
    <row r="7269" spans="1:11">
      <c r="A7269" s="760"/>
      <c r="B7269" s="760"/>
      <c r="C7269" s="760"/>
      <c r="D7269" s="760"/>
      <c r="E7269" s="760"/>
      <c r="F7269" s="760"/>
      <c r="G7269" s="760"/>
      <c r="H7269" s="760"/>
      <c r="I7269" s="760"/>
      <c r="J7269" s="760"/>
      <c r="K7269" s="760"/>
    </row>
    <row r="7270" spans="1:11">
      <c r="A7270" s="760"/>
      <c r="B7270" s="760"/>
      <c r="C7270" s="760"/>
      <c r="D7270" s="760"/>
      <c r="E7270" s="760"/>
      <c r="F7270" s="760"/>
      <c r="G7270" s="760"/>
      <c r="H7270" s="760"/>
      <c r="I7270" s="760"/>
      <c r="J7270" s="760"/>
      <c r="K7270" s="760"/>
    </row>
    <row r="7271" spans="1:11">
      <c r="A7271" s="760"/>
      <c r="B7271" s="760"/>
      <c r="C7271" s="760"/>
      <c r="D7271" s="760"/>
      <c r="E7271" s="760"/>
      <c r="F7271" s="760"/>
      <c r="G7271" s="760"/>
      <c r="H7271" s="760"/>
      <c r="I7271" s="760"/>
      <c r="J7271" s="760"/>
      <c r="K7271" s="760"/>
    </row>
    <row r="7272" spans="1:11">
      <c r="A7272" s="760"/>
      <c r="B7272" s="760"/>
      <c r="C7272" s="760"/>
      <c r="D7272" s="760"/>
      <c r="E7272" s="760"/>
      <c r="F7272" s="760"/>
      <c r="G7272" s="760"/>
      <c r="H7272" s="760"/>
      <c r="I7272" s="760"/>
      <c r="J7272" s="760"/>
      <c r="K7272" s="760"/>
    </row>
    <row r="7273" spans="1:11">
      <c r="A7273" s="760"/>
      <c r="B7273" s="760"/>
      <c r="C7273" s="760"/>
      <c r="D7273" s="760"/>
      <c r="E7273" s="760"/>
      <c r="F7273" s="760"/>
      <c r="G7273" s="760"/>
      <c r="H7273" s="760"/>
      <c r="I7273" s="760"/>
      <c r="J7273" s="760"/>
      <c r="K7273" s="760"/>
    </row>
    <row r="7274" spans="1:11">
      <c r="A7274" s="760"/>
      <c r="B7274" s="760"/>
      <c r="C7274" s="760"/>
      <c r="D7274" s="760"/>
      <c r="E7274" s="760"/>
      <c r="F7274" s="760"/>
      <c r="G7274" s="760"/>
      <c r="H7274" s="760"/>
      <c r="I7274" s="760"/>
      <c r="J7274" s="760"/>
      <c r="K7274" s="760"/>
    </row>
    <row r="7275" spans="1:11">
      <c r="A7275" s="760"/>
      <c r="B7275" s="760"/>
      <c r="C7275" s="760"/>
      <c r="D7275" s="760"/>
      <c r="E7275" s="760"/>
      <c r="F7275" s="760"/>
      <c r="G7275" s="760"/>
      <c r="H7275" s="760"/>
      <c r="I7275" s="760"/>
      <c r="J7275" s="760"/>
      <c r="K7275" s="760"/>
    </row>
    <row r="7276" spans="1:11">
      <c r="A7276" s="760"/>
      <c r="B7276" s="760"/>
      <c r="C7276" s="760"/>
      <c r="D7276" s="760"/>
      <c r="E7276" s="760"/>
      <c r="F7276" s="760"/>
      <c r="G7276" s="760"/>
      <c r="H7276" s="760"/>
      <c r="I7276" s="760"/>
      <c r="J7276" s="760"/>
      <c r="K7276" s="760"/>
    </row>
    <row r="7277" spans="1:11">
      <c r="A7277" s="760"/>
      <c r="B7277" s="760"/>
      <c r="C7277" s="760"/>
      <c r="D7277" s="760"/>
      <c r="E7277" s="760"/>
      <c r="F7277" s="760"/>
      <c r="G7277" s="760"/>
      <c r="H7277" s="760"/>
      <c r="I7277" s="760"/>
      <c r="J7277" s="760"/>
      <c r="K7277" s="760"/>
    </row>
    <row r="7278" spans="1:11">
      <c r="A7278" s="760"/>
      <c r="B7278" s="760"/>
      <c r="C7278" s="760"/>
      <c r="D7278" s="760"/>
      <c r="E7278" s="760"/>
      <c r="F7278" s="760"/>
      <c r="G7278" s="760"/>
      <c r="H7278" s="760"/>
      <c r="I7278" s="760"/>
      <c r="J7278" s="760"/>
      <c r="K7278" s="760"/>
    </row>
    <row r="7279" spans="1:11">
      <c r="A7279" s="760"/>
      <c r="B7279" s="760"/>
      <c r="C7279" s="760"/>
      <c r="D7279" s="760"/>
      <c r="E7279" s="760"/>
      <c r="F7279" s="760"/>
      <c r="G7279" s="760"/>
      <c r="H7279" s="760"/>
      <c r="I7279" s="760"/>
      <c r="J7279" s="760"/>
      <c r="K7279" s="760"/>
    </row>
    <row r="7280" spans="1:11">
      <c r="A7280" s="760"/>
      <c r="B7280" s="760"/>
      <c r="C7280" s="760"/>
      <c r="D7280" s="760"/>
      <c r="E7280" s="760"/>
      <c r="F7280" s="760"/>
      <c r="G7280" s="760"/>
      <c r="H7280" s="760"/>
      <c r="I7280" s="760"/>
      <c r="J7280" s="760"/>
      <c r="K7280" s="760"/>
    </row>
    <row r="7281" spans="1:11">
      <c r="A7281" s="760"/>
      <c r="B7281" s="760"/>
      <c r="C7281" s="760"/>
      <c r="D7281" s="760"/>
      <c r="E7281" s="760"/>
      <c r="F7281" s="760"/>
      <c r="G7281" s="760"/>
      <c r="H7281" s="760"/>
      <c r="I7281" s="760"/>
      <c r="J7281" s="760"/>
      <c r="K7281" s="760"/>
    </row>
    <row r="7282" spans="1:11">
      <c r="A7282" s="760"/>
      <c r="B7282" s="760"/>
      <c r="C7282" s="760"/>
      <c r="D7282" s="760"/>
      <c r="E7282" s="760"/>
      <c r="F7282" s="760"/>
      <c r="G7282" s="760"/>
      <c r="H7282" s="760"/>
      <c r="I7282" s="760"/>
      <c r="J7282" s="760"/>
      <c r="K7282" s="760"/>
    </row>
    <row r="7283" spans="1:11">
      <c r="A7283" s="760"/>
      <c r="B7283" s="760"/>
      <c r="C7283" s="760"/>
      <c r="D7283" s="760"/>
      <c r="E7283" s="760"/>
      <c r="F7283" s="760"/>
      <c r="G7283" s="760"/>
      <c r="H7283" s="760"/>
      <c r="I7283" s="760"/>
      <c r="J7283" s="760"/>
      <c r="K7283" s="760"/>
    </row>
    <row r="7284" spans="1:11">
      <c r="A7284" s="760"/>
      <c r="B7284" s="760"/>
      <c r="C7284" s="760"/>
      <c r="D7284" s="760"/>
      <c r="E7284" s="760"/>
      <c r="F7284" s="760"/>
      <c r="G7284" s="760"/>
      <c r="H7284" s="760"/>
      <c r="I7284" s="760"/>
      <c r="J7284" s="760"/>
      <c r="K7284" s="760"/>
    </row>
    <row r="7285" spans="1:11">
      <c r="A7285" s="760"/>
      <c r="B7285" s="760"/>
      <c r="C7285" s="760"/>
      <c r="D7285" s="760"/>
      <c r="E7285" s="760"/>
      <c r="F7285" s="760"/>
      <c r="G7285" s="760"/>
      <c r="H7285" s="760"/>
      <c r="I7285" s="760"/>
      <c r="J7285" s="760"/>
      <c r="K7285" s="760"/>
    </row>
    <row r="7286" spans="1:11">
      <c r="A7286" s="760"/>
      <c r="B7286" s="760"/>
      <c r="C7286" s="760"/>
      <c r="D7286" s="760"/>
      <c r="E7286" s="760"/>
      <c r="F7286" s="760"/>
      <c r="G7286" s="760"/>
      <c r="H7286" s="760"/>
      <c r="I7286" s="760"/>
      <c r="J7286" s="760"/>
      <c r="K7286" s="760"/>
    </row>
    <row r="7287" spans="1:11">
      <c r="A7287" s="760"/>
      <c r="B7287" s="760"/>
      <c r="C7287" s="760"/>
      <c r="D7287" s="760"/>
      <c r="E7287" s="760"/>
      <c r="F7287" s="760"/>
      <c r="G7287" s="760"/>
      <c r="H7287" s="760"/>
      <c r="I7287" s="760"/>
      <c r="J7287" s="760"/>
      <c r="K7287" s="760"/>
    </row>
    <row r="7288" spans="1:11">
      <c r="A7288" s="760"/>
      <c r="B7288" s="760"/>
      <c r="C7288" s="760"/>
      <c r="D7288" s="760"/>
      <c r="E7288" s="760"/>
      <c r="F7288" s="760"/>
      <c r="G7288" s="760"/>
      <c r="H7288" s="760"/>
      <c r="I7288" s="760"/>
      <c r="J7288" s="760"/>
      <c r="K7288" s="760"/>
    </row>
    <row r="7289" spans="1:11">
      <c r="A7289" s="760"/>
      <c r="B7289" s="760"/>
      <c r="C7289" s="760"/>
      <c r="D7289" s="760"/>
      <c r="E7289" s="760"/>
      <c r="F7289" s="760"/>
      <c r="G7289" s="760"/>
      <c r="H7289" s="760"/>
      <c r="I7289" s="760"/>
      <c r="J7289" s="760"/>
      <c r="K7289" s="760"/>
    </row>
    <row r="7290" spans="1:11">
      <c r="A7290" s="760"/>
      <c r="B7290" s="760"/>
      <c r="C7290" s="760"/>
      <c r="D7290" s="760"/>
      <c r="E7290" s="760"/>
      <c r="F7290" s="760"/>
      <c r="G7290" s="760"/>
      <c r="H7290" s="760"/>
      <c r="I7290" s="760"/>
      <c r="J7290" s="760"/>
      <c r="K7290" s="760"/>
    </row>
    <row r="7291" spans="1:11">
      <c r="A7291" s="760"/>
      <c r="B7291" s="760"/>
      <c r="C7291" s="760"/>
      <c r="D7291" s="760"/>
      <c r="E7291" s="760"/>
      <c r="F7291" s="760"/>
      <c r="G7291" s="760"/>
      <c r="H7291" s="760"/>
      <c r="I7291" s="760"/>
      <c r="J7291" s="760"/>
      <c r="K7291" s="760"/>
    </row>
    <row r="7292" spans="1:11">
      <c r="A7292" s="760"/>
      <c r="B7292" s="760"/>
      <c r="C7292" s="760"/>
      <c r="D7292" s="760"/>
      <c r="E7292" s="760"/>
      <c r="F7292" s="760"/>
      <c r="G7292" s="760"/>
      <c r="H7292" s="760"/>
      <c r="I7292" s="760"/>
      <c r="J7292" s="760"/>
      <c r="K7292" s="760"/>
    </row>
    <row r="7293" spans="1:11">
      <c r="A7293" s="760"/>
      <c r="B7293" s="760"/>
      <c r="C7293" s="760"/>
      <c r="D7293" s="760"/>
      <c r="E7293" s="760"/>
      <c r="F7293" s="760"/>
      <c r="G7293" s="760"/>
      <c r="H7293" s="760"/>
      <c r="I7293" s="760"/>
      <c r="J7293" s="760"/>
      <c r="K7293" s="760"/>
    </row>
    <row r="7294" spans="1:11">
      <c r="A7294" s="760"/>
      <c r="B7294" s="760"/>
      <c r="C7294" s="760"/>
      <c r="D7294" s="760"/>
      <c r="E7294" s="760"/>
      <c r="F7294" s="760"/>
      <c r="G7294" s="760"/>
      <c r="H7294" s="760"/>
      <c r="I7294" s="760"/>
      <c r="J7294" s="760"/>
      <c r="K7294" s="760"/>
    </row>
    <row r="7295" spans="1:11">
      <c r="A7295" s="760"/>
      <c r="B7295" s="760"/>
      <c r="C7295" s="760"/>
      <c r="D7295" s="760"/>
      <c r="E7295" s="760"/>
      <c r="F7295" s="760"/>
      <c r="G7295" s="760"/>
      <c r="H7295" s="760"/>
      <c r="I7295" s="760"/>
      <c r="J7295" s="760"/>
      <c r="K7295" s="760"/>
    </row>
    <row r="7296" spans="1:11">
      <c r="A7296" s="760"/>
      <c r="B7296" s="760"/>
      <c r="C7296" s="760"/>
      <c r="D7296" s="760"/>
      <c r="E7296" s="760"/>
      <c r="F7296" s="760"/>
      <c r="G7296" s="760"/>
      <c r="H7296" s="760"/>
      <c r="I7296" s="760"/>
      <c r="J7296" s="760"/>
      <c r="K7296" s="760"/>
    </row>
    <row r="7297" spans="1:11">
      <c r="A7297" s="760"/>
      <c r="B7297" s="760"/>
      <c r="C7297" s="760"/>
      <c r="D7297" s="760"/>
      <c r="E7297" s="760"/>
      <c r="F7297" s="760"/>
      <c r="G7297" s="760"/>
      <c r="H7297" s="760"/>
      <c r="I7297" s="760"/>
      <c r="J7297" s="760"/>
      <c r="K7297" s="760"/>
    </row>
    <row r="7298" spans="1:11">
      <c r="A7298" s="760"/>
      <c r="B7298" s="760"/>
      <c r="C7298" s="760"/>
      <c r="D7298" s="760"/>
      <c r="E7298" s="760"/>
      <c r="F7298" s="760"/>
      <c r="G7298" s="760"/>
      <c r="H7298" s="760"/>
      <c r="I7298" s="760"/>
      <c r="J7298" s="760"/>
      <c r="K7298" s="760"/>
    </row>
    <row r="7299" spans="1:11">
      <c r="A7299" s="760"/>
      <c r="B7299" s="760"/>
      <c r="C7299" s="760"/>
      <c r="D7299" s="760"/>
      <c r="E7299" s="760"/>
      <c r="F7299" s="760"/>
      <c r="G7299" s="760"/>
      <c r="H7299" s="760"/>
      <c r="I7299" s="760"/>
      <c r="J7299" s="760"/>
      <c r="K7299" s="760"/>
    </row>
    <row r="7300" spans="1:11">
      <c r="A7300" s="760"/>
      <c r="B7300" s="760"/>
      <c r="C7300" s="760"/>
      <c r="D7300" s="760"/>
      <c r="E7300" s="760"/>
      <c r="F7300" s="760"/>
      <c r="G7300" s="760"/>
      <c r="H7300" s="760"/>
      <c r="I7300" s="760"/>
      <c r="J7300" s="760"/>
      <c r="K7300" s="760"/>
    </row>
    <row r="7301" spans="1:11">
      <c r="A7301" s="760"/>
      <c r="B7301" s="760"/>
      <c r="C7301" s="760"/>
      <c r="D7301" s="760"/>
      <c r="E7301" s="760"/>
      <c r="F7301" s="760"/>
      <c r="G7301" s="760"/>
      <c r="H7301" s="760"/>
      <c r="I7301" s="760"/>
      <c r="J7301" s="760"/>
      <c r="K7301" s="760"/>
    </row>
    <row r="7302" spans="1:11">
      <c r="A7302" s="760"/>
      <c r="B7302" s="760"/>
      <c r="C7302" s="760"/>
      <c r="D7302" s="760"/>
      <c r="E7302" s="760"/>
      <c r="F7302" s="760"/>
      <c r="G7302" s="760"/>
      <c r="H7302" s="760"/>
      <c r="I7302" s="760"/>
      <c r="J7302" s="760"/>
      <c r="K7302" s="760"/>
    </row>
    <row r="7303" spans="1:11">
      <c r="A7303" s="760"/>
      <c r="B7303" s="760"/>
      <c r="C7303" s="760"/>
      <c r="D7303" s="760"/>
      <c r="E7303" s="760"/>
      <c r="F7303" s="760"/>
      <c r="G7303" s="760"/>
      <c r="H7303" s="760"/>
      <c r="I7303" s="760"/>
      <c r="J7303" s="760"/>
      <c r="K7303" s="760"/>
    </row>
    <row r="7304" spans="1:11">
      <c r="A7304" s="760"/>
      <c r="B7304" s="760"/>
      <c r="C7304" s="760"/>
      <c r="D7304" s="760"/>
      <c r="E7304" s="760"/>
      <c r="F7304" s="760"/>
      <c r="G7304" s="760"/>
      <c r="H7304" s="760"/>
      <c r="I7304" s="760"/>
      <c r="J7304" s="760"/>
      <c r="K7304" s="760"/>
    </row>
    <row r="7305" spans="1:11">
      <c r="A7305" s="760"/>
      <c r="B7305" s="760"/>
      <c r="C7305" s="760"/>
      <c r="D7305" s="760"/>
      <c r="E7305" s="760"/>
      <c r="F7305" s="760"/>
      <c r="G7305" s="760"/>
      <c r="H7305" s="760"/>
      <c r="I7305" s="760"/>
      <c r="J7305" s="760"/>
      <c r="K7305" s="760"/>
    </row>
    <row r="7306" spans="1:11">
      <c r="A7306" s="760"/>
      <c r="B7306" s="760"/>
      <c r="C7306" s="760"/>
      <c r="D7306" s="760"/>
      <c r="E7306" s="760"/>
      <c r="F7306" s="760"/>
      <c r="G7306" s="760"/>
      <c r="H7306" s="760"/>
      <c r="I7306" s="760"/>
      <c r="J7306" s="760"/>
      <c r="K7306" s="760"/>
    </row>
    <row r="7307" spans="1:11">
      <c r="A7307" s="760"/>
      <c r="B7307" s="760"/>
      <c r="C7307" s="760"/>
      <c r="D7307" s="760"/>
      <c r="E7307" s="760"/>
      <c r="F7307" s="760"/>
      <c r="G7307" s="760"/>
      <c r="H7307" s="760"/>
      <c r="I7307" s="760"/>
      <c r="J7307" s="760"/>
      <c r="K7307" s="760"/>
    </row>
    <row r="7308" spans="1:11">
      <c r="A7308" s="760"/>
      <c r="B7308" s="760"/>
      <c r="C7308" s="760"/>
      <c r="D7308" s="760"/>
      <c r="E7308" s="760"/>
      <c r="F7308" s="760"/>
      <c r="G7308" s="760"/>
      <c r="H7308" s="760"/>
      <c r="I7308" s="760"/>
      <c r="J7308" s="760"/>
      <c r="K7308" s="760"/>
    </row>
    <row r="7309" spans="1:11">
      <c r="A7309" s="760"/>
      <c r="B7309" s="760"/>
      <c r="C7309" s="760"/>
      <c r="D7309" s="760"/>
      <c r="E7309" s="760"/>
      <c r="F7309" s="760"/>
      <c r="G7309" s="760"/>
      <c r="H7309" s="760"/>
      <c r="I7309" s="760"/>
      <c r="J7309" s="760"/>
      <c r="K7309" s="760"/>
    </row>
    <row r="7310" spans="1:11">
      <c r="A7310" s="760"/>
      <c r="B7310" s="760"/>
      <c r="C7310" s="760"/>
      <c r="D7310" s="760"/>
      <c r="E7310" s="760"/>
      <c r="F7310" s="760"/>
      <c r="G7310" s="760"/>
      <c r="H7310" s="760"/>
      <c r="I7310" s="760"/>
      <c r="J7310" s="760"/>
      <c r="K7310" s="760"/>
    </row>
    <row r="7311" spans="1:11">
      <c r="A7311" s="760"/>
      <c r="B7311" s="760"/>
      <c r="C7311" s="760"/>
      <c r="D7311" s="760"/>
      <c r="E7311" s="760"/>
      <c r="F7311" s="760"/>
      <c r="G7311" s="760"/>
      <c r="H7311" s="760"/>
      <c r="I7311" s="760"/>
      <c r="J7311" s="760"/>
      <c r="K7311" s="760"/>
    </row>
    <row r="7312" spans="1:11">
      <c r="A7312" s="760"/>
      <c r="B7312" s="760"/>
      <c r="C7312" s="760"/>
      <c r="D7312" s="760"/>
      <c r="E7312" s="760"/>
      <c r="F7312" s="760"/>
      <c r="G7312" s="760"/>
      <c r="H7312" s="760"/>
      <c r="I7312" s="760"/>
      <c r="J7312" s="760"/>
      <c r="K7312" s="760"/>
    </row>
    <row r="7313" spans="1:11">
      <c r="A7313" s="760"/>
      <c r="B7313" s="760"/>
      <c r="C7313" s="760"/>
      <c r="D7313" s="760"/>
      <c r="E7313" s="760"/>
      <c r="F7313" s="760"/>
      <c r="G7313" s="760"/>
      <c r="H7313" s="760"/>
      <c r="I7313" s="760"/>
      <c r="J7313" s="760"/>
      <c r="K7313" s="760"/>
    </row>
    <row r="7314" spans="1:11">
      <c r="A7314" s="760"/>
      <c r="B7314" s="760"/>
      <c r="C7314" s="760"/>
      <c r="D7314" s="760"/>
      <c r="E7314" s="760"/>
      <c r="F7314" s="760"/>
      <c r="G7314" s="760"/>
      <c r="H7314" s="760"/>
      <c r="I7314" s="760"/>
      <c r="J7314" s="760"/>
      <c r="K7314" s="760"/>
    </row>
    <row r="7315" spans="1:11">
      <c r="A7315" s="760"/>
      <c r="B7315" s="760"/>
      <c r="C7315" s="760"/>
      <c r="D7315" s="760"/>
      <c r="E7315" s="760"/>
      <c r="F7315" s="760"/>
      <c r="G7315" s="760"/>
      <c r="H7315" s="760"/>
      <c r="I7315" s="760"/>
      <c r="J7315" s="760"/>
      <c r="K7315" s="760"/>
    </row>
    <row r="7316" spans="1:11">
      <c r="A7316" s="760"/>
      <c r="B7316" s="760"/>
      <c r="C7316" s="760"/>
      <c r="D7316" s="760"/>
      <c r="E7316" s="760"/>
      <c r="F7316" s="760"/>
      <c r="G7316" s="760"/>
      <c r="H7316" s="760"/>
      <c r="I7316" s="760"/>
      <c r="J7316" s="760"/>
      <c r="K7316" s="760"/>
    </row>
    <row r="7317" spans="1:11">
      <c r="A7317" s="760"/>
      <c r="B7317" s="760"/>
      <c r="C7317" s="760"/>
      <c r="D7317" s="760"/>
      <c r="E7317" s="760"/>
      <c r="F7317" s="760"/>
      <c r="G7317" s="760"/>
      <c r="H7317" s="760"/>
      <c r="I7317" s="760"/>
      <c r="J7317" s="760"/>
      <c r="K7317" s="760"/>
    </row>
    <row r="7318" spans="1:11">
      <c r="A7318" s="760"/>
      <c r="B7318" s="760"/>
      <c r="C7318" s="760"/>
      <c r="D7318" s="760"/>
      <c r="E7318" s="760"/>
      <c r="F7318" s="760"/>
      <c r="G7318" s="760"/>
      <c r="H7318" s="760"/>
      <c r="I7318" s="760"/>
      <c r="J7318" s="760"/>
      <c r="K7318" s="760"/>
    </row>
    <row r="7319" spans="1:11">
      <c r="A7319" s="760"/>
      <c r="B7319" s="760"/>
      <c r="C7319" s="760"/>
      <c r="D7319" s="760"/>
      <c r="E7319" s="760"/>
      <c r="F7319" s="760"/>
      <c r="G7319" s="760"/>
      <c r="H7319" s="760"/>
      <c r="I7319" s="760"/>
      <c r="J7319" s="760"/>
      <c r="K7319" s="760"/>
    </row>
    <row r="7320" spans="1:11">
      <c r="A7320" s="760"/>
      <c r="B7320" s="760"/>
      <c r="C7320" s="760"/>
      <c r="D7320" s="760"/>
      <c r="E7320" s="760"/>
      <c r="F7320" s="760"/>
      <c r="G7320" s="760"/>
      <c r="H7320" s="760"/>
      <c r="I7320" s="760"/>
      <c r="J7320" s="760"/>
      <c r="K7320" s="760"/>
    </row>
    <row r="7321" spans="1:11">
      <c r="A7321" s="760"/>
      <c r="B7321" s="760"/>
      <c r="C7321" s="760"/>
      <c r="D7321" s="760"/>
      <c r="E7321" s="760"/>
      <c r="F7321" s="760"/>
      <c r="G7321" s="760"/>
      <c r="H7321" s="760"/>
      <c r="I7321" s="760"/>
      <c r="J7321" s="760"/>
      <c r="K7321" s="760"/>
    </row>
    <row r="7322" spans="1:11">
      <c r="A7322" s="760"/>
      <c r="B7322" s="760"/>
      <c r="C7322" s="760"/>
      <c r="D7322" s="760"/>
      <c r="E7322" s="760"/>
      <c r="F7322" s="760"/>
      <c r="G7322" s="760"/>
      <c r="H7322" s="760"/>
      <c r="I7322" s="760"/>
      <c r="J7322" s="760"/>
      <c r="K7322" s="760"/>
    </row>
    <row r="7323" spans="1:11">
      <c r="A7323" s="760"/>
      <c r="B7323" s="760"/>
      <c r="C7323" s="760"/>
      <c r="D7323" s="760"/>
      <c r="E7323" s="760"/>
      <c r="F7323" s="760"/>
      <c r="G7323" s="760"/>
      <c r="H7323" s="760"/>
      <c r="I7323" s="760"/>
      <c r="J7323" s="760"/>
      <c r="K7323" s="760"/>
    </row>
    <row r="7324" spans="1:11">
      <c r="A7324" s="760"/>
      <c r="B7324" s="760"/>
      <c r="C7324" s="760"/>
      <c r="D7324" s="760"/>
      <c r="E7324" s="760"/>
      <c r="F7324" s="760"/>
      <c r="G7324" s="760"/>
      <c r="H7324" s="760"/>
      <c r="I7324" s="760"/>
      <c r="J7324" s="760"/>
      <c r="K7324" s="760"/>
    </row>
    <row r="7325" spans="1:11">
      <c r="A7325" s="760"/>
      <c r="B7325" s="760"/>
      <c r="C7325" s="760"/>
      <c r="D7325" s="760"/>
      <c r="E7325" s="760"/>
      <c r="F7325" s="760"/>
      <c r="G7325" s="760"/>
      <c r="H7325" s="760"/>
      <c r="I7325" s="760"/>
      <c r="J7325" s="760"/>
      <c r="K7325" s="760"/>
    </row>
    <row r="7326" spans="1:11">
      <c r="A7326" s="760"/>
      <c r="B7326" s="760"/>
      <c r="C7326" s="760"/>
      <c r="D7326" s="760"/>
      <c r="E7326" s="760"/>
      <c r="F7326" s="760"/>
      <c r="G7326" s="760"/>
      <c r="H7326" s="760"/>
      <c r="I7326" s="760"/>
      <c r="J7326" s="760"/>
      <c r="K7326" s="760"/>
    </row>
    <row r="7327" spans="1:11">
      <c r="A7327" s="760"/>
      <c r="B7327" s="760"/>
      <c r="C7327" s="760"/>
      <c r="D7327" s="760"/>
      <c r="E7327" s="760"/>
      <c r="F7327" s="760"/>
      <c r="G7327" s="760"/>
      <c r="H7327" s="760"/>
      <c r="I7327" s="760"/>
      <c r="J7327" s="760"/>
      <c r="K7327" s="760"/>
    </row>
    <row r="7328" spans="1:11">
      <c r="A7328" s="760"/>
      <c r="B7328" s="760"/>
      <c r="C7328" s="760"/>
      <c r="D7328" s="760"/>
      <c r="E7328" s="760"/>
      <c r="F7328" s="760"/>
      <c r="G7328" s="760"/>
      <c r="H7328" s="760"/>
      <c r="I7328" s="760"/>
      <c r="J7328" s="760"/>
      <c r="K7328" s="760"/>
    </row>
    <row r="7329" spans="1:11">
      <c r="A7329" s="760"/>
      <c r="B7329" s="760"/>
      <c r="C7329" s="760"/>
      <c r="D7329" s="760"/>
      <c r="E7329" s="760"/>
      <c r="F7329" s="760"/>
      <c r="G7329" s="760"/>
      <c r="H7329" s="760"/>
      <c r="I7329" s="760"/>
      <c r="J7329" s="760"/>
      <c r="K7329" s="760"/>
    </row>
    <row r="7330" spans="1:11">
      <c r="A7330" s="760"/>
      <c r="B7330" s="760"/>
      <c r="C7330" s="760"/>
      <c r="D7330" s="760"/>
      <c r="E7330" s="760"/>
      <c r="F7330" s="760"/>
      <c r="G7330" s="760"/>
      <c r="H7330" s="760"/>
      <c r="I7330" s="760"/>
      <c r="J7330" s="760"/>
      <c r="K7330" s="760"/>
    </row>
    <row r="7331" spans="1:11">
      <c r="A7331" s="760"/>
      <c r="B7331" s="760"/>
      <c r="C7331" s="760"/>
      <c r="D7331" s="760"/>
      <c r="E7331" s="760"/>
      <c r="F7331" s="760"/>
      <c r="G7331" s="760"/>
      <c r="H7331" s="760"/>
      <c r="I7331" s="760"/>
      <c r="J7331" s="760"/>
      <c r="K7331" s="760"/>
    </row>
    <row r="7332" spans="1:11">
      <c r="A7332" s="760"/>
      <c r="B7332" s="760"/>
      <c r="C7332" s="760"/>
      <c r="D7332" s="760"/>
      <c r="E7332" s="760"/>
      <c r="F7332" s="760"/>
      <c r="G7332" s="760"/>
      <c r="H7332" s="760"/>
      <c r="I7332" s="760"/>
      <c r="J7332" s="760"/>
      <c r="K7332" s="760"/>
    </row>
    <row r="7333" spans="1:11">
      <c r="A7333" s="760"/>
      <c r="B7333" s="760"/>
      <c r="C7333" s="760"/>
      <c r="D7333" s="760"/>
      <c r="E7333" s="760"/>
      <c r="F7333" s="760"/>
      <c r="G7333" s="760"/>
      <c r="H7333" s="760"/>
      <c r="I7333" s="760"/>
      <c r="J7333" s="760"/>
      <c r="K7333" s="760"/>
    </row>
    <row r="7334" spans="1:11">
      <c r="A7334" s="760"/>
      <c r="B7334" s="760"/>
      <c r="C7334" s="760"/>
      <c r="D7334" s="760"/>
      <c r="E7334" s="760"/>
      <c r="F7334" s="760"/>
      <c r="G7334" s="760"/>
      <c r="H7334" s="760"/>
      <c r="I7334" s="760"/>
      <c r="J7334" s="760"/>
      <c r="K7334" s="760"/>
    </row>
    <row r="7335" spans="1:11">
      <c r="A7335" s="760"/>
      <c r="B7335" s="760"/>
      <c r="C7335" s="760"/>
      <c r="D7335" s="760"/>
      <c r="E7335" s="760"/>
      <c r="F7335" s="760"/>
      <c r="G7335" s="760"/>
      <c r="H7335" s="760"/>
      <c r="I7335" s="760"/>
      <c r="J7335" s="760"/>
      <c r="K7335" s="760"/>
    </row>
    <row r="7336" spans="1:11">
      <c r="A7336" s="760"/>
      <c r="B7336" s="760"/>
      <c r="C7336" s="760"/>
      <c r="D7336" s="760"/>
      <c r="E7336" s="760"/>
      <c r="F7336" s="760"/>
      <c r="G7336" s="760"/>
      <c r="H7336" s="760"/>
      <c r="I7336" s="760"/>
      <c r="J7336" s="760"/>
      <c r="K7336" s="760"/>
    </row>
    <row r="7337" spans="1:11">
      <c r="A7337" s="760"/>
      <c r="B7337" s="760"/>
      <c r="C7337" s="760"/>
      <c r="D7337" s="760"/>
      <c r="E7337" s="760"/>
      <c r="F7337" s="760"/>
      <c r="G7337" s="760"/>
      <c r="H7337" s="760"/>
      <c r="I7337" s="760"/>
      <c r="J7337" s="760"/>
      <c r="K7337" s="760"/>
    </row>
    <row r="7338" spans="1:11">
      <c r="A7338" s="760"/>
      <c r="B7338" s="760"/>
      <c r="C7338" s="760"/>
      <c r="D7338" s="760"/>
      <c r="E7338" s="760"/>
      <c r="F7338" s="760"/>
      <c r="G7338" s="760"/>
      <c r="H7338" s="760"/>
      <c r="I7338" s="760"/>
      <c r="J7338" s="760"/>
      <c r="K7338" s="760"/>
    </row>
    <row r="7339" spans="1:11">
      <c r="A7339" s="760"/>
      <c r="B7339" s="760"/>
      <c r="C7339" s="760"/>
      <c r="D7339" s="760"/>
      <c r="E7339" s="760"/>
      <c r="F7339" s="760"/>
      <c r="G7339" s="760"/>
      <c r="H7339" s="760"/>
      <c r="I7339" s="760"/>
      <c r="J7339" s="760"/>
      <c r="K7339" s="760"/>
    </row>
    <row r="7340" spans="1:11">
      <c r="A7340" s="760"/>
      <c r="B7340" s="760"/>
      <c r="C7340" s="760"/>
      <c r="D7340" s="760"/>
      <c r="E7340" s="760"/>
      <c r="F7340" s="760"/>
      <c r="G7340" s="760"/>
      <c r="H7340" s="760"/>
      <c r="I7340" s="760"/>
      <c r="J7340" s="760"/>
      <c r="K7340" s="760"/>
    </row>
    <row r="7341" spans="1:11">
      <c r="A7341" s="760"/>
      <c r="B7341" s="760"/>
      <c r="C7341" s="760"/>
      <c r="D7341" s="760"/>
      <c r="E7341" s="760"/>
      <c r="F7341" s="760"/>
      <c r="G7341" s="760"/>
      <c r="H7341" s="760"/>
      <c r="I7341" s="760"/>
      <c r="J7341" s="760"/>
      <c r="K7341" s="760"/>
    </row>
    <row r="7342" spans="1:11">
      <c r="A7342" s="760"/>
      <c r="B7342" s="760"/>
      <c r="C7342" s="760"/>
      <c r="D7342" s="760"/>
      <c r="E7342" s="760"/>
      <c r="F7342" s="760"/>
      <c r="G7342" s="760"/>
      <c r="H7342" s="760"/>
      <c r="I7342" s="760"/>
      <c r="J7342" s="760"/>
      <c r="K7342" s="760"/>
    </row>
    <row r="7343" spans="1:11">
      <c r="A7343" s="760"/>
      <c r="B7343" s="760"/>
      <c r="C7343" s="760"/>
      <c r="D7343" s="760"/>
      <c r="E7343" s="760"/>
      <c r="F7343" s="760"/>
      <c r="G7343" s="760"/>
      <c r="H7343" s="760"/>
      <c r="I7343" s="760"/>
      <c r="J7343" s="760"/>
      <c r="K7343" s="760"/>
    </row>
    <row r="7344" spans="1:11">
      <c r="A7344" s="760"/>
      <c r="B7344" s="760"/>
      <c r="C7344" s="760"/>
      <c r="D7344" s="760"/>
      <c r="E7344" s="760"/>
      <c r="F7344" s="760"/>
      <c r="G7344" s="760"/>
      <c r="H7344" s="760"/>
      <c r="I7344" s="760"/>
      <c r="J7344" s="760"/>
      <c r="K7344" s="760"/>
    </row>
    <row r="7345" spans="1:11">
      <c r="A7345" s="760"/>
      <c r="B7345" s="760"/>
      <c r="C7345" s="760"/>
      <c r="D7345" s="760"/>
      <c r="E7345" s="760"/>
      <c r="F7345" s="760"/>
      <c r="G7345" s="760"/>
      <c r="H7345" s="760"/>
      <c r="I7345" s="760"/>
      <c r="J7345" s="760"/>
      <c r="K7345" s="760"/>
    </row>
    <row r="7346" spans="1:11">
      <c r="A7346" s="760"/>
      <c r="B7346" s="760"/>
      <c r="C7346" s="760"/>
      <c r="D7346" s="760"/>
      <c r="E7346" s="760"/>
      <c r="F7346" s="760"/>
      <c r="G7346" s="760"/>
      <c r="H7346" s="760"/>
      <c r="I7346" s="760"/>
      <c r="J7346" s="760"/>
      <c r="K7346" s="760"/>
    </row>
    <row r="7347" spans="1:11">
      <c r="A7347" s="760"/>
      <c r="B7347" s="760"/>
      <c r="C7347" s="760"/>
      <c r="D7347" s="760"/>
      <c r="E7347" s="760"/>
      <c r="F7347" s="760"/>
      <c r="G7347" s="760"/>
      <c r="H7347" s="760"/>
      <c r="I7347" s="760"/>
      <c r="J7347" s="760"/>
      <c r="K7347" s="760"/>
    </row>
    <row r="7348" spans="1:11">
      <c r="A7348" s="760"/>
      <c r="B7348" s="760"/>
      <c r="C7348" s="760"/>
      <c r="D7348" s="760"/>
      <c r="E7348" s="760"/>
      <c r="F7348" s="760"/>
      <c r="G7348" s="760"/>
      <c r="H7348" s="760"/>
      <c r="I7348" s="760"/>
      <c r="J7348" s="760"/>
      <c r="K7348" s="760"/>
    </row>
    <row r="7349" spans="1:11">
      <c r="A7349" s="760"/>
      <c r="B7349" s="760"/>
      <c r="C7349" s="760"/>
      <c r="D7349" s="760"/>
      <c r="E7349" s="760"/>
      <c r="F7349" s="760"/>
      <c r="G7349" s="760"/>
      <c r="H7349" s="760"/>
      <c r="I7349" s="760"/>
      <c r="J7349" s="760"/>
      <c r="K7349" s="760"/>
    </row>
    <row r="7350" spans="1:11">
      <c r="A7350" s="760"/>
      <c r="B7350" s="760"/>
      <c r="C7350" s="760"/>
      <c r="D7350" s="760"/>
      <c r="E7350" s="760"/>
      <c r="F7350" s="760"/>
      <c r="G7350" s="760"/>
      <c r="H7350" s="760"/>
      <c r="I7350" s="760"/>
      <c r="J7350" s="760"/>
      <c r="K7350" s="760"/>
    </row>
    <row r="7351" spans="1:11">
      <c r="A7351" s="760"/>
      <c r="B7351" s="760"/>
      <c r="C7351" s="760"/>
      <c r="D7351" s="760"/>
      <c r="E7351" s="760"/>
      <c r="F7351" s="760"/>
      <c r="G7351" s="760"/>
      <c r="H7351" s="760"/>
      <c r="I7351" s="760"/>
      <c r="J7351" s="760"/>
      <c r="K7351" s="760"/>
    </row>
    <row r="7352" spans="1:11">
      <c r="A7352" s="760"/>
      <c r="B7352" s="760"/>
      <c r="C7352" s="760"/>
      <c r="D7352" s="760"/>
      <c r="E7352" s="760"/>
      <c r="F7352" s="760"/>
      <c r="G7352" s="760"/>
      <c r="H7352" s="760"/>
      <c r="I7352" s="760"/>
      <c r="J7352" s="760"/>
      <c r="K7352" s="760"/>
    </row>
    <row r="7353" spans="1:11">
      <c r="A7353" s="760"/>
      <c r="B7353" s="760"/>
      <c r="C7353" s="760"/>
      <c r="D7353" s="760"/>
      <c r="E7353" s="760"/>
      <c r="F7353" s="760"/>
      <c r="G7353" s="760"/>
      <c r="H7353" s="760"/>
      <c r="I7353" s="760"/>
      <c r="J7353" s="760"/>
      <c r="K7353" s="760"/>
    </row>
    <row r="7354" spans="1:11">
      <c r="A7354" s="760"/>
      <c r="B7354" s="760"/>
      <c r="C7354" s="760"/>
      <c r="D7354" s="760"/>
      <c r="E7354" s="760"/>
      <c r="F7354" s="760"/>
      <c r="G7354" s="760"/>
      <c r="H7354" s="760"/>
      <c r="I7354" s="760"/>
      <c r="J7354" s="760"/>
      <c r="K7354" s="760"/>
    </row>
    <row r="7355" spans="1:11">
      <c r="A7355" s="760"/>
      <c r="B7355" s="760"/>
      <c r="C7355" s="760"/>
      <c r="D7355" s="760"/>
      <c r="E7355" s="760"/>
      <c r="F7355" s="760"/>
      <c r="G7355" s="760"/>
      <c r="H7355" s="760"/>
      <c r="I7355" s="760"/>
      <c r="J7355" s="760"/>
      <c r="K7355" s="760"/>
    </row>
    <row r="7356" spans="1:11">
      <c r="A7356" s="760"/>
      <c r="B7356" s="760"/>
      <c r="C7356" s="760"/>
      <c r="D7356" s="760"/>
      <c r="E7356" s="760"/>
      <c r="F7356" s="760"/>
      <c r="G7356" s="760"/>
      <c r="H7356" s="760"/>
      <c r="I7356" s="760"/>
      <c r="J7356" s="760"/>
      <c r="K7356" s="760"/>
    </row>
    <row r="7357" spans="1:11">
      <c r="A7357" s="760"/>
      <c r="B7357" s="760"/>
      <c r="C7357" s="760"/>
      <c r="D7357" s="760"/>
      <c r="E7357" s="760"/>
      <c r="F7357" s="760"/>
      <c r="G7357" s="760"/>
      <c r="H7357" s="760"/>
      <c r="I7357" s="760"/>
      <c r="J7357" s="760"/>
      <c r="K7357" s="760"/>
    </row>
    <row r="7358" spans="1:11">
      <c r="A7358" s="760"/>
      <c r="B7358" s="760"/>
      <c r="C7358" s="760"/>
      <c r="D7358" s="760"/>
      <c r="E7358" s="760"/>
      <c r="F7358" s="760"/>
      <c r="G7358" s="760"/>
      <c r="H7358" s="760"/>
      <c r="I7358" s="760"/>
      <c r="J7358" s="760"/>
      <c r="K7358" s="760"/>
    </row>
    <row r="7359" spans="1:11">
      <c r="A7359" s="760"/>
      <c r="B7359" s="760"/>
      <c r="C7359" s="760"/>
      <c r="D7359" s="760"/>
      <c r="E7359" s="760"/>
      <c r="F7359" s="760"/>
      <c r="G7359" s="760"/>
      <c r="H7359" s="760"/>
      <c r="I7359" s="760"/>
      <c r="J7359" s="760"/>
      <c r="K7359" s="760"/>
    </row>
    <row r="7360" spans="1:11">
      <c r="A7360" s="760"/>
      <c r="B7360" s="760"/>
      <c r="C7360" s="760"/>
      <c r="D7360" s="760"/>
      <c r="E7360" s="760"/>
      <c r="F7360" s="760"/>
      <c r="G7360" s="760"/>
      <c r="H7360" s="760"/>
      <c r="I7360" s="760"/>
      <c r="J7360" s="760"/>
      <c r="K7360" s="760"/>
    </row>
    <row r="7361" spans="1:11">
      <c r="A7361" s="760"/>
      <c r="B7361" s="760"/>
      <c r="C7361" s="760"/>
      <c r="D7361" s="760"/>
      <c r="E7361" s="760"/>
      <c r="F7361" s="760"/>
      <c r="G7361" s="760"/>
      <c r="H7361" s="760"/>
      <c r="I7361" s="760"/>
      <c r="J7361" s="760"/>
      <c r="K7361" s="760"/>
    </row>
    <row r="7362" spans="1:11">
      <c r="A7362" s="760"/>
      <c r="B7362" s="760"/>
      <c r="C7362" s="760"/>
      <c r="D7362" s="760"/>
      <c r="E7362" s="760"/>
      <c r="F7362" s="760"/>
      <c r="G7362" s="760"/>
      <c r="H7362" s="760"/>
      <c r="I7362" s="760"/>
      <c r="J7362" s="760"/>
      <c r="K7362" s="760"/>
    </row>
    <row r="7363" spans="1:11">
      <c r="A7363" s="760"/>
      <c r="B7363" s="760"/>
      <c r="C7363" s="760"/>
      <c r="D7363" s="760"/>
      <c r="E7363" s="760"/>
      <c r="F7363" s="760"/>
      <c r="G7363" s="760"/>
      <c r="H7363" s="760"/>
      <c r="I7363" s="760"/>
      <c r="J7363" s="760"/>
      <c r="K7363" s="760"/>
    </row>
    <row r="7364" spans="1:11">
      <c r="A7364" s="760"/>
      <c r="B7364" s="760"/>
      <c r="C7364" s="760"/>
      <c r="D7364" s="760"/>
      <c r="E7364" s="760"/>
      <c r="F7364" s="760"/>
      <c r="G7364" s="760"/>
      <c r="H7364" s="760"/>
      <c r="I7364" s="760"/>
      <c r="J7364" s="760"/>
      <c r="K7364" s="760"/>
    </row>
    <row r="7365" spans="1:11">
      <c r="A7365" s="760"/>
      <c r="B7365" s="760"/>
      <c r="C7365" s="760"/>
      <c r="D7365" s="760"/>
      <c r="E7365" s="760"/>
      <c r="F7365" s="760"/>
      <c r="G7365" s="760"/>
      <c r="H7365" s="760"/>
      <c r="I7365" s="760"/>
      <c r="J7365" s="760"/>
      <c r="K7365" s="760"/>
    </row>
    <row r="7366" spans="1:11">
      <c r="A7366" s="760"/>
      <c r="B7366" s="760"/>
      <c r="C7366" s="760"/>
      <c r="D7366" s="760"/>
      <c r="E7366" s="760"/>
      <c r="F7366" s="760"/>
      <c r="G7366" s="760"/>
      <c r="H7366" s="760"/>
      <c r="I7366" s="760"/>
      <c r="J7366" s="760"/>
      <c r="K7366" s="760"/>
    </row>
    <row r="7367" spans="1:11">
      <c r="A7367" s="760"/>
      <c r="B7367" s="760"/>
      <c r="C7367" s="760"/>
      <c r="D7367" s="760"/>
      <c r="E7367" s="760"/>
      <c r="F7367" s="760"/>
      <c r="G7367" s="760"/>
      <c r="H7367" s="760"/>
      <c r="I7367" s="760"/>
      <c r="J7367" s="760"/>
      <c r="K7367" s="760"/>
    </row>
    <row r="7368" spans="1:11">
      <c r="A7368" s="760"/>
      <c r="B7368" s="760"/>
      <c r="C7368" s="760"/>
      <c r="D7368" s="760"/>
      <c r="E7368" s="760"/>
      <c r="F7368" s="760"/>
      <c r="G7368" s="760"/>
      <c r="H7368" s="760"/>
      <c r="I7368" s="760"/>
      <c r="J7368" s="760"/>
      <c r="K7368" s="760"/>
    </row>
    <row r="7369" spans="1:11">
      <c r="A7369" s="760"/>
      <c r="B7369" s="760"/>
      <c r="C7369" s="760"/>
      <c r="D7369" s="760"/>
      <c r="E7369" s="760"/>
      <c r="F7369" s="760"/>
      <c r="G7369" s="760"/>
      <c r="H7369" s="760"/>
      <c r="I7369" s="760"/>
      <c r="J7369" s="760"/>
      <c r="K7369" s="760"/>
    </row>
    <row r="7370" spans="1:11">
      <c r="A7370" s="760"/>
      <c r="B7370" s="760"/>
      <c r="C7370" s="760"/>
      <c r="D7370" s="760"/>
      <c r="E7370" s="760"/>
      <c r="F7370" s="760"/>
      <c r="G7370" s="760"/>
      <c r="H7370" s="760"/>
      <c r="I7370" s="760"/>
      <c r="J7370" s="760"/>
      <c r="K7370" s="760"/>
    </row>
    <row r="7371" spans="1:11">
      <c r="A7371" s="760"/>
      <c r="B7371" s="760"/>
      <c r="C7371" s="760"/>
      <c r="D7371" s="760"/>
      <c r="E7371" s="760"/>
      <c r="F7371" s="760"/>
      <c r="G7371" s="760"/>
      <c r="H7371" s="760"/>
      <c r="I7371" s="760"/>
      <c r="J7371" s="760"/>
      <c r="K7371" s="760"/>
    </row>
    <row r="7372" spans="1:11">
      <c r="A7372" s="760"/>
      <c r="B7372" s="760"/>
      <c r="C7372" s="760"/>
      <c r="D7372" s="760"/>
      <c r="E7372" s="760"/>
      <c r="F7372" s="760"/>
      <c r="G7372" s="760"/>
      <c r="H7372" s="760"/>
      <c r="I7372" s="760"/>
      <c r="J7372" s="760"/>
      <c r="K7372" s="760"/>
    </row>
    <row r="7373" spans="1:11">
      <c r="A7373" s="760"/>
      <c r="B7373" s="760"/>
      <c r="C7373" s="760"/>
      <c r="D7373" s="760"/>
      <c r="E7373" s="760"/>
      <c r="F7373" s="760"/>
      <c r="G7373" s="760"/>
      <c r="H7373" s="760"/>
      <c r="I7373" s="760"/>
      <c r="J7373" s="760"/>
      <c r="K7373" s="760"/>
    </row>
    <row r="7374" spans="1:11">
      <c r="A7374" s="760"/>
      <c r="B7374" s="760"/>
      <c r="C7374" s="760"/>
      <c r="D7374" s="760"/>
      <c r="E7374" s="760"/>
      <c r="F7374" s="760"/>
      <c r="G7374" s="760"/>
      <c r="H7374" s="760"/>
      <c r="I7374" s="760"/>
      <c r="J7374" s="760"/>
      <c r="K7374" s="760"/>
    </row>
    <row r="7375" spans="1:11">
      <c r="A7375" s="760"/>
      <c r="B7375" s="760"/>
      <c r="C7375" s="760"/>
      <c r="D7375" s="760"/>
      <c r="E7375" s="760"/>
      <c r="F7375" s="760"/>
      <c r="G7375" s="760"/>
      <c r="H7375" s="760"/>
      <c r="I7375" s="760"/>
      <c r="J7375" s="760"/>
      <c r="K7375" s="760"/>
    </row>
    <row r="7376" spans="1:11">
      <c r="A7376" s="760"/>
      <c r="B7376" s="760"/>
      <c r="C7376" s="760"/>
      <c r="D7376" s="760"/>
      <c r="E7376" s="760"/>
      <c r="F7376" s="760"/>
      <c r="G7376" s="760"/>
      <c r="H7376" s="760"/>
      <c r="I7376" s="760"/>
      <c r="J7376" s="760"/>
      <c r="K7376" s="760"/>
    </row>
    <row r="7377" spans="1:11">
      <c r="A7377" s="760"/>
      <c r="B7377" s="760"/>
      <c r="C7377" s="760"/>
      <c r="D7377" s="760"/>
      <c r="E7377" s="760"/>
      <c r="F7377" s="760"/>
      <c r="G7377" s="760"/>
      <c r="H7377" s="760"/>
      <c r="I7377" s="760"/>
      <c r="J7377" s="760"/>
      <c r="K7377" s="760"/>
    </row>
    <row r="7378" spans="1:11">
      <c r="A7378" s="760"/>
      <c r="B7378" s="760"/>
      <c r="C7378" s="760"/>
      <c r="D7378" s="760"/>
      <c r="E7378" s="760"/>
      <c r="F7378" s="760"/>
      <c r="G7378" s="760"/>
      <c r="H7378" s="760"/>
      <c r="I7378" s="760"/>
      <c r="J7378" s="760"/>
      <c r="K7378" s="760"/>
    </row>
    <row r="7379" spans="1:11">
      <c r="A7379" s="760"/>
      <c r="B7379" s="760"/>
      <c r="C7379" s="760"/>
      <c r="D7379" s="760"/>
      <c r="E7379" s="760"/>
      <c r="F7379" s="760"/>
      <c r="G7379" s="760"/>
      <c r="H7379" s="760"/>
      <c r="I7379" s="760"/>
      <c r="J7379" s="760"/>
      <c r="K7379" s="760"/>
    </row>
    <row r="7380" spans="1:11">
      <c r="A7380" s="760"/>
      <c r="B7380" s="760"/>
      <c r="C7380" s="760"/>
      <c r="D7380" s="760"/>
      <c r="E7380" s="760"/>
      <c r="F7380" s="760"/>
      <c r="G7380" s="760"/>
      <c r="H7380" s="760"/>
      <c r="I7380" s="760"/>
      <c r="J7380" s="760"/>
      <c r="K7380" s="760"/>
    </row>
    <row r="7381" spans="1:11">
      <c r="A7381" s="760"/>
      <c r="B7381" s="760"/>
      <c r="C7381" s="760"/>
      <c r="D7381" s="760"/>
      <c r="E7381" s="760"/>
      <c r="F7381" s="760"/>
      <c r="G7381" s="760"/>
      <c r="H7381" s="760"/>
      <c r="I7381" s="760"/>
      <c r="J7381" s="760"/>
      <c r="K7381" s="760"/>
    </row>
    <row r="7382" spans="1:11">
      <c r="A7382" s="760"/>
      <c r="B7382" s="760"/>
      <c r="C7382" s="760"/>
      <c r="D7382" s="760"/>
      <c r="E7382" s="760"/>
      <c r="F7382" s="760"/>
      <c r="G7382" s="760"/>
      <c r="H7382" s="760"/>
      <c r="I7382" s="760"/>
      <c r="J7382" s="760"/>
      <c r="K7382" s="760"/>
    </row>
    <row r="7383" spans="1:11">
      <c r="A7383" s="760"/>
      <c r="B7383" s="760"/>
      <c r="C7383" s="760"/>
      <c r="D7383" s="760"/>
      <c r="E7383" s="760"/>
      <c r="F7383" s="760"/>
      <c r="G7383" s="760"/>
      <c r="H7383" s="760"/>
      <c r="I7383" s="760"/>
      <c r="J7383" s="760"/>
      <c r="K7383" s="760"/>
    </row>
    <row r="7384" spans="1:11">
      <c r="A7384" s="760"/>
      <c r="B7384" s="760"/>
      <c r="C7384" s="760"/>
      <c r="D7384" s="760"/>
      <c r="E7384" s="760"/>
      <c r="F7384" s="760"/>
      <c r="G7384" s="760"/>
      <c r="H7384" s="760"/>
      <c r="I7384" s="760"/>
      <c r="J7384" s="760"/>
      <c r="K7384" s="760"/>
    </row>
    <row r="7385" spans="1:11">
      <c r="A7385" s="760"/>
      <c r="B7385" s="760"/>
      <c r="C7385" s="760"/>
      <c r="D7385" s="760"/>
      <c r="E7385" s="760"/>
      <c r="F7385" s="760"/>
      <c r="G7385" s="760"/>
      <c r="H7385" s="760"/>
      <c r="I7385" s="760"/>
      <c r="J7385" s="760"/>
      <c r="K7385" s="760"/>
    </row>
    <row r="7386" spans="1:11">
      <c r="A7386" s="760"/>
      <c r="B7386" s="760"/>
      <c r="C7386" s="760"/>
      <c r="D7386" s="760"/>
      <c r="E7386" s="760"/>
      <c r="F7386" s="760"/>
      <c r="G7386" s="760"/>
      <c r="H7386" s="760"/>
      <c r="I7386" s="760"/>
      <c r="J7386" s="760"/>
      <c r="K7386" s="760"/>
    </row>
    <row r="7387" spans="1:11">
      <c r="A7387" s="760"/>
      <c r="B7387" s="760"/>
      <c r="C7387" s="760"/>
      <c r="D7387" s="760"/>
      <c r="E7387" s="760"/>
      <c r="F7387" s="760"/>
      <c r="G7387" s="760"/>
      <c r="H7387" s="760"/>
      <c r="I7387" s="760"/>
      <c r="J7387" s="760"/>
      <c r="K7387" s="760"/>
    </row>
    <row r="7388" spans="1:11">
      <c r="A7388" s="760"/>
      <c r="B7388" s="760"/>
      <c r="C7388" s="760"/>
      <c r="D7388" s="760"/>
      <c r="E7388" s="760"/>
      <c r="F7388" s="760"/>
      <c r="G7388" s="760"/>
      <c r="H7388" s="760"/>
      <c r="I7388" s="760"/>
      <c r="J7388" s="760"/>
      <c r="K7388" s="760"/>
    </row>
    <row r="7389" spans="1:11">
      <c r="A7389" s="760"/>
      <c r="B7389" s="760"/>
      <c r="C7389" s="760"/>
      <c r="D7389" s="760"/>
      <c r="E7389" s="760"/>
      <c r="F7389" s="760"/>
      <c r="G7389" s="760"/>
      <c r="H7389" s="760"/>
      <c r="I7389" s="760"/>
      <c r="J7389" s="760"/>
      <c r="K7389" s="760"/>
    </row>
    <row r="7390" spans="1:11">
      <c r="A7390" s="760"/>
      <c r="B7390" s="760"/>
      <c r="C7390" s="760"/>
      <c r="D7390" s="760"/>
      <c r="E7390" s="760"/>
      <c r="F7390" s="760"/>
      <c r="G7390" s="760"/>
      <c r="H7390" s="760"/>
      <c r="I7390" s="760"/>
      <c r="J7390" s="760"/>
      <c r="K7390" s="760"/>
    </row>
    <row r="7391" spans="1:11">
      <c r="A7391" s="760"/>
      <c r="B7391" s="760"/>
      <c r="C7391" s="760"/>
      <c r="D7391" s="760"/>
      <c r="E7391" s="760"/>
      <c r="F7391" s="760"/>
      <c r="G7391" s="760"/>
      <c r="H7391" s="760"/>
      <c r="I7391" s="760"/>
      <c r="J7391" s="760"/>
      <c r="K7391" s="760"/>
    </row>
    <row r="7392" spans="1:11">
      <c r="A7392" s="760"/>
      <c r="B7392" s="760"/>
      <c r="C7392" s="760"/>
      <c r="D7392" s="760"/>
      <c r="E7392" s="760"/>
      <c r="F7392" s="760"/>
      <c r="G7392" s="760"/>
      <c r="H7392" s="760"/>
      <c r="I7392" s="760"/>
      <c r="J7392" s="760"/>
      <c r="K7392" s="760"/>
    </row>
    <row r="7393" spans="1:11">
      <c r="A7393" s="760"/>
      <c r="B7393" s="760"/>
      <c r="C7393" s="760"/>
      <c r="D7393" s="760"/>
      <c r="E7393" s="760"/>
      <c r="F7393" s="760"/>
      <c r="G7393" s="760"/>
      <c r="H7393" s="760"/>
      <c r="I7393" s="760"/>
      <c r="J7393" s="760"/>
      <c r="K7393" s="760"/>
    </row>
    <row r="7394" spans="1:11">
      <c r="A7394" s="760"/>
      <c r="B7394" s="760"/>
      <c r="C7394" s="760"/>
      <c r="D7394" s="760"/>
      <c r="E7394" s="760"/>
      <c r="F7394" s="760"/>
      <c r="G7394" s="760"/>
      <c r="H7394" s="760"/>
      <c r="I7394" s="760"/>
      <c r="J7394" s="760"/>
      <c r="K7394" s="760"/>
    </row>
    <row r="7395" spans="1:11">
      <c r="A7395" s="760"/>
      <c r="B7395" s="760"/>
      <c r="C7395" s="760"/>
      <c r="D7395" s="760"/>
      <c r="E7395" s="760"/>
      <c r="F7395" s="760"/>
      <c r="G7395" s="760"/>
      <c r="H7395" s="760"/>
      <c r="I7395" s="760"/>
      <c r="J7395" s="760"/>
      <c r="K7395" s="760"/>
    </row>
    <row r="7396" spans="1:11">
      <c r="A7396" s="760"/>
      <c r="B7396" s="760"/>
      <c r="C7396" s="760"/>
      <c r="D7396" s="760"/>
      <c r="E7396" s="760"/>
      <c r="F7396" s="760"/>
      <c r="G7396" s="760"/>
      <c r="H7396" s="760"/>
      <c r="I7396" s="760"/>
      <c r="J7396" s="760"/>
      <c r="K7396" s="760"/>
    </row>
    <row r="7397" spans="1:11">
      <c r="A7397" s="760"/>
      <c r="B7397" s="760"/>
      <c r="C7397" s="760"/>
      <c r="D7397" s="760"/>
      <c r="E7397" s="760"/>
      <c r="F7397" s="760"/>
      <c r="G7397" s="760"/>
      <c r="H7397" s="760"/>
      <c r="I7397" s="760"/>
      <c r="J7397" s="760"/>
      <c r="K7397" s="760"/>
    </row>
    <row r="7398" spans="1:11">
      <c r="A7398" s="760"/>
      <c r="B7398" s="760"/>
      <c r="C7398" s="760"/>
      <c r="D7398" s="760"/>
      <c r="E7398" s="760"/>
      <c r="F7398" s="760"/>
      <c r="G7398" s="760"/>
      <c r="H7398" s="760"/>
      <c r="I7398" s="760"/>
      <c r="J7398" s="760"/>
      <c r="K7398" s="760"/>
    </row>
    <row r="7399" spans="1:11">
      <c r="A7399" s="760"/>
      <c r="B7399" s="760"/>
      <c r="C7399" s="760"/>
      <c r="D7399" s="760"/>
      <c r="E7399" s="760"/>
      <c r="F7399" s="760"/>
      <c r="G7399" s="760"/>
      <c r="H7399" s="760"/>
      <c r="I7399" s="760"/>
      <c r="J7399" s="760"/>
      <c r="K7399" s="760"/>
    </row>
    <row r="7400" spans="1:11">
      <c r="A7400" s="760"/>
      <c r="B7400" s="760"/>
      <c r="C7400" s="760"/>
      <c r="D7400" s="760"/>
      <c r="E7400" s="760"/>
      <c r="F7400" s="760"/>
      <c r="G7400" s="760"/>
      <c r="H7400" s="760"/>
      <c r="I7400" s="760"/>
      <c r="J7400" s="760"/>
      <c r="K7400" s="760"/>
    </row>
    <row r="7401" spans="1:11">
      <c r="A7401" s="760"/>
      <c r="B7401" s="760"/>
      <c r="C7401" s="760"/>
      <c r="D7401" s="760"/>
      <c r="E7401" s="760"/>
      <c r="F7401" s="760"/>
      <c r="G7401" s="760"/>
      <c r="H7401" s="760"/>
      <c r="I7401" s="760"/>
      <c r="J7401" s="760"/>
      <c r="K7401" s="760"/>
    </row>
    <row r="7402" spans="1:11">
      <c r="A7402" s="760"/>
      <c r="B7402" s="760"/>
      <c r="C7402" s="760"/>
      <c r="D7402" s="760"/>
      <c r="E7402" s="760"/>
      <c r="F7402" s="760"/>
      <c r="G7402" s="760"/>
      <c r="H7402" s="760"/>
      <c r="I7402" s="760"/>
      <c r="J7402" s="760"/>
      <c r="K7402" s="760"/>
    </row>
    <row r="7403" spans="1:11">
      <c r="A7403" s="760"/>
      <c r="B7403" s="760"/>
      <c r="C7403" s="760"/>
      <c r="D7403" s="760"/>
      <c r="E7403" s="760"/>
      <c r="F7403" s="760"/>
      <c r="G7403" s="760"/>
      <c r="H7403" s="760"/>
      <c r="I7403" s="760"/>
      <c r="J7403" s="760"/>
      <c r="K7403" s="760"/>
    </row>
    <row r="7404" spans="1:11">
      <c r="A7404" s="760"/>
      <c r="B7404" s="760"/>
      <c r="C7404" s="760"/>
      <c r="D7404" s="760"/>
      <c r="E7404" s="760"/>
      <c r="F7404" s="760"/>
      <c r="G7404" s="760"/>
      <c r="H7404" s="760"/>
      <c r="I7404" s="760"/>
      <c r="J7404" s="760"/>
      <c r="K7404" s="760"/>
    </row>
    <row r="7405" spans="1:11">
      <c r="A7405" s="760"/>
      <c r="B7405" s="760"/>
      <c r="C7405" s="760"/>
      <c r="D7405" s="760"/>
      <c r="E7405" s="760"/>
      <c r="F7405" s="760"/>
      <c r="G7405" s="760"/>
      <c r="H7405" s="760"/>
      <c r="I7405" s="760"/>
      <c r="J7405" s="760"/>
      <c r="K7405" s="760"/>
    </row>
    <row r="7406" spans="1:11">
      <c r="A7406" s="760"/>
      <c r="B7406" s="760"/>
      <c r="C7406" s="760"/>
      <c r="D7406" s="760"/>
      <c r="E7406" s="760"/>
      <c r="F7406" s="760"/>
      <c r="G7406" s="760"/>
      <c r="H7406" s="760"/>
      <c r="I7406" s="760"/>
      <c r="J7406" s="760"/>
      <c r="K7406" s="760"/>
    </row>
    <row r="7407" spans="1:11">
      <c r="A7407" s="760"/>
      <c r="B7407" s="760"/>
      <c r="C7407" s="760"/>
      <c r="D7407" s="760"/>
      <c r="E7407" s="760"/>
      <c r="F7407" s="760"/>
      <c r="G7407" s="760"/>
      <c r="H7407" s="760"/>
      <c r="I7407" s="760"/>
      <c r="J7407" s="760"/>
      <c r="K7407" s="760"/>
    </row>
    <row r="7408" spans="1:11">
      <c r="A7408" s="760"/>
      <c r="B7408" s="760"/>
      <c r="C7408" s="760"/>
      <c r="D7408" s="760"/>
      <c r="E7408" s="760"/>
      <c r="F7408" s="760"/>
      <c r="G7408" s="760"/>
      <c r="H7408" s="760"/>
      <c r="I7408" s="760"/>
      <c r="J7408" s="760"/>
      <c r="K7408" s="760"/>
    </row>
    <row r="7409" spans="1:11">
      <c r="A7409" s="760"/>
      <c r="B7409" s="760"/>
      <c r="C7409" s="760"/>
      <c r="D7409" s="760"/>
      <c r="E7409" s="760"/>
      <c r="F7409" s="760"/>
      <c r="G7409" s="760"/>
      <c r="H7409" s="760"/>
      <c r="I7409" s="760"/>
      <c r="J7409" s="760"/>
      <c r="K7409" s="760"/>
    </row>
    <row r="7410" spans="1:11">
      <c r="A7410" s="760"/>
      <c r="B7410" s="760"/>
      <c r="C7410" s="760"/>
      <c r="D7410" s="760"/>
      <c r="E7410" s="760"/>
      <c r="F7410" s="760"/>
      <c r="G7410" s="760"/>
      <c r="H7410" s="760"/>
      <c r="I7410" s="760"/>
      <c r="J7410" s="760"/>
      <c r="K7410" s="760"/>
    </row>
    <row r="7411" spans="1:11">
      <c r="A7411" s="760"/>
      <c r="B7411" s="760"/>
      <c r="C7411" s="760"/>
      <c r="D7411" s="760"/>
      <c r="E7411" s="760"/>
      <c r="F7411" s="760"/>
      <c r="G7411" s="760"/>
      <c r="H7411" s="760"/>
      <c r="I7411" s="760"/>
      <c r="J7411" s="760"/>
      <c r="K7411" s="760"/>
    </row>
    <row r="7412" spans="1:11">
      <c r="A7412" s="760"/>
      <c r="B7412" s="760"/>
      <c r="C7412" s="760"/>
      <c r="D7412" s="760"/>
      <c r="E7412" s="760"/>
      <c r="F7412" s="760"/>
      <c r="G7412" s="760"/>
      <c r="H7412" s="760"/>
      <c r="I7412" s="760"/>
      <c r="J7412" s="760"/>
      <c r="K7412" s="760"/>
    </row>
    <row r="7413" spans="1:11">
      <c r="A7413" s="760"/>
      <c r="B7413" s="760"/>
      <c r="C7413" s="760"/>
      <c r="D7413" s="760"/>
      <c r="E7413" s="760"/>
      <c r="F7413" s="760"/>
      <c r="G7413" s="760"/>
      <c r="H7413" s="760"/>
      <c r="I7413" s="760"/>
      <c r="J7413" s="760"/>
      <c r="K7413" s="760"/>
    </row>
    <row r="7414" spans="1:11">
      <c r="A7414" s="760"/>
      <c r="B7414" s="760"/>
      <c r="C7414" s="760"/>
      <c r="D7414" s="760"/>
      <c r="E7414" s="760"/>
      <c r="F7414" s="760"/>
      <c r="G7414" s="760"/>
      <c r="H7414" s="760"/>
      <c r="I7414" s="760"/>
      <c r="J7414" s="760"/>
      <c r="K7414" s="760"/>
    </row>
    <row r="7415" spans="1:11">
      <c r="A7415" s="760"/>
      <c r="B7415" s="760"/>
      <c r="C7415" s="760"/>
      <c r="D7415" s="760"/>
      <c r="E7415" s="760"/>
      <c r="F7415" s="760"/>
      <c r="G7415" s="760"/>
      <c r="H7415" s="760"/>
      <c r="I7415" s="760"/>
      <c r="J7415" s="760"/>
      <c r="K7415" s="760"/>
    </row>
    <row r="7416" spans="1:11">
      <c r="A7416" s="760"/>
      <c r="B7416" s="760"/>
      <c r="C7416" s="760"/>
      <c r="D7416" s="760"/>
      <c r="E7416" s="760"/>
      <c r="F7416" s="760"/>
      <c r="G7416" s="760"/>
      <c r="H7416" s="760"/>
      <c r="I7416" s="760"/>
      <c r="J7416" s="760"/>
      <c r="K7416" s="760"/>
    </row>
    <row r="7417" spans="1:11">
      <c r="A7417" s="760"/>
      <c r="B7417" s="760"/>
      <c r="C7417" s="760"/>
      <c r="D7417" s="760"/>
      <c r="E7417" s="760"/>
      <c r="F7417" s="760"/>
      <c r="G7417" s="760"/>
      <c r="H7417" s="760"/>
      <c r="I7417" s="760"/>
      <c r="J7417" s="760"/>
      <c r="K7417" s="760"/>
    </row>
    <row r="7418" spans="1:11">
      <c r="A7418" s="760"/>
      <c r="B7418" s="760"/>
      <c r="C7418" s="760"/>
      <c r="D7418" s="760"/>
      <c r="E7418" s="760"/>
      <c r="F7418" s="760"/>
      <c r="G7418" s="760"/>
      <c r="H7418" s="760"/>
      <c r="I7418" s="760"/>
      <c r="J7418" s="760"/>
      <c r="K7418" s="760"/>
    </row>
    <row r="7419" spans="1:11">
      <c r="A7419" s="760"/>
      <c r="B7419" s="760"/>
      <c r="C7419" s="760"/>
      <c r="D7419" s="760"/>
      <c r="E7419" s="760"/>
      <c r="F7419" s="760"/>
      <c r="G7419" s="760"/>
      <c r="H7419" s="760"/>
      <c r="I7419" s="760"/>
      <c r="J7419" s="760"/>
      <c r="K7419" s="760"/>
    </row>
    <row r="7420" spans="1:11">
      <c r="A7420" s="760"/>
      <c r="B7420" s="760"/>
      <c r="C7420" s="760"/>
      <c r="D7420" s="760"/>
      <c r="E7420" s="760"/>
      <c r="F7420" s="760"/>
      <c r="G7420" s="760"/>
      <c r="H7420" s="760"/>
      <c r="I7420" s="760"/>
      <c r="J7420" s="760"/>
      <c r="K7420" s="760"/>
    </row>
    <row r="7421" spans="1:11">
      <c r="A7421" s="760"/>
      <c r="B7421" s="760"/>
      <c r="C7421" s="760"/>
      <c r="D7421" s="760"/>
      <c r="E7421" s="760"/>
      <c r="F7421" s="760"/>
      <c r="G7421" s="760"/>
      <c r="H7421" s="760"/>
      <c r="I7421" s="760"/>
      <c r="J7421" s="760"/>
      <c r="K7421" s="760"/>
    </row>
    <row r="7422" spans="1:11">
      <c r="A7422" s="760"/>
      <c r="B7422" s="760"/>
      <c r="C7422" s="760"/>
      <c r="D7422" s="760"/>
      <c r="E7422" s="760"/>
      <c r="F7422" s="760"/>
      <c r="G7422" s="760"/>
      <c r="H7422" s="760"/>
      <c r="I7422" s="760"/>
      <c r="J7422" s="760"/>
      <c r="K7422" s="760"/>
    </row>
    <row r="7423" spans="1:11">
      <c r="A7423" s="760"/>
      <c r="B7423" s="760"/>
      <c r="C7423" s="760"/>
      <c r="D7423" s="760"/>
      <c r="E7423" s="760"/>
      <c r="F7423" s="760"/>
      <c r="G7423" s="760"/>
      <c r="H7423" s="760"/>
      <c r="I7423" s="760"/>
      <c r="J7423" s="760"/>
      <c r="K7423" s="760"/>
    </row>
    <row r="7424" spans="1:11">
      <c r="A7424" s="760"/>
      <c r="B7424" s="760"/>
      <c r="C7424" s="760"/>
      <c r="D7424" s="760"/>
      <c r="E7424" s="760"/>
      <c r="F7424" s="760"/>
      <c r="G7424" s="760"/>
      <c r="H7424" s="760"/>
      <c r="I7424" s="760"/>
      <c r="J7424" s="760"/>
      <c r="K7424" s="760"/>
    </row>
    <row r="7425" spans="1:11">
      <c r="A7425" s="760"/>
      <c r="B7425" s="760"/>
      <c r="C7425" s="760"/>
      <c r="D7425" s="760"/>
      <c r="E7425" s="760"/>
      <c r="F7425" s="760"/>
      <c r="G7425" s="760"/>
      <c r="H7425" s="760"/>
      <c r="I7425" s="760"/>
      <c r="J7425" s="760"/>
      <c r="K7425" s="760"/>
    </row>
    <row r="7426" spans="1:11">
      <c r="A7426" s="760"/>
      <c r="B7426" s="760"/>
      <c r="C7426" s="760"/>
      <c r="D7426" s="760"/>
      <c r="E7426" s="760"/>
      <c r="F7426" s="760"/>
      <c r="G7426" s="760"/>
      <c r="H7426" s="760"/>
      <c r="I7426" s="760"/>
      <c r="J7426" s="760"/>
      <c r="K7426" s="760"/>
    </row>
    <row r="7427" spans="1:11">
      <c r="A7427" s="760"/>
      <c r="B7427" s="760"/>
      <c r="C7427" s="760"/>
      <c r="D7427" s="760"/>
      <c r="E7427" s="760"/>
      <c r="F7427" s="760"/>
      <c r="G7427" s="760"/>
      <c r="H7427" s="760"/>
      <c r="I7427" s="760"/>
      <c r="J7427" s="760"/>
      <c r="K7427" s="760"/>
    </row>
    <row r="7428" spans="1:11">
      <c r="A7428" s="760"/>
      <c r="B7428" s="760"/>
      <c r="C7428" s="760"/>
      <c r="D7428" s="760"/>
      <c r="E7428" s="760"/>
      <c r="F7428" s="760"/>
      <c r="G7428" s="760"/>
      <c r="H7428" s="760"/>
      <c r="I7428" s="760"/>
      <c r="J7428" s="760"/>
      <c r="K7428" s="760"/>
    </row>
    <row r="7429" spans="1:11">
      <c r="A7429" s="760"/>
      <c r="B7429" s="760"/>
      <c r="C7429" s="760"/>
      <c r="D7429" s="760"/>
      <c r="E7429" s="760"/>
      <c r="F7429" s="760"/>
      <c r="G7429" s="760"/>
      <c r="H7429" s="760"/>
      <c r="I7429" s="760"/>
      <c r="J7429" s="760"/>
      <c r="K7429" s="760"/>
    </row>
    <row r="7430" spans="1:11">
      <c r="A7430" s="760"/>
      <c r="B7430" s="760"/>
      <c r="C7430" s="760"/>
      <c r="D7430" s="760"/>
      <c r="E7430" s="760"/>
      <c r="F7430" s="760"/>
      <c r="G7430" s="760"/>
      <c r="H7430" s="760"/>
      <c r="I7430" s="760"/>
      <c r="J7430" s="760"/>
      <c r="K7430" s="760"/>
    </row>
    <row r="7431" spans="1:11">
      <c r="A7431" s="760"/>
      <c r="B7431" s="760"/>
      <c r="C7431" s="760"/>
      <c r="D7431" s="760"/>
      <c r="E7431" s="760"/>
      <c r="F7431" s="760"/>
      <c r="G7431" s="760"/>
      <c r="H7431" s="760"/>
      <c r="I7431" s="760"/>
      <c r="J7431" s="760"/>
      <c r="K7431" s="760"/>
    </row>
    <row r="7432" spans="1:11">
      <c r="A7432" s="760"/>
      <c r="B7432" s="760"/>
      <c r="C7432" s="760"/>
      <c r="D7432" s="760"/>
      <c r="E7432" s="760"/>
      <c r="F7432" s="760"/>
      <c r="G7432" s="760"/>
      <c r="H7432" s="760"/>
      <c r="I7432" s="760"/>
      <c r="J7432" s="760"/>
      <c r="K7432" s="760"/>
    </row>
    <row r="7433" spans="1:11">
      <c r="A7433" s="760"/>
      <c r="B7433" s="760"/>
      <c r="C7433" s="760"/>
      <c r="D7433" s="760"/>
      <c r="E7433" s="760"/>
      <c r="F7433" s="760"/>
      <c r="G7433" s="760"/>
      <c r="H7433" s="760"/>
      <c r="I7433" s="760"/>
      <c r="J7433" s="760"/>
      <c r="K7433" s="760"/>
    </row>
    <row r="7434" spans="1:11">
      <c r="A7434" s="760"/>
      <c r="B7434" s="760"/>
      <c r="C7434" s="760"/>
      <c r="D7434" s="760"/>
      <c r="E7434" s="760"/>
      <c r="F7434" s="760"/>
      <c r="G7434" s="760"/>
      <c r="H7434" s="760"/>
      <c r="I7434" s="760"/>
      <c r="J7434" s="760"/>
      <c r="K7434" s="760"/>
    </row>
    <row r="7435" spans="1:11">
      <c r="A7435" s="760"/>
      <c r="B7435" s="760"/>
      <c r="C7435" s="760"/>
      <c r="D7435" s="760"/>
      <c r="E7435" s="760"/>
      <c r="F7435" s="760"/>
      <c r="G7435" s="760"/>
      <c r="H7435" s="760"/>
      <c r="I7435" s="760"/>
      <c r="J7435" s="760"/>
      <c r="K7435" s="760"/>
    </row>
    <row r="7436" spans="1:11">
      <c r="A7436" s="760"/>
      <c r="B7436" s="760"/>
      <c r="C7436" s="760"/>
      <c r="D7436" s="760"/>
      <c r="E7436" s="760"/>
      <c r="F7436" s="760"/>
      <c r="G7436" s="760"/>
      <c r="H7436" s="760"/>
      <c r="I7436" s="760"/>
      <c r="J7436" s="760"/>
      <c r="K7436" s="760"/>
    </row>
    <row r="7437" spans="1:11">
      <c r="A7437" s="760"/>
      <c r="B7437" s="760"/>
      <c r="C7437" s="760"/>
      <c r="D7437" s="760"/>
      <c r="E7437" s="760"/>
      <c r="F7437" s="760"/>
      <c r="G7437" s="760"/>
      <c r="H7437" s="760"/>
      <c r="I7437" s="760"/>
      <c r="J7437" s="760"/>
      <c r="K7437" s="760"/>
    </row>
    <row r="7438" spans="1:11">
      <c r="A7438" s="760"/>
      <c r="B7438" s="760"/>
      <c r="C7438" s="760"/>
      <c r="D7438" s="760"/>
      <c r="E7438" s="760"/>
      <c r="F7438" s="760"/>
      <c r="G7438" s="760"/>
      <c r="H7438" s="760"/>
      <c r="I7438" s="760"/>
      <c r="J7438" s="760"/>
      <c r="K7438" s="760"/>
    </row>
    <row r="7439" spans="1:11">
      <c r="A7439" s="760"/>
      <c r="B7439" s="760"/>
      <c r="C7439" s="760"/>
      <c r="D7439" s="760"/>
      <c r="E7439" s="760"/>
      <c r="F7439" s="760"/>
      <c r="G7439" s="760"/>
      <c r="H7439" s="760"/>
      <c r="I7439" s="760"/>
      <c r="J7439" s="760"/>
      <c r="K7439" s="760"/>
    </row>
    <row r="7440" spans="1:11">
      <c r="A7440" s="760"/>
      <c r="B7440" s="760"/>
      <c r="C7440" s="760"/>
      <c r="D7440" s="760"/>
      <c r="E7440" s="760"/>
      <c r="F7440" s="760"/>
      <c r="G7440" s="760"/>
      <c r="H7440" s="760"/>
      <c r="I7440" s="760"/>
      <c r="J7440" s="760"/>
      <c r="K7440" s="760"/>
    </row>
    <row r="7441" spans="1:11">
      <c r="A7441" s="760"/>
      <c r="B7441" s="760"/>
      <c r="C7441" s="760"/>
      <c r="D7441" s="760"/>
      <c r="E7441" s="760"/>
      <c r="F7441" s="760"/>
      <c r="G7441" s="760"/>
      <c r="H7441" s="760"/>
      <c r="I7441" s="760"/>
      <c r="J7441" s="760"/>
      <c r="K7441" s="760"/>
    </row>
    <row r="7442" spans="1:11">
      <c r="A7442" s="760"/>
      <c r="B7442" s="760"/>
      <c r="C7442" s="760"/>
      <c r="D7442" s="760"/>
      <c r="E7442" s="760"/>
      <c r="F7442" s="760"/>
      <c r="G7442" s="760"/>
      <c r="H7442" s="760"/>
      <c r="I7442" s="760"/>
      <c r="J7442" s="760"/>
      <c r="K7442" s="760"/>
    </row>
    <row r="7443" spans="1:11">
      <c r="A7443" s="760"/>
      <c r="B7443" s="760"/>
      <c r="C7443" s="760"/>
      <c r="D7443" s="760"/>
      <c r="E7443" s="760"/>
      <c r="F7443" s="760"/>
      <c r="G7443" s="760"/>
      <c r="H7443" s="760"/>
      <c r="I7443" s="760"/>
      <c r="J7443" s="760"/>
      <c r="K7443" s="760"/>
    </row>
    <row r="7444" spans="1:11">
      <c r="A7444" s="760"/>
      <c r="B7444" s="760"/>
      <c r="C7444" s="760"/>
      <c r="D7444" s="760"/>
      <c r="E7444" s="760"/>
      <c r="F7444" s="760"/>
      <c r="G7444" s="760"/>
      <c r="H7444" s="760"/>
      <c r="I7444" s="760"/>
      <c r="J7444" s="760"/>
      <c r="K7444" s="760"/>
    </row>
    <row r="7445" spans="1:11">
      <c r="A7445" s="760"/>
      <c r="B7445" s="760"/>
      <c r="C7445" s="760"/>
      <c r="D7445" s="760"/>
      <c r="E7445" s="760"/>
      <c r="F7445" s="760"/>
      <c r="G7445" s="760"/>
      <c r="H7445" s="760"/>
      <c r="I7445" s="760"/>
      <c r="J7445" s="760"/>
      <c r="K7445" s="760"/>
    </row>
    <row r="7446" spans="1:11">
      <c r="A7446" s="760"/>
      <c r="B7446" s="760"/>
      <c r="C7446" s="760"/>
      <c r="D7446" s="760"/>
      <c r="E7446" s="760"/>
      <c r="F7446" s="760"/>
      <c r="G7446" s="760"/>
      <c r="H7446" s="760"/>
      <c r="I7446" s="760"/>
      <c r="J7446" s="760"/>
      <c r="K7446" s="760"/>
    </row>
    <row r="7447" spans="1:11">
      <c r="A7447" s="760"/>
      <c r="B7447" s="760"/>
      <c r="C7447" s="760"/>
      <c r="D7447" s="760"/>
      <c r="E7447" s="760"/>
      <c r="F7447" s="760"/>
      <c r="G7447" s="760"/>
      <c r="H7447" s="760"/>
      <c r="I7447" s="760"/>
      <c r="J7447" s="760"/>
      <c r="K7447" s="760"/>
    </row>
    <row r="7448" spans="1:11">
      <c r="A7448" s="760"/>
      <c r="B7448" s="760"/>
      <c r="C7448" s="760"/>
      <c r="D7448" s="760"/>
      <c r="E7448" s="760"/>
      <c r="F7448" s="760"/>
      <c r="G7448" s="760"/>
      <c r="H7448" s="760"/>
      <c r="I7448" s="760"/>
      <c r="J7448" s="760"/>
      <c r="K7448" s="760"/>
    </row>
    <row r="7449" spans="1:11">
      <c r="A7449" s="760"/>
      <c r="B7449" s="760"/>
      <c r="C7449" s="760"/>
      <c r="D7449" s="760"/>
      <c r="E7449" s="760"/>
      <c r="F7449" s="760"/>
      <c r="G7449" s="760"/>
      <c r="H7449" s="760"/>
      <c r="I7449" s="760"/>
      <c r="J7449" s="760"/>
      <c r="K7449" s="760"/>
    </row>
    <row r="7450" spans="1:11">
      <c r="A7450" s="760"/>
      <c r="B7450" s="760"/>
      <c r="C7450" s="760"/>
      <c r="D7450" s="760"/>
      <c r="E7450" s="760"/>
      <c r="F7450" s="760"/>
      <c r="G7450" s="760"/>
      <c r="H7450" s="760"/>
      <c r="I7450" s="760"/>
      <c r="J7450" s="760"/>
      <c r="K7450" s="760"/>
    </row>
    <row r="7451" spans="1:11">
      <c r="A7451" s="760"/>
      <c r="B7451" s="760"/>
      <c r="C7451" s="760"/>
      <c r="D7451" s="760"/>
      <c r="E7451" s="760"/>
      <c r="F7451" s="760"/>
      <c r="G7451" s="760"/>
      <c r="H7451" s="760"/>
      <c r="I7451" s="760"/>
      <c r="J7451" s="760"/>
      <c r="K7451" s="760"/>
    </row>
    <row r="7452" spans="1:11">
      <c r="A7452" s="760"/>
      <c r="B7452" s="760"/>
      <c r="C7452" s="760"/>
      <c r="D7452" s="760"/>
      <c r="E7452" s="760"/>
      <c r="F7452" s="760"/>
      <c r="G7452" s="760"/>
      <c r="H7452" s="760"/>
      <c r="I7452" s="760"/>
      <c r="J7452" s="760"/>
      <c r="K7452" s="760"/>
    </row>
    <row r="7453" spans="1:11">
      <c r="A7453" s="760"/>
      <c r="B7453" s="760"/>
      <c r="C7453" s="760"/>
      <c r="D7453" s="760"/>
      <c r="E7453" s="760"/>
      <c r="F7453" s="760"/>
      <c r="G7453" s="760"/>
      <c r="H7453" s="760"/>
      <c r="I7453" s="760"/>
      <c r="J7453" s="760"/>
      <c r="K7453" s="760"/>
    </row>
    <row r="7454" spans="1:11">
      <c r="A7454" s="760"/>
      <c r="B7454" s="760"/>
      <c r="C7454" s="760"/>
      <c r="D7454" s="760"/>
      <c r="E7454" s="760"/>
      <c r="F7454" s="760"/>
      <c r="G7454" s="760"/>
      <c r="H7454" s="760"/>
      <c r="I7454" s="760"/>
      <c r="J7454" s="760"/>
      <c r="K7454" s="760"/>
    </row>
    <row r="7455" spans="1:11">
      <c r="A7455" s="760"/>
      <c r="B7455" s="760"/>
      <c r="C7455" s="760"/>
      <c r="D7455" s="760"/>
      <c r="E7455" s="760"/>
      <c r="F7455" s="760"/>
      <c r="G7455" s="760"/>
      <c r="H7455" s="760"/>
      <c r="I7455" s="760"/>
      <c r="J7455" s="760"/>
      <c r="K7455" s="760"/>
    </row>
    <row r="7456" spans="1:11">
      <c r="A7456" s="760"/>
      <c r="B7456" s="760"/>
      <c r="C7456" s="760"/>
      <c r="D7456" s="760"/>
      <c r="E7456" s="760"/>
      <c r="F7456" s="760"/>
      <c r="G7456" s="760"/>
      <c r="H7456" s="760"/>
      <c r="I7456" s="760"/>
      <c r="J7456" s="760"/>
      <c r="K7456" s="760"/>
    </row>
    <row r="7457" spans="1:11">
      <c r="A7457" s="760"/>
      <c r="B7457" s="760"/>
      <c r="C7457" s="760"/>
      <c r="D7457" s="760"/>
      <c r="E7457" s="760"/>
      <c r="F7457" s="760"/>
      <c r="G7457" s="760"/>
      <c r="H7457" s="760"/>
      <c r="I7457" s="760"/>
      <c r="J7457" s="760"/>
      <c r="K7457" s="760"/>
    </row>
    <row r="7458" spans="1:11">
      <c r="A7458" s="760"/>
      <c r="B7458" s="760"/>
      <c r="C7458" s="760"/>
      <c r="D7458" s="760"/>
      <c r="E7458" s="760"/>
      <c r="F7458" s="760"/>
      <c r="G7458" s="760"/>
      <c r="H7458" s="760"/>
      <c r="I7458" s="760"/>
      <c r="J7458" s="760"/>
      <c r="K7458" s="760"/>
    </row>
    <row r="7459" spans="1:11">
      <c r="A7459" s="760"/>
      <c r="B7459" s="760"/>
      <c r="C7459" s="760"/>
      <c r="D7459" s="760"/>
      <c r="E7459" s="760"/>
      <c r="F7459" s="760"/>
      <c r="G7459" s="760"/>
      <c r="H7459" s="760"/>
      <c r="I7459" s="760"/>
      <c r="J7459" s="760"/>
      <c r="K7459" s="760"/>
    </row>
    <row r="7460" spans="1:11">
      <c r="A7460" s="760"/>
      <c r="B7460" s="760"/>
      <c r="C7460" s="760"/>
      <c r="D7460" s="760"/>
      <c r="E7460" s="760"/>
      <c r="F7460" s="760"/>
      <c r="G7460" s="760"/>
      <c r="H7460" s="760"/>
      <c r="I7460" s="760"/>
      <c r="J7460" s="760"/>
      <c r="K7460" s="760"/>
    </row>
    <row r="7461" spans="1:11">
      <c r="A7461" s="760"/>
      <c r="B7461" s="760"/>
      <c r="C7461" s="760"/>
      <c r="D7461" s="760"/>
      <c r="E7461" s="760"/>
      <c r="F7461" s="760"/>
      <c r="G7461" s="760"/>
      <c r="H7461" s="760"/>
      <c r="I7461" s="760"/>
      <c r="J7461" s="760"/>
      <c r="K7461" s="760"/>
    </row>
    <row r="7462" spans="1:11">
      <c r="A7462" s="760"/>
      <c r="B7462" s="760"/>
      <c r="C7462" s="760"/>
      <c r="D7462" s="760"/>
      <c r="E7462" s="760"/>
      <c r="F7462" s="760"/>
      <c r="G7462" s="760"/>
      <c r="H7462" s="760"/>
      <c r="I7462" s="760"/>
      <c r="J7462" s="760"/>
      <c r="K7462" s="760"/>
    </row>
    <row r="7463" spans="1:11">
      <c r="A7463" s="760"/>
      <c r="B7463" s="760"/>
      <c r="C7463" s="760"/>
      <c r="D7463" s="760"/>
      <c r="E7463" s="760"/>
      <c r="F7463" s="760"/>
      <c r="G7463" s="760"/>
      <c r="H7463" s="760"/>
      <c r="I7463" s="760"/>
      <c r="J7463" s="760"/>
      <c r="K7463" s="760"/>
    </row>
    <row r="7464" spans="1:11">
      <c r="A7464" s="760"/>
      <c r="B7464" s="760"/>
      <c r="C7464" s="760"/>
      <c r="D7464" s="760"/>
      <c r="E7464" s="760"/>
      <c r="F7464" s="760"/>
      <c r="G7464" s="760"/>
      <c r="H7464" s="760"/>
      <c r="I7464" s="760"/>
      <c r="J7464" s="760"/>
      <c r="K7464" s="760"/>
    </row>
    <row r="7465" spans="1:11">
      <c r="A7465" s="760"/>
      <c r="B7465" s="760"/>
      <c r="C7465" s="760"/>
      <c r="D7465" s="760"/>
      <c r="E7465" s="760"/>
      <c r="F7465" s="760"/>
      <c r="G7465" s="760"/>
      <c r="H7465" s="760"/>
      <c r="I7465" s="760"/>
      <c r="J7465" s="760"/>
      <c r="K7465" s="760"/>
    </row>
    <row r="7466" spans="1:11">
      <c r="A7466" s="760"/>
      <c r="B7466" s="760"/>
      <c r="C7466" s="760"/>
      <c r="D7466" s="760"/>
      <c r="E7466" s="760"/>
      <c r="F7466" s="760"/>
      <c r="G7466" s="760"/>
      <c r="H7466" s="760"/>
      <c r="I7466" s="760"/>
      <c r="J7466" s="760"/>
      <c r="K7466" s="760"/>
    </row>
    <row r="7467" spans="1:11">
      <c r="A7467" s="760"/>
      <c r="B7467" s="760"/>
      <c r="C7467" s="760"/>
      <c r="D7467" s="760"/>
      <c r="E7467" s="760"/>
      <c r="F7467" s="760"/>
      <c r="G7467" s="760"/>
      <c r="H7467" s="760"/>
      <c r="I7467" s="760"/>
      <c r="J7467" s="760"/>
      <c r="K7467" s="760"/>
    </row>
    <row r="7468" spans="1:11">
      <c r="A7468" s="760"/>
      <c r="B7468" s="760"/>
      <c r="C7468" s="760"/>
      <c r="D7468" s="760"/>
      <c r="E7468" s="760"/>
      <c r="F7468" s="760"/>
      <c r="G7468" s="760"/>
      <c r="H7468" s="760"/>
      <c r="I7468" s="760"/>
      <c r="J7468" s="760"/>
      <c r="K7468" s="760"/>
    </row>
    <row r="7469" spans="1:11">
      <c r="A7469" s="760"/>
      <c r="B7469" s="760"/>
      <c r="C7469" s="760"/>
      <c r="D7469" s="760"/>
      <c r="E7469" s="760"/>
      <c r="F7469" s="760"/>
      <c r="G7469" s="760"/>
      <c r="H7469" s="760"/>
      <c r="I7469" s="760"/>
      <c r="J7469" s="760"/>
      <c r="K7469" s="760"/>
    </row>
    <row r="7470" spans="1:11">
      <c r="A7470" s="760"/>
      <c r="B7470" s="760"/>
      <c r="C7470" s="760"/>
      <c r="D7470" s="760"/>
      <c r="E7470" s="760"/>
      <c r="F7470" s="760"/>
      <c r="G7470" s="760"/>
      <c r="H7470" s="760"/>
      <c r="I7470" s="760"/>
      <c r="J7470" s="760"/>
      <c r="K7470" s="760"/>
    </row>
    <row r="7471" spans="1:11">
      <c r="A7471" s="760"/>
      <c r="B7471" s="760"/>
      <c r="C7471" s="760"/>
      <c r="D7471" s="760"/>
      <c r="E7471" s="760"/>
      <c r="F7471" s="760"/>
      <c r="G7471" s="760"/>
      <c r="H7471" s="760"/>
      <c r="I7471" s="760"/>
      <c r="J7471" s="760"/>
      <c r="K7471" s="760"/>
    </row>
    <row r="7472" spans="1:11">
      <c r="A7472" s="760"/>
      <c r="B7472" s="760"/>
      <c r="C7472" s="760"/>
      <c r="D7472" s="760"/>
      <c r="E7472" s="760"/>
      <c r="F7472" s="760"/>
      <c r="G7472" s="760"/>
      <c r="H7472" s="760"/>
      <c r="I7472" s="760"/>
      <c r="J7472" s="760"/>
      <c r="K7472" s="760"/>
    </row>
    <row r="7473" spans="1:11">
      <c r="A7473" s="760"/>
      <c r="B7473" s="760"/>
      <c r="C7473" s="760"/>
      <c r="D7473" s="760"/>
      <c r="E7473" s="760"/>
      <c r="F7473" s="760"/>
      <c r="G7473" s="760"/>
      <c r="H7473" s="760"/>
      <c r="I7473" s="760"/>
      <c r="J7473" s="760"/>
      <c r="K7473" s="760"/>
    </row>
    <row r="7474" spans="1:11">
      <c r="A7474" s="760"/>
      <c r="B7474" s="760"/>
      <c r="C7474" s="760"/>
      <c r="D7474" s="760"/>
      <c r="E7474" s="760"/>
      <c r="F7474" s="760"/>
      <c r="G7474" s="760"/>
      <c r="H7474" s="760"/>
      <c r="I7474" s="760"/>
      <c r="J7474" s="760"/>
      <c r="K7474" s="760"/>
    </row>
    <row r="7475" spans="1:11">
      <c r="A7475" s="760"/>
      <c r="B7475" s="760"/>
      <c r="C7475" s="760"/>
      <c r="D7475" s="760"/>
      <c r="E7475" s="760"/>
      <c r="F7475" s="760"/>
      <c r="G7475" s="760"/>
      <c r="H7475" s="760"/>
      <c r="I7475" s="760"/>
      <c r="J7475" s="760"/>
      <c r="K7475" s="760"/>
    </row>
    <row r="7476" spans="1:11">
      <c r="A7476" s="760"/>
      <c r="B7476" s="760"/>
      <c r="C7476" s="760"/>
      <c r="D7476" s="760"/>
      <c r="E7476" s="760"/>
      <c r="F7476" s="760"/>
      <c r="G7476" s="760"/>
      <c r="H7476" s="760"/>
      <c r="I7476" s="760"/>
      <c r="J7476" s="760"/>
      <c r="K7476" s="760"/>
    </row>
    <row r="7477" spans="1:11">
      <c r="A7477" s="760"/>
      <c r="B7477" s="760"/>
      <c r="C7477" s="760"/>
      <c r="D7477" s="760"/>
      <c r="E7477" s="760"/>
      <c r="F7477" s="760"/>
      <c r="G7477" s="760"/>
      <c r="H7477" s="760"/>
      <c r="I7477" s="760"/>
      <c r="J7477" s="760"/>
      <c r="K7477" s="760"/>
    </row>
    <row r="7478" spans="1:11">
      <c r="A7478" s="760"/>
      <c r="B7478" s="760"/>
      <c r="C7478" s="760"/>
      <c r="D7478" s="760"/>
      <c r="E7478" s="760"/>
      <c r="F7478" s="760"/>
      <c r="G7478" s="760"/>
      <c r="H7478" s="760"/>
      <c r="I7478" s="760"/>
      <c r="J7478" s="760"/>
      <c r="K7478" s="760"/>
    </row>
    <row r="7479" spans="1:11">
      <c r="A7479" s="760"/>
      <c r="B7479" s="760"/>
      <c r="C7479" s="760"/>
      <c r="D7479" s="760"/>
      <c r="E7479" s="760"/>
      <c r="F7479" s="760"/>
      <c r="G7479" s="760"/>
      <c r="H7479" s="760"/>
      <c r="I7479" s="760"/>
      <c r="J7479" s="760"/>
      <c r="K7479" s="760"/>
    </row>
    <row r="7480" spans="1:11">
      <c r="A7480" s="760"/>
      <c r="B7480" s="760"/>
      <c r="C7480" s="760"/>
      <c r="D7480" s="760"/>
      <c r="E7480" s="760"/>
      <c r="F7480" s="760"/>
      <c r="G7480" s="760"/>
      <c r="H7480" s="760"/>
      <c r="I7480" s="760"/>
      <c r="J7480" s="760"/>
      <c r="K7480" s="760"/>
    </row>
    <row r="7481" spans="1:11">
      <c r="A7481" s="760"/>
      <c r="B7481" s="760"/>
      <c r="C7481" s="760"/>
      <c r="D7481" s="760"/>
      <c r="E7481" s="760"/>
      <c r="F7481" s="760"/>
      <c r="G7481" s="760"/>
      <c r="H7481" s="760"/>
      <c r="I7481" s="760"/>
      <c r="J7481" s="760"/>
      <c r="K7481" s="760"/>
    </row>
    <row r="7482" spans="1:11">
      <c r="A7482" s="760"/>
      <c r="B7482" s="760"/>
      <c r="C7482" s="760"/>
      <c r="D7482" s="760"/>
      <c r="E7482" s="760"/>
      <c r="F7482" s="760"/>
      <c r="G7482" s="760"/>
      <c r="H7482" s="760"/>
      <c r="I7482" s="760"/>
      <c r="J7482" s="760"/>
      <c r="K7482" s="760"/>
    </row>
    <row r="7483" spans="1:11">
      <c r="A7483" s="760"/>
      <c r="B7483" s="760"/>
      <c r="C7483" s="760"/>
      <c r="D7483" s="760"/>
      <c r="E7483" s="760"/>
      <c r="F7483" s="760"/>
      <c r="G7483" s="760"/>
      <c r="H7483" s="760"/>
      <c r="I7483" s="760"/>
      <c r="J7483" s="760"/>
      <c r="K7483" s="760"/>
    </row>
    <row r="7484" spans="1:11">
      <c r="A7484" s="760"/>
      <c r="B7484" s="760"/>
      <c r="C7484" s="760"/>
      <c r="D7484" s="760"/>
      <c r="E7484" s="760"/>
      <c r="F7484" s="760"/>
      <c r="G7484" s="760"/>
      <c r="H7484" s="760"/>
      <c r="I7484" s="760"/>
      <c r="J7484" s="760"/>
      <c r="K7484" s="760"/>
    </row>
    <row r="7485" spans="1:11">
      <c r="A7485" s="760"/>
      <c r="B7485" s="760"/>
      <c r="C7485" s="760"/>
      <c r="D7485" s="760"/>
      <c r="E7485" s="760"/>
      <c r="F7485" s="760"/>
      <c r="G7485" s="760"/>
      <c r="H7485" s="760"/>
      <c r="I7485" s="760"/>
      <c r="J7485" s="760"/>
      <c r="K7485" s="760"/>
    </row>
    <row r="7486" spans="1:11">
      <c r="A7486" s="760"/>
      <c r="B7486" s="760"/>
      <c r="C7486" s="760"/>
      <c r="D7486" s="760"/>
      <c r="E7486" s="760"/>
      <c r="F7486" s="760"/>
      <c r="G7486" s="760"/>
      <c r="H7486" s="760"/>
      <c r="I7486" s="760"/>
      <c r="J7486" s="760"/>
      <c r="K7486" s="760"/>
    </row>
    <row r="7487" spans="1:11">
      <c r="A7487" s="760"/>
      <c r="B7487" s="760"/>
      <c r="C7487" s="760"/>
      <c r="D7487" s="760"/>
      <c r="E7487" s="760"/>
      <c r="F7487" s="760"/>
      <c r="G7487" s="760"/>
      <c r="H7487" s="760"/>
      <c r="I7487" s="760"/>
      <c r="J7487" s="760"/>
      <c r="K7487" s="760"/>
    </row>
    <row r="7488" spans="1:11">
      <c r="A7488" s="760"/>
      <c r="B7488" s="760"/>
      <c r="C7488" s="760"/>
      <c r="D7488" s="760"/>
      <c r="E7488" s="760"/>
      <c r="F7488" s="760"/>
      <c r="G7488" s="760"/>
      <c r="H7488" s="760"/>
      <c r="I7488" s="760"/>
      <c r="J7488" s="760"/>
      <c r="K7488" s="760"/>
    </row>
    <row r="7489" spans="1:11">
      <c r="A7489" s="760"/>
      <c r="B7489" s="760"/>
      <c r="C7489" s="760"/>
      <c r="D7489" s="760"/>
      <c r="E7489" s="760"/>
      <c r="F7489" s="760"/>
      <c r="G7489" s="760"/>
      <c r="H7489" s="760"/>
      <c r="I7489" s="760"/>
      <c r="J7489" s="760"/>
      <c r="K7489" s="760"/>
    </row>
    <row r="7490" spans="1:11">
      <c r="A7490" s="760"/>
      <c r="B7490" s="760"/>
      <c r="C7490" s="760"/>
      <c r="D7490" s="760"/>
      <c r="E7490" s="760"/>
      <c r="F7490" s="760"/>
      <c r="G7490" s="760"/>
      <c r="H7490" s="760"/>
      <c r="I7490" s="760"/>
      <c r="J7490" s="760"/>
      <c r="K7490" s="760"/>
    </row>
    <row r="7491" spans="1:11">
      <c r="A7491" s="760"/>
      <c r="B7491" s="760"/>
      <c r="C7491" s="760"/>
      <c r="D7491" s="760"/>
      <c r="E7491" s="760"/>
      <c r="F7491" s="760"/>
      <c r="G7491" s="760"/>
      <c r="H7491" s="760"/>
      <c r="I7491" s="760"/>
      <c r="J7491" s="760"/>
      <c r="K7491" s="760"/>
    </row>
    <row r="7492" spans="1:11">
      <c r="A7492" s="760"/>
      <c r="B7492" s="760"/>
      <c r="C7492" s="760"/>
      <c r="D7492" s="760"/>
      <c r="E7492" s="760"/>
      <c r="F7492" s="760"/>
      <c r="G7492" s="760"/>
      <c r="H7492" s="760"/>
      <c r="I7492" s="760"/>
      <c r="J7492" s="760"/>
      <c r="K7492" s="760"/>
    </row>
    <row r="7493" spans="1:11">
      <c r="A7493" s="760"/>
      <c r="B7493" s="760"/>
      <c r="C7493" s="760"/>
      <c r="D7493" s="760"/>
      <c r="E7493" s="760"/>
      <c r="F7493" s="760"/>
      <c r="G7493" s="760"/>
      <c r="H7493" s="760"/>
      <c r="I7493" s="760"/>
      <c r="J7493" s="760"/>
      <c r="K7493" s="760"/>
    </row>
    <row r="7494" spans="1:11">
      <c r="A7494" s="760"/>
      <c r="B7494" s="760"/>
      <c r="C7494" s="760"/>
      <c r="D7494" s="760"/>
      <c r="E7494" s="760"/>
      <c r="F7494" s="760"/>
      <c r="G7494" s="760"/>
      <c r="H7494" s="760"/>
      <c r="I7494" s="760"/>
      <c r="J7494" s="760"/>
      <c r="K7494" s="760"/>
    </row>
    <row r="7495" spans="1:11">
      <c r="A7495" s="760"/>
      <c r="B7495" s="760"/>
      <c r="C7495" s="760"/>
      <c r="D7495" s="760"/>
      <c r="E7495" s="760"/>
      <c r="F7495" s="760"/>
      <c r="G7495" s="760"/>
      <c r="H7495" s="760"/>
      <c r="I7495" s="760"/>
      <c r="J7495" s="760"/>
      <c r="K7495" s="760"/>
    </row>
    <row r="7496" spans="1:11">
      <c r="A7496" s="760"/>
      <c r="B7496" s="760"/>
      <c r="C7496" s="760"/>
      <c r="D7496" s="760"/>
      <c r="E7496" s="760"/>
      <c r="F7496" s="760"/>
      <c r="G7496" s="760"/>
      <c r="H7496" s="760"/>
      <c r="I7496" s="760"/>
      <c r="J7496" s="760"/>
      <c r="K7496" s="760"/>
    </row>
    <row r="7497" spans="1:11">
      <c r="A7497" s="760"/>
      <c r="B7497" s="760"/>
      <c r="C7497" s="760"/>
      <c r="D7497" s="760"/>
      <c r="E7497" s="760"/>
      <c r="F7497" s="760"/>
      <c r="G7497" s="760"/>
      <c r="H7497" s="760"/>
      <c r="I7497" s="760"/>
      <c r="J7497" s="760"/>
      <c r="K7497" s="760"/>
    </row>
    <row r="7498" spans="1:11">
      <c r="A7498" s="760"/>
      <c r="B7498" s="760"/>
      <c r="C7498" s="760"/>
      <c r="D7498" s="760"/>
      <c r="E7498" s="760"/>
      <c r="F7498" s="760"/>
      <c r="G7498" s="760"/>
      <c r="H7498" s="760"/>
      <c r="I7498" s="760"/>
      <c r="J7498" s="760"/>
      <c r="K7498" s="760"/>
    </row>
    <row r="7499" spans="1:11">
      <c r="A7499" s="760"/>
      <c r="B7499" s="760"/>
      <c r="C7499" s="760"/>
      <c r="D7499" s="760"/>
      <c r="E7499" s="760"/>
      <c r="F7499" s="760"/>
      <c r="G7499" s="760"/>
      <c r="H7499" s="760"/>
      <c r="I7499" s="760"/>
      <c r="J7499" s="760"/>
      <c r="K7499" s="760"/>
    </row>
    <row r="7500" spans="1:11">
      <c r="A7500" s="760"/>
      <c r="B7500" s="760"/>
      <c r="C7500" s="760"/>
      <c r="D7500" s="760"/>
      <c r="E7500" s="760"/>
      <c r="F7500" s="760"/>
      <c r="G7500" s="760"/>
      <c r="H7500" s="760"/>
      <c r="I7500" s="760"/>
      <c r="J7500" s="760"/>
      <c r="K7500" s="760"/>
    </row>
    <row r="7501" spans="1:11">
      <c r="A7501" s="760"/>
      <c r="B7501" s="760"/>
      <c r="C7501" s="760"/>
      <c r="D7501" s="760"/>
      <c r="E7501" s="760"/>
      <c r="F7501" s="760"/>
      <c r="G7501" s="760"/>
      <c r="H7501" s="760"/>
      <c r="I7501" s="760"/>
      <c r="J7501" s="760"/>
      <c r="K7501" s="760"/>
    </row>
    <row r="7502" spans="1:11">
      <c r="A7502" s="760"/>
      <c r="B7502" s="760"/>
      <c r="C7502" s="760"/>
      <c r="D7502" s="760"/>
      <c r="E7502" s="760"/>
      <c r="F7502" s="760"/>
      <c r="G7502" s="760"/>
      <c r="H7502" s="760"/>
      <c r="I7502" s="760"/>
      <c r="J7502" s="760"/>
      <c r="K7502" s="760"/>
    </row>
    <row r="7503" spans="1:11">
      <c r="A7503" s="760"/>
      <c r="B7503" s="760"/>
      <c r="C7503" s="760"/>
      <c r="D7503" s="760"/>
      <c r="E7503" s="760"/>
      <c r="F7503" s="760"/>
      <c r="G7503" s="760"/>
      <c r="H7503" s="760"/>
      <c r="I7503" s="760"/>
      <c r="J7503" s="760"/>
      <c r="K7503" s="760"/>
    </row>
    <row r="7504" spans="1:11">
      <c r="A7504" s="760"/>
      <c r="B7504" s="760"/>
      <c r="C7504" s="760"/>
      <c r="D7504" s="760"/>
      <c r="E7504" s="760"/>
      <c r="F7504" s="760"/>
      <c r="G7504" s="760"/>
      <c r="H7504" s="760"/>
      <c r="I7504" s="760"/>
      <c r="J7504" s="760"/>
      <c r="K7504" s="760"/>
    </row>
    <row r="7505" spans="1:11">
      <c r="A7505" s="760"/>
      <c r="B7505" s="760"/>
      <c r="C7505" s="760"/>
      <c r="D7505" s="760"/>
      <c r="E7505" s="760"/>
      <c r="F7505" s="760"/>
      <c r="G7505" s="760"/>
      <c r="H7505" s="760"/>
      <c r="I7505" s="760"/>
      <c r="J7505" s="760"/>
      <c r="K7505" s="760"/>
    </row>
    <row r="7506" spans="1:11">
      <c r="A7506" s="760"/>
      <c r="B7506" s="760"/>
      <c r="C7506" s="760"/>
      <c r="D7506" s="760"/>
      <c r="E7506" s="760"/>
      <c r="F7506" s="760"/>
      <c r="G7506" s="760"/>
      <c r="H7506" s="760"/>
      <c r="I7506" s="760"/>
      <c r="J7506" s="760"/>
      <c r="K7506" s="760"/>
    </row>
    <row r="7507" spans="1:11">
      <c r="A7507" s="760"/>
      <c r="B7507" s="760"/>
      <c r="C7507" s="760"/>
      <c r="D7507" s="760"/>
      <c r="E7507" s="760"/>
      <c r="F7507" s="760"/>
      <c r="G7507" s="760"/>
      <c r="H7507" s="760"/>
      <c r="I7507" s="760"/>
      <c r="J7507" s="760"/>
      <c r="K7507" s="760"/>
    </row>
    <row r="7508" spans="1:11">
      <c r="A7508" s="760"/>
      <c r="B7508" s="760"/>
      <c r="C7508" s="760"/>
      <c r="D7508" s="760"/>
      <c r="E7508" s="760"/>
      <c r="F7508" s="760"/>
      <c r="G7508" s="760"/>
      <c r="H7508" s="760"/>
      <c r="I7508" s="760"/>
      <c r="J7508" s="760"/>
      <c r="K7508" s="760"/>
    </row>
    <row r="7509" spans="1:11">
      <c r="A7509" s="760"/>
      <c r="B7509" s="760"/>
      <c r="C7509" s="760"/>
      <c r="D7509" s="760"/>
      <c r="E7509" s="760"/>
      <c r="F7509" s="760"/>
      <c r="G7509" s="760"/>
      <c r="H7509" s="760"/>
      <c r="I7509" s="760"/>
      <c r="J7509" s="760"/>
      <c r="K7509" s="760"/>
    </row>
    <row r="7510" spans="1:11">
      <c r="A7510" s="760"/>
      <c r="B7510" s="760"/>
      <c r="C7510" s="760"/>
      <c r="D7510" s="760"/>
      <c r="E7510" s="760"/>
      <c r="F7510" s="760"/>
      <c r="G7510" s="760"/>
      <c r="H7510" s="760"/>
      <c r="I7510" s="760"/>
      <c r="J7510" s="760"/>
      <c r="K7510" s="760"/>
    </row>
    <row r="7511" spans="1:11">
      <c r="A7511" s="760"/>
      <c r="B7511" s="760"/>
      <c r="C7511" s="760"/>
      <c r="D7511" s="760"/>
      <c r="E7511" s="760"/>
      <c r="F7511" s="760"/>
      <c r="G7511" s="760"/>
      <c r="H7511" s="760"/>
      <c r="I7511" s="760"/>
      <c r="J7511" s="760"/>
      <c r="K7511" s="760"/>
    </row>
    <row r="7512" spans="1:11">
      <c r="A7512" s="760"/>
      <c r="B7512" s="760"/>
      <c r="C7512" s="760"/>
      <c r="D7512" s="760"/>
      <c r="E7512" s="760"/>
      <c r="F7512" s="760"/>
      <c r="G7512" s="760"/>
      <c r="H7512" s="760"/>
      <c r="I7512" s="760"/>
      <c r="J7512" s="760"/>
      <c r="K7512" s="760"/>
    </row>
    <row r="7513" spans="1:11">
      <c r="A7513" s="760"/>
      <c r="B7513" s="760"/>
      <c r="C7513" s="760"/>
      <c r="D7513" s="760"/>
      <c r="E7513" s="760"/>
      <c r="F7513" s="760"/>
      <c r="G7513" s="760"/>
      <c r="H7513" s="760"/>
      <c r="I7513" s="760"/>
      <c r="J7513" s="760"/>
      <c r="K7513" s="760"/>
    </row>
    <row r="7514" spans="1:11">
      <c r="A7514" s="760"/>
      <c r="B7514" s="760"/>
      <c r="C7514" s="760"/>
      <c r="D7514" s="760"/>
      <c r="E7514" s="760"/>
      <c r="F7514" s="760"/>
      <c r="G7514" s="760"/>
      <c r="H7514" s="760"/>
      <c r="I7514" s="760"/>
      <c r="J7514" s="760"/>
      <c r="K7514" s="760"/>
    </row>
    <row r="7515" spans="1:11">
      <c r="A7515" s="760"/>
      <c r="B7515" s="760"/>
      <c r="C7515" s="760"/>
      <c r="D7515" s="760"/>
      <c r="E7515" s="760"/>
      <c r="F7515" s="760"/>
      <c r="G7515" s="760"/>
      <c r="H7515" s="760"/>
      <c r="I7515" s="760"/>
      <c r="J7515" s="760"/>
      <c r="K7515" s="760"/>
    </row>
    <row r="7516" spans="1:11">
      <c r="A7516" s="760"/>
      <c r="B7516" s="760"/>
      <c r="C7516" s="760"/>
      <c r="D7516" s="760"/>
      <c r="E7516" s="760"/>
      <c r="F7516" s="760"/>
      <c r="G7516" s="760"/>
      <c r="H7516" s="760"/>
      <c r="I7516" s="760"/>
      <c r="J7516" s="760"/>
      <c r="K7516" s="760"/>
    </row>
    <row r="7517" spans="1:11">
      <c r="A7517" s="760"/>
      <c r="B7517" s="760"/>
      <c r="C7517" s="760"/>
      <c r="D7517" s="760"/>
      <c r="E7517" s="760"/>
      <c r="F7517" s="760"/>
      <c r="G7517" s="760"/>
      <c r="H7517" s="760"/>
      <c r="I7517" s="760"/>
      <c r="J7517" s="760"/>
      <c r="K7517" s="760"/>
    </row>
    <row r="7518" spans="1:11">
      <c r="A7518" s="760"/>
      <c r="B7518" s="760"/>
      <c r="C7518" s="760"/>
      <c r="D7518" s="760"/>
      <c r="E7518" s="760"/>
      <c r="F7518" s="760"/>
      <c r="G7518" s="760"/>
      <c r="H7518" s="760"/>
      <c r="I7518" s="760"/>
      <c r="J7518" s="760"/>
      <c r="K7518" s="760"/>
    </row>
    <row r="7519" spans="1:11">
      <c r="A7519" s="760"/>
      <c r="B7519" s="760"/>
      <c r="C7519" s="760"/>
      <c r="D7519" s="760"/>
      <c r="E7519" s="760"/>
      <c r="F7519" s="760"/>
      <c r="G7519" s="760"/>
      <c r="H7519" s="760"/>
      <c r="I7519" s="760"/>
      <c r="J7519" s="760"/>
      <c r="K7519" s="760"/>
    </row>
    <row r="7520" spans="1:11">
      <c r="A7520" s="760"/>
      <c r="B7520" s="760"/>
      <c r="C7520" s="760"/>
      <c r="D7520" s="760"/>
      <c r="E7520" s="760"/>
      <c r="F7520" s="760"/>
      <c r="G7520" s="760"/>
      <c r="H7520" s="760"/>
      <c r="I7520" s="760"/>
      <c r="J7520" s="760"/>
      <c r="K7520" s="760"/>
    </row>
    <row r="7521" spans="1:11">
      <c r="A7521" s="760"/>
      <c r="B7521" s="760"/>
      <c r="C7521" s="760"/>
      <c r="D7521" s="760"/>
      <c r="E7521" s="760"/>
      <c r="F7521" s="760"/>
      <c r="G7521" s="760"/>
      <c r="H7521" s="760"/>
      <c r="I7521" s="760"/>
      <c r="J7521" s="760"/>
      <c r="K7521" s="760"/>
    </row>
    <row r="7522" spans="1:11">
      <c r="A7522" s="760"/>
      <c r="B7522" s="760"/>
      <c r="C7522" s="760"/>
      <c r="D7522" s="760"/>
      <c r="E7522" s="760"/>
      <c r="F7522" s="760"/>
      <c r="G7522" s="760"/>
      <c r="H7522" s="760"/>
      <c r="I7522" s="760"/>
      <c r="J7522" s="760"/>
      <c r="K7522" s="760"/>
    </row>
    <row r="7523" spans="1:11">
      <c r="A7523" s="760"/>
      <c r="B7523" s="760"/>
      <c r="C7523" s="760"/>
      <c r="D7523" s="760"/>
      <c r="E7523" s="760"/>
      <c r="F7523" s="760"/>
      <c r="G7523" s="760"/>
      <c r="H7523" s="760"/>
      <c r="I7523" s="760"/>
      <c r="J7523" s="760"/>
      <c r="K7523" s="760"/>
    </row>
    <row r="7524" spans="1:11">
      <c r="A7524" s="760"/>
      <c r="B7524" s="760"/>
      <c r="C7524" s="760"/>
      <c r="D7524" s="760"/>
      <c r="E7524" s="760"/>
      <c r="F7524" s="760"/>
      <c r="G7524" s="760"/>
      <c r="H7524" s="760"/>
      <c r="I7524" s="760"/>
      <c r="J7524" s="760"/>
      <c r="K7524" s="760"/>
    </row>
    <row r="7525" spans="1:11">
      <c r="A7525" s="760"/>
      <c r="B7525" s="760"/>
      <c r="C7525" s="760"/>
      <c r="D7525" s="760"/>
      <c r="E7525" s="760"/>
      <c r="F7525" s="760"/>
      <c r="G7525" s="760"/>
      <c r="H7525" s="760"/>
      <c r="I7525" s="760"/>
      <c r="J7525" s="760"/>
      <c r="K7525" s="760"/>
    </row>
    <row r="7526" spans="1:11">
      <c r="A7526" s="760"/>
      <c r="B7526" s="760"/>
      <c r="C7526" s="760"/>
      <c r="D7526" s="760"/>
      <c r="E7526" s="760"/>
      <c r="F7526" s="760"/>
      <c r="G7526" s="760"/>
      <c r="H7526" s="760"/>
      <c r="I7526" s="760"/>
      <c r="J7526" s="760"/>
      <c r="K7526" s="760"/>
    </row>
    <row r="7527" spans="1:11">
      <c r="A7527" s="760"/>
      <c r="B7527" s="760"/>
      <c r="C7527" s="760"/>
      <c r="D7527" s="760"/>
      <c r="E7527" s="760"/>
      <c r="F7527" s="760"/>
      <c r="G7527" s="760"/>
      <c r="H7527" s="760"/>
      <c r="I7527" s="760"/>
      <c r="J7527" s="760"/>
      <c r="K7527" s="760"/>
    </row>
    <row r="7528" spans="1:11">
      <c r="A7528" s="760"/>
      <c r="B7528" s="760"/>
      <c r="C7528" s="760"/>
      <c r="D7528" s="760"/>
      <c r="E7528" s="760"/>
      <c r="F7528" s="760"/>
      <c r="G7528" s="760"/>
      <c r="H7528" s="760"/>
      <c r="I7528" s="760"/>
      <c r="J7528" s="760"/>
      <c r="K7528" s="760"/>
    </row>
    <row r="7529" spans="1:11">
      <c r="A7529" s="760"/>
      <c r="B7529" s="760"/>
      <c r="C7529" s="760"/>
      <c r="D7529" s="760"/>
      <c r="E7529" s="760"/>
      <c r="F7529" s="760"/>
      <c r="G7529" s="760"/>
      <c r="H7529" s="760"/>
      <c r="I7529" s="760"/>
      <c r="J7529" s="760"/>
      <c r="K7529" s="760"/>
    </row>
    <row r="7530" spans="1:11">
      <c r="A7530" s="760"/>
      <c r="B7530" s="760"/>
      <c r="C7530" s="760"/>
      <c r="D7530" s="760"/>
      <c r="E7530" s="760"/>
      <c r="F7530" s="760"/>
      <c r="G7530" s="760"/>
      <c r="H7530" s="760"/>
      <c r="I7530" s="760"/>
      <c r="J7530" s="760"/>
      <c r="K7530" s="760"/>
    </row>
    <row r="7531" spans="1:11">
      <c r="A7531" s="760"/>
      <c r="B7531" s="760"/>
      <c r="C7531" s="760"/>
      <c r="D7531" s="760"/>
      <c r="E7531" s="760"/>
      <c r="F7531" s="760"/>
      <c r="G7531" s="760"/>
      <c r="H7531" s="760"/>
      <c r="I7531" s="760"/>
      <c r="J7531" s="760"/>
      <c r="K7531" s="760"/>
    </row>
    <row r="7532" spans="1:11">
      <c r="A7532" s="760"/>
      <c r="B7532" s="760"/>
      <c r="C7532" s="760"/>
      <c r="D7532" s="760"/>
      <c r="E7532" s="760"/>
      <c r="F7532" s="760"/>
      <c r="G7532" s="760"/>
      <c r="H7532" s="760"/>
      <c r="I7532" s="760"/>
      <c r="J7532" s="760"/>
      <c r="K7532" s="760"/>
    </row>
    <row r="7533" spans="1:11">
      <c r="A7533" s="760"/>
      <c r="B7533" s="760"/>
      <c r="C7533" s="760"/>
      <c r="D7533" s="760"/>
      <c r="E7533" s="760"/>
      <c r="F7533" s="760"/>
      <c r="G7533" s="760"/>
      <c r="H7533" s="760"/>
      <c r="I7533" s="760"/>
      <c r="J7533" s="760"/>
      <c r="K7533" s="760"/>
    </row>
    <row r="7534" spans="1:11">
      <c r="A7534" s="760"/>
      <c r="B7534" s="760"/>
      <c r="C7534" s="760"/>
      <c r="D7534" s="760"/>
      <c r="E7534" s="760"/>
      <c r="F7534" s="760"/>
      <c r="G7534" s="760"/>
      <c r="H7534" s="760"/>
      <c r="I7534" s="760"/>
      <c r="J7534" s="760"/>
      <c r="K7534" s="760"/>
    </row>
    <row r="7535" spans="1:11">
      <c r="A7535" s="760"/>
      <c r="B7535" s="760"/>
      <c r="C7535" s="760"/>
      <c r="D7535" s="760"/>
      <c r="E7535" s="760"/>
      <c r="F7535" s="760"/>
      <c r="G7535" s="760"/>
      <c r="H7535" s="760"/>
      <c r="I7535" s="760"/>
      <c r="J7535" s="760"/>
      <c r="K7535" s="760"/>
    </row>
    <row r="7536" spans="1:11">
      <c r="A7536" s="760"/>
      <c r="B7536" s="760"/>
      <c r="C7536" s="760"/>
      <c r="D7536" s="760"/>
      <c r="E7536" s="760"/>
      <c r="F7536" s="760"/>
      <c r="G7536" s="760"/>
      <c r="H7536" s="760"/>
      <c r="I7536" s="760"/>
      <c r="J7536" s="760"/>
      <c r="K7536" s="760"/>
    </row>
    <row r="7537" spans="1:11">
      <c r="A7537" s="760"/>
      <c r="B7537" s="760"/>
      <c r="C7537" s="760"/>
      <c r="D7537" s="760"/>
      <c r="E7537" s="760"/>
      <c r="F7537" s="760"/>
      <c r="G7537" s="760"/>
      <c r="H7537" s="760"/>
      <c r="I7537" s="760"/>
      <c r="J7537" s="760"/>
      <c r="K7537" s="760"/>
    </row>
    <row r="7538" spans="1:11">
      <c r="A7538" s="760"/>
      <c r="B7538" s="760"/>
      <c r="C7538" s="760"/>
      <c r="D7538" s="760"/>
      <c r="E7538" s="760"/>
      <c r="F7538" s="760"/>
      <c r="G7538" s="760"/>
      <c r="H7538" s="760"/>
      <c r="I7538" s="760"/>
      <c r="J7538" s="760"/>
      <c r="K7538" s="760"/>
    </row>
    <row r="7539" spans="1:11">
      <c r="A7539" s="760"/>
      <c r="B7539" s="760"/>
      <c r="C7539" s="760"/>
      <c r="D7539" s="760"/>
      <c r="E7539" s="760"/>
      <c r="F7539" s="760"/>
      <c r="G7539" s="760"/>
      <c r="H7539" s="760"/>
      <c r="I7539" s="760"/>
      <c r="J7539" s="760"/>
      <c r="K7539" s="760"/>
    </row>
    <row r="7540" spans="1:11">
      <c r="A7540" s="760"/>
      <c r="B7540" s="760"/>
      <c r="C7540" s="760"/>
      <c r="D7540" s="760"/>
      <c r="E7540" s="760"/>
      <c r="F7540" s="760"/>
      <c r="G7540" s="760"/>
      <c r="H7540" s="760"/>
      <c r="I7540" s="760"/>
      <c r="J7540" s="760"/>
      <c r="K7540" s="760"/>
    </row>
    <row r="7541" spans="1:11">
      <c r="A7541" s="760"/>
      <c r="B7541" s="760"/>
      <c r="C7541" s="760"/>
      <c r="D7541" s="760"/>
      <c r="E7541" s="760"/>
      <c r="F7541" s="760"/>
      <c r="G7541" s="760"/>
      <c r="H7541" s="760"/>
      <c r="I7541" s="760"/>
      <c r="J7541" s="760"/>
      <c r="K7541" s="760"/>
    </row>
    <row r="7542" spans="1:11">
      <c r="A7542" s="760"/>
      <c r="B7542" s="760"/>
      <c r="C7542" s="760"/>
      <c r="D7542" s="760"/>
      <c r="E7542" s="760"/>
      <c r="F7542" s="760"/>
      <c r="G7542" s="760"/>
      <c r="H7542" s="760"/>
      <c r="I7542" s="760"/>
      <c r="J7542" s="760"/>
      <c r="K7542" s="760"/>
    </row>
    <row r="7543" spans="1:11">
      <c r="A7543" s="760"/>
      <c r="B7543" s="760"/>
      <c r="C7543" s="760"/>
      <c r="D7543" s="760"/>
      <c r="E7543" s="760"/>
      <c r="F7543" s="760"/>
      <c r="G7543" s="760"/>
      <c r="H7543" s="760"/>
      <c r="I7543" s="760"/>
      <c r="J7543" s="760"/>
      <c r="K7543" s="760"/>
    </row>
    <row r="7544" spans="1:11">
      <c r="A7544" s="760"/>
      <c r="B7544" s="760"/>
      <c r="C7544" s="760"/>
      <c r="D7544" s="760"/>
      <c r="E7544" s="760"/>
      <c r="F7544" s="760"/>
      <c r="G7544" s="760"/>
      <c r="H7544" s="760"/>
      <c r="I7544" s="760"/>
      <c r="J7544" s="760"/>
      <c r="K7544" s="760"/>
    </row>
    <row r="7545" spans="1:11">
      <c r="A7545" s="760"/>
      <c r="B7545" s="760"/>
      <c r="C7545" s="760"/>
      <c r="D7545" s="760"/>
      <c r="E7545" s="760"/>
      <c r="F7545" s="760"/>
      <c r="G7545" s="760"/>
      <c r="H7545" s="760"/>
      <c r="I7545" s="760"/>
      <c r="J7545" s="760"/>
      <c r="K7545" s="760"/>
    </row>
    <row r="7546" spans="1:11">
      <c r="A7546" s="760"/>
      <c r="B7546" s="760"/>
      <c r="C7546" s="760"/>
      <c r="D7546" s="760"/>
      <c r="E7546" s="760"/>
      <c r="F7546" s="760"/>
      <c r="G7546" s="760"/>
      <c r="H7546" s="760"/>
      <c r="I7546" s="760"/>
      <c r="J7546" s="760"/>
      <c r="K7546" s="760"/>
    </row>
    <row r="7547" spans="1:11">
      <c r="A7547" s="760"/>
      <c r="B7547" s="760"/>
      <c r="C7547" s="760"/>
      <c r="D7547" s="760"/>
      <c r="E7547" s="760"/>
      <c r="F7547" s="760"/>
      <c r="G7547" s="760"/>
      <c r="H7547" s="760"/>
      <c r="I7547" s="760"/>
      <c r="J7547" s="760"/>
      <c r="K7547" s="760"/>
    </row>
    <row r="7548" spans="1:11">
      <c r="A7548" s="760"/>
      <c r="B7548" s="760"/>
      <c r="C7548" s="760"/>
      <c r="D7548" s="760"/>
      <c r="E7548" s="760"/>
      <c r="F7548" s="760"/>
      <c r="G7548" s="760"/>
      <c r="H7548" s="760"/>
      <c r="I7548" s="760"/>
      <c r="J7548" s="760"/>
      <c r="K7548" s="760"/>
    </row>
    <row r="7549" spans="1:11">
      <c r="A7549" s="760"/>
      <c r="B7549" s="760"/>
      <c r="C7549" s="760"/>
      <c r="D7549" s="760"/>
      <c r="E7549" s="760"/>
      <c r="F7549" s="760"/>
      <c r="G7549" s="760"/>
      <c r="H7549" s="760"/>
      <c r="I7549" s="760"/>
      <c r="J7549" s="760"/>
      <c r="K7549" s="760"/>
    </row>
    <row r="7550" spans="1:11">
      <c r="A7550" s="760"/>
      <c r="B7550" s="760"/>
      <c r="C7550" s="760"/>
      <c r="D7550" s="760"/>
      <c r="E7550" s="760"/>
      <c r="F7550" s="760"/>
      <c r="G7550" s="760"/>
      <c r="H7550" s="760"/>
      <c r="I7550" s="760"/>
      <c r="J7550" s="760"/>
      <c r="K7550" s="760"/>
    </row>
    <row r="7551" spans="1:11">
      <c r="A7551" s="760"/>
      <c r="B7551" s="760"/>
      <c r="C7551" s="760"/>
      <c r="D7551" s="760"/>
      <c r="E7551" s="760"/>
      <c r="F7551" s="760"/>
      <c r="G7551" s="760"/>
      <c r="H7551" s="760"/>
      <c r="I7551" s="760"/>
      <c r="J7551" s="760"/>
      <c r="K7551" s="760"/>
    </row>
    <row r="7552" spans="1:11">
      <c r="A7552" s="760"/>
      <c r="B7552" s="760"/>
      <c r="C7552" s="760"/>
      <c r="D7552" s="760"/>
      <c r="E7552" s="760"/>
      <c r="F7552" s="760"/>
      <c r="G7552" s="760"/>
      <c r="H7552" s="760"/>
      <c r="I7552" s="760"/>
      <c r="J7552" s="760"/>
      <c r="K7552" s="760"/>
    </row>
    <row r="7553" spans="1:11">
      <c r="A7553" s="760"/>
      <c r="B7553" s="760"/>
      <c r="C7553" s="760"/>
      <c r="D7553" s="760"/>
      <c r="E7553" s="760"/>
      <c r="F7553" s="760"/>
      <c r="G7553" s="760"/>
      <c r="H7553" s="760"/>
      <c r="I7553" s="760"/>
      <c r="J7553" s="760"/>
      <c r="K7553" s="760"/>
    </row>
    <row r="7554" spans="1:11">
      <c r="A7554" s="760"/>
      <c r="B7554" s="760"/>
      <c r="C7554" s="760"/>
      <c r="D7554" s="760"/>
      <c r="E7554" s="760"/>
      <c r="F7554" s="760"/>
      <c r="G7554" s="760"/>
      <c r="H7554" s="760"/>
      <c r="I7554" s="760"/>
      <c r="J7554" s="760"/>
      <c r="K7554" s="760"/>
    </row>
    <row r="7555" spans="1:11">
      <c r="A7555" s="760"/>
      <c r="B7555" s="760"/>
      <c r="C7555" s="760"/>
      <c r="D7555" s="760"/>
      <c r="E7555" s="760"/>
      <c r="F7555" s="760"/>
      <c r="G7555" s="760"/>
      <c r="H7555" s="760"/>
      <c r="I7555" s="760"/>
      <c r="J7555" s="760"/>
      <c r="K7555" s="760"/>
    </row>
    <row r="7556" spans="1:11">
      <c r="A7556" s="760"/>
      <c r="B7556" s="760"/>
      <c r="C7556" s="760"/>
      <c r="D7556" s="760"/>
      <c r="E7556" s="760"/>
      <c r="F7556" s="760"/>
      <c r="G7556" s="760"/>
      <c r="H7556" s="760"/>
      <c r="I7556" s="760"/>
      <c r="J7556" s="760"/>
      <c r="K7556" s="760"/>
    </row>
    <row r="7557" spans="1:11">
      <c r="A7557" s="760"/>
      <c r="B7557" s="760"/>
      <c r="C7557" s="760"/>
      <c r="D7557" s="760"/>
      <c r="E7557" s="760"/>
      <c r="F7557" s="760"/>
      <c r="G7557" s="760"/>
      <c r="H7557" s="760"/>
      <c r="I7557" s="760"/>
      <c r="J7557" s="760"/>
      <c r="K7557" s="760"/>
    </row>
    <row r="7558" spans="1:11">
      <c r="A7558" s="760"/>
      <c r="B7558" s="760"/>
      <c r="C7558" s="760"/>
      <c r="D7558" s="760"/>
      <c r="E7558" s="760"/>
      <c r="F7558" s="760"/>
      <c r="G7558" s="760"/>
      <c r="H7558" s="760"/>
      <c r="I7558" s="760"/>
      <c r="J7558" s="760"/>
      <c r="K7558" s="760"/>
    </row>
    <row r="7559" spans="1:11">
      <c r="A7559" s="760"/>
      <c r="B7559" s="760"/>
      <c r="C7559" s="760"/>
      <c r="D7559" s="760"/>
      <c r="E7559" s="760"/>
      <c r="F7559" s="760"/>
      <c r="G7559" s="760"/>
      <c r="H7559" s="760"/>
      <c r="I7559" s="760"/>
      <c r="J7559" s="760"/>
      <c r="K7559" s="760"/>
    </row>
    <row r="7560" spans="1:11">
      <c r="A7560" s="760"/>
      <c r="B7560" s="760"/>
      <c r="C7560" s="760"/>
      <c r="D7560" s="760"/>
      <c r="E7560" s="760"/>
      <c r="F7560" s="760"/>
      <c r="G7560" s="760"/>
      <c r="H7560" s="760"/>
      <c r="I7560" s="760"/>
      <c r="J7560" s="760"/>
      <c r="K7560" s="760"/>
    </row>
    <row r="7561" spans="1:11">
      <c r="A7561" s="760"/>
      <c r="B7561" s="760"/>
      <c r="C7561" s="760"/>
      <c r="D7561" s="760"/>
      <c r="E7561" s="760"/>
      <c r="F7561" s="760"/>
      <c r="G7561" s="760"/>
      <c r="H7561" s="760"/>
      <c r="I7561" s="760"/>
      <c r="J7561" s="760"/>
      <c r="K7561" s="760"/>
    </row>
    <row r="7562" spans="1:11">
      <c r="A7562" s="760"/>
      <c r="B7562" s="760"/>
      <c r="C7562" s="760"/>
      <c r="D7562" s="760"/>
      <c r="E7562" s="760"/>
      <c r="F7562" s="760"/>
      <c r="G7562" s="760"/>
      <c r="H7562" s="760"/>
      <c r="I7562" s="760"/>
      <c r="J7562" s="760"/>
      <c r="K7562" s="760"/>
    </row>
    <row r="7563" spans="1:11">
      <c r="A7563" s="760"/>
      <c r="B7563" s="760"/>
      <c r="C7563" s="760"/>
      <c r="D7563" s="760"/>
      <c r="E7563" s="760"/>
      <c r="F7563" s="760"/>
      <c r="G7563" s="760"/>
      <c r="H7563" s="760"/>
      <c r="I7563" s="760"/>
      <c r="J7563" s="760"/>
      <c r="K7563" s="760"/>
    </row>
    <row r="7564" spans="1:11">
      <c r="A7564" s="760"/>
      <c r="B7564" s="760"/>
      <c r="C7564" s="760"/>
      <c r="D7564" s="760"/>
      <c r="E7564" s="760"/>
      <c r="F7564" s="760"/>
      <c r="G7564" s="760"/>
      <c r="H7564" s="760"/>
      <c r="I7564" s="760"/>
      <c r="J7564" s="760"/>
      <c r="K7564" s="760"/>
    </row>
    <row r="7565" spans="1:11">
      <c r="A7565" s="760"/>
      <c r="B7565" s="760"/>
      <c r="C7565" s="760"/>
      <c r="D7565" s="760"/>
      <c r="E7565" s="760"/>
      <c r="F7565" s="760"/>
      <c r="G7565" s="760"/>
      <c r="H7565" s="760"/>
      <c r="I7565" s="760"/>
      <c r="J7565" s="760"/>
      <c r="K7565" s="760"/>
    </row>
    <row r="7566" spans="1:11">
      <c r="A7566" s="760"/>
      <c r="B7566" s="760"/>
      <c r="C7566" s="760"/>
      <c r="D7566" s="760"/>
      <c r="E7566" s="760"/>
      <c r="F7566" s="760"/>
      <c r="G7566" s="760"/>
      <c r="H7566" s="760"/>
      <c r="I7566" s="760"/>
      <c r="J7566" s="760"/>
      <c r="K7566" s="760"/>
    </row>
    <row r="7567" spans="1:11">
      <c r="A7567" s="760"/>
      <c r="B7567" s="760"/>
      <c r="C7567" s="760"/>
      <c r="D7567" s="760"/>
      <c r="E7567" s="760"/>
      <c r="F7567" s="760"/>
      <c r="G7567" s="760"/>
      <c r="H7567" s="760"/>
      <c r="I7567" s="760"/>
      <c r="J7567" s="760"/>
      <c r="K7567" s="760"/>
    </row>
    <row r="7568" spans="1:11">
      <c r="A7568" s="760"/>
      <c r="B7568" s="760"/>
      <c r="C7568" s="760"/>
      <c r="D7568" s="760"/>
      <c r="E7568" s="760"/>
      <c r="F7568" s="760"/>
      <c r="G7568" s="760"/>
      <c r="H7568" s="760"/>
      <c r="I7568" s="760"/>
      <c r="J7568" s="760"/>
      <c r="K7568" s="760"/>
    </row>
    <row r="7569" spans="1:11">
      <c r="A7569" s="760"/>
      <c r="B7569" s="760"/>
      <c r="C7569" s="760"/>
      <c r="D7569" s="760"/>
      <c r="E7569" s="760"/>
      <c r="F7569" s="760"/>
      <c r="G7569" s="760"/>
      <c r="H7569" s="760"/>
      <c r="I7569" s="760"/>
      <c r="J7569" s="760"/>
      <c r="K7569" s="760"/>
    </row>
    <row r="7570" spans="1:11">
      <c r="A7570" s="760"/>
      <c r="B7570" s="760"/>
      <c r="C7570" s="760"/>
      <c r="D7570" s="760"/>
      <c r="E7570" s="760"/>
      <c r="F7570" s="760"/>
      <c r="G7570" s="760"/>
      <c r="H7570" s="760"/>
      <c r="I7570" s="760"/>
      <c r="J7570" s="760"/>
      <c r="K7570" s="760"/>
    </row>
    <row r="7571" spans="1:11">
      <c r="A7571" s="760"/>
      <c r="B7571" s="760"/>
      <c r="C7571" s="760"/>
      <c r="D7571" s="760"/>
      <c r="E7571" s="760"/>
      <c r="F7571" s="760"/>
      <c r="G7571" s="760"/>
      <c r="H7571" s="760"/>
      <c r="I7571" s="760"/>
      <c r="J7571" s="760"/>
      <c r="K7571" s="760"/>
    </row>
    <row r="7572" spans="1:11">
      <c r="A7572" s="760"/>
      <c r="B7572" s="760"/>
      <c r="C7572" s="760"/>
      <c r="D7572" s="760"/>
      <c r="E7572" s="760"/>
      <c r="F7572" s="760"/>
      <c r="G7572" s="760"/>
      <c r="H7572" s="760"/>
      <c r="I7572" s="760"/>
      <c r="J7572" s="760"/>
      <c r="K7572" s="760"/>
    </row>
    <row r="7573" spans="1:11">
      <c r="A7573" s="760"/>
      <c r="B7573" s="760"/>
      <c r="C7573" s="760"/>
      <c r="D7573" s="760"/>
      <c r="E7573" s="760"/>
      <c r="F7573" s="760"/>
      <c r="G7573" s="760"/>
      <c r="H7573" s="760"/>
      <c r="I7573" s="760"/>
      <c r="J7573" s="760"/>
      <c r="K7573" s="760"/>
    </row>
    <row r="7574" spans="1:11">
      <c r="A7574" s="760"/>
      <c r="B7574" s="760"/>
      <c r="C7574" s="760"/>
      <c r="D7574" s="760"/>
      <c r="E7574" s="760"/>
      <c r="F7574" s="760"/>
      <c r="G7574" s="760"/>
      <c r="H7574" s="760"/>
      <c r="I7574" s="760"/>
      <c r="J7574" s="760"/>
      <c r="K7574" s="760"/>
    </row>
    <row r="7575" spans="1:11">
      <c r="A7575" s="760"/>
      <c r="B7575" s="760"/>
      <c r="C7575" s="760"/>
      <c r="D7575" s="760"/>
      <c r="E7575" s="760"/>
      <c r="F7575" s="760"/>
      <c r="G7575" s="760"/>
      <c r="H7575" s="760"/>
      <c r="I7575" s="760"/>
      <c r="J7575" s="760"/>
      <c r="K7575" s="760"/>
    </row>
    <row r="7576" spans="1:11">
      <c r="A7576" s="760"/>
      <c r="B7576" s="760"/>
      <c r="C7576" s="760"/>
      <c r="D7576" s="760"/>
      <c r="E7576" s="760"/>
      <c r="F7576" s="760"/>
      <c r="G7576" s="760"/>
      <c r="H7576" s="760"/>
      <c r="I7576" s="760"/>
      <c r="J7576" s="760"/>
      <c r="K7576" s="760"/>
    </row>
    <row r="7577" spans="1:11">
      <c r="A7577" s="760"/>
      <c r="B7577" s="760"/>
      <c r="C7577" s="760"/>
      <c r="D7577" s="760"/>
      <c r="E7577" s="760"/>
      <c r="F7577" s="760"/>
      <c r="G7577" s="760"/>
      <c r="H7577" s="760"/>
      <c r="I7577" s="760"/>
      <c r="J7577" s="760"/>
      <c r="K7577" s="760"/>
    </row>
    <row r="7578" spans="1:11">
      <c r="A7578" s="760"/>
      <c r="B7578" s="760"/>
      <c r="C7578" s="760"/>
      <c r="D7578" s="760"/>
      <c r="E7578" s="760"/>
      <c r="F7578" s="760"/>
      <c r="G7578" s="760"/>
      <c r="H7578" s="760"/>
      <c r="I7578" s="760"/>
      <c r="J7578" s="760"/>
      <c r="K7578" s="760"/>
    </row>
    <row r="7579" spans="1:11">
      <c r="A7579" s="760"/>
      <c r="B7579" s="760"/>
      <c r="C7579" s="760"/>
      <c r="D7579" s="760"/>
      <c r="E7579" s="760"/>
      <c r="F7579" s="760"/>
      <c r="G7579" s="760"/>
      <c r="H7579" s="760"/>
      <c r="I7579" s="760"/>
      <c r="J7579" s="760"/>
      <c r="K7579" s="760"/>
    </row>
    <row r="7580" spans="1:11">
      <c r="A7580" s="760"/>
      <c r="B7580" s="760"/>
      <c r="C7580" s="760"/>
      <c r="D7580" s="760"/>
      <c r="E7580" s="760"/>
      <c r="F7580" s="760"/>
      <c r="G7580" s="760"/>
      <c r="H7580" s="760"/>
      <c r="I7580" s="760"/>
      <c r="J7580" s="760"/>
      <c r="K7580" s="760"/>
    </row>
    <row r="7581" spans="1:11">
      <c r="A7581" s="760"/>
      <c r="B7581" s="760"/>
      <c r="C7581" s="760"/>
      <c r="D7581" s="760"/>
      <c r="E7581" s="760"/>
      <c r="F7581" s="760"/>
      <c r="G7581" s="760"/>
      <c r="H7581" s="760"/>
      <c r="I7581" s="760"/>
      <c r="J7581" s="760"/>
      <c r="K7581" s="760"/>
    </row>
    <row r="7582" spans="1:11">
      <c r="A7582" s="760"/>
      <c r="B7582" s="760"/>
      <c r="C7582" s="760"/>
      <c r="D7582" s="760"/>
      <c r="E7582" s="760"/>
      <c r="F7582" s="760"/>
      <c r="G7582" s="760"/>
      <c r="H7582" s="760"/>
      <c r="I7582" s="760"/>
      <c r="J7582" s="760"/>
      <c r="K7582" s="760"/>
    </row>
    <row r="7583" spans="1:11">
      <c r="A7583" s="760"/>
      <c r="B7583" s="760"/>
      <c r="C7583" s="760"/>
      <c r="D7583" s="760"/>
      <c r="E7583" s="760"/>
      <c r="F7583" s="760"/>
      <c r="G7583" s="760"/>
      <c r="H7583" s="760"/>
      <c r="I7583" s="760"/>
      <c r="J7583" s="760"/>
      <c r="K7583" s="760"/>
    </row>
    <row r="7584" spans="1:11">
      <c r="A7584" s="760"/>
      <c r="B7584" s="760"/>
      <c r="C7584" s="760"/>
      <c r="D7584" s="760"/>
      <c r="E7584" s="760"/>
      <c r="F7584" s="760"/>
      <c r="G7584" s="760"/>
      <c r="H7584" s="760"/>
      <c r="I7584" s="760"/>
      <c r="J7584" s="760"/>
      <c r="K7584" s="760"/>
    </row>
    <row r="7585" spans="1:11">
      <c r="A7585" s="760"/>
      <c r="B7585" s="760"/>
      <c r="C7585" s="760"/>
      <c r="D7585" s="760"/>
      <c r="E7585" s="760"/>
      <c r="F7585" s="760"/>
      <c r="G7585" s="760"/>
      <c r="H7585" s="760"/>
      <c r="I7585" s="760"/>
      <c r="J7585" s="760"/>
      <c r="K7585" s="760"/>
    </row>
    <row r="7586" spans="1:11">
      <c r="A7586" s="760"/>
      <c r="B7586" s="760"/>
      <c r="C7586" s="760"/>
      <c r="D7586" s="760"/>
      <c r="E7586" s="760"/>
      <c r="F7586" s="760"/>
      <c r="G7586" s="760"/>
      <c r="H7586" s="760"/>
      <c r="I7586" s="760"/>
      <c r="J7586" s="760"/>
      <c r="K7586" s="760"/>
    </row>
    <row r="7587" spans="1:11">
      <c r="A7587" s="760"/>
      <c r="B7587" s="760"/>
      <c r="C7587" s="760"/>
      <c r="D7587" s="760"/>
      <c r="E7587" s="760"/>
      <c r="F7587" s="760"/>
      <c r="G7587" s="760"/>
      <c r="H7587" s="760"/>
      <c r="I7587" s="760"/>
      <c r="J7587" s="760"/>
      <c r="K7587" s="760"/>
    </row>
    <row r="7588" spans="1:11">
      <c r="A7588" s="760"/>
      <c r="B7588" s="760"/>
      <c r="C7588" s="760"/>
      <c r="D7588" s="760"/>
      <c r="E7588" s="760"/>
      <c r="F7588" s="760"/>
      <c r="G7588" s="760"/>
      <c r="H7588" s="760"/>
      <c r="I7588" s="760"/>
      <c r="J7588" s="760"/>
      <c r="K7588" s="760"/>
    </row>
    <row r="7589" spans="1:11">
      <c r="A7589" s="760"/>
      <c r="B7589" s="760"/>
      <c r="C7589" s="760"/>
      <c r="D7589" s="760"/>
      <c r="E7589" s="760"/>
      <c r="F7589" s="760"/>
      <c r="G7589" s="760"/>
      <c r="H7589" s="760"/>
      <c r="I7589" s="760"/>
      <c r="J7589" s="760"/>
      <c r="K7589" s="760"/>
    </row>
    <row r="7590" spans="1:11">
      <c r="A7590" s="760"/>
      <c r="B7590" s="760"/>
      <c r="C7590" s="760"/>
      <c r="D7590" s="760"/>
      <c r="E7590" s="760"/>
      <c r="F7590" s="760"/>
      <c r="G7590" s="760"/>
      <c r="H7590" s="760"/>
      <c r="I7590" s="760"/>
      <c r="J7590" s="760"/>
      <c r="K7590" s="760"/>
    </row>
    <row r="7591" spans="1:11">
      <c r="A7591" s="760"/>
      <c r="B7591" s="760"/>
      <c r="C7591" s="760"/>
      <c r="D7591" s="760"/>
      <c r="E7591" s="760"/>
      <c r="F7591" s="760"/>
      <c r="G7591" s="760"/>
      <c r="H7591" s="760"/>
      <c r="I7591" s="760"/>
      <c r="J7591" s="760"/>
      <c r="K7591" s="760"/>
    </row>
    <row r="7592" spans="1:11">
      <c r="A7592" s="760"/>
      <c r="B7592" s="760"/>
      <c r="C7592" s="760"/>
      <c r="D7592" s="760"/>
      <c r="E7592" s="760"/>
      <c r="F7592" s="760"/>
      <c r="G7592" s="760"/>
      <c r="H7592" s="760"/>
      <c r="I7592" s="760"/>
      <c r="J7592" s="760"/>
      <c r="K7592" s="760"/>
    </row>
    <row r="7593" spans="1:11">
      <c r="A7593" s="760"/>
      <c r="B7593" s="760"/>
      <c r="C7593" s="760"/>
      <c r="D7593" s="760"/>
      <c r="E7593" s="760"/>
      <c r="F7593" s="760"/>
      <c r="G7593" s="760"/>
      <c r="H7593" s="760"/>
      <c r="I7593" s="760"/>
      <c r="J7593" s="760"/>
      <c r="K7593" s="760"/>
    </row>
    <row r="7594" spans="1:11">
      <c r="A7594" s="760"/>
      <c r="B7594" s="760"/>
      <c r="C7594" s="760"/>
      <c r="D7594" s="760"/>
      <c r="E7594" s="760"/>
      <c r="F7594" s="760"/>
      <c r="G7594" s="760"/>
      <c r="H7594" s="760"/>
      <c r="I7594" s="760"/>
      <c r="J7594" s="760"/>
      <c r="K7594" s="760"/>
    </row>
    <row r="7595" spans="1:11">
      <c r="A7595" s="760"/>
      <c r="B7595" s="760"/>
      <c r="C7595" s="760"/>
      <c r="D7595" s="760"/>
      <c r="E7595" s="760"/>
      <c r="F7595" s="760"/>
      <c r="G7595" s="760"/>
      <c r="H7595" s="760"/>
      <c r="I7595" s="760"/>
      <c r="J7595" s="760"/>
      <c r="K7595" s="760"/>
    </row>
    <row r="7596" spans="1:11">
      <c r="A7596" s="760"/>
      <c r="B7596" s="760"/>
      <c r="C7596" s="760"/>
      <c r="D7596" s="760"/>
      <c r="E7596" s="760"/>
      <c r="F7596" s="760"/>
      <c r="G7596" s="760"/>
      <c r="H7596" s="760"/>
      <c r="I7596" s="760"/>
      <c r="J7596" s="760"/>
      <c r="K7596" s="760"/>
    </row>
    <row r="7597" spans="1:11">
      <c r="A7597" s="760"/>
      <c r="B7597" s="760"/>
      <c r="C7597" s="760"/>
      <c r="D7597" s="760"/>
      <c r="E7597" s="760"/>
      <c r="F7597" s="760"/>
      <c r="G7597" s="760"/>
      <c r="H7597" s="760"/>
      <c r="I7597" s="760"/>
      <c r="J7597" s="760"/>
      <c r="K7597" s="760"/>
    </row>
    <row r="7598" spans="1:11">
      <c r="A7598" s="760"/>
      <c r="B7598" s="760"/>
      <c r="C7598" s="760"/>
      <c r="D7598" s="760"/>
      <c r="E7598" s="760"/>
      <c r="F7598" s="760"/>
      <c r="G7598" s="760"/>
      <c r="H7598" s="760"/>
      <c r="I7598" s="760"/>
      <c r="J7598" s="760"/>
      <c r="K7598" s="760"/>
    </row>
    <row r="7599" spans="1:11">
      <c r="A7599" s="760"/>
      <c r="B7599" s="760"/>
      <c r="C7599" s="760"/>
      <c r="D7599" s="760"/>
      <c r="E7599" s="760"/>
      <c r="F7599" s="760"/>
      <c r="G7599" s="760"/>
      <c r="H7599" s="760"/>
      <c r="I7599" s="760"/>
      <c r="J7599" s="760"/>
      <c r="K7599" s="760"/>
    </row>
    <row r="7600" spans="1:11">
      <c r="A7600" s="760"/>
      <c r="B7600" s="760"/>
      <c r="C7600" s="760"/>
      <c r="D7600" s="760"/>
      <c r="E7600" s="760"/>
      <c r="F7600" s="760"/>
      <c r="G7600" s="760"/>
      <c r="H7600" s="760"/>
      <c r="I7600" s="760"/>
      <c r="J7600" s="760"/>
      <c r="K7600" s="760"/>
    </row>
    <row r="7601" spans="1:11">
      <c r="A7601" s="760"/>
      <c r="B7601" s="760"/>
      <c r="C7601" s="760"/>
      <c r="D7601" s="760"/>
      <c r="E7601" s="760"/>
      <c r="F7601" s="760"/>
      <c r="G7601" s="760"/>
      <c r="H7601" s="760"/>
      <c r="I7601" s="760"/>
      <c r="J7601" s="760"/>
      <c r="K7601" s="760"/>
    </row>
    <row r="7602" spans="1:11">
      <c r="A7602" s="760"/>
      <c r="B7602" s="760"/>
      <c r="C7602" s="760"/>
      <c r="D7602" s="760"/>
      <c r="E7602" s="760"/>
      <c r="F7602" s="760"/>
      <c r="G7602" s="760"/>
      <c r="H7602" s="760"/>
      <c r="I7602" s="760"/>
      <c r="J7602" s="760"/>
      <c r="K7602" s="760"/>
    </row>
    <row r="7603" spans="1:11">
      <c r="A7603" s="760"/>
      <c r="B7603" s="760"/>
      <c r="C7603" s="760"/>
      <c r="D7603" s="760"/>
      <c r="E7603" s="760"/>
      <c r="F7603" s="760"/>
      <c r="G7603" s="760"/>
      <c r="H7603" s="760"/>
      <c r="I7603" s="760"/>
      <c r="J7603" s="760"/>
      <c r="K7603" s="760"/>
    </row>
    <row r="7604" spans="1:11">
      <c r="A7604" s="760"/>
      <c r="B7604" s="760"/>
      <c r="C7604" s="760"/>
      <c r="D7604" s="760"/>
      <c r="E7604" s="760"/>
      <c r="F7604" s="760"/>
      <c r="G7604" s="760"/>
      <c r="H7604" s="760"/>
      <c r="I7604" s="760"/>
      <c r="J7604" s="760"/>
      <c r="K7604" s="760"/>
    </row>
    <row r="7605" spans="1:11">
      <c r="A7605" s="760"/>
      <c r="B7605" s="760"/>
      <c r="C7605" s="760"/>
      <c r="D7605" s="760"/>
      <c r="E7605" s="760"/>
      <c r="F7605" s="760"/>
      <c r="G7605" s="760"/>
      <c r="H7605" s="760"/>
      <c r="I7605" s="760"/>
      <c r="J7605" s="760"/>
      <c r="K7605" s="760"/>
    </row>
    <row r="7606" spans="1:11">
      <c r="A7606" s="760"/>
      <c r="B7606" s="760"/>
      <c r="C7606" s="760"/>
      <c r="D7606" s="760"/>
      <c r="E7606" s="760"/>
      <c r="F7606" s="760"/>
      <c r="G7606" s="760"/>
      <c r="H7606" s="760"/>
      <c r="I7606" s="760"/>
      <c r="J7606" s="760"/>
      <c r="K7606" s="760"/>
    </row>
    <row r="7607" spans="1:11">
      <c r="A7607" s="760"/>
      <c r="B7607" s="760"/>
      <c r="C7607" s="760"/>
      <c r="D7607" s="760"/>
      <c r="E7607" s="760"/>
      <c r="F7607" s="760"/>
      <c r="G7607" s="760"/>
      <c r="H7607" s="760"/>
      <c r="I7607" s="760"/>
      <c r="J7607" s="760"/>
      <c r="K7607" s="760"/>
    </row>
    <row r="7608" spans="1:11">
      <c r="A7608" s="760"/>
      <c r="B7608" s="760"/>
      <c r="C7608" s="760"/>
      <c r="D7608" s="760"/>
      <c r="E7608" s="760"/>
      <c r="F7608" s="760"/>
      <c r="G7608" s="760"/>
      <c r="H7608" s="760"/>
      <c r="I7608" s="760"/>
      <c r="J7608" s="760"/>
      <c r="K7608" s="760"/>
    </row>
    <row r="7609" spans="1:11">
      <c r="A7609" s="760"/>
      <c r="B7609" s="760"/>
      <c r="C7609" s="760"/>
      <c r="D7609" s="760"/>
      <c r="E7609" s="760"/>
      <c r="F7609" s="760"/>
      <c r="G7609" s="760"/>
      <c r="H7609" s="760"/>
      <c r="I7609" s="760"/>
      <c r="J7609" s="760"/>
      <c r="K7609" s="760"/>
    </row>
    <row r="7610" spans="1:11">
      <c r="A7610" s="760"/>
      <c r="B7610" s="760"/>
      <c r="C7610" s="760"/>
      <c r="D7610" s="760"/>
      <c r="E7610" s="760"/>
      <c r="F7610" s="760"/>
      <c r="G7610" s="760"/>
      <c r="H7610" s="760"/>
      <c r="I7610" s="760"/>
      <c r="J7610" s="760"/>
      <c r="K7610" s="760"/>
    </row>
    <row r="7611" spans="1:11">
      <c r="A7611" s="760"/>
      <c r="B7611" s="760"/>
      <c r="C7611" s="760"/>
      <c r="D7611" s="760"/>
      <c r="E7611" s="760"/>
      <c r="F7611" s="760"/>
      <c r="G7611" s="760"/>
      <c r="H7611" s="760"/>
      <c r="I7611" s="760"/>
      <c r="J7611" s="760"/>
      <c r="K7611" s="760"/>
    </row>
    <row r="7612" spans="1:11">
      <c r="A7612" s="760"/>
      <c r="B7612" s="760"/>
      <c r="C7612" s="760"/>
      <c r="D7612" s="760"/>
      <c r="E7612" s="760"/>
      <c r="F7612" s="760"/>
      <c r="G7612" s="760"/>
      <c r="H7612" s="760"/>
      <c r="I7612" s="760"/>
      <c r="J7612" s="760"/>
      <c r="K7612" s="760"/>
    </row>
    <row r="7613" spans="1:11">
      <c r="A7613" s="760"/>
      <c r="B7613" s="760"/>
      <c r="C7613" s="760"/>
      <c r="D7613" s="760"/>
      <c r="E7613" s="760"/>
      <c r="F7613" s="760"/>
      <c r="G7613" s="760"/>
      <c r="H7613" s="760"/>
      <c r="I7613" s="760"/>
      <c r="J7613" s="760"/>
      <c r="K7613" s="760"/>
    </row>
    <row r="7614" spans="1:11">
      <c r="A7614" s="760"/>
      <c r="B7614" s="760"/>
      <c r="C7614" s="760"/>
      <c r="D7614" s="760"/>
      <c r="E7614" s="760"/>
      <c r="F7614" s="760"/>
      <c r="G7614" s="760"/>
      <c r="H7614" s="760"/>
      <c r="I7614" s="760"/>
      <c r="J7614" s="760"/>
      <c r="K7614" s="760"/>
    </row>
    <row r="7615" spans="1:11">
      <c r="A7615" s="760"/>
      <c r="B7615" s="760"/>
      <c r="C7615" s="760"/>
      <c r="D7615" s="760"/>
      <c r="E7615" s="760"/>
      <c r="F7615" s="760"/>
      <c r="G7615" s="760"/>
      <c r="H7615" s="760"/>
      <c r="I7615" s="760"/>
      <c r="J7615" s="760"/>
      <c r="K7615" s="760"/>
    </row>
    <row r="7616" spans="1:11">
      <c r="A7616" s="760"/>
      <c r="B7616" s="760"/>
      <c r="C7616" s="760"/>
      <c r="D7616" s="760"/>
      <c r="E7616" s="760"/>
      <c r="F7616" s="760"/>
      <c r="G7616" s="760"/>
      <c r="H7616" s="760"/>
      <c r="I7616" s="760"/>
      <c r="J7616" s="760"/>
      <c r="K7616" s="760"/>
    </row>
    <row r="7617" spans="1:11">
      <c r="A7617" s="760"/>
      <c r="B7617" s="760"/>
      <c r="C7617" s="760"/>
      <c r="D7617" s="760"/>
      <c r="E7617" s="760"/>
      <c r="F7617" s="760"/>
      <c r="G7617" s="760"/>
      <c r="H7617" s="760"/>
      <c r="I7617" s="760"/>
      <c r="J7617" s="760"/>
      <c r="K7617" s="760"/>
    </row>
    <row r="7618" spans="1:11">
      <c r="A7618" s="760"/>
      <c r="B7618" s="760"/>
      <c r="C7618" s="760"/>
      <c r="D7618" s="760"/>
      <c r="E7618" s="760"/>
      <c r="F7618" s="760"/>
      <c r="G7618" s="760"/>
      <c r="H7618" s="760"/>
      <c r="I7618" s="760"/>
      <c r="J7618" s="760"/>
      <c r="K7618" s="760"/>
    </row>
    <row r="7619" spans="1:11">
      <c r="A7619" s="760"/>
      <c r="B7619" s="760"/>
      <c r="C7619" s="760"/>
      <c r="D7619" s="760"/>
      <c r="E7619" s="760"/>
      <c r="F7619" s="760"/>
      <c r="G7619" s="760"/>
      <c r="H7619" s="760"/>
      <c r="I7619" s="760"/>
      <c r="J7619" s="760"/>
      <c r="K7619" s="760"/>
    </row>
    <row r="7620" spans="1:11">
      <c r="A7620" s="760"/>
      <c r="B7620" s="760"/>
      <c r="C7620" s="760"/>
      <c r="D7620" s="760"/>
      <c r="E7620" s="760"/>
      <c r="F7620" s="760"/>
      <c r="G7620" s="760"/>
      <c r="H7620" s="760"/>
      <c r="I7620" s="760"/>
      <c r="J7620" s="760"/>
      <c r="K7620" s="760"/>
    </row>
    <row r="7621" spans="1:11">
      <c r="A7621" s="760"/>
      <c r="B7621" s="760"/>
      <c r="C7621" s="760"/>
      <c r="D7621" s="760"/>
      <c r="E7621" s="760"/>
      <c r="F7621" s="760"/>
      <c r="G7621" s="760"/>
      <c r="H7621" s="760"/>
      <c r="I7621" s="760"/>
      <c r="J7621" s="760"/>
      <c r="K7621" s="760"/>
    </row>
    <row r="7622" spans="1:11">
      <c r="A7622" s="760"/>
      <c r="B7622" s="760"/>
      <c r="C7622" s="760"/>
      <c r="D7622" s="760"/>
      <c r="E7622" s="760"/>
      <c r="F7622" s="760"/>
      <c r="G7622" s="760"/>
      <c r="H7622" s="760"/>
      <c r="I7622" s="760"/>
      <c r="J7622" s="760"/>
      <c r="K7622" s="760"/>
    </row>
    <row r="7623" spans="1:11">
      <c r="A7623" s="760"/>
      <c r="B7623" s="760"/>
      <c r="C7623" s="760"/>
      <c r="D7623" s="760"/>
      <c r="E7623" s="760"/>
      <c r="F7623" s="760"/>
      <c r="G7623" s="760"/>
      <c r="H7623" s="760"/>
      <c r="I7623" s="760"/>
      <c r="J7623" s="760"/>
      <c r="K7623" s="760"/>
    </row>
    <row r="7624" spans="1:11">
      <c r="A7624" s="760"/>
      <c r="B7624" s="760"/>
      <c r="C7624" s="760"/>
      <c r="D7624" s="760"/>
      <c r="E7624" s="760"/>
      <c r="F7624" s="760"/>
      <c r="G7624" s="760"/>
      <c r="H7624" s="760"/>
      <c r="I7624" s="760"/>
      <c r="J7624" s="760"/>
      <c r="K7624" s="760"/>
    </row>
    <row r="7625" spans="1:11">
      <c r="A7625" s="760"/>
      <c r="B7625" s="760"/>
      <c r="C7625" s="760"/>
      <c r="D7625" s="760"/>
      <c r="E7625" s="760"/>
      <c r="F7625" s="760"/>
      <c r="G7625" s="760"/>
      <c r="H7625" s="760"/>
      <c r="I7625" s="760"/>
      <c r="J7625" s="760"/>
      <c r="K7625" s="760"/>
    </row>
    <row r="7626" spans="1:11">
      <c r="A7626" s="760"/>
      <c r="B7626" s="760"/>
      <c r="C7626" s="760"/>
      <c r="D7626" s="760"/>
      <c r="E7626" s="760"/>
      <c r="F7626" s="760"/>
      <c r="G7626" s="760"/>
      <c r="H7626" s="760"/>
      <c r="I7626" s="760"/>
      <c r="J7626" s="760"/>
      <c r="K7626" s="760"/>
    </row>
    <row r="7627" spans="1:11">
      <c r="A7627" s="760"/>
      <c r="B7627" s="760"/>
      <c r="C7627" s="760"/>
      <c r="D7627" s="760"/>
      <c r="E7627" s="760"/>
      <c r="F7627" s="760"/>
      <c r="G7627" s="760"/>
      <c r="H7627" s="760"/>
      <c r="I7627" s="760"/>
      <c r="J7627" s="760"/>
      <c r="K7627" s="760"/>
    </row>
    <row r="7628" spans="1:11">
      <c r="A7628" s="760"/>
      <c r="B7628" s="760"/>
      <c r="C7628" s="760"/>
      <c r="D7628" s="760"/>
      <c r="E7628" s="760"/>
      <c r="F7628" s="760"/>
      <c r="G7628" s="760"/>
      <c r="H7628" s="760"/>
      <c r="I7628" s="760"/>
      <c r="J7628" s="760"/>
      <c r="K7628" s="760"/>
    </row>
    <row r="7629" spans="1:11">
      <c r="A7629" s="760"/>
      <c r="B7629" s="760"/>
      <c r="C7629" s="760"/>
      <c r="D7629" s="760"/>
      <c r="E7629" s="760"/>
      <c r="F7629" s="760"/>
      <c r="G7629" s="760"/>
      <c r="H7629" s="760"/>
      <c r="I7629" s="760"/>
      <c r="J7629" s="760"/>
      <c r="K7629" s="760"/>
    </row>
    <row r="7630" spans="1:11">
      <c r="A7630" s="760"/>
      <c r="B7630" s="760"/>
      <c r="C7630" s="760"/>
      <c r="D7630" s="760"/>
      <c r="E7630" s="760"/>
      <c r="F7630" s="760"/>
      <c r="G7630" s="760"/>
      <c r="H7630" s="760"/>
      <c r="I7630" s="760"/>
      <c r="J7630" s="760"/>
      <c r="K7630" s="760"/>
    </row>
    <row r="7631" spans="1:11">
      <c r="A7631" s="760"/>
      <c r="B7631" s="760"/>
      <c r="C7631" s="760"/>
      <c r="D7631" s="760"/>
      <c r="E7631" s="760"/>
      <c r="F7631" s="760"/>
      <c r="G7631" s="760"/>
      <c r="H7631" s="760"/>
      <c r="I7631" s="760"/>
      <c r="J7631" s="760"/>
      <c r="K7631" s="760"/>
    </row>
    <row r="7632" spans="1:11">
      <c r="A7632" s="760"/>
      <c r="B7632" s="760"/>
      <c r="C7632" s="760"/>
      <c r="D7632" s="760"/>
      <c r="E7632" s="760"/>
      <c r="F7632" s="760"/>
      <c r="G7632" s="760"/>
      <c r="H7632" s="760"/>
      <c r="I7632" s="760"/>
      <c r="J7632" s="760"/>
      <c r="K7632" s="760"/>
    </row>
    <row r="7633" spans="1:11">
      <c r="A7633" s="760"/>
      <c r="B7633" s="760"/>
      <c r="C7633" s="760"/>
      <c r="D7633" s="760"/>
      <c r="E7633" s="760"/>
      <c r="F7633" s="760"/>
      <c r="G7633" s="760"/>
      <c r="H7633" s="760"/>
      <c r="I7633" s="760"/>
      <c r="J7633" s="760"/>
      <c r="K7633" s="760"/>
    </row>
    <row r="7634" spans="1:11">
      <c r="A7634" s="760"/>
      <c r="B7634" s="760"/>
      <c r="C7634" s="760"/>
      <c r="D7634" s="760"/>
      <c r="E7634" s="760"/>
      <c r="F7634" s="760"/>
      <c r="G7634" s="760"/>
      <c r="H7634" s="760"/>
      <c r="I7634" s="760"/>
      <c r="J7634" s="760"/>
      <c r="K7634" s="760"/>
    </row>
    <row r="7635" spans="1:11">
      <c r="A7635" s="760"/>
      <c r="B7635" s="760"/>
      <c r="C7635" s="760"/>
      <c r="D7635" s="760"/>
      <c r="E7635" s="760"/>
      <c r="F7635" s="760"/>
      <c r="G7635" s="760"/>
      <c r="H7635" s="760"/>
      <c r="I7635" s="760"/>
      <c r="J7635" s="760"/>
      <c r="K7635" s="760"/>
    </row>
    <row r="7636" spans="1:11">
      <c r="A7636" s="760"/>
      <c r="B7636" s="760"/>
      <c r="C7636" s="760"/>
      <c r="D7636" s="760"/>
      <c r="E7636" s="760"/>
      <c r="F7636" s="760"/>
      <c r="G7636" s="760"/>
      <c r="H7636" s="760"/>
      <c r="I7636" s="760"/>
      <c r="J7636" s="760"/>
      <c r="K7636" s="760"/>
    </row>
    <row r="7637" spans="1:11">
      <c r="A7637" s="760"/>
      <c r="B7637" s="760"/>
      <c r="C7637" s="760"/>
      <c r="D7637" s="760"/>
      <c r="E7637" s="760"/>
      <c r="F7637" s="760"/>
      <c r="G7637" s="760"/>
      <c r="H7637" s="760"/>
      <c r="I7637" s="760"/>
      <c r="J7637" s="760"/>
      <c r="K7637" s="760"/>
    </row>
    <row r="7638" spans="1:11">
      <c r="A7638" s="760"/>
      <c r="B7638" s="760"/>
      <c r="C7638" s="760"/>
      <c r="D7638" s="760"/>
      <c r="E7638" s="760"/>
      <c r="F7638" s="760"/>
      <c r="G7638" s="760"/>
      <c r="H7638" s="760"/>
      <c r="I7638" s="760"/>
      <c r="J7638" s="760"/>
      <c r="K7638" s="760"/>
    </row>
    <row r="7639" spans="1:11">
      <c r="A7639" s="760"/>
      <c r="B7639" s="760"/>
      <c r="C7639" s="760"/>
      <c r="D7639" s="760"/>
      <c r="E7639" s="760"/>
      <c r="F7639" s="760"/>
      <c r="G7639" s="760"/>
      <c r="H7639" s="760"/>
      <c r="I7639" s="760"/>
      <c r="J7639" s="760"/>
      <c r="K7639" s="760"/>
    </row>
    <row r="7640" spans="1:11">
      <c r="A7640" s="760"/>
      <c r="B7640" s="760"/>
      <c r="C7640" s="760"/>
      <c r="D7640" s="760"/>
      <c r="E7640" s="760"/>
      <c r="F7640" s="760"/>
      <c r="G7640" s="760"/>
      <c r="H7640" s="760"/>
      <c r="I7640" s="760"/>
      <c r="J7640" s="760"/>
      <c r="K7640" s="760"/>
    </row>
    <row r="7641" spans="1:11">
      <c r="A7641" s="760"/>
      <c r="B7641" s="760"/>
      <c r="C7641" s="760"/>
      <c r="D7641" s="760"/>
      <c r="E7641" s="760"/>
      <c r="F7641" s="760"/>
      <c r="G7641" s="760"/>
      <c r="H7641" s="760"/>
      <c r="I7641" s="760"/>
      <c r="J7641" s="760"/>
      <c r="K7641" s="760"/>
    </row>
    <row r="7642" spans="1:11">
      <c r="A7642" s="760"/>
      <c r="B7642" s="760"/>
      <c r="C7642" s="760"/>
      <c r="D7642" s="760"/>
      <c r="E7642" s="760"/>
      <c r="F7642" s="760"/>
      <c r="G7642" s="760"/>
      <c r="H7642" s="760"/>
      <c r="I7642" s="760"/>
      <c r="J7642" s="760"/>
      <c r="K7642" s="760"/>
    </row>
    <row r="7643" spans="1:11">
      <c r="A7643" s="760"/>
      <c r="B7643" s="760"/>
      <c r="C7643" s="760"/>
      <c r="D7643" s="760"/>
      <c r="E7643" s="760"/>
      <c r="F7643" s="760"/>
      <c r="G7643" s="760"/>
      <c r="H7643" s="760"/>
      <c r="I7643" s="760"/>
      <c r="J7643" s="760"/>
      <c r="K7643" s="760"/>
    </row>
    <row r="7644" spans="1:11">
      <c r="A7644" s="760"/>
      <c r="B7644" s="760"/>
      <c r="C7644" s="760"/>
      <c r="D7644" s="760"/>
      <c r="E7644" s="760"/>
      <c r="F7644" s="760"/>
      <c r="G7644" s="760"/>
      <c r="H7644" s="760"/>
      <c r="I7644" s="760"/>
      <c r="J7644" s="760"/>
      <c r="K7644" s="760"/>
    </row>
    <row r="7645" spans="1:11">
      <c r="A7645" s="760"/>
      <c r="B7645" s="760"/>
      <c r="C7645" s="760"/>
      <c r="D7645" s="760"/>
      <c r="E7645" s="760"/>
      <c r="F7645" s="760"/>
      <c r="G7645" s="760"/>
      <c r="H7645" s="760"/>
      <c r="I7645" s="760"/>
      <c r="J7645" s="760"/>
      <c r="K7645" s="760"/>
    </row>
    <row r="7646" spans="1:11">
      <c r="A7646" s="760"/>
      <c r="B7646" s="760"/>
      <c r="C7646" s="760"/>
      <c r="D7646" s="760"/>
      <c r="E7646" s="760"/>
      <c r="F7646" s="760"/>
      <c r="G7646" s="760"/>
      <c r="H7646" s="760"/>
      <c r="I7646" s="760"/>
      <c r="J7646" s="760"/>
      <c r="K7646" s="760"/>
    </row>
    <row r="7647" spans="1:11">
      <c r="A7647" s="760"/>
      <c r="B7647" s="760"/>
      <c r="C7647" s="760"/>
      <c r="D7647" s="760"/>
      <c r="E7647" s="760"/>
      <c r="F7647" s="760"/>
      <c r="G7647" s="760"/>
      <c r="H7647" s="760"/>
      <c r="I7647" s="760"/>
      <c r="J7647" s="760"/>
      <c r="K7647" s="760"/>
    </row>
    <row r="7648" spans="1:11">
      <c r="A7648" s="760"/>
      <c r="B7648" s="760"/>
      <c r="C7648" s="760"/>
      <c r="D7648" s="760"/>
      <c r="E7648" s="760"/>
      <c r="F7648" s="760"/>
      <c r="G7648" s="760"/>
      <c r="H7648" s="760"/>
      <c r="I7648" s="760"/>
      <c r="J7648" s="760"/>
      <c r="K7648" s="760"/>
    </row>
    <row r="7649" spans="1:11">
      <c r="A7649" s="760"/>
      <c r="B7649" s="760"/>
      <c r="C7649" s="760"/>
      <c r="D7649" s="760"/>
      <c r="E7649" s="760"/>
      <c r="F7649" s="760"/>
      <c r="G7649" s="760"/>
      <c r="H7649" s="760"/>
      <c r="I7649" s="760"/>
      <c r="J7649" s="760"/>
      <c r="K7649" s="760"/>
    </row>
    <row r="7650" spans="1:11">
      <c r="A7650" s="760"/>
      <c r="B7650" s="760"/>
      <c r="C7650" s="760"/>
      <c r="D7650" s="760"/>
      <c r="E7650" s="760"/>
      <c r="F7650" s="760"/>
      <c r="G7650" s="760"/>
      <c r="H7650" s="760"/>
      <c r="I7650" s="760"/>
      <c r="J7650" s="760"/>
      <c r="K7650" s="760"/>
    </row>
    <row r="7651" spans="1:11">
      <c r="A7651" s="760"/>
      <c r="B7651" s="760"/>
      <c r="C7651" s="760"/>
      <c r="D7651" s="760"/>
      <c r="E7651" s="760"/>
      <c r="F7651" s="760"/>
      <c r="G7651" s="760"/>
      <c r="H7651" s="760"/>
      <c r="I7651" s="760"/>
      <c r="J7651" s="760"/>
      <c r="K7651" s="760"/>
    </row>
    <row r="7652" spans="1:11">
      <c r="A7652" s="760"/>
      <c r="B7652" s="760"/>
      <c r="C7652" s="760"/>
      <c r="D7652" s="760"/>
      <c r="E7652" s="760"/>
      <c r="F7652" s="760"/>
      <c r="G7652" s="760"/>
      <c r="H7652" s="760"/>
      <c r="I7652" s="760"/>
      <c r="J7652" s="760"/>
      <c r="K7652" s="760"/>
    </row>
    <row r="7653" spans="1:11">
      <c r="A7653" s="760"/>
      <c r="B7653" s="760"/>
      <c r="C7653" s="760"/>
      <c r="D7653" s="760"/>
      <c r="E7653" s="760"/>
      <c r="F7653" s="760"/>
      <c r="G7653" s="760"/>
      <c r="H7653" s="760"/>
      <c r="I7653" s="760"/>
      <c r="J7653" s="760"/>
      <c r="K7653" s="760"/>
    </row>
    <row r="7654" spans="1:11">
      <c r="A7654" s="760"/>
      <c r="B7654" s="760"/>
      <c r="C7654" s="760"/>
      <c r="D7654" s="760"/>
      <c r="E7654" s="760"/>
      <c r="F7654" s="760"/>
      <c r="G7654" s="760"/>
      <c r="H7654" s="760"/>
      <c r="I7654" s="760"/>
      <c r="J7654" s="760"/>
      <c r="K7654" s="760"/>
    </row>
    <row r="7655" spans="1:11">
      <c r="A7655" s="760"/>
      <c r="B7655" s="760"/>
      <c r="C7655" s="760"/>
      <c r="D7655" s="760"/>
      <c r="E7655" s="760"/>
      <c r="F7655" s="760"/>
      <c r="G7655" s="760"/>
      <c r="H7655" s="760"/>
      <c r="I7655" s="760"/>
      <c r="J7655" s="760"/>
      <c r="K7655" s="760"/>
    </row>
    <row r="7656" spans="1:11">
      <c r="A7656" s="760"/>
      <c r="B7656" s="760"/>
      <c r="C7656" s="760"/>
      <c r="D7656" s="760"/>
      <c r="E7656" s="760"/>
      <c r="F7656" s="760"/>
      <c r="G7656" s="760"/>
      <c r="H7656" s="760"/>
      <c r="I7656" s="760"/>
      <c r="J7656" s="760"/>
      <c r="K7656" s="760"/>
    </row>
    <row r="7657" spans="1:11">
      <c r="A7657" s="760"/>
      <c r="B7657" s="760"/>
      <c r="C7657" s="760"/>
      <c r="D7657" s="760"/>
      <c r="E7657" s="760"/>
      <c r="F7657" s="760"/>
      <c r="G7657" s="760"/>
      <c r="H7657" s="760"/>
      <c r="I7657" s="760"/>
      <c r="J7657" s="760"/>
      <c r="K7657" s="760"/>
    </row>
    <row r="7658" spans="1:11">
      <c r="A7658" s="760"/>
      <c r="B7658" s="760"/>
      <c r="C7658" s="760"/>
      <c r="D7658" s="760"/>
      <c r="E7658" s="760"/>
      <c r="F7658" s="760"/>
      <c r="G7658" s="760"/>
      <c r="H7658" s="760"/>
      <c r="I7658" s="760"/>
      <c r="J7658" s="760"/>
      <c r="K7658" s="760"/>
    </row>
    <row r="7659" spans="1:11">
      <c r="A7659" s="760"/>
      <c r="B7659" s="760"/>
      <c r="C7659" s="760"/>
      <c r="D7659" s="760"/>
      <c r="E7659" s="760"/>
      <c r="F7659" s="760"/>
      <c r="G7659" s="760"/>
      <c r="H7659" s="760"/>
      <c r="I7659" s="760"/>
      <c r="J7659" s="760"/>
      <c r="K7659" s="760"/>
    </row>
    <row r="7660" spans="1:11">
      <c r="A7660" s="760"/>
      <c r="B7660" s="760"/>
      <c r="C7660" s="760"/>
      <c r="D7660" s="760"/>
      <c r="E7660" s="760"/>
      <c r="F7660" s="760"/>
      <c r="G7660" s="760"/>
      <c r="H7660" s="760"/>
      <c r="I7660" s="760"/>
      <c r="J7660" s="760"/>
      <c r="K7660" s="760"/>
    </row>
    <row r="7661" spans="1:11">
      <c r="A7661" s="760"/>
      <c r="B7661" s="760"/>
      <c r="C7661" s="760"/>
      <c r="D7661" s="760"/>
      <c r="E7661" s="760"/>
      <c r="F7661" s="760"/>
      <c r="G7661" s="760"/>
      <c r="H7661" s="760"/>
      <c r="I7661" s="760"/>
      <c r="J7661" s="760"/>
      <c r="K7661" s="760"/>
    </row>
    <row r="7662" spans="1:11">
      <c r="A7662" s="760"/>
      <c r="B7662" s="760"/>
      <c r="C7662" s="760"/>
      <c r="D7662" s="760"/>
      <c r="E7662" s="760"/>
      <c r="F7662" s="760"/>
      <c r="G7662" s="760"/>
      <c r="H7662" s="760"/>
      <c r="I7662" s="760"/>
      <c r="J7662" s="760"/>
      <c r="K7662" s="760"/>
    </row>
    <row r="7663" spans="1:11">
      <c r="A7663" s="760"/>
      <c r="B7663" s="760"/>
      <c r="C7663" s="760"/>
      <c r="D7663" s="760"/>
      <c r="E7663" s="760"/>
      <c r="F7663" s="760"/>
      <c r="G7663" s="760"/>
      <c r="H7663" s="760"/>
      <c r="I7663" s="760"/>
      <c r="J7663" s="760"/>
      <c r="K7663" s="760"/>
    </row>
    <row r="7664" spans="1:11">
      <c r="A7664" s="760"/>
      <c r="B7664" s="760"/>
      <c r="C7664" s="760"/>
      <c r="D7664" s="760"/>
      <c r="E7664" s="760"/>
      <c r="F7664" s="760"/>
      <c r="G7664" s="760"/>
      <c r="H7664" s="760"/>
      <c r="I7664" s="760"/>
      <c r="J7664" s="760"/>
      <c r="K7664" s="760"/>
    </row>
    <row r="7665" spans="1:11">
      <c r="A7665" s="760"/>
      <c r="B7665" s="760"/>
      <c r="C7665" s="760"/>
      <c r="D7665" s="760"/>
      <c r="E7665" s="760"/>
      <c r="F7665" s="760"/>
      <c r="G7665" s="760"/>
      <c r="H7665" s="760"/>
      <c r="I7665" s="760"/>
      <c r="J7665" s="760"/>
      <c r="K7665" s="760"/>
    </row>
    <row r="7666" spans="1:11">
      <c r="A7666" s="760"/>
      <c r="B7666" s="760"/>
      <c r="C7666" s="760"/>
      <c r="D7666" s="760"/>
      <c r="E7666" s="760"/>
      <c r="F7666" s="760"/>
      <c r="G7666" s="760"/>
      <c r="H7666" s="760"/>
      <c r="I7666" s="760"/>
      <c r="J7666" s="760"/>
      <c r="K7666" s="760"/>
    </row>
    <row r="7667" spans="1:11">
      <c r="A7667" s="760"/>
      <c r="B7667" s="760"/>
      <c r="C7667" s="760"/>
      <c r="D7667" s="760"/>
      <c r="E7667" s="760"/>
      <c r="F7667" s="760"/>
      <c r="G7667" s="760"/>
      <c r="H7667" s="760"/>
      <c r="I7667" s="760"/>
      <c r="J7667" s="760"/>
      <c r="K7667" s="760"/>
    </row>
    <row r="7668" spans="1:11">
      <c r="A7668" s="760"/>
      <c r="B7668" s="760"/>
      <c r="C7668" s="760"/>
      <c r="D7668" s="760"/>
      <c r="E7668" s="760"/>
      <c r="F7668" s="760"/>
      <c r="G7668" s="760"/>
      <c r="H7668" s="760"/>
      <c r="I7668" s="760"/>
      <c r="J7668" s="760"/>
      <c r="K7668" s="760"/>
    </row>
    <row r="7669" spans="1:11">
      <c r="A7669" s="760"/>
      <c r="B7669" s="760"/>
      <c r="C7669" s="760"/>
      <c r="D7669" s="760"/>
      <c r="E7669" s="760"/>
      <c r="F7669" s="760"/>
      <c r="G7669" s="760"/>
      <c r="H7669" s="760"/>
      <c r="I7669" s="760"/>
      <c r="J7669" s="760"/>
      <c r="K7669" s="760"/>
    </row>
    <row r="7670" spans="1:11">
      <c r="A7670" s="760"/>
      <c r="B7670" s="760"/>
      <c r="C7670" s="760"/>
      <c r="D7670" s="760"/>
      <c r="E7670" s="760"/>
      <c r="F7670" s="760"/>
      <c r="G7670" s="760"/>
      <c r="H7670" s="760"/>
      <c r="I7670" s="760"/>
      <c r="J7670" s="760"/>
      <c r="K7670" s="760"/>
    </row>
    <row r="7671" spans="1:11">
      <c r="A7671" s="760"/>
      <c r="B7671" s="760"/>
      <c r="C7671" s="760"/>
      <c r="D7671" s="760"/>
      <c r="E7671" s="760"/>
      <c r="F7671" s="760"/>
      <c r="G7671" s="760"/>
      <c r="H7671" s="760"/>
      <c r="I7671" s="760"/>
      <c r="J7671" s="760"/>
      <c r="K7671" s="760"/>
    </row>
    <row r="7672" spans="1:11">
      <c r="A7672" s="760"/>
      <c r="B7672" s="760"/>
      <c r="C7672" s="760"/>
      <c r="D7672" s="760"/>
      <c r="E7672" s="760"/>
      <c r="F7672" s="760"/>
      <c r="G7672" s="760"/>
      <c r="H7672" s="760"/>
      <c r="I7672" s="760"/>
      <c r="J7672" s="760"/>
      <c r="K7672" s="760"/>
    </row>
    <row r="7673" spans="1:11">
      <c r="A7673" s="760"/>
      <c r="B7673" s="760"/>
      <c r="C7673" s="760"/>
      <c r="D7673" s="760"/>
      <c r="E7673" s="760"/>
      <c r="F7673" s="760"/>
      <c r="G7673" s="760"/>
      <c r="H7673" s="760"/>
      <c r="I7673" s="760"/>
      <c r="J7673" s="760"/>
      <c r="K7673" s="760"/>
    </row>
    <row r="7674" spans="1:11">
      <c r="A7674" s="760"/>
      <c r="B7674" s="760"/>
      <c r="C7674" s="760"/>
      <c r="D7674" s="760"/>
      <c r="E7674" s="760"/>
      <c r="F7674" s="760"/>
      <c r="G7674" s="760"/>
      <c r="H7674" s="760"/>
      <c r="I7674" s="760"/>
      <c r="J7674" s="760"/>
      <c r="K7674" s="760"/>
    </row>
    <row r="7675" spans="1:11">
      <c r="A7675" s="760"/>
      <c r="B7675" s="760"/>
      <c r="C7675" s="760"/>
      <c r="D7675" s="760"/>
      <c r="E7675" s="760"/>
      <c r="F7675" s="760"/>
      <c r="G7675" s="760"/>
      <c r="H7675" s="760"/>
      <c r="I7675" s="760"/>
      <c r="J7675" s="760"/>
      <c r="K7675" s="760"/>
    </row>
    <row r="7676" spans="1:11">
      <c r="A7676" s="760"/>
      <c r="B7676" s="760"/>
      <c r="C7676" s="760"/>
      <c r="D7676" s="760"/>
      <c r="E7676" s="760"/>
      <c r="F7676" s="760"/>
      <c r="G7676" s="760"/>
      <c r="H7676" s="760"/>
      <c r="I7676" s="760"/>
      <c r="J7676" s="760"/>
      <c r="K7676" s="760"/>
    </row>
    <row r="7677" spans="1:11">
      <c r="A7677" s="760"/>
      <c r="B7677" s="760"/>
      <c r="C7677" s="760"/>
      <c r="D7677" s="760"/>
      <c r="E7677" s="760"/>
      <c r="F7677" s="760"/>
      <c r="G7677" s="760"/>
      <c r="H7677" s="760"/>
      <c r="I7677" s="760"/>
      <c r="J7677" s="760"/>
      <c r="K7677" s="760"/>
    </row>
    <row r="7678" spans="1:11">
      <c r="A7678" s="760"/>
      <c r="B7678" s="760"/>
      <c r="C7678" s="760"/>
      <c r="D7678" s="760"/>
      <c r="E7678" s="760"/>
      <c r="F7678" s="760"/>
      <c r="G7678" s="760"/>
      <c r="H7678" s="760"/>
      <c r="I7678" s="760"/>
      <c r="J7678" s="760"/>
      <c r="K7678" s="760"/>
    </row>
    <row r="7679" spans="1:11">
      <c r="A7679" s="760"/>
      <c r="B7679" s="760"/>
      <c r="C7679" s="760"/>
      <c r="D7679" s="760"/>
      <c r="E7679" s="760"/>
      <c r="F7679" s="760"/>
      <c r="G7679" s="760"/>
      <c r="H7679" s="760"/>
      <c r="I7679" s="760"/>
      <c r="J7679" s="760"/>
      <c r="K7679" s="760"/>
    </row>
    <row r="7680" spans="1:11">
      <c r="A7680" s="760"/>
      <c r="B7680" s="760"/>
      <c r="C7680" s="760"/>
      <c r="D7680" s="760"/>
      <c r="E7680" s="760"/>
      <c r="F7680" s="760"/>
      <c r="G7680" s="760"/>
      <c r="H7680" s="760"/>
      <c r="I7680" s="760"/>
      <c r="J7680" s="760"/>
      <c r="K7680" s="760"/>
    </row>
    <row r="7681" spans="1:11">
      <c r="A7681" s="760"/>
      <c r="B7681" s="760"/>
      <c r="C7681" s="760"/>
      <c r="D7681" s="760"/>
      <c r="E7681" s="760"/>
      <c r="F7681" s="760"/>
      <c r="G7681" s="760"/>
      <c r="H7681" s="760"/>
      <c r="I7681" s="760"/>
      <c r="J7681" s="760"/>
      <c r="K7681" s="760"/>
    </row>
    <row r="7682" spans="1:11">
      <c r="A7682" s="760"/>
      <c r="B7682" s="760"/>
      <c r="C7682" s="760"/>
      <c r="D7682" s="760"/>
      <c r="E7682" s="760"/>
      <c r="F7682" s="760"/>
      <c r="G7682" s="760"/>
      <c r="H7682" s="760"/>
      <c r="I7682" s="760"/>
      <c r="J7682" s="760"/>
      <c r="K7682" s="760"/>
    </row>
    <row r="7683" spans="1:11">
      <c r="A7683" s="760"/>
      <c r="B7683" s="760"/>
      <c r="C7683" s="760"/>
      <c r="D7683" s="760"/>
      <c r="E7683" s="760"/>
      <c r="F7683" s="760"/>
      <c r="G7683" s="760"/>
      <c r="H7683" s="760"/>
      <c r="I7683" s="760"/>
      <c r="J7683" s="760"/>
      <c r="K7683" s="760"/>
    </row>
    <row r="7684" spans="1:11">
      <c r="A7684" s="760"/>
      <c r="B7684" s="760"/>
      <c r="C7684" s="760"/>
      <c r="D7684" s="760"/>
      <c r="E7684" s="760"/>
      <c r="F7684" s="760"/>
      <c r="G7684" s="760"/>
      <c r="H7684" s="760"/>
      <c r="I7684" s="760"/>
      <c r="J7684" s="760"/>
      <c r="K7684" s="760"/>
    </row>
    <row r="7685" spans="1:11">
      <c r="A7685" s="760"/>
      <c r="B7685" s="760"/>
      <c r="C7685" s="760"/>
      <c r="D7685" s="760"/>
      <c r="E7685" s="760"/>
      <c r="F7685" s="760"/>
      <c r="G7685" s="760"/>
      <c r="H7685" s="760"/>
      <c r="I7685" s="760"/>
      <c r="J7685" s="760"/>
      <c r="K7685" s="760"/>
    </row>
    <row r="7686" spans="1:11">
      <c r="A7686" s="760"/>
      <c r="B7686" s="760"/>
      <c r="C7686" s="760"/>
      <c r="D7686" s="760"/>
      <c r="E7686" s="760"/>
      <c r="F7686" s="760"/>
      <c r="G7686" s="760"/>
      <c r="H7686" s="760"/>
      <c r="I7686" s="760"/>
      <c r="J7686" s="760"/>
      <c r="K7686" s="760"/>
    </row>
    <row r="7687" spans="1:11">
      <c r="A7687" s="760"/>
      <c r="B7687" s="760"/>
      <c r="C7687" s="760"/>
      <c r="D7687" s="760"/>
      <c r="E7687" s="760"/>
      <c r="F7687" s="760"/>
      <c r="G7687" s="760"/>
      <c r="H7687" s="760"/>
      <c r="I7687" s="760"/>
      <c r="J7687" s="760"/>
      <c r="K7687" s="760"/>
    </row>
    <row r="7688" spans="1:11">
      <c r="A7688" s="760"/>
      <c r="B7688" s="760"/>
      <c r="C7688" s="760"/>
      <c r="D7688" s="760"/>
      <c r="E7688" s="760"/>
      <c r="F7688" s="760"/>
      <c r="G7688" s="760"/>
      <c r="H7688" s="760"/>
      <c r="I7688" s="760"/>
      <c r="J7688" s="760"/>
      <c r="K7688" s="760"/>
    </row>
    <row r="7689" spans="1:11">
      <c r="A7689" s="760"/>
      <c r="B7689" s="760"/>
      <c r="C7689" s="760"/>
      <c r="D7689" s="760"/>
      <c r="E7689" s="760"/>
      <c r="F7689" s="760"/>
      <c r="G7689" s="760"/>
      <c r="H7689" s="760"/>
      <c r="I7689" s="760"/>
      <c r="J7689" s="760"/>
      <c r="K7689" s="760"/>
    </row>
    <row r="7690" spans="1:11">
      <c r="A7690" s="760"/>
      <c r="B7690" s="760"/>
      <c r="C7690" s="760"/>
      <c r="D7690" s="760"/>
      <c r="E7690" s="760"/>
      <c r="F7690" s="760"/>
      <c r="G7690" s="760"/>
      <c r="H7690" s="760"/>
      <c r="I7690" s="760"/>
      <c r="J7690" s="760"/>
      <c r="K7690" s="760"/>
    </row>
    <row r="7691" spans="1:11">
      <c r="A7691" s="760"/>
      <c r="B7691" s="760"/>
      <c r="C7691" s="760"/>
      <c r="D7691" s="760"/>
      <c r="E7691" s="760"/>
      <c r="F7691" s="760"/>
      <c r="G7691" s="760"/>
      <c r="H7691" s="760"/>
      <c r="I7691" s="760"/>
      <c r="J7691" s="760"/>
      <c r="K7691" s="760"/>
    </row>
    <row r="7692" spans="1:11">
      <c r="A7692" s="760"/>
      <c r="B7692" s="760"/>
      <c r="C7692" s="760"/>
      <c r="D7692" s="760"/>
      <c r="E7692" s="760"/>
      <c r="F7692" s="760"/>
      <c r="G7692" s="760"/>
      <c r="H7692" s="760"/>
      <c r="I7692" s="760"/>
      <c r="J7692" s="760"/>
      <c r="K7692" s="760"/>
    </row>
    <row r="7693" spans="1:11">
      <c r="A7693" s="760"/>
      <c r="B7693" s="760"/>
      <c r="C7693" s="760"/>
      <c r="D7693" s="760"/>
      <c r="E7693" s="760"/>
      <c r="F7693" s="760"/>
      <c r="G7693" s="760"/>
      <c r="H7693" s="760"/>
      <c r="I7693" s="760"/>
      <c r="J7693" s="760"/>
      <c r="K7693" s="760"/>
    </row>
    <row r="7694" spans="1:11">
      <c r="A7694" s="760"/>
      <c r="B7694" s="760"/>
      <c r="C7694" s="760"/>
      <c r="D7694" s="760"/>
      <c r="E7694" s="760"/>
      <c r="F7694" s="760"/>
      <c r="G7694" s="760"/>
      <c r="H7694" s="760"/>
      <c r="I7694" s="760"/>
      <c r="J7694" s="760"/>
      <c r="K7694" s="760"/>
    </row>
    <row r="7695" spans="1:11">
      <c r="A7695" s="760"/>
      <c r="B7695" s="760"/>
      <c r="C7695" s="760"/>
      <c r="D7695" s="760"/>
      <c r="E7695" s="760"/>
      <c r="F7695" s="760"/>
      <c r="G7695" s="760"/>
      <c r="H7695" s="760"/>
      <c r="I7695" s="760"/>
      <c r="J7695" s="760"/>
      <c r="K7695" s="760"/>
    </row>
    <row r="7696" spans="1:11">
      <c r="A7696" s="760"/>
      <c r="B7696" s="760"/>
      <c r="C7696" s="760"/>
      <c r="D7696" s="760"/>
      <c r="E7696" s="760"/>
      <c r="F7696" s="760"/>
      <c r="G7696" s="760"/>
      <c r="H7696" s="760"/>
      <c r="I7696" s="760"/>
      <c r="J7696" s="760"/>
      <c r="K7696" s="760"/>
    </row>
    <row r="7697" spans="1:11">
      <c r="A7697" s="760"/>
      <c r="B7697" s="760"/>
      <c r="C7697" s="760"/>
      <c r="D7697" s="760"/>
      <c r="E7697" s="760"/>
      <c r="F7697" s="760"/>
      <c r="G7697" s="760"/>
      <c r="H7697" s="760"/>
      <c r="I7697" s="760"/>
      <c r="J7697" s="760"/>
      <c r="K7697" s="760"/>
    </row>
    <row r="7698" spans="1:11">
      <c r="A7698" s="760"/>
      <c r="B7698" s="760"/>
      <c r="C7698" s="760"/>
      <c r="D7698" s="760"/>
      <c r="E7698" s="760"/>
      <c r="F7698" s="760"/>
      <c r="G7698" s="760"/>
      <c r="H7698" s="760"/>
      <c r="I7698" s="760"/>
      <c r="J7698" s="760"/>
      <c r="K7698" s="760"/>
    </row>
    <row r="7699" spans="1:11">
      <c r="A7699" s="760"/>
      <c r="B7699" s="760"/>
      <c r="C7699" s="760"/>
      <c r="D7699" s="760"/>
      <c r="E7699" s="760"/>
      <c r="F7699" s="760"/>
      <c r="G7699" s="760"/>
      <c r="H7699" s="760"/>
      <c r="I7699" s="760"/>
      <c r="J7699" s="760"/>
      <c r="K7699" s="760"/>
    </row>
    <row r="7700" spans="1:11">
      <c r="A7700" s="760"/>
      <c r="B7700" s="760"/>
      <c r="C7700" s="760"/>
      <c r="D7700" s="760"/>
      <c r="E7700" s="760"/>
      <c r="F7700" s="760"/>
      <c r="G7700" s="760"/>
      <c r="H7700" s="760"/>
      <c r="I7700" s="760"/>
      <c r="J7700" s="760"/>
      <c r="K7700" s="760"/>
    </row>
    <row r="7701" spans="1:11">
      <c r="A7701" s="760"/>
      <c r="B7701" s="760"/>
      <c r="C7701" s="760"/>
      <c r="D7701" s="760"/>
      <c r="E7701" s="760"/>
      <c r="F7701" s="760"/>
      <c r="G7701" s="760"/>
      <c r="H7701" s="760"/>
      <c r="I7701" s="760"/>
      <c r="J7701" s="760"/>
      <c r="K7701" s="760"/>
    </row>
    <row r="7702" spans="1:11">
      <c r="A7702" s="760"/>
      <c r="B7702" s="760"/>
      <c r="C7702" s="760"/>
      <c r="D7702" s="760"/>
      <c r="E7702" s="760"/>
      <c r="F7702" s="760"/>
      <c r="G7702" s="760"/>
      <c r="H7702" s="760"/>
      <c r="I7702" s="760"/>
      <c r="J7702" s="760"/>
      <c r="K7702" s="760"/>
    </row>
    <row r="7703" spans="1:11">
      <c r="A7703" s="760"/>
      <c r="B7703" s="760"/>
      <c r="C7703" s="760"/>
      <c r="D7703" s="760"/>
      <c r="E7703" s="760"/>
      <c r="F7703" s="760"/>
      <c r="G7703" s="760"/>
      <c r="H7703" s="760"/>
      <c r="I7703" s="760"/>
      <c r="J7703" s="760"/>
      <c r="K7703" s="760"/>
    </row>
    <row r="7704" spans="1:11">
      <c r="A7704" s="760"/>
      <c r="B7704" s="760"/>
      <c r="C7704" s="760"/>
      <c r="D7704" s="760"/>
      <c r="E7704" s="760"/>
      <c r="F7704" s="760"/>
      <c r="G7704" s="760"/>
      <c r="H7704" s="760"/>
      <c r="I7704" s="760"/>
      <c r="J7704" s="760"/>
      <c r="K7704" s="760"/>
    </row>
    <row r="7705" spans="1:11">
      <c r="A7705" s="760"/>
      <c r="B7705" s="760"/>
      <c r="C7705" s="760"/>
      <c r="D7705" s="760"/>
      <c r="E7705" s="760"/>
      <c r="F7705" s="760"/>
      <c r="G7705" s="760"/>
      <c r="H7705" s="760"/>
      <c r="I7705" s="760"/>
      <c r="J7705" s="760"/>
      <c r="K7705" s="760"/>
    </row>
    <row r="7706" spans="1:11">
      <c r="A7706" s="760"/>
      <c r="B7706" s="760"/>
      <c r="C7706" s="760"/>
      <c r="D7706" s="760"/>
      <c r="E7706" s="760"/>
      <c r="F7706" s="760"/>
      <c r="G7706" s="760"/>
      <c r="H7706" s="760"/>
      <c r="I7706" s="760"/>
      <c r="J7706" s="760"/>
      <c r="K7706" s="760"/>
    </row>
    <row r="7707" spans="1:11">
      <c r="A7707" s="760"/>
      <c r="B7707" s="760"/>
      <c r="C7707" s="760"/>
      <c r="D7707" s="760"/>
      <c r="E7707" s="760"/>
      <c r="F7707" s="760"/>
      <c r="G7707" s="760"/>
      <c r="H7707" s="760"/>
      <c r="I7707" s="760"/>
      <c r="J7707" s="760"/>
      <c r="K7707" s="760"/>
    </row>
    <row r="7708" spans="1:11">
      <c r="A7708" s="760"/>
      <c r="B7708" s="760"/>
      <c r="C7708" s="760"/>
      <c r="D7708" s="760"/>
      <c r="E7708" s="760"/>
      <c r="F7708" s="760"/>
      <c r="G7708" s="760"/>
      <c r="H7708" s="760"/>
      <c r="I7708" s="760"/>
      <c r="J7708" s="760"/>
      <c r="K7708" s="760"/>
    </row>
    <row r="7709" spans="1:11">
      <c r="A7709" s="760"/>
      <c r="B7709" s="760"/>
      <c r="C7709" s="760"/>
      <c r="D7709" s="760"/>
      <c r="E7709" s="760"/>
      <c r="F7709" s="760"/>
      <c r="G7709" s="760"/>
      <c r="H7709" s="760"/>
      <c r="I7709" s="760"/>
      <c r="J7709" s="760"/>
      <c r="K7709" s="760"/>
    </row>
    <row r="7710" spans="1:11">
      <c r="A7710" s="760"/>
      <c r="B7710" s="760"/>
      <c r="C7710" s="760"/>
      <c r="D7710" s="760"/>
      <c r="E7710" s="760"/>
      <c r="F7710" s="760"/>
      <c r="G7710" s="760"/>
      <c r="H7710" s="760"/>
      <c r="I7710" s="760"/>
      <c r="J7710" s="760"/>
      <c r="K7710" s="760"/>
    </row>
    <row r="7711" spans="1:11">
      <c r="A7711" s="760"/>
      <c r="B7711" s="760"/>
      <c r="C7711" s="760"/>
      <c r="D7711" s="760"/>
      <c r="E7711" s="760"/>
      <c r="F7711" s="760"/>
      <c r="G7711" s="760"/>
      <c r="H7711" s="760"/>
      <c r="I7711" s="760"/>
      <c r="J7711" s="760"/>
      <c r="K7711" s="760"/>
    </row>
    <row r="7712" spans="1:11">
      <c r="A7712" s="760"/>
      <c r="B7712" s="760"/>
      <c r="C7712" s="760"/>
      <c r="D7712" s="760"/>
      <c r="E7712" s="760"/>
      <c r="F7712" s="760"/>
      <c r="G7712" s="760"/>
      <c r="H7712" s="760"/>
      <c r="I7712" s="760"/>
      <c r="J7712" s="760"/>
      <c r="K7712" s="760"/>
    </row>
    <row r="7713" spans="1:11">
      <c r="A7713" s="760"/>
      <c r="B7713" s="760"/>
      <c r="C7713" s="760"/>
      <c r="D7713" s="760"/>
      <c r="E7713" s="760"/>
      <c r="F7713" s="760"/>
      <c r="G7713" s="760"/>
      <c r="H7713" s="760"/>
      <c r="I7713" s="760"/>
      <c r="J7713" s="760"/>
      <c r="K7713" s="760"/>
    </row>
    <row r="7714" spans="1:11">
      <c r="A7714" s="760"/>
      <c r="B7714" s="760"/>
      <c r="C7714" s="760"/>
      <c r="D7714" s="760"/>
      <c r="E7714" s="760"/>
      <c r="F7714" s="760"/>
      <c r="G7714" s="760"/>
      <c r="H7714" s="760"/>
      <c r="I7714" s="760"/>
      <c r="J7714" s="760"/>
      <c r="K7714" s="760"/>
    </row>
    <row r="7715" spans="1:11">
      <c r="A7715" s="760"/>
      <c r="B7715" s="760"/>
      <c r="C7715" s="760"/>
      <c r="D7715" s="760"/>
      <c r="E7715" s="760"/>
      <c r="F7715" s="760"/>
      <c r="G7715" s="760"/>
      <c r="H7715" s="760"/>
      <c r="I7715" s="760"/>
      <c r="J7715" s="760"/>
      <c r="K7715" s="760"/>
    </row>
    <row r="7716" spans="1:11">
      <c r="A7716" s="760"/>
      <c r="B7716" s="760"/>
      <c r="C7716" s="760"/>
      <c r="D7716" s="760"/>
      <c r="E7716" s="760"/>
      <c r="F7716" s="760"/>
      <c r="G7716" s="760"/>
      <c r="H7716" s="760"/>
      <c r="I7716" s="760"/>
      <c r="J7716" s="760"/>
      <c r="K7716" s="760"/>
    </row>
    <row r="7717" spans="1:11">
      <c r="A7717" s="760"/>
      <c r="B7717" s="760"/>
      <c r="C7717" s="760"/>
      <c r="D7717" s="760"/>
      <c r="E7717" s="760"/>
      <c r="F7717" s="760"/>
      <c r="G7717" s="760"/>
      <c r="H7717" s="760"/>
      <c r="I7717" s="760"/>
      <c r="J7717" s="760"/>
      <c r="K7717" s="760"/>
    </row>
    <row r="7718" spans="1:11">
      <c r="A7718" s="760"/>
      <c r="B7718" s="760"/>
      <c r="C7718" s="760"/>
      <c r="D7718" s="760"/>
      <c r="E7718" s="760"/>
      <c r="F7718" s="760"/>
      <c r="G7718" s="760"/>
      <c r="H7718" s="760"/>
      <c r="I7718" s="760"/>
      <c r="J7718" s="760"/>
      <c r="K7718" s="760"/>
    </row>
    <row r="7719" spans="1:11">
      <c r="A7719" s="760"/>
      <c r="B7719" s="760"/>
      <c r="C7719" s="760"/>
      <c r="D7719" s="760"/>
      <c r="E7719" s="760"/>
      <c r="F7719" s="760"/>
      <c r="G7719" s="760"/>
      <c r="H7719" s="760"/>
      <c r="I7719" s="760"/>
      <c r="J7719" s="760"/>
      <c r="K7719" s="760"/>
    </row>
    <row r="7720" spans="1:11">
      <c r="A7720" s="760"/>
      <c r="B7720" s="760"/>
      <c r="C7720" s="760"/>
      <c r="D7720" s="760"/>
      <c r="E7720" s="760"/>
      <c r="F7720" s="760"/>
      <c r="G7720" s="760"/>
      <c r="H7720" s="760"/>
      <c r="I7720" s="760"/>
      <c r="J7720" s="760"/>
      <c r="K7720" s="760"/>
    </row>
    <row r="7721" spans="1:11">
      <c r="A7721" s="760"/>
      <c r="B7721" s="760"/>
      <c r="C7721" s="760"/>
      <c r="D7721" s="760"/>
      <c r="E7721" s="760"/>
      <c r="F7721" s="760"/>
      <c r="G7721" s="760"/>
      <c r="H7721" s="760"/>
      <c r="I7721" s="760"/>
      <c r="J7721" s="760"/>
      <c r="K7721" s="760"/>
    </row>
    <row r="7722" spans="1:11">
      <c r="A7722" s="760"/>
      <c r="B7722" s="760"/>
      <c r="C7722" s="760"/>
      <c r="D7722" s="760"/>
      <c r="E7722" s="760"/>
      <c r="F7722" s="760"/>
      <c r="G7722" s="760"/>
      <c r="H7722" s="760"/>
      <c r="I7722" s="760"/>
      <c r="J7722" s="760"/>
      <c r="K7722" s="760"/>
    </row>
    <row r="7723" spans="1:11">
      <c r="A7723" s="760"/>
      <c r="B7723" s="760"/>
      <c r="C7723" s="760"/>
      <c r="D7723" s="760"/>
      <c r="E7723" s="760"/>
      <c r="F7723" s="760"/>
      <c r="G7723" s="760"/>
      <c r="H7723" s="760"/>
      <c r="I7723" s="760"/>
      <c r="J7723" s="760"/>
      <c r="K7723" s="760"/>
    </row>
    <row r="7724" spans="1:11">
      <c r="A7724" s="760"/>
      <c r="B7724" s="760"/>
      <c r="C7724" s="760"/>
      <c r="D7724" s="760"/>
      <c r="E7724" s="760"/>
      <c r="F7724" s="760"/>
      <c r="G7724" s="760"/>
      <c r="H7724" s="760"/>
      <c r="I7724" s="760"/>
      <c r="J7724" s="760"/>
      <c r="K7724" s="760"/>
    </row>
    <row r="7725" spans="1:11">
      <c r="A7725" s="760"/>
      <c r="B7725" s="760"/>
      <c r="C7725" s="760"/>
      <c r="D7725" s="760"/>
      <c r="E7725" s="760"/>
      <c r="F7725" s="760"/>
      <c r="G7725" s="760"/>
      <c r="H7725" s="760"/>
      <c r="I7725" s="760"/>
      <c r="J7725" s="760"/>
      <c r="K7725" s="760"/>
    </row>
    <row r="7726" spans="1:11">
      <c r="A7726" s="760"/>
      <c r="B7726" s="760"/>
      <c r="C7726" s="760"/>
      <c r="D7726" s="760"/>
      <c r="E7726" s="760"/>
      <c r="F7726" s="760"/>
      <c r="G7726" s="760"/>
      <c r="H7726" s="760"/>
      <c r="I7726" s="760"/>
      <c r="J7726" s="760"/>
      <c r="K7726" s="760"/>
    </row>
    <row r="7727" spans="1:11">
      <c r="A7727" s="760"/>
      <c r="B7727" s="760"/>
      <c r="C7727" s="760"/>
      <c r="D7727" s="760"/>
      <c r="E7727" s="760"/>
      <c r="F7727" s="760"/>
      <c r="G7727" s="760"/>
      <c r="H7727" s="760"/>
      <c r="I7727" s="760"/>
      <c r="J7727" s="760"/>
      <c r="K7727" s="760"/>
    </row>
    <row r="7728" spans="1:11">
      <c r="A7728" s="760"/>
      <c r="B7728" s="760"/>
      <c r="C7728" s="760"/>
      <c r="D7728" s="760"/>
      <c r="E7728" s="760"/>
      <c r="F7728" s="760"/>
      <c r="G7728" s="760"/>
      <c r="H7728" s="760"/>
      <c r="I7728" s="760"/>
      <c r="J7728" s="760"/>
      <c r="K7728" s="760"/>
    </row>
    <row r="7729" spans="1:11">
      <c r="A7729" s="760"/>
      <c r="B7729" s="760"/>
      <c r="C7729" s="760"/>
      <c r="D7729" s="760"/>
      <c r="E7729" s="760"/>
      <c r="F7729" s="760"/>
      <c r="G7729" s="760"/>
      <c r="H7729" s="760"/>
      <c r="I7729" s="760"/>
      <c r="J7729" s="760"/>
      <c r="K7729" s="760"/>
    </row>
    <row r="7730" spans="1:11">
      <c r="A7730" s="760"/>
      <c r="B7730" s="760"/>
      <c r="C7730" s="760"/>
      <c r="D7730" s="760"/>
      <c r="E7730" s="760"/>
      <c r="F7730" s="760"/>
      <c r="G7730" s="760"/>
      <c r="H7730" s="760"/>
      <c r="I7730" s="760"/>
      <c r="J7730" s="760"/>
      <c r="K7730" s="760"/>
    </row>
    <row r="7731" spans="1:11">
      <c r="A7731" s="760"/>
      <c r="B7731" s="760"/>
      <c r="C7731" s="760"/>
      <c r="D7731" s="760"/>
      <c r="E7731" s="760"/>
      <c r="F7731" s="760"/>
      <c r="G7731" s="760"/>
      <c r="H7731" s="760"/>
      <c r="I7731" s="760"/>
      <c r="J7731" s="760"/>
      <c r="K7731" s="760"/>
    </row>
    <row r="7732" spans="1:11">
      <c r="A7732" s="760"/>
      <c r="B7732" s="760"/>
      <c r="C7732" s="760"/>
      <c r="D7732" s="760"/>
      <c r="E7732" s="760"/>
      <c r="F7732" s="760"/>
      <c r="G7732" s="760"/>
      <c r="H7732" s="760"/>
      <c r="I7732" s="760"/>
      <c r="J7732" s="760"/>
      <c r="K7732" s="760"/>
    </row>
    <row r="7733" spans="1:11">
      <c r="A7733" s="760"/>
      <c r="B7733" s="760"/>
      <c r="C7733" s="760"/>
      <c r="D7733" s="760"/>
      <c r="E7733" s="760"/>
      <c r="F7733" s="760"/>
      <c r="G7733" s="760"/>
      <c r="H7733" s="760"/>
      <c r="I7733" s="760"/>
      <c r="J7733" s="760"/>
      <c r="K7733" s="760"/>
    </row>
    <row r="7734" spans="1:11">
      <c r="A7734" s="760"/>
      <c r="B7734" s="760"/>
      <c r="C7734" s="760"/>
      <c r="D7734" s="760"/>
      <c r="E7734" s="760"/>
      <c r="F7734" s="760"/>
      <c r="G7734" s="760"/>
      <c r="H7734" s="760"/>
      <c r="I7734" s="760"/>
      <c r="J7734" s="760"/>
      <c r="K7734" s="760"/>
    </row>
    <row r="7735" spans="1:11">
      <c r="A7735" s="760"/>
      <c r="B7735" s="760"/>
      <c r="C7735" s="760"/>
      <c r="D7735" s="760"/>
      <c r="E7735" s="760"/>
      <c r="F7735" s="760"/>
      <c r="G7735" s="760"/>
      <c r="H7735" s="760"/>
      <c r="I7735" s="760"/>
      <c r="J7735" s="760"/>
      <c r="K7735" s="760"/>
    </row>
    <row r="7736" spans="1:11">
      <c r="A7736" s="760"/>
      <c r="B7736" s="760"/>
      <c r="C7736" s="760"/>
      <c r="D7736" s="760"/>
      <c r="E7736" s="760"/>
      <c r="F7736" s="760"/>
      <c r="G7736" s="760"/>
      <c r="H7736" s="760"/>
      <c r="I7736" s="760"/>
      <c r="J7736" s="760"/>
      <c r="K7736" s="760"/>
    </row>
    <row r="7737" spans="1:11">
      <c r="A7737" s="760"/>
      <c r="B7737" s="760"/>
      <c r="C7737" s="760"/>
      <c r="D7737" s="760"/>
      <c r="E7737" s="760"/>
      <c r="F7737" s="760"/>
      <c r="G7737" s="760"/>
      <c r="H7737" s="760"/>
      <c r="I7737" s="760"/>
      <c r="J7737" s="760"/>
      <c r="K7737" s="760"/>
    </row>
    <row r="7738" spans="1:11">
      <c r="A7738" s="760"/>
      <c r="B7738" s="760"/>
      <c r="C7738" s="760"/>
      <c r="D7738" s="760"/>
      <c r="E7738" s="760"/>
      <c r="F7738" s="760"/>
      <c r="G7738" s="760"/>
      <c r="H7738" s="760"/>
      <c r="I7738" s="760"/>
      <c r="J7738" s="760"/>
      <c r="K7738" s="760"/>
    </row>
    <row r="7739" spans="1:11">
      <c r="A7739" s="760"/>
      <c r="B7739" s="760"/>
      <c r="C7739" s="760"/>
      <c r="D7739" s="760"/>
      <c r="E7739" s="760"/>
      <c r="F7739" s="760"/>
      <c r="G7739" s="760"/>
      <c r="H7739" s="760"/>
      <c r="I7739" s="760"/>
      <c r="J7739" s="760"/>
      <c r="K7739" s="760"/>
    </row>
    <row r="7740" spans="1:11">
      <c r="A7740" s="760"/>
      <c r="B7740" s="760"/>
      <c r="C7740" s="760"/>
      <c r="D7740" s="760"/>
      <c r="E7740" s="760"/>
      <c r="F7740" s="760"/>
      <c r="G7740" s="760"/>
      <c r="H7740" s="760"/>
      <c r="I7740" s="760"/>
      <c r="J7740" s="760"/>
      <c r="K7740" s="760"/>
    </row>
    <row r="7741" spans="1:11">
      <c r="A7741" s="760"/>
      <c r="B7741" s="760"/>
      <c r="C7741" s="760"/>
      <c r="D7741" s="760"/>
      <c r="E7741" s="760"/>
      <c r="F7741" s="760"/>
      <c r="G7741" s="760"/>
      <c r="H7741" s="760"/>
      <c r="I7741" s="760"/>
      <c r="J7741" s="760"/>
      <c r="K7741" s="760"/>
    </row>
    <row r="7742" spans="1:11">
      <c r="A7742" s="760"/>
      <c r="B7742" s="760"/>
      <c r="C7742" s="760"/>
      <c r="D7742" s="760"/>
      <c r="E7742" s="760"/>
      <c r="F7742" s="760"/>
      <c r="G7742" s="760"/>
      <c r="H7742" s="760"/>
      <c r="I7742" s="760"/>
      <c r="J7742" s="760"/>
      <c r="K7742" s="760"/>
    </row>
    <row r="7743" spans="1:11">
      <c r="A7743" s="760"/>
      <c r="B7743" s="760"/>
      <c r="C7743" s="760"/>
      <c r="D7743" s="760"/>
      <c r="E7743" s="760"/>
      <c r="F7743" s="760"/>
      <c r="G7743" s="760"/>
      <c r="H7743" s="760"/>
      <c r="I7743" s="760"/>
      <c r="J7743" s="760"/>
      <c r="K7743" s="760"/>
    </row>
    <row r="7744" spans="1:11">
      <c r="A7744" s="760"/>
      <c r="B7744" s="760"/>
      <c r="C7744" s="760"/>
      <c r="D7744" s="760"/>
      <c r="E7744" s="760"/>
      <c r="F7744" s="760"/>
      <c r="G7744" s="760"/>
      <c r="H7744" s="760"/>
      <c r="I7744" s="760"/>
      <c r="J7744" s="760"/>
      <c r="K7744" s="760"/>
    </row>
    <row r="7745" spans="1:11">
      <c r="A7745" s="760"/>
      <c r="B7745" s="760"/>
      <c r="C7745" s="760"/>
      <c r="D7745" s="760"/>
      <c r="E7745" s="760"/>
      <c r="F7745" s="760"/>
      <c r="G7745" s="760"/>
      <c r="H7745" s="760"/>
      <c r="I7745" s="760"/>
      <c r="J7745" s="760"/>
      <c r="K7745" s="760"/>
    </row>
    <row r="7746" spans="1:11">
      <c r="A7746" s="760"/>
      <c r="B7746" s="760"/>
      <c r="C7746" s="760"/>
      <c r="D7746" s="760"/>
      <c r="E7746" s="760"/>
      <c r="F7746" s="760"/>
      <c r="G7746" s="760"/>
      <c r="H7746" s="760"/>
      <c r="I7746" s="760"/>
      <c r="J7746" s="760"/>
      <c r="K7746" s="760"/>
    </row>
    <row r="7747" spans="1:11">
      <c r="A7747" s="760"/>
      <c r="B7747" s="760"/>
      <c r="C7747" s="760"/>
      <c r="D7747" s="760"/>
      <c r="E7747" s="760"/>
      <c r="F7747" s="760"/>
      <c r="G7747" s="760"/>
      <c r="H7747" s="760"/>
      <c r="I7747" s="760"/>
      <c r="J7747" s="760"/>
      <c r="K7747" s="760"/>
    </row>
    <row r="7748" spans="1:11">
      <c r="A7748" s="760"/>
      <c r="B7748" s="760"/>
      <c r="C7748" s="760"/>
      <c r="D7748" s="760"/>
      <c r="E7748" s="760"/>
      <c r="F7748" s="760"/>
      <c r="G7748" s="760"/>
      <c r="H7748" s="760"/>
      <c r="I7748" s="760"/>
      <c r="J7748" s="760"/>
      <c r="K7748" s="760"/>
    </row>
    <row r="7749" spans="1:11">
      <c r="A7749" s="760"/>
      <c r="B7749" s="760"/>
      <c r="C7749" s="760"/>
      <c r="D7749" s="760"/>
      <c r="E7749" s="760"/>
      <c r="F7749" s="760"/>
      <c r="G7749" s="760"/>
      <c r="H7749" s="760"/>
      <c r="I7749" s="760"/>
      <c r="J7749" s="760"/>
      <c r="K7749" s="760"/>
    </row>
    <row r="7750" spans="1:11">
      <c r="A7750" s="760"/>
      <c r="B7750" s="760"/>
      <c r="C7750" s="760"/>
      <c r="D7750" s="760"/>
      <c r="E7750" s="760"/>
      <c r="F7750" s="760"/>
      <c r="G7750" s="760"/>
      <c r="H7750" s="760"/>
      <c r="I7750" s="760"/>
      <c r="J7750" s="760"/>
      <c r="K7750" s="760"/>
    </row>
    <row r="7751" spans="1:11">
      <c r="A7751" s="760"/>
      <c r="B7751" s="760"/>
      <c r="C7751" s="760"/>
      <c r="D7751" s="760"/>
      <c r="E7751" s="760"/>
      <c r="F7751" s="760"/>
      <c r="G7751" s="760"/>
      <c r="H7751" s="760"/>
      <c r="I7751" s="760"/>
      <c r="J7751" s="760"/>
      <c r="K7751" s="760"/>
    </row>
    <row r="7752" spans="1:11">
      <c r="A7752" s="760"/>
      <c r="B7752" s="760"/>
      <c r="C7752" s="760"/>
      <c r="D7752" s="760"/>
      <c r="E7752" s="760"/>
      <c r="F7752" s="760"/>
      <c r="G7752" s="760"/>
      <c r="H7752" s="760"/>
      <c r="I7752" s="760"/>
      <c r="J7752" s="760"/>
      <c r="K7752" s="760"/>
    </row>
    <row r="7753" spans="1:11">
      <c r="A7753" s="760"/>
      <c r="B7753" s="760"/>
      <c r="C7753" s="760"/>
      <c r="D7753" s="760"/>
      <c r="E7753" s="760"/>
      <c r="F7753" s="760"/>
      <c r="G7753" s="760"/>
      <c r="H7753" s="760"/>
      <c r="I7753" s="760"/>
      <c r="J7753" s="760"/>
      <c r="K7753" s="760"/>
    </row>
    <row r="7754" spans="1:11">
      <c r="A7754" s="760"/>
      <c r="B7754" s="760"/>
      <c r="C7754" s="760"/>
      <c r="D7754" s="760"/>
      <c r="E7754" s="760"/>
      <c r="F7754" s="760"/>
      <c r="G7754" s="760"/>
      <c r="H7754" s="760"/>
      <c r="I7754" s="760"/>
      <c r="J7754" s="760"/>
      <c r="K7754" s="760"/>
    </row>
    <row r="7755" spans="1:11">
      <c r="A7755" s="760"/>
      <c r="B7755" s="760"/>
      <c r="C7755" s="760"/>
      <c r="D7755" s="760"/>
      <c r="E7755" s="760"/>
      <c r="F7755" s="760"/>
      <c r="G7755" s="760"/>
      <c r="H7755" s="760"/>
      <c r="I7755" s="760"/>
      <c r="J7755" s="760"/>
      <c r="K7755" s="760"/>
    </row>
    <row r="7756" spans="1:11">
      <c r="A7756" s="760"/>
      <c r="B7756" s="760"/>
      <c r="C7756" s="760"/>
      <c r="D7756" s="760"/>
      <c r="E7756" s="760"/>
      <c r="F7756" s="760"/>
      <c r="G7756" s="760"/>
      <c r="H7756" s="760"/>
      <c r="I7756" s="760"/>
      <c r="J7756" s="760"/>
      <c r="K7756" s="760"/>
    </row>
    <row r="7757" spans="1:11">
      <c r="A7757" s="760"/>
      <c r="B7757" s="760"/>
      <c r="C7757" s="760"/>
      <c r="D7757" s="760"/>
      <c r="E7757" s="760"/>
      <c r="F7757" s="760"/>
      <c r="G7757" s="760"/>
      <c r="H7757" s="760"/>
      <c r="I7757" s="760"/>
      <c r="J7757" s="760"/>
      <c r="K7757" s="760"/>
    </row>
    <row r="7758" spans="1:11">
      <c r="A7758" s="760"/>
      <c r="B7758" s="760"/>
      <c r="C7758" s="760"/>
      <c r="D7758" s="760"/>
      <c r="E7758" s="760"/>
      <c r="F7758" s="760"/>
      <c r="G7758" s="760"/>
      <c r="H7758" s="760"/>
      <c r="I7758" s="760"/>
      <c r="J7758" s="760"/>
      <c r="K7758" s="760"/>
    </row>
    <row r="7759" spans="1:11">
      <c r="A7759" s="760"/>
      <c r="B7759" s="760"/>
      <c r="C7759" s="760"/>
      <c r="D7759" s="760"/>
      <c r="E7759" s="760"/>
      <c r="F7759" s="760"/>
      <c r="G7759" s="760"/>
      <c r="H7759" s="760"/>
      <c r="I7759" s="760"/>
      <c r="J7759" s="760"/>
      <c r="K7759" s="760"/>
    </row>
    <row r="7760" spans="1:11">
      <c r="A7760" s="760"/>
      <c r="B7760" s="760"/>
      <c r="C7760" s="760"/>
      <c r="D7760" s="760"/>
      <c r="E7760" s="760"/>
      <c r="F7760" s="760"/>
      <c r="G7760" s="760"/>
      <c r="H7760" s="760"/>
      <c r="I7760" s="760"/>
      <c r="J7760" s="760"/>
      <c r="K7760" s="760"/>
    </row>
    <row r="7761" spans="1:11">
      <c r="A7761" s="760"/>
      <c r="B7761" s="760"/>
      <c r="C7761" s="760"/>
      <c r="D7761" s="760"/>
      <c r="E7761" s="760"/>
      <c r="F7761" s="760"/>
      <c r="G7761" s="760"/>
      <c r="H7761" s="760"/>
      <c r="I7761" s="760"/>
      <c r="J7761" s="760"/>
      <c r="K7761" s="760"/>
    </row>
    <row r="7762" spans="1:11">
      <c r="A7762" s="760"/>
      <c r="B7762" s="760"/>
      <c r="C7762" s="760"/>
      <c r="D7762" s="760"/>
      <c r="E7762" s="760"/>
      <c r="F7762" s="760"/>
      <c r="G7762" s="760"/>
      <c r="H7762" s="760"/>
      <c r="I7762" s="760"/>
      <c r="J7762" s="760"/>
      <c r="K7762" s="760"/>
    </row>
    <row r="7763" spans="1:11">
      <c r="A7763" s="760"/>
      <c r="B7763" s="760"/>
      <c r="C7763" s="760"/>
      <c r="D7763" s="760"/>
      <c r="E7763" s="760"/>
      <c r="F7763" s="760"/>
      <c r="G7763" s="760"/>
      <c r="H7763" s="760"/>
      <c r="I7763" s="760"/>
      <c r="J7763" s="760"/>
      <c r="K7763" s="760"/>
    </row>
    <row r="7764" spans="1:11">
      <c r="A7764" s="760"/>
      <c r="B7764" s="760"/>
      <c r="C7764" s="760"/>
      <c r="D7764" s="760"/>
      <c r="E7764" s="760"/>
      <c r="F7764" s="760"/>
      <c r="G7764" s="760"/>
      <c r="H7764" s="760"/>
      <c r="I7764" s="760"/>
      <c r="J7764" s="760"/>
      <c r="K7764" s="760"/>
    </row>
    <row r="7765" spans="1:11">
      <c r="A7765" s="760"/>
      <c r="B7765" s="760"/>
      <c r="C7765" s="760"/>
      <c r="D7765" s="760"/>
      <c r="E7765" s="760"/>
      <c r="F7765" s="760"/>
      <c r="G7765" s="760"/>
      <c r="H7765" s="760"/>
      <c r="I7765" s="760"/>
      <c r="J7765" s="760"/>
      <c r="K7765" s="760"/>
    </row>
    <row r="7766" spans="1:11">
      <c r="A7766" s="760"/>
      <c r="B7766" s="760"/>
      <c r="C7766" s="760"/>
      <c r="D7766" s="760"/>
      <c r="E7766" s="760"/>
      <c r="F7766" s="760"/>
      <c r="G7766" s="760"/>
      <c r="H7766" s="760"/>
      <c r="I7766" s="760"/>
      <c r="J7766" s="760"/>
      <c r="K7766" s="760"/>
    </row>
    <row r="7767" spans="1:11">
      <c r="A7767" s="760"/>
      <c r="B7767" s="760"/>
      <c r="C7767" s="760"/>
      <c r="D7767" s="760"/>
      <c r="E7767" s="760"/>
      <c r="F7767" s="760"/>
      <c r="G7767" s="760"/>
      <c r="H7767" s="760"/>
      <c r="I7767" s="760"/>
      <c r="J7767" s="760"/>
      <c r="K7767" s="760"/>
    </row>
    <row r="7768" spans="1:11">
      <c r="A7768" s="760"/>
      <c r="B7768" s="760"/>
      <c r="C7768" s="760"/>
      <c r="D7768" s="760"/>
      <c r="E7768" s="760"/>
      <c r="F7768" s="760"/>
      <c r="G7768" s="760"/>
      <c r="H7768" s="760"/>
      <c r="I7768" s="760"/>
      <c r="J7768" s="760"/>
      <c r="K7768" s="760"/>
    </row>
    <row r="7769" spans="1:11">
      <c r="A7769" s="760"/>
      <c r="B7769" s="760"/>
      <c r="C7769" s="760"/>
      <c r="D7769" s="760"/>
      <c r="E7769" s="760"/>
      <c r="F7769" s="760"/>
      <c r="G7769" s="760"/>
      <c r="H7769" s="760"/>
      <c r="I7769" s="760"/>
      <c r="J7769" s="760"/>
      <c r="K7769" s="760"/>
    </row>
    <row r="7770" spans="1:11">
      <c r="A7770" s="760"/>
      <c r="B7770" s="760"/>
      <c r="C7770" s="760"/>
      <c r="D7770" s="760"/>
      <c r="E7770" s="760"/>
      <c r="F7770" s="760"/>
      <c r="G7770" s="760"/>
      <c r="H7770" s="760"/>
      <c r="I7770" s="760"/>
      <c r="J7770" s="760"/>
      <c r="K7770" s="760"/>
    </row>
    <row r="7771" spans="1:11">
      <c r="A7771" s="760"/>
      <c r="B7771" s="760"/>
      <c r="C7771" s="760"/>
      <c r="D7771" s="760"/>
      <c r="E7771" s="760"/>
      <c r="F7771" s="760"/>
      <c r="G7771" s="760"/>
      <c r="H7771" s="760"/>
      <c r="I7771" s="760"/>
      <c r="J7771" s="760"/>
      <c r="K7771" s="760"/>
    </row>
    <row r="7772" spans="1:11">
      <c r="A7772" s="760"/>
      <c r="B7772" s="760"/>
      <c r="C7772" s="760"/>
      <c r="D7772" s="760"/>
      <c r="E7772" s="760"/>
      <c r="F7772" s="760"/>
      <c r="G7772" s="760"/>
      <c r="H7772" s="760"/>
      <c r="I7772" s="760"/>
      <c r="J7772" s="760"/>
      <c r="K7772" s="760"/>
    </row>
    <row r="7773" spans="1:11">
      <c r="A7773" s="760"/>
      <c r="B7773" s="760"/>
      <c r="C7773" s="760"/>
      <c r="D7773" s="760"/>
      <c r="E7773" s="760"/>
      <c r="F7773" s="760"/>
      <c r="G7773" s="760"/>
      <c r="H7773" s="760"/>
      <c r="I7773" s="760"/>
      <c r="J7773" s="760"/>
      <c r="K7773" s="760"/>
    </row>
    <row r="7774" spans="1:11">
      <c r="A7774" s="760"/>
      <c r="B7774" s="760"/>
      <c r="C7774" s="760"/>
      <c r="D7774" s="760"/>
      <c r="E7774" s="760"/>
      <c r="F7774" s="760"/>
      <c r="G7774" s="760"/>
      <c r="H7774" s="760"/>
      <c r="I7774" s="760"/>
      <c r="J7774" s="760"/>
      <c r="K7774" s="760"/>
    </row>
    <row r="7775" spans="1:11">
      <c r="A7775" s="760"/>
      <c r="B7775" s="760"/>
      <c r="C7775" s="760"/>
      <c r="D7775" s="760"/>
      <c r="E7775" s="760"/>
      <c r="F7775" s="760"/>
      <c r="G7775" s="760"/>
      <c r="H7775" s="760"/>
      <c r="I7775" s="760"/>
      <c r="J7775" s="760"/>
      <c r="K7775" s="760"/>
    </row>
    <row r="7776" spans="1:11">
      <c r="A7776" s="760"/>
      <c r="B7776" s="760"/>
      <c r="C7776" s="760"/>
      <c r="D7776" s="760"/>
      <c r="E7776" s="760"/>
      <c r="F7776" s="760"/>
      <c r="G7776" s="760"/>
      <c r="H7776" s="760"/>
      <c r="I7776" s="760"/>
      <c r="J7776" s="760"/>
      <c r="K7776" s="760"/>
    </row>
    <row r="7777" spans="1:11">
      <c r="A7777" s="760"/>
      <c r="B7777" s="760"/>
      <c r="C7777" s="760"/>
      <c r="D7777" s="760"/>
      <c r="E7777" s="760"/>
      <c r="F7777" s="760"/>
      <c r="G7777" s="760"/>
      <c r="H7777" s="760"/>
      <c r="I7777" s="760"/>
      <c r="J7777" s="760"/>
      <c r="K7777" s="760"/>
    </row>
    <row r="7778" spans="1:11">
      <c r="A7778" s="760"/>
      <c r="B7778" s="760"/>
      <c r="C7778" s="760"/>
      <c r="D7778" s="760"/>
      <c r="E7778" s="760"/>
      <c r="F7778" s="760"/>
      <c r="G7778" s="760"/>
      <c r="H7778" s="760"/>
      <c r="I7778" s="760"/>
      <c r="J7778" s="760"/>
      <c r="K7778" s="760"/>
    </row>
    <row r="7779" spans="1:11">
      <c r="A7779" s="760"/>
      <c r="B7779" s="760"/>
      <c r="C7779" s="760"/>
      <c r="D7779" s="760"/>
      <c r="E7779" s="760"/>
      <c r="F7779" s="760"/>
      <c r="G7779" s="760"/>
      <c r="H7779" s="760"/>
      <c r="I7779" s="760"/>
      <c r="J7779" s="760"/>
      <c r="K7779" s="760"/>
    </row>
    <row r="7780" spans="1:11">
      <c r="A7780" s="760"/>
      <c r="B7780" s="760"/>
      <c r="C7780" s="760"/>
      <c r="D7780" s="760"/>
      <c r="E7780" s="760"/>
      <c r="F7780" s="760"/>
      <c r="G7780" s="760"/>
      <c r="H7780" s="760"/>
      <c r="I7780" s="760"/>
      <c r="J7780" s="760"/>
      <c r="K7780" s="760"/>
    </row>
    <row r="7781" spans="1:11">
      <c r="A7781" s="760"/>
      <c r="B7781" s="760"/>
      <c r="C7781" s="760"/>
      <c r="D7781" s="760"/>
      <c r="E7781" s="760"/>
      <c r="F7781" s="760"/>
      <c r="G7781" s="760"/>
      <c r="H7781" s="760"/>
      <c r="I7781" s="760"/>
      <c r="J7781" s="760"/>
      <c r="K7781" s="760"/>
    </row>
    <row r="7782" spans="1:11">
      <c r="A7782" s="760"/>
      <c r="B7782" s="760"/>
      <c r="C7782" s="760"/>
      <c r="D7782" s="760"/>
      <c r="E7782" s="760"/>
      <c r="F7782" s="760"/>
      <c r="G7782" s="760"/>
      <c r="H7782" s="760"/>
      <c r="I7782" s="760"/>
      <c r="J7782" s="760"/>
      <c r="K7782" s="760"/>
    </row>
    <row r="7783" spans="1:11">
      <c r="A7783" s="760"/>
      <c r="B7783" s="760"/>
      <c r="C7783" s="760"/>
      <c r="D7783" s="760"/>
      <c r="E7783" s="760"/>
      <c r="F7783" s="760"/>
      <c r="G7783" s="760"/>
      <c r="H7783" s="760"/>
      <c r="I7783" s="760"/>
      <c r="J7783" s="760"/>
      <c r="K7783" s="760"/>
    </row>
    <row r="7784" spans="1:11">
      <c r="A7784" s="760"/>
      <c r="B7784" s="760"/>
      <c r="C7784" s="760"/>
      <c r="D7784" s="760"/>
      <c r="E7784" s="760"/>
      <c r="F7784" s="760"/>
      <c r="G7784" s="760"/>
      <c r="H7784" s="760"/>
      <c r="I7784" s="760"/>
      <c r="J7784" s="760"/>
      <c r="K7784" s="760"/>
    </row>
    <row r="7785" spans="1:11">
      <c r="A7785" s="760"/>
      <c r="B7785" s="760"/>
      <c r="C7785" s="760"/>
      <c r="D7785" s="760"/>
      <c r="E7785" s="760"/>
      <c r="F7785" s="760"/>
      <c r="G7785" s="760"/>
      <c r="H7785" s="760"/>
      <c r="I7785" s="760"/>
      <c r="J7785" s="760"/>
      <c r="K7785" s="760"/>
    </row>
    <row r="7786" spans="1:11">
      <c r="A7786" s="760"/>
      <c r="B7786" s="760"/>
      <c r="C7786" s="760"/>
      <c r="D7786" s="760"/>
      <c r="E7786" s="760"/>
      <c r="F7786" s="760"/>
      <c r="G7786" s="760"/>
      <c r="H7786" s="760"/>
      <c r="I7786" s="760"/>
      <c r="J7786" s="760"/>
      <c r="K7786" s="760"/>
    </row>
    <row r="7787" spans="1:11">
      <c r="A7787" s="760"/>
      <c r="B7787" s="760"/>
      <c r="C7787" s="760"/>
      <c r="D7787" s="760"/>
      <c r="E7787" s="760"/>
      <c r="F7787" s="760"/>
      <c r="G7787" s="760"/>
      <c r="H7787" s="760"/>
      <c r="I7787" s="760"/>
      <c r="J7787" s="760"/>
      <c r="K7787" s="760"/>
    </row>
    <row r="7788" spans="1:11">
      <c r="A7788" s="760"/>
      <c r="B7788" s="760"/>
      <c r="C7788" s="760"/>
      <c r="D7788" s="760"/>
      <c r="E7788" s="760"/>
      <c r="F7788" s="760"/>
      <c r="G7788" s="760"/>
      <c r="H7788" s="760"/>
      <c r="I7788" s="760"/>
      <c r="J7788" s="760"/>
      <c r="K7788" s="760"/>
    </row>
    <row r="7789" spans="1:11">
      <c r="A7789" s="760"/>
      <c r="B7789" s="760"/>
      <c r="C7789" s="760"/>
      <c r="D7789" s="760"/>
      <c r="E7789" s="760"/>
      <c r="F7789" s="760"/>
      <c r="G7789" s="760"/>
      <c r="H7789" s="760"/>
      <c r="I7789" s="760"/>
      <c r="J7789" s="760"/>
      <c r="K7789" s="760"/>
    </row>
    <row r="7790" spans="1:11">
      <c r="A7790" s="760"/>
      <c r="B7790" s="760"/>
      <c r="C7790" s="760"/>
      <c r="D7790" s="760"/>
      <c r="E7790" s="760"/>
      <c r="F7790" s="760"/>
      <c r="G7790" s="760"/>
      <c r="H7790" s="760"/>
      <c r="I7790" s="760"/>
      <c r="J7790" s="760"/>
      <c r="K7790" s="760"/>
    </row>
    <row r="7791" spans="1:11">
      <c r="A7791" s="760"/>
      <c r="B7791" s="760"/>
      <c r="C7791" s="760"/>
      <c r="D7791" s="760"/>
      <c r="E7791" s="760"/>
      <c r="F7791" s="760"/>
      <c r="G7791" s="760"/>
      <c r="H7791" s="760"/>
      <c r="I7791" s="760"/>
      <c r="J7791" s="760"/>
      <c r="K7791" s="760"/>
    </row>
    <row r="7792" spans="1:11">
      <c r="A7792" s="760"/>
      <c r="B7792" s="760"/>
      <c r="C7792" s="760"/>
      <c r="D7792" s="760"/>
      <c r="E7792" s="760"/>
      <c r="F7792" s="760"/>
      <c r="G7792" s="760"/>
      <c r="H7792" s="760"/>
      <c r="I7792" s="760"/>
      <c r="J7792" s="760"/>
      <c r="K7792" s="760"/>
    </row>
    <row r="7793" spans="1:11">
      <c r="A7793" s="760"/>
      <c r="B7793" s="760"/>
      <c r="C7793" s="760"/>
      <c r="D7793" s="760"/>
      <c r="E7793" s="760"/>
      <c r="F7793" s="760"/>
      <c r="G7793" s="760"/>
      <c r="H7793" s="760"/>
      <c r="I7793" s="760"/>
      <c r="J7793" s="760"/>
      <c r="K7793" s="760"/>
    </row>
    <row r="7794" spans="1:11">
      <c r="A7794" s="760"/>
      <c r="B7794" s="760"/>
      <c r="C7794" s="760"/>
      <c r="D7794" s="760"/>
      <c r="E7794" s="760"/>
      <c r="F7794" s="760"/>
      <c r="G7794" s="760"/>
      <c r="H7794" s="760"/>
      <c r="I7794" s="760"/>
      <c r="J7794" s="760"/>
      <c r="K7794" s="760"/>
    </row>
    <row r="7795" spans="1:11">
      <c r="A7795" s="760"/>
      <c r="B7795" s="760"/>
      <c r="C7795" s="760"/>
      <c r="D7795" s="760"/>
      <c r="E7795" s="760"/>
      <c r="F7795" s="760"/>
      <c r="G7795" s="760"/>
      <c r="H7795" s="760"/>
      <c r="I7795" s="760"/>
      <c r="J7795" s="760"/>
      <c r="K7795" s="760"/>
    </row>
    <row r="7796" spans="1:11">
      <c r="A7796" s="760"/>
      <c r="B7796" s="760"/>
      <c r="C7796" s="760"/>
      <c r="D7796" s="760"/>
      <c r="E7796" s="760"/>
      <c r="F7796" s="760"/>
      <c r="G7796" s="760"/>
      <c r="H7796" s="760"/>
      <c r="I7796" s="760"/>
      <c r="J7796" s="760"/>
      <c r="K7796" s="760"/>
    </row>
    <row r="7797" spans="1:11">
      <c r="A7797" s="760"/>
      <c r="B7797" s="760"/>
      <c r="C7797" s="760"/>
      <c r="D7797" s="760"/>
      <c r="E7797" s="760"/>
      <c r="F7797" s="760"/>
      <c r="G7797" s="760"/>
      <c r="H7797" s="760"/>
      <c r="I7797" s="760"/>
      <c r="J7797" s="760"/>
      <c r="K7797" s="760"/>
    </row>
    <row r="7798" spans="1:11">
      <c r="A7798" s="760"/>
      <c r="B7798" s="760"/>
      <c r="C7798" s="760"/>
      <c r="D7798" s="760"/>
      <c r="E7798" s="760"/>
      <c r="F7798" s="760"/>
      <c r="G7798" s="760"/>
      <c r="H7798" s="760"/>
      <c r="I7798" s="760"/>
      <c r="J7798" s="760"/>
      <c r="K7798" s="760"/>
    </row>
    <row r="7799" spans="1:11">
      <c r="A7799" s="760"/>
      <c r="B7799" s="760"/>
      <c r="C7799" s="760"/>
      <c r="D7799" s="760"/>
      <c r="E7799" s="760"/>
      <c r="F7799" s="760"/>
      <c r="G7799" s="760"/>
      <c r="H7799" s="760"/>
      <c r="I7799" s="760"/>
      <c r="J7799" s="760"/>
      <c r="K7799" s="760"/>
    </row>
    <row r="7800" spans="1:11">
      <c r="A7800" s="760"/>
      <c r="B7800" s="760"/>
      <c r="C7800" s="760"/>
      <c r="D7800" s="760"/>
      <c r="E7800" s="760"/>
      <c r="F7800" s="760"/>
      <c r="G7800" s="760"/>
      <c r="H7800" s="760"/>
      <c r="I7800" s="760"/>
      <c r="J7800" s="760"/>
      <c r="K7800" s="760"/>
    </row>
    <row r="7801" spans="1:11">
      <c r="A7801" s="760"/>
      <c r="B7801" s="760"/>
      <c r="C7801" s="760"/>
      <c r="D7801" s="760"/>
      <c r="E7801" s="760"/>
      <c r="F7801" s="760"/>
      <c r="G7801" s="760"/>
      <c r="H7801" s="760"/>
      <c r="I7801" s="760"/>
      <c r="J7801" s="760"/>
      <c r="K7801" s="760"/>
    </row>
    <row r="7802" spans="1:11">
      <c r="A7802" s="760"/>
      <c r="B7802" s="760"/>
      <c r="C7802" s="760"/>
      <c r="D7802" s="760"/>
      <c r="E7802" s="760"/>
      <c r="F7802" s="760"/>
      <c r="G7802" s="760"/>
      <c r="H7802" s="760"/>
      <c r="I7802" s="760"/>
      <c r="J7802" s="760"/>
      <c r="K7802" s="760"/>
    </row>
    <row r="7803" spans="1:11">
      <c r="A7803" s="760"/>
      <c r="B7803" s="760"/>
      <c r="C7803" s="760"/>
      <c r="D7803" s="760"/>
      <c r="E7803" s="760"/>
      <c r="F7803" s="760"/>
      <c r="G7803" s="760"/>
      <c r="H7803" s="760"/>
      <c r="I7803" s="760"/>
      <c r="J7803" s="760"/>
      <c r="K7803" s="760"/>
    </row>
    <row r="7804" spans="1:11">
      <c r="A7804" s="760"/>
      <c r="B7804" s="760"/>
      <c r="C7804" s="760"/>
      <c r="D7804" s="760"/>
      <c r="E7804" s="760"/>
      <c r="F7804" s="760"/>
      <c r="G7804" s="760"/>
      <c r="H7804" s="760"/>
      <c r="I7804" s="760"/>
      <c r="J7804" s="760"/>
      <c r="K7804" s="760"/>
    </row>
    <row r="7805" spans="1:11">
      <c r="A7805" s="760"/>
      <c r="B7805" s="760"/>
      <c r="C7805" s="760"/>
      <c r="D7805" s="760"/>
      <c r="E7805" s="760"/>
      <c r="F7805" s="760"/>
      <c r="G7805" s="760"/>
      <c r="H7805" s="760"/>
      <c r="I7805" s="760"/>
      <c r="J7805" s="760"/>
      <c r="K7805" s="760"/>
    </row>
    <row r="7806" spans="1:11">
      <c r="A7806" s="760"/>
      <c r="B7806" s="760"/>
      <c r="C7806" s="760"/>
      <c r="D7806" s="760"/>
      <c r="E7806" s="760"/>
      <c r="F7806" s="760"/>
      <c r="G7806" s="760"/>
      <c r="H7806" s="760"/>
      <c r="I7806" s="760"/>
      <c r="J7806" s="760"/>
      <c r="K7806" s="760"/>
    </row>
    <row r="7807" spans="1:11">
      <c r="A7807" s="760"/>
      <c r="B7807" s="760"/>
      <c r="C7807" s="760"/>
      <c r="D7807" s="760"/>
      <c r="E7807" s="760"/>
      <c r="F7807" s="760"/>
      <c r="G7807" s="760"/>
      <c r="H7807" s="760"/>
      <c r="I7807" s="760"/>
      <c r="J7807" s="760"/>
      <c r="K7807" s="760"/>
    </row>
    <row r="7808" spans="1:11">
      <c r="A7808" s="760"/>
      <c r="B7808" s="760"/>
      <c r="C7808" s="760"/>
      <c r="D7808" s="760"/>
      <c r="E7808" s="760"/>
      <c r="F7808" s="760"/>
      <c r="G7808" s="760"/>
      <c r="H7808" s="760"/>
      <c r="I7808" s="760"/>
      <c r="J7808" s="760"/>
      <c r="K7808" s="760"/>
    </row>
    <row r="7809" spans="1:11">
      <c r="A7809" s="760"/>
      <c r="B7809" s="760"/>
      <c r="C7809" s="760"/>
      <c r="D7809" s="760"/>
      <c r="E7809" s="760"/>
      <c r="F7809" s="760"/>
      <c r="G7809" s="760"/>
      <c r="H7809" s="760"/>
      <c r="I7809" s="760"/>
      <c r="J7809" s="760"/>
      <c r="K7809" s="760"/>
    </row>
    <row r="7810" spans="1:11">
      <c r="A7810" s="760"/>
      <c r="B7810" s="760"/>
      <c r="C7810" s="760"/>
      <c r="D7810" s="760"/>
      <c r="E7810" s="760"/>
      <c r="F7810" s="760"/>
      <c r="G7810" s="760"/>
      <c r="H7810" s="760"/>
      <c r="I7810" s="760"/>
      <c r="J7810" s="760"/>
      <c r="K7810" s="760"/>
    </row>
    <row r="7811" spans="1:11">
      <c r="A7811" s="760"/>
      <c r="B7811" s="760"/>
      <c r="C7811" s="760"/>
      <c r="D7811" s="760"/>
      <c r="E7811" s="760"/>
      <c r="F7811" s="760"/>
      <c r="G7811" s="760"/>
      <c r="H7811" s="760"/>
      <c r="I7811" s="760"/>
      <c r="J7811" s="760"/>
      <c r="K7811" s="760"/>
    </row>
    <row r="7812" spans="1:11">
      <c r="A7812" s="760"/>
      <c r="B7812" s="760"/>
      <c r="C7812" s="760"/>
      <c r="D7812" s="760"/>
      <c r="E7812" s="760"/>
      <c r="F7812" s="760"/>
      <c r="G7812" s="760"/>
      <c r="H7812" s="760"/>
      <c r="I7812" s="760"/>
      <c r="J7812" s="760"/>
      <c r="K7812" s="760"/>
    </row>
    <row r="7813" spans="1:11">
      <c r="A7813" s="760"/>
      <c r="B7813" s="760"/>
      <c r="C7813" s="760"/>
      <c r="D7813" s="760"/>
      <c r="E7813" s="760"/>
      <c r="F7813" s="760"/>
      <c r="G7813" s="760"/>
      <c r="H7813" s="760"/>
      <c r="I7813" s="760"/>
      <c r="J7813" s="760"/>
      <c r="K7813" s="760"/>
    </row>
    <row r="7814" spans="1:11">
      <c r="A7814" s="760"/>
      <c r="B7814" s="760"/>
      <c r="C7814" s="760"/>
      <c r="D7814" s="760"/>
      <c r="E7814" s="760"/>
      <c r="F7814" s="760"/>
      <c r="G7814" s="760"/>
      <c r="H7814" s="760"/>
      <c r="I7814" s="760"/>
      <c r="J7814" s="760"/>
      <c r="K7814" s="760"/>
    </row>
    <row r="7815" spans="1:11">
      <c r="A7815" s="760"/>
      <c r="B7815" s="760"/>
      <c r="C7815" s="760"/>
      <c r="D7815" s="760"/>
      <c r="E7815" s="760"/>
      <c r="F7815" s="760"/>
      <c r="G7815" s="760"/>
      <c r="H7815" s="760"/>
      <c r="I7815" s="760"/>
      <c r="J7815" s="760"/>
      <c r="K7815" s="760"/>
    </row>
    <row r="7816" spans="1:11">
      <c r="A7816" s="760"/>
      <c r="B7816" s="760"/>
      <c r="C7816" s="760"/>
      <c r="D7816" s="760"/>
      <c r="E7816" s="760"/>
      <c r="F7816" s="760"/>
      <c r="G7816" s="760"/>
      <c r="H7816" s="760"/>
      <c r="I7816" s="760"/>
      <c r="J7816" s="760"/>
      <c r="K7816" s="760"/>
    </row>
    <row r="7817" spans="1:11">
      <c r="A7817" s="760"/>
      <c r="B7817" s="760"/>
      <c r="C7817" s="760"/>
      <c r="D7817" s="760"/>
      <c r="E7817" s="760"/>
      <c r="F7817" s="760"/>
      <c r="G7817" s="760"/>
      <c r="H7817" s="760"/>
      <c r="I7817" s="760"/>
      <c r="J7817" s="760"/>
      <c r="K7817" s="760"/>
    </row>
    <row r="7818" spans="1:11">
      <c r="A7818" s="760"/>
      <c r="B7818" s="760"/>
      <c r="C7818" s="760"/>
      <c r="D7818" s="760"/>
      <c r="E7818" s="760"/>
      <c r="F7818" s="760"/>
      <c r="G7818" s="760"/>
      <c r="H7818" s="760"/>
      <c r="I7818" s="760"/>
      <c r="J7818" s="760"/>
      <c r="K7818" s="760"/>
    </row>
    <row r="7819" spans="1:11">
      <c r="A7819" s="760"/>
      <c r="B7819" s="760"/>
      <c r="C7819" s="760"/>
      <c r="D7819" s="760"/>
      <c r="E7819" s="760"/>
      <c r="F7819" s="760"/>
      <c r="G7819" s="760"/>
      <c r="H7819" s="760"/>
      <c r="I7819" s="760"/>
      <c r="J7819" s="760"/>
      <c r="K7819" s="760"/>
    </row>
    <row r="7820" spans="1:11">
      <c r="A7820" s="760"/>
      <c r="B7820" s="760"/>
      <c r="C7820" s="760"/>
      <c r="D7820" s="760"/>
      <c r="E7820" s="760"/>
      <c r="F7820" s="760"/>
      <c r="G7820" s="760"/>
      <c r="H7820" s="760"/>
      <c r="I7820" s="760"/>
      <c r="J7820" s="760"/>
      <c r="K7820" s="760"/>
    </row>
    <row r="7821" spans="1:11">
      <c r="A7821" s="760"/>
      <c r="B7821" s="760"/>
      <c r="C7821" s="760"/>
      <c r="D7821" s="760"/>
      <c r="E7821" s="760"/>
      <c r="F7821" s="760"/>
      <c r="G7821" s="760"/>
      <c r="H7821" s="760"/>
      <c r="I7821" s="760"/>
      <c r="J7821" s="760"/>
      <c r="K7821" s="760"/>
    </row>
    <row r="7822" spans="1:11">
      <c r="A7822" s="760"/>
      <c r="B7822" s="760"/>
      <c r="C7822" s="760"/>
      <c r="D7822" s="760"/>
      <c r="E7822" s="760"/>
      <c r="F7822" s="760"/>
      <c r="G7822" s="760"/>
      <c r="H7822" s="760"/>
      <c r="I7822" s="760"/>
      <c r="J7822" s="760"/>
      <c r="K7822" s="760"/>
    </row>
    <row r="7823" spans="1:11">
      <c r="A7823" s="760"/>
      <c r="B7823" s="760"/>
      <c r="C7823" s="760"/>
      <c r="D7823" s="760"/>
      <c r="E7823" s="760"/>
      <c r="F7823" s="760"/>
      <c r="G7823" s="760"/>
      <c r="H7823" s="760"/>
      <c r="I7823" s="760"/>
      <c r="J7823" s="760"/>
      <c r="K7823" s="760"/>
    </row>
    <row r="7824" spans="1:11">
      <c r="A7824" s="760"/>
      <c r="B7824" s="760"/>
      <c r="C7824" s="760"/>
      <c r="D7824" s="760"/>
      <c r="E7824" s="760"/>
      <c r="F7824" s="760"/>
      <c r="G7824" s="760"/>
      <c r="H7824" s="760"/>
      <c r="I7824" s="760"/>
      <c r="J7824" s="760"/>
      <c r="K7824" s="760"/>
    </row>
    <row r="7825" spans="1:11">
      <c r="A7825" s="760"/>
      <c r="B7825" s="760"/>
      <c r="C7825" s="760"/>
      <c r="D7825" s="760"/>
      <c r="E7825" s="760"/>
      <c r="F7825" s="760"/>
      <c r="G7825" s="760"/>
      <c r="H7825" s="760"/>
      <c r="I7825" s="760"/>
      <c r="J7825" s="760"/>
      <c r="K7825" s="760"/>
    </row>
    <row r="7826" spans="1:11">
      <c r="A7826" s="760"/>
      <c r="B7826" s="760"/>
      <c r="C7826" s="760"/>
      <c r="D7826" s="760"/>
      <c r="E7826" s="760"/>
      <c r="F7826" s="760"/>
      <c r="G7826" s="760"/>
      <c r="H7826" s="760"/>
      <c r="I7826" s="760"/>
      <c r="J7826" s="760"/>
      <c r="K7826" s="760"/>
    </row>
    <row r="7827" spans="1:11">
      <c r="A7827" s="760"/>
      <c r="B7827" s="760"/>
      <c r="C7827" s="760"/>
      <c r="D7827" s="760"/>
      <c r="E7827" s="760"/>
      <c r="F7827" s="760"/>
      <c r="G7827" s="760"/>
      <c r="H7827" s="760"/>
      <c r="I7827" s="760"/>
      <c r="J7827" s="760"/>
      <c r="K7827" s="760"/>
    </row>
    <row r="7828" spans="1:11">
      <c r="A7828" s="760"/>
      <c r="B7828" s="760"/>
      <c r="C7828" s="760"/>
      <c r="D7828" s="760"/>
      <c r="E7828" s="760"/>
      <c r="F7828" s="760"/>
      <c r="G7828" s="760"/>
      <c r="H7828" s="760"/>
      <c r="I7828" s="760"/>
      <c r="J7828" s="760"/>
      <c r="K7828" s="760"/>
    </row>
    <row r="7829" spans="1:11">
      <c r="A7829" s="760"/>
      <c r="B7829" s="760"/>
      <c r="C7829" s="760"/>
      <c r="D7829" s="760"/>
      <c r="E7829" s="760"/>
      <c r="F7829" s="760"/>
      <c r="G7829" s="760"/>
      <c r="H7829" s="760"/>
      <c r="I7829" s="760"/>
      <c r="J7829" s="760"/>
      <c r="K7829" s="760"/>
    </row>
    <row r="7830" spans="1:11">
      <c r="A7830" s="760"/>
      <c r="B7830" s="760"/>
      <c r="C7830" s="760"/>
      <c r="D7830" s="760"/>
      <c r="E7830" s="760"/>
      <c r="F7830" s="760"/>
      <c r="G7830" s="760"/>
      <c r="H7830" s="760"/>
      <c r="I7830" s="760"/>
      <c r="J7830" s="760"/>
      <c r="K7830" s="760"/>
    </row>
    <row r="7831" spans="1:11">
      <c r="A7831" s="760"/>
      <c r="B7831" s="760"/>
      <c r="C7831" s="760"/>
      <c r="D7831" s="760"/>
      <c r="E7831" s="760"/>
      <c r="F7831" s="760"/>
      <c r="G7831" s="760"/>
      <c r="H7831" s="760"/>
      <c r="I7831" s="760"/>
      <c r="J7831" s="760"/>
      <c r="K7831" s="760"/>
    </row>
    <row r="7832" spans="1:11">
      <c r="A7832" s="760"/>
      <c r="B7832" s="760"/>
      <c r="C7832" s="760"/>
      <c r="D7832" s="760"/>
      <c r="E7832" s="760"/>
      <c r="F7832" s="760"/>
      <c r="G7832" s="760"/>
      <c r="H7832" s="760"/>
      <c r="I7832" s="760"/>
      <c r="J7832" s="760"/>
      <c r="K7832" s="760"/>
    </row>
    <row r="7833" spans="1:11">
      <c r="A7833" s="760"/>
      <c r="B7833" s="760"/>
      <c r="C7833" s="760"/>
      <c r="D7833" s="760"/>
      <c r="E7833" s="760"/>
      <c r="F7833" s="760"/>
      <c r="G7833" s="760"/>
      <c r="H7833" s="760"/>
      <c r="I7833" s="760"/>
      <c r="J7833" s="760"/>
      <c r="K7833" s="760"/>
    </row>
    <row r="7834" spans="1:11">
      <c r="A7834" s="760"/>
      <c r="B7834" s="760"/>
      <c r="C7834" s="760"/>
      <c r="D7834" s="760"/>
      <c r="E7834" s="760"/>
      <c r="F7834" s="760"/>
      <c r="G7834" s="760"/>
      <c r="H7834" s="760"/>
      <c r="I7834" s="760"/>
      <c r="J7834" s="760"/>
      <c r="K7834" s="760"/>
    </row>
    <row r="7835" spans="1:11">
      <c r="A7835" s="760"/>
      <c r="B7835" s="760"/>
      <c r="C7835" s="760"/>
      <c r="D7835" s="760"/>
      <c r="E7835" s="760"/>
      <c r="F7835" s="760"/>
      <c r="G7835" s="760"/>
      <c r="H7835" s="760"/>
      <c r="I7835" s="760"/>
      <c r="J7835" s="760"/>
      <c r="K7835" s="760"/>
    </row>
    <row r="7836" spans="1:11">
      <c r="A7836" s="760"/>
      <c r="B7836" s="760"/>
      <c r="C7836" s="760"/>
      <c r="D7836" s="760"/>
      <c r="E7836" s="760"/>
      <c r="F7836" s="760"/>
      <c r="G7836" s="760"/>
      <c r="H7836" s="760"/>
      <c r="I7836" s="760"/>
      <c r="J7836" s="760"/>
      <c r="K7836" s="760"/>
    </row>
    <row r="7837" spans="1:11">
      <c r="A7837" s="760"/>
      <c r="B7837" s="760"/>
      <c r="C7837" s="760"/>
      <c r="D7837" s="760"/>
      <c r="E7837" s="760"/>
      <c r="F7837" s="760"/>
      <c r="G7837" s="760"/>
      <c r="H7837" s="760"/>
      <c r="I7837" s="760"/>
      <c r="J7837" s="760"/>
      <c r="K7837" s="760"/>
    </row>
    <row r="7838" spans="1:11">
      <c r="A7838" s="760"/>
      <c r="B7838" s="760"/>
      <c r="C7838" s="760"/>
      <c r="D7838" s="760"/>
      <c r="E7838" s="760"/>
      <c r="F7838" s="760"/>
      <c r="G7838" s="760"/>
      <c r="H7838" s="760"/>
      <c r="I7838" s="760"/>
      <c r="J7838" s="760"/>
      <c r="K7838" s="760"/>
    </row>
    <row r="7839" spans="1:11">
      <c r="A7839" s="760"/>
      <c r="B7839" s="760"/>
      <c r="C7839" s="760"/>
      <c r="D7839" s="760"/>
      <c r="E7839" s="760"/>
      <c r="F7839" s="760"/>
      <c r="G7839" s="760"/>
      <c r="H7839" s="760"/>
      <c r="I7839" s="760"/>
      <c r="J7839" s="760"/>
      <c r="K7839" s="760"/>
    </row>
    <row r="7840" spans="1:11">
      <c r="A7840" s="760"/>
      <c r="B7840" s="760"/>
      <c r="C7840" s="760"/>
      <c r="D7840" s="760"/>
      <c r="E7840" s="760"/>
      <c r="F7840" s="760"/>
      <c r="G7840" s="760"/>
      <c r="H7840" s="760"/>
      <c r="I7840" s="760"/>
      <c r="J7840" s="760"/>
      <c r="K7840" s="760"/>
    </row>
    <row r="7841" spans="1:11">
      <c r="A7841" s="760"/>
      <c r="B7841" s="760"/>
      <c r="C7841" s="760"/>
      <c r="D7841" s="760"/>
      <c r="E7841" s="760"/>
      <c r="F7841" s="760"/>
      <c r="G7841" s="760"/>
      <c r="H7841" s="760"/>
      <c r="I7841" s="760"/>
      <c r="J7841" s="760"/>
      <c r="K7841" s="760"/>
    </row>
    <row r="7842" spans="1:11">
      <c r="A7842" s="760"/>
      <c r="B7842" s="760"/>
      <c r="C7842" s="760"/>
      <c r="D7842" s="760"/>
      <c r="E7842" s="760"/>
      <c r="F7842" s="760"/>
      <c r="G7842" s="760"/>
      <c r="H7842" s="760"/>
      <c r="I7842" s="760"/>
      <c r="J7842" s="760"/>
      <c r="K7842" s="760"/>
    </row>
    <row r="7843" spans="1:11">
      <c r="A7843" s="760"/>
      <c r="B7843" s="760"/>
      <c r="C7843" s="760"/>
      <c r="D7843" s="760"/>
      <c r="E7843" s="760"/>
      <c r="F7843" s="760"/>
      <c r="G7843" s="760"/>
      <c r="H7843" s="760"/>
      <c r="I7843" s="760"/>
      <c r="J7843" s="760"/>
      <c r="K7843" s="760"/>
    </row>
    <row r="7844" spans="1:11">
      <c r="A7844" s="760"/>
      <c r="B7844" s="760"/>
      <c r="C7844" s="760"/>
      <c r="D7844" s="760"/>
      <c r="E7844" s="760"/>
      <c r="F7844" s="760"/>
      <c r="G7844" s="760"/>
      <c r="H7844" s="760"/>
      <c r="I7844" s="760"/>
      <c r="J7844" s="760"/>
      <c r="K7844" s="760"/>
    </row>
    <row r="7845" spans="1:11">
      <c r="A7845" s="760"/>
      <c r="B7845" s="760"/>
      <c r="C7845" s="760"/>
      <c r="D7845" s="760"/>
      <c r="E7845" s="760"/>
      <c r="F7845" s="760"/>
      <c r="G7845" s="760"/>
      <c r="H7845" s="760"/>
      <c r="I7845" s="760"/>
      <c r="J7845" s="760"/>
      <c r="K7845" s="760"/>
    </row>
    <row r="7846" spans="1:11">
      <c r="A7846" s="760"/>
      <c r="B7846" s="760"/>
      <c r="C7846" s="760"/>
      <c r="D7846" s="760"/>
      <c r="E7846" s="760"/>
      <c r="F7846" s="760"/>
      <c r="G7846" s="760"/>
      <c r="H7846" s="760"/>
      <c r="I7846" s="760"/>
      <c r="J7846" s="760"/>
      <c r="K7846" s="760"/>
    </row>
    <row r="7847" spans="1:11">
      <c r="A7847" s="760"/>
      <c r="B7847" s="760"/>
      <c r="C7847" s="760"/>
      <c r="D7847" s="760"/>
      <c r="E7847" s="760"/>
      <c r="F7847" s="760"/>
      <c r="G7847" s="760"/>
      <c r="H7847" s="760"/>
      <c r="I7847" s="760"/>
      <c r="J7847" s="760"/>
      <c r="K7847" s="760"/>
    </row>
    <row r="7848" spans="1:11">
      <c r="A7848" s="760"/>
      <c r="B7848" s="760"/>
      <c r="C7848" s="760"/>
      <c r="D7848" s="760"/>
      <c r="E7848" s="760"/>
      <c r="F7848" s="760"/>
      <c r="G7848" s="760"/>
      <c r="H7848" s="760"/>
      <c r="I7848" s="760"/>
      <c r="J7848" s="760"/>
      <c r="K7848" s="760"/>
    </row>
    <row r="7849" spans="1:11">
      <c r="A7849" s="760"/>
      <c r="B7849" s="760"/>
      <c r="C7849" s="760"/>
      <c r="D7849" s="760"/>
      <c r="E7849" s="760"/>
      <c r="F7849" s="760"/>
      <c r="G7849" s="760"/>
      <c r="H7849" s="760"/>
      <c r="I7849" s="760"/>
      <c r="J7849" s="760"/>
      <c r="K7849" s="760"/>
    </row>
    <row r="7850" spans="1:11">
      <c r="A7850" s="760"/>
      <c r="B7850" s="760"/>
      <c r="C7850" s="760"/>
      <c r="D7850" s="760"/>
      <c r="E7850" s="760"/>
      <c r="F7850" s="760"/>
      <c r="G7850" s="760"/>
      <c r="H7850" s="760"/>
      <c r="I7850" s="760"/>
      <c r="J7850" s="760"/>
      <c r="K7850" s="760"/>
    </row>
    <row r="7851" spans="1:11">
      <c r="A7851" s="760"/>
      <c r="B7851" s="760"/>
      <c r="C7851" s="760"/>
      <c r="D7851" s="760"/>
      <c r="E7851" s="760"/>
      <c r="F7851" s="760"/>
      <c r="G7851" s="760"/>
      <c r="H7851" s="760"/>
      <c r="I7851" s="760"/>
      <c r="J7851" s="760"/>
      <c r="K7851" s="760"/>
    </row>
    <row r="7852" spans="1:11">
      <c r="A7852" s="760"/>
      <c r="B7852" s="760"/>
      <c r="C7852" s="760"/>
      <c r="D7852" s="760"/>
      <c r="E7852" s="760"/>
      <c r="F7852" s="760"/>
      <c r="G7852" s="760"/>
      <c r="H7852" s="760"/>
      <c r="I7852" s="760"/>
      <c r="J7852" s="760"/>
      <c r="K7852" s="760"/>
    </row>
    <row r="7853" spans="1:11">
      <c r="A7853" s="760"/>
      <c r="B7853" s="760"/>
      <c r="C7853" s="760"/>
      <c r="D7853" s="760"/>
      <c r="E7853" s="760"/>
      <c r="F7853" s="760"/>
      <c r="G7853" s="760"/>
      <c r="H7853" s="760"/>
      <c r="I7853" s="760"/>
      <c r="J7853" s="760"/>
      <c r="K7853" s="760"/>
    </row>
    <row r="7854" spans="1:11">
      <c r="A7854" s="760"/>
      <c r="B7854" s="760"/>
      <c r="C7854" s="760"/>
      <c r="D7854" s="760"/>
      <c r="E7854" s="760"/>
      <c r="F7854" s="760"/>
      <c r="G7854" s="760"/>
      <c r="H7854" s="760"/>
      <c r="I7854" s="760"/>
      <c r="J7854" s="760"/>
      <c r="K7854" s="760"/>
    </row>
    <row r="7855" spans="1:11">
      <c r="A7855" s="760"/>
      <c r="B7855" s="760"/>
      <c r="C7855" s="760"/>
      <c r="D7855" s="760"/>
      <c r="E7855" s="760"/>
      <c r="F7855" s="760"/>
      <c r="G7855" s="760"/>
      <c r="H7855" s="760"/>
      <c r="I7855" s="760"/>
      <c r="J7855" s="760"/>
      <c r="K7855" s="760"/>
    </row>
    <row r="7856" spans="1:11">
      <c r="A7856" s="760"/>
      <c r="B7856" s="760"/>
      <c r="C7856" s="760"/>
      <c r="D7856" s="760"/>
      <c r="E7856" s="760"/>
      <c r="F7856" s="760"/>
      <c r="G7856" s="760"/>
      <c r="H7856" s="760"/>
      <c r="I7856" s="760"/>
      <c r="J7856" s="760"/>
      <c r="K7856" s="760"/>
    </row>
    <row r="7857" spans="1:11">
      <c r="A7857" s="760"/>
      <c r="B7857" s="760"/>
      <c r="C7857" s="760"/>
      <c r="D7857" s="760"/>
      <c r="E7857" s="760"/>
      <c r="F7857" s="760"/>
      <c r="G7857" s="760"/>
      <c r="H7857" s="760"/>
      <c r="I7857" s="760"/>
      <c r="J7857" s="760"/>
      <c r="K7857" s="760"/>
    </row>
    <row r="7858" spans="1:11">
      <c r="A7858" s="760"/>
      <c r="B7858" s="760"/>
      <c r="C7858" s="760"/>
      <c r="D7858" s="760"/>
      <c r="E7858" s="760"/>
      <c r="F7858" s="760"/>
      <c r="G7858" s="760"/>
      <c r="H7858" s="760"/>
      <c r="I7858" s="760"/>
      <c r="J7858" s="760"/>
      <c r="K7858" s="760"/>
    </row>
    <row r="7859" spans="1:11">
      <c r="A7859" s="760"/>
      <c r="B7859" s="760"/>
      <c r="C7859" s="760"/>
      <c r="D7859" s="760"/>
      <c r="E7859" s="760"/>
      <c r="F7859" s="760"/>
      <c r="G7859" s="760"/>
      <c r="H7859" s="760"/>
      <c r="I7859" s="760"/>
      <c r="J7859" s="760"/>
      <c r="K7859" s="760"/>
    </row>
    <row r="7860" spans="1:11">
      <c r="A7860" s="760"/>
      <c r="B7860" s="760"/>
      <c r="C7860" s="760"/>
      <c r="D7860" s="760"/>
      <c r="E7860" s="760"/>
      <c r="F7860" s="760"/>
      <c r="G7860" s="760"/>
      <c r="H7860" s="760"/>
      <c r="I7860" s="760"/>
      <c r="J7860" s="760"/>
      <c r="K7860" s="760"/>
    </row>
    <row r="7861" spans="1:11">
      <c r="A7861" s="760"/>
      <c r="B7861" s="760"/>
      <c r="C7861" s="760"/>
      <c r="D7861" s="760"/>
      <c r="E7861" s="760"/>
      <c r="F7861" s="760"/>
      <c r="G7861" s="760"/>
      <c r="H7861" s="760"/>
      <c r="I7861" s="760"/>
      <c r="J7861" s="760"/>
      <c r="K7861" s="760"/>
    </row>
    <row r="7862" spans="1:11">
      <c r="A7862" s="760"/>
      <c r="B7862" s="760"/>
      <c r="C7862" s="760"/>
      <c r="D7862" s="760"/>
      <c r="E7862" s="760"/>
      <c r="F7862" s="760"/>
      <c r="G7862" s="760"/>
      <c r="H7862" s="760"/>
      <c r="I7862" s="760"/>
      <c r="J7862" s="760"/>
      <c r="K7862" s="760"/>
    </row>
    <row r="7863" spans="1:11">
      <c r="A7863" s="760"/>
      <c r="B7863" s="760"/>
      <c r="C7863" s="760"/>
      <c r="D7863" s="760"/>
      <c r="E7863" s="760"/>
      <c r="F7863" s="760"/>
      <c r="G7863" s="760"/>
      <c r="H7863" s="760"/>
      <c r="I7863" s="760"/>
      <c r="J7863" s="760"/>
      <c r="K7863" s="760"/>
    </row>
    <row r="7864" spans="1:11">
      <c r="A7864" s="760"/>
      <c r="B7864" s="760"/>
      <c r="C7864" s="760"/>
      <c r="D7864" s="760"/>
      <c r="E7864" s="760"/>
      <c r="F7864" s="760"/>
      <c r="G7864" s="760"/>
      <c r="H7864" s="760"/>
      <c r="I7864" s="760"/>
      <c r="J7864" s="760"/>
      <c r="K7864" s="760"/>
    </row>
    <row r="7865" spans="1:11">
      <c r="A7865" s="760"/>
      <c r="B7865" s="760"/>
      <c r="C7865" s="760"/>
      <c r="D7865" s="760"/>
      <c r="E7865" s="760"/>
      <c r="F7865" s="760"/>
      <c r="G7865" s="760"/>
      <c r="H7865" s="760"/>
      <c r="I7865" s="760"/>
      <c r="J7865" s="760"/>
      <c r="K7865" s="760"/>
    </row>
    <row r="7866" spans="1:11">
      <c r="A7866" s="760"/>
      <c r="B7866" s="760"/>
      <c r="C7866" s="760"/>
      <c r="D7866" s="760"/>
      <c r="E7866" s="760"/>
      <c r="F7866" s="760"/>
      <c r="G7866" s="760"/>
      <c r="H7866" s="760"/>
      <c r="I7866" s="760"/>
      <c r="J7866" s="760"/>
      <c r="K7866" s="760"/>
    </row>
    <row r="7867" spans="1:11">
      <c r="A7867" s="760"/>
      <c r="B7867" s="760"/>
      <c r="C7867" s="760"/>
      <c r="D7867" s="760"/>
      <c r="E7867" s="760"/>
      <c r="F7867" s="760"/>
      <c r="G7867" s="760"/>
      <c r="H7867" s="760"/>
      <c r="I7867" s="760"/>
      <c r="J7867" s="760"/>
      <c r="K7867" s="760"/>
    </row>
    <row r="7868" spans="1:11">
      <c r="A7868" s="760"/>
      <c r="B7868" s="760"/>
      <c r="C7868" s="760"/>
      <c r="D7868" s="760"/>
      <c r="E7868" s="760"/>
      <c r="F7868" s="760"/>
      <c r="G7868" s="760"/>
      <c r="H7868" s="760"/>
      <c r="I7868" s="760"/>
      <c r="J7868" s="760"/>
      <c r="K7868" s="760"/>
    </row>
    <row r="7869" spans="1:11">
      <c r="A7869" s="760"/>
      <c r="B7869" s="760"/>
      <c r="C7869" s="760"/>
      <c r="D7869" s="760"/>
      <c r="E7869" s="760"/>
      <c r="F7869" s="760"/>
      <c r="G7869" s="760"/>
      <c r="H7869" s="760"/>
      <c r="I7869" s="760"/>
      <c r="J7869" s="760"/>
      <c r="K7869" s="760"/>
    </row>
    <row r="7870" spans="1:11">
      <c r="A7870" s="760"/>
      <c r="B7870" s="760"/>
      <c r="C7870" s="760"/>
      <c r="D7870" s="760"/>
      <c r="E7870" s="760"/>
      <c r="F7870" s="760"/>
      <c r="G7870" s="760"/>
      <c r="H7870" s="760"/>
      <c r="I7870" s="760"/>
      <c r="J7870" s="760"/>
      <c r="K7870" s="760"/>
    </row>
    <row r="7871" spans="1:11">
      <c r="A7871" s="760"/>
      <c r="B7871" s="760"/>
      <c r="C7871" s="760"/>
      <c r="D7871" s="760"/>
      <c r="E7871" s="760"/>
      <c r="F7871" s="760"/>
      <c r="G7871" s="760"/>
      <c r="H7871" s="760"/>
      <c r="I7871" s="760"/>
      <c r="J7871" s="760"/>
      <c r="K7871" s="760"/>
    </row>
    <row r="7872" spans="1:11">
      <c r="A7872" s="760"/>
      <c r="B7872" s="760"/>
      <c r="C7872" s="760"/>
      <c r="D7872" s="760"/>
      <c r="E7872" s="760"/>
      <c r="F7872" s="760"/>
      <c r="G7872" s="760"/>
      <c r="H7872" s="760"/>
      <c r="I7872" s="760"/>
      <c r="J7872" s="760"/>
      <c r="K7872" s="760"/>
    </row>
    <row r="7873" spans="1:11">
      <c r="A7873" s="760"/>
      <c r="B7873" s="760"/>
      <c r="C7873" s="760"/>
      <c r="D7873" s="760"/>
      <c r="E7873" s="760"/>
      <c r="F7873" s="760"/>
      <c r="G7873" s="760"/>
      <c r="H7873" s="760"/>
      <c r="I7873" s="760"/>
      <c r="J7873" s="760"/>
      <c r="K7873" s="760"/>
    </row>
    <row r="7874" spans="1:11">
      <c r="A7874" s="760"/>
      <c r="B7874" s="760"/>
      <c r="C7874" s="760"/>
      <c r="D7874" s="760"/>
      <c r="E7874" s="760"/>
      <c r="F7874" s="760"/>
      <c r="G7874" s="760"/>
      <c r="H7874" s="760"/>
      <c r="I7874" s="760"/>
      <c r="J7874" s="760"/>
      <c r="K7874" s="760"/>
    </row>
    <row r="7875" spans="1:11">
      <c r="A7875" s="760"/>
      <c r="B7875" s="760"/>
      <c r="C7875" s="760"/>
      <c r="D7875" s="760"/>
      <c r="E7875" s="760"/>
      <c r="F7875" s="760"/>
      <c r="G7875" s="760"/>
      <c r="H7875" s="760"/>
      <c r="I7875" s="760"/>
      <c r="J7875" s="760"/>
      <c r="K7875" s="760"/>
    </row>
    <row r="7876" spans="1:11">
      <c r="A7876" s="760"/>
      <c r="B7876" s="760"/>
      <c r="C7876" s="760"/>
      <c r="D7876" s="760"/>
      <c r="E7876" s="760"/>
      <c r="F7876" s="760"/>
      <c r="G7876" s="760"/>
      <c r="H7876" s="760"/>
      <c r="I7876" s="760"/>
      <c r="J7876" s="760"/>
      <c r="K7876" s="760"/>
    </row>
    <row r="7877" spans="1:11">
      <c r="A7877" s="760"/>
      <c r="B7877" s="760"/>
      <c r="C7877" s="760"/>
      <c r="D7877" s="760"/>
      <c r="E7877" s="760"/>
      <c r="F7877" s="760"/>
      <c r="G7877" s="760"/>
      <c r="H7877" s="760"/>
      <c r="I7877" s="760"/>
      <c r="J7877" s="760"/>
      <c r="K7877" s="760"/>
    </row>
    <row r="7878" spans="1:11">
      <c r="A7878" s="760"/>
      <c r="B7878" s="760"/>
      <c r="C7878" s="760"/>
      <c r="D7878" s="760"/>
      <c r="E7878" s="760"/>
      <c r="F7878" s="760"/>
      <c r="G7878" s="760"/>
      <c r="H7878" s="760"/>
      <c r="I7878" s="760"/>
      <c r="J7878" s="760"/>
      <c r="K7878" s="760"/>
    </row>
    <row r="7879" spans="1:11">
      <c r="A7879" s="760"/>
      <c r="B7879" s="760"/>
      <c r="C7879" s="760"/>
      <c r="D7879" s="760"/>
      <c r="E7879" s="760"/>
      <c r="F7879" s="760"/>
      <c r="G7879" s="760"/>
      <c r="H7879" s="760"/>
      <c r="I7879" s="760"/>
      <c r="J7879" s="760"/>
      <c r="K7879" s="760"/>
    </row>
    <row r="7880" spans="1:11">
      <c r="A7880" s="760"/>
      <c r="B7880" s="760"/>
      <c r="C7880" s="760"/>
      <c r="D7880" s="760"/>
      <c r="E7880" s="760"/>
      <c r="F7880" s="760"/>
      <c r="G7880" s="760"/>
      <c r="H7880" s="760"/>
      <c r="I7880" s="760"/>
      <c r="J7880" s="760"/>
      <c r="K7880" s="760"/>
    </row>
    <row r="7881" spans="1:11">
      <c r="A7881" s="760"/>
      <c r="B7881" s="760"/>
      <c r="C7881" s="760"/>
      <c r="D7881" s="760"/>
      <c r="E7881" s="760"/>
      <c r="F7881" s="760"/>
      <c r="G7881" s="760"/>
      <c r="H7881" s="760"/>
      <c r="I7881" s="760"/>
      <c r="J7881" s="760"/>
      <c r="K7881" s="760"/>
    </row>
    <row r="7882" spans="1:11">
      <c r="A7882" s="760"/>
      <c r="B7882" s="760"/>
      <c r="C7882" s="760"/>
      <c r="D7882" s="760"/>
      <c r="E7882" s="760"/>
      <c r="F7882" s="760"/>
      <c r="G7882" s="760"/>
      <c r="H7882" s="760"/>
      <c r="I7882" s="760"/>
      <c r="J7882" s="760"/>
      <c r="K7882" s="760"/>
    </row>
    <row r="7883" spans="1:11">
      <c r="A7883" s="760"/>
      <c r="B7883" s="760"/>
      <c r="C7883" s="760"/>
      <c r="D7883" s="760"/>
      <c r="E7883" s="760"/>
      <c r="F7883" s="760"/>
      <c r="G7883" s="760"/>
      <c r="H7883" s="760"/>
      <c r="I7883" s="760"/>
      <c r="J7883" s="760"/>
      <c r="K7883" s="760"/>
    </row>
    <row r="7884" spans="1:11">
      <c r="A7884" s="760"/>
      <c r="B7884" s="760"/>
      <c r="C7884" s="760"/>
      <c r="D7884" s="760"/>
      <c r="E7884" s="760"/>
      <c r="F7884" s="760"/>
      <c r="G7884" s="760"/>
      <c r="H7884" s="760"/>
      <c r="I7884" s="760"/>
      <c r="J7884" s="760"/>
      <c r="K7884" s="760"/>
    </row>
    <row r="7885" spans="1:11">
      <c r="A7885" s="760"/>
      <c r="B7885" s="760"/>
      <c r="C7885" s="760"/>
      <c r="D7885" s="760"/>
      <c r="E7885" s="760"/>
      <c r="F7885" s="760"/>
      <c r="G7885" s="760"/>
      <c r="H7885" s="760"/>
      <c r="I7885" s="760"/>
      <c r="J7885" s="760"/>
      <c r="K7885" s="760"/>
    </row>
    <row r="7886" spans="1:11">
      <c r="A7886" s="760"/>
      <c r="B7886" s="760"/>
      <c r="C7886" s="760"/>
      <c r="D7886" s="760"/>
      <c r="E7886" s="760"/>
      <c r="F7886" s="760"/>
      <c r="G7886" s="760"/>
      <c r="H7886" s="760"/>
      <c r="I7886" s="760"/>
      <c r="J7886" s="760"/>
      <c r="K7886" s="760"/>
    </row>
    <row r="7887" spans="1:11">
      <c r="A7887" s="760"/>
      <c r="B7887" s="760"/>
      <c r="C7887" s="760"/>
      <c r="D7887" s="760"/>
      <c r="E7887" s="760"/>
      <c r="F7887" s="760"/>
      <c r="G7887" s="760"/>
      <c r="H7887" s="760"/>
      <c r="I7887" s="760"/>
      <c r="J7887" s="760"/>
      <c r="K7887" s="760"/>
    </row>
    <row r="7888" spans="1:11">
      <c r="A7888" s="760"/>
      <c r="B7888" s="760"/>
      <c r="C7888" s="760"/>
      <c r="D7888" s="760"/>
      <c r="E7888" s="760"/>
      <c r="F7888" s="760"/>
      <c r="G7888" s="760"/>
      <c r="H7888" s="760"/>
      <c r="I7888" s="760"/>
      <c r="J7888" s="760"/>
      <c r="K7888" s="760"/>
    </row>
    <row r="7889" spans="1:11">
      <c r="A7889" s="760"/>
      <c r="B7889" s="760"/>
      <c r="C7889" s="760"/>
      <c r="D7889" s="760"/>
      <c r="E7889" s="760"/>
      <c r="F7889" s="760"/>
      <c r="G7889" s="760"/>
      <c r="H7889" s="760"/>
      <c r="I7889" s="760"/>
      <c r="J7889" s="760"/>
      <c r="K7889" s="760"/>
    </row>
    <row r="7890" spans="1:11">
      <c r="A7890" s="760"/>
      <c r="B7890" s="760"/>
      <c r="C7890" s="760"/>
      <c r="D7890" s="760"/>
      <c r="E7890" s="760"/>
      <c r="F7890" s="760"/>
      <c r="G7890" s="760"/>
      <c r="H7890" s="760"/>
      <c r="I7890" s="760"/>
      <c r="J7890" s="760"/>
      <c r="K7890" s="760"/>
    </row>
    <row r="7891" spans="1:11">
      <c r="A7891" s="760"/>
      <c r="B7891" s="760"/>
      <c r="C7891" s="760"/>
      <c r="D7891" s="760"/>
      <c r="E7891" s="760"/>
      <c r="F7891" s="760"/>
      <c r="G7891" s="760"/>
      <c r="H7891" s="760"/>
      <c r="I7891" s="760"/>
      <c r="J7891" s="760"/>
      <c r="K7891" s="760"/>
    </row>
    <row r="7892" spans="1:11">
      <c r="A7892" s="760"/>
      <c r="B7892" s="760"/>
      <c r="C7892" s="760"/>
      <c r="D7892" s="760"/>
      <c r="E7892" s="760"/>
      <c r="F7892" s="760"/>
      <c r="G7892" s="760"/>
      <c r="H7892" s="760"/>
      <c r="I7892" s="760"/>
      <c r="J7892" s="760"/>
      <c r="K7892" s="760"/>
    </row>
    <row r="7893" spans="1:11">
      <c r="A7893" s="760"/>
      <c r="B7893" s="760"/>
      <c r="C7893" s="760"/>
      <c r="D7893" s="760"/>
      <c r="E7893" s="760"/>
      <c r="F7893" s="760"/>
      <c r="G7893" s="760"/>
      <c r="H7893" s="760"/>
      <c r="I7893" s="760"/>
      <c r="J7893" s="760"/>
      <c r="K7893" s="760"/>
    </row>
    <row r="7894" spans="1:11">
      <c r="A7894" s="760"/>
      <c r="B7894" s="760"/>
      <c r="C7894" s="760"/>
      <c r="D7894" s="760"/>
      <c r="E7894" s="760"/>
      <c r="F7894" s="760"/>
      <c r="G7894" s="760"/>
      <c r="H7894" s="760"/>
      <c r="I7894" s="760"/>
      <c r="J7894" s="760"/>
      <c r="K7894" s="760"/>
    </row>
    <row r="7895" spans="1:11">
      <c r="A7895" s="760"/>
      <c r="B7895" s="760"/>
      <c r="C7895" s="760"/>
      <c r="D7895" s="760"/>
      <c r="E7895" s="760"/>
      <c r="F7895" s="760"/>
      <c r="G7895" s="760"/>
      <c r="H7895" s="760"/>
      <c r="I7895" s="760"/>
      <c r="J7895" s="760"/>
      <c r="K7895" s="760"/>
    </row>
    <row r="7896" spans="1:11">
      <c r="A7896" s="760"/>
      <c r="B7896" s="760"/>
      <c r="C7896" s="760"/>
      <c r="D7896" s="760"/>
      <c r="E7896" s="760"/>
      <c r="F7896" s="760"/>
      <c r="G7896" s="760"/>
      <c r="H7896" s="760"/>
      <c r="I7896" s="760"/>
      <c r="J7896" s="760"/>
      <c r="K7896" s="760"/>
    </row>
    <row r="7897" spans="1:11">
      <c r="A7897" s="760"/>
      <c r="B7897" s="760"/>
      <c r="C7897" s="760"/>
      <c r="D7897" s="760"/>
      <c r="E7897" s="760"/>
      <c r="F7897" s="760"/>
      <c r="G7897" s="760"/>
      <c r="H7897" s="760"/>
      <c r="I7897" s="760"/>
      <c r="J7897" s="760"/>
      <c r="K7897" s="760"/>
    </row>
    <row r="7898" spans="1:11">
      <c r="A7898" s="760"/>
      <c r="B7898" s="760"/>
      <c r="C7898" s="760"/>
      <c r="D7898" s="760"/>
      <c r="E7898" s="760"/>
      <c r="F7898" s="760"/>
      <c r="G7898" s="760"/>
      <c r="H7898" s="760"/>
      <c r="I7898" s="760"/>
      <c r="J7898" s="760"/>
      <c r="K7898" s="760"/>
    </row>
    <row r="7899" spans="1:11">
      <c r="A7899" s="760"/>
      <c r="B7899" s="760"/>
      <c r="C7899" s="760"/>
      <c r="D7899" s="760"/>
      <c r="E7899" s="760"/>
      <c r="F7899" s="760"/>
      <c r="G7899" s="760"/>
      <c r="H7899" s="760"/>
      <c r="I7899" s="760"/>
      <c r="J7899" s="760"/>
      <c r="K7899" s="760"/>
    </row>
    <row r="7900" spans="1:11">
      <c r="A7900" s="760"/>
      <c r="B7900" s="760"/>
      <c r="C7900" s="760"/>
      <c r="D7900" s="760"/>
      <c r="E7900" s="760"/>
      <c r="F7900" s="760"/>
      <c r="G7900" s="760"/>
      <c r="H7900" s="760"/>
      <c r="I7900" s="760"/>
      <c r="J7900" s="760"/>
      <c r="K7900" s="760"/>
    </row>
    <row r="7901" spans="1:11">
      <c r="A7901" s="760"/>
      <c r="B7901" s="760"/>
      <c r="C7901" s="760"/>
      <c r="D7901" s="760"/>
      <c r="E7901" s="760"/>
      <c r="F7901" s="760"/>
      <c r="G7901" s="760"/>
      <c r="H7901" s="760"/>
      <c r="I7901" s="760"/>
      <c r="J7901" s="760"/>
      <c r="K7901" s="760"/>
    </row>
    <row r="7902" spans="1:11">
      <c r="A7902" s="760"/>
      <c r="B7902" s="760"/>
      <c r="C7902" s="760"/>
      <c r="D7902" s="760"/>
      <c r="E7902" s="760"/>
      <c r="F7902" s="760"/>
      <c r="G7902" s="760"/>
      <c r="H7902" s="760"/>
      <c r="I7902" s="760"/>
      <c r="J7902" s="760"/>
      <c r="K7902" s="760"/>
    </row>
    <row r="7903" spans="1:11">
      <c r="A7903" s="760"/>
      <c r="B7903" s="760"/>
      <c r="C7903" s="760"/>
      <c r="D7903" s="760"/>
      <c r="E7903" s="760"/>
      <c r="F7903" s="760"/>
      <c r="G7903" s="760"/>
      <c r="H7903" s="760"/>
      <c r="I7903" s="760"/>
      <c r="J7903" s="760"/>
      <c r="K7903" s="760"/>
    </row>
    <row r="7904" spans="1:11">
      <c r="A7904" s="760"/>
      <c r="B7904" s="760"/>
      <c r="C7904" s="760"/>
      <c r="D7904" s="760"/>
      <c r="E7904" s="760"/>
      <c r="F7904" s="760"/>
      <c r="G7904" s="760"/>
      <c r="H7904" s="760"/>
      <c r="I7904" s="760"/>
      <c r="J7904" s="760"/>
      <c r="K7904" s="760"/>
    </row>
    <row r="7905" spans="1:11">
      <c r="A7905" s="760"/>
      <c r="B7905" s="760"/>
      <c r="C7905" s="760"/>
      <c r="D7905" s="760"/>
      <c r="E7905" s="760"/>
      <c r="F7905" s="760"/>
      <c r="G7905" s="760"/>
      <c r="H7905" s="760"/>
      <c r="I7905" s="760"/>
      <c r="J7905" s="760"/>
      <c r="K7905" s="760"/>
    </row>
    <row r="7906" spans="1:11">
      <c r="A7906" s="760"/>
      <c r="B7906" s="760"/>
      <c r="C7906" s="760"/>
      <c r="D7906" s="760"/>
      <c r="E7906" s="760"/>
      <c r="F7906" s="760"/>
      <c r="G7906" s="760"/>
      <c r="H7906" s="760"/>
      <c r="I7906" s="760"/>
      <c r="J7906" s="760"/>
      <c r="K7906" s="760"/>
    </row>
    <row r="7907" spans="1:11">
      <c r="A7907" s="760"/>
      <c r="B7907" s="760"/>
      <c r="C7907" s="760"/>
      <c r="D7907" s="760"/>
      <c r="E7907" s="760"/>
      <c r="F7907" s="760"/>
      <c r="G7907" s="760"/>
      <c r="H7907" s="760"/>
      <c r="I7907" s="760"/>
      <c r="J7907" s="760"/>
      <c r="K7907" s="760"/>
    </row>
    <row r="7908" spans="1:11">
      <c r="A7908" s="760"/>
      <c r="B7908" s="760"/>
      <c r="C7908" s="760"/>
      <c r="D7908" s="760"/>
      <c r="E7908" s="760"/>
      <c r="F7908" s="760"/>
      <c r="G7908" s="760"/>
      <c r="H7908" s="760"/>
      <c r="I7908" s="760"/>
      <c r="J7908" s="760"/>
      <c r="K7908" s="760"/>
    </row>
    <row r="7909" spans="1:11">
      <c r="A7909" s="760"/>
      <c r="B7909" s="760"/>
      <c r="C7909" s="760"/>
      <c r="D7909" s="760"/>
      <c r="E7909" s="760"/>
      <c r="F7909" s="760"/>
      <c r="G7909" s="760"/>
      <c r="H7909" s="760"/>
      <c r="I7909" s="760"/>
      <c r="J7909" s="760"/>
      <c r="K7909" s="760"/>
    </row>
    <row r="7910" spans="1:11">
      <c r="A7910" s="760"/>
      <c r="B7910" s="760"/>
      <c r="C7910" s="760"/>
      <c r="D7910" s="760"/>
      <c r="E7910" s="760"/>
      <c r="F7910" s="760"/>
      <c r="G7910" s="760"/>
      <c r="H7910" s="760"/>
      <c r="I7910" s="760"/>
      <c r="J7910" s="760"/>
      <c r="K7910" s="760"/>
    </row>
    <row r="7911" spans="1:11">
      <c r="A7911" s="760"/>
      <c r="B7911" s="760"/>
      <c r="C7911" s="760"/>
      <c r="D7911" s="760"/>
      <c r="E7911" s="760"/>
      <c r="F7911" s="760"/>
      <c r="G7911" s="760"/>
      <c r="H7911" s="760"/>
      <c r="I7911" s="760"/>
      <c r="J7911" s="760"/>
      <c r="K7911" s="760"/>
    </row>
    <row r="7912" spans="1:11">
      <c r="A7912" s="760"/>
      <c r="B7912" s="760"/>
      <c r="C7912" s="760"/>
      <c r="D7912" s="760"/>
      <c r="E7912" s="760"/>
      <c r="F7912" s="760"/>
      <c r="G7912" s="760"/>
      <c r="H7912" s="760"/>
      <c r="I7912" s="760"/>
      <c r="J7912" s="760"/>
      <c r="K7912" s="760"/>
    </row>
    <row r="7913" spans="1:11">
      <c r="A7913" s="760"/>
      <c r="B7913" s="760"/>
      <c r="C7913" s="760"/>
      <c r="D7913" s="760"/>
      <c r="E7913" s="760"/>
      <c r="F7913" s="760"/>
      <c r="G7913" s="760"/>
      <c r="H7913" s="760"/>
      <c r="I7913" s="760"/>
      <c r="J7913" s="760"/>
      <c r="K7913" s="760"/>
    </row>
    <row r="7914" spans="1:11">
      <c r="A7914" s="760"/>
      <c r="B7914" s="760"/>
      <c r="C7914" s="760"/>
      <c r="D7914" s="760"/>
      <c r="E7914" s="760"/>
      <c r="F7914" s="760"/>
      <c r="G7914" s="760"/>
      <c r="H7914" s="760"/>
      <c r="I7914" s="760"/>
      <c r="J7914" s="760"/>
      <c r="K7914" s="760"/>
    </row>
    <row r="7915" spans="1:11">
      <c r="A7915" s="760"/>
      <c r="B7915" s="760"/>
      <c r="C7915" s="760"/>
      <c r="D7915" s="760"/>
      <c r="E7915" s="760"/>
      <c r="F7915" s="760"/>
      <c r="G7915" s="760"/>
      <c r="H7915" s="760"/>
      <c r="I7915" s="760"/>
      <c r="J7915" s="760"/>
      <c r="K7915" s="760"/>
    </row>
    <row r="7916" spans="1:11">
      <c r="A7916" s="760"/>
      <c r="B7916" s="760"/>
      <c r="C7916" s="760"/>
      <c r="D7916" s="760"/>
      <c r="E7916" s="760"/>
      <c r="F7916" s="760"/>
      <c r="G7916" s="760"/>
      <c r="H7916" s="760"/>
      <c r="I7916" s="760"/>
      <c r="J7916" s="760"/>
      <c r="K7916" s="760"/>
    </row>
    <row r="7917" spans="1:11">
      <c r="A7917" s="760"/>
      <c r="B7917" s="760"/>
      <c r="C7917" s="760"/>
      <c r="D7917" s="760"/>
      <c r="E7917" s="760"/>
      <c r="F7917" s="760"/>
      <c r="G7917" s="760"/>
      <c r="H7917" s="760"/>
      <c r="I7917" s="760"/>
      <c r="J7917" s="760"/>
      <c r="K7917" s="760"/>
    </row>
    <row r="7918" spans="1:11">
      <c r="A7918" s="760"/>
      <c r="B7918" s="760"/>
      <c r="C7918" s="760"/>
      <c r="D7918" s="760"/>
      <c r="E7918" s="760"/>
      <c r="F7918" s="760"/>
      <c r="G7918" s="760"/>
      <c r="H7918" s="760"/>
      <c r="I7918" s="760"/>
      <c r="J7918" s="760"/>
      <c r="K7918" s="760"/>
    </row>
    <row r="7919" spans="1:11">
      <c r="A7919" s="760"/>
      <c r="B7919" s="760"/>
      <c r="C7919" s="760"/>
      <c r="D7919" s="760"/>
      <c r="E7919" s="760"/>
      <c r="F7919" s="760"/>
      <c r="G7919" s="760"/>
      <c r="H7919" s="760"/>
      <c r="I7919" s="760"/>
      <c r="J7919" s="760"/>
      <c r="K7919" s="760"/>
    </row>
    <row r="7920" spans="1:11">
      <c r="A7920" s="760"/>
      <c r="B7920" s="760"/>
      <c r="C7920" s="760"/>
      <c r="D7920" s="760"/>
      <c r="E7920" s="760"/>
      <c r="F7920" s="760"/>
      <c r="G7920" s="760"/>
      <c r="H7920" s="760"/>
      <c r="I7920" s="760"/>
      <c r="J7920" s="760"/>
      <c r="K7920" s="760"/>
    </row>
    <row r="7921" spans="1:11">
      <c r="A7921" s="760"/>
      <c r="B7921" s="760"/>
      <c r="C7921" s="760"/>
      <c r="D7921" s="760"/>
      <c r="E7921" s="760"/>
      <c r="F7921" s="760"/>
      <c r="G7921" s="760"/>
      <c r="H7921" s="760"/>
      <c r="I7921" s="760"/>
      <c r="J7921" s="760"/>
      <c r="K7921" s="760"/>
    </row>
    <row r="7922" spans="1:11">
      <c r="A7922" s="760"/>
      <c r="B7922" s="760"/>
      <c r="C7922" s="760"/>
      <c r="D7922" s="760"/>
      <c r="E7922" s="760"/>
      <c r="F7922" s="760"/>
      <c r="G7922" s="760"/>
      <c r="H7922" s="760"/>
      <c r="I7922" s="760"/>
      <c r="J7922" s="760"/>
      <c r="K7922" s="760"/>
    </row>
    <row r="7923" spans="1:11">
      <c r="A7923" s="760"/>
      <c r="B7923" s="760"/>
      <c r="C7923" s="760"/>
      <c r="D7923" s="760"/>
      <c r="E7923" s="760"/>
      <c r="F7923" s="760"/>
      <c r="G7923" s="760"/>
      <c r="H7923" s="760"/>
      <c r="I7923" s="760"/>
      <c r="J7923" s="760"/>
      <c r="K7923" s="760"/>
    </row>
    <row r="7924" spans="1:11">
      <c r="A7924" s="760"/>
      <c r="B7924" s="760"/>
      <c r="C7924" s="760"/>
      <c r="D7924" s="760"/>
      <c r="E7924" s="760"/>
      <c r="F7924" s="760"/>
      <c r="G7924" s="760"/>
      <c r="H7924" s="760"/>
      <c r="I7924" s="760"/>
      <c r="J7924" s="760"/>
      <c r="K7924" s="760"/>
    </row>
    <row r="7925" spans="1:11">
      <c r="A7925" s="760"/>
      <c r="B7925" s="760"/>
      <c r="C7925" s="760"/>
      <c r="D7925" s="760"/>
      <c r="E7925" s="760"/>
      <c r="F7925" s="760"/>
      <c r="G7925" s="760"/>
      <c r="H7925" s="760"/>
      <c r="I7925" s="760"/>
      <c r="J7925" s="760"/>
      <c r="K7925" s="760"/>
    </row>
    <row r="7926" spans="1:11">
      <c r="A7926" s="760"/>
      <c r="B7926" s="760"/>
      <c r="C7926" s="760"/>
      <c r="D7926" s="760"/>
      <c r="E7926" s="760"/>
      <c r="F7926" s="760"/>
      <c r="G7926" s="760"/>
      <c r="H7926" s="760"/>
      <c r="I7926" s="760"/>
      <c r="J7926" s="760"/>
      <c r="K7926" s="760"/>
    </row>
    <row r="7927" spans="1:11">
      <c r="A7927" s="760"/>
      <c r="B7927" s="760"/>
      <c r="C7927" s="760"/>
      <c r="D7927" s="760"/>
      <c r="E7927" s="760"/>
      <c r="F7927" s="760"/>
      <c r="G7927" s="760"/>
      <c r="H7927" s="760"/>
      <c r="I7927" s="760"/>
      <c r="J7927" s="760"/>
      <c r="K7927" s="760"/>
    </row>
    <row r="7928" spans="1:11">
      <c r="A7928" s="760"/>
      <c r="B7928" s="760"/>
      <c r="C7928" s="760"/>
      <c r="D7928" s="760"/>
      <c r="E7928" s="760"/>
      <c r="F7928" s="760"/>
      <c r="G7928" s="760"/>
      <c r="H7928" s="760"/>
      <c r="I7928" s="760"/>
      <c r="J7928" s="760"/>
      <c r="K7928" s="760"/>
    </row>
    <row r="7929" spans="1:11">
      <c r="A7929" s="760"/>
      <c r="B7929" s="760"/>
      <c r="C7929" s="760"/>
      <c r="D7929" s="760"/>
      <c r="E7929" s="760"/>
      <c r="F7929" s="760"/>
      <c r="G7929" s="760"/>
      <c r="H7929" s="760"/>
      <c r="I7929" s="760"/>
      <c r="J7929" s="760"/>
      <c r="K7929" s="760"/>
    </row>
    <row r="7930" spans="1:11">
      <c r="A7930" s="760"/>
      <c r="B7930" s="760"/>
      <c r="C7930" s="760"/>
      <c r="D7930" s="760"/>
      <c r="E7930" s="760"/>
      <c r="F7930" s="760"/>
      <c r="G7930" s="760"/>
      <c r="H7930" s="760"/>
      <c r="I7930" s="760"/>
      <c r="J7930" s="760"/>
      <c r="K7930" s="760"/>
    </row>
    <row r="7931" spans="1:11">
      <c r="A7931" s="760"/>
      <c r="B7931" s="760"/>
      <c r="C7931" s="760"/>
      <c r="D7931" s="760"/>
      <c r="E7931" s="760"/>
      <c r="F7931" s="760"/>
      <c r="G7931" s="760"/>
      <c r="H7931" s="760"/>
      <c r="I7931" s="760"/>
      <c r="J7931" s="760"/>
      <c r="K7931" s="760"/>
    </row>
    <row r="7932" spans="1:11">
      <c r="A7932" s="760"/>
      <c r="B7932" s="760"/>
      <c r="C7932" s="760"/>
      <c r="D7932" s="760"/>
      <c r="E7932" s="760"/>
      <c r="F7932" s="760"/>
      <c r="G7932" s="760"/>
      <c r="H7932" s="760"/>
      <c r="I7932" s="760"/>
      <c r="J7932" s="760"/>
      <c r="K7932" s="760"/>
    </row>
    <row r="7933" spans="1:11">
      <c r="A7933" s="760"/>
      <c r="B7933" s="760"/>
      <c r="C7933" s="760"/>
      <c r="D7933" s="760"/>
      <c r="E7933" s="760"/>
      <c r="F7933" s="760"/>
      <c r="G7933" s="760"/>
      <c r="H7933" s="760"/>
      <c r="I7933" s="760"/>
      <c r="J7933" s="760"/>
      <c r="K7933" s="760"/>
    </row>
    <row r="7934" spans="1:11">
      <c r="A7934" s="760"/>
      <c r="B7934" s="760"/>
      <c r="C7934" s="760"/>
      <c r="D7934" s="760"/>
      <c r="E7934" s="760"/>
      <c r="F7934" s="760"/>
      <c r="G7934" s="760"/>
      <c r="H7934" s="760"/>
      <c r="I7934" s="760"/>
      <c r="J7934" s="760"/>
      <c r="K7934" s="760"/>
    </row>
    <row r="7935" spans="1:11">
      <c r="A7935" s="760"/>
      <c r="B7935" s="760"/>
      <c r="C7935" s="760"/>
      <c r="D7935" s="760"/>
      <c r="E7935" s="760"/>
      <c r="F7935" s="760"/>
      <c r="G7935" s="760"/>
      <c r="H7935" s="760"/>
      <c r="I7935" s="760"/>
      <c r="J7935" s="760"/>
      <c r="K7935" s="760"/>
    </row>
    <row r="7936" spans="1:11">
      <c r="A7936" s="760"/>
      <c r="B7936" s="760"/>
      <c r="C7936" s="760"/>
      <c r="D7936" s="760"/>
      <c r="E7936" s="760"/>
      <c r="F7936" s="760"/>
      <c r="G7936" s="760"/>
      <c r="H7936" s="760"/>
      <c r="I7936" s="760"/>
      <c r="J7936" s="760"/>
      <c r="K7936" s="760"/>
    </row>
    <row r="7937" spans="1:11">
      <c r="A7937" s="760"/>
      <c r="B7937" s="760"/>
      <c r="C7937" s="760"/>
      <c r="D7937" s="760"/>
      <c r="E7937" s="760"/>
      <c r="F7937" s="760"/>
      <c r="G7937" s="760"/>
      <c r="H7937" s="760"/>
      <c r="I7937" s="760"/>
      <c r="J7937" s="760"/>
      <c r="K7937" s="760"/>
    </row>
    <row r="7938" spans="1:11">
      <c r="A7938" s="760"/>
      <c r="B7938" s="760"/>
      <c r="C7938" s="760"/>
      <c r="D7938" s="760"/>
      <c r="E7938" s="760"/>
      <c r="F7938" s="760"/>
      <c r="G7938" s="760"/>
      <c r="H7938" s="760"/>
      <c r="I7938" s="760"/>
      <c r="J7938" s="760"/>
      <c r="K7938" s="760"/>
    </row>
    <row r="7939" spans="1:11">
      <c r="A7939" s="760"/>
      <c r="B7939" s="760"/>
      <c r="C7939" s="760"/>
      <c r="D7939" s="760"/>
      <c r="E7939" s="760"/>
      <c r="F7939" s="760"/>
      <c r="G7939" s="760"/>
      <c r="H7939" s="760"/>
      <c r="I7939" s="760"/>
      <c r="J7939" s="760"/>
      <c r="K7939" s="760"/>
    </row>
    <row r="7940" spans="1:11">
      <c r="A7940" s="760"/>
      <c r="B7940" s="760"/>
      <c r="C7940" s="760"/>
      <c r="D7940" s="760"/>
      <c r="E7940" s="760"/>
      <c r="F7940" s="760"/>
      <c r="G7940" s="760"/>
      <c r="H7940" s="760"/>
      <c r="I7940" s="760"/>
      <c r="J7940" s="760"/>
      <c r="K7940" s="760"/>
    </row>
    <row r="7941" spans="1:11">
      <c r="A7941" s="760"/>
      <c r="B7941" s="760"/>
      <c r="C7941" s="760"/>
      <c r="D7941" s="760"/>
      <c r="E7941" s="760"/>
      <c r="F7941" s="760"/>
      <c r="G7941" s="760"/>
      <c r="H7941" s="760"/>
      <c r="I7941" s="760"/>
      <c r="J7941" s="760"/>
      <c r="K7941" s="760"/>
    </row>
    <row r="7942" spans="1:11">
      <c r="A7942" s="760"/>
      <c r="B7942" s="760"/>
      <c r="C7942" s="760"/>
      <c r="D7942" s="760"/>
      <c r="E7942" s="760"/>
      <c r="F7942" s="760"/>
      <c r="G7942" s="760"/>
      <c r="H7942" s="760"/>
      <c r="I7942" s="760"/>
      <c r="J7942" s="760"/>
      <c r="K7942" s="760"/>
    </row>
    <row r="7943" spans="1:11">
      <c r="A7943" s="760"/>
      <c r="B7943" s="760"/>
      <c r="C7943" s="760"/>
      <c r="D7943" s="760"/>
      <c r="E7943" s="760"/>
      <c r="F7943" s="760"/>
      <c r="G7943" s="760"/>
      <c r="H7943" s="760"/>
      <c r="I7943" s="760"/>
      <c r="J7943" s="760"/>
      <c r="K7943" s="760"/>
    </row>
    <row r="7944" spans="1:11">
      <c r="A7944" s="760"/>
      <c r="B7944" s="760"/>
      <c r="C7944" s="760"/>
      <c r="D7944" s="760"/>
      <c r="E7944" s="760"/>
      <c r="F7944" s="760"/>
      <c r="G7944" s="760"/>
      <c r="H7944" s="760"/>
      <c r="I7944" s="760"/>
      <c r="J7944" s="760"/>
      <c r="K7944" s="760"/>
    </row>
    <row r="7945" spans="1:11">
      <c r="A7945" s="760"/>
      <c r="B7945" s="760"/>
      <c r="C7945" s="760"/>
      <c r="D7945" s="760"/>
      <c r="E7945" s="760"/>
      <c r="F7945" s="760"/>
      <c r="G7945" s="760"/>
      <c r="H7945" s="760"/>
      <c r="I7945" s="760"/>
      <c r="J7945" s="760"/>
      <c r="K7945" s="760"/>
    </row>
    <row r="7946" spans="1:11">
      <c r="A7946" s="760"/>
      <c r="B7946" s="760"/>
      <c r="C7946" s="760"/>
      <c r="D7946" s="760"/>
      <c r="E7946" s="760"/>
      <c r="F7946" s="760"/>
      <c r="G7946" s="760"/>
      <c r="H7946" s="760"/>
      <c r="I7946" s="760"/>
      <c r="J7946" s="760"/>
      <c r="K7946" s="760"/>
    </row>
    <row r="7947" spans="1:11">
      <c r="A7947" s="760"/>
      <c r="B7947" s="760"/>
      <c r="C7947" s="760"/>
      <c r="D7947" s="760"/>
      <c r="E7947" s="760"/>
      <c r="F7947" s="760"/>
      <c r="G7947" s="760"/>
      <c r="H7947" s="760"/>
      <c r="I7947" s="760"/>
      <c r="J7947" s="760"/>
      <c r="K7947" s="760"/>
    </row>
    <row r="7948" spans="1:11">
      <c r="A7948" s="760"/>
      <c r="B7948" s="760"/>
      <c r="C7948" s="760"/>
      <c r="D7948" s="760"/>
      <c r="E7948" s="760"/>
      <c r="F7948" s="760"/>
      <c r="G7948" s="760"/>
      <c r="H7948" s="760"/>
      <c r="I7948" s="760"/>
      <c r="J7948" s="760"/>
      <c r="K7948" s="760"/>
    </row>
    <row r="7949" spans="1:11">
      <c r="A7949" s="760"/>
      <c r="B7949" s="760"/>
      <c r="C7949" s="760"/>
      <c r="D7949" s="760"/>
      <c r="E7949" s="760"/>
      <c r="F7949" s="760"/>
      <c r="G7949" s="760"/>
      <c r="H7949" s="760"/>
      <c r="I7949" s="760"/>
      <c r="J7949" s="760"/>
      <c r="K7949" s="760"/>
    </row>
    <row r="7950" spans="1:11">
      <c r="A7950" s="760"/>
      <c r="B7950" s="760"/>
      <c r="C7950" s="760"/>
      <c r="D7950" s="760"/>
      <c r="E7950" s="760"/>
      <c r="F7950" s="760"/>
      <c r="G7950" s="760"/>
      <c r="H7950" s="760"/>
      <c r="I7950" s="760"/>
      <c r="J7950" s="760"/>
      <c r="K7950" s="760"/>
    </row>
    <row r="7951" spans="1:11">
      <c r="A7951" s="760"/>
      <c r="B7951" s="760"/>
      <c r="C7951" s="760"/>
      <c r="D7951" s="760"/>
      <c r="E7951" s="760"/>
      <c r="F7951" s="760"/>
      <c r="G7951" s="760"/>
      <c r="H7951" s="760"/>
      <c r="I7951" s="760"/>
      <c r="J7951" s="760"/>
      <c r="K7951" s="760"/>
    </row>
    <row r="7952" spans="1:11">
      <c r="A7952" s="760"/>
      <c r="B7952" s="760"/>
      <c r="C7952" s="760"/>
      <c r="D7952" s="760"/>
      <c r="E7952" s="760"/>
      <c r="F7952" s="760"/>
      <c r="G7952" s="760"/>
      <c r="H7952" s="760"/>
      <c r="I7952" s="760"/>
      <c r="J7952" s="760"/>
      <c r="K7952" s="760"/>
    </row>
    <row r="7953" spans="1:11">
      <c r="A7953" s="760"/>
      <c r="B7953" s="760"/>
      <c r="C7953" s="760"/>
      <c r="D7953" s="760"/>
      <c r="E7953" s="760"/>
      <c r="F7953" s="760"/>
      <c r="G7953" s="760"/>
      <c r="H7953" s="760"/>
      <c r="I7953" s="760"/>
      <c r="J7953" s="760"/>
      <c r="K7953" s="760"/>
    </row>
    <row r="7954" spans="1:11">
      <c r="A7954" s="760"/>
      <c r="B7954" s="760"/>
      <c r="C7954" s="760"/>
      <c r="D7954" s="760"/>
      <c r="E7954" s="760"/>
      <c r="F7954" s="760"/>
      <c r="G7954" s="760"/>
      <c r="H7954" s="760"/>
      <c r="I7954" s="760"/>
      <c r="J7954" s="760"/>
      <c r="K7954" s="760"/>
    </row>
    <row r="7955" spans="1:11">
      <c r="A7955" s="760"/>
      <c r="B7955" s="760"/>
      <c r="C7955" s="760"/>
      <c r="D7955" s="760"/>
      <c r="E7955" s="760"/>
      <c r="F7955" s="760"/>
      <c r="G7955" s="760"/>
      <c r="H7955" s="760"/>
      <c r="I7955" s="760"/>
      <c r="J7955" s="760"/>
      <c r="K7955" s="760"/>
    </row>
    <row r="7956" spans="1:11">
      <c r="A7956" s="760"/>
      <c r="B7956" s="760"/>
      <c r="C7956" s="760"/>
      <c r="D7956" s="760"/>
      <c r="E7956" s="760"/>
      <c r="F7956" s="760"/>
      <c r="G7956" s="760"/>
      <c r="H7956" s="760"/>
      <c r="I7956" s="760"/>
      <c r="J7956" s="760"/>
      <c r="K7956" s="760"/>
    </row>
    <row r="7957" spans="1:11">
      <c r="A7957" s="760"/>
      <c r="B7957" s="760"/>
      <c r="C7957" s="760"/>
      <c r="D7957" s="760"/>
      <c r="E7957" s="760"/>
      <c r="F7957" s="760"/>
      <c r="G7957" s="760"/>
      <c r="H7957" s="760"/>
      <c r="I7957" s="760"/>
      <c r="J7957" s="760"/>
      <c r="K7957" s="760"/>
    </row>
    <row r="7958" spans="1:11">
      <c r="A7958" s="760"/>
      <c r="B7958" s="760"/>
      <c r="C7958" s="760"/>
      <c r="D7958" s="760"/>
      <c r="E7958" s="760"/>
      <c r="F7958" s="760"/>
      <c r="G7958" s="760"/>
      <c r="H7958" s="760"/>
      <c r="I7958" s="760"/>
      <c r="J7958" s="760"/>
      <c r="K7958" s="760"/>
    </row>
    <row r="7959" spans="1:11">
      <c r="A7959" s="760"/>
      <c r="B7959" s="760"/>
      <c r="C7959" s="760"/>
      <c r="D7959" s="760"/>
      <c r="E7959" s="760"/>
      <c r="F7959" s="760"/>
      <c r="G7959" s="760"/>
      <c r="H7959" s="760"/>
      <c r="I7959" s="760"/>
      <c r="J7959" s="760"/>
      <c r="K7959" s="760"/>
    </row>
    <row r="7960" spans="1:11">
      <c r="A7960" s="760"/>
      <c r="B7960" s="760"/>
      <c r="C7960" s="760"/>
      <c r="D7960" s="760"/>
      <c r="E7960" s="760"/>
      <c r="F7960" s="760"/>
      <c r="G7960" s="760"/>
      <c r="H7960" s="760"/>
      <c r="I7960" s="760"/>
      <c r="J7960" s="760"/>
      <c r="K7960" s="760"/>
    </row>
    <row r="7961" spans="1:11">
      <c r="A7961" s="760"/>
      <c r="B7961" s="760"/>
      <c r="C7961" s="760"/>
      <c r="D7961" s="760"/>
      <c r="E7961" s="760"/>
      <c r="F7961" s="760"/>
      <c r="G7961" s="760"/>
      <c r="H7961" s="760"/>
      <c r="I7961" s="760"/>
      <c r="J7961" s="760"/>
      <c r="K7961" s="760"/>
    </row>
    <row r="7962" spans="1:11">
      <c r="A7962" s="760"/>
      <c r="B7962" s="760"/>
      <c r="C7962" s="760"/>
      <c r="D7962" s="760"/>
      <c r="E7962" s="760"/>
      <c r="F7962" s="760"/>
      <c r="G7962" s="760"/>
      <c r="H7962" s="760"/>
      <c r="I7962" s="760"/>
      <c r="J7962" s="760"/>
      <c r="K7962" s="760"/>
    </row>
    <row r="7963" spans="1:11">
      <c r="A7963" s="760"/>
      <c r="B7963" s="760"/>
      <c r="C7963" s="760"/>
      <c r="D7963" s="760"/>
      <c r="E7963" s="760"/>
      <c r="F7963" s="760"/>
      <c r="G7963" s="760"/>
      <c r="H7963" s="760"/>
      <c r="I7963" s="760"/>
      <c r="J7963" s="760"/>
      <c r="K7963" s="760"/>
    </row>
    <row r="7964" spans="1:11">
      <c r="A7964" s="760"/>
      <c r="B7964" s="760"/>
      <c r="C7964" s="760"/>
      <c r="D7964" s="760"/>
      <c r="E7964" s="760"/>
      <c r="F7964" s="760"/>
      <c r="G7964" s="760"/>
      <c r="H7964" s="760"/>
      <c r="I7964" s="760"/>
      <c r="J7964" s="760"/>
      <c r="K7964" s="760"/>
    </row>
    <row r="7965" spans="1:11">
      <c r="A7965" s="760"/>
      <c r="B7965" s="760"/>
      <c r="C7965" s="760"/>
      <c r="D7965" s="760"/>
      <c r="E7965" s="760"/>
      <c r="F7965" s="760"/>
      <c r="G7965" s="760"/>
      <c r="H7965" s="760"/>
      <c r="I7965" s="760"/>
      <c r="J7965" s="760"/>
      <c r="K7965" s="760"/>
    </row>
    <row r="7966" spans="1:11">
      <c r="A7966" s="760"/>
      <c r="B7966" s="760"/>
      <c r="C7966" s="760"/>
      <c r="D7966" s="760"/>
      <c r="E7966" s="760"/>
      <c r="F7966" s="760"/>
      <c r="G7966" s="760"/>
      <c r="H7966" s="760"/>
      <c r="I7966" s="760"/>
      <c r="J7966" s="760"/>
      <c r="K7966" s="760"/>
    </row>
    <row r="7967" spans="1:11">
      <c r="A7967" s="760"/>
      <c r="B7967" s="760"/>
      <c r="C7967" s="760"/>
      <c r="D7967" s="760"/>
      <c r="E7967" s="760"/>
      <c r="F7967" s="760"/>
      <c r="G7967" s="760"/>
      <c r="H7967" s="760"/>
      <c r="I7967" s="760"/>
      <c r="J7967" s="760"/>
      <c r="K7967" s="760"/>
    </row>
    <row r="7968" spans="1:11">
      <c r="A7968" s="760"/>
      <c r="B7968" s="760"/>
      <c r="C7968" s="760"/>
      <c r="D7968" s="760"/>
      <c r="E7968" s="760"/>
      <c r="F7968" s="760"/>
      <c r="G7968" s="760"/>
      <c r="H7968" s="760"/>
      <c r="I7968" s="760"/>
      <c r="J7968" s="760"/>
      <c r="K7968" s="760"/>
    </row>
    <row r="7969" spans="1:11">
      <c r="A7969" s="760"/>
      <c r="B7969" s="760"/>
      <c r="C7969" s="760"/>
      <c r="D7969" s="760"/>
      <c r="E7969" s="760"/>
      <c r="F7969" s="760"/>
      <c r="G7969" s="760"/>
      <c r="H7969" s="760"/>
      <c r="I7969" s="760"/>
      <c r="J7969" s="760"/>
      <c r="K7969" s="760"/>
    </row>
    <row r="7970" spans="1:11">
      <c r="A7970" s="760"/>
      <c r="B7970" s="760"/>
      <c r="C7970" s="760"/>
      <c r="D7970" s="760"/>
      <c r="E7970" s="760"/>
      <c r="F7970" s="760"/>
      <c r="G7970" s="760"/>
      <c r="H7970" s="760"/>
      <c r="I7970" s="760"/>
      <c r="J7970" s="760"/>
      <c r="K7970" s="760"/>
    </row>
    <row r="7971" spans="1:11">
      <c r="A7971" s="760"/>
      <c r="B7971" s="760"/>
      <c r="C7971" s="760"/>
      <c r="D7971" s="760"/>
      <c r="E7971" s="760"/>
      <c r="F7971" s="760"/>
      <c r="G7971" s="760"/>
      <c r="H7971" s="760"/>
      <c r="I7971" s="760"/>
      <c r="J7971" s="760"/>
      <c r="K7971" s="760"/>
    </row>
    <row r="7972" spans="1:11">
      <c r="A7972" s="760"/>
      <c r="B7972" s="760"/>
      <c r="C7972" s="760"/>
      <c r="D7972" s="760"/>
      <c r="E7972" s="760"/>
      <c r="F7972" s="760"/>
      <c r="G7972" s="760"/>
      <c r="H7972" s="760"/>
      <c r="I7972" s="760"/>
      <c r="J7972" s="760"/>
      <c r="K7972" s="760"/>
    </row>
    <row r="7973" spans="1:11">
      <c r="A7973" s="760"/>
      <c r="B7973" s="760"/>
      <c r="C7973" s="760"/>
      <c r="D7973" s="760"/>
      <c r="E7973" s="760"/>
      <c r="F7973" s="760"/>
      <c r="G7973" s="760"/>
      <c r="H7973" s="760"/>
      <c r="I7973" s="760"/>
      <c r="J7973" s="760"/>
      <c r="K7973" s="760"/>
    </row>
    <row r="7974" spans="1:11">
      <c r="A7974" s="760"/>
      <c r="B7974" s="760"/>
      <c r="C7974" s="760"/>
      <c r="D7974" s="760"/>
      <c r="E7974" s="760"/>
      <c r="F7974" s="760"/>
      <c r="G7974" s="760"/>
      <c r="H7974" s="760"/>
      <c r="I7974" s="760"/>
      <c r="J7974" s="760"/>
      <c r="K7974" s="760"/>
    </row>
    <row r="7975" spans="1:11">
      <c r="A7975" s="760"/>
      <c r="B7975" s="760"/>
      <c r="C7975" s="760"/>
      <c r="D7975" s="760"/>
      <c r="E7975" s="760"/>
      <c r="F7975" s="760"/>
      <c r="G7975" s="760"/>
      <c r="H7975" s="760"/>
      <c r="I7975" s="760"/>
      <c r="J7975" s="760"/>
      <c r="K7975" s="760"/>
    </row>
    <row r="7976" spans="1:11">
      <c r="A7976" s="760"/>
      <c r="B7976" s="760"/>
      <c r="C7976" s="760"/>
      <c r="D7976" s="760"/>
      <c r="E7976" s="760"/>
      <c r="F7976" s="760"/>
      <c r="G7976" s="760"/>
      <c r="H7976" s="760"/>
      <c r="I7976" s="760"/>
      <c r="J7976" s="760"/>
      <c r="K7976" s="760"/>
    </row>
    <row r="7977" spans="1:11">
      <c r="A7977" s="760"/>
      <c r="B7977" s="760"/>
      <c r="C7977" s="760"/>
      <c r="D7977" s="760"/>
      <c r="E7977" s="760"/>
      <c r="F7977" s="760"/>
      <c r="G7977" s="760"/>
      <c r="H7977" s="760"/>
      <c r="I7977" s="760"/>
      <c r="J7977" s="760"/>
      <c r="K7977" s="760"/>
    </row>
    <row r="7978" spans="1:11">
      <c r="A7978" s="760"/>
      <c r="B7978" s="760"/>
      <c r="C7978" s="760"/>
      <c r="D7978" s="760"/>
      <c r="E7978" s="760"/>
      <c r="F7978" s="760"/>
      <c r="G7978" s="760"/>
      <c r="H7978" s="760"/>
      <c r="I7978" s="760"/>
      <c r="J7978" s="760"/>
      <c r="K7978" s="760"/>
    </row>
    <row r="7979" spans="1:11">
      <c r="A7979" s="760"/>
      <c r="B7979" s="760"/>
      <c r="C7979" s="760"/>
      <c r="D7979" s="760"/>
      <c r="E7979" s="760"/>
      <c r="F7979" s="760"/>
      <c r="G7979" s="760"/>
      <c r="H7979" s="760"/>
      <c r="I7979" s="760"/>
      <c r="J7979" s="760"/>
      <c r="K7979" s="760"/>
    </row>
    <row r="7980" spans="1:11">
      <c r="A7980" s="760"/>
      <c r="B7980" s="760"/>
      <c r="C7980" s="760"/>
      <c r="D7980" s="760"/>
      <c r="E7980" s="760"/>
      <c r="F7980" s="760"/>
      <c r="G7980" s="760"/>
      <c r="H7980" s="760"/>
      <c r="I7980" s="760"/>
      <c r="J7980" s="760"/>
      <c r="K7980" s="760"/>
    </row>
    <row r="7981" spans="1:11">
      <c r="A7981" s="760"/>
      <c r="B7981" s="760"/>
      <c r="C7981" s="760"/>
      <c r="D7981" s="760"/>
      <c r="E7981" s="760"/>
      <c r="F7981" s="760"/>
      <c r="G7981" s="760"/>
      <c r="H7981" s="760"/>
      <c r="I7981" s="760"/>
      <c r="J7981" s="760"/>
      <c r="K7981" s="760"/>
    </row>
    <row r="7982" spans="1:11">
      <c r="A7982" s="760"/>
      <c r="B7982" s="760"/>
      <c r="C7982" s="760"/>
      <c r="D7982" s="760"/>
      <c r="E7982" s="760"/>
      <c r="F7982" s="760"/>
      <c r="G7982" s="760"/>
      <c r="H7982" s="760"/>
      <c r="I7982" s="760"/>
      <c r="J7982" s="760"/>
      <c r="K7982" s="760"/>
    </row>
    <row r="7983" spans="1:11">
      <c r="A7983" s="760"/>
      <c r="B7983" s="760"/>
      <c r="C7983" s="760"/>
      <c r="D7983" s="760"/>
      <c r="E7983" s="760"/>
      <c r="F7983" s="760"/>
      <c r="G7983" s="760"/>
      <c r="H7983" s="760"/>
      <c r="I7983" s="760"/>
      <c r="J7983" s="760"/>
      <c r="K7983" s="760"/>
    </row>
    <row r="7984" spans="1:11">
      <c r="A7984" s="760"/>
      <c r="B7984" s="760"/>
      <c r="C7984" s="760"/>
      <c r="D7984" s="760"/>
      <c r="E7984" s="760"/>
      <c r="F7984" s="760"/>
      <c r="G7984" s="760"/>
      <c r="H7984" s="760"/>
      <c r="I7984" s="760"/>
      <c r="J7984" s="760"/>
      <c r="K7984" s="760"/>
    </row>
    <row r="7985" spans="1:11">
      <c r="A7985" s="760"/>
      <c r="B7985" s="760"/>
      <c r="C7985" s="760"/>
      <c r="D7985" s="760"/>
      <c r="E7985" s="760"/>
      <c r="F7985" s="760"/>
      <c r="G7985" s="760"/>
      <c r="H7985" s="760"/>
      <c r="I7985" s="760"/>
      <c r="J7985" s="760"/>
      <c r="K7985" s="760"/>
    </row>
    <row r="7986" spans="1:11">
      <c r="A7986" s="760"/>
      <c r="B7986" s="760"/>
      <c r="C7986" s="760"/>
      <c r="D7986" s="760"/>
      <c r="E7986" s="760"/>
      <c r="F7986" s="760"/>
      <c r="G7986" s="760"/>
      <c r="H7986" s="760"/>
      <c r="I7986" s="760"/>
      <c r="J7986" s="760"/>
      <c r="K7986" s="760"/>
    </row>
    <row r="7987" spans="1:11">
      <c r="A7987" s="760"/>
      <c r="B7987" s="760"/>
      <c r="C7987" s="760"/>
      <c r="D7987" s="760"/>
      <c r="E7987" s="760"/>
      <c r="F7987" s="760"/>
      <c r="G7987" s="760"/>
      <c r="H7987" s="760"/>
      <c r="I7987" s="760"/>
      <c r="J7987" s="760"/>
      <c r="K7987" s="760"/>
    </row>
    <row r="7988" spans="1:11">
      <c r="A7988" s="760"/>
      <c r="B7988" s="760"/>
      <c r="C7988" s="760"/>
      <c r="D7988" s="760"/>
      <c r="E7988" s="760"/>
      <c r="F7988" s="760"/>
      <c r="G7988" s="760"/>
      <c r="H7988" s="760"/>
      <c r="I7988" s="760"/>
      <c r="J7988" s="760"/>
      <c r="K7988" s="760"/>
    </row>
    <row r="7989" spans="1:11">
      <c r="A7989" s="760"/>
      <c r="B7989" s="760"/>
      <c r="C7989" s="760"/>
      <c r="D7989" s="760"/>
      <c r="E7989" s="760"/>
      <c r="F7989" s="760"/>
      <c r="G7989" s="760"/>
      <c r="H7989" s="760"/>
      <c r="I7989" s="760"/>
      <c r="J7989" s="760"/>
      <c r="K7989" s="760"/>
    </row>
    <row r="7990" spans="1:11">
      <c r="A7990" s="760"/>
      <c r="B7990" s="760"/>
      <c r="C7990" s="760"/>
      <c r="D7990" s="760"/>
      <c r="E7990" s="760"/>
      <c r="F7990" s="760"/>
      <c r="G7990" s="760"/>
      <c r="H7990" s="760"/>
      <c r="I7990" s="760"/>
      <c r="J7990" s="760"/>
      <c r="K7990" s="760"/>
    </row>
    <row r="7991" spans="1:11">
      <c r="A7991" s="760"/>
      <c r="B7991" s="760"/>
      <c r="C7991" s="760"/>
      <c r="D7991" s="760"/>
      <c r="E7991" s="760"/>
      <c r="F7991" s="760"/>
      <c r="G7991" s="760"/>
      <c r="H7991" s="760"/>
      <c r="I7991" s="760"/>
      <c r="J7991" s="760"/>
      <c r="K7991" s="760"/>
    </row>
    <row r="7992" spans="1:11">
      <c r="A7992" s="760"/>
      <c r="B7992" s="760"/>
      <c r="C7992" s="760"/>
      <c r="D7992" s="760"/>
      <c r="E7992" s="760"/>
      <c r="F7992" s="760"/>
      <c r="G7992" s="760"/>
      <c r="H7992" s="760"/>
      <c r="I7992" s="760"/>
      <c r="J7992" s="760"/>
      <c r="K7992" s="760"/>
    </row>
    <row r="7993" spans="1:11">
      <c r="A7993" s="760"/>
      <c r="B7993" s="760"/>
      <c r="C7993" s="760"/>
      <c r="D7993" s="760"/>
      <c r="E7993" s="760"/>
      <c r="F7993" s="760"/>
      <c r="G7993" s="760"/>
      <c r="H7993" s="760"/>
      <c r="I7993" s="760"/>
      <c r="J7993" s="760"/>
      <c r="K7993" s="760"/>
    </row>
    <row r="7994" spans="1:11">
      <c r="A7994" s="760"/>
      <c r="B7994" s="760"/>
      <c r="C7994" s="760"/>
      <c r="D7994" s="760"/>
      <c r="E7994" s="760"/>
      <c r="F7994" s="760"/>
      <c r="G7994" s="760"/>
      <c r="H7994" s="760"/>
      <c r="I7994" s="760"/>
      <c r="J7994" s="760"/>
      <c r="K7994" s="760"/>
    </row>
    <row r="7995" spans="1:11">
      <c r="A7995" s="760"/>
      <c r="B7995" s="760"/>
      <c r="C7995" s="760"/>
      <c r="D7995" s="760"/>
      <c r="E7995" s="760"/>
      <c r="F7995" s="760"/>
      <c r="G7995" s="760"/>
      <c r="H7995" s="760"/>
      <c r="I7995" s="760"/>
      <c r="J7995" s="760"/>
      <c r="K7995" s="760"/>
    </row>
    <row r="7996" spans="1:11">
      <c r="A7996" s="760"/>
      <c r="B7996" s="760"/>
      <c r="C7996" s="760"/>
      <c r="D7996" s="760"/>
      <c r="E7996" s="760"/>
      <c r="F7996" s="760"/>
      <c r="G7996" s="760"/>
      <c r="H7996" s="760"/>
      <c r="I7996" s="760"/>
      <c r="J7996" s="760"/>
      <c r="K7996" s="760"/>
    </row>
    <row r="7997" spans="1:11">
      <c r="A7997" s="760"/>
      <c r="B7997" s="760"/>
      <c r="C7997" s="760"/>
      <c r="D7997" s="760"/>
      <c r="E7997" s="760"/>
      <c r="F7997" s="760"/>
      <c r="G7997" s="760"/>
      <c r="H7997" s="760"/>
      <c r="I7997" s="760"/>
      <c r="J7997" s="760"/>
      <c r="K7997" s="760"/>
    </row>
    <row r="7998" spans="1:11">
      <c r="A7998" s="760"/>
      <c r="B7998" s="760"/>
      <c r="C7998" s="760"/>
      <c r="D7998" s="760"/>
      <c r="E7998" s="760"/>
      <c r="F7998" s="760"/>
      <c r="G7998" s="760"/>
      <c r="H7998" s="760"/>
      <c r="I7998" s="760"/>
      <c r="J7998" s="760"/>
      <c r="K7998" s="760"/>
    </row>
    <row r="7999" spans="1:11">
      <c r="A7999" s="760"/>
      <c r="B7999" s="760"/>
      <c r="C7999" s="760"/>
      <c r="D7999" s="760"/>
      <c r="E7999" s="760"/>
      <c r="F7999" s="760"/>
      <c r="G7999" s="760"/>
      <c r="H7999" s="760"/>
      <c r="I7999" s="760"/>
      <c r="J7999" s="760"/>
      <c r="K7999" s="760"/>
    </row>
    <row r="8000" spans="1:11">
      <c r="A8000" s="760"/>
      <c r="B8000" s="760"/>
      <c r="C8000" s="760"/>
      <c r="D8000" s="760"/>
      <c r="E8000" s="760"/>
      <c r="F8000" s="760"/>
      <c r="G8000" s="760"/>
      <c r="H8000" s="760"/>
      <c r="I8000" s="760"/>
      <c r="J8000" s="760"/>
      <c r="K8000" s="760"/>
    </row>
    <row r="8001" spans="1:11">
      <c r="A8001" s="760"/>
      <c r="B8001" s="760"/>
      <c r="C8001" s="760"/>
      <c r="D8001" s="760"/>
      <c r="E8001" s="760"/>
      <c r="F8001" s="760"/>
      <c r="G8001" s="760"/>
      <c r="H8001" s="760"/>
      <c r="I8001" s="760"/>
      <c r="J8001" s="760"/>
      <c r="K8001" s="760"/>
    </row>
    <row r="8002" spans="1:11">
      <c r="A8002" s="760"/>
      <c r="B8002" s="760"/>
      <c r="C8002" s="760"/>
      <c r="D8002" s="760"/>
      <c r="E8002" s="760"/>
      <c r="F8002" s="760"/>
      <c r="G8002" s="760"/>
      <c r="H8002" s="760"/>
      <c r="I8002" s="760"/>
      <c r="J8002" s="760"/>
      <c r="K8002" s="760"/>
    </row>
    <row r="8003" spans="1:11">
      <c r="A8003" s="760"/>
      <c r="B8003" s="760"/>
      <c r="C8003" s="760"/>
      <c r="D8003" s="760"/>
      <c r="E8003" s="760"/>
      <c r="F8003" s="760"/>
      <c r="G8003" s="760"/>
      <c r="H8003" s="760"/>
      <c r="I8003" s="760"/>
      <c r="J8003" s="760"/>
      <c r="K8003" s="760"/>
    </row>
    <row r="8004" spans="1:11">
      <c r="A8004" s="760"/>
      <c r="B8004" s="760"/>
      <c r="C8004" s="760"/>
      <c r="D8004" s="760"/>
      <c r="E8004" s="760"/>
      <c r="F8004" s="760"/>
      <c r="G8004" s="760"/>
      <c r="H8004" s="760"/>
      <c r="I8004" s="760"/>
      <c r="J8004" s="760"/>
      <c r="K8004" s="760"/>
    </row>
    <row r="8005" spans="1:11">
      <c r="A8005" s="760"/>
      <c r="B8005" s="760"/>
      <c r="C8005" s="760"/>
      <c r="D8005" s="760"/>
      <c r="E8005" s="760"/>
      <c r="F8005" s="760"/>
      <c r="G8005" s="760"/>
      <c r="H8005" s="760"/>
      <c r="I8005" s="760"/>
      <c r="J8005" s="760"/>
      <c r="K8005" s="760"/>
    </row>
    <row r="8006" spans="1:11">
      <c r="A8006" s="760"/>
      <c r="B8006" s="760"/>
      <c r="C8006" s="760"/>
      <c r="D8006" s="760"/>
      <c r="E8006" s="760"/>
      <c r="F8006" s="760"/>
      <c r="G8006" s="760"/>
      <c r="H8006" s="760"/>
      <c r="I8006" s="760"/>
      <c r="J8006" s="760"/>
      <c r="K8006" s="760"/>
    </row>
    <row r="8007" spans="1:11">
      <c r="A8007" s="760"/>
      <c r="B8007" s="760"/>
      <c r="C8007" s="760"/>
      <c r="D8007" s="760"/>
      <c r="E8007" s="760"/>
      <c r="F8007" s="760"/>
      <c r="G8007" s="760"/>
      <c r="H8007" s="760"/>
      <c r="I8007" s="760"/>
      <c r="J8007" s="760"/>
      <c r="K8007" s="760"/>
    </row>
    <row r="8008" spans="1:11">
      <c r="A8008" s="760"/>
      <c r="B8008" s="760"/>
      <c r="C8008" s="760"/>
      <c r="D8008" s="760"/>
      <c r="E8008" s="760"/>
      <c r="F8008" s="760"/>
      <c r="G8008" s="760"/>
      <c r="H8008" s="760"/>
      <c r="I8008" s="760"/>
      <c r="J8008" s="760"/>
      <c r="K8008" s="760"/>
    </row>
    <row r="8009" spans="1:11">
      <c r="A8009" s="760"/>
      <c r="B8009" s="760"/>
      <c r="C8009" s="760"/>
      <c r="D8009" s="760"/>
      <c r="E8009" s="760"/>
      <c r="F8009" s="760"/>
      <c r="G8009" s="760"/>
      <c r="H8009" s="760"/>
      <c r="I8009" s="760"/>
      <c r="J8009" s="760"/>
      <c r="K8009" s="760"/>
    </row>
    <row r="8010" spans="1:11">
      <c r="A8010" s="760"/>
      <c r="B8010" s="760"/>
      <c r="C8010" s="760"/>
      <c r="D8010" s="760"/>
      <c r="E8010" s="760"/>
      <c r="F8010" s="760"/>
      <c r="G8010" s="760"/>
      <c r="H8010" s="760"/>
      <c r="I8010" s="760"/>
      <c r="J8010" s="760"/>
      <c r="K8010" s="760"/>
    </row>
    <row r="8011" spans="1:11">
      <c r="A8011" s="760"/>
      <c r="B8011" s="760"/>
      <c r="C8011" s="760"/>
      <c r="D8011" s="760"/>
      <c r="E8011" s="760"/>
      <c r="F8011" s="760"/>
      <c r="G8011" s="760"/>
      <c r="H8011" s="760"/>
      <c r="I8011" s="760"/>
      <c r="J8011" s="760"/>
      <c r="K8011" s="760"/>
    </row>
    <row r="8012" spans="1:11">
      <c r="A8012" s="760"/>
      <c r="B8012" s="760"/>
      <c r="C8012" s="760"/>
      <c r="D8012" s="760"/>
      <c r="E8012" s="760"/>
      <c r="F8012" s="760"/>
      <c r="G8012" s="760"/>
      <c r="H8012" s="760"/>
      <c r="I8012" s="760"/>
      <c r="J8012" s="760"/>
      <c r="K8012" s="760"/>
    </row>
    <row r="8013" spans="1:11">
      <c r="A8013" s="760"/>
      <c r="B8013" s="760"/>
      <c r="C8013" s="760"/>
      <c r="D8013" s="760"/>
      <c r="E8013" s="760"/>
      <c r="F8013" s="760"/>
      <c r="G8013" s="760"/>
      <c r="H8013" s="760"/>
      <c r="I8013" s="760"/>
      <c r="J8013" s="760"/>
      <c r="K8013" s="760"/>
    </row>
    <row r="8014" spans="1:11">
      <c r="A8014" s="760"/>
      <c r="B8014" s="760"/>
      <c r="C8014" s="760"/>
      <c r="D8014" s="760"/>
      <c r="E8014" s="760"/>
      <c r="F8014" s="760"/>
      <c r="G8014" s="760"/>
      <c r="H8014" s="760"/>
      <c r="I8014" s="760"/>
      <c r="J8014" s="760"/>
      <c r="K8014" s="760"/>
    </row>
    <row r="8015" spans="1:11">
      <c r="A8015" s="760"/>
      <c r="B8015" s="760"/>
      <c r="C8015" s="760"/>
      <c r="D8015" s="760"/>
      <c r="E8015" s="760"/>
      <c r="F8015" s="760"/>
      <c r="G8015" s="760"/>
      <c r="H8015" s="760"/>
      <c r="I8015" s="760"/>
      <c r="J8015" s="760"/>
      <c r="K8015" s="760"/>
    </row>
    <row r="8016" spans="1:11">
      <c r="A8016" s="760"/>
      <c r="B8016" s="760"/>
      <c r="C8016" s="760"/>
      <c r="D8016" s="760"/>
      <c r="E8016" s="760"/>
      <c r="F8016" s="760"/>
      <c r="G8016" s="760"/>
      <c r="H8016" s="760"/>
      <c r="I8016" s="760"/>
      <c r="J8016" s="760"/>
      <c r="K8016" s="760"/>
    </row>
    <row r="8017" spans="1:11">
      <c r="A8017" s="760"/>
      <c r="B8017" s="760"/>
      <c r="C8017" s="760"/>
      <c r="D8017" s="760"/>
      <c r="E8017" s="760"/>
      <c r="F8017" s="760"/>
      <c r="G8017" s="760"/>
      <c r="H8017" s="760"/>
      <c r="I8017" s="760"/>
      <c r="J8017" s="760"/>
      <c r="K8017" s="760"/>
    </row>
    <row r="8018" spans="1:11">
      <c r="A8018" s="760"/>
      <c r="B8018" s="760"/>
      <c r="C8018" s="760"/>
      <c r="D8018" s="760"/>
      <c r="E8018" s="760"/>
      <c r="F8018" s="760"/>
      <c r="G8018" s="760"/>
      <c r="H8018" s="760"/>
      <c r="I8018" s="760"/>
      <c r="J8018" s="760"/>
      <c r="K8018" s="760"/>
    </row>
    <row r="8019" spans="1:11">
      <c r="A8019" s="760"/>
      <c r="B8019" s="760"/>
      <c r="C8019" s="760"/>
      <c r="D8019" s="760"/>
      <c r="E8019" s="760"/>
      <c r="F8019" s="760"/>
      <c r="G8019" s="760"/>
      <c r="H8019" s="760"/>
      <c r="I8019" s="760"/>
      <c r="J8019" s="760"/>
      <c r="K8019" s="760"/>
    </row>
    <row r="8020" spans="1:11">
      <c r="A8020" s="760"/>
      <c r="B8020" s="760"/>
      <c r="C8020" s="760"/>
      <c r="D8020" s="760"/>
      <c r="E8020" s="760"/>
      <c r="F8020" s="760"/>
      <c r="G8020" s="760"/>
      <c r="H8020" s="760"/>
      <c r="I8020" s="760"/>
      <c r="J8020" s="760"/>
      <c r="K8020" s="760"/>
    </row>
    <row r="8021" spans="1:11">
      <c r="A8021" s="760"/>
      <c r="B8021" s="760"/>
      <c r="C8021" s="760"/>
      <c r="D8021" s="760"/>
      <c r="E8021" s="760"/>
      <c r="F8021" s="760"/>
      <c r="G8021" s="760"/>
      <c r="H8021" s="760"/>
      <c r="I8021" s="760"/>
      <c r="J8021" s="760"/>
      <c r="K8021" s="760"/>
    </row>
    <row r="8022" spans="1:11">
      <c r="A8022" s="760"/>
      <c r="B8022" s="760"/>
      <c r="C8022" s="760"/>
      <c r="D8022" s="760"/>
      <c r="E8022" s="760"/>
      <c r="F8022" s="760"/>
      <c r="G8022" s="760"/>
      <c r="H8022" s="760"/>
      <c r="I8022" s="760"/>
      <c r="J8022" s="760"/>
      <c r="K8022" s="760"/>
    </row>
    <row r="8023" spans="1:11">
      <c r="A8023" s="760"/>
      <c r="B8023" s="760"/>
      <c r="C8023" s="760"/>
      <c r="D8023" s="760"/>
      <c r="E8023" s="760"/>
      <c r="F8023" s="760"/>
      <c r="G8023" s="760"/>
      <c r="H8023" s="760"/>
      <c r="I8023" s="760"/>
      <c r="J8023" s="760"/>
      <c r="K8023" s="760"/>
    </row>
    <row r="8024" spans="1:11">
      <c r="A8024" s="760"/>
      <c r="B8024" s="760"/>
      <c r="C8024" s="760"/>
      <c r="D8024" s="760"/>
      <c r="E8024" s="760"/>
      <c r="F8024" s="760"/>
      <c r="G8024" s="760"/>
      <c r="H8024" s="760"/>
      <c r="I8024" s="760"/>
      <c r="J8024" s="760"/>
      <c r="K8024" s="760"/>
    </row>
    <row r="8025" spans="1:11">
      <c r="A8025" s="760"/>
      <c r="B8025" s="760"/>
      <c r="C8025" s="760"/>
      <c r="D8025" s="760"/>
      <c r="E8025" s="760"/>
      <c r="F8025" s="760"/>
      <c r="G8025" s="760"/>
      <c r="H8025" s="760"/>
      <c r="I8025" s="760"/>
      <c r="J8025" s="760"/>
      <c r="K8025" s="760"/>
    </row>
    <row r="8026" spans="1:11">
      <c r="A8026" s="760"/>
      <c r="B8026" s="760"/>
      <c r="C8026" s="760"/>
      <c r="D8026" s="760"/>
      <c r="E8026" s="760"/>
      <c r="F8026" s="760"/>
      <c r="G8026" s="760"/>
      <c r="H8026" s="760"/>
      <c r="I8026" s="760"/>
      <c r="J8026" s="760"/>
      <c r="K8026" s="760"/>
    </row>
    <row r="8027" spans="1:11">
      <c r="A8027" s="760"/>
      <c r="B8027" s="760"/>
      <c r="C8027" s="760"/>
      <c r="D8027" s="760"/>
      <c r="E8027" s="760"/>
      <c r="F8027" s="760"/>
      <c r="G8027" s="760"/>
      <c r="H8027" s="760"/>
      <c r="I8027" s="760"/>
      <c r="J8027" s="760"/>
      <c r="K8027" s="760"/>
    </row>
    <row r="8028" spans="1:11">
      <c r="A8028" s="760"/>
      <c r="B8028" s="760"/>
      <c r="C8028" s="760"/>
      <c r="D8028" s="760"/>
      <c r="E8028" s="760"/>
      <c r="F8028" s="760"/>
      <c r="G8028" s="760"/>
      <c r="H8028" s="760"/>
      <c r="I8028" s="760"/>
      <c r="J8028" s="760"/>
      <c r="K8028" s="760"/>
    </row>
    <row r="8029" spans="1:11">
      <c r="A8029" s="760"/>
      <c r="B8029" s="760"/>
      <c r="C8029" s="760"/>
      <c r="D8029" s="760"/>
      <c r="E8029" s="760"/>
      <c r="F8029" s="760"/>
      <c r="G8029" s="760"/>
      <c r="H8029" s="760"/>
      <c r="I8029" s="760"/>
      <c r="J8029" s="760"/>
      <c r="K8029" s="760"/>
    </row>
    <row r="8030" spans="1:11">
      <c r="A8030" s="760"/>
      <c r="B8030" s="760"/>
      <c r="C8030" s="760"/>
      <c r="D8030" s="760"/>
      <c r="E8030" s="760"/>
      <c r="F8030" s="760"/>
      <c r="G8030" s="760"/>
      <c r="H8030" s="760"/>
      <c r="I8030" s="760"/>
      <c r="J8030" s="760"/>
      <c r="K8030" s="760"/>
    </row>
    <row r="8031" spans="1:11">
      <c r="A8031" s="760"/>
      <c r="B8031" s="760"/>
      <c r="C8031" s="760"/>
      <c r="D8031" s="760"/>
      <c r="E8031" s="760"/>
      <c r="F8031" s="760"/>
      <c r="G8031" s="760"/>
      <c r="H8031" s="760"/>
      <c r="I8031" s="760"/>
      <c r="J8031" s="760"/>
      <c r="K8031" s="760"/>
    </row>
    <row r="8032" spans="1:11">
      <c r="A8032" s="760"/>
      <c r="B8032" s="760"/>
      <c r="C8032" s="760"/>
      <c r="D8032" s="760"/>
      <c r="E8032" s="760"/>
      <c r="F8032" s="760"/>
      <c r="G8032" s="760"/>
      <c r="H8032" s="760"/>
      <c r="I8032" s="760"/>
      <c r="J8032" s="760"/>
      <c r="K8032" s="760"/>
    </row>
    <row r="8033" spans="1:11">
      <c r="A8033" s="760"/>
      <c r="B8033" s="760"/>
      <c r="C8033" s="760"/>
      <c r="D8033" s="760"/>
      <c r="E8033" s="760"/>
      <c r="F8033" s="760"/>
      <c r="G8033" s="760"/>
      <c r="H8033" s="760"/>
      <c r="I8033" s="760"/>
      <c r="J8033" s="760"/>
      <c r="K8033" s="760"/>
    </row>
    <row r="8034" spans="1:11">
      <c r="A8034" s="760"/>
      <c r="B8034" s="760"/>
      <c r="C8034" s="760"/>
      <c r="D8034" s="760"/>
      <c r="E8034" s="760"/>
      <c r="F8034" s="760"/>
      <c r="G8034" s="760"/>
      <c r="H8034" s="760"/>
      <c r="I8034" s="760"/>
      <c r="J8034" s="760"/>
      <c r="K8034" s="760"/>
    </row>
    <row r="8035" spans="1:11">
      <c r="A8035" s="760"/>
      <c r="B8035" s="760"/>
      <c r="C8035" s="760"/>
      <c r="D8035" s="760"/>
      <c r="E8035" s="760"/>
      <c r="F8035" s="760"/>
      <c r="G8035" s="760"/>
      <c r="H8035" s="760"/>
      <c r="I8035" s="760"/>
      <c r="J8035" s="760"/>
      <c r="K8035" s="760"/>
    </row>
    <row r="8036" spans="1:11">
      <c r="A8036" s="760"/>
      <c r="B8036" s="760"/>
      <c r="C8036" s="760"/>
      <c r="D8036" s="760"/>
      <c r="E8036" s="760"/>
      <c r="F8036" s="760"/>
      <c r="G8036" s="760"/>
      <c r="H8036" s="760"/>
      <c r="I8036" s="760"/>
      <c r="J8036" s="760"/>
      <c r="K8036" s="760"/>
    </row>
    <row r="8037" spans="1:11">
      <c r="A8037" s="760"/>
      <c r="B8037" s="760"/>
      <c r="C8037" s="760"/>
      <c r="D8037" s="760"/>
      <c r="E8037" s="760"/>
      <c r="F8037" s="760"/>
      <c r="G8037" s="760"/>
      <c r="H8037" s="760"/>
      <c r="I8037" s="760"/>
      <c r="J8037" s="760"/>
      <c r="K8037" s="760"/>
    </row>
    <row r="8038" spans="1:11">
      <c r="A8038" s="760"/>
      <c r="B8038" s="760"/>
      <c r="C8038" s="760"/>
      <c r="D8038" s="760"/>
      <c r="E8038" s="760"/>
      <c r="F8038" s="760"/>
      <c r="G8038" s="760"/>
      <c r="H8038" s="760"/>
      <c r="I8038" s="760"/>
      <c r="J8038" s="760"/>
      <c r="K8038" s="760"/>
    </row>
    <row r="8039" spans="1:11">
      <c r="A8039" s="760"/>
      <c r="B8039" s="760"/>
      <c r="C8039" s="760"/>
      <c r="D8039" s="760"/>
      <c r="E8039" s="760"/>
      <c r="F8039" s="760"/>
      <c r="G8039" s="760"/>
      <c r="H8039" s="760"/>
      <c r="I8039" s="760"/>
      <c r="J8039" s="760"/>
      <c r="K8039" s="760"/>
    </row>
    <row r="8040" spans="1:11">
      <c r="A8040" s="760"/>
      <c r="B8040" s="760"/>
      <c r="C8040" s="760"/>
      <c r="D8040" s="760"/>
      <c r="E8040" s="760"/>
      <c r="F8040" s="760"/>
      <c r="G8040" s="760"/>
      <c r="H8040" s="760"/>
      <c r="I8040" s="760"/>
      <c r="J8040" s="760"/>
      <c r="K8040" s="760"/>
    </row>
    <row r="8041" spans="1:11">
      <c r="A8041" s="760"/>
      <c r="B8041" s="760"/>
      <c r="C8041" s="760"/>
      <c r="D8041" s="760"/>
      <c r="E8041" s="760"/>
      <c r="F8041" s="760"/>
      <c r="G8041" s="760"/>
      <c r="H8041" s="760"/>
      <c r="I8041" s="760"/>
      <c r="J8041" s="760"/>
      <c r="K8041" s="760"/>
    </row>
    <row r="8042" spans="1:11">
      <c r="A8042" s="760"/>
      <c r="B8042" s="760"/>
      <c r="C8042" s="760"/>
      <c r="D8042" s="760"/>
      <c r="E8042" s="760"/>
      <c r="F8042" s="760"/>
      <c r="G8042" s="760"/>
      <c r="H8042" s="760"/>
      <c r="I8042" s="760"/>
      <c r="J8042" s="760"/>
      <c r="K8042" s="760"/>
    </row>
    <row r="8043" spans="1:11">
      <c r="A8043" s="760"/>
      <c r="B8043" s="760"/>
      <c r="C8043" s="760"/>
      <c r="D8043" s="760"/>
      <c r="E8043" s="760"/>
      <c r="F8043" s="760"/>
      <c r="G8043" s="760"/>
      <c r="H8043" s="760"/>
      <c r="I8043" s="760"/>
      <c r="J8043" s="760"/>
      <c r="K8043" s="760"/>
    </row>
    <row r="8044" spans="1:11">
      <c r="A8044" s="760"/>
      <c r="B8044" s="760"/>
      <c r="C8044" s="760"/>
      <c r="D8044" s="760"/>
      <c r="E8044" s="760"/>
      <c r="F8044" s="760"/>
      <c r="G8044" s="760"/>
      <c r="H8044" s="760"/>
      <c r="I8044" s="760"/>
      <c r="J8044" s="760"/>
      <c r="K8044" s="760"/>
    </row>
    <row r="8045" spans="1:11">
      <c r="A8045" s="760"/>
      <c r="B8045" s="760"/>
      <c r="C8045" s="760"/>
      <c r="D8045" s="760"/>
      <c r="E8045" s="760"/>
      <c r="F8045" s="760"/>
      <c r="G8045" s="760"/>
      <c r="H8045" s="760"/>
      <c r="I8045" s="760"/>
      <c r="J8045" s="760"/>
      <c r="K8045" s="760"/>
    </row>
    <row r="8046" spans="1:11">
      <c r="A8046" s="760"/>
      <c r="B8046" s="760"/>
      <c r="C8046" s="760"/>
      <c r="D8046" s="760"/>
      <c r="E8046" s="760"/>
      <c r="F8046" s="760"/>
      <c r="G8046" s="760"/>
      <c r="H8046" s="760"/>
      <c r="I8046" s="760"/>
      <c r="J8046" s="760"/>
      <c r="K8046" s="760"/>
    </row>
    <row r="8047" spans="1:11">
      <c r="A8047" s="760"/>
      <c r="B8047" s="760"/>
      <c r="C8047" s="760"/>
      <c r="D8047" s="760"/>
      <c r="E8047" s="760"/>
      <c r="F8047" s="760"/>
      <c r="G8047" s="760"/>
      <c r="H8047" s="760"/>
      <c r="I8047" s="760"/>
      <c r="J8047" s="760"/>
      <c r="K8047" s="760"/>
    </row>
    <row r="8048" spans="1:11">
      <c r="A8048" s="760"/>
      <c r="B8048" s="760"/>
      <c r="C8048" s="760"/>
      <c r="D8048" s="760"/>
      <c r="E8048" s="760"/>
      <c r="F8048" s="760"/>
      <c r="G8048" s="760"/>
      <c r="H8048" s="760"/>
      <c r="I8048" s="760"/>
      <c r="J8048" s="760"/>
      <c r="K8048" s="760"/>
    </row>
    <row r="8049" spans="1:11">
      <c r="A8049" s="760"/>
      <c r="B8049" s="760"/>
      <c r="C8049" s="760"/>
      <c r="D8049" s="760"/>
      <c r="E8049" s="760"/>
      <c r="F8049" s="760"/>
      <c r="G8049" s="760"/>
      <c r="H8049" s="760"/>
      <c r="I8049" s="760"/>
      <c r="J8049" s="760"/>
      <c r="K8049" s="760"/>
    </row>
    <row r="8050" spans="1:11">
      <c r="A8050" s="760"/>
      <c r="B8050" s="760"/>
      <c r="C8050" s="760"/>
      <c r="D8050" s="760"/>
      <c r="E8050" s="760"/>
      <c r="F8050" s="760"/>
      <c r="G8050" s="760"/>
      <c r="H8050" s="760"/>
      <c r="I8050" s="760"/>
      <c r="J8050" s="760"/>
      <c r="K8050" s="760"/>
    </row>
    <row r="8051" spans="1:11">
      <c r="A8051" s="760"/>
      <c r="B8051" s="760"/>
      <c r="C8051" s="760"/>
      <c r="D8051" s="760"/>
      <c r="E8051" s="760"/>
      <c r="F8051" s="760"/>
      <c r="G8051" s="760"/>
      <c r="H8051" s="760"/>
      <c r="I8051" s="760"/>
      <c r="J8051" s="760"/>
      <c r="K8051" s="760"/>
    </row>
    <row r="8052" spans="1:11">
      <c r="A8052" s="760"/>
      <c r="B8052" s="760"/>
      <c r="C8052" s="760"/>
      <c r="D8052" s="760"/>
      <c r="E8052" s="760"/>
      <c r="F8052" s="760"/>
      <c r="G8052" s="760"/>
      <c r="H8052" s="760"/>
      <c r="I8052" s="760"/>
      <c r="J8052" s="760"/>
      <c r="K8052" s="760"/>
    </row>
    <row r="8053" spans="1:11">
      <c r="A8053" s="760"/>
      <c r="B8053" s="760"/>
      <c r="C8053" s="760"/>
      <c r="D8053" s="760"/>
      <c r="E8053" s="760"/>
      <c r="F8053" s="760"/>
      <c r="G8053" s="760"/>
      <c r="H8053" s="760"/>
      <c r="I8053" s="760"/>
      <c r="J8053" s="760"/>
      <c r="K8053" s="760"/>
    </row>
    <row r="8054" spans="1:11">
      <c r="A8054" s="760"/>
      <c r="B8054" s="760"/>
      <c r="C8054" s="760"/>
      <c r="D8054" s="760"/>
      <c r="E8054" s="760"/>
      <c r="F8054" s="760"/>
      <c r="G8054" s="760"/>
      <c r="H8054" s="760"/>
      <c r="I8054" s="760"/>
      <c r="J8054" s="760"/>
      <c r="K8054" s="760"/>
    </row>
    <row r="8055" spans="1:11">
      <c r="A8055" s="760"/>
      <c r="B8055" s="760"/>
      <c r="C8055" s="760"/>
      <c r="D8055" s="760"/>
      <c r="E8055" s="760"/>
      <c r="F8055" s="760"/>
      <c r="G8055" s="760"/>
      <c r="H8055" s="760"/>
      <c r="I8055" s="760"/>
      <c r="J8055" s="760"/>
      <c r="K8055" s="760"/>
    </row>
    <row r="8056" spans="1:11">
      <c r="A8056" s="760"/>
      <c r="B8056" s="760"/>
      <c r="C8056" s="760"/>
      <c r="D8056" s="760"/>
      <c r="E8056" s="760"/>
      <c r="F8056" s="760"/>
      <c r="G8056" s="760"/>
      <c r="H8056" s="760"/>
      <c r="I8056" s="760"/>
      <c r="J8056" s="760"/>
      <c r="K8056" s="760"/>
    </row>
    <row r="8057" spans="1:11">
      <c r="A8057" s="760"/>
      <c r="B8057" s="760"/>
      <c r="C8057" s="760"/>
      <c r="D8057" s="760"/>
      <c r="E8057" s="760"/>
      <c r="F8057" s="760"/>
      <c r="G8057" s="760"/>
      <c r="H8057" s="760"/>
      <c r="I8057" s="760"/>
      <c r="J8057" s="760"/>
      <c r="K8057" s="760"/>
    </row>
    <row r="8058" spans="1:11">
      <c r="A8058" s="760"/>
      <c r="B8058" s="760"/>
      <c r="C8058" s="760"/>
      <c r="D8058" s="760"/>
      <c r="E8058" s="760"/>
      <c r="F8058" s="760"/>
      <c r="G8058" s="760"/>
      <c r="H8058" s="760"/>
      <c r="I8058" s="760"/>
      <c r="J8058" s="760"/>
      <c r="K8058" s="760"/>
    </row>
    <row r="8059" spans="1:11">
      <c r="A8059" s="760"/>
      <c r="B8059" s="760"/>
      <c r="C8059" s="760"/>
      <c r="D8059" s="760"/>
      <c r="E8059" s="760"/>
      <c r="F8059" s="760"/>
      <c r="G8059" s="760"/>
      <c r="H8059" s="760"/>
      <c r="I8059" s="760"/>
      <c r="J8059" s="760"/>
      <c r="K8059" s="760"/>
    </row>
    <row r="8060" spans="1:11">
      <c r="A8060" s="760"/>
      <c r="B8060" s="760"/>
      <c r="C8060" s="760"/>
      <c r="D8060" s="760"/>
      <c r="E8060" s="760"/>
      <c r="F8060" s="760"/>
      <c r="G8060" s="760"/>
      <c r="H8060" s="760"/>
      <c r="I8060" s="760"/>
      <c r="J8060" s="760"/>
      <c r="K8060" s="760"/>
    </row>
    <row r="8061" spans="1:11">
      <c r="A8061" s="760"/>
      <c r="B8061" s="760"/>
      <c r="C8061" s="760"/>
      <c r="D8061" s="760"/>
      <c r="E8061" s="760"/>
      <c r="F8061" s="760"/>
      <c r="G8061" s="760"/>
      <c r="H8061" s="760"/>
      <c r="I8061" s="760"/>
      <c r="J8061" s="760"/>
      <c r="K8061" s="760"/>
    </row>
    <row r="8062" spans="1:11">
      <c r="A8062" s="760"/>
      <c r="B8062" s="760"/>
      <c r="C8062" s="760"/>
      <c r="D8062" s="760"/>
      <c r="E8062" s="760"/>
      <c r="F8062" s="760"/>
      <c r="G8062" s="760"/>
      <c r="H8062" s="760"/>
      <c r="I8062" s="760"/>
      <c r="J8062" s="760"/>
      <c r="K8062" s="760"/>
    </row>
    <row r="8063" spans="1:11">
      <c r="A8063" s="760"/>
      <c r="B8063" s="760"/>
      <c r="C8063" s="760"/>
      <c r="D8063" s="760"/>
      <c r="E8063" s="760"/>
      <c r="F8063" s="760"/>
      <c r="G8063" s="760"/>
      <c r="H8063" s="760"/>
      <c r="I8063" s="760"/>
      <c r="J8063" s="760"/>
      <c r="K8063" s="760"/>
    </row>
    <row r="8064" spans="1:11">
      <c r="A8064" s="760"/>
      <c r="B8064" s="760"/>
      <c r="C8064" s="760"/>
      <c r="D8064" s="760"/>
      <c r="E8064" s="760"/>
      <c r="F8064" s="760"/>
      <c r="G8064" s="760"/>
      <c r="H8064" s="760"/>
      <c r="I8064" s="760"/>
      <c r="J8064" s="760"/>
      <c r="K8064" s="760"/>
    </row>
    <row r="8065" spans="1:11">
      <c r="A8065" s="760"/>
      <c r="B8065" s="760"/>
      <c r="C8065" s="760"/>
      <c r="D8065" s="760"/>
      <c r="E8065" s="760"/>
      <c r="F8065" s="760"/>
      <c r="G8065" s="760"/>
      <c r="H8065" s="760"/>
      <c r="I8065" s="760"/>
      <c r="J8065" s="760"/>
      <c r="K8065" s="760"/>
    </row>
    <row r="8066" spans="1:11">
      <c r="A8066" s="760"/>
      <c r="B8066" s="760"/>
      <c r="C8066" s="760"/>
      <c r="D8066" s="760"/>
      <c r="E8066" s="760"/>
      <c r="F8066" s="760"/>
      <c r="G8066" s="760"/>
      <c r="H8066" s="760"/>
      <c r="I8066" s="760"/>
      <c r="J8066" s="760"/>
      <c r="K8066" s="760"/>
    </row>
    <row r="8067" spans="1:11">
      <c r="A8067" s="760"/>
      <c r="B8067" s="760"/>
      <c r="C8067" s="760"/>
      <c r="D8067" s="760"/>
      <c r="E8067" s="760"/>
      <c r="F8067" s="760"/>
      <c r="G8067" s="760"/>
      <c r="H8067" s="760"/>
      <c r="I8067" s="760"/>
      <c r="J8067" s="760"/>
      <c r="K8067" s="760"/>
    </row>
    <row r="8068" spans="1:11">
      <c r="A8068" s="760"/>
      <c r="B8068" s="760"/>
      <c r="C8068" s="760"/>
      <c r="D8068" s="760"/>
      <c r="E8068" s="760"/>
      <c r="F8068" s="760"/>
      <c r="G8068" s="760"/>
      <c r="H8068" s="760"/>
      <c r="I8068" s="760"/>
      <c r="J8068" s="760"/>
      <c r="K8068" s="760"/>
    </row>
    <row r="8069" spans="1:11">
      <c r="A8069" s="760"/>
      <c r="B8069" s="760"/>
      <c r="C8069" s="760"/>
      <c r="D8069" s="760"/>
      <c r="E8069" s="760"/>
      <c r="F8069" s="760"/>
      <c r="G8069" s="760"/>
      <c r="H8069" s="760"/>
      <c r="I8069" s="760"/>
      <c r="J8069" s="760"/>
      <c r="K8069" s="760"/>
    </row>
    <row r="8070" spans="1:11">
      <c r="A8070" s="760"/>
      <c r="B8070" s="760"/>
      <c r="C8070" s="760"/>
      <c r="D8070" s="760"/>
      <c r="E8070" s="760"/>
      <c r="F8070" s="760"/>
      <c r="G8070" s="760"/>
      <c r="H8070" s="760"/>
      <c r="I8070" s="760"/>
      <c r="J8070" s="760"/>
      <c r="K8070" s="760"/>
    </row>
    <row r="8071" spans="1:11">
      <c r="A8071" s="760"/>
      <c r="B8071" s="760"/>
      <c r="C8071" s="760"/>
      <c r="D8071" s="760"/>
      <c r="E8071" s="760"/>
      <c r="F8071" s="760"/>
      <c r="G8071" s="760"/>
      <c r="H8071" s="760"/>
      <c r="I8071" s="760"/>
      <c r="J8071" s="760"/>
      <c r="K8071" s="760"/>
    </row>
    <row r="8072" spans="1:11">
      <c r="A8072" s="760"/>
      <c r="B8072" s="760"/>
      <c r="C8072" s="760"/>
      <c r="D8072" s="760"/>
      <c r="E8072" s="760"/>
      <c r="F8072" s="760"/>
      <c r="G8072" s="760"/>
      <c r="H8072" s="760"/>
      <c r="I8072" s="760"/>
      <c r="J8072" s="760"/>
      <c r="K8072" s="760"/>
    </row>
    <row r="8073" spans="1:11">
      <c r="A8073" s="760"/>
      <c r="B8073" s="760"/>
      <c r="C8073" s="760"/>
      <c r="D8073" s="760"/>
      <c r="E8073" s="760"/>
      <c r="F8073" s="760"/>
      <c r="G8073" s="760"/>
      <c r="H8073" s="760"/>
      <c r="I8073" s="760"/>
      <c r="J8073" s="760"/>
      <c r="K8073" s="760"/>
    </row>
    <row r="8074" spans="1:11">
      <c r="A8074" s="760"/>
      <c r="B8074" s="760"/>
      <c r="C8074" s="760"/>
      <c r="D8074" s="760"/>
      <c r="E8074" s="760"/>
      <c r="F8074" s="760"/>
      <c r="G8074" s="760"/>
      <c r="H8074" s="760"/>
      <c r="I8074" s="760"/>
      <c r="J8074" s="760"/>
      <c r="K8074" s="760"/>
    </row>
    <row r="8075" spans="1:11">
      <c r="A8075" s="760"/>
      <c r="B8075" s="760"/>
      <c r="C8075" s="760"/>
      <c r="D8075" s="760"/>
      <c r="E8075" s="760"/>
      <c r="F8075" s="760"/>
      <c r="G8075" s="760"/>
      <c r="H8075" s="760"/>
      <c r="I8075" s="760"/>
      <c r="J8075" s="760"/>
      <c r="K8075" s="760"/>
    </row>
    <row r="8076" spans="1:11">
      <c r="A8076" s="760"/>
      <c r="B8076" s="760"/>
      <c r="C8076" s="760"/>
      <c r="D8076" s="760"/>
      <c r="E8076" s="760"/>
      <c r="F8076" s="760"/>
      <c r="G8076" s="760"/>
      <c r="H8076" s="760"/>
      <c r="I8076" s="760"/>
      <c r="J8076" s="760"/>
      <c r="K8076" s="760"/>
    </row>
    <row r="8077" spans="1:11">
      <c r="A8077" s="760"/>
      <c r="B8077" s="760"/>
      <c r="C8077" s="760"/>
      <c r="D8077" s="760"/>
      <c r="E8077" s="760"/>
      <c r="F8077" s="760"/>
      <c r="G8077" s="760"/>
      <c r="H8077" s="760"/>
      <c r="I8077" s="760"/>
      <c r="J8077" s="760"/>
      <c r="K8077" s="760"/>
    </row>
    <row r="8078" spans="1:11">
      <c r="A8078" s="760"/>
      <c r="B8078" s="760"/>
      <c r="C8078" s="760"/>
      <c r="D8078" s="760"/>
      <c r="E8078" s="760"/>
      <c r="F8078" s="760"/>
      <c r="G8078" s="760"/>
      <c r="H8078" s="760"/>
      <c r="I8078" s="760"/>
      <c r="J8078" s="760"/>
      <c r="K8078" s="760"/>
    </row>
    <row r="8079" spans="1:11">
      <c r="A8079" s="760"/>
      <c r="B8079" s="760"/>
      <c r="C8079" s="760"/>
      <c r="D8079" s="760"/>
      <c r="E8079" s="760"/>
      <c r="F8079" s="760"/>
      <c r="G8079" s="760"/>
      <c r="H8079" s="760"/>
      <c r="I8079" s="760"/>
      <c r="J8079" s="760"/>
      <c r="K8079" s="760"/>
    </row>
    <row r="8080" spans="1:11">
      <c r="A8080" s="760"/>
      <c r="B8080" s="760"/>
      <c r="C8080" s="760"/>
      <c r="D8080" s="760"/>
      <c r="E8080" s="760"/>
      <c r="F8080" s="760"/>
      <c r="G8080" s="760"/>
      <c r="H8080" s="760"/>
      <c r="I8080" s="760"/>
      <c r="J8080" s="760"/>
      <c r="K8080" s="760"/>
    </row>
    <row r="8081" spans="1:11">
      <c r="A8081" s="760"/>
      <c r="B8081" s="760"/>
      <c r="C8081" s="760"/>
      <c r="D8081" s="760"/>
      <c r="E8081" s="760"/>
      <c r="F8081" s="760"/>
      <c r="G8081" s="760"/>
      <c r="H8081" s="760"/>
      <c r="I8081" s="760"/>
      <c r="J8081" s="760"/>
      <c r="K8081" s="760"/>
    </row>
    <row r="8082" spans="1:11">
      <c r="A8082" s="760"/>
      <c r="B8082" s="760"/>
      <c r="C8082" s="760"/>
      <c r="D8082" s="760"/>
      <c r="E8082" s="760"/>
      <c r="F8082" s="760"/>
      <c r="G8082" s="760"/>
      <c r="H8082" s="760"/>
      <c r="I8082" s="760"/>
      <c r="J8082" s="760"/>
      <c r="K8082" s="760"/>
    </row>
    <row r="8083" spans="1:11">
      <c r="A8083" s="760"/>
      <c r="B8083" s="760"/>
      <c r="C8083" s="760"/>
      <c r="D8083" s="760"/>
      <c r="E8083" s="760"/>
      <c r="F8083" s="760"/>
      <c r="G8083" s="760"/>
      <c r="H8083" s="760"/>
      <c r="I8083" s="760"/>
      <c r="J8083" s="760"/>
      <c r="K8083" s="760"/>
    </row>
    <row r="8084" spans="1:11">
      <c r="A8084" s="760"/>
      <c r="B8084" s="760"/>
      <c r="C8084" s="760"/>
      <c r="D8084" s="760"/>
      <c r="E8084" s="760"/>
      <c r="F8084" s="760"/>
      <c r="G8084" s="760"/>
      <c r="H8084" s="760"/>
      <c r="I8084" s="760"/>
      <c r="J8084" s="760"/>
      <c r="K8084" s="760"/>
    </row>
    <row r="8085" spans="1:11">
      <c r="A8085" s="760"/>
      <c r="B8085" s="760"/>
      <c r="C8085" s="760"/>
      <c r="D8085" s="760"/>
      <c r="E8085" s="760"/>
      <c r="F8085" s="760"/>
      <c r="G8085" s="760"/>
      <c r="H8085" s="760"/>
      <c r="I8085" s="760"/>
      <c r="J8085" s="760"/>
      <c r="K8085" s="760"/>
    </row>
    <row r="8086" spans="1:11">
      <c r="A8086" s="760"/>
      <c r="B8086" s="760"/>
      <c r="C8086" s="760"/>
      <c r="D8086" s="760"/>
      <c r="E8086" s="760"/>
      <c r="F8086" s="760"/>
      <c r="G8086" s="760"/>
      <c r="H8086" s="760"/>
      <c r="I8086" s="760"/>
      <c r="J8086" s="760"/>
      <c r="K8086" s="760"/>
    </row>
    <row r="8087" spans="1:11">
      <c r="A8087" s="760"/>
      <c r="B8087" s="760"/>
      <c r="C8087" s="760"/>
      <c r="D8087" s="760"/>
      <c r="E8087" s="760"/>
      <c r="F8087" s="760"/>
      <c r="G8087" s="760"/>
      <c r="H8087" s="760"/>
      <c r="I8087" s="760"/>
      <c r="J8087" s="760"/>
      <c r="K8087" s="760"/>
    </row>
    <row r="8088" spans="1:11">
      <c r="A8088" s="760"/>
      <c r="B8088" s="760"/>
      <c r="C8088" s="760"/>
      <c r="D8088" s="760"/>
      <c r="E8088" s="760"/>
      <c r="F8088" s="760"/>
      <c r="G8088" s="760"/>
      <c r="H8088" s="760"/>
      <c r="I8088" s="760"/>
      <c r="J8088" s="760"/>
      <c r="K8088" s="760"/>
    </row>
    <row r="8089" spans="1:11">
      <c r="A8089" s="760"/>
      <c r="B8089" s="760"/>
      <c r="C8089" s="760"/>
      <c r="D8089" s="760"/>
      <c r="E8089" s="760"/>
      <c r="F8089" s="760"/>
      <c r="G8089" s="760"/>
      <c r="H8089" s="760"/>
      <c r="I8089" s="760"/>
      <c r="J8089" s="760"/>
      <c r="K8089" s="760"/>
    </row>
    <row r="8090" spans="1:11">
      <c r="A8090" s="760"/>
      <c r="B8090" s="760"/>
      <c r="C8090" s="760"/>
      <c r="D8090" s="760"/>
      <c r="E8090" s="760"/>
      <c r="F8090" s="760"/>
      <c r="G8090" s="760"/>
      <c r="H8090" s="760"/>
      <c r="I8090" s="760"/>
      <c r="J8090" s="760"/>
      <c r="K8090" s="760"/>
    </row>
    <row r="8091" spans="1:11">
      <c r="A8091" s="760"/>
      <c r="B8091" s="760"/>
      <c r="C8091" s="760"/>
      <c r="D8091" s="760"/>
      <c r="E8091" s="760"/>
      <c r="F8091" s="760"/>
      <c r="G8091" s="760"/>
      <c r="H8091" s="760"/>
      <c r="I8091" s="760"/>
      <c r="J8091" s="760"/>
      <c r="K8091" s="760"/>
    </row>
    <row r="8092" spans="1:11">
      <c r="A8092" s="760"/>
      <c r="B8092" s="760"/>
      <c r="C8092" s="760"/>
      <c r="D8092" s="760"/>
      <c r="E8092" s="760"/>
      <c r="F8092" s="760"/>
      <c r="G8092" s="760"/>
      <c r="H8092" s="760"/>
      <c r="I8092" s="760"/>
      <c r="J8092" s="760"/>
      <c r="K8092" s="760"/>
    </row>
    <row r="8093" spans="1:11">
      <c r="A8093" s="760"/>
      <c r="B8093" s="760"/>
      <c r="C8093" s="760"/>
      <c r="D8093" s="760"/>
      <c r="E8093" s="760"/>
      <c r="F8093" s="760"/>
      <c r="G8093" s="760"/>
      <c r="H8093" s="760"/>
      <c r="I8093" s="760"/>
      <c r="J8093" s="760"/>
      <c r="K8093" s="760"/>
    </row>
    <row r="8094" spans="1:11">
      <c r="A8094" s="760"/>
      <c r="B8094" s="760"/>
      <c r="C8094" s="760"/>
      <c r="D8094" s="760"/>
      <c r="E8094" s="760"/>
      <c r="F8094" s="760"/>
      <c r="G8094" s="760"/>
      <c r="H8094" s="760"/>
      <c r="I8094" s="760"/>
      <c r="J8094" s="760"/>
      <c r="K8094" s="760"/>
    </row>
    <row r="8095" spans="1:11">
      <c r="A8095" s="760"/>
      <c r="B8095" s="760"/>
      <c r="C8095" s="760"/>
      <c r="D8095" s="760"/>
      <c r="E8095" s="760"/>
      <c r="F8095" s="760"/>
      <c r="G8095" s="760"/>
      <c r="H8095" s="760"/>
      <c r="I8095" s="760"/>
      <c r="J8095" s="760"/>
      <c r="K8095" s="760"/>
    </row>
    <row r="8096" spans="1:11">
      <c r="A8096" s="760"/>
      <c r="B8096" s="760"/>
      <c r="C8096" s="760"/>
      <c r="D8096" s="760"/>
      <c r="E8096" s="760"/>
      <c r="F8096" s="760"/>
      <c r="G8096" s="760"/>
      <c r="H8096" s="760"/>
      <c r="I8096" s="760"/>
      <c r="J8096" s="760"/>
      <c r="K8096" s="760"/>
    </row>
    <row r="8097" spans="1:11">
      <c r="A8097" s="760"/>
      <c r="B8097" s="760"/>
      <c r="C8097" s="760"/>
      <c r="D8097" s="760"/>
      <c r="E8097" s="760"/>
      <c r="F8097" s="760"/>
      <c r="G8097" s="760"/>
      <c r="H8097" s="760"/>
      <c r="I8097" s="760"/>
      <c r="J8097" s="760"/>
      <c r="K8097" s="760"/>
    </row>
    <row r="8098" spans="1:11">
      <c r="A8098" s="760"/>
      <c r="B8098" s="760"/>
      <c r="C8098" s="760"/>
      <c r="D8098" s="760"/>
      <c r="E8098" s="760"/>
      <c r="F8098" s="760"/>
      <c r="G8098" s="760"/>
      <c r="H8098" s="760"/>
      <c r="I8098" s="760"/>
      <c r="J8098" s="760"/>
      <c r="K8098" s="760"/>
    </row>
    <row r="8099" spans="1:11">
      <c r="A8099" s="760"/>
      <c r="B8099" s="760"/>
      <c r="C8099" s="760"/>
      <c r="D8099" s="760"/>
      <c r="E8099" s="760"/>
      <c r="F8099" s="760"/>
      <c r="G8099" s="760"/>
      <c r="H8099" s="760"/>
      <c r="I8099" s="760"/>
      <c r="J8099" s="760"/>
      <c r="K8099" s="760"/>
    </row>
    <row r="8100" spans="1:11">
      <c r="A8100" s="760"/>
      <c r="B8100" s="760"/>
      <c r="C8100" s="760"/>
      <c r="D8100" s="760"/>
      <c r="E8100" s="760"/>
      <c r="F8100" s="760"/>
      <c r="G8100" s="760"/>
      <c r="H8100" s="760"/>
      <c r="I8100" s="760"/>
      <c r="J8100" s="760"/>
      <c r="K8100" s="760"/>
    </row>
    <row r="8101" spans="1:11">
      <c r="A8101" s="760"/>
      <c r="B8101" s="760"/>
      <c r="C8101" s="760"/>
      <c r="D8101" s="760"/>
      <c r="E8101" s="760"/>
      <c r="F8101" s="760"/>
      <c r="G8101" s="760"/>
      <c r="H8101" s="760"/>
      <c r="I8101" s="760"/>
      <c r="J8101" s="760"/>
      <c r="K8101" s="760"/>
    </row>
    <row r="8102" spans="1:11">
      <c r="A8102" s="760"/>
      <c r="B8102" s="760"/>
      <c r="C8102" s="760"/>
      <c r="D8102" s="760"/>
      <c r="E8102" s="760"/>
      <c r="F8102" s="760"/>
      <c r="G8102" s="760"/>
      <c r="H8102" s="760"/>
      <c r="I8102" s="760"/>
      <c r="J8102" s="760"/>
      <c r="K8102" s="760"/>
    </row>
    <row r="8103" spans="1:11">
      <c r="A8103" s="760"/>
      <c r="B8103" s="760"/>
      <c r="C8103" s="760"/>
      <c r="D8103" s="760"/>
      <c r="E8103" s="760"/>
      <c r="F8103" s="760"/>
      <c r="G8103" s="760"/>
      <c r="H8103" s="760"/>
      <c r="I8103" s="760"/>
      <c r="J8103" s="760"/>
      <c r="K8103" s="760"/>
    </row>
    <row r="8104" spans="1:11">
      <c r="A8104" s="760"/>
      <c r="B8104" s="760"/>
      <c r="C8104" s="760"/>
      <c r="D8104" s="760"/>
      <c r="E8104" s="760"/>
      <c r="F8104" s="760"/>
      <c r="G8104" s="760"/>
      <c r="H8104" s="760"/>
      <c r="I8104" s="760"/>
      <c r="J8104" s="760"/>
      <c r="K8104" s="760"/>
    </row>
    <row r="8105" spans="1:11">
      <c r="A8105" s="760"/>
      <c r="B8105" s="760"/>
      <c r="C8105" s="760"/>
      <c r="D8105" s="760"/>
      <c r="E8105" s="760"/>
      <c r="F8105" s="760"/>
      <c r="G8105" s="760"/>
      <c r="H8105" s="760"/>
      <c r="I8105" s="760"/>
      <c r="J8105" s="760"/>
      <c r="K8105" s="760"/>
    </row>
    <row r="8106" spans="1:11">
      <c r="A8106" s="760"/>
      <c r="B8106" s="760"/>
      <c r="C8106" s="760"/>
      <c r="D8106" s="760"/>
      <c r="E8106" s="760"/>
      <c r="F8106" s="760"/>
      <c r="G8106" s="760"/>
      <c r="H8106" s="760"/>
      <c r="I8106" s="760"/>
      <c r="J8106" s="760"/>
      <c r="K8106" s="760"/>
    </row>
    <row r="8107" spans="1:11">
      <c r="A8107" s="760"/>
      <c r="B8107" s="760"/>
      <c r="C8107" s="760"/>
      <c r="D8107" s="760"/>
      <c r="E8107" s="760"/>
      <c r="F8107" s="760"/>
      <c r="G8107" s="760"/>
      <c r="H8107" s="760"/>
      <c r="I8107" s="760"/>
      <c r="J8107" s="760"/>
      <c r="K8107" s="760"/>
    </row>
    <row r="8108" spans="1:11">
      <c r="A8108" s="760"/>
      <c r="B8108" s="760"/>
      <c r="C8108" s="760"/>
      <c r="D8108" s="760"/>
      <c r="E8108" s="760"/>
      <c r="F8108" s="760"/>
      <c r="G8108" s="760"/>
      <c r="H8108" s="760"/>
      <c r="I8108" s="760"/>
      <c r="J8108" s="760"/>
      <c r="K8108" s="760"/>
    </row>
    <row r="8109" spans="1:11">
      <c r="A8109" s="760"/>
      <c r="B8109" s="760"/>
      <c r="C8109" s="760"/>
      <c r="D8109" s="760"/>
      <c r="E8109" s="760"/>
      <c r="F8109" s="760"/>
      <c r="G8109" s="760"/>
      <c r="H8109" s="760"/>
      <c r="I8109" s="760"/>
      <c r="J8109" s="760"/>
      <c r="K8109" s="760"/>
    </row>
    <row r="8110" spans="1:11">
      <c r="A8110" s="760"/>
      <c r="B8110" s="760"/>
      <c r="C8110" s="760"/>
      <c r="D8110" s="760"/>
      <c r="E8110" s="760"/>
      <c r="F8110" s="760"/>
      <c r="G8110" s="760"/>
      <c r="H8110" s="760"/>
      <c r="I8110" s="760"/>
      <c r="J8110" s="760"/>
      <c r="K8110" s="760"/>
    </row>
    <row r="8111" spans="1:11">
      <c r="A8111" s="760"/>
      <c r="B8111" s="760"/>
      <c r="C8111" s="760"/>
      <c r="D8111" s="760"/>
      <c r="E8111" s="760"/>
      <c r="F8111" s="760"/>
      <c r="G8111" s="760"/>
      <c r="H8111" s="760"/>
      <c r="I8111" s="760"/>
      <c r="J8111" s="760"/>
      <c r="K8111" s="760"/>
    </row>
    <row r="8112" spans="1:11">
      <c r="A8112" s="760"/>
      <c r="B8112" s="760"/>
      <c r="C8112" s="760"/>
      <c r="D8112" s="760"/>
      <c r="E8112" s="760"/>
      <c r="F8112" s="760"/>
      <c r="G8112" s="760"/>
      <c r="H8112" s="760"/>
      <c r="I8112" s="760"/>
      <c r="J8112" s="760"/>
      <c r="K8112" s="760"/>
    </row>
    <row r="8113" spans="1:11">
      <c r="A8113" s="760"/>
      <c r="B8113" s="760"/>
      <c r="C8113" s="760"/>
      <c r="D8113" s="760"/>
      <c r="E8113" s="760"/>
      <c r="F8113" s="760"/>
      <c r="G8113" s="760"/>
      <c r="H8113" s="760"/>
      <c r="I8113" s="760"/>
      <c r="J8113" s="760"/>
      <c r="K8113" s="760"/>
    </row>
    <row r="8114" spans="1:11">
      <c r="A8114" s="760"/>
      <c r="B8114" s="760"/>
      <c r="C8114" s="760"/>
      <c r="D8114" s="760"/>
      <c r="E8114" s="760"/>
      <c r="F8114" s="760"/>
      <c r="G8114" s="760"/>
      <c r="H8114" s="760"/>
      <c r="I8114" s="760"/>
      <c r="J8114" s="760"/>
      <c r="K8114" s="760"/>
    </row>
    <row r="8115" spans="1:11">
      <c r="A8115" s="760"/>
      <c r="B8115" s="760"/>
      <c r="C8115" s="760"/>
      <c r="D8115" s="760"/>
      <c r="E8115" s="760"/>
      <c r="F8115" s="760"/>
      <c r="G8115" s="760"/>
      <c r="H8115" s="760"/>
      <c r="I8115" s="760"/>
      <c r="J8115" s="760"/>
      <c r="K8115" s="760"/>
    </row>
    <row r="8116" spans="1:11">
      <c r="A8116" s="760"/>
      <c r="B8116" s="760"/>
      <c r="C8116" s="760"/>
      <c r="D8116" s="760"/>
      <c r="E8116" s="760"/>
      <c r="F8116" s="760"/>
      <c r="G8116" s="760"/>
      <c r="H8116" s="760"/>
      <c r="I8116" s="760"/>
      <c r="J8116" s="760"/>
      <c r="K8116" s="760"/>
    </row>
    <row r="8117" spans="1:11">
      <c r="A8117" s="760"/>
      <c r="B8117" s="760"/>
      <c r="C8117" s="760"/>
      <c r="D8117" s="760"/>
      <c r="E8117" s="760"/>
      <c r="F8117" s="760"/>
      <c r="G8117" s="760"/>
      <c r="H8117" s="760"/>
      <c r="I8117" s="760"/>
      <c r="J8117" s="760"/>
      <c r="K8117" s="760"/>
    </row>
    <row r="8118" spans="1:11">
      <c r="A8118" s="760"/>
      <c r="B8118" s="760"/>
      <c r="C8118" s="760"/>
      <c r="D8118" s="760"/>
      <c r="E8118" s="760"/>
      <c r="F8118" s="760"/>
      <c r="G8118" s="760"/>
      <c r="H8118" s="760"/>
      <c r="I8118" s="760"/>
      <c r="J8118" s="760"/>
      <c r="K8118" s="760"/>
    </row>
    <row r="8119" spans="1:11">
      <c r="A8119" s="760"/>
      <c r="B8119" s="760"/>
      <c r="C8119" s="760"/>
      <c r="D8119" s="760"/>
      <c r="E8119" s="760"/>
      <c r="F8119" s="760"/>
      <c r="G8119" s="760"/>
      <c r="H8119" s="760"/>
      <c r="I8119" s="760"/>
      <c r="J8119" s="760"/>
      <c r="K8119" s="760"/>
    </row>
    <row r="8120" spans="1:11">
      <c r="A8120" s="760"/>
      <c r="B8120" s="760"/>
      <c r="C8120" s="760"/>
      <c r="D8120" s="760"/>
      <c r="E8120" s="760"/>
      <c r="F8120" s="760"/>
      <c r="G8120" s="760"/>
      <c r="H8120" s="760"/>
      <c r="I8120" s="760"/>
      <c r="J8120" s="760"/>
      <c r="K8120" s="760"/>
    </row>
    <row r="8121" spans="1:11">
      <c r="A8121" s="760"/>
      <c r="B8121" s="760"/>
      <c r="C8121" s="760"/>
      <c r="D8121" s="760"/>
      <c r="E8121" s="760"/>
      <c r="F8121" s="760"/>
      <c r="G8121" s="760"/>
      <c r="H8121" s="760"/>
      <c r="I8121" s="760"/>
      <c r="J8121" s="760"/>
      <c r="K8121" s="760"/>
    </row>
    <row r="8122" spans="1:11">
      <c r="A8122" s="760"/>
      <c r="B8122" s="760"/>
      <c r="C8122" s="760"/>
      <c r="D8122" s="760"/>
      <c r="E8122" s="760"/>
      <c r="F8122" s="760"/>
      <c r="G8122" s="760"/>
      <c r="H8122" s="760"/>
      <c r="I8122" s="760"/>
      <c r="J8122" s="760"/>
      <c r="K8122" s="760"/>
    </row>
    <row r="8123" spans="1:11">
      <c r="A8123" s="760"/>
      <c r="B8123" s="760"/>
      <c r="C8123" s="760"/>
      <c r="D8123" s="760"/>
      <c r="E8123" s="760"/>
      <c r="F8123" s="760"/>
      <c r="G8123" s="760"/>
      <c r="H8123" s="760"/>
      <c r="I8123" s="760"/>
      <c r="J8123" s="760"/>
      <c r="K8123" s="760"/>
    </row>
    <row r="8124" spans="1:11">
      <c r="A8124" s="760"/>
      <c r="B8124" s="760"/>
      <c r="C8124" s="760"/>
      <c r="D8124" s="760"/>
      <c r="E8124" s="760"/>
      <c r="F8124" s="760"/>
      <c r="G8124" s="760"/>
      <c r="H8124" s="760"/>
      <c r="I8124" s="760"/>
      <c r="J8124" s="760"/>
      <c r="K8124" s="760"/>
    </row>
    <row r="8125" spans="1:11">
      <c r="A8125" s="760"/>
      <c r="B8125" s="760"/>
      <c r="C8125" s="760"/>
      <c r="D8125" s="760"/>
      <c r="E8125" s="760"/>
      <c r="F8125" s="760"/>
      <c r="G8125" s="760"/>
      <c r="H8125" s="760"/>
      <c r="I8125" s="760"/>
      <c r="J8125" s="760"/>
      <c r="K8125" s="760"/>
    </row>
    <row r="8126" spans="1:11">
      <c r="A8126" s="760"/>
      <c r="B8126" s="760"/>
      <c r="C8126" s="760"/>
      <c r="D8126" s="760"/>
      <c r="E8126" s="760"/>
      <c r="F8126" s="760"/>
      <c r="G8126" s="760"/>
      <c r="H8126" s="760"/>
      <c r="I8126" s="760"/>
      <c r="J8126" s="760"/>
      <c r="K8126" s="760"/>
    </row>
    <row r="8127" spans="1:11">
      <c r="A8127" s="760"/>
      <c r="B8127" s="760"/>
      <c r="C8127" s="760"/>
      <c r="D8127" s="760"/>
      <c r="E8127" s="760"/>
      <c r="F8127" s="760"/>
      <c r="G8127" s="760"/>
      <c r="H8127" s="760"/>
      <c r="I8127" s="760"/>
      <c r="J8127" s="760"/>
      <c r="K8127" s="760"/>
    </row>
    <row r="8128" spans="1:11">
      <c r="A8128" s="760"/>
      <c r="B8128" s="760"/>
      <c r="C8128" s="760"/>
      <c r="D8128" s="760"/>
      <c r="E8128" s="760"/>
      <c r="F8128" s="760"/>
      <c r="G8128" s="760"/>
      <c r="H8128" s="760"/>
      <c r="I8128" s="760"/>
      <c r="J8128" s="760"/>
      <c r="K8128" s="760"/>
    </row>
    <row r="8129" spans="1:11">
      <c r="A8129" s="760"/>
      <c r="B8129" s="760"/>
      <c r="C8129" s="760"/>
      <c r="D8129" s="760"/>
      <c r="E8129" s="760"/>
      <c r="F8129" s="760"/>
      <c r="G8129" s="760"/>
      <c r="H8129" s="760"/>
      <c r="I8129" s="760"/>
      <c r="J8129" s="760"/>
      <c r="K8129" s="760"/>
    </row>
    <row r="8130" spans="1:11">
      <c r="A8130" s="760"/>
      <c r="B8130" s="760"/>
      <c r="C8130" s="760"/>
      <c r="D8130" s="760"/>
      <c r="E8130" s="760"/>
      <c r="F8130" s="760"/>
      <c r="G8130" s="760"/>
      <c r="H8130" s="760"/>
      <c r="I8130" s="760"/>
      <c r="J8130" s="760"/>
      <c r="K8130" s="760"/>
    </row>
    <row r="8131" spans="1:11">
      <c r="A8131" s="760"/>
      <c r="B8131" s="760"/>
      <c r="C8131" s="760"/>
      <c r="D8131" s="760"/>
      <c r="E8131" s="760"/>
      <c r="F8131" s="760"/>
      <c r="G8131" s="760"/>
      <c r="H8131" s="760"/>
      <c r="I8131" s="760"/>
      <c r="J8131" s="760"/>
      <c r="K8131" s="760"/>
    </row>
    <row r="8132" spans="1:11">
      <c r="A8132" s="760"/>
      <c r="B8132" s="760"/>
      <c r="C8132" s="760"/>
      <c r="D8132" s="760"/>
      <c r="E8132" s="760"/>
      <c r="F8132" s="760"/>
      <c r="G8132" s="760"/>
      <c r="H8132" s="760"/>
      <c r="I8132" s="760"/>
      <c r="J8132" s="760"/>
      <c r="K8132" s="760"/>
    </row>
    <row r="8133" spans="1:11">
      <c r="A8133" s="760"/>
      <c r="B8133" s="760"/>
      <c r="C8133" s="760"/>
      <c r="D8133" s="760"/>
      <c r="E8133" s="760"/>
      <c r="F8133" s="760"/>
      <c r="G8133" s="760"/>
      <c r="H8133" s="760"/>
      <c r="I8133" s="760"/>
      <c r="J8133" s="760"/>
      <c r="K8133" s="760"/>
    </row>
    <row r="8134" spans="1:11">
      <c r="A8134" s="760"/>
      <c r="B8134" s="760"/>
      <c r="C8134" s="760"/>
      <c r="D8134" s="760"/>
      <c r="E8134" s="760"/>
      <c r="F8134" s="760"/>
      <c r="G8134" s="760"/>
      <c r="H8134" s="760"/>
      <c r="I8134" s="760"/>
      <c r="J8134" s="760"/>
      <c r="K8134" s="760"/>
    </row>
    <row r="8135" spans="1:11">
      <c r="A8135" s="760"/>
      <c r="B8135" s="760"/>
      <c r="C8135" s="760"/>
      <c r="D8135" s="760"/>
      <c r="E8135" s="760"/>
      <c r="F8135" s="760"/>
      <c r="G8135" s="760"/>
      <c r="H8135" s="760"/>
      <c r="I8135" s="760"/>
      <c r="J8135" s="760"/>
      <c r="K8135" s="760"/>
    </row>
    <row r="8136" spans="1:11">
      <c r="A8136" s="760"/>
      <c r="B8136" s="760"/>
      <c r="C8136" s="760"/>
      <c r="D8136" s="760"/>
      <c r="E8136" s="760"/>
      <c r="F8136" s="760"/>
      <c r="G8136" s="760"/>
      <c r="H8136" s="760"/>
      <c r="I8136" s="760"/>
      <c r="J8136" s="760"/>
      <c r="K8136" s="760"/>
    </row>
    <row r="8137" spans="1:11">
      <c r="A8137" s="760"/>
      <c r="B8137" s="760"/>
      <c r="C8137" s="760"/>
      <c r="D8137" s="760"/>
      <c r="E8137" s="760"/>
      <c r="F8137" s="760"/>
      <c r="G8137" s="760"/>
      <c r="H8137" s="760"/>
      <c r="I8137" s="760"/>
      <c r="J8137" s="760"/>
      <c r="K8137" s="760"/>
    </row>
    <row r="8138" spans="1:11">
      <c r="A8138" s="760"/>
      <c r="B8138" s="760"/>
      <c r="C8138" s="760"/>
      <c r="D8138" s="760"/>
      <c r="E8138" s="760"/>
      <c r="F8138" s="760"/>
      <c r="G8138" s="760"/>
      <c r="H8138" s="760"/>
      <c r="I8138" s="760"/>
      <c r="J8138" s="760"/>
      <c r="K8138" s="760"/>
    </row>
    <row r="8139" spans="1:11">
      <c r="A8139" s="760"/>
      <c r="B8139" s="760"/>
      <c r="C8139" s="760"/>
      <c r="D8139" s="760"/>
      <c r="E8139" s="760"/>
      <c r="F8139" s="760"/>
      <c r="G8139" s="760"/>
      <c r="H8139" s="760"/>
      <c r="I8139" s="760"/>
      <c r="J8139" s="760"/>
      <c r="K8139" s="760"/>
    </row>
    <row r="8140" spans="1:11">
      <c r="A8140" s="760"/>
      <c r="B8140" s="760"/>
      <c r="C8140" s="760"/>
      <c r="D8140" s="760"/>
      <c r="E8140" s="760"/>
      <c r="F8140" s="760"/>
      <c r="G8140" s="760"/>
      <c r="H8140" s="760"/>
      <c r="I8140" s="760"/>
      <c r="J8140" s="760"/>
      <c r="K8140" s="760"/>
    </row>
    <row r="8141" spans="1:11">
      <c r="A8141" s="760"/>
      <c r="B8141" s="760"/>
      <c r="C8141" s="760"/>
      <c r="D8141" s="760"/>
      <c r="E8141" s="760"/>
      <c r="F8141" s="760"/>
      <c r="G8141" s="760"/>
      <c r="H8141" s="760"/>
      <c r="I8141" s="760"/>
      <c r="J8141" s="760"/>
      <c r="K8141" s="760"/>
    </row>
    <row r="8142" spans="1:11">
      <c r="A8142" s="760"/>
      <c r="B8142" s="760"/>
      <c r="C8142" s="760"/>
      <c r="D8142" s="760"/>
      <c r="E8142" s="760"/>
      <c r="F8142" s="760"/>
      <c r="G8142" s="760"/>
      <c r="H8142" s="760"/>
      <c r="I8142" s="760"/>
      <c r="J8142" s="760"/>
      <c r="K8142" s="760"/>
    </row>
    <row r="8143" spans="1:11">
      <c r="A8143" s="760"/>
      <c r="B8143" s="760"/>
      <c r="C8143" s="760"/>
      <c r="D8143" s="760"/>
      <c r="E8143" s="760"/>
      <c r="F8143" s="760"/>
      <c r="G8143" s="760"/>
      <c r="H8143" s="760"/>
      <c r="I8143" s="760"/>
      <c r="J8143" s="760"/>
      <c r="K8143" s="760"/>
    </row>
    <row r="8144" spans="1:11">
      <c r="A8144" s="760"/>
      <c r="B8144" s="760"/>
      <c r="C8144" s="760"/>
      <c r="D8144" s="760"/>
      <c r="E8144" s="760"/>
      <c r="F8144" s="760"/>
      <c r="G8144" s="760"/>
      <c r="H8144" s="760"/>
      <c r="I8144" s="760"/>
      <c r="J8144" s="760"/>
      <c r="K8144" s="760"/>
    </row>
    <row r="8145" spans="1:11">
      <c r="A8145" s="760"/>
      <c r="B8145" s="760"/>
      <c r="C8145" s="760"/>
      <c r="D8145" s="760"/>
      <c r="E8145" s="760"/>
      <c r="F8145" s="760"/>
      <c r="G8145" s="760"/>
      <c r="H8145" s="760"/>
      <c r="I8145" s="760"/>
      <c r="J8145" s="760"/>
      <c r="K8145" s="760"/>
    </row>
    <row r="8146" spans="1:11">
      <c r="A8146" s="760"/>
      <c r="B8146" s="760"/>
      <c r="C8146" s="760"/>
      <c r="D8146" s="760"/>
      <c r="E8146" s="760"/>
      <c r="F8146" s="760"/>
      <c r="G8146" s="760"/>
      <c r="H8146" s="760"/>
      <c r="I8146" s="760"/>
      <c r="J8146" s="760"/>
      <c r="K8146" s="760"/>
    </row>
    <row r="8147" spans="1:11">
      <c r="A8147" s="760"/>
      <c r="B8147" s="760"/>
      <c r="C8147" s="760"/>
      <c r="D8147" s="760"/>
      <c r="E8147" s="760"/>
      <c r="F8147" s="760"/>
      <c r="G8147" s="760"/>
      <c r="H8147" s="760"/>
      <c r="I8147" s="760"/>
      <c r="J8147" s="760"/>
      <c r="K8147" s="760"/>
    </row>
    <row r="8148" spans="1:11">
      <c r="A8148" s="760"/>
      <c r="B8148" s="760"/>
      <c r="C8148" s="760"/>
      <c r="D8148" s="760"/>
      <c r="E8148" s="760"/>
      <c r="F8148" s="760"/>
      <c r="G8148" s="760"/>
      <c r="H8148" s="760"/>
      <c r="I8148" s="760"/>
      <c r="J8148" s="760"/>
      <c r="K8148" s="760"/>
    </row>
    <row r="8149" spans="1:11">
      <c r="A8149" s="760"/>
      <c r="B8149" s="760"/>
      <c r="C8149" s="760"/>
      <c r="D8149" s="760"/>
      <c r="E8149" s="760"/>
      <c r="F8149" s="760"/>
      <c r="G8149" s="760"/>
      <c r="H8149" s="760"/>
      <c r="I8149" s="760"/>
      <c r="J8149" s="760"/>
      <c r="K8149" s="760"/>
    </row>
    <row r="8150" spans="1:11">
      <c r="A8150" s="760"/>
      <c r="B8150" s="760"/>
      <c r="C8150" s="760"/>
      <c r="D8150" s="760"/>
      <c r="E8150" s="760"/>
      <c r="F8150" s="760"/>
      <c r="G8150" s="760"/>
      <c r="H8150" s="760"/>
      <c r="I8150" s="760"/>
      <c r="J8150" s="760"/>
      <c r="K8150" s="760"/>
    </row>
    <row r="8151" spans="1:11">
      <c r="A8151" s="760"/>
      <c r="B8151" s="760"/>
      <c r="C8151" s="760"/>
      <c r="D8151" s="760"/>
      <c r="E8151" s="760"/>
      <c r="F8151" s="760"/>
      <c r="G8151" s="760"/>
      <c r="H8151" s="760"/>
      <c r="I8151" s="760"/>
      <c r="J8151" s="760"/>
      <c r="K8151" s="760"/>
    </row>
    <row r="8152" spans="1:11">
      <c r="A8152" s="760"/>
      <c r="B8152" s="760"/>
      <c r="C8152" s="760"/>
      <c r="D8152" s="760"/>
      <c r="E8152" s="760"/>
      <c r="F8152" s="760"/>
      <c r="G8152" s="760"/>
      <c r="H8152" s="760"/>
      <c r="I8152" s="760"/>
      <c r="J8152" s="760"/>
      <c r="K8152" s="760"/>
    </row>
    <row r="8153" spans="1:11">
      <c r="A8153" s="760"/>
      <c r="B8153" s="760"/>
      <c r="C8153" s="760"/>
      <c r="D8153" s="760"/>
      <c r="E8153" s="760"/>
      <c r="F8153" s="760"/>
      <c r="G8153" s="760"/>
      <c r="H8153" s="760"/>
      <c r="I8153" s="760"/>
      <c r="J8153" s="760"/>
      <c r="K8153" s="760"/>
    </row>
    <row r="8154" spans="1:11">
      <c r="A8154" s="760"/>
      <c r="B8154" s="760"/>
      <c r="C8154" s="760"/>
      <c r="D8154" s="760"/>
      <c r="E8154" s="760"/>
      <c r="F8154" s="760"/>
      <c r="G8154" s="760"/>
      <c r="H8154" s="760"/>
      <c r="I8154" s="760"/>
      <c r="J8154" s="760"/>
      <c r="K8154" s="760"/>
    </row>
    <row r="8155" spans="1:11">
      <c r="A8155" s="760"/>
      <c r="B8155" s="760"/>
      <c r="C8155" s="760"/>
      <c r="D8155" s="760"/>
      <c r="E8155" s="760"/>
      <c r="F8155" s="760"/>
      <c r="G8155" s="760"/>
      <c r="H8155" s="760"/>
      <c r="I8155" s="760"/>
      <c r="J8155" s="760"/>
      <c r="K8155" s="760"/>
    </row>
    <row r="8156" spans="1:11">
      <c r="A8156" s="760"/>
      <c r="B8156" s="760"/>
      <c r="C8156" s="760"/>
      <c r="D8156" s="760"/>
      <c r="E8156" s="760"/>
      <c r="F8156" s="760"/>
      <c r="G8156" s="760"/>
      <c r="H8156" s="760"/>
      <c r="I8156" s="760"/>
      <c r="J8156" s="760"/>
      <c r="K8156" s="760"/>
    </row>
    <row r="8157" spans="1:11">
      <c r="A8157" s="760"/>
      <c r="B8157" s="760"/>
      <c r="C8157" s="760"/>
      <c r="D8157" s="760"/>
      <c r="E8157" s="760"/>
      <c r="F8157" s="760"/>
      <c r="G8157" s="760"/>
      <c r="H8157" s="760"/>
      <c r="I8157" s="760"/>
      <c r="J8157" s="760"/>
      <c r="K8157" s="760"/>
    </row>
    <row r="8158" spans="1:11">
      <c r="A8158" s="760"/>
      <c r="B8158" s="760"/>
      <c r="C8158" s="760"/>
      <c r="D8158" s="760"/>
      <c r="E8158" s="760"/>
      <c r="F8158" s="760"/>
      <c r="G8158" s="760"/>
      <c r="H8158" s="760"/>
      <c r="I8158" s="760"/>
      <c r="J8158" s="760"/>
      <c r="K8158" s="760"/>
    </row>
    <row r="8159" spans="1:11">
      <c r="A8159" s="760"/>
      <c r="B8159" s="760"/>
      <c r="C8159" s="760"/>
      <c r="D8159" s="760"/>
      <c r="E8159" s="760"/>
      <c r="F8159" s="760"/>
      <c r="G8159" s="760"/>
      <c r="H8159" s="760"/>
      <c r="I8159" s="760"/>
      <c r="J8159" s="760"/>
      <c r="K8159" s="760"/>
    </row>
    <row r="8160" spans="1:11">
      <c r="A8160" s="760"/>
      <c r="B8160" s="760"/>
      <c r="C8160" s="760"/>
      <c r="D8160" s="760"/>
      <c r="E8160" s="760"/>
      <c r="F8160" s="760"/>
      <c r="G8160" s="760"/>
      <c r="H8160" s="760"/>
      <c r="I8160" s="760"/>
      <c r="J8160" s="760"/>
      <c r="K8160" s="760"/>
    </row>
    <row r="8161" spans="1:11">
      <c r="A8161" s="760"/>
      <c r="B8161" s="760"/>
      <c r="C8161" s="760"/>
      <c r="D8161" s="760"/>
      <c r="E8161" s="760"/>
      <c r="F8161" s="760"/>
      <c r="G8161" s="760"/>
      <c r="H8161" s="760"/>
      <c r="I8161" s="760"/>
      <c r="J8161" s="760"/>
      <c r="K8161" s="760"/>
    </row>
    <row r="8162" spans="1:11">
      <c r="A8162" s="760"/>
      <c r="B8162" s="760"/>
      <c r="C8162" s="760"/>
      <c r="D8162" s="760"/>
      <c r="E8162" s="760"/>
      <c r="F8162" s="760"/>
      <c r="G8162" s="760"/>
      <c r="H8162" s="760"/>
      <c r="I8162" s="760"/>
      <c r="J8162" s="760"/>
      <c r="K8162" s="760"/>
    </row>
    <row r="8163" spans="1:11">
      <c r="A8163" s="760"/>
      <c r="B8163" s="760"/>
      <c r="C8163" s="760"/>
      <c r="D8163" s="760"/>
      <c r="E8163" s="760"/>
      <c r="F8163" s="760"/>
      <c r="G8163" s="760"/>
      <c r="H8163" s="760"/>
      <c r="I8163" s="760"/>
      <c r="J8163" s="760"/>
      <c r="K8163" s="760"/>
    </row>
    <row r="8164" spans="1:11">
      <c r="A8164" s="760"/>
      <c r="B8164" s="760"/>
      <c r="C8164" s="760"/>
      <c r="D8164" s="760"/>
      <c r="E8164" s="760"/>
      <c r="F8164" s="760"/>
      <c r="G8164" s="760"/>
      <c r="H8164" s="760"/>
      <c r="I8164" s="760"/>
      <c r="J8164" s="760"/>
      <c r="K8164" s="760"/>
    </row>
    <row r="8165" spans="1:11">
      <c r="A8165" s="760"/>
      <c r="B8165" s="760"/>
      <c r="C8165" s="760"/>
      <c r="D8165" s="760"/>
      <c r="E8165" s="760"/>
      <c r="F8165" s="760"/>
      <c r="G8165" s="760"/>
      <c r="H8165" s="760"/>
      <c r="I8165" s="760"/>
      <c r="J8165" s="760"/>
      <c r="K8165" s="760"/>
    </row>
    <row r="8166" spans="1:11">
      <c r="A8166" s="760"/>
      <c r="B8166" s="760"/>
      <c r="C8166" s="760"/>
      <c r="D8166" s="760"/>
      <c r="E8166" s="760"/>
      <c r="F8166" s="760"/>
      <c r="G8166" s="760"/>
      <c r="H8166" s="760"/>
      <c r="I8166" s="760"/>
      <c r="J8166" s="760"/>
      <c r="K8166" s="760"/>
    </row>
    <row r="8167" spans="1:11">
      <c r="A8167" s="760"/>
      <c r="B8167" s="760"/>
      <c r="C8167" s="760"/>
      <c r="D8167" s="760"/>
      <c r="E8167" s="760"/>
      <c r="F8167" s="760"/>
      <c r="G8167" s="760"/>
      <c r="H8167" s="760"/>
      <c r="I8167" s="760"/>
      <c r="J8167" s="760"/>
      <c r="K8167" s="760"/>
    </row>
    <row r="8168" spans="1:11">
      <c r="A8168" s="760"/>
      <c r="B8168" s="760"/>
      <c r="C8168" s="760"/>
      <c r="D8168" s="760"/>
      <c r="E8168" s="760"/>
      <c r="F8168" s="760"/>
      <c r="G8168" s="760"/>
      <c r="H8168" s="760"/>
      <c r="I8168" s="760"/>
      <c r="J8168" s="760"/>
      <c r="K8168" s="760"/>
    </row>
    <row r="8169" spans="1:11">
      <c r="A8169" s="760"/>
      <c r="B8169" s="760"/>
      <c r="C8169" s="760"/>
      <c r="D8169" s="760"/>
      <c r="E8169" s="760"/>
      <c r="F8169" s="760"/>
      <c r="G8169" s="760"/>
      <c r="H8169" s="760"/>
      <c r="I8169" s="760"/>
      <c r="J8169" s="760"/>
      <c r="K8169" s="760"/>
    </row>
    <row r="8170" spans="1:11">
      <c r="A8170" s="760"/>
      <c r="B8170" s="760"/>
      <c r="C8170" s="760"/>
      <c r="D8170" s="760"/>
      <c r="E8170" s="760"/>
      <c r="F8170" s="760"/>
      <c r="G8170" s="760"/>
      <c r="H8170" s="760"/>
      <c r="I8170" s="760"/>
      <c r="J8170" s="760"/>
      <c r="K8170" s="760"/>
    </row>
    <row r="8171" spans="1:11">
      <c r="A8171" s="760"/>
      <c r="B8171" s="760"/>
      <c r="C8171" s="760"/>
      <c r="D8171" s="760"/>
      <c r="E8171" s="760"/>
      <c r="F8171" s="760"/>
      <c r="G8171" s="760"/>
      <c r="H8171" s="760"/>
      <c r="I8171" s="760"/>
      <c r="J8171" s="760"/>
      <c r="K8171" s="760"/>
    </row>
    <row r="8172" spans="1:11">
      <c r="A8172" s="760"/>
      <c r="B8172" s="760"/>
      <c r="C8172" s="760"/>
      <c r="D8172" s="760"/>
      <c r="E8172" s="760"/>
      <c r="F8172" s="760"/>
      <c r="G8172" s="760"/>
      <c r="H8172" s="760"/>
      <c r="I8172" s="760"/>
      <c r="J8172" s="760"/>
      <c r="K8172" s="760"/>
    </row>
    <row r="8173" spans="1:11">
      <c r="A8173" s="760"/>
      <c r="B8173" s="760"/>
      <c r="C8173" s="760"/>
      <c r="D8173" s="760"/>
      <c r="E8173" s="760"/>
      <c r="F8173" s="760"/>
      <c r="G8173" s="760"/>
      <c r="H8173" s="760"/>
      <c r="I8173" s="760"/>
      <c r="J8173" s="760"/>
      <c r="K8173" s="760"/>
    </row>
    <row r="8174" spans="1:11">
      <c r="A8174" s="760"/>
      <c r="B8174" s="760"/>
      <c r="C8174" s="760"/>
      <c r="D8174" s="760"/>
      <c r="E8174" s="760"/>
      <c r="F8174" s="760"/>
      <c r="G8174" s="760"/>
      <c r="H8174" s="760"/>
      <c r="I8174" s="760"/>
      <c r="J8174" s="760"/>
      <c r="K8174" s="760"/>
    </row>
    <row r="8175" spans="1:11">
      <c r="A8175" s="760"/>
      <c r="B8175" s="760"/>
      <c r="C8175" s="760"/>
      <c r="D8175" s="760"/>
      <c r="E8175" s="760"/>
      <c r="F8175" s="760"/>
      <c r="G8175" s="760"/>
      <c r="H8175" s="760"/>
      <c r="I8175" s="760"/>
      <c r="J8175" s="760"/>
      <c r="K8175" s="760"/>
    </row>
    <row r="8176" spans="1:11">
      <c r="A8176" s="760"/>
      <c r="B8176" s="760"/>
      <c r="C8176" s="760"/>
      <c r="D8176" s="760"/>
      <c r="E8176" s="760"/>
      <c r="F8176" s="760"/>
      <c r="G8176" s="760"/>
      <c r="H8176" s="760"/>
      <c r="I8176" s="760"/>
      <c r="J8176" s="760"/>
      <c r="K8176" s="760"/>
    </row>
    <row r="8177" spans="1:11">
      <c r="A8177" s="760"/>
      <c r="B8177" s="760"/>
      <c r="C8177" s="760"/>
      <c r="D8177" s="760"/>
      <c r="E8177" s="760"/>
      <c r="F8177" s="760"/>
      <c r="G8177" s="760"/>
      <c r="H8177" s="760"/>
      <c r="I8177" s="760"/>
      <c r="J8177" s="760"/>
      <c r="K8177" s="760"/>
    </row>
    <row r="8178" spans="1:11">
      <c r="A8178" s="760"/>
      <c r="B8178" s="760"/>
      <c r="C8178" s="760"/>
      <c r="D8178" s="760"/>
      <c r="E8178" s="760"/>
      <c r="F8178" s="760"/>
      <c r="G8178" s="760"/>
      <c r="H8178" s="760"/>
      <c r="I8178" s="760"/>
      <c r="J8178" s="760"/>
      <c r="K8178" s="760"/>
    </row>
    <row r="8179" spans="1:11">
      <c r="A8179" s="760"/>
      <c r="B8179" s="760"/>
      <c r="C8179" s="760"/>
      <c r="D8179" s="760"/>
      <c r="E8179" s="760"/>
      <c r="F8179" s="760"/>
      <c r="G8179" s="760"/>
      <c r="H8179" s="760"/>
      <c r="I8179" s="760"/>
      <c r="J8179" s="760"/>
      <c r="K8179" s="760"/>
    </row>
    <row r="8180" spans="1:11">
      <c r="A8180" s="760"/>
      <c r="B8180" s="760"/>
      <c r="C8180" s="760"/>
      <c r="D8180" s="760"/>
      <c r="E8180" s="760"/>
      <c r="F8180" s="760"/>
      <c r="G8180" s="760"/>
      <c r="H8180" s="760"/>
      <c r="I8180" s="760"/>
      <c r="J8180" s="760"/>
      <c r="K8180" s="760"/>
    </row>
    <row r="8181" spans="1:11">
      <c r="A8181" s="760"/>
      <c r="B8181" s="760"/>
      <c r="C8181" s="760"/>
      <c r="D8181" s="760"/>
      <c r="E8181" s="760"/>
      <c r="F8181" s="760"/>
      <c r="G8181" s="760"/>
      <c r="H8181" s="760"/>
      <c r="I8181" s="760"/>
      <c r="J8181" s="760"/>
      <c r="K8181" s="760"/>
    </row>
    <row r="8182" spans="1:11">
      <c r="A8182" s="760"/>
      <c r="B8182" s="760"/>
      <c r="C8182" s="760"/>
      <c r="D8182" s="760"/>
      <c r="E8182" s="760"/>
      <c r="F8182" s="760"/>
      <c r="G8182" s="760"/>
      <c r="H8182" s="760"/>
      <c r="I8182" s="760"/>
      <c r="J8182" s="760"/>
      <c r="K8182" s="760"/>
    </row>
    <row r="8183" spans="1:11">
      <c r="A8183" s="760"/>
      <c r="B8183" s="760"/>
      <c r="C8183" s="760"/>
      <c r="D8183" s="760"/>
      <c r="E8183" s="760"/>
      <c r="F8183" s="760"/>
      <c r="G8183" s="760"/>
      <c r="H8183" s="760"/>
      <c r="I8183" s="760"/>
      <c r="J8183" s="760"/>
      <c r="K8183" s="760"/>
    </row>
    <row r="8184" spans="1:11">
      <c r="A8184" s="760"/>
      <c r="B8184" s="760"/>
      <c r="C8184" s="760"/>
      <c r="D8184" s="760"/>
      <c r="E8184" s="760"/>
      <c r="F8184" s="760"/>
      <c r="G8184" s="760"/>
      <c r="H8184" s="760"/>
      <c r="I8184" s="760"/>
      <c r="J8184" s="760"/>
      <c r="K8184" s="760"/>
    </row>
    <row r="8185" spans="1:11">
      <c r="A8185" s="760"/>
      <c r="B8185" s="760"/>
      <c r="C8185" s="760"/>
      <c r="D8185" s="760"/>
      <c r="E8185" s="760"/>
      <c r="F8185" s="760"/>
      <c r="G8185" s="760"/>
      <c r="H8185" s="760"/>
      <c r="I8185" s="760"/>
      <c r="J8185" s="760"/>
      <c r="K8185" s="760"/>
    </row>
    <row r="8186" spans="1:11">
      <c r="A8186" s="760"/>
      <c r="B8186" s="760"/>
      <c r="C8186" s="760"/>
      <c r="D8186" s="760"/>
      <c r="E8186" s="760"/>
      <c r="F8186" s="760"/>
      <c r="G8186" s="760"/>
      <c r="H8186" s="760"/>
      <c r="I8186" s="760"/>
      <c r="J8186" s="760"/>
      <c r="K8186" s="760"/>
    </row>
    <row r="8187" spans="1:11">
      <c r="A8187" s="760"/>
      <c r="B8187" s="760"/>
      <c r="C8187" s="760"/>
      <c r="D8187" s="760"/>
      <c r="E8187" s="760"/>
      <c r="F8187" s="760"/>
      <c r="G8187" s="760"/>
      <c r="H8187" s="760"/>
      <c r="I8187" s="760"/>
      <c r="J8187" s="760"/>
      <c r="K8187" s="760"/>
    </row>
    <row r="8188" spans="1:11">
      <c r="A8188" s="760"/>
      <c r="B8188" s="760"/>
      <c r="C8188" s="760"/>
      <c r="D8188" s="760"/>
      <c r="E8188" s="760"/>
      <c r="F8188" s="760"/>
      <c r="G8188" s="760"/>
      <c r="H8188" s="760"/>
      <c r="I8188" s="760"/>
      <c r="J8188" s="760"/>
      <c r="K8188" s="760"/>
    </row>
    <row r="8189" spans="1:11">
      <c r="A8189" s="760"/>
      <c r="B8189" s="760"/>
      <c r="C8189" s="760"/>
      <c r="D8189" s="760"/>
      <c r="E8189" s="760"/>
      <c r="F8189" s="760"/>
      <c r="G8189" s="760"/>
      <c r="H8189" s="760"/>
      <c r="I8189" s="760"/>
      <c r="J8189" s="760"/>
      <c r="K8189" s="760"/>
    </row>
    <row r="8190" spans="1:11">
      <c r="A8190" s="760"/>
      <c r="B8190" s="760"/>
      <c r="C8190" s="760"/>
      <c r="D8190" s="760"/>
      <c r="E8190" s="760"/>
      <c r="F8190" s="760"/>
      <c r="G8190" s="760"/>
      <c r="H8190" s="760"/>
      <c r="I8190" s="760"/>
      <c r="J8190" s="760"/>
      <c r="K8190" s="760"/>
    </row>
    <row r="8191" spans="1:11">
      <c r="A8191" s="760"/>
      <c r="B8191" s="760"/>
      <c r="C8191" s="760"/>
      <c r="D8191" s="760"/>
      <c r="E8191" s="760"/>
      <c r="F8191" s="760"/>
      <c r="G8191" s="760"/>
      <c r="H8191" s="760"/>
      <c r="I8191" s="760"/>
      <c r="J8191" s="760"/>
      <c r="K8191" s="760"/>
    </row>
    <row r="8192" spans="1:11">
      <c r="A8192" s="760"/>
      <c r="B8192" s="760"/>
      <c r="C8192" s="760"/>
      <c r="D8192" s="760"/>
      <c r="E8192" s="760"/>
      <c r="F8192" s="760"/>
      <c r="G8192" s="760"/>
      <c r="H8192" s="760"/>
      <c r="I8192" s="760"/>
      <c r="J8192" s="760"/>
      <c r="K8192" s="760"/>
    </row>
    <row r="8193" spans="1:11">
      <c r="A8193" s="760"/>
      <c r="B8193" s="760"/>
      <c r="C8193" s="760"/>
      <c r="D8193" s="760"/>
      <c r="E8193" s="760"/>
      <c r="F8193" s="760"/>
      <c r="G8193" s="760"/>
      <c r="H8193" s="760"/>
      <c r="I8193" s="760"/>
      <c r="J8193" s="760"/>
      <c r="K8193" s="760"/>
    </row>
    <row r="8194" spans="1:11">
      <c r="A8194" s="760"/>
      <c r="B8194" s="760"/>
      <c r="C8194" s="760"/>
      <c r="D8194" s="760"/>
      <c r="E8194" s="760"/>
      <c r="F8194" s="760"/>
      <c r="G8194" s="760"/>
      <c r="H8194" s="760"/>
      <c r="I8194" s="760"/>
      <c r="J8194" s="760"/>
      <c r="K8194" s="760"/>
    </row>
    <row r="8195" spans="1:11">
      <c r="A8195" s="760"/>
      <c r="B8195" s="760"/>
      <c r="C8195" s="760"/>
      <c r="D8195" s="760"/>
      <c r="E8195" s="760"/>
      <c r="F8195" s="760"/>
      <c r="G8195" s="760"/>
      <c r="H8195" s="760"/>
      <c r="I8195" s="760"/>
      <c r="J8195" s="760"/>
      <c r="K8195" s="760"/>
    </row>
    <row r="8196" spans="1:11">
      <c r="A8196" s="760"/>
      <c r="B8196" s="760"/>
      <c r="C8196" s="760"/>
      <c r="D8196" s="760"/>
      <c r="E8196" s="760"/>
      <c r="F8196" s="760"/>
      <c r="G8196" s="760"/>
      <c r="H8196" s="760"/>
      <c r="I8196" s="760"/>
      <c r="J8196" s="760"/>
      <c r="K8196" s="760"/>
    </row>
    <row r="8197" spans="1:11">
      <c r="A8197" s="760"/>
      <c r="B8197" s="760"/>
      <c r="C8197" s="760"/>
      <c r="D8197" s="760"/>
      <c r="E8197" s="760"/>
      <c r="F8197" s="760"/>
      <c r="G8197" s="760"/>
      <c r="H8197" s="760"/>
      <c r="I8197" s="760"/>
      <c r="J8197" s="760"/>
      <c r="K8197" s="760"/>
    </row>
    <row r="8198" spans="1:11">
      <c r="A8198" s="760"/>
      <c r="B8198" s="760"/>
      <c r="C8198" s="760"/>
      <c r="D8198" s="760"/>
      <c r="E8198" s="760"/>
      <c r="F8198" s="760"/>
      <c r="G8198" s="760"/>
      <c r="H8198" s="760"/>
      <c r="I8198" s="760"/>
      <c r="J8198" s="760"/>
      <c r="K8198" s="760"/>
    </row>
    <row r="8199" spans="1:11">
      <c r="A8199" s="760"/>
      <c r="B8199" s="760"/>
      <c r="C8199" s="760"/>
      <c r="D8199" s="760"/>
      <c r="E8199" s="760"/>
      <c r="F8199" s="760"/>
      <c r="G8199" s="760"/>
      <c r="H8199" s="760"/>
      <c r="I8199" s="760"/>
      <c r="J8199" s="760"/>
      <c r="K8199" s="760"/>
    </row>
    <row r="8200" spans="1:11">
      <c r="A8200" s="760"/>
      <c r="B8200" s="760"/>
      <c r="C8200" s="760"/>
      <c r="D8200" s="760"/>
      <c r="E8200" s="760"/>
      <c r="F8200" s="760"/>
      <c r="G8200" s="760"/>
      <c r="H8200" s="760"/>
      <c r="I8200" s="760"/>
      <c r="J8200" s="760"/>
      <c r="K8200" s="760"/>
    </row>
    <row r="8201" spans="1:11">
      <c r="A8201" s="760"/>
      <c r="B8201" s="760"/>
      <c r="C8201" s="760"/>
      <c r="D8201" s="760"/>
      <c r="E8201" s="760"/>
      <c r="F8201" s="760"/>
      <c r="G8201" s="760"/>
      <c r="H8201" s="760"/>
      <c r="I8201" s="760"/>
      <c r="J8201" s="760"/>
      <c r="K8201" s="760"/>
    </row>
    <row r="8202" spans="1:11">
      <c r="A8202" s="760"/>
      <c r="B8202" s="760"/>
      <c r="C8202" s="760"/>
      <c r="D8202" s="760"/>
      <c r="E8202" s="760"/>
      <c r="F8202" s="760"/>
      <c r="G8202" s="760"/>
      <c r="H8202" s="760"/>
      <c r="I8202" s="760"/>
      <c r="J8202" s="760"/>
      <c r="K8202" s="760"/>
    </row>
    <row r="8203" spans="1:11">
      <c r="A8203" s="760"/>
      <c r="B8203" s="760"/>
      <c r="C8203" s="760"/>
      <c r="D8203" s="760"/>
      <c r="E8203" s="760"/>
      <c r="F8203" s="760"/>
      <c r="G8203" s="760"/>
      <c r="H8203" s="760"/>
      <c r="I8203" s="760"/>
      <c r="J8203" s="760"/>
      <c r="K8203" s="760"/>
    </row>
    <row r="8204" spans="1:11">
      <c r="A8204" s="760"/>
      <c r="B8204" s="760"/>
      <c r="C8204" s="760"/>
      <c r="D8204" s="760"/>
      <c r="E8204" s="760"/>
      <c r="F8204" s="760"/>
      <c r="G8204" s="760"/>
      <c r="H8204" s="760"/>
      <c r="I8204" s="760"/>
      <c r="J8204" s="760"/>
      <c r="K8204" s="760"/>
    </row>
    <row r="8205" spans="1:11">
      <c r="A8205" s="760"/>
      <c r="B8205" s="760"/>
      <c r="C8205" s="760"/>
      <c r="D8205" s="760"/>
      <c r="E8205" s="760"/>
      <c r="F8205" s="760"/>
      <c r="G8205" s="760"/>
      <c r="H8205" s="760"/>
      <c r="I8205" s="760"/>
      <c r="J8205" s="760"/>
      <c r="K8205" s="760"/>
    </row>
    <row r="8206" spans="1:11">
      <c r="A8206" s="760"/>
      <c r="B8206" s="760"/>
      <c r="C8206" s="760"/>
      <c r="D8206" s="760"/>
      <c r="E8206" s="760"/>
      <c r="F8206" s="760"/>
      <c r="G8206" s="760"/>
      <c r="H8206" s="760"/>
      <c r="I8206" s="760"/>
      <c r="J8206" s="760"/>
      <c r="K8206" s="760"/>
    </row>
    <row r="8207" spans="1:11">
      <c r="A8207" s="760"/>
      <c r="B8207" s="760"/>
      <c r="C8207" s="760"/>
      <c r="D8207" s="760"/>
      <c r="E8207" s="760"/>
      <c r="F8207" s="760"/>
      <c r="G8207" s="760"/>
      <c r="H8207" s="760"/>
      <c r="I8207" s="760"/>
      <c r="J8207" s="760"/>
      <c r="K8207" s="760"/>
    </row>
    <row r="8208" spans="1:11">
      <c r="A8208" s="760"/>
      <c r="B8208" s="760"/>
      <c r="C8208" s="760"/>
      <c r="D8208" s="760"/>
      <c r="E8208" s="760"/>
      <c r="F8208" s="760"/>
      <c r="G8208" s="760"/>
      <c r="H8208" s="760"/>
      <c r="I8208" s="760"/>
      <c r="J8208" s="760"/>
      <c r="K8208" s="760"/>
    </row>
    <row r="8209" spans="1:11">
      <c r="A8209" s="760"/>
      <c r="B8209" s="760"/>
      <c r="C8209" s="760"/>
      <c r="D8209" s="760"/>
      <c r="E8209" s="760"/>
      <c r="F8209" s="760"/>
      <c r="G8209" s="760"/>
      <c r="H8209" s="760"/>
      <c r="I8209" s="760"/>
      <c r="J8209" s="760"/>
      <c r="K8209" s="760"/>
    </row>
    <row r="8210" spans="1:11">
      <c r="A8210" s="760"/>
      <c r="B8210" s="760"/>
      <c r="C8210" s="760"/>
      <c r="D8210" s="760"/>
      <c r="E8210" s="760"/>
      <c r="F8210" s="760"/>
      <c r="G8210" s="760"/>
      <c r="H8210" s="760"/>
      <c r="I8210" s="760"/>
      <c r="J8210" s="760"/>
      <c r="K8210" s="760"/>
    </row>
    <row r="8211" spans="1:11">
      <c r="A8211" s="760"/>
      <c r="B8211" s="760"/>
      <c r="C8211" s="760"/>
      <c r="D8211" s="760"/>
      <c r="E8211" s="760"/>
      <c r="F8211" s="760"/>
      <c r="G8211" s="760"/>
      <c r="H8211" s="760"/>
      <c r="I8211" s="760"/>
      <c r="J8211" s="760"/>
      <c r="K8211" s="760"/>
    </row>
    <row r="8212" spans="1:11">
      <c r="A8212" s="760"/>
      <c r="B8212" s="760"/>
      <c r="C8212" s="760"/>
      <c r="D8212" s="760"/>
      <c r="E8212" s="760"/>
      <c r="F8212" s="760"/>
      <c r="G8212" s="760"/>
      <c r="H8212" s="760"/>
      <c r="I8212" s="760"/>
      <c r="J8212" s="760"/>
      <c r="K8212" s="760"/>
    </row>
    <row r="8213" spans="1:11">
      <c r="A8213" s="760"/>
      <c r="B8213" s="760"/>
      <c r="C8213" s="760"/>
      <c r="D8213" s="760"/>
      <c r="E8213" s="760"/>
      <c r="F8213" s="760"/>
      <c r="G8213" s="760"/>
      <c r="H8213" s="760"/>
      <c r="I8213" s="760"/>
      <c r="J8213" s="760"/>
      <c r="K8213" s="760"/>
    </row>
    <row r="8214" spans="1:11">
      <c r="A8214" s="760"/>
      <c r="B8214" s="760"/>
      <c r="C8214" s="760"/>
      <c r="D8214" s="760"/>
      <c r="E8214" s="760"/>
      <c r="F8214" s="760"/>
      <c r="G8214" s="760"/>
      <c r="H8214" s="760"/>
      <c r="I8214" s="760"/>
      <c r="J8214" s="760"/>
      <c r="K8214" s="760"/>
    </row>
    <row r="8215" spans="1:11">
      <c r="A8215" s="760"/>
      <c r="B8215" s="760"/>
      <c r="C8215" s="760"/>
      <c r="D8215" s="760"/>
      <c r="E8215" s="760"/>
      <c r="F8215" s="760"/>
      <c r="G8215" s="760"/>
      <c r="H8215" s="760"/>
      <c r="I8215" s="760"/>
      <c r="J8215" s="760"/>
      <c r="K8215" s="760"/>
    </row>
    <row r="8216" spans="1:11">
      <c r="A8216" s="760"/>
      <c r="B8216" s="760"/>
      <c r="C8216" s="760"/>
      <c r="D8216" s="760"/>
      <c r="E8216" s="760"/>
      <c r="F8216" s="760"/>
      <c r="G8216" s="760"/>
      <c r="H8216" s="760"/>
      <c r="I8216" s="760"/>
      <c r="J8216" s="760"/>
      <c r="K8216" s="760"/>
    </row>
    <row r="8217" spans="1:11">
      <c r="A8217" s="760"/>
      <c r="B8217" s="760"/>
      <c r="C8217" s="760"/>
      <c r="D8217" s="760"/>
      <c r="E8217" s="760"/>
      <c r="F8217" s="760"/>
      <c r="G8217" s="760"/>
      <c r="H8217" s="760"/>
      <c r="I8217" s="760"/>
      <c r="J8217" s="760"/>
      <c r="K8217" s="760"/>
    </row>
    <row r="8218" spans="1:11">
      <c r="A8218" s="760"/>
      <c r="B8218" s="760"/>
      <c r="C8218" s="760"/>
      <c r="D8218" s="760"/>
      <c r="E8218" s="760"/>
      <c r="F8218" s="760"/>
      <c r="G8218" s="760"/>
      <c r="H8218" s="760"/>
      <c r="I8218" s="760"/>
      <c r="J8218" s="760"/>
      <c r="K8218" s="760"/>
    </row>
    <row r="8219" spans="1:11">
      <c r="A8219" s="760"/>
      <c r="B8219" s="760"/>
      <c r="C8219" s="760"/>
      <c r="D8219" s="760"/>
      <c r="E8219" s="760"/>
      <c r="F8219" s="760"/>
      <c r="G8219" s="760"/>
      <c r="H8219" s="760"/>
      <c r="I8219" s="760"/>
      <c r="J8219" s="760"/>
      <c r="K8219" s="760"/>
    </row>
    <row r="8220" spans="1:11">
      <c r="A8220" s="760"/>
      <c r="B8220" s="760"/>
      <c r="C8220" s="760"/>
      <c r="D8220" s="760"/>
      <c r="E8220" s="760"/>
      <c r="F8220" s="760"/>
      <c r="G8220" s="760"/>
      <c r="H8220" s="760"/>
      <c r="I8220" s="760"/>
      <c r="J8220" s="760"/>
      <c r="K8220" s="760"/>
    </row>
    <row r="8221" spans="1:11">
      <c r="A8221" s="760"/>
      <c r="B8221" s="760"/>
      <c r="C8221" s="760"/>
      <c r="D8221" s="760"/>
      <c r="E8221" s="760"/>
      <c r="F8221" s="760"/>
      <c r="G8221" s="760"/>
      <c r="H8221" s="760"/>
      <c r="I8221" s="760"/>
      <c r="J8221" s="760"/>
      <c r="K8221" s="760"/>
    </row>
    <row r="8222" spans="1:11">
      <c r="A8222" s="760"/>
      <c r="B8222" s="760"/>
      <c r="C8222" s="760"/>
      <c r="D8222" s="760"/>
      <c r="E8222" s="760"/>
      <c r="F8222" s="760"/>
      <c r="G8222" s="760"/>
      <c r="H8222" s="760"/>
      <c r="I8222" s="760"/>
      <c r="J8222" s="760"/>
      <c r="K8222" s="760"/>
    </row>
    <row r="8223" spans="1:11">
      <c r="A8223" s="760"/>
      <c r="B8223" s="760"/>
      <c r="C8223" s="760"/>
      <c r="D8223" s="760"/>
      <c r="E8223" s="760"/>
      <c r="F8223" s="760"/>
      <c r="G8223" s="760"/>
      <c r="H8223" s="760"/>
      <c r="I8223" s="760"/>
      <c r="J8223" s="760"/>
      <c r="K8223" s="760"/>
    </row>
    <row r="8224" spans="1:11">
      <c r="A8224" s="760"/>
      <c r="B8224" s="760"/>
      <c r="C8224" s="760"/>
      <c r="D8224" s="760"/>
      <c r="E8224" s="760"/>
      <c r="F8224" s="760"/>
      <c r="G8224" s="760"/>
      <c r="H8224" s="760"/>
      <c r="I8224" s="760"/>
      <c r="J8224" s="760"/>
      <c r="K8224" s="760"/>
    </row>
    <row r="8225" spans="1:11">
      <c r="A8225" s="760"/>
      <c r="B8225" s="760"/>
      <c r="C8225" s="760"/>
      <c r="D8225" s="760"/>
      <c r="E8225" s="760"/>
      <c r="F8225" s="760"/>
      <c r="G8225" s="760"/>
      <c r="H8225" s="760"/>
      <c r="I8225" s="760"/>
      <c r="J8225" s="760"/>
      <c r="K8225" s="760"/>
    </row>
    <row r="8226" spans="1:11">
      <c r="A8226" s="760"/>
      <c r="B8226" s="760"/>
      <c r="C8226" s="760"/>
      <c r="D8226" s="760"/>
      <c r="E8226" s="760"/>
      <c r="F8226" s="760"/>
      <c r="G8226" s="760"/>
      <c r="H8226" s="760"/>
      <c r="I8226" s="760"/>
      <c r="J8226" s="760"/>
      <c r="K8226" s="760"/>
    </row>
    <row r="8227" spans="1:11">
      <c r="A8227" s="760"/>
      <c r="B8227" s="760"/>
      <c r="C8227" s="760"/>
      <c r="D8227" s="760"/>
      <c r="E8227" s="760"/>
      <c r="F8227" s="760"/>
      <c r="G8227" s="760"/>
      <c r="H8227" s="760"/>
      <c r="I8227" s="760"/>
      <c r="J8227" s="760"/>
      <c r="K8227" s="760"/>
    </row>
    <row r="8228" spans="1:11">
      <c r="A8228" s="760"/>
      <c r="B8228" s="760"/>
      <c r="C8228" s="760"/>
      <c r="D8228" s="760"/>
      <c r="E8228" s="760"/>
      <c r="F8228" s="760"/>
      <c r="G8228" s="760"/>
      <c r="H8228" s="760"/>
      <c r="I8228" s="760"/>
      <c r="J8228" s="760"/>
      <c r="K8228" s="760"/>
    </row>
    <row r="8229" spans="1:11">
      <c r="A8229" s="760"/>
      <c r="B8229" s="760"/>
      <c r="C8229" s="760"/>
      <c r="D8229" s="760"/>
      <c r="E8229" s="760"/>
      <c r="F8229" s="760"/>
      <c r="G8229" s="760"/>
      <c r="H8229" s="760"/>
      <c r="I8229" s="760"/>
      <c r="J8229" s="760"/>
      <c r="K8229" s="760"/>
    </row>
    <row r="8230" spans="1:11">
      <c r="A8230" s="760"/>
      <c r="B8230" s="760"/>
      <c r="C8230" s="760"/>
      <c r="D8230" s="760"/>
      <c r="E8230" s="760"/>
      <c r="F8230" s="760"/>
      <c r="G8230" s="760"/>
      <c r="H8230" s="760"/>
      <c r="I8230" s="760"/>
      <c r="J8230" s="760"/>
      <c r="K8230" s="760"/>
    </row>
    <row r="8231" spans="1:11">
      <c r="A8231" s="760"/>
      <c r="B8231" s="760"/>
      <c r="C8231" s="760"/>
      <c r="D8231" s="760"/>
      <c r="E8231" s="760"/>
      <c r="F8231" s="760"/>
      <c r="G8231" s="760"/>
      <c r="H8231" s="760"/>
      <c r="I8231" s="760"/>
      <c r="J8231" s="760"/>
      <c r="K8231" s="760"/>
    </row>
    <row r="8232" spans="1:11">
      <c r="A8232" s="760"/>
      <c r="B8232" s="760"/>
      <c r="C8232" s="760"/>
      <c r="D8232" s="760"/>
      <c r="E8232" s="760"/>
      <c r="F8232" s="760"/>
      <c r="G8232" s="760"/>
      <c r="H8232" s="760"/>
      <c r="I8232" s="760"/>
      <c r="J8232" s="760"/>
      <c r="K8232" s="760"/>
    </row>
    <row r="8233" spans="1:11">
      <c r="A8233" s="760"/>
      <c r="B8233" s="760"/>
      <c r="C8233" s="760"/>
      <c r="D8233" s="760"/>
      <c r="E8233" s="760"/>
      <c r="F8233" s="760"/>
      <c r="G8233" s="760"/>
      <c r="H8233" s="760"/>
      <c r="I8233" s="760"/>
      <c r="J8233" s="760"/>
      <c r="K8233" s="760"/>
    </row>
    <row r="8234" spans="1:11">
      <c r="A8234" s="760"/>
      <c r="B8234" s="760"/>
      <c r="C8234" s="760"/>
      <c r="D8234" s="760"/>
      <c r="E8234" s="760"/>
      <c r="F8234" s="760"/>
      <c r="G8234" s="760"/>
      <c r="H8234" s="760"/>
      <c r="I8234" s="760"/>
      <c r="J8234" s="760"/>
      <c r="K8234" s="760"/>
    </row>
    <row r="8235" spans="1:11">
      <c r="A8235" s="760"/>
      <c r="B8235" s="760"/>
      <c r="C8235" s="760"/>
      <c r="D8235" s="760"/>
      <c r="E8235" s="760"/>
      <c r="F8235" s="760"/>
      <c r="G8235" s="760"/>
      <c r="H8235" s="760"/>
      <c r="I8235" s="760"/>
      <c r="J8235" s="760"/>
      <c r="K8235" s="760"/>
    </row>
    <row r="8236" spans="1:11">
      <c r="A8236" s="760"/>
      <c r="B8236" s="760"/>
      <c r="C8236" s="760"/>
      <c r="D8236" s="760"/>
      <c r="E8236" s="760"/>
      <c r="F8236" s="760"/>
      <c r="G8236" s="760"/>
      <c r="H8236" s="760"/>
      <c r="I8236" s="760"/>
      <c r="J8236" s="760"/>
      <c r="K8236" s="760"/>
    </row>
    <row r="8237" spans="1:11">
      <c r="A8237" s="760"/>
      <c r="B8237" s="760"/>
      <c r="C8237" s="760"/>
      <c r="D8237" s="760"/>
      <c r="E8237" s="760"/>
      <c r="F8237" s="760"/>
      <c r="G8237" s="760"/>
      <c r="H8237" s="760"/>
      <c r="I8237" s="760"/>
      <c r="J8237" s="760"/>
      <c r="K8237" s="760"/>
    </row>
    <row r="8238" spans="1:11">
      <c r="A8238" s="760"/>
      <c r="B8238" s="760"/>
      <c r="C8238" s="760"/>
      <c r="D8238" s="760"/>
      <c r="E8238" s="760"/>
      <c r="F8238" s="760"/>
      <c r="G8238" s="760"/>
      <c r="H8238" s="760"/>
      <c r="I8238" s="760"/>
      <c r="J8238" s="760"/>
      <c r="K8238" s="760"/>
    </row>
    <row r="8239" spans="1:11">
      <c r="A8239" s="760"/>
      <c r="B8239" s="760"/>
      <c r="C8239" s="760"/>
      <c r="D8239" s="760"/>
      <c r="E8239" s="760"/>
      <c r="F8239" s="760"/>
      <c r="G8239" s="760"/>
      <c r="H8239" s="760"/>
      <c r="I8239" s="760"/>
      <c r="J8239" s="760"/>
      <c r="K8239" s="760"/>
    </row>
    <row r="8240" spans="1:11">
      <c r="A8240" s="760"/>
      <c r="B8240" s="760"/>
      <c r="C8240" s="760"/>
      <c r="D8240" s="760"/>
      <c r="E8240" s="760"/>
      <c r="F8240" s="760"/>
      <c r="G8240" s="760"/>
      <c r="H8240" s="760"/>
      <c r="I8240" s="760"/>
      <c r="J8240" s="760"/>
      <c r="K8240" s="760"/>
    </row>
    <row r="8241" spans="1:11">
      <c r="A8241" s="760"/>
      <c r="B8241" s="760"/>
      <c r="C8241" s="760"/>
      <c r="D8241" s="760"/>
      <c r="E8241" s="760"/>
      <c r="F8241" s="760"/>
      <c r="G8241" s="760"/>
      <c r="H8241" s="760"/>
      <c r="I8241" s="760"/>
      <c r="J8241" s="760"/>
      <c r="K8241" s="760"/>
    </row>
    <row r="8242" spans="1:11">
      <c r="A8242" s="760"/>
      <c r="B8242" s="760"/>
      <c r="C8242" s="760"/>
      <c r="D8242" s="760"/>
      <c r="E8242" s="760"/>
      <c r="F8242" s="760"/>
      <c r="G8242" s="760"/>
      <c r="H8242" s="760"/>
      <c r="I8242" s="760"/>
      <c r="J8242" s="760"/>
      <c r="K8242" s="760"/>
    </row>
    <row r="8243" spans="1:11">
      <c r="A8243" s="760"/>
      <c r="B8243" s="760"/>
      <c r="C8243" s="760"/>
      <c r="D8243" s="760"/>
      <c r="E8243" s="760"/>
      <c r="F8243" s="760"/>
      <c r="G8243" s="760"/>
      <c r="H8243" s="760"/>
      <c r="I8243" s="760"/>
      <c r="J8243" s="760"/>
      <c r="K8243" s="760"/>
    </row>
    <row r="8244" spans="1:11">
      <c r="A8244" s="760"/>
      <c r="B8244" s="760"/>
      <c r="C8244" s="760"/>
      <c r="D8244" s="760"/>
      <c r="E8244" s="760"/>
      <c r="F8244" s="760"/>
      <c r="G8244" s="760"/>
      <c r="H8244" s="760"/>
      <c r="I8244" s="760"/>
      <c r="J8244" s="760"/>
      <c r="K8244" s="760"/>
    </row>
    <row r="8245" spans="1:11">
      <c r="A8245" s="760"/>
      <c r="B8245" s="760"/>
      <c r="C8245" s="760"/>
      <c r="D8245" s="760"/>
      <c r="E8245" s="760"/>
      <c r="F8245" s="760"/>
      <c r="G8245" s="760"/>
      <c r="H8245" s="760"/>
      <c r="I8245" s="760"/>
      <c r="J8245" s="760"/>
      <c r="K8245" s="760"/>
    </row>
    <row r="8246" spans="1:11">
      <c r="A8246" s="760"/>
      <c r="B8246" s="760"/>
      <c r="C8246" s="760"/>
      <c r="D8246" s="760"/>
      <c r="E8246" s="760"/>
      <c r="F8246" s="760"/>
      <c r="G8246" s="760"/>
      <c r="H8246" s="760"/>
      <c r="I8246" s="760"/>
      <c r="J8246" s="760"/>
      <c r="K8246" s="760"/>
    </row>
    <row r="8247" spans="1:11">
      <c r="A8247" s="760"/>
      <c r="B8247" s="760"/>
      <c r="C8247" s="760"/>
      <c r="D8247" s="760"/>
      <c r="E8247" s="760"/>
      <c r="F8247" s="760"/>
      <c r="G8247" s="760"/>
      <c r="H8247" s="760"/>
      <c r="I8247" s="760"/>
      <c r="J8247" s="760"/>
      <c r="K8247" s="760"/>
    </row>
    <row r="8248" spans="1:11">
      <c r="A8248" s="760"/>
      <c r="B8248" s="760"/>
      <c r="C8248" s="760"/>
      <c r="D8248" s="760"/>
      <c r="E8248" s="760"/>
      <c r="F8248" s="760"/>
      <c r="G8248" s="760"/>
      <c r="H8248" s="760"/>
      <c r="I8248" s="760"/>
      <c r="J8248" s="760"/>
      <c r="K8248" s="760"/>
    </row>
    <row r="8249" spans="1:11">
      <c r="A8249" s="760"/>
      <c r="B8249" s="760"/>
      <c r="C8249" s="760"/>
      <c r="D8249" s="760"/>
      <c r="E8249" s="760"/>
      <c r="F8249" s="760"/>
      <c r="G8249" s="760"/>
      <c r="H8249" s="760"/>
      <c r="I8249" s="760"/>
      <c r="J8249" s="760"/>
      <c r="K8249" s="760"/>
    </row>
    <row r="8250" spans="1:11">
      <c r="A8250" s="760"/>
      <c r="B8250" s="760"/>
      <c r="C8250" s="760"/>
      <c r="D8250" s="760"/>
      <c r="E8250" s="760"/>
      <c r="F8250" s="760"/>
      <c r="G8250" s="760"/>
      <c r="H8250" s="760"/>
      <c r="I8250" s="760"/>
      <c r="J8250" s="760"/>
      <c r="K8250" s="760"/>
    </row>
    <row r="8251" spans="1:11">
      <c r="A8251" s="760"/>
      <c r="B8251" s="760"/>
      <c r="C8251" s="760"/>
      <c r="D8251" s="760"/>
      <c r="E8251" s="760"/>
      <c r="F8251" s="760"/>
      <c r="G8251" s="760"/>
      <c r="H8251" s="760"/>
      <c r="I8251" s="760"/>
      <c r="J8251" s="760"/>
      <c r="K8251" s="760"/>
    </row>
    <row r="8252" spans="1:11">
      <c r="A8252" s="760"/>
      <c r="B8252" s="760"/>
      <c r="C8252" s="760"/>
      <c r="D8252" s="760"/>
      <c r="E8252" s="760"/>
      <c r="F8252" s="760"/>
      <c r="G8252" s="760"/>
      <c r="H8252" s="760"/>
      <c r="I8252" s="760"/>
      <c r="J8252" s="760"/>
      <c r="K8252" s="760"/>
    </row>
    <row r="8253" spans="1:11">
      <c r="A8253" s="760"/>
      <c r="B8253" s="760"/>
      <c r="C8253" s="760"/>
      <c r="D8253" s="760"/>
      <c r="E8253" s="760"/>
      <c r="F8253" s="760"/>
      <c r="G8253" s="760"/>
      <c r="H8253" s="760"/>
      <c r="I8253" s="760"/>
      <c r="J8253" s="760"/>
      <c r="K8253" s="760"/>
    </row>
    <row r="8254" spans="1:11">
      <c r="A8254" s="760"/>
      <c r="B8254" s="760"/>
      <c r="C8254" s="760"/>
      <c r="D8254" s="760"/>
      <c r="E8254" s="760"/>
      <c r="F8254" s="760"/>
      <c r="G8254" s="760"/>
      <c r="H8254" s="760"/>
      <c r="I8254" s="760"/>
      <c r="J8254" s="760"/>
      <c r="K8254" s="760"/>
    </row>
    <row r="8255" spans="1:11">
      <c r="A8255" s="760"/>
      <c r="B8255" s="760"/>
      <c r="C8255" s="760"/>
      <c r="D8255" s="760"/>
      <c r="E8255" s="760"/>
      <c r="F8255" s="760"/>
      <c r="G8255" s="760"/>
      <c r="H8255" s="760"/>
      <c r="I8255" s="760"/>
      <c r="J8255" s="760"/>
      <c r="K8255" s="760"/>
    </row>
    <row r="8256" spans="1:11">
      <c r="A8256" s="760"/>
      <c r="B8256" s="760"/>
      <c r="C8256" s="760"/>
      <c r="D8256" s="760"/>
      <c r="E8256" s="760"/>
      <c r="F8256" s="760"/>
      <c r="G8256" s="760"/>
      <c r="H8256" s="760"/>
      <c r="I8256" s="760"/>
      <c r="J8256" s="760"/>
      <c r="K8256" s="760"/>
    </row>
    <row r="8257" spans="1:11">
      <c r="A8257" s="760"/>
      <c r="B8257" s="760"/>
      <c r="C8257" s="760"/>
      <c r="D8257" s="760"/>
      <c r="E8257" s="760"/>
      <c r="F8257" s="760"/>
      <c r="G8257" s="760"/>
      <c r="H8257" s="760"/>
      <c r="I8257" s="760"/>
      <c r="J8257" s="760"/>
      <c r="K8257" s="760"/>
    </row>
    <row r="8258" spans="1:11">
      <c r="A8258" s="760"/>
      <c r="B8258" s="760"/>
      <c r="C8258" s="760"/>
      <c r="D8258" s="760"/>
      <c r="E8258" s="760"/>
      <c r="F8258" s="760"/>
      <c r="G8258" s="760"/>
      <c r="H8258" s="760"/>
      <c r="I8258" s="760"/>
      <c r="J8258" s="760"/>
      <c r="K8258" s="760"/>
    </row>
    <row r="8259" spans="1:11">
      <c r="A8259" s="760"/>
      <c r="B8259" s="760"/>
      <c r="C8259" s="760"/>
      <c r="D8259" s="760"/>
      <c r="E8259" s="760"/>
      <c r="F8259" s="760"/>
      <c r="G8259" s="760"/>
      <c r="H8259" s="760"/>
      <c r="I8259" s="760"/>
      <c r="J8259" s="760"/>
      <c r="K8259" s="760"/>
    </row>
    <row r="8260" spans="1:11">
      <c r="A8260" s="760"/>
      <c r="B8260" s="760"/>
      <c r="C8260" s="760"/>
      <c r="D8260" s="760"/>
      <c r="E8260" s="760"/>
      <c r="F8260" s="760"/>
      <c r="G8260" s="760"/>
      <c r="H8260" s="760"/>
      <c r="I8260" s="760"/>
      <c r="J8260" s="760"/>
      <c r="K8260" s="760"/>
    </row>
    <row r="8261" spans="1:11">
      <c r="A8261" s="760"/>
      <c r="B8261" s="760"/>
      <c r="C8261" s="760"/>
      <c r="D8261" s="760"/>
      <c r="E8261" s="760"/>
      <c r="F8261" s="760"/>
      <c r="G8261" s="760"/>
      <c r="H8261" s="760"/>
      <c r="I8261" s="760"/>
      <c r="J8261" s="760"/>
      <c r="K8261" s="760"/>
    </row>
    <row r="8262" spans="1:11">
      <c r="A8262" s="760"/>
      <c r="B8262" s="760"/>
      <c r="C8262" s="760"/>
      <c r="D8262" s="760"/>
      <c r="E8262" s="760"/>
      <c r="F8262" s="760"/>
      <c r="G8262" s="760"/>
      <c r="H8262" s="760"/>
      <c r="I8262" s="760"/>
      <c r="J8262" s="760"/>
      <c r="K8262" s="760"/>
    </row>
    <row r="8263" spans="1:11">
      <c r="A8263" s="760"/>
      <c r="B8263" s="760"/>
      <c r="C8263" s="760"/>
      <c r="D8263" s="760"/>
      <c r="E8263" s="760"/>
      <c r="F8263" s="760"/>
      <c r="G8263" s="760"/>
      <c r="H8263" s="760"/>
      <c r="I8263" s="760"/>
      <c r="J8263" s="760"/>
      <c r="K8263" s="760"/>
    </row>
    <row r="8264" spans="1:11">
      <c r="A8264" s="760"/>
      <c r="B8264" s="760"/>
      <c r="C8264" s="760"/>
      <c r="D8264" s="760"/>
      <c r="E8264" s="760"/>
      <c r="F8264" s="760"/>
      <c r="G8264" s="760"/>
      <c r="H8264" s="760"/>
      <c r="I8264" s="760"/>
      <c r="J8264" s="760"/>
      <c r="K8264" s="760"/>
    </row>
    <row r="8265" spans="1:11">
      <c r="A8265" s="760"/>
      <c r="B8265" s="760"/>
      <c r="C8265" s="760"/>
      <c r="D8265" s="760"/>
      <c r="E8265" s="760"/>
      <c r="F8265" s="760"/>
      <c r="G8265" s="760"/>
      <c r="H8265" s="760"/>
      <c r="I8265" s="760"/>
      <c r="J8265" s="760"/>
      <c r="K8265" s="760"/>
    </row>
    <row r="8266" spans="1:11">
      <c r="A8266" s="760"/>
      <c r="B8266" s="760"/>
      <c r="C8266" s="760"/>
      <c r="D8266" s="760"/>
      <c r="E8266" s="760"/>
      <c r="F8266" s="760"/>
      <c r="G8266" s="760"/>
      <c r="H8266" s="760"/>
      <c r="I8266" s="760"/>
      <c r="J8266" s="760"/>
      <c r="K8266" s="760"/>
    </row>
    <row r="8267" spans="1:11">
      <c r="A8267" s="760"/>
      <c r="B8267" s="760"/>
      <c r="C8267" s="760"/>
      <c r="D8267" s="760"/>
      <c r="E8267" s="760"/>
      <c r="F8267" s="760"/>
      <c r="G8267" s="760"/>
      <c r="H8267" s="760"/>
      <c r="I8267" s="760"/>
      <c r="J8267" s="760"/>
      <c r="K8267" s="760"/>
    </row>
    <row r="8268" spans="1:11">
      <c r="A8268" s="760"/>
      <c r="B8268" s="760"/>
      <c r="C8268" s="760"/>
      <c r="D8268" s="760"/>
      <c r="E8268" s="760"/>
      <c r="F8268" s="760"/>
      <c r="G8268" s="760"/>
      <c r="H8268" s="760"/>
      <c r="I8268" s="760"/>
      <c r="J8268" s="760"/>
      <c r="K8268" s="760"/>
    </row>
    <row r="8269" spans="1:11">
      <c r="A8269" s="760"/>
      <c r="B8269" s="760"/>
      <c r="C8269" s="760"/>
      <c r="D8269" s="760"/>
      <c r="E8269" s="760"/>
      <c r="F8269" s="760"/>
      <c r="G8269" s="760"/>
      <c r="H8269" s="760"/>
      <c r="I8269" s="760"/>
      <c r="J8269" s="760"/>
      <c r="K8269" s="760"/>
    </row>
    <row r="8270" spans="1:11">
      <c r="A8270" s="760"/>
      <c r="B8270" s="760"/>
      <c r="C8270" s="760"/>
      <c r="D8270" s="760"/>
      <c r="E8270" s="760"/>
      <c r="F8270" s="760"/>
      <c r="G8270" s="760"/>
      <c r="H8270" s="760"/>
      <c r="I8270" s="760"/>
      <c r="J8270" s="760"/>
      <c r="K8270" s="760"/>
    </row>
    <row r="8271" spans="1:11">
      <c r="A8271" s="760"/>
      <c r="B8271" s="760"/>
      <c r="C8271" s="760"/>
      <c r="D8271" s="760"/>
      <c r="E8271" s="760"/>
      <c r="F8271" s="760"/>
      <c r="G8271" s="760"/>
      <c r="H8271" s="760"/>
      <c r="I8271" s="760"/>
      <c r="J8271" s="760"/>
      <c r="K8271" s="760"/>
    </row>
    <row r="8272" spans="1:11">
      <c r="A8272" s="760"/>
      <c r="B8272" s="760"/>
      <c r="C8272" s="760"/>
      <c r="D8272" s="760"/>
      <c r="E8272" s="760"/>
      <c r="F8272" s="760"/>
      <c r="G8272" s="760"/>
      <c r="H8272" s="760"/>
      <c r="I8272" s="760"/>
      <c r="J8272" s="760"/>
      <c r="K8272" s="760"/>
    </row>
    <row r="8273" spans="1:11">
      <c r="A8273" s="760"/>
      <c r="B8273" s="760"/>
      <c r="C8273" s="760"/>
      <c r="D8273" s="760"/>
      <c r="E8273" s="760"/>
      <c r="F8273" s="760"/>
      <c r="G8273" s="760"/>
      <c r="H8273" s="760"/>
      <c r="I8273" s="760"/>
      <c r="J8273" s="760"/>
      <c r="K8273" s="760"/>
    </row>
    <row r="8274" spans="1:11">
      <c r="A8274" s="760"/>
      <c r="B8274" s="760"/>
      <c r="C8274" s="760"/>
      <c r="D8274" s="760"/>
      <c r="E8274" s="760"/>
      <c r="F8274" s="760"/>
      <c r="G8274" s="760"/>
      <c r="H8274" s="760"/>
      <c r="I8274" s="760"/>
      <c r="J8274" s="760"/>
      <c r="K8274" s="760"/>
    </row>
    <row r="8275" spans="1:11">
      <c r="A8275" s="760"/>
      <c r="B8275" s="760"/>
      <c r="C8275" s="760"/>
      <c r="D8275" s="760"/>
      <c r="E8275" s="760"/>
      <c r="F8275" s="760"/>
      <c r="G8275" s="760"/>
      <c r="H8275" s="760"/>
      <c r="I8275" s="760"/>
      <c r="J8275" s="760"/>
      <c r="K8275" s="760"/>
    </row>
    <row r="8276" spans="1:11">
      <c r="A8276" s="760"/>
      <c r="B8276" s="760"/>
      <c r="C8276" s="760"/>
      <c r="D8276" s="760"/>
      <c r="E8276" s="760"/>
      <c r="F8276" s="760"/>
      <c r="G8276" s="760"/>
      <c r="H8276" s="760"/>
      <c r="I8276" s="760"/>
      <c r="J8276" s="760"/>
      <c r="K8276" s="760"/>
    </row>
    <row r="8277" spans="1:11">
      <c r="A8277" s="760"/>
      <c r="B8277" s="760"/>
      <c r="C8277" s="760"/>
      <c r="D8277" s="760"/>
      <c r="E8277" s="760"/>
      <c r="F8277" s="760"/>
      <c r="G8277" s="760"/>
      <c r="H8277" s="760"/>
      <c r="I8277" s="760"/>
      <c r="J8277" s="760"/>
      <c r="K8277" s="760"/>
    </row>
    <row r="8278" spans="1:11">
      <c r="A8278" s="760"/>
      <c r="B8278" s="760"/>
      <c r="C8278" s="760"/>
      <c r="D8278" s="760"/>
      <c r="E8278" s="760"/>
      <c r="F8278" s="760"/>
      <c r="G8278" s="760"/>
      <c r="H8278" s="760"/>
      <c r="I8278" s="760"/>
      <c r="J8278" s="760"/>
      <c r="K8278" s="760"/>
    </row>
    <row r="8279" spans="1:11">
      <c r="A8279" s="760"/>
      <c r="B8279" s="760"/>
      <c r="C8279" s="760"/>
      <c r="D8279" s="760"/>
      <c r="E8279" s="760"/>
      <c r="F8279" s="760"/>
      <c r="G8279" s="760"/>
      <c r="H8279" s="760"/>
      <c r="I8279" s="760"/>
      <c r="J8279" s="760"/>
      <c r="K8279" s="760"/>
    </row>
    <row r="8280" spans="1:11">
      <c r="A8280" s="760"/>
      <c r="B8280" s="760"/>
      <c r="C8280" s="760"/>
      <c r="D8280" s="760"/>
      <c r="E8280" s="760"/>
      <c r="F8280" s="760"/>
      <c r="G8280" s="760"/>
      <c r="H8280" s="760"/>
      <c r="I8280" s="760"/>
      <c r="J8280" s="760"/>
      <c r="K8280" s="760"/>
    </row>
    <row r="8281" spans="1:11">
      <c r="A8281" s="760"/>
      <c r="B8281" s="760"/>
      <c r="C8281" s="760"/>
      <c r="D8281" s="760"/>
      <c r="E8281" s="760"/>
      <c r="F8281" s="760"/>
      <c r="G8281" s="760"/>
      <c r="H8281" s="760"/>
      <c r="I8281" s="760"/>
      <c r="J8281" s="760"/>
      <c r="K8281" s="760"/>
    </row>
    <row r="8282" spans="1:11">
      <c r="A8282" s="760"/>
      <c r="B8282" s="760"/>
      <c r="C8282" s="760"/>
      <c r="D8282" s="760"/>
      <c r="E8282" s="760"/>
      <c r="F8282" s="760"/>
      <c r="G8282" s="760"/>
      <c r="H8282" s="760"/>
      <c r="I8282" s="760"/>
      <c r="J8282" s="760"/>
      <c r="K8282" s="760"/>
    </row>
    <row r="8283" spans="1:11">
      <c r="A8283" s="760"/>
      <c r="B8283" s="760"/>
      <c r="C8283" s="760"/>
      <c r="D8283" s="760"/>
      <c r="E8283" s="760"/>
      <c r="F8283" s="760"/>
      <c r="G8283" s="760"/>
      <c r="H8283" s="760"/>
      <c r="I8283" s="760"/>
      <c r="J8283" s="760"/>
      <c r="K8283" s="760"/>
    </row>
    <row r="8284" spans="1:11">
      <c r="A8284" s="760"/>
      <c r="B8284" s="760"/>
      <c r="C8284" s="760"/>
      <c r="D8284" s="760"/>
      <c r="E8284" s="760"/>
      <c r="F8284" s="760"/>
      <c r="G8284" s="760"/>
      <c r="H8284" s="760"/>
      <c r="I8284" s="760"/>
      <c r="J8284" s="760"/>
      <c r="K8284" s="760"/>
    </row>
    <row r="8285" spans="1:11">
      <c r="A8285" s="760"/>
      <c r="B8285" s="760"/>
      <c r="C8285" s="760"/>
      <c r="D8285" s="760"/>
      <c r="E8285" s="760"/>
      <c r="F8285" s="760"/>
      <c r="G8285" s="760"/>
      <c r="H8285" s="760"/>
      <c r="I8285" s="760"/>
      <c r="J8285" s="760"/>
      <c r="K8285" s="760"/>
    </row>
    <row r="8286" spans="1:11">
      <c r="A8286" s="760"/>
      <c r="B8286" s="760"/>
      <c r="C8286" s="760"/>
      <c r="D8286" s="760"/>
      <c r="E8286" s="760"/>
      <c r="F8286" s="760"/>
      <c r="G8286" s="760"/>
      <c r="H8286" s="760"/>
      <c r="I8286" s="760"/>
      <c r="J8286" s="760"/>
      <c r="K8286" s="760"/>
    </row>
    <row r="8287" spans="1:11">
      <c r="A8287" s="760"/>
      <c r="B8287" s="760"/>
      <c r="C8287" s="760"/>
      <c r="D8287" s="760"/>
      <c r="E8287" s="760"/>
      <c r="F8287" s="760"/>
      <c r="G8287" s="760"/>
      <c r="H8287" s="760"/>
      <c r="I8287" s="760"/>
      <c r="J8287" s="760"/>
      <c r="K8287" s="760"/>
    </row>
    <row r="8288" spans="1:11">
      <c r="A8288" s="760"/>
      <c r="B8288" s="760"/>
      <c r="C8288" s="760"/>
      <c r="D8288" s="760"/>
      <c r="E8288" s="760"/>
      <c r="F8288" s="760"/>
      <c r="G8288" s="760"/>
      <c r="H8288" s="760"/>
      <c r="I8288" s="760"/>
      <c r="J8288" s="760"/>
      <c r="K8288" s="760"/>
    </row>
    <row r="8289" spans="1:11">
      <c r="A8289" s="760"/>
      <c r="B8289" s="760"/>
      <c r="C8289" s="760"/>
      <c r="D8289" s="760"/>
      <c r="E8289" s="760"/>
      <c r="F8289" s="760"/>
      <c r="G8289" s="760"/>
      <c r="H8289" s="760"/>
      <c r="I8289" s="760"/>
      <c r="J8289" s="760"/>
      <c r="K8289" s="760"/>
    </row>
    <row r="8290" spans="1:11">
      <c r="A8290" s="760"/>
      <c r="B8290" s="760"/>
      <c r="C8290" s="760"/>
      <c r="D8290" s="760"/>
      <c r="E8290" s="760"/>
      <c r="F8290" s="760"/>
      <c r="G8290" s="760"/>
      <c r="H8290" s="760"/>
      <c r="I8290" s="760"/>
      <c r="J8290" s="760"/>
      <c r="K8290" s="760"/>
    </row>
    <row r="8291" spans="1:11">
      <c r="A8291" s="760"/>
      <c r="B8291" s="760"/>
      <c r="C8291" s="760"/>
      <c r="D8291" s="760"/>
      <c r="E8291" s="760"/>
      <c r="F8291" s="760"/>
      <c r="G8291" s="760"/>
      <c r="H8291" s="760"/>
      <c r="I8291" s="760"/>
      <c r="J8291" s="760"/>
      <c r="K8291" s="760"/>
    </row>
    <row r="8292" spans="1:11">
      <c r="A8292" s="760"/>
      <c r="B8292" s="760"/>
      <c r="C8292" s="760"/>
      <c r="D8292" s="760"/>
      <c r="E8292" s="760"/>
      <c r="F8292" s="760"/>
      <c r="G8292" s="760"/>
      <c r="H8292" s="760"/>
      <c r="I8292" s="760"/>
      <c r="J8292" s="760"/>
      <c r="K8292" s="760"/>
    </row>
    <row r="8293" spans="1:11">
      <c r="A8293" s="760"/>
      <c r="B8293" s="760"/>
      <c r="C8293" s="760"/>
      <c r="D8293" s="760"/>
      <c r="E8293" s="760"/>
      <c r="F8293" s="760"/>
      <c r="G8293" s="760"/>
      <c r="H8293" s="760"/>
      <c r="I8293" s="760"/>
      <c r="J8293" s="760"/>
      <c r="K8293" s="760"/>
    </row>
    <row r="8294" spans="1:11">
      <c r="A8294" s="760"/>
      <c r="B8294" s="760"/>
      <c r="C8294" s="760"/>
      <c r="D8294" s="760"/>
      <c r="E8294" s="760"/>
      <c r="F8294" s="760"/>
      <c r="G8294" s="760"/>
      <c r="H8294" s="760"/>
      <c r="I8294" s="760"/>
      <c r="J8294" s="760"/>
      <c r="K8294" s="760"/>
    </row>
    <row r="8295" spans="1:11">
      <c r="A8295" s="760"/>
      <c r="B8295" s="760"/>
      <c r="C8295" s="760"/>
      <c r="D8295" s="760"/>
      <c r="E8295" s="760"/>
      <c r="F8295" s="760"/>
      <c r="G8295" s="760"/>
      <c r="H8295" s="760"/>
      <c r="I8295" s="760"/>
      <c r="J8295" s="760"/>
      <c r="K8295" s="760"/>
    </row>
    <row r="8296" spans="1:11">
      <c r="A8296" s="760"/>
      <c r="B8296" s="760"/>
      <c r="C8296" s="760"/>
      <c r="D8296" s="760"/>
      <c r="E8296" s="760"/>
      <c r="F8296" s="760"/>
      <c r="G8296" s="760"/>
      <c r="H8296" s="760"/>
      <c r="I8296" s="760"/>
      <c r="J8296" s="760"/>
      <c r="K8296" s="760"/>
    </row>
    <row r="8297" spans="1:11">
      <c r="A8297" s="760"/>
      <c r="B8297" s="760"/>
      <c r="C8297" s="760"/>
      <c r="D8297" s="760"/>
      <c r="E8297" s="760"/>
      <c r="F8297" s="760"/>
      <c r="G8297" s="760"/>
      <c r="H8297" s="760"/>
      <c r="I8297" s="760"/>
      <c r="J8297" s="760"/>
      <c r="K8297" s="760"/>
    </row>
    <row r="8298" spans="1:11">
      <c r="A8298" s="760"/>
      <c r="B8298" s="760"/>
      <c r="C8298" s="760"/>
      <c r="D8298" s="760"/>
      <c r="E8298" s="760"/>
      <c r="F8298" s="760"/>
      <c r="G8298" s="760"/>
      <c r="H8298" s="760"/>
      <c r="I8298" s="760"/>
      <c r="J8298" s="760"/>
      <c r="K8298" s="760"/>
    </row>
    <row r="8299" spans="1:11">
      <c r="A8299" s="760"/>
      <c r="B8299" s="760"/>
      <c r="C8299" s="760"/>
      <c r="D8299" s="760"/>
      <c r="E8299" s="760"/>
      <c r="F8299" s="760"/>
      <c r="G8299" s="760"/>
      <c r="H8299" s="760"/>
      <c r="I8299" s="760"/>
      <c r="J8299" s="760"/>
      <c r="K8299" s="760"/>
    </row>
    <row r="8300" spans="1:11">
      <c r="A8300" s="760"/>
      <c r="B8300" s="760"/>
      <c r="C8300" s="760"/>
      <c r="D8300" s="760"/>
      <c r="E8300" s="760"/>
      <c r="F8300" s="760"/>
      <c r="G8300" s="760"/>
      <c r="H8300" s="760"/>
      <c r="I8300" s="760"/>
      <c r="J8300" s="760"/>
      <c r="K8300" s="760"/>
    </row>
    <row r="8301" spans="1:11">
      <c r="A8301" s="760"/>
      <c r="B8301" s="760"/>
      <c r="C8301" s="760"/>
      <c r="D8301" s="760"/>
      <c r="E8301" s="760"/>
      <c r="F8301" s="760"/>
      <c r="G8301" s="760"/>
      <c r="H8301" s="760"/>
      <c r="I8301" s="760"/>
      <c r="J8301" s="760"/>
      <c r="K8301" s="760"/>
    </row>
    <row r="8302" spans="1:11">
      <c r="A8302" s="760"/>
      <c r="B8302" s="760"/>
      <c r="C8302" s="760"/>
      <c r="D8302" s="760"/>
      <c r="E8302" s="760"/>
      <c r="F8302" s="760"/>
      <c r="G8302" s="760"/>
      <c r="H8302" s="760"/>
      <c r="I8302" s="760"/>
      <c r="J8302" s="760"/>
      <c r="K8302" s="760"/>
    </row>
    <row r="8303" spans="1:11">
      <c r="A8303" s="760"/>
      <c r="B8303" s="760"/>
      <c r="C8303" s="760"/>
      <c r="D8303" s="760"/>
      <c r="E8303" s="760"/>
      <c r="F8303" s="760"/>
      <c r="G8303" s="760"/>
      <c r="H8303" s="760"/>
      <c r="I8303" s="760"/>
      <c r="J8303" s="760"/>
      <c r="K8303" s="760"/>
    </row>
    <row r="8304" spans="1:11">
      <c r="A8304" s="760"/>
      <c r="B8304" s="760"/>
      <c r="C8304" s="760"/>
      <c r="D8304" s="760"/>
      <c r="E8304" s="760"/>
      <c r="F8304" s="760"/>
      <c r="G8304" s="760"/>
      <c r="H8304" s="760"/>
      <c r="I8304" s="760"/>
      <c r="J8304" s="760"/>
      <c r="K8304" s="760"/>
    </row>
    <row r="8305" spans="1:11">
      <c r="A8305" s="760"/>
      <c r="B8305" s="760"/>
      <c r="C8305" s="760"/>
      <c r="D8305" s="760"/>
      <c r="E8305" s="760"/>
      <c r="F8305" s="760"/>
      <c r="G8305" s="760"/>
      <c r="H8305" s="760"/>
      <c r="I8305" s="760"/>
      <c r="J8305" s="760"/>
      <c r="K8305" s="760"/>
    </row>
    <row r="8306" spans="1:11">
      <c r="A8306" s="760"/>
      <c r="B8306" s="760"/>
      <c r="C8306" s="760"/>
      <c r="D8306" s="760"/>
      <c r="E8306" s="760"/>
      <c r="F8306" s="760"/>
      <c r="G8306" s="760"/>
      <c r="H8306" s="760"/>
      <c r="I8306" s="760"/>
      <c r="J8306" s="760"/>
      <c r="K8306" s="760"/>
    </row>
    <row r="8307" spans="1:11">
      <c r="A8307" s="760"/>
      <c r="B8307" s="760"/>
      <c r="C8307" s="760"/>
      <c r="D8307" s="760"/>
      <c r="E8307" s="760"/>
      <c r="F8307" s="760"/>
      <c r="G8307" s="760"/>
      <c r="H8307" s="760"/>
      <c r="I8307" s="760"/>
      <c r="J8307" s="760"/>
      <c r="K8307" s="760"/>
    </row>
    <row r="8308" spans="1:11">
      <c r="A8308" s="760"/>
      <c r="B8308" s="760"/>
      <c r="C8308" s="760"/>
      <c r="D8308" s="760"/>
      <c r="E8308" s="760"/>
      <c r="F8308" s="760"/>
      <c r="G8308" s="760"/>
      <c r="H8308" s="760"/>
      <c r="I8308" s="760"/>
      <c r="J8308" s="760"/>
      <c r="K8308" s="760"/>
    </row>
    <row r="8309" spans="1:11">
      <c r="A8309" s="760"/>
      <c r="B8309" s="760"/>
      <c r="C8309" s="760"/>
      <c r="D8309" s="760"/>
      <c r="E8309" s="760"/>
      <c r="F8309" s="760"/>
      <c r="G8309" s="760"/>
      <c r="H8309" s="760"/>
      <c r="I8309" s="760"/>
      <c r="J8309" s="760"/>
      <c r="K8309" s="760"/>
    </row>
    <row r="8310" spans="1:11">
      <c r="A8310" s="760"/>
      <c r="B8310" s="760"/>
      <c r="C8310" s="760"/>
      <c r="D8310" s="760"/>
      <c r="E8310" s="760"/>
      <c r="F8310" s="760"/>
      <c r="G8310" s="760"/>
      <c r="H8310" s="760"/>
      <c r="I8310" s="760"/>
      <c r="J8310" s="760"/>
      <c r="K8310" s="760"/>
    </row>
    <row r="8311" spans="1:11">
      <c r="A8311" s="760"/>
      <c r="B8311" s="760"/>
      <c r="C8311" s="760"/>
      <c r="D8311" s="760"/>
      <c r="E8311" s="760"/>
      <c r="F8311" s="760"/>
      <c r="G8311" s="760"/>
      <c r="H8311" s="760"/>
      <c r="I8311" s="760"/>
      <c r="J8311" s="760"/>
      <c r="K8311" s="760"/>
    </row>
    <row r="8312" spans="1:11">
      <c r="A8312" s="760"/>
      <c r="B8312" s="760"/>
      <c r="C8312" s="760"/>
      <c r="D8312" s="760"/>
      <c r="E8312" s="760"/>
      <c r="F8312" s="760"/>
      <c r="G8312" s="760"/>
      <c r="H8312" s="760"/>
      <c r="I8312" s="760"/>
      <c r="J8312" s="760"/>
      <c r="K8312" s="760"/>
    </row>
    <row r="8313" spans="1:11">
      <c r="A8313" s="760"/>
      <c r="B8313" s="760"/>
      <c r="C8313" s="760"/>
      <c r="D8313" s="760"/>
      <c r="E8313" s="760"/>
      <c r="F8313" s="760"/>
      <c r="G8313" s="760"/>
      <c r="H8313" s="760"/>
      <c r="I8313" s="760"/>
      <c r="J8313" s="760"/>
      <c r="K8313" s="760"/>
    </row>
    <row r="8314" spans="1:11">
      <c r="A8314" s="760"/>
      <c r="B8314" s="760"/>
      <c r="C8314" s="760"/>
      <c r="D8314" s="760"/>
      <c r="E8314" s="760"/>
      <c r="F8314" s="760"/>
      <c r="G8314" s="760"/>
      <c r="H8314" s="760"/>
      <c r="I8314" s="760"/>
      <c r="J8314" s="760"/>
      <c r="K8314" s="760"/>
    </row>
    <row r="8315" spans="1:11">
      <c r="A8315" s="760"/>
      <c r="B8315" s="760"/>
      <c r="C8315" s="760"/>
      <c r="D8315" s="760"/>
      <c r="E8315" s="760"/>
      <c r="F8315" s="760"/>
      <c r="G8315" s="760"/>
      <c r="H8315" s="760"/>
      <c r="I8315" s="760"/>
      <c r="J8315" s="760"/>
      <c r="K8315" s="760"/>
    </row>
    <row r="8316" spans="1:11">
      <c r="A8316" s="760"/>
      <c r="B8316" s="760"/>
      <c r="C8316" s="760"/>
      <c r="D8316" s="760"/>
      <c r="E8316" s="760"/>
      <c r="F8316" s="760"/>
      <c r="G8316" s="760"/>
      <c r="H8316" s="760"/>
      <c r="I8316" s="760"/>
      <c r="J8316" s="760"/>
      <c r="K8316" s="760"/>
    </row>
    <row r="8317" spans="1:11">
      <c r="A8317" s="760"/>
      <c r="B8317" s="760"/>
      <c r="C8317" s="760"/>
      <c r="D8317" s="760"/>
      <c r="E8317" s="760"/>
      <c r="F8317" s="760"/>
      <c r="G8317" s="760"/>
      <c r="H8317" s="760"/>
      <c r="I8317" s="760"/>
      <c r="J8317" s="760"/>
      <c r="K8317" s="760"/>
    </row>
    <row r="8318" spans="1:11">
      <c r="A8318" s="760"/>
      <c r="B8318" s="760"/>
      <c r="C8318" s="760"/>
      <c r="D8318" s="760"/>
      <c r="E8318" s="760"/>
      <c r="F8318" s="760"/>
      <c r="G8318" s="760"/>
      <c r="H8318" s="760"/>
      <c r="I8318" s="760"/>
      <c r="J8318" s="760"/>
      <c r="K8318" s="760"/>
    </row>
    <row r="8319" spans="1:11">
      <c r="A8319" s="760"/>
      <c r="B8319" s="760"/>
      <c r="C8319" s="760"/>
      <c r="D8319" s="760"/>
      <c r="E8319" s="760"/>
      <c r="F8319" s="760"/>
      <c r="G8319" s="760"/>
      <c r="H8319" s="760"/>
      <c r="I8319" s="760"/>
      <c r="J8319" s="760"/>
      <c r="K8319" s="760"/>
    </row>
    <row r="8320" spans="1:11">
      <c r="A8320" s="760"/>
      <c r="B8320" s="760"/>
      <c r="C8320" s="760"/>
      <c r="D8320" s="760"/>
      <c r="E8320" s="760"/>
      <c r="F8320" s="760"/>
      <c r="G8320" s="760"/>
      <c r="H8320" s="760"/>
      <c r="I8320" s="760"/>
      <c r="J8320" s="760"/>
      <c r="K8320" s="760"/>
    </row>
    <row r="8321" spans="1:11">
      <c r="A8321" s="760"/>
      <c r="B8321" s="760"/>
      <c r="C8321" s="760"/>
      <c r="D8321" s="760"/>
      <c r="E8321" s="760"/>
      <c r="F8321" s="760"/>
      <c r="G8321" s="760"/>
      <c r="H8321" s="760"/>
      <c r="I8321" s="760"/>
      <c r="J8321" s="760"/>
      <c r="K8321" s="760"/>
    </row>
    <row r="8322" spans="1:11">
      <c r="A8322" s="760"/>
      <c r="B8322" s="760"/>
      <c r="C8322" s="760"/>
      <c r="D8322" s="760"/>
      <c r="E8322" s="760"/>
      <c r="F8322" s="760"/>
      <c r="G8322" s="760"/>
      <c r="H8322" s="760"/>
      <c r="I8322" s="760"/>
      <c r="J8322" s="760"/>
      <c r="K8322" s="760"/>
    </row>
    <row r="8323" spans="1:11">
      <c r="A8323" s="760"/>
      <c r="B8323" s="760"/>
      <c r="C8323" s="760"/>
      <c r="D8323" s="760"/>
      <c r="E8323" s="760"/>
      <c r="F8323" s="760"/>
      <c r="G8323" s="760"/>
      <c r="H8323" s="760"/>
      <c r="I8323" s="760"/>
      <c r="J8323" s="760"/>
      <c r="K8323" s="760"/>
    </row>
    <row r="8324" spans="1:11">
      <c r="A8324" s="760"/>
      <c r="B8324" s="760"/>
      <c r="C8324" s="760"/>
      <c r="D8324" s="760"/>
      <c r="E8324" s="760"/>
      <c r="F8324" s="760"/>
      <c r="G8324" s="760"/>
      <c r="H8324" s="760"/>
      <c r="I8324" s="760"/>
      <c r="J8324" s="760"/>
      <c r="K8324" s="760"/>
    </row>
    <row r="8325" spans="1:11">
      <c r="A8325" s="760"/>
      <c r="B8325" s="760"/>
      <c r="C8325" s="760"/>
      <c r="D8325" s="760"/>
      <c r="E8325" s="760"/>
      <c r="F8325" s="760"/>
      <c r="G8325" s="760"/>
      <c r="H8325" s="760"/>
      <c r="I8325" s="760"/>
      <c r="J8325" s="760"/>
      <c r="K8325" s="760"/>
    </row>
    <row r="8326" spans="1:11">
      <c r="A8326" s="760"/>
      <c r="B8326" s="760"/>
      <c r="C8326" s="760"/>
      <c r="D8326" s="760"/>
      <c r="E8326" s="760"/>
      <c r="F8326" s="760"/>
      <c r="G8326" s="760"/>
      <c r="H8326" s="760"/>
      <c r="I8326" s="760"/>
      <c r="J8326" s="760"/>
      <c r="K8326" s="760"/>
    </row>
    <row r="8327" spans="1:11">
      <c r="A8327" s="760"/>
      <c r="B8327" s="760"/>
      <c r="C8327" s="760"/>
      <c r="D8327" s="760"/>
      <c r="E8327" s="760"/>
      <c r="F8327" s="760"/>
      <c r="G8327" s="760"/>
      <c r="H8327" s="760"/>
      <c r="I8327" s="760"/>
      <c r="J8327" s="760"/>
      <c r="K8327" s="760"/>
    </row>
    <row r="8328" spans="1:11">
      <c r="A8328" s="760"/>
      <c r="B8328" s="760"/>
      <c r="C8328" s="760"/>
      <c r="D8328" s="760"/>
      <c r="E8328" s="760"/>
      <c r="F8328" s="760"/>
      <c r="G8328" s="760"/>
      <c r="H8328" s="760"/>
      <c r="I8328" s="760"/>
      <c r="J8328" s="760"/>
      <c r="K8328" s="760"/>
    </row>
    <row r="8329" spans="1:11">
      <c r="A8329" s="760"/>
      <c r="B8329" s="760"/>
      <c r="C8329" s="760"/>
      <c r="D8329" s="760"/>
      <c r="E8329" s="760"/>
      <c r="F8329" s="760"/>
      <c r="G8329" s="760"/>
      <c r="H8329" s="760"/>
      <c r="I8329" s="760"/>
      <c r="J8329" s="760"/>
      <c r="K8329" s="760"/>
    </row>
    <row r="8330" spans="1:11">
      <c r="A8330" s="760"/>
      <c r="B8330" s="760"/>
      <c r="C8330" s="760"/>
      <c r="D8330" s="760"/>
      <c r="E8330" s="760"/>
      <c r="F8330" s="760"/>
      <c r="G8330" s="760"/>
      <c r="H8330" s="760"/>
      <c r="I8330" s="760"/>
      <c r="J8330" s="760"/>
      <c r="K8330" s="760"/>
    </row>
    <row r="8331" spans="1:11">
      <c r="A8331" s="760"/>
      <c r="B8331" s="760"/>
      <c r="C8331" s="760"/>
      <c r="D8331" s="760"/>
      <c r="E8331" s="760"/>
      <c r="F8331" s="760"/>
      <c r="G8331" s="760"/>
      <c r="H8331" s="760"/>
      <c r="I8331" s="760"/>
      <c r="J8331" s="760"/>
      <c r="K8331" s="760"/>
    </row>
    <row r="8332" spans="1:11">
      <c r="A8332" s="760"/>
      <c r="B8332" s="760"/>
      <c r="C8332" s="760"/>
      <c r="D8332" s="760"/>
      <c r="E8332" s="760"/>
      <c r="F8332" s="760"/>
      <c r="G8332" s="760"/>
      <c r="H8332" s="760"/>
      <c r="I8332" s="760"/>
      <c r="J8332" s="760"/>
      <c r="K8332" s="760"/>
    </row>
    <row r="8333" spans="1:11">
      <c r="A8333" s="760"/>
      <c r="B8333" s="760"/>
      <c r="C8333" s="760"/>
      <c r="D8333" s="760"/>
      <c r="E8333" s="760"/>
      <c r="F8333" s="760"/>
      <c r="G8333" s="760"/>
      <c r="H8333" s="760"/>
      <c r="I8333" s="760"/>
      <c r="J8333" s="760"/>
      <c r="K8333" s="760"/>
    </row>
    <row r="8334" spans="1:11">
      <c r="A8334" s="760"/>
      <c r="B8334" s="760"/>
      <c r="C8334" s="760"/>
      <c r="D8334" s="760"/>
      <c r="E8334" s="760"/>
      <c r="F8334" s="760"/>
      <c r="G8334" s="760"/>
      <c r="H8334" s="760"/>
      <c r="I8334" s="760"/>
      <c r="J8334" s="760"/>
      <c r="K8334" s="760"/>
    </row>
    <row r="8335" spans="1:11">
      <c r="A8335" s="760"/>
      <c r="B8335" s="760"/>
      <c r="C8335" s="760"/>
      <c r="D8335" s="760"/>
      <c r="E8335" s="760"/>
      <c r="F8335" s="760"/>
      <c r="G8335" s="760"/>
      <c r="H8335" s="760"/>
      <c r="I8335" s="760"/>
      <c r="J8335" s="760"/>
      <c r="K8335" s="760"/>
    </row>
    <row r="8336" spans="1:11">
      <c r="A8336" s="760"/>
      <c r="B8336" s="760"/>
      <c r="C8336" s="760"/>
      <c r="D8336" s="760"/>
      <c r="E8336" s="760"/>
      <c r="F8336" s="760"/>
      <c r="G8336" s="760"/>
      <c r="H8336" s="760"/>
      <c r="I8336" s="760"/>
      <c r="J8336" s="760"/>
      <c r="K8336" s="760"/>
    </row>
    <row r="8337" spans="1:11">
      <c r="A8337" s="760"/>
      <c r="B8337" s="760"/>
      <c r="C8337" s="760"/>
      <c r="D8337" s="760"/>
      <c r="E8337" s="760"/>
      <c r="F8337" s="760"/>
      <c r="G8337" s="760"/>
      <c r="H8337" s="760"/>
      <c r="I8337" s="760"/>
      <c r="J8337" s="760"/>
      <c r="K8337" s="760"/>
    </row>
    <row r="8338" spans="1:11">
      <c r="A8338" s="760"/>
      <c r="B8338" s="760"/>
      <c r="C8338" s="760"/>
      <c r="D8338" s="760"/>
      <c r="E8338" s="760"/>
      <c r="F8338" s="760"/>
      <c r="G8338" s="760"/>
      <c r="H8338" s="760"/>
      <c r="I8338" s="760"/>
      <c r="J8338" s="760"/>
      <c r="K8338" s="760"/>
    </row>
    <row r="8339" spans="1:11">
      <c r="A8339" s="760"/>
      <c r="B8339" s="760"/>
      <c r="C8339" s="760"/>
      <c r="D8339" s="760"/>
      <c r="E8339" s="760"/>
      <c r="F8339" s="760"/>
      <c r="G8339" s="760"/>
      <c r="H8339" s="760"/>
      <c r="I8339" s="760"/>
      <c r="J8339" s="760"/>
      <c r="K8339" s="760"/>
    </row>
    <row r="8340" spans="1:11">
      <c r="A8340" s="760"/>
      <c r="B8340" s="760"/>
      <c r="C8340" s="760"/>
      <c r="D8340" s="760"/>
      <c r="E8340" s="760"/>
      <c r="F8340" s="760"/>
      <c r="G8340" s="760"/>
      <c r="H8340" s="760"/>
      <c r="I8340" s="760"/>
      <c r="J8340" s="760"/>
      <c r="K8340" s="760"/>
    </row>
    <row r="8341" spans="1:11">
      <c r="A8341" s="760"/>
      <c r="B8341" s="760"/>
      <c r="C8341" s="760"/>
      <c r="D8341" s="760"/>
      <c r="E8341" s="760"/>
      <c r="F8341" s="760"/>
      <c r="G8341" s="760"/>
      <c r="H8341" s="760"/>
      <c r="I8341" s="760"/>
      <c r="J8341" s="760"/>
      <c r="K8341" s="760"/>
    </row>
    <row r="8342" spans="1:11">
      <c r="A8342" s="760"/>
      <c r="B8342" s="760"/>
      <c r="C8342" s="760"/>
      <c r="D8342" s="760"/>
      <c r="E8342" s="760"/>
      <c r="F8342" s="760"/>
      <c r="G8342" s="760"/>
      <c r="H8342" s="760"/>
      <c r="I8342" s="760"/>
      <c r="J8342" s="760"/>
      <c r="K8342" s="760"/>
    </row>
    <row r="8343" spans="1:11">
      <c r="A8343" s="760"/>
      <c r="B8343" s="760"/>
      <c r="C8343" s="760"/>
      <c r="D8343" s="760"/>
      <c r="E8343" s="760"/>
      <c r="F8343" s="760"/>
      <c r="G8343" s="760"/>
      <c r="H8343" s="760"/>
      <c r="I8343" s="760"/>
      <c r="J8343" s="760"/>
      <c r="K8343" s="760"/>
    </row>
    <row r="8344" spans="1:11">
      <c r="A8344" s="760"/>
      <c r="B8344" s="760"/>
      <c r="C8344" s="760"/>
      <c r="D8344" s="760"/>
      <c r="E8344" s="760"/>
      <c r="F8344" s="760"/>
      <c r="G8344" s="760"/>
      <c r="H8344" s="760"/>
      <c r="I8344" s="760"/>
      <c r="J8344" s="760"/>
      <c r="K8344" s="760"/>
    </row>
    <row r="8345" spans="1:11">
      <c r="A8345" s="760"/>
      <c r="B8345" s="760"/>
      <c r="C8345" s="760"/>
      <c r="D8345" s="760"/>
      <c r="E8345" s="760"/>
      <c r="F8345" s="760"/>
      <c r="G8345" s="760"/>
      <c r="H8345" s="760"/>
      <c r="I8345" s="760"/>
      <c r="J8345" s="760"/>
      <c r="K8345" s="760"/>
    </row>
    <row r="8346" spans="1:11">
      <c r="A8346" s="760"/>
      <c r="B8346" s="760"/>
      <c r="C8346" s="760"/>
      <c r="D8346" s="760"/>
      <c r="E8346" s="760"/>
      <c r="F8346" s="760"/>
      <c r="G8346" s="760"/>
      <c r="H8346" s="760"/>
      <c r="I8346" s="760"/>
      <c r="J8346" s="760"/>
      <c r="K8346" s="760"/>
    </row>
    <row r="8347" spans="1:11">
      <c r="A8347" s="760"/>
      <c r="B8347" s="760"/>
      <c r="C8347" s="760"/>
      <c r="D8347" s="760"/>
      <c r="E8347" s="760"/>
      <c r="F8347" s="760"/>
      <c r="G8347" s="760"/>
      <c r="H8347" s="760"/>
      <c r="I8347" s="760"/>
      <c r="J8347" s="760"/>
      <c r="K8347" s="760"/>
    </row>
    <row r="8348" spans="1:11">
      <c r="A8348" s="760"/>
      <c r="B8348" s="760"/>
      <c r="C8348" s="760"/>
      <c r="D8348" s="760"/>
      <c r="E8348" s="760"/>
      <c r="F8348" s="760"/>
      <c r="G8348" s="760"/>
      <c r="H8348" s="760"/>
      <c r="I8348" s="760"/>
      <c r="J8348" s="760"/>
      <c r="K8348" s="760"/>
    </row>
    <row r="8349" spans="1:11">
      <c r="A8349" s="760"/>
      <c r="B8349" s="760"/>
      <c r="C8349" s="760"/>
      <c r="D8349" s="760"/>
      <c r="E8349" s="760"/>
      <c r="F8349" s="760"/>
      <c r="G8349" s="760"/>
      <c r="H8349" s="760"/>
      <c r="I8349" s="760"/>
      <c r="J8349" s="760"/>
      <c r="K8349" s="760"/>
    </row>
    <row r="8350" spans="1:11">
      <c r="A8350" s="760"/>
      <c r="B8350" s="760"/>
      <c r="C8350" s="760"/>
      <c r="D8350" s="760"/>
      <c r="E8350" s="760"/>
      <c r="F8350" s="760"/>
      <c r="G8350" s="760"/>
      <c r="H8350" s="760"/>
      <c r="I8350" s="760"/>
      <c r="J8350" s="760"/>
      <c r="K8350" s="760"/>
    </row>
    <row r="8351" spans="1:11">
      <c r="A8351" s="760"/>
      <c r="B8351" s="760"/>
      <c r="C8351" s="760"/>
      <c r="D8351" s="760"/>
      <c r="E8351" s="760"/>
      <c r="F8351" s="760"/>
      <c r="G8351" s="760"/>
      <c r="H8351" s="760"/>
      <c r="I8351" s="760"/>
      <c r="J8351" s="760"/>
      <c r="K8351" s="760"/>
    </row>
    <row r="8352" spans="1:11">
      <c r="A8352" s="760"/>
      <c r="B8352" s="760"/>
      <c r="C8352" s="760"/>
      <c r="D8352" s="760"/>
      <c r="E8352" s="760"/>
      <c r="F8352" s="760"/>
      <c r="G8352" s="760"/>
      <c r="H8352" s="760"/>
      <c r="I8352" s="760"/>
      <c r="J8352" s="760"/>
      <c r="K8352" s="760"/>
    </row>
    <row r="8353" spans="1:11">
      <c r="A8353" s="760"/>
      <c r="B8353" s="760"/>
      <c r="C8353" s="760"/>
      <c r="D8353" s="760"/>
      <c r="E8353" s="760"/>
      <c r="F8353" s="760"/>
      <c r="G8353" s="760"/>
      <c r="H8353" s="760"/>
      <c r="I8353" s="760"/>
      <c r="J8353" s="760"/>
      <c r="K8353" s="760"/>
    </row>
    <row r="8354" spans="1:11">
      <c r="A8354" s="760"/>
      <c r="B8354" s="760"/>
      <c r="C8354" s="760"/>
      <c r="D8354" s="760"/>
      <c r="E8354" s="760"/>
      <c r="F8354" s="760"/>
      <c r="G8354" s="760"/>
      <c r="H8354" s="760"/>
      <c r="I8354" s="760"/>
      <c r="J8354" s="760"/>
      <c r="K8354" s="760"/>
    </row>
    <row r="8355" spans="1:11">
      <c r="A8355" s="760"/>
      <c r="B8355" s="760"/>
      <c r="C8355" s="760"/>
      <c r="D8355" s="760"/>
      <c r="E8355" s="760"/>
      <c r="F8355" s="760"/>
      <c r="G8355" s="760"/>
      <c r="H8355" s="760"/>
      <c r="I8355" s="760"/>
      <c r="J8355" s="760"/>
      <c r="K8355" s="760"/>
    </row>
    <row r="8356" spans="1:11">
      <c r="A8356" s="760"/>
      <c r="B8356" s="760"/>
      <c r="C8356" s="760"/>
      <c r="D8356" s="760"/>
      <c r="E8356" s="760"/>
      <c r="F8356" s="760"/>
      <c r="G8356" s="760"/>
      <c r="H8356" s="760"/>
      <c r="I8356" s="760"/>
      <c r="J8356" s="760"/>
      <c r="K8356" s="760"/>
    </row>
    <row r="8357" spans="1:11">
      <c r="A8357" s="760"/>
      <c r="B8357" s="760"/>
      <c r="C8357" s="760"/>
      <c r="D8357" s="760"/>
      <c r="E8357" s="760"/>
      <c r="F8357" s="760"/>
      <c r="G8357" s="760"/>
      <c r="H8357" s="760"/>
      <c r="I8357" s="760"/>
      <c r="J8357" s="760"/>
      <c r="K8357" s="760"/>
    </row>
    <row r="8358" spans="1:11">
      <c r="A8358" s="760"/>
      <c r="B8358" s="760"/>
      <c r="C8358" s="760"/>
      <c r="D8358" s="760"/>
      <c r="E8358" s="760"/>
      <c r="F8358" s="760"/>
      <c r="G8358" s="760"/>
      <c r="H8358" s="760"/>
      <c r="I8358" s="760"/>
      <c r="J8358" s="760"/>
      <c r="K8358" s="760"/>
    </row>
    <row r="8359" spans="1:11">
      <c r="A8359" s="760"/>
      <c r="B8359" s="760"/>
      <c r="C8359" s="760"/>
      <c r="D8359" s="760"/>
      <c r="E8359" s="760"/>
      <c r="F8359" s="760"/>
      <c r="G8359" s="760"/>
      <c r="H8359" s="760"/>
      <c r="I8359" s="760"/>
      <c r="J8359" s="760"/>
      <c r="K8359" s="760"/>
    </row>
    <row r="8360" spans="1:11">
      <c r="A8360" s="760"/>
      <c r="B8360" s="760"/>
      <c r="C8360" s="760"/>
      <c r="D8360" s="760"/>
      <c r="E8360" s="760"/>
      <c r="F8360" s="760"/>
      <c r="G8360" s="760"/>
      <c r="H8360" s="760"/>
      <c r="I8360" s="760"/>
      <c r="J8360" s="760"/>
      <c r="K8360" s="760"/>
    </row>
    <row r="8361" spans="1:11">
      <c r="A8361" s="760"/>
      <c r="B8361" s="760"/>
      <c r="C8361" s="760"/>
      <c r="D8361" s="760"/>
      <c r="E8361" s="760"/>
      <c r="F8361" s="760"/>
      <c r="G8361" s="760"/>
      <c r="H8361" s="760"/>
      <c r="I8361" s="760"/>
      <c r="J8361" s="760"/>
      <c r="K8361" s="760"/>
    </row>
    <row r="8362" spans="1:11">
      <c r="A8362" s="760"/>
      <c r="B8362" s="760"/>
      <c r="C8362" s="760"/>
      <c r="D8362" s="760"/>
      <c r="E8362" s="760"/>
      <c r="F8362" s="760"/>
      <c r="G8362" s="760"/>
      <c r="H8362" s="760"/>
      <c r="I8362" s="760"/>
      <c r="J8362" s="760"/>
      <c r="K8362" s="760"/>
    </row>
    <row r="8363" spans="1:11">
      <c r="A8363" s="760"/>
      <c r="B8363" s="760"/>
      <c r="C8363" s="760"/>
      <c r="D8363" s="760"/>
      <c r="E8363" s="760"/>
      <c r="F8363" s="760"/>
      <c r="G8363" s="760"/>
      <c r="H8363" s="760"/>
      <c r="I8363" s="760"/>
      <c r="J8363" s="760"/>
      <c r="K8363" s="760"/>
    </row>
    <row r="8364" spans="1:11">
      <c r="A8364" s="760"/>
      <c r="B8364" s="760"/>
      <c r="C8364" s="760"/>
      <c r="D8364" s="760"/>
      <c r="E8364" s="760"/>
      <c r="F8364" s="760"/>
      <c r="G8364" s="760"/>
      <c r="H8364" s="760"/>
      <c r="I8364" s="760"/>
      <c r="J8364" s="760"/>
      <c r="K8364" s="760"/>
    </row>
    <row r="8365" spans="1:11">
      <c r="A8365" s="760"/>
      <c r="B8365" s="760"/>
      <c r="C8365" s="760"/>
      <c r="D8365" s="760"/>
      <c r="E8365" s="760"/>
      <c r="F8365" s="760"/>
      <c r="G8365" s="760"/>
      <c r="H8365" s="760"/>
      <c r="I8365" s="760"/>
      <c r="J8365" s="760"/>
      <c r="K8365" s="760"/>
    </row>
    <row r="8366" spans="1:11">
      <c r="A8366" s="760"/>
      <c r="B8366" s="760"/>
      <c r="C8366" s="760"/>
      <c r="D8366" s="760"/>
      <c r="E8366" s="760"/>
      <c r="F8366" s="760"/>
      <c r="G8366" s="760"/>
      <c r="H8366" s="760"/>
      <c r="I8366" s="760"/>
      <c r="J8366" s="760"/>
      <c r="K8366" s="760"/>
    </row>
    <row r="8367" spans="1:11">
      <c r="A8367" s="760"/>
      <c r="B8367" s="760"/>
      <c r="C8367" s="760"/>
      <c r="D8367" s="760"/>
      <c r="E8367" s="760"/>
      <c r="F8367" s="760"/>
      <c r="G8367" s="760"/>
      <c r="H8367" s="760"/>
      <c r="I8367" s="760"/>
      <c r="J8367" s="760"/>
      <c r="K8367" s="760"/>
    </row>
    <row r="8368" spans="1:11">
      <c r="A8368" s="760"/>
      <c r="B8368" s="760"/>
      <c r="C8368" s="760"/>
      <c r="D8368" s="760"/>
      <c r="E8368" s="760"/>
      <c r="F8368" s="760"/>
      <c r="G8368" s="760"/>
      <c r="H8368" s="760"/>
      <c r="I8368" s="760"/>
      <c r="J8368" s="760"/>
      <c r="K8368" s="760"/>
    </row>
    <row r="8369" spans="1:11">
      <c r="A8369" s="760"/>
      <c r="B8369" s="760"/>
      <c r="C8369" s="760"/>
      <c r="D8369" s="760"/>
      <c r="E8369" s="760"/>
      <c r="F8369" s="760"/>
      <c r="G8369" s="760"/>
      <c r="H8369" s="760"/>
      <c r="I8369" s="760"/>
      <c r="J8369" s="760"/>
      <c r="K8369" s="760"/>
    </row>
    <row r="8370" spans="1:11">
      <c r="A8370" s="760"/>
      <c r="B8370" s="760"/>
      <c r="C8370" s="760"/>
      <c r="D8370" s="760"/>
      <c r="E8370" s="760"/>
      <c r="F8370" s="760"/>
      <c r="G8370" s="760"/>
      <c r="H8370" s="760"/>
      <c r="I8370" s="760"/>
      <c r="J8370" s="760"/>
      <c r="K8370" s="760"/>
    </row>
    <row r="8371" spans="1:11">
      <c r="A8371" s="760"/>
      <c r="B8371" s="760"/>
      <c r="C8371" s="760"/>
      <c r="D8371" s="760"/>
      <c r="E8371" s="760"/>
      <c r="F8371" s="760"/>
      <c r="G8371" s="760"/>
      <c r="H8371" s="760"/>
      <c r="I8371" s="760"/>
      <c r="J8371" s="760"/>
      <c r="K8371" s="760"/>
    </row>
    <row r="8372" spans="1:11">
      <c r="A8372" s="760"/>
      <c r="B8372" s="760"/>
      <c r="C8372" s="760"/>
      <c r="D8372" s="760"/>
      <c r="E8372" s="760"/>
      <c r="F8372" s="760"/>
      <c r="G8372" s="760"/>
      <c r="H8372" s="760"/>
      <c r="I8372" s="760"/>
      <c r="J8372" s="760"/>
      <c r="K8372" s="760"/>
    </row>
    <row r="8373" spans="1:11">
      <c r="A8373" s="760"/>
      <c r="B8373" s="760"/>
      <c r="C8373" s="760"/>
      <c r="D8373" s="760"/>
      <c r="E8373" s="760"/>
      <c r="F8373" s="760"/>
      <c r="G8373" s="760"/>
      <c r="H8373" s="760"/>
      <c r="I8373" s="760"/>
      <c r="J8373" s="760"/>
      <c r="K8373" s="760"/>
    </row>
    <row r="8374" spans="1:11">
      <c r="A8374" s="760"/>
      <c r="B8374" s="760"/>
      <c r="C8374" s="760"/>
      <c r="D8374" s="760"/>
      <c r="E8374" s="760"/>
      <c r="F8374" s="760"/>
      <c r="G8374" s="760"/>
      <c r="H8374" s="760"/>
      <c r="I8374" s="760"/>
      <c r="J8374" s="760"/>
      <c r="K8374" s="760"/>
    </row>
    <row r="8375" spans="1:11">
      <c r="A8375" s="760"/>
      <c r="B8375" s="760"/>
      <c r="C8375" s="760"/>
      <c r="D8375" s="760"/>
      <c r="E8375" s="760"/>
      <c r="F8375" s="760"/>
      <c r="G8375" s="760"/>
      <c r="H8375" s="760"/>
      <c r="I8375" s="760"/>
      <c r="J8375" s="760"/>
      <c r="K8375" s="760"/>
    </row>
    <row r="8376" spans="1:11">
      <c r="A8376" s="760"/>
      <c r="B8376" s="760"/>
      <c r="C8376" s="760"/>
      <c r="D8376" s="760"/>
      <c r="E8376" s="760"/>
      <c r="F8376" s="760"/>
      <c r="G8376" s="760"/>
      <c r="H8376" s="760"/>
      <c r="I8376" s="760"/>
      <c r="J8376" s="760"/>
      <c r="K8376" s="760"/>
    </row>
    <row r="8377" spans="1:11">
      <c r="A8377" s="760"/>
      <c r="B8377" s="760"/>
      <c r="C8377" s="760"/>
      <c r="D8377" s="760"/>
      <c r="E8377" s="760"/>
      <c r="F8377" s="760"/>
      <c r="G8377" s="760"/>
      <c r="H8377" s="760"/>
      <c r="I8377" s="760"/>
      <c r="J8377" s="760"/>
      <c r="K8377" s="760"/>
    </row>
    <row r="8378" spans="1:11">
      <c r="A8378" s="760"/>
      <c r="B8378" s="760"/>
      <c r="C8378" s="760"/>
      <c r="D8378" s="760"/>
      <c r="E8378" s="760"/>
      <c r="F8378" s="760"/>
      <c r="G8378" s="760"/>
      <c r="H8378" s="760"/>
      <c r="I8378" s="760"/>
      <c r="J8378" s="760"/>
      <c r="K8378" s="760"/>
    </row>
    <row r="8379" spans="1:11">
      <c r="A8379" s="760"/>
      <c r="B8379" s="760"/>
      <c r="C8379" s="760"/>
      <c r="D8379" s="760"/>
      <c r="E8379" s="760"/>
      <c r="F8379" s="760"/>
      <c r="G8379" s="760"/>
      <c r="H8379" s="760"/>
      <c r="I8379" s="760"/>
      <c r="J8379" s="760"/>
      <c r="K8379" s="760"/>
    </row>
    <row r="8380" spans="1:11">
      <c r="A8380" s="760"/>
      <c r="B8380" s="760"/>
      <c r="C8380" s="760"/>
      <c r="D8380" s="760"/>
      <c r="E8380" s="760"/>
      <c r="F8380" s="760"/>
      <c r="G8380" s="760"/>
      <c r="H8380" s="760"/>
      <c r="I8380" s="760"/>
      <c r="J8380" s="760"/>
      <c r="K8380" s="760"/>
    </row>
    <row r="8381" spans="1:11">
      <c r="A8381" s="760"/>
      <c r="B8381" s="760"/>
      <c r="C8381" s="760"/>
      <c r="D8381" s="760"/>
      <c r="E8381" s="760"/>
      <c r="F8381" s="760"/>
      <c r="G8381" s="760"/>
      <c r="H8381" s="760"/>
      <c r="I8381" s="760"/>
      <c r="J8381" s="760"/>
      <c r="K8381" s="760"/>
    </row>
    <row r="8382" spans="1:11">
      <c r="A8382" s="760"/>
      <c r="B8382" s="760"/>
      <c r="C8382" s="760"/>
      <c r="D8382" s="760"/>
      <c r="E8382" s="760"/>
      <c r="F8382" s="760"/>
      <c r="G8382" s="760"/>
      <c r="H8382" s="760"/>
      <c r="I8382" s="760"/>
      <c r="J8382" s="760"/>
      <c r="K8382" s="760"/>
    </row>
    <row r="8383" spans="1:11">
      <c r="A8383" s="760"/>
      <c r="B8383" s="760"/>
      <c r="C8383" s="760"/>
      <c r="D8383" s="760"/>
      <c r="E8383" s="760"/>
      <c r="F8383" s="760"/>
      <c r="G8383" s="760"/>
      <c r="H8383" s="760"/>
      <c r="I8383" s="760"/>
      <c r="J8383" s="760"/>
      <c r="K8383" s="760"/>
    </row>
    <row r="8384" spans="1:11">
      <c r="A8384" s="760"/>
      <c r="B8384" s="760"/>
      <c r="C8384" s="760"/>
      <c r="D8384" s="760"/>
      <c r="E8384" s="760"/>
      <c r="F8384" s="760"/>
      <c r="G8384" s="760"/>
      <c r="H8384" s="760"/>
      <c r="I8384" s="760"/>
      <c r="J8384" s="760"/>
      <c r="K8384" s="760"/>
    </row>
    <row r="8385" spans="1:11">
      <c r="A8385" s="760"/>
      <c r="B8385" s="760"/>
      <c r="C8385" s="760"/>
      <c r="D8385" s="760"/>
      <c r="E8385" s="760"/>
      <c r="F8385" s="760"/>
      <c r="G8385" s="760"/>
      <c r="H8385" s="760"/>
      <c r="I8385" s="760"/>
      <c r="J8385" s="760"/>
      <c r="K8385" s="760"/>
    </row>
    <row r="8386" spans="1:11">
      <c r="A8386" s="760"/>
      <c r="B8386" s="760"/>
      <c r="C8386" s="760"/>
      <c r="D8386" s="760"/>
      <c r="E8386" s="760"/>
      <c r="F8386" s="760"/>
      <c r="G8386" s="760"/>
      <c r="H8386" s="760"/>
      <c r="I8386" s="760"/>
      <c r="J8386" s="760"/>
      <c r="K8386" s="760"/>
    </row>
    <row r="8387" spans="1:11">
      <c r="A8387" s="760"/>
      <c r="B8387" s="760"/>
      <c r="C8387" s="760"/>
      <c r="D8387" s="760"/>
      <c r="E8387" s="760"/>
      <c r="F8387" s="760"/>
      <c r="G8387" s="760"/>
      <c r="H8387" s="760"/>
      <c r="I8387" s="760"/>
      <c r="J8387" s="760"/>
      <c r="K8387" s="760"/>
    </row>
    <row r="8388" spans="1:11">
      <c r="A8388" s="760"/>
      <c r="B8388" s="760"/>
      <c r="C8388" s="760"/>
      <c r="D8388" s="760"/>
      <c r="E8388" s="760"/>
      <c r="F8388" s="760"/>
      <c r="G8388" s="760"/>
      <c r="H8388" s="760"/>
      <c r="I8388" s="760"/>
      <c r="J8388" s="760"/>
      <c r="K8388" s="760"/>
    </row>
    <row r="8389" spans="1:11">
      <c r="A8389" s="760"/>
      <c r="B8389" s="760"/>
      <c r="C8389" s="760"/>
      <c r="D8389" s="760"/>
      <c r="E8389" s="760"/>
      <c r="F8389" s="760"/>
      <c r="G8389" s="760"/>
      <c r="H8389" s="760"/>
      <c r="I8389" s="760"/>
      <c r="J8389" s="760"/>
      <c r="K8389" s="760"/>
    </row>
    <row r="8390" spans="1:11">
      <c r="A8390" s="760"/>
      <c r="B8390" s="760"/>
      <c r="C8390" s="760"/>
      <c r="D8390" s="760"/>
      <c r="E8390" s="760"/>
      <c r="F8390" s="760"/>
      <c r="G8390" s="760"/>
      <c r="H8390" s="760"/>
      <c r="I8390" s="760"/>
      <c r="J8390" s="760"/>
      <c r="K8390" s="760"/>
    </row>
    <row r="8391" spans="1:11">
      <c r="A8391" s="760"/>
      <c r="B8391" s="760"/>
      <c r="C8391" s="760"/>
      <c r="D8391" s="760"/>
      <c r="E8391" s="760"/>
      <c r="F8391" s="760"/>
      <c r="G8391" s="760"/>
      <c r="H8391" s="760"/>
      <c r="I8391" s="760"/>
      <c r="J8391" s="760"/>
      <c r="K8391" s="760"/>
    </row>
    <row r="8392" spans="1:11">
      <c r="A8392" s="760"/>
      <c r="B8392" s="760"/>
      <c r="C8392" s="760"/>
      <c r="D8392" s="760"/>
      <c r="E8392" s="760"/>
      <c r="F8392" s="760"/>
      <c r="G8392" s="760"/>
      <c r="H8392" s="760"/>
      <c r="I8392" s="760"/>
      <c r="J8392" s="760"/>
      <c r="K8392" s="760"/>
    </row>
    <row r="8393" spans="1:11">
      <c r="A8393" s="760"/>
      <c r="B8393" s="760"/>
      <c r="C8393" s="760"/>
      <c r="D8393" s="760"/>
      <c r="E8393" s="760"/>
      <c r="F8393" s="760"/>
      <c r="G8393" s="760"/>
      <c r="H8393" s="760"/>
      <c r="I8393" s="760"/>
      <c r="J8393" s="760"/>
      <c r="K8393" s="760"/>
    </row>
    <row r="8394" spans="1:11">
      <c r="A8394" s="760"/>
      <c r="B8394" s="760"/>
      <c r="C8394" s="760"/>
      <c r="D8394" s="760"/>
      <c r="E8394" s="760"/>
      <c r="F8394" s="760"/>
      <c r="G8394" s="760"/>
      <c r="H8394" s="760"/>
      <c r="I8394" s="760"/>
      <c r="J8394" s="760"/>
      <c r="K8394" s="760"/>
    </row>
    <row r="8395" spans="1:11">
      <c r="A8395" s="760"/>
      <c r="B8395" s="760"/>
      <c r="C8395" s="760"/>
      <c r="D8395" s="760"/>
      <c r="E8395" s="760"/>
      <c r="F8395" s="760"/>
      <c r="G8395" s="760"/>
      <c r="H8395" s="760"/>
      <c r="I8395" s="760"/>
      <c r="J8395" s="760"/>
      <c r="K8395" s="760"/>
    </row>
    <row r="8396" spans="1:11">
      <c r="A8396" s="760"/>
      <c r="B8396" s="760"/>
      <c r="C8396" s="760"/>
      <c r="D8396" s="760"/>
      <c r="E8396" s="760"/>
      <c r="F8396" s="760"/>
      <c r="G8396" s="760"/>
      <c r="H8396" s="760"/>
      <c r="I8396" s="760"/>
      <c r="J8396" s="760"/>
      <c r="K8396" s="760"/>
    </row>
    <row r="8397" spans="1:11">
      <c r="A8397" s="760"/>
      <c r="B8397" s="760"/>
      <c r="C8397" s="760"/>
      <c r="D8397" s="760"/>
      <c r="E8397" s="760"/>
      <c r="F8397" s="760"/>
      <c r="G8397" s="760"/>
      <c r="H8397" s="760"/>
      <c r="I8397" s="760"/>
      <c r="J8397" s="760"/>
      <c r="K8397" s="760"/>
    </row>
    <row r="8398" spans="1:11">
      <c r="A8398" s="760"/>
      <c r="B8398" s="760"/>
      <c r="C8398" s="760"/>
      <c r="D8398" s="760"/>
      <c r="E8398" s="760"/>
      <c r="F8398" s="760"/>
      <c r="G8398" s="760"/>
      <c r="H8398" s="760"/>
      <c r="I8398" s="760"/>
      <c r="J8398" s="760"/>
      <c r="K8398" s="760"/>
    </row>
    <row r="8399" spans="1:11">
      <c r="A8399" s="760"/>
      <c r="B8399" s="760"/>
      <c r="C8399" s="760"/>
      <c r="D8399" s="760"/>
      <c r="E8399" s="760"/>
      <c r="F8399" s="760"/>
      <c r="G8399" s="760"/>
      <c r="H8399" s="760"/>
      <c r="I8399" s="760"/>
      <c r="J8399" s="760"/>
      <c r="K8399" s="760"/>
    </row>
    <row r="8400" spans="1:11">
      <c r="A8400" s="760"/>
      <c r="B8400" s="760"/>
      <c r="C8400" s="760"/>
      <c r="D8400" s="760"/>
      <c r="E8400" s="760"/>
      <c r="F8400" s="760"/>
      <c r="G8400" s="760"/>
      <c r="H8400" s="760"/>
      <c r="I8400" s="760"/>
      <c r="J8400" s="760"/>
      <c r="K8400" s="760"/>
    </row>
    <row r="8401" spans="1:11">
      <c r="A8401" s="760"/>
      <c r="B8401" s="760"/>
      <c r="C8401" s="760"/>
      <c r="D8401" s="760"/>
      <c r="E8401" s="760"/>
      <c r="F8401" s="760"/>
      <c r="G8401" s="760"/>
      <c r="H8401" s="760"/>
      <c r="I8401" s="760"/>
      <c r="J8401" s="760"/>
      <c r="K8401" s="760"/>
    </row>
    <row r="8402" spans="1:11">
      <c r="A8402" s="760"/>
      <c r="B8402" s="760"/>
      <c r="C8402" s="760"/>
      <c r="D8402" s="760"/>
      <c r="E8402" s="760"/>
      <c r="F8402" s="760"/>
      <c r="G8402" s="760"/>
      <c r="H8402" s="760"/>
      <c r="I8402" s="760"/>
      <c r="J8402" s="760"/>
      <c r="K8402" s="760"/>
    </row>
    <row r="8403" spans="1:11">
      <c r="A8403" s="760"/>
      <c r="B8403" s="760"/>
      <c r="C8403" s="760"/>
      <c r="D8403" s="760"/>
      <c r="E8403" s="760"/>
      <c r="F8403" s="760"/>
      <c r="G8403" s="760"/>
      <c r="H8403" s="760"/>
      <c r="I8403" s="760"/>
      <c r="J8403" s="760"/>
      <c r="K8403" s="760"/>
    </row>
    <row r="8404" spans="1:11">
      <c r="A8404" s="760"/>
      <c r="B8404" s="760"/>
      <c r="C8404" s="760"/>
      <c r="D8404" s="760"/>
      <c r="E8404" s="760"/>
      <c r="F8404" s="760"/>
      <c r="G8404" s="760"/>
      <c r="H8404" s="760"/>
      <c r="I8404" s="760"/>
      <c r="J8404" s="760"/>
      <c r="K8404" s="760"/>
    </row>
    <row r="8405" spans="1:11">
      <c r="A8405" s="760"/>
      <c r="B8405" s="760"/>
      <c r="C8405" s="760"/>
      <c r="D8405" s="760"/>
      <c r="E8405" s="760"/>
      <c r="F8405" s="760"/>
      <c r="G8405" s="760"/>
      <c r="H8405" s="760"/>
      <c r="I8405" s="760"/>
      <c r="J8405" s="760"/>
      <c r="K8405" s="760"/>
    </row>
    <row r="8406" spans="1:11">
      <c r="A8406" s="760"/>
      <c r="B8406" s="760"/>
      <c r="C8406" s="760"/>
      <c r="D8406" s="760"/>
      <c r="E8406" s="760"/>
      <c r="F8406" s="760"/>
      <c r="G8406" s="760"/>
      <c r="H8406" s="760"/>
      <c r="I8406" s="760"/>
      <c r="J8406" s="760"/>
      <c r="K8406" s="760"/>
    </row>
    <row r="8407" spans="1:11">
      <c r="A8407" s="760"/>
      <c r="B8407" s="760"/>
      <c r="C8407" s="760"/>
      <c r="D8407" s="760"/>
      <c r="E8407" s="760"/>
      <c r="F8407" s="760"/>
      <c r="G8407" s="760"/>
      <c r="H8407" s="760"/>
      <c r="I8407" s="760"/>
      <c r="J8407" s="760"/>
      <c r="K8407" s="760"/>
    </row>
    <row r="8408" spans="1:11">
      <c r="A8408" s="760"/>
      <c r="B8408" s="760"/>
      <c r="C8408" s="760"/>
      <c r="D8408" s="760"/>
      <c r="E8408" s="760"/>
      <c r="F8408" s="760"/>
      <c r="G8408" s="760"/>
      <c r="H8408" s="760"/>
      <c r="I8408" s="760"/>
      <c r="J8408" s="760"/>
      <c r="K8408" s="760"/>
    </row>
    <row r="8409" spans="1:11">
      <c r="A8409" s="760"/>
      <c r="B8409" s="760"/>
      <c r="C8409" s="760"/>
      <c r="D8409" s="760"/>
      <c r="E8409" s="760"/>
      <c r="F8409" s="760"/>
      <c r="G8409" s="760"/>
      <c r="H8409" s="760"/>
      <c r="I8409" s="760"/>
      <c r="J8409" s="760"/>
      <c r="K8409" s="760"/>
    </row>
    <row r="8410" spans="1:11">
      <c r="A8410" s="760"/>
      <c r="B8410" s="760"/>
      <c r="C8410" s="760"/>
      <c r="D8410" s="760"/>
      <c r="E8410" s="760"/>
      <c r="F8410" s="760"/>
      <c r="G8410" s="760"/>
      <c r="H8410" s="760"/>
      <c r="I8410" s="760"/>
      <c r="J8410" s="760"/>
      <c r="K8410" s="760"/>
    </row>
    <row r="8411" spans="1:11">
      <c r="A8411" s="760"/>
      <c r="B8411" s="760"/>
      <c r="C8411" s="760"/>
      <c r="D8411" s="760"/>
      <c r="E8411" s="760"/>
      <c r="F8411" s="760"/>
      <c r="G8411" s="760"/>
      <c r="H8411" s="760"/>
      <c r="I8411" s="760"/>
      <c r="J8411" s="760"/>
      <c r="K8411" s="760"/>
    </row>
    <row r="8412" spans="1:11">
      <c r="A8412" s="760"/>
      <c r="B8412" s="760"/>
      <c r="C8412" s="760"/>
      <c r="D8412" s="760"/>
      <c r="E8412" s="760"/>
      <c r="F8412" s="760"/>
      <c r="G8412" s="760"/>
      <c r="H8412" s="760"/>
      <c r="I8412" s="760"/>
      <c r="J8412" s="760"/>
      <c r="K8412" s="760"/>
    </row>
    <row r="8413" spans="1:11">
      <c r="A8413" s="760"/>
      <c r="B8413" s="760"/>
      <c r="C8413" s="760"/>
      <c r="D8413" s="760"/>
      <c r="E8413" s="760"/>
      <c r="F8413" s="760"/>
      <c r="G8413" s="760"/>
      <c r="H8413" s="760"/>
      <c r="I8413" s="760"/>
      <c r="J8413" s="760"/>
      <c r="K8413" s="760"/>
    </row>
    <row r="8414" spans="1:11">
      <c r="A8414" s="760"/>
      <c r="B8414" s="760"/>
      <c r="C8414" s="760"/>
      <c r="D8414" s="760"/>
      <c r="E8414" s="760"/>
      <c r="F8414" s="760"/>
      <c r="G8414" s="760"/>
      <c r="H8414" s="760"/>
      <c r="I8414" s="760"/>
      <c r="J8414" s="760"/>
      <c r="K8414" s="760"/>
    </row>
    <row r="8415" spans="1:11">
      <c r="A8415" s="760"/>
      <c r="B8415" s="760"/>
      <c r="C8415" s="760"/>
      <c r="D8415" s="760"/>
      <c r="E8415" s="760"/>
      <c r="F8415" s="760"/>
      <c r="G8415" s="760"/>
      <c r="H8415" s="760"/>
      <c r="I8415" s="760"/>
      <c r="J8415" s="760"/>
      <c r="K8415" s="760"/>
    </row>
    <row r="8416" spans="1:11">
      <c r="A8416" s="760"/>
      <c r="B8416" s="760"/>
      <c r="C8416" s="760"/>
      <c r="D8416" s="760"/>
      <c r="E8416" s="760"/>
      <c r="F8416" s="760"/>
      <c r="G8416" s="760"/>
      <c r="H8416" s="760"/>
      <c r="I8416" s="760"/>
      <c r="J8416" s="760"/>
      <c r="K8416" s="760"/>
    </row>
    <row r="8417" spans="1:11">
      <c r="A8417" s="760"/>
      <c r="B8417" s="760"/>
      <c r="C8417" s="760"/>
      <c r="D8417" s="760"/>
      <c r="E8417" s="760"/>
      <c r="F8417" s="760"/>
      <c r="G8417" s="760"/>
      <c r="H8417" s="760"/>
      <c r="I8417" s="760"/>
      <c r="J8417" s="760"/>
      <c r="K8417" s="760"/>
    </row>
    <row r="8418" spans="1:11">
      <c r="A8418" s="760"/>
      <c r="B8418" s="760"/>
      <c r="C8418" s="760"/>
      <c r="D8418" s="760"/>
      <c r="E8418" s="760"/>
      <c r="F8418" s="760"/>
      <c r="G8418" s="760"/>
      <c r="H8418" s="760"/>
      <c r="I8418" s="760"/>
      <c r="J8418" s="760"/>
      <c r="K8418" s="760"/>
    </row>
    <row r="8419" spans="1:11">
      <c r="A8419" s="760"/>
      <c r="B8419" s="760"/>
      <c r="C8419" s="760"/>
      <c r="D8419" s="760"/>
      <c r="E8419" s="760"/>
      <c r="F8419" s="760"/>
      <c r="G8419" s="760"/>
      <c r="H8419" s="760"/>
      <c r="I8419" s="760"/>
      <c r="J8419" s="760"/>
      <c r="K8419" s="760"/>
    </row>
    <row r="8420" spans="1:11">
      <c r="A8420" s="760"/>
      <c r="B8420" s="760"/>
      <c r="C8420" s="760"/>
      <c r="D8420" s="760"/>
      <c r="E8420" s="760"/>
      <c r="F8420" s="760"/>
      <c r="G8420" s="760"/>
      <c r="H8420" s="760"/>
      <c r="I8420" s="760"/>
      <c r="J8420" s="760"/>
      <c r="K8420" s="760"/>
    </row>
    <row r="8421" spans="1:11">
      <c r="A8421" s="760"/>
      <c r="B8421" s="760"/>
      <c r="C8421" s="760"/>
      <c r="D8421" s="760"/>
      <c r="E8421" s="760"/>
      <c r="F8421" s="760"/>
      <c r="G8421" s="760"/>
      <c r="H8421" s="760"/>
      <c r="I8421" s="760"/>
      <c r="J8421" s="760"/>
      <c r="K8421" s="760"/>
    </row>
    <row r="8422" spans="1:11">
      <c r="A8422" s="760"/>
      <c r="B8422" s="760"/>
      <c r="C8422" s="760"/>
      <c r="D8422" s="760"/>
      <c r="E8422" s="760"/>
      <c r="F8422" s="760"/>
      <c r="G8422" s="760"/>
      <c r="H8422" s="760"/>
      <c r="I8422" s="760"/>
      <c r="J8422" s="760"/>
      <c r="K8422" s="760"/>
    </row>
    <row r="8423" spans="1:11">
      <c r="A8423" s="760"/>
      <c r="B8423" s="760"/>
      <c r="C8423" s="760"/>
      <c r="D8423" s="760"/>
      <c r="E8423" s="760"/>
      <c r="F8423" s="760"/>
      <c r="G8423" s="760"/>
      <c r="H8423" s="760"/>
      <c r="I8423" s="760"/>
      <c r="J8423" s="760"/>
      <c r="K8423" s="760"/>
    </row>
    <row r="8424" spans="1:11">
      <c r="A8424" s="760"/>
      <c r="B8424" s="760"/>
      <c r="C8424" s="760"/>
      <c r="D8424" s="760"/>
      <c r="E8424" s="760"/>
      <c r="F8424" s="760"/>
      <c r="G8424" s="760"/>
      <c r="H8424" s="760"/>
      <c r="I8424" s="760"/>
      <c r="J8424" s="760"/>
      <c r="K8424" s="760"/>
    </row>
    <row r="8425" spans="1:11">
      <c r="A8425" s="760"/>
      <c r="B8425" s="760"/>
      <c r="C8425" s="760"/>
      <c r="D8425" s="760"/>
      <c r="E8425" s="760"/>
      <c r="F8425" s="760"/>
      <c r="G8425" s="760"/>
      <c r="H8425" s="760"/>
      <c r="I8425" s="760"/>
      <c r="J8425" s="760"/>
      <c r="K8425" s="760"/>
    </row>
    <row r="8426" spans="1:11">
      <c r="A8426" s="760"/>
      <c r="B8426" s="760"/>
      <c r="C8426" s="760"/>
      <c r="D8426" s="760"/>
      <c r="E8426" s="760"/>
      <c r="F8426" s="760"/>
      <c r="G8426" s="760"/>
      <c r="H8426" s="760"/>
      <c r="I8426" s="760"/>
      <c r="J8426" s="760"/>
      <c r="K8426" s="760"/>
    </row>
    <row r="8427" spans="1:11">
      <c r="A8427" s="760"/>
      <c r="B8427" s="760"/>
      <c r="C8427" s="760"/>
      <c r="D8427" s="760"/>
      <c r="E8427" s="760"/>
      <c r="F8427" s="760"/>
      <c r="G8427" s="760"/>
      <c r="H8427" s="760"/>
      <c r="I8427" s="760"/>
      <c r="J8427" s="760"/>
      <c r="K8427" s="760"/>
    </row>
    <row r="8428" spans="1:11">
      <c r="A8428" s="760"/>
      <c r="B8428" s="760"/>
      <c r="C8428" s="760"/>
      <c r="D8428" s="760"/>
      <c r="E8428" s="760"/>
      <c r="F8428" s="760"/>
      <c r="G8428" s="760"/>
      <c r="H8428" s="760"/>
      <c r="I8428" s="760"/>
      <c r="J8428" s="760"/>
      <c r="K8428" s="760"/>
    </row>
    <row r="8429" spans="1:11">
      <c r="A8429" s="760"/>
      <c r="B8429" s="760"/>
      <c r="C8429" s="760"/>
      <c r="D8429" s="760"/>
      <c r="E8429" s="760"/>
      <c r="F8429" s="760"/>
      <c r="G8429" s="760"/>
      <c r="H8429" s="760"/>
      <c r="I8429" s="760"/>
      <c r="J8429" s="760"/>
      <c r="K8429" s="760"/>
    </row>
    <row r="8430" spans="1:11">
      <c r="A8430" s="760"/>
      <c r="B8430" s="760"/>
      <c r="C8430" s="760"/>
      <c r="D8430" s="760"/>
      <c r="E8430" s="760"/>
      <c r="F8430" s="760"/>
      <c r="G8430" s="760"/>
      <c r="H8430" s="760"/>
      <c r="I8430" s="760"/>
      <c r="J8430" s="760"/>
      <c r="K8430" s="760"/>
    </row>
    <row r="8431" spans="1:11">
      <c r="A8431" s="760"/>
      <c r="B8431" s="760"/>
      <c r="C8431" s="760"/>
      <c r="D8431" s="760"/>
      <c r="E8431" s="760"/>
      <c r="F8431" s="760"/>
      <c r="G8431" s="760"/>
      <c r="H8431" s="760"/>
      <c r="I8431" s="760"/>
      <c r="J8431" s="760"/>
      <c r="K8431" s="760"/>
    </row>
    <row r="8432" spans="1:11">
      <c r="A8432" s="760"/>
      <c r="B8432" s="760"/>
      <c r="C8432" s="760"/>
      <c r="D8432" s="760"/>
      <c r="E8432" s="760"/>
      <c r="F8432" s="760"/>
      <c r="G8432" s="760"/>
      <c r="H8432" s="760"/>
      <c r="I8432" s="760"/>
      <c r="J8432" s="760"/>
      <c r="K8432" s="760"/>
    </row>
    <row r="8433" spans="1:11">
      <c r="A8433" s="760"/>
      <c r="B8433" s="760"/>
      <c r="C8433" s="760"/>
      <c r="D8433" s="760"/>
      <c r="E8433" s="760"/>
      <c r="F8433" s="760"/>
      <c r="G8433" s="760"/>
      <c r="H8433" s="760"/>
      <c r="I8433" s="760"/>
      <c r="J8433" s="760"/>
      <c r="K8433" s="760"/>
    </row>
    <row r="8434" spans="1:11">
      <c r="A8434" s="760"/>
      <c r="B8434" s="760"/>
      <c r="C8434" s="760"/>
      <c r="D8434" s="760"/>
      <c r="E8434" s="760"/>
      <c r="F8434" s="760"/>
      <c r="G8434" s="760"/>
      <c r="H8434" s="760"/>
      <c r="I8434" s="760"/>
      <c r="J8434" s="760"/>
      <c r="K8434" s="760"/>
    </row>
    <row r="8435" spans="1:11">
      <c r="A8435" s="760"/>
      <c r="B8435" s="760"/>
      <c r="C8435" s="760"/>
      <c r="D8435" s="760"/>
      <c r="E8435" s="760"/>
      <c r="F8435" s="760"/>
      <c r="G8435" s="760"/>
      <c r="H8435" s="760"/>
      <c r="I8435" s="760"/>
      <c r="J8435" s="760"/>
      <c r="K8435" s="760"/>
    </row>
    <row r="8436" spans="1:11">
      <c r="A8436" s="760"/>
      <c r="B8436" s="760"/>
      <c r="C8436" s="760"/>
      <c r="D8436" s="760"/>
      <c r="E8436" s="760"/>
      <c r="F8436" s="760"/>
      <c r="G8436" s="760"/>
      <c r="H8436" s="760"/>
      <c r="I8436" s="760"/>
      <c r="J8436" s="760"/>
      <c r="K8436" s="760"/>
    </row>
    <row r="8437" spans="1:11">
      <c r="A8437" s="760"/>
      <c r="B8437" s="760"/>
      <c r="C8437" s="760"/>
      <c r="D8437" s="760"/>
      <c r="E8437" s="760"/>
      <c r="F8437" s="760"/>
      <c r="G8437" s="760"/>
      <c r="H8437" s="760"/>
      <c r="I8437" s="760"/>
      <c r="J8437" s="760"/>
      <c r="K8437" s="760"/>
    </row>
    <row r="8438" spans="1:11">
      <c r="A8438" s="760"/>
      <c r="B8438" s="760"/>
      <c r="C8438" s="760"/>
      <c r="D8438" s="760"/>
      <c r="E8438" s="760"/>
      <c r="F8438" s="760"/>
      <c r="G8438" s="760"/>
      <c r="H8438" s="760"/>
      <c r="I8438" s="760"/>
      <c r="J8438" s="760"/>
      <c r="K8438" s="760"/>
    </row>
    <row r="8439" spans="1:11">
      <c r="A8439" s="760"/>
      <c r="B8439" s="760"/>
      <c r="C8439" s="760"/>
      <c r="D8439" s="760"/>
      <c r="E8439" s="760"/>
      <c r="F8439" s="760"/>
      <c r="G8439" s="760"/>
      <c r="H8439" s="760"/>
      <c r="I8439" s="760"/>
      <c r="J8439" s="760"/>
      <c r="K8439" s="760"/>
    </row>
    <row r="8440" spans="1:11">
      <c r="A8440" s="760"/>
      <c r="B8440" s="760"/>
      <c r="C8440" s="760"/>
      <c r="D8440" s="760"/>
      <c r="E8440" s="760"/>
      <c r="F8440" s="760"/>
      <c r="G8440" s="760"/>
      <c r="H8440" s="760"/>
      <c r="I8440" s="760"/>
      <c r="J8440" s="760"/>
      <c r="K8440" s="760"/>
    </row>
    <row r="8441" spans="1:11">
      <c r="A8441" s="760"/>
      <c r="B8441" s="760"/>
      <c r="C8441" s="760"/>
      <c r="D8441" s="760"/>
      <c r="E8441" s="760"/>
      <c r="F8441" s="760"/>
      <c r="G8441" s="760"/>
      <c r="H8441" s="760"/>
      <c r="I8441" s="760"/>
      <c r="J8441" s="760"/>
      <c r="K8441" s="760"/>
    </row>
    <row r="8442" spans="1:11">
      <c r="A8442" s="760"/>
      <c r="B8442" s="760"/>
      <c r="C8442" s="760"/>
      <c r="D8442" s="760"/>
      <c r="E8442" s="760"/>
      <c r="F8442" s="760"/>
      <c r="G8442" s="760"/>
      <c r="H8442" s="760"/>
      <c r="I8442" s="760"/>
      <c r="J8442" s="760"/>
      <c r="K8442" s="760"/>
    </row>
    <row r="8443" spans="1:11">
      <c r="A8443" s="760"/>
      <c r="B8443" s="760"/>
      <c r="C8443" s="760"/>
      <c r="D8443" s="760"/>
      <c r="E8443" s="760"/>
      <c r="F8443" s="760"/>
      <c r="G8443" s="760"/>
      <c r="H8443" s="760"/>
      <c r="I8443" s="760"/>
      <c r="J8443" s="760"/>
      <c r="K8443" s="760"/>
    </row>
    <row r="8444" spans="1:11">
      <c r="A8444" s="760"/>
      <c r="B8444" s="760"/>
      <c r="C8444" s="760"/>
      <c r="D8444" s="760"/>
      <c r="E8444" s="760"/>
      <c r="F8444" s="760"/>
      <c r="G8444" s="760"/>
      <c r="H8444" s="760"/>
      <c r="I8444" s="760"/>
      <c r="J8444" s="760"/>
      <c r="K8444" s="760"/>
    </row>
    <row r="8445" spans="1:11">
      <c r="A8445" s="760"/>
      <c r="B8445" s="760"/>
      <c r="C8445" s="760"/>
      <c r="D8445" s="760"/>
      <c r="E8445" s="760"/>
      <c r="F8445" s="760"/>
      <c r="G8445" s="760"/>
      <c r="H8445" s="760"/>
      <c r="I8445" s="760"/>
      <c r="J8445" s="760"/>
      <c r="K8445" s="760"/>
    </row>
    <row r="8446" spans="1:11">
      <c r="A8446" s="760"/>
      <c r="B8446" s="760"/>
      <c r="C8446" s="760"/>
      <c r="D8446" s="760"/>
      <c r="E8446" s="760"/>
      <c r="F8446" s="760"/>
      <c r="G8446" s="760"/>
      <c r="H8446" s="760"/>
      <c r="I8446" s="760"/>
      <c r="J8446" s="760"/>
      <c r="K8446" s="760"/>
    </row>
    <row r="8447" spans="1:11">
      <c r="A8447" s="760"/>
      <c r="B8447" s="760"/>
      <c r="C8447" s="760"/>
      <c r="D8447" s="760"/>
      <c r="E8447" s="760"/>
      <c r="F8447" s="760"/>
      <c r="G8447" s="760"/>
      <c r="H8447" s="760"/>
      <c r="I8447" s="760"/>
      <c r="J8447" s="760"/>
      <c r="K8447" s="760"/>
    </row>
    <row r="8448" spans="1:11">
      <c r="A8448" s="760"/>
      <c r="B8448" s="760"/>
      <c r="C8448" s="760"/>
      <c r="D8448" s="760"/>
      <c r="E8448" s="760"/>
      <c r="F8448" s="760"/>
      <c r="G8448" s="760"/>
      <c r="H8448" s="760"/>
      <c r="I8448" s="760"/>
      <c r="J8448" s="760"/>
      <c r="K8448" s="760"/>
    </row>
    <row r="8449" spans="1:11">
      <c r="A8449" s="760"/>
      <c r="B8449" s="760"/>
      <c r="C8449" s="760"/>
      <c r="D8449" s="760"/>
      <c r="E8449" s="760"/>
      <c r="F8449" s="760"/>
      <c r="G8449" s="760"/>
      <c r="H8449" s="760"/>
      <c r="I8449" s="760"/>
      <c r="J8449" s="760"/>
      <c r="K8449" s="760"/>
    </row>
    <row r="8450" spans="1:11">
      <c r="A8450" s="760"/>
      <c r="B8450" s="760"/>
      <c r="C8450" s="760"/>
      <c r="D8450" s="760"/>
      <c r="E8450" s="760"/>
      <c r="F8450" s="760"/>
      <c r="G8450" s="760"/>
      <c r="H8450" s="760"/>
      <c r="I8450" s="760"/>
      <c r="J8450" s="760"/>
      <c r="K8450" s="760"/>
    </row>
    <row r="8451" spans="1:11">
      <c r="A8451" s="760"/>
      <c r="B8451" s="760"/>
      <c r="C8451" s="760"/>
      <c r="D8451" s="760"/>
      <c r="E8451" s="760"/>
      <c r="F8451" s="760"/>
      <c r="G8451" s="760"/>
      <c r="H8451" s="760"/>
      <c r="I8451" s="760"/>
      <c r="J8451" s="760"/>
      <c r="K8451" s="760"/>
    </row>
    <row r="8452" spans="1:11">
      <c r="A8452" s="760"/>
      <c r="B8452" s="760"/>
      <c r="C8452" s="760"/>
      <c r="D8452" s="760"/>
      <c r="E8452" s="760"/>
      <c r="F8452" s="760"/>
      <c r="G8452" s="760"/>
      <c r="H8452" s="760"/>
      <c r="I8452" s="760"/>
      <c r="J8452" s="760"/>
      <c r="K8452" s="760"/>
    </row>
    <row r="8453" spans="1:11">
      <c r="A8453" s="760"/>
      <c r="B8453" s="760"/>
      <c r="C8453" s="760"/>
      <c r="D8453" s="760"/>
      <c r="E8453" s="760"/>
      <c r="F8453" s="760"/>
      <c r="G8453" s="760"/>
      <c r="H8453" s="760"/>
      <c r="I8453" s="760"/>
      <c r="J8453" s="760"/>
      <c r="K8453" s="760"/>
    </row>
    <row r="8454" spans="1:11">
      <c r="A8454" s="760"/>
      <c r="B8454" s="760"/>
      <c r="C8454" s="760"/>
      <c r="D8454" s="760"/>
      <c r="E8454" s="760"/>
      <c r="F8454" s="760"/>
      <c r="G8454" s="760"/>
      <c r="H8454" s="760"/>
      <c r="I8454" s="760"/>
      <c r="J8454" s="760"/>
      <c r="K8454" s="760"/>
    </row>
    <row r="8455" spans="1:11">
      <c r="A8455" s="760"/>
      <c r="B8455" s="760"/>
      <c r="C8455" s="760"/>
      <c r="D8455" s="760"/>
      <c r="E8455" s="760"/>
      <c r="F8455" s="760"/>
      <c r="G8455" s="760"/>
      <c r="H8455" s="760"/>
      <c r="I8455" s="760"/>
      <c r="J8455" s="760"/>
      <c r="K8455" s="760"/>
    </row>
    <row r="8456" spans="1:11">
      <c r="A8456" s="760"/>
      <c r="B8456" s="760"/>
      <c r="C8456" s="760"/>
      <c r="D8456" s="760"/>
      <c r="E8456" s="760"/>
      <c r="F8456" s="760"/>
      <c r="G8456" s="760"/>
      <c r="H8456" s="760"/>
      <c r="I8456" s="760"/>
      <c r="J8456" s="760"/>
      <c r="K8456" s="760"/>
    </row>
    <row r="8457" spans="1:11">
      <c r="A8457" s="760"/>
      <c r="B8457" s="760"/>
      <c r="C8457" s="760"/>
      <c r="D8457" s="760"/>
      <c r="E8457" s="760"/>
      <c r="F8457" s="760"/>
      <c r="G8457" s="760"/>
      <c r="H8457" s="760"/>
      <c r="I8457" s="760"/>
      <c r="J8457" s="760"/>
      <c r="K8457" s="760"/>
    </row>
    <row r="8458" spans="1:11">
      <c r="A8458" s="760"/>
      <c r="B8458" s="760"/>
      <c r="C8458" s="760"/>
      <c r="D8458" s="760"/>
      <c r="E8458" s="760"/>
      <c r="F8458" s="760"/>
      <c r="G8458" s="760"/>
      <c r="H8458" s="760"/>
      <c r="I8458" s="760"/>
      <c r="J8458" s="760"/>
      <c r="K8458" s="760"/>
    </row>
    <row r="8459" spans="1:11">
      <c r="A8459" s="760"/>
      <c r="B8459" s="760"/>
      <c r="C8459" s="760"/>
      <c r="D8459" s="760"/>
      <c r="E8459" s="760"/>
      <c r="F8459" s="760"/>
      <c r="G8459" s="760"/>
      <c r="H8459" s="760"/>
      <c r="I8459" s="760"/>
      <c r="J8459" s="760"/>
      <c r="K8459" s="760"/>
    </row>
    <row r="8460" spans="1:11">
      <c r="A8460" s="760"/>
      <c r="B8460" s="760"/>
      <c r="C8460" s="760"/>
      <c r="D8460" s="760"/>
      <c r="E8460" s="760"/>
      <c r="F8460" s="760"/>
      <c r="G8460" s="760"/>
      <c r="H8460" s="760"/>
      <c r="I8460" s="760"/>
      <c r="J8460" s="760"/>
      <c r="K8460" s="760"/>
    </row>
    <row r="8461" spans="1:11">
      <c r="A8461" s="760"/>
      <c r="B8461" s="760"/>
      <c r="C8461" s="760"/>
      <c r="D8461" s="760"/>
      <c r="E8461" s="760"/>
      <c r="F8461" s="760"/>
      <c r="G8461" s="760"/>
      <c r="H8461" s="760"/>
      <c r="I8461" s="760"/>
      <c r="J8461" s="760"/>
      <c r="K8461" s="760"/>
    </row>
    <row r="8462" spans="1:11">
      <c r="A8462" s="760"/>
      <c r="B8462" s="760"/>
      <c r="C8462" s="760"/>
      <c r="D8462" s="760"/>
      <c r="E8462" s="760"/>
      <c r="F8462" s="760"/>
      <c r="G8462" s="760"/>
      <c r="H8462" s="760"/>
      <c r="I8462" s="760"/>
      <c r="J8462" s="760"/>
      <c r="K8462" s="760"/>
    </row>
    <row r="8463" spans="1:11">
      <c r="A8463" s="760"/>
      <c r="B8463" s="760"/>
      <c r="C8463" s="760"/>
      <c r="D8463" s="760"/>
      <c r="E8463" s="760"/>
      <c r="F8463" s="760"/>
      <c r="G8463" s="760"/>
      <c r="H8463" s="760"/>
      <c r="I8463" s="760"/>
      <c r="J8463" s="760"/>
      <c r="K8463" s="760"/>
    </row>
    <row r="8464" spans="1:11">
      <c r="A8464" s="760"/>
      <c r="B8464" s="760"/>
      <c r="C8464" s="760"/>
      <c r="D8464" s="760"/>
      <c r="E8464" s="760"/>
      <c r="F8464" s="760"/>
      <c r="G8464" s="760"/>
      <c r="H8464" s="760"/>
      <c r="I8464" s="760"/>
      <c r="J8464" s="760"/>
      <c r="K8464" s="760"/>
    </row>
    <row r="8465" spans="1:11">
      <c r="A8465" s="760"/>
      <c r="B8465" s="760"/>
      <c r="C8465" s="760"/>
      <c r="D8465" s="760"/>
      <c r="E8465" s="760"/>
      <c r="F8465" s="760"/>
      <c r="G8465" s="760"/>
      <c r="H8465" s="760"/>
      <c r="I8465" s="760"/>
      <c r="J8465" s="760"/>
      <c r="K8465" s="760"/>
    </row>
    <row r="8466" spans="1:11">
      <c r="A8466" s="760"/>
      <c r="B8466" s="760"/>
      <c r="C8466" s="760"/>
      <c r="D8466" s="760"/>
      <c r="E8466" s="760"/>
      <c r="F8466" s="760"/>
      <c r="G8466" s="760"/>
      <c r="H8466" s="760"/>
      <c r="I8466" s="760"/>
      <c r="J8466" s="760"/>
      <c r="K8466" s="760"/>
    </row>
    <row r="8467" spans="1:11">
      <c r="A8467" s="760"/>
      <c r="B8467" s="760"/>
      <c r="C8467" s="760"/>
      <c r="D8467" s="760"/>
      <c r="E8467" s="760"/>
      <c r="F8467" s="760"/>
      <c r="G8467" s="760"/>
      <c r="H8467" s="760"/>
      <c r="I8467" s="760"/>
      <c r="J8467" s="760"/>
      <c r="K8467" s="760"/>
    </row>
    <row r="8468" spans="1:11">
      <c r="A8468" s="760"/>
      <c r="B8468" s="760"/>
      <c r="C8468" s="760"/>
      <c r="D8468" s="760"/>
      <c r="E8468" s="760"/>
      <c r="F8468" s="760"/>
      <c r="G8468" s="760"/>
      <c r="H8468" s="760"/>
      <c r="I8468" s="760"/>
      <c r="J8468" s="760"/>
      <c r="K8468" s="760"/>
    </row>
    <row r="8469" spans="1:11">
      <c r="A8469" s="760"/>
      <c r="B8469" s="760"/>
      <c r="C8469" s="760"/>
      <c r="D8469" s="760"/>
      <c r="E8469" s="760"/>
      <c r="F8469" s="760"/>
      <c r="G8469" s="760"/>
      <c r="H8469" s="760"/>
      <c r="I8469" s="760"/>
      <c r="J8469" s="760"/>
      <c r="K8469" s="760"/>
    </row>
    <row r="8470" spans="1:11">
      <c r="A8470" s="760"/>
      <c r="B8470" s="760"/>
      <c r="C8470" s="760"/>
      <c r="D8470" s="760"/>
      <c r="E8470" s="760"/>
      <c r="F8470" s="760"/>
      <c r="G8470" s="760"/>
      <c r="H8470" s="760"/>
      <c r="I8470" s="760"/>
      <c r="J8470" s="760"/>
      <c r="K8470" s="760"/>
    </row>
    <row r="8471" spans="1:11">
      <c r="A8471" s="760"/>
      <c r="B8471" s="760"/>
      <c r="C8471" s="760"/>
      <c r="D8471" s="760"/>
      <c r="E8471" s="760"/>
      <c r="F8471" s="760"/>
      <c r="G8471" s="760"/>
      <c r="H8471" s="760"/>
      <c r="I8471" s="760"/>
      <c r="J8471" s="760"/>
      <c r="K8471" s="760"/>
    </row>
    <row r="8472" spans="1:11">
      <c r="A8472" s="760"/>
      <c r="B8472" s="760"/>
      <c r="C8472" s="760"/>
      <c r="D8472" s="760"/>
      <c r="E8472" s="760"/>
      <c r="F8472" s="760"/>
      <c r="G8472" s="760"/>
      <c r="H8472" s="760"/>
      <c r="I8472" s="760"/>
      <c r="J8472" s="760"/>
      <c r="K8472" s="760"/>
    </row>
    <row r="8473" spans="1:11">
      <c r="A8473" s="760"/>
      <c r="B8473" s="760"/>
      <c r="C8473" s="760"/>
      <c r="D8473" s="760"/>
      <c r="E8473" s="760"/>
      <c r="F8473" s="760"/>
      <c r="G8473" s="760"/>
      <c r="H8473" s="760"/>
      <c r="I8473" s="760"/>
      <c r="J8473" s="760"/>
      <c r="K8473" s="760"/>
    </row>
    <row r="8474" spans="1:11">
      <c r="A8474" s="760"/>
      <c r="B8474" s="760"/>
      <c r="C8474" s="760"/>
      <c r="D8474" s="760"/>
      <c r="E8474" s="760"/>
      <c r="F8474" s="760"/>
      <c r="G8474" s="760"/>
      <c r="H8474" s="760"/>
      <c r="I8474" s="760"/>
      <c r="J8474" s="760"/>
      <c r="K8474" s="760"/>
    </row>
    <row r="8475" spans="1:11">
      <c r="A8475" s="760"/>
      <c r="B8475" s="760"/>
      <c r="C8475" s="760"/>
      <c r="D8475" s="760"/>
      <c r="E8475" s="760"/>
      <c r="F8475" s="760"/>
      <c r="G8475" s="760"/>
      <c r="H8475" s="760"/>
      <c r="I8475" s="760"/>
      <c r="J8475" s="760"/>
      <c r="K8475" s="760"/>
    </row>
    <row r="8476" spans="1:11">
      <c r="A8476" s="760"/>
      <c r="B8476" s="760"/>
      <c r="C8476" s="760"/>
      <c r="D8476" s="760"/>
      <c r="E8476" s="760"/>
      <c r="F8476" s="760"/>
      <c r="G8476" s="760"/>
      <c r="H8476" s="760"/>
      <c r="I8476" s="760"/>
      <c r="J8476" s="760"/>
      <c r="K8476" s="760"/>
    </row>
    <row r="8477" spans="1:11">
      <c r="A8477" s="760"/>
      <c r="B8477" s="760"/>
      <c r="C8477" s="760"/>
      <c r="D8477" s="760"/>
      <c r="E8477" s="760"/>
      <c r="F8477" s="760"/>
      <c r="G8477" s="760"/>
      <c r="H8477" s="760"/>
      <c r="I8477" s="760"/>
      <c r="J8477" s="760"/>
      <c r="K8477" s="760"/>
    </row>
    <row r="8478" spans="1:11">
      <c r="A8478" s="760"/>
      <c r="B8478" s="760"/>
      <c r="C8478" s="760"/>
      <c r="D8478" s="760"/>
      <c r="E8478" s="760"/>
      <c r="F8478" s="760"/>
      <c r="G8478" s="760"/>
      <c r="H8478" s="760"/>
      <c r="I8478" s="760"/>
      <c r="J8478" s="760"/>
      <c r="K8478" s="760"/>
    </row>
    <row r="8479" spans="1:11">
      <c r="A8479" s="760"/>
      <c r="B8479" s="760"/>
      <c r="C8479" s="760"/>
      <c r="D8479" s="760"/>
      <c r="E8479" s="760"/>
      <c r="F8479" s="760"/>
      <c r="G8479" s="760"/>
      <c r="H8479" s="760"/>
      <c r="I8479" s="760"/>
      <c r="J8479" s="760"/>
      <c r="K8479" s="760"/>
    </row>
    <row r="8480" spans="1:11">
      <c r="A8480" s="760"/>
      <c r="B8480" s="760"/>
      <c r="C8480" s="760"/>
      <c r="D8480" s="760"/>
      <c r="E8480" s="760"/>
      <c r="F8480" s="760"/>
      <c r="G8480" s="760"/>
      <c r="H8480" s="760"/>
      <c r="I8480" s="760"/>
      <c r="J8480" s="760"/>
      <c r="K8480" s="760"/>
    </row>
    <row r="8481" spans="1:11">
      <c r="A8481" s="760"/>
      <c r="B8481" s="760"/>
      <c r="C8481" s="760"/>
      <c r="D8481" s="760"/>
      <c r="E8481" s="760"/>
      <c r="F8481" s="760"/>
      <c r="G8481" s="760"/>
      <c r="H8481" s="760"/>
      <c r="I8481" s="760"/>
      <c r="J8481" s="760"/>
      <c r="K8481" s="760"/>
    </row>
    <row r="8482" spans="1:11">
      <c r="A8482" s="760"/>
      <c r="B8482" s="760"/>
      <c r="C8482" s="760"/>
      <c r="D8482" s="760"/>
      <c r="E8482" s="760"/>
      <c r="F8482" s="760"/>
      <c r="G8482" s="760"/>
      <c r="H8482" s="760"/>
      <c r="I8482" s="760"/>
      <c r="J8482" s="760"/>
      <c r="K8482" s="760"/>
    </row>
    <row r="8483" spans="1:11">
      <c r="A8483" s="760"/>
      <c r="B8483" s="760"/>
      <c r="C8483" s="760"/>
      <c r="D8483" s="760"/>
      <c r="E8483" s="760"/>
      <c r="F8483" s="760"/>
      <c r="G8483" s="760"/>
      <c r="H8483" s="760"/>
      <c r="I8483" s="760"/>
      <c r="J8483" s="760"/>
      <c r="K8483" s="760"/>
    </row>
    <row r="8484" spans="1:11">
      <c r="A8484" s="760"/>
      <c r="B8484" s="760"/>
      <c r="C8484" s="760"/>
      <c r="D8484" s="760"/>
      <c r="E8484" s="760"/>
      <c r="F8484" s="760"/>
      <c r="G8484" s="760"/>
      <c r="H8484" s="760"/>
      <c r="I8484" s="760"/>
      <c r="J8484" s="760"/>
      <c r="K8484" s="760"/>
    </row>
    <row r="8485" spans="1:11">
      <c r="A8485" s="760"/>
      <c r="B8485" s="760"/>
      <c r="C8485" s="760"/>
      <c r="D8485" s="760"/>
      <c r="E8485" s="760"/>
      <c r="F8485" s="760"/>
      <c r="G8485" s="760"/>
      <c r="H8485" s="760"/>
      <c r="I8485" s="760"/>
      <c r="J8485" s="760"/>
      <c r="K8485" s="760"/>
    </row>
    <row r="8486" spans="1:11">
      <c r="A8486" s="760"/>
      <c r="B8486" s="760"/>
      <c r="C8486" s="760"/>
      <c r="D8486" s="760"/>
      <c r="E8486" s="760"/>
      <c r="F8486" s="760"/>
      <c r="G8486" s="760"/>
      <c r="H8486" s="760"/>
      <c r="I8486" s="760"/>
      <c r="J8486" s="760"/>
      <c r="K8486" s="760"/>
    </row>
    <row r="8487" spans="1:11">
      <c r="A8487" s="760"/>
      <c r="B8487" s="760"/>
      <c r="C8487" s="760"/>
      <c r="D8487" s="760"/>
      <c r="E8487" s="760"/>
      <c r="F8487" s="760"/>
      <c r="G8487" s="760"/>
      <c r="H8487" s="760"/>
      <c r="I8487" s="760"/>
      <c r="J8487" s="760"/>
      <c r="K8487" s="760"/>
    </row>
    <row r="8488" spans="1:11">
      <c r="A8488" s="760"/>
      <c r="B8488" s="760"/>
      <c r="C8488" s="760"/>
      <c r="D8488" s="760"/>
      <c r="E8488" s="760"/>
      <c r="F8488" s="760"/>
      <c r="G8488" s="760"/>
      <c r="H8488" s="760"/>
      <c r="I8488" s="760"/>
      <c r="J8488" s="760"/>
      <c r="K8488" s="760"/>
    </row>
    <row r="8489" spans="1:11">
      <c r="A8489" s="760"/>
      <c r="B8489" s="760"/>
      <c r="C8489" s="760"/>
      <c r="D8489" s="760"/>
      <c r="E8489" s="760"/>
      <c r="F8489" s="760"/>
      <c r="G8489" s="760"/>
      <c r="H8489" s="760"/>
      <c r="I8489" s="760"/>
      <c r="J8489" s="760"/>
      <c r="K8489" s="760"/>
    </row>
    <row r="8490" spans="1:11">
      <c r="A8490" s="760"/>
      <c r="B8490" s="760"/>
      <c r="C8490" s="760"/>
      <c r="D8490" s="760"/>
      <c r="E8490" s="760"/>
      <c r="F8490" s="760"/>
      <c r="G8490" s="760"/>
      <c r="H8490" s="760"/>
      <c r="I8490" s="760"/>
      <c r="J8490" s="760"/>
      <c r="K8490" s="760"/>
    </row>
    <row r="8491" spans="1:11">
      <c r="A8491" s="760"/>
      <c r="B8491" s="760"/>
      <c r="C8491" s="760"/>
      <c r="D8491" s="760"/>
      <c r="E8491" s="760"/>
      <c r="F8491" s="760"/>
      <c r="G8491" s="760"/>
      <c r="H8491" s="760"/>
      <c r="I8491" s="760"/>
      <c r="J8491" s="760"/>
      <c r="K8491" s="760"/>
    </row>
    <row r="8492" spans="1:11">
      <c r="A8492" s="760"/>
      <c r="B8492" s="760"/>
      <c r="C8492" s="760"/>
      <c r="D8492" s="760"/>
      <c r="E8492" s="760"/>
      <c r="F8492" s="760"/>
      <c r="G8492" s="760"/>
      <c r="H8492" s="760"/>
      <c r="I8492" s="760"/>
      <c r="J8492" s="760"/>
      <c r="K8492" s="760"/>
    </row>
    <row r="8493" spans="1:11">
      <c r="A8493" s="760"/>
      <c r="B8493" s="760"/>
      <c r="C8493" s="760"/>
      <c r="D8493" s="760"/>
      <c r="E8493" s="760"/>
      <c r="F8493" s="760"/>
      <c r="G8493" s="760"/>
      <c r="H8493" s="760"/>
      <c r="I8493" s="760"/>
      <c r="J8493" s="760"/>
      <c r="K8493" s="760"/>
    </row>
    <row r="8494" spans="1:11">
      <c r="A8494" s="760"/>
      <c r="B8494" s="760"/>
      <c r="C8494" s="760"/>
      <c r="D8494" s="760"/>
      <c r="E8494" s="760"/>
      <c r="F8494" s="760"/>
      <c r="G8494" s="760"/>
      <c r="H8494" s="760"/>
      <c r="I8494" s="760"/>
      <c r="J8494" s="760"/>
      <c r="K8494" s="760"/>
    </row>
    <row r="8495" spans="1:11">
      <c r="A8495" s="760"/>
      <c r="B8495" s="760"/>
      <c r="C8495" s="760"/>
      <c r="D8495" s="760"/>
      <c r="E8495" s="760"/>
      <c r="F8495" s="760"/>
      <c r="G8495" s="760"/>
      <c r="H8495" s="760"/>
      <c r="I8495" s="760"/>
      <c r="J8495" s="760"/>
      <c r="K8495" s="760"/>
    </row>
    <row r="8496" spans="1:11">
      <c r="A8496" s="760"/>
      <c r="B8496" s="760"/>
      <c r="C8496" s="760"/>
      <c r="D8496" s="760"/>
      <c r="E8496" s="760"/>
      <c r="F8496" s="760"/>
      <c r="G8496" s="760"/>
      <c r="H8496" s="760"/>
      <c r="I8496" s="760"/>
      <c r="J8496" s="760"/>
      <c r="K8496" s="760"/>
    </row>
    <row r="8497" spans="1:11">
      <c r="A8497" s="760"/>
      <c r="B8497" s="760"/>
      <c r="C8497" s="760"/>
      <c r="D8497" s="760"/>
      <c r="E8497" s="760"/>
      <c r="F8497" s="760"/>
      <c r="G8497" s="760"/>
      <c r="H8497" s="760"/>
      <c r="I8497" s="760"/>
      <c r="J8497" s="760"/>
      <c r="K8497" s="760"/>
    </row>
    <row r="8498" spans="1:11">
      <c r="A8498" s="760"/>
      <c r="B8498" s="760"/>
      <c r="C8498" s="760"/>
      <c r="D8498" s="760"/>
      <c r="E8498" s="760"/>
      <c r="F8498" s="760"/>
      <c r="G8498" s="760"/>
      <c r="H8498" s="760"/>
      <c r="I8498" s="760"/>
      <c r="J8498" s="760"/>
      <c r="K8498" s="760"/>
    </row>
    <row r="8499" spans="1:11">
      <c r="A8499" s="760"/>
      <c r="B8499" s="760"/>
      <c r="C8499" s="760"/>
      <c r="D8499" s="760"/>
      <c r="E8499" s="760"/>
      <c r="F8499" s="760"/>
      <c r="G8499" s="760"/>
      <c r="H8499" s="760"/>
      <c r="I8499" s="760"/>
      <c r="J8499" s="760"/>
      <c r="K8499" s="760"/>
    </row>
    <row r="8500" spans="1:11">
      <c r="A8500" s="760"/>
      <c r="B8500" s="760"/>
      <c r="C8500" s="760"/>
      <c r="D8500" s="760"/>
      <c r="E8500" s="760"/>
      <c r="F8500" s="760"/>
      <c r="G8500" s="760"/>
      <c r="H8500" s="760"/>
      <c r="I8500" s="760"/>
      <c r="J8500" s="760"/>
      <c r="K8500" s="760"/>
    </row>
    <row r="8501" spans="1:11">
      <c r="A8501" s="760"/>
      <c r="B8501" s="760"/>
      <c r="C8501" s="760"/>
      <c r="D8501" s="760"/>
      <c r="E8501" s="760"/>
      <c r="F8501" s="760"/>
      <c r="G8501" s="760"/>
      <c r="H8501" s="760"/>
      <c r="I8501" s="760"/>
      <c r="J8501" s="760"/>
      <c r="K8501" s="760"/>
    </row>
    <row r="8502" spans="1:11">
      <c r="A8502" s="760"/>
      <c r="B8502" s="760"/>
      <c r="C8502" s="760"/>
      <c r="D8502" s="760"/>
      <c r="E8502" s="760"/>
      <c r="F8502" s="760"/>
      <c r="G8502" s="760"/>
      <c r="H8502" s="760"/>
      <c r="I8502" s="760"/>
      <c r="J8502" s="760"/>
      <c r="K8502" s="760"/>
    </row>
    <row r="8503" spans="1:11">
      <c r="A8503" s="760"/>
      <c r="B8503" s="760"/>
      <c r="C8503" s="760"/>
      <c r="D8503" s="760"/>
      <c r="E8503" s="760"/>
      <c r="F8503" s="760"/>
      <c r="G8503" s="760"/>
      <c r="H8503" s="760"/>
      <c r="I8503" s="760"/>
      <c r="J8503" s="760"/>
      <c r="K8503" s="760"/>
    </row>
    <row r="8504" spans="1:11">
      <c r="A8504" s="760"/>
      <c r="B8504" s="760"/>
      <c r="C8504" s="760"/>
      <c r="D8504" s="760"/>
      <c r="E8504" s="760"/>
      <c r="F8504" s="760"/>
      <c r="G8504" s="760"/>
      <c r="H8504" s="760"/>
      <c r="I8504" s="760"/>
      <c r="J8504" s="760"/>
      <c r="K8504" s="760"/>
    </row>
    <row r="8505" spans="1:11">
      <c r="A8505" s="760"/>
      <c r="B8505" s="760"/>
      <c r="C8505" s="760"/>
      <c r="D8505" s="760"/>
      <c r="E8505" s="760"/>
      <c r="F8505" s="760"/>
      <c r="G8505" s="760"/>
      <c r="H8505" s="760"/>
      <c r="I8505" s="760"/>
      <c r="J8505" s="760"/>
      <c r="K8505" s="760"/>
    </row>
    <row r="8506" spans="1:11">
      <c r="A8506" s="760"/>
      <c r="B8506" s="760"/>
      <c r="C8506" s="760"/>
      <c r="D8506" s="760"/>
      <c r="E8506" s="760"/>
      <c r="F8506" s="760"/>
      <c r="G8506" s="760"/>
      <c r="H8506" s="760"/>
      <c r="I8506" s="760"/>
      <c r="J8506" s="760"/>
      <c r="K8506" s="760"/>
    </row>
    <row r="8507" spans="1:11">
      <c r="A8507" s="760"/>
      <c r="B8507" s="760"/>
      <c r="C8507" s="760"/>
      <c r="D8507" s="760"/>
      <c r="E8507" s="760"/>
      <c r="F8507" s="760"/>
      <c r="G8507" s="760"/>
      <c r="H8507" s="760"/>
      <c r="I8507" s="760"/>
      <c r="J8507" s="760"/>
      <c r="K8507" s="760"/>
    </row>
    <row r="8508" spans="1:11">
      <c r="A8508" s="760"/>
      <c r="B8508" s="760"/>
      <c r="C8508" s="760"/>
      <c r="D8508" s="760"/>
      <c r="E8508" s="760"/>
      <c r="F8508" s="760"/>
      <c r="G8508" s="760"/>
      <c r="H8508" s="760"/>
      <c r="I8508" s="760"/>
      <c r="J8508" s="760"/>
      <c r="K8508" s="760"/>
    </row>
    <row r="8509" spans="1:11">
      <c r="A8509" s="760"/>
      <c r="B8509" s="760"/>
      <c r="C8509" s="760"/>
      <c r="D8509" s="760"/>
      <c r="E8509" s="760"/>
      <c r="F8509" s="760"/>
      <c r="G8509" s="760"/>
      <c r="H8509" s="760"/>
      <c r="I8509" s="760"/>
      <c r="J8509" s="760"/>
      <c r="K8509" s="760"/>
    </row>
    <row r="8510" spans="1:11">
      <c r="A8510" s="760"/>
      <c r="B8510" s="760"/>
      <c r="C8510" s="760"/>
      <c r="D8510" s="760"/>
      <c r="E8510" s="760"/>
      <c r="F8510" s="760"/>
      <c r="G8510" s="760"/>
      <c r="H8510" s="760"/>
      <c r="I8510" s="760"/>
      <c r="J8510" s="760"/>
      <c r="K8510" s="760"/>
    </row>
    <row r="8511" spans="1:11">
      <c r="A8511" s="760"/>
      <c r="B8511" s="760"/>
      <c r="C8511" s="760"/>
      <c r="D8511" s="760"/>
      <c r="E8511" s="760"/>
      <c r="F8511" s="760"/>
      <c r="G8511" s="760"/>
      <c r="H8511" s="760"/>
      <c r="I8511" s="760"/>
      <c r="J8511" s="760"/>
      <c r="K8511" s="760"/>
    </row>
    <row r="8512" spans="1:11">
      <c r="A8512" s="760"/>
      <c r="B8512" s="760"/>
      <c r="C8512" s="760"/>
      <c r="D8512" s="760"/>
      <c r="E8512" s="760"/>
      <c r="F8512" s="760"/>
      <c r="G8512" s="760"/>
      <c r="H8512" s="760"/>
      <c r="I8512" s="760"/>
      <c r="J8512" s="760"/>
      <c r="K8512" s="760"/>
    </row>
    <row r="8513" spans="1:11">
      <c r="A8513" s="760"/>
      <c r="B8513" s="760"/>
      <c r="C8513" s="760"/>
      <c r="D8513" s="760"/>
      <c r="E8513" s="760"/>
      <c r="F8513" s="760"/>
      <c r="G8513" s="760"/>
      <c r="H8513" s="760"/>
      <c r="I8513" s="760"/>
      <c r="J8513" s="760"/>
      <c r="K8513" s="760"/>
    </row>
    <row r="8514" spans="1:11">
      <c r="A8514" s="760"/>
      <c r="B8514" s="760"/>
      <c r="C8514" s="760"/>
      <c r="D8514" s="760"/>
      <c r="E8514" s="760"/>
      <c r="F8514" s="760"/>
      <c r="G8514" s="760"/>
      <c r="H8514" s="760"/>
      <c r="I8514" s="760"/>
      <c r="J8514" s="760"/>
      <c r="K8514" s="760"/>
    </row>
    <row r="8515" spans="1:11">
      <c r="A8515" s="760"/>
      <c r="B8515" s="760"/>
      <c r="C8515" s="760"/>
      <c r="D8515" s="760"/>
      <c r="E8515" s="760"/>
      <c r="F8515" s="760"/>
      <c r="G8515" s="760"/>
      <c r="H8515" s="760"/>
      <c r="I8515" s="760"/>
      <c r="J8515" s="760"/>
      <c r="K8515" s="760"/>
    </row>
    <row r="8516" spans="1:11">
      <c r="A8516" s="760"/>
      <c r="B8516" s="760"/>
      <c r="C8516" s="760"/>
      <c r="D8516" s="760"/>
      <c r="E8516" s="760"/>
      <c r="F8516" s="760"/>
      <c r="G8516" s="760"/>
      <c r="H8516" s="760"/>
      <c r="I8516" s="760"/>
      <c r="J8516" s="760"/>
      <c r="K8516" s="760"/>
    </row>
    <row r="8517" spans="1:11">
      <c r="A8517" s="760"/>
      <c r="B8517" s="760"/>
      <c r="C8517" s="760"/>
      <c r="D8517" s="760"/>
      <c r="E8517" s="760"/>
      <c r="F8517" s="760"/>
      <c r="G8517" s="760"/>
      <c r="H8517" s="760"/>
      <c r="I8517" s="760"/>
      <c r="J8517" s="760"/>
      <c r="K8517" s="760"/>
    </row>
    <row r="8518" spans="1:11">
      <c r="A8518" s="760"/>
      <c r="B8518" s="760"/>
      <c r="C8518" s="760"/>
      <c r="D8518" s="760"/>
      <c r="E8518" s="760"/>
      <c r="F8518" s="760"/>
      <c r="G8518" s="760"/>
      <c r="H8518" s="760"/>
      <c r="I8518" s="760"/>
      <c r="J8518" s="760"/>
      <c r="K8518" s="760"/>
    </row>
    <row r="8519" spans="1:11">
      <c r="A8519" s="760"/>
      <c r="B8519" s="760"/>
      <c r="C8519" s="760"/>
      <c r="D8519" s="760"/>
      <c r="E8519" s="760"/>
      <c r="F8519" s="760"/>
      <c r="G8519" s="760"/>
      <c r="H8519" s="760"/>
      <c r="I8519" s="760"/>
      <c r="J8519" s="760"/>
      <c r="K8519" s="760"/>
    </row>
    <row r="8520" spans="1:11">
      <c r="A8520" s="760"/>
      <c r="B8520" s="760"/>
      <c r="C8520" s="760"/>
      <c r="D8520" s="760"/>
      <c r="E8520" s="760"/>
      <c r="F8520" s="760"/>
      <c r="G8520" s="760"/>
      <c r="H8520" s="760"/>
      <c r="I8520" s="760"/>
      <c r="J8520" s="760"/>
      <c r="K8520" s="760"/>
    </row>
    <row r="8521" spans="1:11">
      <c r="A8521" s="760"/>
      <c r="B8521" s="760"/>
      <c r="C8521" s="760"/>
      <c r="D8521" s="760"/>
      <c r="E8521" s="760"/>
      <c r="F8521" s="760"/>
      <c r="G8521" s="760"/>
      <c r="H8521" s="760"/>
      <c r="I8521" s="760"/>
      <c r="J8521" s="760"/>
      <c r="K8521" s="760"/>
    </row>
    <row r="8522" spans="1:11">
      <c r="A8522" s="760"/>
      <c r="B8522" s="760"/>
      <c r="C8522" s="760"/>
      <c r="D8522" s="760"/>
      <c r="E8522" s="760"/>
      <c r="F8522" s="760"/>
      <c r="G8522" s="760"/>
      <c r="H8522" s="760"/>
      <c r="I8522" s="760"/>
      <c r="J8522" s="760"/>
      <c r="K8522" s="760"/>
    </row>
    <row r="8523" spans="1:11">
      <c r="A8523" s="760"/>
      <c r="B8523" s="760"/>
      <c r="C8523" s="760"/>
      <c r="D8523" s="760"/>
      <c r="E8523" s="760"/>
      <c r="F8523" s="760"/>
      <c r="G8523" s="760"/>
      <c r="H8523" s="760"/>
      <c r="I8523" s="760"/>
      <c r="J8523" s="760"/>
      <c r="K8523" s="760"/>
    </row>
    <row r="8524" spans="1:11">
      <c r="A8524" s="760"/>
      <c r="B8524" s="760"/>
      <c r="C8524" s="760"/>
      <c r="D8524" s="760"/>
      <c r="E8524" s="760"/>
      <c r="F8524" s="760"/>
      <c r="G8524" s="760"/>
      <c r="H8524" s="760"/>
      <c r="I8524" s="760"/>
      <c r="J8524" s="760"/>
      <c r="K8524" s="760"/>
    </row>
    <row r="8525" spans="1:11">
      <c r="A8525" s="760"/>
      <c r="B8525" s="760"/>
      <c r="C8525" s="760"/>
      <c r="D8525" s="760"/>
      <c r="E8525" s="760"/>
      <c r="F8525" s="760"/>
      <c r="G8525" s="760"/>
      <c r="H8525" s="760"/>
      <c r="I8525" s="760"/>
      <c r="J8525" s="760"/>
      <c r="K8525" s="760"/>
    </row>
    <row r="8526" spans="1:11">
      <c r="A8526" s="760"/>
      <c r="B8526" s="760"/>
      <c r="C8526" s="760"/>
      <c r="D8526" s="760"/>
      <c r="E8526" s="760"/>
      <c r="F8526" s="760"/>
      <c r="G8526" s="760"/>
      <c r="H8526" s="760"/>
      <c r="I8526" s="760"/>
      <c r="J8526" s="760"/>
      <c r="K8526" s="760"/>
    </row>
    <row r="8527" spans="1:11">
      <c r="A8527" s="760"/>
      <c r="B8527" s="760"/>
      <c r="C8527" s="760"/>
      <c r="D8527" s="760"/>
      <c r="E8527" s="760"/>
      <c r="F8527" s="760"/>
      <c r="G8527" s="760"/>
      <c r="H8527" s="760"/>
      <c r="I8527" s="760"/>
      <c r="J8527" s="760"/>
      <c r="K8527" s="760"/>
    </row>
    <row r="8528" spans="1:11">
      <c r="A8528" s="760"/>
      <c r="B8528" s="760"/>
      <c r="C8528" s="760"/>
      <c r="D8528" s="760"/>
      <c r="E8528" s="760"/>
      <c r="F8528" s="760"/>
      <c r="G8528" s="760"/>
      <c r="H8528" s="760"/>
      <c r="I8528" s="760"/>
      <c r="J8528" s="760"/>
      <c r="K8528" s="760"/>
    </row>
    <row r="8529" spans="1:11">
      <c r="A8529" s="760"/>
      <c r="B8529" s="760"/>
      <c r="C8529" s="760"/>
      <c r="D8529" s="760"/>
      <c r="E8529" s="760"/>
      <c r="F8529" s="760"/>
      <c r="G8529" s="760"/>
      <c r="H8529" s="760"/>
      <c r="I8529" s="760"/>
      <c r="J8529" s="760"/>
      <c r="K8529" s="760"/>
    </row>
    <row r="8530" spans="1:11">
      <c r="A8530" s="760"/>
      <c r="B8530" s="760"/>
      <c r="C8530" s="760"/>
      <c r="D8530" s="760"/>
      <c r="E8530" s="760"/>
      <c r="F8530" s="760"/>
      <c r="G8530" s="760"/>
      <c r="H8530" s="760"/>
      <c r="I8530" s="760"/>
      <c r="J8530" s="760"/>
      <c r="K8530" s="760"/>
    </row>
    <row r="8531" spans="1:11">
      <c r="A8531" s="760"/>
      <c r="B8531" s="760"/>
      <c r="C8531" s="760"/>
      <c r="D8531" s="760"/>
      <c r="E8531" s="760"/>
      <c r="F8531" s="760"/>
      <c r="G8531" s="760"/>
      <c r="H8531" s="760"/>
      <c r="I8531" s="760"/>
      <c r="J8531" s="760"/>
      <c r="K8531" s="760"/>
    </row>
    <row r="8532" spans="1:11">
      <c r="A8532" s="760"/>
      <c r="B8532" s="760"/>
      <c r="C8532" s="760"/>
      <c r="D8532" s="760"/>
      <c r="E8532" s="760"/>
      <c r="F8532" s="760"/>
      <c r="G8532" s="760"/>
      <c r="H8532" s="760"/>
      <c r="I8532" s="760"/>
      <c r="J8532" s="760"/>
      <c r="K8532" s="760"/>
    </row>
    <row r="8533" spans="1:11">
      <c r="A8533" s="760"/>
      <c r="B8533" s="760"/>
      <c r="C8533" s="760"/>
      <c r="D8533" s="760"/>
      <c r="E8533" s="760"/>
      <c r="F8533" s="760"/>
      <c r="G8533" s="760"/>
      <c r="H8533" s="760"/>
      <c r="I8533" s="760"/>
      <c r="J8533" s="760"/>
      <c r="K8533" s="760"/>
    </row>
    <row r="8534" spans="1:11">
      <c r="A8534" s="760"/>
      <c r="B8534" s="760"/>
      <c r="C8534" s="760"/>
      <c r="D8534" s="760"/>
      <c r="E8534" s="760"/>
      <c r="F8534" s="760"/>
      <c r="G8534" s="760"/>
      <c r="H8534" s="760"/>
      <c r="I8534" s="760"/>
      <c r="J8534" s="760"/>
      <c r="K8534" s="760"/>
    </row>
    <row r="8535" spans="1:11">
      <c r="A8535" s="760"/>
      <c r="B8535" s="760"/>
      <c r="C8535" s="760"/>
      <c r="D8535" s="760"/>
      <c r="E8535" s="760"/>
      <c r="F8535" s="760"/>
      <c r="G8535" s="760"/>
      <c r="H8535" s="760"/>
      <c r="I8535" s="760"/>
      <c r="J8535" s="760"/>
      <c r="K8535" s="760"/>
    </row>
    <row r="8536" spans="1:11">
      <c r="A8536" s="760"/>
      <c r="B8536" s="760"/>
      <c r="C8536" s="760"/>
      <c r="D8536" s="760"/>
      <c r="E8536" s="760"/>
      <c r="F8536" s="760"/>
      <c r="G8536" s="760"/>
      <c r="H8536" s="760"/>
      <c r="I8536" s="760"/>
      <c r="J8536" s="760"/>
      <c r="K8536" s="760"/>
    </row>
    <row r="8537" spans="1:11">
      <c r="A8537" s="760"/>
      <c r="B8537" s="760"/>
      <c r="C8537" s="760"/>
      <c r="D8537" s="760"/>
      <c r="E8537" s="760"/>
      <c r="F8537" s="760"/>
      <c r="G8537" s="760"/>
      <c r="H8537" s="760"/>
      <c r="I8537" s="760"/>
      <c r="J8537" s="760"/>
      <c r="K8537" s="760"/>
    </row>
    <row r="8538" spans="1:11">
      <c r="A8538" s="760"/>
      <c r="B8538" s="760"/>
      <c r="C8538" s="760"/>
      <c r="D8538" s="760"/>
      <c r="E8538" s="760"/>
      <c r="F8538" s="760"/>
      <c r="G8538" s="760"/>
      <c r="H8538" s="760"/>
      <c r="I8538" s="760"/>
      <c r="J8538" s="760"/>
      <c r="K8538" s="760"/>
    </row>
    <row r="8539" spans="1:11">
      <c r="A8539" s="760"/>
      <c r="B8539" s="760"/>
      <c r="C8539" s="760"/>
      <c r="D8539" s="760"/>
      <c r="E8539" s="760"/>
      <c r="F8539" s="760"/>
      <c r="G8539" s="760"/>
      <c r="H8539" s="760"/>
      <c r="I8539" s="760"/>
      <c r="J8539" s="760"/>
      <c r="K8539" s="760"/>
    </row>
    <row r="8540" spans="1:11">
      <c r="A8540" s="760"/>
      <c r="B8540" s="760"/>
      <c r="C8540" s="760"/>
      <c r="D8540" s="760"/>
      <c r="E8540" s="760"/>
      <c r="F8540" s="760"/>
      <c r="G8540" s="760"/>
      <c r="H8540" s="760"/>
      <c r="I8540" s="760"/>
      <c r="J8540" s="760"/>
      <c r="K8540" s="760"/>
    </row>
    <row r="8541" spans="1:11">
      <c r="A8541" s="760"/>
      <c r="B8541" s="760"/>
      <c r="C8541" s="760"/>
      <c r="D8541" s="760"/>
      <c r="E8541" s="760"/>
      <c r="F8541" s="760"/>
      <c r="G8541" s="760"/>
      <c r="H8541" s="760"/>
      <c r="I8541" s="760"/>
      <c r="J8541" s="760"/>
      <c r="K8541" s="760"/>
    </row>
    <row r="8542" spans="1:11">
      <c r="A8542" s="760"/>
      <c r="B8542" s="760"/>
      <c r="C8542" s="760"/>
      <c r="D8542" s="760"/>
      <c r="E8542" s="760"/>
      <c r="F8542" s="760"/>
      <c r="G8542" s="760"/>
      <c r="H8542" s="760"/>
      <c r="I8542" s="760"/>
      <c r="J8542" s="760"/>
      <c r="K8542" s="760"/>
    </row>
    <row r="8543" spans="1:11">
      <c r="A8543" s="760"/>
      <c r="B8543" s="760"/>
      <c r="C8543" s="760"/>
      <c r="D8543" s="760"/>
      <c r="E8543" s="760"/>
      <c r="F8543" s="760"/>
      <c r="G8543" s="760"/>
      <c r="H8543" s="760"/>
      <c r="I8543" s="760"/>
      <c r="J8543" s="760"/>
      <c r="K8543" s="760"/>
    </row>
    <row r="8544" spans="1:11">
      <c r="A8544" s="760"/>
      <c r="B8544" s="760"/>
      <c r="C8544" s="760"/>
      <c r="D8544" s="760"/>
      <c r="E8544" s="760"/>
      <c r="F8544" s="760"/>
      <c r="G8544" s="760"/>
      <c r="H8544" s="760"/>
      <c r="I8544" s="760"/>
      <c r="J8544" s="760"/>
      <c r="K8544" s="760"/>
    </row>
    <row r="8545" spans="1:11">
      <c r="A8545" s="760"/>
      <c r="B8545" s="760"/>
      <c r="C8545" s="760"/>
      <c r="D8545" s="760"/>
      <c r="E8545" s="760"/>
      <c r="F8545" s="760"/>
      <c r="G8545" s="760"/>
      <c r="H8545" s="760"/>
      <c r="I8545" s="760"/>
      <c r="J8545" s="760"/>
      <c r="K8545" s="760"/>
    </row>
    <row r="8546" spans="1:11">
      <c r="A8546" s="760"/>
      <c r="B8546" s="760"/>
      <c r="C8546" s="760"/>
      <c r="D8546" s="760"/>
      <c r="E8546" s="760"/>
      <c r="F8546" s="760"/>
      <c r="G8546" s="760"/>
      <c r="H8546" s="760"/>
      <c r="I8546" s="760"/>
      <c r="J8546" s="760"/>
      <c r="K8546" s="760"/>
    </row>
    <row r="8547" spans="1:11">
      <c r="A8547" s="760"/>
      <c r="B8547" s="760"/>
      <c r="C8547" s="760"/>
      <c r="D8547" s="760"/>
      <c r="E8547" s="760"/>
      <c r="F8547" s="760"/>
      <c r="G8547" s="760"/>
      <c r="H8547" s="760"/>
      <c r="I8547" s="760"/>
      <c r="J8547" s="760"/>
      <c r="K8547" s="760"/>
    </row>
    <row r="8548" spans="1:11">
      <c r="A8548" s="760"/>
      <c r="B8548" s="760"/>
      <c r="C8548" s="760"/>
      <c r="D8548" s="760"/>
      <c r="E8548" s="760"/>
      <c r="F8548" s="760"/>
      <c r="G8548" s="760"/>
      <c r="H8548" s="760"/>
      <c r="I8548" s="760"/>
      <c r="J8548" s="760"/>
      <c r="K8548" s="760"/>
    </row>
    <row r="8549" spans="1:11">
      <c r="A8549" s="760"/>
      <c r="B8549" s="760"/>
      <c r="C8549" s="760"/>
      <c r="D8549" s="760"/>
      <c r="E8549" s="760"/>
      <c r="F8549" s="760"/>
      <c r="G8549" s="760"/>
      <c r="H8549" s="760"/>
      <c r="I8549" s="760"/>
      <c r="J8549" s="760"/>
      <c r="K8549" s="760"/>
    </row>
    <row r="8550" spans="1:11">
      <c r="A8550" s="760"/>
      <c r="B8550" s="760"/>
      <c r="C8550" s="760"/>
      <c r="D8550" s="760"/>
      <c r="E8550" s="760"/>
      <c r="F8550" s="760"/>
      <c r="G8550" s="760"/>
      <c r="H8550" s="760"/>
      <c r="I8550" s="760"/>
      <c r="J8550" s="760"/>
      <c r="K8550" s="760"/>
    </row>
    <row r="8551" spans="1:11">
      <c r="A8551" s="760"/>
      <c r="B8551" s="760"/>
      <c r="C8551" s="760"/>
      <c r="D8551" s="760"/>
      <c r="E8551" s="760"/>
      <c r="F8551" s="760"/>
      <c r="G8551" s="760"/>
      <c r="H8551" s="760"/>
      <c r="I8551" s="760"/>
      <c r="J8551" s="760"/>
      <c r="K8551" s="760"/>
    </row>
    <row r="8552" spans="1:11">
      <c r="A8552" s="760"/>
      <c r="B8552" s="760"/>
      <c r="C8552" s="760"/>
      <c r="D8552" s="760"/>
      <c r="E8552" s="760"/>
      <c r="F8552" s="760"/>
      <c r="G8552" s="760"/>
      <c r="H8552" s="760"/>
      <c r="I8552" s="760"/>
      <c r="J8552" s="760"/>
      <c r="K8552" s="760"/>
    </row>
    <row r="8553" spans="1:11">
      <c r="A8553" s="760"/>
      <c r="B8553" s="760"/>
      <c r="C8553" s="760"/>
      <c r="D8553" s="760"/>
      <c r="E8553" s="760"/>
      <c r="F8553" s="760"/>
      <c r="G8553" s="760"/>
      <c r="H8553" s="760"/>
      <c r="I8553" s="760"/>
      <c r="J8553" s="760"/>
      <c r="K8553" s="760"/>
    </row>
    <row r="8554" spans="1:11">
      <c r="A8554" s="760"/>
      <c r="B8554" s="760"/>
      <c r="C8554" s="760"/>
      <c r="D8554" s="760"/>
      <c r="E8554" s="760"/>
      <c r="F8554" s="760"/>
      <c r="G8554" s="760"/>
      <c r="H8554" s="760"/>
      <c r="I8554" s="760"/>
      <c r="J8554" s="760"/>
      <c r="K8554" s="760"/>
    </row>
    <row r="8555" spans="1:11">
      <c r="A8555" s="760"/>
      <c r="B8555" s="760"/>
      <c r="C8555" s="760"/>
      <c r="D8555" s="760"/>
      <c r="E8555" s="760"/>
      <c r="F8555" s="760"/>
      <c r="G8555" s="760"/>
      <c r="H8555" s="760"/>
      <c r="I8555" s="760"/>
      <c r="J8555" s="760"/>
      <c r="K8555" s="760"/>
    </row>
    <row r="8556" spans="1:11">
      <c r="A8556" s="760"/>
      <c r="B8556" s="760"/>
      <c r="C8556" s="760"/>
      <c r="D8556" s="760"/>
      <c r="E8556" s="760"/>
      <c r="F8556" s="760"/>
      <c r="G8556" s="760"/>
      <c r="H8556" s="760"/>
      <c r="I8556" s="760"/>
      <c r="J8556" s="760"/>
      <c r="K8556" s="760"/>
    </row>
    <row r="8557" spans="1:11">
      <c r="A8557" s="760"/>
      <c r="B8557" s="760"/>
      <c r="C8557" s="760"/>
      <c r="D8557" s="760"/>
      <c r="E8557" s="760"/>
      <c r="F8557" s="760"/>
      <c r="G8557" s="760"/>
      <c r="H8557" s="760"/>
      <c r="I8557" s="760"/>
      <c r="J8557" s="760"/>
      <c r="K8557" s="760"/>
    </row>
    <row r="8558" spans="1:11">
      <c r="A8558" s="760"/>
      <c r="B8558" s="760"/>
      <c r="C8558" s="760"/>
      <c r="D8558" s="760"/>
      <c r="E8558" s="760"/>
      <c r="F8558" s="760"/>
      <c r="G8558" s="760"/>
      <c r="H8558" s="760"/>
      <c r="I8558" s="760"/>
      <c r="J8558" s="760"/>
      <c r="K8558" s="760"/>
    </row>
    <row r="8559" spans="1:11">
      <c r="A8559" s="760"/>
      <c r="B8559" s="760"/>
      <c r="C8559" s="760"/>
      <c r="D8559" s="760"/>
      <c r="E8559" s="760"/>
      <c r="F8559" s="760"/>
      <c r="G8559" s="760"/>
      <c r="H8559" s="760"/>
      <c r="I8559" s="760"/>
      <c r="J8559" s="760"/>
      <c r="K8559" s="760"/>
    </row>
    <row r="8560" spans="1:11">
      <c r="A8560" s="760"/>
      <c r="B8560" s="760"/>
      <c r="C8560" s="760"/>
      <c r="D8560" s="760"/>
      <c r="E8560" s="760"/>
      <c r="F8560" s="760"/>
      <c r="G8560" s="760"/>
      <c r="H8560" s="760"/>
      <c r="I8560" s="760"/>
      <c r="J8560" s="760"/>
      <c r="K8560" s="760"/>
    </row>
    <row r="8561" spans="1:11">
      <c r="A8561" s="760"/>
      <c r="B8561" s="760"/>
      <c r="C8561" s="760"/>
      <c r="D8561" s="760"/>
      <c r="E8561" s="760"/>
      <c r="F8561" s="760"/>
      <c r="G8561" s="760"/>
      <c r="H8561" s="760"/>
      <c r="I8561" s="760"/>
      <c r="J8561" s="760"/>
      <c r="K8561" s="760"/>
    </row>
    <row r="8562" spans="1:11">
      <c r="A8562" s="760"/>
      <c r="B8562" s="760"/>
      <c r="C8562" s="760"/>
      <c r="D8562" s="760"/>
      <c r="E8562" s="760"/>
      <c r="F8562" s="760"/>
      <c r="G8562" s="760"/>
      <c r="H8562" s="760"/>
      <c r="I8562" s="760"/>
      <c r="J8562" s="760"/>
      <c r="K8562" s="760"/>
    </row>
    <row r="8563" spans="1:11">
      <c r="A8563" s="760"/>
      <c r="B8563" s="760"/>
      <c r="C8563" s="760"/>
      <c r="D8563" s="760"/>
      <c r="E8563" s="760"/>
      <c r="F8563" s="760"/>
      <c r="G8563" s="760"/>
      <c r="H8563" s="760"/>
      <c r="I8563" s="760"/>
      <c r="J8563" s="760"/>
      <c r="K8563" s="760"/>
    </row>
    <row r="8564" spans="1:11">
      <c r="A8564" s="760"/>
      <c r="B8564" s="760"/>
      <c r="C8564" s="760"/>
      <c r="D8564" s="760"/>
      <c r="E8564" s="760"/>
      <c r="F8564" s="760"/>
      <c r="G8564" s="760"/>
      <c r="H8564" s="760"/>
      <c r="I8564" s="760"/>
      <c r="J8564" s="760"/>
      <c r="K8564" s="760"/>
    </row>
    <row r="8565" spans="1:11">
      <c r="A8565" s="760"/>
      <c r="B8565" s="760"/>
      <c r="C8565" s="760"/>
      <c r="D8565" s="760"/>
      <c r="E8565" s="760"/>
      <c r="F8565" s="760"/>
      <c r="G8565" s="760"/>
      <c r="H8565" s="760"/>
      <c r="I8565" s="760"/>
      <c r="J8565" s="760"/>
      <c r="K8565" s="760"/>
    </row>
    <row r="8566" spans="1:11">
      <c r="A8566" s="760"/>
      <c r="B8566" s="760"/>
      <c r="C8566" s="760"/>
      <c r="D8566" s="760"/>
      <c r="E8566" s="760"/>
      <c r="F8566" s="760"/>
      <c r="G8566" s="760"/>
      <c r="H8566" s="760"/>
      <c r="I8566" s="760"/>
      <c r="J8566" s="760"/>
      <c r="K8566" s="760"/>
    </row>
    <row r="8567" spans="1:11">
      <c r="A8567" s="760"/>
      <c r="B8567" s="760"/>
      <c r="C8567" s="760"/>
      <c r="D8567" s="760"/>
      <c r="E8567" s="760"/>
      <c r="F8567" s="760"/>
      <c r="G8567" s="760"/>
      <c r="H8567" s="760"/>
      <c r="I8567" s="760"/>
      <c r="J8567" s="760"/>
      <c r="K8567" s="760"/>
    </row>
    <row r="8568" spans="1:11">
      <c r="A8568" s="760"/>
      <c r="B8568" s="760"/>
      <c r="C8568" s="760"/>
      <c r="D8568" s="760"/>
      <c r="E8568" s="760"/>
      <c r="F8568" s="760"/>
      <c r="G8568" s="760"/>
      <c r="H8568" s="760"/>
      <c r="I8568" s="760"/>
      <c r="J8568" s="760"/>
      <c r="K8568" s="760"/>
    </row>
    <row r="8569" spans="1:11">
      <c r="A8569" s="760"/>
      <c r="B8569" s="760"/>
      <c r="C8569" s="760"/>
      <c r="D8569" s="760"/>
      <c r="E8569" s="760"/>
      <c r="F8569" s="760"/>
      <c r="G8569" s="760"/>
      <c r="H8569" s="760"/>
      <c r="I8569" s="760"/>
      <c r="J8569" s="760"/>
      <c r="K8569" s="760"/>
    </row>
    <row r="8570" spans="1:11">
      <c r="A8570" s="760"/>
      <c r="B8570" s="760"/>
      <c r="C8570" s="760"/>
      <c r="D8570" s="760"/>
      <c r="E8570" s="760"/>
      <c r="F8570" s="760"/>
      <c r="G8570" s="760"/>
      <c r="H8570" s="760"/>
      <c r="I8570" s="760"/>
      <c r="J8570" s="760"/>
      <c r="K8570" s="760"/>
    </row>
    <row r="8571" spans="1:11">
      <c r="A8571" s="760"/>
      <c r="B8571" s="760"/>
      <c r="C8571" s="760"/>
      <c r="D8571" s="760"/>
      <c r="E8571" s="760"/>
      <c r="F8571" s="760"/>
      <c r="G8571" s="760"/>
      <c r="H8571" s="760"/>
      <c r="I8571" s="760"/>
      <c r="J8571" s="760"/>
      <c r="K8571" s="760"/>
    </row>
    <row r="8572" spans="1:11">
      <c r="A8572" s="760"/>
      <c r="B8572" s="760"/>
      <c r="C8572" s="760"/>
      <c r="D8572" s="760"/>
      <c r="E8572" s="760"/>
      <c r="F8572" s="760"/>
      <c r="G8572" s="760"/>
      <c r="H8572" s="760"/>
      <c r="I8572" s="760"/>
      <c r="J8572" s="760"/>
      <c r="K8572" s="760"/>
    </row>
    <row r="8573" spans="1:11">
      <c r="A8573" s="760"/>
      <c r="B8573" s="760"/>
      <c r="C8573" s="760"/>
      <c r="D8573" s="760"/>
      <c r="E8573" s="760"/>
      <c r="F8573" s="760"/>
      <c r="G8573" s="760"/>
      <c r="H8573" s="760"/>
      <c r="I8573" s="760"/>
      <c r="J8573" s="760"/>
      <c r="K8573" s="760"/>
    </row>
    <row r="8574" spans="1:11">
      <c r="A8574" s="760"/>
      <c r="B8574" s="760"/>
      <c r="C8574" s="760"/>
      <c r="D8574" s="760"/>
      <c r="E8574" s="760"/>
      <c r="F8574" s="760"/>
      <c r="G8574" s="760"/>
      <c r="H8574" s="760"/>
      <c r="I8574" s="760"/>
      <c r="J8574" s="760"/>
      <c r="K8574" s="760"/>
    </row>
    <row r="8575" spans="1:11">
      <c r="A8575" s="760"/>
      <c r="B8575" s="760"/>
      <c r="C8575" s="760"/>
      <c r="D8575" s="760"/>
      <c r="E8575" s="760"/>
      <c r="F8575" s="760"/>
      <c r="G8575" s="760"/>
      <c r="H8575" s="760"/>
      <c r="I8575" s="760"/>
      <c r="J8575" s="760"/>
      <c r="K8575" s="760"/>
    </row>
    <row r="8576" spans="1:11">
      <c r="A8576" s="760"/>
      <c r="B8576" s="760"/>
      <c r="C8576" s="760"/>
      <c r="D8576" s="760"/>
      <c r="E8576" s="760"/>
      <c r="F8576" s="760"/>
      <c r="G8576" s="760"/>
      <c r="H8576" s="760"/>
      <c r="I8576" s="760"/>
      <c r="J8576" s="760"/>
      <c r="K8576" s="760"/>
    </row>
    <row r="8577" spans="1:11">
      <c r="A8577" s="760"/>
      <c r="B8577" s="760"/>
      <c r="C8577" s="760"/>
      <c r="D8577" s="760"/>
      <c r="E8577" s="760"/>
      <c r="F8577" s="760"/>
      <c r="G8577" s="760"/>
      <c r="H8577" s="760"/>
      <c r="I8577" s="760"/>
      <c r="J8577" s="760"/>
      <c r="K8577" s="760"/>
    </row>
    <row r="8578" spans="1:11">
      <c r="A8578" s="760"/>
      <c r="B8578" s="760"/>
      <c r="C8578" s="760"/>
      <c r="D8578" s="760"/>
      <c r="E8578" s="760"/>
      <c r="F8578" s="760"/>
      <c r="G8578" s="760"/>
      <c r="H8578" s="760"/>
      <c r="I8578" s="760"/>
      <c r="J8578" s="760"/>
      <c r="K8578" s="760"/>
    </row>
    <row r="8579" spans="1:11">
      <c r="A8579" s="760"/>
      <c r="B8579" s="760"/>
      <c r="C8579" s="760"/>
      <c r="D8579" s="760"/>
      <c r="E8579" s="760"/>
      <c r="F8579" s="760"/>
      <c r="G8579" s="760"/>
      <c r="H8579" s="760"/>
      <c r="I8579" s="760"/>
      <c r="J8579" s="760"/>
      <c r="K8579" s="760"/>
    </row>
    <row r="8580" spans="1:11">
      <c r="A8580" s="760"/>
      <c r="B8580" s="760"/>
      <c r="C8580" s="760"/>
      <c r="D8580" s="760"/>
      <c r="E8580" s="760"/>
      <c r="F8580" s="760"/>
      <c r="G8580" s="760"/>
      <c r="H8580" s="760"/>
      <c r="I8580" s="760"/>
      <c r="J8580" s="760"/>
      <c r="K8580" s="760"/>
    </row>
    <row r="8581" spans="1:11">
      <c r="A8581" s="760"/>
      <c r="B8581" s="760"/>
      <c r="C8581" s="760"/>
      <c r="D8581" s="760"/>
      <c r="E8581" s="760"/>
      <c r="F8581" s="760"/>
      <c r="G8581" s="760"/>
      <c r="H8581" s="760"/>
      <c r="I8581" s="760"/>
      <c r="J8581" s="760"/>
      <c r="K8581" s="760"/>
    </row>
    <row r="8582" spans="1:11">
      <c r="A8582" s="760"/>
      <c r="B8582" s="760"/>
      <c r="C8582" s="760"/>
      <c r="D8582" s="760"/>
      <c r="E8582" s="760"/>
      <c r="F8582" s="760"/>
      <c r="G8582" s="760"/>
      <c r="H8582" s="760"/>
      <c r="I8582" s="760"/>
      <c r="J8582" s="760"/>
      <c r="K8582" s="760"/>
    </row>
    <row r="8583" spans="1:11">
      <c r="A8583" s="760"/>
      <c r="B8583" s="760"/>
      <c r="C8583" s="760"/>
      <c r="D8583" s="760"/>
      <c r="E8583" s="760"/>
      <c r="F8583" s="760"/>
      <c r="G8583" s="760"/>
      <c r="H8583" s="760"/>
      <c r="I8583" s="760"/>
      <c r="J8583" s="760"/>
      <c r="K8583" s="760"/>
    </row>
    <row r="8584" spans="1:11">
      <c r="A8584" s="760"/>
      <c r="B8584" s="760"/>
      <c r="C8584" s="760"/>
      <c r="D8584" s="760"/>
      <c r="E8584" s="760"/>
      <c r="F8584" s="760"/>
      <c r="G8584" s="760"/>
      <c r="H8584" s="760"/>
      <c r="I8584" s="760"/>
      <c r="J8584" s="760"/>
      <c r="K8584" s="760"/>
    </row>
    <row r="8585" spans="1:11">
      <c r="A8585" s="760"/>
      <c r="B8585" s="760"/>
      <c r="C8585" s="760"/>
      <c r="D8585" s="760"/>
      <c r="E8585" s="760"/>
      <c r="F8585" s="760"/>
      <c r="G8585" s="760"/>
      <c r="H8585" s="760"/>
      <c r="I8585" s="760"/>
      <c r="J8585" s="760"/>
      <c r="K8585" s="760"/>
    </row>
    <row r="8586" spans="1:11">
      <c r="A8586" s="760"/>
      <c r="B8586" s="760"/>
      <c r="C8586" s="760"/>
      <c r="D8586" s="760"/>
      <c r="E8586" s="760"/>
      <c r="F8586" s="760"/>
      <c r="G8586" s="760"/>
      <c r="H8586" s="760"/>
      <c r="I8586" s="760"/>
      <c r="J8586" s="760"/>
      <c r="K8586" s="760"/>
    </row>
    <row r="8587" spans="1:11">
      <c r="A8587" s="760"/>
      <c r="B8587" s="760"/>
      <c r="C8587" s="760"/>
      <c r="D8587" s="760"/>
      <c r="E8587" s="760"/>
      <c r="F8587" s="760"/>
      <c r="G8587" s="760"/>
      <c r="H8587" s="760"/>
      <c r="I8587" s="760"/>
      <c r="J8587" s="760"/>
      <c r="K8587" s="760"/>
    </row>
    <row r="8588" spans="1:11">
      <c r="A8588" s="760"/>
      <c r="B8588" s="760"/>
      <c r="C8588" s="760"/>
      <c r="D8588" s="760"/>
      <c r="E8588" s="760"/>
      <c r="F8588" s="760"/>
      <c r="G8588" s="760"/>
      <c r="H8588" s="760"/>
      <c r="I8588" s="760"/>
      <c r="J8588" s="760"/>
      <c r="K8588" s="760"/>
    </row>
    <row r="8589" spans="1:11">
      <c r="A8589" s="760"/>
      <c r="B8589" s="760"/>
      <c r="C8589" s="760"/>
      <c r="D8589" s="760"/>
      <c r="E8589" s="760"/>
      <c r="F8589" s="760"/>
      <c r="G8589" s="760"/>
      <c r="H8589" s="760"/>
      <c r="I8589" s="760"/>
      <c r="J8589" s="760"/>
      <c r="K8589" s="760"/>
    </row>
    <row r="8590" spans="1:11">
      <c r="A8590" s="760"/>
      <c r="B8590" s="760"/>
      <c r="C8590" s="760"/>
      <c r="D8590" s="760"/>
      <c r="E8590" s="760"/>
      <c r="F8590" s="760"/>
      <c r="G8590" s="760"/>
      <c r="H8590" s="760"/>
      <c r="I8590" s="760"/>
      <c r="J8590" s="760"/>
      <c r="K8590" s="760"/>
    </row>
    <row r="8591" spans="1:11">
      <c r="A8591" s="760"/>
      <c r="B8591" s="760"/>
      <c r="C8591" s="760"/>
      <c r="D8591" s="760"/>
      <c r="E8591" s="760"/>
      <c r="F8591" s="760"/>
      <c r="G8591" s="760"/>
      <c r="H8591" s="760"/>
      <c r="I8591" s="760"/>
      <c r="J8591" s="760"/>
      <c r="K8591" s="760"/>
    </row>
    <row r="8592" spans="1:11">
      <c r="A8592" s="760"/>
      <c r="B8592" s="760"/>
      <c r="C8592" s="760"/>
      <c r="D8592" s="760"/>
      <c r="E8592" s="760"/>
      <c r="F8592" s="760"/>
      <c r="G8592" s="760"/>
      <c r="H8592" s="760"/>
      <c r="I8592" s="760"/>
      <c r="J8592" s="760"/>
      <c r="K8592" s="760"/>
    </row>
    <row r="8593" spans="1:11">
      <c r="A8593" s="760"/>
      <c r="B8593" s="760"/>
      <c r="C8593" s="760"/>
      <c r="D8593" s="760"/>
      <c r="E8593" s="760"/>
      <c r="F8593" s="760"/>
      <c r="G8593" s="760"/>
      <c r="H8593" s="760"/>
      <c r="I8593" s="760"/>
      <c r="J8593" s="760"/>
      <c r="K8593" s="760"/>
    </row>
    <row r="8594" spans="1:11">
      <c r="A8594" s="760"/>
      <c r="B8594" s="760"/>
      <c r="C8594" s="760"/>
      <c r="D8594" s="760"/>
      <c r="E8594" s="760"/>
      <c r="F8594" s="760"/>
      <c r="G8594" s="760"/>
      <c r="H8594" s="760"/>
      <c r="I8594" s="760"/>
      <c r="J8594" s="760"/>
      <c r="K8594" s="760"/>
    </row>
    <row r="8595" spans="1:11">
      <c r="A8595" s="760"/>
      <c r="B8595" s="760"/>
      <c r="C8595" s="760"/>
      <c r="D8595" s="760"/>
      <c r="E8595" s="760"/>
      <c r="F8595" s="760"/>
      <c r="G8595" s="760"/>
      <c r="H8595" s="760"/>
      <c r="I8595" s="760"/>
      <c r="J8595" s="760"/>
      <c r="K8595" s="760"/>
    </row>
    <row r="8596" spans="1:11">
      <c r="A8596" s="760"/>
      <c r="B8596" s="760"/>
      <c r="C8596" s="760"/>
      <c r="D8596" s="760"/>
      <c r="E8596" s="760"/>
      <c r="F8596" s="760"/>
      <c r="G8596" s="760"/>
      <c r="H8596" s="760"/>
      <c r="I8596" s="760"/>
      <c r="J8596" s="760"/>
      <c r="K8596" s="760"/>
    </row>
    <row r="8597" spans="1:11">
      <c r="A8597" s="760"/>
      <c r="B8597" s="760"/>
      <c r="C8597" s="760"/>
      <c r="D8597" s="760"/>
      <c r="E8597" s="760"/>
      <c r="F8597" s="760"/>
      <c r="G8597" s="760"/>
      <c r="H8597" s="760"/>
      <c r="I8597" s="760"/>
      <c r="J8597" s="760"/>
      <c r="K8597" s="760"/>
    </row>
    <row r="8598" spans="1:11">
      <c r="A8598" s="760"/>
      <c r="B8598" s="760"/>
      <c r="C8598" s="760"/>
      <c r="D8598" s="760"/>
      <c r="E8598" s="760"/>
      <c r="F8598" s="760"/>
      <c r="G8598" s="760"/>
      <c r="H8598" s="760"/>
      <c r="I8598" s="760"/>
      <c r="J8598" s="760"/>
      <c r="K8598" s="760"/>
    </row>
    <row r="8599" spans="1:11">
      <c r="A8599" s="760"/>
      <c r="B8599" s="760"/>
      <c r="C8599" s="760"/>
      <c r="D8599" s="760"/>
      <c r="E8599" s="760"/>
      <c r="F8599" s="760"/>
      <c r="G8599" s="760"/>
      <c r="H8599" s="760"/>
      <c r="I8599" s="760"/>
      <c r="J8599" s="760"/>
      <c r="K8599" s="760"/>
    </row>
    <row r="8600" spans="1:11">
      <c r="A8600" s="760"/>
      <c r="B8600" s="760"/>
      <c r="C8600" s="760"/>
      <c r="D8600" s="760"/>
      <c r="E8600" s="760"/>
      <c r="F8600" s="760"/>
      <c r="G8600" s="760"/>
      <c r="H8600" s="760"/>
      <c r="I8600" s="760"/>
      <c r="J8600" s="760"/>
      <c r="K8600" s="760"/>
    </row>
    <row r="8601" spans="1:11">
      <c r="A8601" s="760"/>
      <c r="B8601" s="760"/>
      <c r="C8601" s="760"/>
      <c r="D8601" s="760"/>
      <c r="E8601" s="760"/>
      <c r="F8601" s="760"/>
      <c r="G8601" s="760"/>
      <c r="H8601" s="760"/>
      <c r="I8601" s="760"/>
      <c r="J8601" s="760"/>
      <c r="K8601" s="760"/>
    </row>
    <row r="8602" spans="1:11">
      <c r="A8602" s="760"/>
      <c r="B8602" s="760"/>
      <c r="C8602" s="760"/>
      <c r="D8602" s="760"/>
      <c r="E8602" s="760"/>
      <c r="F8602" s="760"/>
      <c r="G8602" s="760"/>
      <c r="H8602" s="760"/>
      <c r="I8602" s="760"/>
      <c r="J8602" s="760"/>
      <c r="K8602" s="760"/>
    </row>
    <row r="8603" spans="1:11">
      <c r="A8603" s="760"/>
      <c r="B8603" s="760"/>
      <c r="C8603" s="760"/>
      <c r="D8603" s="760"/>
      <c r="E8603" s="760"/>
      <c r="F8603" s="760"/>
      <c r="G8603" s="760"/>
      <c r="H8603" s="760"/>
      <c r="I8603" s="760"/>
      <c r="J8603" s="760"/>
      <c r="K8603" s="760"/>
    </row>
    <row r="8604" spans="1:11">
      <c r="A8604" s="760"/>
      <c r="B8604" s="760"/>
      <c r="C8604" s="760"/>
      <c r="D8604" s="760"/>
      <c r="E8604" s="760"/>
      <c r="F8604" s="760"/>
      <c r="G8604" s="760"/>
      <c r="H8604" s="760"/>
      <c r="I8604" s="760"/>
      <c r="J8604" s="760"/>
      <c r="K8604" s="760"/>
    </row>
    <row r="8605" spans="1:11">
      <c r="A8605" s="760"/>
      <c r="B8605" s="760"/>
      <c r="C8605" s="760"/>
      <c r="D8605" s="760"/>
      <c r="E8605" s="760"/>
      <c r="F8605" s="760"/>
      <c r="G8605" s="760"/>
      <c r="H8605" s="760"/>
      <c r="I8605" s="760"/>
      <c r="J8605" s="760"/>
      <c r="K8605" s="760"/>
    </row>
    <row r="8606" spans="1:11">
      <c r="A8606" s="760"/>
      <c r="B8606" s="760"/>
      <c r="C8606" s="760"/>
      <c r="D8606" s="760"/>
      <c r="E8606" s="760"/>
      <c r="F8606" s="760"/>
      <c r="G8606" s="760"/>
      <c r="H8606" s="760"/>
      <c r="I8606" s="760"/>
      <c r="J8606" s="760"/>
      <c r="K8606" s="760"/>
    </row>
    <row r="8607" spans="1:11">
      <c r="A8607" s="760"/>
      <c r="B8607" s="760"/>
      <c r="C8607" s="760"/>
      <c r="D8607" s="760"/>
      <c r="E8607" s="760"/>
      <c r="F8607" s="760"/>
      <c r="G8607" s="760"/>
      <c r="H8607" s="760"/>
      <c r="I8607" s="760"/>
      <c r="J8607" s="760"/>
      <c r="K8607" s="760"/>
    </row>
    <row r="8608" spans="1:11">
      <c r="A8608" s="760"/>
      <c r="B8608" s="760"/>
      <c r="C8608" s="760"/>
      <c r="D8608" s="760"/>
      <c r="E8608" s="760"/>
      <c r="F8608" s="760"/>
      <c r="G8608" s="760"/>
      <c r="H8608" s="760"/>
      <c r="I8608" s="760"/>
      <c r="J8608" s="760"/>
      <c r="K8608" s="760"/>
    </row>
    <row r="8609" spans="1:11">
      <c r="A8609" s="760"/>
      <c r="B8609" s="760"/>
      <c r="C8609" s="760"/>
      <c r="D8609" s="760"/>
      <c r="E8609" s="760"/>
      <c r="F8609" s="760"/>
      <c r="G8609" s="760"/>
      <c r="H8609" s="760"/>
      <c r="I8609" s="760"/>
      <c r="J8609" s="760"/>
      <c r="K8609" s="760"/>
    </row>
    <row r="8610" spans="1:11">
      <c r="A8610" s="760"/>
      <c r="B8610" s="760"/>
      <c r="C8610" s="760"/>
      <c r="D8610" s="760"/>
      <c r="E8610" s="760"/>
      <c r="F8610" s="760"/>
      <c r="G8610" s="760"/>
      <c r="H8610" s="760"/>
      <c r="I8610" s="760"/>
      <c r="J8610" s="760"/>
      <c r="K8610" s="760"/>
    </row>
    <row r="8611" spans="1:11">
      <c r="A8611" s="760"/>
      <c r="B8611" s="760"/>
      <c r="C8611" s="760"/>
      <c r="D8611" s="760"/>
      <c r="E8611" s="760"/>
      <c r="F8611" s="760"/>
      <c r="G8611" s="760"/>
      <c r="H8611" s="760"/>
      <c r="I8611" s="760"/>
      <c r="J8611" s="760"/>
      <c r="K8611" s="760"/>
    </row>
    <row r="8612" spans="1:11">
      <c r="A8612" s="760"/>
      <c r="B8612" s="760"/>
      <c r="C8612" s="760"/>
      <c r="D8612" s="760"/>
      <c r="E8612" s="760"/>
      <c r="F8612" s="760"/>
      <c r="G8612" s="760"/>
      <c r="H8612" s="760"/>
      <c r="I8612" s="760"/>
      <c r="J8612" s="760"/>
      <c r="K8612" s="760"/>
    </row>
    <row r="8613" spans="1:11">
      <c r="A8613" s="760"/>
      <c r="B8613" s="760"/>
      <c r="C8613" s="760"/>
      <c r="D8613" s="760"/>
      <c r="E8613" s="760"/>
      <c r="F8613" s="760"/>
      <c r="G8613" s="760"/>
      <c r="H8613" s="760"/>
      <c r="I8613" s="760"/>
      <c r="J8613" s="760"/>
      <c r="K8613" s="760"/>
    </row>
    <row r="8614" spans="1:11">
      <c r="A8614" s="760"/>
      <c r="B8614" s="760"/>
      <c r="C8614" s="760"/>
      <c r="D8614" s="760"/>
      <c r="E8614" s="760"/>
      <c r="F8614" s="760"/>
      <c r="G8614" s="760"/>
      <c r="H8614" s="760"/>
      <c r="I8614" s="760"/>
      <c r="J8614" s="760"/>
      <c r="K8614" s="760"/>
    </row>
    <row r="8615" spans="1:11">
      <c r="A8615" s="760"/>
      <c r="B8615" s="760"/>
      <c r="C8615" s="760"/>
      <c r="D8615" s="760"/>
      <c r="E8615" s="760"/>
      <c r="F8615" s="760"/>
      <c r="G8615" s="760"/>
      <c r="H8615" s="760"/>
      <c r="I8615" s="760"/>
      <c r="J8615" s="760"/>
      <c r="K8615" s="760"/>
    </row>
    <row r="8616" spans="1:11">
      <c r="A8616" s="760"/>
      <c r="B8616" s="760"/>
      <c r="C8616" s="760"/>
      <c r="D8616" s="760"/>
      <c r="E8616" s="760"/>
      <c r="F8616" s="760"/>
      <c r="G8616" s="760"/>
      <c r="H8616" s="760"/>
      <c r="I8616" s="760"/>
      <c r="J8616" s="760"/>
      <c r="K8616" s="760"/>
    </row>
    <row r="8617" spans="1:11">
      <c r="A8617" s="760"/>
      <c r="B8617" s="760"/>
      <c r="C8617" s="760"/>
      <c r="D8617" s="760"/>
      <c r="E8617" s="760"/>
      <c r="F8617" s="760"/>
      <c r="G8617" s="760"/>
      <c r="H8617" s="760"/>
      <c r="I8617" s="760"/>
      <c r="J8617" s="760"/>
      <c r="K8617" s="760"/>
    </row>
    <row r="8618" spans="1:11">
      <c r="A8618" s="760"/>
      <c r="B8618" s="760"/>
      <c r="C8618" s="760"/>
      <c r="D8618" s="760"/>
      <c r="E8618" s="760"/>
      <c r="F8618" s="760"/>
      <c r="G8618" s="760"/>
      <c r="H8618" s="760"/>
      <c r="I8618" s="760"/>
      <c r="J8618" s="760"/>
      <c r="K8618" s="760"/>
    </row>
    <row r="8619" spans="1:11">
      <c r="A8619" s="760"/>
      <c r="B8619" s="760"/>
      <c r="C8619" s="760"/>
      <c r="D8619" s="760"/>
      <c r="E8619" s="760"/>
      <c r="F8619" s="760"/>
      <c r="G8619" s="760"/>
      <c r="H8619" s="760"/>
      <c r="I8619" s="760"/>
      <c r="J8619" s="760"/>
      <c r="K8619" s="760"/>
    </row>
    <row r="8620" spans="1:11">
      <c r="A8620" s="760"/>
      <c r="B8620" s="760"/>
      <c r="C8620" s="760"/>
      <c r="D8620" s="760"/>
      <c r="E8620" s="760"/>
      <c r="F8620" s="760"/>
      <c r="G8620" s="760"/>
      <c r="H8620" s="760"/>
      <c r="I8620" s="760"/>
      <c r="J8620" s="760"/>
      <c r="K8620" s="760"/>
    </row>
    <row r="8621" spans="1:11">
      <c r="A8621" s="760"/>
      <c r="B8621" s="760"/>
      <c r="C8621" s="760"/>
      <c r="D8621" s="760"/>
      <c r="E8621" s="760"/>
      <c r="F8621" s="760"/>
      <c r="G8621" s="760"/>
      <c r="H8621" s="760"/>
      <c r="I8621" s="760"/>
      <c r="J8621" s="760"/>
      <c r="K8621" s="760"/>
    </row>
    <row r="8622" spans="1:11">
      <c r="A8622" s="760"/>
      <c r="B8622" s="760"/>
      <c r="C8622" s="760"/>
      <c r="D8622" s="760"/>
      <c r="E8622" s="760"/>
      <c r="F8622" s="760"/>
      <c r="G8622" s="760"/>
      <c r="H8622" s="760"/>
      <c r="I8622" s="760"/>
      <c r="J8622" s="760"/>
      <c r="K8622" s="760"/>
    </row>
    <row r="8623" spans="1:11">
      <c r="A8623" s="760"/>
      <c r="B8623" s="760"/>
      <c r="C8623" s="760"/>
      <c r="D8623" s="760"/>
      <c r="E8623" s="760"/>
      <c r="F8623" s="760"/>
      <c r="G8623" s="760"/>
      <c r="H8623" s="760"/>
      <c r="I8623" s="760"/>
      <c r="J8623" s="760"/>
      <c r="K8623" s="760"/>
    </row>
    <row r="8624" spans="1:11">
      <c r="A8624" s="760"/>
      <c r="B8624" s="760"/>
      <c r="C8624" s="760"/>
      <c r="D8624" s="760"/>
      <c r="E8624" s="760"/>
      <c r="F8624" s="760"/>
      <c r="G8624" s="760"/>
      <c r="H8624" s="760"/>
      <c r="I8624" s="760"/>
      <c r="J8624" s="760"/>
      <c r="K8624" s="760"/>
    </row>
    <row r="8625" spans="1:11">
      <c r="A8625" s="760"/>
      <c r="B8625" s="760"/>
      <c r="C8625" s="760"/>
      <c r="D8625" s="760"/>
      <c r="E8625" s="760"/>
      <c r="F8625" s="760"/>
      <c r="G8625" s="760"/>
      <c r="H8625" s="760"/>
      <c r="I8625" s="760"/>
      <c r="J8625" s="760"/>
      <c r="K8625" s="760"/>
    </row>
    <row r="8626" spans="1:11">
      <c r="A8626" s="760"/>
      <c r="B8626" s="760"/>
      <c r="C8626" s="760"/>
      <c r="D8626" s="760"/>
      <c r="E8626" s="760"/>
      <c r="F8626" s="760"/>
      <c r="G8626" s="760"/>
      <c r="H8626" s="760"/>
      <c r="I8626" s="760"/>
      <c r="J8626" s="760"/>
      <c r="K8626" s="760"/>
    </row>
    <row r="8627" spans="1:11">
      <c r="A8627" s="760"/>
      <c r="B8627" s="760"/>
      <c r="C8627" s="760"/>
      <c r="D8627" s="760"/>
      <c r="E8627" s="760"/>
      <c r="F8627" s="760"/>
      <c r="G8627" s="760"/>
      <c r="H8627" s="760"/>
      <c r="I8627" s="760"/>
      <c r="J8627" s="760"/>
      <c r="K8627" s="760"/>
    </row>
    <row r="8628" spans="1:11">
      <c r="A8628" s="760"/>
      <c r="B8628" s="760"/>
      <c r="C8628" s="760"/>
      <c r="D8628" s="760"/>
      <c r="E8628" s="760"/>
      <c r="F8628" s="760"/>
      <c r="G8628" s="760"/>
      <c r="H8628" s="760"/>
      <c r="I8628" s="760"/>
      <c r="J8628" s="760"/>
      <c r="K8628" s="760"/>
    </row>
    <row r="8629" spans="1:11">
      <c r="A8629" s="760"/>
      <c r="B8629" s="760"/>
      <c r="C8629" s="760"/>
      <c r="D8629" s="760"/>
      <c r="E8629" s="760"/>
      <c r="F8629" s="760"/>
      <c r="G8629" s="760"/>
      <c r="H8629" s="760"/>
      <c r="I8629" s="760"/>
      <c r="J8629" s="760"/>
      <c r="K8629" s="760"/>
    </row>
    <row r="8630" spans="1:11">
      <c r="A8630" s="760"/>
      <c r="B8630" s="760"/>
      <c r="C8630" s="760"/>
      <c r="D8630" s="760"/>
      <c r="E8630" s="760"/>
      <c r="F8630" s="760"/>
      <c r="G8630" s="760"/>
      <c r="H8630" s="760"/>
      <c r="I8630" s="760"/>
      <c r="J8630" s="760"/>
      <c r="K8630" s="760"/>
    </row>
    <row r="8631" spans="1:11">
      <c r="A8631" s="760"/>
      <c r="B8631" s="760"/>
      <c r="C8631" s="760"/>
      <c r="D8631" s="760"/>
      <c r="E8631" s="760"/>
      <c r="F8631" s="760"/>
      <c r="G8631" s="760"/>
      <c r="H8631" s="760"/>
      <c r="I8631" s="760"/>
      <c r="J8631" s="760"/>
      <c r="K8631" s="760"/>
    </row>
    <row r="8632" spans="1:11">
      <c r="A8632" s="760"/>
      <c r="B8632" s="760"/>
      <c r="C8632" s="760"/>
      <c r="D8632" s="760"/>
      <c r="E8632" s="760"/>
      <c r="F8632" s="760"/>
      <c r="G8632" s="760"/>
      <c r="H8632" s="760"/>
      <c r="I8632" s="760"/>
      <c r="J8632" s="760"/>
      <c r="K8632" s="760"/>
    </row>
    <row r="8633" spans="1:11">
      <c r="A8633" s="760"/>
      <c r="B8633" s="760"/>
      <c r="C8633" s="760"/>
      <c r="D8633" s="760"/>
      <c r="E8633" s="760"/>
      <c r="F8633" s="760"/>
      <c r="G8633" s="760"/>
      <c r="H8633" s="760"/>
      <c r="I8633" s="760"/>
      <c r="J8633" s="760"/>
      <c r="K8633" s="760"/>
    </row>
    <row r="8634" spans="1:11">
      <c r="A8634" s="760"/>
      <c r="B8634" s="760"/>
      <c r="C8634" s="760"/>
      <c r="D8634" s="760"/>
      <c r="E8634" s="760"/>
      <c r="F8634" s="760"/>
      <c r="G8634" s="760"/>
      <c r="H8634" s="760"/>
      <c r="I8634" s="760"/>
      <c r="J8634" s="760"/>
      <c r="K8634" s="760"/>
    </row>
    <row r="8635" spans="1:11">
      <c r="A8635" s="760"/>
      <c r="B8635" s="760"/>
      <c r="C8635" s="760"/>
      <c r="D8635" s="760"/>
      <c r="E8635" s="760"/>
      <c r="F8635" s="760"/>
      <c r="G8635" s="760"/>
      <c r="H8635" s="760"/>
      <c r="I8635" s="760"/>
      <c r="J8635" s="760"/>
      <c r="K8635" s="760"/>
    </row>
    <row r="8636" spans="1:11">
      <c r="A8636" s="760"/>
      <c r="B8636" s="760"/>
      <c r="C8636" s="760"/>
      <c r="D8636" s="760"/>
      <c r="E8636" s="760"/>
      <c r="F8636" s="760"/>
      <c r="G8636" s="760"/>
      <c r="H8636" s="760"/>
      <c r="I8636" s="760"/>
      <c r="J8636" s="760"/>
      <c r="K8636" s="760"/>
    </row>
    <row r="8637" spans="1:11">
      <c r="A8637" s="760"/>
      <c r="B8637" s="760"/>
      <c r="C8637" s="760"/>
      <c r="D8637" s="760"/>
      <c r="E8637" s="760"/>
      <c r="F8637" s="760"/>
      <c r="G8637" s="760"/>
      <c r="H8637" s="760"/>
      <c r="I8637" s="760"/>
      <c r="J8637" s="760"/>
      <c r="K8637" s="760"/>
    </row>
    <row r="8638" spans="1:11">
      <c r="A8638" s="760"/>
      <c r="B8638" s="760"/>
      <c r="C8638" s="760"/>
      <c r="D8638" s="760"/>
      <c r="E8638" s="760"/>
      <c r="F8638" s="760"/>
      <c r="G8638" s="760"/>
      <c r="H8638" s="760"/>
      <c r="I8638" s="760"/>
      <c r="J8638" s="760"/>
      <c r="K8638" s="760"/>
    </row>
    <row r="8639" spans="1:11">
      <c r="A8639" s="760"/>
      <c r="B8639" s="760"/>
      <c r="C8639" s="760"/>
      <c r="D8639" s="760"/>
      <c r="E8639" s="760"/>
      <c r="F8639" s="760"/>
      <c r="G8639" s="760"/>
      <c r="H8639" s="760"/>
      <c r="I8639" s="760"/>
      <c r="J8639" s="760"/>
      <c r="K8639" s="760"/>
    </row>
    <row r="8640" spans="1:11">
      <c r="A8640" s="760"/>
      <c r="B8640" s="760"/>
      <c r="C8640" s="760"/>
      <c r="D8640" s="760"/>
      <c r="E8640" s="760"/>
      <c r="F8640" s="760"/>
      <c r="G8640" s="760"/>
      <c r="H8640" s="760"/>
      <c r="I8640" s="760"/>
      <c r="J8640" s="760"/>
      <c r="K8640" s="760"/>
    </row>
    <row r="8641" spans="1:11">
      <c r="A8641" s="760"/>
      <c r="B8641" s="760"/>
      <c r="C8641" s="760"/>
      <c r="D8641" s="760"/>
      <c r="E8641" s="760"/>
      <c r="F8641" s="760"/>
      <c r="G8641" s="760"/>
      <c r="H8641" s="760"/>
      <c r="I8641" s="760"/>
      <c r="J8641" s="760"/>
      <c r="K8641" s="760"/>
    </row>
    <row r="8642" spans="1:11">
      <c r="A8642" s="760"/>
      <c r="B8642" s="760"/>
      <c r="C8642" s="760"/>
      <c r="D8642" s="760"/>
      <c r="E8642" s="760"/>
      <c r="F8642" s="760"/>
      <c r="G8642" s="760"/>
      <c r="H8642" s="760"/>
      <c r="I8642" s="760"/>
      <c r="J8642" s="760"/>
      <c r="K8642" s="760"/>
    </row>
    <row r="8643" spans="1:11">
      <c r="A8643" s="760"/>
      <c r="B8643" s="760"/>
      <c r="C8643" s="760"/>
      <c r="D8643" s="760"/>
      <c r="E8643" s="760"/>
      <c r="F8643" s="760"/>
      <c r="G8643" s="760"/>
      <c r="H8643" s="760"/>
      <c r="I8643" s="760"/>
      <c r="J8643" s="760"/>
      <c r="K8643" s="760"/>
    </row>
    <row r="8644" spans="1:11">
      <c r="A8644" s="760"/>
      <c r="B8644" s="760"/>
      <c r="C8644" s="760"/>
      <c r="D8644" s="760"/>
      <c r="E8644" s="760"/>
      <c r="F8644" s="760"/>
      <c r="G8644" s="760"/>
      <c r="H8644" s="760"/>
      <c r="I8644" s="760"/>
      <c r="J8644" s="760"/>
      <c r="K8644" s="760"/>
    </row>
    <row r="8645" spans="1:11">
      <c r="A8645" s="760"/>
      <c r="B8645" s="760"/>
      <c r="C8645" s="760"/>
      <c r="D8645" s="760"/>
      <c r="E8645" s="760"/>
      <c r="F8645" s="760"/>
      <c r="G8645" s="760"/>
      <c r="H8645" s="760"/>
      <c r="I8645" s="760"/>
      <c r="J8645" s="760"/>
      <c r="K8645" s="760"/>
    </row>
    <row r="8646" spans="1:11">
      <c r="A8646" s="760"/>
      <c r="B8646" s="760"/>
      <c r="C8646" s="760"/>
      <c r="D8646" s="760"/>
      <c r="E8646" s="760"/>
      <c r="F8646" s="760"/>
      <c r="G8646" s="760"/>
      <c r="H8646" s="760"/>
      <c r="I8646" s="760"/>
      <c r="J8646" s="760"/>
      <c r="K8646" s="760"/>
    </row>
    <row r="8647" spans="1:11">
      <c r="A8647" s="760"/>
      <c r="B8647" s="760"/>
      <c r="C8647" s="760"/>
      <c r="D8647" s="760"/>
      <c r="E8647" s="760"/>
      <c r="F8647" s="760"/>
      <c r="G8647" s="760"/>
      <c r="H8647" s="760"/>
      <c r="I8647" s="760"/>
      <c r="J8647" s="760"/>
      <c r="K8647" s="760"/>
    </row>
    <row r="8648" spans="1:11">
      <c r="A8648" s="760"/>
      <c r="B8648" s="760"/>
      <c r="C8648" s="760"/>
      <c r="D8648" s="760"/>
      <c r="E8648" s="760"/>
      <c r="F8648" s="760"/>
      <c r="G8648" s="760"/>
      <c r="H8648" s="760"/>
      <c r="I8648" s="760"/>
      <c r="J8648" s="760"/>
      <c r="K8648" s="760"/>
    </row>
    <row r="8649" spans="1:11">
      <c r="A8649" s="760"/>
      <c r="B8649" s="760"/>
      <c r="C8649" s="760"/>
      <c r="D8649" s="760"/>
      <c r="E8649" s="760"/>
      <c r="F8649" s="760"/>
      <c r="G8649" s="760"/>
      <c r="H8649" s="760"/>
      <c r="I8649" s="760"/>
      <c r="J8649" s="760"/>
      <c r="K8649" s="760"/>
    </row>
    <row r="8650" spans="1:11">
      <c r="A8650" s="760"/>
      <c r="B8650" s="760"/>
      <c r="C8650" s="760"/>
      <c r="D8650" s="760"/>
      <c r="E8650" s="760"/>
      <c r="F8650" s="760"/>
      <c r="G8650" s="760"/>
      <c r="H8650" s="760"/>
      <c r="I8650" s="760"/>
      <c r="J8650" s="760"/>
      <c r="K8650" s="760"/>
    </row>
    <row r="8651" spans="1:11">
      <c r="A8651" s="760"/>
      <c r="B8651" s="760"/>
      <c r="C8651" s="760"/>
      <c r="D8651" s="760"/>
      <c r="E8651" s="760"/>
      <c r="F8651" s="760"/>
      <c r="G8651" s="760"/>
      <c r="H8651" s="760"/>
      <c r="I8651" s="760"/>
      <c r="J8651" s="760"/>
      <c r="K8651" s="760"/>
    </row>
    <row r="8652" spans="1:11">
      <c r="A8652" s="760"/>
      <c r="B8652" s="760"/>
      <c r="C8652" s="760"/>
      <c r="D8652" s="760"/>
      <c r="E8652" s="760"/>
      <c r="F8652" s="760"/>
      <c r="G8652" s="760"/>
      <c r="H8652" s="760"/>
      <c r="I8652" s="760"/>
      <c r="J8652" s="760"/>
      <c r="K8652" s="760"/>
    </row>
    <row r="8653" spans="1:11">
      <c r="A8653" s="760"/>
      <c r="B8653" s="760"/>
      <c r="C8653" s="760"/>
      <c r="D8653" s="760"/>
      <c r="E8653" s="760"/>
      <c r="F8653" s="760"/>
      <c r="G8653" s="760"/>
      <c r="H8653" s="760"/>
      <c r="I8653" s="760"/>
      <c r="J8653" s="760"/>
      <c r="K8653" s="760"/>
    </row>
    <row r="8654" spans="1:11">
      <c r="A8654" s="760"/>
      <c r="B8654" s="760"/>
      <c r="C8654" s="760"/>
      <c r="D8654" s="760"/>
      <c r="E8654" s="760"/>
      <c r="F8654" s="760"/>
      <c r="G8654" s="760"/>
      <c r="H8654" s="760"/>
      <c r="I8654" s="760"/>
      <c r="J8654" s="760"/>
      <c r="K8654" s="760"/>
    </row>
    <row r="8655" spans="1:11">
      <c r="A8655" s="760"/>
      <c r="B8655" s="760"/>
      <c r="C8655" s="760"/>
      <c r="D8655" s="760"/>
      <c r="E8655" s="760"/>
      <c r="F8655" s="760"/>
      <c r="G8655" s="760"/>
      <c r="H8655" s="760"/>
      <c r="I8655" s="760"/>
      <c r="J8655" s="760"/>
      <c r="K8655" s="760"/>
    </row>
    <row r="8656" spans="1:11">
      <c r="A8656" s="760"/>
      <c r="B8656" s="760"/>
      <c r="C8656" s="760"/>
      <c r="D8656" s="760"/>
      <c r="E8656" s="760"/>
      <c r="F8656" s="760"/>
      <c r="G8656" s="760"/>
      <c r="H8656" s="760"/>
      <c r="I8656" s="760"/>
      <c r="J8656" s="760"/>
      <c r="K8656" s="760"/>
    </row>
    <row r="8657" spans="1:11">
      <c r="A8657" s="760"/>
      <c r="B8657" s="760"/>
      <c r="C8657" s="760"/>
      <c r="D8657" s="760"/>
      <c r="E8657" s="760"/>
      <c r="F8657" s="760"/>
      <c r="G8657" s="760"/>
      <c r="H8657" s="760"/>
      <c r="I8657" s="760"/>
      <c r="J8657" s="760"/>
      <c r="K8657" s="760"/>
    </row>
    <row r="8658" spans="1:11">
      <c r="A8658" s="760"/>
      <c r="B8658" s="760"/>
      <c r="C8658" s="760"/>
      <c r="D8658" s="760"/>
      <c r="E8658" s="760"/>
      <c r="F8658" s="760"/>
      <c r="G8658" s="760"/>
      <c r="H8658" s="760"/>
      <c r="I8658" s="760"/>
      <c r="J8658" s="760"/>
      <c r="K8658" s="760"/>
    </row>
    <row r="8659" spans="1:11">
      <c r="A8659" s="760"/>
      <c r="B8659" s="760"/>
      <c r="C8659" s="760"/>
      <c r="D8659" s="760"/>
      <c r="E8659" s="760"/>
      <c r="F8659" s="760"/>
      <c r="G8659" s="760"/>
      <c r="H8659" s="760"/>
      <c r="I8659" s="760"/>
      <c r="J8659" s="760"/>
      <c r="K8659" s="760"/>
    </row>
    <row r="8660" spans="1:11">
      <c r="A8660" s="760"/>
      <c r="B8660" s="760"/>
      <c r="C8660" s="760"/>
      <c r="D8660" s="760"/>
      <c r="E8660" s="760"/>
      <c r="F8660" s="760"/>
      <c r="G8660" s="760"/>
      <c r="H8660" s="760"/>
      <c r="I8660" s="760"/>
      <c r="J8660" s="760"/>
      <c r="K8660" s="760"/>
    </row>
    <row r="8661" spans="1:11">
      <c r="A8661" s="760"/>
      <c r="B8661" s="760"/>
      <c r="C8661" s="760"/>
      <c r="D8661" s="760"/>
      <c r="E8661" s="760"/>
      <c r="F8661" s="760"/>
      <c r="G8661" s="760"/>
      <c r="H8661" s="760"/>
      <c r="I8661" s="760"/>
      <c r="J8661" s="760"/>
      <c r="K8661" s="760"/>
    </row>
    <row r="8662" spans="1:11">
      <c r="A8662" s="760"/>
      <c r="B8662" s="760"/>
      <c r="C8662" s="760"/>
      <c r="D8662" s="760"/>
      <c r="E8662" s="760"/>
      <c r="F8662" s="760"/>
      <c r="G8662" s="760"/>
      <c r="H8662" s="760"/>
      <c r="I8662" s="760"/>
      <c r="J8662" s="760"/>
      <c r="K8662" s="760"/>
    </row>
    <row r="8663" spans="1:11">
      <c r="A8663" s="760"/>
      <c r="B8663" s="760"/>
      <c r="C8663" s="760"/>
      <c r="D8663" s="760"/>
      <c r="E8663" s="760"/>
      <c r="F8663" s="760"/>
      <c r="G8663" s="760"/>
      <c r="H8663" s="760"/>
      <c r="I8663" s="760"/>
      <c r="J8663" s="760"/>
      <c r="K8663" s="760"/>
    </row>
    <row r="8664" spans="1:11">
      <c r="A8664" s="760"/>
      <c r="B8664" s="760"/>
      <c r="C8664" s="760"/>
      <c r="D8664" s="760"/>
      <c r="E8664" s="760"/>
      <c r="F8664" s="760"/>
      <c r="G8664" s="760"/>
      <c r="H8664" s="760"/>
      <c r="I8664" s="760"/>
      <c r="J8664" s="760"/>
      <c r="K8664" s="760"/>
    </row>
    <row r="8665" spans="1:11">
      <c r="A8665" s="760"/>
      <c r="B8665" s="760"/>
      <c r="C8665" s="760"/>
      <c r="D8665" s="760"/>
      <c r="E8665" s="760"/>
      <c r="F8665" s="760"/>
      <c r="G8665" s="760"/>
      <c r="H8665" s="760"/>
      <c r="I8665" s="760"/>
      <c r="J8665" s="760"/>
      <c r="K8665" s="760"/>
    </row>
    <row r="8666" spans="1:11">
      <c r="A8666" s="760"/>
      <c r="B8666" s="760"/>
      <c r="C8666" s="760"/>
      <c r="D8666" s="760"/>
      <c r="E8666" s="760"/>
      <c r="F8666" s="760"/>
      <c r="G8666" s="760"/>
      <c r="H8666" s="760"/>
      <c r="I8666" s="760"/>
      <c r="J8666" s="760"/>
      <c r="K8666" s="760"/>
    </row>
    <row r="8667" spans="1:11">
      <c r="A8667" s="760"/>
      <c r="B8667" s="760"/>
      <c r="C8667" s="760"/>
      <c r="D8667" s="760"/>
      <c r="E8667" s="760"/>
      <c r="F8667" s="760"/>
      <c r="G8667" s="760"/>
      <c r="H8667" s="760"/>
      <c r="I8667" s="760"/>
      <c r="J8667" s="760"/>
      <c r="K8667" s="760"/>
    </row>
    <row r="8668" spans="1:11">
      <c r="A8668" s="760"/>
      <c r="B8668" s="760"/>
      <c r="C8668" s="760"/>
      <c r="D8668" s="760"/>
      <c r="E8668" s="760"/>
      <c r="F8668" s="760"/>
      <c r="G8668" s="760"/>
      <c r="H8668" s="760"/>
      <c r="I8668" s="760"/>
      <c r="J8668" s="760"/>
      <c r="K8668" s="760"/>
    </row>
    <row r="8669" spans="1:11">
      <c r="A8669" s="760"/>
      <c r="B8669" s="760"/>
      <c r="C8669" s="760"/>
      <c r="D8669" s="760"/>
      <c r="E8669" s="760"/>
      <c r="F8669" s="760"/>
      <c r="G8669" s="760"/>
      <c r="H8669" s="760"/>
      <c r="I8669" s="760"/>
      <c r="J8669" s="760"/>
      <c r="K8669" s="760"/>
    </row>
    <row r="8670" spans="1:11">
      <c r="A8670" s="760"/>
      <c r="B8670" s="760"/>
      <c r="C8670" s="760"/>
      <c r="D8670" s="760"/>
      <c r="E8670" s="760"/>
      <c r="F8670" s="760"/>
      <c r="G8670" s="760"/>
      <c r="H8670" s="760"/>
      <c r="I8670" s="760"/>
      <c r="J8670" s="760"/>
      <c r="K8670" s="760"/>
    </row>
    <row r="8671" spans="1:11">
      <c r="A8671" s="760"/>
      <c r="B8671" s="760"/>
      <c r="C8671" s="760"/>
      <c r="D8671" s="760"/>
      <c r="E8671" s="760"/>
      <c r="F8671" s="760"/>
      <c r="G8671" s="760"/>
      <c r="H8671" s="760"/>
      <c r="I8671" s="760"/>
      <c r="J8671" s="760"/>
      <c r="K8671" s="760"/>
    </row>
    <row r="8672" spans="1:11">
      <c r="A8672" s="760"/>
      <c r="B8672" s="760"/>
      <c r="C8672" s="760"/>
      <c r="D8672" s="760"/>
      <c r="E8672" s="760"/>
      <c r="F8672" s="760"/>
      <c r="G8672" s="760"/>
      <c r="H8672" s="760"/>
      <c r="I8672" s="760"/>
      <c r="J8672" s="760"/>
      <c r="K8672" s="760"/>
    </row>
    <row r="8673" spans="1:11">
      <c r="A8673" s="760"/>
      <c r="B8673" s="760"/>
      <c r="C8673" s="760"/>
      <c r="D8673" s="760"/>
      <c r="E8673" s="760"/>
      <c r="F8673" s="760"/>
      <c r="G8673" s="760"/>
      <c r="H8673" s="760"/>
      <c r="I8673" s="760"/>
      <c r="J8673" s="760"/>
      <c r="K8673" s="760"/>
    </row>
    <row r="8674" spans="1:11">
      <c r="A8674" s="760"/>
      <c r="B8674" s="760"/>
      <c r="C8674" s="760"/>
      <c r="D8674" s="760"/>
      <c r="E8674" s="760"/>
      <c r="F8674" s="760"/>
      <c r="G8674" s="760"/>
      <c r="H8674" s="760"/>
      <c r="I8674" s="760"/>
      <c r="J8674" s="760"/>
      <c r="K8674" s="760"/>
    </row>
    <row r="8675" spans="1:11">
      <c r="A8675" s="760"/>
      <c r="B8675" s="760"/>
      <c r="C8675" s="760"/>
      <c r="D8675" s="760"/>
      <c r="E8675" s="760"/>
      <c r="F8675" s="760"/>
      <c r="G8675" s="760"/>
      <c r="H8675" s="760"/>
      <c r="I8675" s="760"/>
      <c r="J8675" s="760"/>
      <c r="K8675" s="760"/>
    </row>
    <row r="8676" spans="1:11">
      <c r="A8676" s="760"/>
      <c r="B8676" s="760"/>
      <c r="C8676" s="760"/>
      <c r="D8676" s="760"/>
      <c r="E8676" s="760"/>
      <c r="F8676" s="760"/>
      <c r="G8676" s="760"/>
      <c r="H8676" s="760"/>
      <c r="I8676" s="760"/>
      <c r="J8676" s="760"/>
      <c r="K8676" s="760"/>
    </row>
    <row r="8677" spans="1:11">
      <c r="A8677" s="760"/>
      <c r="B8677" s="760"/>
      <c r="C8677" s="760"/>
      <c r="D8677" s="760"/>
      <c r="E8677" s="760"/>
      <c r="F8677" s="760"/>
      <c r="G8677" s="760"/>
      <c r="H8677" s="760"/>
      <c r="I8677" s="760"/>
      <c r="J8677" s="760"/>
      <c r="K8677" s="760"/>
    </row>
    <row r="8678" spans="1:11">
      <c r="A8678" s="760"/>
      <c r="B8678" s="760"/>
      <c r="C8678" s="760"/>
      <c r="D8678" s="760"/>
      <c r="E8678" s="760"/>
      <c r="F8678" s="760"/>
      <c r="G8678" s="760"/>
      <c r="H8678" s="760"/>
      <c r="I8678" s="760"/>
      <c r="J8678" s="760"/>
      <c r="K8678" s="760"/>
    </row>
    <row r="8679" spans="1:11">
      <c r="A8679" s="760"/>
      <c r="B8679" s="760"/>
      <c r="C8679" s="760"/>
      <c r="D8679" s="760"/>
      <c r="E8679" s="760"/>
      <c r="F8679" s="760"/>
      <c r="G8679" s="760"/>
      <c r="H8679" s="760"/>
      <c r="I8679" s="760"/>
      <c r="J8679" s="760"/>
      <c r="K8679" s="760"/>
    </row>
    <row r="8680" spans="1:11">
      <c r="A8680" s="760"/>
      <c r="B8680" s="760"/>
      <c r="C8680" s="760"/>
      <c r="D8680" s="760"/>
      <c r="E8680" s="760"/>
      <c r="F8680" s="760"/>
      <c r="G8680" s="760"/>
      <c r="H8680" s="760"/>
      <c r="I8680" s="760"/>
      <c r="J8680" s="760"/>
      <c r="K8680" s="760"/>
    </row>
    <row r="8681" spans="1:11">
      <c r="A8681" s="760"/>
      <c r="B8681" s="760"/>
      <c r="C8681" s="760"/>
      <c r="D8681" s="760"/>
      <c r="E8681" s="760"/>
      <c r="F8681" s="760"/>
      <c r="G8681" s="760"/>
      <c r="H8681" s="760"/>
      <c r="I8681" s="760"/>
      <c r="J8681" s="760"/>
      <c r="K8681" s="760"/>
    </row>
    <row r="8682" spans="1:11">
      <c r="A8682" s="760"/>
      <c r="B8682" s="760"/>
      <c r="C8682" s="760"/>
      <c r="D8682" s="760"/>
      <c r="E8682" s="760"/>
      <c r="F8682" s="760"/>
      <c r="G8682" s="760"/>
      <c r="H8682" s="760"/>
      <c r="I8682" s="760"/>
      <c r="J8682" s="760"/>
      <c r="K8682" s="760"/>
    </row>
    <row r="8683" spans="1:11">
      <c r="A8683" s="760"/>
      <c r="B8683" s="760"/>
      <c r="C8683" s="760"/>
      <c r="D8683" s="760"/>
      <c r="E8683" s="760"/>
      <c r="F8683" s="760"/>
      <c r="G8683" s="760"/>
      <c r="H8683" s="760"/>
      <c r="I8683" s="760"/>
      <c r="J8683" s="760"/>
      <c r="K8683" s="760"/>
    </row>
    <row r="8684" spans="1:11">
      <c r="A8684" s="760"/>
      <c r="B8684" s="760"/>
      <c r="C8684" s="760"/>
      <c r="D8684" s="760"/>
      <c r="E8684" s="760"/>
      <c r="F8684" s="760"/>
      <c r="G8684" s="760"/>
      <c r="H8684" s="760"/>
      <c r="I8684" s="760"/>
      <c r="J8684" s="760"/>
      <c r="K8684" s="760"/>
    </row>
    <row r="8685" spans="1:11">
      <c r="A8685" s="760"/>
      <c r="B8685" s="760"/>
      <c r="C8685" s="760"/>
      <c r="D8685" s="760"/>
      <c r="E8685" s="760"/>
      <c r="F8685" s="760"/>
      <c r="G8685" s="760"/>
      <c r="H8685" s="760"/>
      <c r="I8685" s="760"/>
      <c r="J8685" s="760"/>
      <c r="K8685" s="760"/>
    </row>
    <row r="8686" spans="1:11">
      <c r="A8686" s="760"/>
      <c r="B8686" s="760"/>
      <c r="C8686" s="760"/>
      <c r="D8686" s="760"/>
      <c r="E8686" s="760"/>
      <c r="F8686" s="760"/>
      <c r="G8686" s="760"/>
      <c r="H8686" s="760"/>
      <c r="I8686" s="760"/>
      <c r="J8686" s="760"/>
      <c r="K8686" s="760"/>
    </row>
    <row r="8687" spans="1:11">
      <c r="A8687" s="760"/>
      <c r="B8687" s="760"/>
      <c r="C8687" s="760"/>
      <c r="D8687" s="760"/>
      <c r="E8687" s="760"/>
      <c r="F8687" s="760"/>
      <c r="G8687" s="760"/>
      <c r="H8687" s="760"/>
      <c r="I8687" s="760"/>
      <c r="J8687" s="760"/>
      <c r="K8687" s="760"/>
    </row>
    <row r="8688" spans="1:11">
      <c r="A8688" s="760"/>
      <c r="B8688" s="760"/>
      <c r="C8688" s="760"/>
      <c r="D8688" s="760"/>
      <c r="E8688" s="760"/>
      <c r="F8688" s="760"/>
      <c r="G8688" s="760"/>
      <c r="H8688" s="760"/>
      <c r="I8688" s="760"/>
      <c r="J8688" s="760"/>
      <c r="K8688" s="760"/>
    </row>
    <row r="8689" spans="1:11">
      <c r="A8689" s="760"/>
      <c r="B8689" s="760"/>
      <c r="C8689" s="760"/>
      <c r="D8689" s="760"/>
      <c r="E8689" s="760"/>
      <c r="F8689" s="760"/>
      <c r="G8689" s="760"/>
      <c r="H8689" s="760"/>
      <c r="I8689" s="760"/>
      <c r="J8689" s="760"/>
      <c r="K8689" s="760"/>
    </row>
    <row r="8690" spans="1:11">
      <c r="A8690" s="760"/>
      <c r="B8690" s="760"/>
      <c r="C8690" s="760"/>
      <c r="D8690" s="760"/>
      <c r="E8690" s="760"/>
      <c r="F8690" s="760"/>
      <c r="G8690" s="760"/>
      <c r="H8690" s="760"/>
      <c r="I8690" s="760"/>
      <c r="J8690" s="760"/>
      <c r="K8690" s="760"/>
    </row>
    <row r="8691" spans="1:11">
      <c r="A8691" s="760"/>
      <c r="B8691" s="760"/>
      <c r="C8691" s="760"/>
      <c r="D8691" s="760"/>
      <c r="E8691" s="760"/>
      <c r="F8691" s="760"/>
      <c r="G8691" s="760"/>
      <c r="H8691" s="760"/>
      <c r="I8691" s="760"/>
      <c r="J8691" s="760"/>
      <c r="K8691" s="760"/>
    </row>
    <row r="8692" spans="1:11">
      <c r="A8692" s="760"/>
      <c r="B8692" s="760"/>
      <c r="C8692" s="760"/>
      <c r="D8692" s="760"/>
      <c r="E8692" s="760"/>
      <c r="F8692" s="760"/>
      <c r="G8692" s="760"/>
      <c r="H8692" s="760"/>
      <c r="I8692" s="760"/>
      <c r="J8692" s="760"/>
      <c r="K8692" s="760"/>
    </row>
    <row r="8693" spans="1:11">
      <c r="A8693" s="760"/>
      <c r="B8693" s="760"/>
      <c r="C8693" s="760"/>
      <c r="D8693" s="760"/>
      <c r="E8693" s="760"/>
      <c r="F8693" s="760"/>
      <c r="G8693" s="760"/>
      <c r="H8693" s="760"/>
      <c r="I8693" s="760"/>
      <c r="J8693" s="760"/>
      <c r="K8693" s="760"/>
    </row>
    <row r="8694" spans="1:11">
      <c r="A8694" s="760"/>
      <c r="B8694" s="760"/>
      <c r="C8694" s="760"/>
      <c r="D8694" s="760"/>
      <c r="E8694" s="760"/>
      <c r="F8694" s="760"/>
      <c r="G8694" s="760"/>
      <c r="H8694" s="760"/>
      <c r="I8694" s="760"/>
      <c r="J8694" s="760"/>
      <c r="K8694" s="760"/>
    </row>
    <row r="8695" spans="1:11">
      <c r="A8695" s="760"/>
      <c r="B8695" s="760"/>
      <c r="C8695" s="760"/>
      <c r="D8695" s="760"/>
      <c r="E8695" s="760"/>
      <c r="F8695" s="760"/>
      <c r="G8695" s="760"/>
      <c r="H8695" s="760"/>
      <c r="I8695" s="760"/>
      <c r="J8695" s="760"/>
      <c r="K8695" s="760"/>
    </row>
    <row r="8696" spans="1:11">
      <c r="A8696" s="760"/>
      <c r="B8696" s="760"/>
      <c r="C8696" s="760"/>
      <c r="D8696" s="760"/>
      <c r="E8696" s="760"/>
      <c r="F8696" s="760"/>
      <c r="G8696" s="760"/>
      <c r="H8696" s="760"/>
      <c r="I8696" s="760"/>
      <c r="J8696" s="760"/>
      <c r="K8696" s="760"/>
    </row>
    <row r="8697" spans="1:11">
      <c r="A8697" s="760"/>
      <c r="B8697" s="760"/>
      <c r="C8697" s="760"/>
      <c r="D8697" s="760"/>
      <c r="E8697" s="760"/>
      <c r="F8697" s="760"/>
      <c r="G8697" s="760"/>
      <c r="H8697" s="760"/>
      <c r="I8697" s="760"/>
      <c r="J8697" s="760"/>
      <c r="K8697" s="760"/>
    </row>
    <row r="8698" spans="1:11">
      <c r="A8698" s="760"/>
      <c r="B8698" s="760"/>
      <c r="C8698" s="760"/>
      <c r="D8698" s="760"/>
      <c r="E8698" s="760"/>
      <c r="F8698" s="760"/>
      <c r="G8698" s="760"/>
      <c r="H8698" s="760"/>
      <c r="I8698" s="760"/>
      <c r="J8698" s="760"/>
      <c r="K8698" s="760"/>
    </row>
    <row r="8699" spans="1:11">
      <c r="A8699" s="760"/>
      <c r="B8699" s="760"/>
      <c r="C8699" s="760"/>
      <c r="D8699" s="760"/>
      <c r="E8699" s="760"/>
      <c r="F8699" s="760"/>
      <c r="G8699" s="760"/>
      <c r="H8699" s="760"/>
      <c r="I8699" s="760"/>
      <c r="J8699" s="760"/>
      <c r="K8699" s="760"/>
    </row>
    <row r="8700" spans="1:11">
      <c r="A8700" s="760"/>
      <c r="B8700" s="760"/>
      <c r="C8700" s="760"/>
      <c r="D8700" s="760"/>
      <c r="E8700" s="760"/>
      <c r="F8700" s="760"/>
      <c r="G8700" s="760"/>
      <c r="H8700" s="760"/>
      <c r="I8700" s="760"/>
      <c r="J8700" s="760"/>
      <c r="K8700" s="760"/>
    </row>
    <row r="8701" spans="1:11">
      <c r="A8701" s="760"/>
      <c r="B8701" s="760"/>
      <c r="C8701" s="760"/>
      <c r="D8701" s="760"/>
      <c r="E8701" s="760"/>
      <c r="F8701" s="760"/>
      <c r="G8701" s="760"/>
      <c r="H8701" s="760"/>
      <c r="I8701" s="760"/>
      <c r="J8701" s="760"/>
      <c r="K8701" s="760"/>
    </row>
    <row r="8702" spans="1:11">
      <c r="A8702" s="760"/>
      <c r="B8702" s="760"/>
      <c r="C8702" s="760"/>
      <c r="D8702" s="760"/>
      <c r="E8702" s="760"/>
      <c r="F8702" s="760"/>
      <c r="G8702" s="760"/>
      <c r="H8702" s="760"/>
      <c r="I8702" s="760"/>
      <c r="J8702" s="760"/>
      <c r="K8702" s="760"/>
    </row>
    <row r="8703" spans="1:11">
      <c r="A8703" s="760"/>
      <c r="B8703" s="760"/>
      <c r="C8703" s="760"/>
      <c r="D8703" s="760"/>
      <c r="E8703" s="760"/>
      <c r="F8703" s="760"/>
      <c r="G8703" s="760"/>
      <c r="H8703" s="760"/>
      <c r="I8703" s="760"/>
      <c r="J8703" s="760"/>
      <c r="K8703" s="760"/>
    </row>
    <row r="8704" spans="1:11">
      <c r="A8704" s="760"/>
      <c r="B8704" s="760"/>
      <c r="C8704" s="760"/>
      <c r="D8704" s="760"/>
      <c r="E8704" s="760"/>
      <c r="F8704" s="760"/>
      <c r="G8704" s="760"/>
      <c r="H8704" s="760"/>
      <c r="I8704" s="760"/>
      <c r="J8704" s="760"/>
      <c r="K8704" s="760"/>
    </row>
    <row r="8705" spans="1:11">
      <c r="A8705" s="760"/>
      <c r="B8705" s="760"/>
      <c r="C8705" s="760"/>
      <c r="D8705" s="760"/>
      <c r="E8705" s="760"/>
      <c r="F8705" s="760"/>
      <c r="G8705" s="760"/>
      <c r="H8705" s="760"/>
      <c r="I8705" s="760"/>
      <c r="J8705" s="760"/>
      <c r="K8705" s="760"/>
    </row>
    <row r="8706" spans="1:11">
      <c r="A8706" s="760"/>
      <c r="B8706" s="760"/>
      <c r="C8706" s="760"/>
      <c r="D8706" s="760"/>
      <c r="E8706" s="760"/>
      <c r="F8706" s="760"/>
      <c r="G8706" s="760"/>
      <c r="H8706" s="760"/>
      <c r="I8706" s="760"/>
      <c r="J8706" s="760"/>
      <c r="K8706" s="760"/>
    </row>
    <row r="8707" spans="1:11">
      <c r="A8707" s="760"/>
      <c r="B8707" s="760"/>
      <c r="C8707" s="760"/>
      <c r="D8707" s="760"/>
      <c r="E8707" s="760"/>
      <c r="F8707" s="760"/>
      <c r="G8707" s="760"/>
      <c r="H8707" s="760"/>
      <c r="I8707" s="760"/>
      <c r="J8707" s="760"/>
      <c r="K8707" s="760"/>
    </row>
    <row r="8708" spans="1:11">
      <c r="A8708" s="760"/>
      <c r="B8708" s="760"/>
      <c r="C8708" s="760"/>
      <c r="D8708" s="760"/>
      <c r="E8708" s="760"/>
      <c r="F8708" s="760"/>
      <c r="G8708" s="760"/>
      <c r="H8708" s="760"/>
      <c r="I8708" s="760"/>
      <c r="J8708" s="760"/>
      <c r="K8708" s="760"/>
    </row>
    <row r="8709" spans="1:11">
      <c r="A8709" s="760"/>
      <c r="B8709" s="760"/>
      <c r="C8709" s="760"/>
      <c r="D8709" s="760"/>
      <c r="E8709" s="760"/>
      <c r="F8709" s="760"/>
      <c r="G8709" s="760"/>
      <c r="H8709" s="760"/>
      <c r="I8709" s="760"/>
      <c r="J8709" s="760"/>
      <c r="K8709" s="760"/>
    </row>
    <row r="8710" spans="1:11">
      <c r="A8710" s="760"/>
      <c r="B8710" s="760"/>
      <c r="C8710" s="760"/>
      <c r="D8710" s="760"/>
      <c r="E8710" s="760"/>
      <c r="F8710" s="760"/>
      <c r="G8710" s="760"/>
      <c r="H8710" s="760"/>
      <c r="I8710" s="760"/>
      <c r="J8710" s="760"/>
      <c r="K8710" s="760"/>
    </row>
    <row r="8711" spans="1:11">
      <c r="A8711" s="760"/>
      <c r="B8711" s="760"/>
      <c r="C8711" s="760"/>
      <c r="D8711" s="760"/>
      <c r="E8711" s="760"/>
      <c r="F8711" s="760"/>
      <c r="G8711" s="760"/>
      <c r="H8711" s="760"/>
      <c r="I8711" s="760"/>
      <c r="J8711" s="760"/>
      <c r="K8711" s="760"/>
    </row>
    <row r="8712" spans="1:11">
      <c r="A8712" s="760"/>
      <c r="B8712" s="760"/>
      <c r="C8712" s="760"/>
      <c r="D8712" s="760"/>
      <c r="E8712" s="760"/>
      <c r="F8712" s="760"/>
      <c r="G8712" s="760"/>
      <c r="H8712" s="760"/>
      <c r="I8712" s="760"/>
      <c r="J8712" s="760"/>
      <c r="K8712" s="760"/>
    </row>
    <row r="8713" spans="1:11">
      <c r="A8713" s="760"/>
      <c r="B8713" s="760"/>
      <c r="C8713" s="760"/>
      <c r="D8713" s="760"/>
      <c r="E8713" s="760"/>
      <c r="F8713" s="760"/>
      <c r="G8713" s="760"/>
      <c r="H8713" s="760"/>
      <c r="I8713" s="760"/>
      <c r="J8713" s="760"/>
      <c r="K8713" s="760"/>
    </row>
    <row r="8714" spans="1:11">
      <c r="A8714" s="760"/>
      <c r="B8714" s="760"/>
      <c r="C8714" s="760"/>
      <c r="D8714" s="760"/>
      <c r="E8714" s="760"/>
      <c r="F8714" s="760"/>
      <c r="G8714" s="760"/>
      <c r="H8714" s="760"/>
      <c r="I8714" s="760"/>
      <c r="J8714" s="760"/>
      <c r="K8714" s="760"/>
    </row>
    <row r="8715" spans="1:11">
      <c r="A8715" s="760"/>
      <c r="B8715" s="760"/>
      <c r="C8715" s="760"/>
      <c r="D8715" s="760"/>
      <c r="E8715" s="760"/>
      <c r="F8715" s="760"/>
      <c r="G8715" s="760"/>
      <c r="H8715" s="760"/>
      <c r="I8715" s="760"/>
      <c r="J8715" s="760"/>
      <c r="K8715" s="760"/>
    </row>
    <row r="8716" spans="1:11">
      <c r="A8716" s="760"/>
      <c r="B8716" s="760"/>
      <c r="C8716" s="760"/>
      <c r="D8716" s="760"/>
      <c r="E8716" s="760"/>
      <c r="F8716" s="760"/>
      <c r="G8716" s="760"/>
      <c r="H8716" s="760"/>
      <c r="I8716" s="760"/>
      <c r="J8716" s="760"/>
      <c r="K8716" s="760"/>
    </row>
    <row r="8717" spans="1:11">
      <c r="A8717" s="760"/>
      <c r="B8717" s="760"/>
      <c r="C8717" s="760"/>
      <c r="D8717" s="760"/>
      <c r="E8717" s="760"/>
      <c r="F8717" s="760"/>
      <c r="G8717" s="760"/>
      <c r="H8717" s="760"/>
      <c r="I8717" s="760"/>
      <c r="J8717" s="760"/>
      <c r="K8717" s="760"/>
    </row>
    <row r="8718" spans="1:11">
      <c r="A8718" s="760"/>
      <c r="B8718" s="760"/>
      <c r="C8718" s="760"/>
      <c r="D8718" s="760"/>
      <c r="E8718" s="760"/>
      <c r="F8718" s="760"/>
      <c r="G8718" s="760"/>
      <c r="H8718" s="760"/>
      <c r="I8718" s="760"/>
      <c r="J8718" s="760"/>
      <c r="K8718" s="760"/>
    </row>
    <row r="8719" spans="1:11">
      <c r="A8719" s="760"/>
      <c r="B8719" s="760"/>
      <c r="C8719" s="760"/>
      <c r="D8719" s="760"/>
      <c r="E8719" s="760"/>
      <c r="F8719" s="760"/>
      <c r="G8719" s="760"/>
      <c r="H8719" s="760"/>
      <c r="I8719" s="760"/>
      <c r="J8719" s="760"/>
      <c r="K8719" s="760"/>
    </row>
    <row r="8720" spans="1:11">
      <c r="A8720" s="760"/>
      <c r="B8720" s="760"/>
      <c r="C8720" s="760"/>
      <c r="D8720" s="760"/>
      <c r="E8720" s="760"/>
      <c r="F8720" s="760"/>
      <c r="G8720" s="760"/>
      <c r="H8720" s="760"/>
      <c r="I8720" s="760"/>
      <c r="J8720" s="760"/>
      <c r="K8720" s="760"/>
    </row>
    <row r="8721" spans="1:11">
      <c r="A8721" s="760"/>
      <c r="B8721" s="760"/>
      <c r="C8721" s="760"/>
      <c r="D8721" s="760"/>
      <c r="E8721" s="760"/>
      <c r="F8721" s="760"/>
      <c r="G8721" s="760"/>
      <c r="H8721" s="760"/>
      <c r="I8721" s="760"/>
      <c r="J8721" s="760"/>
      <c r="K8721" s="760"/>
    </row>
    <row r="8722" spans="1:11">
      <c r="A8722" s="760"/>
      <c r="B8722" s="760"/>
      <c r="C8722" s="760"/>
      <c r="D8722" s="760"/>
      <c r="E8722" s="760"/>
      <c r="F8722" s="760"/>
      <c r="G8722" s="760"/>
      <c r="H8722" s="760"/>
      <c r="I8722" s="760"/>
      <c r="J8722" s="760"/>
      <c r="K8722" s="760"/>
    </row>
    <row r="8723" spans="1:11">
      <c r="A8723" s="760"/>
      <c r="B8723" s="760"/>
      <c r="C8723" s="760"/>
      <c r="D8723" s="760"/>
      <c r="E8723" s="760"/>
      <c r="F8723" s="760"/>
      <c r="G8723" s="760"/>
      <c r="H8723" s="760"/>
      <c r="I8723" s="760"/>
      <c r="J8723" s="760"/>
      <c r="K8723" s="760"/>
    </row>
    <row r="8724" spans="1:11">
      <c r="A8724" s="760"/>
      <c r="B8724" s="760"/>
      <c r="C8724" s="760"/>
      <c r="D8724" s="760"/>
      <c r="E8724" s="760"/>
      <c r="F8724" s="760"/>
      <c r="G8724" s="760"/>
      <c r="H8724" s="760"/>
      <c r="I8724" s="760"/>
      <c r="J8724" s="760"/>
      <c r="K8724" s="760"/>
    </row>
    <row r="8725" spans="1:11">
      <c r="A8725" s="760"/>
      <c r="B8725" s="760"/>
      <c r="C8725" s="760"/>
      <c r="D8725" s="760"/>
      <c r="E8725" s="760"/>
      <c r="F8725" s="760"/>
      <c r="G8725" s="760"/>
      <c r="H8725" s="760"/>
      <c r="I8725" s="760"/>
      <c r="J8725" s="760"/>
      <c r="K8725" s="760"/>
    </row>
    <row r="8726" spans="1:11">
      <c r="A8726" s="760"/>
      <c r="B8726" s="760"/>
      <c r="C8726" s="760"/>
      <c r="D8726" s="760"/>
      <c r="E8726" s="760"/>
      <c r="F8726" s="760"/>
      <c r="G8726" s="760"/>
      <c r="H8726" s="760"/>
      <c r="I8726" s="760"/>
      <c r="J8726" s="760"/>
      <c r="K8726" s="760"/>
    </row>
    <row r="8727" spans="1:11">
      <c r="A8727" s="760"/>
      <c r="B8727" s="760"/>
      <c r="C8727" s="760"/>
      <c r="D8727" s="760"/>
      <c r="E8727" s="760"/>
      <c r="F8727" s="760"/>
      <c r="G8727" s="760"/>
      <c r="H8727" s="760"/>
      <c r="I8727" s="760"/>
      <c r="J8727" s="760"/>
      <c r="K8727" s="760"/>
    </row>
    <row r="8728" spans="1:11">
      <c r="A8728" s="760"/>
      <c r="B8728" s="760"/>
      <c r="C8728" s="760"/>
      <c r="D8728" s="760"/>
      <c r="E8728" s="760"/>
      <c r="F8728" s="760"/>
      <c r="G8728" s="760"/>
      <c r="H8728" s="760"/>
      <c r="I8728" s="760"/>
      <c r="J8728" s="760"/>
      <c r="K8728" s="760"/>
    </row>
    <row r="8729" spans="1:11">
      <c r="A8729" s="760"/>
      <c r="B8729" s="760"/>
      <c r="C8729" s="760"/>
      <c r="D8729" s="760"/>
      <c r="E8729" s="760"/>
      <c r="F8729" s="760"/>
      <c r="G8729" s="760"/>
      <c r="H8729" s="760"/>
      <c r="I8729" s="760"/>
      <c r="J8729" s="760"/>
      <c r="K8729" s="760"/>
    </row>
    <row r="8730" spans="1:11">
      <c r="A8730" s="760"/>
      <c r="B8730" s="760"/>
      <c r="C8730" s="760"/>
      <c r="D8730" s="760"/>
      <c r="E8730" s="760"/>
      <c r="F8730" s="760"/>
      <c r="G8730" s="760"/>
      <c r="H8730" s="760"/>
      <c r="I8730" s="760"/>
      <c r="J8730" s="760"/>
      <c r="K8730" s="760"/>
    </row>
    <row r="8731" spans="1:11">
      <c r="A8731" s="760"/>
      <c r="B8731" s="760"/>
      <c r="C8731" s="760"/>
      <c r="D8731" s="760"/>
      <c r="E8731" s="760"/>
      <c r="F8731" s="760"/>
      <c r="G8731" s="760"/>
      <c r="H8731" s="760"/>
      <c r="I8731" s="760"/>
      <c r="J8731" s="760"/>
      <c r="K8731" s="760"/>
    </row>
    <row r="8732" spans="1:11">
      <c r="A8732" s="760"/>
      <c r="B8732" s="760"/>
      <c r="C8732" s="760"/>
      <c r="D8732" s="760"/>
      <c r="E8732" s="760"/>
      <c r="F8732" s="760"/>
      <c r="G8732" s="760"/>
      <c r="H8732" s="760"/>
      <c r="I8732" s="760"/>
      <c r="J8732" s="760"/>
      <c r="K8732" s="760"/>
    </row>
    <row r="8733" spans="1:11">
      <c r="A8733" s="760"/>
      <c r="B8733" s="760"/>
      <c r="C8733" s="760"/>
      <c r="D8733" s="760"/>
      <c r="E8733" s="760"/>
      <c r="F8733" s="760"/>
      <c r="G8733" s="760"/>
      <c r="H8733" s="760"/>
      <c r="I8733" s="760"/>
      <c r="J8733" s="760"/>
      <c r="K8733" s="760"/>
    </row>
    <row r="8734" spans="1:11">
      <c r="A8734" s="760"/>
      <c r="B8734" s="760"/>
      <c r="C8734" s="760"/>
      <c r="D8734" s="760"/>
      <c r="E8734" s="760"/>
      <c r="F8734" s="760"/>
      <c r="G8734" s="760"/>
      <c r="H8734" s="760"/>
      <c r="I8734" s="760"/>
      <c r="J8734" s="760"/>
      <c r="K8734" s="760"/>
    </row>
    <row r="8735" spans="1:11">
      <c r="A8735" s="760"/>
      <c r="B8735" s="760"/>
      <c r="C8735" s="760"/>
      <c r="D8735" s="760"/>
      <c r="E8735" s="760"/>
      <c r="F8735" s="760"/>
      <c r="G8735" s="760"/>
      <c r="H8735" s="760"/>
      <c r="I8735" s="760"/>
      <c r="J8735" s="760"/>
      <c r="K8735" s="760"/>
    </row>
    <row r="8736" spans="1:11">
      <c r="A8736" s="760"/>
      <c r="B8736" s="760"/>
      <c r="C8736" s="760"/>
      <c r="D8736" s="760"/>
      <c r="E8736" s="760"/>
      <c r="F8736" s="760"/>
      <c r="G8736" s="760"/>
      <c r="H8736" s="760"/>
      <c r="I8736" s="760"/>
      <c r="J8736" s="760"/>
      <c r="K8736" s="760"/>
    </row>
    <row r="8737" spans="1:11">
      <c r="A8737" s="760"/>
      <c r="B8737" s="760"/>
      <c r="C8737" s="760"/>
      <c r="D8737" s="760"/>
      <c r="E8737" s="760"/>
      <c r="F8737" s="760"/>
      <c r="G8737" s="760"/>
      <c r="H8737" s="760"/>
      <c r="I8737" s="760"/>
      <c r="J8737" s="760"/>
      <c r="K8737" s="760"/>
    </row>
    <row r="8738" spans="1:11">
      <c r="A8738" s="760"/>
      <c r="B8738" s="760"/>
      <c r="C8738" s="760"/>
      <c r="D8738" s="760"/>
      <c r="E8738" s="760"/>
      <c r="F8738" s="760"/>
      <c r="G8738" s="760"/>
      <c r="H8738" s="760"/>
      <c r="I8738" s="760"/>
      <c r="J8738" s="760"/>
      <c r="K8738" s="760"/>
    </row>
    <row r="8739" spans="1:11">
      <c r="A8739" s="760"/>
      <c r="B8739" s="760"/>
      <c r="C8739" s="760"/>
      <c r="D8739" s="760"/>
      <c r="E8739" s="760"/>
      <c r="F8739" s="760"/>
      <c r="G8739" s="760"/>
      <c r="H8739" s="760"/>
      <c r="I8739" s="760"/>
      <c r="J8739" s="760"/>
      <c r="K8739" s="760"/>
    </row>
    <row r="8740" spans="1:11">
      <c r="A8740" s="760"/>
      <c r="B8740" s="760"/>
      <c r="C8740" s="760"/>
      <c r="D8740" s="760"/>
      <c r="E8740" s="760"/>
      <c r="F8740" s="760"/>
      <c r="G8740" s="760"/>
      <c r="H8740" s="760"/>
      <c r="I8740" s="760"/>
      <c r="J8740" s="760"/>
      <c r="K8740" s="760"/>
    </row>
    <row r="8741" spans="1:11">
      <c r="A8741" s="760"/>
      <c r="B8741" s="760"/>
      <c r="C8741" s="760"/>
      <c r="D8741" s="760"/>
      <c r="E8741" s="760"/>
      <c r="F8741" s="760"/>
      <c r="G8741" s="760"/>
      <c r="H8741" s="760"/>
      <c r="I8741" s="760"/>
      <c r="J8741" s="760"/>
      <c r="K8741" s="760"/>
    </row>
    <row r="8742" spans="1:11">
      <c r="A8742" s="760"/>
      <c r="B8742" s="760"/>
      <c r="C8742" s="760"/>
      <c r="D8742" s="760"/>
      <c r="E8742" s="760"/>
      <c r="F8742" s="760"/>
      <c r="G8742" s="760"/>
      <c r="H8742" s="760"/>
      <c r="I8742" s="760"/>
      <c r="J8742" s="760"/>
      <c r="K8742" s="760"/>
    </row>
    <row r="8743" spans="1:11">
      <c r="A8743" s="760"/>
      <c r="B8743" s="760"/>
      <c r="C8743" s="760"/>
      <c r="D8743" s="760"/>
      <c r="E8743" s="760"/>
      <c r="F8743" s="760"/>
      <c r="G8743" s="760"/>
      <c r="H8743" s="760"/>
      <c r="I8743" s="760"/>
      <c r="J8743" s="760"/>
      <c r="K8743" s="760"/>
    </row>
    <row r="8744" spans="1:11">
      <c r="A8744" s="760"/>
      <c r="B8744" s="760"/>
      <c r="C8744" s="760"/>
      <c r="D8744" s="760"/>
      <c r="E8744" s="760"/>
      <c r="F8744" s="760"/>
      <c r="G8744" s="760"/>
      <c r="H8744" s="760"/>
      <c r="I8744" s="760"/>
      <c r="J8744" s="760"/>
      <c r="K8744" s="760"/>
    </row>
    <row r="8745" spans="1:11">
      <c r="A8745" s="760"/>
      <c r="B8745" s="760"/>
      <c r="C8745" s="760"/>
      <c r="D8745" s="760"/>
      <c r="E8745" s="760"/>
      <c r="F8745" s="760"/>
      <c r="G8745" s="760"/>
      <c r="H8745" s="760"/>
      <c r="I8745" s="760"/>
      <c r="J8745" s="760"/>
      <c r="K8745" s="760"/>
    </row>
    <row r="8746" spans="1:11">
      <c r="A8746" s="760"/>
      <c r="B8746" s="760"/>
      <c r="C8746" s="760"/>
      <c r="D8746" s="760"/>
      <c r="E8746" s="760"/>
      <c r="F8746" s="760"/>
      <c r="G8746" s="760"/>
      <c r="H8746" s="760"/>
      <c r="I8746" s="760"/>
      <c r="J8746" s="760"/>
      <c r="K8746" s="760"/>
    </row>
    <row r="8747" spans="1:11">
      <c r="A8747" s="760"/>
      <c r="B8747" s="760"/>
      <c r="C8747" s="760"/>
      <c r="D8747" s="760"/>
      <c r="E8747" s="760"/>
      <c r="F8747" s="760"/>
      <c r="G8747" s="760"/>
      <c r="H8747" s="760"/>
      <c r="I8747" s="760"/>
      <c r="J8747" s="760"/>
      <c r="K8747" s="760"/>
    </row>
    <row r="8748" spans="1:11">
      <c r="A8748" s="760"/>
      <c r="B8748" s="760"/>
      <c r="C8748" s="760"/>
      <c r="D8748" s="760"/>
      <c r="E8748" s="760"/>
      <c r="F8748" s="760"/>
      <c r="G8748" s="760"/>
      <c r="H8748" s="760"/>
      <c r="I8748" s="760"/>
      <c r="J8748" s="760"/>
      <c r="K8748" s="760"/>
    </row>
    <row r="8749" spans="1:11">
      <c r="A8749" s="760"/>
      <c r="B8749" s="760"/>
      <c r="C8749" s="760"/>
      <c r="D8749" s="760"/>
      <c r="E8749" s="760"/>
      <c r="F8749" s="760"/>
      <c r="G8749" s="760"/>
      <c r="H8749" s="760"/>
      <c r="I8749" s="760"/>
      <c r="J8749" s="760"/>
      <c r="K8749" s="760"/>
    </row>
    <row r="8750" spans="1:11">
      <c r="A8750" s="760"/>
      <c r="B8750" s="760"/>
      <c r="C8750" s="760"/>
      <c r="D8750" s="760"/>
      <c r="E8750" s="760"/>
      <c r="F8750" s="760"/>
      <c r="G8750" s="760"/>
      <c r="H8750" s="760"/>
      <c r="I8750" s="760"/>
      <c r="J8750" s="760"/>
      <c r="K8750" s="760"/>
    </row>
    <row r="8751" spans="1:11">
      <c r="A8751" s="760"/>
      <c r="B8751" s="760"/>
      <c r="C8751" s="760"/>
      <c r="D8751" s="760"/>
      <c r="E8751" s="760"/>
      <c r="F8751" s="760"/>
      <c r="G8751" s="760"/>
      <c r="H8751" s="760"/>
      <c r="I8751" s="760"/>
      <c r="J8751" s="760"/>
      <c r="K8751" s="760"/>
    </row>
    <row r="8752" spans="1:11">
      <c r="A8752" s="760"/>
      <c r="B8752" s="760"/>
      <c r="C8752" s="760"/>
      <c r="D8752" s="760"/>
      <c r="E8752" s="760"/>
      <c r="F8752" s="760"/>
      <c r="G8752" s="760"/>
      <c r="H8752" s="760"/>
      <c r="I8752" s="760"/>
      <c r="J8752" s="760"/>
      <c r="K8752" s="760"/>
    </row>
    <row r="8753" spans="1:11">
      <c r="A8753" s="760"/>
      <c r="B8753" s="760"/>
      <c r="C8753" s="760"/>
      <c r="D8753" s="760"/>
      <c r="E8753" s="760"/>
      <c r="F8753" s="760"/>
      <c r="G8753" s="760"/>
      <c r="H8753" s="760"/>
      <c r="I8753" s="760"/>
      <c r="J8753" s="760"/>
      <c r="K8753" s="760"/>
    </row>
    <row r="8754" spans="1:11">
      <c r="A8754" s="760"/>
      <c r="B8754" s="760"/>
      <c r="C8754" s="760"/>
      <c r="D8754" s="760"/>
      <c r="E8754" s="760"/>
      <c r="F8754" s="760"/>
      <c r="G8754" s="760"/>
      <c r="H8754" s="760"/>
      <c r="I8754" s="760"/>
      <c r="J8754" s="760"/>
      <c r="K8754" s="760"/>
    </row>
    <row r="8755" spans="1:11">
      <c r="A8755" s="760"/>
      <c r="B8755" s="760"/>
      <c r="C8755" s="760"/>
      <c r="D8755" s="760"/>
      <c r="E8755" s="760"/>
      <c r="F8755" s="760"/>
      <c r="G8755" s="760"/>
      <c r="H8755" s="760"/>
      <c r="I8755" s="760"/>
      <c r="J8755" s="760"/>
      <c r="K8755" s="760"/>
    </row>
    <row r="8756" spans="1:11">
      <c r="A8756" s="760"/>
      <c r="B8756" s="760"/>
      <c r="C8756" s="760"/>
      <c r="D8756" s="760"/>
      <c r="E8756" s="760"/>
      <c r="F8756" s="760"/>
      <c r="G8756" s="760"/>
      <c r="H8756" s="760"/>
      <c r="I8756" s="760"/>
      <c r="J8756" s="760"/>
      <c r="K8756" s="760"/>
    </row>
    <row r="8757" spans="1:11">
      <c r="A8757" s="760"/>
      <c r="B8757" s="760"/>
      <c r="C8757" s="760"/>
      <c r="D8757" s="760"/>
      <c r="E8757" s="760"/>
      <c r="F8757" s="760"/>
      <c r="G8757" s="760"/>
      <c r="H8757" s="760"/>
      <c r="I8757" s="760"/>
      <c r="J8757" s="760"/>
      <c r="K8757" s="760"/>
    </row>
    <row r="8758" spans="1:11">
      <c r="A8758" s="760"/>
      <c r="B8758" s="760"/>
      <c r="C8758" s="760"/>
      <c r="D8758" s="760"/>
      <c r="E8758" s="760"/>
      <c r="F8758" s="760"/>
      <c r="G8758" s="760"/>
      <c r="H8758" s="760"/>
      <c r="I8758" s="760"/>
      <c r="J8758" s="760"/>
      <c r="K8758" s="760"/>
    </row>
    <row r="8759" spans="1:11">
      <c r="A8759" s="760"/>
      <c r="B8759" s="760"/>
      <c r="C8759" s="760"/>
      <c r="D8759" s="760"/>
      <c r="E8759" s="760"/>
      <c r="F8759" s="760"/>
      <c r="G8759" s="760"/>
      <c r="H8759" s="760"/>
      <c r="I8759" s="760"/>
      <c r="J8759" s="760"/>
      <c r="K8759" s="760"/>
    </row>
    <row r="8760" spans="1:11">
      <c r="A8760" s="760"/>
      <c r="B8760" s="760"/>
      <c r="C8760" s="760"/>
      <c r="D8760" s="760"/>
      <c r="E8760" s="760"/>
      <c r="F8760" s="760"/>
      <c r="G8760" s="760"/>
      <c r="H8760" s="760"/>
      <c r="I8760" s="760"/>
      <c r="J8760" s="760"/>
      <c r="K8760" s="760"/>
    </row>
    <row r="8761" spans="1:11">
      <c r="A8761" s="760"/>
      <c r="B8761" s="760"/>
      <c r="C8761" s="760"/>
      <c r="D8761" s="760"/>
      <c r="E8761" s="760"/>
      <c r="F8761" s="760"/>
      <c r="G8761" s="760"/>
      <c r="H8761" s="760"/>
      <c r="I8761" s="760"/>
      <c r="J8761" s="760"/>
      <c r="K8761" s="760"/>
    </row>
    <row r="8762" spans="1:11">
      <c r="A8762" s="760"/>
      <c r="B8762" s="760"/>
      <c r="C8762" s="760"/>
      <c r="D8762" s="760"/>
      <c r="E8762" s="760"/>
      <c r="F8762" s="760"/>
      <c r="G8762" s="760"/>
      <c r="H8762" s="760"/>
      <c r="I8762" s="760"/>
      <c r="J8762" s="760"/>
      <c r="K8762" s="760"/>
    </row>
    <row r="8763" spans="1:11">
      <c r="A8763" s="760"/>
      <c r="B8763" s="760"/>
      <c r="C8763" s="760"/>
      <c r="D8763" s="760"/>
      <c r="E8763" s="760"/>
      <c r="F8763" s="760"/>
      <c r="G8763" s="760"/>
      <c r="H8763" s="760"/>
      <c r="I8763" s="760"/>
      <c r="J8763" s="760"/>
      <c r="K8763" s="760"/>
    </row>
    <row r="8764" spans="1:11">
      <c r="A8764" s="760"/>
      <c r="B8764" s="760"/>
      <c r="C8764" s="760"/>
      <c r="D8764" s="760"/>
      <c r="E8764" s="760"/>
      <c r="F8764" s="760"/>
      <c r="G8764" s="760"/>
      <c r="H8764" s="760"/>
      <c r="I8764" s="760"/>
      <c r="J8764" s="760"/>
      <c r="K8764" s="760"/>
    </row>
    <row r="8765" spans="1:11">
      <c r="A8765" s="760"/>
      <c r="B8765" s="760"/>
      <c r="C8765" s="760"/>
      <c r="D8765" s="760"/>
      <c r="E8765" s="760"/>
      <c r="F8765" s="760"/>
      <c r="G8765" s="760"/>
      <c r="H8765" s="760"/>
      <c r="I8765" s="760"/>
      <c r="J8765" s="760"/>
      <c r="K8765" s="760"/>
    </row>
    <row r="8766" spans="1:11">
      <c r="A8766" s="760"/>
      <c r="B8766" s="760"/>
      <c r="C8766" s="760"/>
      <c r="D8766" s="760"/>
      <c r="E8766" s="760"/>
      <c r="F8766" s="760"/>
      <c r="G8766" s="760"/>
      <c r="H8766" s="760"/>
      <c r="I8766" s="760"/>
      <c r="J8766" s="760"/>
      <c r="K8766" s="760"/>
    </row>
    <row r="8767" spans="1:11">
      <c r="A8767" s="760"/>
      <c r="B8767" s="760"/>
      <c r="C8767" s="760"/>
      <c r="D8767" s="760"/>
      <c r="E8767" s="760"/>
      <c r="F8767" s="760"/>
      <c r="G8767" s="760"/>
      <c r="H8767" s="760"/>
      <c r="I8767" s="760"/>
      <c r="J8767" s="760"/>
      <c r="K8767" s="760"/>
    </row>
    <row r="8768" spans="1:11">
      <c r="A8768" s="760"/>
      <c r="B8768" s="760"/>
      <c r="C8768" s="760"/>
      <c r="D8768" s="760"/>
      <c r="E8768" s="760"/>
      <c r="F8768" s="760"/>
      <c r="G8768" s="760"/>
      <c r="H8768" s="760"/>
      <c r="I8768" s="760"/>
      <c r="J8768" s="760"/>
      <c r="K8768" s="760"/>
    </row>
    <row r="8769" spans="1:11">
      <c r="A8769" s="760"/>
      <c r="B8769" s="760"/>
      <c r="C8769" s="760"/>
      <c r="D8769" s="760"/>
      <c r="E8769" s="760"/>
      <c r="F8769" s="760"/>
      <c r="G8769" s="760"/>
      <c r="H8769" s="760"/>
      <c r="I8769" s="760"/>
      <c r="J8769" s="760"/>
      <c r="K8769" s="760"/>
    </row>
    <row r="8770" spans="1:11">
      <c r="A8770" s="760"/>
      <c r="B8770" s="760"/>
      <c r="C8770" s="760"/>
      <c r="D8770" s="760"/>
      <c r="E8770" s="760"/>
      <c r="F8770" s="760"/>
      <c r="G8770" s="760"/>
      <c r="H8770" s="760"/>
      <c r="I8770" s="760"/>
      <c r="J8770" s="760"/>
      <c r="K8770" s="760"/>
    </row>
    <row r="8771" spans="1:11">
      <c r="A8771" s="760"/>
      <c r="B8771" s="760"/>
      <c r="C8771" s="760"/>
      <c r="D8771" s="760"/>
      <c r="E8771" s="760"/>
      <c r="F8771" s="760"/>
      <c r="G8771" s="760"/>
      <c r="H8771" s="760"/>
      <c r="I8771" s="760"/>
      <c r="J8771" s="760"/>
      <c r="K8771" s="760"/>
    </row>
    <row r="8772" spans="1:11">
      <c r="A8772" s="760"/>
      <c r="B8772" s="760"/>
      <c r="C8772" s="760"/>
      <c r="D8772" s="760"/>
      <c r="E8772" s="760"/>
      <c r="F8772" s="760"/>
      <c r="G8772" s="760"/>
      <c r="H8772" s="760"/>
      <c r="I8772" s="760"/>
      <c r="J8772" s="760"/>
      <c r="K8772" s="760"/>
    </row>
    <row r="8773" spans="1:11">
      <c r="A8773" s="760"/>
      <c r="B8773" s="760"/>
      <c r="C8773" s="760"/>
      <c r="D8773" s="760"/>
      <c r="E8773" s="760"/>
      <c r="F8773" s="760"/>
      <c r="G8773" s="760"/>
      <c r="H8773" s="760"/>
      <c r="I8773" s="760"/>
      <c r="J8773" s="760"/>
      <c r="K8773" s="760"/>
    </row>
    <row r="8774" spans="1:11">
      <c r="A8774" s="760"/>
      <c r="B8774" s="760"/>
      <c r="C8774" s="760"/>
      <c r="D8774" s="760"/>
      <c r="E8774" s="760"/>
      <c r="F8774" s="760"/>
      <c r="G8774" s="760"/>
      <c r="H8774" s="760"/>
      <c r="I8774" s="760"/>
      <c r="J8774" s="760"/>
      <c r="K8774" s="760"/>
    </row>
    <row r="8775" spans="1:11">
      <c r="A8775" s="760"/>
      <c r="B8775" s="760"/>
      <c r="C8775" s="760"/>
      <c r="D8775" s="760"/>
      <c r="E8775" s="760"/>
      <c r="F8775" s="760"/>
      <c r="G8775" s="760"/>
      <c r="H8775" s="760"/>
      <c r="I8775" s="760"/>
      <c r="J8775" s="760"/>
      <c r="K8775" s="760"/>
    </row>
    <row r="8776" spans="1:11">
      <c r="A8776" s="760"/>
      <c r="B8776" s="760"/>
      <c r="C8776" s="760"/>
      <c r="D8776" s="760"/>
      <c r="E8776" s="760"/>
      <c r="F8776" s="760"/>
      <c r="G8776" s="760"/>
      <c r="H8776" s="760"/>
      <c r="I8776" s="760"/>
      <c r="J8776" s="760"/>
      <c r="K8776" s="760"/>
    </row>
    <row r="8777" spans="1:11">
      <c r="A8777" s="760"/>
      <c r="B8777" s="760"/>
      <c r="C8777" s="760"/>
      <c r="D8777" s="760"/>
      <c r="E8777" s="760"/>
      <c r="F8777" s="760"/>
      <c r="G8777" s="760"/>
      <c r="H8777" s="760"/>
      <c r="I8777" s="760"/>
      <c r="J8777" s="760"/>
      <c r="K8777" s="760"/>
    </row>
    <row r="8778" spans="1:11">
      <c r="A8778" s="760"/>
      <c r="B8778" s="760"/>
      <c r="C8778" s="760"/>
      <c r="D8778" s="760"/>
      <c r="E8778" s="760"/>
      <c r="F8778" s="760"/>
      <c r="G8778" s="760"/>
      <c r="H8778" s="760"/>
      <c r="I8778" s="760"/>
      <c r="J8778" s="760"/>
      <c r="K8778" s="760"/>
    </row>
    <row r="8779" spans="1:11">
      <c r="A8779" s="760"/>
      <c r="B8779" s="760"/>
      <c r="C8779" s="760"/>
      <c r="D8779" s="760"/>
      <c r="E8779" s="760"/>
      <c r="F8779" s="760"/>
      <c r="G8779" s="760"/>
      <c r="H8779" s="760"/>
      <c r="I8779" s="760"/>
      <c r="J8779" s="760"/>
      <c r="K8779" s="760"/>
    </row>
    <row r="8780" spans="1:11">
      <c r="A8780" s="760"/>
      <c r="B8780" s="760"/>
      <c r="C8780" s="760"/>
      <c r="D8780" s="760"/>
      <c r="E8780" s="760"/>
      <c r="F8780" s="760"/>
      <c r="G8780" s="760"/>
      <c r="H8780" s="760"/>
      <c r="I8780" s="760"/>
      <c r="J8780" s="760"/>
      <c r="K8780" s="760"/>
    </row>
    <row r="8781" spans="1:11">
      <c r="A8781" s="760"/>
      <c r="B8781" s="760"/>
      <c r="C8781" s="760"/>
      <c r="D8781" s="760"/>
      <c r="E8781" s="760"/>
      <c r="F8781" s="760"/>
      <c r="G8781" s="760"/>
      <c r="H8781" s="760"/>
      <c r="I8781" s="760"/>
      <c r="J8781" s="760"/>
      <c r="K8781" s="760"/>
    </row>
    <row r="8782" spans="1:11">
      <c r="A8782" s="760"/>
      <c r="B8782" s="760"/>
      <c r="C8782" s="760"/>
      <c r="D8782" s="760"/>
      <c r="E8782" s="760"/>
      <c r="F8782" s="760"/>
      <c r="G8782" s="760"/>
      <c r="H8782" s="760"/>
      <c r="I8782" s="760"/>
      <c r="J8782" s="760"/>
      <c r="K8782" s="760"/>
    </row>
    <row r="8783" spans="1:11">
      <c r="A8783" s="760"/>
      <c r="B8783" s="760"/>
      <c r="C8783" s="760"/>
      <c r="D8783" s="760"/>
      <c r="E8783" s="760"/>
      <c r="F8783" s="760"/>
      <c r="G8783" s="760"/>
      <c r="H8783" s="760"/>
      <c r="I8783" s="760"/>
      <c r="J8783" s="760"/>
      <c r="K8783" s="760"/>
    </row>
    <row r="8784" spans="1:11">
      <c r="A8784" s="760"/>
      <c r="B8784" s="760"/>
      <c r="C8784" s="760"/>
      <c r="D8784" s="760"/>
      <c r="E8784" s="760"/>
      <c r="F8784" s="760"/>
      <c r="G8784" s="760"/>
      <c r="H8784" s="760"/>
      <c r="I8784" s="760"/>
      <c r="J8784" s="760"/>
      <c r="K8784" s="760"/>
    </row>
    <row r="8785" spans="1:11">
      <c r="A8785" s="760"/>
      <c r="B8785" s="760"/>
      <c r="C8785" s="760"/>
      <c r="D8785" s="760"/>
      <c r="E8785" s="760"/>
      <c r="F8785" s="760"/>
      <c r="G8785" s="760"/>
      <c r="H8785" s="760"/>
      <c r="I8785" s="760"/>
      <c r="J8785" s="760"/>
      <c r="K8785" s="760"/>
    </row>
    <row r="8786" spans="1:11">
      <c r="A8786" s="760"/>
      <c r="B8786" s="760"/>
      <c r="C8786" s="760"/>
      <c r="D8786" s="760"/>
      <c r="E8786" s="760"/>
      <c r="F8786" s="760"/>
      <c r="G8786" s="760"/>
      <c r="H8786" s="760"/>
      <c r="I8786" s="760"/>
      <c r="J8786" s="760"/>
      <c r="K8786" s="760"/>
    </row>
    <row r="8787" spans="1:11">
      <c r="A8787" s="760"/>
      <c r="B8787" s="760"/>
      <c r="C8787" s="760"/>
      <c r="D8787" s="760"/>
      <c r="E8787" s="760"/>
      <c r="F8787" s="760"/>
      <c r="G8787" s="760"/>
      <c r="H8787" s="760"/>
      <c r="I8787" s="760"/>
      <c r="J8787" s="760"/>
      <c r="K8787" s="760"/>
    </row>
    <row r="8788" spans="1:11">
      <c r="A8788" s="760"/>
      <c r="B8788" s="760"/>
      <c r="C8788" s="760"/>
      <c r="D8788" s="760"/>
      <c r="E8788" s="760"/>
      <c r="F8788" s="760"/>
      <c r="G8788" s="760"/>
      <c r="H8788" s="760"/>
      <c r="I8788" s="760"/>
      <c r="J8788" s="760"/>
      <c r="K8788" s="760"/>
    </row>
    <row r="8789" spans="1:11">
      <c r="A8789" s="760"/>
      <c r="B8789" s="760"/>
      <c r="C8789" s="760"/>
      <c r="D8789" s="760"/>
      <c r="E8789" s="760"/>
      <c r="F8789" s="760"/>
      <c r="G8789" s="760"/>
      <c r="H8789" s="760"/>
      <c r="I8789" s="760"/>
      <c r="J8789" s="760"/>
      <c r="K8789" s="760"/>
    </row>
    <row r="8790" spans="1:11">
      <c r="A8790" s="760"/>
      <c r="B8790" s="760"/>
      <c r="C8790" s="760"/>
      <c r="D8790" s="760"/>
      <c r="E8790" s="760"/>
      <c r="F8790" s="760"/>
      <c r="G8790" s="760"/>
      <c r="H8790" s="760"/>
      <c r="I8790" s="760"/>
      <c r="J8790" s="760"/>
      <c r="K8790" s="760"/>
    </row>
    <row r="8791" spans="1:11">
      <c r="A8791" s="760"/>
      <c r="B8791" s="760"/>
      <c r="C8791" s="760"/>
      <c r="D8791" s="760"/>
      <c r="E8791" s="760"/>
      <c r="F8791" s="760"/>
      <c r="G8791" s="760"/>
      <c r="H8791" s="760"/>
      <c r="I8791" s="760"/>
      <c r="J8791" s="760"/>
      <c r="K8791" s="760"/>
    </row>
    <row r="8792" spans="1:11">
      <c r="A8792" s="760"/>
      <c r="B8792" s="760"/>
      <c r="C8792" s="760"/>
      <c r="D8792" s="760"/>
      <c r="E8792" s="760"/>
      <c r="F8792" s="760"/>
      <c r="G8792" s="760"/>
      <c r="H8792" s="760"/>
      <c r="I8792" s="760"/>
      <c r="J8792" s="760"/>
      <c r="K8792" s="760"/>
    </row>
    <row r="8793" spans="1:11">
      <c r="A8793" s="760"/>
      <c r="B8793" s="760"/>
      <c r="C8793" s="760"/>
      <c r="D8793" s="760"/>
      <c r="E8793" s="760"/>
      <c r="F8793" s="760"/>
      <c r="G8793" s="760"/>
      <c r="H8793" s="760"/>
      <c r="I8793" s="760"/>
      <c r="J8793" s="760"/>
      <c r="K8793" s="760"/>
    </row>
    <row r="8794" spans="1:11">
      <c r="A8794" s="760"/>
      <c r="B8794" s="760"/>
      <c r="C8794" s="760"/>
      <c r="D8794" s="760"/>
      <c r="E8794" s="760"/>
      <c r="F8794" s="760"/>
      <c r="G8794" s="760"/>
      <c r="H8794" s="760"/>
      <c r="I8794" s="760"/>
      <c r="J8794" s="760"/>
      <c r="K8794" s="760"/>
    </row>
    <row r="8795" spans="1:11">
      <c r="A8795" s="760"/>
      <c r="B8795" s="760"/>
      <c r="C8795" s="760"/>
      <c r="D8795" s="760"/>
      <c r="E8795" s="760"/>
      <c r="F8795" s="760"/>
      <c r="G8795" s="760"/>
      <c r="H8795" s="760"/>
      <c r="I8795" s="760"/>
      <c r="J8795" s="760"/>
      <c r="K8795" s="760"/>
    </row>
    <row r="8796" spans="1:11">
      <c r="A8796" s="760"/>
      <c r="B8796" s="760"/>
      <c r="C8796" s="760"/>
      <c r="D8796" s="760"/>
      <c r="E8796" s="760"/>
      <c r="F8796" s="760"/>
      <c r="G8796" s="760"/>
      <c r="H8796" s="760"/>
      <c r="I8796" s="760"/>
      <c r="J8796" s="760"/>
      <c r="K8796" s="760"/>
    </row>
    <row r="8797" spans="1:11">
      <c r="A8797" s="760"/>
      <c r="B8797" s="760"/>
      <c r="C8797" s="760"/>
      <c r="D8797" s="760"/>
      <c r="E8797" s="760"/>
      <c r="F8797" s="760"/>
      <c r="G8797" s="760"/>
      <c r="H8797" s="760"/>
      <c r="I8797" s="760"/>
      <c r="J8797" s="760"/>
      <c r="K8797" s="760"/>
    </row>
    <row r="8798" spans="1:11">
      <c r="A8798" s="760"/>
      <c r="B8798" s="760"/>
      <c r="C8798" s="760"/>
      <c r="D8798" s="760"/>
      <c r="E8798" s="760"/>
      <c r="F8798" s="760"/>
      <c r="G8798" s="760"/>
      <c r="H8798" s="760"/>
      <c r="I8798" s="760"/>
      <c r="J8798" s="760"/>
      <c r="K8798" s="760"/>
    </row>
    <row r="8799" spans="1:11">
      <c r="A8799" s="760"/>
      <c r="B8799" s="760"/>
      <c r="C8799" s="760"/>
      <c r="D8799" s="760"/>
      <c r="E8799" s="760"/>
      <c r="F8799" s="760"/>
      <c r="G8799" s="760"/>
      <c r="H8799" s="760"/>
      <c r="I8799" s="760"/>
      <c r="J8799" s="760"/>
      <c r="K8799" s="760"/>
    </row>
    <row r="8800" spans="1:11">
      <c r="A8800" s="760"/>
      <c r="B8800" s="760"/>
      <c r="C8800" s="760"/>
      <c r="D8800" s="760"/>
      <c r="E8800" s="760"/>
      <c r="F8800" s="760"/>
      <c r="G8800" s="760"/>
      <c r="H8800" s="760"/>
      <c r="I8800" s="760"/>
      <c r="J8800" s="760"/>
      <c r="K8800" s="760"/>
    </row>
    <row r="8801" spans="1:11">
      <c r="A8801" s="760"/>
      <c r="B8801" s="760"/>
      <c r="C8801" s="760"/>
      <c r="D8801" s="760"/>
      <c r="E8801" s="760"/>
      <c r="F8801" s="760"/>
      <c r="G8801" s="760"/>
      <c r="H8801" s="760"/>
      <c r="I8801" s="760"/>
      <c r="J8801" s="760"/>
      <c r="K8801" s="760"/>
    </row>
    <row r="8802" spans="1:11">
      <c r="A8802" s="760"/>
      <c r="B8802" s="760"/>
      <c r="C8802" s="760"/>
      <c r="D8802" s="760"/>
      <c r="E8802" s="760"/>
      <c r="F8802" s="760"/>
      <c r="G8802" s="760"/>
      <c r="H8802" s="760"/>
      <c r="I8802" s="760"/>
      <c r="J8802" s="760"/>
      <c r="K8802" s="760"/>
    </row>
    <row r="8803" spans="1:11">
      <c r="A8803" s="760"/>
      <c r="B8803" s="760"/>
      <c r="C8803" s="760"/>
      <c r="D8803" s="760"/>
      <c r="E8803" s="760"/>
      <c r="F8803" s="760"/>
      <c r="G8803" s="760"/>
      <c r="H8803" s="760"/>
      <c r="I8803" s="760"/>
      <c r="J8803" s="760"/>
      <c r="K8803" s="760"/>
    </row>
    <row r="8804" spans="1:11">
      <c r="A8804" s="760"/>
      <c r="B8804" s="760"/>
      <c r="C8804" s="760"/>
      <c r="D8804" s="760"/>
      <c r="E8804" s="760"/>
      <c r="F8804" s="760"/>
      <c r="G8804" s="760"/>
      <c r="H8804" s="760"/>
      <c r="I8804" s="760"/>
      <c r="J8804" s="760"/>
      <c r="K8804" s="760"/>
    </row>
    <row r="8805" spans="1:11">
      <c r="A8805" s="760"/>
      <c r="B8805" s="760"/>
      <c r="C8805" s="760"/>
      <c r="D8805" s="760"/>
      <c r="E8805" s="760"/>
      <c r="F8805" s="760"/>
      <c r="G8805" s="760"/>
      <c r="H8805" s="760"/>
      <c r="I8805" s="760"/>
      <c r="J8805" s="760"/>
      <c r="K8805" s="760"/>
    </row>
    <row r="8806" spans="1:11">
      <c r="A8806" s="760"/>
      <c r="B8806" s="760"/>
      <c r="C8806" s="760"/>
      <c r="D8806" s="760"/>
      <c r="E8806" s="760"/>
      <c r="F8806" s="760"/>
      <c r="G8806" s="760"/>
      <c r="H8806" s="760"/>
      <c r="I8806" s="760"/>
      <c r="J8806" s="760"/>
      <c r="K8806" s="760"/>
    </row>
    <row r="8807" spans="1:11">
      <c r="A8807" s="760"/>
      <c r="B8807" s="760"/>
      <c r="C8807" s="760"/>
      <c r="D8807" s="760"/>
      <c r="E8807" s="760"/>
      <c r="F8807" s="760"/>
      <c r="G8807" s="760"/>
      <c r="H8807" s="760"/>
      <c r="I8807" s="760"/>
      <c r="J8807" s="760"/>
      <c r="K8807" s="760"/>
    </row>
    <row r="8808" spans="1:11">
      <c r="A8808" s="760"/>
      <c r="B8808" s="760"/>
      <c r="C8808" s="760"/>
      <c r="D8808" s="760"/>
      <c r="E8808" s="760"/>
      <c r="F8808" s="760"/>
      <c r="G8808" s="760"/>
      <c r="H8808" s="760"/>
      <c r="I8808" s="760"/>
      <c r="J8808" s="760"/>
      <c r="K8808" s="760"/>
    </row>
    <row r="8809" spans="1:11">
      <c r="A8809" s="760"/>
      <c r="B8809" s="760"/>
      <c r="C8809" s="760"/>
      <c r="D8809" s="760"/>
      <c r="E8809" s="760"/>
      <c r="F8809" s="760"/>
      <c r="G8809" s="760"/>
      <c r="H8809" s="760"/>
      <c r="I8809" s="760"/>
      <c r="J8809" s="760"/>
      <c r="K8809" s="760"/>
    </row>
    <row r="8810" spans="1:11">
      <c r="A8810" s="760"/>
      <c r="B8810" s="760"/>
      <c r="C8810" s="760"/>
      <c r="D8810" s="760"/>
      <c r="E8810" s="760"/>
      <c r="F8810" s="760"/>
      <c r="G8810" s="760"/>
      <c r="H8810" s="760"/>
      <c r="I8810" s="760"/>
      <c r="J8810" s="760"/>
      <c r="K8810" s="760"/>
    </row>
    <row r="8811" spans="1:11">
      <c r="A8811" s="760"/>
      <c r="B8811" s="760"/>
      <c r="C8811" s="760"/>
      <c r="D8811" s="760"/>
      <c r="E8811" s="760"/>
      <c r="F8811" s="760"/>
      <c r="G8811" s="760"/>
      <c r="H8811" s="760"/>
      <c r="I8811" s="760"/>
      <c r="J8811" s="760"/>
      <c r="K8811" s="760"/>
    </row>
    <row r="8812" spans="1:11">
      <c r="A8812" s="760"/>
      <c r="B8812" s="760"/>
      <c r="C8812" s="760"/>
      <c r="D8812" s="760"/>
      <c r="E8812" s="760"/>
      <c r="F8812" s="760"/>
      <c r="G8812" s="760"/>
      <c r="H8812" s="760"/>
      <c r="I8812" s="760"/>
      <c r="J8812" s="760"/>
      <c r="K8812" s="760"/>
    </row>
    <row r="8813" spans="1:11">
      <c r="A8813" s="760"/>
      <c r="B8813" s="760"/>
      <c r="C8813" s="760"/>
      <c r="D8813" s="760"/>
      <c r="E8813" s="760"/>
      <c r="F8813" s="760"/>
      <c r="G8813" s="760"/>
      <c r="H8813" s="760"/>
      <c r="I8813" s="760"/>
      <c r="J8813" s="760"/>
      <c r="K8813" s="760"/>
    </row>
    <row r="8814" spans="1:11">
      <c r="A8814" s="760"/>
      <c r="B8814" s="760"/>
      <c r="C8814" s="760"/>
      <c r="D8814" s="760"/>
      <c r="E8814" s="760"/>
      <c r="F8814" s="760"/>
      <c r="G8814" s="760"/>
      <c r="H8814" s="760"/>
      <c r="I8814" s="760"/>
      <c r="J8814" s="760"/>
      <c r="K8814" s="760"/>
    </row>
    <row r="8815" spans="1:11">
      <c r="A8815" s="760"/>
      <c r="B8815" s="760"/>
      <c r="C8815" s="760"/>
      <c r="D8815" s="760"/>
      <c r="E8815" s="760"/>
      <c r="F8815" s="760"/>
      <c r="G8815" s="760"/>
      <c r="H8815" s="760"/>
      <c r="I8815" s="760"/>
      <c r="J8815" s="760"/>
      <c r="K8815" s="760"/>
    </row>
    <row r="8816" spans="1:11">
      <c r="A8816" s="760"/>
      <c r="B8816" s="760"/>
      <c r="C8816" s="760"/>
      <c r="D8816" s="760"/>
      <c r="E8816" s="760"/>
      <c r="F8816" s="760"/>
      <c r="G8816" s="760"/>
      <c r="H8816" s="760"/>
      <c r="I8816" s="760"/>
      <c r="J8816" s="760"/>
      <c r="K8816" s="760"/>
    </row>
    <row r="8817" spans="1:11">
      <c r="A8817" s="760"/>
      <c r="B8817" s="760"/>
      <c r="C8817" s="760"/>
      <c r="D8817" s="760"/>
      <c r="E8817" s="760"/>
      <c r="F8817" s="760"/>
      <c r="G8817" s="760"/>
      <c r="H8817" s="760"/>
      <c r="I8817" s="760"/>
      <c r="J8817" s="760"/>
      <c r="K8817" s="760"/>
    </row>
    <row r="8818" spans="1:11">
      <c r="A8818" s="760"/>
      <c r="B8818" s="760"/>
      <c r="C8818" s="760"/>
      <c r="D8818" s="760"/>
      <c r="E8818" s="760"/>
      <c r="F8818" s="760"/>
      <c r="G8818" s="760"/>
      <c r="H8818" s="760"/>
      <c r="I8818" s="760"/>
      <c r="J8818" s="760"/>
      <c r="K8818" s="760"/>
    </row>
    <row r="8819" spans="1:11">
      <c r="A8819" s="760"/>
      <c r="B8819" s="760"/>
      <c r="C8819" s="760"/>
      <c r="D8819" s="760"/>
      <c r="E8819" s="760"/>
      <c r="F8819" s="760"/>
      <c r="G8819" s="760"/>
      <c r="H8819" s="760"/>
      <c r="I8819" s="760"/>
      <c r="J8819" s="760"/>
      <c r="K8819" s="760"/>
    </row>
    <row r="8820" spans="1:11">
      <c r="A8820" s="760"/>
      <c r="B8820" s="760"/>
      <c r="C8820" s="760"/>
      <c r="D8820" s="760"/>
      <c r="E8820" s="760"/>
      <c r="F8820" s="760"/>
      <c r="G8820" s="760"/>
      <c r="H8820" s="760"/>
      <c r="I8820" s="760"/>
      <c r="J8820" s="760"/>
      <c r="K8820" s="760"/>
    </row>
    <row r="8821" spans="1:11">
      <c r="A8821" s="760"/>
      <c r="B8821" s="760"/>
      <c r="C8821" s="760"/>
      <c r="D8821" s="760"/>
      <c r="E8821" s="760"/>
      <c r="F8821" s="760"/>
      <c r="G8821" s="760"/>
      <c r="H8821" s="760"/>
      <c r="I8821" s="760"/>
      <c r="J8821" s="760"/>
      <c r="K8821" s="760"/>
    </row>
    <row r="8822" spans="1:11">
      <c r="A8822" s="760"/>
      <c r="B8822" s="760"/>
      <c r="C8822" s="760"/>
      <c r="D8822" s="760"/>
      <c r="E8822" s="760"/>
      <c r="F8822" s="760"/>
      <c r="G8822" s="760"/>
      <c r="H8822" s="760"/>
      <c r="I8822" s="760"/>
      <c r="J8822" s="760"/>
      <c r="K8822" s="760"/>
    </row>
    <row r="8823" spans="1:11">
      <c r="A8823" s="760"/>
      <c r="B8823" s="760"/>
      <c r="C8823" s="760"/>
      <c r="D8823" s="760"/>
      <c r="E8823" s="760"/>
      <c r="F8823" s="760"/>
      <c r="G8823" s="760"/>
      <c r="H8823" s="760"/>
      <c r="I8823" s="760"/>
      <c r="J8823" s="760"/>
      <c r="K8823" s="760"/>
    </row>
    <row r="8824" spans="1:11">
      <c r="A8824" s="760"/>
      <c r="B8824" s="760"/>
      <c r="C8824" s="760"/>
      <c r="D8824" s="760"/>
      <c r="E8824" s="760"/>
      <c r="F8824" s="760"/>
      <c r="G8824" s="760"/>
      <c r="H8824" s="760"/>
      <c r="I8824" s="760"/>
      <c r="J8824" s="760"/>
      <c r="K8824" s="760"/>
    </row>
    <row r="8825" spans="1:11">
      <c r="A8825" s="760"/>
      <c r="B8825" s="760"/>
      <c r="C8825" s="760"/>
      <c r="D8825" s="760"/>
      <c r="E8825" s="760"/>
      <c r="F8825" s="760"/>
      <c r="G8825" s="760"/>
      <c r="H8825" s="760"/>
      <c r="I8825" s="760"/>
      <c r="J8825" s="760"/>
      <c r="K8825" s="760"/>
    </row>
    <row r="8826" spans="1:11">
      <c r="A8826" s="760"/>
      <c r="B8826" s="760"/>
      <c r="C8826" s="760"/>
      <c r="D8826" s="760"/>
      <c r="E8826" s="760"/>
      <c r="F8826" s="760"/>
      <c r="G8826" s="760"/>
      <c r="H8826" s="760"/>
      <c r="I8826" s="760"/>
      <c r="J8826" s="760"/>
      <c r="K8826" s="760"/>
    </row>
    <row r="8827" spans="1:11">
      <c r="A8827" s="760"/>
      <c r="B8827" s="760"/>
      <c r="C8827" s="760"/>
      <c r="D8827" s="760"/>
      <c r="E8827" s="760"/>
      <c r="F8827" s="760"/>
      <c r="G8827" s="760"/>
      <c r="H8827" s="760"/>
      <c r="I8827" s="760"/>
      <c r="J8827" s="760"/>
      <c r="K8827" s="760"/>
    </row>
    <row r="8828" spans="1:11">
      <c r="A8828" s="760"/>
      <c r="B8828" s="760"/>
      <c r="C8828" s="760"/>
      <c r="D8828" s="760"/>
      <c r="E8828" s="760"/>
      <c r="F8828" s="760"/>
      <c r="G8828" s="760"/>
      <c r="H8828" s="760"/>
      <c r="I8828" s="760"/>
      <c r="J8828" s="760"/>
      <c r="K8828" s="760"/>
    </row>
    <row r="8829" spans="1:11">
      <c r="A8829" s="760"/>
      <c r="B8829" s="760"/>
      <c r="C8829" s="760"/>
      <c r="D8829" s="760"/>
      <c r="E8829" s="760"/>
      <c r="F8829" s="760"/>
      <c r="G8829" s="760"/>
      <c r="H8829" s="760"/>
      <c r="I8829" s="760"/>
      <c r="J8829" s="760"/>
      <c r="K8829" s="760"/>
    </row>
    <row r="8830" spans="1:11">
      <c r="A8830" s="760"/>
      <c r="B8830" s="760"/>
      <c r="C8830" s="760"/>
      <c r="D8830" s="760"/>
      <c r="E8830" s="760"/>
      <c r="F8830" s="760"/>
      <c r="G8830" s="760"/>
      <c r="H8830" s="760"/>
      <c r="I8830" s="760"/>
      <c r="J8830" s="760"/>
      <c r="K8830" s="760"/>
    </row>
    <row r="8831" spans="1:11">
      <c r="A8831" s="760"/>
      <c r="B8831" s="760"/>
      <c r="C8831" s="760"/>
      <c r="D8831" s="760"/>
      <c r="E8831" s="760"/>
      <c r="F8831" s="760"/>
      <c r="G8831" s="760"/>
      <c r="H8831" s="760"/>
      <c r="I8831" s="760"/>
      <c r="J8831" s="760"/>
      <c r="K8831" s="760"/>
    </row>
    <row r="8832" spans="1:11">
      <c r="A8832" s="760"/>
      <c r="B8832" s="760"/>
      <c r="C8832" s="760"/>
      <c r="D8832" s="760"/>
      <c r="E8832" s="760"/>
      <c r="F8832" s="760"/>
      <c r="G8832" s="760"/>
      <c r="H8832" s="760"/>
      <c r="I8832" s="760"/>
      <c r="J8832" s="760"/>
      <c r="K8832" s="760"/>
    </row>
    <row r="8833" spans="1:11">
      <c r="A8833" s="760"/>
      <c r="B8833" s="760"/>
      <c r="C8833" s="760"/>
      <c r="D8833" s="760"/>
      <c r="E8833" s="760"/>
      <c r="F8833" s="760"/>
      <c r="G8833" s="760"/>
      <c r="H8833" s="760"/>
      <c r="I8833" s="760"/>
      <c r="J8833" s="760"/>
      <c r="K8833" s="760"/>
    </row>
    <row r="8834" spans="1:11">
      <c r="A8834" s="760"/>
      <c r="B8834" s="760"/>
      <c r="C8834" s="760"/>
      <c r="D8834" s="760"/>
      <c r="E8834" s="760"/>
      <c r="F8834" s="760"/>
      <c r="G8834" s="760"/>
      <c r="H8834" s="760"/>
      <c r="I8834" s="760"/>
      <c r="J8834" s="760"/>
      <c r="K8834" s="760"/>
    </row>
    <row r="8835" spans="1:11">
      <c r="A8835" s="760"/>
      <c r="B8835" s="760"/>
      <c r="C8835" s="760"/>
      <c r="D8835" s="760"/>
      <c r="E8835" s="760"/>
      <c r="F8835" s="760"/>
      <c r="G8835" s="760"/>
      <c r="H8835" s="760"/>
      <c r="I8835" s="760"/>
      <c r="J8835" s="760"/>
      <c r="K8835" s="760"/>
    </row>
    <row r="8836" spans="1:11">
      <c r="A8836" s="760"/>
      <c r="B8836" s="760"/>
      <c r="C8836" s="760"/>
      <c r="D8836" s="760"/>
      <c r="E8836" s="760"/>
      <c r="F8836" s="760"/>
      <c r="G8836" s="760"/>
      <c r="H8836" s="760"/>
      <c r="I8836" s="760"/>
      <c r="J8836" s="760"/>
      <c r="K8836" s="760"/>
    </row>
    <row r="8837" spans="1:11">
      <c r="A8837" s="760"/>
      <c r="B8837" s="760"/>
      <c r="C8837" s="760"/>
      <c r="D8837" s="760"/>
      <c r="E8837" s="760"/>
      <c r="F8837" s="760"/>
      <c r="G8837" s="760"/>
      <c r="H8837" s="760"/>
      <c r="I8837" s="760"/>
      <c r="J8837" s="760"/>
      <c r="K8837" s="760"/>
    </row>
    <row r="8838" spans="1:11">
      <c r="A8838" s="760"/>
      <c r="B8838" s="760"/>
      <c r="C8838" s="760"/>
      <c r="D8838" s="760"/>
      <c r="E8838" s="760"/>
      <c r="F8838" s="760"/>
      <c r="G8838" s="760"/>
      <c r="H8838" s="760"/>
      <c r="I8838" s="760"/>
      <c r="J8838" s="760"/>
      <c r="K8838" s="760"/>
    </row>
    <row r="8839" spans="1:11">
      <c r="A8839" s="760"/>
      <c r="B8839" s="760"/>
      <c r="C8839" s="760"/>
      <c r="D8839" s="760"/>
      <c r="E8839" s="760"/>
      <c r="F8839" s="760"/>
      <c r="G8839" s="760"/>
      <c r="H8839" s="760"/>
      <c r="I8839" s="760"/>
      <c r="J8839" s="760"/>
      <c r="K8839" s="760"/>
    </row>
    <row r="8840" spans="1:11">
      <c r="A8840" s="760"/>
      <c r="B8840" s="760"/>
      <c r="C8840" s="760"/>
      <c r="D8840" s="760"/>
      <c r="E8840" s="760"/>
      <c r="F8840" s="760"/>
      <c r="G8840" s="760"/>
      <c r="H8840" s="760"/>
      <c r="I8840" s="760"/>
      <c r="J8840" s="760"/>
      <c r="K8840" s="760"/>
    </row>
    <row r="8841" spans="1:11">
      <c r="A8841" s="760"/>
      <c r="B8841" s="760"/>
      <c r="C8841" s="760"/>
      <c r="D8841" s="760"/>
      <c r="E8841" s="760"/>
      <c r="F8841" s="760"/>
      <c r="G8841" s="760"/>
      <c r="H8841" s="760"/>
      <c r="I8841" s="760"/>
      <c r="J8841" s="760"/>
      <c r="K8841" s="760"/>
    </row>
    <row r="8842" spans="1:11">
      <c r="A8842" s="760"/>
      <c r="B8842" s="760"/>
      <c r="C8842" s="760"/>
      <c r="D8842" s="760"/>
      <c r="E8842" s="760"/>
      <c r="F8842" s="760"/>
      <c r="G8842" s="760"/>
      <c r="H8842" s="760"/>
      <c r="I8842" s="760"/>
      <c r="J8842" s="760"/>
      <c r="K8842" s="760"/>
    </row>
    <row r="8843" spans="1:11">
      <c r="A8843" s="760"/>
      <c r="B8843" s="760"/>
      <c r="C8843" s="760"/>
      <c r="D8843" s="760"/>
      <c r="E8843" s="760"/>
      <c r="F8843" s="760"/>
      <c r="G8843" s="760"/>
      <c r="H8843" s="760"/>
      <c r="I8843" s="760"/>
      <c r="J8843" s="760"/>
      <c r="K8843" s="760"/>
    </row>
    <row r="8844" spans="1:11">
      <c r="A8844" s="760"/>
      <c r="B8844" s="760"/>
      <c r="C8844" s="760"/>
      <c r="D8844" s="760"/>
      <c r="E8844" s="760"/>
      <c r="F8844" s="760"/>
      <c r="G8844" s="760"/>
      <c r="H8844" s="760"/>
      <c r="I8844" s="760"/>
      <c r="J8844" s="760"/>
      <c r="K8844" s="760"/>
    </row>
    <row r="8845" spans="1:11">
      <c r="A8845" s="760"/>
      <c r="B8845" s="760"/>
      <c r="C8845" s="760"/>
      <c r="D8845" s="760"/>
      <c r="E8845" s="760"/>
      <c r="F8845" s="760"/>
      <c r="G8845" s="760"/>
      <c r="H8845" s="760"/>
      <c r="I8845" s="760"/>
      <c r="J8845" s="760"/>
      <c r="K8845" s="760"/>
    </row>
    <row r="8846" spans="1:11">
      <c r="A8846" s="760"/>
      <c r="B8846" s="760"/>
      <c r="C8846" s="760"/>
      <c r="D8846" s="760"/>
      <c r="E8846" s="760"/>
      <c r="F8846" s="760"/>
      <c r="G8846" s="760"/>
      <c r="H8846" s="760"/>
      <c r="I8846" s="760"/>
      <c r="J8846" s="760"/>
      <c r="K8846" s="760"/>
    </row>
    <row r="8847" spans="1:11">
      <c r="A8847" s="760"/>
      <c r="B8847" s="760"/>
      <c r="C8847" s="760"/>
      <c r="D8847" s="760"/>
      <c r="E8847" s="760"/>
      <c r="F8847" s="760"/>
      <c r="G8847" s="760"/>
      <c r="H8847" s="760"/>
      <c r="I8847" s="760"/>
      <c r="J8847" s="760"/>
      <c r="K8847" s="760"/>
    </row>
    <row r="8848" spans="1:11">
      <c r="A8848" s="760"/>
      <c r="B8848" s="760"/>
      <c r="C8848" s="760"/>
      <c r="D8848" s="760"/>
      <c r="E8848" s="760"/>
      <c r="F8848" s="760"/>
      <c r="G8848" s="760"/>
      <c r="H8848" s="760"/>
      <c r="I8848" s="760"/>
      <c r="J8848" s="760"/>
      <c r="K8848" s="760"/>
    </row>
    <row r="8849" spans="1:11">
      <c r="A8849" s="760"/>
      <c r="B8849" s="760"/>
      <c r="C8849" s="760"/>
      <c r="D8849" s="760"/>
      <c r="E8849" s="760"/>
      <c r="F8849" s="760"/>
      <c r="G8849" s="760"/>
      <c r="H8849" s="760"/>
      <c r="I8849" s="760"/>
      <c r="J8849" s="760"/>
      <c r="K8849" s="760"/>
    </row>
    <row r="8850" spans="1:11">
      <c r="A8850" s="760"/>
      <c r="B8850" s="760"/>
      <c r="C8850" s="760"/>
      <c r="D8850" s="760"/>
      <c r="E8850" s="760"/>
      <c r="F8850" s="760"/>
      <c r="G8850" s="760"/>
      <c r="H8850" s="760"/>
      <c r="I8850" s="760"/>
      <c r="J8850" s="760"/>
      <c r="K8850" s="760"/>
    </row>
    <row r="8851" spans="1:11">
      <c r="A8851" s="760"/>
      <c r="B8851" s="760"/>
      <c r="C8851" s="760"/>
      <c r="D8851" s="760"/>
      <c r="E8851" s="760"/>
      <c r="F8851" s="760"/>
      <c r="G8851" s="760"/>
      <c r="H8851" s="760"/>
      <c r="I8851" s="760"/>
      <c r="J8851" s="760"/>
      <c r="K8851" s="760"/>
    </row>
    <row r="8852" spans="1:11">
      <c r="A8852" s="760"/>
      <c r="B8852" s="760"/>
      <c r="C8852" s="760"/>
      <c r="D8852" s="760"/>
      <c r="E8852" s="760"/>
      <c r="F8852" s="760"/>
      <c r="G8852" s="760"/>
      <c r="H8852" s="760"/>
      <c r="I8852" s="760"/>
      <c r="J8852" s="760"/>
      <c r="K8852" s="760"/>
    </row>
    <row r="8853" spans="1:11">
      <c r="A8853" s="760"/>
      <c r="B8853" s="760"/>
      <c r="C8853" s="760"/>
      <c r="D8853" s="760"/>
      <c r="E8853" s="760"/>
      <c r="F8853" s="760"/>
      <c r="G8853" s="760"/>
      <c r="H8853" s="760"/>
      <c r="I8853" s="760"/>
      <c r="J8853" s="760"/>
      <c r="K8853" s="760"/>
    </row>
    <row r="8854" spans="1:11">
      <c r="A8854" s="760"/>
      <c r="B8854" s="760"/>
      <c r="C8854" s="760"/>
      <c r="D8854" s="760"/>
      <c r="E8854" s="760"/>
      <c r="F8854" s="760"/>
      <c r="G8854" s="760"/>
      <c r="H8854" s="760"/>
      <c r="I8854" s="760"/>
      <c r="J8854" s="760"/>
      <c r="K8854" s="760"/>
    </row>
    <row r="8855" spans="1:11">
      <c r="A8855" s="760"/>
      <c r="B8855" s="760"/>
      <c r="C8855" s="760"/>
      <c r="D8855" s="760"/>
      <c r="E8855" s="760"/>
      <c r="F8855" s="760"/>
      <c r="G8855" s="760"/>
      <c r="H8855" s="760"/>
      <c r="I8855" s="760"/>
      <c r="J8855" s="760"/>
      <c r="K8855" s="760"/>
    </row>
    <row r="8856" spans="1:11">
      <c r="A8856" s="760"/>
      <c r="B8856" s="760"/>
      <c r="C8856" s="760"/>
      <c r="D8856" s="760"/>
      <c r="E8856" s="760"/>
      <c r="F8856" s="760"/>
      <c r="G8856" s="760"/>
      <c r="H8856" s="760"/>
      <c r="I8856" s="760"/>
      <c r="J8856" s="760"/>
      <c r="K8856" s="760"/>
    </row>
    <row r="8857" spans="1:11">
      <c r="A8857" s="760"/>
      <c r="B8857" s="760"/>
      <c r="C8857" s="760"/>
      <c r="D8857" s="760"/>
      <c r="E8857" s="760"/>
      <c r="F8857" s="760"/>
      <c r="G8857" s="760"/>
      <c r="H8857" s="760"/>
      <c r="I8857" s="760"/>
      <c r="J8857" s="760"/>
      <c r="K8857" s="760"/>
    </row>
    <row r="8858" spans="1:11">
      <c r="A8858" s="760"/>
      <c r="B8858" s="760"/>
      <c r="C8858" s="760"/>
      <c r="D8858" s="760"/>
      <c r="E8858" s="760"/>
      <c r="F8858" s="760"/>
      <c r="G8858" s="760"/>
      <c r="H8858" s="760"/>
      <c r="I8858" s="760"/>
      <c r="J8858" s="760"/>
      <c r="K8858" s="760"/>
    </row>
    <row r="8859" spans="1:11">
      <c r="A8859" s="760"/>
      <c r="B8859" s="760"/>
      <c r="C8859" s="760"/>
      <c r="D8859" s="760"/>
      <c r="E8859" s="760"/>
      <c r="F8859" s="760"/>
      <c r="G8859" s="760"/>
      <c r="H8859" s="760"/>
      <c r="I8859" s="760"/>
      <c r="J8859" s="760"/>
      <c r="K8859" s="760"/>
    </row>
    <row r="8860" spans="1:11">
      <c r="A8860" s="760"/>
      <c r="B8860" s="760"/>
      <c r="C8860" s="760"/>
      <c r="D8860" s="760"/>
      <c r="E8860" s="760"/>
      <c r="F8860" s="760"/>
      <c r="G8860" s="760"/>
      <c r="H8860" s="760"/>
      <c r="I8860" s="760"/>
      <c r="J8860" s="760"/>
      <c r="K8860" s="760"/>
    </row>
    <row r="8861" spans="1:11">
      <c r="A8861" s="760"/>
      <c r="B8861" s="760"/>
      <c r="C8861" s="760"/>
      <c r="D8861" s="760"/>
      <c r="E8861" s="760"/>
      <c r="F8861" s="760"/>
      <c r="G8861" s="760"/>
      <c r="H8861" s="760"/>
      <c r="I8861" s="760"/>
      <c r="J8861" s="760"/>
      <c r="K8861" s="760"/>
    </row>
    <row r="8862" spans="1:11">
      <c r="A8862" s="760"/>
      <c r="B8862" s="760"/>
      <c r="C8862" s="760"/>
      <c r="D8862" s="760"/>
      <c r="E8862" s="760"/>
      <c r="F8862" s="760"/>
      <c r="G8862" s="760"/>
      <c r="H8862" s="760"/>
      <c r="I8862" s="760"/>
      <c r="J8862" s="760"/>
      <c r="K8862" s="760"/>
    </row>
    <row r="8863" spans="1:11">
      <c r="A8863" s="760"/>
      <c r="B8863" s="760"/>
      <c r="C8863" s="760"/>
      <c r="D8863" s="760"/>
      <c r="E8863" s="760"/>
      <c r="F8863" s="760"/>
      <c r="G8863" s="760"/>
      <c r="H8863" s="760"/>
      <c r="I8863" s="760"/>
      <c r="J8863" s="760"/>
      <c r="K8863" s="760"/>
    </row>
    <row r="8864" spans="1:11">
      <c r="A8864" s="760"/>
      <c r="B8864" s="760"/>
      <c r="C8864" s="760"/>
      <c r="D8864" s="760"/>
      <c r="E8864" s="760"/>
      <c r="F8864" s="760"/>
      <c r="G8864" s="760"/>
      <c r="H8864" s="760"/>
      <c r="I8864" s="760"/>
      <c r="J8864" s="760"/>
      <c r="K8864" s="760"/>
    </row>
    <row r="8865" spans="1:11">
      <c r="A8865" s="760"/>
      <c r="B8865" s="760"/>
      <c r="C8865" s="760"/>
      <c r="D8865" s="760"/>
      <c r="E8865" s="760"/>
      <c r="F8865" s="760"/>
      <c r="G8865" s="760"/>
      <c r="H8865" s="760"/>
      <c r="I8865" s="760"/>
      <c r="J8865" s="760"/>
      <c r="K8865" s="760"/>
    </row>
    <row r="8866" spans="1:11">
      <c r="A8866" s="760"/>
      <c r="B8866" s="760"/>
      <c r="C8866" s="760"/>
      <c r="D8866" s="760"/>
      <c r="E8866" s="760"/>
      <c r="F8866" s="760"/>
      <c r="G8866" s="760"/>
      <c r="H8866" s="760"/>
      <c r="I8866" s="760"/>
      <c r="J8866" s="760"/>
      <c r="K8866" s="760"/>
    </row>
    <row r="8867" spans="1:11">
      <c r="A8867" s="760"/>
      <c r="B8867" s="760"/>
      <c r="C8867" s="760"/>
      <c r="D8867" s="760"/>
      <c r="E8867" s="760"/>
      <c r="F8867" s="760"/>
      <c r="G8867" s="760"/>
      <c r="H8867" s="760"/>
      <c r="I8867" s="760"/>
      <c r="J8867" s="760"/>
      <c r="K8867" s="760"/>
    </row>
    <row r="8868" spans="1:11">
      <c r="A8868" s="760"/>
      <c r="B8868" s="760"/>
      <c r="C8868" s="760"/>
      <c r="D8868" s="760"/>
      <c r="E8868" s="760"/>
      <c r="F8868" s="760"/>
      <c r="G8868" s="760"/>
      <c r="H8868" s="760"/>
      <c r="I8868" s="760"/>
      <c r="J8868" s="760"/>
      <c r="K8868" s="760"/>
    </row>
    <row r="8869" spans="1:11">
      <c r="A8869" s="760"/>
      <c r="B8869" s="760"/>
      <c r="C8869" s="760"/>
      <c r="D8869" s="760"/>
      <c r="E8869" s="760"/>
      <c r="F8869" s="760"/>
      <c r="G8869" s="760"/>
      <c r="H8869" s="760"/>
      <c r="I8869" s="760"/>
      <c r="J8869" s="760"/>
      <c r="K8869" s="760"/>
    </row>
    <row r="8870" spans="1:11">
      <c r="A8870" s="760"/>
      <c r="B8870" s="760"/>
      <c r="C8870" s="760"/>
      <c r="D8870" s="760"/>
      <c r="E8870" s="760"/>
      <c r="F8870" s="760"/>
      <c r="G8870" s="760"/>
      <c r="H8870" s="760"/>
      <c r="I8870" s="760"/>
      <c r="J8870" s="760"/>
      <c r="K8870" s="760"/>
    </row>
    <row r="8871" spans="1:11">
      <c r="A8871" s="760"/>
      <c r="B8871" s="760"/>
      <c r="C8871" s="760"/>
      <c r="D8871" s="760"/>
      <c r="E8871" s="760"/>
      <c r="F8871" s="760"/>
      <c r="G8871" s="760"/>
      <c r="H8871" s="760"/>
      <c r="I8871" s="760"/>
      <c r="J8871" s="760"/>
      <c r="K8871" s="760"/>
    </row>
    <row r="8872" spans="1:11">
      <c r="A8872" s="760"/>
      <c r="B8872" s="760"/>
      <c r="C8872" s="760"/>
      <c r="D8872" s="760"/>
      <c r="E8872" s="760"/>
      <c r="F8872" s="760"/>
      <c r="G8872" s="760"/>
      <c r="H8872" s="760"/>
      <c r="I8872" s="760"/>
      <c r="J8872" s="760"/>
      <c r="K8872" s="760"/>
    </row>
    <row r="8873" spans="1:11">
      <c r="A8873" s="760"/>
      <c r="B8873" s="760"/>
      <c r="C8873" s="760"/>
      <c r="D8873" s="760"/>
      <c r="E8873" s="760"/>
      <c r="F8873" s="760"/>
      <c r="G8873" s="760"/>
      <c r="H8873" s="760"/>
      <c r="I8873" s="760"/>
      <c r="J8873" s="760"/>
      <c r="K8873" s="760"/>
    </row>
    <row r="8874" spans="1:11">
      <c r="A8874" s="760"/>
      <c r="B8874" s="760"/>
      <c r="C8874" s="760"/>
      <c r="D8874" s="760"/>
      <c r="E8874" s="760"/>
      <c r="F8874" s="760"/>
      <c r="G8874" s="760"/>
      <c r="H8874" s="760"/>
      <c r="I8874" s="760"/>
      <c r="J8874" s="760"/>
      <c r="K8874" s="760"/>
    </row>
    <row r="8875" spans="1:11">
      <c r="A8875" s="760"/>
      <c r="B8875" s="760"/>
      <c r="C8875" s="760"/>
      <c r="D8875" s="760"/>
      <c r="E8875" s="760"/>
      <c r="F8875" s="760"/>
      <c r="G8875" s="760"/>
      <c r="H8875" s="760"/>
      <c r="I8875" s="760"/>
      <c r="J8875" s="760"/>
      <c r="K8875" s="760"/>
    </row>
    <row r="8876" spans="1:11">
      <c r="A8876" s="760"/>
      <c r="B8876" s="760"/>
      <c r="C8876" s="760"/>
      <c r="D8876" s="760"/>
      <c r="E8876" s="760"/>
      <c r="F8876" s="760"/>
      <c r="G8876" s="760"/>
      <c r="H8876" s="760"/>
      <c r="I8876" s="760"/>
      <c r="J8876" s="760"/>
      <c r="K8876" s="760"/>
    </row>
    <row r="8877" spans="1:11">
      <c r="A8877" s="760"/>
      <c r="B8877" s="760"/>
      <c r="C8877" s="760"/>
      <c r="D8877" s="760"/>
      <c r="E8877" s="760"/>
      <c r="F8877" s="760"/>
      <c r="G8877" s="760"/>
      <c r="H8877" s="760"/>
      <c r="I8877" s="760"/>
      <c r="J8877" s="760"/>
      <c r="K8877" s="760"/>
    </row>
    <row r="8878" spans="1:11">
      <c r="A8878" s="760"/>
      <c r="B8878" s="760"/>
      <c r="C8878" s="760"/>
      <c r="D8878" s="760"/>
      <c r="E8878" s="760"/>
      <c r="F8878" s="760"/>
      <c r="G8878" s="760"/>
      <c r="H8878" s="760"/>
      <c r="I8878" s="760"/>
      <c r="J8878" s="760"/>
      <c r="K8878" s="760"/>
    </row>
    <row r="8879" spans="1:11">
      <c r="A8879" s="760"/>
      <c r="B8879" s="760"/>
      <c r="C8879" s="760"/>
      <c r="D8879" s="760"/>
      <c r="E8879" s="760"/>
      <c r="F8879" s="760"/>
      <c r="G8879" s="760"/>
      <c r="H8879" s="760"/>
      <c r="I8879" s="760"/>
      <c r="J8879" s="760"/>
      <c r="K8879" s="760"/>
    </row>
    <row r="8880" spans="1:11">
      <c r="A8880" s="760"/>
      <c r="B8880" s="760"/>
      <c r="C8880" s="760"/>
      <c r="D8880" s="760"/>
      <c r="E8880" s="760"/>
      <c r="F8880" s="760"/>
      <c r="G8880" s="760"/>
      <c r="H8880" s="760"/>
      <c r="I8880" s="760"/>
      <c r="J8880" s="760"/>
      <c r="K8880" s="760"/>
    </row>
    <row r="8881" spans="1:11">
      <c r="A8881" s="760"/>
      <c r="B8881" s="760"/>
      <c r="C8881" s="760"/>
      <c r="D8881" s="760"/>
      <c r="E8881" s="760"/>
      <c r="F8881" s="760"/>
      <c r="G8881" s="760"/>
      <c r="H8881" s="760"/>
      <c r="I8881" s="760"/>
      <c r="J8881" s="760"/>
      <c r="K8881" s="760"/>
    </row>
    <row r="8882" spans="1:11">
      <c r="A8882" s="760"/>
      <c r="B8882" s="760"/>
      <c r="C8882" s="760"/>
      <c r="D8882" s="760"/>
      <c r="E8882" s="760"/>
      <c r="F8882" s="760"/>
      <c r="G8882" s="760"/>
      <c r="H8882" s="760"/>
      <c r="I8882" s="760"/>
      <c r="J8882" s="760"/>
      <c r="K8882" s="760"/>
    </row>
    <row r="8883" spans="1:11">
      <c r="A8883" s="760"/>
      <c r="B8883" s="760"/>
      <c r="C8883" s="760"/>
      <c r="D8883" s="760"/>
      <c r="E8883" s="760"/>
      <c r="F8883" s="760"/>
      <c r="G8883" s="760"/>
      <c r="H8883" s="760"/>
      <c r="I8883" s="760"/>
      <c r="J8883" s="760"/>
      <c r="K8883" s="760"/>
    </row>
    <row r="8884" spans="1:11">
      <c r="A8884" s="760"/>
      <c r="B8884" s="760"/>
      <c r="C8884" s="760"/>
      <c r="D8884" s="760"/>
      <c r="E8884" s="760"/>
      <c r="F8884" s="760"/>
      <c r="G8884" s="760"/>
      <c r="H8884" s="760"/>
      <c r="I8884" s="760"/>
      <c r="J8884" s="760"/>
      <c r="K8884" s="760"/>
    </row>
    <row r="8885" spans="1:11">
      <c r="A8885" s="760"/>
      <c r="B8885" s="760"/>
      <c r="C8885" s="760"/>
      <c r="D8885" s="760"/>
      <c r="E8885" s="760"/>
      <c r="F8885" s="760"/>
      <c r="G8885" s="760"/>
      <c r="H8885" s="760"/>
      <c r="I8885" s="760"/>
      <c r="J8885" s="760"/>
      <c r="K8885" s="760"/>
    </row>
    <row r="8886" spans="1:11">
      <c r="A8886" s="760"/>
      <c r="B8886" s="760"/>
      <c r="C8886" s="760"/>
      <c r="D8886" s="760"/>
      <c r="E8886" s="760"/>
      <c r="F8886" s="760"/>
      <c r="G8886" s="760"/>
      <c r="H8886" s="760"/>
      <c r="I8886" s="760"/>
      <c r="J8886" s="760"/>
      <c r="K8886" s="760"/>
    </row>
    <row r="8887" spans="1:11">
      <c r="A8887" s="760"/>
      <c r="B8887" s="760"/>
      <c r="C8887" s="760"/>
      <c r="D8887" s="760"/>
      <c r="E8887" s="760"/>
      <c r="F8887" s="760"/>
      <c r="G8887" s="760"/>
      <c r="H8887" s="760"/>
      <c r="I8887" s="760"/>
      <c r="J8887" s="760"/>
      <c r="K8887" s="760"/>
    </row>
    <row r="8888" spans="1:11">
      <c r="A8888" s="760"/>
      <c r="B8888" s="760"/>
      <c r="C8888" s="760"/>
      <c r="D8888" s="760"/>
      <c r="E8888" s="760"/>
      <c r="F8888" s="760"/>
      <c r="G8888" s="760"/>
      <c r="H8888" s="760"/>
      <c r="I8888" s="760"/>
      <c r="J8888" s="760"/>
      <c r="K8888" s="760"/>
    </row>
    <row r="8889" spans="1:11">
      <c r="A8889" s="760"/>
      <c r="B8889" s="760"/>
      <c r="C8889" s="760"/>
      <c r="D8889" s="760"/>
      <c r="E8889" s="760"/>
      <c r="F8889" s="760"/>
      <c r="G8889" s="760"/>
      <c r="H8889" s="760"/>
      <c r="I8889" s="760"/>
      <c r="J8889" s="760"/>
      <c r="K8889" s="760"/>
    </row>
    <row r="8890" spans="1:11">
      <c r="A8890" s="760"/>
      <c r="B8890" s="760"/>
      <c r="C8890" s="760"/>
      <c r="D8890" s="760"/>
      <c r="E8890" s="760"/>
      <c r="F8890" s="760"/>
      <c r="G8890" s="760"/>
      <c r="H8890" s="760"/>
      <c r="I8890" s="760"/>
      <c r="J8890" s="760"/>
      <c r="K8890" s="760"/>
    </row>
    <row r="8891" spans="1:11">
      <c r="A8891" s="760"/>
      <c r="B8891" s="760"/>
      <c r="C8891" s="760"/>
      <c r="D8891" s="760"/>
      <c r="E8891" s="760"/>
      <c r="F8891" s="760"/>
      <c r="G8891" s="760"/>
      <c r="H8891" s="760"/>
      <c r="I8891" s="760"/>
      <c r="J8891" s="760"/>
      <c r="K8891" s="760"/>
    </row>
    <row r="8892" spans="1:11">
      <c r="A8892" s="760"/>
      <c r="B8892" s="760"/>
      <c r="C8892" s="760"/>
      <c r="D8892" s="760"/>
      <c r="E8892" s="760"/>
      <c r="F8892" s="760"/>
      <c r="G8892" s="760"/>
      <c r="H8892" s="760"/>
      <c r="I8892" s="760"/>
      <c r="J8892" s="760"/>
      <c r="K8892" s="760"/>
    </row>
    <row r="8893" spans="1:11">
      <c r="A8893" s="760"/>
      <c r="B8893" s="760"/>
      <c r="C8893" s="760"/>
      <c r="D8893" s="760"/>
      <c r="E8893" s="760"/>
      <c r="F8893" s="760"/>
      <c r="G8893" s="760"/>
      <c r="H8893" s="760"/>
      <c r="I8893" s="760"/>
      <c r="J8893" s="760"/>
      <c r="K8893" s="760"/>
    </row>
    <row r="8894" spans="1:11">
      <c r="A8894" s="760"/>
      <c r="B8894" s="760"/>
      <c r="C8894" s="760"/>
      <c r="D8894" s="760"/>
      <c r="E8894" s="760"/>
      <c r="F8894" s="760"/>
      <c r="G8894" s="760"/>
      <c r="H8894" s="760"/>
      <c r="I8894" s="760"/>
      <c r="J8894" s="760"/>
      <c r="K8894" s="760"/>
    </row>
    <row r="8895" spans="1:11">
      <c r="A8895" s="760"/>
      <c r="B8895" s="760"/>
      <c r="C8895" s="760"/>
      <c r="D8895" s="760"/>
      <c r="E8895" s="760"/>
      <c r="F8895" s="760"/>
      <c r="G8895" s="760"/>
      <c r="H8895" s="760"/>
      <c r="I8895" s="760"/>
      <c r="J8895" s="760"/>
      <c r="K8895" s="760"/>
    </row>
    <row r="8896" spans="1:11">
      <c r="A8896" s="760"/>
      <c r="B8896" s="760"/>
      <c r="C8896" s="760"/>
      <c r="D8896" s="760"/>
      <c r="E8896" s="760"/>
      <c r="F8896" s="760"/>
      <c r="G8896" s="760"/>
      <c r="H8896" s="760"/>
      <c r="I8896" s="760"/>
      <c r="J8896" s="760"/>
      <c r="K8896" s="760"/>
    </row>
    <row r="8897" spans="1:11">
      <c r="A8897" s="760"/>
      <c r="B8897" s="760"/>
      <c r="C8897" s="760"/>
      <c r="D8897" s="760"/>
      <c r="E8897" s="760"/>
      <c r="F8897" s="760"/>
      <c r="G8897" s="760"/>
      <c r="H8897" s="760"/>
      <c r="I8897" s="760"/>
      <c r="J8897" s="760"/>
      <c r="K8897" s="760"/>
    </row>
    <row r="8898" spans="1:11">
      <c r="A8898" s="760"/>
      <c r="B8898" s="760"/>
      <c r="C8898" s="760"/>
      <c r="D8898" s="760"/>
      <c r="E8898" s="760"/>
      <c r="F8898" s="760"/>
      <c r="G8898" s="760"/>
      <c r="H8898" s="760"/>
      <c r="I8898" s="760"/>
      <c r="J8898" s="760"/>
      <c r="K8898" s="760"/>
    </row>
    <row r="8899" spans="1:11">
      <c r="A8899" s="760"/>
      <c r="B8899" s="760"/>
      <c r="C8899" s="760"/>
      <c r="D8899" s="760"/>
      <c r="E8899" s="760"/>
      <c r="F8899" s="760"/>
      <c r="G8899" s="760"/>
      <c r="H8899" s="760"/>
      <c r="I8899" s="760"/>
      <c r="J8899" s="760"/>
      <c r="K8899" s="760"/>
    </row>
    <row r="8900" spans="1:11">
      <c r="A8900" s="760"/>
      <c r="B8900" s="760"/>
      <c r="C8900" s="760"/>
      <c r="D8900" s="760"/>
      <c r="E8900" s="760"/>
      <c r="F8900" s="760"/>
      <c r="G8900" s="760"/>
      <c r="H8900" s="760"/>
      <c r="I8900" s="760"/>
      <c r="J8900" s="760"/>
      <c r="K8900" s="760"/>
    </row>
    <row r="8901" spans="1:11">
      <c r="A8901" s="760"/>
      <c r="B8901" s="760"/>
      <c r="C8901" s="760"/>
      <c r="D8901" s="760"/>
      <c r="E8901" s="760"/>
      <c r="F8901" s="760"/>
      <c r="G8901" s="760"/>
      <c r="H8901" s="760"/>
      <c r="I8901" s="760"/>
      <c r="J8901" s="760"/>
      <c r="K8901" s="760"/>
    </row>
    <row r="8902" spans="1:11">
      <c r="A8902" s="760"/>
      <c r="B8902" s="760"/>
      <c r="C8902" s="760"/>
      <c r="D8902" s="760"/>
      <c r="E8902" s="760"/>
      <c r="F8902" s="760"/>
      <c r="G8902" s="760"/>
      <c r="H8902" s="760"/>
      <c r="I8902" s="760"/>
      <c r="J8902" s="760"/>
      <c r="K8902" s="760"/>
    </row>
    <row r="8903" spans="1:11">
      <c r="A8903" s="760"/>
      <c r="B8903" s="760"/>
      <c r="C8903" s="760"/>
      <c r="D8903" s="760"/>
      <c r="E8903" s="760"/>
      <c r="F8903" s="760"/>
      <c r="G8903" s="760"/>
      <c r="H8903" s="760"/>
      <c r="I8903" s="760"/>
      <c r="J8903" s="760"/>
      <c r="K8903" s="760"/>
    </row>
    <row r="8904" spans="1:11">
      <c r="A8904" s="760"/>
      <c r="B8904" s="760"/>
      <c r="C8904" s="760"/>
      <c r="D8904" s="760"/>
      <c r="E8904" s="760"/>
      <c r="F8904" s="760"/>
      <c r="G8904" s="760"/>
      <c r="H8904" s="760"/>
      <c r="I8904" s="760"/>
      <c r="J8904" s="760"/>
      <c r="K8904" s="760"/>
    </row>
    <row r="8905" spans="1:11">
      <c r="A8905" s="760"/>
      <c r="B8905" s="760"/>
      <c r="C8905" s="760"/>
      <c r="D8905" s="760"/>
      <c r="E8905" s="760"/>
      <c r="F8905" s="760"/>
      <c r="G8905" s="760"/>
      <c r="H8905" s="760"/>
      <c r="I8905" s="760"/>
      <c r="J8905" s="760"/>
      <c r="K8905" s="760"/>
    </row>
    <row r="8906" spans="1:11">
      <c r="A8906" s="760"/>
      <c r="B8906" s="760"/>
      <c r="C8906" s="760"/>
      <c r="D8906" s="760"/>
      <c r="E8906" s="760"/>
      <c r="F8906" s="760"/>
      <c r="G8906" s="760"/>
      <c r="H8906" s="760"/>
      <c r="I8906" s="760"/>
      <c r="J8906" s="760"/>
      <c r="K8906" s="760"/>
    </row>
    <row r="8907" spans="1:11">
      <c r="A8907" s="760"/>
      <c r="B8907" s="760"/>
      <c r="C8907" s="760"/>
      <c r="D8907" s="760"/>
      <c r="E8907" s="760"/>
      <c r="F8907" s="760"/>
      <c r="G8907" s="760"/>
      <c r="H8907" s="760"/>
      <c r="I8907" s="760"/>
      <c r="J8907" s="760"/>
      <c r="K8907" s="760"/>
    </row>
    <row r="8908" spans="1:11">
      <c r="A8908" s="760"/>
      <c r="B8908" s="760"/>
      <c r="C8908" s="760"/>
      <c r="D8908" s="760"/>
      <c r="E8908" s="760"/>
      <c r="F8908" s="760"/>
      <c r="G8908" s="760"/>
      <c r="H8908" s="760"/>
      <c r="I8908" s="760"/>
      <c r="J8908" s="760"/>
      <c r="K8908" s="760"/>
    </row>
    <row r="8909" spans="1:11">
      <c r="A8909" s="760"/>
      <c r="B8909" s="760"/>
      <c r="C8909" s="760"/>
      <c r="D8909" s="760"/>
      <c r="E8909" s="760"/>
      <c r="F8909" s="760"/>
      <c r="G8909" s="760"/>
      <c r="H8909" s="760"/>
      <c r="I8909" s="760"/>
      <c r="J8909" s="760"/>
      <c r="K8909" s="760"/>
    </row>
    <row r="8910" spans="1:11">
      <c r="A8910" s="760"/>
      <c r="B8910" s="760"/>
      <c r="C8910" s="760"/>
      <c r="D8910" s="760"/>
      <c r="E8910" s="760"/>
      <c r="F8910" s="760"/>
      <c r="G8910" s="760"/>
      <c r="H8910" s="760"/>
      <c r="I8910" s="760"/>
      <c r="J8910" s="760"/>
      <c r="K8910" s="760"/>
    </row>
    <row r="8911" spans="1:11">
      <c r="A8911" s="760"/>
      <c r="B8911" s="760"/>
      <c r="C8911" s="760"/>
      <c r="D8911" s="760"/>
      <c r="E8911" s="760"/>
      <c r="F8911" s="760"/>
      <c r="G8911" s="760"/>
      <c r="H8911" s="760"/>
      <c r="I8911" s="760"/>
      <c r="J8911" s="760"/>
      <c r="K8911" s="760"/>
    </row>
    <row r="8912" spans="1:11">
      <c r="A8912" s="760"/>
      <c r="B8912" s="760"/>
      <c r="C8912" s="760"/>
      <c r="D8912" s="760"/>
      <c r="E8912" s="760"/>
      <c r="F8912" s="760"/>
      <c r="G8912" s="760"/>
      <c r="H8912" s="760"/>
      <c r="I8912" s="760"/>
      <c r="J8912" s="760"/>
      <c r="K8912" s="760"/>
    </row>
    <row r="8913" spans="1:11">
      <c r="A8913" s="760"/>
      <c r="B8913" s="760"/>
      <c r="C8913" s="760"/>
      <c r="D8913" s="760"/>
      <c r="E8913" s="760"/>
      <c r="F8913" s="760"/>
      <c r="G8913" s="760"/>
      <c r="H8913" s="760"/>
      <c r="I8913" s="760"/>
      <c r="J8913" s="760"/>
      <c r="K8913" s="760"/>
    </row>
    <row r="8914" spans="1:11">
      <c r="A8914" s="760"/>
      <c r="B8914" s="760"/>
      <c r="C8914" s="760"/>
      <c r="D8914" s="760"/>
      <c r="E8914" s="760"/>
      <c r="F8914" s="760"/>
      <c r="G8914" s="760"/>
      <c r="H8914" s="760"/>
      <c r="I8914" s="760"/>
      <c r="J8914" s="760"/>
      <c r="K8914" s="760"/>
    </row>
    <row r="8915" spans="1:11">
      <c r="A8915" s="760"/>
      <c r="B8915" s="760"/>
      <c r="C8915" s="760"/>
      <c r="D8915" s="760"/>
      <c r="E8915" s="760"/>
      <c r="F8915" s="760"/>
      <c r="G8915" s="760"/>
      <c r="H8915" s="760"/>
      <c r="I8915" s="760"/>
      <c r="J8915" s="760"/>
      <c r="K8915" s="760"/>
    </row>
    <row r="8916" spans="1:11">
      <c r="A8916" s="760"/>
      <c r="B8916" s="760"/>
      <c r="C8916" s="760"/>
      <c r="D8916" s="760"/>
      <c r="E8916" s="760"/>
      <c r="F8916" s="760"/>
      <c r="G8916" s="760"/>
      <c r="H8916" s="760"/>
      <c r="I8916" s="760"/>
      <c r="J8916" s="760"/>
      <c r="K8916" s="760"/>
    </row>
    <row r="8917" spans="1:11">
      <c r="A8917" s="760"/>
      <c r="B8917" s="760"/>
      <c r="C8917" s="760"/>
      <c r="D8917" s="760"/>
      <c r="E8917" s="760"/>
      <c r="F8917" s="760"/>
      <c r="G8917" s="760"/>
      <c r="H8917" s="760"/>
      <c r="I8917" s="760"/>
      <c r="J8917" s="760"/>
      <c r="K8917" s="760"/>
    </row>
    <row r="8918" spans="1:11">
      <c r="A8918" s="760"/>
      <c r="B8918" s="760"/>
      <c r="C8918" s="760"/>
      <c r="D8918" s="760"/>
      <c r="E8918" s="760"/>
      <c r="F8918" s="760"/>
      <c r="G8918" s="760"/>
      <c r="H8918" s="760"/>
      <c r="I8918" s="760"/>
      <c r="J8918" s="760"/>
      <c r="K8918" s="760"/>
    </row>
    <row r="8919" spans="1:11">
      <c r="A8919" s="760"/>
      <c r="B8919" s="760"/>
      <c r="C8919" s="760"/>
      <c r="D8919" s="760"/>
      <c r="E8919" s="760"/>
      <c r="F8919" s="760"/>
      <c r="G8919" s="760"/>
      <c r="H8919" s="760"/>
      <c r="I8919" s="760"/>
      <c r="J8919" s="760"/>
      <c r="K8919" s="760"/>
    </row>
    <row r="8920" spans="1:11">
      <c r="A8920" s="760"/>
      <c r="B8920" s="760"/>
      <c r="C8920" s="760"/>
      <c r="D8920" s="760"/>
      <c r="E8920" s="760"/>
      <c r="F8920" s="760"/>
      <c r="G8920" s="760"/>
      <c r="H8920" s="760"/>
      <c r="I8920" s="760"/>
      <c r="J8920" s="760"/>
      <c r="K8920" s="760"/>
    </row>
    <row r="8921" spans="1:11">
      <c r="A8921" s="760"/>
      <c r="B8921" s="760"/>
      <c r="C8921" s="760"/>
      <c r="D8921" s="760"/>
      <c r="E8921" s="760"/>
      <c r="F8921" s="760"/>
      <c r="G8921" s="760"/>
      <c r="H8921" s="760"/>
      <c r="I8921" s="760"/>
      <c r="J8921" s="760"/>
      <c r="K8921" s="760"/>
    </row>
    <row r="8922" spans="1:11">
      <c r="A8922" s="760"/>
      <c r="B8922" s="760"/>
      <c r="C8922" s="760"/>
      <c r="D8922" s="760"/>
      <c r="E8922" s="760"/>
      <c r="F8922" s="760"/>
      <c r="G8922" s="760"/>
      <c r="H8922" s="760"/>
      <c r="I8922" s="760"/>
      <c r="J8922" s="760"/>
      <c r="K8922" s="760"/>
    </row>
    <row r="8923" spans="1:11">
      <c r="A8923" s="760"/>
      <c r="B8923" s="760"/>
      <c r="C8923" s="760"/>
      <c r="D8923" s="760"/>
      <c r="E8923" s="760"/>
      <c r="F8923" s="760"/>
      <c r="G8923" s="760"/>
      <c r="H8923" s="760"/>
      <c r="I8923" s="760"/>
      <c r="J8923" s="760"/>
      <c r="K8923" s="760"/>
    </row>
    <row r="8924" spans="1:11">
      <c r="A8924" s="760"/>
      <c r="B8924" s="760"/>
      <c r="C8924" s="760"/>
      <c r="D8924" s="760"/>
      <c r="E8924" s="760"/>
      <c r="F8924" s="760"/>
      <c r="G8924" s="760"/>
      <c r="H8924" s="760"/>
      <c r="I8924" s="760"/>
      <c r="J8924" s="760"/>
      <c r="K8924" s="760"/>
    </row>
    <row r="8925" spans="1:11">
      <c r="A8925" s="760"/>
      <c r="B8925" s="760"/>
      <c r="C8925" s="760"/>
      <c r="D8925" s="760"/>
      <c r="E8925" s="760"/>
      <c r="F8925" s="760"/>
      <c r="G8925" s="760"/>
      <c r="H8925" s="760"/>
      <c r="I8925" s="760"/>
      <c r="J8925" s="760"/>
      <c r="K8925" s="760"/>
    </row>
    <row r="8926" spans="1:11">
      <c r="A8926" s="760"/>
      <c r="B8926" s="760"/>
      <c r="C8926" s="760"/>
      <c r="D8926" s="760"/>
      <c r="E8926" s="760"/>
      <c r="F8926" s="760"/>
      <c r="G8926" s="760"/>
      <c r="H8926" s="760"/>
      <c r="I8926" s="760"/>
      <c r="J8926" s="760"/>
      <c r="K8926" s="760"/>
    </row>
    <row r="8927" spans="1:11">
      <c r="A8927" s="760"/>
      <c r="B8927" s="760"/>
      <c r="C8927" s="760"/>
      <c r="D8927" s="760"/>
      <c r="E8927" s="760"/>
      <c r="F8927" s="760"/>
      <c r="G8927" s="760"/>
      <c r="H8927" s="760"/>
      <c r="I8927" s="760"/>
      <c r="J8927" s="760"/>
      <c r="K8927" s="760"/>
    </row>
    <row r="8928" spans="1:11">
      <c r="A8928" s="760"/>
      <c r="B8928" s="760"/>
      <c r="C8928" s="760"/>
      <c r="D8928" s="760"/>
      <c r="E8928" s="760"/>
      <c r="F8928" s="760"/>
      <c r="G8928" s="760"/>
      <c r="H8928" s="760"/>
      <c r="I8928" s="760"/>
      <c r="J8928" s="760"/>
      <c r="K8928" s="760"/>
    </row>
    <row r="8929" spans="1:11">
      <c r="A8929" s="760"/>
      <c r="B8929" s="760"/>
      <c r="C8929" s="760"/>
      <c r="D8929" s="760"/>
      <c r="E8929" s="760"/>
      <c r="F8929" s="760"/>
      <c r="G8929" s="760"/>
      <c r="H8929" s="760"/>
      <c r="I8929" s="760"/>
      <c r="J8929" s="760"/>
      <c r="K8929" s="760"/>
    </row>
    <row r="8930" spans="1:11">
      <c r="A8930" s="760"/>
      <c r="B8930" s="760"/>
      <c r="C8930" s="760"/>
      <c r="D8930" s="760"/>
      <c r="E8930" s="760"/>
      <c r="F8930" s="760"/>
      <c r="G8930" s="760"/>
      <c r="H8930" s="760"/>
      <c r="I8930" s="760"/>
      <c r="J8930" s="760"/>
      <c r="K8930" s="760"/>
    </row>
    <row r="8931" spans="1:11">
      <c r="A8931" s="760"/>
      <c r="B8931" s="760"/>
      <c r="C8931" s="760"/>
      <c r="D8931" s="760"/>
      <c r="E8931" s="760"/>
      <c r="F8931" s="760"/>
      <c r="G8931" s="760"/>
      <c r="H8931" s="760"/>
      <c r="I8931" s="760"/>
      <c r="J8931" s="760"/>
      <c r="K8931" s="760"/>
    </row>
    <row r="8932" spans="1:11">
      <c r="A8932" s="760"/>
      <c r="B8932" s="760"/>
      <c r="C8932" s="760"/>
      <c r="D8932" s="760"/>
      <c r="E8932" s="760"/>
      <c r="F8932" s="760"/>
      <c r="G8932" s="760"/>
      <c r="H8932" s="760"/>
      <c r="I8932" s="760"/>
      <c r="J8932" s="760"/>
      <c r="K8932" s="760"/>
    </row>
    <row r="8933" spans="1:11">
      <c r="A8933" s="760"/>
      <c r="B8933" s="760"/>
      <c r="C8933" s="760"/>
      <c r="D8933" s="760"/>
      <c r="E8933" s="760"/>
      <c r="F8933" s="760"/>
      <c r="G8933" s="760"/>
      <c r="H8933" s="760"/>
      <c r="I8933" s="760"/>
      <c r="J8933" s="760"/>
      <c r="K8933" s="760"/>
    </row>
    <row r="8934" spans="1:11">
      <c r="A8934" s="760"/>
      <c r="B8934" s="760"/>
      <c r="C8934" s="760"/>
      <c r="D8934" s="760"/>
      <c r="E8934" s="760"/>
      <c r="F8934" s="760"/>
      <c r="G8934" s="760"/>
      <c r="H8934" s="760"/>
      <c r="I8934" s="760"/>
      <c r="J8934" s="760"/>
      <c r="K8934" s="760"/>
    </row>
    <row r="8935" spans="1:11">
      <c r="A8935" s="760"/>
      <c r="B8935" s="760"/>
      <c r="C8935" s="760"/>
      <c r="D8935" s="760"/>
      <c r="E8935" s="760"/>
      <c r="F8935" s="760"/>
      <c r="G8935" s="760"/>
      <c r="H8935" s="760"/>
      <c r="I8935" s="760"/>
      <c r="J8935" s="760"/>
      <c r="K8935" s="760"/>
    </row>
    <row r="8936" spans="1:11">
      <c r="A8936" s="760"/>
      <c r="B8936" s="760"/>
      <c r="C8936" s="760"/>
      <c r="D8936" s="760"/>
      <c r="E8936" s="760"/>
      <c r="F8936" s="760"/>
      <c r="G8936" s="760"/>
      <c r="H8936" s="760"/>
      <c r="I8936" s="760"/>
      <c r="J8936" s="760"/>
      <c r="K8936" s="760"/>
    </row>
    <row r="8937" spans="1:11">
      <c r="A8937" s="760"/>
      <c r="B8937" s="760"/>
      <c r="C8937" s="760"/>
      <c r="D8937" s="760"/>
      <c r="E8937" s="760"/>
      <c r="F8937" s="760"/>
      <c r="G8937" s="760"/>
      <c r="H8937" s="760"/>
      <c r="I8937" s="760"/>
      <c r="J8937" s="760"/>
      <c r="K8937" s="760"/>
    </row>
    <row r="8938" spans="1:11">
      <c r="A8938" s="760"/>
      <c r="B8938" s="760"/>
      <c r="C8938" s="760"/>
      <c r="D8938" s="760"/>
      <c r="E8938" s="760"/>
      <c r="F8938" s="760"/>
      <c r="G8938" s="760"/>
      <c r="H8938" s="760"/>
      <c r="I8938" s="760"/>
      <c r="J8938" s="760"/>
      <c r="K8938" s="760"/>
    </row>
    <row r="8939" spans="1:11">
      <c r="A8939" s="760"/>
      <c r="B8939" s="760"/>
      <c r="C8939" s="760"/>
      <c r="D8939" s="760"/>
      <c r="E8939" s="760"/>
      <c r="F8939" s="760"/>
      <c r="G8939" s="760"/>
      <c r="H8939" s="760"/>
      <c r="I8939" s="760"/>
      <c r="J8939" s="760"/>
      <c r="K8939" s="760"/>
    </row>
    <row r="8940" spans="1:11">
      <c r="A8940" s="760"/>
      <c r="B8940" s="760"/>
      <c r="C8940" s="760"/>
      <c r="D8940" s="760"/>
      <c r="E8940" s="760"/>
      <c r="F8940" s="760"/>
      <c r="G8940" s="760"/>
      <c r="H8940" s="760"/>
      <c r="I8940" s="760"/>
      <c r="J8940" s="760"/>
      <c r="K8940" s="760"/>
    </row>
    <row r="8941" spans="1:11">
      <c r="A8941" s="760"/>
      <c r="B8941" s="760"/>
      <c r="C8941" s="760"/>
      <c r="D8941" s="760"/>
      <c r="E8941" s="760"/>
      <c r="F8941" s="760"/>
      <c r="G8941" s="760"/>
      <c r="H8941" s="760"/>
      <c r="I8941" s="760"/>
      <c r="J8941" s="760"/>
      <c r="K8941" s="760"/>
    </row>
    <row r="8942" spans="1:11">
      <c r="A8942" s="760"/>
      <c r="B8942" s="760"/>
      <c r="C8942" s="760"/>
      <c r="D8942" s="760"/>
      <c r="E8942" s="760"/>
      <c r="F8942" s="760"/>
      <c r="G8942" s="760"/>
      <c r="H8942" s="760"/>
      <c r="I8942" s="760"/>
      <c r="J8942" s="760"/>
      <c r="K8942" s="760"/>
    </row>
    <row r="8943" spans="1:11">
      <c r="A8943" s="760"/>
      <c r="B8943" s="760"/>
      <c r="C8943" s="760"/>
      <c r="D8943" s="760"/>
      <c r="E8943" s="760"/>
      <c r="F8943" s="760"/>
      <c r="G8943" s="760"/>
      <c r="H8943" s="760"/>
      <c r="I8943" s="760"/>
      <c r="J8943" s="760"/>
      <c r="K8943" s="760"/>
    </row>
    <row r="8944" spans="1:11">
      <c r="A8944" s="760"/>
      <c r="B8944" s="760"/>
      <c r="C8944" s="760"/>
      <c r="D8944" s="760"/>
      <c r="E8944" s="760"/>
      <c r="F8944" s="760"/>
      <c r="G8944" s="760"/>
      <c r="H8944" s="760"/>
      <c r="I8944" s="760"/>
      <c r="J8944" s="760"/>
      <c r="K8944" s="760"/>
    </row>
    <row r="8945" spans="1:11">
      <c r="A8945" s="760"/>
      <c r="B8945" s="760"/>
      <c r="C8945" s="760"/>
      <c r="D8945" s="760"/>
      <c r="E8945" s="760"/>
      <c r="F8945" s="760"/>
      <c r="G8945" s="760"/>
      <c r="H8945" s="760"/>
      <c r="I8945" s="760"/>
      <c r="J8945" s="760"/>
      <c r="K8945" s="760"/>
    </row>
    <row r="8946" spans="1:11">
      <c r="A8946" s="760"/>
      <c r="B8946" s="760"/>
      <c r="C8946" s="760"/>
      <c r="D8946" s="760"/>
      <c r="E8946" s="760"/>
      <c r="F8946" s="760"/>
      <c r="G8946" s="760"/>
      <c r="H8946" s="760"/>
      <c r="I8946" s="760"/>
      <c r="J8946" s="760"/>
      <c r="K8946" s="760"/>
    </row>
    <row r="8947" spans="1:11">
      <c r="A8947" s="760"/>
      <c r="B8947" s="760"/>
      <c r="C8947" s="760"/>
      <c r="D8947" s="760"/>
      <c r="E8947" s="760"/>
      <c r="F8947" s="760"/>
      <c r="G8947" s="760"/>
      <c r="H8947" s="760"/>
      <c r="I8947" s="760"/>
      <c r="J8947" s="760"/>
      <c r="K8947" s="760"/>
    </row>
    <row r="8948" spans="1:11">
      <c r="A8948" s="760"/>
      <c r="B8948" s="760"/>
      <c r="C8948" s="760"/>
      <c r="D8948" s="760"/>
      <c r="E8948" s="760"/>
      <c r="F8948" s="760"/>
      <c r="G8948" s="760"/>
      <c r="H8948" s="760"/>
      <c r="I8948" s="760"/>
      <c r="J8948" s="760"/>
      <c r="K8948" s="760"/>
    </row>
    <row r="8949" spans="1:11">
      <c r="A8949" s="760"/>
      <c r="B8949" s="760"/>
      <c r="C8949" s="760"/>
      <c r="D8949" s="760"/>
      <c r="E8949" s="760"/>
      <c r="F8949" s="760"/>
      <c r="G8949" s="760"/>
      <c r="H8949" s="760"/>
      <c r="I8949" s="760"/>
      <c r="J8949" s="760"/>
      <c r="K8949" s="760"/>
    </row>
    <row r="8950" spans="1:11">
      <c r="A8950" s="760"/>
      <c r="B8950" s="760"/>
      <c r="C8950" s="760"/>
      <c r="D8950" s="760"/>
      <c r="E8950" s="760"/>
      <c r="F8950" s="760"/>
      <c r="G8950" s="760"/>
      <c r="H8950" s="760"/>
      <c r="I8950" s="760"/>
      <c r="J8950" s="760"/>
      <c r="K8950" s="760"/>
    </row>
    <row r="8951" spans="1:11">
      <c r="A8951" s="760"/>
      <c r="B8951" s="760"/>
      <c r="C8951" s="760"/>
      <c r="D8951" s="760"/>
      <c r="E8951" s="760"/>
      <c r="F8951" s="760"/>
      <c r="G8951" s="760"/>
      <c r="H8951" s="760"/>
      <c r="I8951" s="760"/>
      <c r="J8951" s="760"/>
      <c r="K8951" s="760"/>
    </row>
    <row r="8952" spans="1:11">
      <c r="A8952" s="760"/>
      <c r="B8952" s="760"/>
      <c r="C8952" s="760"/>
      <c r="D8952" s="760"/>
      <c r="E8952" s="760"/>
      <c r="F8952" s="760"/>
      <c r="G8952" s="760"/>
      <c r="H8952" s="760"/>
      <c r="I8952" s="760"/>
      <c r="J8952" s="760"/>
      <c r="K8952" s="760"/>
    </row>
    <row r="8953" spans="1:11">
      <c r="A8953" s="760"/>
      <c r="B8953" s="760"/>
      <c r="C8953" s="760"/>
      <c r="D8953" s="760"/>
      <c r="E8953" s="760"/>
      <c r="F8953" s="760"/>
      <c r="G8953" s="760"/>
      <c r="H8953" s="760"/>
      <c r="I8953" s="760"/>
      <c r="J8953" s="760"/>
      <c r="K8953" s="760"/>
    </row>
    <row r="8954" spans="1:11">
      <c r="A8954" s="760"/>
      <c r="B8954" s="760"/>
      <c r="C8954" s="760"/>
      <c r="D8954" s="760"/>
      <c r="E8954" s="760"/>
      <c r="F8954" s="760"/>
      <c r="G8954" s="760"/>
      <c r="H8954" s="760"/>
      <c r="I8954" s="760"/>
      <c r="J8954" s="760"/>
      <c r="K8954" s="760"/>
    </row>
    <row r="8955" spans="1:11">
      <c r="A8955" s="760"/>
      <c r="B8955" s="760"/>
      <c r="C8955" s="760"/>
      <c r="D8955" s="760"/>
      <c r="E8955" s="760"/>
      <c r="F8955" s="760"/>
      <c r="G8955" s="760"/>
      <c r="H8955" s="760"/>
      <c r="I8955" s="760"/>
      <c r="J8955" s="760"/>
      <c r="K8955" s="760"/>
    </row>
    <row r="8956" spans="1:11">
      <c r="A8956" s="760"/>
      <c r="B8956" s="760"/>
      <c r="C8956" s="760"/>
      <c r="D8956" s="760"/>
      <c r="E8956" s="760"/>
      <c r="F8956" s="760"/>
      <c r="G8956" s="760"/>
      <c r="H8956" s="760"/>
      <c r="I8956" s="760"/>
      <c r="J8956" s="760"/>
      <c r="K8956" s="760"/>
    </row>
    <row r="8957" spans="1:11">
      <c r="A8957" s="760"/>
      <c r="B8957" s="760"/>
      <c r="C8957" s="760"/>
      <c r="D8957" s="760"/>
      <c r="E8957" s="760"/>
      <c r="F8957" s="760"/>
      <c r="G8957" s="760"/>
      <c r="H8957" s="760"/>
      <c r="I8957" s="760"/>
      <c r="J8957" s="760"/>
      <c r="K8957" s="760"/>
    </row>
    <row r="8958" spans="1:11">
      <c r="A8958" s="760"/>
      <c r="B8958" s="760"/>
      <c r="C8958" s="760"/>
      <c r="D8958" s="760"/>
      <c r="E8958" s="760"/>
      <c r="F8958" s="760"/>
      <c r="G8958" s="760"/>
      <c r="H8958" s="760"/>
      <c r="I8958" s="760"/>
      <c r="J8958" s="760"/>
      <c r="K8958" s="760"/>
    </row>
    <row r="8959" spans="1:11">
      <c r="A8959" s="760"/>
      <c r="B8959" s="760"/>
      <c r="C8959" s="760"/>
      <c r="D8959" s="760"/>
      <c r="E8959" s="760"/>
      <c r="F8959" s="760"/>
      <c r="G8959" s="760"/>
      <c r="H8959" s="760"/>
      <c r="I8959" s="760"/>
      <c r="J8959" s="760"/>
      <c r="K8959" s="760"/>
    </row>
    <row r="8960" spans="1:11">
      <c r="A8960" s="760"/>
      <c r="B8960" s="760"/>
      <c r="C8960" s="760"/>
      <c r="D8960" s="760"/>
      <c r="E8960" s="760"/>
      <c r="F8960" s="760"/>
      <c r="G8960" s="760"/>
      <c r="H8960" s="760"/>
      <c r="I8960" s="760"/>
      <c r="J8960" s="760"/>
      <c r="K8960" s="760"/>
    </row>
    <row r="8961" spans="1:11">
      <c r="A8961" s="760"/>
      <c r="B8961" s="760"/>
      <c r="C8961" s="760"/>
      <c r="D8961" s="760"/>
      <c r="E8961" s="760"/>
      <c r="F8961" s="760"/>
      <c r="G8961" s="760"/>
      <c r="H8961" s="760"/>
      <c r="I8961" s="760"/>
      <c r="J8961" s="760"/>
      <c r="K8961" s="760"/>
    </row>
    <row r="8962" spans="1:11">
      <c r="A8962" s="760"/>
      <c r="B8962" s="760"/>
      <c r="C8962" s="760"/>
      <c r="D8962" s="760"/>
      <c r="E8962" s="760"/>
      <c r="F8962" s="760"/>
      <c r="G8962" s="760"/>
      <c r="H8962" s="760"/>
      <c r="I8962" s="760"/>
      <c r="J8962" s="760"/>
      <c r="K8962" s="760"/>
    </row>
    <row r="8963" spans="1:11">
      <c r="A8963" s="760"/>
      <c r="B8963" s="760"/>
      <c r="C8963" s="760"/>
      <c r="D8963" s="760"/>
      <c r="E8963" s="760"/>
      <c r="F8963" s="760"/>
      <c r="G8963" s="760"/>
      <c r="H8963" s="760"/>
      <c r="I8963" s="760"/>
      <c r="J8963" s="760"/>
      <c r="K8963" s="760"/>
    </row>
    <row r="8964" spans="1:11">
      <c r="A8964" s="760"/>
      <c r="B8964" s="760"/>
      <c r="C8964" s="760"/>
      <c r="D8964" s="760"/>
      <c r="E8964" s="760"/>
      <c r="F8964" s="760"/>
      <c r="G8964" s="760"/>
      <c r="H8964" s="760"/>
      <c r="I8964" s="760"/>
      <c r="J8964" s="760"/>
      <c r="K8964" s="760"/>
    </row>
    <row r="8965" spans="1:11">
      <c r="A8965" s="760"/>
      <c r="B8965" s="760"/>
      <c r="C8965" s="760"/>
      <c r="D8965" s="760"/>
      <c r="E8965" s="760"/>
      <c r="F8965" s="760"/>
      <c r="G8965" s="760"/>
      <c r="H8965" s="760"/>
      <c r="I8965" s="760"/>
      <c r="J8965" s="760"/>
      <c r="K8965" s="760"/>
    </row>
    <row r="8966" spans="1:11">
      <c r="A8966" s="760"/>
      <c r="B8966" s="760"/>
      <c r="C8966" s="760"/>
      <c r="D8966" s="760"/>
      <c r="E8966" s="760"/>
      <c r="F8966" s="760"/>
      <c r="G8966" s="760"/>
      <c r="H8966" s="760"/>
      <c r="I8966" s="760"/>
      <c r="J8966" s="760"/>
      <c r="K8966" s="760"/>
    </row>
    <row r="8967" spans="1:11">
      <c r="A8967" s="760"/>
      <c r="B8967" s="760"/>
      <c r="C8967" s="760"/>
      <c r="D8967" s="760"/>
      <c r="E8967" s="760"/>
      <c r="F8967" s="760"/>
      <c r="G8967" s="760"/>
      <c r="H8967" s="760"/>
      <c r="I8967" s="760"/>
      <c r="J8967" s="760"/>
      <c r="K8967" s="760"/>
    </row>
    <row r="8968" spans="1:11">
      <c r="A8968" s="760"/>
      <c r="B8968" s="760"/>
      <c r="C8968" s="760"/>
      <c r="D8968" s="760"/>
      <c r="E8968" s="760"/>
      <c r="F8968" s="760"/>
      <c r="G8968" s="760"/>
      <c r="H8968" s="760"/>
      <c r="I8968" s="760"/>
      <c r="J8968" s="760"/>
      <c r="K8968" s="760"/>
    </row>
    <row r="8969" spans="1:11">
      <c r="A8969" s="760"/>
      <c r="B8969" s="760"/>
      <c r="C8969" s="760"/>
      <c r="D8969" s="760"/>
      <c r="E8969" s="760"/>
      <c r="F8969" s="760"/>
      <c r="G8969" s="760"/>
      <c r="H8969" s="760"/>
      <c r="I8969" s="760"/>
      <c r="J8969" s="760"/>
      <c r="K8969" s="760"/>
    </row>
    <row r="8970" spans="1:11">
      <c r="A8970" s="760"/>
      <c r="B8970" s="760"/>
      <c r="C8970" s="760"/>
      <c r="D8970" s="760"/>
      <c r="E8970" s="760"/>
      <c r="F8970" s="760"/>
      <c r="G8970" s="760"/>
      <c r="H8970" s="760"/>
      <c r="I8970" s="760"/>
      <c r="J8970" s="760"/>
      <c r="K8970" s="760"/>
    </row>
    <row r="8971" spans="1:11">
      <c r="A8971" s="760"/>
      <c r="B8971" s="760"/>
      <c r="C8971" s="760"/>
      <c r="D8971" s="760"/>
      <c r="E8971" s="760"/>
      <c r="F8971" s="760"/>
      <c r="G8971" s="760"/>
      <c r="H8971" s="760"/>
      <c r="I8971" s="760"/>
      <c r="J8971" s="760"/>
      <c r="K8971" s="760"/>
    </row>
    <row r="8972" spans="1:11">
      <c r="A8972" s="760"/>
      <c r="B8972" s="760"/>
      <c r="C8972" s="760"/>
      <c r="D8972" s="760"/>
      <c r="E8972" s="760"/>
      <c r="F8972" s="760"/>
      <c r="G8972" s="760"/>
      <c r="H8972" s="760"/>
      <c r="I8972" s="760"/>
      <c r="J8972" s="760"/>
      <c r="K8972" s="760"/>
    </row>
    <row r="8973" spans="1:11">
      <c r="A8973" s="760"/>
      <c r="B8973" s="760"/>
      <c r="C8973" s="760"/>
      <c r="D8973" s="760"/>
      <c r="E8973" s="760"/>
      <c r="F8973" s="760"/>
      <c r="G8973" s="760"/>
      <c r="H8973" s="760"/>
      <c r="I8973" s="760"/>
      <c r="J8973" s="760"/>
      <c r="K8973" s="760"/>
    </row>
    <row r="8974" spans="1:11">
      <c r="A8974" s="760"/>
      <c r="B8974" s="760"/>
      <c r="C8974" s="760"/>
      <c r="D8974" s="760"/>
      <c r="E8974" s="760"/>
      <c r="F8974" s="760"/>
      <c r="G8974" s="760"/>
      <c r="H8974" s="760"/>
      <c r="I8974" s="760"/>
      <c r="J8974" s="760"/>
      <c r="K8974" s="760"/>
    </row>
    <row r="8975" spans="1:11">
      <c r="A8975" s="760"/>
      <c r="B8975" s="760"/>
      <c r="C8975" s="760"/>
      <c r="D8975" s="760"/>
      <c r="E8975" s="760"/>
      <c r="F8975" s="760"/>
      <c r="G8975" s="760"/>
      <c r="H8975" s="760"/>
      <c r="I8975" s="760"/>
      <c r="J8975" s="760"/>
      <c r="K8975" s="760"/>
    </row>
    <row r="8976" spans="1:11">
      <c r="A8976" s="760"/>
      <c r="B8976" s="760"/>
      <c r="C8976" s="760"/>
      <c r="D8976" s="760"/>
      <c r="E8976" s="760"/>
      <c r="F8976" s="760"/>
      <c r="G8976" s="760"/>
      <c r="H8976" s="760"/>
      <c r="I8976" s="760"/>
      <c r="J8976" s="760"/>
      <c r="K8976" s="760"/>
    </row>
    <row r="8977" spans="1:11">
      <c r="A8977" s="760"/>
      <c r="B8977" s="760"/>
      <c r="C8977" s="760"/>
      <c r="D8977" s="760"/>
      <c r="E8977" s="760"/>
      <c r="F8977" s="760"/>
      <c r="G8977" s="760"/>
      <c r="H8977" s="760"/>
      <c r="I8977" s="760"/>
      <c r="J8977" s="760"/>
      <c r="K8977" s="760"/>
    </row>
    <row r="8978" spans="1:11">
      <c r="A8978" s="760"/>
      <c r="B8978" s="760"/>
      <c r="C8978" s="760"/>
      <c r="D8978" s="760"/>
      <c r="E8978" s="760"/>
      <c r="F8978" s="760"/>
      <c r="G8978" s="760"/>
      <c r="H8978" s="760"/>
      <c r="I8978" s="760"/>
      <c r="J8978" s="760"/>
      <c r="K8978" s="760"/>
    </row>
    <row r="8979" spans="1:11">
      <c r="A8979" s="760"/>
      <c r="B8979" s="760"/>
      <c r="C8979" s="760"/>
      <c r="D8979" s="760"/>
      <c r="E8979" s="760"/>
      <c r="F8979" s="760"/>
      <c r="G8979" s="760"/>
      <c r="H8979" s="760"/>
      <c r="I8979" s="760"/>
      <c r="J8979" s="760"/>
      <c r="K8979" s="760"/>
    </row>
    <row r="8980" spans="1:11">
      <c r="A8980" s="760"/>
      <c r="B8980" s="760"/>
      <c r="C8980" s="760"/>
      <c r="D8980" s="760"/>
      <c r="E8980" s="760"/>
      <c r="F8980" s="760"/>
      <c r="G8980" s="760"/>
      <c r="H8980" s="760"/>
      <c r="I8980" s="760"/>
      <c r="J8980" s="760"/>
      <c r="K8980" s="760"/>
    </row>
    <row r="8981" spans="1:11">
      <c r="A8981" s="760"/>
      <c r="B8981" s="760"/>
      <c r="C8981" s="760"/>
      <c r="D8981" s="760"/>
      <c r="E8981" s="760"/>
      <c r="F8981" s="760"/>
      <c r="G8981" s="760"/>
      <c r="H8981" s="760"/>
      <c r="I8981" s="760"/>
      <c r="J8981" s="760"/>
      <c r="K8981" s="760"/>
    </row>
    <row r="8982" spans="1:11">
      <c r="A8982" s="760"/>
      <c r="B8982" s="760"/>
      <c r="C8982" s="760"/>
      <c r="D8982" s="760"/>
      <c r="E8982" s="760"/>
      <c r="F8982" s="760"/>
      <c r="G8982" s="760"/>
      <c r="H8982" s="760"/>
      <c r="I8982" s="760"/>
      <c r="J8982" s="760"/>
      <c r="K8982" s="760"/>
    </row>
    <row r="8983" spans="1:11">
      <c r="A8983" s="760"/>
      <c r="B8983" s="760"/>
      <c r="C8983" s="760"/>
      <c r="D8983" s="760"/>
      <c r="E8983" s="760"/>
      <c r="F8983" s="760"/>
      <c r="G8983" s="760"/>
      <c r="H8983" s="760"/>
      <c r="I8983" s="760"/>
      <c r="J8983" s="760"/>
      <c r="K8983" s="760"/>
    </row>
    <row r="8984" spans="1:11">
      <c r="A8984" s="760"/>
      <c r="B8984" s="760"/>
      <c r="C8984" s="760"/>
      <c r="D8984" s="760"/>
      <c r="E8984" s="760"/>
      <c r="F8984" s="760"/>
      <c r="G8984" s="760"/>
      <c r="H8984" s="760"/>
      <c r="I8984" s="760"/>
      <c r="J8984" s="760"/>
      <c r="K8984" s="760"/>
    </row>
    <row r="8985" spans="1:11">
      <c r="A8985" s="760"/>
      <c r="B8985" s="760"/>
      <c r="C8985" s="760"/>
      <c r="D8985" s="760"/>
      <c r="E8985" s="760"/>
      <c r="F8985" s="760"/>
      <c r="G8985" s="760"/>
      <c r="H8985" s="760"/>
      <c r="I8985" s="760"/>
      <c r="J8985" s="760"/>
      <c r="K8985" s="760"/>
    </row>
    <row r="8986" spans="1:11">
      <c r="A8986" s="760"/>
      <c r="B8986" s="760"/>
      <c r="C8986" s="760"/>
      <c r="D8986" s="760"/>
      <c r="E8986" s="760"/>
      <c r="F8986" s="760"/>
      <c r="G8986" s="760"/>
      <c r="H8986" s="760"/>
      <c r="I8986" s="760"/>
      <c r="J8986" s="760"/>
      <c r="K8986" s="760"/>
    </row>
    <row r="8987" spans="1:11">
      <c r="A8987" s="760"/>
      <c r="B8987" s="760"/>
      <c r="C8987" s="760"/>
      <c r="D8987" s="760"/>
      <c r="E8987" s="760"/>
      <c r="F8987" s="760"/>
      <c r="G8987" s="760"/>
      <c r="H8987" s="760"/>
      <c r="I8987" s="760"/>
      <c r="J8987" s="760"/>
      <c r="K8987" s="760"/>
    </row>
    <row r="8988" spans="1:11">
      <c r="A8988" s="760"/>
      <c r="B8988" s="760"/>
      <c r="C8988" s="760"/>
      <c r="D8988" s="760"/>
      <c r="E8988" s="760"/>
      <c r="F8988" s="760"/>
      <c r="G8988" s="760"/>
      <c r="H8988" s="760"/>
      <c r="I8988" s="760"/>
      <c r="J8988" s="760"/>
      <c r="K8988" s="760"/>
    </row>
    <row r="8989" spans="1:11">
      <c r="A8989" s="760"/>
      <c r="B8989" s="760"/>
      <c r="C8989" s="760"/>
      <c r="D8989" s="760"/>
      <c r="E8989" s="760"/>
      <c r="F8989" s="760"/>
      <c r="G8989" s="760"/>
      <c r="H8989" s="760"/>
      <c r="I8989" s="760"/>
      <c r="J8989" s="760"/>
      <c r="K8989" s="760"/>
    </row>
    <row r="8990" spans="1:11">
      <c r="A8990" s="760"/>
      <c r="B8990" s="760"/>
      <c r="C8990" s="760"/>
      <c r="D8990" s="760"/>
      <c r="E8990" s="760"/>
      <c r="F8990" s="760"/>
      <c r="G8990" s="760"/>
      <c r="H8990" s="760"/>
      <c r="I8990" s="760"/>
      <c r="J8990" s="760"/>
      <c r="K8990" s="760"/>
    </row>
    <row r="8991" spans="1:11">
      <c r="A8991" s="760"/>
      <c r="B8991" s="760"/>
      <c r="C8991" s="760"/>
      <c r="D8991" s="760"/>
      <c r="E8991" s="760"/>
      <c r="F8991" s="760"/>
      <c r="G8991" s="760"/>
      <c r="H8991" s="760"/>
      <c r="I8991" s="760"/>
      <c r="J8991" s="760"/>
      <c r="K8991" s="760"/>
    </row>
    <row r="8992" spans="1:11">
      <c r="A8992" s="760"/>
      <c r="B8992" s="760"/>
      <c r="C8992" s="760"/>
      <c r="D8992" s="760"/>
      <c r="E8992" s="760"/>
      <c r="F8992" s="760"/>
      <c r="G8992" s="760"/>
      <c r="H8992" s="760"/>
      <c r="I8992" s="760"/>
      <c r="J8992" s="760"/>
      <c r="K8992" s="760"/>
    </row>
    <row r="8993" spans="1:11">
      <c r="A8993" s="760"/>
      <c r="B8993" s="760"/>
      <c r="C8993" s="760"/>
      <c r="D8993" s="760"/>
      <c r="E8993" s="760"/>
      <c r="F8993" s="760"/>
      <c r="G8993" s="760"/>
      <c r="H8993" s="760"/>
      <c r="I8993" s="760"/>
      <c r="J8993" s="760"/>
      <c r="K8993" s="760"/>
    </row>
    <row r="8994" spans="1:11">
      <c r="A8994" s="760"/>
      <c r="B8994" s="760"/>
      <c r="C8994" s="760"/>
      <c r="D8994" s="760"/>
      <c r="E8994" s="760"/>
      <c r="F8994" s="760"/>
      <c r="G8994" s="760"/>
      <c r="H8994" s="760"/>
      <c r="I8994" s="760"/>
      <c r="J8994" s="760"/>
      <c r="K8994" s="760"/>
    </row>
    <row r="8995" spans="1:11">
      <c r="A8995" s="760"/>
      <c r="B8995" s="760"/>
      <c r="C8995" s="760"/>
      <c r="D8995" s="760"/>
      <c r="E8995" s="760"/>
      <c r="F8995" s="760"/>
      <c r="G8995" s="760"/>
      <c r="H8995" s="760"/>
      <c r="I8995" s="760"/>
      <c r="J8995" s="760"/>
      <c r="K8995" s="760"/>
    </row>
    <row r="8996" spans="1:11">
      <c r="A8996" s="760"/>
      <c r="B8996" s="760"/>
      <c r="C8996" s="760"/>
      <c r="D8996" s="760"/>
      <c r="E8996" s="760"/>
      <c r="F8996" s="760"/>
      <c r="G8996" s="760"/>
      <c r="H8996" s="760"/>
      <c r="I8996" s="760"/>
      <c r="J8996" s="760"/>
      <c r="K8996" s="760"/>
    </row>
    <row r="8997" spans="1:11">
      <c r="A8997" s="760"/>
      <c r="B8997" s="760"/>
      <c r="C8997" s="760"/>
      <c r="D8997" s="760"/>
      <c r="E8997" s="760"/>
      <c r="F8997" s="760"/>
      <c r="G8997" s="760"/>
      <c r="H8997" s="760"/>
      <c r="I8997" s="760"/>
      <c r="J8997" s="760"/>
      <c r="K8997" s="760"/>
    </row>
    <row r="8998" spans="1:11">
      <c r="A8998" s="760"/>
      <c r="B8998" s="760"/>
      <c r="C8998" s="760"/>
      <c r="D8998" s="760"/>
      <c r="E8998" s="760"/>
      <c r="F8998" s="760"/>
      <c r="G8998" s="760"/>
      <c r="H8998" s="760"/>
      <c r="I8998" s="760"/>
      <c r="J8998" s="760"/>
      <c r="K8998" s="760"/>
    </row>
    <row r="8999" spans="1:11">
      <c r="A8999" s="760"/>
      <c r="B8999" s="760"/>
      <c r="C8999" s="760"/>
      <c r="D8999" s="760"/>
      <c r="E8999" s="760"/>
      <c r="F8999" s="760"/>
      <c r="G8999" s="760"/>
      <c r="H8999" s="760"/>
      <c r="I8999" s="760"/>
      <c r="J8999" s="760"/>
      <c r="K8999" s="760"/>
    </row>
    <row r="9000" spans="1:11">
      <c r="A9000" s="760"/>
      <c r="B9000" s="760"/>
      <c r="C9000" s="760"/>
      <c r="D9000" s="760"/>
      <c r="E9000" s="760"/>
      <c r="F9000" s="760"/>
      <c r="G9000" s="760"/>
      <c r="H9000" s="760"/>
      <c r="I9000" s="760"/>
      <c r="J9000" s="760"/>
      <c r="K9000" s="760"/>
    </row>
    <row r="9001" spans="1:11">
      <c r="A9001" s="760"/>
      <c r="B9001" s="760"/>
      <c r="C9001" s="760"/>
      <c r="D9001" s="760"/>
      <c r="E9001" s="760"/>
      <c r="F9001" s="760"/>
      <c r="G9001" s="760"/>
      <c r="H9001" s="760"/>
      <c r="I9001" s="760"/>
      <c r="J9001" s="760"/>
      <c r="K9001" s="760"/>
    </row>
    <row r="9002" spans="1:11">
      <c r="A9002" s="760"/>
      <c r="B9002" s="760"/>
      <c r="C9002" s="760"/>
      <c r="D9002" s="760"/>
      <c r="E9002" s="760"/>
      <c r="F9002" s="760"/>
      <c r="G9002" s="760"/>
      <c r="H9002" s="760"/>
      <c r="I9002" s="760"/>
      <c r="J9002" s="760"/>
      <c r="K9002" s="760"/>
    </row>
    <row r="9003" spans="1:11">
      <c r="A9003" s="760"/>
      <c r="B9003" s="760"/>
      <c r="C9003" s="760"/>
      <c r="D9003" s="760"/>
      <c r="E9003" s="760"/>
      <c r="F9003" s="760"/>
      <c r="G9003" s="760"/>
      <c r="H9003" s="760"/>
      <c r="I9003" s="760"/>
      <c r="J9003" s="760"/>
      <c r="K9003" s="760"/>
    </row>
    <row r="9004" spans="1:11">
      <c r="A9004" s="760"/>
      <c r="B9004" s="760"/>
      <c r="C9004" s="760"/>
      <c r="D9004" s="760"/>
      <c r="E9004" s="760"/>
      <c r="F9004" s="760"/>
      <c r="G9004" s="760"/>
      <c r="H9004" s="760"/>
      <c r="I9004" s="760"/>
      <c r="J9004" s="760"/>
      <c r="K9004" s="760"/>
    </row>
    <row r="9005" spans="1:11">
      <c r="A9005" s="760"/>
      <c r="B9005" s="760"/>
      <c r="C9005" s="760"/>
      <c r="D9005" s="760"/>
      <c r="E9005" s="760"/>
      <c r="F9005" s="760"/>
      <c r="G9005" s="760"/>
      <c r="H9005" s="760"/>
      <c r="I9005" s="760"/>
      <c r="J9005" s="760"/>
      <c r="K9005" s="760"/>
    </row>
    <row r="9006" spans="1:11">
      <c r="A9006" s="760"/>
      <c r="B9006" s="760"/>
      <c r="C9006" s="760"/>
      <c r="D9006" s="760"/>
      <c r="E9006" s="760"/>
      <c r="F9006" s="760"/>
      <c r="G9006" s="760"/>
      <c r="H9006" s="760"/>
      <c r="I9006" s="760"/>
      <c r="J9006" s="760"/>
      <c r="K9006" s="760"/>
    </row>
    <row r="9007" spans="1:11">
      <c r="A9007" s="760"/>
      <c r="B9007" s="760"/>
      <c r="C9007" s="760"/>
      <c r="D9007" s="760"/>
      <c r="E9007" s="760"/>
      <c r="F9007" s="760"/>
      <c r="G9007" s="760"/>
      <c r="H9007" s="760"/>
      <c r="I9007" s="760"/>
      <c r="J9007" s="760"/>
      <c r="K9007" s="760"/>
    </row>
    <row r="9008" spans="1:11">
      <c r="A9008" s="760"/>
      <c r="B9008" s="760"/>
      <c r="C9008" s="760"/>
      <c r="D9008" s="760"/>
      <c r="E9008" s="760"/>
      <c r="F9008" s="760"/>
      <c r="G9008" s="760"/>
      <c r="H9008" s="760"/>
      <c r="I9008" s="760"/>
      <c r="J9008" s="760"/>
      <c r="K9008" s="760"/>
    </row>
    <row r="9009" spans="1:11">
      <c r="A9009" s="760"/>
      <c r="B9009" s="760"/>
      <c r="C9009" s="760"/>
      <c r="D9009" s="760"/>
      <c r="E9009" s="760"/>
      <c r="F9009" s="760"/>
      <c r="G9009" s="760"/>
      <c r="H9009" s="760"/>
      <c r="I9009" s="760"/>
      <c r="J9009" s="760"/>
      <c r="K9009" s="760"/>
    </row>
    <row r="9010" spans="1:11">
      <c r="A9010" s="760"/>
      <c r="B9010" s="760"/>
      <c r="C9010" s="760"/>
      <c r="D9010" s="760"/>
      <c r="E9010" s="760"/>
      <c r="F9010" s="760"/>
      <c r="G9010" s="760"/>
      <c r="H9010" s="760"/>
      <c r="I9010" s="760"/>
      <c r="J9010" s="760"/>
      <c r="K9010" s="760"/>
    </row>
    <row r="9011" spans="1:11">
      <c r="A9011" s="760"/>
      <c r="B9011" s="760"/>
      <c r="C9011" s="760"/>
      <c r="D9011" s="760"/>
      <c r="E9011" s="760"/>
      <c r="F9011" s="760"/>
      <c r="G9011" s="760"/>
      <c r="H9011" s="760"/>
      <c r="I9011" s="760"/>
      <c r="J9011" s="760"/>
      <c r="K9011" s="760"/>
    </row>
    <row r="9012" spans="1:11">
      <c r="A9012" s="760"/>
      <c r="B9012" s="760"/>
      <c r="C9012" s="760"/>
      <c r="D9012" s="760"/>
      <c r="E9012" s="760"/>
      <c r="F9012" s="760"/>
      <c r="G9012" s="760"/>
      <c r="H9012" s="760"/>
      <c r="I9012" s="760"/>
      <c r="J9012" s="760"/>
      <c r="K9012" s="760"/>
    </row>
    <row r="9013" spans="1:11">
      <c r="A9013" s="760"/>
      <c r="B9013" s="760"/>
      <c r="C9013" s="760"/>
      <c r="D9013" s="760"/>
      <c r="E9013" s="760"/>
      <c r="F9013" s="760"/>
      <c r="G9013" s="760"/>
      <c r="H9013" s="760"/>
      <c r="I9013" s="760"/>
      <c r="J9013" s="760"/>
      <c r="K9013" s="760"/>
    </row>
    <row r="9014" spans="1:11">
      <c r="A9014" s="760"/>
      <c r="B9014" s="760"/>
      <c r="C9014" s="760"/>
      <c r="D9014" s="760"/>
      <c r="E9014" s="760"/>
      <c r="F9014" s="760"/>
      <c r="G9014" s="760"/>
      <c r="H9014" s="760"/>
      <c r="I9014" s="760"/>
      <c r="J9014" s="760"/>
      <c r="K9014" s="760"/>
    </row>
    <row r="9015" spans="1:11">
      <c r="A9015" s="760"/>
      <c r="B9015" s="760"/>
      <c r="C9015" s="760"/>
      <c r="D9015" s="760"/>
      <c r="E9015" s="760"/>
      <c r="F9015" s="760"/>
      <c r="G9015" s="760"/>
      <c r="H9015" s="760"/>
      <c r="I9015" s="760"/>
      <c r="J9015" s="760"/>
      <c r="K9015" s="760"/>
    </row>
    <row r="9016" spans="1:11">
      <c r="A9016" s="760"/>
      <c r="B9016" s="760"/>
      <c r="C9016" s="760"/>
      <c r="D9016" s="760"/>
      <c r="E9016" s="760"/>
      <c r="F9016" s="760"/>
      <c r="G9016" s="760"/>
      <c r="H9016" s="760"/>
      <c r="I9016" s="760"/>
      <c r="J9016" s="760"/>
      <c r="K9016" s="760"/>
    </row>
    <row r="9017" spans="1:11">
      <c r="A9017" s="760"/>
      <c r="B9017" s="760"/>
      <c r="C9017" s="760"/>
      <c r="D9017" s="760"/>
      <c r="E9017" s="760"/>
      <c r="F9017" s="760"/>
      <c r="G9017" s="760"/>
      <c r="H9017" s="760"/>
      <c r="I9017" s="760"/>
      <c r="J9017" s="760"/>
      <c r="K9017" s="760"/>
    </row>
    <row r="9018" spans="1:11">
      <c r="A9018" s="760"/>
      <c r="B9018" s="760"/>
      <c r="C9018" s="760"/>
      <c r="D9018" s="760"/>
      <c r="E9018" s="760"/>
      <c r="F9018" s="760"/>
      <c r="G9018" s="760"/>
      <c r="H9018" s="760"/>
      <c r="I9018" s="760"/>
      <c r="J9018" s="760"/>
      <c r="K9018" s="760"/>
    </row>
    <row r="9019" spans="1:11">
      <c r="A9019" s="760"/>
      <c r="B9019" s="760"/>
      <c r="C9019" s="760"/>
      <c r="D9019" s="760"/>
      <c r="E9019" s="760"/>
      <c r="F9019" s="760"/>
      <c r="G9019" s="760"/>
      <c r="H9019" s="760"/>
      <c r="I9019" s="760"/>
      <c r="J9019" s="760"/>
      <c r="K9019" s="760"/>
    </row>
    <row r="9020" spans="1:11">
      <c r="A9020" s="760"/>
      <c r="B9020" s="760"/>
      <c r="C9020" s="760"/>
      <c r="D9020" s="760"/>
      <c r="E9020" s="760"/>
      <c r="F9020" s="760"/>
      <c r="G9020" s="760"/>
      <c r="H9020" s="760"/>
      <c r="I9020" s="760"/>
      <c r="J9020" s="760"/>
      <c r="K9020" s="760"/>
    </row>
    <row r="9021" spans="1:11">
      <c r="A9021" s="760"/>
      <c r="B9021" s="760"/>
      <c r="C9021" s="760"/>
      <c r="D9021" s="760"/>
      <c r="E9021" s="760"/>
      <c r="F9021" s="760"/>
      <c r="G9021" s="760"/>
      <c r="H9021" s="760"/>
      <c r="I9021" s="760"/>
      <c r="J9021" s="760"/>
      <c r="K9021" s="760"/>
    </row>
    <row r="9022" spans="1:11">
      <c r="A9022" s="760"/>
      <c r="B9022" s="760"/>
      <c r="C9022" s="760"/>
      <c r="D9022" s="760"/>
      <c r="E9022" s="760"/>
      <c r="F9022" s="760"/>
      <c r="G9022" s="760"/>
      <c r="H9022" s="760"/>
      <c r="I9022" s="760"/>
      <c r="J9022" s="760"/>
      <c r="K9022" s="760"/>
    </row>
    <row r="9023" spans="1:11">
      <c r="A9023" s="760"/>
      <c r="B9023" s="760"/>
      <c r="C9023" s="760"/>
      <c r="D9023" s="760"/>
      <c r="E9023" s="760"/>
      <c r="F9023" s="760"/>
      <c r="G9023" s="760"/>
      <c r="H9023" s="760"/>
      <c r="I9023" s="760"/>
      <c r="J9023" s="760"/>
      <c r="K9023" s="760"/>
    </row>
    <row r="9024" spans="1:11">
      <c r="A9024" s="760"/>
      <c r="B9024" s="760"/>
      <c r="C9024" s="760"/>
      <c r="D9024" s="760"/>
      <c r="E9024" s="760"/>
      <c r="F9024" s="760"/>
      <c r="G9024" s="760"/>
      <c r="H9024" s="760"/>
      <c r="I9024" s="760"/>
      <c r="J9024" s="760"/>
      <c r="K9024" s="760"/>
    </row>
    <row r="9025" spans="1:11">
      <c r="A9025" s="760"/>
      <c r="B9025" s="760"/>
      <c r="C9025" s="760"/>
      <c r="D9025" s="760"/>
      <c r="E9025" s="760"/>
      <c r="F9025" s="760"/>
      <c r="G9025" s="760"/>
      <c r="H9025" s="760"/>
      <c r="I9025" s="760"/>
      <c r="J9025" s="760"/>
      <c r="K9025" s="760"/>
    </row>
    <row r="9026" spans="1:11">
      <c r="A9026" s="760"/>
      <c r="B9026" s="760"/>
      <c r="C9026" s="760"/>
      <c r="D9026" s="760"/>
      <c r="E9026" s="760"/>
      <c r="F9026" s="760"/>
      <c r="G9026" s="760"/>
      <c r="H9026" s="760"/>
      <c r="I9026" s="760"/>
      <c r="J9026" s="760"/>
      <c r="K9026" s="760"/>
    </row>
    <row r="9027" spans="1:11">
      <c r="A9027" s="760"/>
      <c r="B9027" s="760"/>
      <c r="C9027" s="760"/>
      <c r="D9027" s="760"/>
      <c r="E9027" s="760"/>
      <c r="F9027" s="760"/>
      <c r="G9027" s="760"/>
      <c r="H9027" s="760"/>
      <c r="I9027" s="760"/>
      <c r="J9027" s="760"/>
      <c r="K9027" s="760"/>
    </row>
    <row r="9028" spans="1:11">
      <c r="A9028" s="760"/>
      <c r="B9028" s="760"/>
      <c r="C9028" s="760"/>
      <c r="D9028" s="760"/>
      <c r="E9028" s="760"/>
      <c r="F9028" s="760"/>
      <c r="G9028" s="760"/>
      <c r="H9028" s="760"/>
      <c r="I9028" s="760"/>
      <c r="J9028" s="760"/>
      <c r="K9028" s="760"/>
    </row>
    <row r="9029" spans="1:11">
      <c r="A9029" s="760"/>
      <c r="B9029" s="760"/>
      <c r="C9029" s="760"/>
      <c r="D9029" s="760"/>
      <c r="E9029" s="760"/>
      <c r="F9029" s="760"/>
      <c r="G9029" s="760"/>
      <c r="H9029" s="760"/>
      <c r="I9029" s="760"/>
      <c r="J9029" s="760"/>
      <c r="K9029" s="760"/>
    </row>
    <row r="9030" spans="1:11">
      <c r="A9030" s="760"/>
      <c r="B9030" s="760"/>
      <c r="C9030" s="760"/>
      <c r="D9030" s="760"/>
      <c r="E9030" s="760"/>
      <c r="F9030" s="760"/>
      <c r="G9030" s="760"/>
      <c r="H9030" s="760"/>
      <c r="I9030" s="760"/>
      <c r="J9030" s="760"/>
      <c r="K9030" s="760"/>
    </row>
    <row r="9031" spans="1:11">
      <c r="A9031" s="760"/>
      <c r="B9031" s="760"/>
      <c r="C9031" s="760"/>
      <c r="D9031" s="760"/>
      <c r="E9031" s="760"/>
      <c r="F9031" s="760"/>
      <c r="G9031" s="760"/>
      <c r="H9031" s="760"/>
      <c r="I9031" s="760"/>
      <c r="J9031" s="760"/>
      <c r="K9031" s="760"/>
    </row>
    <row r="9032" spans="1:11">
      <c r="A9032" s="760"/>
      <c r="B9032" s="760"/>
      <c r="C9032" s="760"/>
      <c r="D9032" s="760"/>
      <c r="E9032" s="760"/>
      <c r="F9032" s="760"/>
      <c r="G9032" s="760"/>
      <c r="H9032" s="760"/>
      <c r="I9032" s="760"/>
      <c r="J9032" s="760"/>
      <c r="K9032" s="760"/>
    </row>
    <row r="9033" spans="1:11">
      <c r="A9033" s="760"/>
      <c r="B9033" s="760"/>
      <c r="C9033" s="760"/>
      <c r="D9033" s="760"/>
      <c r="E9033" s="760"/>
      <c r="F9033" s="760"/>
      <c r="G9033" s="760"/>
      <c r="H9033" s="760"/>
      <c r="I9033" s="760"/>
      <c r="J9033" s="760"/>
      <c r="K9033" s="760"/>
    </row>
    <row r="9034" spans="1:11">
      <c r="A9034" s="760"/>
      <c r="B9034" s="760"/>
      <c r="C9034" s="760"/>
      <c r="D9034" s="760"/>
      <c r="E9034" s="760"/>
      <c r="F9034" s="760"/>
      <c r="G9034" s="760"/>
      <c r="H9034" s="760"/>
      <c r="I9034" s="760"/>
      <c r="J9034" s="760"/>
      <c r="K9034" s="760"/>
    </row>
    <row r="9035" spans="1:11">
      <c r="A9035" s="760"/>
      <c r="B9035" s="760"/>
      <c r="C9035" s="760"/>
      <c r="D9035" s="760"/>
      <c r="E9035" s="760"/>
      <c r="F9035" s="760"/>
      <c r="G9035" s="760"/>
      <c r="H9035" s="760"/>
      <c r="I9035" s="760"/>
      <c r="J9035" s="760"/>
      <c r="K9035" s="760"/>
    </row>
    <row r="9036" spans="1:11">
      <c r="A9036" s="760"/>
      <c r="B9036" s="760"/>
      <c r="C9036" s="760"/>
      <c r="D9036" s="760"/>
      <c r="E9036" s="760"/>
      <c r="F9036" s="760"/>
      <c r="G9036" s="760"/>
      <c r="H9036" s="760"/>
      <c r="I9036" s="760"/>
      <c r="J9036" s="760"/>
      <c r="K9036" s="760"/>
    </row>
    <row r="9037" spans="1:11">
      <c r="A9037" s="760"/>
      <c r="B9037" s="760"/>
      <c r="C9037" s="760"/>
      <c r="D9037" s="760"/>
      <c r="E9037" s="760"/>
      <c r="F9037" s="760"/>
      <c r="G9037" s="760"/>
      <c r="H9037" s="760"/>
      <c r="I9037" s="760"/>
      <c r="J9037" s="760"/>
      <c r="K9037" s="760"/>
    </row>
    <row r="9038" spans="1:11">
      <c r="A9038" s="760"/>
      <c r="B9038" s="760"/>
      <c r="C9038" s="760"/>
      <c r="D9038" s="760"/>
      <c r="E9038" s="760"/>
      <c r="F9038" s="760"/>
      <c r="G9038" s="760"/>
      <c r="H9038" s="760"/>
      <c r="I9038" s="760"/>
      <c r="J9038" s="760"/>
      <c r="K9038" s="760"/>
    </row>
    <row r="9039" spans="1:11">
      <c r="A9039" s="760"/>
      <c r="B9039" s="760"/>
      <c r="C9039" s="760"/>
      <c r="D9039" s="760"/>
      <c r="E9039" s="760"/>
      <c r="F9039" s="760"/>
      <c r="G9039" s="760"/>
      <c r="H9039" s="760"/>
      <c r="I9039" s="760"/>
      <c r="J9039" s="760"/>
      <c r="K9039" s="760"/>
    </row>
    <row r="9040" spans="1:11">
      <c r="A9040" s="760"/>
      <c r="B9040" s="760"/>
      <c r="C9040" s="760"/>
      <c r="D9040" s="760"/>
      <c r="E9040" s="760"/>
      <c r="F9040" s="760"/>
      <c r="G9040" s="760"/>
      <c r="H9040" s="760"/>
      <c r="I9040" s="760"/>
      <c r="J9040" s="760"/>
      <c r="K9040" s="760"/>
    </row>
    <row r="9041" spans="1:11">
      <c r="A9041" s="760"/>
      <c r="B9041" s="760"/>
      <c r="C9041" s="760"/>
      <c r="D9041" s="760"/>
      <c r="E9041" s="760"/>
      <c r="F9041" s="760"/>
      <c r="G9041" s="760"/>
      <c r="H9041" s="760"/>
      <c r="I9041" s="760"/>
      <c r="J9041" s="760"/>
      <c r="K9041" s="760"/>
    </row>
    <row r="9042" spans="1:11">
      <c r="A9042" s="760"/>
      <c r="B9042" s="760"/>
      <c r="C9042" s="760"/>
      <c r="D9042" s="760"/>
      <c r="E9042" s="760"/>
      <c r="F9042" s="760"/>
      <c r="G9042" s="760"/>
      <c r="H9042" s="760"/>
      <c r="I9042" s="760"/>
      <c r="J9042" s="760"/>
      <c r="K9042" s="760"/>
    </row>
    <row r="9043" spans="1:11">
      <c r="A9043" s="760"/>
      <c r="B9043" s="760"/>
      <c r="C9043" s="760"/>
      <c r="D9043" s="760"/>
      <c r="E9043" s="760"/>
      <c r="F9043" s="760"/>
      <c r="G9043" s="760"/>
      <c r="H9043" s="760"/>
      <c r="I9043" s="760"/>
      <c r="J9043" s="760"/>
      <c r="K9043" s="760"/>
    </row>
    <row r="9044" spans="1:11">
      <c r="A9044" s="760"/>
      <c r="B9044" s="760"/>
      <c r="C9044" s="760"/>
      <c r="D9044" s="760"/>
      <c r="E9044" s="760"/>
      <c r="F9044" s="760"/>
      <c r="G9044" s="760"/>
      <c r="H9044" s="760"/>
      <c r="I9044" s="760"/>
      <c r="J9044" s="760"/>
      <c r="K9044" s="760"/>
    </row>
    <row r="9045" spans="1:11">
      <c r="A9045" s="760"/>
      <c r="B9045" s="760"/>
      <c r="C9045" s="760"/>
      <c r="D9045" s="760"/>
      <c r="E9045" s="760"/>
      <c r="F9045" s="760"/>
      <c r="G9045" s="760"/>
      <c r="H9045" s="760"/>
      <c r="I9045" s="760"/>
      <c r="J9045" s="760"/>
      <c r="K9045" s="760"/>
    </row>
    <row r="9046" spans="1:11">
      <c r="A9046" s="760"/>
      <c r="B9046" s="760"/>
      <c r="C9046" s="760"/>
      <c r="D9046" s="760"/>
      <c r="E9046" s="760"/>
      <c r="F9046" s="760"/>
      <c r="G9046" s="760"/>
      <c r="H9046" s="760"/>
      <c r="I9046" s="760"/>
      <c r="J9046" s="760"/>
      <c r="K9046" s="760"/>
    </row>
    <row r="9047" spans="1:11">
      <c r="A9047" s="760"/>
      <c r="B9047" s="760"/>
      <c r="C9047" s="760"/>
      <c r="D9047" s="760"/>
      <c r="E9047" s="760"/>
      <c r="F9047" s="760"/>
      <c r="G9047" s="760"/>
      <c r="H9047" s="760"/>
      <c r="I9047" s="760"/>
      <c r="J9047" s="760"/>
      <c r="K9047" s="760"/>
    </row>
    <row r="9048" spans="1:11">
      <c r="A9048" s="760"/>
      <c r="B9048" s="760"/>
      <c r="C9048" s="760"/>
      <c r="D9048" s="760"/>
      <c r="E9048" s="760"/>
      <c r="F9048" s="760"/>
      <c r="G9048" s="760"/>
      <c r="H9048" s="760"/>
      <c r="I9048" s="760"/>
      <c r="J9048" s="760"/>
      <c r="K9048" s="760"/>
    </row>
    <row r="9049" spans="1:11">
      <c r="A9049" s="760"/>
      <c r="B9049" s="760"/>
      <c r="C9049" s="760"/>
      <c r="D9049" s="760"/>
      <c r="E9049" s="760"/>
      <c r="F9049" s="760"/>
      <c r="G9049" s="760"/>
      <c r="H9049" s="760"/>
      <c r="I9049" s="760"/>
      <c r="J9049" s="760"/>
      <c r="K9049" s="760"/>
    </row>
    <row r="9050" spans="1:11">
      <c r="A9050" s="760"/>
      <c r="B9050" s="760"/>
      <c r="C9050" s="760"/>
      <c r="D9050" s="760"/>
      <c r="E9050" s="760"/>
      <c r="F9050" s="760"/>
      <c r="G9050" s="760"/>
      <c r="H9050" s="760"/>
      <c r="I9050" s="760"/>
      <c r="J9050" s="760"/>
      <c r="K9050" s="760"/>
    </row>
    <row r="9051" spans="1:11">
      <c r="A9051" s="760"/>
      <c r="B9051" s="760"/>
      <c r="C9051" s="760"/>
      <c r="D9051" s="760"/>
      <c r="E9051" s="760"/>
      <c r="F9051" s="760"/>
      <c r="G9051" s="760"/>
      <c r="H9051" s="760"/>
      <c r="I9051" s="760"/>
      <c r="J9051" s="760"/>
      <c r="K9051" s="760"/>
    </row>
    <row r="9052" spans="1:11">
      <c r="A9052" s="760"/>
      <c r="B9052" s="760"/>
      <c r="C9052" s="760"/>
      <c r="D9052" s="760"/>
      <c r="E9052" s="760"/>
      <c r="F9052" s="760"/>
      <c r="G9052" s="760"/>
      <c r="H9052" s="760"/>
      <c r="I9052" s="760"/>
      <c r="J9052" s="760"/>
      <c r="K9052" s="760"/>
    </row>
    <row r="9053" spans="1:11">
      <c r="A9053" s="760"/>
      <c r="B9053" s="760"/>
      <c r="C9053" s="760"/>
      <c r="D9053" s="760"/>
      <c r="E9053" s="760"/>
      <c r="F9053" s="760"/>
      <c r="G9053" s="760"/>
      <c r="H9053" s="760"/>
      <c r="I9053" s="760"/>
      <c r="J9053" s="760"/>
      <c r="K9053" s="760"/>
    </row>
    <row r="9054" spans="1:11">
      <c r="A9054" s="760"/>
      <c r="B9054" s="760"/>
      <c r="C9054" s="760"/>
      <c r="D9054" s="760"/>
      <c r="E9054" s="760"/>
      <c r="F9054" s="760"/>
      <c r="G9054" s="760"/>
      <c r="H9054" s="760"/>
      <c r="I9054" s="760"/>
      <c r="J9054" s="760"/>
      <c r="K9054" s="760"/>
    </row>
    <row r="9055" spans="1:11">
      <c r="A9055" s="760"/>
      <c r="B9055" s="760"/>
      <c r="C9055" s="760"/>
      <c r="D9055" s="760"/>
      <c r="E9055" s="760"/>
      <c r="F9055" s="760"/>
      <c r="G9055" s="760"/>
      <c r="H9055" s="760"/>
      <c r="I9055" s="760"/>
      <c r="J9055" s="760"/>
      <c r="K9055" s="760"/>
    </row>
    <row r="9056" spans="1:11">
      <c r="A9056" s="760"/>
      <c r="B9056" s="760"/>
      <c r="C9056" s="760"/>
      <c r="D9056" s="760"/>
      <c r="E9056" s="760"/>
      <c r="F9056" s="760"/>
      <c r="G9056" s="760"/>
      <c r="H9056" s="760"/>
      <c r="I9056" s="760"/>
      <c r="J9056" s="760"/>
      <c r="K9056" s="760"/>
    </row>
    <row r="9057" spans="1:11">
      <c r="A9057" s="760"/>
      <c r="B9057" s="760"/>
      <c r="C9057" s="760"/>
      <c r="D9057" s="760"/>
      <c r="E9057" s="760"/>
      <c r="F9057" s="760"/>
      <c r="G9057" s="760"/>
      <c r="H9057" s="760"/>
      <c r="I9057" s="760"/>
      <c r="J9057" s="760"/>
      <c r="K9057" s="760"/>
    </row>
    <row r="9058" spans="1:11">
      <c r="A9058" s="760"/>
      <c r="B9058" s="760"/>
      <c r="C9058" s="760"/>
      <c r="D9058" s="760"/>
      <c r="E9058" s="760"/>
      <c r="F9058" s="760"/>
      <c r="G9058" s="760"/>
      <c r="H9058" s="760"/>
      <c r="I9058" s="760"/>
      <c r="J9058" s="760"/>
      <c r="K9058" s="760"/>
    </row>
    <row r="9059" spans="1:11">
      <c r="A9059" s="760"/>
      <c r="B9059" s="760"/>
      <c r="C9059" s="760"/>
      <c r="D9059" s="760"/>
      <c r="E9059" s="760"/>
      <c r="F9059" s="760"/>
      <c r="G9059" s="760"/>
      <c r="H9059" s="760"/>
      <c r="I9059" s="760"/>
      <c r="J9059" s="760"/>
      <c r="K9059" s="760"/>
    </row>
    <row r="9060" spans="1:11">
      <c r="A9060" s="760"/>
      <c r="B9060" s="760"/>
      <c r="C9060" s="760"/>
      <c r="D9060" s="760"/>
      <c r="E9060" s="760"/>
      <c r="F9060" s="760"/>
      <c r="G9060" s="760"/>
      <c r="H9060" s="760"/>
      <c r="I9060" s="760"/>
      <c r="J9060" s="760"/>
      <c r="K9060" s="760"/>
    </row>
    <row r="9061" spans="1:11">
      <c r="A9061" s="760"/>
      <c r="B9061" s="760"/>
      <c r="C9061" s="760"/>
      <c r="D9061" s="760"/>
      <c r="E9061" s="760"/>
      <c r="F9061" s="760"/>
      <c r="G9061" s="760"/>
      <c r="H9061" s="760"/>
      <c r="I9061" s="760"/>
      <c r="J9061" s="760"/>
      <c r="K9061" s="760"/>
    </row>
    <row r="9062" spans="1:11">
      <c r="A9062" s="760"/>
      <c r="B9062" s="760"/>
      <c r="C9062" s="760"/>
      <c r="D9062" s="760"/>
      <c r="E9062" s="760"/>
      <c r="F9062" s="760"/>
      <c r="G9062" s="760"/>
      <c r="H9062" s="760"/>
      <c r="I9062" s="760"/>
      <c r="J9062" s="760"/>
      <c r="K9062" s="760"/>
    </row>
    <row r="9063" spans="1:11">
      <c r="A9063" s="760"/>
      <c r="B9063" s="760"/>
      <c r="C9063" s="760"/>
      <c r="D9063" s="760"/>
      <c r="E9063" s="760"/>
      <c r="F9063" s="760"/>
      <c r="G9063" s="760"/>
      <c r="H9063" s="760"/>
      <c r="I9063" s="760"/>
      <c r="J9063" s="760"/>
      <c r="K9063" s="760"/>
    </row>
    <row r="9064" spans="1:11">
      <c r="A9064" s="760"/>
      <c r="B9064" s="760"/>
      <c r="C9064" s="760"/>
      <c r="D9064" s="760"/>
      <c r="E9064" s="760"/>
      <c r="F9064" s="760"/>
      <c r="G9064" s="760"/>
      <c r="H9064" s="760"/>
      <c r="I9064" s="760"/>
      <c r="J9064" s="760"/>
      <c r="K9064" s="760"/>
    </row>
    <row r="9065" spans="1:11">
      <c r="A9065" s="760"/>
      <c r="B9065" s="760"/>
      <c r="C9065" s="760"/>
      <c r="D9065" s="760"/>
      <c r="E9065" s="760"/>
      <c r="F9065" s="760"/>
      <c r="G9065" s="760"/>
      <c r="H9065" s="760"/>
      <c r="I9065" s="760"/>
      <c r="J9065" s="760"/>
      <c r="K9065" s="760"/>
    </row>
    <row r="9066" spans="1:11">
      <c r="A9066" s="760"/>
      <c r="B9066" s="760"/>
      <c r="C9066" s="760"/>
      <c r="D9066" s="760"/>
      <c r="E9066" s="760"/>
      <c r="F9066" s="760"/>
      <c r="G9066" s="760"/>
      <c r="H9066" s="760"/>
      <c r="I9066" s="760"/>
      <c r="J9066" s="760"/>
      <c r="K9066" s="760"/>
    </row>
    <row r="9067" spans="1:11">
      <c r="A9067" s="760"/>
      <c r="B9067" s="760"/>
      <c r="C9067" s="760"/>
      <c r="D9067" s="760"/>
      <c r="E9067" s="760"/>
      <c r="F9067" s="760"/>
      <c r="G9067" s="760"/>
      <c r="H9067" s="760"/>
      <c r="I9067" s="760"/>
      <c r="J9067" s="760"/>
      <c r="K9067" s="760"/>
    </row>
    <row r="9068" spans="1:11">
      <c r="A9068" s="760"/>
      <c r="B9068" s="760"/>
      <c r="C9068" s="760"/>
      <c r="D9068" s="760"/>
      <c r="E9068" s="760"/>
      <c r="F9068" s="760"/>
      <c r="G9068" s="760"/>
      <c r="H9068" s="760"/>
      <c r="I9068" s="760"/>
      <c r="J9068" s="760"/>
      <c r="K9068" s="760"/>
    </row>
    <row r="9069" spans="1:11">
      <c r="A9069" s="760"/>
      <c r="B9069" s="760"/>
      <c r="C9069" s="760"/>
      <c r="D9069" s="760"/>
      <c r="E9069" s="760"/>
      <c r="F9069" s="760"/>
      <c r="G9069" s="760"/>
      <c r="H9069" s="760"/>
      <c r="I9069" s="760"/>
      <c r="J9069" s="760"/>
      <c r="K9069" s="760"/>
    </row>
    <row r="9070" spans="1:11">
      <c r="A9070" s="760"/>
      <c r="B9070" s="760"/>
      <c r="C9070" s="760"/>
      <c r="D9070" s="760"/>
      <c r="E9070" s="760"/>
      <c r="F9070" s="760"/>
      <c r="G9070" s="760"/>
      <c r="H9070" s="760"/>
      <c r="I9070" s="760"/>
      <c r="J9070" s="760"/>
      <c r="K9070" s="760"/>
    </row>
    <row r="9071" spans="1:11">
      <c r="A9071" s="760"/>
      <c r="B9071" s="760"/>
      <c r="C9071" s="760"/>
      <c r="D9071" s="760"/>
      <c r="E9071" s="760"/>
      <c r="F9071" s="760"/>
      <c r="G9071" s="760"/>
      <c r="H9071" s="760"/>
      <c r="I9071" s="760"/>
      <c r="J9071" s="760"/>
      <c r="K9071" s="760"/>
    </row>
    <row r="9072" spans="1:11">
      <c r="A9072" s="760"/>
      <c r="B9072" s="760"/>
      <c r="C9072" s="760"/>
      <c r="D9072" s="760"/>
      <c r="E9072" s="760"/>
      <c r="F9072" s="760"/>
      <c r="G9072" s="760"/>
      <c r="H9072" s="760"/>
      <c r="I9072" s="760"/>
      <c r="J9072" s="760"/>
      <c r="K9072" s="760"/>
    </row>
    <row r="9073" spans="1:11">
      <c r="A9073" s="760"/>
      <c r="B9073" s="760"/>
      <c r="C9073" s="760"/>
      <c r="D9073" s="760"/>
      <c r="E9073" s="760"/>
      <c r="F9073" s="760"/>
      <c r="G9073" s="760"/>
      <c r="H9073" s="760"/>
      <c r="I9073" s="760"/>
      <c r="J9073" s="760"/>
      <c r="K9073" s="760"/>
    </row>
    <row r="9074" spans="1:11">
      <c r="A9074" s="760"/>
      <c r="B9074" s="760"/>
      <c r="C9074" s="760"/>
      <c r="D9074" s="760"/>
      <c r="E9074" s="760"/>
      <c r="F9074" s="760"/>
      <c r="G9074" s="760"/>
      <c r="H9074" s="760"/>
      <c r="I9074" s="760"/>
      <c r="J9074" s="760"/>
      <c r="K9074" s="760"/>
    </row>
    <row r="9075" spans="1:11">
      <c r="A9075" s="760"/>
      <c r="B9075" s="760"/>
      <c r="C9075" s="760"/>
      <c r="D9075" s="760"/>
      <c r="E9075" s="760"/>
      <c r="F9075" s="760"/>
      <c r="G9075" s="760"/>
      <c r="H9075" s="760"/>
      <c r="I9075" s="760"/>
      <c r="J9075" s="760"/>
      <c r="K9075" s="760"/>
    </row>
    <row r="9076" spans="1:11">
      <c r="A9076" s="760"/>
      <c r="B9076" s="760"/>
      <c r="C9076" s="760"/>
      <c r="D9076" s="760"/>
      <c r="E9076" s="760"/>
      <c r="F9076" s="760"/>
      <c r="G9076" s="760"/>
      <c r="H9076" s="760"/>
      <c r="I9076" s="760"/>
      <c r="J9076" s="760"/>
      <c r="K9076" s="760"/>
    </row>
    <row r="9077" spans="1:11">
      <c r="A9077" s="760"/>
      <c r="B9077" s="760"/>
      <c r="C9077" s="760"/>
      <c r="D9077" s="760"/>
      <c r="E9077" s="760"/>
      <c r="F9077" s="760"/>
      <c r="G9077" s="760"/>
      <c r="H9077" s="760"/>
      <c r="I9077" s="760"/>
      <c r="J9077" s="760"/>
      <c r="K9077" s="760"/>
    </row>
    <row r="9078" spans="1:11">
      <c r="A9078" s="760"/>
      <c r="B9078" s="760"/>
      <c r="C9078" s="760"/>
      <c r="D9078" s="760"/>
      <c r="E9078" s="760"/>
      <c r="F9078" s="760"/>
      <c r="G9078" s="760"/>
      <c r="H9078" s="760"/>
      <c r="I9078" s="760"/>
      <c r="J9078" s="760"/>
      <c r="K9078" s="760"/>
    </row>
    <row r="9079" spans="1:11">
      <c r="A9079" s="760"/>
      <c r="B9079" s="760"/>
      <c r="C9079" s="760"/>
      <c r="D9079" s="760"/>
      <c r="E9079" s="760"/>
      <c r="F9079" s="760"/>
      <c r="G9079" s="760"/>
      <c r="H9079" s="760"/>
      <c r="I9079" s="760"/>
      <c r="J9079" s="760"/>
      <c r="K9079" s="760"/>
    </row>
    <row r="9080" spans="1:11">
      <c r="A9080" s="760"/>
      <c r="B9080" s="760"/>
      <c r="C9080" s="760"/>
      <c r="D9080" s="760"/>
      <c r="E9080" s="760"/>
      <c r="F9080" s="760"/>
      <c r="G9080" s="760"/>
      <c r="H9080" s="760"/>
      <c r="I9080" s="760"/>
      <c r="J9080" s="760"/>
      <c r="K9080" s="760"/>
    </row>
    <row r="9081" spans="1:11">
      <c r="A9081" s="760"/>
      <c r="B9081" s="760"/>
      <c r="C9081" s="760"/>
      <c r="D9081" s="760"/>
      <c r="E9081" s="760"/>
      <c r="F9081" s="760"/>
      <c r="G9081" s="760"/>
      <c r="H9081" s="760"/>
      <c r="I9081" s="760"/>
      <c r="J9081" s="760"/>
      <c r="K9081" s="760"/>
    </row>
    <row r="9082" spans="1:11">
      <c r="A9082" s="760"/>
      <c r="B9082" s="760"/>
      <c r="C9082" s="760"/>
      <c r="D9082" s="760"/>
      <c r="E9082" s="760"/>
      <c r="F9082" s="760"/>
      <c r="G9082" s="760"/>
      <c r="H9082" s="760"/>
      <c r="I9082" s="760"/>
      <c r="J9082" s="760"/>
      <c r="K9082" s="760"/>
    </row>
    <row r="9083" spans="1:11">
      <c r="A9083" s="760"/>
      <c r="B9083" s="760"/>
      <c r="C9083" s="760"/>
      <c r="D9083" s="760"/>
      <c r="E9083" s="760"/>
      <c r="F9083" s="760"/>
      <c r="G9083" s="760"/>
      <c r="H9083" s="760"/>
      <c r="I9083" s="760"/>
      <c r="J9083" s="760"/>
      <c r="K9083" s="760"/>
    </row>
    <row r="9084" spans="1:11">
      <c r="A9084" s="760"/>
      <c r="B9084" s="760"/>
      <c r="C9084" s="760"/>
      <c r="D9084" s="760"/>
      <c r="E9084" s="760"/>
      <c r="F9084" s="760"/>
      <c r="G9084" s="760"/>
      <c r="H9084" s="760"/>
      <c r="I9084" s="760"/>
      <c r="J9084" s="760"/>
      <c r="K9084" s="760"/>
    </row>
    <row r="9085" spans="1:11">
      <c r="A9085" s="760"/>
      <c r="B9085" s="760"/>
      <c r="C9085" s="760"/>
      <c r="D9085" s="760"/>
      <c r="E9085" s="760"/>
      <c r="F9085" s="760"/>
      <c r="G9085" s="760"/>
      <c r="H9085" s="760"/>
      <c r="I9085" s="760"/>
      <c r="J9085" s="760"/>
      <c r="K9085" s="760"/>
    </row>
    <row r="9086" spans="1:11">
      <c r="A9086" s="760"/>
      <c r="B9086" s="760"/>
      <c r="C9086" s="760"/>
      <c r="D9086" s="760"/>
      <c r="E9086" s="760"/>
      <c r="F9086" s="760"/>
      <c r="G9086" s="760"/>
      <c r="H9086" s="760"/>
      <c r="I9086" s="760"/>
      <c r="J9086" s="760"/>
      <c r="K9086" s="760"/>
    </row>
    <row r="9087" spans="1:11">
      <c r="A9087" s="760"/>
      <c r="B9087" s="760"/>
      <c r="C9087" s="760"/>
      <c r="D9087" s="760"/>
      <c r="E9087" s="760"/>
      <c r="F9087" s="760"/>
      <c r="G9087" s="760"/>
      <c r="H9087" s="760"/>
      <c r="I9087" s="760"/>
      <c r="J9087" s="760"/>
      <c r="K9087" s="760"/>
    </row>
    <row r="9088" spans="1:11">
      <c r="A9088" s="760"/>
      <c r="B9088" s="760"/>
      <c r="C9088" s="760"/>
      <c r="D9088" s="760"/>
      <c r="E9088" s="760"/>
      <c r="F9088" s="760"/>
      <c r="G9088" s="760"/>
      <c r="H9088" s="760"/>
      <c r="I9088" s="760"/>
      <c r="J9088" s="760"/>
      <c r="K9088" s="760"/>
    </row>
    <row r="9089" spans="1:11">
      <c r="A9089" s="760"/>
      <c r="B9089" s="760"/>
      <c r="C9089" s="760"/>
      <c r="D9089" s="760"/>
      <c r="E9089" s="760"/>
      <c r="F9089" s="760"/>
      <c r="G9089" s="760"/>
      <c r="H9089" s="760"/>
      <c r="I9089" s="760"/>
      <c r="J9089" s="760"/>
      <c r="K9089" s="760"/>
    </row>
    <row r="9090" spans="1:11">
      <c r="A9090" s="760"/>
      <c r="B9090" s="760"/>
      <c r="C9090" s="760"/>
      <c r="D9090" s="760"/>
      <c r="E9090" s="760"/>
      <c r="F9090" s="760"/>
      <c r="G9090" s="760"/>
      <c r="H9090" s="760"/>
      <c r="I9090" s="760"/>
      <c r="J9090" s="760"/>
      <c r="K9090" s="760"/>
    </row>
    <row r="9091" spans="1:11">
      <c r="A9091" s="760"/>
      <c r="B9091" s="760"/>
      <c r="C9091" s="760"/>
      <c r="D9091" s="760"/>
      <c r="E9091" s="760"/>
      <c r="F9091" s="760"/>
      <c r="G9091" s="760"/>
      <c r="H9091" s="760"/>
      <c r="I9091" s="760"/>
      <c r="J9091" s="760"/>
      <c r="K9091" s="760"/>
    </row>
    <row r="9092" spans="1:11">
      <c r="A9092" s="760"/>
      <c r="B9092" s="760"/>
      <c r="C9092" s="760"/>
      <c r="D9092" s="760"/>
      <c r="E9092" s="760"/>
      <c r="F9092" s="760"/>
      <c r="G9092" s="760"/>
      <c r="H9092" s="760"/>
      <c r="I9092" s="760"/>
      <c r="J9092" s="760"/>
      <c r="K9092" s="760"/>
    </row>
    <row r="9093" spans="1:11">
      <c r="A9093" s="760"/>
      <c r="B9093" s="760"/>
      <c r="C9093" s="760"/>
      <c r="D9093" s="760"/>
      <c r="E9093" s="760"/>
      <c r="F9093" s="760"/>
      <c r="G9093" s="760"/>
      <c r="H9093" s="760"/>
      <c r="I9093" s="760"/>
      <c r="J9093" s="760"/>
      <c r="K9093" s="760"/>
    </row>
    <row r="9094" spans="1:11">
      <c r="A9094" s="760"/>
      <c r="B9094" s="760"/>
      <c r="C9094" s="760"/>
      <c r="D9094" s="760"/>
      <c r="E9094" s="760"/>
      <c r="F9094" s="760"/>
      <c r="G9094" s="760"/>
      <c r="H9094" s="760"/>
      <c r="I9094" s="760"/>
      <c r="J9094" s="760"/>
      <c r="K9094" s="760"/>
    </row>
    <row r="9095" spans="1:11">
      <c r="A9095" s="760"/>
      <c r="B9095" s="760"/>
      <c r="C9095" s="760"/>
      <c r="D9095" s="760"/>
      <c r="E9095" s="760"/>
      <c r="F9095" s="760"/>
      <c r="G9095" s="760"/>
      <c r="H9095" s="760"/>
      <c r="I9095" s="760"/>
      <c r="J9095" s="760"/>
      <c r="K9095" s="760"/>
    </row>
    <row r="9096" spans="1:11">
      <c r="A9096" s="760"/>
      <c r="B9096" s="760"/>
      <c r="C9096" s="760"/>
      <c r="D9096" s="760"/>
      <c r="E9096" s="760"/>
      <c r="F9096" s="760"/>
      <c r="G9096" s="760"/>
      <c r="H9096" s="760"/>
      <c r="I9096" s="760"/>
      <c r="J9096" s="760"/>
      <c r="K9096" s="760"/>
    </row>
    <row r="9097" spans="1:11">
      <c r="A9097" s="760"/>
      <c r="B9097" s="760"/>
      <c r="C9097" s="760"/>
      <c r="D9097" s="760"/>
      <c r="E9097" s="760"/>
      <c r="F9097" s="760"/>
      <c r="G9097" s="760"/>
      <c r="H9097" s="760"/>
      <c r="I9097" s="760"/>
      <c r="J9097" s="760"/>
      <c r="K9097" s="760"/>
    </row>
    <row r="9098" spans="1:11">
      <c r="A9098" s="760"/>
      <c r="B9098" s="760"/>
      <c r="C9098" s="760"/>
      <c r="D9098" s="760"/>
      <c r="E9098" s="760"/>
      <c r="F9098" s="760"/>
      <c r="G9098" s="760"/>
      <c r="H9098" s="760"/>
      <c r="I9098" s="760"/>
      <c r="J9098" s="760"/>
      <c r="K9098" s="760"/>
    </row>
    <row r="9099" spans="1:11">
      <c r="A9099" s="760"/>
      <c r="B9099" s="760"/>
      <c r="C9099" s="760"/>
      <c r="D9099" s="760"/>
      <c r="E9099" s="760"/>
      <c r="F9099" s="760"/>
      <c r="G9099" s="760"/>
      <c r="H9099" s="760"/>
      <c r="I9099" s="760"/>
      <c r="J9099" s="760"/>
      <c r="K9099" s="760"/>
    </row>
    <row r="9100" spans="1:11">
      <c r="A9100" s="760"/>
      <c r="B9100" s="760"/>
      <c r="C9100" s="760"/>
      <c r="D9100" s="760"/>
      <c r="E9100" s="760"/>
      <c r="F9100" s="760"/>
      <c r="G9100" s="760"/>
      <c r="H9100" s="760"/>
      <c r="I9100" s="760"/>
      <c r="J9100" s="760"/>
      <c r="K9100" s="760"/>
    </row>
    <row r="9101" spans="1:11">
      <c r="A9101" s="760"/>
      <c r="B9101" s="760"/>
      <c r="C9101" s="760"/>
      <c r="D9101" s="760"/>
      <c r="E9101" s="760"/>
      <c r="F9101" s="760"/>
      <c r="G9101" s="760"/>
      <c r="H9101" s="760"/>
      <c r="I9101" s="760"/>
      <c r="J9101" s="760"/>
      <c r="K9101" s="760"/>
    </row>
    <row r="9102" spans="1:11">
      <c r="A9102" s="760"/>
      <c r="B9102" s="760"/>
      <c r="C9102" s="760"/>
      <c r="D9102" s="760"/>
      <c r="E9102" s="760"/>
      <c r="F9102" s="760"/>
      <c r="G9102" s="760"/>
      <c r="H9102" s="760"/>
      <c r="I9102" s="760"/>
      <c r="J9102" s="760"/>
      <c r="K9102" s="760"/>
    </row>
    <row r="9103" spans="1:11">
      <c r="A9103" s="760"/>
      <c r="B9103" s="760"/>
      <c r="C9103" s="760"/>
      <c r="D9103" s="760"/>
      <c r="E9103" s="760"/>
      <c r="F9103" s="760"/>
      <c r="G9103" s="760"/>
      <c r="H9103" s="760"/>
      <c r="I9103" s="760"/>
      <c r="J9103" s="760"/>
      <c r="K9103" s="760"/>
    </row>
    <row r="9104" spans="1:11">
      <c r="A9104" s="760"/>
      <c r="B9104" s="760"/>
      <c r="C9104" s="760"/>
      <c r="D9104" s="760"/>
      <c r="E9104" s="760"/>
      <c r="F9104" s="760"/>
      <c r="G9104" s="760"/>
      <c r="H9104" s="760"/>
      <c r="I9104" s="760"/>
      <c r="J9104" s="760"/>
      <c r="K9104" s="760"/>
    </row>
    <row r="9105" spans="1:11">
      <c r="A9105" s="760"/>
      <c r="B9105" s="760"/>
      <c r="C9105" s="760"/>
      <c r="D9105" s="760"/>
      <c r="E9105" s="760"/>
      <c r="F9105" s="760"/>
      <c r="G9105" s="760"/>
      <c r="H9105" s="760"/>
      <c r="I9105" s="760"/>
      <c r="J9105" s="760"/>
      <c r="K9105" s="760"/>
    </row>
    <row r="9106" spans="1:11">
      <c r="A9106" s="760"/>
      <c r="B9106" s="760"/>
      <c r="C9106" s="760"/>
      <c r="D9106" s="760"/>
      <c r="E9106" s="760"/>
      <c r="F9106" s="760"/>
      <c r="G9106" s="760"/>
      <c r="H9106" s="760"/>
      <c r="I9106" s="760"/>
      <c r="J9106" s="760"/>
      <c r="K9106" s="760"/>
    </row>
    <row r="9107" spans="1:11">
      <c r="A9107" s="760"/>
      <c r="B9107" s="760"/>
      <c r="C9107" s="760"/>
      <c r="D9107" s="760"/>
      <c r="E9107" s="760"/>
      <c r="F9107" s="760"/>
      <c r="G9107" s="760"/>
      <c r="H9107" s="760"/>
      <c r="I9107" s="760"/>
      <c r="J9107" s="760"/>
      <c r="K9107" s="760"/>
    </row>
    <row r="9108" spans="1:11">
      <c r="A9108" s="760"/>
      <c r="B9108" s="760"/>
      <c r="C9108" s="760"/>
      <c r="D9108" s="760"/>
      <c r="E9108" s="760"/>
      <c r="F9108" s="760"/>
      <c r="G9108" s="760"/>
      <c r="H9108" s="760"/>
      <c r="I9108" s="760"/>
      <c r="J9108" s="760"/>
      <c r="K9108" s="760"/>
    </row>
    <row r="9109" spans="1:11">
      <c r="A9109" s="760"/>
      <c r="B9109" s="760"/>
      <c r="C9109" s="760"/>
      <c r="D9109" s="760"/>
      <c r="E9109" s="760"/>
      <c r="F9109" s="760"/>
      <c r="G9109" s="760"/>
      <c r="H9109" s="760"/>
      <c r="I9109" s="760"/>
      <c r="J9109" s="760"/>
      <c r="K9109" s="760"/>
    </row>
    <row r="9110" spans="1:11">
      <c r="A9110" s="760"/>
      <c r="B9110" s="760"/>
      <c r="C9110" s="760"/>
      <c r="D9110" s="760"/>
      <c r="E9110" s="760"/>
      <c r="F9110" s="760"/>
      <c r="G9110" s="760"/>
      <c r="H9110" s="760"/>
      <c r="I9110" s="760"/>
      <c r="J9110" s="760"/>
      <c r="K9110" s="760"/>
    </row>
    <row r="9111" spans="1:11">
      <c r="A9111" s="760"/>
      <c r="B9111" s="760"/>
      <c r="C9111" s="760"/>
      <c r="D9111" s="760"/>
      <c r="E9111" s="760"/>
      <c r="F9111" s="760"/>
      <c r="G9111" s="760"/>
      <c r="H9111" s="760"/>
      <c r="I9111" s="760"/>
      <c r="J9111" s="760"/>
      <c r="K9111" s="760"/>
    </row>
    <row r="9112" spans="1:11">
      <c r="A9112" s="760"/>
      <c r="B9112" s="760"/>
      <c r="C9112" s="760"/>
      <c r="D9112" s="760"/>
      <c r="E9112" s="760"/>
      <c r="F9112" s="760"/>
      <c r="G9112" s="760"/>
      <c r="H9112" s="760"/>
      <c r="I9112" s="760"/>
      <c r="J9112" s="760"/>
      <c r="K9112" s="760"/>
    </row>
    <row r="9113" spans="1:11">
      <c r="A9113" s="760"/>
      <c r="B9113" s="760"/>
      <c r="C9113" s="760"/>
      <c r="D9113" s="760"/>
      <c r="E9113" s="760"/>
      <c r="F9113" s="760"/>
      <c r="G9113" s="760"/>
      <c r="H9113" s="760"/>
      <c r="I9113" s="760"/>
      <c r="J9113" s="760"/>
      <c r="K9113" s="760"/>
    </row>
    <row r="9114" spans="1:11">
      <c r="A9114" s="760"/>
      <c r="B9114" s="760"/>
      <c r="C9114" s="760"/>
      <c r="D9114" s="760"/>
      <c r="E9114" s="760"/>
      <c r="F9114" s="760"/>
      <c r="G9114" s="760"/>
      <c r="H9114" s="760"/>
      <c r="I9114" s="760"/>
      <c r="J9114" s="760"/>
      <c r="K9114" s="760"/>
    </row>
    <row r="9115" spans="1:11">
      <c r="A9115" s="760"/>
      <c r="B9115" s="760"/>
      <c r="C9115" s="760"/>
      <c r="D9115" s="760"/>
      <c r="E9115" s="760"/>
      <c r="F9115" s="760"/>
      <c r="G9115" s="760"/>
      <c r="H9115" s="760"/>
      <c r="I9115" s="760"/>
      <c r="J9115" s="760"/>
      <c r="K9115" s="760"/>
    </row>
    <row r="9116" spans="1:11">
      <c r="A9116" s="760"/>
      <c r="B9116" s="760"/>
      <c r="C9116" s="760"/>
      <c r="D9116" s="760"/>
      <c r="E9116" s="760"/>
      <c r="F9116" s="760"/>
      <c r="G9116" s="760"/>
      <c r="H9116" s="760"/>
      <c r="I9116" s="760"/>
      <c r="J9116" s="760"/>
      <c r="K9116" s="760"/>
    </row>
    <row r="9117" spans="1:11">
      <c r="A9117" s="760"/>
      <c r="B9117" s="760"/>
      <c r="C9117" s="760"/>
      <c r="D9117" s="760"/>
      <c r="E9117" s="760"/>
      <c r="F9117" s="760"/>
      <c r="G9117" s="760"/>
      <c r="H9117" s="760"/>
      <c r="I9117" s="760"/>
      <c r="J9117" s="760"/>
      <c r="K9117" s="760"/>
    </row>
    <row r="9118" spans="1:11">
      <c r="A9118" s="760"/>
      <c r="B9118" s="760"/>
      <c r="C9118" s="760"/>
      <c r="D9118" s="760"/>
      <c r="E9118" s="760"/>
      <c r="F9118" s="760"/>
      <c r="G9118" s="760"/>
      <c r="H9118" s="760"/>
      <c r="I9118" s="760"/>
      <c r="J9118" s="760"/>
      <c r="K9118" s="760"/>
    </row>
    <row r="9119" spans="1:11">
      <c r="A9119" s="760"/>
      <c r="B9119" s="760"/>
      <c r="C9119" s="760"/>
      <c r="D9119" s="760"/>
      <c r="E9119" s="760"/>
      <c r="F9119" s="760"/>
      <c r="G9119" s="760"/>
      <c r="H9119" s="760"/>
      <c r="I9119" s="760"/>
      <c r="J9119" s="760"/>
      <c r="K9119" s="760"/>
    </row>
    <row r="9120" spans="1:11">
      <c r="A9120" s="760"/>
      <c r="B9120" s="760"/>
      <c r="C9120" s="760"/>
      <c r="D9120" s="760"/>
      <c r="E9120" s="760"/>
      <c r="F9120" s="760"/>
      <c r="G9120" s="760"/>
      <c r="H9120" s="760"/>
      <c r="I9120" s="760"/>
      <c r="J9120" s="760"/>
      <c r="K9120" s="760"/>
    </row>
    <row r="9121" spans="1:11">
      <c r="A9121" s="760"/>
      <c r="B9121" s="760"/>
      <c r="C9121" s="760"/>
      <c r="D9121" s="760"/>
      <c r="E9121" s="760"/>
      <c r="F9121" s="760"/>
      <c r="G9121" s="760"/>
      <c r="H9121" s="760"/>
      <c r="I9121" s="760"/>
      <c r="J9121" s="760"/>
      <c r="K9121" s="760"/>
    </row>
    <row r="9122" spans="1:11">
      <c r="A9122" s="760"/>
      <c r="B9122" s="760"/>
      <c r="C9122" s="760"/>
      <c r="D9122" s="760"/>
      <c r="E9122" s="760"/>
      <c r="F9122" s="760"/>
      <c r="G9122" s="760"/>
      <c r="H9122" s="760"/>
      <c r="I9122" s="760"/>
      <c r="J9122" s="760"/>
      <c r="K9122" s="760"/>
    </row>
    <row r="9123" spans="1:11">
      <c r="A9123" s="760"/>
      <c r="B9123" s="760"/>
      <c r="C9123" s="760"/>
      <c r="D9123" s="760"/>
      <c r="E9123" s="760"/>
      <c r="F9123" s="760"/>
      <c r="G9123" s="760"/>
      <c r="H9123" s="760"/>
      <c r="I9123" s="760"/>
      <c r="J9123" s="760"/>
      <c r="K9123" s="760"/>
    </row>
    <row r="9124" spans="1:11">
      <c r="A9124" s="760"/>
      <c r="B9124" s="760"/>
      <c r="C9124" s="760"/>
      <c r="D9124" s="760"/>
      <c r="E9124" s="760"/>
      <c r="F9124" s="760"/>
      <c r="G9124" s="760"/>
      <c r="H9124" s="760"/>
      <c r="I9124" s="760"/>
      <c r="J9124" s="760"/>
      <c r="K9124" s="760"/>
    </row>
    <row r="9125" spans="1:11">
      <c r="A9125" s="760"/>
      <c r="B9125" s="760"/>
      <c r="C9125" s="760"/>
      <c r="D9125" s="760"/>
      <c r="E9125" s="760"/>
      <c r="F9125" s="760"/>
      <c r="G9125" s="760"/>
      <c r="H9125" s="760"/>
      <c r="I9125" s="760"/>
      <c r="J9125" s="760"/>
      <c r="K9125" s="760"/>
    </row>
    <row r="9126" spans="1:11">
      <c r="A9126" s="760"/>
      <c r="B9126" s="760"/>
      <c r="C9126" s="760"/>
      <c r="D9126" s="760"/>
      <c r="E9126" s="760"/>
      <c r="F9126" s="760"/>
      <c r="G9126" s="760"/>
      <c r="H9126" s="760"/>
      <c r="I9126" s="760"/>
      <c r="J9126" s="760"/>
      <c r="K9126" s="760"/>
    </row>
    <row r="9127" spans="1:11">
      <c r="A9127" s="760"/>
      <c r="B9127" s="760"/>
      <c r="C9127" s="760"/>
      <c r="D9127" s="760"/>
      <c r="E9127" s="760"/>
      <c r="F9127" s="760"/>
      <c r="G9127" s="760"/>
      <c r="H9127" s="760"/>
      <c r="I9127" s="760"/>
      <c r="J9127" s="760"/>
      <c r="K9127" s="760"/>
    </row>
    <row r="9128" spans="1:11">
      <c r="A9128" s="760"/>
      <c r="B9128" s="760"/>
      <c r="C9128" s="760"/>
      <c r="D9128" s="760"/>
      <c r="E9128" s="760"/>
      <c r="F9128" s="760"/>
      <c r="G9128" s="760"/>
      <c r="H9128" s="760"/>
      <c r="I9128" s="760"/>
      <c r="J9128" s="760"/>
      <c r="K9128" s="760"/>
    </row>
    <row r="9129" spans="1:11">
      <c r="A9129" s="760"/>
      <c r="B9129" s="760"/>
      <c r="C9129" s="760"/>
      <c r="D9129" s="760"/>
      <c r="E9129" s="760"/>
      <c r="F9129" s="760"/>
      <c r="G9129" s="760"/>
      <c r="H9129" s="760"/>
      <c r="I9129" s="760"/>
      <c r="J9129" s="760"/>
      <c r="K9129" s="760"/>
    </row>
    <row r="9130" spans="1:11">
      <c r="A9130" s="760"/>
      <c r="B9130" s="760"/>
      <c r="C9130" s="760"/>
      <c r="D9130" s="760"/>
      <c r="E9130" s="760"/>
      <c r="F9130" s="760"/>
      <c r="G9130" s="760"/>
      <c r="H9130" s="760"/>
      <c r="I9130" s="760"/>
      <c r="J9130" s="760"/>
      <c r="K9130" s="760"/>
    </row>
    <row r="9131" spans="1:11">
      <c r="A9131" s="760"/>
      <c r="B9131" s="760"/>
      <c r="C9131" s="760"/>
      <c r="D9131" s="760"/>
      <c r="E9131" s="760"/>
      <c r="F9131" s="760"/>
      <c r="G9131" s="760"/>
      <c r="H9131" s="760"/>
      <c r="I9131" s="760"/>
      <c r="J9131" s="760"/>
      <c r="K9131" s="760"/>
    </row>
    <row r="9132" spans="1:11">
      <c r="A9132" s="760"/>
      <c r="B9132" s="760"/>
      <c r="C9132" s="760"/>
      <c r="D9132" s="760"/>
      <c r="E9132" s="760"/>
      <c r="F9132" s="760"/>
      <c r="G9132" s="760"/>
      <c r="H9132" s="760"/>
      <c r="I9132" s="760"/>
      <c r="J9132" s="760"/>
      <c r="K9132" s="760"/>
    </row>
    <row r="9133" spans="1:11">
      <c r="A9133" s="760"/>
      <c r="B9133" s="760"/>
      <c r="C9133" s="760"/>
      <c r="D9133" s="760"/>
      <c r="E9133" s="760"/>
      <c r="F9133" s="760"/>
      <c r="G9133" s="760"/>
      <c r="H9133" s="760"/>
      <c r="I9133" s="760"/>
      <c r="J9133" s="760"/>
      <c r="K9133" s="760"/>
    </row>
    <row r="9134" spans="1:11">
      <c r="A9134" s="760"/>
      <c r="B9134" s="760"/>
      <c r="C9134" s="760"/>
      <c r="D9134" s="760"/>
      <c r="E9134" s="760"/>
      <c r="F9134" s="760"/>
      <c r="G9134" s="760"/>
      <c r="H9134" s="760"/>
      <c r="I9134" s="760"/>
      <c r="J9134" s="760"/>
      <c r="K9134" s="760"/>
    </row>
    <row r="9135" spans="1:11">
      <c r="A9135" s="760"/>
      <c r="B9135" s="760"/>
      <c r="C9135" s="760"/>
      <c r="D9135" s="760"/>
      <c r="E9135" s="760"/>
      <c r="F9135" s="760"/>
      <c r="G9135" s="760"/>
      <c r="H9135" s="760"/>
      <c r="I9135" s="760"/>
      <c r="J9135" s="760"/>
      <c r="K9135" s="760"/>
    </row>
    <row r="9136" spans="1:11">
      <c r="A9136" s="760"/>
      <c r="B9136" s="760"/>
      <c r="C9136" s="760"/>
      <c r="D9136" s="760"/>
      <c r="E9136" s="760"/>
      <c r="F9136" s="760"/>
      <c r="G9136" s="760"/>
      <c r="H9136" s="760"/>
      <c r="I9136" s="760"/>
      <c r="J9136" s="760"/>
      <c r="K9136" s="760"/>
    </row>
    <row r="9137" spans="1:11">
      <c r="A9137" s="760"/>
      <c r="B9137" s="760"/>
      <c r="C9137" s="760"/>
      <c r="D9137" s="760"/>
      <c r="E9137" s="760"/>
      <c r="F9137" s="760"/>
      <c r="G9137" s="760"/>
      <c r="H9137" s="760"/>
      <c r="I9137" s="760"/>
      <c r="J9137" s="760"/>
      <c r="K9137" s="760"/>
    </row>
    <row r="9138" spans="1:11">
      <c r="A9138" s="760"/>
      <c r="B9138" s="760"/>
      <c r="C9138" s="760"/>
      <c r="D9138" s="760"/>
      <c r="E9138" s="760"/>
      <c r="F9138" s="760"/>
      <c r="G9138" s="760"/>
      <c r="H9138" s="760"/>
      <c r="I9138" s="760"/>
      <c r="J9138" s="760"/>
      <c r="K9138" s="760"/>
    </row>
    <row r="9139" spans="1:11">
      <c r="A9139" s="760"/>
      <c r="B9139" s="760"/>
      <c r="C9139" s="760"/>
      <c r="D9139" s="760"/>
      <c r="E9139" s="760"/>
      <c r="F9139" s="760"/>
      <c r="G9139" s="760"/>
      <c r="H9139" s="760"/>
      <c r="I9139" s="760"/>
      <c r="J9139" s="760"/>
      <c r="K9139" s="760"/>
    </row>
    <row r="9140" spans="1:11">
      <c r="A9140" s="760"/>
      <c r="B9140" s="760"/>
      <c r="C9140" s="760"/>
      <c r="D9140" s="760"/>
      <c r="E9140" s="760"/>
      <c r="F9140" s="760"/>
      <c r="G9140" s="760"/>
      <c r="H9140" s="760"/>
      <c r="I9140" s="760"/>
      <c r="J9140" s="760"/>
      <c r="K9140" s="760"/>
    </row>
    <row r="9141" spans="1:11">
      <c r="A9141" s="760"/>
      <c r="B9141" s="760"/>
      <c r="C9141" s="760"/>
      <c r="D9141" s="760"/>
      <c r="E9141" s="760"/>
      <c r="F9141" s="760"/>
      <c r="G9141" s="760"/>
      <c r="H9141" s="760"/>
      <c r="I9141" s="760"/>
      <c r="J9141" s="760"/>
      <c r="K9141" s="760"/>
    </row>
    <row r="9142" spans="1:11">
      <c r="A9142" s="760"/>
      <c r="B9142" s="760"/>
      <c r="C9142" s="760"/>
      <c r="D9142" s="760"/>
      <c r="E9142" s="760"/>
      <c r="F9142" s="760"/>
      <c r="G9142" s="760"/>
      <c r="H9142" s="760"/>
      <c r="I9142" s="760"/>
      <c r="J9142" s="760"/>
      <c r="K9142" s="760"/>
    </row>
    <row r="9143" spans="1:11">
      <c r="A9143" s="760"/>
      <c r="B9143" s="760"/>
      <c r="C9143" s="760"/>
      <c r="D9143" s="760"/>
      <c r="E9143" s="760"/>
      <c r="F9143" s="760"/>
      <c r="G9143" s="760"/>
      <c r="H9143" s="760"/>
      <c r="I9143" s="760"/>
      <c r="J9143" s="760"/>
      <c r="K9143" s="760"/>
    </row>
    <row r="9144" spans="1:11">
      <c r="A9144" s="760"/>
      <c r="B9144" s="760"/>
      <c r="C9144" s="760"/>
      <c r="D9144" s="760"/>
      <c r="E9144" s="760"/>
      <c r="F9144" s="760"/>
      <c r="G9144" s="760"/>
      <c r="H9144" s="760"/>
      <c r="I9144" s="760"/>
      <c r="J9144" s="760"/>
      <c r="K9144" s="760"/>
    </row>
    <row r="9145" spans="1:11">
      <c r="A9145" s="760"/>
      <c r="B9145" s="760"/>
      <c r="C9145" s="760"/>
      <c r="D9145" s="760"/>
      <c r="E9145" s="760"/>
      <c r="F9145" s="760"/>
      <c r="G9145" s="760"/>
      <c r="H9145" s="760"/>
      <c r="I9145" s="760"/>
      <c r="J9145" s="760"/>
      <c r="K9145" s="760"/>
    </row>
    <row r="9146" spans="1:11">
      <c r="A9146" s="760"/>
      <c r="B9146" s="760"/>
      <c r="C9146" s="760"/>
      <c r="D9146" s="760"/>
      <c r="E9146" s="760"/>
      <c r="F9146" s="760"/>
      <c r="G9146" s="760"/>
      <c r="H9146" s="760"/>
      <c r="I9146" s="760"/>
      <c r="J9146" s="760"/>
      <c r="K9146" s="760"/>
    </row>
    <row r="9147" spans="1:11">
      <c r="A9147" s="760"/>
      <c r="B9147" s="760"/>
      <c r="C9147" s="760"/>
      <c r="D9147" s="760"/>
      <c r="E9147" s="760"/>
      <c r="F9147" s="760"/>
      <c r="G9147" s="760"/>
      <c r="H9147" s="760"/>
      <c r="I9147" s="760"/>
      <c r="J9147" s="760"/>
      <c r="K9147" s="760"/>
    </row>
    <row r="9148" spans="1:11">
      <c r="A9148" s="760"/>
      <c r="B9148" s="760"/>
      <c r="C9148" s="760"/>
      <c r="D9148" s="760"/>
      <c r="E9148" s="760"/>
      <c r="F9148" s="760"/>
      <c r="G9148" s="760"/>
      <c r="H9148" s="760"/>
      <c r="I9148" s="760"/>
      <c r="J9148" s="760"/>
      <c r="K9148" s="760"/>
    </row>
    <row r="9149" spans="1:11">
      <c r="A9149" s="760"/>
      <c r="B9149" s="760"/>
      <c r="C9149" s="760"/>
      <c r="D9149" s="760"/>
      <c r="E9149" s="760"/>
      <c r="F9149" s="760"/>
      <c r="G9149" s="760"/>
      <c r="H9149" s="760"/>
      <c r="I9149" s="760"/>
      <c r="J9149" s="760"/>
      <c r="K9149" s="760"/>
    </row>
    <row r="9150" spans="1:11">
      <c r="A9150" s="760"/>
      <c r="B9150" s="760"/>
      <c r="C9150" s="760"/>
      <c r="D9150" s="760"/>
      <c r="E9150" s="760"/>
      <c r="F9150" s="760"/>
      <c r="G9150" s="760"/>
      <c r="H9150" s="760"/>
      <c r="I9150" s="760"/>
      <c r="J9150" s="760"/>
      <c r="K9150" s="760"/>
    </row>
    <row r="9151" spans="1:11">
      <c r="A9151" s="760"/>
      <c r="B9151" s="760"/>
      <c r="C9151" s="760"/>
      <c r="D9151" s="760"/>
      <c r="E9151" s="760"/>
      <c r="F9151" s="760"/>
      <c r="G9151" s="760"/>
      <c r="H9151" s="760"/>
      <c r="I9151" s="760"/>
      <c r="J9151" s="760"/>
      <c r="K9151" s="760"/>
    </row>
    <row r="9152" spans="1:11">
      <c r="A9152" s="760"/>
      <c r="B9152" s="760"/>
      <c r="C9152" s="760"/>
      <c r="D9152" s="760"/>
      <c r="E9152" s="760"/>
      <c r="F9152" s="760"/>
      <c r="G9152" s="760"/>
      <c r="H9152" s="760"/>
      <c r="I9152" s="760"/>
      <c r="J9152" s="760"/>
      <c r="K9152" s="760"/>
    </row>
    <row r="9153" spans="1:11">
      <c r="A9153" s="760"/>
      <c r="B9153" s="760"/>
      <c r="C9153" s="760"/>
      <c r="D9153" s="760"/>
      <c r="E9153" s="760"/>
      <c r="F9153" s="760"/>
      <c r="G9153" s="760"/>
      <c r="H9153" s="760"/>
      <c r="I9153" s="760"/>
      <c r="J9153" s="760"/>
      <c r="K9153" s="760"/>
    </row>
    <row r="9154" spans="1:11">
      <c r="A9154" s="760"/>
      <c r="B9154" s="760"/>
      <c r="C9154" s="760"/>
      <c r="D9154" s="760"/>
      <c r="E9154" s="760"/>
      <c r="F9154" s="760"/>
      <c r="G9154" s="760"/>
      <c r="H9154" s="760"/>
      <c r="I9154" s="760"/>
      <c r="J9154" s="760"/>
      <c r="K9154" s="760"/>
    </row>
    <row r="9155" spans="1:11">
      <c r="A9155" s="760"/>
      <c r="B9155" s="760"/>
      <c r="C9155" s="760"/>
      <c r="D9155" s="760"/>
      <c r="E9155" s="760"/>
      <c r="F9155" s="760"/>
      <c r="G9155" s="760"/>
      <c r="H9155" s="760"/>
      <c r="I9155" s="760"/>
      <c r="J9155" s="760"/>
      <c r="K9155" s="760"/>
    </row>
    <row r="9156" spans="1:11">
      <c r="A9156" s="760"/>
      <c r="B9156" s="760"/>
      <c r="C9156" s="760"/>
      <c r="D9156" s="760"/>
      <c r="E9156" s="760"/>
      <c r="F9156" s="760"/>
      <c r="G9156" s="760"/>
      <c r="H9156" s="760"/>
      <c r="I9156" s="760"/>
      <c r="J9156" s="760"/>
      <c r="K9156" s="760"/>
    </row>
    <row r="9157" spans="1:11">
      <c r="A9157" s="760"/>
      <c r="B9157" s="760"/>
      <c r="C9157" s="760"/>
      <c r="D9157" s="760"/>
      <c r="E9157" s="760"/>
      <c r="F9157" s="760"/>
      <c r="G9157" s="760"/>
      <c r="H9157" s="760"/>
      <c r="I9157" s="760"/>
      <c r="J9157" s="760"/>
      <c r="K9157" s="760"/>
    </row>
    <row r="9158" spans="1:11">
      <c r="A9158" s="760"/>
      <c r="B9158" s="760"/>
      <c r="C9158" s="760"/>
      <c r="D9158" s="760"/>
      <c r="E9158" s="760"/>
      <c r="F9158" s="760"/>
      <c r="G9158" s="760"/>
      <c r="H9158" s="760"/>
      <c r="I9158" s="760"/>
      <c r="J9158" s="760"/>
      <c r="K9158" s="760"/>
    </row>
    <row r="9159" spans="1:11">
      <c r="A9159" s="760"/>
      <c r="B9159" s="760"/>
      <c r="C9159" s="760"/>
      <c r="D9159" s="760"/>
      <c r="E9159" s="760"/>
      <c r="F9159" s="760"/>
      <c r="G9159" s="760"/>
      <c r="H9159" s="760"/>
      <c r="I9159" s="760"/>
      <c r="J9159" s="760"/>
      <c r="K9159" s="760"/>
    </row>
    <row r="9160" spans="1:11">
      <c r="A9160" s="760"/>
      <c r="B9160" s="760"/>
      <c r="C9160" s="760"/>
      <c r="D9160" s="760"/>
      <c r="E9160" s="760"/>
      <c r="F9160" s="760"/>
      <c r="G9160" s="760"/>
      <c r="H9160" s="760"/>
      <c r="I9160" s="760"/>
      <c r="J9160" s="760"/>
      <c r="K9160" s="760"/>
    </row>
    <row r="9161" spans="1:11">
      <c r="A9161" s="760"/>
      <c r="B9161" s="760"/>
      <c r="C9161" s="760"/>
      <c r="D9161" s="760"/>
      <c r="E9161" s="760"/>
      <c r="F9161" s="760"/>
      <c r="G9161" s="760"/>
      <c r="H9161" s="760"/>
      <c r="I9161" s="760"/>
      <c r="J9161" s="760"/>
      <c r="K9161" s="760"/>
    </row>
    <row r="9162" spans="1:11">
      <c r="A9162" s="760"/>
      <c r="B9162" s="760"/>
      <c r="C9162" s="760"/>
      <c r="D9162" s="760"/>
      <c r="E9162" s="760"/>
      <c r="F9162" s="760"/>
      <c r="G9162" s="760"/>
      <c r="H9162" s="760"/>
      <c r="I9162" s="760"/>
      <c r="J9162" s="760"/>
      <c r="K9162" s="760"/>
    </row>
    <row r="9163" spans="1:11">
      <c r="A9163" s="760"/>
      <c r="B9163" s="760"/>
      <c r="C9163" s="760"/>
      <c r="D9163" s="760"/>
      <c r="E9163" s="760"/>
      <c r="F9163" s="760"/>
      <c r="G9163" s="760"/>
      <c r="H9163" s="760"/>
      <c r="I9163" s="760"/>
      <c r="J9163" s="760"/>
      <c r="K9163" s="760"/>
    </row>
    <row r="9164" spans="1:11">
      <c r="A9164" s="760"/>
      <c r="B9164" s="760"/>
      <c r="C9164" s="760"/>
      <c r="D9164" s="760"/>
      <c r="E9164" s="760"/>
      <c r="F9164" s="760"/>
      <c r="G9164" s="760"/>
      <c r="H9164" s="760"/>
      <c r="I9164" s="760"/>
      <c r="J9164" s="760"/>
      <c r="K9164" s="760"/>
    </row>
    <row r="9165" spans="1:11">
      <c r="A9165" s="760"/>
      <c r="B9165" s="760"/>
      <c r="C9165" s="760"/>
      <c r="D9165" s="760"/>
      <c r="E9165" s="760"/>
      <c r="F9165" s="760"/>
      <c r="G9165" s="760"/>
      <c r="H9165" s="760"/>
      <c r="I9165" s="760"/>
      <c r="J9165" s="760"/>
      <c r="K9165" s="760"/>
    </row>
    <row r="9166" spans="1:11">
      <c r="A9166" s="760"/>
      <c r="B9166" s="760"/>
      <c r="C9166" s="760"/>
      <c r="D9166" s="760"/>
      <c r="E9166" s="760"/>
      <c r="F9166" s="760"/>
      <c r="G9166" s="760"/>
      <c r="H9166" s="760"/>
      <c r="I9166" s="760"/>
      <c r="J9166" s="760"/>
      <c r="K9166" s="760"/>
    </row>
    <row r="9167" spans="1:11">
      <c r="A9167" s="760"/>
      <c r="B9167" s="760"/>
      <c r="C9167" s="760"/>
      <c r="D9167" s="760"/>
      <c r="E9167" s="760"/>
      <c r="F9167" s="760"/>
      <c r="G9167" s="760"/>
      <c r="H9167" s="760"/>
      <c r="I9167" s="760"/>
      <c r="J9167" s="760"/>
      <c r="K9167" s="760"/>
    </row>
    <row r="9168" spans="1:11">
      <c r="A9168" s="760"/>
      <c r="B9168" s="760"/>
      <c r="C9168" s="760"/>
      <c r="D9168" s="760"/>
      <c r="E9168" s="760"/>
      <c r="F9168" s="760"/>
      <c r="G9168" s="760"/>
      <c r="H9168" s="760"/>
      <c r="I9168" s="760"/>
      <c r="J9168" s="760"/>
      <c r="K9168" s="760"/>
    </row>
    <row r="9169" spans="1:11">
      <c r="A9169" s="760"/>
      <c r="B9169" s="760"/>
      <c r="C9169" s="760"/>
      <c r="D9169" s="760"/>
      <c r="E9169" s="760"/>
      <c r="F9169" s="760"/>
      <c r="G9169" s="760"/>
      <c r="H9169" s="760"/>
      <c r="I9169" s="760"/>
      <c r="J9169" s="760"/>
      <c r="K9169" s="760"/>
    </row>
    <row r="9170" spans="1:11">
      <c r="A9170" s="760"/>
      <c r="B9170" s="760"/>
      <c r="C9170" s="760"/>
      <c r="D9170" s="760"/>
      <c r="E9170" s="760"/>
      <c r="F9170" s="760"/>
      <c r="G9170" s="760"/>
      <c r="H9170" s="760"/>
      <c r="I9170" s="760"/>
      <c r="J9170" s="760"/>
      <c r="K9170" s="760"/>
    </row>
    <row r="9171" spans="1:11">
      <c r="A9171" s="760"/>
      <c r="B9171" s="760"/>
      <c r="C9171" s="760"/>
      <c r="D9171" s="760"/>
      <c r="E9171" s="760"/>
      <c r="F9171" s="760"/>
      <c r="G9171" s="760"/>
      <c r="H9171" s="760"/>
      <c r="I9171" s="760"/>
      <c r="J9171" s="760"/>
      <c r="K9171" s="760"/>
    </row>
    <row r="9172" spans="1:11">
      <c r="A9172" s="760"/>
      <c r="B9172" s="760"/>
      <c r="C9172" s="760"/>
      <c r="D9172" s="760"/>
      <c r="E9172" s="760"/>
      <c r="F9172" s="760"/>
      <c r="G9172" s="760"/>
      <c r="H9172" s="760"/>
      <c r="I9172" s="760"/>
      <c r="J9172" s="760"/>
      <c r="K9172" s="760"/>
    </row>
    <row r="9173" spans="1:11">
      <c r="A9173" s="760"/>
      <c r="B9173" s="760"/>
      <c r="C9173" s="760"/>
      <c r="D9173" s="760"/>
      <c r="E9173" s="760"/>
      <c r="F9173" s="760"/>
      <c r="G9173" s="760"/>
      <c r="H9173" s="760"/>
      <c r="I9173" s="760"/>
      <c r="J9173" s="760"/>
      <c r="K9173" s="760"/>
    </row>
    <row r="9174" spans="1:11">
      <c r="A9174" s="760"/>
      <c r="B9174" s="760"/>
      <c r="C9174" s="760"/>
      <c r="D9174" s="760"/>
      <c r="E9174" s="760"/>
      <c r="F9174" s="760"/>
      <c r="G9174" s="760"/>
      <c r="H9174" s="760"/>
      <c r="I9174" s="760"/>
      <c r="J9174" s="760"/>
      <c r="K9174" s="760"/>
    </row>
    <row r="9175" spans="1:11">
      <c r="A9175" s="760"/>
      <c r="B9175" s="760"/>
      <c r="C9175" s="760"/>
      <c r="D9175" s="760"/>
      <c r="E9175" s="760"/>
      <c r="F9175" s="760"/>
      <c r="G9175" s="760"/>
      <c r="H9175" s="760"/>
      <c r="I9175" s="760"/>
      <c r="J9175" s="760"/>
      <c r="K9175" s="760"/>
    </row>
    <row r="9176" spans="1:11">
      <c r="A9176" s="760"/>
      <c r="B9176" s="760"/>
      <c r="C9176" s="760"/>
      <c r="D9176" s="760"/>
      <c r="E9176" s="760"/>
      <c r="F9176" s="760"/>
      <c r="G9176" s="760"/>
      <c r="H9176" s="760"/>
      <c r="I9176" s="760"/>
      <c r="J9176" s="760"/>
      <c r="K9176" s="760"/>
    </row>
    <row r="9177" spans="1:11">
      <c r="A9177" s="760"/>
      <c r="B9177" s="760"/>
      <c r="C9177" s="760"/>
      <c r="D9177" s="760"/>
      <c r="E9177" s="760"/>
      <c r="F9177" s="760"/>
      <c r="G9177" s="760"/>
      <c r="H9177" s="760"/>
      <c r="I9177" s="760"/>
      <c r="J9177" s="760"/>
      <c r="K9177" s="760"/>
    </row>
    <row r="9178" spans="1:11">
      <c r="A9178" s="760"/>
      <c r="B9178" s="760"/>
      <c r="C9178" s="760"/>
      <c r="D9178" s="760"/>
      <c r="E9178" s="760"/>
      <c r="F9178" s="760"/>
      <c r="G9178" s="760"/>
      <c r="H9178" s="760"/>
      <c r="I9178" s="760"/>
      <c r="J9178" s="760"/>
      <c r="K9178" s="760"/>
    </row>
    <row r="9179" spans="1:11">
      <c r="A9179" s="760"/>
      <c r="B9179" s="760"/>
      <c r="C9179" s="760"/>
      <c r="D9179" s="760"/>
      <c r="E9179" s="760"/>
      <c r="F9179" s="760"/>
      <c r="G9179" s="760"/>
      <c r="H9179" s="760"/>
      <c r="I9179" s="760"/>
      <c r="J9179" s="760"/>
      <c r="K9179" s="760"/>
    </row>
    <row r="9180" spans="1:11">
      <c r="A9180" s="760"/>
      <c r="B9180" s="760"/>
      <c r="C9180" s="760"/>
      <c r="D9180" s="760"/>
      <c r="E9180" s="760"/>
      <c r="F9180" s="760"/>
      <c r="G9180" s="760"/>
      <c r="H9180" s="760"/>
      <c r="I9180" s="760"/>
      <c r="J9180" s="760"/>
      <c r="K9180" s="760"/>
    </row>
    <row r="9181" spans="1:11">
      <c r="A9181" s="760"/>
      <c r="B9181" s="760"/>
      <c r="C9181" s="760"/>
      <c r="D9181" s="760"/>
      <c r="E9181" s="760"/>
      <c r="F9181" s="760"/>
      <c r="G9181" s="760"/>
      <c r="H9181" s="760"/>
      <c r="I9181" s="760"/>
      <c r="J9181" s="760"/>
      <c r="K9181" s="760"/>
    </row>
    <row r="9182" spans="1:11">
      <c r="A9182" s="760"/>
      <c r="B9182" s="760"/>
      <c r="C9182" s="760"/>
      <c r="D9182" s="760"/>
      <c r="E9182" s="760"/>
      <c r="F9182" s="760"/>
      <c r="G9182" s="760"/>
      <c r="H9182" s="760"/>
      <c r="I9182" s="760"/>
      <c r="J9182" s="760"/>
      <c r="K9182" s="760"/>
    </row>
    <row r="9183" spans="1:11">
      <c r="A9183" s="760"/>
      <c r="B9183" s="760"/>
      <c r="C9183" s="760"/>
      <c r="D9183" s="760"/>
      <c r="E9183" s="760"/>
      <c r="F9183" s="760"/>
      <c r="G9183" s="760"/>
      <c r="H9183" s="760"/>
      <c r="I9183" s="760"/>
      <c r="J9183" s="760"/>
      <c r="K9183" s="760"/>
    </row>
    <row r="9184" spans="1:11">
      <c r="A9184" s="760"/>
      <c r="B9184" s="760"/>
      <c r="C9184" s="760"/>
      <c r="D9184" s="760"/>
      <c r="E9184" s="760"/>
      <c r="F9184" s="760"/>
      <c r="G9184" s="760"/>
      <c r="H9184" s="760"/>
      <c r="I9184" s="760"/>
      <c r="J9184" s="760"/>
      <c r="K9184" s="760"/>
    </row>
    <row r="9185" spans="1:11">
      <c r="A9185" s="760"/>
      <c r="B9185" s="760"/>
      <c r="C9185" s="760"/>
      <c r="D9185" s="760"/>
      <c r="E9185" s="760"/>
      <c r="F9185" s="760"/>
      <c r="G9185" s="760"/>
      <c r="H9185" s="760"/>
      <c r="I9185" s="760"/>
      <c r="J9185" s="760"/>
      <c r="K9185" s="760"/>
    </row>
    <row r="9186" spans="1:11">
      <c r="A9186" s="760"/>
      <c r="B9186" s="760"/>
      <c r="C9186" s="760"/>
      <c r="D9186" s="760"/>
      <c r="E9186" s="760"/>
      <c r="F9186" s="760"/>
      <c r="G9186" s="760"/>
      <c r="H9186" s="760"/>
      <c r="I9186" s="760"/>
      <c r="J9186" s="760"/>
      <c r="K9186" s="760"/>
    </row>
    <row r="9187" spans="1:11">
      <c r="A9187" s="760"/>
      <c r="B9187" s="760"/>
      <c r="C9187" s="760"/>
      <c r="D9187" s="760"/>
      <c r="E9187" s="760"/>
      <c r="F9187" s="760"/>
      <c r="G9187" s="760"/>
      <c r="H9187" s="760"/>
      <c r="I9187" s="760"/>
      <c r="J9187" s="760"/>
      <c r="K9187" s="760"/>
    </row>
    <row r="9188" spans="1:11">
      <c r="A9188" s="760"/>
      <c r="B9188" s="760"/>
      <c r="C9188" s="760"/>
      <c r="D9188" s="760"/>
      <c r="E9188" s="760"/>
      <c r="F9188" s="760"/>
      <c r="G9188" s="760"/>
      <c r="H9188" s="760"/>
      <c r="I9188" s="760"/>
      <c r="J9188" s="760"/>
      <c r="K9188" s="760"/>
    </row>
    <row r="9189" spans="1:11">
      <c r="A9189" s="760"/>
      <c r="B9189" s="760"/>
      <c r="C9189" s="760"/>
      <c r="D9189" s="760"/>
      <c r="E9189" s="760"/>
      <c r="F9189" s="760"/>
      <c r="G9189" s="760"/>
      <c r="H9189" s="760"/>
      <c r="I9189" s="760"/>
      <c r="J9189" s="760"/>
      <c r="K9189" s="760"/>
    </row>
    <row r="9190" spans="1:11">
      <c r="A9190" s="760"/>
      <c r="B9190" s="760"/>
      <c r="C9190" s="760"/>
      <c r="D9190" s="760"/>
      <c r="E9190" s="760"/>
      <c r="F9190" s="760"/>
      <c r="G9190" s="760"/>
      <c r="H9190" s="760"/>
      <c r="I9190" s="760"/>
      <c r="J9190" s="760"/>
      <c r="K9190" s="760"/>
    </row>
    <row r="9191" spans="1:11">
      <c r="A9191" s="760"/>
      <c r="B9191" s="760"/>
      <c r="C9191" s="760"/>
      <c r="D9191" s="760"/>
      <c r="E9191" s="760"/>
      <c r="F9191" s="760"/>
      <c r="G9191" s="760"/>
      <c r="H9191" s="760"/>
      <c r="I9191" s="760"/>
      <c r="J9191" s="760"/>
      <c r="K9191" s="760"/>
    </row>
    <row r="9192" spans="1:11">
      <c r="A9192" s="760"/>
      <c r="B9192" s="760"/>
      <c r="C9192" s="760"/>
      <c r="D9192" s="760"/>
      <c r="E9192" s="760"/>
      <c r="F9192" s="760"/>
      <c r="G9192" s="760"/>
      <c r="H9192" s="760"/>
      <c r="I9192" s="760"/>
      <c r="J9192" s="760"/>
      <c r="K9192" s="760"/>
    </row>
    <row r="9193" spans="1:11">
      <c r="A9193" s="760"/>
      <c r="B9193" s="760"/>
      <c r="C9193" s="760"/>
      <c r="D9193" s="760"/>
      <c r="E9193" s="760"/>
      <c r="F9193" s="760"/>
      <c r="G9193" s="760"/>
      <c r="H9193" s="760"/>
      <c r="I9193" s="760"/>
      <c r="J9193" s="760"/>
      <c r="K9193" s="760"/>
    </row>
    <row r="9194" spans="1:11">
      <c r="A9194" s="760"/>
      <c r="B9194" s="760"/>
      <c r="C9194" s="760"/>
      <c r="D9194" s="760"/>
      <c r="E9194" s="760"/>
      <c r="F9194" s="760"/>
      <c r="G9194" s="760"/>
      <c r="H9194" s="760"/>
      <c r="I9194" s="760"/>
      <c r="J9194" s="760"/>
      <c r="K9194" s="760"/>
    </row>
    <row r="9195" spans="1:11">
      <c r="A9195" s="760"/>
      <c r="B9195" s="760"/>
      <c r="C9195" s="760"/>
      <c r="D9195" s="760"/>
      <c r="E9195" s="760"/>
      <c r="F9195" s="760"/>
      <c r="G9195" s="760"/>
      <c r="H9195" s="760"/>
      <c r="I9195" s="760"/>
      <c r="J9195" s="760"/>
      <c r="K9195" s="760"/>
    </row>
    <row r="9196" spans="1:11">
      <c r="A9196" s="760"/>
      <c r="B9196" s="760"/>
      <c r="C9196" s="760"/>
      <c r="D9196" s="760"/>
      <c r="E9196" s="760"/>
      <c r="F9196" s="760"/>
      <c r="G9196" s="760"/>
      <c r="H9196" s="760"/>
      <c r="I9196" s="760"/>
      <c r="J9196" s="760"/>
      <c r="K9196" s="760"/>
    </row>
    <row r="9197" spans="1:11">
      <c r="A9197" s="760"/>
      <c r="B9197" s="760"/>
      <c r="C9197" s="760"/>
      <c r="D9197" s="760"/>
      <c r="E9197" s="760"/>
      <c r="F9197" s="760"/>
      <c r="G9197" s="760"/>
      <c r="H9197" s="760"/>
      <c r="I9197" s="760"/>
      <c r="J9197" s="760"/>
      <c r="K9197" s="760"/>
    </row>
    <row r="9198" spans="1:11">
      <c r="A9198" s="760"/>
      <c r="B9198" s="760"/>
      <c r="C9198" s="760"/>
      <c r="D9198" s="760"/>
      <c r="E9198" s="760"/>
      <c r="F9198" s="760"/>
      <c r="G9198" s="760"/>
      <c r="H9198" s="760"/>
      <c r="I9198" s="760"/>
      <c r="J9198" s="760"/>
      <c r="K9198" s="760"/>
    </row>
    <row r="9199" spans="1:11">
      <c r="A9199" s="760"/>
      <c r="B9199" s="760"/>
      <c r="C9199" s="760"/>
      <c r="D9199" s="760"/>
      <c r="E9199" s="760"/>
      <c r="F9199" s="760"/>
      <c r="G9199" s="760"/>
      <c r="H9199" s="760"/>
      <c r="I9199" s="760"/>
      <c r="J9199" s="760"/>
      <c r="K9199" s="760"/>
    </row>
    <row r="9200" spans="1:11">
      <c r="A9200" s="760"/>
      <c r="B9200" s="760"/>
      <c r="C9200" s="760"/>
      <c r="D9200" s="760"/>
      <c r="E9200" s="760"/>
      <c r="F9200" s="760"/>
      <c r="G9200" s="760"/>
      <c r="H9200" s="760"/>
      <c r="I9200" s="760"/>
      <c r="J9200" s="760"/>
      <c r="K9200" s="760"/>
    </row>
    <row r="9201" spans="1:11">
      <c r="A9201" s="760"/>
      <c r="B9201" s="760"/>
      <c r="C9201" s="760"/>
      <c r="D9201" s="760"/>
      <c r="E9201" s="760"/>
      <c r="F9201" s="760"/>
      <c r="G9201" s="760"/>
      <c r="H9201" s="760"/>
      <c r="I9201" s="760"/>
      <c r="J9201" s="760"/>
      <c r="K9201" s="760"/>
    </row>
    <row r="9202" spans="1:11">
      <c r="A9202" s="760"/>
      <c r="B9202" s="760"/>
      <c r="C9202" s="760"/>
      <c r="D9202" s="760"/>
      <c r="E9202" s="760"/>
      <c r="F9202" s="760"/>
      <c r="G9202" s="760"/>
      <c r="H9202" s="760"/>
      <c r="I9202" s="760"/>
      <c r="J9202" s="760"/>
      <c r="K9202" s="760"/>
    </row>
    <row r="9203" spans="1:11">
      <c r="A9203" s="760"/>
      <c r="B9203" s="760"/>
      <c r="C9203" s="760"/>
      <c r="D9203" s="760"/>
      <c r="E9203" s="760"/>
      <c r="F9203" s="760"/>
      <c r="G9203" s="760"/>
      <c r="H9203" s="760"/>
      <c r="I9203" s="760"/>
      <c r="J9203" s="760"/>
      <c r="K9203" s="760"/>
    </row>
    <row r="9204" spans="1:11">
      <c r="A9204" s="760"/>
      <c r="B9204" s="760"/>
      <c r="C9204" s="760"/>
      <c r="D9204" s="760"/>
      <c r="E9204" s="760"/>
      <c r="F9204" s="760"/>
      <c r="G9204" s="760"/>
      <c r="H9204" s="760"/>
      <c r="I9204" s="760"/>
      <c r="J9204" s="760"/>
      <c r="K9204" s="760"/>
    </row>
    <row r="9205" spans="1:11">
      <c r="A9205" s="760"/>
      <c r="B9205" s="760"/>
      <c r="C9205" s="760"/>
      <c r="D9205" s="760"/>
      <c r="E9205" s="760"/>
      <c r="F9205" s="760"/>
      <c r="G9205" s="760"/>
      <c r="H9205" s="760"/>
      <c r="I9205" s="760"/>
      <c r="J9205" s="760"/>
      <c r="K9205" s="760"/>
    </row>
    <row r="9206" spans="1:11">
      <c r="A9206" s="760"/>
      <c r="B9206" s="760"/>
      <c r="C9206" s="760"/>
      <c r="D9206" s="760"/>
      <c r="E9206" s="760"/>
      <c r="F9206" s="760"/>
      <c r="G9206" s="760"/>
      <c r="H9206" s="760"/>
      <c r="I9206" s="760"/>
      <c r="J9206" s="760"/>
      <c r="K9206" s="760"/>
    </row>
    <row r="9207" spans="1:11">
      <c r="A9207" s="760"/>
      <c r="B9207" s="760"/>
      <c r="C9207" s="760"/>
      <c r="D9207" s="760"/>
      <c r="E9207" s="760"/>
      <c r="F9207" s="760"/>
      <c r="G9207" s="760"/>
      <c r="H9207" s="760"/>
      <c r="I9207" s="760"/>
      <c r="J9207" s="760"/>
      <c r="K9207" s="760"/>
    </row>
    <row r="9208" spans="1:11">
      <c r="A9208" s="760"/>
      <c r="B9208" s="760"/>
      <c r="C9208" s="760"/>
      <c r="D9208" s="760"/>
      <c r="E9208" s="760"/>
      <c r="F9208" s="760"/>
      <c r="G9208" s="760"/>
      <c r="H9208" s="760"/>
      <c r="I9208" s="760"/>
      <c r="J9208" s="760"/>
      <c r="K9208" s="760"/>
    </row>
    <row r="9209" spans="1:11">
      <c r="A9209" s="760"/>
      <c r="B9209" s="760"/>
      <c r="C9209" s="760"/>
      <c r="D9209" s="760"/>
      <c r="E9209" s="760"/>
      <c r="F9209" s="760"/>
      <c r="G9209" s="760"/>
      <c r="H9209" s="760"/>
      <c r="I9209" s="760"/>
      <c r="J9209" s="760"/>
      <c r="K9209" s="760"/>
    </row>
    <row r="9210" spans="1:11">
      <c r="A9210" s="760"/>
      <c r="B9210" s="760"/>
      <c r="C9210" s="760"/>
      <c r="D9210" s="760"/>
      <c r="E9210" s="760"/>
      <c r="F9210" s="760"/>
      <c r="G9210" s="760"/>
      <c r="H9210" s="760"/>
      <c r="I9210" s="760"/>
      <c r="J9210" s="760"/>
      <c r="K9210" s="760"/>
    </row>
    <row r="9211" spans="1:11">
      <c r="A9211" s="760"/>
      <c r="B9211" s="760"/>
      <c r="C9211" s="760"/>
      <c r="D9211" s="760"/>
      <c r="E9211" s="760"/>
      <c r="F9211" s="760"/>
      <c r="G9211" s="760"/>
      <c r="H9211" s="760"/>
      <c r="I9211" s="760"/>
      <c r="J9211" s="760"/>
      <c r="K9211" s="760"/>
    </row>
    <row r="9212" spans="1:11">
      <c r="A9212" s="760"/>
      <c r="B9212" s="760"/>
      <c r="C9212" s="760"/>
      <c r="D9212" s="760"/>
      <c r="E9212" s="760"/>
      <c r="F9212" s="760"/>
      <c r="G9212" s="760"/>
      <c r="H9212" s="760"/>
      <c r="I9212" s="760"/>
      <c r="J9212" s="760"/>
      <c r="K9212" s="760"/>
    </row>
    <row r="9213" spans="1:11">
      <c r="A9213" s="760"/>
      <c r="B9213" s="760"/>
      <c r="C9213" s="760"/>
      <c r="D9213" s="760"/>
      <c r="E9213" s="760"/>
      <c r="F9213" s="760"/>
      <c r="G9213" s="760"/>
      <c r="H9213" s="760"/>
      <c r="I9213" s="760"/>
      <c r="J9213" s="760"/>
      <c r="K9213" s="760"/>
    </row>
    <row r="9214" spans="1:11">
      <c r="A9214" s="760"/>
      <c r="B9214" s="760"/>
      <c r="C9214" s="760"/>
      <c r="D9214" s="760"/>
      <c r="E9214" s="760"/>
      <c r="F9214" s="760"/>
      <c r="G9214" s="760"/>
      <c r="H9214" s="760"/>
      <c r="I9214" s="760"/>
      <c r="J9214" s="760"/>
      <c r="K9214" s="760"/>
    </row>
    <row r="9215" spans="1:11">
      <c r="A9215" s="760"/>
      <c r="B9215" s="760"/>
      <c r="C9215" s="760"/>
      <c r="D9215" s="760"/>
      <c r="E9215" s="760"/>
      <c r="F9215" s="760"/>
      <c r="G9215" s="760"/>
      <c r="H9215" s="760"/>
      <c r="I9215" s="760"/>
      <c r="J9215" s="760"/>
      <c r="K9215" s="760"/>
    </row>
    <row r="9216" spans="1:11">
      <c r="A9216" s="760"/>
      <c r="B9216" s="760"/>
      <c r="C9216" s="760"/>
      <c r="D9216" s="760"/>
      <c r="E9216" s="760"/>
      <c r="F9216" s="760"/>
      <c r="G9216" s="760"/>
      <c r="H9216" s="760"/>
      <c r="I9216" s="760"/>
      <c r="J9216" s="760"/>
      <c r="K9216" s="760"/>
    </row>
    <row r="9217" spans="1:11">
      <c r="A9217" s="760"/>
      <c r="B9217" s="760"/>
      <c r="C9217" s="760"/>
      <c r="D9217" s="760"/>
      <c r="E9217" s="760"/>
      <c r="F9217" s="760"/>
      <c r="G9217" s="760"/>
      <c r="H9217" s="760"/>
      <c r="I9217" s="760"/>
      <c r="J9217" s="760"/>
      <c r="K9217" s="760"/>
    </row>
    <row r="9218" spans="1:11">
      <c r="A9218" s="760"/>
      <c r="B9218" s="760"/>
      <c r="C9218" s="760"/>
      <c r="D9218" s="760"/>
      <c r="E9218" s="760"/>
      <c r="F9218" s="760"/>
      <c r="G9218" s="760"/>
      <c r="H9218" s="760"/>
      <c r="I9218" s="760"/>
      <c r="J9218" s="760"/>
      <c r="K9218" s="760"/>
    </row>
    <row r="9219" spans="1:11">
      <c r="A9219" s="760"/>
      <c r="B9219" s="760"/>
      <c r="C9219" s="760"/>
      <c r="D9219" s="760"/>
      <c r="E9219" s="760"/>
      <c r="F9219" s="760"/>
      <c r="G9219" s="760"/>
      <c r="H9219" s="760"/>
      <c r="I9219" s="760"/>
      <c r="J9219" s="760"/>
      <c r="K9219" s="760"/>
    </row>
    <row r="9220" spans="1:11">
      <c r="A9220" s="760"/>
      <c r="B9220" s="760"/>
      <c r="C9220" s="760"/>
      <c r="D9220" s="760"/>
      <c r="E9220" s="760"/>
      <c r="F9220" s="760"/>
      <c r="G9220" s="760"/>
      <c r="H9220" s="760"/>
      <c r="I9220" s="760"/>
      <c r="J9220" s="760"/>
      <c r="K9220" s="760"/>
    </row>
    <row r="9221" spans="1:11">
      <c r="A9221" s="760"/>
      <c r="B9221" s="760"/>
      <c r="C9221" s="760"/>
      <c r="D9221" s="760"/>
      <c r="E9221" s="760"/>
      <c r="F9221" s="760"/>
      <c r="G9221" s="760"/>
      <c r="H9221" s="760"/>
      <c r="I9221" s="760"/>
      <c r="J9221" s="760"/>
      <c r="K9221" s="760"/>
    </row>
    <row r="9222" spans="1:11">
      <c r="A9222" s="760"/>
      <c r="B9222" s="760"/>
      <c r="C9222" s="760"/>
      <c r="D9222" s="760"/>
      <c r="E9222" s="760"/>
      <c r="F9222" s="760"/>
      <c r="G9222" s="760"/>
      <c r="H9222" s="760"/>
      <c r="I9222" s="760"/>
      <c r="J9222" s="760"/>
      <c r="K9222" s="760"/>
    </row>
    <row r="9223" spans="1:11">
      <c r="A9223" s="760"/>
      <c r="B9223" s="760"/>
      <c r="C9223" s="760"/>
      <c r="D9223" s="760"/>
      <c r="E9223" s="760"/>
      <c r="F9223" s="760"/>
      <c r="G9223" s="760"/>
      <c r="H9223" s="760"/>
      <c r="I9223" s="760"/>
      <c r="J9223" s="760"/>
      <c r="K9223" s="760"/>
    </row>
    <row r="9224" spans="1:11">
      <c r="A9224" s="760"/>
      <c r="B9224" s="760"/>
      <c r="C9224" s="760"/>
      <c r="D9224" s="760"/>
      <c r="E9224" s="760"/>
      <c r="F9224" s="760"/>
      <c r="G9224" s="760"/>
      <c r="H9224" s="760"/>
      <c r="I9224" s="760"/>
      <c r="J9224" s="760"/>
      <c r="K9224" s="760"/>
    </row>
    <row r="9225" spans="1:11">
      <c r="A9225" s="760"/>
      <c r="B9225" s="760"/>
      <c r="C9225" s="760"/>
      <c r="D9225" s="760"/>
      <c r="E9225" s="760"/>
      <c r="F9225" s="760"/>
      <c r="G9225" s="760"/>
      <c r="H9225" s="760"/>
      <c r="I9225" s="760"/>
      <c r="J9225" s="760"/>
      <c r="K9225" s="760"/>
    </row>
    <row r="9226" spans="1:11">
      <c r="A9226" s="760"/>
      <c r="B9226" s="760"/>
      <c r="C9226" s="760"/>
      <c r="D9226" s="760"/>
      <c r="E9226" s="760"/>
      <c r="F9226" s="760"/>
      <c r="G9226" s="760"/>
      <c r="H9226" s="760"/>
      <c r="I9226" s="760"/>
      <c r="J9226" s="760"/>
      <c r="K9226" s="760"/>
    </row>
    <row r="9227" spans="1:11">
      <c r="A9227" s="760"/>
      <c r="B9227" s="760"/>
      <c r="C9227" s="760"/>
      <c r="D9227" s="760"/>
      <c r="E9227" s="760"/>
      <c r="F9227" s="760"/>
      <c r="G9227" s="760"/>
      <c r="H9227" s="760"/>
      <c r="I9227" s="760"/>
      <c r="J9227" s="760"/>
      <c r="K9227" s="760"/>
    </row>
    <row r="9228" spans="1:11">
      <c r="A9228" s="760"/>
      <c r="B9228" s="760"/>
      <c r="C9228" s="760"/>
      <c r="D9228" s="760"/>
      <c r="E9228" s="760"/>
      <c r="F9228" s="760"/>
      <c r="G9228" s="760"/>
      <c r="H9228" s="760"/>
      <c r="I9228" s="760"/>
      <c r="J9228" s="760"/>
      <c r="K9228" s="760"/>
    </row>
    <row r="9229" spans="1:11">
      <c r="A9229" s="760"/>
      <c r="B9229" s="760"/>
      <c r="C9229" s="760"/>
      <c r="D9229" s="760"/>
      <c r="E9229" s="760"/>
      <c r="F9229" s="760"/>
      <c r="G9229" s="760"/>
      <c r="H9229" s="760"/>
      <c r="I9229" s="760"/>
      <c r="J9229" s="760"/>
      <c r="K9229" s="760"/>
    </row>
    <row r="9230" spans="1:11">
      <c r="A9230" s="760"/>
      <c r="B9230" s="760"/>
      <c r="C9230" s="760"/>
      <c r="D9230" s="760"/>
      <c r="E9230" s="760"/>
      <c r="F9230" s="760"/>
      <c r="G9230" s="760"/>
      <c r="H9230" s="760"/>
      <c r="I9230" s="760"/>
      <c r="J9230" s="760"/>
      <c r="K9230" s="760"/>
    </row>
    <row r="9231" spans="1:11">
      <c r="A9231" s="760"/>
      <c r="B9231" s="760"/>
      <c r="C9231" s="760"/>
      <c r="D9231" s="760"/>
      <c r="E9231" s="760"/>
      <c r="F9231" s="760"/>
      <c r="G9231" s="760"/>
      <c r="H9231" s="760"/>
      <c r="I9231" s="760"/>
      <c r="J9231" s="760"/>
      <c r="K9231" s="760"/>
    </row>
    <row r="9232" spans="1:11">
      <c r="A9232" s="760"/>
      <c r="B9232" s="760"/>
      <c r="C9232" s="760"/>
      <c r="D9232" s="760"/>
      <c r="E9232" s="760"/>
      <c r="F9232" s="760"/>
      <c r="G9232" s="760"/>
      <c r="H9232" s="760"/>
      <c r="I9232" s="760"/>
      <c r="J9232" s="760"/>
      <c r="K9232" s="760"/>
    </row>
    <row r="9233" spans="1:11">
      <c r="A9233" s="760"/>
      <c r="B9233" s="760"/>
      <c r="C9233" s="760"/>
      <c r="D9233" s="760"/>
      <c r="E9233" s="760"/>
      <c r="F9233" s="760"/>
      <c r="G9233" s="760"/>
      <c r="H9233" s="760"/>
      <c r="I9233" s="760"/>
      <c r="J9233" s="760"/>
      <c r="K9233" s="760"/>
    </row>
    <row r="9234" spans="1:11">
      <c r="A9234" s="760"/>
      <c r="B9234" s="760"/>
      <c r="C9234" s="760"/>
      <c r="D9234" s="760"/>
      <c r="E9234" s="760"/>
      <c r="F9234" s="760"/>
      <c r="G9234" s="760"/>
      <c r="H9234" s="760"/>
      <c r="I9234" s="760"/>
      <c r="J9234" s="760"/>
      <c r="K9234" s="760"/>
    </row>
    <row r="9235" spans="1:11">
      <c r="A9235" s="760"/>
      <c r="B9235" s="760"/>
      <c r="C9235" s="760"/>
      <c r="D9235" s="760"/>
      <c r="E9235" s="760"/>
      <c r="F9235" s="760"/>
      <c r="G9235" s="760"/>
      <c r="H9235" s="760"/>
      <c r="I9235" s="760"/>
      <c r="J9235" s="760"/>
      <c r="K9235" s="760"/>
    </row>
    <row r="9236" spans="1:11">
      <c r="A9236" s="760"/>
      <c r="B9236" s="760"/>
      <c r="C9236" s="760"/>
      <c r="D9236" s="760"/>
      <c r="E9236" s="760"/>
      <c r="F9236" s="760"/>
      <c r="G9236" s="760"/>
      <c r="H9236" s="760"/>
      <c r="I9236" s="760"/>
      <c r="J9236" s="760"/>
      <c r="K9236" s="760"/>
    </row>
    <row r="9237" spans="1:11">
      <c r="A9237" s="760"/>
      <c r="B9237" s="760"/>
      <c r="C9237" s="760"/>
      <c r="D9237" s="760"/>
      <c r="E9237" s="760"/>
      <c r="F9237" s="760"/>
      <c r="G9237" s="760"/>
      <c r="H9237" s="760"/>
      <c r="I9237" s="760"/>
      <c r="J9237" s="760"/>
      <c r="K9237" s="760"/>
    </row>
    <row r="9238" spans="1:11">
      <c r="A9238" s="760"/>
      <c r="B9238" s="760"/>
      <c r="C9238" s="760"/>
      <c r="D9238" s="760"/>
      <c r="E9238" s="760"/>
      <c r="F9238" s="760"/>
      <c r="G9238" s="760"/>
      <c r="H9238" s="760"/>
      <c r="I9238" s="760"/>
      <c r="J9238" s="760"/>
      <c r="K9238" s="760"/>
    </row>
    <row r="9239" spans="1:11">
      <c r="A9239" s="760"/>
      <c r="B9239" s="760"/>
      <c r="C9239" s="760"/>
      <c r="D9239" s="760"/>
      <c r="E9239" s="760"/>
      <c r="F9239" s="760"/>
      <c r="G9239" s="760"/>
      <c r="H9239" s="760"/>
      <c r="I9239" s="760"/>
      <c r="J9239" s="760"/>
      <c r="K9239" s="760"/>
    </row>
    <row r="9240" spans="1:11">
      <c r="A9240" s="760"/>
      <c r="B9240" s="760"/>
      <c r="C9240" s="760"/>
      <c r="D9240" s="760"/>
      <c r="E9240" s="760"/>
      <c r="F9240" s="760"/>
      <c r="G9240" s="760"/>
      <c r="H9240" s="760"/>
      <c r="I9240" s="760"/>
      <c r="J9240" s="760"/>
      <c r="K9240" s="760"/>
    </row>
    <row r="9241" spans="1:11">
      <c r="A9241" s="760"/>
      <c r="B9241" s="760"/>
      <c r="C9241" s="760"/>
      <c r="D9241" s="760"/>
      <c r="E9241" s="760"/>
      <c r="F9241" s="760"/>
      <c r="G9241" s="760"/>
      <c r="H9241" s="760"/>
      <c r="I9241" s="760"/>
      <c r="J9241" s="760"/>
      <c r="K9241" s="760"/>
    </row>
    <row r="9242" spans="1:11">
      <c r="A9242" s="760"/>
      <c r="B9242" s="760"/>
      <c r="C9242" s="760"/>
      <c r="D9242" s="760"/>
      <c r="E9242" s="760"/>
      <c r="F9242" s="760"/>
      <c r="G9242" s="760"/>
      <c r="H9242" s="760"/>
      <c r="I9242" s="760"/>
      <c r="J9242" s="760"/>
      <c r="K9242" s="760"/>
    </row>
    <row r="9243" spans="1:11">
      <c r="A9243" s="760"/>
      <c r="B9243" s="760"/>
      <c r="C9243" s="760"/>
      <c r="D9243" s="760"/>
      <c r="E9243" s="760"/>
      <c r="F9243" s="760"/>
      <c r="G9243" s="760"/>
      <c r="H9243" s="760"/>
      <c r="I9243" s="760"/>
      <c r="J9243" s="760"/>
      <c r="K9243" s="760"/>
    </row>
    <row r="9244" spans="1:11">
      <c r="A9244" s="760"/>
      <c r="B9244" s="760"/>
      <c r="C9244" s="760"/>
      <c r="D9244" s="760"/>
      <c r="E9244" s="760"/>
      <c r="F9244" s="760"/>
      <c r="G9244" s="760"/>
      <c r="H9244" s="760"/>
      <c r="I9244" s="760"/>
      <c r="J9244" s="760"/>
      <c r="K9244" s="760"/>
    </row>
    <row r="9245" spans="1:11">
      <c r="A9245" s="760"/>
      <c r="B9245" s="760"/>
      <c r="C9245" s="760"/>
      <c r="D9245" s="760"/>
      <c r="E9245" s="760"/>
      <c r="F9245" s="760"/>
      <c r="G9245" s="760"/>
      <c r="H9245" s="760"/>
      <c r="I9245" s="760"/>
      <c r="J9245" s="760"/>
      <c r="K9245" s="760"/>
    </row>
    <row r="9246" spans="1:11">
      <c r="A9246" s="760"/>
      <c r="B9246" s="760"/>
      <c r="C9246" s="760"/>
      <c r="D9246" s="760"/>
      <c r="E9246" s="760"/>
      <c r="F9246" s="760"/>
      <c r="G9246" s="760"/>
      <c r="H9246" s="760"/>
      <c r="I9246" s="760"/>
      <c r="J9246" s="760"/>
      <c r="K9246" s="760"/>
    </row>
    <row r="9247" spans="1:11">
      <c r="A9247" s="760"/>
      <c r="B9247" s="760"/>
      <c r="C9247" s="760"/>
      <c r="D9247" s="760"/>
      <c r="E9247" s="760"/>
      <c r="F9247" s="760"/>
      <c r="G9247" s="760"/>
      <c r="H9247" s="760"/>
      <c r="I9247" s="760"/>
      <c r="J9247" s="760"/>
      <c r="K9247" s="760"/>
    </row>
    <row r="9248" spans="1:11">
      <c r="A9248" s="760"/>
      <c r="B9248" s="760"/>
      <c r="C9248" s="760"/>
      <c r="D9248" s="760"/>
      <c r="E9248" s="760"/>
      <c r="F9248" s="760"/>
      <c r="G9248" s="760"/>
      <c r="H9248" s="760"/>
      <c r="I9248" s="760"/>
      <c r="J9248" s="760"/>
      <c r="K9248" s="760"/>
    </row>
    <row r="9249" spans="1:11">
      <c r="A9249" s="760"/>
      <c r="B9249" s="760"/>
      <c r="C9249" s="760"/>
      <c r="D9249" s="760"/>
      <c r="E9249" s="760"/>
      <c r="F9249" s="760"/>
      <c r="G9249" s="760"/>
      <c r="H9249" s="760"/>
      <c r="I9249" s="760"/>
      <c r="J9249" s="760"/>
      <c r="K9249" s="760"/>
    </row>
    <row r="9250" spans="1:11">
      <c r="A9250" s="760"/>
      <c r="B9250" s="760"/>
      <c r="C9250" s="760"/>
      <c r="D9250" s="760"/>
      <c r="E9250" s="760"/>
      <c r="F9250" s="760"/>
      <c r="G9250" s="760"/>
      <c r="H9250" s="760"/>
      <c r="I9250" s="760"/>
      <c r="J9250" s="760"/>
      <c r="K9250" s="760"/>
    </row>
    <row r="9251" spans="1:11">
      <c r="A9251" s="760"/>
      <c r="B9251" s="760"/>
      <c r="C9251" s="760"/>
      <c r="D9251" s="760"/>
      <c r="E9251" s="760"/>
      <c r="F9251" s="760"/>
      <c r="G9251" s="760"/>
      <c r="H9251" s="760"/>
      <c r="I9251" s="760"/>
      <c r="J9251" s="760"/>
      <c r="K9251" s="760"/>
    </row>
    <row r="9252" spans="1:11">
      <c r="A9252" s="760"/>
      <c r="B9252" s="760"/>
      <c r="C9252" s="760"/>
      <c r="D9252" s="760"/>
      <c r="E9252" s="760"/>
      <c r="F9252" s="760"/>
      <c r="G9252" s="760"/>
      <c r="H9252" s="760"/>
      <c r="I9252" s="760"/>
      <c r="J9252" s="760"/>
      <c r="K9252" s="760"/>
    </row>
    <row r="9253" spans="1:11">
      <c r="A9253" s="760"/>
      <c r="B9253" s="760"/>
      <c r="C9253" s="760"/>
      <c r="D9253" s="760"/>
      <c r="E9253" s="760"/>
      <c r="F9253" s="760"/>
      <c r="G9253" s="760"/>
      <c r="H9253" s="760"/>
      <c r="I9253" s="760"/>
      <c r="J9253" s="760"/>
      <c r="K9253" s="760"/>
    </row>
    <row r="9254" spans="1:11">
      <c r="A9254" s="760"/>
      <c r="B9254" s="760"/>
      <c r="C9254" s="760"/>
      <c r="D9254" s="760"/>
      <c r="E9254" s="760"/>
      <c r="F9254" s="760"/>
      <c r="G9254" s="760"/>
      <c r="H9254" s="760"/>
      <c r="I9254" s="760"/>
      <c r="J9254" s="760"/>
      <c r="K9254" s="760"/>
    </row>
    <row r="9255" spans="1:11">
      <c r="A9255" s="760"/>
      <c r="B9255" s="760"/>
      <c r="C9255" s="760"/>
      <c r="D9255" s="760"/>
      <c r="E9255" s="760"/>
      <c r="F9255" s="760"/>
      <c r="G9255" s="760"/>
      <c r="H9255" s="760"/>
      <c r="I9255" s="760"/>
      <c r="J9255" s="760"/>
      <c r="K9255" s="760"/>
    </row>
    <row r="9256" spans="1:11">
      <c r="A9256" s="760"/>
      <c r="B9256" s="760"/>
      <c r="C9256" s="760"/>
      <c r="D9256" s="760"/>
      <c r="E9256" s="760"/>
      <c r="F9256" s="760"/>
      <c r="G9256" s="760"/>
      <c r="H9256" s="760"/>
      <c r="I9256" s="760"/>
      <c r="J9256" s="760"/>
      <c r="K9256" s="760"/>
    </row>
    <row r="9257" spans="1:11">
      <c r="A9257" s="760"/>
      <c r="B9257" s="760"/>
      <c r="C9257" s="760"/>
      <c r="D9257" s="760"/>
      <c r="E9257" s="760"/>
      <c r="F9257" s="760"/>
      <c r="G9257" s="760"/>
      <c r="H9257" s="760"/>
      <c r="I9257" s="760"/>
      <c r="J9257" s="760"/>
      <c r="K9257" s="760"/>
    </row>
    <row r="9258" spans="1:11">
      <c r="A9258" s="760"/>
      <c r="B9258" s="760"/>
      <c r="C9258" s="760"/>
      <c r="D9258" s="760"/>
      <c r="E9258" s="760"/>
      <c r="F9258" s="760"/>
      <c r="G9258" s="760"/>
      <c r="H9258" s="760"/>
      <c r="I9258" s="760"/>
      <c r="J9258" s="760"/>
      <c r="K9258" s="760"/>
    </row>
    <row r="9259" spans="1:11">
      <c r="A9259" s="760"/>
      <c r="B9259" s="760"/>
      <c r="C9259" s="760"/>
      <c r="D9259" s="760"/>
      <c r="E9259" s="760"/>
      <c r="F9259" s="760"/>
      <c r="G9259" s="760"/>
      <c r="H9259" s="760"/>
      <c r="I9259" s="760"/>
      <c r="J9259" s="760"/>
      <c r="K9259" s="760"/>
    </row>
    <row r="9260" spans="1:11">
      <c r="A9260" s="760"/>
      <c r="B9260" s="760"/>
      <c r="C9260" s="760"/>
      <c r="D9260" s="760"/>
      <c r="E9260" s="760"/>
      <c r="F9260" s="760"/>
      <c r="G9260" s="760"/>
      <c r="H9260" s="760"/>
      <c r="I9260" s="760"/>
      <c r="J9260" s="760"/>
      <c r="K9260" s="760"/>
    </row>
    <row r="9261" spans="1:11">
      <c r="A9261" s="760"/>
      <c r="B9261" s="760"/>
      <c r="C9261" s="760"/>
      <c r="D9261" s="760"/>
      <c r="E9261" s="760"/>
      <c r="F9261" s="760"/>
      <c r="G9261" s="760"/>
      <c r="H9261" s="760"/>
      <c r="I9261" s="760"/>
      <c r="J9261" s="760"/>
      <c r="K9261" s="760"/>
    </row>
    <row r="9262" spans="1:11">
      <c r="A9262" s="760"/>
      <c r="B9262" s="760"/>
      <c r="C9262" s="760"/>
      <c r="D9262" s="760"/>
      <c r="E9262" s="760"/>
      <c r="F9262" s="760"/>
      <c r="G9262" s="760"/>
      <c r="H9262" s="760"/>
      <c r="I9262" s="760"/>
      <c r="J9262" s="760"/>
      <c r="K9262" s="760"/>
    </row>
    <row r="9263" spans="1:11">
      <c r="A9263" s="760"/>
      <c r="B9263" s="760"/>
      <c r="C9263" s="760"/>
      <c r="D9263" s="760"/>
      <c r="E9263" s="760"/>
      <c r="F9263" s="760"/>
      <c r="G9263" s="760"/>
      <c r="H9263" s="760"/>
      <c r="I9263" s="760"/>
      <c r="J9263" s="760"/>
      <c r="K9263" s="760"/>
    </row>
    <row r="9264" spans="1:11">
      <c r="A9264" s="760"/>
      <c r="B9264" s="760"/>
      <c r="C9264" s="760"/>
      <c r="D9264" s="760"/>
      <c r="E9264" s="760"/>
      <c r="F9264" s="760"/>
      <c r="G9264" s="760"/>
      <c r="H9264" s="760"/>
      <c r="I9264" s="760"/>
      <c r="J9264" s="760"/>
      <c r="K9264" s="760"/>
    </row>
    <row r="9265" spans="1:11">
      <c r="A9265" s="760"/>
      <c r="B9265" s="760"/>
      <c r="C9265" s="760"/>
      <c r="D9265" s="760"/>
      <c r="E9265" s="760"/>
      <c r="F9265" s="760"/>
      <c r="G9265" s="760"/>
      <c r="H9265" s="760"/>
      <c r="I9265" s="760"/>
      <c r="J9265" s="760"/>
      <c r="K9265" s="760"/>
    </row>
    <row r="9266" spans="1:11">
      <c r="A9266" s="760"/>
      <c r="B9266" s="760"/>
      <c r="C9266" s="760"/>
      <c r="D9266" s="760"/>
      <c r="E9266" s="760"/>
      <c r="F9266" s="760"/>
      <c r="G9266" s="760"/>
      <c r="H9266" s="760"/>
      <c r="I9266" s="760"/>
      <c r="J9266" s="760"/>
      <c r="K9266" s="760"/>
    </row>
    <row r="9267" spans="1:11">
      <c r="A9267" s="760"/>
      <c r="B9267" s="760"/>
      <c r="C9267" s="760"/>
      <c r="D9267" s="760"/>
      <c r="E9267" s="760"/>
      <c r="F9267" s="760"/>
      <c r="G9267" s="760"/>
      <c r="H9267" s="760"/>
      <c r="I9267" s="760"/>
      <c r="J9267" s="760"/>
      <c r="K9267" s="760"/>
    </row>
    <row r="9268" spans="1:11">
      <c r="A9268" s="760"/>
      <c r="B9268" s="760"/>
      <c r="C9268" s="760"/>
      <c r="D9268" s="760"/>
      <c r="E9268" s="760"/>
      <c r="F9268" s="760"/>
      <c r="G9268" s="760"/>
      <c r="H9268" s="760"/>
      <c r="I9268" s="760"/>
      <c r="J9268" s="760"/>
      <c r="K9268" s="760"/>
    </row>
    <row r="9269" spans="1:11">
      <c r="A9269" s="760"/>
      <c r="B9269" s="760"/>
      <c r="C9269" s="760"/>
      <c r="D9269" s="760"/>
      <c r="E9269" s="760"/>
      <c r="F9269" s="760"/>
      <c r="G9269" s="760"/>
      <c r="H9269" s="760"/>
      <c r="I9269" s="760"/>
      <c r="J9269" s="760"/>
      <c r="K9269" s="760"/>
    </row>
    <row r="9270" spans="1:11">
      <c r="A9270" s="760"/>
      <c r="B9270" s="760"/>
      <c r="C9270" s="760"/>
      <c r="D9270" s="760"/>
      <c r="E9270" s="760"/>
      <c r="F9270" s="760"/>
      <c r="G9270" s="760"/>
      <c r="H9270" s="760"/>
      <c r="I9270" s="760"/>
      <c r="J9270" s="760"/>
      <c r="K9270" s="760"/>
    </row>
    <row r="9271" spans="1:11">
      <c r="A9271" s="760"/>
      <c r="B9271" s="760"/>
      <c r="C9271" s="760"/>
      <c r="D9271" s="760"/>
      <c r="E9271" s="760"/>
      <c r="F9271" s="760"/>
      <c r="G9271" s="760"/>
      <c r="H9271" s="760"/>
      <c r="I9271" s="760"/>
      <c r="J9271" s="760"/>
      <c r="K9271" s="760"/>
    </row>
    <row r="9272" spans="1:11">
      <c r="A9272" s="760"/>
      <c r="B9272" s="760"/>
      <c r="C9272" s="760"/>
      <c r="D9272" s="760"/>
      <c r="E9272" s="760"/>
      <c r="F9272" s="760"/>
      <c r="G9272" s="760"/>
      <c r="H9272" s="760"/>
      <c r="I9272" s="760"/>
      <c r="J9272" s="760"/>
      <c r="K9272" s="760"/>
    </row>
    <row r="9273" spans="1:11">
      <c r="A9273" s="760"/>
      <c r="B9273" s="760"/>
      <c r="C9273" s="760"/>
      <c r="D9273" s="760"/>
      <c r="E9273" s="760"/>
      <c r="F9273" s="760"/>
      <c r="G9273" s="760"/>
      <c r="H9273" s="760"/>
      <c r="I9273" s="760"/>
      <c r="J9273" s="760"/>
      <c r="K9273" s="760"/>
    </row>
    <row r="9274" spans="1:11">
      <c r="A9274" s="760"/>
      <c r="B9274" s="760"/>
      <c r="C9274" s="760"/>
      <c r="D9274" s="760"/>
      <c r="E9274" s="760"/>
      <c r="F9274" s="760"/>
      <c r="G9274" s="760"/>
      <c r="H9274" s="760"/>
      <c r="I9274" s="760"/>
      <c r="J9274" s="760"/>
      <c r="K9274" s="760"/>
    </row>
    <row r="9275" spans="1:11">
      <c r="A9275" s="760"/>
      <c r="B9275" s="760"/>
      <c r="C9275" s="760"/>
      <c r="D9275" s="760"/>
      <c r="E9275" s="760"/>
      <c r="F9275" s="760"/>
      <c r="G9275" s="760"/>
      <c r="H9275" s="760"/>
      <c r="I9275" s="760"/>
      <c r="J9275" s="760"/>
      <c r="K9275" s="760"/>
    </row>
    <row r="9276" spans="1:11">
      <c r="A9276" s="760"/>
      <c r="B9276" s="760"/>
      <c r="C9276" s="760"/>
      <c r="D9276" s="760"/>
      <c r="E9276" s="760"/>
      <c r="F9276" s="760"/>
      <c r="G9276" s="760"/>
      <c r="H9276" s="760"/>
      <c r="I9276" s="760"/>
      <c r="J9276" s="760"/>
      <c r="K9276" s="760"/>
    </row>
    <row r="9277" spans="1:11">
      <c r="A9277" s="760"/>
      <c r="B9277" s="760"/>
      <c r="C9277" s="760"/>
      <c r="D9277" s="760"/>
      <c r="E9277" s="760"/>
      <c r="F9277" s="760"/>
      <c r="G9277" s="760"/>
      <c r="H9277" s="760"/>
      <c r="I9277" s="760"/>
      <c r="J9277" s="760"/>
      <c r="K9277" s="760"/>
    </row>
    <row r="9278" spans="1:11">
      <c r="A9278" s="760"/>
      <c r="B9278" s="760"/>
      <c r="C9278" s="760"/>
      <c r="D9278" s="760"/>
      <c r="E9278" s="760"/>
      <c r="F9278" s="760"/>
      <c r="G9278" s="760"/>
      <c r="H9278" s="760"/>
      <c r="I9278" s="760"/>
      <c r="J9278" s="760"/>
      <c r="K9278" s="760"/>
    </row>
    <row r="9279" spans="1:11">
      <c r="A9279" s="760"/>
      <c r="B9279" s="760"/>
      <c r="C9279" s="760"/>
      <c r="D9279" s="760"/>
      <c r="E9279" s="760"/>
      <c r="F9279" s="760"/>
      <c r="G9279" s="760"/>
      <c r="H9279" s="760"/>
      <c r="I9279" s="760"/>
      <c r="J9279" s="760"/>
      <c r="K9279" s="760"/>
    </row>
    <row r="9280" spans="1:11">
      <c r="A9280" s="760"/>
      <c r="B9280" s="760"/>
      <c r="C9280" s="760"/>
      <c r="D9280" s="760"/>
      <c r="E9280" s="760"/>
      <c r="F9280" s="760"/>
      <c r="G9280" s="760"/>
      <c r="H9280" s="760"/>
      <c r="I9280" s="760"/>
      <c r="J9280" s="760"/>
      <c r="K9280" s="760"/>
    </row>
    <row r="9281" spans="1:11">
      <c r="A9281" s="760"/>
      <c r="B9281" s="760"/>
      <c r="C9281" s="760"/>
      <c r="D9281" s="760"/>
      <c r="E9281" s="760"/>
      <c r="F9281" s="760"/>
      <c r="G9281" s="760"/>
      <c r="H9281" s="760"/>
      <c r="I9281" s="760"/>
      <c r="J9281" s="760"/>
      <c r="K9281" s="760"/>
    </row>
    <row r="9282" spans="1:11">
      <c r="A9282" s="760"/>
      <c r="B9282" s="760"/>
      <c r="C9282" s="760"/>
      <c r="D9282" s="760"/>
      <c r="E9282" s="760"/>
      <c r="F9282" s="760"/>
      <c r="G9282" s="760"/>
      <c r="H9282" s="760"/>
      <c r="I9282" s="760"/>
      <c r="J9282" s="760"/>
      <c r="K9282" s="760"/>
    </row>
    <row r="9283" spans="1:11">
      <c r="A9283" s="760"/>
      <c r="B9283" s="760"/>
      <c r="C9283" s="760"/>
      <c r="D9283" s="760"/>
      <c r="E9283" s="760"/>
      <c r="F9283" s="760"/>
      <c r="G9283" s="760"/>
      <c r="H9283" s="760"/>
      <c r="I9283" s="760"/>
      <c r="J9283" s="760"/>
      <c r="K9283" s="760"/>
    </row>
    <row r="9284" spans="1:11">
      <c r="A9284" s="760"/>
      <c r="B9284" s="760"/>
      <c r="C9284" s="760"/>
      <c r="D9284" s="760"/>
      <c r="E9284" s="760"/>
      <c r="F9284" s="760"/>
      <c r="G9284" s="760"/>
      <c r="H9284" s="760"/>
      <c r="I9284" s="760"/>
      <c r="J9284" s="760"/>
      <c r="K9284" s="760"/>
    </row>
    <row r="9285" spans="1:11">
      <c r="A9285" s="760"/>
      <c r="B9285" s="760"/>
      <c r="C9285" s="760"/>
      <c r="D9285" s="760"/>
      <c r="E9285" s="760"/>
      <c r="F9285" s="760"/>
      <c r="G9285" s="760"/>
      <c r="H9285" s="760"/>
      <c r="I9285" s="760"/>
      <c r="J9285" s="760"/>
      <c r="K9285" s="760"/>
    </row>
    <row r="9286" spans="1:11">
      <c r="A9286" s="760"/>
      <c r="B9286" s="760"/>
      <c r="C9286" s="760"/>
      <c r="D9286" s="760"/>
      <c r="E9286" s="760"/>
      <c r="F9286" s="760"/>
      <c r="G9286" s="760"/>
      <c r="H9286" s="760"/>
      <c r="I9286" s="760"/>
      <c r="J9286" s="760"/>
      <c r="K9286" s="760"/>
    </row>
    <row r="9287" spans="1:11">
      <c r="A9287" s="760"/>
      <c r="B9287" s="760"/>
      <c r="C9287" s="760"/>
      <c r="D9287" s="760"/>
      <c r="E9287" s="760"/>
      <c r="F9287" s="760"/>
      <c r="G9287" s="760"/>
      <c r="H9287" s="760"/>
      <c r="I9287" s="760"/>
      <c r="J9287" s="760"/>
      <c r="K9287" s="760"/>
    </row>
    <row r="9288" spans="1:11">
      <c r="A9288" s="760"/>
      <c r="B9288" s="760"/>
      <c r="C9288" s="760"/>
      <c r="D9288" s="760"/>
      <c r="E9288" s="760"/>
      <c r="F9288" s="760"/>
      <c r="G9288" s="760"/>
      <c r="H9288" s="760"/>
      <c r="I9288" s="760"/>
      <c r="J9288" s="760"/>
      <c r="K9288" s="760"/>
    </row>
    <row r="9289" spans="1:11">
      <c r="A9289" s="760"/>
      <c r="B9289" s="760"/>
      <c r="C9289" s="760"/>
      <c r="D9289" s="760"/>
      <c r="E9289" s="760"/>
      <c r="F9289" s="760"/>
      <c r="G9289" s="760"/>
      <c r="H9289" s="760"/>
      <c r="I9289" s="760"/>
      <c r="J9289" s="760"/>
      <c r="K9289" s="760"/>
    </row>
    <row r="9290" spans="1:11">
      <c r="A9290" s="760"/>
      <c r="B9290" s="760"/>
      <c r="C9290" s="760"/>
      <c r="D9290" s="760"/>
      <c r="E9290" s="760"/>
      <c r="F9290" s="760"/>
      <c r="G9290" s="760"/>
      <c r="H9290" s="760"/>
      <c r="I9290" s="760"/>
      <c r="J9290" s="760"/>
      <c r="K9290" s="760"/>
    </row>
    <row r="9291" spans="1:11">
      <c r="A9291" s="760"/>
      <c r="B9291" s="760"/>
      <c r="C9291" s="760"/>
      <c r="D9291" s="760"/>
      <c r="E9291" s="760"/>
      <c r="F9291" s="760"/>
      <c r="G9291" s="760"/>
      <c r="H9291" s="760"/>
      <c r="I9291" s="760"/>
      <c r="J9291" s="760"/>
      <c r="K9291" s="760"/>
    </row>
    <row r="9292" spans="1:11">
      <c r="A9292" s="760"/>
      <c r="B9292" s="760"/>
      <c r="C9292" s="760"/>
      <c r="D9292" s="760"/>
      <c r="E9292" s="760"/>
      <c r="F9292" s="760"/>
      <c r="G9292" s="760"/>
      <c r="H9292" s="760"/>
      <c r="I9292" s="760"/>
      <c r="J9292" s="760"/>
      <c r="K9292" s="760"/>
    </row>
    <row r="9293" spans="1:11">
      <c r="A9293" s="760"/>
      <c r="B9293" s="760"/>
      <c r="C9293" s="760"/>
      <c r="D9293" s="760"/>
      <c r="E9293" s="760"/>
      <c r="F9293" s="760"/>
      <c r="G9293" s="760"/>
      <c r="H9293" s="760"/>
      <c r="I9293" s="760"/>
      <c r="J9293" s="760"/>
      <c r="K9293" s="760"/>
    </row>
    <row r="9294" spans="1:11">
      <c r="A9294" s="760"/>
      <c r="B9294" s="760"/>
      <c r="C9294" s="760"/>
      <c r="D9294" s="760"/>
      <c r="E9294" s="760"/>
      <c r="F9294" s="760"/>
      <c r="G9294" s="760"/>
      <c r="H9294" s="760"/>
      <c r="I9294" s="760"/>
      <c r="J9294" s="760"/>
      <c r="K9294" s="760"/>
    </row>
    <row r="9295" spans="1:11">
      <c r="A9295" s="760"/>
      <c r="B9295" s="760"/>
      <c r="C9295" s="760"/>
      <c r="D9295" s="760"/>
      <c r="E9295" s="760"/>
      <c r="F9295" s="760"/>
      <c r="G9295" s="760"/>
      <c r="H9295" s="760"/>
      <c r="I9295" s="760"/>
      <c r="J9295" s="760"/>
      <c r="K9295" s="760"/>
    </row>
    <row r="9296" spans="1:11">
      <c r="A9296" s="760"/>
      <c r="B9296" s="760"/>
      <c r="C9296" s="760"/>
      <c r="D9296" s="760"/>
      <c r="E9296" s="760"/>
      <c r="F9296" s="760"/>
      <c r="G9296" s="760"/>
      <c r="H9296" s="760"/>
      <c r="I9296" s="760"/>
      <c r="J9296" s="760"/>
      <c r="K9296" s="760"/>
    </row>
    <row r="9297" spans="1:11">
      <c r="A9297" s="760"/>
      <c r="B9297" s="760"/>
      <c r="C9297" s="760"/>
      <c r="D9297" s="760"/>
      <c r="E9297" s="760"/>
      <c r="F9297" s="760"/>
      <c r="G9297" s="760"/>
      <c r="H9297" s="760"/>
      <c r="I9297" s="760"/>
      <c r="J9297" s="760"/>
      <c r="K9297" s="760"/>
    </row>
    <row r="9298" spans="1:11">
      <c r="A9298" s="760"/>
      <c r="B9298" s="760"/>
      <c r="C9298" s="760"/>
      <c r="D9298" s="760"/>
      <c r="E9298" s="760"/>
      <c r="F9298" s="760"/>
      <c r="G9298" s="760"/>
      <c r="H9298" s="760"/>
      <c r="I9298" s="760"/>
      <c r="J9298" s="760"/>
      <c r="K9298" s="760"/>
    </row>
    <row r="9299" spans="1:11">
      <c r="A9299" s="760"/>
      <c r="B9299" s="760"/>
      <c r="C9299" s="760"/>
      <c r="D9299" s="760"/>
      <c r="E9299" s="760"/>
      <c r="F9299" s="760"/>
      <c r="G9299" s="760"/>
      <c r="H9299" s="760"/>
      <c r="I9299" s="760"/>
      <c r="J9299" s="760"/>
      <c r="K9299" s="760"/>
    </row>
    <row r="9300" spans="1:11">
      <c r="A9300" s="760"/>
      <c r="B9300" s="760"/>
      <c r="C9300" s="760"/>
      <c r="D9300" s="760"/>
      <c r="E9300" s="760"/>
      <c r="F9300" s="760"/>
      <c r="G9300" s="760"/>
      <c r="H9300" s="760"/>
      <c r="I9300" s="760"/>
      <c r="J9300" s="760"/>
      <c r="K9300" s="760"/>
    </row>
    <row r="9301" spans="1:11">
      <c r="A9301" s="760"/>
      <c r="B9301" s="760"/>
      <c r="C9301" s="760"/>
      <c r="D9301" s="760"/>
      <c r="E9301" s="760"/>
      <c r="F9301" s="760"/>
      <c r="G9301" s="760"/>
      <c r="H9301" s="760"/>
      <c r="I9301" s="760"/>
      <c r="J9301" s="760"/>
      <c r="K9301" s="760"/>
    </row>
    <row r="9302" spans="1:11">
      <c r="A9302" s="760"/>
      <c r="B9302" s="760"/>
      <c r="C9302" s="760"/>
      <c r="D9302" s="760"/>
      <c r="E9302" s="760"/>
      <c r="F9302" s="760"/>
      <c r="G9302" s="760"/>
      <c r="H9302" s="760"/>
      <c r="I9302" s="760"/>
      <c r="J9302" s="760"/>
      <c r="K9302" s="760"/>
    </row>
    <row r="9303" spans="1:11">
      <c r="A9303" s="760"/>
      <c r="B9303" s="760"/>
      <c r="C9303" s="760"/>
      <c r="D9303" s="760"/>
      <c r="E9303" s="760"/>
      <c r="F9303" s="760"/>
      <c r="G9303" s="760"/>
      <c r="H9303" s="760"/>
      <c r="I9303" s="760"/>
      <c r="J9303" s="760"/>
      <c r="K9303" s="760"/>
    </row>
    <row r="9304" spans="1:11">
      <c r="A9304" s="760"/>
      <c r="B9304" s="760"/>
      <c r="C9304" s="760"/>
      <c r="D9304" s="760"/>
      <c r="E9304" s="760"/>
      <c r="F9304" s="760"/>
      <c r="G9304" s="760"/>
      <c r="H9304" s="760"/>
      <c r="I9304" s="760"/>
      <c r="J9304" s="760"/>
      <c r="K9304" s="760"/>
    </row>
    <row r="9305" spans="1:11">
      <c r="A9305" s="760"/>
      <c r="B9305" s="760"/>
      <c r="C9305" s="760"/>
      <c r="D9305" s="760"/>
      <c r="E9305" s="760"/>
      <c r="F9305" s="760"/>
      <c r="G9305" s="760"/>
      <c r="H9305" s="760"/>
      <c r="I9305" s="760"/>
      <c r="J9305" s="760"/>
      <c r="K9305" s="760"/>
    </row>
    <row r="9306" spans="1:11">
      <c r="A9306" s="760"/>
      <c r="B9306" s="760"/>
      <c r="C9306" s="760"/>
      <c r="D9306" s="760"/>
      <c r="E9306" s="760"/>
      <c r="F9306" s="760"/>
      <c r="G9306" s="760"/>
      <c r="H9306" s="760"/>
      <c r="I9306" s="760"/>
      <c r="J9306" s="760"/>
      <c r="K9306" s="760"/>
    </row>
    <row r="9307" spans="1:11">
      <c r="A9307" s="760"/>
      <c r="B9307" s="760"/>
      <c r="C9307" s="760"/>
      <c r="D9307" s="760"/>
      <c r="E9307" s="760"/>
      <c r="F9307" s="760"/>
      <c r="G9307" s="760"/>
      <c r="H9307" s="760"/>
      <c r="I9307" s="760"/>
      <c r="J9307" s="760"/>
      <c r="K9307" s="760"/>
    </row>
    <row r="9308" spans="1:11">
      <c r="A9308" s="760"/>
      <c r="B9308" s="760"/>
      <c r="C9308" s="760"/>
      <c r="D9308" s="760"/>
      <c r="E9308" s="760"/>
      <c r="F9308" s="760"/>
      <c r="G9308" s="760"/>
      <c r="H9308" s="760"/>
      <c r="I9308" s="760"/>
      <c r="J9308" s="760"/>
      <c r="K9308" s="760"/>
    </row>
    <row r="9309" spans="1:11">
      <c r="A9309" s="760"/>
      <c r="B9309" s="760"/>
      <c r="C9309" s="760"/>
      <c r="D9309" s="760"/>
      <c r="E9309" s="760"/>
      <c r="F9309" s="760"/>
      <c r="G9309" s="760"/>
      <c r="H9309" s="760"/>
      <c r="I9309" s="760"/>
      <c r="J9309" s="760"/>
      <c r="K9309" s="760"/>
    </row>
    <row r="9310" spans="1:11">
      <c r="A9310" s="760"/>
      <c r="B9310" s="760"/>
      <c r="C9310" s="760"/>
      <c r="D9310" s="760"/>
      <c r="E9310" s="760"/>
      <c r="F9310" s="760"/>
      <c r="G9310" s="760"/>
      <c r="H9310" s="760"/>
      <c r="I9310" s="760"/>
      <c r="J9310" s="760"/>
      <c r="K9310" s="760"/>
    </row>
    <row r="9311" spans="1:11">
      <c r="A9311" s="760"/>
      <c r="B9311" s="760"/>
      <c r="C9311" s="760"/>
      <c r="D9311" s="760"/>
      <c r="E9311" s="760"/>
      <c r="F9311" s="760"/>
      <c r="G9311" s="760"/>
      <c r="H9311" s="760"/>
      <c r="I9311" s="760"/>
      <c r="J9311" s="760"/>
      <c r="K9311" s="760"/>
    </row>
    <row r="9312" spans="1:11">
      <c r="A9312" s="760"/>
      <c r="B9312" s="760"/>
      <c r="C9312" s="760"/>
      <c r="D9312" s="760"/>
      <c r="E9312" s="760"/>
      <c r="F9312" s="760"/>
      <c r="G9312" s="760"/>
      <c r="H9312" s="760"/>
      <c r="I9312" s="760"/>
      <c r="J9312" s="760"/>
      <c r="K9312" s="760"/>
    </row>
    <row r="9313" spans="1:11">
      <c r="A9313" s="760"/>
      <c r="B9313" s="760"/>
      <c r="C9313" s="760"/>
      <c r="D9313" s="760"/>
      <c r="E9313" s="760"/>
      <c r="F9313" s="760"/>
      <c r="G9313" s="760"/>
      <c r="H9313" s="760"/>
      <c r="I9313" s="760"/>
      <c r="J9313" s="760"/>
      <c r="K9313" s="760"/>
    </row>
    <row r="9314" spans="1:11">
      <c r="A9314" s="760"/>
      <c r="B9314" s="760"/>
      <c r="C9314" s="760"/>
      <c r="D9314" s="760"/>
      <c r="E9314" s="760"/>
      <c r="F9314" s="760"/>
      <c r="G9314" s="760"/>
      <c r="H9314" s="760"/>
      <c r="I9314" s="760"/>
      <c r="J9314" s="760"/>
      <c r="K9314" s="760"/>
    </row>
    <row r="9315" spans="1:11">
      <c r="A9315" s="760"/>
      <c r="B9315" s="760"/>
      <c r="C9315" s="760"/>
      <c r="D9315" s="760"/>
      <c r="E9315" s="760"/>
      <c r="F9315" s="760"/>
      <c r="G9315" s="760"/>
      <c r="H9315" s="760"/>
      <c r="I9315" s="760"/>
      <c r="J9315" s="760"/>
      <c r="K9315" s="760"/>
    </row>
    <row r="9316" spans="1:11">
      <c r="A9316" s="760"/>
      <c r="B9316" s="760"/>
      <c r="C9316" s="760"/>
      <c r="D9316" s="760"/>
      <c r="E9316" s="760"/>
      <c r="F9316" s="760"/>
      <c r="G9316" s="760"/>
      <c r="H9316" s="760"/>
      <c r="I9316" s="760"/>
      <c r="J9316" s="760"/>
      <c r="K9316" s="760"/>
    </row>
    <row r="9317" spans="1:11">
      <c r="A9317" s="760"/>
      <c r="B9317" s="760"/>
      <c r="C9317" s="760"/>
      <c r="D9317" s="760"/>
      <c r="E9317" s="760"/>
      <c r="F9317" s="760"/>
      <c r="G9317" s="760"/>
      <c r="H9317" s="760"/>
      <c r="I9317" s="760"/>
      <c r="J9317" s="760"/>
      <c r="K9317" s="760"/>
    </row>
    <row r="9318" spans="1:11">
      <c r="A9318" s="760"/>
      <c r="B9318" s="760"/>
      <c r="C9318" s="760"/>
      <c r="D9318" s="760"/>
      <c r="E9318" s="760"/>
      <c r="F9318" s="760"/>
      <c r="G9318" s="760"/>
      <c r="H9318" s="760"/>
      <c r="I9318" s="760"/>
      <c r="J9318" s="760"/>
      <c r="K9318" s="760"/>
    </row>
    <row r="9319" spans="1:11">
      <c r="A9319" s="760"/>
      <c r="B9319" s="760"/>
      <c r="C9319" s="760"/>
      <c r="D9319" s="760"/>
      <c r="E9319" s="760"/>
      <c r="F9319" s="760"/>
      <c r="G9319" s="760"/>
      <c r="H9319" s="760"/>
      <c r="I9319" s="760"/>
      <c r="J9319" s="760"/>
      <c r="K9319" s="760"/>
    </row>
    <row r="9320" spans="1:11">
      <c r="A9320" s="760"/>
      <c r="B9320" s="760"/>
      <c r="C9320" s="760"/>
      <c r="D9320" s="760"/>
      <c r="E9320" s="760"/>
      <c r="F9320" s="760"/>
      <c r="G9320" s="760"/>
      <c r="H9320" s="760"/>
      <c r="I9320" s="760"/>
      <c r="J9320" s="760"/>
      <c r="K9320" s="760"/>
    </row>
    <row r="9321" spans="1:11">
      <c r="A9321" s="760"/>
      <c r="B9321" s="760"/>
      <c r="C9321" s="760"/>
      <c r="D9321" s="760"/>
      <c r="E9321" s="760"/>
      <c r="F9321" s="760"/>
      <c r="G9321" s="760"/>
      <c r="H9321" s="760"/>
      <c r="I9321" s="760"/>
      <c r="J9321" s="760"/>
      <c r="K9321" s="760"/>
    </row>
    <row r="9322" spans="1:11">
      <c r="A9322" s="760"/>
      <c r="B9322" s="760"/>
      <c r="C9322" s="760"/>
      <c r="D9322" s="760"/>
      <c r="E9322" s="760"/>
      <c r="F9322" s="760"/>
      <c r="G9322" s="760"/>
      <c r="H9322" s="760"/>
      <c r="I9322" s="760"/>
      <c r="J9322" s="760"/>
      <c r="K9322" s="760"/>
    </row>
    <row r="9323" spans="1:11">
      <c r="A9323" s="760"/>
      <c r="B9323" s="760"/>
      <c r="C9323" s="760"/>
      <c r="D9323" s="760"/>
      <c r="E9323" s="760"/>
      <c r="F9323" s="760"/>
      <c r="G9323" s="760"/>
      <c r="H9323" s="760"/>
      <c r="I9323" s="760"/>
      <c r="J9323" s="760"/>
      <c r="K9323" s="760"/>
    </row>
    <row r="9324" spans="1:11">
      <c r="A9324" s="760"/>
      <c r="B9324" s="760"/>
      <c r="C9324" s="760"/>
      <c r="D9324" s="760"/>
      <c r="E9324" s="760"/>
      <c r="F9324" s="760"/>
      <c r="G9324" s="760"/>
      <c r="H9324" s="760"/>
      <c r="I9324" s="760"/>
      <c r="J9324" s="760"/>
      <c r="K9324" s="760"/>
    </row>
    <row r="9325" spans="1:11">
      <c r="A9325" s="760"/>
      <c r="B9325" s="760"/>
      <c r="C9325" s="760"/>
      <c r="D9325" s="760"/>
      <c r="E9325" s="760"/>
      <c r="F9325" s="760"/>
      <c r="G9325" s="760"/>
      <c r="H9325" s="760"/>
      <c r="I9325" s="760"/>
      <c r="J9325" s="760"/>
      <c r="K9325" s="760"/>
    </row>
    <row r="9326" spans="1:11">
      <c r="A9326" s="760"/>
      <c r="B9326" s="760"/>
      <c r="C9326" s="760"/>
      <c r="D9326" s="760"/>
      <c r="E9326" s="760"/>
      <c r="F9326" s="760"/>
      <c r="G9326" s="760"/>
      <c r="H9326" s="760"/>
      <c r="I9326" s="760"/>
      <c r="J9326" s="760"/>
      <c r="K9326" s="760"/>
    </row>
    <row r="9327" spans="1:11">
      <c r="A9327" s="760"/>
      <c r="B9327" s="760"/>
      <c r="C9327" s="760"/>
      <c r="D9327" s="760"/>
      <c r="E9327" s="760"/>
      <c r="F9327" s="760"/>
      <c r="G9327" s="760"/>
      <c r="H9327" s="760"/>
      <c r="I9327" s="760"/>
      <c r="J9327" s="760"/>
      <c r="K9327" s="760"/>
    </row>
    <row r="9328" spans="1:11">
      <c r="A9328" s="760"/>
      <c r="B9328" s="760"/>
      <c r="C9328" s="760"/>
      <c r="D9328" s="760"/>
      <c r="E9328" s="760"/>
      <c r="F9328" s="760"/>
      <c r="G9328" s="760"/>
      <c r="H9328" s="760"/>
      <c r="I9328" s="760"/>
      <c r="J9328" s="760"/>
      <c r="K9328" s="760"/>
    </row>
    <row r="9329" spans="1:11">
      <c r="A9329" s="760"/>
      <c r="B9329" s="760"/>
      <c r="C9329" s="760"/>
      <c r="D9329" s="760"/>
      <c r="E9329" s="760"/>
      <c r="F9329" s="760"/>
      <c r="G9329" s="760"/>
      <c r="H9329" s="760"/>
      <c r="I9329" s="760"/>
      <c r="J9329" s="760"/>
      <c r="K9329" s="760"/>
    </row>
    <row r="9330" spans="1:11">
      <c r="A9330" s="760"/>
      <c r="B9330" s="760"/>
      <c r="C9330" s="760"/>
      <c r="D9330" s="760"/>
      <c r="E9330" s="760"/>
      <c r="F9330" s="760"/>
      <c r="G9330" s="760"/>
      <c r="H9330" s="760"/>
      <c r="I9330" s="760"/>
      <c r="J9330" s="760"/>
      <c r="K9330" s="760"/>
    </row>
    <row r="9331" spans="1:11">
      <c r="A9331" s="760"/>
      <c r="B9331" s="760"/>
      <c r="C9331" s="760"/>
      <c r="D9331" s="760"/>
      <c r="E9331" s="760"/>
      <c r="F9331" s="760"/>
      <c r="G9331" s="760"/>
      <c r="H9331" s="760"/>
      <c r="I9331" s="760"/>
      <c r="J9331" s="760"/>
      <c r="K9331" s="760"/>
    </row>
    <row r="9332" spans="1:11">
      <c r="A9332" s="760"/>
      <c r="B9332" s="760"/>
      <c r="C9332" s="760"/>
      <c r="D9332" s="760"/>
      <c r="E9332" s="760"/>
      <c r="F9332" s="760"/>
      <c r="G9332" s="760"/>
      <c r="H9332" s="760"/>
      <c r="I9332" s="760"/>
      <c r="J9332" s="760"/>
      <c r="K9332" s="760"/>
    </row>
    <row r="9333" spans="1:11">
      <c r="A9333" s="760"/>
      <c r="B9333" s="760"/>
      <c r="C9333" s="760"/>
      <c r="D9333" s="760"/>
      <c r="E9333" s="760"/>
      <c r="F9333" s="760"/>
      <c r="G9333" s="760"/>
      <c r="H9333" s="760"/>
      <c r="I9333" s="760"/>
      <c r="J9333" s="760"/>
      <c r="K9333" s="760"/>
    </row>
    <row r="9334" spans="1:11">
      <c r="A9334" s="760"/>
      <c r="B9334" s="760"/>
      <c r="C9334" s="760"/>
      <c r="D9334" s="760"/>
      <c r="E9334" s="760"/>
      <c r="F9334" s="760"/>
      <c r="G9334" s="760"/>
      <c r="H9334" s="760"/>
      <c r="I9334" s="760"/>
      <c r="J9334" s="760"/>
      <c r="K9334" s="760"/>
    </row>
    <row r="9335" spans="1:11">
      <c r="A9335" s="760"/>
      <c r="B9335" s="760"/>
      <c r="C9335" s="760"/>
      <c r="D9335" s="760"/>
      <c r="E9335" s="760"/>
      <c r="F9335" s="760"/>
      <c r="G9335" s="760"/>
      <c r="H9335" s="760"/>
      <c r="I9335" s="760"/>
      <c r="J9335" s="760"/>
      <c r="K9335" s="760"/>
    </row>
    <row r="9336" spans="1:11">
      <c r="A9336" s="760"/>
      <c r="B9336" s="760"/>
      <c r="C9336" s="760"/>
      <c r="D9336" s="760"/>
      <c r="E9336" s="760"/>
      <c r="F9336" s="760"/>
      <c r="G9336" s="760"/>
      <c r="H9336" s="760"/>
      <c r="I9336" s="760"/>
      <c r="J9336" s="760"/>
      <c r="K9336" s="760"/>
    </row>
    <row r="9337" spans="1:11">
      <c r="A9337" s="760"/>
      <c r="B9337" s="760"/>
      <c r="C9337" s="760"/>
      <c r="D9337" s="760"/>
      <c r="E9337" s="760"/>
      <c r="F9337" s="760"/>
      <c r="G9337" s="760"/>
      <c r="H9337" s="760"/>
      <c r="I9337" s="760"/>
      <c r="J9337" s="760"/>
      <c r="K9337" s="760"/>
    </row>
    <row r="9338" spans="1:11">
      <c r="A9338" s="760"/>
      <c r="B9338" s="760"/>
      <c r="C9338" s="760"/>
      <c r="D9338" s="760"/>
      <c r="E9338" s="760"/>
      <c r="F9338" s="760"/>
      <c r="G9338" s="760"/>
      <c r="H9338" s="760"/>
      <c r="I9338" s="760"/>
      <c r="J9338" s="760"/>
      <c r="K9338" s="760"/>
    </row>
    <row r="9339" spans="1:11">
      <c r="A9339" s="760"/>
      <c r="B9339" s="760"/>
      <c r="C9339" s="760"/>
      <c r="D9339" s="760"/>
      <c r="E9339" s="760"/>
      <c r="F9339" s="760"/>
      <c r="G9339" s="760"/>
      <c r="H9339" s="760"/>
      <c r="I9339" s="760"/>
      <c r="J9339" s="760"/>
      <c r="K9339" s="760"/>
    </row>
    <row r="9340" spans="1:11">
      <c r="A9340" s="760"/>
      <c r="B9340" s="760"/>
      <c r="C9340" s="760"/>
      <c r="D9340" s="760"/>
      <c r="E9340" s="760"/>
      <c r="F9340" s="760"/>
      <c r="G9340" s="760"/>
      <c r="H9340" s="760"/>
      <c r="I9340" s="760"/>
      <c r="J9340" s="760"/>
      <c r="K9340" s="760"/>
    </row>
    <row r="9341" spans="1:11">
      <c r="A9341" s="760"/>
      <c r="B9341" s="760"/>
      <c r="C9341" s="760"/>
      <c r="D9341" s="760"/>
      <c r="E9341" s="760"/>
      <c r="F9341" s="760"/>
      <c r="G9341" s="760"/>
      <c r="H9341" s="760"/>
      <c r="I9341" s="760"/>
      <c r="J9341" s="760"/>
      <c r="K9341" s="760"/>
    </row>
    <row r="9342" spans="1:11">
      <c r="A9342" s="760"/>
      <c r="B9342" s="760"/>
      <c r="C9342" s="760"/>
      <c r="D9342" s="760"/>
      <c r="E9342" s="760"/>
      <c r="F9342" s="760"/>
      <c r="G9342" s="760"/>
      <c r="H9342" s="760"/>
      <c r="I9342" s="760"/>
      <c r="J9342" s="760"/>
      <c r="K9342" s="760"/>
    </row>
    <row r="9343" spans="1:11">
      <c r="A9343" s="760"/>
      <c r="B9343" s="760"/>
      <c r="C9343" s="760"/>
      <c r="D9343" s="760"/>
      <c r="E9343" s="760"/>
      <c r="F9343" s="760"/>
      <c r="G9343" s="760"/>
      <c r="H9343" s="760"/>
      <c r="I9343" s="760"/>
      <c r="J9343" s="760"/>
      <c r="K9343" s="760"/>
    </row>
    <row r="9344" spans="1:11">
      <c r="A9344" s="760"/>
      <c r="B9344" s="760"/>
      <c r="C9344" s="760"/>
      <c r="D9344" s="760"/>
      <c r="E9344" s="760"/>
      <c r="F9344" s="760"/>
      <c r="G9344" s="760"/>
      <c r="H9344" s="760"/>
      <c r="I9344" s="760"/>
      <c r="J9344" s="760"/>
      <c r="K9344" s="760"/>
    </row>
    <row r="9345" spans="1:11">
      <c r="A9345" s="760"/>
      <c r="B9345" s="760"/>
      <c r="C9345" s="760"/>
      <c r="D9345" s="760"/>
      <c r="E9345" s="760"/>
      <c r="F9345" s="760"/>
      <c r="G9345" s="760"/>
      <c r="H9345" s="760"/>
      <c r="I9345" s="760"/>
      <c r="J9345" s="760"/>
      <c r="K9345" s="760"/>
    </row>
    <row r="9346" spans="1:11">
      <c r="A9346" s="760"/>
      <c r="B9346" s="760"/>
      <c r="C9346" s="760"/>
      <c r="D9346" s="760"/>
      <c r="E9346" s="760"/>
      <c r="F9346" s="760"/>
      <c r="G9346" s="760"/>
      <c r="H9346" s="760"/>
      <c r="I9346" s="760"/>
      <c r="J9346" s="760"/>
      <c r="K9346" s="760"/>
    </row>
    <row r="9347" spans="1:11">
      <c r="A9347" s="760"/>
      <c r="B9347" s="760"/>
      <c r="C9347" s="760"/>
      <c r="D9347" s="760"/>
      <c r="E9347" s="760"/>
      <c r="F9347" s="760"/>
      <c r="G9347" s="760"/>
      <c r="H9347" s="760"/>
      <c r="I9347" s="760"/>
      <c r="J9347" s="760"/>
      <c r="K9347" s="760"/>
    </row>
    <row r="9348" spans="1:11">
      <c r="A9348" s="760"/>
      <c r="B9348" s="760"/>
      <c r="C9348" s="760"/>
      <c r="D9348" s="760"/>
      <c r="E9348" s="760"/>
      <c r="F9348" s="760"/>
      <c r="G9348" s="760"/>
      <c r="H9348" s="760"/>
      <c r="I9348" s="760"/>
      <c r="J9348" s="760"/>
      <c r="K9348" s="760"/>
    </row>
    <row r="9349" spans="1:11">
      <c r="A9349" s="760"/>
      <c r="B9349" s="760"/>
      <c r="C9349" s="760"/>
      <c r="D9349" s="760"/>
      <c r="E9349" s="760"/>
      <c r="F9349" s="760"/>
      <c r="G9349" s="760"/>
      <c r="H9349" s="760"/>
      <c r="I9349" s="760"/>
      <c r="J9349" s="760"/>
      <c r="K9349" s="760"/>
    </row>
    <row r="9350" spans="1:11">
      <c r="A9350" s="760"/>
      <c r="B9350" s="760"/>
      <c r="C9350" s="760"/>
      <c r="D9350" s="760"/>
      <c r="E9350" s="760"/>
      <c r="F9350" s="760"/>
      <c r="G9350" s="760"/>
      <c r="H9350" s="760"/>
      <c r="I9350" s="760"/>
      <c r="J9350" s="760"/>
      <c r="K9350" s="760"/>
    </row>
    <row r="9351" spans="1:11">
      <c r="A9351" s="760"/>
      <c r="B9351" s="760"/>
      <c r="C9351" s="760"/>
      <c r="D9351" s="760"/>
      <c r="E9351" s="760"/>
      <c r="F9351" s="760"/>
      <c r="G9351" s="760"/>
      <c r="H9351" s="760"/>
      <c r="I9351" s="760"/>
      <c r="J9351" s="760"/>
      <c r="K9351" s="760"/>
    </row>
    <row r="9352" spans="1:11">
      <c r="A9352" s="760"/>
      <c r="B9352" s="760"/>
      <c r="C9352" s="760"/>
      <c r="D9352" s="760"/>
      <c r="E9352" s="760"/>
      <c r="F9352" s="760"/>
      <c r="G9352" s="760"/>
      <c r="H9352" s="760"/>
      <c r="I9352" s="760"/>
      <c r="J9352" s="760"/>
      <c r="K9352" s="760"/>
    </row>
    <row r="9353" spans="1:11">
      <c r="A9353" s="760"/>
      <c r="B9353" s="760"/>
      <c r="C9353" s="760"/>
      <c r="D9353" s="760"/>
      <c r="E9353" s="760"/>
      <c r="F9353" s="760"/>
      <c r="G9353" s="760"/>
      <c r="H9353" s="760"/>
      <c r="I9353" s="760"/>
      <c r="J9353" s="760"/>
      <c r="K9353" s="760"/>
    </row>
    <row r="9354" spans="1:11">
      <c r="A9354" s="760"/>
      <c r="B9354" s="760"/>
      <c r="C9354" s="760"/>
      <c r="D9354" s="760"/>
      <c r="E9354" s="760"/>
      <c r="F9354" s="760"/>
      <c r="G9354" s="760"/>
      <c r="H9354" s="760"/>
      <c r="I9354" s="760"/>
      <c r="J9354" s="760"/>
      <c r="K9354" s="760"/>
    </row>
    <row r="9355" spans="1:11">
      <c r="A9355" s="760"/>
      <c r="B9355" s="760"/>
      <c r="C9355" s="760"/>
      <c r="D9355" s="760"/>
      <c r="E9355" s="760"/>
      <c r="F9355" s="760"/>
      <c r="G9355" s="760"/>
      <c r="H9355" s="760"/>
      <c r="I9355" s="760"/>
      <c r="J9355" s="760"/>
      <c r="K9355" s="760"/>
    </row>
    <row r="9356" spans="1:11">
      <c r="A9356" s="760"/>
      <c r="B9356" s="760"/>
      <c r="C9356" s="760"/>
      <c r="D9356" s="760"/>
      <c r="E9356" s="760"/>
      <c r="F9356" s="760"/>
      <c r="G9356" s="760"/>
      <c r="H9356" s="760"/>
      <c r="I9356" s="760"/>
      <c r="J9356" s="760"/>
      <c r="K9356" s="760"/>
    </row>
    <row r="9357" spans="1:11">
      <c r="A9357" s="760"/>
      <c r="B9357" s="760"/>
      <c r="C9357" s="760"/>
      <c r="D9357" s="760"/>
      <c r="E9357" s="760"/>
      <c r="F9357" s="760"/>
      <c r="G9357" s="760"/>
      <c r="H9357" s="760"/>
      <c r="I9357" s="760"/>
      <c r="J9357" s="760"/>
      <c r="K9357" s="760"/>
    </row>
    <row r="9358" spans="1:11">
      <c r="A9358" s="760"/>
      <c r="B9358" s="760"/>
      <c r="C9358" s="760"/>
      <c r="D9358" s="760"/>
      <c r="E9358" s="760"/>
      <c r="F9358" s="760"/>
      <c r="G9358" s="760"/>
      <c r="H9358" s="760"/>
      <c r="I9358" s="760"/>
      <c r="J9358" s="760"/>
      <c r="K9358" s="760"/>
    </row>
    <row r="9359" spans="1:11">
      <c r="A9359" s="760"/>
      <c r="B9359" s="760"/>
      <c r="C9359" s="760"/>
      <c r="D9359" s="760"/>
      <c r="E9359" s="760"/>
      <c r="F9359" s="760"/>
      <c r="G9359" s="760"/>
      <c r="H9359" s="760"/>
      <c r="I9359" s="760"/>
      <c r="J9359" s="760"/>
      <c r="K9359" s="760"/>
    </row>
    <row r="9360" spans="1:11">
      <c r="A9360" s="760"/>
      <c r="B9360" s="760"/>
      <c r="C9360" s="760"/>
      <c r="D9360" s="760"/>
      <c r="E9360" s="760"/>
      <c r="F9360" s="760"/>
      <c r="G9360" s="760"/>
      <c r="H9360" s="760"/>
      <c r="I9360" s="760"/>
      <c r="J9360" s="760"/>
      <c r="K9360" s="760"/>
    </row>
    <row r="9361" spans="1:11">
      <c r="A9361" s="760"/>
      <c r="B9361" s="760"/>
      <c r="C9361" s="760"/>
      <c r="D9361" s="760"/>
      <c r="E9361" s="760"/>
      <c r="F9361" s="760"/>
      <c r="G9361" s="760"/>
      <c r="H9361" s="760"/>
      <c r="I9361" s="760"/>
      <c r="J9361" s="760"/>
      <c r="K9361" s="760"/>
    </row>
    <row r="9362" spans="1:11">
      <c r="A9362" s="760"/>
      <c r="B9362" s="760"/>
      <c r="C9362" s="760"/>
      <c r="D9362" s="760"/>
      <c r="E9362" s="760"/>
      <c r="F9362" s="760"/>
      <c r="G9362" s="760"/>
      <c r="H9362" s="760"/>
      <c r="I9362" s="760"/>
      <c r="J9362" s="760"/>
      <c r="K9362" s="760"/>
    </row>
    <row r="9363" spans="1:11">
      <c r="A9363" s="760"/>
      <c r="B9363" s="760"/>
      <c r="C9363" s="760"/>
      <c r="D9363" s="760"/>
      <c r="E9363" s="760"/>
      <c r="F9363" s="760"/>
      <c r="G9363" s="760"/>
      <c r="H9363" s="760"/>
      <c r="I9363" s="760"/>
      <c r="J9363" s="760"/>
      <c r="K9363" s="760"/>
    </row>
    <row r="9364" spans="1:11">
      <c r="A9364" s="760"/>
      <c r="B9364" s="760"/>
      <c r="C9364" s="760"/>
      <c r="D9364" s="760"/>
      <c r="E9364" s="760"/>
      <c r="F9364" s="760"/>
      <c r="G9364" s="760"/>
      <c r="H9364" s="760"/>
      <c r="I9364" s="760"/>
      <c r="J9364" s="760"/>
      <c r="K9364" s="760"/>
    </row>
    <row r="9365" spans="1:11">
      <c r="A9365" s="760"/>
      <c r="B9365" s="760"/>
      <c r="C9365" s="760"/>
      <c r="D9365" s="760"/>
      <c r="E9365" s="760"/>
      <c r="F9365" s="760"/>
      <c r="G9365" s="760"/>
      <c r="H9365" s="760"/>
      <c r="I9365" s="760"/>
      <c r="J9365" s="760"/>
      <c r="K9365" s="760"/>
    </row>
    <row r="9366" spans="1:11">
      <c r="A9366" s="760"/>
      <c r="B9366" s="760"/>
      <c r="C9366" s="760"/>
      <c r="D9366" s="760"/>
      <c r="E9366" s="760"/>
      <c r="F9366" s="760"/>
      <c r="G9366" s="760"/>
      <c r="H9366" s="760"/>
      <c r="I9366" s="760"/>
      <c r="J9366" s="760"/>
      <c r="K9366" s="760"/>
    </row>
    <row r="9367" spans="1:11">
      <c r="A9367" s="760"/>
      <c r="B9367" s="760"/>
      <c r="C9367" s="760"/>
      <c r="D9367" s="760"/>
      <c r="E9367" s="760"/>
      <c r="F9367" s="760"/>
      <c r="G9367" s="760"/>
      <c r="H9367" s="760"/>
      <c r="I9367" s="760"/>
      <c r="J9367" s="760"/>
      <c r="K9367" s="760"/>
    </row>
    <row r="9368" spans="1:11">
      <c r="A9368" s="760"/>
      <c r="B9368" s="760"/>
      <c r="C9368" s="760"/>
      <c r="D9368" s="760"/>
      <c r="E9368" s="760"/>
      <c r="F9368" s="760"/>
      <c r="G9368" s="760"/>
      <c r="H9368" s="760"/>
      <c r="I9368" s="760"/>
      <c r="J9368" s="760"/>
      <c r="K9368" s="760"/>
    </row>
    <row r="9369" spans="1:11">
      <c r="A9369" s="760"/>
      <c r="B9369" s="760"/>
      <c r="C9369" s="760"/>
      <c r="D9369" s="760"/>
      <c r="E9369" s="760"/>
      <c r="F9369" s="760"/>
      <c r="G9369" s="760"/>
      <c r="H9369" s="760"/>
      <c r="I9369" s="760"/>
      <c r="J9369" s="760"/>
      <c r="K9369" s="760"/>
    </row>
    <row r="9370" spans="1:11">
      <c r="A9370" s="760"/>
      <c r="B9370" s="760"/>
      <c r="C9370" s="760"/>
      <c r="D9370" s="760"/>
      <c r="E9370" s="760"/>
      <c r="F9370" s="760"/>
      <c r="G9370" s="760"/>
      <c r="H9370" s="760"/>
      <c r="I9370" s="760"/>
      <c r="J9370" s="760"/>
      <c r="K9370" s="760"/>
    </row>
    <row r="9371" spans="1:11">
      <c r="A9371" s="760"/>
      <c r="B9371" s="760"/>
      <c r="C9371" s="760"/>
      <c r="D9371" s="760"/>
      <c r="E9371" s="760"/>
      <c r="F9371" s="760"/>
      <c r="G9371" s="760"/>
      <c r="H9371" s="760"/>
      <c r="I9371" s="760"/>
      <c r="J9371" s="760"/>
      <c r="K9371" s="760"/>
    </row>
    <row r="9372" spans="1:11">
      <c r="A9372" s="760"/>
      <c r="B9372" s="760"/>
      <c r="C9372" s="760"/>
      <c r="D9372" s="760"/>
      <c r="E9372" s="760"/>
      <c r="F9372" s="760"/>
      <c r="G9372" s="760"/>
      <c r="H9372" s="760"/>
      <c r="I9372" s="760"/>
      <c r="J9372" s="760"/>
      <c r="K9372" s="760"/>
    </row>
    <row r="9373" spans="1:11">
      <c r="A9373" s="760"/>
      <c r="B9373" s="760"/>
      <c r="C9373" s="760"/>
      <c r="D9373" s="760"/>
      <c r="E9373" s="760"/>
      <c r="F9373" s="760"/>
      <c r="G9373" s="760"/>
      <c r="H9373" s="760"/>
      <c r="I9373" s="760"/>
      <c r="J9373" s="760"/>
      <c r="K9373" s="760"/>
    </row>
    <row r="9374" spans="1:11">
      <c r="A9374" s="760"/>
      <c r="B9374" s="760"/>
      <c r="C9374" s="760"/>
      <c r="D9374" s="760"/>
      <c r="E9374" s="760"/>
      <c r="F9374" s="760"/>
      <c r="G9374" s="760"/>
      <c r="H9374" s="760"/>
      <c r="I9374" s="760"/>
      <c r="J9374" s="760"/>
      <c r="K9374" s="760"/>
    </row>
    <row r="9375" spans="1:11">
      <c r="A9375" s="760"/>
      <c r="B9375" s="760"/>
      <c r="C9375" s="760"/>
      <c r="D9375" s="760"/>
      <c r="E9375" s="760"/>
      <c r="F9375" s="760"/>
      <c r="G9375" s="760"/>
      <c r="H9375" s="760"/>
      <c r="I9375" s="760"/>
      <c r="J9375" s="760"/>
      <c r="K9375" s="760"/>
    </row>
    <row r="9376" spans="1:11">
      <c r="A9376" s="760"/>
      <c r="B9376" s="760"/>
      <c r="C9376" s="760"/>
      <c r="D9376" s="760"/>
      <c r="E9376" s="760"/>
      <c r="F9376" s="760"/>
      <c r="G9376" s="760"/>
      <c r="H9376" s="760"/>
      <c r="I9376" s="760"/>
      <c r="J9376" s="760"/>
      <c r="K9376" s="760"/>
    </row>
    <row r="9377" spans="1:11">
      <c r="A9377" s="760"/>
      <c r="B9377" s="760"/>
      <c r="C9377" s="760"/>
      <c r="D9377" s="760"/>
      <c r="E9377" s="760"/>
      <c r="F9377" s="760"/>
      <c r="G9377" s="760"/>
      <c r="H9377" s="760"/>
      <c r="I9377" s="760"/>
      <c r="J9377" s="760"/>
      <c r="K9377" s="760"/>
    </row>
    <row r="9378" spans="1:11">
      <c r="A9378" s="760"/>
      <c r="B9378" s="760"/>
      <c r="C9378" s="760"/>
      <c r="D9378" s="760"/>
      <c r="E9378" s="760"/>
      <c r="F9378" s="760"/>
      <c r="G9378" s="760"/>
      <c r="H9378" s="760"/>
      <c r="I9378" s="760"/>
      <c r="J9378" s="760"/>
      <c r="K9378" s="760"/>
    </row>
    <row r="9379" spans="1:11">
      <c r="A9379" s="760"/>
      <c r="B9379" s="760"/>
      <c r="C9379" s="760"/>
      <c r="D9379" s="760"/>
      <c r="E9379" s="760"/>
      <c r="F9379" s="760"/>
      <c r="G9379" s="760"/>
      <c r="H9379" s="760"/>
      <c r="I9379" s="760"/>
      <c r="J9379" s="760"/>
      <c r="K9379" s="760"/>
    </row>
    <row r="9380" spans="1:11">
      <c r="A9380" s="760"/>
      <c r="B9380" s="760"/>
      <c r="C9380" s="760"/>
      <c r="D9380" s="760"/>
      <c r="E9380" s="760"/>
      <c r="F9380" s="760"/>
      <c r="G9380" s="760"/>
      <c r="H9380" s="760"/>
      <c r="I9380" s="760"/>
      <c r="J9380" s="760"/>
      <c r="K9380" s="760"/>
    </row>
    <row r="9381" spans="1:11">
      <c r="A9381" s="760"/>
      <c r="B9381" s="760"/>
      <c r="C9381" s="760"/>
      <c r="D9381" s="760"/>
      <c r="E9381" s="760"/>
      <c r="F9381" s="760"/>
      <c r="G9381" s="760"/>
      <c r="H9381" s="760"/>
      <c r="I9381" s="760"/>
      <c r="J9381" s="760"/>
      <c r="K9381" s="760"/>
    </row>
    <row r="9382" spans="1:11">
      <c r="A9382" s="760"/>
      <c r="B9382" s="760"/>
      <c r="C9382" s="760"/>
      <c r="D9382" s="760"/>
      <c r="E9382" s="760"/>
      <c r="F9382" s="760"/>
      <c r="G9382" s="760"/>
      <c r="H9382" s="760"/>
      <c r="I9382" s="760"/>
      <c r="J9382" s="760"/>
      <c r="K9382" s="760"/>
    </row>
    <row r="9383" spans="1:11">
      <c r="A9383" s="760"/>
      <c r="B9383" s="760"/>
      <c r="C9383" s="760"/>
      <c r="D9383" s="760"/>
      <c r="E9383" s="760"/>
      <c r="F9383" s="760"/>
      <c r="G9383" s="760"/>
      <c r="H9383" s="760"/>
      <c r="I9383" s="760"/>
      <c r="J9383" s="760"/>
      <c r="K9383" s="760"/>
    </row>
    <row r="9384" spans="1:11">
      <c r="A9384" s="760"/>
      <c r="B9384" s="760"/>
      <c r="C9384" s="760"/>
      <c r="D9384" s="760"/>
      <c r="E9384" s="760"/>
      <c r="F9384" s="760"/>
      <c r="G9384" s="760"/>
      <c r="H9384" s="760"/>
      <c r="I9384" s="760"/>
      <c r="J9384" s="760"/>
      <c r="K9384" s="760"/>
    </row>
    <row r="9385" spans="1:11">
      <c r="A9385" s="760"/>
      <c r="B9385" s="760"/>
      <c r="C9385" s="760"/>
      <c r="D9385" s="760"/>
      <c r="E9385" s="760"/>
      <c r="F9385" s="760"/>
      <c r="G9385" s="760"/>
      <c r="H9385" s="760"/>
      <c r="I9385" s="760"/>
      <c r="J9385" s="760"/>
      <c r="K9385" s="760"/>
    </row>
    <row r="9386" spans="1:11">
      <c r="A9386" s="760"/>
      <c r="B9386" s="760"/>
      <c r="C9386" s="760"/>
      <c r="D9386" s="760"/>
      <c r="E9386" s="760"/>
      <c r="F9386" s="760"/>
      <c r="G9386" s="760"/>
      <c r="H9386" s="760"/>
      <c r="I9386" s="760"/>
      <c r="J9386" s="760"/>
      <c r="K9386" s="760"/>
    </row>
    <row r="9387" spans="1:11">
      <c r="A9387" s="760"/>
      <c r="B9387" s="760"/>
      <c r="C9387" s="760"/>
      <c r="D9387" s="760"/>
      <c r="E9387" s="760"/>
      <c r="F9387" s="760"/>
      <c r="G9387" s="760"/>
      <c r="H9387" s="760"/>
      <c r="I9387" s="760"/>
      <c r="J9387" s="760"/>
      <c r="K9387" s="760"/>
    </row>
    <row r="9388" spans="1:11">
      <c r="A9388" s="760"/>
      <c r="B9388" s="760"/>
      <c r="C9388" s="760"/>
      <c r="D9388" s="760"/>
      <c r="E9388" s="760"/>
      <c r="F9388" s="760"/>
      <c r="G9388" s="760"/>
      <c r="H9388" s="760"/>
      <c r="I9388" s="760"/>
      <c r="J9388" s="760"/>
      <c r="K9388" s="760"/>
    </row>
    <row r="9389" spans="1:11">
      <c r="A9389" s="760"/>
      <c r="B9389" s="760"/>
      <c r="C9389" s="760"/>
      <c r="D9389" s="760"/>
      <c r="E9389" s="760"/>
      <c r="F9389" s="760"/>
      <c r="G9389" s="760"/>
      <c r="H9389" s="760"/>
      <c r="I9389" s="760"/>
      <c r="J9389" s="760"/>
      <c r="K9389" s="760"/>
    </row>
    <row r="9390" spans="1:11">
      <c r="A9390" s="760"/>
      <c r="B9390" s="760"/>
      <c r="C9390" s="760"/>
      <c r="D9390" s="760"/>
      <c r="E9390" s="760"/>
      <c r="F9390" s="760"/>
      <c r="G9390" s="760"/>
      <c r="H9390" s="760"/>
      <c r="I9390" s="760"/>
      <c r="J9390" s="760"/>
      <c r="K9390" s="760"/>
    </row>
    <row r="9391" spans="1:11">
      <c r="A9391" s="760"/>
      <c r="B9391" s="760"/>
      <c r="C9391" s="760"/>
      <c r="D9391" s="760"/>
      <c r="E9391" s="760"/>
      <c r="F9391" s="760"/>
      <c r="G9391" s="760"/>
      <c r="H9391" s="760"/>
      <c r="I9391" s="760"/>
      <c r="J9391" s="760"/>
      <c r="K9391" s="760"/>
    </row>
    <row r="9392" spans="1:11">
      <c r="A9392" s="760"/>
      <c r="B9392" s="760"/>
      <c r="C9392" s="760"/>
      <c r="D9392" s="760"/>
      <c r="E9392" s="760"/>
      <c r="F9392" s="760"/>
      <c r="G9392" s="760"/>
      <c r="H9392" s="760"/>
      <c r="I9392" s="760"/>
      <c r="J9392" s="760"/>
      <c r="K9392" s="760"/>
    </row>
    <row r="9393" spans="1:11">
      <c r="A9393" s="760"/>
      <c r="B9393" s="760"/>
      <c r="C9393" s="760"/>
      <c r="D9393" s="760"/>
      <c r="E9393" s="760"/>
      <c r="F9393" s="760"/>
      <c r="G9393" s="760"/>
      <c r="H9393" s="760"/>
      <c r="I9393" s="760"/>
      <c r="J9393" s="760"/>
      <c r="K9393" s="760"/>
    </row>
    <row r="9394" spans="1:11">
      <c r="A9394" s="760"/>
      <c r="B9394" s="760"/>
      <c r="C9394" s="760"/>
      <c r="D9394" s="760"/>
      <c r="E9394" s="760"/>
      <c r="F9394" s="760"/>
      <c r="G9394" s="760"/>
      <c r="H9394" s="760"/>
      <c r="I9394" s="760"/>
      <c r="J9394" s="760"/>
      <c r="K9394" s="760"/>
    </row>
    <row r="9395" spans="1:11">
      <c r="A9395" s="760"/>
      <c r="B9395" s="760"/>
      <c r="C9395" s="760"/>
      <c r="D9395" s="760"/>
      <c r="E9395" s="760"/>
      <c r="F9395" s="760"/>
      <c r="G9395" s="760"/>
      <c r="H9395" s="760"/>
      <c r="I9395" s="760"/>
      <c r="J9395" s="760"/>
      <c r="K9395" s="760"/>
    </row>
    <row r="9396" spans="1:11">
      <c r="A9396" s="760"/>
      <c r="B9396" s="760"/>
      <c r="C9396" s="760"/>
      <c r="D9396" s="760"/>
      <c r="E9396" s="760"/>
      <c r="F9396" s="760"/>
      <c r="G9396" s="760"/>
      <c r="H9396" s="760"/>
      <c r="I9396" s="760"/>
      <c r="J9396" s="760"/>
      <c r="K9396" s="760"/>
    </row>
    <row r="9397" spans="1:11">
      <c r="A9397" s="760"/>
      <c r="B9397" s="760"/>
      <c r="C9397" s="760"/>
      <c r="D9397" s="760"/>
      <c r="E9397" s="760"/>
      <c r="F9397" s="760"/>
      <c r="G9397" s="760"/>
      <c r="H9397" s="760"/>
      <c r="I9397" s="760"/>
      <c r="J9397" s="760"/>
      <c r="K9397" s="760"/>
    </row>
    <row r="9398" spans="1:11">
      <c r="A9398" s="760"/>
      <c r="B9398" s="760"/>
      <c r="C9398" s="760"/>
      <c r="D9398" s="760"/>
      <c r="E9398" s="760"/>
      <c r="F9398" s="760"/>
      <c r="G9398" s="760"/>
      <c r="H9398" s="760"/>
      <c r="I9398" s="760"/>
      <c r="J9398" s="760"/>
      <c r="K9398" s="760"/>
    </row>
    <row r="9399" spans="1:11">
      <c r="A9399" s="760"/>
      <c r="B9399" s="760"/>
      <c r="C9399" s="760"/>
      <c r="D9399" s="760"/>
      <c r="E9399" s="760"/>
      <c r="F9399" s="760"/>
      <c r="G9399" s="760"/>
      <c r="H9399" s="760"/>
      <c r="I9399" s="760"/>
      <c r="J9399" s="760"/>
      <c r="K9399" s="760"/>
    </row>
    <row r="9400" spans="1:11">
      <c r="A9400" s="760"/>
      <c r="B9400" s="760"/>
      <c r="C9400" s="760"/>
      <c r="D9400" s="760"/>
      <c r="E9400" s="760"/>
      <c r="F9400" s="760"/>
      <c r="G9400" s="760"/>
      <c r="H9400" s="760"/>
      <c r="I9400" s="760"/>
      <c r="J9400" s="760"/>
      <c r="K9400" s="760"/>
    </row>
    <row r="9401" spans="1:11">
      <c r="A9401" s="760"/>
      <c r="B9401" s="760"/>
      <c r="C9401" s="760"/>
      <c r="D9401" s="760"/>
      <c r="E9401" s="760"/>
      <c r="F9401" s="760"/>
      <c r="G9401" s="760"/>
      <c r="H9401" s="760"/>
      <c r="I9401" s="760"/>
      <c r="J9401" s="760"/>
      <c r="K9401" s="760"/>
    </row>
    <row r="9402" spans="1:11">
      <c r="A9402" s="760"/>
      <c r="B9402" s="760"/>
      <c r="C9402" s="760"/>
      <c r="D9402" s="760"/>
      <c r="E9402" s="760"/>
      <c r="F9402" s="760"/>
      <c r="G9402" s="760"/>
      <c r="H9402" s="760"/>
      <c r="I9402" s="760"/>
      <c r="J9402" s="760"/>
      <c r="K9402" s="760"/>
    </row>
    <row r="9403" spans="1:11">
      <c r="A9403" s="760"/>
      <c r="B9403" s="760"/>
      <c r="C9403" s="760"/>
      <c r="D9403" s="760"/>
      <c r="E9403" s="760"/>
      <c r="F9403" s="760"/>
      <c r="G9403" s="760"/>
      <c r="H9403" s="760"/>
      <c r="I9403" s="760"/>
      <c r="J9403" s="760"/>
      <c r="K9403" s="760"/>
    </row>
    <row r="9404" spans="1:11">
      <c r="A9404" s="760"/>
      <c r="B9404" s="760"/>
      <c r="C9404" s="760"/>
      <c r="D9404" s="760"/>
      <c r="E9404" s="760"/>
      <c r="F9404" s="760"/>
      <c r="G9404" s="760"/>
      <c r="H9404" s="760"/>
      <c r="I9404" s="760"/>
      <c r="J9404" s="760"/>
      <c r="K9404" s="760"/>
    </row>
    <row r="9405" spans="1:11">
      <c r="A9405" s="760"/>
      <c r="B9405" s="760"/>
      <c r="C9405" s="760"/>
      <c r="D9405" s="760"/>
      <c r="E9405" s="760"/>
      <c r="F9405" s="760"/>
      <c r="G9405" s="760"/>
      <c r="H9405" s="760"/>
      <c r="I9405" s="760"/>
      <c r="J9405" s="760"/>
      <c r="K9405" s="760"/>
    </row>
    <row r="9406" spans="1:11">
      <c r="A9406" s="760"/>
      <c r="B9406" s="760"/>
      <c r="C9406" s="760"/>
      <c r="D9406" s="760"/>
      <c r="E9406" s="760"/>
      <c r="F9406" s="760"/>
      <c r="G9406" s="760"/>
      <c r="H9406" s="760"/>
      <c r="I9406" s="760"/>
      <c r="J9406" s="760"/>
      <c r="K9406" s="760"/>
    </row>
    <row r="9407" spans="1:11">
      <c r="A9407" s="760"/>
      <c r="B9407" s="760"/>
      <c r="C9407" s="760"/>
      <c r="D9407" s="760"/>
      <c r="E9407" s="760"/>
      <c r="F9407" s="760"/>
      <c r="G9407" s="760"/>
      <c r="H9407" s="760"/>
      <c r="I9407" s="760"/>
      <c r="J9407" s="760"/>
      <c r="K9407" s="760"/>
    </row>
    <row r="9408" spans="1:11">
      <c r="A9408" s="760"/>
      <c r="B9408" s="760"/>
      <c r="C9408" s="760"/>
      <c r="D9408" s="760"/>
      <c r="E9408" s="760"/>
      <c r="F9408" s="760"/>
      <c r="G9408" s="760"/>
      <c r="H9408" s="760"/>
      <c r="I9408" s="760"/>
      <c r="J9408" s="760"/>
      <c r="K9408" s="760"/>
    </row>
    <row r="9409" spans="1:11">
      <c r="A9409" s="760"/>
      <c r="B9409" s="760"/>
      <c r="C9409" s="760"/>
      <c r="D9409" s="760"/>
      <c r="E9409" s="760"/>
      <c r="F9409" s="760"/>
      <c r="G9409" s="760"/>
      <c r="H9409" s="760"/>
      <c r="I9409" s="760"/>
      <c r="J9409" s="760"/>
      <c r="K9409" s="760"/>
    </row>
    <row r="9410" spans="1:11">
      <c r="A9410" s="760"/>
      <c r="B9410" s="760"/>
      <c r="C9410" s="760"/>
      <c r="D9410" s="760"/>
      <c r="E9410" s="760"/>
      <c r="F9410" s="760"/>
      <c r="G9410" s="760"/>
      <c r="H9410" s="760"/>
      <c r="I9410" s="760"/>
      <c r="J9410" s="760"/>
      <c r="K9410" s="760"/>
    </row>
    <row r="9411" spans="1:11">
      <c r="A9411" s="760"/>
      <c r="B9411" s="760"/>
      <c r="C9411" s="760"/>
      <c r="D9411" s="760"/>
      <c r="E9411" s="760"/>
      <c r="F9411" s="760"/>
      <c r="G9411" s="760"/>
      <c r="H9411" s="760"/>
      <c r="I9411" s="760"/>
      <c r="J9411" s="760"/>
      <c r="K9411" s="760"/>
    </row>
    <row r="9412" spans="1:11">
      <c r="A9412" s="760"/>
      <c r="B9412" s="760"/>
      <c r="C9412" s="760"/>
      <c r="D9412" s="760"/>
      <c r="E9412" s="760"/>
      <c r="F9412" s="760"/>
      <c r="G9412" s="760"/>
      <c r="H9412" s="760"/>
      <c r="I9412" s="760"/>
      <c r="J9412" s="760"/>
      <c r="K9412" s="760"/>
    </row>
    <row r="9413" spans="1:11">
      <c r="A9413" s="760"/>
      <c r="B9413" s="760"/>
      <c r="C9413" s="760"/>
      <c r="D9413" s="760"/>
      <c r="E9413" s="760"/>
      <c r="F9413" s="760"/>
      <c r="G9413" s="760"/>
      <c r="H9413" s="760"/>
      <c r="I9413" s="760"/>
      <c r="J9413" s="760"/>
      <c r="K9413" s="760"/>
    </row>
    <row r="9414" spans="1:11">
      <c r="A9414" s="760"/>
      <c r="B9414" s="760"/>
      <c r="C9414" s="760"/>
      <c r="D9414" s="760"/>
      <c r="E9414" s="760"/>
      <c r="F9414" s="760"/>
      <c r="G9414" s="760"/>
      <c r="H9414" s="760"/>
      <c r="I9414" s="760"/>
      <c r="J9414" s="760"/>
      <c r="K9414" s="760"/>
    </row>
    <row r="9415" spans="1:11">
      <c r="A9415" s="760"/>
      <c r="B9415" s="760"/>
      <c r="C9415" s="760"/>
      <c r="D9415" s="760"/>
      <c r="E9415" s="760"/>
      <c r="F9415" s="760"/>
      <c r="G9415" s="760"/>
      <c r="H9415" s="760"/>
      <c r="I9415" s="760"/>
      <c r="J9415" s="760"/>
      <c r="K9415" s="760"/>
    </row>
    <row r="9416" spans="1:11">
      <c r="A9416" s="760"/>
      <c r="B9416" s="760"/>
      <c r="C9416" s="760"/>
      <c r="D9416" s="760"/>
      <c r="E9416" s="760"/>
      <c r="F9416" s="760"/>
      <c r="G9416" s="760"/>
      <c r="H9416" s="760"/>
      <c r="I9416" s="760"/>
      <c r="J9416" s="760"/>
      <c r="K9416" s="760"/>
    </row>
    <row r="9417" spans="1:11">
      <c r="A9417" s="760"/>
      <c r="B9417" s="760"/>
      <c r="C9417" s="760"/>
      <c r="D9417" s="760"/>
      <c r="E9417" s="760"/>
      <c r="F9417" s="760"/>
      <c r="G9417" s="760"/>
      <c r="H9417" s="760"/>
      <c r="I9417" s="760"/>
      <c r="J9417" s="760"/>
      <c r="K9417" s="760"/>
    </row>
    <row r="9418" spans="1:11">
      <c r="A9418" s="760"/>
      <c r="B9418" s="760"/>
      <c r="C9418" s="760"/>
      <c r="D9418" s="760"/>
      <c r="E9418" s="760"/>
      <c r="F9418" s="760"/>
      <c r="G9418" s="760"/>
      <c r="H9418" s="760"/>
      <c r="I9418" s="760"/>
      <c r="J9418" s="760"/>
      <c r="K9418" s="760"/>
    </row>
    <row r="9419" spans="1:11">
      <c r="A9419" s="760"/>
      <c r="B9419" s="760"/>
      <c r="C9419" s="760"/>
      <c r="D9419" s="760"/>
      <c r="E9419" s="760"/>
      <c r="F9419" s="760"/>
      <c r="G9419" s="760"/>
      <c r="H9419" s="760"/>
      <c r="I9419" s="760"/>
      <c r="J9419" s="760"/>
      <c r="K9419" s="760"/>
    </row>
    <row r="9420" spans="1:11">
      <c r="A9420" s="760"/>
      <c r="B9420" s="760"/>
      <c r="C9420" s="760"/>
      <c r="D9420" s="760"/>
      <c r="E9420" s="760"/>
      <c r="F9420" s="760"/>
      <c r="G9420" s="760"/>
      <c r="H9420" s="760"/>
      <c r="I9420" s="760"/>
      <c r="J9420" s="760"/>
      <c r="K9420" s="760"/>
    </row>
    <row r="9421" spans="1:11">
      <c r="A9421" s="760"/>
      <c r="B9421" s="760"/>
      <c r="C9421" s="760"/>
      <c r="D9421" s="760"/>
      <c r="E9421" s="760"/>
      <c r="F9421" s="760"/>
      <c r="G9421" s="760"/>
      <c r="H9421" s="760"/>
      <c r="I9421" s="760"/>
      <c r="J9421" s="760"/>
      <c r="K9421" s="760"/>
    </row>
    <row r="9422" spans="1:11">
      <c r="A9422" s="760"/>
      <c r="B9422" s="760"/>
      <c r="C9422" s="760"/>
      <c r="D9422" s="760"/>
      <c r="E9422" s="760"/>
      <c r="F9422" s="760"/>
      <c r="G9422" s="760"/>
      <c r="H9422" s="760"/>
      <c r="I9422" s="760"/>
      <c r="J9422" s="760"/>
      <c r="K9422" s="760"/>
    </row>
    <row r="9423" spans="1:11">
      <c r="A9423" s="760"/>
      <c r="B9423" s="760"/>
      <c r="C9423" s="760"/>
      <c r="D9423" s="760"/>
      <c r="E9423" s="760"/>
      <c r="F9423" s="760"/>
      <c r="G9423" s="760"/>
      <c r="H9423" s="760"/>
      <c r="I9423" s="760"/>
      <c r="J9423" s="760"/>
      <c r="K9423" s="760"/>
    </row>
    <row r="9424" spans="1:11">
      <c r="A9424" s="760"/>
      <c r="B9424" s="760"/>
      <c r="C9424" s="760"/>
      <c r="D9424" s="760"/>
      <c r="E9424" s="760"/>
      <c r="F9424" s="760"/>
      <c r="G9424" s="760"/>
      <c r="H9424" s="760"/>
      <c r="I9424" s="760"/>
      <c r="J9424" s="760"/>
      <c r="K9424" s="760"/>
    </row>
    <row r="9425" spans="1:11">
      <c r="A9425" s="760"/>
      <c r="B9425" s="760"/>
      <c r="C9425" s="760"/>
      <c r="D9425" s="760"/>
      <c r="E9425" s="760"/>
      <c r="F9425" s="760"/>
      <c r="G9425" s="760"/>
      <c r="H9425" s="760"/>
      <c r="I9425" s="760"/>
      <c r="J9425" s="760"/>
      <c r="K9425" s="760"/>
    </row>
    <row r="9426" spans="1:11">
      <c r="A9426" s="760"/>
      <c r="B9426" s="760"/>
      <c r="C9426" s="760"/>
      <c r="D9426" s="760"/>
      <c r="E9426" s="760"/>
      <c r="F9426" s="760"/>
      <c r="G9426" s="760"/>
      <c r="H9426" s="760"/>
      <c r="I9426" s="760"/>
      <c r="J9426" s="760"/>
      <c r="K9426" s="760"/>
    </row>
    <row r="9427" spans="1:11">
      <c r="A9427" s="760"/>
      <c r="B9427" s="760"/>
      <c r="C9427" s="760"/>
      <c r="D9427" s="760"/>
      <c r="E9427" s="760"/>
      <c r="F9427" s="760"/>
      <c r="G9427" s="760"/>
      <c r="H9427" s="760"/>
      <c r="I9427" s="760"/>
      <c r="J9427" s="760"/>
      <c r="K9427" s="760"/>
    </row>
    <row r="9428" spans="1:11">
      <c r="A9428" s="760"/>
      <c r="B9428" s="760"/>
      <c r="C9428" s="760"/>
      <c r="D9428" s="760"/>
      <c r="E9428" s="760"/>
      <c r="F9428" s="760"/>
      <c r="G9428" s="760"/>
      <c r="H9428" s="760"/>
      <c r="I9428" s="760"/>
      <c r="J9428" s="760"/>
      <c r="K9428" s="760"/>
    </row>
    <row r="9429" spans="1:11">
      <c r="A9429" s="760"/>
      <c r="B9429" s="760"/>
      <c r="C9429" s="760"/>
      <c r="D9429" s="760"/>
      <c r="E9429" s="760"/>
      <c r="F9429" s="760"/>
      <c r="G9429" s="760"/>
      <c r="H9429" s="760"/>
      <c r="I9429" s="760"/>
      <c r="J9429" s="760"/>
      <c r="K9429" s="760"/>
    </row>
    <row r="9430" spans="1:11">
      <c r="A9430" s="760"/>
      <c r="B9430" s="760"/>
      <c r="C9430" s="760"/>
      <c r="D9430" s="760"/>
      <c r="E9430" s="760"/>
      <c r="F9430" s="760"/>
      <c r="G9430" s="760"/>
      <c r="H9430" s="760"/>
      <c r="I9430" s="760"/>
      <c r="J9430" s="760"/>
      <c r="K9430" s="760"/>
    </row>
    <row r="9431" spans="1:11">
      <c r="A9431" s="760"/>
      <c r="B9431" s="760"/>
      <c r="C9431" s="760"/>
      <c r="D9431" s="760"/>
      <c r="E9431" s="760"/>
      <c r="F9431" s="760"/>
      <c r="G9431" s="760"/>
      <c r="H9431" s="760"/>
      <c r="I9431" s="760"/>
      <c r="J9431" s="760"/>
      <c r="K9431" s="760"/>
    </row>
    <row r="9432" spans="1:11">
      <c r="A9432" s="760"/>
      <c r="B9432" s="760"/>
      <c r="C9432" s="760"/>
      <c r="D9432" s="760"/>
      <c r="E9432" s="760"/>
      <c r="F9432" s="760"/>
      <c r="G9432" s="760"/>
      <c r="H9432" s="760"/>
      <c r="I9432" s="760"/>
      <c r="J9432" s="760"/>
      <c r="K9432" s="760"/>
    </row>
    <row r="9433" spans="1:11">
      <c r="A9433" s="760"/>
      <c r="B9433" s="760"/>
      <c r="C9433" s="760"/>
      <c r="D9433" s="760"/>
      <c r="E9433" s="760"/>
      <c r="F9433" s="760"/>
      <c r="G9433" s="760"/>
      <c r="H9433" s="760"/>
      <c r="I9433" s="760"/>
      <c r="J9433" s="760"/>
      <c r="K9433" s="760"/>
    </row>
    <row r="9434" spans="1:11">
      <c r="A9434" s="760"/>
      <c r="B9434" s="760"/>
      <c r="C9434" s="760"/>
      <c r="D9434" s="760"/>
      <c r="E9434" s="760"/>
      <c r="F9434" s="760"/>
      <c r="G9434" s="760"/>
      <c r="H9434" s="760"/>
      <c r="I9434" s="760"/>
      <c r="J9434" s="760"/>
      <c r="K9434" s="760"/>
    </row>
    <row r="9435" spans="1:11">
      <c r="A9435" s="760"/>
      <c r="B9435" s="760"/>
      <c r="C9435" s="760"/>
      <c r="D9435" s="760"/>
      <c r="E9435" s="760"/>
      <c r="F9435" s="760"/>
      <c r="G9435" s="760"/>
      <c r="H9435" s="760"/>
      <c r="I9435" s="760"/>
      <c r="J9435" s="760"/>
      <c r="K9435" s="760"/>
    </row>
    <row r="9436" spans="1:11">
      <c r="A9436" s="760"/>
      <c r="B9436" s="760"/>
      <c r="C9436" s="760"/>
      <c r="D9436" s="760"/>
      <c r="E9436" s="760"/>
      <c r="F9436" s="760"/>
      <c r="G9436" s="760"/>
      <c r="H9436" s="760"/>
      <c r="I9436" s="760"/>
      <c r="J9436" s="760"/>
      <c r="K9436" s="760"/>
    </row>
    <row r="9437" spans="1:11">
      <c r="A9437" s="760"/>
      <c r="B9437" s="760"/>
      <c r="C9437" s="760"/>
      <c r="D9437" s="760"/>
      <c r="E9437" s="760"/>
      <c r="F9437" s="760"/>
      <c r="G9437" s="760"/>
      <c r="H9437" s="760"/>
      <c r="I9437" s="760"/>
      <c r="J9437" s="760"/>
      <c r="K9437" s="760"/>
    </row>
    <row r="9438" spans="1:11">
      <c r="A9438" s="760"/>
      <c r="B9438" s="760"/>
      <c r="C9438" s="760"/>
      <c r="D9438" s="760"/>
      <c r="E9438" s="760"/>
      <c r="F9438" s="760"/>
      <c r="G9438" s="760"/>
      <c r="H9438" s="760"/>
      <c r="I9438" s="760"/>
      <c r="J9438" s="760"/>
      <c r="K9438" s="760"/>
    </row>
    <row r="9439" spans="1:11">
      <c r="A9439" s="760"/>
      <c r="B9439" s="760"/>
      <c r="C9439" s="760"/>
      <c r="D9439" s="760"/>
      <c r="E9439" s="760"/>
      <c r="F9439" s="760"/>
      <c r="G9439" s="760"/>
      <c r="H9439" s="760"/>
      <c r="I9439" s="760"/>
      <c r="J9439" s="760"/>
      <c r="K9439" s="760"/>
    </row>
    <row r="9440" spans="1:11">
      <c r="A9440" s="760"/>
      <c r="B9440" s="760"/>
      <c r="C9440" s="760"/>
      <c r="D9440" s="760"/>
      <c r="E9440" s="760"/>
      <c r="F9440" s="760"/>
      <c r="G9440" s="760"/>
      <c r="H9440" s="760"/>
      <c r="I9440" s="760"/>
      <c r="J9440" s="760"/>
      <c r="K9440" s="760"/>
    </row>
    <row r="9441" spans="1:11">
      <c r="A9441" s="760"/>
      <c r="B9441" s="760"/>
      <c r="C9441" s="760"/>
      <c r="D9441" s="760"/>
      <c r="E9441" s="760"/>
      <c r="F9441" s="760"/>
      <c r="G9441" s="760"/>
      <c r="H9441" s="760"/>
      <c r="I9441" s="760"/>
      <c r="J9441" s="760"/>
      <c r="K9441" s="760"/>
    </row>
    <row r="9442" spans="1:11">
      <c r="A9442" s="760"/>
      <c r="B9442" s="760"/>
      <c r="C9442" s="760"/>
      <c r="D9442" s="760"/>
      <c r="E9442" s="760"/>
      <c r="F9442" s="760"/>
      <c r="G9442" s="760"/>
      <c r="H9442" s="760"/>
      <c r="I9442" s="760"/>
      <c r="J9442" s="760"/>
      <c r="K9442" s="760"/>
    </row>
    <row r="9443" spans="1:11">
      <c r="A9443" s="760"/>
      <c r="B9443" s="760"/>
      <c r="C9443" s="760"/>
      <c r="D9443" s="760"/>
      <c r="E9443" s="760"/>
      <c r="F9443" s="760"/>
      <c r="G9443" s="760"/>
      <c r="H9443" s="760"/>
      <c r="I9443" s="760"/>
      <c r="J9443" s="760"/>
      <c r="K9443" s="760"/>
    </row>
    <row r="9444" spans="1:11">
      <c r="A9444" s="760"/>
      <c r="B9444" s="760"/>
      <c r="C9444" s="760"/>
      <c r="D9444" s="760"/>
      <c r="E9444" s="760"/>
      <c r="F9444" s="760"/>
      <c r="G9444" s="760"/>
      <c r="H9444" s="760"/>
      <c r="I9444" s="760"/>
      <c r="J9444" s="760"/>
      <c r="K9444" s="760"/>
    </row>
    <row r="9445" spans="1:11">
      <c r="A9445" s="760"/>
      <c r="B9445" s="760"/>
      <c r="C9445" s="760"/>
      <c r="D9445" s="760"/>
      <c r="E9445" s="760"/>
      <c r="F9445" s="760"/>
      <c r="G9445" s="760"/>
      <c r="H9445" s="760"/>
      <c r="I9445" s="760"/>
      <c r="J9445" s="760"/>
      <c r="K9445" s="760"/>
    </row>
    <row r="9446" spans="1:11">
      <c r="A9446" s="760"/>
      <c r="B9446" s="760"/>
      <c r="C9446" s="760"/>
      <c r="D9446" s="760"/>
      <c r="E9446" s="760"/>
      <c r="F9446" s="760"/>
      <c r="G9446" s="760"/>
      <c r="H9446" s="760"/>
      <c r="I9446" s="760"/>
      <c r="J9446" s="760"/>
      <c r="K9446" s="760"/>
    </row>
    <row r="9447" spans="1:11">
      <c r="A9447" s="760"/>
      <c r="B9447" s="760"/>
      <c r="C9447" s="760"/>
      <c r="D9447" s="760"/>
      <c r="E9447" s="760"/>
      <c r="F9447" s="760"/>
      <c r="G9447" s="760"/>
      <c r="H9447" s="760"/>
      <c r="I9447" s="760"/>
      <c r="J9447" s="760"/>
      <c r="K9447" s="760"/>
    </row>
    <row r="9448" spans="1:11">
      <c r="A9448" s="760"/>
      <c r="B9448" s="760"/>
      <c r="C9448" s="760"/>
      <c r="D9448" s="760"/>
      <c r="E9448" s="760"/>
      <c r="F9448" s="760"/>
      <c r="G9448" s="760"/>
      <c r="H9448" s="760"/>
      <c r="I9448" s="760"/>
      <c r="J9448" s="760"/>
      <c r="K9448" s="760"/>
    </row>
    <row r="9449" spans="1:11">
      <c r="A9449" s="760"/>
      <c r="B9449" s="760"/>
      <c r="C9449" s="760"/>
      <c r="D9449" s="760"/>
      <c r="E9449" s="760"/>
      <c r="F9449" s="760"/>
      <c r="G9449" s="760"/>
      <c r="H9449" s="760"/>
      <c r="I9449" s="760"/>
      <c r="J9449" s="760"/>
      <c r="K9449" s="760"/>
    </row>
    <row r="9450" spans="1:11">
      <c r="A9450" s="760"/>
      <c r="B9450" s="760"/>
      <c r="C9450" s="760"/>
      <c r="D9450" s="760"/>
      <c r="E9450" s="760"/>
      <c r="F9450" s="760"/>
      <c r="G9450" s="760"/>
      <c r="H9450" s="760"/>
      <c r="I9450" s="760"/>
      <c r="J9450" s="760"/>
      <c r="K9450" s="760"/>
    </row>
    <row r="9451" spans="1:11">
      <c r="A9451" s="760"/>
      <c r="B9451" s="760"/>
      <c r="C9451" s="760"/>
      <c r="D9451" s="760"/>
      <c r="E9451" s="760"/>
      <c r="F9451" s="760"/>
      <c r="G9451" s="760"/>
      <c r="H9451" s="760"/>
      <c r="I9451" s="760"/>
      <c r="J9451" s="760"/>
      <c r="K9451" s="760"/>
    </row>
    <row r="9452" spans="1:11">
      <c r="A9452" s="760"/>
      <c r="B9452" s="760"/>
      <c r="C9452" s="760"/>
      <c r="D9452" s="760"/>
      <c r="E9452" s="760"/>
      <c r="F9452" s="760"/>
      <c r="G9452" s="760"/>
      <c r="H9452" s="760"/>
      <c r="I9452" s="760"/>
      <c r="J9452" s="760"/>
      <c r="K9452" s="760"/>
    </row>
    <row r="9453" spans="1:11">
      <c r="A9453" s="760"/>
      <c r="B9453" s="760"/>
      <c r="C9453" s="760"/>
      <c r="D9453" s="760"/>
      <c r="E9453" s="760"/>
      <c r="F9453" s="760"/>
      <c r="G9453" s="760"/>
      <c r="H9453" s="760"/>
      <c r="I9453" s="760"/>
      <c r="J9453" s="760"/>
      <c r="K9453" s="760"/>
    </row>
    <row r="9454" spans="1:11">
      <c r="A9454" s="760"/>
      <c r="B9454" s="760"/>
      <c r="C9454" s="760"/>
      <c r="D9454" s="760"/>
      <c r="E9454" s="760"/>
      <c r="F9454" s="760"/>
      <c r="G9454" s="760"/>
      <c r="H9454" s="760"/>
      <c r="I9454" s="760"/>
      <c r="J9454" s="760"/>
      <c r="K9454" s="760"/>
    </row>
    <row r="9455" spans="1:11">
      <c r="A9455" s="760"/>
      <c r="B9455" s="760"/>
      <c r="C9455" s="760"/>
      <c r="D9455" s="760"/>
      <c r="E9455" s="760"/>
      <c r="F9455" s="760"/>
      <c r="G9455" s="760"/>
      <c r="H9455" s="760"/>
      <c r="I9455" s="760"/>
      <c r="J9455" s="760"/>
      <c r="K9455" s="760"/>
    </row>
    <row r="9456" spans="1:11">
      <c r="A9456" s="760"/>
      <c r="B9456" s="760"/>
      <c r="C9456" s="760"/>
      <c r="D9456" s="760"/>
      <c r="E9456" s="760"/>
      <c r="F9456" s="760"/>
      <c r="G9456" s="760"/>
      <c r="H9456" s="760"/>
      <c r="I9456" s="760"/>
      <c r="J9456" s="760"/>
      <c r="K9456" s="760"/>
    </row>
    <row r="9457" spans="1:11">
      <c r="A9457" s="760"/>
      <c r="B9457" s="760"/>
      <c r="C9457" s="760"/>
      <c r="D9457" s="760"/>
      <c r="E9457" s="760"/>
      <c r="F9457" s="760"/>
      <c r="G9457" s="760"/>
      <c r="H9457" s="760"/>
      <c r="I9457" s="760"/>
      <c r="J9457" s="760"/>
      <c r="K9457" s="760"/>
    </row>
    <row r="9458" spans="1:11">
      <c r="A9458" s="760"/>
      <c r="B9458" s="760"/>
      <c r="C9458" s="760"/>
      <c r="D9458" s="760"/>
      <c r="E9458" s="760"/>
      <c r="F9458" s="760"/>
      <c r="G9458" s="760"/>
      <c r="H9458" s="760"/>
      <c r="I9458" s="760"/>
      <c r="J9458" s="760"/>
      <c r="K9458" s="760"/>
    </row>
    <row r="9459" spans="1:11">
      <c r="A9459" s="760"/>
      <c r="B9459" s="760"/>
      <c r="C9459" s="760"/>
      <c r="D9459" s="760"/>
      <c r="E9459" s="760"/>
      <c r="F9459" s="760"/>
      <c r="G9459" s="760"/>
      <c r="H9459" s="760"/>
      <c r="I9459" s="760"/>
      <c r="J9459" s="760"/>
      <c r="K9459" s="760"/>
    </row>
    <row r="9460" spans="1:11">
      <c r="A9460" s="760"/>
      <c r="B9460" s="760"/>
      <c r="C9460" s="760"/>
      <c r="D9460" s="760"/>
      <c r="E9460" s="760"/>
      <c r="F9460" s="760"/>
      <c r="G9460" s="760"/>
      <c r="H9460" s="760"/>
      <c r="I9460" s="760"/>
      <c r="J9460" s="760"/>
      <c r="K9460" s="760"/>
    </row>
    <row r="9461" spans="1:11">
      <c r="A9461" s="760"/>
      <c r="B9461" s="760"/>
      <c r="C9461" s="760"/>
      <c r="D9461" s="760"/>
      <c r="E9461" s="760"/>
      <c r="F9461" s="760"/>
      <c r="G9461" s="760"/>
      <c r="H9461" s="760"/>
      <c r="I9461" s="760"/>
      <c r="J9461" s="760"/>
      <c r="K9461" s="760"/>
    </row>
    <row r="9462" spans="1:11">
      <c r="A9462" s="760"/>
      <c r="B9462" s="760"/>
      <c r="C9462" s="760"/>
      <c r="D9462" s="760"/>
      <c r="E9462" s="760"/>
      <c r="F9462" s="760"/>
      <c r="G9462" s="760"/>
      <c r="H9462" s="760"/>
      <c r="I9462" s="760"/>
      <c r="J9462" s="760"/>
      <c r="K9462" s="760"/>
    </row>
    <row r="9463" spans="1:11">
      <c r="A9463" s="760"/>
      <c r="B9463" s="760"/>
      <c r="C9463" s="760"/>
      <c r="D9463" s="760"/>
      <c r="E9463" s="760"/>
      <c r="F9463" s="760"/>
      <c r="G9463" s="760"/>
      <c r="H9463" s="760"/>
      <c r="I9463" s="760"/>
      <c r="J9463" s="760"/>
      <c r="K9463" s="760"/>
    </row>
    <row r="9464" spans="1:11">
      <c r="A9464" s="760"/>
      <c r="B9464" s="760"/>
      <c r="C9464" s="760"/>
      <c r="D9464" s="760"/>
      <c r="E9464" s="760"/>
      <c r="F9464" s="760"/>
      <c r="G9464" s="760"/>
      <c r="H9464" s="760"/>
      <c r="I9464" s="760"/>
      <c r="J9464" s="760"/>
      <c r="K9464" s="760"/>
    </row>
    <row r="9465" spans="1:11">
      <c r="A9465" s="760"/>
      <c r="B9465" s="760"/>
      <c r="C9465" s="760"/>
      <c r="D9465" s="760"/>
      <c r="E9465" s="760"/>
      <c r="F9465" s="760"/>
      <c r="G9465" s="760"/>
      <c r="H9465" s="760"/>
      <c r="I9465" s="760"/>
      <c r="J9465" s="760"/>
      <c r="K9465" s="760"/>
    </row>
    <row r="9466" spans="1:11">
      <c r="A9466" s="760"/>
      <c r="B9466" s="760"/>
      <c r="C9466" s="760"/>
      <c r="D9466" s="760"/>
      <c r="E9466" s="760"/>
      <c r="F9466" s="760"/>
      <c r="G9466" s="760"/>
      <c r="H9466" s="760"/>
      <c r="I9466" s="760"/>
      <c r="J9466" s="760"/>
      <c r="K9466" s="760"/>
    </row>
    <row r="9467" spans="1:11">
      <c r="A9467" s="760"/>
      <c r="B9467" s="760"/>
      <c r="C9467" s="760"/>
      <c r="D9467" s="760"/>
      <c r="E9467" s="760"/>
      <c r="F9467" s="760"/>
      <c r="G9467" s="760"/>
      <c r="H9467" s="760"/>
      <c r="I9467" s="760"/>
      <c r="J9467" s="760"/>
      <c r="K9467" s="760"/>
    </row>
    <row r="9468" spans="1:11">
      <c r="A9468" s="760"/>
      <c r="B9468" s="760"/>
      <c r="C9468" s="760"/>
      <c r="D9468" s="760"/>
      <c r="E9468" s="760"/>
      <c r="F9468" s="760"/>
      <c r="G9468" s="760"/>
      <c r="H9468" s="760"/>
      <c r="I9468" s="760"/>
      <c r="J9468" s="760"/>
      <c r="K9468" s="760"/>
    </row>
    <row r="9469" spans="1:11">
      <c r="A9469" s="760"/>
      <c r="B9469" s="760"/>
      <c r="C9469" s="760"/>
      <c r="D9469" s="760"/>
      <c r="E9469" s="760"/>
      <c r="F9469" s="760"/>
      <c r="G9469" s="760"/>
      <c r="H9469" s="760"/>
      <c r="I9469" s="760"/>
      <c r="J9469" s="760"/>
      <c r="K9469" s="760"/>
    </row>
    <row r="9470" spans="1:11">
      <c r="A9470" s="760"/>
      <c r="B9470" s="760"/>
      <c r="C9470" s="760"/>
      <c r="D9470" s="760"/>
      <c r="E9470" s="760"/>
      <c r="F9470" s="760"/>
      <c r="G9470" s="760"/>
      <c r="H9470" s="760"/>
      <c r="I9470" s="760"/>
      <c r="J9470" s="760"/>
      <c r="K9470" s="760"/>
    </row>
    <row r="9471" spans="1:11">
      <c r="A9471" s="760"/>
      <c r="B9471" s="760"/>
      <c r="C9471" s="760"/>
      <c r="D9471" s="760"/>
      <c r="E9471" s="760"/>
      <c r="F9471" s="760"/>
      <c r="G9471" s="760"/>
      <c r="H9471" s="760"/>
      <c r="I9471" s="760"/>
      <c r="J9471" s="760"/>
      <c r="K9471" s="760"/>
    </row>
    <row r="9472" spans="1:11">
      <c r="A9472" s="760"/>
      <c r="B9472" s="760"/>
      <c r="C9472" s="760"/>
      <c r="D9472" s="760"/>
      <c r="E9472" s="760"/>
      <c r="F9472" s="760"/>
      <c r="G9472" s="760"/>
      <c r="H9472" s="760"/>
      <c r="I9472" s="760"/>
      <c r="J9472" s="760"/>
      <c r="K9472" s="760"/>
    </row>
    <row r="9473" spans="1:11">
      <c r="A9473" s="760"/>
      <c r="B9473" s="760"/>
      <c r="C9473" s="760"/>
      <c r="D9473" s="760"/>
      <c r="E9473" s="760"/>
      <c r="F9473" s="760"/>
      <c r="G9473" s="760"/>
      <c r="H9473" s="760"/>
      <c r="I9473" s="760"/>
      <c r="J9473" s="760"/>
      <c r="K9473" s="760"/>
    </row>
    <row r="9474" spans="1:11">
      <c r="A9474" s="760"/>
      <c r="B9474" s="760"/>
      <c r="C9474" s="760"/>
      <c r="D9474" s="760"/>
      <c r="E9474" s="760"/>
      <c r="F9474" s="760"/>
      <c r="G9474" s="760"/>
      <c r="H9474" s="760"/>
      <c r="I9474" s="760"/>
      <c r="J9474" s="760"/>
      <c r="K9474" s="760"/>
    </row>
    <row r="9475" spans="1:11">
      <c r="A9475" s="760"/>
      <c r="B9475" s="760"/>
      <c r="C9475" s="760"/>
      <c r="D9475" s="760"/>
      <c r="E9475" s="760"/>
      <c r="F9475" s="760"/>
      <c r="G9475" s="760"/>
      <c r="H9475" s="760"/>
      <c r="I9475" s="760"/>
      <c r="J9475" s="760"/>
      <c r="K9475" s="760"/>
    </row>
    <row r="9476" spans="1:11">
      <c r="A9476" s="760"/>
      <c r="B9476" s="760"/>
      <c r="C9476" s="760"/>
      <c r="D9476" s="760"/>
      <c r="E9476" s="760"/>
      <c r="F9476" s="760"/>
      <c r="G9476" s="760"/>
      <c r="H9476" s="760"/>
      <c r="I9476" s="760"/>
      <c r="J9476" s="760"/>
      <c r="K9476" s="760"/>
    </row>
    <row r="9477" spans="1:11">
      <c r="A9477" s="760"/>
      <c r="B9477" s="760"/>
      <c r="C9477" s="760"/>
      <c r="D9477" s="760"/>
      <c r="E9477" s="760"/>
      <c r="F9477" s="760"/>
      <c r="G9477" s="760"/>
      <c r="H9477" s="760"/>
      <c r="I9477" s="760"/>
      <c r="J9477" s="760"/>
      <c r="K9477" s="760"/>
    </row>
    <row r="9478" spans="1:11">
      <c r="A9478" s="760"/>
      <c r="B9478" s="760"/>
      <c r="C9478" s="760"/>
      <c r="D9478" s="760"/>
      <c r="E9478" s="760"/>
      <c r="F9478" s="760"/>
      <c r="G9478" s="760"/>
      <c r="H9478" s="760"/>
      <c r="I9478" s="760"/>
      <c r="J9478" s="760"/>
      <c r="K9478" s="760"/>
    </row>
    <row r="9479" spans="1:11">
      <c r="A9479" s="760"/>
      <c r="B9479" s="760"/>
      <c r="C9479" s="760"/>
      <c r="D9479" s="760"/>
      <c r="E9479" s="760"/>
      <c r="F9479" s="760"/>
      <c r="G9479" s="760"/>
      <c r="H9479" s="760"/>
      <c r="I9479" s="760"/>
      <c r="J9479" s="760"/>
      <c r="K9479" s="760"/>
    </row>
    <row r="9480" spans="1:11">
      <c r="A9480" s="760"/>
      <c r="B9480" s="760"/>
      <c r="C9480" s="760"/>
      <c r="D9480" s="760"/>
      <c r="E9480" s="760"/>
      <c r="F9480" s="760"/>
      <c r="G9480" s="760"/>
      <c r="H9480" s="760"/>
      <c r="I9480" s="760"/>
      <c r="J9480" s="760"/>
      <c r="K9480" s="760"/>
    </row>
    <row r="9481" spans="1:11">
      <c r="A9481" s="760"/>
      <c r="B9481" s="760"/>
      <c r="C9481" s="760"/>
      <c r="D9481" s="760"/>
      <c r="E9481" s="760"/>
      <c r="F9481" s="760"/>
      <c r="G9481" s="760"/>
      <c r="H9481" s="760"/>
      <c r="I9481" s="760"/>
      <c r="J9481" s="760"/>
      <c r="K9481" s="760"/>
    </row>
    <row r="9482" spans="1:11">
      <c r="A9482" s="760"/>
      <c r="B9482" s="760"/>
      <c r="C9482" s="760"/>
      <c r="D9482" s="760"/>
      <c r="E9482" s="760"/>
      <c r="F9482" s="760"/>
      <c r="G9482" s="760"/>
      <c r="H9482" s="760"/>
      <c r="I9482" s="760"/>
      <c r="J9482" s="760"/>
      <c r="K9482" s="760"/>
    </row>
    <row r="9483" spans="1:11">
      <c r="A9483" s="760"/>
      <c r="B9483" s="760"/>
      <c r="C9483" s="760"/>
      <c r="D9483" s="760"/>
      <c r="E9483" s="760"/>
      <c r="F9483" s="760"/>
      <c r="G9483" s="760"/>
      <c r="H9483" s="760"/>
      <c r="I9483" s="760"/>
      <c r="J9483" s="760"/>
      <c r="K9483" s="760"/>
    </row>
    <row r="9484" spans="1:11">
      <c r="A9484" s="760"/>
      <c r="B9484" s="760"/>
      <c r="C9484" s="760"/>
      <c r="D9484" s="760"/>
      <c r="E9484" s="760"/>
      <c r="F9484" s="760"/>
      <c r="G9484" s="760"/>
      <c r="H9484" s="760"/>
      <c r="I9484" s="760"/>
      <c r="J9484" s="760"/>
      <c r="K9484" s="760"/>
    </row>
    <row r="9485" spans="1:11">
      <c r="A9485" s="760"/>
      <c r="B9485" s="760"/>
      <c r="C9485" s="760"/>
      <c r="D9485" s="760"/>
      <c r="E9485" s="760"/>
      <c r="F9485" s="760"/>
      <c r="G9485" s="760"/>
      <c r="H9485" s="760"/>
      <c r="I9485" s="760"/>
      <c r="J9485" s="760"/>
      <c r="K9485" s="760"/>
    </row>
    <row r="9486" spans="1:11">
      <c r="A9486" s="760"/>
      <c r="B9486" s="760"/>
      <c r="C9486" s="760"/>
      <c r="D9486" s="760"/>
      <c r="E9486" s="760"/>
      <c r="F9486" s="760"/>
      <c r="G9486" s="760"/>
      <c r="H9486" s="760"/>
      <c r="I9486" s="760"/>
      <c r="J9486" s="760"/>
      <c r="K9486" s="760"/>
    </row>
    <row r="9487" spans="1:11">
      <c r="A9487" s="760"/>
      <c r="B9487" s="760"/>
      <c r="C9487" s="760"/>
      <c r="D9487" s="760"/>
      <c r="E9487" s="760"/>
      <c r="F9487" s="760"/>
      <c r="G9487" s="760"/>
      <c r="H9487" s="760"/>
      <c r="I9487" s="760"/>
      <c r="J9487" s="760"/>
      <c r="K9487" s="760"/>
    </row>
    <row r="9488" spans="1:11">
      <c r="A9488" s="760"/>
      <c r="B9488" s="760"/>
      <c r="C9488" s="760"/>
      <c r="D9488" s="760"/>
      <c r="E9488" s="760"/>
      <c r="F9488" s="760"/>
      <c r="G9488" s="760"/>
      <c r="H9488" s="760"/>
      <c r="I9488" s="760"/>
      <c r="J9488" s="760"/>
      <c r="K9488" s="760"/>
    </row>
    <row r="9489" spans="1:11">
      <c r="A9489" s="760"/>
      <c r="B9489" s="760"/>
      <c r="C9489" s="760"/>
      <c r="D9489" s="760"/>
      <c r="E9489" s="760"/>
      <c r="F9489" s="760"/>
      <c r="G9489" s="760"/>
      <c r="H9489" s="760"/>
      <c r="I9489" s="760"/>
      <c r="J9489" s="760"/>
      <c r="K9489" s="760"/>
    </row>
    <row r="9490" spans="1:11">
      <c r="A9490" s="760"/>
      <c r="B9490" s="760"/>
      <c r="C9490" s="760"/>
      <c r="D9490" s="760"/>
      <c r="E9490" s="760"/>
      <c r="F9490" s="760"/>
      <c r="G9490" s="760"/>
      <c r="H9490" s="760"/>
      <c r="I9490" s="760"/>
      <c r="J9490" s="760"/>
      <c r="K9490" s="760"/>
    </row>
    <row r="9491" spans="1:11">
      <c r="A9491" s="760"/>
      <c r="B9491" s="760"/>
      <c r="C9491" s="760"/>
      <c r="D9491" s="760"/>
      <c r="E9491" s="760"/>
      <c r="F9491" s="760"/>
      <c r="G9491" s="760"/>
      <c r="H9491" s="760"/>
      <c r="I9491" s="760"/>
      <c r="J9491" s="760"/>
      <c r="K9491" s="760"/>
    </row>
    <row r="9492" spans="1:11">
      <c r="A9492" s="760"/>
      <c r="B9492" s="760"/>
      <c r="C9492" s="760"/>
      <c r="D9492" s="760"/>
      <c r="E9492" s="760"/>
      <c r="F9492" s="760"/>
      <c r="G9492" s="760"/>
      <c r="H9492" s="760"/>
      <c r="I9492" s="760"/>
      <c r="J9492" s="760"/>
      <c r="K9492" s="760"/>
    </row>
    <row r="9493" spans="1:11">
      <c r="A9493" s="760"/>
      <c r="B9493" s="760"/>
      <c r="C9493" s="760"/>
      <c r="D9493" s="760"/>
      <c r="E9493" s="760"/>
      <c r="F9493" s="760"/>
      <c r="G9493" s="760"/>
      <c r="H9493" s="760"/>
      <c r="I9493" s="760"/>
      <c r="J9493" s="760"/>
      <c r="K9493" s="760"/>
    </row>
    <row r="9494" spans="1:11">
      <c r="A9494" s="760"/>
      <c r="B9494" s="760"/>
      <c r="C9494" s="760"/>
      <c r="D9494" s="760"/>
      <c r="E9494" s="760"/>
      <c r="F9494" s="760"/>
      <c r="G9494" s="760"/>
      <c r="H9494" s="760"/>
      <c r="I9494" s="760"/>
      <c r="J9494" s="760"/>
      <c r="K9494" s="760"/>
    </row>
    <row r="9495" spans="1:11">
      <c r="A9495" s="760"/>
      <c r="B9495" s="760"/>
      <c r="C9495" s="760"/>
      <c r="D9495" s="760"/>
      <c r="E9495" s="760"/>
      <c r="F9495" s="760"/>
      <c r="G9495" s="760"/>
      <c r="H9495" s="760"/>
      <c r="I9495" s="760"/>
      <c r="J9495" s="760"/>
      <c r="K9495" s="760"/>
    </row>
    <row r="9496" spans="1:11">
      <c r="A9496" s="760"/>
      <c r="B9496" s="760"/>
      <c r="C9496" s="760"/>
      <c r="D9496" s="760"/>
      <c r="E9496" s="760"/>
      <c r="F9496" s="760"/>
      <c r="G9496" s="760"/>
      <c r="H9496" s="760"/>
      <c r="I9496" s="760"/>
      <c r="J9496" s="760"/>
      <c r="K9496" s="760"/>
    </row>
    <row r="9497" spans="1:11">
      <c r="A9497" s="760"/>
      <c r="B9497" s="760"/>
      <c r="C9497" s="760"/>
      <c r="D9497" s="760"/>
      <c r="E9497" s="760"/>
      <c r="F9497" s="760"/>
      <c r="G9497" s="760"/>
      <c r="H9497" s="760"/>
      <c r="I9497" s="760"/>
      <c r="J9497" s="760"/>
      <c r="K9497" s="760"/>
    </row>
    <row r="9498" spans="1:11">
      <c r="A9498" s="760"/>
      <c r="B9498" s="760"/>
      <c r="C9498" s="760"/>
      <c r="D9498" s="760"/>
      <c r="E9498" s="760"/>
      <c r="F9498" s="760"/>
      <c r="G9498" s="760"/>
      <c r="H9498" s="760"/>
      <c r="I9498" s="760"/>
      <c r="J9498" s="760"/>
      <c r="K9498" s="760"/>
    </row>
    <row r="9499" spans="1:11">
      <c r="A9499" s="760"/>
      <c r="B9499" s="760"/>
      <c r="C9499" s="760"/>
      <c r="D9499" s="760"/>
      <c r="E9499" s="760"/>
      <c r="F9499" s="760"/>
      <c r="G9499" s="760"/>
      <c r="H9499" s="760"/>
      <c r="I9499" s="760"/>
      <c r="J9499" s="760"/>
      <c r="K9499" s="760"/>
    </row>
    <row r="9500" spans="1:11">
      <c r="A9500" s="760"/>
      <c r="B9500" s="760"/>
      <c r="C9500" s="760"/>
      <c r="D9500" s="760"/>
      <c r="E9500" s="760"/>
      <c r="F9500" s="760"/>
      <c r="G9500" s="760"/>
      <c r="H9500" s="760"/>
      <c r="I9500" s="760"/>
      <c r="J9500" s="760"/>
      <c r="K9500" s="760"/>
    </row>
    <row r="9501" spans="1:11">
      <c r="A9501" s="760"/>
      <c r="B9501" s="760"/>
      <c r="C9501" s="760"/>
      <c r="D9501" s="760"/>
      <c r="E9501" s="760"/>
      <c r="F9501" s="760"/>
      <c r="G9501" s="760"/>
      <c r="H9501" s="760"/>
      <c r="I9501" s="760"/>
      <c r="J9501" s="760"/>
      <c r="K9501" s="760"/>
    </row>
    <row r="9502" spans="1:11">
      <c r="A9502" s="760"/>
      <c r="B9502" s="760"/>
      <c r="C9502" s="760"/>
      <c r="D9502" s="760"/>
      <c r="E9502" s="760"/>
      <c r="F9502" s="760"/>
      <c r="G9502" s="760"/>
      <c r="H9502" s="760"/>
      <c r="I9502" s="760"/>
      <c r="J9502" s="760"/>
      <c r="K9502" s="760"/>
    </row>
    <row r="9503" spans="1:11">
      <c r="A9503" s="760"/>
      <c r="B9503" s="760"/>
      <c r="C9503" s="760"/>
      <c r="D9503" s="760"/>
      <c r="E9503" s="760"/>
      <c r="F9503" s="760"/>
      <c r="G9503" s="760"/>
      <c r="H9503" s="760"/>
      <c r="I9503" s="760"/>
      <c r="J9503" s="760"/>
      <c r="K9503" s="760"/>
    </row>
    <row r="9504" spans="1:11">
      <c r="A9504" s="760"/>
      <c r="B9504" s="760"/>
      <c r="C9504" s="760"/>
      <c r="D9504" s="760"/>
      <c r="E9504" s="760"/>
      <c r="F9504" s="760"/>
      <c r="G9504" s="760"/>
      <c r="H9504" s="760"/>
      <c r="I9504" s="760"/>
      <c r="J9504" s="760"/>
      <c r="K9504" s="760"/>
    </row>
    <row r="9505" spans="1:11">
      <c r="A9505" s="760"/>
      <c r="B9505" s="760"/>
      <c r="C9505" s="760"/>
      <c r="D9505" s="760"/>
      <c r="E9505" s="760"/>
      <c r="F9505" s="760"/>
      <c r="G9505" s="760"/>
      <c r="H9505" s="760"/>
      <c r="I9505" s="760"/>
      <c r="J9505" s="760"/>
      <c r="K9505" s="760"/>
    </row>
    <row r="9506" spans="1:11">
      <c r="A9506" s="760"/>
      <c r="B9506" s="760"/>
      <c r="C9506" s="760"/>
      <c r="D9506" s="760"/>
      <c r="E9506" s="760"/>
      <c r="F9506" s="760"/>
      <c r="G9506" s="760"/>
      <c r="H9506" s="760"/>
      <c r="I9506" s="760"/>
      <c r="J9506" s="760"/>
      <c r="K9506" s="760"/>
    </row>
    <row r="9507" spans="1:11">
      <c r="A9507" s="760"/>
      <c r="B9507" s="760"/>
      <c r="C9507" s="760"/>
      <c r="D9507" s="760"/>
      <c r="E9507" s="760"/>
      <c r="F9507" s="760"/>
      <c r="G9507" s="760"/>
      <c r="H9507" s="760"/>
      <c r="I9507" s="760"/>
      <c r="J9507" s="760"/>
      <c r="K9507" s="760"/>
    </row>
    <row r="9508" spans="1:11">
      <c r="A9508" s="760"/>
      <c r="B9508" s="760"/>
      <c r="C9508" s="760"/>
      <c r="D9508" s="760"/>
      <c r="E9508" s="760"/>
      <c r="F9508" s="760"/>
      <c r="G9508" s="760"/>
      <c r="H9508" s="760"/>
      <c r="I9508" s="760"/>
      <c r="J9508" s="760"/>
      <c r="K9508" s="760"/>
    </row>
    <row r="9509" spans="1:11">
      <c r="A9509" s="760"/>
      <c r="B9509" s="760"/>
      <c r="C9509" s="760"/>
      <c r="D9509" s="760"/>
      <c r="E9509" s="760"/>
      <c r="F9509" s="760"/>
      <c r="G9509" s="760"/>
      <c r="H9509" s="760"/>
      <c r="I9509" s="760"/>
      <c r="J9509" s="760"/>
      <c r="K9509" s="760"/>
    </row>
    <row r="9510" spans="1:11">
      <c r="A9510" s="760"/>
      <c r="B9510" s="760"/>
      <c r="C9510" s="760"/>
      <c r="D9510" s="760"/>
      <c r="E9510" s="760"/>
      <c r="F9510" s="760"/>
      <c r="G9510" s="760"/>
      <c r="H9510" s="760"/>
      <c r="I9510" s="760"/>
      <c r="J9510" s="760"/>
      <c r="K9510" s="760"/>
    </row>
    <row r="9511" spans="1:11">
      <c r="A9511" s="760"/>
      <c r="B9511" s="760"/>
      <c r="C9511" s="760"/>
      <c r="D9511" s="760"/>
      <c r="E9511" s="760"/>
      <c r="F9511" s="760"/>
      <c r="G9511" s="760"/>
      <c r="H9511" s="760"/>
      <c r="I9511" s="760"/>
      <c r="J9511" s="760"/>
      <c r="K9511" s="760"/>
    </row>
    <row r="9512" spans="1:11">
      <c r="A9512" s="760"/>
      <c r="B9512" s="760"/>
      <c r="C9512" s="760"/>
      <c r="D9512" s="760"/>
      <c r="E9512" s="760"/>
      <c r="F9512" s="760"/>
      <c r="G9512" s="760"/>
      <c r="H9512" s="760"/>
      <c r="I9512" s="760"/>
      <c r="J9512" s="760"/>
      <c r="K9512" s="760"/>
    </row>
    <row r="9513" spans="1:11">
      <c r="A9513" s="760"/>
      <c r="B9513" s="760"/>
      <c r="C9513" s="760"/>
      <c r="D9513" s="760"/>
      <c r="E9513" s="760"/>
      <c r="F9513" s="760"/>
      <c r="G9513" s="760"/>
      <c r="H9513" s="760"/>
      <c r="I9513" s="760"/>
      <c r="J9513" s="760"/>
      <c r="K9513" s="760"/>
    </row>
    <row r="9514" spans="1:11">
      <c r="A9514" s="760"/>
      <c r="B9514" s="760"/>
      <c r="C9514" s="760"/>
      <c r="D9514" s="760"/>
      <c r="E9514" s="760"/>
      <c r="F9514" s="760"/>
      <c r="G9514" s="760"/>
      <c r="H9514" s="760"/>
      <c r="I9514" s="760"/>
      <c r="J9514" s="760"/>
      <c r="K9514" s="760"/>
    </row>
    <row r="9515" spans="1:11">
      <c r="A9515" s="760"/>
      <c r="B9515" s="760"/>
      <c r="C9515" s="760"/>
      <c r="D9515" s="760"/>
      <c r="E9515" s="760"/>
      <c r="F9515" s="760"/>
      <c r="G9515" s="760"/>
      <c r="H9515" s="760"/>
      <c r="I9515" s="760"/>
      <c r="J9515" s="760"/>
      <c r="K9515" s="760"/>
    </row>
    <row r="9516" spans="1:11">
      <c r="A9516" s="760"/>
      <c r="B9516" s="760"/>
      <c r="C9516" s="760"/>
      <c r="D9516" s="760"/>
      <c r="E9516" s="760"/>
      <c r="F9516" s="760"/>
      <c r="G9516" s="760"/>
      <c r="H9516" s="760"/>
      <c r="I9516" s="760"/>
      <c r="J9516" s="760"/>
      <c r="K9516" s="760"/>
    </row>
    <row r="9517" spans="1:11">
      <c r="A9517" s="760"/>
      <c r="B9517" s="760"/>
      <c r="C9517" s="760"/>
      <c r="D9517" s="760"/>
      <c r="E9517" s="760"/>
      <c r="F9517" s="760"/>
      <c r="G9517" s="760"/>
      <c r="H9517" s="760"/>
      <c r="I9517" s="760"/>
      <c r="J9517" s="760"/>
      <c r="K9517" s="760"/>
    </row>
    <row r="9518" spans="1:11">
      <c r="A9518" s="760"/>
      <c r="B9518" s="760"/>
      <c r="C9518" s="760"/>
      <c r="D9518" s="760"/>
      <c r="E9518" s="760"/>
      <c r="F9518" s="760"/>
      <c r="G9518" s="760"/>
      <c r="H9518" s="760"/>
      <c r="I9518" s="760"/>
      <c r="J9518" s="760"/>
      <c r="K9518" s="760"/>
    </row>
    <row r="9519" spans="1:11">
      <c r="A9519" s="760"/>
      <c r="B9519" s="760"/>
      <c r="C9519" s="760"/>
      <c r="D9519" s="760"/>
      <c r="E9519" s="760"/>
      <c r="F9519" s="760"/>
      <c r="G9519" s="760"/>
      <c r="H9519" s="760"/>
      <c r="I9519" s="760"/>
      <c r="J9519" s="760"/>
      <c r="K9519" s="760"/>
    </row>
    <row r="9520" spans="1:11">
      <c r="A9520" s="760"/>
      <c r="B9520" s="760"/>
      <c r="C9520" s="760"/>
      <c r="D9520" s="760"/>
      <c r="E9520" s="760"/>
      <c r="F9520" s="760"/>
      <c r="G9520" s="760"/>
      <c r="H9520" s="760"/>
      <c r="I9520" s="760"/>
      <c r="J9520" s="760"/>
      <c r="K9520" s="760"/>
    </row>
    <row r="9521" spans="1:11">
      <c r="A9521" s="760"/>
      <c r="B9521" s="760"/>
      <c r="C9521" s="760"/>
      <c r="D9521" s="760"/>
      <c r="E9521" s="760"/>
      <c r="F9521" s="760"/>
      <c r="G9521" s="760"/>
      <c r="H9521" s="760"/>
      <c r="I9521" s="760"/>
      <c r="J9521" s="760"/>
      <c r="K9521" s="760"/>
    </row>
    <row r="9522" spans="1:11">
      <c r="A9522" s="760"/>
      <c r="B9522" s="760"/>
      <c r="C9522" s="760"/>
      <c r="D9522" s="760"/>
      <c r="E9522" s="760"/>
      <c r="F9522" s="760"/>
      <c r="G9522" s="760"/>
      <c r="H9522" s="760"/>
      <c r="I9522" s="760"/>
      <c r="J9522" s="760"/>
      <c r="K9522" s="760"/>
    </row>
    <row r="9523" spans="1:11">
      <c r="A9523" s="760"/>
      <c r="B9523" s="760"/>
      <c r="C9523" s="760"/>
      <c r="D9523" s="760"/>
      <c r="E9523" s="760"/>
      <c r="F9523" s="760"/>
      <c r="G9523" s="760"/>
      <c r="H9523" s="760"/>
      <c r="I9523" s="760"/>
      <c r="J9523" s="760"/>
      <c r="K9523" s="760"/>
    </row>
    <row r="9524" spans="1:11">
      <c r="A9524" s="760"/>
      <c r="B9524" s="760"/>
      <c r="C9524" s="760"/>
      <c r="D9524" s="760"/>
      <c r="E9524" s="760"/>
      <c r="F9524" s="760"/>
      <c r="G9524" s="760"/>
      <c r="H9524" s="760"/>
      <c r="I9524" s="760"/>
      <c r="J9524" s="760"/>
      <c r="K9524" s="760"/>
    </row>
    <row r="9525" spans="1:11">
      <c r="A9525" s="760"/>
      <c r="B9525" s="760"/>
      <c r="C9525" s="760"/>
      <c r="D9525" s="760"/>
      <c r="E9525" s="760"/>
      <c r="F9525" s="760"/>
      <c r="G9525" s="760"/>
      <c r="H9525" s="760"/>
      <c r="I9525" s="760"/>
      <c r="J9525" s="760"/>
      <c r="K9525" s="760"/>
    </row>
    <row r="9526" spans="1:11">
      <c r="A9526" s="760"/>
      <c r="B9526" s="760"/>
      <c r="C9526" s="760"/>
      <c r="D9526" s="760"/>
      <c r="E9526" s="760"/>
      <c r="F9526" s="760"/>
      <c r="G9526" s="760"/>
      <c r="H9526" s="760"/>
      <c r="I9526" s="760"/>
      <c r="J9526" s="760"/>
      <c r="K9526" s="760"/>
    </row>
    <row r="9527" spans="1:11">
      <c r="A9527" s="760"/>
      <c r="B9527" s="760"/>
      <c r="C9527" s="760"/>
      <c r="D9527" s="760"/>
      <c r="E9527" s="760"/>
      <c r="F9527" s="760"/>
      <c r="G9527" s="760"/>
      <c r="H9527" s="760"/>
      <c r="I9527" s="760"/>
      <c r="J9527" s="760"/>
      <c r="K9527" s="760"/>
    </row>
    <row r="9528" spans="1:11">
      <c r="A9528" s="760"/>
      <c r="B9528" s="760"/>
      <c r="C9528" s="760"/>
      <c r="D9528" s="760"/>
      <c r="E9528" s="760"/>
      <c r="F9528" s="760"/>
      <c r="G9528" s="760"/>
      <c r="H9528" s="760"/>
      <c r="I9528" s="760"/>
      <c r="J9528" s="760"/>
      <c r="K9528" s="760"/>
    </row>
    <row r="9529" spans="1:11">
      <c r="A9529" s="760"/>
      <c r="B9529" s="760"/>
      <c r="C9529" s="760"/>
      <c r="D9529" s="760"/>
      <c r="E9529" s="760"/>
      <c r="F9529" s="760"/>
      <c r="G9529" s="760"/>
      <c r="H9529" s="760"/>
      <c r="I9529" s="760"/>
      <c r="J9529" s="760"/>
      <c r="K9529" s="760"/>
    </row>
    <row r="9530" spans="1:11">
      <c r="A9530" s="760"/>
      <c r="B9530" s="760"/>
      <c r="C9530" s="760"/>
      <c r="D9530" s="760"/>
      <c r="E9530" s="760"/>
      <c r="F9530" s="760"/>
      <c r="G9530" s="760"/>
      <c r="H9530" s="760"/>
      <c r="I9530" s="760"/>
      <c r="J9530" s="760"/>
      <c r="K9530" s="760"/>
    </row>
    <row r="9531" spans="1:11">
      <c r="A9531" s="760"/>
      <c r="B9531" s="760"/>
      <c r="C9531" s="760"/>
      <c r="D9531" s="760"/>
      <c r="E9531" s="760"/>
      <c r="F9531" s="760"/>
      <c r="G9531" s="760"/>
      <c r="H9531" s="760"/>
      <c r="I9531" s="760"/>
      <c r="J9531" s="760"/>
      <c r="K9531" s="760"/>
    </row>
    <row r="9532" spans="1:11">
      <c r="A9532" s="760"/>
      <c r="B9532" s="760"/>
      <c r="C9532" s="760"/>
      <c r="D9532" s="760"/>
      <c r="E9532" s="760"/>
      <c r="F9532" s="760"/>
      <c r="G9532" s="760"/>
      <c r="H9532" s="760"/>
      <c r="I9532" s="760"/>
      <c r="J9532" s="760"/>
      <c r="K9532" s="760"/>
    </row>
    <row r="9533" spans="1:11">
      <c r="A9533" s="760"/>
      <c r="B9533" s="760"/>
      <c r="C9533" s="760"/>
      <c r="D9533" s="760"/>
      <c r="E9533" s="760"/>
      <c r="F9533" s="760"/>
      <c r="G9533" s="760"/>
      <c r="H9533" s="760"/>
      <c r="I9533" s="760"/>
      <c r="J9533" s="760"/>
      <c r="K9533" s="760"/>
    </row>
    <row r="9534" spans="1:11">
      <c r="A9534" s="760"/>
      <c r="B9534" s="760"/>
      <c r="C9534" s="760"/>
      <c r="D9534" s="760"/>
      <c r="E9534" s="760"/>
      <c r="F9534" s="760"/>
      <c r="G9534" s="760"/>
      <c r="H9534" s="760"/>
      <c r="I9534" s="760"/>
      <c r="J9534" s="760"/>
      <c r="K9534" s="760"/>
    </row>
    <row r="9535" spans="1:11">
      <c r="A9535" s="760"/>
      <c r="B9535" s="760"/>
      <c r="C9535" s="760"/>
      <c r="D9535" s="760"/>
      <c r="E9535" s="760"/>
      <c r="F9535" s="760"/>
      <c r="G9535" s="760"/>
      <c r="H9535" s="760"/>
      <c r="I9535" s="760"/>
      <c r="J9535" s="760"/>
      <c r="K9535" s="760"/>
    </row>
    <row r="9536" spans="1:11">
      <c r="A9536" s="760"/>
      <c r="B9536" s="760"/>
      <c r="C9536" s="760"/>
      <c r="D9536" s="760"/>
      <c r="E9536" s="760"/>
      <c r="F9536" s="760"/>
      <c r="G9536" s="760"/>
      <c r="H9536" s="760"/>
      <c r="I9536" s="760"/>
      <c r="J9536" s="760"/>
      <c r="K9536" s="760"/>
    </row>
    <row r="9537" spans="1:11">
      <c r="A9537" s="760"/>
      <c r="B9537" s="760"/>
      <c r="C9537" s="760"/>
      <c r="D9537" s="760"/>
      <c r="E9537" s="760"/>
      <c r="F9537" s="760"/>
      <c r="G9537" s="760"/>
      <c r="H9537" s="760"/>
      <c r="I9537" s="760"/>
      <c r="J9537" s="760"/>
      <c r="K9537" s="760"/>
    </row>
    <row r="9538" spans="1:11">
      <c r="A9538" s="760"/>
      <c r="B9538" s="760"/>
      <c r="C9538" s="760"/>
      <c r="D9538" s="760"/>
      <c r="E9538" s="760"/>
      <c r="F9538" s="760"/>
      <c r="G9538" s="760"/>
      <c r="H9538" s="760"/>
      <c r="I9538" s="760"/>
      <c r="J9538" s="760"/>
      <c r="K9538" s="760"/>
    </row>
    <row r="9539" spans="1:11">
      <c r="A9539" s="760"/>
      <c r="B9539" s="760"/>
      <c r="C9539" s="760"/>
      <c r="D9539" s="760"/>
      <c r="E9539" s="760"/>
      <c r="F9539" s="760"/>
      <c r="G9539" s="760"/>
      <c r="H9539" s="760"/>
      <c r="I9539" s="760"/>
      <c r="J9539" s="760"/>
      <c r="K9539" s="760"/>
    </row>
    <row r="9540" spans="1:11">
      <c r="A9540" s="760"/>
      <c r="B9540" s="760"/>
      <c r="C9540" s="760"/>
      <c r="D9540" s="760"/>
      <c r="E9540" s="760"/>
      <c r="F9540" s="760"/>
      <c r="G9540" s="760"/>
      <c r="H9540" s="760"/>
      <c r="I9540" s="760"/>
      <c r="J9540" s="760"/>
      <c r="K9540" s="760"/>
    </row>
    <row r="9541" spans="1:11">
      <c r="A9541" s="760"/>
      <c r="B9541" s="760"/>
      <c r="C9541" s="760"/>
      <c r="D9541" s="760"/>
      <c r="E9541" s="760"/>
      <c r="F9541" s="760"/>
      <c r="G9541" s="760"/>
      <c r="H9541" s="760"/>
      <c r="I9541" s="760"/>
      <c r="J9541" s="760"/>
      <c r="K9541" s="760"/>
    </row>
    <row r="9542" spans="1:11">
      <c r="A9542" s="760"/>
      <c r="B9542" s="760"/>
      <c r="C9542" s="760"/>
      <c r="D9542" s="760"/>
      <c r="E9542" s="760"/>
      <c r="F9542" s="760"/>
      <c r="G9542" s="760"/>
      <c r="H9542" s="760"/>
      <c r="I9542" s="760"/>
      <c r="J9542" s="760"/>
      <c r="K9542" s="760"/>
    </row>
    <row r="9543" spans="1:11">
      <c r="A9543" s="760"/>
      <c r="B9543" s="760"/>
      <c r="C9543" s="760"/>
      <c r="D9543" s="760"/>
      <c r="E9543" s="760"/>
      <c r="F9543" s="760"/>
      <c r="G9543" s="760"/>
      <c r="H9543" s="760"/>
      <c r="I9543" s="760"/>
      <c r="J9543" s="760"/>
      <c r="K9543" s="760"/>
    </row>
    <row r="9544" spans="1:11">
      <c r="A9544" s="760"/>
      <c r="B9544" s="760"/>
      <c r="C9544" s="760"/>
      <c r="D9544" s="760"/>
      <c r="E9544" s="760"/>
      <c r="F9544" s="760"/>
      <c r="G9544" s="760"/>
      <c r="H9544" s="760"/>
      <c r="I9544" s="760"/>
      <c r="J9544" s="760"/>
      <c r="K9544" s="760"/>
    </row>
    <row r="9545" spans="1:11">
      <c r="A9545" s="760"/>
      <c r="B9545" s="760"/>
      <c r="C9545" s="760"/>
      <c r="D9545" s="760"/>
      <c r="E9545" s="760"/>
      <c r="F9545" s="760"/>
      <c r="G9545" s="760"/>
      <c r="H9545" s="760"/>
      <c r="I9545" s="760"/>
      <c r="J9545" s="760"/>
      <c r="K9545" s="760"/>
    </row>
    <row r="9546" spans="1:11">
      <c r="A9546" s="760"/>
      <c r="B9546" s="760"/>
      <c r="C9546" s="760"/>
      <c r="D9546" s="760"/>
      <c r="E9546" s="760"/>
      <c r="F9546" s="760"/>
      <c r="G9546" s="760"/>
      <c r="H9546" s="760"/>
      <c r="I9546" s="760"/>
      <c r="J9546" s="760"/>
      <c r="K9546" s="760"/>
    </row>
    <row r="9547" spans="1:11">
      <c r="A9547" s="760"/>
      <c r="B9547" s="760"/>
      <c r="C9547" s="760"/>
      <c r="D9547" s="760"/>
      <c r="E9547" s="760"/>
      <c r="F9547" s="760"/>
      <c r="G9547" s="760"/>
      <c r="H9547" s="760"/>
      <c r="I9547" s="760"/>
      <c r="J9547" s="760"/>
      <c r="K9547" s="760"/>
    </row>
    <row r="9548" spans="1:11">
      <c r="A9548" s="760"/>
      <c r="B9548" s="760"/>
      <c r="C9548" s="760"/>
      <c r="D9548" s="760"/>
      <c r="E9548" s="760"/>
      <c r="F9548" s="760"/>
      <c r="G9548" s="760"/>
      <c r="H9548" s="760"/>
      <c r="I9548" s="760"/>
      <c r="J9548" s="760"/>
      <c r="K9548" s="760"/>
    </row>
    <row r="9549" spans="1:11">
      <c r="A9549" s="760"/>
      <c r="B9549" s="760"/>
      <c r="C9549" s="760"/>
      <c r="D9549" s="760"/>
      <c r="E9549" s="760"/>
      <c r="F9549" s="760"/>
      <c r="G9549" s="760"/>
      <c r="H9549" s="760"/>
      <c r="I9549" s="760"/>
      <c r="J9549" s="760"/>
      <c r="K9549" s="760"/>
    </row>
    <row r="9550" spans="1:11">
      <c r="A9550" s="760"/>
      <c r="B9550" s="760"/>
      <c r="C9550" s="760"/>
      <c r="D9550" s="760"/>
      <c r="E9550" s="760"/>
      <c r="F9550" s="760"/>
      <c r="G9550" s="760"/>
      <c r="H9550" s="760"/>
      <c r="I9550" s="760"/>
      <c r="J9550" s="760"/>
      <c r="K9550" s="760"/>
    </row>
    <row r="9551" spans="1:11">
      <c r="A9551" s="760"/>
      <c r="B9551" s="760"/>
      <c r="C9551" s="760"/>
      <c r="D9551" s="760"/>
      <c r="E9551" s="760"/>
      <c r="F9551" s="760"/>
      <c r="G9551" s="760"/>
      <c r="H9551" s="760"/>
      <c r="I9551" s="760"/>
      <c r="J9551" s="760"/>
      <c r="K9551" s="760"/>
    </row>
    <row r="9552" spans="1:11">
      <c r="A9552" s="760"/>
      <c r="B9552" s="760"/>
      <c r="C9552" s="760"/>
      <c r="D9552" s="760"/>
      <c r="E9552" s="760"/>
      <c r="F9552" s="760"/>
      <c r="G9552" s="760"/>
      <c r="H9552" s="760"/>
      <c r="I9552" s="760"/>
      <c r="J9552" s="760"/>
      <c r="K9552" s="760"/>
    </row>
    <row r="9553" spans="1:11">
      <c r="A9553" s="760"/>
      <c r="B9553" s="760"/>
      <c r="C9553" s="760"/>
      <c r="D9553" s="760"/>
      <c r="E9553" s="760"/>
      <c r="F9553" s="760"/>
      <c r="G9553" s="760"/>
      <c r="H9553" s="760"/>
      <c r="I9553" s="760"/>
      <c r="J9553" s="760"/>
      <c r="K9553" s="760"/>
    </row>
    <row r="9554" spans="1:11">
      <c r="A9554" s="760"/>
      <c r="B9554" s="760"/>
      <c r="C9554" s="760"/>
      <c r="D9554" s="760"/>
      <c r="E9554" s="760"/>
      <c r="F9554" s="760"/>
      <c r="G9554" s="760"/>
      <c r="H9554" s="760"/>
      <c r="I9554" s="760"/>
      <c r="J9554" s="760"/>
      <c r="K9554" s="760"/>
    </row>
    <row r="9555" spans="1:11">
      <c r="A9555" s="760"/>
      <c r="B9555" s="760"/>
      <c r="C9555" s="760"/>
      <c r="D9555" s="760"/>
      <c r="E9555" s="760"/>
      <c r="F9555" s="760"/>
      <c r="G9555" s="760"/>
      <c r="H9555" s="760"/>
      <c r="I9555" s="760"/>
      <c r="J9555" s="760"/>
      <c r="K9555" s="760"/>
    </row>
    <row r="9556" spans="1:11">
      <c r="A9556" s="760"/>
      <c r="B9556" s="760"/>
      <c r="C9556" s="760"/>
      <c r="D9556" s="760"/>
      <c r="E9556" s="760"/>
      <c r="F9556" s="760"/>
      <c r="G9556" s="760"/>
      <c r="H9556" s="760"/>
      <c r="I9556" s="760"/>
      <c r="J9556" s="760"/>
      <c r="K9556" s="760"/>
    </row>
    <row r="9557" spans="1:11">
      <c r="A9557" s="760"/>
      <c r="B9557" s="760"/>
      <c r="C9557" s="760"/>
      <c r="D9557" s="760"/>
      <c r="E9557" s="760"/>
      <c r="F9557" s="760"/>
      <c r="G9557" s="760"/>
      <c r="H9557" s="760"/>
      <c r="I9557" s="760"/>
      <c r="J9557" s="760"/>
      <c r="K9557" s="760"/>
    </row>
    <row r="9558" spans="1:11">
      <c r="A9558" s="760"/>
      <c r="B9558" s="760"/>
      <c r="C9558" s="760"/>
      <c r="D9558" s="760"/>
      <c r="E9558" s="760"/>
      <c r="F9558" s="760"/>
      <c r="G9558" s="760"/>
      <c r="H9558" s="760"/>
      <c r="I9558" s="760"/>
      <c r="J9558" s="760"/>
      <c r="K9558" s="760"/>
    </row>
    <row r="9559" spans="1:11">
      <c r="A9559" s="760"/>
      <c r="B9559" s="760"/>
      <c r="C9559" s="760"/>
      <c r="D9559" s="760"/>
      <c r="E9559" s="760"/>
      <c r="F9559" s="760"/>
      <c r="G9559" s="760"/>
      <c r="H9559" s="760"/>
      <c r="I9559" s="760"/>
      <c r="J9559" s="760"/>
      <c r="K9559" s="760"/>
    </row>
    <row r="9560" spans="1:11">
      <c r="A9560" s="760"/>
      <c r="B9560" s="760"/>
      <c r="C9560" s="760"/>
      <c r="D9560" s="760"/>
      <c r="E9560" s="760"/>
      <c r="F9560" s="760"/>
      <c r="G9560" s="760"/>
      <c r="H9560" s="760"/>
      <c r="I9560" s="760"/>
      <c r="J9560" s="760"/>
      <c r="K9560" s="760"/>
    </row>
    <row r="9561" spans="1:11">
      <c r="A9561" s="760"/>
      <c r="B9561" s="760"/>
      <c r="C9561" s="760"/>
      <c r="D9561" s="760"/>
      <c r="E9561" s="760"/>
      <c r="F9561" s="760"/>
      <c r="G9561" s="760"/>
      <c r="H9561" s="760"/>
      <c r="I9561" s="760"/>
      <c r="J9561" s="760"/>
      <c r="K9561" s="760"/>
    </row>
    <row r="9562" spans="1:11">
      <c r="A9562" s="760"/>
      <c r="B9562" s="760"/>
      <c r="C9562" s="760"/>
      <c r="D9562" s="760"/>
      <c r="E9562" s="760"/>
      <c r="F9562" s="760"/>
      <c r="G9562" s="760"/>
      <c r="H9562" s="760"/>
      <c r="I9562" s="760"/>
      <c r="J9562" s="760"/>
      <c r="K9562" s="760"/>
    </row>
    <row r="9563" spans="1:11">
      <c r="A9563" s="760"/>
      <c r="B9563" s="760"/>
      <c r="C9563" s="760"/>
      <c r="D9563" s="760"/>
      <c r="E9563" s="760"/>
      <c r="F9563" s="760"/>
      <c r="G9563" s="760"/>
      <c r="H9563" s="760"/>
      <c r="I9563" s="760"/>
      <c r="J9563" s="760"/>
      <c r="K9563" s="760"/>
    </row>
    <row r="9564" spans="1:11">
      <c r="A9564" s="760"/>
      <c r="B9564" s="760"/>
      <c r="C9564" s="760"/>
      <c r="D9564" s="760"/>
      <c r="E9564" s="760"/>
      <c r="F9564" s="760"/>
      <c r="G9564" s="760"/>
      <c r="H9564" s="760"/>
      <c r="I9564" s="760"/>
      <c r="J9564" s="760"/>
      <c r="K9564" s="760"/>
    </row>
    <row r="9565" spans="1:11">
      <c r="A9565" s="760"/>
      <c r="B9565" s="760"/>
      <c r="C9565" s="760"/>
      <c r="D9565" s="760"/>
      <c r="E9565" s="760"/>
      <c r="F9565" s="760"/>
      <c r="G9565" s="760"/>
      <c r="H9565" s="760"/>
      <c r="I9565" s="760"/>
      <c r="J9565" s="760"/>
      <c r="K9565" s="760"/>
    </row>
    <row r="9566" spans="1:11">
      <c r="A9566" s="760"/>
      <c r="B9566" s="760"/>
      <c r="C9566" s="760"/>
      <c r="D9566" s="760"/>
      <c r="E9566" s="760"/>
      <c r="F9566" s="760"/>
      <c r="G9566" s="760"/>
      <c r="H9566" s="760"/>
      <c r="I9566" s="760"/>
      <c r="J9566" s="760"/>
      <c r="K9566" s="760"/>
    </row>
    <row r="9567" spans="1:11">
      <c r="A9567" s="760"/>
      <c r="B9567" s="760"/>
      <c r="C9567" s="760"/>
      <c r="D9567" s="760"/>
      <c r="E9567" s="760"/>
      <c r="F9567" s="760"/>
      <c r="G9567" s="760"/>
      <c r="H9567" s="760"/>
      <c r="I9567" s="760"/>
      <c r="J9567" s="760"/>
      <c r="K9567" s="760"/>
    </row>
    <row r="9568" spans="1:11">
      <c r="A9568" s="760"/>
      <c r="B9568" s="760"/>
      <c r="C9568" s="760"/>
      <c r="D9568" s="760"/>
      <c r="E9568" s="760"/>
      <c r="F9568" s="760"/>
      <c r="G9568" s="760"/>
      <c r="H9568" s="760"/>
      <c r="I9568" s="760"/>
      <c r="J9568" s="760"/>
      <c r="K9568" s="760"/>
    </row>
    <row r="9569" spans="1:11">
      <c r="A9569" s="760"/>
      <c r="B9569" s="760"/>
      <c r="C9569" s="760"/>
      <c r="D9569" s="760"/>
      <c r="E9569" s="760"/>
      <c r="F9569" s="760"/>
      <c r="G9569" s="760"/>
      <c r="H9569" s="760"/>
      <c r="I9569" s="760"/>
      <c r="J9569" s="760"/>
      <c r="K9569" s="760"/>
    </row>
    <row r="9570" spans="1:11">
      <c r="A9570" s="760"/>
      <c r="B9570" s="760"/>
      <c r="C9570" s="760"/>
      <c r="D9570" s="760"/>
      <c r="E9570" s="760"/>
      <c r="F9570" s="760"/>
      <c r="G9570" s="760"/>
      <c r="H9570" s="760"/>
      <c r="I9570" s="760"/>
      <c r="J9570" s="760"/>
      <c r="K9570" s="760"/>
    </row>
    <row r="9571" spans="1:11">
      <c r="A9571" s="760"/>
      <c r="B9571" s="760"/>
      <c r="C9571" s="760"/>
      <c r="D9571" s="760"/>
      <c r="E9571" s="760"/>
      <c r="F9571" s="760"/>
      <c r="G9571" s="760"/>
      <c r="H9571" s="760"/>
      <c r="I9571" s="760"/>
      <c r="J9571" s="760"/>
      <c r="K9571" s="760"/>
    </row>
    <row r="9572" spans="1:11">
      <c r="A9572" s="760"/>
      <c r="B9572" s="760"/>
      <c r="C9572" s="760"/>
      <c r="D9572" s="760"/>
      <c r="E9572" s="760"/>
      <c r="F9572" s="760"/>
      <c r="G9572" s="760"/>
      <c r="H9572" s="760"/>
      <c r="I9572" s="760"/>
      <c r="J9572" s="760"/>
      <c r="K9572" s="760"/>
    </row>
    <row r="9573" spans="1:11">
      <c r="A9573" s="760"/>
      <c r="B9573" s="760"/>
      <c r="C9573" s="760"/>
      <c r="D9573" s="760"/>
      <c r="E9573" s="760"/>
      <c r="F9573" s="760"/>
      <c r="G9573" s="760"/>
      <c r="H9573" s="760"/>
      <c r="I9573" s="760"/>
      <c r="J9573" s="760"/>
      <c r="K9573" s="760"/>
    </row>
    <row r="9574" spans="1:11">
      <c r="A9574" s="760"/>
      <c r="B9574" s="760"/>
      <c r="C9574" s="760"/>
      <c r="D9574" s="760"/>
      <c r="E9574" s="760"/>
      <c r="F9574" s="760"/>
      <c r="G9574" s="760"/>
      <c r="H9574" s="760"/>
      <c r="I9574" s="760"/>
      <c r="J9574" s="760"/>
      <c r="K9574" s="760"/>
    </row>
    <row r="9575" spans="1:11">
      <c r="A9575" s="760"/>
      <c r="B9575" s="760"/>
      <c r="C9575" s="760"/>
      <c r="D9575" s="760"/>
      <c r="E9575" s="760"/>
      <c r="F9575" s="760"/>
      <c r="G9575" s="760"/>
      <c r="H9575" s="760"/>
      <c r="I9575" s="760"/>
      <c r="J9575" s="760"/>
      <c r="K9575" s="760"/>
    </row>
    <row r="9576" spans="1:11">
      <c r="A9576" s="760"/>
      <c r="B9576" s="760"/>
      <c r="C9576" s="760"/>
      <c r="D9576" s="760"/>
      <c r="E9576" s="760"/>
      <c r="F9576" s="760"/>
      <c r="G9576" s="760"/>
      <c r="H9576" s="760"/>
      <c r="I9576" s="760"/>
      <c r="J9576" s="760"/>
      <c r="K9576" s="760"/>
    </row>
    <row r="9577" spans="1:11">
      <c r="A9577" s="760"/>
      <c r="B9577" s="760"/>
      <c r="C9577" s="760"/>
      <c r="D9577" s="760"/>
      <c r="E9577" s="760"/>
      <c r="F9577" s="760"/>
      <c r="G9577" s="760"/>
      <c r="H9577" s="760"/>
      <c r="I9577" s="760"/>
      <c r="J9577" s="760"/>
      <c r="K9577" s="760"/>
    </row>
    <row r="9578" spans="1:11">
      <c r="A9578" s="760"/>
      <c r="B9578" s="760"/>
      <c r="C9578" s="760"/>
      <c r="D9578" s="760"/>
      <c r="E9578" s="760"/>
      <c r="F9578" s="760"/>
      <c r="G9578" s="760"/>
      <c r="H9578" s="760"/>
      <c r="I9578" s="760"/>
      <c r="J9578" s="760"/>
      <c r="K9578" s="760"/>
    </row>
    <row r="9579" spans="1:11">
      <c r="A9579" s="760"/>
      <c r="B9579" s="760"/>
      <c r="C9579" s="760"/>
      <c r="D9579" s="760"/>
      <c r="E9579" s="760"/>
      <c r="F9579" s="760"/>
      <c r="G9579" s="760"/>
      <c r="H9579" s="760"/>
      <c r="I9579" s="760"/>
      <c r="J9579" s="760"/>
      <c r="K9579" s="760"/>
    </row>
    <row r="9580" spans="1:11">
      <c r="A9580" s="760"/>
      <c r="B9580" s="760"/>
      <c r="C9580" s="760"/>
      <c r="D9580" s="760"/>
      <c r="E9580" s="760"/>
      <c r="F9580" s="760"/>
      <c r="G9580" s="760"/>
      <c r="H9580" s="760"/>
      <c r="I9580" s="760"/>
      <c r="J9580" s="760"/>
      <c r="K9580" s="760"/>
    </row>
    <row r="9581" spans="1:11">
      <c r="A9581" s="760"/>
      <c r="B9581" s="760"/>
      <c r="C9581" s="760"/>
      <c r="D9581" s="760"/>
      <c r="E9581" s="760"/>
      <c r="F9581" s="760"/>
      <c r="G9581" s="760"/>
      <c r="H9581" s="760"/>
      <c r="I9581" s="760"/>
      <c r="J9581" s="760"/>
      <c r="K9581" s="760"/>
    </row>
    <row r="9582" spans="1:11">
      <c r="A9582" s="760"/>
      <c r="B9582" s="760"/>
      <c r="C9582" s="760"/>
      <c r="D9582" s="760"/>
      <c r="E9582" s="760"/>
      <c r="F9582" s="760"/>
      <c r="G9582" s="760"/>
      <c r="H9582" s="760"/>
      <c r="I9582" s="760"/>
      <c r="J9582" s="760"/>
      <c r="K9582" s="760"/>
    </row>
    <row r="9583" spans="1:11">
      <c r="A9583" s="760"/>
      <c r="B9583" s="760"/>
      <c r="C9583" s="760"/>
      <c r="D9583" s="760"/>
      <c r="E9583" s="760"/>
      <c r="F9583" s="760"/>
      <c r="G9583" s="760"/>
      <c r="H9583" s="760"/>
      <c r="I9583" s="760"/>
      <c r="J9583" s="760"/>
      <c r="K9583" s="760"/>
    </row>
    <row r="9584" spans="1:11">
      <c r="A9584" s="760"/>
      <c r="B9584" s="760"/>
      <c r="C9584" s="760"/>
      <c r="D9584" s="760"/>
      <c r="E9584" s="760"/>
      <c r="F9584" s="760"/>
      <c r="G9584" s="760"/>
      <c r="H9584" s="760"/>
      <c r="I9584" s="760"/>
      <c r="J9584" s="760"/>
      <c r="K9584" s="760"/>
    </row>
    <row r="9585" spans="1:11">
      <c r="A9585" s="760"/>
      <c r="B9585" s="760"/>
      <c r="C9585" s="760"/>
      <c r="D9585" s="760"/>
      <c r="E9585" s="760"/>
      <c r="F9585" s="760"/>
      <c r="G9585" s="760"/>
      <c r="H9585" s="760"/>
      <c r="I9585" s="760"/>
      <c r="J9585" s="760"/>
      <c r="K9585" s="760"/>
    </row>
    <row r="9586" spans="1:11">
      <c r="A9586" s="760"/>
      <c r="B9586" s="760"/>
      <c r="C9586" s="760"/>
      <c r="D9586" s="760"/>
      <c r="E9586" s="760"/>
      <c r="F9586" s="760"/>
      <c r="G9586" s="760"/>
      <c r="H9586" s="760"/>
      <c r="I9586" s="760"/>
      <c r="J9586" s="760"/>
      <c r="K9586" s="760"/>
    </row>
    <row r="9587" spans="1:11">
      <c r="A9587" s="760"/>
      <c r="B9587" s="760"/>
      <c r="C9587" s="760"/>
      <c r="D9587" s="760"/>
      <c r="E9587" s="760"/>
      <c r="F9587" s="760"/>
      <c r="G9587" s="760"/>
      <c r="H9587" s="760"/>
      <c r="I9587" s="760"/>
      <c r="J9587" s="760"/>
      <c r="K9587" s="760"/>
    </row>
    <row r="9588" spans="1:11">
      <c r="A9588" s="760"/>
      <c r="B9588" s="760"/>
      <c r="C9588" s="760"/>
      <c r="D9588" s="760"/>
      <c r="E9588" s="760"/>
      <c r="F9588" s="760"/>
      <c r="G9588" s="760"/>
      <c r="H9588" s="760"/>
      <c r="I9588" s="760"/>
      <c r="J9588" s="760"/>
      <c r="K9588" s="760"/>
    </row>
    <row r="9589" spans="1:11">
      <c r="A9589" s="760"/>
      <c r="B9589" s="760"/>
      <c r="C9589" s="760"/>
      <c r="D9589" s="760"/>
      <c r="E9589" s="760"/>
      <c r="F9589" s="760"/>
      <c r="G9589" s="760"/>
      <c r="H9589" s="760"/>
      <c r="I9589" s="760"/>
      <c r="J9589" s="760"/>
      <c r="K9589" s="760"/>
    </row>
    <row r="9590" spans="1:11">
      <c r="A9590" s="760"/>
      <c r="B9590" s="760"/>
      <c r="C9590" s="760"/>
      <c r="D9590" s="760"/>
      <c r="E9590" s="760"/>
      <c r="F9590" s="760"/>
      <c r="G9590" s="760"/>
      <c r="H9590" s="760"/>
      <c r="I9590" s="760"/>
      <c r="J9590" s="760"/>
      <c r="K9590" s="760"/>
    </row>
    <row r="9591" spans="1:11">
      <c r="A9591" s="760"/>
      <c r="B9591" s="760"/>
      <c r="C9591" s="760"/>
      <c r="D9591" s="760"/>
      <c r="E9591" s="760"/>
      <c r="F9591" s="760"/>
      <c r="G9591" s="760"/>
      <c r="H9591" s="760"/>
      <c r="I9591" s="760"/>
      <c r="J9591" s="760"/>
      <c r="K9591" s="760"/>
    </row>
    <row r="9592" spans="1:11">
      <c r="A9592" s="760"/>
      <c r="B9592" s="760"/>
      <c r="C9592" s="760"/>
      <c r="D9592" s="760"/>
      <c r="E9592" s="760"/>
      <c r="F9592" s="760"/>
      <c r="G9592" s="760"/>
      <c r="H9592" s="760"/>
      <c r="I9592" s="760"/>
      <c r="J9592" s="760"/>
      <c r="K9592" s="760"/>
    </row>
    <row r="9593" spans="1:11">
      <c r="A9593" s="760"/>
      <c r="B9593" s="760"/>
      <c r="C9593" s="760"/>
      <c r="D9593" s="760"/>
      <c r="E9593" s="760"/>
      <c r="F9593" s="760"/>
      <c r="G9593" s="760"/>
      <c r="H9593" s="760"/>
      <c r="I9593" s="760"/>
      <c r="J9593" s="760"/>
      <c r="K9593" s="760"/>
    </row>
    <row r="9594" spans="1:11">
      <c r="A9594" s="760"/>
      <c r="B9594" s="760"/>
      <c r="C9594" s="760"/>
      <c r="D9594" s="760"/>
      <c r="E9594" s="760"/>
      <c r="F9594" s="760"/>
      <c r="G9594" s="760"/>
      <c r="H9594" s="760"/>
      <c r="I9594" s="760"/>
      <c r="J9594" s="760"/>
      <c r="K9594" s="760"/>
    </row>
    <row r="9595" spans="1:11">
      <c r="A9595" s="760"/>
      <c r="B9595" s="760"/>
      <c r="C9595" s="760"/>
      <c r="D9595" s="760"/>
      <c r="E9595" s="760"/>
      <c r="F9595" s="760"/>
      <c r="G9595" s="760"/>
      <c r="H9595" s="760"/>
      <c r="I9595" s="760"/>
      <c r="J9595" s="760"/>
      <c r="K9595" s="760"/>
    </row>
    <row r="9596" spans="1:11">
      <c r="A9596" s="760"/>
      <c r="B9596" s="760"/>
      <c r="C9596" s="760"/>
      <c r="D9596" s="760"/>
      <c r="E9596" s="760"/>
      <c r="F9596" s="760"/>
      <c r="G9596" s="760"/>
      <c r="H9596" s="760"/>
      <c r="I9596" s="760"/>
      <c r="J9596" s="760"/>
      <c r="K9596" s="760"/>
    </row>
    <row r="9597" spans="1:11">
      <c r="A9597" s="760"/>
      <c r="B9597" s="760"/>
      <c r="C9597" s="760"/>
      <c r="D9597" s="760"/>
      <c r="E9597" s="760"/>
      <c r="F9597" s="760"/>
      <c r="G9597" s="760"/>
      <c r="H9597" s="760"/>
      <c r="I9597" s="760"/>
      <c r="J9597" s="760"/>
      <c r="K9597" s="760"/>
    </row>
    <row r="9598" spans="1:11">
      <c r="A9598" s="760"/>
      <c r="B9598" s="760"/>
      <c r="C9598" s="760"/>
      <c r="D9598" s="760"/>
      <c r="E9598" s="760"/>
      <c r="F9598" s="760"/>
      <c r="G9598" s="760"/>
      <c r="H9598" s="760"/>
      <c r="I9598" s="760"/>
      <c r="J9598" s="760"/>
      <c r="K9598" s="760"/>
    </row>
    <row r="9599" spans="1:11">
      <c r="A9599" s="760"/>
      <c r="B9599" s="760"/>
      <c r="C9599" s="760"/>
      <c r="D9599" s="760"/>
      <c r="E9599" s="760"/>
      <c r="F9599" s="760"/>
      <c r="G9599" s="760"/>
      <c r="H9599" s="760"/>
      <c r="I9599" s="760"/>
      <c r="J9599" s="760"/>
      <c r="K9599" s="760"/>
    </row>
    <row r="9600" spans="1:11">
      <c r="A9600" s="760"/>
      <c r="B9600" s="760"/>
      <c r="C9600" s="760"/>
      <c r="D9600" s="760"/>
      <c r="E9600" s="760"/>
      <c r="F9600" s="760"/>
      <c r="G9600" s="760"/>
      <c r="H9600" s="760"/>
      <c r="I9600" s="760"/>
      <c r="J9600" s="760"/>
      <c r="K9600" s="760"/>
    </row>
    <row r="9601" spans="1:11">
      <c r="A9601" s="760"/>
      <c r="B9601" s="760"/>
      <c r="C9601" s="760"/>
      <c r="D9601" s="760"/>
      <c r="E9601" s="760"/>
      <c r="F9601" s="760"/>
      <c r="G9601" s="760"/>
      <c r="H9601" s="760"/>
      <c r="I9601" s="760"/>
      <c r="J9601" s="760"/>
      <c r="K9601" s="760"/>
    </row>
    <row r="9602" spans="1:11">
      <c r="A9602" s="760"/>
      <c r="B9602" s="760"/>
      <c r="C9602" s="760"/>
      <c r="D9602" s="760"/>
      <c r="E9602" s="760"/>
      <c r="F9602" s="760"/>
      <c r="G9602" s="760"/>
      <c r="H9602" s="760"/>
      <c r="I9602" s="760"/>
      <c r="J9602" s="760"/>
      <c r="K9602" s="760"/>
    </row>
    <row r="9603" spans="1:11">
      <c r="A9603" s="760"/>
      <c r="B9603" s="760"/>
      <c r="C9603" s="760"/>
      <c r="D9603" s="760"/>
      <c r="E9603" s="760"/>
      <c r="F9603" s="760"/>
      <c r="G9603" s="760"/>
      <c r="H9603" s="760"/>
      <c r="I9603" s="760"/>
      <c r="J9603" s="760"/>
      <c r="K9603" s="760"/>
    </row>
    <row r="9604" spans="1:11">
      <c r="A9604" s="760"/>
      <c r="B9604" s="760"/>
      <c r="C9604" s="760"/>
      <c r="D9604" s="760"/>
      <c r="E9604" s="760"/>
      <c r="F9604" s="760"/>
      <c r="G9604" s="760"/>
      <c r="H9604" s="760"/>
      <c r="I9604" s="760"/>
      <c r="J9604" s="760"/>
      <c r="K9604" s="760"/>
    </row>
    <row r="9605" spans="1:11">
      <c r="A9605" s="760"/>
      <c r="B9605" s="760"/>
      <c r="C9605" s="760"/>
      <c r="D9605" s="760"/>
      <c r="E9605" s="760"/>
      <c r="F9605" s="760"/>
      <c r="G9605" s="760"/>
      <c r="H9605" s="760"/>
      <c r="I9605" s="760"/>
      <c r="J9605" s="760"/>
      <c r="K9605" s="760"/>
    </row>
    <row r="9606" spans="1:11">
      <c r="A9606" s="760"/>
      <c r="B9606" s="760"/>
      <c r="C9606" s="760"/>
      <c r="D9606" s="760"/>
      <c r="E9606" s="760"/>
      <c r="F9606" s="760"/>
      <c r="G9606" s="760"/>
      <c r="H9606" s="760"/>
      <c r="I9606" s="760"/>
      <c r="J9606" s="760"/>
      <c r="K9606" s="760"/>
    </row>
    <row r="9607" spans="1:11">
      <c r="A9607" s="760"/>
      <c r="B9607" s="760"/>
      <c r="C9607" s="760"/>
      <c r="D9607" s="760"/>
      <c r="E9607" s="760"/>
      <c r="F9607" s="760"/>
      <c r="G9607" s="760"/>
      <c r="H9607" s="760"/>
      <c r="I9607" s="760"/>
      <c r="J9607" s="760"/>
      <c r="K9607" s="760"/>
    </row>
    <row r="9608" spans="1:11">
      <c r="A9608" s="760"/>
      <c r="B9608" s="760"/>
      <c r="C9608" s="760"/>
      <c r="D9608" s="760"/>
      <c r="E9608" s="760"/>
      <c r="F9608" s="760"/>
      <c r="G9608" s="760"/>
      <c r="H9608" s="760"/>
      <c r="I9608" s="760"/>
      <c r="J9608" s="760"/>
      <c r="K9608" s="760"/>
    </row>
    <row r="9609" spans="1:11">
      <c r="A9609" s="760"/>
      <c r="B9609" s="760"/>
      <c r="C9609" s="760"/>
      <c r="D9609" s="760"/>
      <c r="E9609" s="760"/>
      <c r="F9609" s="760"/>
      <c r="G9609" s="760"/>
      <c r="H9609" s="760"/>
      <c r="I9609" s="760"/>
      <c r="J9609" s="760"/>
      <c r="K9609" s="760"/>
    </row>
    <row r="9610" spans="1:11">
      <c r="A9610" s="760"/>
      <c r="B9610" s="760"/>
      <c r="C9610" s="760"/>
      <c r="D9610" s="760"/>
      <c r="E9610" s="760"/>
      <c r="F9610" s="760"/>
      <c r="G9610" s="760"/>
      <c r="H9610" s="760"/>
      <c r="I9610" s="760"/>
      <c r="J9610" s="760"/>
      <c r="K9610" s="760"/>
    </row>
    <row r="9611" spans="1:11">
      <c r="A9611" s="760"/>
      <c r="B9611" s="760"/>
      <c r="C9611" s="760"/>
      <c r="D9611" s="760"/>
      <c r="E9611" s="760"/>
      <c r="F9611" s="760"/>
      <c r="G9611" s="760"/>
      <c r="H9611" s="760"/>
      <c r="I9611" s="760"/>
      <c r="J9611" s="760"/>
      <c r="K9611" s="760"/>
    </row>
    <row r="9612" spans="1:11">
      <c r="A9612" s="760"/>
      <c r="B9612" s="760"/>
      <c r="C9612" s="760"/>
      <c r="D9612" s="760"/>
      <c r="E9612" s="760"/>
      <c r="F9612" s="760"/>
      <c r="G9612" s="760"/>
      <c r="H9612" s="760"/>
      <c r="I9612" s="760"/>
      <c r="J9612" s="760"/>
      <c r="K9612" s="760"/>
    </row>
    <row r="9613" spans="1:11">
      <c r="A9613" s="760"/>
      <c r="B9613" s="760"/>
      <c r="C9613" s="760"/>
      <c r="D9613" s="760"/>
      <c r="E9613" s="760"/>
      <c r="F9613" s="760"/>
      <c r="G9613" s="760"/>
      <c r="H9613" s="760"/>
      <c r="I9613" s="760"/>
      <c r="J9613" s="760"/>
      <c r="K9613" s="760"/>
    </row>
    <row r="9614" spans="1:11">
      <c r="A9614" s="760"/>
      <c r="B9614" s="760"/>
      <c r="C9614" s="760"/>
      <c r="D9614" s="760"/>
      <c r="E9614" s="760"/>
      <c r="F9614" s="760"/>
      <c r="G9614" s="760"/>
      <c r="H9614" s="760"/>
      <c r="I9614" s="760"/>
      <c r="J9614" s="760"/>
      <c r="K9614" s="760"/>
    </row>
    <row r="9615" spans="1:11">
      <c r="A9615" s="760"/>
      <c r="B9615" s="760"/>
      <c r="C9615" s="760"/>
      <c r="D9615" s="760"/>
      <c r="E9615" s="760"/>
      <c r="F9615" s="760"/>
      <c r="G9615" s="760"/>
      <c r="H9615" s="760"/>
      <c r="I9615" s="760"/>
      <c r="J9615" s="760"/>
      <c r="K9615" s="760"/>
    </row>
    <row r="9616" spans="1:11">
      <c r="A9616" s="760"/>
      <c r="B9616" s="760"/>
      <c r="C9616" s="760"/>
      <c r="D9616" s="760"/>
      <c r="E9616" s="760"/>
      <c r="F9616" s="760"/>
      <c r="G9616" s="760"/>
      <c r="H9616" s="760"/>
      <c r="I9616" s="760"/>
      <c r="J9616" s="760"/>
      <c r="K9616" s="760"/>
    </row>
    <row r="9617" spans="1:11">
      <c r="A9617" s="760"/>
      <c r="B9617" s="760"/>
      <c r="C9617" s="760"/>
      <c r="D9617" s="760"/>
      <c r="E9617" s="760"/>
      <c r="F9617" s="760"/>
      <c r="G9617" s="760"/>
      <c r="H9617" s="760"/>
      <c r="I9617" s="760"/>
      <c r="J9617" s="760"/>
      <c r="K9617" s="760"/>
    </row>
    <row r="9618" spans="1:11">
      <c r="A9618" s="760"/>
      <c r="B9618" s="760"/>
      <c r="C9618" s="760"/>
      <c r="D9618" s="760"/>
      <c r="E9618" s="760"/>
      <c r="F9618" s="760"/>
      <c r="G9618" s="760"/>
      <c r="H9618" s="760"/>
      <c r="I9618" s="760"/>
      <c r="J9618" s="760"/>
      <c r="K9618" s="760"/>
    </row>
    <row r="9619" spans="1:11">
      <c r="A9619" s="760"/>
      <c r="B9619" s="760"/>
      <c r="C9619" s="760"/>
      <c r="D9619" s="760"/>
      <c r="E9619" s="760"/>
      <c r="F9619" s="760"/>
      <c r="G9619" s="760"/>
      <c r="H9619" s="760"/>
      <c r="I9619" s="760"/>
      <c r="J9619" s="760"/>
      <c r="K9619" s="760"/>
    </row>
    <row r="9620" spans="1:11">
      <c r="A9620" s="760"/>
      <c r="B9620" s="760"/>
      <c r="C9620" s="760"/>
      <c r="D9620" s="760"/>
      <c r="E9620" s="760"/>
      <c r="F9620" s="760"/>
      <c r="G9620" s="760"/>
      <c r="H9620" s="760"/>
      <c r="I9620" s="760"/>
      <c r="J9620" s="760"/>
      <c r="K9620" s="760"/>
    </row>
    <row r="9621" spans="1:11">
      <c r="A9621" s="760"/>
      <c r="B9621" s="760"/>
      <c r="C9621" s="760"/>
      <c r="D9621" s="760"/>
      <c r="E9621" s="760"/>
      <c r="F9621" s="760"/>
      <c r="G9621" s="760"/>
      <c r="H9621" s="760"/>
      <c r="I9621" s="760"/>
      <c r="J9621" s="760"/>
      <c r="K9621" s="760"/>
    </row>
    <row r="9622" spans="1:11">
      <c r="A9622" s="760"/>
      <c r="B9622" s="760"/>
      <c r="C9622" s="760"/>
      <c r="D9622" s="760"/>
      <c r="E9622" s="760"/>
      <c r="F9622" s="760"/>
      <c r="G9622" s="760"/>
      <c r="H9622" s="760"/>
      <c r="I9622" s="760"/>
      <c r="J9622" s="760"/>
      <c r="K9622" s="760"/>
    </row>
    <row r="9623" spans="1:11">
      <c r="A9623" s="760"/>
      <c r="B9623" s="760"/>
      <c r="C9623" s="760"/>
      <c r="D9623" s="760"/>
      <c r="E9623" s="760"/>
      <c r="F9623" s="760"/>
      <c r="G9623" s="760"/>
      <c r="H9623" s="760"/>
      <c r="I9623" s="760"/>
      <c r="J9623" s="760"/>
      <c r="K9623" s="760"/>
    </row>
    <row r="9624" spans="1:11">
      <c r="A9624" s="760"/>
      <c r="B9624" s="760"/>
      <c r="C9624" s="760"/>
      <c r="D9624" s="760"/>
      <c r="E9624" s="760"/>
      <c r="F9624" s="760"/>
      <c r="G9624" s="760"/>
      <c r="H9624" s="760"/>
      <c r="I9624" s="760"/>
      <c r="J9624" s="760"/>
      <c r="K9624" s="760"/>
    </row>
    <row r="9625" spans="1:11">
      <c r="A9625" s="760"/>
      <c r="B9625" s="760"/>
      <c r="C9625" s="760"/>
      <c r="D9625" s="760"/>
      <c r="E9625" s="760"/>
      <c r="F9625" s="760"/>
      <c r="G9625" s="760"/>
      <c r="H9625" s="760"/>
      <c r="I9625" s="760"/>
      <c r="J9625" s="760"/>
      <c r="K9625" s="760"/>
    </row>
    <row r="9626" spans="1:11">
      <c r="A9626" s="760"/>
      <c r="B9626" s="760"/>
      <c r="C9626" s="760"/>
      <c r="D9626" s="760"/>
      <c r="E9626" s="760"/>
      <c r="F9626" s="760"/>
      <c r="G9626" s="760"/>
      <c r="H9626" s="760"/>
      <c r="I9626" s="760"/>
      <c r="J9626" s="760"/>
      <c r="K9626" s="760"/>
    </row>
    <row r="9627" spans="1:11">
      <c r="A9627" s="760"/>
      <c r="B9627" s="760"/>
      <c r="C9627" s="760"/>
      <c r="D9627" s="760"/>
      <c r="E9627" s="760"/>
      <c r="F9627" s="760"/>
      <c r="G9627" s="760"/>
      <c r="H9627" s="760"/>
      <c r="I9627" s="760"/>
      <c r="J9627" s="760"/>
      <c r="K9627" s="760"/>
    </row>
    <row r="9628" spans="1:11">
      <c r="A9628" s="760"/>
      <c r="B9628" s="760"/>
      <c r="C9628" s="760"/>
      <c r="D9628" s="760"/>
      <c r="E9628" s="760"/>
      <c r="F9628" s="760"/>
      <c r="G9628" s="760"/>
      <c r="H9628" s="760"/>
      <c r="I9628" s="760"/>
      <c r="J9628" s="760"/>
      <c r="K9628" s="760"/>
    </row>
    <row r="9629" spans="1:11">
      <c r="A9629" s="760"/>
      <c r="B9629" s="760"/>
      <c r="C9629" s="760"/>
      <c r="D9629" s="760"/>
      <c r="E9629" s="760"/>
      <c r="F9629" s="760"/>
      <c r="G9629" s="760"/>
      <c r="H9629" s="760"/>
      <c r="I9629" s="760"/>
      <c r="J9629" s="760"/>
      <c r="K9629" s="760"/>
    </row>
    <row r="9630" spans="1:11">
      <c r="A9630" s="760"/>
      <c r="B9630" s="760"/>
      <c r="C9630" s="760"/>
      <c r="D9630" s="760"/>
      <c r="E9630" s="760"/>
      <c r="F9630" s="760"/>
      <c r="G9630" s="760"/>
      <c r="H9630" s="760"/>
      <c r="I9630" s="760"/>
      <c r="J9630" s="760"/>
      <c r="K9630" s="760"/>
    </row>
    <row r="9631" spans="1:11">
      <c r="A9631" s="760"/>
      <c r="B9631" s="760"/>
      <c r="C9631" s="760"/>
      <c r="D9631" s="760"/>
      <c r="E9631" s="760"/>
      <c r="F9631" s="760"/>
      <c r="G9631" s="760"/>
      <c r="H9631" s="760"/>
      <c r="I9631" s="760"/>
      <c r="J9631" s="760"/>
      <c r="K9631" s="760"/>
    </row>
    <row r="9632" spans="1:11">
      <c r="A9632" s="760"/>
      <c r="B9632" s="760"/>
      <c r="C9632" s="760"/>
      <c r="D9632" s="760"/>
      <c r="E9632" s="760"/>
      <c r="F9632" s="760"/>
      <c r="G9632" s="760"/>
      <c r="H9632" s="760"/>
      <c r="I9632" s="760"/>
      <c r="J9632" s="760"/>
      <c r="K9632" s="760"/>
    </row>
    <row r="9633" spans="1:11">
      <c r="A9633" s="760"/>
      <c r="B9633" s="760"/>
      <c r="C9633" s="760"/>
      <c r="D9633" s="760"/>
      <c r="E9633" s="760"/>
      <c r="F9633" s="760"/>
      <c r="G9633" s="760"/>
      <c r="H9633" s="760"/>
      <c r="I9633" s="760"/>
      <c r="J9633" s="760"/>
      <c r="K9633" s="760"/>
    </row>
    <row r="9634" spans="1:11">
      <c r="A9634" s="760"/>
      <c r="B9634" s="760"/>
      <c r="C9634" s="760"/>
      <c r="D9634" s="760"/>
      <c r="E9634" s="760"/>
      <c r="F9634" s="760"/>
      <c r="G9634" s="760"/>
      <c r="H9634" s="760"/>
      <c r="I9634" s="760"/>
      <c r="J9634" s="760"/>
      <c r="K9634" s="760"/>
    </row>
    <row r="9635" spans="1:11">
      <c r="A9635" s="760"/>
      <c r="B9635" s="760"/>
      <c r="C9635" s="760"/>
      <c r="D9635" s="760"/>
      <c r="E9635" s="760"/>
      <c r="F9635" s="760"/>
      <c r="G9635" s="760"/>
      <c r="H9635" s="760"/>
      <c r="I9635" s="760"/>
      <c r="J9635" s="760"/>
      <c r="K9635" s="760"/>
    </row>
    <row r="9636" spans="1:11">
      <c r="A9636" s="760"/>
      <c r="B9636" s="760"/>
      <c r="C9636" s="760"/>
      <c r="D9636" s="760"/>
      <c r="E9636" s="760"/>
      <c r="F9636" s="760"/>
      <c r="G9636" s="760"/>
      <c r="H9636" s="760"/>
      <c r="I9636" s="760"/>
      <c r="J9636" s="760"/>
      <c r="K9636" s="760"/>
    </row>
    <row r="9637" spans="1:11">
      <c r="A9637" s="760"/>
      <c r="B9637" s="760"/>
      <c r="C9637" s="760"/>
      <c r="D9637" s="760"/>
      <c r="E9637" s="760"/>
      <c r="F9637" s="760"/>
      <c r="G9637" s="760"/>
      <c r="H9637" s="760"/>
      <c r="I9637" s="760"/>
      <c r="J9637" s="760"/>
      <c r="K9637" s="760"/>
    </row>
    <row r="9638" spans="1:11">
      <c r="A9638" s="760"/>
      <c r="B9638" s="760"/>
      <c r="C9638" s="760"/>
      <c r="D9638" s="760"/>
      <c r="E9638" s="760"/>
      <c r="F9638" s="760"/>
      <c r="G9638" s="760"/>
      <c r="H9638" s="760"/>
      <c r="I9638" s="760"/>
      <c r="J9638" s="760"/>
      <c r="K9638" s="760"/>
    </row>
    <row r="9639" spans="1:11">
      <c r="A9639" s="760"/>
      <c r="B9639" s="760"/>
      <c r="C9639" s="760"/>
      <c r="D9639" s="760"/>
      <c r="E9639" s="760"/>
      <c r="F9639" s="760"/>
      <c r="G9639" s="760"/>
      <c r="H9639" s="760"/>
      <c r="I9639" s="760"/>
      <c r="J9639" s="760"/>
      <c r="K9639" s="760"/>
    </row>
    <row r="9640" spans="1:11">
      <c r="A9640" s="760"/>
      <c r="B9640" s="760"/>
      <c r="C9640" s="760"/>
      <c r="D9640" s="760"/>
      <c r="E9640" s="760"/>
      <c r="F9640" s="760"/>
      <c r="G9640" s="760"/>
      <c r="H9640" s="760"/>
      <c r="I9640" s="760"/>
      <c r="J9640" s="760"/>
      <c r="K9640" s="760"/>
    </row>
    <row r="9641" spans="1:11">
      <c r="A9641" s="760"/>
      <c r="B9641" s="760"/>
      <c r="C9641" s="760"/>
      <c r="D9641" s="760"/>
      <c r="E9641" s="760"/>
      <c r="F9641" s="760"/>
      <c r="G9641" s="760"/>
      <c r="H9641" s="760"/>
      <c r="I9641" s="760"/>
      <c r="J9641" s="760"/>
      <c r="K9641" s="760"/>
    </row>
    <row r="9642" spans="1:11">
      <c r="A9642" s="760"/>
      <c r="B9642" s="760"/>
      <c r="C9642" s="760"/>
      <c r="D9642" s="760"/>
      <c r="E9642" s="760"/>
      <c r="F9642" s="760"/>
      <c r="G9642" s="760"/>
      <c r="H9642" s="760"/>
      <c r="I9642" s="760"/>
      <c r="J9642" s="760"/>
      <c r="K9642" s="760"/>
    </row>
    <row r="9643" spans="1:11">
      <c r="A9643" s="760"/>
      <c r="B9643" s="760"/>
      <c r="C9643" s="760"/>
      <c r="D9643" s="760"/>
      <c r="E9643" s="760"/>
      <c r="F9643" s="760"/>
      <c r="G9643" s="760"/>
      <c r="H9643" s="760"/>
      <c r="I9643" s="760"/>
      <c r="J9643" s="760"/>
      <c r="K9643" s="760"/>
    </row>
    <row r="9644" spans="1:11">
      <c r="A9644" s="760"/>
      <c r="B9644" s="760"/>
      <c r="C9644" s="760"/>
      <c r="D9644" s="760"/>
      <c r="E9644" s="760"/>
      <c r="F9644" s="760"/>
      <c r="G9644" s="760"/>
      <c r="H9644" s="760"/>
      <c r="I9644" s="760"/>
      <c r="J9644" s="760"/>
      <c r="K9644" s="760"/>
    </row>
    <row r="9645" spans="1:11">
      <c r="A9645" s="760"/>
      <c r="B9645" s="760"/>
      <c r="C9645" s="760"/>
      <c r="D9645" s="760"/>
      <c r="E9645" s="760"/>
      <c r="F9645" s="760"/>
      <c r="G9645" s="760"/>
      <c r="H9645" s="760"/>
      <c r="I9645" s="760"/>
      <c r="J9645" s="760"/>
      <c r="K9645" s="760"/>
    </row>
    <row r="9646" spans="1:11">
      <c r="A9646" s="760"/>
      <c r="B9646" s="760"/>
      <c r="C9646" s="760"/>
      <c r="D9646" s="760"/>
      <c r="E9646" s="760"/>
      <c r="F9646" s="760"/>
      <c r="G9646" s="760"/>
      <c r="H9646" s="760"/>
      <c r="I9646" s="760"/>
      <c r="J9646" s="760"/>
      <c r="K9646" s="760"/>
    </row>
    <row r="9647" spans="1:11">
      <c r="A9647" s="760"/>
      <c r="B9647" s="760"/>
      <c r="C9647" s="760"/>
      <c r="D9647" s="760"/>
      <c r="E9647" s="760"/>
      <c r="F9647" s="760"/>
      <c r="G9647" s="760"/>
      <c r="H9647" s="760"/>
      <c r="I9647" s="760"/>
      <c r="J9647" s="760"/>
      <c r="K9647" s="760"/>
    </row>
    <row r="9648" spans="1:11">
      <c r="A9648" s="760"/>
      <c r="B9648" s="760"/>
      <c r="C9648" s="760"/>
      <c r="D9648" s="760"/>
      <c r="E9648" s="760"/>
      <c r="F9648" s="760"/>
      <c r="G9648" s="760"/>
      <c r="H9648" s="760"/>
      <c r="I9648" s="760"/>
      <c r="J9648" s="760"/>
      <c r="K9648" s="760"/>
    </row>
    <row r="9649" spans="1:11">
      <c r="A9649" s="760"/>
      <c r="B9649" s="760"/>
      <c r="C9649" s="760"/>
      <c r="D9649" s="760"/>
      <c r="E9649" s="760"/>
      <c r="F9649" s="760"/>
      <c r="G9649" s="760"/>
      <c r="H9649" s="760"/>
      <c r="I9649" s="760"/>
      <c r="J9649" s="760"/>
      <c r="K9649" s="760"/>
    </row>
    <row r="9650" spans="1:11">
      <c r="A9650" s="760"/>
      <c r="B9650" s="760"/>
      <c r="C9650" s="760"/>
      <c r="D9650" s="760"/>
      <c r="E9650" s="760"/>
      <c r="F9650" s="760"/>
      <c r="G9650" s="760"/>
      <c r="H9650" s="760"/>
      <c r="I9650" s="760"/>
      <c r="J9650" s="760"/>
      <c r="K9650" s="760"/>
    </row>
    <row r="9651" spans="1:11">
      <c r="A9651" s="760"/>
      <c r="B9651" s="760"/>
      <c r="C9651" s="760"/>
      <c r="D9651" s="760"/>
      <c r="E9651" s="760"/>
      <c r="F9651" s="760"/>
      <c r="G9651" s="760"/>
      <c r="H9651" s="760"/>
      <c r="I9651" s="760"/>
      <c r="J9651" s="760"/>
      <c r="K9651" s="760"/>
    </row>
    <row r="9652" spans="1:11">
      <c r="A9652" s="760"/>
      <c r="B9652" s="760"/>
      <c r="C9652" s="760"/>
      <c r="D9652" s="760"/>
      <c r="E9652" s="760"/>
      <c r="F9652" s="760"/>
      <c r="G9652" s="760"/>
      <c r="H9652" s="760"/>
      <c r="I9652" s="760"/>
      <c r="J9652" s="760"/>
      <c r="K9652" s="760"/>
    </row>
    <row r="9653" spans="1:11">
      <c r="A9653" s="760"/>
      <c r="B9653" s="760"/>
      <c r="C9653" s="760"/>
      <c r="D9653" s="760"/>
      <c r="E9653" s="760"/>
      <c r="F9653" s="760"/>
      <c r="G9653" s="760"/>
      <c r="H9653" s="760"/>
      <c r="I9653" s="760"/>
      <c r="J9653" s="760"/>
      <c r="K9653" s="760"/>
    </row>
    <row r="9654" spans="1:11">
      <c r="A9654" s="760"/>
      <c r="B9654" s="760"/>
      <c r="C9654" s="760"/>
      <c r="D9654" s="760"/>
      <c r="E9654" s="760"/>
      <c r="F9654" s="760"/>
      <c r="G9654" s="760"/>
      <c r="H9654" s="760"/>
      <c r="I9654" s="760"/>
      <c r="J9654" s="760"/>
      <c r="K9654" s="760"/>
    </row>
    <row r="9655" spans="1:11">
      <c r="A9655" s="760"/>
      <c r="B9655" s="760"/>
      <c r="C9655" s="760"/>
      <c r="D9655" s="760"/>
      <c r="E9655" s="760"/>
      <c r="F9655" s="760"/>
      <c r="G9655" s="760"/>
      <c r="H9655" s="760"/>
      <c r="I9655" s="760"/>
      <c r="J9655" s="760"/>
      <c r="K9655" s="760"/>
    </row>
    <row r="9656" spans="1:11">
      <c r="A9656" s="760"/>
      <c r="B9656" s="760"/>
      <c r="C9656" s="760"/>
      <c r="D9656" s="760"/>
      <c r="E9656" s="760"/>
      <c r="F9656" s="760"/>
      <c r="G9656" s="760"/>
      <c r="H9656" s="760"/>
      <c r="I9656" s="760"/>
      <c r="J9656" s="760"/>
      <c r="K9656" s="760"/>
    </row>
    <row r="9657" spans="1:11">
      <c r="A9657" s="760"/>
      <c r="B9657" s="760"/>
      <c r="C9657" s="760"/>
      <c r="D9657" s="760"/>
      <c r="E9657" s="760"/>
      <c r="F9657" s="760"/>
      <c r="G9657" s="760"/>
      <c r="H9657" s="760"/>
      <c r="I9657" s="760"/>
      <c r="J9657" s="760"/>
      <c r="K9657" s="760"/>
    </row>
    <row r="9658" spans="1:11">
      <c r="A9658" s="760"/>
      <c r="B9658" s="760"/>
      <c r="C9658" s="760"/>
      <c r="D9658" s="760"/>
      <c r="E9658" s="760"/>
      <c r="F9658" s="760"/>
      <c r="G9658" s="760"/>
      <c r="H9658" s="760"/>
      <c r="I9658" s="760"/>
      <c r="J9658" s="760"/>
      <c r="K9658" s="760"/>
    </row>
    <row r="9659" spans="1:11">
      <c r="A9659" s="760"/>
      <c r="B9659" s="760"/>
      <c r="C9659" s="760"/>
      <c r="D9659" s="760"/>
      <c r="E9659" s="760"/>
      <c r="F9659" s="760"/>
      <c r="G9659" s="760"/>
      <c r="H9659" s="760"/>
      <c r="I9659" s="760"/>
      <c r="J9659" s="760"/>
      <c r="K9659" s="760"/>
    </row>
    <row r="9660" spans="1:11">
      <c r="A9660" s="760"/>
      <c r="B9660" s="760"/>
      <c r="C9660" s="760"/>
      <c r="D9660" s="760"/>
      <c r="E9660" s="760"/>
      <c r="F9660" s="760"/>
      <c r="G9660" s="760"/>
      <c r="H9660" s="760"/>
      <c r="I9660" s="760"/>
      <c r="J9660" s="760"/>
      <c r="K9660" s="760"/>
    </row>
    <row r="9661" spans="1:11">
      <c r="A9661" s="760"/>
      <c r="B9661" s="760"/>
      <c r="C9661" s="760"/>
      <c r="D9661" s="760"/>
      <c r="E9661" s="760"/>
      <c r="F9661" s="760"/>
      <c r="G9661" s="760"/>
      <c r="H9661" s="760"/>
      <c r="I9661" s="760"/>
      <c r="J9661" s="760"/>
      <c r="K9661" s="760"/>
    </row>
    <row r="9662" spans="1:11">
      <c r="A9662" s="760"/>
      <c r="B9662" s="760"/>
      <c r="C9662" s="760"/>
      <c r="D9662" s="760"/>
      <c r="E9662" s="760"/>
      <c r="F9662" s="760"/>
      <c r="G9662" s="760"/>
      <c r="H9662" s="760"/>
      <c r="I9662" s="760"/>
      <c r="J9662" s="760"/>
      <c r="K9662" s="760"/>
    </row>
    <row r="9663" spans="1:11">
      <c r="A9663" s="760"/>
      <c r="B9663" s="760"/>
      <c r="C9663" s="760"/>
      <c r="D9663" s="760"/>
      <c r="E9663" s="760"/>
      <c r="F9663" s="760"/>
      <c r="G9663" s="760"/>
      <c r="H9663" s="760"/>
      <c r="I9663" s="760"/>
      <c r="J9663" s="760"/>
      <c r="K9663" s="760"/>
    </row>
    <row r="9664" spans="1:11">
      <c r="A9664" s="760"/>
      <c r="B9664" s="760"/>
      <c r="C9664" s="760"/>
      <c r="D9664" s="760"/>
      <c r="E9664" s="760"/>
      <c r="F9664" s="760"/>
      <c r="G9664" s="760"/>
      <c r="H9664" s="760"/>
      <c r="I9664" s="760"/>
      <c r="J9664" s="760"/>
      <c r="K9664" s="760"/>
    </row>
    <row r="9665" spans="1:11">
      <c r="A9665" s="760"/>
      <c r="B9665" s="760"/>
      <c r="C9665" s="760"/>
      <c r="D9665" s="760"/>
      <c r="E9665" s="760"/>
      <c r="F9665" s="760"/>
      <c r="G9665" s="760"/>
      <c r="H9665" s="760"/>
      <c r="I9665" s="760"/>
      <c r="J9665" s="760"/>
      <c r="K9665" s="760"/>
    </row>
    <row r="9666" spans="1:11">
      <c r="A9666" s="760"/>
      <c r="B9666" s="760"/>
      <c r="C9666" s="760"/>
      <c r="D9666" s="760"/>
      <c r="E9666" s="760"/>
      <c r="F9666" s="760"/>
      <c r="G9666" s="760"/>
      <c r="H9666" s="760"/>
      <c r="I9666" s="760"/>
      <c r="J9666" s="760"/>
      <c r="K9666" s="760"/>
    </row>
    <row r="9667" spans="1:11">
      <c r="A9667" s="760"/>
      <c r="B9667" s="760"/>
      <c r="C9667" s="760"/>
      <c r="D9667" s="760"/>
      <c r="E9667" s="760"/>
      <c r="F9667" s="760"/>
      <c r="G9667" s="760"/>
      <c r="H9667" s="760"/>
      <c r="I9667" s="760"/>
      <c r="J9667" s="760"/>
      <c r="K9667" s="760"/>
    </row>
    <row r="9668" spans="1:11">
      <c r="A9668" s="760"/>
      <c r="B9668" s="760"/>
      <c r="C9668" s="760"/>
      <c r="D9668" s="760"/>
      <c r="E9668" s="760"/>
      <c r="F9668" s="760"/>
      <c r="G9668" s="760"/>
      <c r="H9668" s="760"/>
      <c r="I9668" s="760"/>
      <c r="J9668" s="760"/>
      <c r="K9668" s="760"/>
    </row>
    <row r="9669" spans="1:11">
      <c r="A9669" s="760"/>
      <c r="B9669" s="760"/>
      <c r="C9669" s="760"/>
      <c r="D9669" s="760"/>
      <c r="E9669" s="760"/>
      <c r="F9669" s="760"/>
      <c r="G9669" s="760"/>
      <c r="H9669" s="760"/>
      <c r="I9669" s="760"/>
      <c r="J9669" s="760"/>
      <c r="K9669" s="760"/>
    </row>
    <row r="9670" spans="1:11">
      <c r="A9670" s="760"/>
      <c r="B9670" s="760"/>
      <c r="C9670" s="760"/>
      <c r="D9670" s="760"/>
      <c r="E9670" s="760"/>
      <c r="F9670" s="760"/>
      <c r="G9670" s="760"/>
      <c r="H9670" s="760"/>
      <c r="I9670" s="760"/>
      <c r="J9670" s="760"/>
      <c r="K9670" s="760"/>
    </row>
    <row r="9671" spans="1:11">
      <c r="A9671" s="760"/>
      <c r="B9671" s="760"/>
      <c r="C9671" s="760"/>
      <c r="D9671" s="760"/>
      <c r="E9671" s="760"/>
      <c r="F9671" s="760"/>
      <c r="G9671" s="760"/>
      <c r="H9671" s="760"/>
      <c r="I9671" s="760"/>
      <c r="J9671" s="760"/>
      <c r="K9671" s="760"/>
    </row>
    <row r="9672" spans="1:11">
      <c r="A9672" s="760"/>
      <c r="B9672" s="760"/>
      <c r="C9672" s="760"/>
      <c r="D9672" s="760"/>
      <c r="E9672" s="760"/>
      <c r="F9672" s="760"/>
      <c r="G9672" s="760"/>
      <c r="H9672" s="760"/>
      <c r="I9672" s="760"/>
      <c r="J9672" s="760"/>
      <c r="K9672" s="760"/>
    </row>
    <row r="9673" spans="1:11">
      <c r="A9673" s="760"/>
      <c r="B9673" s="760"/>
      <c r="C9673" s="760"/>
      <c r="D9673" s="760"/>
      <c r="E9673" s="760"/>
      <c r="F9673" s="760"/>
      <c r="G9673" s="760"/>
      <c r="H9673" s="760"/>
      <c r="I9673" s="760"/>
      <c r="J9673" s="760"/>
      <c r="K9673" s="760"/>
    </row>
    <row r="9674" spans="1:11">
      <c r="A9674" s="760"/>
      <c r="B9674" s="760"/>
      <c r="C9674" s="760"/>
      <c r="D9674" s="760"/>
      <c r="E9674" s="760"/>
      <c r="F9674" s="760"/>
      <c r="G9674" s="760"/>
      <c r="H9674" s="760"/>
      <c r="I9674" s="760"/>
      <c r="J9674" s="760"/>
      <c r="K9674" s="760"/>
    </row>
    <row r="9675" spans="1:11">
      <c r="A9675" s="760"/>
      <c r="B9675" s="760"/>
      <c r="C9675" s="760"/>
      <c r="D9675" s="760"/>
      <c r="E9675" s="760"/>
      <c r="F9675" s="760"/>
      <c r="G9675" s="760"/>
      <c r="H9675" s="760"/>
      <c r="I9675" s="760"/>
      <c r="J9675" s="760"/>
      <c r="K9675" s="760"/>
    </row>
    <row r="9676" spans="1:11">
      <c r="A9676" s="760"/>
      <c r="B9676" s="760"/>
      <c r="C9676" s="760"/>
      <c r="D9676" s="760"/>
      <c r="E9676" s="760"/>
      <c r="F9676" s="760"/>
      <c r="G9676" s="760"/>
      <c r="H9676" s="760"/>
      <c r="I9676" s="760"/>
      <c r="J9676" s="760"/>
      <c r="K9676" s="760"/>
    </row>
    <row r="9677" spans="1:11">
      <c r="A9677" s="760"/>
      <c r="B9677" s="760"/>
      <c r="C9677" s="760"/>
      <c r="D9677" s="760"/>
      <c r="E9677" s="760"/>
      <c r="F9677" s="760"/>
      <c r="G9677" s="760"/>
      <c r="H9677" s="760"/>
      <c r="I9677" s="760"/>
      <c r="J9677" s="760"/>
      <c r="K9677" s="760"/>
    </row>
    <row r="9678" spans="1:11">
      <c r="A9678" s="760"/>
      <c r="B9678" s="760"/>
      <c r="C9678" s="760"/>
      <c r="D9678" s="760"/>
      <c r="E9678" s="760"/>
      <c r="F9678" s="760"/>
      <c r="G9678" s="760"/>
      <c r="H9678" s="760"/>
      <c r="I9678" s="760"/>
      <c r="J9678" s="760"/>
      <c r="K9678" s="760"/>
    </row>
    <row r="9679" spans="1:11">
      <c r="A9679" s="760"/>
      <c r="B9679" s="760"/>
      <c r="C9679" s="760"/>
      <c r="D9679" s="760"/>
      <c r="E9679" s="760"/>
      <c r="F9679" s="760"/>
      <c r="G9679" s="760"/>
      <c r="H9679" s="760"/>
      <c r="I9679" s="760"/>
      <c r="J9679" s="760"/>
      <c r="K9679" s="760"/>
    </row>
    <row r="9680" spans="1:11">
      <c r="A9680" s="760"/>
      <c r="B9680" s="760"/>
      <c r="C9680" s="760"/>
      <c r="D9680" s="760"/>
      <c r="E9680" s="760"/>
      <c r="F9680" s="760"/>
      <c r="G9680" s="760"/>
      <c r="H9680" s="760"/>
      <c r="I9680" s="760"/>
      <c r="J9680" s="760"/>
      <c r="K9680" s="760"/>
    </row>
    <row r="9681" spans="1:11">
      <c r="A9681" s="760"/>
      <c r="B9681" s="760"/>
      <c r="C9681" s="760"/>
      <c r="D9681" s="760"/>
      <c r="E9681" s="760"/>
      <c r="F9681" s="760"/>
      <c r="G9681" s="760"/>
      <c r="H9681" s="760"/>
      <c r="I9681" s="760"/>
      <c r="J9681" s="760"/>
      <c r="K9681" s="760"/>
    </row>
    <row r="9682" spans="1:11">
      <c r="A9682" s="760"/>
      <c r="B9682" s="760"/>
      <c r="C9682" s="760"/>
      <c r="D9682" s="760"/>
      <c r="E9682" s="760"/>
      <c r="F9682" s="760"/>
      <c r="G9682" s="760"/>
      <c r="H9682" s="760"/>
      <c r="I9682" s="760"/>
      <c r="J9682" s="760"/>
      <c r="K9682" s="760"/>
    </row>
    <row r="9683" spans="1:11">
      <c r="A9683" s="760"/>
      <c r="B9683" s="760"/>
      <c r="C9683" s="760"/>
      <c r="D9683" s="760"/>
      <c r="E9683" s="760"/>
      <c r="F9683" s="760"/>
      <c r="G9683" s="760"/>
      <c r="H9683" s="760"/>
      <c r="I9683" s="760"/>
      <c r="J9683" s="760"/>
      <c r="K9683" s="760"/>
    </row>
    <row r="9684" spans="1:11">
      <c r="A9684" s="760"/>
      <c r="B9684" s="760"/>
      <c r="C9684" s="760"/>
      <c r="D9684" s="760"/>
      <c r="E9684" s="760"/>
      <c r="F9684" s="760"/>
      <c r="G9684" s="760"/>
      <c r="H9684" s="760"/>
      <c r="I9684" s="760"/>
      <c r="J9684" s="760"/>
      <c r="K9684" s="760"/>
    </row>
    <row r="9685" spans="1:11">
      <c r="A9685" s="760"/>
      <c r="B9685" s="760"/>
      <c r="C9685" s="760"/>
      <c r="D9685" s="760"/>
      <c r="E9685" s="760"/>
      <c r="F9685" s="760"/>
      <c r="G9685" s="760"/>
      <c r="H9685" s="760"/>
      <c r="I9685" s="760"/>
      <c r="J9685" s="760"/>
      <c r="K9685" s="760"/>
    </row>
    <row r="9686" spans="1:11">
      <c r="A9686" s="760"/>
      <c r="B9686" s="760"/>
      <c r="C9686" s="760"/>
      <c r="D9686" s="760"/>
      <c r="E9686" s="760"/>
      <c r="F9686" s="760"/>
      <c r="G9686" s="760"/>
      <c r="H9686" s="760"/>
      <c r="I9686" s="760"/>
      <c r="J9686" s="760"/>
      <c r="K9686" s="760"/>
    </row>
    <row r="9687" spans="1:11">
      <c r="A9687" s="760"/>
      <c r="B9687" s="760"/>
      <c r="C9687" s="760"/>
      <c r="D9687" s="760"/>
      <c r="E9687" s="760"/>
      <c r="F9687" s="760"/>
      <c r="G9687" s="760"/>
      <c r="H9687" s="760"/>
      <c r="I9687" s="760"/>
      <c r="J9687" s="760"/>
      <c r="K9687" s="760"/>
    </row>
    <row r="9688" spans="1:11">
      <c r="A9688" s="760"/>
      <c r="B9688" s="760"/>
      <c r="C9688" s="760"/>
      <c r="D9688" s="760"/>
      <c r="E9688" s="760"/>
      <c r="F9688" s="760"/>
      <c r="G9688" s="760"/>
      <c r="H9688" s="760"/>
      <c r="I9688" s="760"/>
      <c r="J9688" s="760"/>
      <c r="K9688" s="760"/>
    </row>
    <row r="9689" spans="1:11">
      <c r="A9689" s="760"/>
      <c r="B9689" s="760"/>
      <c r="C9689" s="760"/>
      <c r="D9689" s="760"/>
      <c r="E9689" s="760"/>
      <c r="F9689" s="760"/>
      <c r="G9689" s="760"/>
      <c r="H9689" s="760"/>
      <c r="I9689" s="760"/>
      <c r="J9689" s="760"/>
      <c r="K9689" s="760"/>
    </row>
    <row r="9690" spans="1:11">
      <c r="A9690" s="760"/>
      <c r="B9690" s="760"/>
      <c r="C9690" s="760"/>
      <c r="D9690" s="760"/>
      <c r="E9690" s="760"/>
      <c r="F9690" s="760"/>
      <c r="G9690" s="760"/>
      <c r="H9690" s="760"/>
      <c r="I9690" s="760"/>
      <c r="J9690" s="760"/>
      <c r="K9690" s="760"/>
    </row>
    <row r="9691" spans="1:11">
      <c r="A9691" s="760"/>
      <c r="B9691" s="760"/>
      <c r="C9691" s="760"/>
      <c r="D9691" s="760"/>
      <c r="E9691" s="760"/>
      <c r="F9691" s="760"/>
      <c r="G9691" s="760"/>
      <c r="H9691" s="760"/>
      <c r="I9691" s="760"/>
      <c r="J9691" s="760"/>
      <c r="K9691" s="760"/>
    </row>
    <row r="9692" spans="1:11">
      <c r="A9692" s="760"/>
      <c r="B9692" s="760"/>
      <c r="C9692" s="760"/>
      <c r="D9692" s="760"/>
      <c r="E9692" s="760"/>
      <c r="F9692" s="760"/>
      <c r="G9692" s="760"/>
      <c r="H9692" s="760"/>
      <c r="I9692" s="760"/>
      <c r="J9692" s="760"/>
      <c r="K9692" s="760"/>
    </row>
    <row r="9693" spans="1:11">
      <c r="A9693" s="760"/>
      <c r="B9693" s="760"/>
      <c r="C9693" s="760"/>
      <c r="D9693" s="760"/>
      <c r="E9693" s="760"/>
      <c r="F9693" s="760"/>
      <c r="G9693" s="760"/>
      <c r="H9693" s="760"/>
      <c r="I9693" s="760"/>
      <c r="J9693" s="760"/>
      <c r="K9693" s="760"/>
    </row>
    <row r="9694" spans="1:11">
      <c r="A9694" s="760"/>
      <c r="B9694" s="760"/>
      <c r="C9694" s="760"/>
      <c r="D9694" s="760"/>
      <c r="E9694" s="760"/>
      <c r="F9694" s="760"/>
      <c r="G9694" s="760"/>
      <c r="H9694" s="760"/>
      <c r="I9694" s="760"/>
      <c r="J9694" s="760"/>
      <c r="K9694" s="760"/>
    </row>
    <row r="9695" spans="1:11">
      <c r="A9695" s="760"/>
      <c r="B9695" s="760"/>
      <c r="C9695" s="760"/>
      <c r="D9695" s="760"/>
      <c r="E9695" s="760"/>
      <c r="F9695" s="760"/>
      <c r="G9695" s="760"/>
      <c r="H9695" s="760"/>
      <c r="I9695" s="760"/>
      <c r="J9695" s="760"/>
      <c r="K9695" s="760"/>
    </row>
    <row r="9696" spans="1:11">
      <c r="A9696" s="760"/>
      <c r="B9696" s="760"/>
      <c r="C9696" s="760"/>
      <c r="D9696" s="760"/>
      <c r="E9696" s="760"/>
      <c r="F9696" s="760"/>
      <c r="G9696" s="760"/>
      <c r="H9696" s="760"/>
      <c r="I9696" s="760"/>
      <c r="J9696" s="760"/>
      <c r="K9696" s="760"/>
    </row>
    <row r="9697" spans="1:11">
      <c r="A9697" s="760"/>
      <c r="B9697" s="760"/>
      <c r="C9697" s="760"/>
      <c r="D9697" s="760"/>
      <c r="E9697" s="760"/>
      <c r="F9697" s="760"/>
      <c r="G9697" s="760"/>
      <c r="H9697" s="760"/>
      <c r="I9697" s="760"/>
      <c r="J9697" s="760"/>
      <c r="K9697" s="760"/>
    </row>
    <row r="9698" spans="1:11">
      <c r="A9698" s="760"/>
      <c r="B9698" s="760"/>
      <c r="C9698" s="760"/>
      <c r="D9698" s="760"/>
      <c r="E9698" s="760"/>
      <c r="F9698" s="760"/>
      <c r="G9698" s="760"/>
      <c r="H9698" s="760"/>
      <c r="I9698" s="760"/>
      <c r="J9698" s="760"/>
      <c r="K9698" s="760"/>
    </row>
    <row r="9699" spans="1:11">
      <c r="A9699" s="760"/>
      <c r="B9699" s="760"/>
      <c r="C9699" s="760"/>
      <c r="D9699" s="760"/>
      <c r="E9699" s="760"/>
      <c r="F9699" s="760"/>
      <c r="G9699" s="760"/>
      <c r="H9699" s="760"/>
      <c r="I9699" s="760"/>
      <c r="J9699" s="760"/>
      <c r="K9699" s="760"/>
    </row>
    <row r="9700" spans="1:11">
      <c r="A9700" s="760"/>
      <c r="B9700" s="760"/>
      <c r="C9700" s="760"/>
      <c r="D9700" s="760"/>
      <c r="E9700" s="760"/>
      <c r="F9700" s="760"/>
      <c r="G9700" s="760"/>
      <c r="H9700" s="760"/>
      <c r="I9700" s="760"/>
      <c r="J9700" s="760"/>
      <c r="K9700" s="760"/>
    </row>
    <row r="9701" spans="1:11">
      <c r="A9701" s="760"/>
      <c r="B9701" s="760"/>
      <c r="C9701" s="760"/>
      <c r="D9701" s="760"/>
      <c r="E9701" s="760"/>
      <c r="F9701" s="760"/>
      <c r="G9701" s="760"/>
      <c r="H9701" s="760"/>
      <c r="I9701" s="760"/>
      <c r="J9701" s="760"/>
      <c r="K9701" s="760"/>
    </row>
    <row r="9702" spans="1:11">
      <c r="A9702" s="760"/>
      <c r="B9702" s="760"/>
      <c r="C9702" s="760"/>
      <c r="D9702" s="760"/>
      <c r="E9702" s="760"/>
      <c r="F9702" s="760"/>
      <c r="G9702" s="760"/>
      <c r="H9702" s="760"/>
      <c r="I9702" s="760"/>
      <c r="J9702" s="760"/>
      <c r="K9702" s="760"/>
    </row>
    <row r="9703" spans="1:11">
      <c r="A9703" s="760"/>
      <c r="B9703" s="760"/>
      <c r="C9703" s="760"/>
      <c r="D9703" s="760"/>
      <c r="E9703" s="760"/>
      <c r="F9703" s="760"/>
      <c r="G9703" s="760"/>
      <c r="H9703" s="760"/>
      <c r="I9703" s="760"/>
      <c r="J9703" s="760"/>
      <c r="K9703" s="760"/>
    </row>
    <row r="9704" spans="1:11">
      <c r="A9704" s="760"/>
      <c r="B9704" s="760"/>
      <c r="C9704" s="760"/>
      <c r="D9704" s="760"/>
      <c r="E9704" s="760"/>
      <c r="F9704" s="760"/>
      <c r="G9704" s="760"/>
      <c r="H9704" s="760"/>
      <c r="I9704" s="760"/>
      <c r="J9704" s="760"/>
      <c r="K9704" s="760"/>
    </row>
    <row r="9705" spans="1:11">
      <c r="A9705" s="760"/>
      <c r="B9705" s="760"/>
      <c r="C9705" s="760"/>
      <c r="D9705" s="760"/>
      <c r="E9705" s="760"/>
      <c r="F9705" s="760"/>
      <c r="G9705" s="760"/>
      <c r="H9705" s="760"/>
      <c r="I9705" s="760"/>
      <c r="J9705" s="760"/>
      <c r="K9705" s="760"/>
    </row>
    <row r="9706" spans="1:11">
      <c r="A9706" s="760"/>
      <c r="B9706" s="760"/>
      <c r="C9706" s="760"/>
      <c r="D9706" s="760"/>
      <c r="E9706" s="760"/>
      <c r="F9706" s="760"/>
      <c r="G9706" s="760"/>
      <c r="H9706" s="760"/>
      <c r="I9706" s="760"/>
      <c r="J9706" s="760"/>
      <c r="K9706" s="760"/>
    </row>
    <row r="9707" spans="1:11">
      <c r="A9707" s="760"/>
      <c r="B9707" s="760"/>
      <c r="C9707" s="760"/>
      <c r="D9707" s="760"/>
      <c r="E9707" s="760"/>
      <c r="F9707" s="760"/>
      <c r="G9707" s="760"/>
      <c r="H9707" s="760"/>
      <c r="I9707" s="760"/>
      <c r="J9707" s="760"/>
      <c r="K9707" s="760"/>
    </row>
    <row r="9708" spans="1:11">
      <c r="A9708" s="760"/>
      <c r="B9708" s="760"/>
      <c r="C9708" s="760"/>
      <c r="D9708" s="760"/>
      <c r="E9708" s="760"/>
      <c r="F9708" s="760"/>
      <c r="G9708" s="760"/>
      <c r="H9708" s="760"/>
      <c r="I9708" s="760"/>
      <c r="J9708" s="760"/>
      <c r="K9708" s="760"/>
    </row>
    <row r="9709" spans="1:11">
      <c r="A9709" s="760"/>
      <c r="B9709" s="760"/>
      <c r="C9709" s="760"/>
      <c r="D9709" s="760"/>
      <c r="E9709" s="760"/>
      <c r="F9709" s="760"/>
      <c r="G9709" s="760"/>
      <c r="H9709" s="760"/>
      <c r="I9709" s="760"/>
      <c r="J9709" s="760"/>
      <c r="K9709" s="760"/>
    </row>
    <row r="9710" spans="1:11">
      <c r="A9710" s="760"/>
      <c r="B9710" s="760"/>
      <c r="C9710" s="760"/>
      <c r="D9710" s="760"/>
      <c r="E9710" s="760"/>
      <c r="F9710" s="760"/>
      <c r="G9710" s="760"/>
      <c r="H9710" s="760"/>
      <c r="I9710" s="760"/>
      <c r="J9710" s="760"/>
      <c r="K9710" s="760"/>
    </row>
    <row r="9711" spans="1:11">
      <c r="A9711" s="760"/>
      <c r="B9711" s="760"/>
      <c r="C9711" s="760"/>
      <c r="D9711" s="760"/>
      <c r="E9711" s="760"/>
      <c r="F9711" s="760"/>
      <c r="G9711" s="760"/>
      <c r="H9711" s="760"/>
      <c r="I9711" s="760"/>
      <c r="J9711" s="760"/>
      <c r="K9711" s="760"/>
    </row>
    <row r="9712" spans="1:11">
      <c r="A9712" s="760"/>
      <c r="B9712" s="760"/>
      <c r="C9712" s="760"/>
      <c r="D9712" s="760"/>
      <c r="E9712" s="760"/>
      <c r="F9712" s="760"/>
      <c r="G9712" s="760"/>
      <c r="H9712" s="760"/>
      <c r="I9712" s="760"/>
      <c r="J9712" s="760"/>
      <c r="K9712" s="760"/>
    </row>
    <row r="9713" spans="1:11">
      <c r="A9713" s="760"/>
      <c r="B9713" s="760"/>
      <c r="C9713" s="760"/>
      <c r="D9713" s="760"/>
      <c r="E9713" s="760"/>
      <c r="F9713" s="760"/>
      <c r="G9713" s="760"/>
      <c r="H9713" s="760"/>
      <c r="I9713" s="760"/>
      <c r="J9713" s="760"/>
      <c r="K9713" s="760"/>
    </row>
    <row r="9714" spans="1:11">
      <c r="A9714" s="760"/>
      <c r="B9714" s="760"/>
      <c r="C9714" s="760"/>
      <c r="D9714" s="760"/>
      <c r="E9714" s="760"/>
      <c r="F9714" s="760"/>
      <c r="G9714" s="760"/>
      <c r="H9714" s="760"/>
      <c r="I9714" s="760"/>
      <c r="J9714" s="760"/>
      <c r="K9714" s="760"/>
    </row>
    <row r="9715" spans="1:11">
      <c r="A9715" s="760"/>
      <c r="B9715" s="760"/>
      <c r="C9715" s="760"/>
      <c r="D9715" s="760"/>
      <c r="E9715" s="760"/>
      <c r="F9715" s="760"/>
      <c r="G9715" s="760"/>
      <c r="H9715" s="760"/>
      <c r="I9715" s="760"/>
      <c r="J9715" s="760"/>
      <c r="K9715" s="760"/>
    </row>
    <row r="9716" spans="1:11">
      <c r="A9716" s="760"/>
      <c r="B9716" s="760"/>
      <c r="C9716" s="760"/>
      <c r="D9716" s="760"/>
      <c r="E9716" s="760"/>
      <c r="F9716" s="760"/>
      <c r="G9716" s="760"/>
      <c r="H9716" s="760"/>
      <c r="I9716" s="760"/>
      <c r="J9716" s="760"/>
      <c r="K9716" s="760"/>
    </row>
    <row r="9717" spans="1:11">
      <c r="A9717" s="760"/>
      <c r="B9717" s="760"/>
      <c r="C9717" s="760"/>
      <c r="D9717" s="760"/>
      <c r="E9717" s="760"/>
      <c r="F9717" s="760"/>
      <c r="G9717" s="760"/>
      <c r="H9717" s="760"/>
      <c r="I9717" s="760"/>
      <c r="J9717" s="760"/>
      <c r="K9717" s="760"/>
    </row>
    <row r="9718" spans="1:11">
      <c r="A9718" s="760"/>
      <c r="B9718" s="760"/>
      <c r="C9718" s="760"/>
      <c r="D9718" s="760"/>
      <c r="E9718" s="760"/>
      <c r="F9718" s="760"/>
      <c r="G9718" s="760"/>
      <c r="H9718" s="760"/>
      <c r="I9718" s="760"/>
      <c r="J9718" s="760"/>
      <c r="K9718" s="760"/>
    </row>
    <row r="9719" spans="1:11">
      <c r="A9719" s="760"/>
      <c r="B9719" s="760"/>
      <c r="C9719" s="760"/>
      <c r="D9719" s="760"/>
      <c r="E9719" s="760"/>
      <c r="F9719" s="760"/>
      <c r="G9719" s="760"/>
      <c r="H9719" s="760"/>
      <c r="I9719" s="760"/>
      <c r="J9719" s="760"/>
      <c r="K9719" s="760"/>
    </row>
    <row r="9720" spans="1:11">
      <c r="A9720" s="760"/>
      <c r="B9720" s="760"/>
      <c r="C9720" s="760"/>
      <c r="D9720" s="760"/>
      <c r="E9720" s="760"/>
      <c r="F9720" s="760"/>
      <c r="G9720" s="760"/>
      <c r="H9720" s="760"/>
      <c r="I9720" s="760"/>
      <c r="J9720" s="760"/>
      <c r="K9720" s="760"/>
    </row>
    <row r="9721" spans="1:11">
      <c r="A9721" s="760"/>
      <c r="B9721" s="760"/>
      <c r="C9721" s="760"/>
      <c r="D9721" s="760"/>
      <c r="E9721" s="760"/>
      <c r="F9721" s="760"/>
      <c r="G9721" s="760"/>
      <c r="H9721" s="760"/>
      <c r="I9721" s="760"/>
      <c r="J9721" s="760"/>
      <c r="K9721" s="760"/>
    </row>
    <row r="9722" spans="1:11">
      <c r="A9722" s="760"/>
      <c r="B9722" s="760"/>
      <c r="C9722" s="760"/>
      <c r="D9722" s="760"/>
      <c r="E9722" s="760"/>
      <c r="F9722" s="760"/>
      <c r="G9722" s="760"/>
      <c r="H9722" s="760"/>
      <c r="I9722" s="760"/>
      <c r="J9722" s="760"/>
      <c r="K9722" s="760"/>
    </row>
    <row r="9723" spans="1:11">
      <c r="A9723" s="760"/>
      <c r="B9723" s="760"/>
      <c r="C9723" s="760"/>
      <c r="D9723" s="760"/>
      <c r="E9723" s="760"/>
      <c r="F9723" s="760"/>
      <c r="G9723" s="760"/>
      <c r="H9723" s="760"/>
      <c r="I9723" s="760"/>
      <c r="J9723" s="760"/>
      <c r="K9723" s="760"/>
    </row>
    <row r="9724" spans="1:11">
      <c r="A9724" s="760"/>
      <c r="B9724" s="760"/>
      <c r="C9724" s="760"/>
      <c r="D9724" s="760"/>
      <c r="E9724" s="760"/>
      <c r="F9724" s="760"/>
      <c r="G9724" s="760"/>
      <c r="H9724" s="760"/>
      <c r="I9724" s="760"/>
      <c r="J9724" s="760"/>
      <c r="K9724" s="760"/>
    </row>
    <row r="9725" spans="1:11">
      <c r="A9725" s="760"/>
      <c r="B9725" s="760"/>
      <c r="C9725" s="760"/>
      <c r="D9725" s="760"/>
      <c r="E9725" s="760"/>
      <c r="F9725" s="760"/>
      <c r="G9725" s="760"/>
      <c r="H9725" s="760"/>
      <c r="I9725" s="760"/>
      <c r="J9725" s="760"/>
      <c r="K9725" s="760"/>
    </row>
    <row r="9726" spans="1:11">
      <c r="A9726" s="760"/>
      <c r="B9726" s="760"/>
      <c r="C9726" s="760"/>
      <c r="D9726" s="760"/>
      <c r="E9726" s="760"/>
      <c r="F9726" s="760"/>
      <c r="G9726" s="760"/>
      <c r="H9726" s="760"/>
      <c r="I9726" s="760"/>
      <c r="J9726" s="760"/>
      <c r="K9726" s="760"/>
    </row>
    <row r="9727" spans="1:11">
      <c r="A9727" s="760"/>
      <c r="B9727" s="760"/>
      <c r="C9727" s="760"/>
      <c r="D9727" s="760"/>
      <c r="E9727" s="760"/>
      <c r="F9727" s="760"/>
      <c r="G9727" s="760"/>
      <c r="H9727" s="760"/>
      <c r="I9727" s="760"/>
      <c r="J9727" s="760"/>
      <c r="K9727" s="760"/>
    </row>
    <row r="9728" spans="1:11">
      <c r="A9728" s="760"/>
      <c r="B9728" s="760"/>
      <c r="C9728" s="760"/>
      <c r="D9728" s="760"/>
      <c r="E9728" s="760"/>
      <c r="F9728" s="760"/>
      <c r="G9728" s="760"/>
      <c r="H9728" s="760"/>
      <c r="I9728" s="760"/>
      <c r="J9728" s="760"/>
      <c r="K9728" s="760"/>
    </row>
    <row r="9729" spans="1:11">
      <c r="A9729" s="760"/>
      <c r="B9729" s="760"/>
      <c r="C9729" s="760"/>
      <c r="D9729" s="760"/>
      <c r="E9729" s="760"/>
      <c r="F9729" s="760"/>
      <c r="G9729" s="760"/>
      <c r="H9729" s="760"/>
      <c r="I9729" s="760"/>
      <c r="J9729" s="760"/>
      <c r="K9729" s="760"/>
    </row>
    <row r="9730" spans="1:11">
      <c r="A9730" s="760"/>
      <c r="B9730" s="760"/>
      <c r="C9730" s="760"/>
      <c r="D9730" s="760"/>
      <c r="E9730" s="760"/>
      <c r="F9730" s="760"/>
      <c r="G9730" s="760"/>
      <c r="H9730" s="760"/>
      <c r="I9730" s="760"/>
      <c r="J9730" s="760"/>
      <c r="K9730" s="760"/>
    </row>
    <row r="9731" spans="1:11">
      <c r="A9731" s="760"/>
      <c r="B9731" s="760"/>
      <c r="C9731" s="760"/>
      <c r="D9731" s="760"/>
      <c r="E9731" s="760"/>
      <c r="F9731" s="760"/>
      <c r="G9731" s="760"/>
      <c r="H9731" s="760"/>
      <c r="I9731" s="760"/>
      <c r="J9731" s="760"/>
      <c r="K9731" s="760"/>
    </row>
    <row r="9732" spans="1:11">
      <c r="A9732" s="760"/>
      <c r="B9732" s="760"/>
      <c r="C9732" s="760"/>
      <c r="D9732" s="760"/>
      <c r="E9732" s="760"/>
      <c r="F9732" s="760"/>
      <c r="G9732" s="760"/>
      <c r="H9732" s="760"/>
      <c r="I9732" s="760"/>
      <c r="J9732" s="760"/>
      <c r="K9732" s="760"/>
    </row>
    <row r="9733" spans="1:11">
      <c r="A9733" s="760"/>
      <c r="B9733" s="760"/>
      <c r="C9733" s="760"/>
      <c r="D9733" s="760"/>
      <c r="E9733" s="760"/>
      <c r="F9733" s="760"/>
      <c r="G9733" s="760"/>
      <c r="H9733" s="760"/>
      <c r="I9733" s="760"/>
      <c r="J9733" s="760"/>
      <c r="K9733" s="760"/>
    </row>
    <row r="9734" spans="1:11">
      <c r="A9734" s="760"/>
      <c r="B9734" s="760"/>
      <c r="C9734" s="760"/>
      <c r="D9734" s="760"/>
      <c r="E9734" s="760"/>
      <c r="F9734" s="760"/>
      <c r="G9734" s="760"/>
      <c r="H9734" s="760"/>
      <c r="I9734" s="760"/>
      <c r="J9734" s="760"/>
      <c r="K9734" s="760"/>
    </row>
    <row r="9735" spans="1:11">
      <c r="A9735" s="760"/>
      <c r="B9735" s="760"/>
      <c r="C9735" s="760"/>
      <c r="D9735" s="760"/>
      <c r="E9735" s="760"/>
      <c r="F9735" s="760"/>
      <c r="G9735" s="760"/>
      <c r="H9735" s="760"/>
      <c r="I9735" s="760"/>
      <c r="J9735" s="760"/>
      <c r="K9735" s="760"/>
    </row>
    <row r="9736" spans="1:11">
      <c r="A9736" s="760"/>
      <c r="B9736" s="760"/>
      <c r="C9736" s="760"/>
      <c r="D9736" s="760"/>
      <c r="E9736" s="760"/>
      <c r="F9736" s="760"/>
      <c r="G9736" s="760"/>
      <c r="H9736" s="760"/>
      <c r="I9736" s="760"/>
      <c r="J9736" s="760"/>
      <c r="K9736" s="760"/>
    </row>
    <row r="9737" spans="1:11">
      <c r="A9737" s="760"/>
      <c r="B9737" s="760"/>
      <c r="C9737" s="760"/>
      <c r="D9737" s="760"/>
      <c r="E9737" s="760"/>
      <c r="F9737" s="760"/>
      <c r="G9737" s="760"/>
      <c r="H9737" s="760"/>
      <c r="I9737" s="760"/>
      <c r="J9737" s="760"/>
      <c r="K9737" s="760"/>
    </row>
    <row r="9738" spans="1:11">
      <c r="A9738" s="760"/>
      <c r="B9738" s="760"/>
      <c r="C9738" s="760"/>
      <c r="D9738" s="760"/>
      <c r="E9738" s="760"/>
      <c r="F9738" s="760"/>
      <c r="G9738" s="760"/>
      <c r="H9738" s="760"/>
      <c r="I9738" s="760"/>
      <c r="J9738" s="760"/>
      <c r="K9738" s="760"/>
    </row>
    <row r="9739" spans="1:11">
      <c r="A9739" s="760"/>
      <c r="B9739" s="760"/>
      <c r="C9739" s="760"/>
      <c r="D9739" s="760"/>
      <c r="E9739" s="760"/>
      <c r="F9739" s="760"/>
      <c r="G9739" s="760"/>
      <c r="H9739" s="760"/>
      <c r="I9739" s="760"/>
      <c r="J9739" s="760"/>
      <c r="K9739" s="760"/>
    </row>
    <row r="9740" spans="1:11">
      <c r="A9740" s="760"/>
      <c r="B9740" s="760"/>
      <c r="C9740" s="760"/>
      <c r="D9740" s="760"/>
      <c r="E9740" s="760"/>
      <c r="F9740" s="760"/>
      <c r="G9740" s="760"/>
      <c r="H9740" s="760"/>
      <c r="I9740" s="760"/>
      <c r="J9740" s="760"/>
      <c r="K9740" s="760"/>
    </row>
    <row r="9741" spans="1:11">
      <c r="A9741" s="760"/>
      <c r="B9741" s="760"/>
      <c r="C9741" s="760"/>
      <c r="D9741" s="760"/>
      <c r="E9741" s="760"/>
      <c r="F9741" s="760"/>
      <c r="G9741" s="760"/>
      <c r="H9741" s="760"/>
      <c r="I9741" s="760"/>
      <c r="J9741" s="760"/>
      <c r="K9741" s="760"/>
    </row>
    <row r="9742" spans="1:11">
      <c r="A9742" s="760"/>
      <c r="B9742" s="760"/>
      <c r="C9742" s="760"/>
      <c r="D9742" s="760"/>
      <c r="E9742" s="760"/>
      <c r="F9742" s="760"/>
      <c r="G9742" s="760"/>
      <c r="H9742" s="760"/>
      <c r="I9742" s="760"/>
      <c r="J9742" s="760"/>
      <c r="K9742" s="760"/>
    </row>
    <row r="9743" spans="1:11">
      <c r="A9743" s="760"/>
      <c r="B9743" s="760"/>
      <c r="C9743" s="760"/>
      <c r="D9743" s="760"/>
      <c r="E9743" s="760"/>
      <c r="F9743" s="760"/>
      <c r="G9743" s="760"/>
      <c r="H9743" s="760"/>
      <c r="I9743" s="760"/>
      <c r="J9743" s="760"/>
      <c r="K9743" s="760"/>
    </row>
    <row r="9744" spans="1:11">
      <c r="A9744" s="760"/>
      <c r="B9744" s="760"/>
      <c r="C9744" s="760"/>
      <c r="D9744" s="760"/>
      <c r="E9744" s="760"/>
      <c r="F9744" s="760"/>
      <c r="G9744" s="760"/>
      <c r="H9744" s="760"/>
      <c r="I9744" s="760"/>
      <c r="J9744" s="760"/>
      <c r="K9744" s="760"/>
    </row>
    <row r="9745" spans="1:11">
      <c r="A9745" s="760"/>
      <c r="B9745" s="760"/>
      <c r="C9745" s="760"/>
      <c r="D9745" s="760"/>
      <c r="E9745" s="760"/>
      <c r="F9745" s="760"/>
      <c r="G9745" s="760"/>
      <c r="H9745" s="760"/>
      <c r="I9745" s="760"/>
      <c r="J9745" s="760"/>
      <c r="K9745" s="760"/>
    </row>
    <row r="9746" spans="1:11">
      <c r="A9746" s="760"/>
      <c r="B9746" s="760"/>
      <c r="C9746" s="760"/>
      <c r="D9746" s="760"/>
      <c r="E9746" s="760"/>
      <c r="F9746" s="760"/>
      <c r="G9746" s="760"/>
      <c r="H9746" s="760"/>
      <c r="I9746" s="760"/>
      <c r="J9746" s="760"/>
      <c r="K9746" s="760"/>
    </row>
    <row r="9747" spans="1:11">
      <c r="A9747" s="760"/>
      <c r="B9747" s="760"/>
      <c r="C9747" s="760"/>
      <c r="D9747" s="760"/>
      <c r="E9747" s="760"/>
      <c r="F9747" s="760"/>
      <c r="G9747" s="760"/>
      <c r="H9747" s="760"/>
      <c r="I9747" s="760"/>
      <c r="J9747" s="760"/>
      <c r="K9747" s="760"/>
    </row>
    <row r="9748" spans="1:11">
      <c r="A9748" s="760"/>
      <c r="B9748" s="760"/>
      <c r="C9748" s="760"/>
      <c r="D9748" s="760"/>
      <c r="E9748" s="760"/>
      <c r="F9748" s="760"/>
      <c r="G9748" s="760"/>
      <c r="H9748" s="760"/>
      <c r="I9748" s="760"/>
      <c r="J9748" s="760"/>
      <c r="K9748" s="760"/>
    </row>
    <row r="9749" spans="1:11">
      <c r="A9749" s="760"/>
      <c r="B9749" s="760"/>
      <c r="C9749" s="760"/>
      <c r="D9749" s="760"/>
      <c r="E9749" s="760"/>
      <c r="F9749" s="760"/>
      <c r="G9749" s="760"/>
      <c r="H9749" s="760"/>
      <c r="I9749" s="760"/>
      <c r="J9749" s="760"/>
      <c r="K9749" s="760"/>
    </row>
    <row r="9750" spans="1:11">
      <c r="A9750" s="760"/>
      <c r="B9750" s="760"/>
      <c r="C9750" s="760"/>
      <c r="D9750" s="760"/>
      <c r="E9750" s="760"/>
      <c r="F9750" s="760"/>
      <c r="G9750" s="760"/>
      <c r="H9750" s="760"/>
      <c r="I9750" s="760"/>
      <c r="J9750" s="760"/>
      <c r="K9750" s="760"/>
    </row>
    <row r="9751" spans="1:11">
      <c r="A9751" s="760"/>
      <c r="B9751" s="760"/>
      <c r="C9751" s="760"/>
      <c r="D9751" s="760"/>
      <c r="E9751" s="760"/>
      <c r="F9751" s="760"/>
      <c r="G9751" s="760"/>
      <c r="H9751" s="760"/>
      <c r="I9751" s="760"/>
      <c r="J9751" s="760"/>
      <c r="K9751" s="760"/>
    </row>
    <row r="9752" spans="1:11">
      <c r="A9752" s="760"/>
      <c r="B9752" s="760"/>
      <c r="C9752" s="760"/>
      <c r="D9752" s="760"/>
      <c r="E9752" s="760"/>
      <c r="F9752" s="760"/>
      <c r="G9752" s="760"/>
      <c r="H9752" s="760"/>
      <c r="I9752" s="760"/>
      <c r="J9752" s="760"/>
      <c r="K9752" s="760"/>
    </row>
    <row r="9753" spans="1:11">
      <c r="A9753" s="760"/>
      <c r="B9753" s="760"/>
      <c r="C9753" s="760"/>
      <c r="D9753" s="760"/>
      <c r="E9753" s="760"/>
      <c r="F9753" s="760"/>
      <c r="G9753" s="760"/>
      <c r="H9753" s="760"/>
      <c r="I9753" s="760"/>
      <c r="J9753" s="760"/>
      <c r="K9753" s="760"/>
    </row>
    <row r="9754" spans="1:11">
      <c r="A9754" s="760"/>
      <c r="B9754" s="760"/>
      <c r="C9754" s="760"/>
      <c r="D9754" s="760"/>
      <c r="E9754" s="760"/>
      <c r="F9754" s="760"/>
      <c r="G9754" s="760"/>
      <c r="H9754" s="760"/>
      <c r="I9754" s="760"/>
      <c r="J9754" s="760"/>
      <c r="K9754" s="760"/>
    </row>
    <row r="9755" spans="1:11">
      <c r="A9755" s="760"/>
      <c r="B9755" s="760"/>
      <c r="C9755" s="760"/>
      <c r="D9755" s="760"/>
      <c r="E9755" s="760"/>
      <c r="F9755" s="760"/>
      <c r="G9755" s="760"/>
      <c r="H9755" s="760"/>
      <c r="I9755" s="760"/>
      <c r="J9755" s="760"/>
      <c r="K9755" s="760"/>
    </row>
    <row r="9756" spans="1:11">
      <c r="A9756" s="760"/>
      <c r="B9756" s="760"/>
      <c r="C9756" s="760"/>
      <c r="D9756" s="760"/>
      <c r="E9756" s="760"/>
      <c r="F9756" s="760"/>
      <c r="G9756" s="760"/>
      <c r="H9756" s="760"/>
      <c r="I9756" s="760"/>
      <c r="J9756" s="760"/>
      <c r="K9756" s="760"/>
    </row>
    <row r="9757" spans="1:11">
      <c r="A9757" s="760"/>
      <c r="B9757" s="760"/>
      <c r="C9757" s="760"/>
      <c r="D9757" s="760"/>
      <c r="E9757" s="760"/>
      <c r="F9757" s="760"/>
      <c r="G9757" s="760"/>
      <c r="H9757" s="760"/>
      <c r="I9757" s="760"/>
      <c r="J9757" s="760"/>
      <c r="K9757" s="760"/>
    </row>
    <row r="9758" spans="1:11">
      <c r="A9758" s="760"/>
      <c r="B9758" s="760"/>
      <c r="C9758" s="760"/>
      <c r="D9758" s="760"/>
      <c r="E9758" s="760"/>
      <c r="F9758" s="760"/>
      <c r="G9758" s="760"/>
      <c r="H9758" s="760"/>
      <c r="I9758" s="760"/>
      <c r="J9758" s="760"/>
      <c r="K9758" s="760"/>
    </row>
    <row r="9759" spans="1:11">
      <c r="A9759" s="760"/>
      <c r="B9759" s="760"/>
      <c r="C9759" s="760"/>
      <c r="D9759" s="760"/>
      <c r="E9759" s="760"/>
      <c r="F9759" s="760"/>
      <c r="G9759" s="760"/>
      <c r="H9759" s="760"/>
      <c r="I9759" s="760"/>
      <c r="J9759" s="760"/>
      <c r="K9759" s="760"/>
    </row>
    <row r="9760" spans="1:11">
      <c r="A9760" s="760"/>
      <c r="B9760" s="760"/>
      <c r="C9760" s="760"/>
      <c r="D9760" s="760"/>
      <c r="E9760" s="760"/>
      <c r="F9760" s="760"/>
      <c r="G9760" s="760"/>
      <c r="H9760" s="760"/>
      <c r="I9760" s="760"/>
      <c r="J9760" s="760"/>
      <c r="K9760" s="760"/>
    </row>
    <row r="9761" spans="1:11">
      <c r="A9761" s="760"/>
      <c r="B9761" s="760"/>
      <c r="C9761" s="760"/>
      <c r="D9761" s="760"/>
      <c r="E9761" s="760"/>
      <c r="F9761" s="760"/>
      <c r="G9761" s="760"/>
      <c r="H9761" s="760"/>
      <c r="I9761" s="760"/>
      <c r="J9761" s="760"/>
      <c r="K9761" s="760"/>
    </row>
    <row r="9762" spans="1:11">
      <c r="A9762" s="760"/>
      <c r="B9762" s="760"/>
      <c r="C9762" s="760"/>
      <c r="D9762" s="760"/>
      <c r="E9762" s="760"/>
      <c r="F9762" s="760"/>
      <c r="G9762" s="760"/>
      <c r="H9762" s="760"/>
      <c r="I9762" s="760"/>
      <c r="J9762" s="760"/>
      <c r="K9762" s="760"/>
    </row>
    <row r="9763" spans="1:11">
      <c r="A9763" s="760"/>
      <c r="B9763" s="760"/>
      <c r="C9763" s="760"/>
      <c r="D9763" s="760"/>
      <c r="E9763" s="760"/>
      <c r="F9763" s="760"/>
      <c r="G9763" s="760"/>
      <c r="H9763" s="760"/>
      <c r="I9763" s="760"/>
      <c r="J9763" s="760"/>
      <c r="K9763" s="760"/>
    </row>
    <row r="9764" spans="1:11">
      <c r="A9764" s="760"/>
      <c r="B9764" s="760"/>
      <c r="C9764" s="760"/>
      <c r="D9764" s="760"/>
      <c r="E9764" s="760"/>
      <c r="F9764" s="760"/>
      <c r="G9764" s="760"/>
      <c r="H9764" s="760"/>
      <c r="I9764" s="760"/>
      <c r="J9764" s="760"/>
      <c r="K9764" s="760"/>
    </row>
    <row r="9765" spans="1:11">
      <c r="A9765" s="760"/>
      <c r="B9765" s="760"/>
      <c r="C9765" s="760"/>
      <c r="D9765" s="760"/>
      <c r="E9765" s="760"/>
      <c r="F9765" s="760"/>
      <c r="G9765" s="760"/>
      <c r="H9765" s="760"/>
      <c r="I9765" s="760"/>
      <c r="J9765" s="760"/>
      <c r="K9765" s="760"/>
    </row>
    <row r="9766" spans="1:11">
      <c r="A9766" s="760"/>
      <c r="B9766" s="760"/>
      <c r="C9766" s="760"/>
      <c r="D9766" s="760"/>
      <c r="E9766" s="760"/>
      <c r="F9766" s="760"/>
      <c r="G9766" s="760"/>
      <c r="H9766" s="760"/>
      <c r="I9766" s="760"/>
      <c r="J9766" s="760"/>
      <c r="K9766" s="760"/>
    </row>
    <row r="9767" spans="1:11">
      <c r="A9767" s="760"/>
      <c r="B9767" s="760"/>
      <c r="C9767" s="760"/>
      <c r="D9767" s="760"/>
      <c r="E9767" s="760"/>
      <c r="F9767" s="760"/>
      <c r="G9767" s="760"/>
      <c r="H9767" s="760"/>
      <c r="I9767" s="760"/>
      <c r="J9767" s="760"/>
      <c r="K9767" s="760"/>
    </row>
    <row r="9768" spans="1:11">
      <c r="A9768" s="760"/>
      <c r="B9768" s="760"/>
      <c r="C9768" s="760"/>
      <c r="D9768" s="760"/>
      <c r="E9768" s="760"/>
      <c r="F9768" s="760"/>
      <c r="G9768" s="760"/>
      <c r="H9768" s="760"/>
      <c r="I9768" s="760"/>
      <c r="J9768" s="760"/>
      <c r="K9768" s="760"/>
    </row>
    <row r="9769" spans="1:11">
      <c r="A9769" s="760"/>
      <c r="B9769" s="760"/>
      <c r="C9769" s="760"/>
      <c r="D9769" s="760"/>
      <c r="E9769" s="760"/>
      <c r="F9769" s="760"/>
      <c r="G9769" s="760"/>
      <c r="H9769" s="760"/>
      <c r="I9769" s="760"/>
      <c r="J9769" s="760"/>
      <c r="K9769" s="760"/>
    </row>
    <row r="9770" spans="1:11">
      <c r="A9770" s="760"/>
      <c r="B9770" s="760"/>
      <c r="C9770" s="760"/>
      <c r="D9770" s="760"/>
      <c r="E9770" s="760"/>
      <c r="F9770" s="760"/>
      <c r="G9770" s="760"/>
      <c r="H9770" s="760"/>
      <c r="I9770" s="760"/>
      <c r="J9770" s="760"/>
      <c r="K9770" s="760"/>
    </row>
    <row r="9771" spans="1:11">
      <c r="A9771" s="760"/>
      <c r="B9771" s="760"/>
      <c r="C9771" s="760"/>
      <c r="D9771" s="760"/>
      <c r="E9771" s="760"/>
      <c r="F9771" s="760"/>
      <c r="G9771" s="760"/>
      <c r="H9771" s="760"/>
      <c r="I9771" s="760"/>
      <c r="J9771" s="760"/>
      <c r="K9771" s="760"/>
    </row>
    <row r="9772" spans="1:11">
      <c r="A9772" s="760"/>
      <c r="B9772" s="760"/>
      <c r="C9772" s="760"/>
      <c r="D9772" s="760"/>
      <c r="E9772" s="760"/>
      <c r="F9772" s="760"/>
      <c r="G9772" s="760"/>
      <c r="H9772" s="760"/>
      <c r="I9772" s="760"/>
      <c r="J9772" s="760"/>
      <c r="K9772" s="760"/>
    </row>
    <row r="9773" spans="1:11">
      <c r="A9773" s="760"/>
      <c r="B9773" s="760"/>
      <c r="C9773" s="760"/>
      <c r="D9773" s="760"/>
      <c r="E9773" s="760"/>
      <c r="F9773" s="760"/>
      <c r="G9773" s="760"/>
      <c r="H9773" s="760"/>
      <c r="I9773" s="760"/>
      <c r="J9773" s="760"/>
      <c r="K9773" s="760"/>
    </row>
    <row r="9774" spans="1:11">
      <c r="A9774" s="760"/>
      <c r="B9774" s="760"/>
      <c r="C9774" s="760"/>
      <c r="D9774" s="760"/>
      <c r="E9774" s="760"/>
      <c r="F9774" s="760"/>
      <c r="G9774" s="760"/>
      <c r="H9774" s="760"/>
      <c r="I9774" s="760"/>
      <c r="J9774" s="760"/>
      <c r="K9774" s="760"/>
    </row>
    <row r="9775" spans="1:11">
      <c r="A9775" s="760"/>
      <c r="B9775" s="760"/>
      <c r="C9775" s="760"/>
      <c r="D9775" s="760"/>
      <c r="E9775" s="760"/>
      <c r="F9775" s="760"/>
      <c r="G9775" s="760"/>
      <c r="H9775" s="760"/>
      <c r="I9775" s="760"/>
      <c r="J9775" s="760"/>
      <c r="K9775" s="760"/>
    </row>
    <row r="9776" spans="1:11">
      <c r="A9776" s="760"/>
      <c r="B9776" s="760"/>
      <c r="C9776" s="760"/>
      <c r="D9776" s="760"/>
      <c r="E9776" s="760"/>
      <c r="F9776" s="760"/>
      <c r="G9776" s="760"/>
      <c r="H9776" s="760"/>
      <c r="I9776" s="760"/>
      <c r="J9776" s="760"/>
      <c r="K9776" s="760"/>
    </row>
    <row r="9777" spans="1:11">
      <c r="A9777" s="760"/>
      <c r="B9777" s="760"/>
      <c r="C9777" s="760"/>
      <c r="D9777" s="760"/>
      <c r="E9777" s="760"/>
      <c r="F9777" s="760"/>
      <c r="G9777" s="760"/>
      <c r="H9777" s="760"/>
      <c r="I9777" s="760"/>
      <c r="J9777" s="760"/>
      <c r="K9777" s="760"/>
    </row>
    <row r="9778" spans="1:11">
      <c r="A9778" s="760"/>
      <c r="B9778" s="760"/>
      <c r="C9778" s="760"/>
      <c r="D9778" s="760"/>
      <c r="E9778" s="760"/>
      <c r="F9778" s="760"/>
      <c r="G9778" s="760"/>
      <c r="H9778" s="760"/>
      <c r="I9778" s="760"/>
      <c r="J9778" s="760"/>
      <c r="K9778" s="760"/>
    </row>
    <row r="9779" spans="1:11">
      <c r="A9779" s="760"/>
      <c r="B9779" s="760"/>
      <c r="C9779" s="760"/>
      <c r="D9779" s="760"/>
      <c r="E9779" s="760"/>
      <c r="F9779" s="760"/>
      <c r="G9779" s="760"/>
      <c r="H9779" s="760"/>
      <c r="I9779" s="760"/>
      <c r="J9779" s="760"/>
      <c r="K9779" s="760"/>
    </row>
    <row r="9780" spans="1:11">
      <c r="A9780" s="760"/>
      <c r="B9780" s="760"/>
      <c r="C9780" s="760"/>
      <c r="D9780" s="760"/>
      <c r="E9780" s="760"/>
      <c r="F9780" s="760"/>
      <c r="G9780" s="760"/>
      <c r="H9780" s="760"/>
      <c r="I9780" s="760"/>
      <c r="J9780" s="760"/>
      <c r="K9780" s="760"/>
    </row>
    <row r="9781" spans="1:11">
      <c r="A9781" s="760"/>
      <c r="B9781" s="760"/>
      <c r="C9781" s="760"/>
      <c r="D9781" s="760"/>
      <c r="E9781" s="760"/>
      <c r="F9781" s="760"/>
      <c r="G9781" s="760"/>
      <c r="H9781" s="760"/>
      <c r="I9781" s="760"/>
      <c r="J9781" s="760"/>
      <c r="K9781" s="760"/>
    </row>
    <row r="9782" spans="1:11">
      <c r="A9782" s="760"/>
      <c r="B9782" s="760"/>
      <c r="C9782" s="760"/>
      <c r="D9782" s="760"/>
      <c r="E9782" s="760"/>
      <c r="F9782" s="760"/>
      <c r="G9782" s="760"/>
      <c r="H9782" s="760"/>
      <c r="I9782" s="760"/>
      <c r="J9782" s="760"/>
      <c r="K9782" s="760"/>
    </row>
    <row r="9783" spans="1:11">
      <c r="A9783" s="760"/>
      <c r="B9783" s="760"/>
      <c r="C9783" s="760"/>
      <c r="D9783" s="760"/>
      <c r="E9783" s="760"/>
      <c r="F9783" s="760"/>
      <c r="G9783" s="760"/>
      <c r="H9783" s="760"/>
      <c r="I9783" s="760"/>
      <c r="J9783" s="760"/>
      <c r="K9783" s="760"/>
    </row>
    <row r="9784" spans="1:11">
      <c r="A9784" s="760"/>
      <c r="B9784" s="760"/>
      <c r="C9784" s="760"/>
      <c r="D9784" s="760"/>
      <c r="E9784" s="760"/>
      <c r="F9784" s="760"/>
      <c r="G9784" s="760"/>
      <c r="H9784" s="760"/>
      <c r="I9784" s="760"/>
      <c r="J9784" s="760"/>
      <c r="K9784" s="760"/>
    </row>
    <row r="9785" spans="1:11">
      <c r="A9785" s="760"/>
      <c r="B9785" s="760"/>
      <c r="C9785" s="760"/>
      <c r="D9785" s="760"/>
      <c r="E9785" s="760"/>
      <c r="F9785" s="760"/>
      <c r="G9785" s="760"/>
      <c r="H9785" s="760"/>
      <c r="I9785" s="760"/>
      <c r="J9785" s="760"/>
      <c r="K9785" s="760"/>
    </row>
    <row r="9786" spans="1:11">
      <c r="A9786" s="760"/>
      <c r="B9786" s="760"/>
      <c r="C9786" s="760"/>
      <c r="D9786" s="760"/>
      <c r="E9786" s="760"/>
      <c r="F9786" s="760"/>
      <c r="G9786" s="760"/>
      <c r="H9786" s="760"/>
      <c r="I9786" s="760"/>
      <c r="J9786" s="760"/>
      <c r="K9786" s="760"/>
    </row>
    <row r="9787" spans="1:11">
      <c r="A9787" s="760"/>
      <c r="B9787" s="760"/>
      <c r="C9787" s="760"/>
      <c r="D9787" s="760"/>
      <c r="E9787" s="760"/>
      <c r="F9787" s="760"/>
      <c r="G9787" s="760"/>
      <c r="H9787" s="760"/>
      <c r="I9787" s="760"/>
      <c r="J9787" s="760"/>
      <c r="K9787" s="760"/>
    </row>
    <row r="9788" spans="1:11">
      <c r="A9788" s="760"/>
      <c r="B9788" s="760"/>
      <c r="C9788" s="760"/>
      <c r="D9788" s="760"/>
      <c r="E9788" s="760"/>
      <c r="F9788" s="760"/>
      <c r="G9788" s="760"/>
      <c r="H9788" s="760"/>
      <c r="I9788" s="760"/>
      <c r="J9788" s="760"/>
      <c r="K9788" s="760"/>
    </row>
    <row r="9789" spans="1:11">
      <c r="A9789" s="760"/>
      <c r="B9789" s="760"/>
      <c r="C9789" s="760"/>
      <c r="D9789" s="760"/>
      <c r="E9789" s="760"/>
      <c r="F9789" s="760"/>
      <c r="G9789" s="760"/>
      <c r="H9789" s="760"/>
      <c r="I9789" s="760"/>
      <c r="J9789" s="760"/>
      <c r="K9789" s="760"/>
    </row>
    <row r="9790" spans="1:11">
      <c r="A9790" s="760"/>
      <c r="B9790" s="760"/>
      <c r="C9790" s="760"/>
      <c r="D9790" s="760"/>
      <c r="E9790" s="760"/>
      <c r="F9790" s="760"/>
      <c r="G9790" s="760"/>
      <c r="H9790" s="760"/>
      <c r="I9790" s="760"/>
      <c r="J9790" s="760"/>
      <c r="K9790" s="760"/>
    </row>
    <row r="9791" spans="1:11">
      <c r="A9791" s="760"/>
      <c r="B9791" s="760"/>
      <c r="C9791" s="760"/>
      <c r="D9791" s="760"/>
      <c r="E9791" s="760"/>
      <c r="F9791" s="760"/>
      <c r="G9791" s="760"/>
      <c r="H9791" s="760"/>
      <c r="I9791" s="760"/>
      <c r="J9791" s="760"/>
      <c r="K9791" s="760"/>
    </row>
    <row r="9792" spans="1:11">
      <c r="A9792" s="760"/>
      <c r="B9792" s="760"/>
      <c r="C9792" s="760"/>
      <c r="D9792" s="760"/>
      <c r="E9792" s="760"/>
      <c r="F9792" s="760"/>
      <c r="G9792" s="760"/>
      <c r="H9792" s="760"/>
      <c r="I9792" s="760"/>
      <c r="J9792" s="760"/>
      <c r="K9792" s="760"/>
    </row>
    <row r="9793" spans="1:11">
      <c r="A9793" s="760"/>
      <c r="B9793" s="760"/>
      <c r="C9793" s="760"/>
      <c r="D9793" s="760"/>
      <c r="E9793" s="760"/>
      <c r="F9793" s="760"/>
      <c r="G9793" s="760"/>
      <c r="H9793" s="760"/>
      <c r="I9793" s="760"/>
      <c r="J9793" s="760"/>
      <c r="K9793" s="760"/>
    </row>
    <row r="9794" spans="1:11">
      <c r="A9794" s="760"/>
      <c r="B9794" s="760"/>
      <c r="C9794" s="760"/>
      <c r="D9794" s="760"/>
      <c r="E9794" s="760"/>
      <c r="F9794" s="760"/>
      <c r="G9794" s="760"/>
      <c r="H9794" s="760"/>
      <c r="I9794" s="760"/>
      <c r="J9794" s="760"/>
      <c r="K9794" s="760"/>
    </row>
    <row r="9795" spans="1:11">
      <c r="A9795" s="760"/>
      <c r="B9795" s="760"/>
      <c r="C9795" s="760"/>
      <c r="D9795" s="760"/>
      <c r="E9795" s="760"/>
      <c r="F9795" s="760"/>
      <c r="G9795" s="760"/>
      <c r="H9795" s="760"/>
      <c r="I9795" s="760"/>
      <c r="J9795" s="760"/>
      <c r="K9795" s="760"/>
    </row>
    <row r="9796" spans="1:11">
      <c r="A9796" s="760"/>
      <c r="B9796" s="760"/>
      <c r="C9796" s="760"/>
      <c r="D9796" s="760"/>
      <c r="E9796" s="760"/>
      <c r="F9796" s="760"/>
      <c r="G9796" s="760"/>
      <c r="H9796" s="760"/>
      <c r="I9796" s="760"/>
      <c r="J9796" s="760"/>
      <c r="K9796" s="760"/>
    </row>
    <row r="9797" spans="1:11">
      <c r="A9797" s="760"/>
      <c r="B9797" s="760"/>
      <c r="C9797" s="760"/>
      <c r="D9797" s="760"/>
      <c r="E9797" s="760"/>
      <c r="F9797" s="760"/>
      <c r="G9797" s="760"/>
      <c r="H9797" s="760"/>
      <c r="I9797" s="760"/>
      <c r="J9797" s="760"/>
      <c r="K9797" s="760"/>
    </row>
    <row r="9798" spans="1:11">
      <c r="A9798" s="760"/>
      <c r="B9798" s="760"/>
      <c r="C9798" s="760"/>
      <c r="D9798" s="760"/>
      <c r="E9798" s="760"/>
      <c r="F9798" s="760"/>
      <c r="G9798" s="760"/>
      <c r="H9798" s="760"/>
      <c r="I9798" s="760"/>
      <c r="J9798" s="760"/>
      <c r="K9798" s="760"/>
    </row>
    <row r="9799" spans="1:11">
      <c r="A9799" s="760"/>
      <c r="B9799" s="760"/>
      <c r="C9799" s="760"/>
      <c r="D9799" s="760"/>
      <c r="E9799" s="760"/>
      <c r="F9799" s="760"/>
      <c r="G9799" s="760"/>
      <c r="H9799" s="760"/>
      <c r="I9799" s="760"/>
      <c r="J9799" s="760"/>
      <c r="K9799" s="760"/>
    </row>
    <row r="9800" spans="1:11">
      <c r="A9800" s="760"/>
      <c r="B9800" s="760"/>
      <c r="C9800" s="760"/>
      <c r="D9800" s="760"/>
      <c r="E9800" s="760"/>
      <c r="F9800" s="760"/>
      <c r="G9800" s="760"/>
      <c r="H9800" s="760"/>
      <c r="I9800" s="760"/>
      <c r="J9800" s="760"/>
      <c r="K9800" s="760"/>
    </row>
    <row r="9801" spans="1:11">
      <c r="A9801" s="760"/>
      <c r="B9801" s="760"/>
      <c r="C9801" s="760"/>
      <c r="D9801" s="760"/>
      <c r="E9801" s="760"/>
      <c r="F9801" s="760"/>
      <c r="G9801" s="760"/>
      <c r="H9801" s="760"/>
      <c r="I9801" s="760"/>
      <c r="J9801" s="760"/>
      <c r="K9801" s="760"/>
    </row>
    <row r="9802" spans="1:11">
      <c r="A9802" s="760"/>
      <c r="B9802" s="760"/>
      <c r="C9802" s="760"/>
      <c r="D9802" s="760"/>
      <c r="E9802" s="760"/>
      <c r="F9802" s="760"/>
      <c r="G9802" s="760"/>
      <c r="H9802" s="760"/>
      <c r="I9802" s="760"/>
      <c r="J9802" s="760"/>
      <c r="K9802" s="760"/>
    </row>
    <row r="9803" spans="1:11">
      <c r="A9803" s="760"/>
      <c r="B9803" s="760"/>
      <c r="C9803" s="760"/>
      <c r="D9803" s="760"/>
      <c r="E9803" s="760"/>
      <c r="F9803" s="760"/>
      <c r="G9803" s="760"/>
      <c r="H9803" s="760"/>
      <c r="I9803" s="760"/>
      <c r="J9803" s="760"/>
      <c r="K9803" s="760"/>
    </row>
    <row r="9804" spans="1:11">
      <c r="A9804" s="760"/>
      <c r="B9804" s="760"/>
      <c r="C9804" s="760"/>
      <c r="D9804" s="760"/>
      <c r="E9804" s="760"/>
      <c r="F9804" s="760"/>
      <c r="G9804" s="760"/>
      <c r="H9804" s="760"/>
      <c r="I9804" s="760"/>
      <c r="J9804" s="760"/>
      <c r="K9804" s="760"/>
    </row>
    <row r="9805" spans="1:11">
      <c r="A9805" s="760"/>
      <c r="B9805" s="760"/>
      <c r="C9805" s="760"/>
      <c r="D9805" s="760"/>
      <c r="E9805" s="760"/>
      <c r="F9805" s="760"/>
      <c r="G9805" s="760"/>
      <c r="H9805" s="760"/>
      <c r="I9805" s="760"/>
      <c r="J9805" s="760"/>
      <c r="K9805" s="760"/>
    </row>
    <row r="9806" spans="1:11">
      <c r="A9806" s="760"/>
      <c r="B9806" s="760"/>
      <c r="C9806" s="760"/>
      <c r="D9806" s="760"/>
      <c r="E9806" s="760"/>
      <c r="F9806" s="760"/>
      <c r="G9806" s="760"/>
      <c r="H9806" s="760"/>
      <c r="I9806" s="760"/>
      <c r="J9806" s="760"/>
      <c r="K9806" s="760"/>
    </row>
    <row r="9807" spans="1:11">
      <c r="A9807" s="760"/>
      <c r="B9807" s="760"/>
      <c r="C9807" s="760"/>
      <c r="D9807" s="760"/>
      <c r="E9807" s="760"/>
      <c r="F9807" s="760"/>
      <c r="G9807" s="760"/>
      <c r="H9807" s="760"/>
      <c r="I9807" s="760"/>
      <c r="J9807" s="760"/>
      <c r="K9807" s="760"/>
    </row>
    <row r="9808" spans="1:11">
      <c r="A9808" s="760"/>
      <c r="B9808" s="760"/>
      <c r="C9808" s="760"/>
      <c r="D9808" s="760"/>
      <c r="E9808" s="760"/>
      <c r="F9808" s="760"/>
      <c r="G9808" s="760"/>
      <c r="H9808" s="760"/>
      <c r="I9808" s="760"/>
      <c r="J9808" s="760"/>
      <c r="K9808" s="760"/>
    </row>
    <row r="9809" spans="1:11">
      <c r="A9809" s="760"/>
      <c r="B9809" s="760"/>
      <c r="C9809" s="760"/>
      <c r="D9809" s="760"/>
      <c r="E9809" s="760"/>
      <c r="F9809" s="760"/>
      <c r="G9809" s="760"/>
      <c r="H9809" s="760"/>
      <c r="I9809" s="760"/>
      <c r="J9809" s="760"/>
      <c r="K9809" s="760"/>
    </row>
    <row r="9810" spans="1:11">
      <c r="A9810" s="760"/>
      <c r="B9810" s="760"/>
      <c r="C9810" s="760"/>
      <c r="D9810" s="760"/>
      <c r="E9810" s="760"/>
      <c r="F9810" s="760"/>
      <c r="G9810" s="760"/>
      <c r="H9810" s="760"/>
      <c r="I9810" s="760"/>
      <c r="J9810" s="760"/>
      <c r="K9810" s="760"/>
    </row>
    <row r="9811" spans="1:11">
      <c r="A9811" s="760"/>
      <c r="B9811" s="760"/>
      <c r="C9811" s="760"/>
      <c r="D9811" s="760"/>
      <c r="E9811" s="760"/>
      <c r="F9811" s="760"/>
      <c r="G9811" s="760"/>
      <c r="H9811" s="760"/>
      <c r="I9811" s="760"/>
      <c r="J9811" s="760"/>
      <c r="K9811" s="760"/>
    </row>
    <row r="9812" spans="1:11">
      <c r="A9812" s="760"/>
      <c r="B9812" s="760"/>
      <c r="C9812" s="760"/>
      <c r="D9812" s="760"/>
      <c r="E9812" s="760"/>
      <c r="F9812" s="760"/>
      <c r="G9812" s="760"/>
      <c r="H9812" s="760"/>
      <c r="I9812" s="760"/>
      <c r="J9812" s="760"/>
      <c r="K9812" s="760"/>
    </row>
    <row r="9813" spans="1:11">
      <c r="A9813" s="760"/>
      <c r="B9813" s="760"/>
      <c r="C9813" s="760"/>
      <c r="D9813" s="760"/>
      <c r="E9813" s="760"/>
      <c r="F9813" s="760"/>
      <c r="G9813" s="760"/>
      <c r="H9813" s="760"/>
      <c r="I9813" s="760"/>
      <c r="J9813" s="760"/>
      <c r="K9813" s="760"/>
    </row>
    <row r="9814" spans="1:11">
      <c r="A9814" s="760"/>
      <c r="B9814" s="760"/>
      <c r="C9814" s="760"/>
      <c r="D9814" s="760"/>
      <c r="E9814" s="760"/>
      <c r="F9814" s="760"/>
      <c r="G9814" s="760"/>
      <c r="H9814" s="760"/>
      <c r="I9814" s="760"/>
      <c r="J9814" s="760"/>
      <c r="K9814" s="760"/>
    </row>
    <row r="9815" spans="1:11">
      <c r="A9815" s="760"/>
      <c r="B9815" s="760"/>
      <c r="C9815" s="760"/>
      <c r="D9815" s="760"/>
      <c r="E9815" s="760"/>
      <c r="F9815" s="760"/>
      <c r="G9815" s="760"/>
      <c r="H9815" s="760"/>
      <c r="I9815" s="760"/>
      <c r="J9815" s="760"/>
      <c r="K9815" s="760"/>
    </row>
    <row r="9816" spans="1:11">
      <c r="A9816" s="760"/>
      <c r="B9816" s="760"/>
      <c r="C9816" s="760"/>
      <c r="D9816" s="760"/>
      <c r="E9816" s="760"/>
      <c r="F9816" s="760"/>
      <c r="G9816" s="760"/>
      <c r="H9816" s="760"/>
      <c r="I9816" s="760"/>
      <c r="J9816" s="760"/>
      <c r="K9816" s="760"/>
    </row>
    <row r="9817" spans="1:11">
      <c r="A9817" s="760"/>
      <c r="B9817" s="760"/>
      <c r="C9817" s="760"/>
      <c r="D9817" s="760"/>
      <c r="E9817" s="760"/>
      <c r="F9817" s="760"/>
      <c r="G9817" s="760"/>
      <c r="H9817" s="760"/>
      <c r="I9817" s="760"/>
      <c r="J9817" s="760"/>
      <c r="K9817" s="760"/>
    </row>
    <row r="9818" spans="1:11">
      <c r="A9818" s="760"/>
      <c r="B9818" s="760"/>
      <c r="C9818" s="760"/>
      <c r="D9818" s="760"/>
      <c r="E9818" s="760"/>
      <c r="F9818" s="760"/>
      <c r="G9818" s="760"/>
      <c r="H9818" s="760"/>
      <c r="I9818" s="760"/>
      <c r="J9818" s="760"/>
      <c r="K9818" s="760"/>
    </row>
    <row r="9819" spans="1:11">
      <c r="A9819" s="760"/>
      <c r="B9819" s="760"/>
      <c r="C9819" s="760"/>
      <c r="D9819" s="760"/>
      <c r="E9819" s="760"/>
      <c r="F9819" s="760"/>
      <c r="G9819" s="760"/>
      <c r="H9819" s="760"/>
      <c r="I9819" s="760"/>
      <c r="J9819" s="760"/>
      <c r="K9819" s="760"/>
    </row>
    <row r="9820" spans="1:11">
      <c r="A9820" s="760"/>
      <c r="B9820" s="760"/>
      <c r="C9820" s="760"/>
      <c r="D9820" s="760"/>
      <c r="E9820" s="760"/>
      <c r="F9820" s="760"/>
      <c r="G9820" s="760"/>
      <c r="H9820" s="760"/>
      <c r="I9820" s="760"/>
      <c r="J9820" s="760"/>
      <c r="K9820" s="760"/>
    </row>
    <row r="9821" spans="1:11">
      <c r="A9821" s="760"/>
      <c r="B9821" s="760"/>
      <c r="C9821" s="760"/>
      <c r="D9821" s="760"/>
      <c r="E9821" s="760"/>
      <c r="F9821" s="760"/>
      <c r="G9821" s="760"/>
      <c r="H9821" s="760"/>
      <c r="I9821" s="760"/>
      <c r="J9821" s="760"/>
      <c r="K9821" s="760"/>
    </row>
    <row r="9822" spans="1:11">
      <c r="A9822" s="760"/>
      <c r="B9822" s="760"/>
      <c r="C9822" s="760"/>
      <c r="D9822" s="760"/>
      <c r="E9822" s="760"/>
      <c r="F9822" s="760"/>
      <c r="G9822" s="760"/>
      <c r="H9822" s="760"/>
      <c r="I9822" s="760"/>
      <c r="J9822" s="760"/>
      <c r="K9822" s="760"/>
    </row>
    <row r="9823" spans="1:11">
      <c r="A9823" s="760"/>
      <c r="B9823" s="760"/>
      <c r="C9823" s="760"/>
      <c r="D9823" s="760"/>
      <c r="E9823" s="760"/>
      <c r="F9823" s="760"/>
      <c r="G9823" s="760"/>
      <c r="H9823" s="760"/>
      <c r="I9823" s="760"/>
      <c r="J9823" s="760"/>
      <c r="K9823" s="760"/>
    </row>
    <row r="9824" spans="1:11">
      <c r="A9824" s="760"/>
      <c r="B9824" s="760"/>
      <c r="C9824" s="760"/>
      <c r="D9824" s="760"/>
      <c r="E9824" s="760"/>
      <c r="F9824" s="760"/>
      <c r="G9824" s="760"/>
      <c r="H9824" s="760"/>
      <c r="I9824" s="760"/>
      <c r="J9824" s="760"/>
      <c r="K9824" s="760"/>
    </row>
    <row r="9825" spans="1:11">
      <c r="A9825" s="760"/>
      <c r="B9825" s="760"/>
      <c r="C9825" s="760"/>
      <c r="D9825" s="760"/>
      <c r="E9825" s="760"/>
      <c r="F9825" s="760"/>
      <c r="G9825" s="760"/>
      <c r="H9825" s="760"/>
      <c r="I9825" s="760"/>
      <c r="J9825" s="760"/>
      <c r="K9825" s="760"/>
    </row>
    <row r="9826" spans="1:11">
      <c r="A9826" s="760"/>
      <c r="B9826" s="760"/>
      <c r="C9826" s="760"/>
      <c r="D9826" s="760"/>
      <c r="E9826" s="760"/>
      <c r="F9826" s="760"/>
      <c r="G9826" s="760"/>
      <c r="H9826" s="760"/>
      <c r="I9826" s="760"/>
      <c r="J9826" s="760"/>
      <c r="K9826" s="760"/>
    </row>
    <row r="9827" spans="1:11">
      <c r="A9827" s="760"/>
      <c r="B9827" s="760"/>
      <c r="C9827" s="760"/>
      <c r="D9827" s="760"/>
      <c r="E9827" s="760"/>
      <c r="F9827" s="760"/>
      <c r="G9827" s="760"/>
      <c r="H9827" s="760"/>
      <c r="I9827" s="760"/>
      <c r="J9827" s="760"/>
      <c r="K9827" s="760"/>
    </row>
    <row r="9828" spans="1:11">
      <c r="A9828" s="760"/>
      <c r="B9828" s="760"/>
      <c r="C9828" s="760"/>
      <c r="D9828" s="760"/>
      <c r="E9828" s="760"/>
      <c r="F9828" s="760"/>
      <c r="G9828" s="760"/>
      <c r="H9828" s="760"/>
      <c r="I9828" s="760"/>
      <c r="J9828" s="760"/>
      <c r="K9828" s="760"/>
    </row>
    <row r="9829" spans="1:11">
      <c r="A9829" s="760"/>
      <c r="B9829" s="760"/>
      <c r="C9829" s="760"/>
      <c r="D9829" s="760"/>
      <c r="E9829" s="760"/>
      <c r="F9829" s="760"/>
      <c r="G9829" s="760"/>
      <c r="H9829" s="760"/>
      <c r="I9829" s="760"/>
      <c r="J9829" s="760"/>
      <c r="K9829" s="760"/>
    </row>
    <row r="9830" spans="1:11">
      <c r="A9830" s="760"/>
      <c r="B9830" s="760"/>
      <c r="C9830" s="760"/>
      <c r="D9830" s="760"/>
      <c r="E9830" s="760"/>
      <c r="F9830" s="760"/>
      <c r="G9830" s="760"/>
      <c r="H9830" s="760"/>
      <c r="I9830" s="760"/>
      <c r="J9830" s="760"/>
      <c r="K9830" s="760"/>
    </row>
    <row r="9831" spans="1:11">
      <c r="A9831" s="760"/>
      <c r="B9831" s="760"/>
      <c r="C9831" s="760"/>
      <c r="D9831" s="760"/>
      <c r="E9831" s="760"/>
      <c r="F9831" s="760"/>
      <c r="G9831" s="760"/>
      <c r="H9831" s="760"/>
      <c r="I9831" s="760"/>
      <c r="J9831" s="760"/>
      <c r="K9831" s="760"/>
    </row>
    <row r="9832" spans="1:11">
      <c r="A9832" s="760"/>
      <c r="B9832" s="760"/>
      <c r="C9832" s="760"/>
      <c r="D9832" s="760"/>
      <c r="E9832" s="760"/>
      <c r="F9832" s="760"/>
      <c r="G9832" s="760"/>
      <c r="H9832" s="760"/>
      <c r="I9832" s="760"/>
      <c r="J9832" s="760"/>
      <c r="K9832" s="760"/>
    </row>
    <row r="9833" spans="1:11">
      <c r="A9833" s="760"/>
      <c r="B9833" s="760"/>
      <c r="C9833" s="760"/>
      <c r="D9833" s="760"/>
      <c r="E9833" s="760"/>
      <c r="F9833" s="760"/>
      <c r="G9833" s="760"/>
      <c r="H9833" s="760"/>
      <c r="I9833" s="760"/>
      <c r="J9833" s="760"/>
      <c r="K9833" s="760"/>
    </row>
    <row r="9834" spans="1:11">
      <c r="A9834" s="760"/>
      <c r="B9834" s="760"/>
      <c r="C9834" s="760"/>
      <c r="D9834" s="760"/>
      <c r="E9834" s="760"/>
      <c r="F9834" s="760"/>
      <c r="G9834" s="760"/>
      <c r="H9834" s="760"/>
      <c r="I9834" s="760"/>
      <c r="J9834" s="760"/>
      <c r="K9834" s="760"/>
    </row>
    <row r="9835" spans="1:11">
      <c r="A9835" s="760"/>
      <c r="B9835" s="760"/>
      <c r="C9835" s="760"/>
      <c r="D9835" s="760"/>
      <c r="E9835" s="760"/>
      <c r="F9835" s="760"/>
      <c r="G9835" s="760"/>
      <c r="H9835" s="760"/>
      <c r="I9835" s="760"/>
      <c r="J9835" s="760"/>
      <c r="K9835" s="760"/>
    </row>
    <row r="9836" spans="1:11">
      <c r="A9836" s="760"/>
      <c r="B9836" s="760"/>
      <c r="C9836" s="760"/>
      <c r="D9836" s="760"/>
      <c r="E9836" s="760"/>
      <c r="F9836" s="760"/>
      <c r="G9836" s="760"/>
      <c r="H9836" s="760"/>
      <c r="I9836" s="760"/>
      <c r="J9836" s="760"/>
      <c r="K9836" s="760"/>
    </row>
    <row r="9837" spans="1:11">
      <c r="A9837" s="760"/>
      <c r="B9837" s="760"/>
      <c r="C9837" s="760"/>
      <c r="D9837" s="760"/>
      <c r="E9837" s="760"/>
      <c r="F9837" s="760"/>
      <c r="G9837" s="760"/>
      <c r="H9837" s="760"/>
      <c r="I9837" s="760"/>
      <c r="J9837" s="760"/>
      <c r="K9837" s="760"/>
    </row>
    <row r="9838" spans="1:11">
      <c r="A9838" s="760"/>
      <c r="B9838" s="760"/>
      <c r="C9838" s="760"/>
      <c r="D9838" s="760"/>
      <c r="E9838" s="760"/>
      <c r="F9838" s="760"/>
      <c r="G9838" s="760"/>
      <c r="H9838" s="760"/>
      <c r="I9838" s="760"/>
      <c r="J9838" s="760"/>
      <c r="K9838" s="760"/>
    </row>
    <row r="9839" spans="1:11">
      <c r="A9839" s="760"/>
      <c r="B9839" s="760"/>
      <c r="C9839" s="760"/>
      <c r="D9839" s="760"/>
      <c r="E9839" s="760"/>
      <c r="F9839" s="760"/>
      <c r="G9839" s="760"/>
      <c r="H9839" s="760"/>
      <c r="I9839" s="760"/>
      <c r="J9839" s="760"/>
      <c r="K9839" s="760"/>
    </row>
    <row r="9840" spans="1:11">
      <c r="A9840" s="760"/>
      <c r="B9840" s="760"/>
      <c r="C9840" s="760"/>
      <c r="D9840" s="760"/>
      <c r="E9840" s="760"/>
      <c r="F9840" s="760"/>
      <c r="G9840" s="760"/>
      <c r="H9840" s="760"/>
      <c r="I9840" s="760"/>
      <c r="J9840" s="760"/>
      <c r="K9840" s="760"/>
    </row>
    <row r="9841" spans="1:11">
      <c r="A9841" s="760"/>
      <c r="B9841" s="760"/>
      <c r="C9841" s="760"/>
      <c r="D9841" s="760"/>
      <c r="E9841" s="760"/>
      <c r="F9841" s="760"/>
      <c r="G9841" s="760"/>
      <c r="H9841" s="760"/>
      <c r="I9841" s="760"/>
      <c r="J9841" s="760"/>
      <c r="K9841" s="760"/>
    </row>
    <row r="9842" spans="1:11">
      <c r="A9842" s="760"/>
      <c r="B9842" s="760"/>
      <c r="C9842" s="760"/>
      <c r="D9842" s="760"/>
      <c r="E9842" s="760"/>
      <c r="F9842" s="760"/>
      <c r="G9842" s="760"/>
      <c r="H9842" s="760"/>
      <c r="I9842" s="760"/>
      <c r="J9842" s="760"/>
      <c r="K9842" s="760"/>
    </row>
    <row r="9843" spans="1:11">
      <c r="A9843" s="760"/>
      <c r="B9843" s="760"/>
      <c r="C9843" s="760"/>
      <c r="D9843" s="760"/>
      <c r="E9843" s="760"/>
      <c r="F9843" s="760"/>
      <c r="G9843" s="760"/>
      <c r="H9843" s="760"/>
      <c r="I9843" s="760"/>
      <c r="J9843" s="760"/>
      <c r="K9843" s="760"/>
    </row>
    <row r="9844" spans="1:11">
      <c r="A9844" s="760"/>
      <c r="B9844" s="760"/>
      <c r="C9844" s="760"/>
      <c r="D9844" s="760"/>
      <c r="E9844" s="760"/>
      <c r="F9844" s="760"/>
      <c r="G9844" s="760"/>
      <c r="H9844" s="760"/>
      <c r="I9844" s="760"/>
      <c r="J9844" s="760"/>
      <c r="K9844" s="760"/>
    </row>
    <row r="9845" spans="1:11">
      <c r="A9845" s="760"/>
      <c r="B9845" s="760"/>
      <c r="C9845" s="760"/>
      <c r="D9845" s="760"/>
      <c r="E9845" s="760"/>
      <c r="F9845" s="760"/>
      <c r="G9845" s="760"/>
      <c r="H9845" s="760"/>
      <c r="I9845" s="760"/>
      <c r="J9845" s="760"/>
      <c r="K9845" s="760"/>
    </row>
    <row r="9846" spans="1:11">
      <c r="A9846" s="760"/>
      <c r="B9846" s="760"/>
      <c r="C9846" s="760"/>
      <c r="D9846" s="760"/>
      <c r="E9846" s="760"/>
      <c r="F9846" s="760"/>
      <c r="G9846" s="760"/>
      <c r="H9846" s="760"/>
      <c r="I9846" s="760"/>
      <c r="J9846" s="760"/>
      <c r="K9846" s="760"/>
    </row>
    <row r="9847" spans="1:11">
      <c r="A9847" s="760"/>
      <c r="B9847" s="760"/>
      <c r="C9847" s="760"/>
      <c r="D9847" s="760"/>
      <c r="E9847" s="760"/>
      <c r="F9847" s="760"/>
      <c r="G9847" s="760"/>
      <c r="H9847" s="760"/>
      <c r="I9847" s="760"/>
      <c r="J9847" s="760"/>
      <c r="K9847" s="760"/>
    </row>
    <row r="9848" spans="1:11">
      <c r="A9848" s="760"/>
      <c r="B9848" s="760"/>
      <c r="C9848" s="760"/>
      <c r="D9848" s="760"/>
      <c r="E9848" s="760"/>
      <c r="F9848" s="760"/>
      <c r="G9848" s="760"/>
      <c r="H9848" s="760"/>
      <c r="I9848" s="760"/>
      <c r="J9848" s="760"/>
      <c r="K9848" s="760"/>
    </row>
    <row r="9849" spans="1:11">
      <c r="A9849" s="760"/>
      <c r="B9849" s="760"/>
      <c r="C9849" s="760"/>
      <c r="D9849" s="760"/>
      <c r="E9849" s="760"/>
      <c r="F9849" s="760"/>
      <c r="G9849" s="760"/>
      <c r="H9849" s="760"/>
      <c r="I9849" s="760"/>
      <c r="J9849" s="760"/>
      <c r="K9849" s="760"/>
    </row>
    <row r="9850" spans="1:11">
      <c r="A9850" s="760"/>
      <c r="B9850" s="760"/>
      <c r="C9850" s="760"/>
      <c r="D9850" s="760"/>
      <c r="E9850" s="760"/>
      <c r="F9850" s="760"/>
      <c r="G9850" s="760"/>
      <c r="H9850" s="760"/>
      <c r="I9850" s="760"/>
      <c r="J9850" s="760"/>
      <c r="K9850" s="760"/>
    </row>
    <row r="9851" spans="1:11">
      <c r="A9851" s="760"/>
      <c r="B9851" s="760"/>
      <c r="C9851" s="760"/>
      <c r="D9851" s="760"/>
      <c r="E9851" s="760"/>
      <c r="F9851" s="760"/>
      <c r="G9851" s="760"/>
      <c r="H9851" s="760"/>
      <c r="I9851" s="760"/>
      <c r="J9851" s="760"/>
      <c r="K9851" s="760"/>
    </row>
    <row r="9852" spans="1:11">
      <c r="A9852" s="760"/>
      <c r="B9852" s="760"/>
      <c r="C9852" s="760"/>
      <c r="D9852" s="760"/>
      <c r="E9852" s="760"/>
      <c r="F9852" s="760"/>
      <c r="G9852" s="760"/>
      <c r="H9852" s="760"/>
      <c r="I9852" s="760"/>
      <c r="J9852" s="760"/>
      <c r="K9852" s="760"/>
    </row>
    <row r="9853" spans="1:11">
      <c r="A9853" s="760"/>
      <c r="B9853" s="760"/>
      <c r="C9853" s="760"/>
      <c r="D9853" s="760"/>
      <c r="E9853" s="760"/>
      <c r="F9853" s="760"/>
      <c r="G9853" s="760"/>
      <c r="H9853" s="760"/>
      <c r="I9853" s="760"/>
      <c r="J9853" s="760"/>
      <c r="K9853" s="760"/>
    </row>
    <row r="9854" spans="1:11">
      <c r="A9854" s="760"/>
      <c r="B9854" s="760"/>
      <c r="C9854" s="760"/>
      <c r="D9854" s="760"/>
      <c r="E9854" s="760"/>
      <c r="F9854" s="760"/>
      <c r="G9854" s="760"/>
      <c r="H9854" s="760"/>
      <c r="I9854" s="760"/>
      <c r="J9854" s="760"/>
      <c r="K9854" s="760"/>
    </row>
    <row r="9855" spans="1:11">
      <c r="A9855" s="760"/>
      <c r="B9855" s="760"/>
      <c r="C9855" s="760"/>
      <c r="D9855" s="760"/>
      <c r="E9855" s="760"/>
      <c r="F9855" s="760"/>
      <c r="G9855" s="760"/>
      <c r="H9855" s="760"/>
      <c r="I9855" s="760"/>
      <c r="J9855" s="760"/>
      <c r="K9855" s="760"/>
    </row>
    <row r="9856" spans="1:11">
      <c r="A9856" s="760"/>
      <c r="B9856" s="760"/>
      <c r="C9856" s="760"/>
      <c r="D9856" s="760"/>
      <c r="E9856" s="760"/>
      <c r="F9856" s="760"/>
      <c r="G9856" s="760"/>
      <c r="H9856" s="760"/>
      <c r="I9856" s="760"/>
      <c r="J9856" s="760"/>
      <c r="K9856" s="760"/>
    </row>
    <row r="9857" spans="1:11">
      <c r="A9857" s="760"/>
      <c r="B9857" s="760"/>
      <c r="C9857" s="760"/>
      <c r="D9857" s="760"/>
      <c r="E9857" s="760"/>
      <c r="F9857" s="760"/>
      <c r="G9857" s="760"/>
      <c r="H9857" s="760"/>
      <c r="I9857" s="760"/>
      <c r="J9857" s="760"/>
      <c r="K9857" s="760"/>
    </row>
    <row r="9858" spans="1:11">
      <c r="A9858" s="760"/>
      <c r="B9858" s="760"/>
      <c r="C9858" s="760"/>
      <c r="D9858" s="760"/>
      <c r="E9858" s="760"/>
      <c r="F9858" s="760"/>
      <c r="G9858" s="760"/>
      <c r="H9858" s="760"/>
      <c r="I9858" s="760"/>
      <c r="J9858" s="760"/>
      <c r="K9858" s="760"/>
    </row>
    <row r="9859" spans="1:11">
      <c r="A9859" s="760"/>
      <c r="B9859" s="760"/>
      <c r="C9859" s="760"/>
      <c r="D9859" s="760"/>
      <c r="E9859" s="760"/>
      <c r="F9859" s="760"/>
      <c r="G9859" s="760"/>
      <c r="H9859" s="760"/>
      <c r="I9859" s="760"/>
      <c r="J9859" s="760"/>
      <c r="K9859" s="760"/>
    </row>
    <row r="9860" spans="1:11">
      <c r="A9860" s="760"/>
      <c r="B9860" s="760"/>
      <c r="C9860" s="760"/>
      <c r="D9860" s="760"/>
      <c r="E9860" s="760"/>
      <c r="F9860" s="760"/>
      <c r="G9860" s="760"/>
      <c r="H9860" s="760"/>
      <c r="I9860" s="760"/>
      <c r="J9860" s="760"/>
      <c r="K9860" s="760"/>
    </row>
    <row r="9861" spans="1:11">
      <c r="A9861" s="760"/>
      <c r="B9861" s="760"/>
      <c r="C9861" s="760"/>
      <c r="D9861" s="760"/>
      <c r="E9861" s="760"/>
      <c r="F9861" s="760"/>
      <c r="G9861" s="760"/>
      <c r="H9861" s="760"/>
      <c r="I9861" s="760"/>
      <c r="J9861" s="760"/>
      <c r="K9861" s="760"/>
    </row>
    <row r="9862" spans="1:11">
      <c r="A9862" s="760"/>
      <c r="B9862" s="760"/>
      <c r="C9862" s="760"/>
      <c r="D9862" s="760"/>
      <c r="E9862" s="760"/>
      <c r="F9862" s="760"/>
      <c r="G9862" s="760"/>
      <c r="H9862" s="760"/>
      <c r="I9862" s="760"/>
      <c r="J9862" s="760"/>
      <c r="K9862" s="760"/>
    </row>
    <row r="9863" spans="1:11">
      <c r="A9863" s="760"/>
      <c r="B9863" s="760"/>
      <c r="C9863" s="760"/>
      <c r="D9863" s="760"/>
      <c r="E9863" s="760"/>
      <c r="F9863" s="760"/>
      <c r="G9863" s="760"/>
      <c r="H9863" s="760"/>
      <c r="I9863" s="760"/>
      <c r="J9863" s="760"/>
      <c r="K9863" s="760"/>
    </row>
    <row r="9864" spans="1:11">
      <c r="A9864" s="760"/>
      <c r="B9864" s="760"/>
      <c r="C9864" s="760"/>
      <c r="D9864" s="760"/>
      <c r="E9864" s="760"/>
      <c r="F9864" s="760"/>
      <c r="G9864" s="760"/>
      <c r="H9864" s="760"/>
      <c r="I9864" s="760"/>
      <c r="J9864" s="760"/>
      <c r="K9864" s="760"/>
    </row>
    <row r="9865" spans="1:11">
      <c r="A9865" s="760"/>
      <c r="B9865" s="760"/>
      <c r="C9865" s="760"/>
      <c r="D9865" s="760"/>
      <c r="E9865" s="760"/>
      <c r="F9865" s="760"/>
      <c r="G9865" s="760"/>
      <c r="H9865" s="760"/>
      <c r="I9865" s="760"/>
      <c r="J9865" s="760"/>
      <c r="K9865" s="760"/>
    </row>
    <row r="9866" spans="1:11">
      <c r="A9866" s="760"/>
      <c r="B9866" s="760"/>
      <c r="C9866" s="760"/>
      <c r="D9866" s="760"/>
      <c r="E9866" s="760"/>
      <c r="F9866" s="760"/>
      <c r="G9866" s="760"/>
      <c r="H9866" s="760"/>
      <c r="I9866" s="760"/>
      <c r="J9866" s="760"/>
      <c r="K9866" s="760"/>
    </row>
    <row r="9867" spans="1:11">
      <c r="A9867" s="760"/>
      <c r="B9867" s="760"/>
      <c r="C9867" s="760"/>
      <c r="D9867" s="760"/>
      <c r="E9867" s="760"/>
      <c r="F9867" s="760"/>
      <c r="G9867" s="760"/>
      <c r="H9867" s="760"/>
      <c r="I9867" s="760"/>
      <c r="J9867" s="760"/>
      <c r="K9867" s="760"/>
    </row>
    <row r="9868" spans="1:11">
      <c r="A9868" s="760"/>
      <c r="B9868" s="760"/>
      <c r="C9868" s="760"/>
      <c r="D9868" s="760"/>
      <c r="E9868" s="760"/>
      <c r="F9868" s="760"/>
      <c r="G9868" s="760"/>
      <c r="H9868" s="760"/>
      <c r="I9868" s="760"/>
      <c r="J9868" s="760"/>
      <c r="K9868" s="760"/>
    </row>
    <row r="9869" spans="1:11">
      <c r="A9869" s="760"/>
      <c r="B9869" s="760"/>
      <c r="C9869" s="760"/>
      <c r="D9869" s="760"/>
      <c r="E9869" s="760"/>
      <c r="F9869" s="760"/>
      <c r="G9869" s="760"/>
      <c r="H9869" s="760"/>
      <c r="I9869" s="760"/>
      <c r="J9869" s="760"/>
      <c r="K9869" s="760"/>
    </row>
    <row r="9870" spans="1:11">
      <c r="A9870" s="760"/>
      <c r="B9870" s="760"/>
      <c r="C9870" s="760"/>
      <c r="D9870" s="760"/>
      <c r="E9870" s="760"/>
      <c r="F9870" s="760"/>
      <c r="G9870" s="760"/>
      <c r="H9870" s="760"/>
      <c r="I9870" s="760"/>
      <c r="J9870" s="760"/>
      <c r="K9870" s="760"/>
    </row>
    <row r="9871" spans="1:11">
      <c r="A9871" s="760"/>
      <c r="B9871" s="760"/>
      <c r="C9871" s="760"/>
      <c r="D9871" s="760"/>
      <c r="E9871" s="760"/>
      <c r="F9871" s="760"/>
      <c r="G9871" s="760"/>
      <c r="H9871" s="760"/>
      <c r="I9871" s="760"/>
      <c r="J9871" s="760"/>
      <c r="K9871" s="760"/>
    </row>
    <row r="9872" spans="1:11">
      <c r="A9872" s="760"/>
      <c r="B9872" s="760"/>
      <c r="C9872" s="760"/>
      <c r="D9872" s="760"/>
      <c r="E9872" s="760"/>
      <c r="F9872" s="760"/>
      <c r="G9872" s="760"/>
      <c r="H9872" s="760"/>
      <c r="I9872" s="760"/>
      <c r="J9872" s="760"/>
      <c r="K9872" s="760"/>
    </row>
    <row r="9873" spans="1:11">
      <c r="A9873" s="760"/>
      <c r="B9873" s="760"/>
      <c r="C9873" s="760"/>
      <c r="D9873" s="760"/>
      <c r="E9873" s="760"/>
      <c r="F9873" s="760"/>
      <c r="G9873" s="760"/>
      <c r="H9873" s="760"/>
      <c r="I9873" s="760"/>
      <c r="J9873" s="760"/>
      <c r="K9873" s="760"/>
    </row>
    <row r="9874" spans="1:11">
      <c r="A9874" s="760"/>
      <c r="B9874" s="760"/>
      <c r="C9874" s="760"/>
      <c r="D9874" s="760"/>
      <c r="E9874" s="760"/>
      <c r="F9874" s="760"/>
      <c r="G9874" s="760"/>
      <c r="H9874" s="760"/>
      <c r="I9874" s="760"/>
      <c r="J9874" s="760"/>
      <c r="K9874" s="760"/>
    </row>
    <row r="9875" spans="1:11">
      <c r="A9875" s="760"/>
      <c r="B9875" s="760"/>
      <c r="C9875" s="760"/>
      <c r="D9875" s="760"/>
      <c r="E9875" s="760"/>
      <c r="F9875" s="760"/>
      <c r="G9875" s="760"/>
      <c r="H9875" s="760"/>
      <c r="I9875" s="760"/>
      <c r="J9875" s="760"/>
      <c r="K9875" s="760"/>
    </row>
    <row r="9876" spans="1:11">
      <c r="A9876" s="760"/>
      <c r="B9876" s="760"/>
      <c r="C9876" s="760"/>
      <c r="D9876" s="760"/>
      <c r="E9876" s="760"/>
      <c r="F9876" s="760"/>
      <c r="G9876" s="760"/>
      <c r="H9876" s="760"/>
      <c r="I9876" s="760"/>
      <c r="J9876" s="760"/>
      <c r="K9876" s="760"/>
    </row>
    <row r="9877" spans="1:11">
      <c r="A9877" s="760"/>
      <c r="B9877" s="760"/>
      <c r="C9877" s="760"/>
      <c r="D9877" s="760"/>
      <c r="E9877" s="760"/>
      <c r="F9877" s="760"/>
      <c r="G9877" s="760"/>
      <c r="H9877" s="760"/>
      <c r="I9877" s="760"/>
      <c r="J9877" s="760"/>
      <c r="K9877" s="760"/>
    </row>
    <row r="9878" spans="1:11">
      <c r="A9878" s="760"/>
      <c r="B9878" s="760"/>
      <c r="C9878" s="760"/>
      <c r="D9878" s="760"/>
      <c r="E9878" s="760"/>
      <c r="F9878" s="760"/>
      <c r="G9878" s="760"/>
      <c r="H9878" s="760"/>
      <c r="I9878" s="760"/>
      <c r="J9878" s="760"/>
      <c r="K9878" s="760"/>
    </row>
    <row r="9879" spans="1:11">
      <c r="A9879" s="760"/>
      <c r="B9879" s="760"/>
      <c r="C9879" s="760"/>
      <c r="D9879" s="760"/>
      <c r="E9879" s="760"/>
      <c r="F9879" s="760"/>
      <c r="G9879" s="760"/>
      <c r="H9879" s="760"/>
      <c r="I9879" s="760"/>
      <c r="J9879" s="760"/>
      <c r="K9879" s="760"/>
    </row>
    <row r="9880" spans="1:11">
      <c r="A9880" s="760"/>
      <c r="B9880" s="760"/>
      <c r="C9880" s="760"/>
      <c r="D9880" s="760"/>
      <c r="E9880" s="760"/>
      <c r="F9880" s="760"/>
      <c r="G9880" s="760"/>
      <c r="H9880" s="760"/>
      <c r="I9880" s="760"/>
      <c r="J9880" s="760"/>
      <c r="K9880" s="760"/>
    </row>
    <row r="9881" spans="1:11">
      <c r="A9881" s="760"/>
      <c r="B9881" s="760"/>
      <c r="C9881" s="760"/>
      <c r="D9881" s="760"/>
      <c r="E9881" s="760"/>
      <c r="F9881" s="760"/>
      <c r="G9881" s="760"/>
      <c r="H9881" s="760"/>
      <c r="I9881" s="760"/>
      <c r="J9881" s="760"/>
      <c r="K9881" s="760"/>
    </row>
    <row r="9882" spans="1:11">
      <c r="A9882" s="760"/>
      <c r="B9882" s="760"/>
      <c r="C9882" s="760"/>
      <c r="D9882" s="760"/>
      <c r="E9882" s="760"/>
      <c r="F9882" s="760"/>
      <c r="G9882" s="760"/>
      <c r="H9882" s="760"/>
      <c r="I9882" s="760"/>
      <c r="J9882" s="760"/>
      <c r="K9882" s="760"/>
    </row>
    <row r="9883" spans="1:11">
      <c r="A9883" s="760"/>
      <c r="B9883" s="760"/>
      <c r="C9883" s="760"/>
      <c r="D9883" s="760"/>
      <c r="E9883" s="760"/>
      <c r="F9883" s="760"/>
      <c r="G9883" s="760"/>
      <c r="H9883" s="760"/>
      <c r="I9883" s="760"/>
      <c r="J9883" s="760"/>
      <c r="K9883" s="760"/>
    </row>
    <row r="9884" spans="1:11">
      <c r="A9884" s="760"/>
      <c r="B9884" s="760"/>
      <c r="C9884" s="760"/>
      <c r="D9884" s="760"/>
      <c r="E9884" s="760"/>
      <c r="F9884" s="760"/>
      <c r="G9884" s="760"/>
      <c r="H9884" s="760"/>
      <c r="I9884" s="760"/>
      <c r="J9884" s="760"/>
      <c r="K9884" s="760"/>
    </row>
    <row r="9885" spans="1:11">
      <c r="A9885" s="760"/>
      <c r="B9885" s="760"/>
      <c r="C9885" s="760"/>
      <c r="D9885" s="760"/>
      <c r="E9885" s="760"/>
      <c r="F9885" s="760"/>
      <c r="G9885" s="760"/>
      <c r="H9885" s="760"/>
      <c r="I9885" s="760"/>
      <c r="J9885" s="760"/>
      <c r="K9885" s="760"/>
    </row>
    <row r="9886" spans="1:11">
      <c r="A9886" s="760"/>
      <c r="B9886" s="760"/>
      <c r="C9886" s="760"/>
      <c r="D9886" s="760"/>
      <c r="E9886" s="760"/>
      <c r="F9886" s="760"/>
      <c r="G9886" s="760"/>
      <c r="H9886" s="760"/>
      <c r="I9886" s="760"/>
      <c r="J9886" s="760"/>
      <c r="K9886" s="760"/>
    </row>
    <row r="9887" spans="1:11">
      <c r="A9887" s="760"/>
      <c r="B9887" s="760"/>
      <c r="C9887" s="760"/>
      <c r="D9887" s="760"/>
      <c r="E9887" s="760"/>
      <c r="F9887" s="760"/>
      <c r="G9887" s="760"/>
      <c r="H9887" s="760"/>
      <c r="I9887" s="760"/>
      <c r="J9887" s="760"/>
      <c r="K9887" s="760"/>
    </row>
    <row r="9888" spans="1:11">
      <c r="A9888" s="760"/>
      <c r="B9888" s="760"/>
      <c r="C9888" s="760"/>
      <c r="D9888" s="760"/>
      <c r="E9888" s="760"/>
      <c r="F9888" s="760"/>
      <c r="G9888" s="760"/>
      <c r="H9888" s="760"/>
      <c r="I9888" s="760"/>
      <c r="J9888" s="760"/>
      <c r="K9888" s="760"/>
    </row>
    <row r="9889" spans="1:11">
      <c r="A9889" s="760"/>
      <c r="B9889" s="760"/>
      <c r="C9889" s="760"/>
      <c r="D9889" s="760"/>
      <c r="E9889" s="760"/>
      <c r="F9889" s="760"/>
      <c r="G9889" s="760"/>
      <c r="H9889" s="760"/>
      <c r="I9889" s="760"/>
      <c r="J9889" s="760"/>
      <c r="K9889" s="760"/>
    </row>
    <row r="9890" spans="1:11">
      <c r="A9890" s="760"/>
      <c r="B9890" s="760"/>
      <c r="C9890" s="760"/>
      <c r="D9890" s="760"/>
      <c r="E9890" s="760"/>
      <c r="F9890" s="760"/>
      <c r="G9890" s="760"/>
      <c r="H9890" s="760"/>
      <c r="I9890" s="760"/>
      <c r="J9890" s="760"/>
      <c r="K9890" s="760"/>
    </row>
    <row r="9891" spans="1:11">
      <c r="A9891" s="760"/>
      <c r="B9891" s="760"/>
      <c r="C9891" s="760"/>
      <c r="D9891" s="760"/>
      <c r="E9891" s="760"/>
      <c r="F9891" s="760"/>
      <c r="G9891" s="760"/>
      <c r="H9891" s="760"/>
      <c r="I9891" s="760"/>
      <c r="J9891" s="760"/>
      <c r="K9891" s="760"/>
    </row>
    <row r="9892" spans="1:11">
      <c r="A9892" s="760"/>
      <c r="B9892" s="760"/>
      <c r="C9892" s="760"/>
      <c r="D9892" s="760"/>
      <c r="E9892" s="760"/>
      <c r="F9892" s="760"/>
      <c r="G9892" s="760"/>
      <c r="H9892" s="760"/>
      <c r="I9892" s="760"/>
      <c r="J9892" s="760"/>
      <c r="K9892" s="760"/>
    </row>
    <row r="9893" spans="1:11">
      <c r="A9893" s="760"/>
      <c r="B9893" s="760"/>
      <c r="C9893" s="760"/>
      <c r="D9893" s="760"/>
      <c r="E9893" s="760"/>
      <c r="F9893" s="760"/>
      <c r="G9893" s="760"/>
      <c r="H9893" s="760"/>
      <c r="I9893" s="760"/>
      <c r="J9893" s="760"/>
      <c r="K9893" s="760"/>
    </row>
    <row r="9894" spans="1:11">
      <c r="A9894" s="760"/>
      <c r="B9894" s="760"/>
      <c r="C9894" s="760"/>
      <c r="D9894" s="760"/>
      <c r="E9894" s="760"/>
      <c r="F9894" s="760"/>
      <c r="G9894" s="760"/>
      <c r="H9894" s="760"/>
      <c r="I9894" s="760"/>
      <c r="J9894" s="760"/>
      <c r="K9894" s="760"/>
    </row>
    <row r="9895" spans="1:11">
      <c r="A9895" s="760"/>
      <c r="B9895" s="760"/>
      <c r="C9895" s="760"/>
      <c r="D9895" s="760"/>
      <c r="E9895" s="760"/>
      <c r="F9895" s="760"/>
      <c r="G9895" s="760"/>
      <c r="H9895" s="760"/>
      <c r="I9895" s="760"/>
      <c r="J9895" s="760"/>
      <c r="K9895" s="760"/>
    </row>
    <row r="9896" spans="1:11">
      <c r="A9896" s="760"/>
      <c r="B9896" s="760"/>
      <c r="C9896" s="760"/>
      <c r="D9896" s="760"/>
      <c r="E9896" s="760"/>
      <c r="F9896" s="760"/>
      <c r="G9896" s="760"/>
      <c r="H9896" s="760"/>
      <c r="I9896" s="760"/>
      <c r="J9896" s="760"/>
      <c r="K9896" s="760"/>
    </row>
    <row r="9897" spans="1:11">
      <c r="A9897" s="760"/>
      <c r="B9897" s="760"/>
      <c r="C9897" s="760"/>
      <c r="D9897" s="760"/>
      <c r="E9897" s="760"/>
      <c r="F9897" s="760"/>
      <c r="G9897" s="760"/>
      <c r="H9897" s="760"/>
      <c r="I9897" s="760"/>
      <c r="J9897" s="760"/>
      <c r="K9897" s="760"/>
    </row>
    <row r="9898" spans="1:11">
      <c r="A9898" s="760"/>
      <c r="B9898" s="760"/>
      <c r="C9898" s="760"/>
      <c r="D9898" s="760"/>
      <c r="E9898" s="760"/>
      <c r="F9898" s="760"/>
      <c r="G9898" s="760"/>
      <c r="H9898" s="760"/>
      <c r="I9898" s="760"/>
      <c r="J9898" s="760"/>
      <c r="K9898" s="760"/>
    </row>
    <row r="9899" spans="1:11">
      <c r="A9899" s="760"/>
      <c r="B9899" s="760"/>
      <c r="C9899" s="760"/>
      <c r="D9899" s="760"/>
      <c r="E9899" s="760"/>
      <c r="F9899" s="760"/>
      <c r="G9899" s="760"/>
      <c r="H9899" s="760"/>
      <c r="I9899" s="760"/>
      <c r="J9899" s="760"/>
      <c r="K9899" s="760"/>
    </row>
    <row r="9900" spans="1:11">
      <c r="A9900" s="760"/>
      <c r="B9900" s="760"/>
      <c r="C9900" s="760"/>
      <c r="D9900" s="760"/>
      <c r="E9900" s="760"/>
      <c r="F9900" s="760"/>
      <c r="G9900" s="760"/>
      <c r="H9900" s="760"/>
      <c r="I9900" s="760"/>
      <c r="J9900" s="760"/>
      <c r="K9900" s="760"/>
    </row>
    <row r="9901" spans="1:11">
      <c r="A9901" s="760"/>
      <c r="B9901" s="760"/>
      <c r="C9901" s="760"/>
      <c r="D9901" s="760"/>
      <c r="E9901" s="760"/>
      <c r="F9901" s="760"/>
      <c r="G9901" s="760"/>
      <c r="H9901" s="760"/>
      <c r="I9901" s="760"/>
      <c r="J9901" s="760"/>
      <c r="K9901" s="760"/>
    </row>
    <row r="9902" spans="1:11">
      <c r="A9902" s="760"/>
      <c r="B9902" s="760"/>
      <c r="C9902" s="760"/>
      <c r="D9902" s="760"/>
      <c r="E9902" s="760"/>
      <c r="F9902" s="760"/>
      <c r="G9902" s="760"/>
      <c r="H9902" s="760"/>
      <c r="I9902" s="760"/>
      <c r="J9902" s="760"/>
      <c r="K9902" s="760"/>
    </row>
    <row r="9903" spans="1:11">
      <c r="A9903" s="760"/>
      <c r="B9903" s="760"/>
      <c r="C9903" s="760"/>
      <c r="D9903" s="760"/>
      <c r="E9903" s="760"/>
      <c r="F9903" s="760"/>
      <c r="G9903" s="760"/>
      <c r="H9903" s="760"/>
      <c r="I9903" s="760"/>
      <c r="J9903" s="760"/>
      <c r="K9903" s="760"/>
    </row>
    <row r="9904" spans="1:11">
      <c r="A9904" s="760"/>
      <c r="B9904" s="760"/>
      <c r="C9904" s="760"/>
      <c r="D9904" s="760"/>
      <c r="E9904" s="760"/>
      <c r="F9904" s="760"/>
      <c r="G9904" s="760"/>
      <c r="H9904" s="760"/>
      <c r="I9904" s="760"/>
      <c r="J9904" s="760"/>
      <c r="K9904" s="760"/>
    </row>
    <row r="9905" spans="1:11">
      <c r="A9905" s="760"/>
      <c r="B9905" s="760"/>
      <c r="C9905" s="760"/>
      <c r="D9905" s="760"/>
      <c r="E9905" s="760"/>
      <c r="F9905" s="760"/>
      <c r="G9905" s="760"/>
      <c r="H9905" s="760"/>
      <c r="I9905" s="760"/>
      <c r="J9905" s="760"/>
      <c r="K9905" s="760"/>
    </row>
    <row r="9906" spans="1:11">
      <c r="A9906" s="760"/>
      <c r="B9906" s="760"/>
      <c r="C9906" s="760"/>
      <c r="D9906" s="760"/>
      <c r="E9906" s="760"/>
      <c r="F9906" s="760"/>
      <c r="G9906" s="760"/>
      <c r="H9906" s="760"/>
      <c r="I9906" s="760"/>
      <c r="J9906" s="760"/>
      <c r="K9906" s="760"/>
    </row>
    <row r="9907" spans="1:11">
      <c r="A9907" s="760"/>
      <c r="B9907" s="760"/>
      <c r="C9907" s="760"/>
      <c r="D9907" s="760"/>
      <c r="E9907" s="760"/>
      <c r="F9907" s="760"/>
      <c r="G9907" s="760"/>
      <c r="H9907" s="760"/>
      <c r="I9907" s="760"/>
      <c r="J9907" s="760"/>
      <c r="K9907" s="760"/>
    </row>
    <row r="9908" spans="1:11">
      <c r="A9908" s="760"/>
      <c r="B9908" s="760"/>
      <c r="C9908" s="760"/>
      <c r="D9908" s="760"/>
      <c r="E9908" s="760"/>
      <c r="F9908" s="760"/>
      <c r="G9908" s="760"/>
      <c r="H9908" s="760"/>
      <c r="I9908" s="760"/>
      <c r="J9908" s="760"/>
      <c r="K9908" s="760"/>
    </row>
    <row r="9909" spans="1:11">
      <c r="A9909" s="760"/>
      <c r="B9909" s="760"/>
      <c r="C9909" s="760"/>
      <c r="D9909" s="760"/>
      <c r="E9909" s="760"/>
      <c r="F9909" s="760"/>
      <c r="G9909" s="760"/>
      <c r="H9909" s="760"/>
      <c r="I9909" s="760"/>
      <c r="J9909" s="760"/>
      <c r="K9909" s="760"/>
    </row>
    <row r="9910" spans="1:11">
      <c r="A9910" s="760"/>
      <c r="B9910" s="760"/>
      <c r="C9910" s="760"/>
      <c r="D9910" s="760"/>
      <c r="E9910" s="760"/>
      <c r="F9910" s="760"/>
      <c r="G9910" s="760"/>
      <c r="H9910" s="760"/>
      <c r="I9910" s="760"/>
      <c r="J9910" s="760"/>
      <c r="K9910" s="760"/>
    </row>
    <row r="9911" spans="1:11">
      <c r="A9911" s="760"/>
      <c r="B9911" s="760"/>
      <c r="C9911" s="760"/>
      <c r="D9911" s="760"/>
      <c r="E9911" s="760"/>
      <c r="F9911" s="760"/>
      <c r="G9911" s="760"/>
      <c r="H9911" s="760"/>
      <c r="I9911" s="760"/>
      <c r="J9911" s="760"/>
      <c r="K9911" s="760"/>
    </row>
    <row r="9912" spans="1:11">
      <c r="A9912" s="760"/>
      <c r="B9912" s="760"/>
      <c r="C9912" s="760"/>
      <c r="D9912" s="760"/>
      <c r="E9912" s="760"/>
      <c r="F9912" s="760"/>
      <c r="G9912" s="760"/>
      <c r="H9912" s="760"/>
      <c r="I9912" s="760"/>
      <c r="J9912" s="760"/>
      <c r="K9912" s="760"/>
    </row>
    <row r="9913" spans="1:11">
      <c r="A9913" s="760"/>
      <c r="B9913" s="760"/>
      <c r="C9913" s="760"/>
      <c r="D9913" s="760"/>
      <c r="E9913" s="760"/>
      <c r="F9913" s="760"/>
      <c r="G9913" s="760"/>
      <c r="H9913" s="760"/>
      <c r="I9913" s="760"/>
      <c r="J9913" s="760"/>
      <c r="K9913" s="760"/>
    </row>
    <row r="9914" spans="1:11">
      <c r="A9914" s="760"/>
      <c r="B9914" s="760"/>
      <c r="C9914" s="760"/>
      <c r="D9914" s="760"/>
      <c r="E9914" s="760"/>
      <c r="F9914" s="760"/>
      <c r="G9914" s="760"/>
      <c r="H9914" s="760"/>
      <c r="I9914" s="760"/>
      <c r="J9914" s="760"/>
      <c r="K9914" s="760"/>
    </row>
    <row r="9915" spans="1:11">
      <c r="A9915" s="760"/>
      <c r="B9915" s="760"/>
      <c r="C9915" s="760"/>
      <c r="D9915" s="760"/>
      <c r="E9915" s="760"/>
      <c r="F9915" s="760"/>
      <c r="G9915" s="760"/>
      <c r="H9915" s="760"/>
      <c r="I9915" s="760"/>
      <c r="J9915" s="760"/>
      <c r="K9915" s="760"/>
    </row>
    <row r="9916" spans="1:11">
      <c r="A9916" s="760"/>
      <c r="B9916" s="760"/>
      <c r="C9916" s="760"/>
      <c r="D9916" s="760"/>
      <c r="E9916" s="760"/>
      <c r="F9916" s="760"/>
      <c r="G9916" s="760"/>
      <c r="H9916" s="760"/>
      <c r="I9916" s="760"/>
      <c r="J9916" s="760"/>
      <c r="K9916" s="760"/>
    </row>
    <row r="9917" spans="1:11">
      <c r="A9917" s="760"/>
      <c r="B9917" s="760"/>
      <c r="C9917" s="760"/>
      <c r="D9917" s="760"/>
      <c r="E9917" s="760"/>
      <c r="F9917" s="760"/>
      <c r="G9917" s="760"/>
      <c r="H9917" s="760"/>
      <c r="I9917" s="760"/>
      <c r="J9917" s="760"/>
      <c r="K9917" s="760"/>
    </row>
    <row r="9918" spans="1:11">
      <c r="A9918" s="760"/>
      <c r="B9918" s="760"/>
      <c r="C9918" s="760"/>
      <c r="D9918" s="760"/>
      <c r="E9918" s="760"/>
      <c r="F9918" s="760"/>
      <c r="G9918" s="760"/>
      <c r="H9918" s="760"/>
      <c r="I9918" s="760"/>
      <c r="J9918" s="760"/>
      <c r="K9918" s="760"/>
    </row>
    <row r="9919" spans="1:11">
      <c r="A9919" s="760"/>
      <c r="B9919" s="760"/>
      <c r="C9919" s="760"/>
      <c r="D9919" s="760"/>
      <c r="E9919" s="760"/>
      <c r="F9919" s="760"/>
      <c r="G9919" s="760"/>
      <c r="H9919" s="760"/>
      <c r="I9919" s="760"/>
      <c r="J9919" s="760"/>
      <c r="K9919" s="760"/>
    </row>
    <row r="9920" spans="1:11">
      <c r="A9920" s="760"/>
      <c r="B9920" s="760"/>
      <c r="C9920" s="760"/>
      <c r="D9920" s="760"/>
      <c r="E9920" s="760"/>
      <c r="F9920" s="760"/>
      <c r="G9920" s="760"/>
      <c r="H9920" s="760"/>
      <c r="I9920" s="760"/>
      <c r="J9920" s="760"/>
      <c r="K9920" s="760"/>
    </row>
    <row r="9921" spans="1:11">
      <c r="A9921" s="760"/>
      <c r="B9921" s="760"/>
      <c r="C9921" s="760"/>
      <c r="D9921" s="760"/>
      <c r="E9921" s="760"/>
      <c r="F9921" s="760"/>
      <c r="G9921" s="760"/>
      <c r="H9921" s="760"/>
      <c r="I9921" s="760"/>
      <c r="J9921" s="760"/>
      <c r="K9921" s="760"/>
    </row>
    <row r="9922" spans="1:11">
      <c r="A9922" s="760"/>
      <c r="B9922" s="760"/>
      <c r="C9922" s="760"/>
      <c r="D9922" s="760"/>
      <c r="E9922" s="760"/>
      <c r="F9922" s="760"/>
      <c r="G9922" s="760"/>
      <c r="H9922" s="760"/>
      <c r="I9922" s="760"/>
      <c r="J9922" s="760"/>
      <c r="K9922" s="760"/>
    </row>
    <row r="9923" spans="1:11">
      <c r="A9923" s="760"/>
      <c r="B9923" s="760"/>
      <c r="C9923" s="760"/>
      <c r="D9923" s="760"/>
      <c r="E9923" s="760"/>
      <c r="F9923" s="760"/>
      <c r="G9923" s="760"/>
      <c r="H9923" s="760"/>
      <c r="I9923" s="760"/>
      <c r="J9923" s="760"/>
      <c r="K9923" s="760"/>
    </row>
    <row r="9924" spans="1:11">
      <c r="A9924" s="760"/>
      <c r="B9924" s="760"/>
      <c r="C9924" s="760"/>
      <c r="D9924" s="760"/>
      <c r="E9924" s="760"/>
      <c r="F9924" s="760"/>
      <c r="G9924" s="760"/>
      <c r="H9924" s="760"/>
      <c r="I9924" s="760"/>
      <c r="J9924" s="760"/>
      <c r="K9924" s="760"/>
    </row>
    <row r="9925" spans="1:11">
      <c r="A9925" s="760"/>
      <c r="B9925" s="760"/>
      <c r="C9925" s="760"/>
      <c r="D9925" s="760"/>
      <c r="E9925" s="760"/>
      <c r="F9925" s="760"/>
      <c r="G9925" s="760"/>
      <c r="H9925" s="760"/>
      <c r="I9925" s="760"/>
      <c r="J9925" s="760"/>
      <c r="K9925" s="760"/>
    </row>
    <row r="9926" spans="1:11">
      <c r="A9926" s="760"/>
      <c r="B9926" s="760"/>
      <c r="C9926" s="760"/>
      <c r="D9926" s="760"/>
      <c r="E9926" s="760"/>
      <c r="F9926" s="760"/>
      <c r="G9926" s="760"/>
      <c r="H9926" s="760"/>
      <c r="I9926" s="760"/>
      <c r="J9926" s="760"/>
      <c r="K9926" s="760"/>
    </row>
    <row r="9927" spans="1:11">
      <c r="A9927" s="760"/>
      <c r="B9927" s="760"/>
      <c r="C9927" s="760"/>
      <c r="D9927" s="760"/>
      <c r="E9927" s="760"/>
      <c r="F9927" s="760"/>
      <c r="G9927" s="760"/>
      <c r="H9927" s="760"/>
      <c r="I9927" s="760"/>
      <c r="J9927" s="760"/>
      <c r="K9927" s="760"/>
    </row>
    <row r="9928" spans="1:11">
      <c r="A9928" s="760"/>
      <c r="B9928" s="760"/>
      <c r="C9928" s="760"/>
      <c r="D9928" s="760"/>
      <c r="E9928" s="760"/>
      <c r="F9928" s="760"/>
      <c r="G9928" s="760"/>
      <c r="H9928" s="760"/>
      <c r="I9928" s="760"/>
      <c r="J9928" s="760"/>
      <c r="K9928" s="760"/>
    </row>
    <row r="9929" spans="1:11">
      <c r="A9929" s="760"/>
      <c r="B9929" s="760"/>
      <c r="C9929" s="760"/>
      <c r="D9929" s="760"/>
      <c r="E9929" s="760"/>
      <c r="F9929" s="760"/>
      <c r="G9929" s="760"/>
      <c r="H9929" s="760"/>
      <c r="I9929" s="760"/>
      <c r="J9929" s="760"/>
      <c r="K9929" s="760"/>
    </row>
    <row r="9930" spans="1:11">
      <c r="A9930" s="760"/>
      <c r="B9930" s="760"/>
      <c r="C9930" s="760"/>
      <c r="D9930" s="760"/>
      <c r="E9930" s="760"/>
      <c r="F9930" s="760"/>
      <c r="G9930" s="760"/>
      <c r="H9930" s="760"/>
      <c r="I9930" s="760"/>
      <c r="J9930" s="760"/>
      <c r="K9930" s="760"/>
    </row>
    <row r="9931" spans="1:11">
      <c r="A9931" s="760"/>
      <c r="B9931" s="760"/>
      <c r="C9931" s="760"/>
      <c r="D9931" s="760"/>
      <c r="E9931" s="760"/>
      <c r="F9931" s="760"/>
      <c r="G9931" s="760"/>
      <c r="H9931" s="760"/>
      <c r="I9931" s="760"/>
      <c r="J9931" s="760"/>
      <c r="K9931" s="760"/>
    </row>
    <row r="9932" spans="1:11">
      <c r="A9932" s="760"/>
      <c r="B9932" s="760"/>
      <c r="C9932" s="760"/>
      <c r="D9932" s="760"/>
      <c r="E9932" s="760"/>
      <c r="F9932" s="760"/>
      <c r="G9932" s="760"/>
      <c r="H9932" s="760"/>
      <c r="I9932" s="760"/>
      <c r="J9932" s="760"/>
      <c r="K9932" s="760"/>
    </row>
    <row r="9933" spans="1:11">
      <c r="A9933" s="760"/>
      <c r="B9933" s="760"/>
      <c r="C9933" s="760"/>
      <c r="D9933" s="760"/>
      <c r="E9933" s="760"/>
      <c r="F9933" s="760"/>
      <c r="G9933" s="760"/>
      <c r="H9933" s="760"/>
      <c r="I9933" s="760"/>
      <c r="J9933" s="760"/>
      <c r="K9933" s="760"/>
    </row>
    <row r="9934" spans="1:11">
      <c r="A9934" s="760"/>
      <c r="B9934" s="760"/>
      <c r="C9934" s="760"/>
      <c r="D9934" s="760"/>
      <c r="E9934" s="760"/>
      <c r="F9934" s="760"/>
      <c r="G9934" s="760"/>
      <c r="H9934" s="760"/>
      <c r="I9934" s="760"/>
      <c r="J9934" s="760"/>
      <c r="K9934" s="760"/>
    </row>
    <row r="9935" spans="1:11">
      <c r="A9935" s="760"/>
      <c r="B9935" s="760"/>
      <c r="C9935" s="760"/>
      <c r="D9935" s="760"/>
      <c r="E9935" s="760"/>
      <c r="F9935" s="760"/>
      <c r="G9935" s="760"/>
      <c r="H9935" s="760"/>
      <c r="I9935" s="760"/>
      <c r="J9935" s="760"/>
      <c r="K9935" s="760"/>
    </row>
    <row r="9936" spans="1:11">
      <c r="A9936" s="760"/>
      <c r="B9936" s="760"/>
      <c r="C9936" s="760"/>
      <c r="D9936" s="760"/>
      <c r="E9936" s="760"/>
      <c r="F9936" s="760"/>
      <c r="G9936" s="760"/>
      <c r="H9936" s="760"/>
      <c r="I9936" s="760"/>
      <c r="J9936" s="760"/>
      <c r="K9936" s="760"/>
    </row>
    <row r="9937" spans="1:11">
      <c r="A9937" s="760"/>
      <c r="B9937" s="760"/>
      <c r="C9937" s="760"/>
      <c r="D9937" s="760"/>
      <c r="E9937" s="760"/>
      <c r="F9937" s="760"/>
      <c r="G9937" s="760"/>
      <c r="H9937" s="760"/>
      <c r="I9937" s="760"/>
      <c r="J9937" s="760"/>
      <c r="K9937" s="760"/>
    </row>
    <row r="9938" spans="1:11">
      <c r="A9938" s="760"/>
      <c r="B9938" s="760"/>
      <c r="C9938" s="760"/>
      <c r="D9938" s="760"/>
      <c r="E9938" s="760"/>
      <c r="F9938" s="760"/>
      <c r="G9938" s="760"/>
      <c r="H9938" s="760"/>
      <c r="I9938" s="760"/>
      <c r="J9938" s="760"/>
      <c r="K9938" s="760"/>
    </row>
    <row r="9939" spans="1:11">
      <c r="A9939" s="760"/>
      <c r="B9939" s="760"/>
      <c r="C9939" s="760"/>
      <c r="D9939" s="760"/>
      <c r="E9939" s="760"/>
      <c r="F9939" s="760"/>
      <c r="G9939" s="760"/>
      <c r="H9939" s="760"/>
      <c r="I9939" s="760"/>
      <c r="J9939" s="760"/>
      <c r="K9939" s="760"/>
    </row>
    <row r="9940" spans="1:11">
      <c r="A9940" s="760"/>
      <c r="B9940" s="760"/>
      <c r="C9940" s="760"/>
      <c r="D9940" s="760"/>
      <c r="E9940" s="760"/>
      <c r="F9940" s="760"/>
      <c r="G9940" s="760"/>
      <c r="H9940" s="760"/>
      <c r="I9940" s="760"/>
      <c r="J9940" s="760"/>
      <c r="K9940" s="760"/>
    </row>
    <row r="9941" spans="1:11">
      <c r="A9941" s="760"/>
      <c r="B9941" s="760"/>
      <c r="C9941" s="760"/>
      <c r="D9941" s="760"/>
      <c r="E9941" s="760"/>
      <c r="F9941" s="760"/>
      <c r="G9941" s="760"/>
      <c r="H9941" s="760"/>
      <c r="I9941" s="760"/>
      <c r="J9941" s="760"/>
      <c r="K9941" s="760"/>
    </row>
    <row r="9942" spans="1:11">
      <c r="A9942" s="760"/>
      <c r="B9942" s="760"/>
      <c r="C9942" s="760"/>
      <c r="D9942" s="760"/>
      <c r="E9942" s="760"/>
      <c r="F9942" s="760"/>
      <c r="G9942" s="760"/>
      <c r="H9942" s="760"/>
      <c r="I9942" s="760"/>
      <c r="J9942" s="760"/>
      <c r="K9942" s="760"/>
    </row>
    <row r="9943" spans="1:11">
      <c r="A9943" s="760"/>
      <c r="B9943" s="760"/>
      <c r="C9943" s="760"/>
      <c r="D9943" s="760"/>
      <c r="E9943" s="760"/>
      <c r="F9943" s="760"/>
      <c r="G9943" s="760"/>
      <c r="H9943" s="760"/>
      <c r="I9943" s="760"/>
      <c r="J9943" s="760"/>
      <c r="K9943" s="760"/>
    </row>
    <row r="9944" spans="1:11">
      <c r="A9944" s="760"/>
      <c r="B9944" s="760"/>
      <c r="C9944" s="760"/>
      <c r="D9944" s="760"/>
      <c r="E9944" s="760"/>
      <c r="F9944" s="760"/>
      <c r="G9944" s="760"/>
      <c r="H9944" s="760"/>
      <c r="I9944" s="760"/>
      <c r="J9944" s="760"/>
      <c r="K9944" s="760"/>
    </row>
    <row r="9945" spans="1:11">
      <c r="A9945" s="760"/>
      <c r="B9945" s="760"/>
      <c r="C9945" s="760"/>
      <c r="D9945" s="760"/>
      <c r="E9945" s="760"/>
      <c r="F9945" s="760"/>
      <c r="G9945" s="760"/>
      <c r="H9945" s="760"/>
      <c r="I9945" s="760"/>
      <c r="J9945" s="760"/>
      <c r="K9945" s="760"/>
    </row>
    <row r="9946" spans="1:11">
      <c r="A9946" s="760"/>
      <c r="B9946" s="760"/>
      <c r="C9946" s="760"/>
      <c r="D9946" s="760"/>
      <c r="E9946" s="760"/>
      <c r="F9946" s="760"/>
      <c r="G9946" s="760"/>
      <c r="H9946" s="760"/>
      <c r="I9946" s="760"/>
      <c r="J9946" s="760"/>
      <c r="K9946" s="760"/>
    </row>
    <row r="9947" spans="1:11">
      <c r="A9947" s="760"/>
      <c r="B9947" s="760"/>
      <c r="C9947" s="760"/>
      <c r="D9947" s="760"/>
      <c r="E9947" s="760"/>
      <c r="F9947" s="760"/>
      <c r="G9947" s="760"/>
      <c r="H9947" s="760"/>
      <c r="I9947" s="760"/>
      <c r="J9947" s="760"/>
      <c r="K9947" s="760"/>
    </row>
    <row r="9948" spans="1:11">
      <c r="A9948" s="760"/>
      <c r="B9948" s="760"/>
      <c r="C9948" s="760"/>
      <c r="D9948" s="760"/>
      <c r="E9948" s="760"/>
      <c r="F9948" s="760"/>
      <c r="G9948" s="760"/>
      <c r="H9948" s="760"/>
      <c r="I9948" s="760"/>
      <c r="J9948" s="760"/>
      <c r="K9948" s="760"/>
    </row>
    <row r="9949" spans="1:11">
      <c r="A9949" s="760"/>
      <c r="B9949" s="760"/>
      <c r="C9949" s="760"/>
      <c r="D9949" s="760"/>
      <c r="E9949" s="760"/>
      <c r="F9949" s="760"/>
      <c r="G9949" s="760"/>
      <c r="H9949" s="760"/>
      <c r="I9949" s="760"/>
      <c r="J9949" s="760"/>
      <c r="K9949" s="760"/>
    </row>
    <row r="9950" spans="1:11">
      <c r="A9950" s="760"/>
      <c r="B9950" s="760"/>
      <c r="C9950" s="760"/>
      <c r="D9950" s="760"/>
      <c r="E9950" s="760"/>
      <c r="F9950" s="760"/>
      <c r="G9950" s="760"/>
      <c r="H9950" s="760"/>
      <c r="I9950" s="760"/>
      <c r="J9950" s="760"/>
      <c r="K9950" s="760"/>
    </row>
    <row r="9951" spans="1:11">
      <c r="A9951" s="760"/>
      <c r="B9951" s="760"/>
      <c r="C9951" s="760"/>
      <c r="D9951" s="760"/>
      <c r="E9951" s="760"/>
      <c r="F9951" s="760"/>
      <c r="G9951" s="760"/>
      <c r="H9951" s="760"/>
      <c r="I9951" s="760"/>
      <c r="J9951" s="760"/>
      <c r="K9951" s="760"/>
    </row>
    <row r="9952" spans="1:11">
      <c r="A9952" s="760"/>
      <c r="B9952" s="760"/>
      <c r="C9952" s="760"/>
      <c r="D9952" s="760"/>
      <c r="E9952" s="760"/>
      <c r="F9952" s="760"/>
      <c r="G9952" s="760"/>
      <c r="H9952" s="760"/>
      <c r="I9952" s="760"/>
      <c r="J9952" s="760"/>
      <c r="K9952" s="760"/>
    </row>
    <row r="9953" spans="1:11">
      <c r="A9953" s="760"/>
      <c r="B9953" s="760"/>
      <c r="C9953" s="760"/>
      <c r="D9953" s="760"/>
      <c r="E9953" s="760"/>
      <c r="F9953" s="760"/>
      <c r="G9953" s="760"/>
      <c r="H9953" s="760"/>
      <c r="I9953" s="760"/>
      <c r="J9953" s="760"/>
      <c r="K9953" s="760"/>
    </row>
    <row r="9954" spans="1:11">
      <c r="A9954" s="760"/>
      <c r="B9954" s="760"/>
      <c r="C9954" s="760"/>
      <c r="D9954" s="760"/>
      <c r="E9954" s="760"/>
      <c r="F9954" s="760"/>
      <c r="G9954" s="760"/>
      <c r="H9954" s="760"/>
      <c r="I9954" s="760"/>
      <c r="J9954" s="760"/>
      <c r="K9954" s="760"/>
    </row>
    <row r="9955" spans="1:11">
      <c r="A9955" s="760"/>
      <c r="B9955" s="760"/>
      <c r="C9955" s="760"/>
      <c r="D9955" s="760"/>
      <c r="E9955" s="760"/>
      <c r="F9955" s="760"/>
      <c r="G9955" s="760"/>
      <c r="H9955" s="760"/>
      <c r="I9955" s="760"/>
      <c r="J9955" s="760"/>
      <c r="K9955" s="760"/>
    </row>
    <row r="9956" spans="1:11">
      <c r="A9956" s="760"/>
      <c r="B9956" s="760"/>
      <c r="C9956" s="760"/>
      <c r="D9956" s="760"/>
      <c r="E9956" s="760"/>
      <c r="F9956" s="760"/>
      <c r="G9956" s="760"/>
      <c r="H9956" s="760"/>
      <c r="I9956" s="760"/>
      <c r="J9956" s="760"/>
      <c r="K9956" s="760"/>
    </row>
    <row r="9957" spans="1:11">
      <c r="A9957" s="760"/>
      <c r="B9957" s="760"/>
      <c r="C9957" s="760"/>
      <c r="D9957" s="760"/>
      <c r="E9957" s="760"/>
      <c r="F9957" s="760"/>
      <c r="G9957" s="760"/>
      <c r="H9957" s="760"/>
      <c r="I9957" s="760"/>
      <c r="J9957" s="760"/>
      <c r="K9957" s="760"/>
    </row>
    <row r="9958" spans="1:11">
      <c r="A9958" s="760"/>
      <c r="B9958" s="760"/>
      <c r="C9958" s="760"/>
      <c r="D9958" s="760"/>
      <c r="E9958" s="760"/>
      <c r="F9958" s="760"/>
      <c r="G9958" s="760"/>
      <c r="H9958" s="760"/>
      <c r="I9958" s="760"/>
      <c r="J9958" s="760"/>
      <c r="K9958" s="760"/>
    </row>
    <row r="9959" spans="1:11">
      <c r="A9959" s="760"/>
      <c r="B9959" s="760"/>
      <c r="C9959" s="760"/>
      <c r="D9959" s="760"/>
      <c r="E9959" s="760"/>
      <c r="F9959" s="760"/>
      <c r="G9959" s="760"/>
      <c r="H9959" s="760"/>
      <c r="I9959" s="760"/>
      <c r="J9959" s="760"/>
      <c r="K9959" s="760"/>
    </row>
    <row r="9960" spans="1:11">
      <c r="A9960" s="760"/>
      <c r="B9960" s="760"/>
      <c r="C9960" s="760"/>
      <c r="D9960" s="760"/>
      <c r="E9960" s="760"/>
      <c r="F9960" s="760"/>
      <c r="G9960" s="760"/>
      <c r="H9960" s="760"/>
      <c r="I9960" s="760"/>
      <c r="J9960" s="760"/>
      <c r="K9960" s="760"/>
    </row>
    <row r="9961" spans="1:11">
      <c r="A9961" s="760"/>
      <c r="B9961" s="760"/>
      <c r="C9961" s="760"/>
      <c r="D9961" s="760"/>
      <c r="E9961" s="760"/>
      <c r="F9961" s="760"/>
      <c r="G9961" s="760"/>
      <c r="H9961" s="760"/>
      <c r="I9961" s="760"/>
      <c r="J9961" s="760"/>
      <c r="K9961" s="760"/>
    </row>
    <row r="9962" spans="1:11">
      <c r="A9962" s="760"/>
      <c r="B9962" s="760"/>
      <c r="C9962" s="760"/>
      <c r="D9962" s="760"/>
      <c r="E9962" s="760"/>
      <c r="F9962" s="760"/>
      <c r="G9962" s="760"/>
      <c r="H9962" s="760"/>
      <c r="I9962" s="760"/>
      <c r="J9962" s="760"/>
      <c r="K9962" s="760"/>
    </row>
    <row r="9963" spans="1:11">
      <c r="A9963" s="760"/>
      <c r="B9963" s="760"/>
      <c r="C9963" s="760"/>
      <c r="D9963" s="760"/>
      <c r="E9963" s="760"/>
      <c r="F9963" s="760"/>
      <c r="G9963" s="760"/>
      <c r="H9963" s="760"/>
      <c r="I9963" s="760"/>
      <c r="J9963" s="760"/>
      <c r="K9963" s="760"/>
    </row>
    <row r="9964" spans="1:11">
      <c r="A9964" s="760"/>
      <c r="B9964" s="760"/>
      <c r="C9964" s="760"/>
      <c r="D9964" s="760"/>
      <c r="E9964" s="760"/>
      <c r="F9964" s="760"/>
      <c r="G9964" s="760"/>
      <c r="H9964" s="760"/>
      <c r="I9964" s="760"/>
      <c r="J9964" s="760"/>
      <c r="K9964" s="760"/>
    </row>
    <row r="9965" spans="1:11">
      <c r="A9965" s="760"/>
      <c r="B9965" s="760"/>
      <c r="C9965" s="760"/>
      <c r="D9965" s="760"/>
      <c r="E9965" s="760"/>
      <c r="F9965" s="760"/>
      <c r="G9965" s="760"/>
      <c r="H9965" s="760"/>
      <c r="I9965" s="760"/>
      <c r="J9965" s="760"/>
      <c r="K9965" s="760"/>
    </row>
    <row r="9966" spans="1:11">
      <c r="A9966" s="760"/>
      <c r="B9966" s="760"/>
      <c r="C9966" s="760"/>
      <c r="D9966" s="760"/>
      <c r="E9966" s="760"/>
      <c r="F9966" s="760"/>
      <c r="G9966" s="760"/>
      <c r="H9966" s="760"/>
      <c r="I9966" s="760"/>
      <c r="J9966" s="760"/>
      <c r="K9966" s="760"/>
    </row>
    <row r="9967" spans="1:11">
      <c r="A9967" s="760"/>
      <c r="B9967" s="760"/>
      <c r="C9967" s="760"/>
      <c r="D9967" s="760"/>
      <c r="E9967" s="760"/>
      <c r="F9967" s="760"/>
      <c r="G9967" s="760"/>
      <c r="H9967" s="760"/>
      <c r="I9967" s="760"/>
      <c r="J9967" s="760"/>
      <c r="K9967" s="760"/>
    </row>
    <row r="9968" spans="1:11">
      <c r="A9968" s="760"/>
      <c r="B9968" s="760"/>
      <c r="C9968" s="760"/>
      <c r="D9968" s="760"/>
      <c r="E9968" s="760"/>
      <c r="F9968" s="760"/>
      <c r="G9968" s="760"/>
      <c r="H9968" s="760"/>
      <c r="I9968" s="760"/>
      <c r="J9968" s="760"/>
      <c r="K9968" s="760"/>
    </row>
    <row r="9969" spans="1:11">
      <c r="A9969" s="760"/>
      <c r="B9969" s="760"/>
      <c r="C9969" s="760"/>
      <c r="D9969" s="760"/>
      <c r="E9969" s="760"/>
      <c r="F9969" s="760"/>
      <c r="G9969" s="760"/>
      <c r="H9969" s="760"/>
      <c r="I9969" s="760"/>
      <c r="J9969" s="760"/>
      <c r="K9969" s="760"/>
    </row>
    <row r="9970" spans="1:11">
      <c r="A9970" s="760"/>
      <c r="B9970" s="760"/>
      <c r="C9970" s="760"/>
      <c r="D9970" s="760"/>
      <c r="E9970" s="760"/>
      <c r="F9970" s="760"/>
      <c r="G9970" s="760"/>
      <c r="H9970" s="760"/>
      <c r="I9970" s="760"/>
      <c r="J9970" s="760"/>
      <c r="K9970" s="760"/>
    </row>
    <row r="9971" spans="1:11">
      <c r="A9971" s="760"/>
      <c r="B9971" s="760"/>
      <c r="C9971" s="760"/>
      <c r="D9971" s="760"/>
      <c r="E9971" s="760"/>
      <c r="F9971" s="760"/>
      <c r="G9971" s="760"/>
      <c r="H9971" s="760"/>
      <c r="I9971" s="760"/>
      <c r="J9971" s="760"/>
      <c r="K9971" s="760"/>
    </row>
    <row r="9972" spans="1:11">
      <c r="A9972" s="760"/>
      <c r="B9972" s="760"/>
      <c r="C9972" s="760"/>
      <c r="D9972" s="760"/>
      <c r="E9972" s="760"/>
      <c r="F9972" s="760"/>
      <c r="G9972" s="760"/>
      <c r="H9972" s="760"/>
      <c r="I9972" s="760"/>
      <c r="J9972" s="760"/>
      <c r="K9972" s="760"/>
    </row>
    <row r="9973" spans="1:11">
      <c r="A9973" s="760"/>
      <c r="B9973" s="760"/>
      <c r="C9973" s="760"/>
      <c r="D9973" s="760"/>
      <c r="E9973" s="760"/>
      <c r="F9973" s="760"/>
      <c r="G9973" s="760"/>
      <c r="H9973" s="760"/>
      <c r="I9973" s="760"/>
      <c r="J9973" s="760"/>
      <c r="K9973" s="760"/>
    </row>
    <row r="9974" spans="1:11">
      <c r="A9974" s="760"/>
      <c r="B9974" s="760"/>
      <c r="C9974" s="760"/>
      <c r="D9974" s="760"/>
      <c r="E9974" s="760"/>
      <c r="F9974" s="760"/>
      <c r="G9974" s="760"/>
      <c r="H9974" s="760"/>
      <c r="I9974" s="760"/>
      <c r="J9974" s="760"/>
      <c r="K9974" s="760"/>
    </row>
    <row r="9975" spans="1:11">
      <c r="A9975" s="760"/>
      <c r="B9975" s="760"/>
      <c r="C9975" s="760"/>
      <c r="D9975" s="760"/>
      <c r="E9975" s="760"/>
      <c r="F9975" s="760"/>
      <c r="G9975" s="760"/>
      <c r="H9975" s="760"/>
      <c r="I9975" s="760"/>
      <c r="J9975" s="760"/>
      <c r="K9975" s="760"/>
    </row>
    <row r="9976" spans="1:11">
      <c r="A9976" s="760"/>
      <c r="B9976" s="760"/>
      <c r="C9976" s="760"/>
      <c r="D9976" s="760"/>
      <c r="E9976" s="760"/>
      <c r="F9976" s="760"/>
      <c r="G9976" s="760"/>
      <c r="H9976" s="760"/>
      <c r="I9976" s="760"/>
      <c r="J9976" s="760"/>
      <c r="K9976" s="760"/>
    </row>
    <row r="9977" spans="1:11">
      <c r="A9977" s="760"/>
      <c r="B9977" s="760"/>
      <c r="C9977" s="760"/>
      <c r="D9977" s="760"/>
      <c r="E9977" s="760"/>
      <c r="F9977" s="760"/>
      <c r="G9977" s="760"/>
      <c r="H9977" s="760"/>
      <c r="I9977" s="760"/>
      <c r="J9977" s="760"/>
      <c r="K9977" s="760"/>
    </row>
    <row r="9978" spans="1:11">
      <c r="A9978" s="760"/>
      <c r="B9978" s="760"/>
      <c r="C9978" s="760"/>
      <c r="D9978" s="760"/>
      <c r="E9978" s="760"/>
      <c r="F9978" s="760"/>
      <c r="G9978" s="760"/>
      <c r="H9978" s="760"/>
      <c r="I9978" s="760"/>
      <c r="J9978" s="760"/>
      <c r="K9978" s="760"/>
    </row>
    <row r="9979" spans="1:11">
      <c r="A9979" s="760"/>
      <c r="B9979" s="760"/>
      <c r="C9979" s="760"/>
      <c r="D9979" s="760"/>
      <c r="E9979" s="760"/>
      <c r="F9979" s="760"/>
      <c r="G9979" s="760"/>
      <c r="H9979" s="760"/>
      <c r="I9979" s="760"/>
      <c r="J9979" s="760"/>
      <c r="K9979" s="760"/>
    </row>
    <row r="9980" spans="1:11">
      <c r="A9980" s="760"/>
      <c r="B9980" s="760"/>
      <c r="C9980" s="760"/>
      <c r="D9980" s="760"/>
      <c r="E9980" s="760"/>
      <c r="F9980" s="760"/>
      <c r="G9980" s="760"/>
      <c r="H9980" s="760"/>
      <c r="I9980" s="760"/>
      <c r="J9980" s="760"/>
      <c r="K9980" s="760"/>
    </row>
    <row r="9981" spans="1:11">
      <c r="A9981" s="760"/>
      <c r="B9981" s="760"/>
      <c r="C9981" s="760"/>
      <c r="D9981" s="760"/>
      <c r="E9981" s="760"/>
      <c r="F9981" s="760"/>
      <c r="G9981" s="760"/>
      <c r="H9981" s="760"/>
      <c r="I9981" s="760"/>
      <c r="J9981" s="760"/>
      <c r="K9981" s="760"/>
    </row>
    <row r="9982" spans="1:11">
      <c r="A9982" s="760"/>
      <c r="B9982" s="760"/>
      <c r="C9982" s="760"/>
      <c r="D9982" s="760"/>
      <c r="E9982" s="760"/>
      <c r="F9982" s="760"/>
      <c r="G9982" s="760"/>
      <c r="H9982" s="760"/>
      <c r="I9982" s="760"/>
      <c r="J9982" s="760"/>
      <c r="K9982" s="760"/>
    </row>
    <row r="9983" spans="1:11">
      <c r="A9983" s="760"/>
      <c r="B9983" s="760"/>
      <c r="C9983" s="760"/>
      <c r="D9983" s="760"/>
      <c r="E9983" s="760"/>
      <c r="F9983" s="760"/>
      <c r="G9983" s="760"/>
      <c r="H9983" s="760"/>
      <c r="I9983" s="760"/>
      <c r="J9983" s="760"/>
      <c r="K9983" s="760"/>
    </row>
    <row r="9984" spans="1:11">
      <c r="A9984" s="760"/>
      <c r="B9984" s="760"/>
      <c r="C9984" s="760"/>
      <c r="D9984" s="760"/>
      <c r="E9984" s="760"/>
      <c r="F9984" s="760"/>
      <c r="G9984" s="760"/>
      <c r="H9984" s="760"/>
      <c r="I9984" s="760"/>
      <c r="J9984" s="760"/>
      <c r="K9984" s="760"/>
    </row>
    <row r="9985" spans="1:11">
      <c r="A9985" s="760"/>
      <c r="B9985" s="760"/>
      <c r="C9985" s="760"/>
      <c r="D9985" s="760"/>
      <c r="E9985" s="760"/>
      <c r="F9985" s="760"/>
      <c r="G9985" s="760"/>
      <c r="H9985" s="760"/>
      <c r="I9985" s="760"/>
      <c r="J9985" s="760"/>
      <c r="K9985" s="760"/>
    </row>
    <row r="9986" spans="1:11">
      <c r="A9986" s="760"/>
      <c r="B9986" s="760"/>
      <c r="C9986" s="760"/>
      <c r="D9986" s="760"/>
      <c r="E9986" s="760"/>
      <c r="F9986" s="760"/>
      <c r="G9986" s="760"/>
      <c r="H9986" s="760"/>
      <c r="I9986" s="760"/>
      <c r="J9986" s="760"/>
      <c r="K9986" s="760"/>
    </row>
    <row r="9987" spans="1:11">
      <c r="A9987" s="760"/>
      <c r="B9987" s="760"/>
      <c r="C9987" s="760"/>
      <c r="D9987" s="760"/>
      <c r="E9987" s="760"/>
      <c r="F9987" s="760"/>
      <c r="G9987" s="760"/>
      <c r="H9987" s="760"/>
      <c r="I9987" s="760"/>
      <c r="J9987" s="760"/>
      <c r="K9987" s="760"/>
    </row>
    <row r="9988" spans="1:11">
      <c r="A9988" s="760"/>
      <c r="B9988" s="760"/>
      <c r="C9988" s="760"/>
      <c r="D9988" s="760"/>
      <c r="E9988" s="760"/>
      <c r="F9988" s="760"/>
      <c r="G9988" s="760"/>
      <c r="H9988" s="760"/>
      <c r="I9988" s="760"/>
      <c r="J9988" s="760"/>
      <c r="K9988" s="760"/>
    </row>
    <row r="9989" spans="1:11">
      <c r="A9989" s="760"/>
      <c r="B9989" s="760"/>
      <c r="C9989" s="760"/>
      <c r="D9989" s="760"/>
      <c r="E9989" s="760"/>
      <c r="F9989" s="760"/>
      <c r="G9989" s="760"/>
      <c r="H9989" s="760"/>
      <c r="I9989" s="760"/>
      <c r="J9989" s="760"/>
      <c r="K9989" s="760"/>
    </row>
    <row r="9990" spans="1:11">
      <c r="A9990" s="760"/>
      <c r="B9990" s="760"/>
      <c r="C9990" s="760"/>
      <c r="D9990" s="760"/>
      <c r="E9990" s="760"/>
      <c r="F9990" s="760"/>
      <c r="G9990" s="760"/>
      <c r="H9990" s="760"/>
      <c r="I9990" s="760"/>
      <c r="J9990" s="760"/>
      <c r="K9990" s="760"/>
    </row>
    <row r="9991" spans="1:11">
      <c r="A9991" s="760"/>
      <c r="B9991" s="760"/>
      <c r="C9991" s="760"/>
      <c r="D9991" s="760"/>
      <c r="E9991" s="760"/>
      <c r="F9991" s="760"/>
      <c r="G9991" s="760"/>
      <c r="H9991" s="760"/>
      <c r="I9991" s="760"/>
      <c r="J9991" s="760"/>
      <c r="K9991" s="760"/>
    </row>
    <row r="9992" spans="1:11">
      <c r="A9992" s="760"/>
      <c r="B9992" s="760"/>
      <c r="C9992" s="760"/>
      <c r="D9992" s="760"/>
      <c r="E9992" s="760"/>
      <c r="F9992" s="760"/>
      <c r="G9992" s="760"/>
      <c r="H9992" s="760"/>
      <c r="I9992" s="760"/>
      <c r="J9992" s="760"/>
      <c r="K9992" s="760"/>
    </row>
    <row r="9993" spans="1:11">
      <c r="A9993" s="760"/>
      <c r="B9993" s="760"/>
      <c r="C9993" s="760"/>
      <c r="D9993" s="760"/>
      <c r="E9993" s="760"/>
      <c r="F9993" s="760"/>
      <c r="G9993" s="760"/>
      <c r="H9993" s="760"/>
      <c r="I9993" s="760"/>
      <c r="J9993" s="760"/>
      <c r="K9993" s="760"/>
    </row>
    <row r="9994" spans="1:11">
      <c r="A9994" s="760"/>
      <c r="B9994" s="760"/>
      <c r="C9994" s="760"/>
      <c r="D9994" s="760"/>
      <c r="E9994" s="760"/>
      <c r="F9994" s="760"/>
      <c r="G9994" s="760"/>
      <c r="H9994" s="760"/>
      <c r="I9994" s="760"/>
      <c r="J9994" s="760"/>
      <c r="K9994" s="760"/>
    </row>
    <row r="9995" spans="1:11">
      <c r="A9995" s="760"/>
      <c r="B9995" s="760"/>
      <c r="C9995" s="760"/>
      <c r="D9995" s="760"/>
      <c r="E9995" s="760"/>
      <c r="F9995" s="760"/>
      <c r="G9995" s="760"/>
      <c r="H9995" s="760"/>
      <c r="I9995" s="760"/>
      <c r="J9995" s="760"/>
      <c r="K9995" s="760"/>
    </row>
    <row r="9996" spans="1:11">
      <c r="A9996" s="760"/>
      <c r="B9996" s="760"/>
      <c r="C9996" s="760"/>
      <c r="D9996" s="760"/>
      <c r="E9996" s="760"/>
      <c r="F9996" s="760"/>
      <c r="G9996" s="760"/>
      <c r="H9996" s="760"/>
      <c r="I9996" s="760"/>
      <c r="J9996" s="760"/>
      <c r="K9996" s="760"/>
    </row>
    <row r="9997" spans="1:11">
      <c r="A9997" s="760"/>
      <c r="B9997" s="760"/>
      <c r="C9997" s="760"/>
      <c r="D9997" s="760"/>
      <c r="E9997" s="760"/>
      <c r="F9997" s="760"/>
      <c r="G9997" s="760"/>
      <c r="H9997" s="760"/>
      <c r="I9997" s="760"/>
      <c r="J9997" s="760"/>
      <c r="K9997" s="760"/>
    </row>
    <row r="9998" spans="1:11">
      <c r="A9998" s="760"/>
      <c r="B9998" s="760"/>
      <c r="C9998" s="760"/>
      <c r="D9998" s="760"/>
      <c r="E9998" s="760"/>
      <c r="F9998" s="760"/>
      <c r="G9998" s="760"/>
      <c r="H9998" s="760"/>
      <c r="I9998" s="760"/>
      <c r="J9998" s="760"/>
      <c r="K9998" s="760"/>
    </row>
    <row r="9999" spans="1:11">
      <c r="A9999" s="760"/>
      <c r="B9999" s="760"/>
      <c r="C9999" s="760"/>
      <c r="D9999" s="760"/>
      <c r="E9999" s="760"/>
      <c r="F9999" s="760"/>
      <c r="G9999" s="760"/>
      <c r="H9999" s="760"/>
      <c r="I9999" s="760"/>
      <c r="J9999" s="760"/>
      <c r="K9999" s="760"/>
    </row>
    <row r="10000" spans="1:11">
      <c r="A10000" s="760"/>
      <c r="B10000" s="760"/>
      <c r="C10000" s="760"/>
      <c r="D10000" s="760"/>
      <c r="E10000" s="760"/>
      <c r="F10000" s="760"/>
      <c r="G10000" s="760"/>
      <c r="H10000" s="760"/>
      <c r="I10000" s="760"/>
      <c r="J10000" s="760"/>
      <c r="K10000" s="760"/>
    </row>
    <row r="10001" spans="1:11">
      <c r="A10001" s="760"/>
      <c r="B10001" s="760"/>
      <c r="C10001" s="760"/>
      <c r="D10001" s="760"/>
      <c r="E10001" s="760"/>
      <c r="F10001" s="760"/>
      <c r="G10001" s="760"/>
      <c r="H10001" s="760"/>
      <c r="I10001" s="760"/>
      <c r="J10001" s="760"/>
      <c r="K10001" s="760"/>
    </row>
    <row r="10002" spans="1:11">
      <c r="A10002" s="760"/>
      <c r="B10002" s="760"/>
      <c r="C10002" s="760"/>
      <c r="D10002" s="760"/>
      <c r="E10002" s="760"/>
      <c r="F10002" s="760"/>
      <c r="G10002" s="760"/>
      <c r="H10002" s="760"/>
      <c r="I10002" s="760"/>
      <c r="J10002" s="760"/>
      <c r="K10002" s="760"/>
    </row>
    <row r="10003" spans="1:11">
      <c r="A10003" s="760"/>
      <c r="B10003" s="760"/>
      <c r="C10003" s="760"/>
      <c r="D10003" s="760"/>
      <c r="E10003" s="760"/>
      <c r="F10003" s="760"/>
      <c r="G10003" s="760"/>
      <c r="H10003" s="760"/>
      <c r="I10003" s="760"/>
      <c r="J10003" s="760"/>
      <c r="K10003" s="760"/>
    </row>
    <row r="10004" spans="1:11">
      <c r="A10004" s="760"/>
      <c r="B10004" s="760"/>
      <c r="C10004" s="760"/>
      <c r="D10004" s="760"/>
      <c r="E10004" s="760"/>
      <c r="F10004" s="760"/>
      <c r="G10004" s="760"/>
      <c r="H10004" s="760"/>
      <c r="I10004" s="760"/>
      <c r="J10004" s="760"/>
      <c r="K10004" s="760"/>
    </row>
    <row r="10005" spans="1:11">
      <c r="A10005" s="760"/>
      <c r="B10005" s="760"/>
      <c r="C10005" s="760"/>
      <c r="D10005" s="760"/>
      <c r="E10005" s="760"/>
      <c r="F10005" s="760"/>
      <c r="G10005" s="760"/>
      <c r="H10005" s="760"/>
      <c r="I10005" s="760"/>
      <c r="J10005" s="760"/>
      <c r="K10005" s="760"/>
    </row>
    <row r="10006" spans="1:11">
      <c r="A10006" s="760"/>
      <c r="B10006" s="760"/>
      <c r="C10006" s="760"/>
      <c r="D10006" s="760"/>
      <c r="E10006" s="760"/>
      <c r="F10006" s="760"/>
      <c r="G10006" s="760"/>
      <c r="H10006" s="760"/>
      <c r="I10006" s="760"/>
      <c r="J10006" s="760"/>
      <c r="K10006" s="760"/>
    </row>
    <row r="10007" spans="1:11">
      <c r="A10007" s="760"/>
      <c r="B10007" s="760"/>
      <c r="C10007" s="760"/>
      <c r="D10007" s="760"/>
      <c r="E10007" s="760"/>
      <c r="F10007" s="760"/>
      <c r="G10007" s="760"/>
      <c r="H10007" s="760"/>
      <c r="I10007" s="760"/>
      <c r="J10007" s="760"/>
      <c r="K10007" s="760"/>
    </row>
    <row r="10008" spans="1:11">
      <c r="A10008" s="760"/>
      <c r="B10008" s="760"/>
      <c r="C10008" s="760"/>
      <c r="D10008" s="760"/>
      <c r="E10008" s="760"/>
      <c r="F10008" s="760"/>
      <c r="G10008" s="760"/>
      <c r="H10008" s="760"/>
      <c r="I10008" s="760"/>
      <c r="J10008" s="760"/>
      <c r="K10008" s="760"/>
    </row>
    <row r="10009" spans="1:11">
      <c r="A10009" s="760"/>
      <c r="B10009" s="760"/>
      <c r="C10009" s="760"/>
      <c r="D10009" s="760"/>
      <c r="E10009" s="760"/>
      <c r="F10009" s="760"/>
      <c r="G10009" s="760"/>
      <c r="H10009" s="760"/>
      <c r="I10009" s="760"/>
      <c r="J10009" s="760"/>
      <c r="K10009" s="760"/>
    </row>
    <row r="10010" spans="1:11">
      <c r="A10010" s="760"/>
      <c r="B10010" s="760"/>
      <c r="C10010" s="760"/>
      <c r="D10010" s="760"/>
      <c r="E10010" s="760"/>
      <c r="F10010" s="760"/>
      <c r="G10010" s="760"/>
      <c r="H10010" s="760"/>
      <c r="I10010" s="760"/>
      <c r="J10010" s="760"/>
      <c r="K10010" s="760"/>
    </row>
    <row r="10011" spans="1:11">
      <c r="A10011" s="760"/>
      <c r="B10011" s="760"/>
      <c r="C10011" s="760"/>
      <c r="D10011" s="760"/>
      <c r="E10011" s="760"/>
      <c r="F10011" s="760"/>
      <c r="G10011" s="760"/>
      <c r="H10011" s="760"/>
      <c r="I10011" s="760"/>
      <c r="J10011" s="760"/>
      <c r="K10011" s="760"/>
    </row>
    <row r="10012" spans="1:11">
      <c r="A10012" s="760"/>
      <c r="B10012" s="760"/>
      <c r="C10012" s="760"/>
      <c r="D10012" s="760"/>
      <c r="E10012" s="760"/>
      <c r="F10012" s="760"/>
      <c r="G10012" s="760"/>
      <c r="H10012" s="760"/>
      <c r="I10012" s="760"/>
      <c r="J10012" s="760"/>
      <c r="K10012" s="760"/>
    </row>
    <row r="10013" spans="1:11">
      <c r="A10013" s="760"/>
      <c r="B10013" s="760"/>
      <c r="C10013" s="760"/>
      <c r="D10013" s="760"/>
      <c r="E10013" s="760"/>
      <c r="F10013" s="760"/>
      <c r="G10013" s="760"/>
      <c r="H10013" s="760"/>
      <c r="I10013" s="760"/>
      <c r="J10013" s="760"/>
      <c r="K10013" s="760"/>
    </row>
    <row r="10014" spans="1:11">
      <c r="A10014" s="760"/>
      <c r="B10014" s="760"/>
      <c r="C10014" s="760"/>
      <c r="D10014" s="760"/>
      <c r="E10014" s="760"/>
      <c r="F10014" s="760"/>
      <c r="G10014" s="760"/>
      <c r="H10014" s="760"/>
      <c r="I10014" s="760"/>
      <c r="J10014" s="760"/>
      <c r="K10014" s="760"/>
    </row>
    <row r="10015" spans="1:11">
      <c r="A10015" s="760"/>
      <c r="B10015" s="760"/>
      <c r="C10015" s="760"/>
      <c r="D10015" s="760"/>
      <c r="E10015" s="760"/>
      <c r="F10015" s="760"/>
      <c r="G10015" s="760"/>
      <c r="H10015" s="760"/>
      <c r="I10015" s="760"/>
      <c r="J10015" s="760"/>
      <c r="K10015" s="760"/>
    </row>
    <row r="10016" spans="1:11">
      <c r="A10016" s="760"/>
      <c r="B10016" s="760"/>
      <c r="C10016" s="760"/>
      <c r="D10016" s="760"/>
      <c r="E10016" s="760"/>
      <c r="F10016" s="760"/>
      <c r="G10016" s="760"/>
      <c r="H10016" s="760"/>
      <c r="I10016" s="760"/>
      <c r="J10016" s="760"/>
      <c r="K10016" s="760"/>
    </row>
    <row r="10017" spans="1:11">
      <c r="A10017" s="760"/>
      <c r="B10017" s="760"/>
      <c r="C10017" s="760"/>
      <c r="D10017" s="760"/>
      <c r="E10017" s="760"/>
      <c r="F10017" s="760"/>
      <c r="G10017" s="760"/>
      <c r="H10017" s="760"/>
      <c r="I10017" s="760"/>
      <c r="J10017" s="760"/>
      <c r="K10017" s="760"/>
    </row>
    <row r="10018" spans="1:11">
      <c r="A10018" s="760"/>
      <c r="B10018" s="760"/>
      <c r="C10018" s="760"/>
      <c r="D10018" s="760"/>
      <c r="E10018" s="760"/>
      <c r="F10018" s="760"/>
      <c r="G10018" s="760"/>
      <c r="H10018" s="760"/>
      <c r="I10018" s="760"/>
      <c r="J10018" s="760"/>
      <c r="K10018" s="760"/>
    </row>
    <row r="10019" spans="1:11">
      <c r="A10019" s="760"/>
      <c r="B10019" s="760"/>
      <c r="C10019" s="760"/>
      <c r="D10019" s="760"/>
      <c r="E10019" s="760"/>
      <c r="F10019" s="760"/>
      <c r="G10019" s="760"/>
      <c r="H10019" s="760"/>
      <c r="I10019" s="760"/>
      <c r="J10019" s="760"/>
      <c r="K10019" s="760"/>
    </row>
    <row r="10020" spans="1:11">
      <c r="A10020" s="760"/>
      <c r="B10020" s="760"/>
      <c r="C10020" s="760"/>
      <c r="D10020" s="760"/>
      <c r="E10020" s="760"/>
      <c r="F10020" s="760"/>
      <c r="G10020" s="760"/>
      <c r="H10020" s="760"/>
      <c r="I10020" s="760"/>
      <c r="J10020" s="760"/>
      <c r="K10020" s="760"/>
    </row>
    <row r="10021" spans="1:11">
      <c r="A10021" s="760"/>
      <c r="B10021" s="760"/>
      <c r="C10021" s="760"/>
      <c r="D10021" s="760"/>
      <c r="E10021" s="760"/>
      <c r="F10021" s="760"/>
      <c r="G10021" s="760"/>
      <c r="H10021" s="760"/>
      <c r="I10021" s="760"/>
      <c r="J10021" s="760"/>
      <c r="K10021" s="760"/>
    </row>
    <row r="10022" spans="1:11">
      <c r="A10022" s="760"/>
      <c r="B10022" s="760"/>
      <c r="C10022" s="760"/>
      <c r="D10022" s="760"/>
      <c r="E10022" s="760"/>
      <c r="F10022" s="760"/>
      <c r="G10022" s="760"/>
      <c r="H10022" s="760"/>
      <c r="I10022" s="760"/>
      <c r="J10022" s="760"/>
      <c r="K10022" s="760"/>
    </row>
    <row r="10023" spans="1:11">
      <c r="A10023" s="760"/>
      <c r="B10023" s="760"/>
      <c r="C10023" s="760"/>
      <c r="D10023" s="760"/>
      <c r="E10023" s="760"/>
      <c r="F10023" s="760"/>
      <c r="G10023" s="760"/>
      <c r="H10023" s="760"/>
      <c r="I10023" s="760"/>
      <c r="J10023" s="760"/>
      <c r="K10023" s="760"/>
    </row>
    <row r="10024" spans="1:11">
      <c r="A10024" s="760"/>
      <c r="B10024" s="760"/>
      <c r="C10024" s="760"/>
      <c r="D10024" s="760"/>
      <c r="E10024" s="760"/>
      <c r="F10024" s="760"/>
      <c r="G10024" s="760"/>
      <c r="H10024" s="760"/>
      <c r="I10024" s="760"/>
      <c r="J10024" s="760"/>
      <c r="K10024" s="760"/>
    </row>
    <row r="10025" spans="1:11">
      <c r="A10025" s="760"/>
      <c r="B10025" s="760"/>
      <c r="C10025" s="760"/>
      <c r="D10025" s="760"/>
      <c r="E10025" s="760"/>
      <c r="F10025" s="760"/>
      <c r="G10025" s="760"/>
      <c r="H10025" s="760"/>
      <c r="I10025" s="760"/>
      <c r="J10025" s="760"/>
      <c r="K10025" s="760"/>
    </row>
    <row r="10026" spans="1:11">
      <c r="A10026" s="760"/>
      <c r="B10026" s="760"/>
      <c r="C10026" s="760"/>
      <c r="D10026" s="760"/>
      <c r="E10026" s="760"/>
      <c r="F10026" s="760"/>
      <c r="G10026" s="760"/>
      <c r="H10026" s="760"/>
      <c r="I10026" s="760"/>
      <c r="J10026" s="760"/>
      <c r="K10026" s="760"/>
    </row>
    <row r="10027" spans="1:11">
      <c r="A10027" s="760"/>
      <c r="B10027" s="760"/>
      <c r="C10027" s="760"/>
      <c r="D10027" s="760"/>
      <c r="E10027" s="760"/>
      <c r="F10027" s="760"/>
      <c r="G10027" s="760"/>
      <c r="H10027" s="760"/>
      <c r="I10027" s="760"/>
      <c r="J10027" s="760"/>
      <c r="K10027" s="760"/>
    </row>
    <row r="10028" spans="1:11">
      <c r="A10028" s="760"/>
      <c r="B10028" s="760"/>
      <c r="C10028" s="760"/>
      <c r="D10028" s="760"/>
      <c r="E10028" s="760"/>
      <c r="F10028" s="760"/>
      <c r="G10028" s="760"/>
      <c r="H10028" s="760"/>
      <c r="I10028" s="760"/>
      <c r="J10028" s="760"/>
      <c r="K10028" s="760"/>
    </row>
    <row r="10029" spans="1:11">
      <c r="A10029" s="760"/>
      <c r="B10029" s="760"/>
      <c r="C10029" s="760"/>
      <c r="D10029" s="760"/>
      <c r="E10029" s="760"/>
      <c r="F10029" s="760"/>
      <c r="G10029" s="760"/>
      <c r="H10029" s="760"/>
      <c r="I10029" s="760"/>
      <c r="J10029" s="760"/>
      <c r="K10029" s="760"/>
    </row>
    <row r="10030" spans="1:11">
      <c r="A10030" s="760"/>
      <c r="B10030" s="760"/>
      <c r="C10030" s="760"/>
      <c r="D10030" s="760"/>
      <c r="E10030" s="760"/>
      <c r="F10030" s="760"/>
      <c r="G10030" s="760"/>
      <c r="H10030" s="760"/>
      <c r="I10030" s="760"/>
      <c r="J10030" s="760"/>
      <c r="K10030" s="760"/>
    </row>
    <row r="10031" spans="1:11">
      <c r="A10031" s="760"/>
      <c r="B10031" s="760"/>
      <c r="C10031" s="760"/>
      <c r="D10031" s="760"/>
      <c r="E10031" s="760"/>
      <c r="F10031" s="760"/>
      <c r="G10031" s="760"/>
      <c r="H10031" s="760"/>
      <c r="I10031" s="760"/>
      <c r="J10031" s="760"/>
      <c r="K10031" s="760"/>
    </row>
    <row r="10032" spans="1:11">
      <c r="A10032" s="760"/>
      <c r="B10032" s="760"/>
      <c r="C10032" s="760"/>
      <c r="D10032" s="760"/>
      <c r="E10032" s="760"/>
      <c r="F10032" s="760"/>
      <c r="G10032" s="760"/>
      <c r="H10032" s="760"/>
      <c r="I10032" s="760"/>
      <c r="J10032" s="760"/>
      <c r="K10032" s="760"/>
    </row>
    <row r="10033" spans="1:11">
      <c r="A10033" s="760"/>
      <c r="B10033" s="760"/>
      <c r="C10033" s="760"/>
      <c r="D10033" s="760"/>
      <c r="E10033" s="760"/>
      <c r="F10033" s="760"/>
      <c r="G10033" s="760"/>
      <c r="H10033" s="760"/>
      <c r="I10033" s="760"/>
      <c r="J10033" s="760"/>
      <c r="K10033" s="760"/>
    </row>
    <row r="10034" spans="1:11">
      <c r="A10034" s="760"/>
      <c r="B10034" s="760"/>
      <c r="C10034" s="760"/>
      <c r="D10034" s="760"/>
      <c r="E10034" s="760"/>
      <c r="F10034" s="760"/>
      <c r="G10034" s="760"/>
      <c r="H10034" s="760"/>
      <c r="I10034" s="760"/>
      <c r="J10034" s="760"/>
      <c r="K10034" s="760"/>
    </row>
    <row r="10035" spans="1:11">
      <c r="A10035" s="760"/>
      <c r="B10035" s="760"/>
      <c r="C10035" s="760"/>
      <c r="D10035" s="760"/>
      <c r="E10035" s="760"/>
      <c r="F10035" s="760"/>
      <c r="G10035" s="760"/>
      <c r="H10035" s="760"/>
      <c r="I10035" s="760"/>
      <c r="J10035" s="760"/>
      <c r="K10035" s="760"/>
    </row>
    <row r="10036" spans="1:11">
      <c r="A10036" s="760"/>
      <c r="B10036" s="760"/>
      <c r="C10036" s="760"/>
      <c r="D10036" s="760"/>
      <c r="E10036" s="760"/>
      <c r="F10036" s="760"/>
      <c r="G10036" s="760"/>
      <c r="H10036" s="760"/>
      <c r="I10036" s="760"/>
      <c r="J10036" s="760"/>
      <c r="K10036" s="760"/>
    </row>
    <row r="10037" spans="1:11">
      <c r="A10037" s="760"/>
      <c r="B10037" s="760"/>
      <c r="C10037" s="760"/>
      <c r="D10037" s="760"/>
      <c r="E10037" s="760"/>
      <c r="F10037" s="760"/>
      <c r="G10037" s="760"/>
      <c r="H10037" s="760"/>
      <c r="I10037" s="760"/>
      <c r="J10037" s="760"/>
      <c r="K10037" s="760"/>
    </row>
    <row r="10038" spans="1:11">
      <c r="A10038" s="760"/>
      <c r="B10038" s="760"/>
      <c r="C10038" s="760"/>
      <c r="D10038" s="760"/>
      <c r="E10038" s="760"/>
      <c r="F10038" s="760"/>
      <c r="G10038" s="760"/>
      <c r="H10038" s="760"/>
      <c r="I10038" s="760"/>
      <c r="J10038" s="760"/>
      <c r="K10038" s="760"/>
    </row>
    <row r="10039" spans="1:11">
      <c r="A10039" s="760"/>
      <c r="B10039" s="760"/>
      <c r="C10039" s="760"/>
      <c r="D10039" s="760"/>
      <c r="E10039" s="760"/>
      <c r="F10039" s="760"/>
      <c r="G10039" s="760"/>
      <c r="H10039" s="760"/>
      <c r="I10039" s="760"/>
      <c r="J10039" s="760"/>
      <c r="K10039" s="760"/>
    </row>
    <row r="10040" spans="1:11">
      <c r="A10040" s="760"/>
      <c r="B10040" s="760"/>
      <c r="C10040" s="760"/>
      <c r="D10040" s="760"/>
      <c r="E10040" s="760"/>
      <c r="F10040" s="760"/>
      <c r="G10040" s="760"/>
      <c r="H10040" s="760"/>
      <c r="I10040" s="760"/>
      <c r="J10040" s="760"/>
      <c r="K10040" s="760"/>
    </row>
    <row r="10041" spans="1:11">
      <c r="A10041" s="760"/>
      <c r="B10041" s="760"/>
      <c r="C10041" s="760"/>
      <c r="D10041" s="760"/>
      <c r="E10041" s="760"/>
      <c r="F10041" s="760"/>
      <c r="G10041" s="760"/>
      <c r="H10041" s="760"/>
      <c r="I10041" s="760"/>
      <c r="J10041" s="760"/>
      <c r="K10041" s="760"/>
    </row>
    <row r="10042" spans="1:11">
      <c r="A10042" s="760"/>
      <c r="B10042" s="760"/>
      <c r="C10042" s="760"/>
      <c r="D10042" s="760"/>
      <c r="E10042" s="760"/>
      <c r="F10042" s="760"/>
      <c r="G10042" s="760"/>
      <c r="H10042" s="760"/>
      <c r="I10042" s="760"/>
      <c r="J10042" s="760"/>
      <c r="K10042" s="760"/>
    </row>
    <row r="10043" spans="1:11">
      <c r="A10043" s="760"/>
      <c r="B10043" s="760"/>
      <c r="C10043" s="760"/>
      <c r="D10043" s="760"/>
      <c r="E10043" s="760"/>
      <c r="F10043" s="760"/>
      <c r="G10043" s="760"/>
      <c r="H10043" s="760"/>
      <c r="I10043" s="760"/>
      <c r="J10043" s="760"/>
      <c r="K10043" s="760"/>
    </row>
    <row r="10044" spans="1:11">
      <c r="A10044" s="760"/>
      <c r="B10044" s="760"/>
      <c r="C10044" s="760"/>
      <c r="D10044" s="760"/>
      <c r="E10044" s="760"/>
      <c r="F10044" s="760"/>
      <c r="G10044" s="760"/>
      <c r="H10044" s="760"/>
      <c r="I10044" s="760"/>
      <c r="J10044" s="760"/>
      <c r="K10044" s="760"/>
    </row>
    <row r="10045" spans="1:11">
      <c r="A10045" s="760"/>
      <c r="B10045" s="760"/>
      <c r="C10045" s="760"/>
      <c r="D10045" s="760"/>
      <c r="E10045" s="760"/>
      <c r="F10045" s="760"/>
      <c r="G10045" s="760"/>
      <c r="H10045" s="760"/>
      <c r="I10045" s="760"/>
      <c r="J10045" s="760"/>
      <c r="K10045" s="760"/>
    </row>
    <row r="10046" spans="1:11">
      <c r="A10046" s="760"/>
      <c r="B10046" s="760"/>
      <c r="C10046" s="760"/>
      <c r="D10046" s="760"/>
      <c r="E10046" s="760"/>
      <c r="F10046" s="760"/>
      <c r="G10046" s="760"/>
      <c r="H10046" s="760"/>
      <c r="I10046" s="760"/>
      <c r="J10046" s="760"/>
      <c r="K10046" s="760"/>
    </row>
    <row r="10047" spans="1:11">
      <c r="A10047" s="760"/>
      <c r="B10047" s="760"/>
      <c r="C10047" s="760"/>
      <c r="D10047" s="760"/>
      <c r="E10047" s="760"/>
      <c r="F10047" s="760"/>
      <c r="G10047" s="760"/>
      <c r="H10047" s="760"/>
      <c r="I10047" s="760"/>
      <c r="J10047" s="760"/>
      <c r="K10047" s="760"/>
    </row>
    <row r="10048" spans="1:11">
      <c r="A10048" s="760"/>
      <c r="B10048" s="760"/>
      <c r="C10048" s="760"/>
      <c r="D10048" s="760"/>
      <c r="E10048" s="760"/>
      <c r="F10048" s="760"/>
      <c r="G10048" s="760"/>
      <c r="H10048" s="760"/>
      <c r="I10048" s="760"/>
      <c r="J10048" s="760"/>
      <c r="K10048" s="760"/>
    </row>
    <row r="10049" spans="1:11">
      <c r="A10049" s="760"/>
      <c r="B10049" s="760"/>
      <c r="C10049" s="760"/>
      <c r="D10049" s="760"/>
      <c r="E10049" s="760"/>
      <c r="F10049" s="760"/>
      <c r="G10049" s="760"/>
      <c r="H10049" s="760"/>
      <c r="I10049" s="760"/>
      <c r="J10049" s="760"/>
      <c r="K10049" s="760"/>
    </row>
    <row r="10050" spans="1:11">
      <c r="A10050" s="760"/>
      <c r="B10050" s="760"/>
      <c r="C10050" s="760"/>
      <c r="D10050" s="760"/>
      <c r="E10050" s="760"/>
      <c r="F10050" s="760"/>
      <c r="G10050" s="760"/>
      <c r="H10050" s="760"/>
      <c r="I10050" s="760"/>
      <c r="J10050" s="760"/>
      <c r="K10050" s="760"/>
    </row>
    <row r="10051" spans="1:11">
      <c r="A10051" s="760"/>
      <c r="B10051" s="760"/>
      <c r="C10051" s="760"/>
      <c r="D10051" s="760"/>
      <c r="E10051" s="760"/>
      <c r="F10051" s="760"/>
      <c r="G10051" s="760"/>
      <c r="H10051" s="760"/>
      <c r="I10051" s="760"/>
      <c r="J10051" s="760"/>
      <c r="K10051" s="760"/>
    </row>
    <row r="10052" spans="1:11">
      <c r="A10052" s="760"/>
      <c r="B10052" s="760"/>
      <c r="C10052" s="760"/>
      <c r="D10052" s="760"/>
      <c r="E10052" s="760"/>
      <c r="F10052" s="760"/>
      <c r="G10052" s="760"/>
      <c r="H10052" s="760"/>
      <c r="I10052" s="760"/>
      <c r="J10052" s="760"/>
      <c r="K10052" s="760"/>
    </row>
    <row r="10053" spans="1:11">
      <c r="A10053" s="760"/>
      <c r="B10053" s="760"/>
      <c r="C10053" s="760"/>
      <c r="D10053" s="760"/>
      <c r="E10053" s="760"/>
      <c r="F10053" s="760"/>
      <c r="G10053" s="760"/>
      <c r="H10053" s="760"/>
      <c r="I10053" s="760"/>
      <c r="J10053" s="760"/>
      <c r="K10053" s="760"/>
    </row>
    <row r="10054" spans="1:11">
      <c r="A10054" s="760"/>
      <c r="B10054" s="760"/>
      <c r="C10054" s="760"/>
      <c r="D10054" s="760"/>
      <c r="E10054" s="760"/>
      <c r="F10054" s="760"/>
      <c r="G10054" s="760"/>
      <c r="H10054" s="760"/>
      <c r="I10054" s="760"/>
      <c r="J10054" s="760"/>
      <c r="K10054" s="760"/>
    </row>
    <row r="10055" spans="1:11">
      <c r="A10055" s="760"/>
      <c r="B10055" s="760"/>
      <c r="C10055" s="760"/>
      <c r="D10055" s="760"/>
      <c r="E10055" s="760"/>
      <c r="F10055" s="760"/>
      <c r="G10055" s="760"/>
      <c r="H10055" s="760"/>
      <c r="I10055" s="760"/>
      <c r="J10055" s="760"/>
      <c r="K10055" s="760"/>
    </row>
    <row r="10056" spans="1:11">
      <c r="A10056" s="760"/>
      <c r="B10056" s="760"/>
      <c r="C10056" s="760"/>
      <c r="D10056" s="760"/>
      <c r="E10056" s="760"/>
      <c r="F10056" s="760"/>
      <c r="G10056" s="760"/>
      <c r="H10056" s="760"/>
      <c r="I10056" s="760"/>
      <c r="J10056" s="760"/>
      <c r="K10056" s="760"/>
    </row>
    <row r="10057" spans="1:11">
      <c r="A10057" s="760"/>
      <c r="B10057" s="760"/>
      <c r="C10057" s="760"/>
      <c r="D10057" s="760"/>
      <c r="E10057" s="760"/>
      <c r="F10057" s="760"/>
      <c r="G10057" s="760"/>
      <c r="H10057" s="760"/>
      <c r="I10057" s="760"/>
      <c r="J10057" s="760"/>
      <c r="K10057" s="760"/>
    </row>
    <row r="10058" spans="1:11">
      <c r="A10058" s="760"/>
      <c r="B10058" s="760"/>
      <c r="C10058" s="760"/>
      <c r="D10058" s="760"/>
      <c r="E10058" s="760"/>
      <c r="F10058" s="760"/>
      <c r="G10058" s="760"/>
      <c r="H10058" s="760"/>
      <c r="I10058" s="760"/>
      <c r="J10058" s="760"/>
      <c r="K10058" s="760"/>
    </row>
    <row r="10059" spans="1:11">
      <c r="A10059" s="760"/>
      <c r="B10059" s="760"/>
      <c r="C10059" s="760"/>
      <c r="D10059" s="760"/>
      <c r="E10059" s="760"/>
      <c r="F10059" s="760"/>
      <c r="G10059" s="760"/>
      <c r="H10059" s="760"/>
      <c r="I10059" s="760"/>
      <c r="J10059" s="760"/>
      <c r="K10059" s="760"/>
    </row>
    <row r="10060" spans="1:11">
      <c r="A10060" s="760"/>
      <c r="B10060" s="760"/>
      <c r="C10060" s="760"/>
      <c r="D10060" s="760"/>
      <c r="E10060" s="760"/>
      <c r="F10060" s="760"/>
      <c r="G10060" s="760"/>
      <c r="H10060" s="760"/>
      <c r="I10060" s="760"/>
      <c r="J10060" s="760"/>
      <c r="K10060" s="760"/>
    </row>
    <row r="10061" spans="1:11">
      <c r="A10061" s="760"/>
      <c r="B10061" s="760"/>
      <c r="C10061" s="760"/>
      <c r="D10061" s="760"/>
      <c r="E10061" s="760"/>
      <c r="F10061" s="760"/>
      <c r="G10061" s="760"/>
      <c r="H10061" s="760"/>
      <c r="I10061" s="760"/>
      <c r="J10061" s="760"/>
      <c r="K10061" s="760"/>
    </row>
    <row r="10062" spans="1:11">
      <c r="A10062" s="760"/>
      <c r="B10062" s="760"/>
      <c r="C10062" s="760"/>
      <c r="D10062" s="760"/>
      <c r="E10062" s="760"/>
      <c r="F10062" s="760"/>
      <c r="G10062" s="760"/>
      <c r="H10062" s="760"/>
      <c r="I10062" s="760"/>
      <c r="J10062" s="760"/>
      <c r="K10062" s="760"/>
    </row>
    <row r="10063" spans="1:11">
      <c r="A10063" s="760"/>
      <c r="B10063" s="760"/>
      <c r="C10063" s="760"/>
      <c r="D10063" s="760"/>
      <c r="E10063" s="760"/>
      <c r="F10063" s="760"/>
      <c r="G10063" s="760"/>
      <c r="H10063" s="760"/>
      <c r="I10063" s="760"/>
      <c r="J10063" s="760"/>
      <c r="K10063" s="760"/>
    </row>
    <row r="10064" spans="1:11">
      <c r="A10064" s="760"/>
      <c r="B10064" s="760"/>
      <c r="C10064" s="760"/>
      <c r="D10064" s="760"/>
      <c r="E10064" s="760"/>
      <c r="F10064" s="760"/>
      <c r="G10064" s="760"/>
      <c r="H10064" s="760"/>
      <c r="I10064" s="760"/>
      <c r="J10064" s="760"/>
      <c r="K10064" s="760"/>
    </row>
    <row r="10065" spans="1:11">
      <c r="A10065" s="760"/>
      <c r="B10065" s="760"/>
      <c r="C10065" s="760"/>
      <c r="D10065" s="760"/>
      <c r="E10065" s="760"/>
      <c r="F10065" s="760"/>
      <c r="G10065" s="760"/>
      <c r="H10065" s="760"/>
      <c r="I10065" s="760"/>
      <c r="J10065" s="760"/>
      <c r="K10065" s="760"/>
    </row>
    <row r="10066" spans="1:11">
      <c r="A10066" s="760"/>
      <c r="B10066" s="760"/>
      <c r="C10066" s="760"/>
      <c r="D10066" s="760"/>
      <c r="E10066" s="760"/>
      <c r="F10066" s="760"/>
      <c r="G10066" s="760"/>
      <c r="H10066" s="760"/>
      <c r="I10066" s="760"/>
      <c r="J10066" s="760"/>
      <c r="K10066" s="760"/>
    </row>
    <row r="10067" spans="1:11">
      <c r="A10067" s="760"/>
      <c r="B10067" s="760"/>
      <c r="C10067" s="760"/>
      <c r="D10067" s="760"/>
      <c r="E10067" s="760"/>
      <c r="F10067" s="760"/>
      <c r="G10067" s="760"/>
      <c r="H10067" s="760"/>
      <c r="I10067" s="760"/>
      <c r="J10067" s="760"/>
      <c r="K10067" s="760"/>
    </row>
    <row r="10068" spans="1:11">
      <c r="A10068" s="760"/>
      <c r="B10068" s="760"/>
      <c r="C10068" s="760"/>
      <c r="D10068" s="760"/>
      <c r="E10068" s="760"/>
      <c r="F10068" s="760"/>
      <c r="G10068" s="760"/>
      <c r="H10068" s="760"/>
      <c r="I10068" s="760"/>
      <c r="J10068" s="760"/>
      <c r="K10068" s="760"/>
    </row>
    <row r="10069" spans="1:11">
      <c r="A10069" s="760"/>
      <c r="B10069" s="760"/>
      <c r="C10069" s="760"/>
      <c r="D10069" s="760"/>
      <c r="E10069" s="760"/>
      <c r="F10069" s="760"/>
      <c r="G10069" s="760"/>
      <c r="H10069" s="760"/>
      <c r="I10069" s="760"/>
      <c r="J10069" s="760"/>
      <c r="K10069" s="760"/>
    </row>
    <row r="10070" spans="1:11">
      <c r="A10070" s="760"/>
      <c r="B10070" s="760"/>
      <c r="C10070" s="760"/>
      <c r="D10070" s="760"/>
      <c r="E10070" s="760"/>
      <c r="F10070" s="760"/>
      <c r="G10070" s="760"/>
      <c r="H10070" s="760"/>
      <c r="I10070" s="760"/>
      <c r="J10070" s="760"/>
      <c r="K10070" s="760"/>
    </row>
    <row r="10071" spans="1:11">
      <c r="A10071" s="760"/>
      <c r="B10071" s="760"/>
      <c r="C10071" s="760"/>
      <c r="D10071" s="760"/>
      <c r="E10071" s="760"/>
      <c r="F10071" s="760"/>
      <c r="G10071" s="760"/>
      <c r="H10071" s="760"/>
      <c r="I10071" s="760"/>
      <c r="J10071" s="760"/>
      <c r="K10071" s="760"/>
    </row>
    <row r="10072" spans="1:11">
      <c r="A10072" s="760"/>
      <c r="B10072" s="760"/>
      <c r="C10072" s="760"/>
      <c r="D10072" s="760"/>
      <c r="E10072" s="760"/>
      <c r="F10072" s="760"/>
      <c r="G10072" s="760"/>
      <c r="H10072" s="760"/>
      <c r="I10072" s="760"/>
      <c r="J10072" s="760"/>
      <c r="K10072" s="760"/>
    </row>
    <row r="10073" spans="1:11">
      <c r="A10073" s="760"/>
      <c r="B10073" s="760"/>
      <c r="C10073" s="760"/>
      <c r="D10073" s="760"/>
      <c r="E10073" s="760"/>
      <c r="F10073" s="760"/>
      <c r="G10073" s="760"/>
      <c r="H10073" s="760"/>
      <c r="I10073" s="760"/>
      <c r="J10073" s="760"/>
      <c r="K10073" s="760"/>
    </row>
    <row r="10074" spans="1:11">
      <c r="A10074" s="760"/>
      <c r="B10074" s="760"/>
      <c r="C10074" s="760"/>
      <c r="D10074" s="760"/>
      <c r="E10074" s="760"/>
      <c r="F10074" s="760"/>
      <c r="G10074" s="760"/>
      <c r="H10074" s="760"/>
      <c r="I10074" s="760"/>
      <c r="J10074" s="760"/>
      <c r="K10074" s="760"/>
    </row>
    <row r="10075" spans="1:11">
      <c r="A10075" s="760"/>
      <c r="B10075" s="760"/>
      <c r="C10075" s="760"/>
      <c r="D10075" s="760"/>
      <c r="E10075" s="760"/>
      <c r="F10075" s="760"/>
      <c r="G10075" s="760"/>
      <c r="H10075" s="760"/>
      <c r="I10075" s="760"/>
      <c r="J10075" s="760"/>
      <c r="K10075" s="760"/>
    </row>
    <row r="10076" spans="1:11">
      <c r="A10076" s="760"/>
      <c r="B10076" s="760"/>
      <c r="C10076" s="760"/>
      <c r="D10076" s="760"/>
      <c r="E10076" s="760"/>
      <c r="F10076" s="760"/>
      <c r="G10076" s="760"/>
      <c r="H10076" s="760"/>
      <c r="I10076" s="760"/>
      <c r="J10076" s="760"/>
      <c r="K10076" s="760"/>
    </row>
    <row r="10077" spans="1:11">
      <c r="A10077" s="760"/>
      <c r="B10077" s="760"/>
      <c r="C10077" s="760"/>
      <c r="D10077" s="760"/>
      <c r="E10077" s="760"/>
      <c r="F10077" s="760"/>
      <c r="G10077" s="760"/>
      <c r="H10077" s="760"/>
      <c r="I10077" s="760"/>
      <c r="J10077" s="760"/>
      <c r="K10077" s="760"/>
    </row>
    <row r="10078" spans="1:11">
      <c r="A10078" s="760"/>
      <c r="B10078" s="760"/>
      <c r="C10078" s="760"/>
      <c r="D10078" s="760"/>
      <c r="E10078" s="760"/>
      <c r="F10078" s="760"/>
      <c r="G10078" s="760"/>
      <c r="H10078" s="760"/>
      <c r="I10078" s="760"/>
      <c r="J10078" s="760"/>
      <c r="K10078" s="760"/>
    </row>
    <row r="10079" spans="1:11">
      <c r="A10079" s="760"/>
      <c r="B10079" s="760"/>
      <c r="C10079" s="760"/>
      <c r="D10079" s="760"/>
      <c r="E10079" s="760"/>
      <c r="F10079" s="760"/>
      <c r="G10079" s="760"/>
      <c r="H10079" s="760"/>
      <c r="I10079" s="760"/>
      <c r="J10079" s="760"/>
      <c r="K10079" s="760"/>
    </row>
    <row r="10080" spans="1:11">
      <c r="A10080" s="760"/>
      <c r="B10080" s="760"/>
      <c r="C10080" s="760"/>
      <c r="D10080" s="760"/>
      <c r="E10080" s="760"/>
      <c r="F10080" s="760"/>
      <c r="G10080" s="760"/>
      <c r="H10080" s="760"/>
      <c r="I10080" s="760"/>
      <c r="J10080" s="760"/>
      <c r="K10080" s="760"/>
    </row>
    <row r="10081" spans="1:11">
      <c r="A10081" s="760"/>
      <c r="B10081" s="760"/>
      <c r="C10081" s="760"/>
      <c r="D10081" s="760"/>
      <c r="E10081" s="760"/>
      <c r="F10081" s="760"/>
      <c r="G10081" s="760"/>
      <c r="H10081" s="760"/>
      <c r="I10081" s="760"/>
      <c r="J10081" s="760"/>
      <c r="K10081" s="760"/>
    </row>
    <row r="10082" spans="1:11">
      <c r="A10082" s="760"/>
      <c r="B10082" s="760"/>
      <c r="C10082" s="760"/>
      <c r="D10082" s="760"/>
      <c r="E10082" s="760"/>
      <c r="F10082" s="760"/>
      <c r="G10082" s="760"/>
      <c r="H10082" s="760"/>
      <c r="I10082" s="760"/>
      <c r="J10082" s="760"/>
      <c r="K10082" s="760"/>
    </row>
    <row r="10083" spans="1:11">
      <c r="A10083" s="760"/>
      <c r="B10083" s="760"/>
      <c r="C10083" s="760"/>
      <c r="D10083" s="760"/>
      <c r="E10083" s="760"/>
      <c r="F10083" s="760"/>
      <c r="G10083" s="760"/>
      <c r="H10083" s="760"/>
      <c r="I10083" s="760"/>
      <c r="J10083" s="760"/>
      <c r="K10083" s="760"/>
    </row>
    <row r="10084" spans="1:11">
      <c r="A10084" s="760"/>
      <c r="B10084" s="760"/>
      <c r="C10084" s="760"/>
      <c r="D10084" s="760"/>
      <c r="E10084" s="760"/>
      <c r="F10084" s="760"/>
      <c r="G10084" s="760"/>
      <c r="H10084" s="760"/>
      <c r="I10084" s="760"/>
      <c r="J10084" s="760"/>
      <c r="K10084" s="760"/>
    </row>
    <row r="10085" spans="1:11">
      <c r="A10085" s="760"/>
      <c r="B10085" s="760"/>
      <c r="C10085" s="760"/>
      <c r="D10085" s="760"/>
      <c r="E10085" s="760"/>
      <c r="F10085" s="760"/>
      <c r="G10085" s="760"/>
      <c r="H10085" s="760"/>
      <c r="I10085" s="760"/>
      <c r="J10085" s="760"/>
      <c r="K10085" s="760"/>
    </row>
    <row r="10086" spans="1:11">
      <c r="A10086" s="760"/>
      <c r="B10086" s="760"/>
      <c r="C10086" s="760"/>
      <c r="D10086" s="760"/>
      <c r="E10086" s="760"/>
      <c r="F10086" s="760"/>
      <c r="G10086" s="760"/>
      <c r="H10086" s="760"/>
      <c r="I10086" s="760"/>
      <c r="J10086" s="760"/>
      <c r="K10086" s="760"/>
    </row>
    <row r="10087" spans="1:11">
      <c r="A10087" s="760"/>
      <c r="B10087" s="760"/>
      <c r="C10087" s="760"/>
      <c r="D10087" s="760"/>
      <c r="E10087" s="760"/>
      <c r="F10087" s="760"/>
      <c r="G10087" s="760"/>
      <c r="H10087" s="760"/>
      <c r="I10087" s="760"/>
      <c r="J10087" s="760"/>
      <c r="K10087" s="760"/>
    </row>
    <row r="10088" spans="1:11">
      <c r="A10088" s="760"/>
      <c r="B10088" s="760"/>
      <c r="C10088" s="760"/>
      <c r="D10088" s="760"/>
      <c r="E10088" s="760"/>
      <c r="F10088" s="760"/>
      <c r="G10088" s="760"/>
      <c r="H10088" s="760"/>
      <c r="I10088" s="760"/>
      <c r="J10088" s="760"/>
      <c r="K10088" s="760"/>
    </row>
    <row r="10089" spans="1:11">
      <c r="A10089" s="760"/>
      <c r="B10089" s="760"/>
      <c r="C10089" s="760"/>
      <c r="D10089" s="760"/>
      <c r="E10089" s="760"/>
      <c r="F10089" s="760"/>
      <c r="G10089" s="760"/>
      <c r="H10089" s="760"/>
      <c r="I10089" s="760"/>
      <c r="J10089" s="760"/>
      <c r="K10089" s="760"/>
    </row>
    <row r="10090" spans="1:11">
      <c r="A10090" s="760"/>
      <c r="B10090" s="760"/>
      <c r="C10090" s="760"/>
      <c r="D10090" s="760"/>
      <c r="E10090" s="760"/>
      <c r="F10090" s="760"/>
      <c r="G10090" s="760"/>
      <c r="H10090" s="760"/>
      <c r="I10090" s="760"/>
      <c r="J10090" s="760"/>
      <c r="K10090" s="760"/>
    </row>
    <row r="10091" spans="1:11">
      <c r="A10091" s="760"/>
      <c r="B10091" s="760"/>
      <c r="C10091" s="760"/>
      <c r="D10091" s="760"/>
      <c r="E10091" s="760"/>
      <c r="F10091" s="760"/>
      <c r="G10091" s="760"/>
      <c r="H10091" s="760"/>
      <c r="I10091" s="760"/>
      <c r="J10091" s="760"/>
      <c r="K10091" s="760"/>
    </row>
    <row r="10092" spans="1:11">
      <c r="A10092" s="760"/>
      <c r="B10092" s="760"/>
      <c r="C10092" s="760"/>
      <c r="D10092" s="760"/>
      <c r="E10092" s="760"/>
      <c r="F10092" s="760"/>
      <c r="G10092" s="760"/>
      <c r="H10092" s="760"/>
      <c r="I10092" s="760"/>
      <c r="J10092" s="760"/>
      <c r="K10092" s="760"/>
    </row>
    <row r="10093" spans="1:11">
      <c r="A10093" s="760"/>
      <c r="B10093" s="760"/>
      <c r="C10093" s="760"/>
      <c r="D10093" s="760"/>
      <c r="E10093" s="760"/>
      <c r="F10093" s="760"/>
      <c r="G10093" s="760"/>
      <c r="H10093" s="760"/>
      <c r="I10093" s="760"/>
      <c r="J10093" s="760"/>
      <c r="K10093" s="760"/>
    </row>
    <row r="10094" spans="1:11">
      <c r="A10094" s="760"/>
      <c r="B10094" s="760"/>
      <c r="C10094" s="760"/>
      <c r="D10094" s="760"/>
      <c r="E10094" s="760"/>
      <c r="F10094" s="760"/>
      <c r="G10094" s="760"/>
      <c r="H10094" s="760"/>
      <c r="I10094" s="760"/>
      <c r="J10094" s="760"/>
      <c r="K10094" s="760"/>
    </row>
    <row r="10095" spans="1:11">
      <c r="A10095" s="760"/>
      <c r="B10095" s="760"/>
      <c r="C10095" s="760"/>
      <c r="D10095" s="760"/>
      <c r="E10095" s="760"/>
      <c r="F10095" s="760"/>
      <c r="G10095" s="760"/>
      <c r="H10095" s="760"/>
      <c r="I10095" s="760"/>
      <c r="J10095" s="760"/>
      <c r="K10095" s="760"/>
    </row>
    <row r="10096" spans="1:11">
      <c r="A10096" s="760"/>
      <c r="B10096" s="760"/>
      <c r="C10096" s="760"/>
      <c r="D10096" s="760"/>
      <c r="E10096" s="760"/>
      <c r="F10096" s="760"/>
      <c r="G10096" s="760"/>
      <c r="H10096" s="760"/>
      <c r="I10096" s="760"/>
      <c r="J10096" s="760"/>
      <c r="K10096" s="760"/>
    </row>
    <row r="10097" spans="1:11">
      <c r="A10097" s="760"/>
      <c r="B10097" s="760"/>
      <c r="C10097" s="760"/>
      <c r="D10097" s="760"/>
      <c r="E10097" s="760"/>
      <c r="F10097" s="760"/>
      <c r="G10097" s="760"/>
      <c r="H10097" s="760"/>
      <c r="I10097" s="760"/>
      <c r="J10097" s="760"/>
      <c r="K10097" s="760"/>
    </row>
    <row r="10098" spans="1:11">
      <c r="A10098" s="760"/>
      <c r="B10098" s="760"/>
      <c r="C10098" s="760"/>
      <c r="D10098" s="760"/>
      <c r="E10098" s="760"/>
      <c r="F10098" s="760"/>
      <c r="G10098" s="760"/>
      <c r="H10098" s="760"/>
      <c r="I10098" s="760"/>
      <c r="J10098" s="760"/>
      <c r="K10098" s="760"/>
    </row>
    <row r="10099" spans="1:11">
      <c r="A10099" s="760"/>
      <c r="B10099" s="760"/>
      <c r="C10099" s="760"/>
      <c r="D10099" s="760"/>
      <c r="E10099" s="760"/>
      <c r="F10099" s="760"/>
      <c r="G10099" s="760"/>
      <c r="H10099" s="760"/>
      <c r="I10099" s="760"/>
      <c r="J10099" s="760"/>
      <c r="K10099" s="760"/>
    </row>
    <row r="10100" spans="1:11">
      <c r="A10100" s="760"/>
      <c r="B10100" s="760"/>
      <c r="C10100" s="760"/>
      <c r="D10100" s="760"/>
      <c r="E10100" s="760"/>
      <c r="F10100" s="760"/>
      <c r="G10100" s="760"/>
      <c r="H10100" s="760"/>
      <c r="I10100" s="760"/>
      <c r="J10100" s="760"/>
      <c r="K10100" s="760"/>
    </row>
    <row r="10101" spans="1:11">
      <c r="A10101" s="760"/>
      <c r="B10101" s="760"/>
      <c r="C10101" s="760"/>
      <c r="D10101" s="760"/>
      <c r="E10101" s="760"/>
      <c r="F10101" s="760"/>
      <c r="G10101" s="760"/>
      <c r="H10101" s="760"/>
      <c r="I10101" s="760"/>
      <c r="J10101" s="760"/>
      <c r="K10101" s="760"/>
    </row>
    <row r="10102" spans="1:11">
      <c r="A10102" s="760"/>
      <c r="B10102" s="760"/>
      <c r="C10102" s="760"/>
      <c r="D10102" s="760"/>
      <c r="E10102" s="760"/>
      <c r="F10102" s="760"/>
      <c r="G10102" s="760"/>
      <c r="H10102" s="760"/>
      <c r="I10102" s="760"/>
      <c r="J10102" s="760"/>
      <c r="K10102" s="760"/>
    </row>
    <row r="10103" spans="1:11">
      <c r="A10103" s="760"/>
      <c r="B10103" s="760"/>
      <c r="C10103" s="760"/>
      <c r="D10103" s="760"/>
      <c r="E10103" s="760"/>
      <c r="F10103" s="760"/>
      <c r="G10103" s="760"/>
      <c r="H10103" s="760"/>
      <c r="I10103" s="760"/>
      <c r="J10103" s="760"/>
      <c r="K10103" s="760"/>
    </row>
    <row r="10104" spans="1:11">
      <c r="A10104" s="760"/>
      <c r="B10104" s="760"/>
      <c r="C10104" s="760"/>
      <c r="D10104" s="760"/>
      <c r="E10104" s="760"/>
      <c r="F10104" s="760"/>
      <c r="G10104" s="760"/>
      <c r="H10104" s="760"/>
      <c r="I10104" s="760"/>
      <c r="J10104" s="760"/>
      <c r="K10104" s="760"/>
    </row>
    <row r="10105" spans="1:11">
      <c r="A10105" s="760"/>
      <c r="B10105" s="760"/>
      <c r="C10105" s="760"/>
      <c r="D10105" s="760"/>
      <c r="E10105" s="760"/>
      <c r="F10105" s="760"/>
      <c r="G10105" s="760"/>
      <c r="H10105" s="760"/>
      <c r="I10105" s="760"/>
      <c r="J10105" s="760"/>
      <c r="K10105" s="760"/>
    </row>
    <row r="10106" spans="1:11">
      <c r="A10106" s="760"/>
      <c r="B10106" s="760"/>
      <c r="C10106" s="760"/>
      <c r="D10106" s="760"/>
      <c r="E10106" s="760"/>
      <c r="F10106" s="760"/>
      <c r="G10106" s="760"/>
      <c r="H10106" s="760"/>
      <c r="I10106" s="760"/>
      <c r="J10106" s="760"/>
      <c r="K10106" s="760"/>
    </row>
    <row r="10107" spans="1:11">
      <c r="A10107" s="760"/>
      <c r="B10107" s="760"/>
      <c r="C10107" s="760"/>
      <c r="D10107" s="760"/>
      <c r="E10107" s="760"/>
      <c r="F10107" s="760"/>
      <c r="G10107" s="760"/>
      <c r="H10107" s="760"/>
      <c r="I10107" s="760"/>
      <c r="J10107" s="760"/>
      <c r="K10107" s="760"/>
    </row>
    <row r="10108" spans="1:11">
      <c r="A10108" s="760"/>
      <c r="B10108" s="760"/>
      <c r="C10108" s="760"/>
      <c r="D10108" s="760"/>
      <c r="E10108" s="760"/>
      <c r="F10108" s="760"/>
      <c r="G10108" s="760"/>
      <c r="H10108" s="760"/>
      <c r="I10108" s="760"/>
      <c r="J10108" s="760"/>
      <c r="K10108" s="760"/>
    </row>
    <row r="10109" spans="1:11">
      <c r="A10109" s="760"/>
      <c r="B10109" s="760"/>
      <c r="C10109" s="760"/>
      <c r="D10109" s="760"/>
      <c r="E10109" s="760"/>
      <c r="F10109" s="760"/>
      <c r="G10109" s="760"/>
      <c r="H10109" s="760"/>
      <c r="I10109" s="760"/>
      <c r="J10109" s="760"/>
      <c r="K10109" s="760"/>
    </row>
    <row r="10110" spans="1:11">
      <c r="A10110" s="760"/>
      <c r="B10110" s="760"/>
      <c r="C10110" s="760"/>
      <c r="D10110" s="760"/>
      <c r="E10110" s="760"/>
      <c r="F10110" s="760"/>
      <c r="G10110" s="760"/>
      <c r="H10110" s="760"/>
      <c r="I10110" s="760"/>
      <c r="J10110" s="760"/>
      <c r="K10110" s="760"/>
    </row>
    <row r="10111" spans="1:11">
      <c r="A10111" s="760"/>
      <c r="B10111" s="760"/>
      <c r="C10111" s="760"/>
      <c r="D10111" s="760"/>
      <c r="E10111" s="760"/>
      <c r="F10111" s="760"/>
      <c r="G10111" s="760"/>
      <c r="H10111" s="760"/>
      <c r="I10111" s="760"/>
      <c r="J10111" s="760"/>
      <c r="K10111" s="760"/>
    </row>
    <row r="10112" spans="1:11">
      <c r="A10112" s="760"/>
      <c r="B10112" s="760"/>
      <c r="C10112" s="760"/>
      <c r="D10112" s="760"/>
      <c r="E10112" s="760"/>
      <c r="F10112" s="760"/>
      <c r="G10112" s="760"/>
      <c r="H10112" s="760"/>
      <c r="I10112" s="760"/>
      <c r="J10112" s="760"/>
      <c r="K10112" s="760"/>
    </row>
    <row r="10113" spans="1:11">
      <c r="A10113" s="760"/>
      <c r="B10113" s="760"/>
      <c r="C10113" s="760"/>
      <c r="D10113" s="760"/>
      <c r="E10113" s="760"/>
      <c r="F10113" s="760"/>
      <c r="G10113" s="760"/>
      <c r="H10113" s="760"/>
      <c r="I10113" s="760"/>
      <c r="J10113" s="760"/>
      <c r="K10113" s="760"/>
    </row>
    <row r="10114" spans="1:11">
      <c r="A10114" s="760"/>
      <c r="B10114" s="760"/>
      <c r="C10114" s="760"/>
      <c r="D10114" s="760"/>
      <c r="E10114" s="760"/>
      <c r="F10114" s="760"/>
      <c r="G10114" s="760"/>
      <c r="H10114" s="760"/>
      <c r="I10114" s="760"/>
      <c r="J10114" s="760"/>
      <c r="K10114" s="760"/>
    </row>
    <row r="10115" spans="1:11">
      <c r="A10115" s="760"/>
      <c r="B10115" s="760"/>
      <c r="C10115" s="760"/>
      <c r="D10115" s="760"/>
      <c r="E10115" s="760"/>
      <c r="F10115" s="760"/>
      <c r="G10115" s="760"/>
      <c r="H10115" s="760"/>
      <c r="I10115" s="760"/>
      <c r="J10115" s="760"/>
      <c r="K10115" s="760"/>
    </row>
    <row r="10116" spans="1:11">
      <c r="A10116" s="760"/>
      <c r="B10116" s="760"/>
      <c r="C10116" s="760"/>
      <c r="D10116" s="760"/>
      <c r="E10116" s="760"/>
      <c r="F10116" s="760"/>
      <c r="G10116" s="760"/>
      <c r="H10116" s="760"/>
      <c r="I10116" s="760"/>
      <c r="J10116" s="760"/>
      <c r="K10116" s="760"/>
    </row>
    <row r="10117" spans="1:11">
      <c r="A10117" s="760"/>
      <c r="B10117" s="760"/>
      <c r="C10117" s="760"/>
      <c r="D10117" s="760"/>
      <c r="E10117" s="760"/>
      <c r="F10117" s="760"/>
      <c r="G10117" s="760"/>
      <c r="H10117" s="760"/>
      <c r="I10117" s="760"/>
      <c r="J10117" s="760"/>
      <c r="K10117" s="760"/>
    </row>
    <row r="10118" spans="1:11">
      <c r="A10118" s="760"/>
      <c r="B10118" s="760"/>
      <c r="C10118" s="760"/>
      <c r="D10118" s="760"/>
      <c r="E10118" s="760"/>
      <c r="F10118" s="760"/>
      <c r="G10118" s="760"/>
      <c r="H10118" s="760"/>
      <c r="I10118" s="760"/>
      <c r="J10118" s="760"/>
      <c r="K10118" s="760"/>
    </row>
    <row r="10119" spans="1:11">
      <c r="A10119" s="760"/>
      <c r="B10119" s="760"/>
      <c r="C10119" s="760"/>
      <c r="D10119" s="760"/>
      <c r="E10119" s="760"/>
      <c r="F10119" s="760"/>
      <c r="G10119" s="760"/>
      <c r="H10119" s="760"/>
      <c r="I10119" s="760"/>
      <c r="J10119" s="760"/>
      <c r="K10119" s="760"/>
    </row>
    <row r="10120" spans="1:11">
      <c r="A10120" s="760"/>
      <c r="B10120" s="760"/>
      <c r="C10120" s="760"/>
      <c r="D10120" s="760"/>
      <c r="E10120" s="760"/>
      <c r="F10120" s="760"/>
      <c r="G10120" s="760"/>
      <c r="H10120" s="760"/>
      <c r="I10120" s="760"/>
      <c r="J10120" s="760"/>
      <c r="K10120" s="760"/>
    </row>
    <row r="10121" spans="1:11">
      <c r="A10121" s="760"/>
      <c r="B10121" s="760"/>
      <c r="C10121" s="760"/>
      <c r="D10121" s="760"/>
      <c r="E10121" s="760"/>
      <c r="F10121" s="760"/>
      <c r="G10121" s="760"/>
      <c r="H10121" s="760"/>
      <c r="I10121" s="760"/>
      <c r="J10121" s="760"/>
      <c r="K10121" s="760"/>
    </row>
    <row r="10122" spans="1:11">
      <c r="A10122" s="760"/>
      <c r="B10122" s="760"/>
      <c r="C10122" s="760"/>
      <c r="D10122" s="760"/>
      <c r="E10122" s="760"/>
      <c r="F10122" s="760"/>
      <c r="G10122" s="760"/>
      <c r="H10122" s="760"/>
      <c r="I10122" s="760"/>
      <c r="J10122" s="760"/>
      <c r="K10122" s="760"/>
    </row>
    <row r="10123" spans="1:11">
      <c r="A10123" s="760"/>
      <c r="B10123" s="760"/>
      <c r="C10123" s="760"/>
      <c r="D10123" s="760"/>
      <c r="E10123" s="760"/>
      <c r="F10123" s="760"/>
      <c r="G10123" s="760"/>
      <c r="H10123" s="760"/>
      <c r="I10123" s="760"/>
      <c r="J10123" s="760"/>
      <c r="K10123" s="760"/>
    </row>
    <row r="10124" spans="1:11">
      <c r="A10124" s="760"/>
      <c r="B10124" s="760"/>
      <c r="C10124" s="760"/>
      <c r="D10124" s="760"/>
      <c r="E10124" s="760"/>
      <c r="F10124" s="760"/>
      <c r="G10124" s="760"/>
      <c r="H10124" s="760"/>
      <c r="I10124" s="760"/>
      <c r="J10124" s="760"/>
      <c r="K10124" s="760"/>
    </row>
    <row r="10125" spans="1:11">
      <c r="A10125" s="760"/>
      <c r="B10125" s="760"/>
      <c r="C10125" s="760"/>
      <c r="D10125" s="760"/>
      <c r="E10125" s="760"/>
      <c r="F10125" s="760"/>
      <c r="G10125" s="760"/>
      <c r="H10125" s="760"/>
      <c r="I10125" s="760"/>
      <c r="J10125" s="760"/>
      <c r="K10125" s="760"/>
    </row>
    <row r="10126" spans="1:11">
      <c r="A10126" s="760"/>
      <c r="B10126" s="760"/>
      <c r="C10126" s="760"/>
      <c r="D10126" s="760"/>
      <c r="E10126" s="760"/>
      <c r="F10126" s="760"/>
      <c r="G10126" s="760"/>
      <c r="H10126" s="760"/>
      <c r="I10126" s="760"/>
      <c r="J10126" s="760"/>
      <c r="K10126" s="760"/>
    </row>
    <row r="10127" spans="1:11">
      <c r="A10127" s="760"/>
      <c r="B10127" s="760"/>
      <c r="C10127" s="760"/>
      <c r="D10127" s="760"/>
      <c r="E10127" s="760"/>
      <c r="F10127" s="760"/>
      <c r="G10127" s="760"/>
      <c r="H10127" s="760"/>
      <c r="I10127" s="760"/>
      <c r="J10127" s="760"/>
      <c r="K10127" s="760"/>
    </row>
    <row r="10128" spans="1:11">
      <c r="A10128" s="760"/>
      <c r="B10128" s="760"/>
      <c r="C10128" s="760"/>
      <c r="D10128" s="760"/>
      <c r="E10128" s="760"/>
      <c r="F10128" s="760"/>
      <c r="G10128" s="760"/>
      <c r="H10128" s="760"/>
      <c r="I10128" s="760"/>
      <c r="J10128" s="760"/>
      <c r="K10128" s="760"/>
    </row>
    <row r="10129" spans="1:11">
      <c r="A10129" s="760"/>
      <c r="B10129" s="760"/>
      <c r="C10129" s="760"/>
      <c r="D10129" s="760"/>
      <c r="E10129" s="760"/>
      <c r="F10129" s="760"/>
      <c r="G10129" s="760"/>
      <c r="H10129" s="760"/>
      <c r="I10129" s="760"/>
      <c r="J10129" s="760"/>
      <c r="K10129" s="760"/>
    </row>
    <row r="10130" spans="1:11">
      <c r="A10130" s="760"/>
      <c r="B10130" s="760"/>
      <c r="C10130" s="760"/>
      <c r="D10130" s="760"/>
      <c r="E10130" s="760"/>
      <c r="F10130" s="760"/>
      <c r="G10130" s="760"/>
      <c r="H10130" s="760"/>
      <c r="I10130" s="760"/>
      <c r="J10130" s="760"/>
      <c r="K10130" s="760"/>
    </row>
    <row r="10131" spans="1:11">
      <c r="A10131" s="760"/>
      <c r="B10131" s="760"/>
      <c r="C10131" s="760"/>
      <c r="D10131" s="760"/>
      <c r="E10131" s="760"/>
      <c r="F10131" s="760"/>
      <c r="G10131" s="760"/>
      <c r="H10131" s="760"/>
      <c r="I10131" s="760"/>
      <c r="J10131" s="760"/>
      <c r="K10131" s="760"/>
    </row>
    <row r="10132" spans="1:11">
      <c r="A10132" s="760"/>
      <c r="B10132" s="760"/>
      <c r="C10132" s="760"/>
      <c r="D10132" s="760"/>
      <c r="E10132" s="760"/>
      <c r="F10132" s="760"/>
      <c r="G10132" s="760"/>
      <c r="H10132" s="760"/>
      <c r="I10132" s="760"/>
      <c r="J10132" s="760"/>
      <c r="K10132" s="760"/>
    </row>
    <row r="10133" spans="1:11">
      <c r="A10133" s="760"/>
      <c r="B10133" s="760"/>
      <c r="C10133" s="760"/>
      <c r="D10133" s="760"/>
      <c r="E10133" s="760"/>
      <c r="F10133" s="760"/>
      <c r="G10133" s="760"/>
      <c r="H10133" s="760"/>
      <c r="I10133" s="760"/>
      <c r="J10133" s="760"/>
      <c r="K10133" s="760"/>
    </row>
    <row r="10134" spans="1:11">
      <c r="A10134" s="760"/>
      <c r="B10134" s="760"/>
      <c r="C10134" s="760"/>
      <c r="D10134" s="760"/>
      <c r="E10134" s="760"/>
      <c r="F10134" s="760"/>
      <c r="G10134" s="760"/>
      <c r="H10134" s="760"/>
      <c r="I10134" s="760"/>
      <c r="J10134" s="760"/>
      <c r="K10134" s="760"/>
    </row>
    <row r="10135" spans="1:11">
      <c r="A10135" s="760"/>
      <c r="B10135" s="760"/>
      <c r="C10135" s="760"/>
      <c r="D10135" s="760"/>
      <c r="E10135" s="760"/>
      <c r="F10135" s="760"/>
      <c r="G10135" s="760"/>
      <c r="H10135" s="760"/>
      <c r="I10135" s="760"/>
      <c r="J10135" s="760"/>
      <c r="K10135" s="760"/>
    </row>
    <row r="10136" spans="1:11">
      <c r="A10136" s="760"/>
      <c r="B10136" s="760"/>
      <c r="C10136" s="760"/>
      <c r="D10136" s="760"/>
      <c r="E10136" s="760"/>
      <c r="F10136" s="760"/>
      <c r="G10136" s="760"/>
      <c r="H10136" s="760"/>
      <c r="I10136" s="760"/>
      <c r="J10136" s="760"/>
      <c r="K10136" s="760"/>
    </row>
    <row r="10137" spans="1:11">
      <c r="A10137" s="760"/>
      <c r="B10137" s="760"/>
      <c r="C10137" s="760"/>
      <c r="D10137" s="760"/>
      <c r="E10137" s="760"/>
      <c r="F10137" s="760"/>
      <c r="G10137" s="760"/>
      <c r="H10137" s="760"/>
      <c r="I10137" s="760"/>
      <c r="J10137" s="760"/>
      <c r="K10137" s="760"/>
    </row>
    <row r="10138" spans="1:11">
      <c r="A10138" s="760"/>
      <c r="B10138" s="760"/>
      <c r="C10138" s="760"/>
      <c r="D10138" s="760"/>
      <c r="E10138" s="760"/>
      <c r="F10138" s="760"/>
      <c r="G10138" s="760"/>
      <c r="H10138" s="760"/>
      <c r="I10138" s="760"/>
      <c r="J10138" s="760"/>
      <c r="K10138" s="760"/>
    </row>
    <row r="10139" spans="1:11">
      <c r="A10139" s="760"/>
      <c r="B10139" s="760"/>
      <c r="C10139" s="760"/>
      <c r="D10139" s="760"/>
      <c r="E10139" s="760"/>
      <c r="F10139" s="760"/>
      <c r="G10139" s="760"/>
      <c r="H10139" s="760"/>
      <c r="I10139" s="760"/>
      <c r="J10139" s="760"/>
      <c r="K10139" s="760"/>
    </row>
    <row r="10140" spans="1:11">
      <c r="A10140" s="760"/>
      <c r="B10140" s="760"/>
      <c r="C10140" s="760"/>
      <c r="D10140" s="760"/>
      <c r="E10140" s="760"/>
      <c r="F10140" s="760"/>
      <c r="G10140" s="760"/>
      <c r="H10140" s="760"/>
      <c r="I10140" s="760"/>
      <c r="J10140" s="760"/>
      <c r="K10140" s="760"/>
    </row>
    <row r="10141" spans="1:11">
      <c r="A10141" s="760"/>
      <c r="B10141" s="760"/>
      <c r="C10141" s="760"/>
      <c r="D10141" s="760"/>
      <c r="E10141" s="760"/>
      <c r="F10141" s="760"/>
      <c r="G10141" s="760"/>
      <c r="H10141" s="760"/>
      <c r="I10141" s="760"/>
      <c r="J10141" s="760"/>
      <c r="K10141" s="760"/>
    </row>
    <row r="10142" spans="1:11">
      <c r="A10142" s="760"/>
      <c r="B10142" s="760"/>
      <c r="C10142" s="760"/>
      <c r="D10142" s="760"/>
      <c r="E10142" s="760"/>
      <c r="F10142" s="760"/>
      <c r="G10142" s="760"/>
      <c r="H10142" s="760"/>
      <c r="I10142" s="760"/>
      <c r="J10142" s="760"/>
      <c r="K10142" s="760"/>
    </row>
    <row r="10143" spans="1:11">
      <c r="A10143" s="760"/>
      <c r="B10143" s="760"/>
      <c r="C10143" s="760"/>
      <c r="D10143" s="760"/>
      <c r="E10143" s="760"/>
      <c r="F10143" s="760"/>
      <c r="G10143" s="760"/>
      <c r="H10143" s="760"/>
      <c r="I10143" s="760"/>
      <c r="J10143" s="760"/>
      <c r="K10143" s="760"/>
    </row>
    <row r="10144" spans="1:11">
      <c r="A10144" s="760"/>
      <c r="B10144" s="760"/>
      <c r="C10144" s="760"/>
      <c r="D10144" s="760"/>
      <c r="E10144" s="760"/>
      <c r="F10144" s="760"/>
      <c r="G10144" s="760"/>
      <c r="H10144" s="760"/>
      <c r="I10144" s="760"/>
      <c r="J10144" s="760"/>
      <c r="K10144" s="760"/>
    </row>
    <row r="10145" spans="1:11">
      <c r="A10145" s="760"/>
      <c r="B10145" s="760"/>
      <c r="C10145" s="760"/>
      <c r="D10145" s="760"/>
      <c r="E10145" s="760"/>
      <c r="F10145" s="760"/>
      <c r="G10145" s="760"/>
      <c r="H10145" s="760"/>
      <c r="I10145" s="760"/>
      <c r="J10145" s="760"/>
      <c r="K10145" s="760"/>
    </row>
    <row r="10146" spans="1:11">
      <c r="A10146" s="760"/>
      <c r="B10146" s="760"/>
      <c r="C10146" s="760"/>
      <c r="D10146" s="760"/>
      <c r="E10146" s="760"/>
      <c r="F10146" s="760"/>
      <c r="G10146" s="760"/>
      <c r="H10146" s="760"/>
      <c r="I10146" s="760"/>
      <c r="J10146" s="760"/>
      <c r="K10146" s="760"/>
    </row>
    <row r="10147" spans="1:11">
      <c r="A10147" s="760"/>
      <c r="B10147" s="760"/>
      <c r="C10147" s="760"/>
      <c r="D10147" s="760"/>
      <c r="E10147" s="760"/>
      <c r="F10147" s="760"/>
      <c r="G10147" s="760"/>
      <c r="H10147" s="760"/>
      <c r="I10147" s="760"/>
      <c r="J10147" s="760"/>
      <c r="K10147" s="760"/>
    </row>
    <row r="10148" spans="1:11">
      <c r="A10148" s="760"/>
      <c r="B10148" s="760"/>
      <c r="C10148" s="760"/>
      <c r="D10148" s="760"/>
      <c r="E10148" s="760"/>
      <c r="F10148" s="760"/>
      <c r="G10148" s="760"/>
      <c r="H10148" s="760"/>
      <c r="I10148" s="760"/>
      <c r="J10148" s="760"/>
      <c r="K10148" s="760"/>
    </row>
    <row r="10149" spans="1:11">
      <c r="A10149" s="760"/>
      <c r="B10149" s="760"/>
      <c r="C10149" s="760"/>
      <c r="D10149" s="760"/>
      <c r="E10149" s="760"/>
      <c r="F10149" s="760"/>
      <c r="G10149" s="760"/>
      <c r="H10149" s="760"/>
      <c r="I10149" s="760"/>
      <c r="J10149" s="760"/>
      <c r="K10149" s="760"/>
    </row>
    <row r="10150" spans="1:11">
      <c r="A10150" s="760"/>
      <c r="B10150" s="760"/>
      <c r="C10150" s="760"/>
      <c r="D10150" s="760"/>
      <c r="E10150" s="760"/>
      <c r="F10150" s="760"/>
      <c r="G10150" s="760"/>
      <c r="H10150" s="760"/>
      <c r="I10150" s="760"/>
      <c r="J10150" s="760"/>
      <c r="K10150" s="760"/>
    </row>
    <row r="10151" spans="1:11">
      <c r="A10151" s="760"/>
      <c r="B10151" s="760"/>
      <c r="C10151" s="760"/>
      <c r="D10151" s="760"/>
      <c r="E10151" s="760"/>
      <c r="F10151" s="760"/>
      <c r="G10151" s="760"/>
      <c r="H10151" s="760"/>
      <c r="I10151" s="760"/>
      <c r="J10151" s="760"/>
      <c r="K10151" s="760"/>
    </row>
    <row r="10152" spans="1:11">
      <c r="A10152" s="760"/>
      <c r="B10152" s="760"/>
      <c r="C10152" s="760"/>
      <c r="D10152" s="760"/>
      <c r="E10152" s="760"/>
      <c r="F10152" s="760"/>
      <c r="G10152" s="760"/>
      <c r="H10152" s="760"/>
      <c r="I10152" s="760"/>
      <c r="J10152" s="760"/>
      <c r="K10152" s="760"/>
    </row>
    <row r="10153" spans="1:11">
      <c r="A10153" s="760"/>
      <c r="B10153" s="760"/>
      <c r="C10153" s="760"/>
      <c r="D10153" s="760"/>
      <c r="E10153" s="760"/>
      <c r="F10153" s="760"/>
      <c r="G10153" s="760"/>
      <c r="H10153" s="760"/>
      <c r="I10153" s="760"/>
      <c r="J10153" s="760"/>
      <c r="K10153" s="760"/>
    </row>
    <row r="10154" spans="1:11">
      <c r="A10154" s="760"/>
      <c r="B10154" s="760"/>
      <c r="C10154" s="760"/>
      <c r="D10154" s="760"/>
      <c r="E10154" s="760"/>
      <c r="F10154" s="760"/>
      <c r="G10154" s="760"/>
      <c r="H10154" s="760"/>
      <c r="I10154" s="760"/>
      <c r="J10154" s="760"/>
      <c r="K10154" s="760"/>
    </row>
    <row r="10155" spans="1:11">
      <c r="A10155" s="760"/>
      <c r="B10155" s="760"/>
      <c r="C10155" s="760"/>
      <c r="D10155" s="760"/>
      <c r="E10155" s="760"/>
      <c r="F10155" s="760"/>
      <c r="G10155" s="760"/>
      <c r="H10155" s="760"/>
      <c r="I10155" s="760"/>
      <c r="J10155" s="760"/>
      <c r="K10155" s="760"/>
    </row>
    <row r="10156" spans="1:11">
      <c r="A10156" s="760"/>
      <c r="B10156" s="760"/>
      <c r="C10156" s="760"/>
      <c r="D10156" s="760"/>
      <c r="E10156" s="760"/>
      <c r="F10156" s="760"/>
      <c r="G10156" s="760"/>
      <c r="H10156" s="760"/>
      <c r="I10156" s="760"/>
      <c r="J10156" s="760"/>
      <c r="K10156" s="760"/>
    </row>
    <row r="10157" spans="1:11">
      <c r="A10157" s="760"/>
      <c r="B10157" s="760"/>
      <c r="C10157" s="760"/>
      <c r="D10157" s="760"/>
      <c r="E10157" s="760"/>
      <c r="F10157" s="760"/>
      <c r="G10157" s="760"/>
      <c r="H10157" s="760"/>
      <c r="I10157" s="760"/>
      <c r="J10157" s="760"/>
      <c r="K10157" s="760"/>
    </row>
    <row r="10158" spans="1:11">
      <c r="A10158" s="760"/>
      <c r="B10158" s="760"/>
      <c r="C10158" s="760"/>
      <c r="D10158" s="760"/>
      <c r="E10158" s="760"/>
      <c r="F10158" s="760"/>
      <c r="G10158" s="760"/>
      <c r="H10158" s="760"/>
      <c r="I10158" s="760"/>
      <c r="J10158" s="760"/>
      <c r="K10158" s="760"/>
    </row>
    <row r="10159" spans="1:11">
      <c r="A10159" s="760"/>
      <c r="B10159" s="760"/>
      <c r="C10159" s="760"/>
      <c r="D10159" s="760"/>
      <c r="E10159" s="760"/>
      <c r="F10159" s="760"/>
      <c r="G10159" s="760"/>
      <c r="H10159" s="760"/>
      <c r="I10159" s="760"/>
      <c r="J10159" s="760"/>
      <c r="K10159" s="760"/>
    </row>
    <row r="10160" spans="1:11">
      <c r="A10160" s="760"/>
      <c r="B10160" s="760"/>
      <c r="C10160" s="760"/>
      <c r="D10160" s="760"/>
      <c r="E10160" s="760"/>
      <c r="F10160" s="760"/>
      <c r="G10160" s="760"/>
      <c r="H10160" s="760"/>
      <c r="I10160" s="760"/>
      <c r="J10160" s="760"/>
      <c r="K10160" s="760"/>
    </row>
    <row r="10161" spans="1:11">
      <c r="A10161" s="760"/>
      <c r="B10161" s="760"/>
      <c r="C10161" s="760"/>
      <c r="D10161" s="760"/>
      <c r="E10161" s="760"/>
      <c r="F10161" s="760"/>
      <c r="G10161" s="760"/>
      <c r="H10161" s="760"/>
      <c r="I10161" s="760"/>
      <c r="J10161" s="760"/>
      <c r="K10161" s="760"/>
    </row>
    <row r="10162" spans="1:11">
      <c r="A10162" s="760"/>
      <c r="B10162" s="760"/>
      <c r="C10162" s="760"/>
      <c r="D10162" s="760"/>
      <c r="E10162" s="760"/>
      <c r="F10162" s="760"/>
      <c r="G10162" s="760"/>
      <c r="H10162" s="760"/>
      <c r="I10162" s="760"/>
      <c r="J10162" s="760"/>
      <c r="K10162" s="760"/>
    </row>
    <row r="10163" spans="1:11">
      <c r="A10163" s="760"/>
      <c r="B10163" s="760"/>
      <c r="C10163" s="760"/>
      <c r="D10163" s="760"/>
      <c r="E10163" s="760"/>
      <c r="F10163" s="760"/>
      <c r="G10163" s="760"/>
      <c r="H10163" s="760"/>
      <c r="I10163" s="760"/>
      <c r="J10163" s="760"/>
      <c r="K10163" s="760"/>
    </row>
    <row r="10164" spans="1:11">
      <c r="A10164" s="760"/>
      <c r="B10164" s="760"/>
      <c r="C10164" s="760"/>
      <c r="D10164" s="760"/>
      <c r="E10164" s="760"/>
      <c r="F10164" s="760"/>
      <c r="G10164" s="760"/>
      <c r="H10164" s="760"/>
      <c r="I10164" s="760"/>
      <c r="J10164" s="760"/>
      <c r="K10164" s="760"/>
    </row>
    <row r="10165" spans="1:11">
      <c r="A10165" s="760"/>
      <c r="B10165" s="760"/>
      <c r="C10165" s="760"/>
      <c r="D10165" s="760"/>
      <c r="E10165" s="760"/>
      <c r="F10165" s="760"/>
      <c r="G10165" s="760"/>
      <c r="H10165" s="760"/>
      <c r="I10165" s="760"/>
      <c r="J10165" s="760"/>
      <c r="K10165" s="760"/>
    </row>
    <row r="10166" spans="1:11">
      <c r="A10166" s="760"/>
      <c r="B10166" s="760"/>
      <c r="C10166" s="760"/>
      <c r="D10166" s="760"/>
      <c r="E10166" s="760"/>
      <c r="F10166" s="760"/>
      <c r="G10166" s="760"/>
      <c r="H10166" s="760"/>
      <c r="I10166" s="760"/>
      <c r="J10166" s="760"/>
      <c r="K10166" s="760"/>
    </row>
    <row r="10167" spans="1:11">
      <c r="A10167" s="760"/>
      <c r="B10167" s="760"/>
      <c r="C10167" s="760"/>
      <c r="D10167" s="760"/>
      <c r="E10167" s="760"/>
      <c r="F10167" s="760"/>
      <c r="G10167" s="760"/>
      <c r="H10167" s="760"/>
      <c r="I10167" s="760"/>
      <c r="J10167" s="760"/>
      <c r="K10167" s="760"/>
    </row>
    <row r="10168" spans="1:11">
      <c r="A10168" s="760"/>
      <c r="B10168" s="760"/>
      <c r="C10168" s="760"/>
      <c r="D10168" s="760"/>
      <c r="E10168" s="760"/>
      <c r="F10168" s="760"/>
      <c r="G10168" s="760"/>
      <c r="H10168" s="760"/>
      <c r="I10168" s="760"/>
      <c r="J10168" s="760"/>
      <c r="K10168" s="760"/>
    </row>
    <row r="10169" spans="1:11">
      <c r="A10169" s="760"/>
      <c r="B10169" s="760"/>
      <c r="C10169" s="760"/>
      <c r="D10169" s="760"/>
      <c r="E10169" s="760"/>
      <c r="F10169" s="760"/>
      <c r="G10169" s="760"/>
      <c r="H10169" s="760"/>
      <c r="I10169" s="760"/>
      <c r="J10169" s="760"/>
      <c r="K10169" s="760"/>
    </row>
    <row r="10170" spans="1:11">
      <c r="A10170" s="760"/>
      <c r="B10170" s="760"/>
      <c r="C10170" s="760"/>
      <c r="D10170" s="760"/>
      <c r="E10170" s="760"/>
      <c r="F10170" s="760"/>
      <c r="G10170" s="760"/>
      <c r="H10170" s="760"/>
      <c r="I10170" s="760"/>
      <c r="J10170" s="760"/>
      <c r="K10170" s="760"/>
    </row>
    <row r="10171" spans="1:11">
      <c r="A10171" s="760"/>
      <c r="B10171" s="760"/>
      <c r="C10171" s="760"/>
      <c r="D10171" s="760"/>
      <c r="E10171" s="760"/>
      <c r="F10171" s="760"/>
      <c r="G10171" s="760"/>
      <c r="H10171" s="760"/>
      <c r="I10171" s="760"/>
      <c r="J10171" s="760"/>
      <c r="K10171" s="760"/>
    </row>
    <row r="10172" spans="1:11">
      <c r="A10172" s="760"/>
      <c r="B10172" s="760"/>
      <c r="C10172" s="760"/>
      <c r="D10172" s="760"/>
      <c r="E10172" s="760"/>
      <c r="F10172" s="760"/>
      <c r="G10172" s="760"/>
      <c r="H10172" s="760"/>
      <c r="I10172" s="760"/>
      <c r="J10172" s="760"/>
      <c r="K10172" s="760"/>
    </row>
    <row r="10173" spans="1:11">
      <c r="A10173" s="760"/>
      <c r="B10173" s="760"/>
      <c r="C10173" s="760"/>
      <c r="D10173" s="760"/>
      <c r="E10173" s="760"/>
      <c r="F10173" s="760"/>
      <c r="G10173" s="760"/>
      <c r="H10173" s="760"/>
      <c r="I10173" s="760"/>
      <c r="J10173" s="760"/>
      <c r="K10173" s="760"/>
    </row>
    <row r="10174" spans="1:11">
      <c r="A10174" s="760"/>
      <c r="B10174" s="760"/>
      <c r="C10174" s="760"/>
      <c r="D10174" s="760"/>
      <c r="E10174" s="760"/>
      <c r="F10174" s="760"/>
      <c r="G10174" s="760"/>
      <c r="H10174" s="760"/>
      <c r="I10174" s="760"/>
      <c r="J10174" s="760"/>
      <c r="K10174" s="760"/>
    </row>
    <row r="10175" spans="1:11">
      <c r="A10175" s="760"/>
      <c r="B10175" s="760"/>
      <c r="C10175" s="760"/>
      <c r="D10175" s="760"/>
      <c r="E10175" s="760"/>
      <c r="F10175" s="760"/>
      <c r="G10175" s="760"/>
      <c r="H10175" s="760"/>
      <c r="I10175" s="760"/>
      <c r="J10175" s="760"/>
      <c r="K10175" s="760"/>
    </row>
    <row r="10176" spans="1:11">
      <c r="A10176" s="760"/>
      <c r="B10176" s="760"/>
      <c r="C10176" s="760"/>
      <c r="D10176" s="760"/>
      <c r="E10176" s="760"/>
      <c r="F10176" s="760"/>
      <c r="G10176" s="760"/>
      <c r="H10176" s="760"/>
      <c r="I10176" s="760"/>
      <c r="J10176" s="760"/>
      <c r="K10176" s="760"/>
    </row>
    <row r="10177" spans="1:11">
      <c r="A10177" s="760"/>
      <c r="B10177" s="760"/>
      <c r="C10177" s="760"/>
      <c r="D10177" s="760"/>
      <c r="E10177" s="760"/>
      <c r="F10177" s="760"/>
      <c r="G10177" s="760"/>
      <c r="H10177" s="760"/>
      <c r="I10177" s="760"/>
      <c r="J10177" s="760"/>
      <c r="K10177" s="760"/>
    </row>
    <row r="10178" spans="1:11">
      <c r="A10178" s="760"/>
      <c r="B10178" s="760"/>
      <c r="C10178" s="760"/>
      <c r="D10178" s="760"/>
      <c r="E10178" s="760"/>
      <c r="F10178" s="760"/>
      <c r="G10178" s="760"/>
      <c r="H10178" s="760"/>
      <c r="I10178" s="760"/>
      <c r="J10178" s="760"/>
      <c r="K10178" s="760"/>
    </row>
    <row r="10179" spans="1:11">
      <c r="A10179" s="760"/>
      <c r="B10179" s="760"/>
      <c r="C10179" s="760"/>
      <c r="D10179" s="760"/>
      <c r="E10179" s="760"/>
      <c r="F10179" s="760"/>
      <c r="G10179" s="760"/>
      <c r="H10179" s="760"/>
      <c r="I10179" s="760"/>
      <c r="J10179" s="760"/>
      <c r="K10179" s="760"/>
    </row>
    <row r="10180" spans="1:11">
      <c r="A10180" s="760"/>
      <c r="B10180" s="760"/>
      <c r="C10180" s="760"/>
      <c r="D10180" s="760"/>
      <c r="E10180" s="760"/>
      <c r="F10180" s="760"/>
      <c r="G10180" s="760"/>
      <c r="H10180" s="760"/>
      <c r="I10180" s="760"/>
      <c r="J10180" s="760"/>
      <c r="K10180" s="760"/>
    </row>
    <row r="10181" spans="1:11">
      <c r="A10181" s="760"/>
      <c r="B10181" s="760"/>
      <c r="C10181" s="760"/>
      <c r="D10181" s="760"/>
      <c r="E10181" s="760"/>
      <c r="F10181" s="760"/>
      <c r="G10181" s="760"/>
      <c r="H10181" s="760"/>
      <c r="I10181" s="760"/>
      <c r="J10181" s="760"/>
      <c r="K10181" s="760"/>
    </row>
    <row r="10182" spans="1:11">
      <c r="A10182" s="760"/>
      <c r="B10182" s="760"/>
      <c r="C10182" s="760"/>
      <c r="D10182" s="760"/>
      <c r="E10182" s="760"/>
      <c r="F10182" s="760"/>
      <c r="G10182" s="760"/>
      <c r="H10182" s="760"/>
      <c r="I10182" s="760"/>
      <c r="J10182" s="760"/>
      <c r="K10182" s="760"/>
    </row>
    <row r="10183" spans="1:11">
      <c r="A10183" s="760"/>
      <c r="B10183" s="760"/>
      <c r="C10183" s="760"/>
      <c r="D10183" s="760"/>
      <c r="E10183" s="760"/>
      <c r="F10183" s="760"/>
      <c r="G10183" s="760"/>
      <c r="H10183" s="760"/>
      <c r="I10183" s="760"/>
      <c r="J10183" s="760"/>
      <c r="K10183" s="760"/>
    </row>
    <row r="10184" spans="1:11">
      <c r="A10184" s="760"/>
      <c r="B10184" s="760"/>
      <c r="C10184" s="760"/>
      <c r="D10184" s="760"/>
      <c r="E10184" s="760"/>
      <c r="F10184" s="760"/>
      <c r="G10184" s="760"/>
      <c r="H10184" s="760"/>
      <c r="I10184" s="760"/>
      <c r="J10184" s="760"/>
      <c r="K10184" s="760"/>
    </row>
    <row r="10185" spans="1:11">
      <c r="A10185" s="760"/>
      <c r="B10185" s="760"/>
      <c r="C10185" s="760"/>
      <c r="D10185" s="760"/>
      <c r="E10185" s="760"/>
      <c r="F10185" s="760"/>
      <c r="G10185" s="760"/>
      <c r="H10185" s="760"/>
      <c r="I10185" s="760"/>
      <c r="J10185" s="760"/>
      <c r="K10185" s="760"/>
    </row>
    <row r="10186" spans="1:11">
      <c r="A10186" s="760"/>
      <c r="B10186" s="760"/>
      <c r="C10186" s="760"/>
      <c r="D10186" s="760"/>
      <c r="E10186" s="760"/>
      <c r="F10186" s="760"/>
      <c r="G10186" s="760"/>
      <c r="H10186" s="760"/>
      <c r="I10186" s="760"/>
      <c r="J10186" s="760"/>
      <c r="K10186" s="760"/>
    </row>
    <row r="10187" spans="1:11">
      <c r="A10187" s="760"/>
      <c r="B10187" s="760"/>
      <c r="C10187" s="760"/>
      <c r="D10187" s="760"/>
      <c r="E10187" s="760"/>
      <c r="F10187" s="760"/>
      <c r="G10187" s="760"/>
      <c r="H10187" s="760"/>
      <c r="I10187" s="760"/>
      <c r="J10187" s="760"/>
      <c r="K10187" s="760"/>
    </row>
    <row r="10188" spans="1:11">
      <c r="A10188" s="760"/>
      <c r="B10188" s="760"/>
      <c r="C10188" s="760"/>
      <c r="D10188" s="760"/>
      <c r="E10188" s="760"/>
      <c r="F10188" s="760"/>
      <c r="G10188" s="760"/>
      <c r="H10188" s="760"/>
      <c r="I10188" s="760"/>
      <c r="J10188" s="760"/>
      <c r="K10188" s="760"/>
    </row>
    <row r="10189" spans="1:11">
      <c r="A10189" s="760"/>
      <c r="B10189" s="760"/>
      <c r="C10189" s="760"/>
      <c r="D10189" s="760"/>
      <c r="E10189" s="760"/>
      <c r="F10189" s="760"/>
      <c r="G10189" s="760"/>
      <c r="H10189" s="760"/>
      <c r="I10189" s="760"/>
      <c r="J10189" s="760"/>
      <c r="K10189" s="760"/>
    </row>
    <row r="10190" spans="1:11">
      <c r="A10190" s="760"/>
      <c r="B10190" s="760"/>
      <c r="C10190" s="760"/>
      <c r="D10190" s="760"/>
      <c r="E10190" s="760"/>
      <c r="F10190" s="760"/>
      <c r="G10190" s="760"/>
      <c r="H10190" s="760"/>
      <c r="I10190" s="760"/>
      <c r="J10190" s="760"/>
      <c r="K10190" s="760"/>
    </row>
    <row r="10191" spans="1:11">
      <c r="A10191" s="760"/>
      <c r="B10191" s="760"/>
      <c r="C10191" s="760"/>
      <c r="D10191" s="760"/>
      <c r="E10191" s="760"/>
      <c r="F10191" s="760"/>
      <c r="G10191" s="760"/>
      <c r="H10191" s="760"/>
      <c r="I10191" s="760"/>
      <c r="J10191" s="760"/>
      <c r="K10191" s="760"/>
    </row>
    <row r="10192" spans="1:11">
      <c r="A10192" s="760"/>
      <c r="B10192" s="760"/>
      <c r="C10192" s="760"/>
      <c r="D10192" s="760"/>
      <c r="E10192" s="760"/>
      <c r="F10192" s="760"/>
      <c r="G10192" s="760"/>
      <c r="H10192" s="760"/>
      <c r="I10192" s="760"/>
      <c r="J10192" s="760"/>
      <c r="K10192" s="760"/>
    </row>
    <row r="10193" spans="1:11">
      <c r="A10193" s="760"/>
      <c r="B10193" s="760"/>
      <c r="C10193" s="760"/>
      <c r="D10193" s="760"/>
      <c r="E10193" s="760"/>
      <c r="F10193" s="760"/>
      <c r="G10193" s="760"/>
      <c r="H10193" s="760"/>
      <c r="I10193" s="760"/>
      <c r="J10193" s="760"/>
      <c r="K10193" s="760"/>
    </row>
    <row r="10194" spans="1:11">
      <c r="A10194" s="760"/>
      <c r="B10194" s="760"/>
      <c r="C10194" s="760"/>
      <c r="D10194" s="760"/>
      <c r="E10194" s="760"/>
      <c r="F10194" s="760"/>
      <c r="G10194" s="760"/>
      <c r="H10194" s="760"/>
      <c r="I10194" s="760"/>
      <c r="J10194" s="760"/>
      <c r="K10194" s="760"/>
    </row>
    <row r="10195" spans="1:11">
      <c r="A10195" s="760"/>
      <c r="B10195" s="760"/>
      <c r="C10195" s="760"/>
      <c r="D10195" s="760"/>
      <c r="E10195" s="760"/>
      <c r="F10195" s="760"/>
      <c r="G10195" s="760"/>
      <c r="H10195" s="760"/>
      <c r="I10195" s="760"/>
      <c r="J10195" s="760"/>
      <c r="K10195" s="760"/>
    </row>
    <row r="10196" spans="1:11">
      <c r="A10196" s="760"/>
      <c r="B10196" s="760"/>
      <c r="C10196" s="760"/>
      <c r="D10196" s="760"/>
      <c r="E10196" s="760"/>
      <c r="F10196" s="760"/>
      <c r="G10196" s="760"/>
      <c r="H10196" s="760"/>
      <c r="I10196" s="760"/>
      <c r="J10196" s="760"/>
      <c r="K10196" s="760"/>
    </row>
    <row r="10197" spans="1:11">
      <c r="A10197" s="760"/>
      <c r="B10197" s="760"/>
      <c r="C10197" s="760"/>
      <c r="D10197" s="760"/>
      <c r="E10197" s="760"/>
      <c r="F10197" s="760"/>
      <c r="G10197" s="760"/>
      <c r="H10197" s="760"/>
      <c r="I10197" s="760"/>
      <c r="J10197" s="760"/>
      <c r="K10197" s="760"/>
    </row>
    <row r="10198" spans="1:11">
      <c r="A10198" s="760"/>
      <c r="B10198" s="760"/>
      <c r="C10198" s="760"/>
      <c r="D10198" s="760"/>
      <c r="E10198" s="760"/>
      <c r="F10198" s="760"/>
      <c r="G10198" s="760"/>
      <c r="H10198" s="760"/>
      <c r="I10198" s="760"/>
      <c r="J10198" s="760"/>
      <c r="K10198" s="760"/>
    </row>
    <row r="10199" spans="1:11">
      <c r="A10199" s="760"/>
      <c r="B10199" s="760"/>
      <c r="C10199" s="760"/>
      <c r="D10199" s="760"/>
      <c r="E10199" s="760"/>
      <c r="F10199" s="760"/>
      <c r="G10199" s="760"/>
      <c r="H10199" s="760"/>
      <c r="I10199" s="760"/>
      <c r="J10199" s="760"/>
      <c r="K10199" s="760"/>
    </row>
    <row r="10200" spans="1:11">
      <c r="A10200" s="760"/>
      <c r="B10200" s="760"/>
      <c r="C10200" s="760"/>
      <c r="D10200" s="760"/>
      <c r="E10200" s="760"/>
      <c r="F10200" s="760"/>
      <c r="G10200" s="760"/>
      <c r="H10200" s="760"/>
      <c r="I10200" s="760"/>
      <c r="J10200" s="760"/>
      <c r="K10200" s="760"/>
    </row>
    <row r="10201" spans="1:11">
      <c r="A10201" s="760"/>
      <c r="B10201" s="760"/>
      <c r="C10201" s="760"/>
      <c r="D10201" s="760"/>
      <c r="E10201" s="760"/>
      <c r="F10201" s="760"/>
      <c r="G10201" s="760"/>
      <c r="H10201" s="760"/>
      <c r="I10201" s="760"/>
      <c r="J10201" s="760"/>
      <c r="K10201" s="760"/>
    </row>
    <row r="10202" spans="1:11">
      <c r="A10202" s="760"/>
      <c r="B10202" s="760"/>
      <c r="C10202" s="760"/>
      <c r="D10202" s="760"/>
      <c r="E10202" s="760"/>
      <c r="F10202" s="760"/>
      <c r="G10202" s="760"/>
      <c r="H10202" s="760"/>
      <c r="I10202" s="760"/>
      <c r="J10202" s="760"/>
      <c r="K10202" s="760"/>
    </row>
    <row r="10203" spans="1:11">
      <c r="A10203" s="760"/>
      <c r="B10203" s="760"/>
      <c r="C10203" s="760"/>
      <c r="D10203" s="760"/>
      <c r="E10203" s="760"/>
      <c r="F10203" s="760"/>
      <c r="G10203" s="760"/>
      <c r="H10203" s="760"/>
      <c r="I10203" s="760"/>
      <c r="J10203" s="760"/>
      <c r="K10203" s="760"/>
    </row>
    <row r="10204" spans="1:11">
      <c r="A10204" s="760"/>
      <c r="B10204" s="760"/>
      <c r="C10204" s="760"/>
      <c r="D10204" s="760"/>
      <c r="E10204" s="760"/>
      <c r="F10204" s="760"/>
      <c r="G10204" s="760"/>
      <c r="H10204" s="760"/>
      <c r="I10204" s="760"/>
      <c r="J10204" s="760"/>
      <c r="K10204" s="760"/>
    </row>
    <row r="10205" spans="1:11">
      <c r="A10205" s="760"/>
      <c r="B10205" s="760"/>
      <c r="C10205" s="760"/>
      <c r="D10205" s="760"/>
      <c r="E10205" s="760"/>
      <c r="F10205" s="760"/>
      <c r="G10205" s="760"/>
      <c r="H10205" s="760"/>
      <c r="I10205" s="760"/>
      <c r="J10205" s="760"/>
      <c r="K10205" s="760"/>
    </row>
    <row r="10206" spans="1:11">
      <c r="A10206" s="760"/>
      <c r="B10206" s="760"/>
      <c r="C10206" s="760"/>
      <c r="D10206" s="760"/>
      <c r="E10206" s="760"/>
      <c r="F10206" s="760"/>
      <c r="G10206" s="760"/>
      <c r="H10206" s="760"/>
      <c r="I10206" s="760"/>
      <c r="J10206" s="760"/>
      <c r="K10206" s="760"/>
    </row>
    <row r="10207" spans="1:11">
      <c r="A10207" s="760"/>
      <c r="B10207" s="760"/>
      <c r="C10207" s="760"/>
      <c r="D10207" s="760"/>
      <c r="E10207" s="760"/>
      <c r="F10207" s="760"/>
      <c r="G10207" s="760"/>
      <c r="H10207" s="760"/>
      <c r="I10207" s="760"/>
      <c r="J10207" s="760"/>
      <c r="K10207" s="760"/>
    </row>
    <row r="10208" spans="1:11">
      <c r="A10208" s="760"/>
      <c r="B10208" s="760"/>
      <c r="C10208" s="760"/>
      <c r="D10208" s="760"/>
      <c r="E10208" s="760"/>
      <c r="F10208" s="760"/>
      <c r="G10208" s="760"/>
      <c r="H10208" s="760"/>
      <c r="I10208" s="760"/>
      <c r="J10208" s="760"/>
      <c r="K10208" s="760"/>
    </row>
    <row r="10209" spans="1:11">
      <c r="A10209" s="760"/>
      <c r="B10209" s="760"/>
      <c r="C10209" s="760"/>
      <c r="D10209" s="760"/>
      <c r="E10209" s="760"/>
      <c r="F10209" s="760"/>
      <c r="G10209" s="760"/>
      <c r="H10209" s="760"/>
      <c r="I10209" s="760"/>
      <c r="J10209" s="760"/>
      <c r="K10209" s="760"/>
    </row>
    <row r="10210" spans="1:11">
      <c r="A10210" s="760"/>
      <c r="B10210" s="760"/>
      <c r="C10210" s="760"/>
      <c r="D10210" s="760"/>
      <c r="E10210" s="760"/>
      <c r="F10210" s="760"/>
      <c r="G10210" s="760"/>
      <c r="H10210" s="760"/>
      <c r="I10210" s="760"/>
      <c r="J10210" s="760"/>
      <c r="K10210" s="760"/>
    </row>
    <row r="10211" spans="1:11">
      <c r="A10211" s="760"/>
      <c r="B10211" s="760"/>
      <c r="C10211" s="760"/>
      <c r="D10211" s="760"/>
      <c r="E10211" s="760"/>
      <c r="F10211" s="760"/>
      <c r="G10211" s="760"/>
      <c r="H10211" s="760"/>
      <c r="I10211" s="760"/>
      <c r="J10211" s="760"/>
      <c r="K10211" s="760"/>
    </row>
    <row r="10212" spans="1:11">
      <c r="A10212" s="760"/>
      <c r="B10212" s="760"/>
      <c r="C10212" s="760"/>
      <c r="D10212" s="760"/>
      <c r="E10212" s="760"/>
      <c r="F10212" s="760"/>
      <c r="G10212" s="760"/>
      <c r="H10212" s="760"/>
      <c r="I10212" s="760"/>
      <c r="J10212" s="760"/>
      <c r="K10212" s="760"/>
    </row>
    <row r="10213" spans="1:11">
      <c r="A10213" s="760"/>
      <c r="B10213" s="760"/>
      <c r="C10213" s="760"/>
      <c r="D10213" s="760"/>
      <c r="E10213" s="760"/>
      <c r="F10213" s="760"/>
      <c r="G10213" s="760"/>
      <c r="H10213" s="760"/>
      <c r="I10213" s="760"/>
      <c r="J10213" s="760"/>
      <c r="K10213" s="760"/>
    </row>
    <row r="10214" spans="1:11">
      <c r="A10214" s="760"/>
      <c r="B10214" s="760"/>
      <c r="C10214" s="760"/>
      <c r="D10214" s="760"/>
      <c r="E10214" s="760"/>
      <c r="F10214" s="760"/>
      <c r="G10214" s="760"/>
      <c r="H10214" s="760"/>
      <c r="I10214" s="760"/>
      <c r="J10214" s="760"/>
      <c r="K10214" s="760"/>
    </row>
    <row r="10215" spans="1:11">
      <c r="A10215" s="760"/>
      <c r="B10215" s="760"/>
      <c r="C10215" s="760"/>
      <c r="D10215" s="760"/>
      <c r="E10215" s="760"/>
      <c r="F10215" s="760"/>
      <c r="G10215" s="760"/>
      <c r="H10215" s="760"/>
      <c r="I10215" s="760"/>
      <c r="J10215" s="760"/>
      <c r="K10215" s="760"/>
    </row>
    <row r="10216" spans="1:11">
      <c r="A10216" s="760"/>
      <c r="B10216" s="760"/>
      <c r="C10216" s="760"/>
      <c r="D10216" s="760"/>
      <c r="E10216" s="760"/>
      <c r="F10216" s="760"/>
      <c r="G10216" s="760"/>
      <c r="H10216" s="760"/>
      <c r="I10216" s="760"/>
      <c r="J10216" s="760"/>
      <c r="K10216" s="760"/>
    </row>
    <row r="10217" spans="1:11">
      <c r="A10217" s="760"/>
      <c r="B10217" s="760"/>
      <c r="C10217" s="760"/>
      <c r="D10217" s="760"/>
      <c r="E10217" s="760"/>
      <c r="F10217" s="760"/>
      <c r="G10217" s="760"/>
      <c r="H10217" s="760"/>
      <c r="I10217" s="760"/>
      <c r="J10217" s="760"/>
      <c r="K10217" s="760"/>
    </row>
    <row r="10218" spans="1:11">
      <c r="A10218" s="760"/>
      <c r="B10218" s="760"/>
      <c r="C10218" s="760"/>
      <c r="D10218" s="760"/>
      <c r="E10218" s="760"/>
      <c r="F10218" s="760"/>
      <c r="G10218" s="760"/>
      <c r="H10218" s="760"/>
      <c r="I10218" s="760"/>
      <c r="J10218" s="760"/>
      <c r="K10218" s="760"/>
    </row>
    <row r="10219" spans="1:11">
      <c r="A10219" s="760"/>
      <c r="B10219" s="760"/>
      <c r="C10219" s="760"/>
      <c r="D10219" s="760"/>
      <c r="E10219" s="760"/>
      <c r="F10219" s="760"/>
      <c r="G10219" s="760"/>
      <c r="H10219" s="760"/>
      <c r="I10219" s="760"/>
      <c r="J10219" s="760"/>
      <c r="K10219" s="760"/>
    </row>
    <row r="10220" spans="1:11">
      <c r="A10220" s="760"/>
      <c r="B10220" s="760"/>
      <c r="C10220" s="760"/>
      <c r="D10220" s="760"/>
      <c r="E10220" s="760"/>
      <c r="F10220" s="760"/>
      <c r="G10220" s="760"/>
      <c r="H10220" s="760"/>
      <c r="I10220" s="760"/>
      <c r="J10220" s="760"/>
      <c r="K10220" s="760"/>
    </row>
    <row r="10221" spans="1:11">
      <c r="A10221" s="760"/>
      <c r="B10221" s="760"/>
      <c r="C10221" s="760"/>
      <c r="D10221" s="760"/>
      <c r="E10221" s="760"/>
      <c r="F10221" s="760"/>
      <c r="G10221" s="760"/>
      <c r="H10221" s="760"/>
      <c r="I10221" s="760"/>
      <c r="J10221" s="760"/>
      <c r="K10221" s="760"/>
    </row>
    <row r="10222" spans="1:11">
      <c r="A10222" s="760"/>
      <c r="B10222" s="760"/>
      <c r="C10222" s="760"/>
      <c r="D10222" s="760"/>
      <c r="E10222" s="760"/>
      <c r="F10222" s="760"/>
      <c r="G10222" s="760"/>
      <c r="H10222" s="760"/>
      <c r="I10222" s="760"/>
      <c r="J10222" s="760"/>
      <c r="K10222" s="760"/>
    </row>
    <row r="10223" spans="1:11">
      <c r="A10223" s="760"/>
      <c r="B10223" s="760"/>
      <c r="C10223" s="760"/>
      <c r="D10223" s="760"/>
      <c r="E10223" s="760"/>
      <c r="F10223" s="760"/>
      <c r="G10223" s="760"/>
      <c r="H10223" s="760"/>
      <c r="I10223" s="760"/>
      <c r="J10223" s="760"/>
      <c r="K10223" s="760"/>
    </row>
    <row r="10224" spans="1:11">
      <c r="A10224" s="760"/>
      <c r="B10224" s="760"/>
      <c r="C10224" s="760"/>
      <c r="D10224" s="760"/>
      <c r="E10224" s="760"/>
      <c r="F10224" s="760"/>
      <c r="G10224" s="760"/>
      <c r="H10224" s="760"/>
      <c r="I10224" s="760"/>
      <c r="J10224" s="760"/>
      <c r="K10224" s="760"/>
    </row>
    <row r="10225" spans="1:11">
      <c r="A10225" s="760"/>
      <c r="B10225" s="760"/>
      <c r="C10225" s="760"/>
      <c r="D10225" s="760"/>
      <c r="E10225" s="760"/>
      <c r="F10225" s="760"/>
      <c r="G10225" s="760"/>
      <c r="H10225" s="760"/>
      <c r="I10225" s="760"/>
      <c r="J10225" s="760"/>
      <c r="K10225" s="760"/>
    </row>
    <row r="10226" spans="1:11">
      <c r="A10226" s="760"/>
      <c r="B10226" s="760"/>
      <c r="C10226" s="760"/>
      <c r="D10226" s="760"/>
      <c r="E10226" s="760"/>
      <c r="F10226" s="760"/>
      <c r="G10226" s="760"/>
      <c r="H10226" s="760"/>
      <c r="I10226" s="760"/>
      <c r="J10226" s="760"/>
      <c r="K10226" s="760"/>
    </row>
    <row r="10227" spans="1:11">
      <c r="A10227" s="760"/>
      <c r="B10227" s="760"/>
      <c r="C10227" s="760"/>
      <c r="D10227" s="760"/>
      <c r="E10227" s="760"/>
      <c r="F10227" s="760"/>
      <c r="G10227" s="760"/>
      <c r="H10227" s="760"/>
      <c r="I10227" s="760"/>
      <c r="J10227" s="760"/>
      <c r="K10227" s="760"/>
    </row>
    <row r="10228" spans="1:11">
      <c r="A10228" s="760"/>
      <c r="B10228" s="760"/>
      <c r="C10228" s="760"/>
      <c r="D10228" s="760"/>
      <c r="E10228" s="760"/>
      <c r="F10228" s="760"/>
      <c r="G10228" s="760"/>
      <c r="H10228" s="760"/>
      <c r="I10228" s="760"/>
      <c r="J10228" s="760"/>
      <c r="K10228" s="760"/>
    </row>
    <row r="10229" spans="1:11">
      <c r="A10229" s="760"/>
      <c r="B10229" s="760"/>
      <c r="C10229" s="760"/>
      <c r="D10229" s="760"/>
      <c r="E10229" s="760"/>
      <c r="F10229" s="760"/>
      <c r="G10229" s="760"/>
      <c r="H10229" s="760"/>
      <c r="I10229" s="760"/>
      <c r="J10229" s="760"/>
      <c r="K10229" s="760"/>
    </row>
    <row r="10230" spans="1:11">
      <c r="A10230" s="760"/>
      <c r="B10230" s="760"/>
      <c r="C10230" s="760"/>
      <c r="D10230" s="760"/>
      <c r="E10230" s="760"/>
      <c r="F10230" s="760"/>
      <c r="G10230" s="760"/>
      <c r="H10230" s="760"/>
      <c r="I10230" s="760"/>
      <c r="J10230" s="760"/>
      <c r="K10230" s="760"/>
    </row>
    <row r="10231" spans="1:11">
      <c r="A10231" s="760"/>
      <c r="B10231" s="760"/>
      <c r="C10231" s="760"/>
      <c r="D10231" s="760"/>
      <c r="E10231" s="760"/>
      <c r="F10231" s="760"/>
      <c r="G10231" s="760"/>
      <c r="H10231" s="760"/>
      <c r="I10231" s="760"/>
      <c r="J10231" s="760"/>
      <c r="K10231" s="760"/>
    </row>
    <row r="10232" spans="1:11">
      <c r="A10232" s="760"/>
      <c r="B10232" s="760"/>
      <c r="C10232" s="760"/>
      <c r="D10232" s="760"/>
      <c r="E10232" s="760"/>
      <c r="F10232" s="760"/>
      <c r="G10232" s="760"/>
      <c r="H10232" s="760"/>
      <c r="I10232" s="760"/>
      <c r="J10232" s="760"/>
      <c r="K10232" s="760"/>
    </row>
    <row r="10233" spans="1:11">
      <c r="A10233" s="760"/>
      <c r="B10233" s="760"/>
      <c r="C10233" s="760"/>
      <c r="D10233" s="760"/>
      <c r="E10233" s="760"/>
      <c r="F10233" s="760"/>
      <c r="G10233" s="760"/>
      <c r="H10233" s="760"/>
      <c r="I10233" s="760"/>
      <c r="J10233" s="760"/>
      <c r="K10233" s="760"/>
    </row>
    <row r="10234" spans="1:11">
      <c r="A10234" s="760"/>
      <c r="B10234" s="760"/>
      <c r="C10234" s="760"/>
      <c r="D10234" s="760"/>
      <c r="E10234" s="760"/>
      <c r="F10234" s="760"/>
      <c r="G10234" s="760"/>
      <c r="H10234" s="760"/>
      <c r="I10234" s="760"/>
      <c r="J10234" s="760"/>
      <c r="K10234" s="760"/>
    </row>
    <row r="10235" spans="1:11">
      <c r="A10235" s="760"/>
      <c r="B10235" s="760"/>
      <c r="C10235" s="760"/>
      <c r="D10235" s="760"/>
      <c r="E10235" s="760"/>
      <c r="F10235" s="760"/>
      <c r="G10235" s="760"/>
      <c r="H10235" s="760"/>
      <c r="I10235" s="760"/>
      <c r="J10235" s="760"/>
      <c r="K10235" s="760"/>
    </row>
    <row r="10236" spans="1:11">
      <c r="A10236" s="760"/>
      <c r="B10236" s="760"/>
      <c r="C10236" s="760"/>
      <c r="D10236" s="760"/>
      <c r="E10236" s="760"/>
      <c r="F10236" s="760"/>
      <c r="G10236" s="760"/>
      <c r="H10236" s="760"/>
      <c r="I10236" s="760"/>
      <c r="J10236" s="760"/>
      <c r="K10236" s="760"/>
    </row>
    <row r="10237" spans="1:11">
      <c r="A10237" s="760"/>
      <c r="B10237" s="760"/>
      <c r="C10237" s="760"/>
      <c r="D10237" s="760"/>
      <c r="E10237" s="760"/>
      <c r="F10237" s="760"/>
      <c r="G10237" s="760"/>
      <c r="H10237" s="760"/>
      <c r="I10237" s="760"/>
      <c r="J10237" s="760"/>
      <c r="K10237" s="760"/>
    </row>
    <row r="10238" spans="1:11">
      <c r="A10238" s="760"/>
      <c r="B10238" s="760"/>
      <c r="C10238" s="760"/>
      <c r="D10238" s="760"/>
      <c r="E10238" s="760"/>
      <c r="F10238" s="760"/>
      <c r="G10238" s="760"/>
      <c r="H10238" s="760"/>
      <c r="I10238" s="760"/>
      <c r="J10238" s="760"/>
      <c r="K10238" s="760"/>
    </row>
    <row r="10239" spans="1:11">
      <c r="A10239" s="760"/>
      <c r="B10239" s="760"/>
      <c r="C10239" s="760"/>
      <c r="D10239" s="760"/>
      <c r="E10239" s="760"/>
      <c r="F10239" s="760"/>
      <c r="G10239" s="760"/>
      <c r="H10239" s="760"/>
      <c r="I10239" s="760"/>
      <c r="J10239" s="760"/>
      <c r="K10239" s="760"/>
    </row>
    <row r="10240" spans="1:11">
      <c r="A10240" s="760"/>
      <c r="B10240" s="760"/>
      <c r="C10240" s="760"/>
      <c r="D10240" s="760"/>
      <c r="E10240" s="760"/>
      <c r="F10240" s="760"/>
      <c r="G10240" s="760"/>
      <c r="H10240" s="760"/>
      <c r="I10240" s="760"/>
      <c r="J10240" s="760"/>
      <c r="K10240" s="760"/>
    </row>
    <row r="10241" spans="1:11">
      <c r="A10241" s="760"/>
      <c r="B10241" s="760"/>
      <c r="C10241" s="760"/>
      <c r="D10241" s="760"/>
      <c r="E10241" s="760"/>
      <c r="F10241" s="760"/>
      <c r="G10241" s="760"/>
      <c r="H10241" s="760"/>
      <c r="I10241" s="760"/>
      <c r="J10241" s="760"/>
      <c r="K10241" s="760"/>
    </row>
    <row r="10242" spans="1:11">
      <c r="A10242" s="760"/>
      <c r="B10242" s="760"/>
      <c r="C10242" s="760"/>
      <c r="D10242" s="760"/>
      <c r="E10242" s="760"/>
      <c r="F10242" s="760"/>
      <c r="G10242" s="760"/>
      <c r="H10242" s="760"/>
      <c r="I10242" s="760"/>
      <c r="J10242" s="760"/>
      <c r="K10242" s="760"/>
    </row>
    <row r="10243" spans="1:11">
      <c r="A10243" s="760"/>
      <c r="B10243" s="760"/>
      <c r="C10243" s="760"/>
      <c r="D10243" s="760"/>
      <c r="E10243" s="760"/>
      <c r="F10243" s="760"/>
      <c r="G10243" s="760"/>
      <c r="H10243" s="760"/>
      <c r="I10243" s="760"/>
      <c r="J10243" s="760"/>
      <c r="K10243" s="760"/>
    </row>
    <row r="10244" spans="1:11">
      <c r="A10244" s="760"/>
      <c r="B10244" s="760"/>
      <c r="C10244" s="760"/>
      <c r="D10244" s="760"/>
      <c r="E10244" s="760"/>
      <c r="F10244" s="760"/>
      <c r="G10244" s="760"/>
      <c r="H10244" s="760"/>
      <c r="I10244" s="760"/>
      <c r="J10244" s="760"/>
      <c r="K10244" s="760"/>
    </row>
    <row r="10245" spans="1:11">
      <c r="A10245" s="760"/>
      <c r="B10245" s="760"/>
      <c r="C10245" s="760"/>
      <c r="D10245" s="760"/>
      <c r="E10245" s="760"/>
      <c r="F10245" s="760"/>
      <c r="G10245" s="760"/>
      <c r="H10245" s="760"/>
      <c r="I10245" s="760"/>
      <c r="J10245" s="760"/>
      <c r="K10245" s="760"/>
    </row>
    <row r="10246" spans="1:11">
      <c r="A10246" s="760"/>
      <c r="B10246" s="760"/>
      <c r="C10246" s="760"/>
      <c r="D10246" s="760"/>
      <c r="E10246" s="760"/>
      <c r="F10246" s="760"/>
      <c r="G10246" s="760"/>
      <c r="H10246" s="760"/>
      <c r="I10246" s="760"/>
      <c r="J10246" s="760"/>
      <c r="K10246" s="760"/>
    </row>
    <row r="10247" spans="1:11">
      <c r="A10247" s="760"/>
      <c r="B10247" s="760"/>
      <c r="C10247" s="760"/>
      <c r="D10247" s="760"/>
      <c r="E10247" s="760"/>
      <c r="F10247" s="760"/>
      <c r="G10247" s="760"/>
      <c r="H10247" s="760"/>
      <c r="I10247" s="760"/>
      <c r="J10247" s="760"/>
      <c r="K10247" s="760"/>
    </row>
    <row r="10248" spans="1:11">
      <c r="A10248" s="760"/>
      <c r="B10248" s="760"/>
      <c r="C10248" s="760"/>
      <c r="D10248" s="760"/>
      <c r="E10248" s="760"/>
      <c r="F10248" s="760"/>
      <c r="G10248" s="760"/>
      <c r="H10248" s="760"/>
      <c r="I10248" s="760"/>
      <c r="J10248" s="760"/>
      <c r="K10248" s="760"/>
    </row>
    <row r="10249" spans="1:11">
      <c r="A10249" s="760"/>
      <c r="B10249" s="760"/>
      <c r="C10249" s="760"/>
      <c r="D10249" s="760"/>
      <c r="E10249" s="760"/>
      <c r="F10249" s="760"/>
      <c r="G10249" s="760"/>
      <c r="H10249" s="760"/>
      <c r="I10249" s="760"/>
      <c r="J10249" s="760"/>
      <c r="K10249" s="760"/>
    </row>
    <row r="10250" spans="1:11">
      <c r="A10250" s="760"/>
      <c r="B10250" s="760"/>
      <c r="C10250" s="760"/>
      <c r="D10250" s="760"/>
      <c r="E10250" s="760"/>
      <c r="F10250" s="760"/>
      <c r="G10250" s="760"/>
      <c r="H10250" s="760"/>
      <c r="I10250" s="760"/>
      <c r="J10250" s="760"/>
      <c r="K10250" s="760"/>
    </row>
    <row r="10251" spans="1:11">
      <c r="A10251" s="760"/>
      <c r="B10251" s="760"/>
      <c r="C10251" s="760"/>
      <c r="D10251" s="760"/>
      <c r="E10251" s="760"/>
      <c r="F10251" s="760"/>
      <c r="G10251" s="760"/>
      <c r="H10251" s="760"/>
      <c r="I10251" s="760"/>
      <c r="J10251" s="760"/>
      <c r="K10251" s="760"/>
    </row>
    <row r="10252" spans="1:11">
      <c r="A10252" s="760"/>
      <c r="B10252" s="760"/>
      <c r="C10252" s="760"/>
      <c r="D10252" s="760"/>
      <c r="E10252" s="760"/>
      <c r="F10252" s="760"/>
      <c r="G10252" s="760"/>
      <c r="H10252" s="760"/>
      <c r="I10252" s="760"/>
      <c r="J10252" s="760"/>
      <c r="K10252" s="760"/>
    </row>
    <row r="10253" spans="1:11">
      <c r="A10253" s="760"/>
      <c r="B10253" s="760"/>
      <c r="C10253" s="760"/>
      <c r="D10253" s="760"/>
      <c r="E10253" s="760"/>
      <c r="F10253" s="760"/>
      <c r="G10253" s="760"/>
      <c r="H10253" s="760"/>
      <c r="I10253" s="760"/>
      <c r="J10253" s="760"/>
      <c r="K10253" s="760"/>
    </row>
    <row r="10254" spans="1:11">
      <c r="A10254" s="760"/>
      <c r="B10254" s="760"/>
      <c r="C10254" s="760"/>
      <c r="D10254" s="760"/>
      <c r="E10254" s="760"/>
      <c r="F10254" s="760"/>
      <c r="G10254" s="760"/>
      <c r="H10254" s="760"/>
      <c r="I10254" s="760"/>
      <c r="J10254" s="760"/>
      <c r="K10254" s="760"/>
    </row>
    <row r="10255" spans="1:11">
      <c r="A10255" s="760"/>
      <c r="B10255" s="760"/>
      <c r="C10255" s="760"/>
      <c r="D10255" s="760"/>
      <c r="E10255" s="760"/>
      <c r="F10255" s="760"/>
      <c r="G10255" s="760"/>
      <c r="H10255" s="760"/>
      <c r="I10255" s="760"/>
      <c r="J10255" s="760"/>
      <c r="K10255" s="760"/>
    </row>
    <row r="10256" spans="1:11">
      <c r="A10256" s="760"/>
      <c r="B10256" s="760"/>
      <c r="C10256" s="760"/>
      <c r="D10256" s="760"/>
      <c r="E10256" s="760"/>
      <c r="F10256" s="760"/>
      <c r="G10256" s="760"/>
      <c r="H10256" s="760"/>
      <c r="I10256" s="760"/>
      <c r="J10256" s="760"/>
      <c r="K10256" s="760"/>
    </row>
    <row r="10257" spans="1:11">
      <c r="A10257" s="760"/>
      <c r="B10257" s="760"/>
      <c r="C10257" s="760"/>
      <c r="D10257" s="760"/>
      <c r="E10257" s="760"/>
      <c r="F10257" s="760"/>
      <c r="G10257" s="760"/>
      <c r="H10257" s="760"/>
      <c r="I10257" s="760"/>
      <c r="J10257" s="760"/>
      <c r="K10257" s="760"/>
    </row>
    <row r="10258" spans="1:11">
      <c r="A10258" s="760"/>
      <c r="B10258" s="760"/>
      <c r="C10258" s="760"/>
      <c r="D10258" s="760"/>
      <c r="E10258" s="760"/>
      <c r="F10258" s="760"/>
      <c r="G10258" s="760"/>
      <c r="H10258" s="760"/>
      <c r="I10258" s="760"/>
      <c r="J10258" s="760"/>
      <c r="K10258" s="760"/>
    </row>
    <row r="10259" spans="1:11">
      <c r="A10259" s="760"/>
      <c r="B10259" s="760"/>
      <c r="C10259" s="760"/>
      <c r="D10259" s="760"/>
      <c r="E10259" s="760"/>
      <c r="F10259" s="760"/>
      <c r="G10259" s="760"/>
      <c r="H10259" s="760"/>
      <c r="I10259" s="760"/>
      <c r="J10259" s="760"/>
      <c r="K10259" s="760"/>
    </row>
    <row r="10260" spans="1:11">
      <c r="A10260" s="760"/>
      <c r="B10260" s="760"/>
      <c r="C10260" s="760"/>
      <c r="D10260" s="760"/>
      <c r="E10260" s="760"/>
      <c r="F10260" s="760"/>
      <c r="G10260" s="760"/>
      <c r="H10260" s="760"/>
      <c r="I10260" s="760"/>
      <c r="J10260" s="760"/>
      <c r="K10260" s="760"/>
    </row>
    <row r="10261" spans="1:11">
      <c r="A10261" s="760"/>
      <c r="B10261" s="760"/>
      <c r="C10261" s="760"/>
      <c r="D10261" s="760"/>
      <c r="E10261" s="760"/>
      <c r="F10261" s="760"/>
      <c r="G10261" s="760"/>
      <c r="H10261" s="760"/>
      <c r="I10261" s="760"/>
      <c r="J10261" s="760"/>
      <c r="K10261" s="760"/>
    </row>
    <row r="10262" spans="1:11">
      <c r="A10262" s="760"/>
      <c r="B10262" s="760"/>
      <c r="C10262" s="760"/>
      <c r="D10262" s="760"/>
      <c r="E10262" s="760"/>
      <c r="F10262" s="760"/>
      <c r="G10262" s="760"/>
      <c r="H10262" s="760"/>
      <c r="I10262" s="760"/>
      <c r="J10262" s="760"/>
      <c r="K10262" s="760"/>
    </row>
    <row r="10263" spans="1:11">
      <c r="A10263" s="760"/>
      <c r="B10263" s="760"/>
      <c r="C10263" s="760"/>
      <c r="D10263" s="760"/>
      <c r="E10263" s="760"/>
      <c r="F10263" s="760"/>
      <c r="G10263" s="760"/>
      <c r="H10263" s="760"/>
      <c r="I10263" s="760"/>
      <c r="J10263" s="760"/>
      <c r="K10263" s="760"/>
    </row>
    <row r="10264" spans="1:11">
      <c r="A10264" s="760"/>
      <c r="B10264" s="760"/>
      <c r="C10264" s="760"/>
      <c r="D10264" s="760"/>
      <c r="E10264" s="760"/>
      <c r="F10264" s="760"/>
      <c r="G10264" s="760"/>
      <c r="H10264" s="760"/>
      <c r="I10264" s="760"/>
      <c r="J10264" s="760"/>
      <c r="K10264" s="760"/>
    </row>
    <row r="10265" spans="1:11">
      <c r="A10265" s="760"/>
      <c r="B10265" s="760"/>
      <c r="C10265" s="760"/>
      <c r="D10265" s="760"/>
      <c r="E10265" s="760"/>
      <c r="F10265" s="760"/>
      <c r="G10265" s="760"/>
      <c r="H10265" s="760"/>
      <c r="I10265" s="760"/>
      <c r="J10265" s="760"/>
      <c r="K10265" s="760"/>
    </row>
    <row r="10266" spans="1:11">
      <c r="A10266" s="760"/>
      <c r="B10266" s="760"/>
      <c r="C10266" s="760"/>
      <c r="D10266" s="760"/>
      <c r="E10266" s="760"/>
      <c r="F10266" s="760"/>
      <c r="G10266" s="760"/>
      <c r="H10266" s="760"/>
      <c r="I10266" s="760"/>
      <c r="J10266" s="760"/>
      <c r="K10266" s="760"/>
    </row>
    <row r="10267" spans="1:11">
      <c r="A10267" s="760"/>
      <c r="B10267" s="760"/>
      <c r="C10267" s="760"/>
      <c r="D10267" s="760"/>
      <c r="E10267" s="760"/>
      <c r="F10267" s="760"/>
      <c r="G10267" s="760"/>
      <c r="H10267" s="760"/>
      <c r="I10267" s="760"/>
      <c r="J10267" s="760"/>
      <c r="K10267" s="760"/>
    </row>
    <row r="10268" spans="1:11">
      <c r="A10268" s="760"/>
      <c r="B10268" s="760"/>
      <c r="C10268" s="760"/>
      <c r="D10268" s="760"/>
      <c r="E10268" s="760"/>
      <c r="F10268" s="760"/>
      <c r="G10268" s="760"/>
      <c r="H10268" s="760"/>
      <c r="I10268" s="760"/>
      <c r="J10268" s="760"/>
      <c r="K10268" s="760"/>
    </row>
    <row r="10269" spans="1:11">
      <c r="A10269" s="760"/>
      <c r="B10269" s="760"/>
      <c r="C10269" s="760"/>
      <c r="D10269" s="760"/>
      <c r="E10269" s="760"/>
      <c r="F10269" s="760"/>
      <c r="G10269" s="760"/>
      <c r="H10269" s="760"/>
      <c r="I10269" s="760"/>
      <c r="J10269" s="760"/>
      <c r="K10269" s="760"/>
    </row>
    <row r="10270" spans="1:11">
      <c r="A10270" s="760"/>
      <c r="B10270" s="760"/>
      <c r="C10270" s="760"/>
      <c r="D10270" s="760"/>
      <c r="E10270" s="760"/>
      <c r="F10270" s="760"/>
      <c r="G10270" s="760"/>
      <c r="H10270" s="760"/>
      <c r="I10270" s="760"/>
      <c r="J10270" s="760"/>
      <c r="K10270" s="760"/>
    </row>
    <row r="10271" spans="1:11">
      <c r="A10271" s="760"/>
      <c r="B10271" s="760"/>
      <c r="C10271" s="760"/>
      <c r="D10271" s="760"/>
      <c r="E10271" s="760"/>
      <c r="F10271" s="760"/>
      <c r="G10271" s="760"/>
      <c r="H10271" s="760"/>
      <c r="I10271" s="760"/>
      <c r="J10271" s="760"/>
      <c r="K10271" s="760"/>
    </row>
    <row r="10272" spans="1:11">
      <c r="A10272" s="760"/>
      <c r="B10272" s="760"/>
      <c r="C10272" s="760"/>
      <c r="D10272" s="760"/>
      <c r="E10272" s="760"/>
      <c r="F10272" s="760"/>
      <c r="G10272" s="760"/>
      <c r="H10272" s="760"/>
      <c r="I10272" s="760"/>
      <c r="J10272" s="760"/>
      <c r="K10272" s="760"/>
    </row>
    <row r="10273" spans="1:11">
      <c r="A10273" s="760"/>
      <c r="B10273" s="760"/>
      <c r="C10273" s="760"/>
      <c r="D10273" s="760"/>
      <c r="E10273" s="760"/>
      <c r="F10273" s="760"/>
      <c r="G10273" s="760"/>
      <c r="H10273" s="760"/>
      <c r="I10273" s="760"/>
      <c r="J10273" s="760"/>
      <c r="K10273" s="760"/>
    </row>
    <row r="10274" spans="1:11">
      <c r="A10274" s="760"/>
      <c r="B10274" s="760"/>
      <c r="C10274" s="760"/>
      <c r="D10274" s="760"/>
      <c r="E10274" s="760"/>
      <c r="F10274" s="760"/>
      <c r="G10274" s="760"/>
      <c r="H10274" s="760"/>
      <c r="I10274" s="760"/>
      <c r="J10274" s="760"/>
      <c r="K10274" s="760"/>
    </row>
    <row r="10275" spans="1:11">
      <c r="A10275" s="760"/>
      <c r="B10275" s="760"/>
      <c r="C10275" s="760"/>
      <c r="D10275" s="760"/>
      <c r="E10275" s="760"/>
      <c r="F10275" s="760"/>
      <c r="G10275" s="760"/>
      <c r="H10275" s="760"/>
      <c r="I10275" s="760"/>
      <c r="J10275" s="760"/>
      <c r="K10275" s="760"/>
    </row>
    <row r="10276" spans="1:11">
      <c r="A10276" s="760"/>
      <c r="B10276" s="760"/>
      <c r="C10276" s="760"/>
      <c r="D10276" s="760"/>
      <c r="E10276" s="760"/>
      <c r="F10276" s="760"/>
      <c r="G10276" s="760"/>
      <c r="H10276" s="760"/>
      <c r="I10276" s="760"/>
      <c r="J10276" s="760"/>
      <c r="K10276" s="760"/>
    </row>
    <row r="10277" spans="1:11">
      <c r="A10277" s="760"/>
      <c r="B10277" s="760"/>
      <c r="C10277" s="760"/>
      <c r="D10277" s="760"/>
      <c r="E10277" s="760"/>
      <c r="F10277" s="760"/>
      <c r="G10277" s="760"/>
      <c r="H10277" s="760"/>
      <c r="I10277" s="760"/>
      <c r="J10277" s="760"/>
      <c r="K10277" s="760"/>
    </row>
    <row r="10278" spans="1:11">
      <c r="A10278" s="760"/>
      <c r="B10278" s="760"/>
      <c r="C10278" s="760"/>
      <c r="D10278" s="760"/>
      <c r="E10278" s="760"/>
      <c r="F10278" s="760"/>
      <c r="G10278" s="760"/>
      <c r="H10278" s="760"/>
      <c r="I10278" s="760"/>
      <c r="J10278" s="760"/>
      <c r="K10278" s="760"/>
    </row>
    <row r="10279" spans="1:11">
      <c r="A10279" s="760"/>
      <c r="B10279" s="760"/>
      <c r="C10279" s="760"/>
      <c r="D10279" s="760"/>
      <c r="E10279" s="760"/>
      <c r="F10279" s="760"/>
      <c r="G10279" s="760"/>
      <c r="H10279" s="760"/>
      <c r="I10279" s="760"/>
      <c r="J10279" s="760"/>
      <c r="K10279" s="760"/>
    </row>
    <row r="10280" spans="1:11">
      <c r="A10280" s="760"/>
      <c r="B10280" s="760"/>
      <c r="C10280" s="760"/>
      <c r="D10280" s="760"/>
      <c r="E10280" s="760"/>
      <c r="F10280" s="760"/>
      <c r="G10280" s="760"/>
      <c r="H10280" s="760"/>
      <c r="I10280" s="760"/>
      <c r="J10280" s="760"/>
      <c r="K10280" s="760"/>
    </row>
    <row r="10281" spans="1:11">
      <c r="A10281" s="760"/>
      <c r="B10281" s="760"/>
      <c r="C10281" s="760"/>
      <c r="D10281" s="760"/>
      <c r="E10281" s="760"/>
      <c r="F10281" s="760"/>
      <c r="G10281" s="760"/>
      <c r="H10281" s="760"/>
      <c r="I10281" s="760"/>
      <c r="J10281" s="760"/>
      <c r="K10281" s="760"/>
    </row>
    <row r="10282" spans="1:11">
      <c r="A10282" s="760"/>
      <c r="B10282" s="760"/>
      <c r="C10282" s="760"/>
      <c r="D10282" s="760"/>
      <c r="E10282" s="760"/>
      <c r="F10282" s="760"/>
      <c r="G10282" s="760"/>
      <c r="H10282" s="760"/>
      <c r="I10282" s="760"/>
      <c r="J10282" s="760"/>
      <c r="K10282" s="760"/>
    </row>
    <row r="10283" spans="1:11">
      <c r="A10283" s="760"/>
      <c r="B10283" s="760"/>
      <c r="C10283" s="760"/>
      <c r="D10283" s="760"/>
      <c r="E10283" s="760"/>
      <c r="F10283" s="760"/>
      <c r="G10283" s="760"/>
      <c r="H10283" s="760"/>
      <c r="I10283" s="760"/>
      <c r="J10283" s="760"/>
      <c r="K10283" s="760"/>
    </row>
    <row r="10284" spans="1:11">
      <c r="A10284" s="760"/>
      <c r="B10284" s="760"/>
      <c r="C10284" s="760"/>
      <c r="D10284" s="760"/>
      <c r="E10284" s="760"/>
      <c r="F10284" s="760"/>
      <c r="G10284" s="760"/>
      <c r="H10284" s="760"/>
      <c r="I10284" s="760"/>
      <c r="J10284" s="760"/>
      <c r="K10284" s="760"/>
    </row>
    <row r="10285" spans="1:11">
      <c r="A10285" s="760"/>
      <c r="B10285" s="760"/>
      <c r="C10285" s="760"/>
      <c r="D10285" s="760"/>
      <c r="E10285" s="760"/>
      <c r="F10285" s="760"/>
      <c r="G10285" s="760"/>
      <c r="H10285" s="760"/>
      <c r="I10285" s="760"/>
      <c r="J10285" s="760"/>
      <c r="K10285" s="760"/>
    </row>
    <row r="10286" spans="1:11">
      <c r="A10286" s="760"/>
      <c r="B10286" s="760"/>
      <c r="C10286" s="760"/>
      <c r="D10286" s="760"/>
      <c r="E10286" s="760"/>
      <c r="F10286" s="760"/>
      <c r="G10286" s="760"/>
      <c r="H10286" s="760"/>
      <c r="I10286" s="760"/>
      <c r="J10286" s="760"/>
      <c r="K10286" s="760"/>
    </row>
    <row r="10287" spans="1:11">
      <c r="A10287" s="760"/>
      <c r="B10287" s="760"/>
      <c r="C10287" s="760"/>
      <c r="D10287" s="760"/>
      <c r="E10287" s="760"/>
      <c r="F10287" s="760"/>
      <c r="G10287" s="760"/>
      <c r="H10287" s="760"/>
      <c r="I10287" s="760"/>
      <c r="J10287" s="760"/>
      <c r="K10287" s="760"/>
    </row>
    <row r="10288" spans="1:11">
      <c r="A10288" s="760"/>
      <c r="B10288" s="760"/>
      <c r="C10288" s="760"/>
      <c r="D10288" s="760"/>
      <c r="E10288" s="760"/>
      <c r="F10288" s="760"/>
      <c r="G10288" s="760"/>
      <c r="H10288" s="760"/>
      <c r="I10288" s="760"/>
      <c r="J10288" s="760"/>
      <c r="K10288" s="760"/>
    </row>
    <row r="10289" spans="1:11">
      <c r="A10289" s="760"/>
      <c r="B10289" s="760"/>
      <c r="C10289" s="760"/>
      <c r="D10289" s="760"/>
      <c r="E10289" s="760"/>
      <c r="F10289" s="760"/>
      <c r="G10289" s="760"/>
      <c r="H10289" s="760"/>
      <c r="I10289" s="760"/>
      <c r="J10289" s="760"/>
      <c r="K10289" s="760"/>
    </row>
    <row r="10290" spans="1:11">
      <c r="A10290" s="760"/>
      <c r="B10290" s="760"/>
      <c r="C10290" s="760"/>
      <c r="D10290" s="760"/>
      <c r="E10290" s="760"/>
      <c r="F10290" s="760"/>
      <c r="G10290" s="760"/>
      <c r="H10290" s="760"/>
      <c r="I10290" s="760"/>
      <c r="J10290" s="760"/>
      <c r="K10290" s="760"/>
    </row>
    <row r="10291" spans="1:11">
      <c r="A10291" s="760"/>
      <c r="B10291" s="760"/>
      <c r="C10291" s="760"/>
      <c r="D10291" s="760"/>
      <c r="E10291" s="760"/>
      <c r="F10291" s="760"/>
      <c r="G10291" s="760"/>
      <c r="H10291" s="760"/>
      <c r="I10291" s="760"/>
      <c r="J10291" s="760"/>
      <c r="K10291" s="760"/>
    </row>
    <row r="10292" spans="1:11">
      <c r="A10292" s="760"/>
      <c r="B10292" s="760"/>
      <c r="C10292" s="760"/>
      <c r="D10292" s="760"/>
      <c r="E10292" s="760"/>
      <c r="F10292" s="760"/>
      <c r="G10292" s="760"/>
      <c r="H10292" s="760"/>
      <c r="I10292" s="760"/>
      <c r="J10292" s="760"/>
      <c r="K10292" s="760"/>
    </row>
    <row r="10293" spans="1:11">
      <c r="A10293" s="760"/>
      <c r="B10293" s="760"/>
      <c r="C10293" s="760"/>
      <c r="D10293" s="760"/>
      <c r="E10293" s="760"/>
      <c r="F10293" s="760"/>
      <c r="G10293" s="760"/>
      <c r="H10293" s="760"/>
      <c r="I10293" s="760"/>
      <c r="J10293" s="760"/>
      <c r="K10293" s="760"/>
    </row>
    <row r="10294" spans="1:11">
      <c r="A10294" s="760"/>
      <c r="B10294" s="760"/>
      <c r="C10294" s="760"/>
      <c r="D10294" s="760"/>
      <c r="E10294" s="760"/>
      <c r="F10294" s="760"/>
      <c r="G10294" s="760"/>
      <c r="H10294" s="760"/>
      <c r="I10294" s="760"/>
      <c r="J10294" s="760"/>
      <c r="K10294" s="760"/>
    </row>
    <row r="10295" spans="1:11">
      <c r="A10295" s="760"/>
      <c r="B10295" s="760"/>
      <c r="C10295" s="760"/>
      <c r="D10295" s="760"/>
      <c r="E10295" s="760"/>
      <c r="F10295" s="760"/>
      <c r="G10295" s="760"/>
      <c r="H10295" s="760"/>
      <c r="I10295" s="760"/>
      <c r="J10295" s="760"/>
      <c r="K10295" s="760"/>
    </row>
    <row r="10296" spans="1:11">
      <c r="A10296" s="760"/>
      <c r="B10296" s="760"/>
      <c r="C10296" s="760"/>
      <c r="D10296" s="760"/>
      <c r="E10296" s="760"/>
      <c r="F10296" s="760"/>
      <c r="G10296" s="760"/>
      <c r="H10296" s="760"/>
      <c r="I10296" s="760"/>
      <c r="J10296" s="760"/>
      <c r="K10296" s="760"/>
    </row>
    <row r="10297" spans="1:11">
      <c r="A10297" s="760"/>
      <c r="B10297" s="760"/>
      <c r="C10297" s="760"/>
      <c r="D10297" s="760"/>
      <c r="E10297" s="760"/>
      <c r="F10297" s="760"/>
      <c r="G10297" s="760"/>
      <c r="H10297" s="760"/>
      <c r="I10297" s="760"/>
      <c r="J10297" s="760"/>
      <c r="K10297" s="760"/>
    </row>
    <row r="10298" spans="1:11">
      <c r="A10298" s="760"/>
      <c r="B10298" s="760"/>
      <c r="C10298" s="760"/>
      <c r="D10298" s="760"/>
      <c r="E10298" s="760"/>
      <c r="F10298" s="760"/>
      <c r="G10298" s="760"/>
      <c r="H10298" s="760"/>
      <c r="I10298" s="760"/>
      <c r="J10298" s="760"/>
      <c r="K10298" s="760"/>
    </row>
    <row r="10299" spans="1:11">
      <c r="A10299" s="760"/>
      <c r="B10299" s="760"/>
      <c r="C10299" s="760"/>
      <c r="D10299" s="760"/>
      <c r="E10299" s="760"/>
      <c r="F10299" s="760"/>
      <c r="G10299" s="760"/>
      <c r="H10299" s="760"/>
      <c r="I10299" s="760"/>
      <c r="J10299" s="760"/>
      <c r="K10299" s="760"/>
    </row>
    <row r="10300" spans="1:11">
      <c r="A10300" s="760"/>
      <c r="B10300" s="760"/>
      <c r="C10300" s="760"/>
      <c r="D10300" s="760"/>
      <c r="E10300" s="760"/>
      <c r="F10300" s="760"/>
      <c r="G10300" s="760"/>
      <c r="H10300" s="760"/>
      <c r="I10300" s="760"/>
      <c r="J10300" s="760"/>
      <c r="K10300" s="760"/>
    </row>
    <row r="10301" spans="1:11">
      <c r="A10301" s="760"/>
      <c r="B10301" s="760"/>
      <c r="C10301" s="760"/>
      <c r="D10301" s="760"/>
      <c r="E10301" s="760"/>
      <c r="F10301" s="760"/>
      <c r="G10301" s="760"/>
      <c r="H10301" s="760"/>
      <c r="I10301" s="760"/>
      <c r="J10301" s="760"/>
      <c r="K10301" s="760"/>
    </row>
    <row r="10302" spans="1:11">
      <c r="A10302" s="760"/>
      <c r="B10302" s="760"/>
      <c r="C10302" s="760"/>
      <c r="D10302" s="760"/>
      <c r="E10302" s="760"/>
      <c r="F10302" s="760"/>
      <c r="G10302" s="760"/>
      <c r="H10302" s="760"/>
      <c r="I10302" s="760"/>
      <c r="J10302" s="760"/>
      <c r="K10302" s="760"/>
    </row>
    <row r="10303" spans="1:11">
      <c r="A10303" s="760"/>
      <c r="B10303" s="760"/>
      <c r="C10303" s="760"/>
      <c r="D10303" s="760"/>
      <c r="E10303" s="760"/>
      <c r="F10303" s="760"/>
      <c r="G10303" s="760"/>
      <c r="H10303" s="760"/>
      <c r="I10303" s="760"/>
      <c r="J10303" s="760"/>
      <c r="K10303" s="760"/>
    </row>
    <row r="10304" spans="1:11">
      <c r="A10304" s="760"/>
      <c r="B10304" s="760"/>
      <c r="C10304" s="760"/>
      <c r="D10304" s="760"/>
      <c r="E10304" s="760"/>
      <c r="F10304" s="760"/>
      <c r="G10304" s="760"/>
      <c r="H10304" s="760"/>
      <c r="I10304" s="760"/>
      <c r="J10304" s="760"/>
      <c r="K10304" s="760"/>
    </row>
    <row r="10305" spans="1:11">
      <c r="A10305" s="760"/>
      <c r="B10305" s="760"/>
      <c r="C10305" s="760"/>
      <c r="D10305" s="760"/>
      <c r="E10305" s="760"/>
      <c r="F10305" s="760"/>
      <c r="G10305" s="760"/>
      <c r="H10305" s="760"/>
      <c r="I10305" s="760"/>
      <c r="J10305" s="760"/>
      <c r="K10305" s="760"/>
    </row>
    <row r="10306" spans="1:11">
      <c r="A10306" s="760"/>
      <c r="B10306" s="760"/>
      <c r="C10306" s="760"/>
      <c r="D10306" s="760"/>
      <c r="E10306" s="760"/>
      <c r="F10306" s="760"/>
      <c r="G10306" s="760"/>
      <c r="H10306" s="760"/>
      <c r="I10306" s="760"/>
      <c r="J10306" s="760"/>
      <c r="K10306" s="760"/>
    </row>
    <row r="10307" spans="1:11">
      <c r="A10307" s="760"/>
      <c r="B10307" s="760"/>
      <c r="C10307" s="760"/>
      <c r="D10307" s="760"/>
      <c r="E10307" s="760"/>
      <c r="F10307" s="760"/>
      <c r="G10307" s="760"/>
      <c r="H10307" s="760"/>
      <c r="I10307" s="760"/>
      <c r="J10307" s="760"/>
      <c r="K10307" s="760"/>
    </row>
    <row r="10308" spans="1:11">
      <c r="A10308" s="760"/>
      <c r="B10308" s="760"/>
      <c r="C10308" s="760"/>
      <c r="D10308" s="760"/>
      <c r="E10308" s="760"/>
      <c r="F10308" s="760"/>
      <c r="G10308" s="760"/>
      <c r="H10308" s="760"/>
      <c r="I10308" s="760"/>
      <c r="J10308" s="760"/>
      <c r="K10308" s="760"/>
    </row>
    <row r="10309" spans="1:11">
      <c r="A10309" s="760"/>
      <c r="B10309" s="760"/>
      <c r="C10309" s="760"/>
      <c r="D10309" s="760"/>
      <c r="E10309" s="760"/>
      <c r="F10309" s="760"/>
      <c r="G10309" s="760"/>
      <c r="H10309" s="760"/>
      <c r="I10309" s="760"/>
      <c r="J10309" s="760"/>
      <c r="K10309" s="760"/>
    </row>
    <row r="10310" spans="1:11">
      <c r="A10310" s="760"/>
      <c r="B10310" s="760"/>
      <c r="C10310" s="760"/>
      <c r="D10310" s="760"/>
      <c r="E10310" s="760"/>
      <c r="F10310" s="760"/>
      <c r="G10310" s="760"/>
      <c r="H10310" s="760"/>
      <c r="I10310" s="760"/>
      <c r="J10310" s="760"/>
      <c r="K10310" s="760"/>
    </row>
    <row r="10311" spans="1:11">
      <c r="A10311" s="760"/>
      <c r="B10311" s="760"/>
      <c r="C10311" s="760"/>
      <c r="D10311" s="760"/>
      <c r="E10311" s="760"/>
      <c r="F10311" s="760"/>
      <c r="G10311" s="760"/>
      <c r="H10311" s="760"/>
      <c r="I10311" s="760"/>
      <c r="J10311" s="760"/>
      <c r="K10311" s="760"/>
    </row>
    <row r="10312" spans="1:11">
      <c r="A10312" s="760"/>
      <c r="B10312" s="760"/>
      <c r="C10312" s="760"/>
      <c r="D10312" s="760"/>
      <c r="E10312" s="760"/>
      <c r="F10312" s="760"/>
      <c r="G10312" s="760"/>
      <c r="H10312" s="760"/>
      <c r="I10312" s="760"/>
      <c r="J10312" s="760"/>
      <c r="K10312" s="760"/>
    </row>
    <row r="10313" spans="1:11">
      <c r="A10313" s="760"/>
      <c r="B10313" s="760"/>
      <c r="C10313" s="760"/>
      <c r="D10313" s="760"/>
      <c r="E10313" s="760"/>
      <c r="F10313" s="760"/>
      <c r="G10313" s="760"/>
      <c r="H10313" s="760"/>
      <c r="I10313" s="760"/>
      <c r="J10313" s="760"/>
      <c r="K10313" s="760"/>
    </row>
    <row r="10314" spans="1:11">
      <c r="A10314" s="760"/>
      <c r="B10314" s="760"/>
      <c r="C10314" s="760"/>
      <c r="D10314" s="760"/>
      <c r="E10314" s="760"/>
      <c r="F10314" s="760"/>
      <c r="G10314" s="760"/>
      <c r="H10314" s="760"/>
      <c r="I10314" s="760"/>
      <c r="J10314" s="760"/>
      <c r="K10314" s="760"/>
    </row>
    <row r="10315" spans="1:11">
      <c r="A10315" s="760"/>
      <c r="B10315" s="760"/>
      <c r="C10315" s="760"/>
      <c r="D10315" s="760"/>
      <c r="E10315" s="760"/>
      <c r="F10315" s="760"/>
      <c r="G10315" s="760"/>
      <c r="H10315" s="760"/>
      <c r="I10315" s="760"/>
      <c r="J10315" s="760"/>
      <c r="K10315" s="760"/>
    </row>
    <row r="10316" spans="1:11">
      <c r="A10316" s="760"/>
      <c r="B10316" s="760"/>
      <c r="C10316" s="760"/>
      <c r="D10316" s="760"/>
      <c r="E10316" s="760"/>
      <c r="F10316" s="760"/>
      <c r="G10316" s="760"/>
      <c r="H10316" s="760"/>
      <c r="I10316" s="760"/>
      <c r="J10316" s="760"/>
      <c r="K10316" s="760"/>
    </row>
    <row r="10317" spans="1:11">
      <c r="A10317" s="760"/>
      <c r="B10317" s="760"/>
      <c r="C10317" s="760"/>
      <c r="D10317" s="760"/>
      <c r="E10317" s="760"/>
      <c r="F10317" s="760"/>
      <c r="G10317" s="760"/>
      <c r="H10317" s="760"/>
      <c r="I10317" s="760"/>
      <c r="J10317" s="760"/>
      <c r="K10317" s="760"/>
    </row>
    <row r="10318" spans="1:11">
      <c r="A10318" s="760"/>
      <c r="B10318" s="760"/>
      <c r="C10318" s="760"/>
      <c r="D10318" s="760"/>
      <c r="E10318" s="760"/>
      <c r="F10318" s="760"/>
      <c r="G10318" s="760"/>
      <c r="H10318" s="760"/>
      <c r="I10318" s="760"/>
      <c r="J10318" s="760"/>
      <c r="K10318" s="760"/>
    </row>
    <row r="10319" spans="1:11">
      <c r="A10319" s="760"/>
      <c r="B10319" s="760"/>
      <c r="C10319" s="760"/>
      <c r="D10319" s="760"/>
      <c r="E10319" s="760"/>
      <c r="F10319" s="760"/>
      <c r="G10319" s="760"/>
      <c r="H10319" s="760"/>
      <c r="I10319" s="760"/>
      <c r="J10319" s="760"/>
      <c r="K10319" s="760"/>
    </row>
    <row r="10320" spans="1:11">
      <c r="A10320" s="760"/>
      <c r="B10320" s="760"/>
      <c r="C10320" s="760"/>
      <c r="D10320" s="760"/>
      <c r="E10320" s="760"/>
      <c r="F10320" s="760"/>
      <c r="G10320" s="760"/>
      <c r="H10320" s="760"/>
      <c r="I10320" s="760"/>
      <c r="J10320" s="760"/>
      <c r="K10320" s="760"/>
    </row>
    <row r="10321" spans="1:11">
      <c r="A10321" s="760"/>
      <c r="B10321" s="760"/>
      <c r="C10321" s="760"/>
      <c r="D10321" s="760"/>
      <c r="E10321" s="760"/>
      <c r="F10321" s="760"/>
      <c r="G10321" s="760"/>
      <c r="H10321" s="760"/>
      <c r="I10321" s="760"/>
      <c r="J10321" s="760"/>
      <c r="K10321" s="760"/>
    </row>
    <row r="10322" spans="1:11">
      <c r="A10322" s="760"/>
      <c r="B10322" s="760"/>
      <c r="C10322" s="760"/>
      <c r="D10322" s="760"/>
      <c r="E10322" s="760"/>
      <c r="F10322" s="760"/>
      <c r="G10322" s="760"/>
      <c r="H10322" s="760"/>
      <c r="I10322" s="760"/>
      <c r="J10322" s="760"/>
      <c r="K10322" s="760"/>
    </row>
    <row r="10323" spans="1:11">
      <c r="A10323" s="760"/>
      <c r="B10323" s="760"/>
      <c r="C10323" s="760"/>
      <c r="D10323" s="760"/>
      <c r="E10323" s="760"/>
      <c r="F10323" s="760"/>
      <c r="G10323" s="760"/>
      <c r="H10323" s="760"/>
      <c r="I10323" s="760"/>
      <c r="J10323" s="760"/>
      <c r="K10323" s="760"/>
    </row>
    <row r="10324" spans="1:11">
      <c r="A10324" s="760"/>
      <c r="B10324" s="760"/>
      <c r="C10324" s="760"/>
      <c r="D10324" s="760"/>
      <c r="E10324" s="760"/>
      <c r="F10324" s="760"/>
      <c r="G10324" s="760"/>
      <c r="H10324" s="760"/>
      <c r="I10324" s="760"/>
      <c r="J10324" s="760"/>
      <c r="K10324" s="760"/>
    </row>
    <row r="10325" spans="1:11">
      <c r="A10325" s="760"/>
      <c r="B10325" s="760"/>
      <c r="C10325" s="760"/>
      <c r="D10325" s="760"/>
      <c r="E10325" s="760"/>
      <c r="F10325" s="760"/>
      <c r="G10325" s="760"/>
      <c r="H10325" s="760"/>
      <c r="I10325" s="760"/>
      <c r="J10325" s="760"/>
      <c r="K10325" s="760"/>
    </row>
    <row r="10326" spans="1:11">
      <c r="A10326" s="760"/>
      <c r="B10326" s="760"/>
      <c r="C10326" s="760"/>
      <c r="D10326" s="760"/>
      <c r="E10326" s="760"/>
      <c r="F10326" s="760"/>
      <c r="G10326" s="760"/>
      <c r="H10326" s="760"/>
      <c r="I10326" s="760"/>
      <c r="J10326" s="760"/>
      <c r="K10326" s="760"/>
    </row>
    <row r="10327" spans="1:11">
      <c r="A10327" s="760"/>
      <c r="B10327" s="760"/>
      <c r="C10327" s="760"/>
      <c r="D10327" s="760"/>
      <c r="E10327" s="760"/>
      <c r="F10327" s="760"/>
      <c r="G10327" s="760"/>
      <c r="H10327" s="760"/>
      <c r="I10327" s="760"/>
      <c r="J10327" s="760"/>
      <c r="K10327" s="760"/>
    </row>
    <row r="10328" spans="1:11">
      <c r="A10328" s="760"/>
      <c r="B10328" s="760"/>
      <c r="C10328" s="760"/>
      <c r="D10328" s="760"/>
      <c r="E10328" s="760"/>
      <c r="F10328" s="760"/>
      <c r="G10328" s="760"/>
      <c r="H10328" s="760"/>
      <c r="I10328" s="760"/>
      <c r="J10328" s="760"/>
      <c r="K10328" s="760"/>
    </row>
    <row r="10329" spans="1:11">
      <c r="A10329" s="760"/>
      <c r="B10329" s="760"/>
      <c r="C10329" s="760"/>
      <c r="D10329" s="760"/>
      <c r="E10329" s="760"/>
      <c r="F10329" s="760"/>
      <c r="G10329" s="760"/>
      <c r="H10329" s="760"/>
      <c r="I10329" s="760"/>
      <c r="J10329" s="760"/>
      <c r="K10329" s="760"/>
    </row>
    <row r="10330" spans="1:11">
      <c r="A10330" s="760"/>
      <c r="B10330" s="760"/>
      <c r="C10330" s="760"/>
      <c r="D10330" s="760"/>
      <c r="E10330" s="760"/>
      <c r="F10330" s="760"/>
      <c r="G10330" s="760"/>
      <c r="H10330" s="760"/>
      <c r="I10330" s="760"/>
      <c r="J10330" s="760"/>
      <c r="K10330" s="760"/>
    </row>
    <row r="10331" spans="1:11">
      <c r="A10331" s="760"/>
      <c r="B10331" s="760"/>
      <c r="C10331" s="760"/>
      <c r="D10331" s="760"/>
      <c r="E10331" s="760"/>
      <c r="F10331" s="760"/>
      <c r="G10331" s="760"/>
      <c r="H10331" s="760"/>
      <c r="I10331" s="760"/>
      <c r="J10331" s="760"/>
      <c r="K10331" s="760"/>
    </row>
    <row r="10332" spans="1:11">
      <c r="A10332" s="760"/>
      <c r="B10332" s="760"/>
      <c r="C10332" s="760"/>
      <c r="D10332" s="760"/>
      <c r="E10332" s="760"/>
      <c r="F10332" s="760"/>
      <c r="G10332" s="760"/>
      <c r="H10332" s="760"/>
      <c r="I10332" s="760"/>
      <c r="J10332" s="760"/>
      <c r="K10332" s="760"/>
    </row>
    <row r="10333" spans="1:11">
      <c r="A10333" s="760"/>
      <c r="B10333" s="760"/>
      <c r="C10333" s="760"/>
      <c r="D10333" s="760"/>
      <c r="E10333" s="760"/>
      <c r="F10333" s="760"/>
      <c r="G10333" s="760"/>
      <c r="H10333" s="760"/>
      <c r="I10333" s="760"/>
      <c r="J10333" s="760"/>
      <c r="K10333" s="760"/>
    </row>
    <row r="10334" spans="1:11">
      <c r="A10334" s="760"/>
      <c r="B10334" s="760"/>
      <c r="C10334" s="760"/>
      <c r="D10334" s="760"/>
      <c r="E10334" s="760"/>
      <c r="F10334" s="760"/>
      <c r="G10334" s="760"/>
      <c r="H10334" s="760"/>
      <c r="I10334" s="760"/>
      <c r="J10334" s="760"/>
      <c r="K10334" s="760"/>
    </row>
    <row r="10335" spans="1:11">
      <c r="A10335" s="760"/>
      <c r="B10335" s="760"/>
      <c r="C10335" s="760"/>
      <c r="D10335" s="760"/>
      <c r="E10335" s="760"/>
      <c r="F10335" s="760"/>
      <c r="G10335" s="760"/>
      <c r="H10335" s="760"/>
      <c r="I10335" s="760"/>
      <c r="J10335" s="760"/>
      <c r="K10335" s="760"/>
    </row>
    <row r="10336" spans="1:11">
      <c r="A10336" s="760"/>
      <c r="B10336" s="760"/>
      <c r="C10336" s="760"/>
      <c r="D10336" s="760"/>
      <c r="E10336" s="760"/>
      <c r="F10336" s="760"/>
      <c r="G10336" s="760"/>
      <c r="H10336" s="760"/>
      <c r="I10336" s="760"/>
      <c r="J10336" s="760"/>
      <c r="K10336" s="760"/>
    </row>
    <row r="10337" spans="1:11">
      <c r="A10337" s="760"/>
      <c r="B10337" s="760"/>
      <c r="C10337" s="760"/>
      <c r="D10337" s="760"/>
      <c r="E10337" s="760"/>
      <c r="F10337" s="760"/>
      <c r="G10337" s="760"/>
      <c r="H10337" s="760"/>
      <c r="I10337" s="760"/>
      <c r="J10337" s="760"/>
      <c r="K10337" s="760"/>
    </row>
    <row r="10338" spans="1:11">
      <c r="A10338" s="760"/>
      <c r="B10338" s="760"/>
      <c r="C10338" s="760"/>
      <c r="D10338" s="760"/>
      <c r="E10338" s="760"/>
      <c r="F10338" s="760"/>
      <c r="G10338" s="760"/>
      <c r="H10338" s="760"/>
      <c r="I10338" s="760"/>
      <c r="J10338" s="760"/>
      <c r="K10338" s="760"/>
    </row>
    <row r="10339" spans="1:11">
      <c r="A10339" s="760"/>
      <c r="B10339" s="760"/>
      <c r="C10339" s="760"/>
      <c r="D10339" s="760"/>
      <c r="E10339" s="760"/>
      <c r="F10339" s="760"/>
      <c r="G10339" s="760"/>
      <c r="H10339" s="760"/>
      <c r="I10339" s="760"/>
      <c r="J10339" s="760"/>
      <c r="K10339" s="760"/>
    </row>
    <row r="10340" spans="1:11">
      <c r="A10340" s="760"/>
      <c r="B10340" s="760"/>
      <c r="C10340" s="760"/>
      <c r="D10340" s="760"/>
      <c r="E10340" s="760"/>
      <c r="F10340" s="760"/>
      <c r="G10340" s="760"/>
      <c r="H10340" s="760"/>
      <c r="I10340" s="760"/>
      <c r="J10340" s="760"/>
      <c r="K10340" s="760"/>
    </row>
    <row r="10341" spans="1:11">
      <c r="A10341" s="760"/>
      <c r="B10341" s="760"/>
      <c r="C10341" s="760"/>
      <c r="D10341" s="760"/>
      <c r="E10341" s="760"/>
      <c r="F10341" s="760"/>
      <c r="G10341" s="760"/>
      <c r="H10341" s="760"/>
      <c r="I10341" s="760"/>
      <c r="J10341" s="760"/>
      <c r="K10341" s="760"/>
    </row>
    <row r="10342" spans="1:11">
      <c r="A10342" s="760"/>
      <c r="B10342" s="760"/>
      <c r="C10342" s="760"/>
      <c r="D10342" s="760"/>
      <c r="E10342" s="760"/>
      <c r="F10342" s="760"/>
      <c r="G10342" s="760"/>
      <c r="H10342" s="760"/>
      <c r="I10342" s="760"/>
      <c r="J10342" s="760"/>
      <c r="K10342" s="760"/>
    </row>
    <row r="10343" spans="1:11">
      <c r="A10343" s="760"/>
      <c r="B10343" s="760"/>
      <c r="C10343" s="760"/>
      <c r="D10343" s="760"/>
      <c r="E10343" s="760"/>
      <c r="F10343" s="760"/>
      <c r="G10343" s="760"/>
      <c r="H10343" s="760"/>
      <c r="I10343" s="760"/>
      <c r="J10343" s="760"/>
      <c r="K10343" s="760"/>
    </row>
    <row r="10344" spans="1:11">
      <c r="A10344" s="760"/>
      <c r="B10344" s="760"/>
      <c r="C10344" s="760"/>
      <c r="D10344" s="760"/>
      <c r="E10344" s="760"/>
      <c r="F10344" s="760"/>
      <c r="G10344" s="760"/>
      <c r="H10344" s="760"/>
      <c r="I10344" s="760"/>
      <c r="J10344" s="760"/>
      <c r="K10344" s="760"/>
    </row>
    <row r="10345" spans="1:11">
      <c r="A10345" s="760"/>
      <c r="B10345" s="760"/>
      <c r="C10345" s="760"/>
      <c r="D10345" s="760"/>
      <c r="E10345" s="760"/>
      <c r="F10345" s="760"/>
      <c r="G10345" s="760"/>
      <c r="H10345" s="760"/>
      <c r="I10345" s="760"/>
      <c r="J10345" s="760"/>
      <c r="K10345" s="760"/>
    </row>
    <row r="10346" spans="1:11">
      <c r="A10346" s="760"/>
      <c r="B10346" s="760"/>
      <c r="C10346" s="760"/>
      <c r="D10346" s="760"/>
      <c r="E10346" s="760"/>
      <c r="F10346" s="760"/>
      <c r="G10346" s="760"/>
      <c r="H10346" s="760"/>
      <c r="I10346" s="760"/>
      <c r="J10346" s="760"/>
      <c r="K10346" s="760"/>
    </row>
    <row r="10347" spans="1:11">
      <c r="A10347" s="760"/>
      <c r="B10347" s="760"/>
      <c r="C10347" s="760"/>
      <c r="D10347" s="760"/>
      <c r="E10347" s="760"/>
      <c r="F10347" s="760"/>
      <c r="G10347" s="760"/>
      <c r="H10347" s="760"/>
      <c r="I10347" s="760"/>
      <c r="J10347" s="760"/>
      <c r="K10347" s="760"/>
    </row>
    <row r="10348" spans="1:11">
      <c r="A10348" s="760"/>
      <c r="B10348" s="760"/>
      <c r="C10348" s="760"/>
      <c r="D10348" s="760"/>
      <c r="E10348" s="760"/>
      <c r="F10348" s="760"/>
      <c r="G10348" s="760"/>
      <c r="H10348" s="760"/>
      <c r="I10348" s="760"/>
      <c r="J10348" s="760"/>
      <c r="K10348" s="760"/>
    </row>
    <row r="10349" spans="1:11">
      <c r="A10349" s="760"/>
      <c r="B10349" s="760"/>
      <c r="C10349" s="760"/>
      <c r="D10349" s="760"/>
      <c r="E10349" s="760"/>
      <c r="F10349" s="760"/>
      <c r="G10349" s="760"/>
      <c r="H10349" s="760"/>
      <c r="I10349" s="760"/>
      <c r="J10349" s="760"/>
      <c r="K10349" s="760"/>
    </row>
    <row r="10350" spans="1:11">
      <c r="A10350" s="760"/>
      <c r="B10350" s="760"/>
      <c r="C10350" s="760"/>
      <c r="D10350" s="760"/>
      <c r="E10350" s="760"/>
      <c r="F10350" s="760"/>
      <c r="G10350" s="760"/>
      <c r="H10350" s="760"/>
      <c r="I10350" s="760"/>
      <c r="J10350" s="760"/>
      <c r="K10350" s="760"/>
    </row>
    <row r="10351" spans="1:11">
      <c r="A10351" s="760"/>
      <c r="B10351" s="760"/>
      <c r="C10351" s="760"/>
      <c r="D10351" s="760"/>
      <c r="E10351" s="760"/>
      <c r="F10351" s="760"/>
      <c r="G10351" s="760"/>
      <c r="H10351" s="760"/>
      <c r="I10351" s="760"/>
      <c r="J10351" s="760"/>
      <c r="K10351" s="760"/>
    </row>
    <row r="10352" spans="1:11">
      <c r="A10352" s="760"/>
      <c r="B10352" s="760"/>
      <c r="C10352" s="760"/>
      <c r="D10352" s="760"/>
      <c r="E10352" s="760"/>
      <c r="F10352" s="760"/>
      <c r="G10352" s="760"/>
      <c r="H10352" s="760"/>
      <c r="I10352" s="760"/>
      <c r="J10352" s="760"/>
      <c r="K10352" s="760"/>
    </row>
    <row r="10353" spans="1:11">
      <c r="A10353" s="760"/>
      <c r="B10353" s="760"/>
      <c r="C10353" s="760"/>
      <c r="D10353" s="760"/>
      <c r="E10353" s="760"/>
      <c r="F10353" s="760"/>
      <c r="G10353" s="760"/>
      <c r="H10353" s="760"/>
      <c r="I10353" s="760"/>
      <c r="J10353" s="760"/>
      <c r="K10353" s="760"/>
    </row>
    <row r="10354" spans="1:11">
      <c r="A10354" s="760"/>
      <c r="B10354" s="760"/>
      <c r="C10354" s="760"/>
      <c r="D10354" s="760"/>
      <c r="E10354" s="760"/>
      <c r="F10354" s="760"/>
      <c r="G10354" s="760"/>
      <c r="H10354" s="760"/>
      <c r="I10354" s="760"/>
      <c r="J10354" s="760"/>
      <c r="K10354" s="760"/>
    </row>
    <row r="10355" spans="1:11">
      <c r="A10355" s="760"/>
      <c r="B10355" s="760"/>
      <c r="C10355" s="760"/>
      <c r="D10355" s="760"/>
      <c r="E10355" s="760"/>
      <c r="F10355" s="760"/>
      <c r="G10355" s="760"/>
      <c r="H10355" s="760"/>
      <c r="I10355" s="760"/>
      <c r="J10355" s="760"/>
      <c r="K10355" s="760"/>
    </row>
    <row r="10356" spans="1:11">
      <c r="A10356" s="760"/>
      <c r="B10356" s="760"/>
      <c r="C10356" s="760"/>
      <c r="D10356" s="760"/>
      <c r="E10356" s="760"/>
      <c r="F10356" s="760"/>
      <c r="G10356" s="760"/>
      <c r="H10356" s="760"/>
      <c r="I10356" s="760"/>
      <c r="J10356" s="760"/>
      <c r="K10356" s="760"/>
    </row>
    <row r="10357" spans="1:11">
      <c r="A10357" s="760"/>
      <c r="B10357" s="760"/>
      <c r="C10357" s="760"/>
      <c r="D10357" s="760"/>
      <c r="E10357" s="760"/>
      <c r="F10357" s="760"/>
      <c r="G10357" s="760"/>
      <c r="H10357" s="760"/>
      <c r="I10357" s="760"/>
      <c r="J10357" s="760"/>
      <c r="K10357" s="760"/>
    </row>
    <row r="10358" spans="1:11">
      <c r="A10358" s="760"/>
      <c r="B10358" s="760"/>
      <c r="C10358" s="760"/>
      <c r="D10358" s="760"/>
      <c r="E10358" s="760"/>
      <c r="F10358" s="760"/>
      <c r="G10358" s="760"/>
      <c r="H10358" s="760"/>
      <c r="I10358" s="760"/>
      <c r="J10358" s="760"/>
      <c r="K10358" s="760"/>
    </row>
    <row r="10359" spans="1:11">
      <c r="A10359" s="760"/>
      <c r="B10359" s="760"/>
      <c r="C10359" s="760"/>
      <c r="D10359" s="760"/>
      <c r="E10359" s="760"/>
      <c r="F10359" s="760"/>
      <c r="G10359" s="760"/>
      <c r="H10359" s="760"/>
      <c r="I10359" s="760"/>
      <c r="J10359" s="760"/>
      <c r="K10359" s="760"/>
    </row>
    <row r="10360" spans="1:11">
      <c r="A10360" s="760"/>
      <c r="B10360" s="760"/>
      <c r="C10360" s="760"/>
      <c r="D10360" s="760"/>
      <c r="E10360" s="760"/>
      <c r="F10360" s="760"/>
      <c r="G10360" s="760"/>
      <c r="H10360" s="760"/>
      <c r="I10360" s="760"/>
      <c r="J10360" s="760"/>
      <c r="K10360" s="760"/>
    </row>
    <row r="10361" spans="1:11">
      <c r="A10361" s="760"/>
      <c r="B10361" s="760"/>
      <c r="C10361" s="760"/>
      <c r="D10361" s="760"/>
      <c r="E10361" s="760"/>
      <c r="F10361" s="760"/>
      <c r="G10361" s="760"/>
      <c r="H10361" s="760"/>
      <c r="I10361" s="760"/>
      <c r="J10361" s="760"/>
      <c r="K10361" s="760"/>
    </row>
    <row r="10362" spans="1:11">
      <c r="A10362" s="760"/>
      <c r="B10362" s="760"/>
      <c r="C10362" s="760"/>
      <c r="D10362" s="760"/>
      <c r="E10362" s="760"/>
      <c r="F10362" s="760"/>
      <c r="G10362" s="760"/>
      <c r="H10362" s="760"/>
      <c r="I10362" s="760"/>
      <c r="J10362" s="760"/>
      <c r="K10362" s="760"/>
    </row>
    <row r="10363" spans="1:11">
      <c r="A10363" s="760"/>
      <c r="B10363" s="760"/>
      <c r="C10363" s="760"/>
      <c r="D10363" s="760"/>
      <c r="E10363" s="760"/>
      <c r="F10363" s="760"/>
      <c r="G10363" s="760"/>
      <c r="H10363" s="760"/>
      <c r="I10363" s="760"/>
      <c r="J10363" s="760"/>
      <c r="K10363" s="760"/>
    </row>
    <row r="10364" spans="1:11">
      <c r="A10364" s="760"/>
      <c r="B10364" s="760"/>
      <c r="C10364" s="760"/>
      <c r="D10364" s="760"/>
      <c r="E10364" s="760"/>
      <c r="F10364" s="760"/>
      <c r="G10364" s="760"/>
      <c r="H10364" s="760"/>
      <c r="I10364" s="760"/>
      <c r="J10364" s="760"/>
      <c r="K10364" s="760"/>
    </row>
    <row r="10365" spans="1:11">
      <c r="A10365" s="760"/>
      <c r="B10365" s="760"/>
      <c r="C10365" s="760"/>
      <c r="D10365" s="760"/>
      <c r="E10365" s="760"/>
      <c r="F10365" s="760"/>
      <c r="G10365" s="760"/>
      <c r="H10365" s="760"/>
      <c r="I10365" s="760"/>
      <c r="J10365" s="760"/>
      <c r="K10365" s="760"/>
    </row>
    <row r="10366" spans="1:11">
      <c r="A10366" s="760"/>
      <c r="B10366" s="760"/>
      <c r="C10366" s="760"/>
      <c r="D10366" s="760"/>
      <c r="E10366" s="760"/>
      <c r="F10366" s="760"/>
      <c r="G10366" s="760"/>
      <c r="H10366" s="760"/>
      <c r="I10366" s="760"/>
      <c r="J10366" s="760"/>
      <c r="K10366" s="760"/>
    </row>
    <row r="10367" spans="1:11">
      <c r="A10367" s="760"/>
      <c r="B10367" s="760"/>
      <c r="C10367" s="760"/>
      <c r="D10367" s="760"/>
      <c r="E10367" s="760"/>
      <c r="F10367" s="760"/>
      <c r="G10367" s="760"/>
      <c r="H10367" s="760"/>
      <c r="I10367" s="760"/>
      <c r="J10367" s="760"/>
      <c r="K10367" s="760"/>
    </row>
    <row r="10368" spans="1:11">
      <c r="A10368" s="760"/>
      <c r="B10368" s="760"/>
      <c r="C10368" s="760"/>
      <c r="D10368" s="760"/>
      <c r="E10368" s="760"/>
      <c r="F10368" s="760"/>
      <c r="G10368" s="760"/>
      <c r="H10368" s="760"/>
      <c r="I10368" s="760"/>
      <c r="J10368" s="760"/>
      <c r="K10368" s="760"/>
    </row>
    <row r="10369" spans="1:11">
      <c r="A10369" s="760"/>
      <c r="B10369" s="760"/>
      <c r="C10369" s="760"/>
      <c r="D10369" s="760"/>
      <c r="E10369" s="760"/>
      <c r="F10369" s="760"/>
      <c r="G10369" s="760"/>
      <c r="H10369" s="760"/>
      <c r="I10369" s="760"/>
      <c r="J10369" s="760"/>
      <c r="K10369" s="760"/>
    </row>
    <row r="10370" spans="1:11">
      <c r="A10370" s="760"/>
      <c r="B10370" s="760"/>
      <c r="C10370" s="760"/>
      <c r="D10370" s="760"/>
      <c r="E10370" s="760"/>
      <c r="F10370" s="760"/>
      <c r="G10370" s="760"/>
      <c r="H10370" s="760"/>
      <c r="I10370" s="760"/>
      <c r="J10370" s="760"/>
      <c r="K10370" s="760"/>
    </row>
    <row r="10371" spans="1:11">
      <c r="A10371" s="760"/>
      <c r="B10371" s="760"/>
      <c r="C10371" s="760"/>
      <c r="D10371" s="760"/>
      <c r="E10371" s="760"/>
      <c r="F10371" s="760"/>
      <c r="G10371" s="760"/>
      <c r="H10371" s="760"/>
      <c r="I10371" s="760"/>
      <c r="J10371" s="760"/>
      <c r="K10371" s="760"/>
    </row>
    <row r="10372" spans="1:11">
      <c r="A10372" s="760"/>
      <c r="B10372" s="760"/>
      <c r="C10372" s="760"/>
      <c r="D10372" s="760"/>
      <c r="E10372" s="760"/>
      <c r="F10372" s="760"/>
      <c r="G10372" s="760"/>
      <c r="H10372" s="760"/>
      <c r="I10372" s="760"/>
      <c r="J10372" s="760"/>
      <c r="K10372" s="760"/>
    </row>
    <row r="10373" spans="1:11">
      <c r="A10373" s="760"/>
      <c r="B10373" s="760"/>
      <c r="C10373" s="760"/>
      <c r="D10373" s="760"/>
      <c r="E10373" s="760"/>
      <c r="F10373" s="760"/>
      <c r="G10373" s="760"/>
      <c r="H10373" s="760"/>
      <c r="I10373" s="760"/>
      <c r="J10373" s="760"/>
      <c r="K10373" s="760"/>
    </row>
    <row r="10374" spans="1:11">
      <c r="A10374" s="760"/>
      <c r="B10374" s="760"/>
      <c r="C10374" s="760"/>
      <c r="D10374" s="760"/>
      <c r="E10374" s="760"/>
      <c r="F10374" s="760"/>
      <c r="G10374" s="760"/>
      <c r="H10374" s="760"/>
      <c r="I10374" s="760"/>
      <c r="J10374" s="760"/>
      <c r="K10374" s="760"/>
    </row>
    <row r="10375" spans="1:11">
      <c r="A10375" s="760"/>
      <c r="B10375" s="760"/>
      <c r="C10375" s="760"/>
      <c r="D10375" s="760"/>
      <c r="E10375" s="760"/>
      <c r="F10375" s="760"/>
      <c r="G10375" s="760"/>
      <c r="H10375" s="760"/>
      <c r="I10375" s="760"/>
      <c r="J10375" s="760"/>
      <c r="K10375" s="760"/>
    </row>
    <row r="10376" spans="1:11">
      <c r="A10376" s="760"/>
      <c r="B10376" s="760"/>
      <c r="C10376" s="760"/>
      <c r="D10376" s="760"/>
      <c r="E10376" s="760"/>
      <c r="F10376" s="760"/>
      <c r="G10376" s="760"/>
      <c r="H10376" s="760"/>
      <c r="I10376" s="760"/>
      <c r="J10376" s="760"/>
      <c r="K10376" s="760"/>
    </row>
    <row r="10377" spans="1:11">
      <c r="A10377" s="760"/>
      <c r="B10377" s="760"/>
      <c r="C10377" s="760"/>
      <c r="D10377" s="760"/>
      <c r="E10377" s="760"/>
      <c r="F10377" s="760"/>
      <c r="G10377" s="760"/>
      <c r="H10377" s="760"/>
      <c r="I10377" s="760"/>
      <c r="J10377" s="760"/>
      <c r="K10377" s="760"/>
    </row>
    <row r="10378" spans="1:11">
      <c r="A10378" s="760"/>
      <c r="B10378" s="760"/>
      <c r="C10378" s="760"/>
      <c r="D10378" s="760"/>
      <c r="E10378" s="760"/>
      <c r="F10378" s="760"/>
      <c r="G10378" s="760"/>
      <c r="H10378" s="760"/>
      <c r="I10378" s="760"/>
      <c r="J10378" s="760"/>
      <c r="K10378" s="760"/>
    </row>
    <row r="10379" spans="1:11">
      <c r="A10379" s="760"/>
      <c r="B10379" s="760"/>
      <c r="C10379" s="760"/>
      <c r="D10379" s="760"/>
      <c r="E10379" s="760"/>
      <c r="F10379" s="760"/>
      <c r="G10379" s="760"/>
      <c r="H10379" s="760"/>
      <c r="I10379" s="760"/>
      <c r="J10379" s="760"/>
      <c r="K10379" s="760"/>
    </row>
    <row r="10380" spans="1:11">
      <c r="A10380" s="760"/>
      <c r="B10380" s="760"/>
      <c r="C10380" s="760"/>
      <c r="D10380" s="760"/>
      <c r="E10380" s="760"/>
      <c r="F10380" s="760"/>
      <c r="G10380" s="760"/>
      <c r="H10380" s="760"/>
      <c r="I10380" s="760"/>
      <c r="J10380" s="760"/>
      <c r="K10380" s="760"/>
    </row>
    <row r="10381" spans="1:11">
      <c r="A10381" s="760"/>
      <c r="B10381" s="760"/>
      <c r="C10381" s="760"/>
      <c r="D10381" s="760"/>
      <c r="E10381" s="760"/>
      <c r="F10381" s="760"/>
      <c r="G10381" s="760"/>
      <c r="H10381" s="760"/>
      <c r="I10381" s="760"/>
      <c r="J10381" s="760"/>
      <c r="K10381" s="760"/>
    </row>
    <row r="10382" spans="1:11">
      <c r="A10382" s="760"/>
      <c r="B10382" s="760"/>
      <c r="C10382" s="760"/>
      <c r="D10382" s="760"/>
      <c r="E10382" s="760"/>
      <c r="F10382" s="760"/>
      <c r="G10382" s="760"/>
      <c r="H10382" s="760"/>
      <c r="I10382" s="760"/>
      <c r="J10382" s="760"/>
      <c r="K10382" s="760"/>
    </row>
    <row r="10383" spans="1:11">
      <c r="A10383" s="760"/>
      <c r="B10383" s="760"/>
      <c r="C10383" s="760"/>
      <c r="D10383" s="760"/>
      <c r="E10383" s="760"/>
      <c r="F10383" s="760"/>
      <c r="G10383" s="760"/>
      <c r="H10383" s="760"/>
      <c r="I10383" s="760"/>
      <c r="J10383" s="760"/>
      <c r="K10383" s="760"/>
    </row>
    <row r="10384" spans="1:11">
      <c r="A10384" s="760"/>
      <c r="B10384" s="760"/>
      <c r="C10384" s="760"/>
      <c r="D10384" s="760"/>
      <c r="E10384" s="760"/>
      <c r="F10384" s="760"/>
      <c r="G10384" s="760"/>
      <c r="H10384" s="760"/>
      <c r="I10384" s="760"/>
      <c r="J10384" s="760"/>
      <c r="K10384" s="760"/>
    </row>
    <row r="10385" spans="1:11">
      <c r="A10385" s="760"/>
      <c r="B10385" s="760"/>
      <c r="C10385" s="760"/>
      <c r="D10385" s="760"/>
      <c r="E10385" s="760"/>
      <c r="F10385" s="760"/>
      <c r="G10385" s="760"/>
      <c r="H10385" s="760"/>
      <c r="I10385" s="760"/>
      <c r="J10385" s="760"/>
      <c r="K10385" s="760"/>
    </row>
    <row r="10386" spans="1:11">
      <c r="A10386" s="760"/>
      <c r="B10386" s="760"/>
      <c r="C10386" s="760"/>
      <c r="D10386" s="760"/>
      <c r="E10386" s="760"/>
      <c r="F10386" s="760"/>
      <c r="G10386" s="760"/>
      <c r="H10386" s="760"/>
      <c r="I10386" s="760"/>
      <c r="J10386" s="760"/>
      <c r="K10386" s="760"/>
    </row>
    <row r="10387" spans="1:11">
      <c r="A10387" s="760"/>
      <c r="B10387" s="760"/>
      <c r="C10387" s="760"/>
      <c r="D10387" s="760"/>
      <c r="E10387" s="760"/>
      <c r="F10387" s="760"/>
      <c r="G10387" s="760"/>
      <c r="H10387" s="760"/>
      <c r="I10387" s="760"/>
      <c r="J10387" s="760"/>
      <c r="K10387" s="760"/>
    </row>
    <row r="10388" spans="1:11">
      <c r="A10388" s="760"/>
      <c r="B10388" s="760"/>
      <c r="C10388" s="760"/>
      <c r="D10388" s="760"/>
      <c r="E10388" s="760"/>
      <c r="F10388" s="760"/>
      <c r="G10388" s="760"/>
      <c r="H10388" s="760"/>
      <c r="I10388" s="760"/>
      <c r="J10388" s="760"/>
      <c r="K10388" s="760"/>
    </row>
    <row r="10389" spans="1:11">
      <c r="A10389" s="760"/>
      <c r="B10389" s="760"/>
      <c r="C10389" s="760"/>
      <c r="D10389" s="760"/>
      <c r="E10389" s="760"/>
      <c r="F10389" s="760"/>
      <c r="G10389" s="760"/>
      <c r="H10389" s="760"/>
      <c r="I10389" s="760"/>
      <c r="J10389" s="760"/>
      <c r="K10389" s="760"/>
    </row>
    <row r="10390" spans="1:11">
      <c r="A10390" s="760"/>
      <c r="B10390" s="760"/>
      <c r="C10390" s="760"/>
      <c r="D10390" s="760"/>
      <c r="E10390" s="760"/>
      <c r="F10390" s="760"/>
      <c r="G10390" s="760"/>
      <c r="H10390" s="760"/>
      <c r="I10390" s="760"/>
      <c r="J10390" s="760"/>
      <c r="K10390" s="760"/>
    </row>
    <row r="10391" spans="1:11">
      <c r="A10391" s="760"/>
      <c r="B10391" s="760"/>
      <c r="C10391" s="760"/>
      <c r="D10391" s="760"/>
      <c r="E10391" s="760"/>
      <c r="F10391" s="760"/>
      <c r="G10391" s="760"/>
      <c r="H10391" s="760"/>
      <c r="I10391" s="760"/>
      <c r="J10391" s="760"/>
      <c r="K10391" s="760"/>
    </row>
    <row r="10392" spans="1:11">
      <c r="A10392" s="760"/>
      <c r="B10392" s="760"/>
      <c r="C10392" s="760"/>
      <c r="D10392" s="760"/>
      <c r="E10392" s="760"/>
      <c r="F10392" s="760"/>
      <c r="G10392" s="760"/>
      <c r="H10392" s="760"/>
      <c r="I10392" s="760"/>
      <c r="J10392" s="760"/>
      <c r="K10392" s="760"/>
    </row>
    <row r="10393" spans="1:11">
      <c r="A10393" s="760"/>
      <c r="B10393" s="760"/>
      <c r="C10393" s="760"/>
      <c r="D10393" s="760"/>
      <c r="E10393" s="760"/>
      <c r="F10393" s="760"/>
      <c r="G10393" s="760"/>
      <c r="H10393" s="760"/>
      <c r="I10393" s="760"/>
      <c r="J10393" s="760"/>
      <c r="K10393" s="760"/>
    </row>
    <row r="10394" spans="1:11">
      <c r="A10394" s="760"/>
      <c r="B10394" s="760"/>
      <c r="C10394" s="760"/>
      <c r="D10394" s="760"/>
      <c r="E10394" s="760"/>
      <c r="F10394" s="760"/>
      <c r="G10394" s="760"/>
      <c r="H10394" s="760"/>
      <c r="I10394" s="760"/>
      <c r="J10394" s="760"/>
      <c r="K10394" s="760"/>
    </row>
    <row r="10395" spans="1:11">
      <c r="A10395" s="760"/>
      <c r="B10395" s="760"/>
      <c r="C10395" s="760"/>
      <c r="D10395" s="760"/>
      <c r="E10395" s="760"/>
      <c r="F10395" s="760"/>
      <c r="G10395" s="760"/>
      <c r="H10395" s="760"/>
      <c r="I10395" s="760"/>
      <c r="J10395" s="760"/>
      <c r="K10395" s="760"/>
    </row>
    <row r="10396" spans="1:11">
      <c r="A10396" s="760"/>
      <c r="B10396" s="760"/>
      <c r="C10396" s="760"/>
      <c r="D10396" s="760"/>
      <c r="E10396" s="760"/>
      <c r="F10396" s="760"/>
      <c r="G10396" s="760"/>
      <c r="H10396" s="760"/>
      <c r="I10396" s="760"/>
      <c r="J10396" s="760"/>
      <c r="K10396" s="760"/>
    </row>
    <row r="10397" spans="1:11">
      <c r="A10397" s="760"/>
      <c r="B10397" s="760"/>
      <c r="C10397" s="760"/>
      <c r="D10397" s="760"/>
      <c r="E10397" s="760"/>
      <c r="F10397" s="760"/>
      <c r="G10397" s="760"/>
      <c r="H10397" s="760"/>
      <c r="I10397" s="760"/>
      <c r="J10397" s="760"/>
      <c r="K10397" s="760"/>
    </row>
    <row r="10398" spans="1:11">
      <c r="A10398" s="760"/>
      <c r="B10398" s="760"/>
      <c r="C10398" s="760"/>
      <c r="D10398" s="760"/>
      <c r="E10398" s="760"/>
      <c r="F10398" s="760"/>
      <c r="G10398" s="760"/>
      <c r="H10398" s="760"/>
      <c r="I10398" s="760"/>
      <c r="J10398" s="760"/>
      <c r="K10398" s="760"/>
    </row>
    <row r="10399" spans="1:11">
      <c r="A10399" s="760"/>
      <c r="B10399" s="760"/>
      <c r="C10399" s="760"/>
      <c r="D10399" s="760"/>
      <c r="E10399" s="760"/>
      <c r="F10399" s="760"/>
      <c r="G10399" s="760"/>
      <c r="H10399" s="760"/>
      <c r="I10399" s="760"/>
      <c r="J10399" s="760"/>
      <c r="K10399" s="760"/>
    </row>
    <row r="10400" spans="1:11">
      <c r="A10400" s="760"/>
      <c r="B10400" s="760"/>
      <c r="C10400" s="760"/>
      <c r="D10400" s="760"/>
      <c r="E10400" s="760"/>
      <c r="F10400" s="760"/>
      <c r="G10400" s="760"/>
      <c r="H10400" s="760"/>
      <c r="I10400" s="760"/>
      <c r="J10400" s="760"/>
      <c r="K10400" s="760"/>
    </row>
    <row r="10401" spans="1:11">
      <c r="A10401" s="760"/>
      <c r="B10401" s="760"/>
      <c r="C10401" s="760"/>
      <c r="D10401" s="760"/>
      <c r="E10401" s="760"/>
      <c r="F10401" s="760"/>
      <c r="G10401" s="760"/>
      <c r="H10401" s="760"/>
      <c r="I10401" s="760"/>
      <c r="J10401" s="760"/>
      <c r="K10401" s="760"/>
    </row>
    <row r="10402" spans="1:11">
      <c r="A10402" s="760"/>
      <c r="B10402" s="760"/>
      <c r="C10402" s="760"/>
      <c r="D10402" s="760"/>
      <c r="E10402" s="760"/>
      <c r="F10402" s="760"/>
      <c r="G10402" s="760"/>
      <c r="H10402" s="760"/>
      <c r="I10402" s="760"/>
      <c r="J10402" s="760"/>
      <c r="K10402" s="760"/>
    </row>
    <row r="10403" spans="1:11">
      <c r="A10403" s="760"/>
      <c r="B10403" s="760"/>
      <c r="C10403" s="760"/>
      <c r="D10403" s="760"/>
      <c r="E10403" s="760"/>
      <c r="F10403" s="760"/>
      <c r="G10403" s="760"/>
      <c r="H10403" s="760"/>
      <c r="I10403" s="760"/>
      <c r="J10403" s="760"/>
      <c r="K10403" s="760"/>
    </row>
    <row r="10404" spans="1:11">
      <c r="A10404" s="760"/>
      <c r="B10404" s="760"/>
      <c r="C10404" s="760"/>
      <c r="D10404" s="760"/>
      <c r="E10404" s="760"/>
      <c r="F10404" s="760"/>
      <c r="G10404" s="760"/>
      <c r="H10404" s="760"/>
      <c r="I10404" s="760"/>
      <c r="J10404" s="760"/>
      <c r="K10404" s="760"/>
    </row>
    <row r="10405" spans="1:11">
      <c r="A10405" s="760"/>
      <c r="B10405" s="760"/>
      <c r="C10405" s="760"/>
      <c r="D10405" s="760"/>
      <c r="E10405" s="760"/>
      <c r="F10405" s="760"/>
      <c r="G10405" s="760"/>
      <c r="H10405" s="760"/>
      <c r="I10405" s="760"/>
      <c r="J10405" s="760"/>
      <c r="K10405" s="760"/>
    </row>
    <row r="10406" spans="1:11">
      <c r="A10406" s="760"/>
      <c r="B10406" s="760"/>
      <c r="C10406" s="760"/>
      <c r="D10406" s="760"/>
      <c r="E10406" s="760"/>
      <c r="F10406" s="760"/>
      <c r="G10406" s="760"/>
      <c r="H10406" s="760"/>
      <c r="I10406" s="760"/>
      <c r="J10406" s="760"/>
      <c r="K10406" s="760"/>
    </row>
    <row r="10407" spans="1:11">
      <c r="A10407" s="760"/>
      <c r="B10407" s="760"/>
      <c r="C10407" s="760"/>
      <c r="D10407" s="760"/>
      <c r="E10407" s="760"/>
      <c r="F10407" s="760"/>
      <c r="G10407" s="760"/>
      <c r="H10407" s="760"/>
      <c r="I10407" s="760"/>
      <c r="J10407" s="760"/>
      <c r="K10407" s="760"/>
    </row>
    <row r="10408" spans="1:11">
      <c r="A10408" s="760"/>
      <c r="B10408" s="760"/>
      <c r="C10408" s="760"/>
      <c r="D10408" s="760"/>
      <c r="E10408" s="760"/>
      <c r="F10408" s="760"/>
      <c r="G10408" s="760"/>
      <c r="H10408" s="760"/>
      <c r="I10408" s="760"/>
      <c r="J10408" s="760"/>
      <c r="K10408" s="760"/>
    </row>
    <row r="10409" spans="1:11">
      <c r="A10409" s="760"/>
      <c r="B10409" s="760"/>
      <c r="C10409" s="760"/>
      <c r="D10409" s="760"/>
      <c r="E10409" s="760"/>
      <c r="F10409" s="760"/>
      <c r="G10409" s="760"/>
      <c r="H10409" s="760"/>
      <c r="I10409" s="760"/>
      <c r="J10409" s="760"/>
      <c r="K10409" s="760"/>
    </row>
    <row r="10410" spans="1:11">
      <c r="A10410" s="760"/>
      <c r="B10410" s="760"/>
      <c r="C10410" s="760"/>
      <c r="D10410" s="760"/>
      <c r="E10410" s="760"/>
      <c r="F10410" s="760"/>
      <c r="G10410" s="760"/>
      <c r="H10410" s="760"/>
      <c r="I10410" s="760"/>
      <c r="J10410" s="760"/>
      <c r="K10410" s="760"/>
    </row>
    <row r="10411" spans="1:11">
      <c r="A10411" s="760"/>
      <c r="B10411" s="760"/>
      <c r="C10411" s="760"/>
      <c r="D10411" s="760"/>
      <c r="E10411" s="760"/>
      <c r="F10411" s="760"/>
      <c r="G10411" s="760"/>
      <c r="H10411" s="760"/>
      <c r="I10411" s="760"/>
      <c r="J10411" s="760"/>
      <c r="K10411" s="760"/>
    </row>
    <row r="10412" spans="1:11">
      <c r="A10412" s="760"/>
      <c r="B10412" s="760"/>
      <c r="C10412" s="760"/>
      <c r="D10412" s="760"/>
      <c r="E10412" s="760"/>
      <c r="F10412" s="760"/>
      <c r="G10412" s="760"/>
      <c r="H10412" s="760"/>
      <c r="I10412" s="760"/>
      <c r="J10412" s="760"/>
      <c r="K10412" s="760"/>
    </row>
    <row r="10413" spans="1:11">
      <c r="A10413" s="760"/>
      <c r="B10413" s="760"/>
      <c r="C10413" s="760"/>
      <c r="D10413" s="760"/>
      <c r="E10413" s="760"/>
      <c r="F10413" s="760"/>
      <c r="G10413" s="760"/>
      <c r="H10413" s="760"/>
      <c r="I10413" s="760"/>
      <c r="J10413" s="760"/>
      <c r="K10413" s="760"/>
    </row>
    <row r="10414" spans="1:11">
      <c r="A10414" s="760"/>
      <c r="B10414" s="760"/>
      <c r="C10414" s="760"/>
      <c r="D10414" s="760"/>
      <c r="E10414" s="760"/>
      <c r="F10414" s="760"/>
      <c r="G10414" s="760"/>
      <c r="H10414" s="760"/>
      <c r="I10414" s="760"/>
      <c r="J10414" s="760"/>
      <c r="K10414" s="760"/>
    </row>
    <row r="10415" spans="1:11">
      <c r="A10415" s="760"/>
      <c r="B10415" s="760"/>
      <c r="C10415" s="760"/>
      <c r="D10415" s="760"/>
      <c r="E10415" s="760"/>
      <c r="F10415" s="760"/>
      <c r="G10415" s="760"/>
      <c r="H10415" s="760"/>
      <c r="I10415" s="760"/>
      <c r="J10415" s="760"/>
      <c r="K10415" s="760"/>
    </row>
    <row r="10416" spans="1:11">
      <c r="A10416" s="760"/>
      <c r="B10416" s="760"/>
      <c r="C10416" s="760"/>
      <c r="D10416" s="760"/>
      <c r="E10416" s="760"/>
      <c r="F10416" s="760"/>
      <c r="G10416" s="760"/>
      <c r="H10416" s="760"/>
      <c r="I10416" s="760"/>
      <c r="J10416" s="760"/>
      <c r="K10416" s="760"/>
    </row>
    <row r="10417" spans="1:11">
      <c r="A10417" s="760"/>
      <c r="B10417" s="760"/>
      <c r="C10417" s="760"/>
      <c r="D10417" s="760"/>
      <c r="E10417" s="760"/>
      <c r="F10417" s="760"/>
      <c r="G10417" s="760"/>
      <c r="H10417" s="760"/>
      <c r="I10417" s="760"/>
      <c r="J10417" s="760"/>
      <c r="K10417" s="760"/>
    </row>
    <row r="10418" spans="1:11">
      <c r="A10418" s="760"/>
      <c r="B10418" s="760"/>
      <c r="C10418" s="760"/>
      <c r="D10418" s="760"/>
      <c r="E10418" s="760"/>
      <c r="F10418" s="760"/>
      <c r="G10418" s="760"/>
      <c r="H10418" s="760"/>
      <c r="I10418" s="760"/>
      <c r="J10418" s="760"/>
      <c r="K10418" s="760"/>
    </row>
    <row r="10419" spans="1:11">
      <c r="A10419" s="760"/>
      <c r="B10419" s="760"/>
      <c r="C10419" s="760"/>
      <c r="D10419" s="760"/>
      <c r="E10419" s="760"/>
      <c r="F10419" s="760"/>
      <c r="G10419" s="760"/>
      <c r="H10419" s="760"/>
      <c r="I10419" s="760"/>
      <c r="J10419" s="760"/>
      <c r="K10419" s="760"/>
    </row>
    <row r="10420" spans="1:11">
      <c r="A10420" s="760"/>
      <c r="B10420" s="760"/>
      <c r="C10420" s="760"/>
      <c r="D10420" s="760"/>
      <c r="E10420" s="760"/>
      <c r="F10420" s="760"/>
      <c r="G10420" s="760"/>
      <c r="H10420" s="760"/>
      <c r="I10420" s="760"/>
      <c r="J10420" s="760"/>
      <c r="K10420" s="760"/>
    </row>
    <row r="10421" spans="1:11">
      <c r="A10421" s="760"/>
      <c r="B10421" s="760"/>
      <c r="C10421" s="760"/>
      <c r="D10421" s="760"/>
      <c r="E10421" s="760"/>
      <c r="F10421" s="760"/>
      <c r="G10421" s="760"/>
      <c r="H10421" s="760"/>
      <c r="I10421" s="760"/>
      <c r="J10421" s="760"/>
      <c r="K10421" s="760"/>
    </row>
    <row r="10422" spans="1:11">
      <c r="A10422" s="760"/>
      <c r="B10422" s="760"/>
      <c r="C10422" s="760"/>
      <c r="D10422" s="760"/>
      <c r="E10422" s="760"/>
      <c r="F10422" s="760"/>
      <c r="G10422" s="760"/>
      <c r="H10422" s="760"/>
      <c r="I10422" s="760"/>
      <c r="J10422" s="760"/>
      <c r="K10422" s="760"/>
    </row>
    <row r="10423" spans="1:11">
      <c r="A10423" s="760"/>
      <c r="B10423" s="760"/>
      <c r="C10423" s="760"/>
      <c r="D10423" s="760"/>
      <c r="E10423" s="760"/>
      <c r="F10423" s="760"/>
      <c r="G10423" s="760"/>
      <c r="H10423" s="760"/>
      <c r="I10423" s="760"/>
      <c r="J10423" s="760"/>
      <c r="K10423" s="760"/>
    </row>
    <row r="10424" spans="1:11">
      <c r="A10424" s="760"/>
      <c r="B10424" s="760"/>
      <c r="C10424" s="760"/>
      <c r="D10424" s="760"/>
      <c r="E10424" s="760"/>
      <c r="F10424" s="760"/>
      <c r="G10424" s="760"/>
      <c r="H10424" s="760"/>
      <c r="I10424" s="760"/>
      <c r="J10424" s="760"/>
      <c r="K10424" s="760"/>
    </row>
    <row r="10425" spans="1:11">
      <c r="A10425" s="760"/>
      <c r="B10425" s="760"/>
      <c r="C10425" s="760"/>
      <c r="D10425" s="760"/>
      <c r="E10425" s="760"/>
      <c r="F10425" s="760"/>
      <c r="G10425" s="760"/>
      <c r="H10425" s="760"/>
      <c r="I10425" s="760"/>
      <c r="J10425" s="760"/>
      <c r="K10425" s="760"/>
    </row>
    <row r="10426" spans="1:11">
      <c r="A10426" s="760"/>
      <c r="B10426" s="760"/>
      <c r="C10426" s="760"/>
      <c r="D10426" s="760"/>
      <c r="E10426" s="760"/>
      <c r="F10426" s="760"/>
      <c r="G10426" s="760"/>
      <c r="H10426" s="760"/>
      <c r="I10426" s="760"/>
      <c r="J10426" s="760"/>
      <c r="K10426" s="760"/>
    </row>
    <row r="10427" spans="1:11">
      <c r="A10427" s="760"/>
      <c r="B10427" s="760"/>
      <c r="C10427" s="760"/>
      <c r="D10427" s="760"/>
      <c r="E10427" s="760"/>
      <c r="F10427" s="760"/>
      <c r="G10427" s="760"/>
      <c r="H10427" s="760"/>
      <c r="I10427" s="760"/>
      <c r="J10427" s="760"/>
      <c r="K10427" s="760"/>
    </row>
    <row r="10428" spans="1:11">
      <c r="A10428" s="760"/>
      <c r="B10428" s="760"/>
      <c r="C10428" s="760"/>
      <c r="D10428" s="760"/>
      <c r="E10428" s="760"/>
      <c r="F10428" s="760"/>
      <c r="G10428" s="760"/>
      <c r="H10428" s="760"/>
      <c r="I10428" s="760"/>
      <c r="J10428" s="760"/>
      <c r="K10428" s="760"/>
    </row>
    <row r="10429" spans="1:11">
      <c r="A10429" s="760"/>
      <c r="B10429" s="760"/>
      <c r="C10429" s="760"/>
      <c r="D10429" s="760"/>
      <c r="E10429" s="760"/>
      <c r="F10429" s="760"/>
      <c r="G10429" s="760"/>
      <c r="H10429" s="760"/>
      <c r="I10429" s="760"/>
      <c r="J10429" s="760"/>
      <c r="K10429" s="760"/>
    </row>
    <row r="10430" spans="1:11">
      <c r="A10430" s="760"/>
      <c r="B10430" s="760"/>
      <c r="C10430" s="760"/>
      <c r="D10430" s="760"/>
      <c r="E10430" s="760"/>
      <c r="F10430" s="760"/>
      <c r="G10430" s="760"/>
      <c r="H10430" s="760"/>
      <c r="I10430" s="760"/>
      <c r="J10430" s="760"/>
      <c r="K10430" s="760"/>
    </row>
    <row r="10431" spans="1:11">
      <c r="A10431" s="760"/>
      <c r="B10431" s="760"/>
      <c r="C10431" s="760"/>
      <c r="D10431" s="760"/>
      <c r="E10431" s="760"/>
      <c r="F10431" s="760"/>
      <c r="G10431" s="760"/>
      <c r="H10431" s="760"/>
      <c r="I10431" s="760"/>
      <c r="J10431" s="760"/>
      <c r="K10431" s="760"/>
    </row>
    <row r="10432" spans="1:11">
      <c r="A10432" s="760"/>
      <c r="B10432" s="760"/>
      <c r="C10432" s="760"/>
      <c r="D10432" s="760"/>
      <c r="E10432" s="760"/>
      <c r="F10432" s="760"/>
      <c r="G10432" s="760"/>
      <c r="H10432" s="760"/>
      <c r="I10432" s="760"/>
      <c r="J10432" s="760"/>
      <c r="K10432" s="760"/>
    </row>
    <row r="10433" spans="1:11">
      <c r="A10433" s="760"/>
      <c r="B10433" s="760"/>
      <c r="C10433" s="760"/>
      <c r="D10433" s="760"/>
      <c r="E10433" s="760"/>
      <c r="F10433" s="760"/>
      <c r="G10433" s="760"/>
      <c r="H10433" s="760"/>
      <c r="I10433" s="760"/>
      <c r="J10433" s="760"/>
      <c r="K10433" s="760"/>
    </row>
    <row r="10434" spans="1:11">
      <c r="A10434" s="760"/>
      <c r="B10434" s="760"/>
      <c r="C10434" s="760"/>
      <c r="D10434" s="760"/>
      <c r="E10434" s="760"/>
      <c r="F10434" s="760"/>
      <c r="G10434" s="760"/>
      <c r="H10434" s="760"/>
      <c r="I10434" s="760"/>
      <c r="J10434" s="760"/>
      <c r="K10434" s="760"/>
    </row>
    <row r="10435" spans="1:11">
      <c r="A10435" s="760"/>
      <c r="B10435" s="760"/>
      <c r="C10435" s="760"/>
      <c r="D10435" s="760"/>
      <c r="E10435" s="760"/>
      <c r="F10435" s="760"/>
      <c r="G10435" s="760"/>
      <c r="H10435" s="760"/>
      <c r="I10435" s="760"/>
      <c r="J10435" s="760"/>
      <c r="K10435" s="760"/>
    </row>
    <row r="10436" spans="1:11">
      <c r="A10436" s="760"/>
      <c r="B10436" s="760"/>
      <c r="C10436" s="760"/>
      <c r="D10436" s="760"/>
      <c r="E10436" s="760"/>
      <c r="F10436" s="760"/>
      <c r="G10436" s="760"/>
      <c r="H10436" s="760"/>
      <c r="I10436" s="760"/>
      <c r="J10436" s="760"/>
      <c r="K10436" s="760"/>
    </row>
    <row r="10437" spans="1:11">
      <c r="A10437" s="760"/>
      <c r="B10437" s="760"/>
      <c r="C10437" s="760"/>
      <c r="D10437" s="760"/>
      <c r="E10437" s="760"/>
      <c r="F10437" s="760"/>
      <c r="G10437" s="760"/>
      <c r="H10437" s="760"/>
      <c r="I10437" s="760"/>
      <c r="J10437" s="760"/>
      <c r="K10437" s="760"/>
    </row>
    <row r="10438" spans="1:11">
      <c r="A10438" s="760"/>
      <c r="B10438" s="760"/>
      <c r="C10438" s="760"/>
      <c r="D10438" s="760"/>
      <c r="E10438" s="760"/>
      <c r="F10438" s="760"/>
      <c r="G10438" s="760"/>
      <c r="H10438" s="760"/>
      <c r="I10438" s="760"/>
      <c r="J10438" s="760"/>
      <c r="K10438" s="760"/>
    </row>
    <row r="10439" spans="1:11">
      <c r="A10439" s="760"/>
      <c r="B10439" s="760"/>
      <c r="C10439" s="760"/>
      <c r="D10439" s="760"/>
      <c r="E10439" s="760"/>
      <c r="F10439" s="760"/>
      <c r="G10439" s="760"/>
      <c r="H10439" s="760"/>
      <c r="I10439" s="760"/>
      <c r="J10439" s="760"/>
      <c r="K10439" s="760"/>
    </row>
    <row r="10440" spans="1:11">
      <c r="A10440" s="760"/>
      <c r="B10440" s="760"/>
      <c r="C10440" s="760"/>
      <c r="D10440" s="760"/>
      <c r="E10440" s="760"/>
      <c r="F10440" s="760"/>
      <c r="G10440" s="760"/>
      <c r="H10440" s="760"/>
      <c r="I10440" s="760"/>
      <c r="J10440" s="760"/>
      <c r="K10440" s="760"/>
    </row>
    <row r="10441" spans="1:11">
      <c r="A10441" s="760"/>
      <c r="B10441" s="760"/>
      <c r="C10441" s="760"/>
      <c r="D10441" s="760"/>
      <c r="E10441" s="760"/>
      <c r="F10441" s="760"/>
      <c r="G10441" s="760"/>
      <c r="H10441" s="760"/>
      <c r="I10441" s="760"/>
      <c r="J10441" s="760"/>
      <c r="K10441" s="760"/>
    </row>
    <row r="10442" spans="1:11">
      <c r="A10442" s="760"/>
      <c r="B10442" s="760"/>
      <c r="C10442" s="760"/>
      <c r="D10442" s="760"/>
      <c r="E10442" s="760"/>
      <c r="F10442" s="760"/>
      <c r="G10442" s="760"/>
      <c r="H10442" s="760"/>
      <c r="I10442" s="760"/>
      <c r="J10442" s="760"/>
      <c r="K10442" s="760"/>
    </row>
    <row r="10443" spans="1:11">
      <c r="A10443" s="760"/>
      <c r="B10443" s="760"/>
      <c r="C10443" s="760"/>
      <c r="D10443" s="760"/>
      <c r="E10443" s="760"/>
      <c r="F10443" s="760"/>
      <c r="G10443" s="760"/>
      <c r="H10443" s="760"/>
      <c r="I10443" s="760"/>
      <c r="J10443" s="760"/>
      <c r="K10443" s="760"/>
    </row>
    <row r="10444" spans="1:11">
      <c r="A10444" s="760"/>
      <c r="B10444" s="760"/>
      <c r="C10444" s="760"/>
      <c r="D10444" s="760"/>
      <c r="E10444" s="760"/>
      <c r="F10444" s="760"/>
      <c r="G10444" s="760"/>
      <c r="H10444" s="760"/>
      <c r="I10444" s="760"/>
      <c r="J10444" s="760"/>
      <c r="K10444" s="760"/>
    </row>
    <row r="10445" spans="1:11">
      <c r="A10445" s="760"/>
      <c r="B10445" s="760"/>
      <c r="C10445" s="760"/>
      <c r="D10445" s="760"/>
      <c r="E10445" s="760"/>
      <c r="F10445" s="760"/>
      <c r="G10445" s="760"/>
      <c r="H10445" s="760"/>
      <c r="I10445" s="760"/>
      <c r="J10445" s="760"/>
      <c r="K10445" s="760"/>
    </row>
    <row r="10446" spans="1:11">
      <c r="A10446" s="760"/>
      <c r="B10446" s="760"/>
      <c r="C10446" s="760"/>
      <c r="D10446" s="760"/>
      <c r="E10446" s="760"/>
      <c r="F10446" s="760"/>
      <c r="G10446" s="760"/>
      <c r="H10446" s="760"/>
      <c r="I10446" s="760"/>
      <c r="J10446" s="760"/>
      <c r="K10446" s="760"/>
    </row>
    <row r="10447" spans="1:11">
      <c r="A10447" s="760"/>
      <c r="B10447" s="760"/>
      <c r="C10447" s="760"/>
      <c r="D10447" s="760"/>
      <c r="E10447" s="760"/>
      <c r="F10447" s="760"/>
      <c r="G10447" s="760"/>
      <c r="H10447" s="760"/>
      <c r="I10447" s="760"/>
      <c r="J10447" s="760"/>
      <c r="K10447" s="760"/>
    </row>
    <row r="10448" spans="1:11">
      <c r="A10448" s="760"/>
      <c r="B10448" s="760"/>
      <c r="C10448" s="760"/>
      <c r="D10448" s="760"/>
      <c r="E10448" s="760"/>
      <c r="F10448" s="760"/>
      <c r="G10448" s="760"/>
      <c r="H10448" s="760"/>
      <c r="I10448" s="760"/>
      <c r="J10448" s="760"/>
      <c r="K10448" s="760"/>
    </row>
    <row r="10449" spans="1:11">
      <c r="A10449" s="760"/>
      <c r="B10449" s="760"/>
      <c r="C10449" s="760"/>
      <c r="D10449" s="760"/>
      <c r="E10449" s="760"/>
      <c r="F10449" s="760"/>
      <c r="G10449" s="760"/>
      <c r="H10449" s="760"/>
      <c r="I10449" s="760"/>
      <c r="J10449" s="760"/>
      <c r="K10449" s="760"/>
    </row>
    <row r="10450" spans="1:11">
      <c r="A10450" s="760"/>
      <c r="B10450" s="760"/>
      <c r="C10450" s="760"/>
      <c r="D10450" s="760"/>
      <c r="E10450" s="760"/>
      <c r="F10450" s="760"/>
      <c r="G10450" s="760"/>
      <c r="H10450" s="760"/>
      <c r="I10450" s="760"/>
      <c r="J10450" s="760"/>
      <c r="K10450" s="760"/>
    </row>
    <row r="10451" spans="1:11">
      <c r="A10451" s="760"/>
      <c r="B10451" s="760"/>
      <c r="C10451" s="760"/>
      <c r="D10451" s="760"/>
      <c r="E10451" s="760"/>
      <c r="F10451" s="760"/>
      <c r="G10451" s="760"/>
      <c r="H10451" s="760"/>
      <c r="I10451" s="760"/>
      <c r="J10451" s="760"/>
      <c r="K10451" s="760"/>
    </row>
    <row r="10452" spans="1:11">
      <c r="A10452" s="760"/>
      <c r="B10452" s="760"/>
      <c r="C10452" s="760"/>
      <c r="D10452" s="760"/>
      <c r="E10452" s="760"/>
      <c r="F10452" s="760"/>
      <c r="G10452" s="760"/>
      <c r="H10452" s="760"/>
      <c r="I10452" s="760"/>
      <c r="J10452" s="760"/>
      <c r="K10452" s="760"/>
    </row>
    <row r="10453" spans="1:11">
      <c r="A10453" s="760"/>
      <c r="B10453" s="760"/>
      <c r="C10453" s="760"/>
      <c r="D10453" s="760"/>
      <c r="E10453" s="760"/>
      <c r="F10453" s="760"/>
      <c r="G10453" s="760"/>
      <c r="H10453" s="760"/>
      <c r="I10453" s="760"/>
      <c r="J10453" s="760"/>
      <c r="K10453" s="760"/>
    </row>
    <row r="10454" spans="1:11">
      <c r="A10454" s="760"/>
      <c r="B10454" s="760"/>
      <c r="C10454" s="760"/>
      <c r="D10454" s="760"/>
      <c r="E10454" s="760"/>
      <c r="F10454" s="760"/>
      <c r="G10454" s="760"/>
      <c r="H10454" s="760"/>
      <c r="I10454" s="760"/>
      <c r="J10454" s="760"/>
      <c r="K10454" s="760"/>
    </row>
    <row r="10455" spans="1:11">
      <c r="A10455" s="760"/>
      <c r="B10455" s="760"/>
      <c r="C10455" s="760"/>
      <c r="D10455" s="760"/>
      <c r="E10455" s="760"/>
      <c r="F10455" s="760"/>
      <c r="G10455" s="760"/>
      <c r="H10455" s="760"/>
      <c r="I10455" s="760"/>
      <c r="J10455" s="760"/>
      <c r="K10455" s="760"/>
    </row>
    <row r="10456" spans="1:11">
      <c r="A10456" s="760"/>
      <c r="B10456" s="760"/>
      <c r="C10456" s="760"/>
      <c r="D10456" s="760"/>
      <c r="E10456" s="760"/>
      <c r="F10456" s="760"/>
      <c r="G10456" s="760"/>
      <c r="H10456" s="760"/>
      <c r="I10456" s="760"/>
      <c r="J10456" s="760"/>
      <c r="K10456" s="760"/>
    </row>
    <row r="10457" spans="1:11">
      <c r="A10457" s="760"/>
      <c r="B10457" s="760"/>
      <c r="C10457" s="760"/>
      <c r="D10457" s="760"/>
      <c r="E10457" s="760"/>
      <c r="F10457" s="760"/>
      <c r="G10457" s="760"/>
      <c r="H10457" s="760"/>
      <c r="I10457" s="760"/>
      <c r="J10457" s="760"/>
      <c r="K10457" s="760"/>
    </row>
    <row r="10458" spans="1:11">
      <c r="A10458" s="760"/>
      <c r="B10458" s="760"/>
      <c r="C10458" s="760"/>
      <c r="D10458" s="760"/>
      <c r="E10458" s="760"/>
      <c r="F10458" s="760"/>
      <c r="G10458" s="760"/>
      <c r="H10458" s="760"/>
      <c r="I10458" s="760"/>
      <c r="J10458" s="760"/>
      <c r="K10458" s="760"/>
    </row>
    <row r="10459" spans="1:11">
      <c r="A10459" s="760"/>
      <c r="B10459" s="760"/>
      <c r="C10459" s="760"/>
      <c r="D10459" s="760"/>
      <c r="E10459" s="760"/>
      <c r="F10459" s="760"/>
      <c r="G10459" s="760"/>
      <c r="H10459" s="760"/>
      <c r="I10459" s="760"/>
      <c r="J10459" s="760"/>
      <c r="K10459" s="760"/>
    </row>
    <row r="10460" spans="1:11">
      <c r="A10460" s="760"/>
      <c r="B10460" s="760"/>
      <c r="C10460" s="760"/>
      <c r="D10460" s="760"/>
      <c r="E10460" s="760"/>
      <c r="F10460" s="760"/>
      <c r="G10460" s="760"/>
      <c r="H10460" s="760"/>
      <c r="I10460" s="760"/>
      <c r="J10460" s="760"/>
      <c r="K10460" s="760"/>
    </row>
    <row r="10461" spans="1:11">
      <c r="A10461" s="760"/>
      <c r="B10461" s="760"/>
      <c r="C10461" s="760"/>
      <c r="D10461" s="760"/>
      <c r="E10461" s="760"/>
      <c r="F10461" s="760"/>
      <c r="G10461" s="760"/>
      <c r="H10461" s="760"/>
      <c r="I10461" s="760"/>
      <c r="J10461" s="760"/>
      <c r="K10461" s="760"/>
    </row>
    <row r="10462" spans="1:11">
      <c r="A10462" s="760"/>
      <c r="B10462" s="760"/>
      <c r="C10462" s="760"/>
      <c r="D10462" s="760"/>
      <c r="E10462" s="760"/>
      <c r="F10462" s="760"/>
      <c r="G10462" s="760"/>
      <c r="H10462" s="760"/>
      <c r="I10462" s="760"/>
      <c r="J10462" s="760"/>
      <c r="K10462" s="760"/>
    </row>
    <row r="10463" spans="1:11">
      <c r="A10463" s="760"/>
      <c r="B10463" s="760"/>
      <c r="C10463" s="760"/>
      <c r="D10463" s="760"/>
      <c r="E10463" s="760"/>
      <c r="F10463" s="760"/>
      <c r="G10463" s="760"/>
      <c r="H10463" s="760"/>
      <c r="I10463" s="760"/>
      <c r="J10463" s="760"/>
      <c r="K10463" s="760"/>
    </row>
    <row r="10464" spans="1:11">
      <c r="A10464" s="760"/>
      <c r="B10464" s="760"/>
      <c r="C10464" s="760"/>
      <c r="D10464" s="760"/>
      <c r="E10464" s="760"/>
      <c r="F10464" s="760"/>
      <c r="G10464" s="760"/>
      <c r="H10464" s="760"/>
      <c r="I10464" s="760"/>
      <c r="J10464" s="760"/>
      <c r="K10464" s="760"/>
    </row>
    <row r="10465" spans="1:11">
      <c r="A10465" s="760"/>
      <c r="B10465" s="760"/>
      <c r="C10465" s="760"/>
      <c r="D10465" s="760"/>
      <c r="E10465" s="760"/>
      <c r="F10465" s="760"/>
      <c r="G10465" s="760"/>
      <c r="H10465" s="760"/>
      <c r="I10465" s="760"/>
      <c r="J10465" s="760"/>
      <c r="K10465" s="760"/>
    </row>
    <row r="10466" spans="1:11">
      <c r="A10466" s="760"/>
      <c r="B10466" s="760"/>
      <c r="C10466" s="760"/>
      <c r="D10466" s="760"/>
      <c r="E10466" s="760"/>
      <c r="F10466" s="760"/>
      <c r="G10466" s="760"/>
      <c r="H10466" s="760"/>
      <c r="I10466" s="760"/>
      <c r="J10466" s="760"/>
      <c r="K10466" s="760"/>
    </row>
    <row r="10467" spans="1:11">
      <c r="A10467" s="760"/>
      <c r="B10467" s="760"/>
      <c r="C10467" s="760"/>
      <c r="D10467" s="760"/>
      <c r="E10467" s="760"/>
      <c r="F10467" s="760"/>
      <c r="G10467" s="760"/>
      <c r="H10467" s="760"/>
      <c r="I10467" s="760"/>
      <c r="J10467" s="760"/>
      <c r="K10467" s="760"/>
    </row>
    <row r="10468" spans="1:11">
      <c r="A10468" s="760"/>
      <c r="B10468" s="760"/>
      <c r="C10468" s="760"/>
      <c r="D10468" s="760"/>
      <c r="E10468" s="760"/>
      <c r="F10468" s="760"/>
      <c r="G10468" s="760"/>
      <c r="H10468" s="760"/>
      <c r="I10468" s="760"/>
      <c r="J10468" s="760"/>
      <c r="K10468" s="760"/>
    </row>
    <row r="10469" spans="1:11">
      <c r="A10469" s="760"/>
      <c r="B10469" s="760"/>
      <c r="C10469" s="760"/>
      <c r="D10469" s="760"/>
      <c r="E10469" s="760"/>
      <c r="F10469" s="760"/>
      <c r="G10469" s="760"/>
      <c r="H10469" s="760"/>
      <c r="I10469" s="760"/>
      <c r="J10469" s="760"/>
      <c r="K10469" s="760"/>
    </row>
    <row r="10470" spans="1:11">
      <c r="A10470" s="760"/>
      <c r="B10470" s="760"/>
      <c r="C10470" s="760"/>
      <c r="D10470" s="760"/>
      <c r="E10470" s="760"/>
      <c r="F10470" s="760"/>
      <c r="G10470" s="760"/>
      <c r="H10470" s="760"/>
      <c r="I10470" s="760"/>
      <c r="J10470" s="760"/>
      <c r="K10470" s="760"/>
    </row>
    <row r="10471" spans="1:11">
      <c r="A10471" s="760"/>
      <c r="B10471" s="760"/>
      <c r="C10471" s="760"/>
      <c r="D10471" s="760"/>
      <c r="E10471" s="760"/>
      <c r="F10471" s="760"/>
      <c r="G10471" s="760"/>
      <c r="H10471" s="760"/>
      <c r="I10471" s="760"/>
      <c r="J10471" s="760"/>
      <c r="K10471" s="760"/>
    </row>
    <row r="10472" spans="1:11">
      <c r="A10472" s="760"/>
      <c r="B10472" s="760"/>
      <c r="C10472" s="760"/>
      <c r="D10472" s="760"/>
      <c r="E10472" s="760"/>
      <c r="F10472" s="760"/>
      <c r="G10472" s="760"/>
      <c r="H10472" s="760"/>
      <c r="I10472" s="760"/>
      <c r="J10472" s="760"/>
      <c r="K10472" s="760"/>
    </row>
    <row r="10473" spans="1:11">
      <c r="A10473" s="760"/>
      <c r="B10473" s="760"/>
      <c r="C10473" s="760"/>
      <c r="D10473" s="760"/>
      <c r="E10473" s="760"/>
      <c r="F10473" s="760"/>
      <c r="G10473" s="760"/>
      <c r="H10473" s="760"/>
      <c r="I10473" s="760"/>
      <c r="J10473" s="760"/>
      <c r="K10473" s="760"/>
    </row>
    <row r="10474" spans="1:11">
      <c r="A10474" s="760"/>
      <c r="B10474" s="760"/>
      <c r="C10474" s="760"/>
      <c r="D10474" s="760"/>
      <c r="E10474" s="760"/>
      <c r="F10474" s="760"/>
      <c r="G10474" s="760"/>
      <c r="H10474" s="760"/>
      <c r="I10474" s="760"/>
      <c r="J10474" s="760"/>
      <c r="K10474" s="760"/>
    </row>
    <row r="10475" spans="1:11">
      <c r="A10475" s="760"/>
      <c r="B10475" s="760"/>
      <c r="C10475" s="760"/>
      <c r="D10475" s="760"/>
      <c r="E10475" s="760"/>
      <c r="F10475" s="760"/>
      <c r="G10475" s="760"/>
      <c r="H10475" s="760"/>
      <c r="I10475" s="760"/>
      <c r="J10475" s="760"/>
      <c r="K10475" s="760"/>
    </row>
    <row r="10476" spans="1:11">
      <c r="A10476" s="760"/>
      <c r="B10476" s="760"/>
      <c r="C10476" s="760"/>
      <c r="D10476" s="760"/>
      <c r="E10476" s="760"/>
      <c r="F10476" s="760"/>
      <c r="G10476" s="760"/>
      <c r="H10476" s="760"/>
      <c r="I10476" s="760"/>
      <c r="J10476" s="760"/>
      <c r="K10476" s="760"/>
    </row>
    <row r="10477" spans="1:11">
      <c r="A10477" s="760"/>
      <c r="B10477" s="760"/>
      <c r="C10477" s="760"/>
      <c r="D10477" s="760"/>
      <c r="E10477" s="760"/>
      <c r="F10477" s="760"/>
      <c r="G10477" s="760"/>
      <c r="H10477" s="760"/>
      <c r="I10477" s="760"/>
      <c r="J10477" s="760"/>
      <c r="K10477" s="760"/>
    </row>
    <row r="10478" spans="1:11">
      <c r="A10478" s="760"/>
      <c r="B10478" s="760"/>
      <c r="C10478" s="760"/>
      <c r="D10478" s="760"/>
      <c r="E10478" s="760"/>
      <c r="F10478" s="760"/>
      <c r="G10478" s="760"/>
      <c r="H10478" s="760"/>
      <c r="I10478" s="760"/>
      <c r="J10478" s="760"/>
      <c r="K10478" s="760"/>
    </row>
    <row r="10479" spans="1:11">
      <c r="A10479" s="760"/>
      <c r="B10479" s="760"/>
      <c r="C10479" s="760"/>
      <c r="D10479" s="760"/>
      <c r="E10479" s="760"/>
      <c r="F10479" s="760"/>
      <c r="G10479" s="760"/>
      <c r="H10479" s="760"/>
      <c r="I10479" s="760"/>
      <c r="J10479" s="760"/>
      <c r="K10479" s="760"/>
    </row>
    <row r="10480" spans="1:11">
      <c r="A10480" s="760"/>
      <c r="B10480" s="760"/>
      <c r="C10480" s="760"/>
      <c r="D10480" s="760"/>
      <c r="E10480" s="760"/>
      <c r="F10480" s="760"/>
      <c r="G10480" s="760"/>
      <c r="H10480" s="760"/>
      <c r="I10480" s="760"/>
      <c r="J10480" s="760"/>
      <c r="K10480" s="760"/>
    </row>
    <row r="10481" spans="1:11">
      <c r="A10481" s="760"/>
      <c r="B10481" s="760"/>
      <c r="C10481" s="760"/>
      <c r="D10481" s="760"/>
      <c r="E10481" s="760"/>
      <c r="F10481" s="760"/>
      <c r="G10481" s="760"/>
      <c r="H10481" s="760"/>
      <c r="I10481" s="760"/>
      <c r="J10481" s="760"/>
      <c r="K10481" s="760"/>
    </row>
    <row r="10482" spans="1:11">
      <c r="A10482" s="760"/>
      <c r="B10482" s="760"/>
      <c r="C10482" s="760"/>
      <c r="D10482" s="760"/>
      <c r="E10482" s="760"/>
      <c r="F10482" s="760"/>
      <c r="G10482" s="760"/>
      <c r="H10482" s="760"/>
      <c r="I10482" s="760"/>
      <c r="J10482" s="760"/>
      <c r="K10482" s="760"/>
    </row>
    <row r="10483" spans="1:11">
      <c r="A10483" s="760"/>
      <c r="B10483" s="760"/>
      <c r="C10483" s="760"/>
      <c r="D10483" s="760"/>
      <c r="E10483" s="760"/>
      <c r="F10483" s="760"/>
      <c r="G10483" s="760"/>
      <c r="H10483" s="760"/>
      <c r="I10483" s="760"/>
      <c r="J10483" s="760"/>
      <c r="K10483" s="760"/>
    </row>
    <row r="10484" spans="1:11">
      <c r="A10484" s="760"/>
      <c r="B10484" s="760"/>
      <c r="C10484" s="760"/>
      <c r="D10484" s="760"/>
      <c r="E10484" s="760"/>
      <c r="F10484" s="760"/>
      <c r="G10484" s="760"/>
      <c r="H10484" s="760"/>
      <c r="I10484" s="760"/>
      <c r="J10484" s="760"/>
      <c r="K10484" s="760"/>
    </row>
    <row r="10485" spans="1:11">
      <c r="A10485" s="760"/>
      <c r="B10485" s="760"/>
      <c r="C10485" s="760"/>
      <c r="D10485" s="760"/>
      <c r="E10485" s="760"/>
      <c r="F10485" s="760"/>
      <c r="G10485" s="760"/>
      <c r="H10485" s="760"/>
      <c r="I10485" s="760"/>
      <c r="J10485" s="760"/>
      <c r="K10485" s="760"/>
    </row>
    <row r="10486" spans="1:11">
      <c r="A10486" s="760"/>
      <c r="B10486" s="760"/>
      <c r="C10486" s="760"/>
      <c r="D10486" s="760"/>
      <c r="E10486" s="760"/>
      <c r="F10486" s="760"/>
      <c r="G10486" s="760"/>
      <c r="H10486" s="760"/>
      <c r="I10486" s="760"/>
      <c r="J10486" s="760"/>
      <c r="K10486" s="760"/>
    </row>
    <row r="10487" spans="1:11">
      <c r="A10487" s="760"/>
      <c r="B10487" s="760"/>
      <c r="C10487" s="760"/>
      <c r="D10487" s="760"/>
      <c r="E10487" s="760"/>
      <c r="F10487" s="760"/>
      <c r="G10487" s="760"/>
      <c r="H10487" s="760"/>
      <c r="I10487" s="760"/>
      <c r="J10487" s="760"/>
      <c r="K10487" s="760"/>
    </row>
    <row r="10488" spans="1:11">
      <c r="A10488" s="760"/>
      <c r="B10488" s="760"/>
      <c r="C10488" s="760"/>
      <c r="D10488" s="760"/>
      <c r="E10488" s="760"/>
      <c r="F10488" s="760"/>
      <c r="G10488" s="760"/>
      <c r="H10488" s="760"/>
      <c r="I10488" s="760"/>
      <c r="J10488" s="760"/>
      <c r="K10488" s="760"/>
    </row>
    <row r="10489" spans="1:11">
      <c r="A10489" s="760"/>
      <c r="B10489" s="760"/>
      <c r="C10489" s="760"/>
      <c r="D10489" s="760"/>
      <c r="E10489" s="760"/>
      <c r="F10489" s="760"/>
      <c r="G10489" s="760"/>
      <c r="H10489" s="760"/>
      <c r="I10489" s="760"/>
      <c r="J10489" s="760"/>
      <c r="K10489" s="760"/>
    </row>
    <row r="10490" spans="1:11">
      <c r="A10490" s="760"/>
      <c r="B10490" s="760"/>
      <c r="C10490" s="760"/>
      <c r="D10490" s="760"/>
      <c r="E10490" s="760"/>
      <c r="F10490" s="760"/>
      <c r="G10490" s="760"/>
      <c r="H10490" s="760"/>
      <c r="I10490" s="760"/>
      <c r="J10490" s="760"/>
      <c r="K10490" s="760"/>
    </row>
    <row r="10491" spans="1:11">
      <c r="A10491" s="760"/>
      <c r="B10491" s="760"/>
      <c r="C10491" s="760"/>
      <c r="D10491" s="760"/>
      <c r="E10491" s="760"/>
      <c r="F10491" s="760"/>
      <c r="G10491" s="760"/>
      <c r="H10491" s="760"/>
      <c r="I10491" s="760"/>
      <c r="J10491" s="760"/>
      <c r="K10491" s="760"/>
    </row>
    <row r="10492" spans="1:11">
      <c r="A10492" s="760"/>
      <c r="B10492" s="760"/>
      <c r="C10492" s="760"/>
      <c r="D10492" s="760"/>
      <c r="E10492" s="760"/>
      <c r="F10492" s="760"/>
      <c r="G10492" s="760"/>
      <c r="H10492" s="760"/>
      <c r="I10492" s="760"/>
      <c r="J10492" s="760"/>
      <c r="K10492" s="760"/>
    </row>
    <row r="10493" spans="1:11">
      <c r="A10493" s="760"/>
      <c r="B10493" s="760"/>
      <c r="C10493" s="760"/>
      <c r="D10493" s="760"/>
      <c r="E10493" s="760"/>
      <c r="F10493" s="760"/>
      <c r="G10493" s="760"/>
      <c r="H10493" s="760"/>
      <c r="I10493" s="760"/>
      <c r="J10493" s="760"/>
      <c r="K10493" s="760"/>
    </row>
    <row r="10494" spans="1:11">
      <c r="A10494" s="760"/>
      <c r="B10494" s="760"/>
      <c r="C10494" s="760"/>
      <c r="D10494" s="760"/>
      <c r="E10494" s="760"/>
      <c r="F10494" s="760"/>
      <c r="G10494" s="760"/>
      <c r="H10494" s="760"/>
      <c r="I10494" s="760"/>
      <c r="J10494" s="760"/>
      <c r="K10494" s="760"/>
    </row>
    <row r="10495" spans="1:11">
      <c r="A10495" s="760"/>
      <c r="B10495" s="760"/>
      <c r="C10495" s="760"/>
      <c r="D10495" s="760"/>
      <c r="E10495" s="760"/>
      <c r="F10495" s="760"/>
      <c r="G10495" s="760"/>
      <c r="H10495" s="760"/>
      <c r="I10495" s="760"/>
      <c r="J10495" s="760"/>
      <c r="K10495" s="760"/>
    </row>
    <row r="10496" spans="1:11">
      <c r="A10496" s="760"/>
      <c r="B10496" s="760"/>
      <c r="C10496" s="760"/>
      <c r="D10496" s="760"/>
      <c r="E10496" s="760"/>
      <c r="F10496" s="760"/>
      <c r="G10496" s="760"/>
      <c r="H10496" s="760"/>
      <c r="I10496" s="760"/>
      <c r="J10496" s="760"/>
      <c r="K10496" s="760"/>
    </row>
    <row r="10497" spans="1:11">
      <c r="A10497" s="760"/>
      <c r="B10497" s="760"/>
      <c r="C10497" s="760"/>
      <c r="D10497" s="760"/>
      <c r="E10497" s="760"/>
      <c r="F10497" s="760"/>
      <c r="G10497" s="760"/>
      <c r="H10497" s="760"/>
      <c r="I10497" s="760"/>
      <c r="J10497" s="760"/>
      <c r="K10497" s="760"/>
    </row>
    <row r="10498" spans="1:11">
      <c r="A10498" s="760"/>
      <c r="B10498" s="760"/>
      <c r="C10498" s="760"/>
      <c r="D10498" s="760"/>
      <c r="E10498" s="760"/>
      <c r="F10498" s="760"/>
      <c r="G10498" s="760"/>
      <c r="H10498" s="760"/>
      <c r="I10498" s="760"/>
      <c r="J10498" s="760"/>
      <c r="K10498" s="760"/>
    </row>
    <row r="10499" spans="1:11">
      <c r="A10499" s="760"/>
      <c r="B10499" s="760"/>
      <c r="C10499" s="760"/>
      <c r="D10499" s="760"/>
      <c r="E10499" s="760"/>
      <c r="F10499" s="760"/>
      <c r="G10499" s="760"/>
      <c r="H10499" s="760"/>
      <c r="I10499" s="760"/>
      <c r="J10499" s="760"/>
      <c r="K10499" s="760"/>
    </row>
    <row r="10500" spans="1:11">
      <c r="A10500" s="760"/>
      <c r="B10500" s="760"/>
      <c r="C10500" s="760"/>
      <c r="D10500" s="760"/>
      <c r="E10500" s="760"/>
      <c r="F10500" s="760"/>
      <c r="G10500" s="760"/>
      <c r="H10500" s="760"/>
      <c r="I10500" s="760"/>
      <c r="J10500" s="760"/>
      <c r="K10500" s="760"/>
    </row>
    <row r="10501" spans="1:11">
      <c r="A10501" s="760"/>
      <c r="B10501" s="760"/>
      <c r="C10501" s="760"/>
      <c r="D10501" s="760"/>
      <c r="E10501" s="760"/>
      <c r="F10501" s="760"/>
      <c r="G10501" s="760"/>
      <c r="H10501" s="760"/>
      <c r="I10501" s="760"/>
      <c r="J10501" s="760"/>
      <c r="K10501" s="760"/>
    </row>
    <row r="10502" spans="1:11">
      <c r="A10502" s="760"/>
      <c r="B10502" s="760"/>
      <c r="C10502" s="760"/>
      <c r="D10502" s="760"/>
      <c r="E10502" s="760"/>
      <c r="F10502" s="760"/>
      <c r="G10502" s="760"/>
      <c r="H10502" s="760"/>
      <c r="I10502" s="760"/>
      <c r="J10502" s="760"/>
      <c r="K10502" s="760"/>
    </row>
    <row r="10503" spans="1:11">
      <c r="A10503" s="760"/>
      <c r="B10503" s="760"/>
      <c r="C10503" s="760"/>
      <c r="D10503" s="760"/>
      <c r="E10503" s="760"/>
      <c r="F10503" s="760"/>
      <c r="G10503" s="760"/>
      <c r="H10503" s="760"/>
      <c r="I10503" s="760"/>
      <c r="J10503" s="760"/>
      <c r="K10503" s="760"/>
    </row>
    <row r="10504" spans="1:11">
      <c r="A10504" s="760"/>
      <c r="B10504" s="760"/>
      <c r="C10504" s="760"/>
      <c r="D10504" s="760"/>
      <c r="E10504" s="760"/>
      <c r="F10504" s="760"/>
      <c r="G10504" s="760"/>
      <c r="H10504" s="760"/>
      <c r="I10504" s="760"/>
      <c r="J10504" s="760"/>
      <c r="K10504" s="760"/>
    </row>
    <row r="10505" spans="1:11">
      <c r="A10505" s="760"/>
      <c r="B10505" s="760"/>
      <c r="C10505" s="760"/>
      <c r="D10505" s="760"/>
      <c r="E10505" s="760"/>
      <c r="F10505" s="760"/>
      <c r="G10505" s="760"/>
      <c r="H10505" s="760"/>
      <c r="I10505" s="760"/>
      <c r="J10505" s="760"/>
      <c r="K10505" s="760"/>
    </row>
    <row r="10506" spans="1:11">
      <c r="A10506" s="760"/>
      <c r="B10506" s="760"/>
      <c r="C10506" s="760"/>
      <c r="D10506" s="760"/>
      <c r="E10506" s="760"/>
      <c r="F10506" s="760"/>
      <c r="G10506" s="760"/>
      <c r="H10506" s="760"/>
      <c r="I10506" s="760"/>
      <c r="J10506" s="760"/>
      <c r="K10506" s="760"/>
    </row>
    <row r="10507" spans="1:11">
      <c r="A10507" s="760"/>
      <c r="B10507" s="760"/>
      <c r="C10507" s="760"/>
      <c r="D10507" s="760"/>
      <c r="E10507" s="760"/>
      <c r="F10507" s="760"/>
      <c r="G10507" s="760"/>
      <c r="H10507" s="760"/>
      <c r="I10507" s="760"/>
      <c r="J10507" s="760"/>
      <c r="K10507" s="760"/>
    </row>
    <row r="10508" spans="1:11">
      <c r="A10508" s="760"/>
      <c r="B10508" s="760"/>
      <c r="C10508" s="760"/>
      <c r="D10508" s="760"/>
      <c r="E10508" s="760"/>
      <c r="F10508" s="760"/>
      <c r="G10508" s="760"/>
      <c r="H10508" s="760"/>
      <c r="I10508" s="760"/>
      <c r="J10508" s="760"/>
      <c r="K10508" s="760"/>
    </row>
    <row r="10509" spans="1:11">
      <c r="A10509" s="760"/>
      <c r="B10509" s="760"/>
      <c r="C10509" s="760"/>
      <c r="D10509" s="760"/>
      <c r="E10509" s="760"/>
      <c r="F10509" s="760"/>
      <c r="G10509" s="760"/>
      <c r="H10509" s="760"/>
      <c r="I10509" s="760"/>
      <c r="J10509" s="760"/>
      <c r="K10509" s="760"/>
    </row>
    <row r="10510" spans="1:11">
      <c r="A10510" s="760"/>
      <c r="B10510" s="760"/>
      <c r="C10510" s="760"/>
      <c r="D10510" s="760"/>
      <c r="E10510" s="760"/>
      <c r="F10510" s="760"/>
      <c r="G10510" s="760"/>
      <c r="H10510" s="760"/>
      <c r="I10510" s="760"/>
      <c r="J10510" s="760"/>
      <c r="K10510" s="760"/>
    </row>
    <row r="10511" spans="1:11">
      <c r="A10511" s="760"/>
      <c r="B10511" s="760"/>
      <c r="C10511" s="760"/>
      <c r="D10511" s="760"/>
      <c r="E10511" s="760"/>
      <c r="F10511" s="760"/>
      <c r="G10511" s="760"/>
      <c r="H10511" s="760"/>
      <c r="I10511" s="760"/>
      <c r="J10511" s="760"/>
      <c r="K10511" s="760"/>
    </row>
    <row r="10512" spans="1:11">
      <c r="A10512" s="760"/>
      <c r="B10512" s="760"/>
      <c r="C10512" s="760"/>
      <c r="D10512" s="760"/>
      <c r="E10512" s="760"/>
      <c r="F10512" s="760"/>
      <c r="G10512" s="760"/>
      <c r="H10512" s="760"/>
      <c r="I10512" s="760"/>
      <c r="J10512" s="760"/>
      <c r="K10512" s="760"/>
    </row>
    <row r="10513" spans="1:11">
      <c r="A10513" s="760"/>
      <c r="B10513" s="760"/>
      <c r="C10513" s="760"/>
      <c r="D10513" s="760"/>
      <c r="E10513" s="760"/>
      <c r="F10513" s="760"/>
      <c r="G10513" s="760"/>
      <c r="H10513" s="760"/>
      <c r="I10513" s="760"/>
      <c r="J10513" s="760"/>
      <c r="K10513" s="760"/>
    </row>
    <row r="10514" spans="1:11">
      <c r="A10514" s="760"/>
      <c r="B10514" s="760"/>
      <c r="C10514" s="760"/>
      <c r="D10514" s="760"/>
      <c r="E10514" s="760"/>
      <c r="F10514" s="760"/>
      <c r="G10514" s="760"/>
      <c r="H10514" s="760"/>
      <c r="I10514" s="760"/>
      <c r="J10514" s="760"/>
      <c r="K10514" s="760"/>
    </row>
    <row r="10515" spans="1:11">
      <c r="A10515" s="760"/>
      <c r="B10515" s="760"/>
      <c r="C10515" s="760"/>
      <c r="D10515" s="760"/>
      <c r="E10515" s="760"/>
      <c r="F10515" s="760"/>
      <c r="G10515" s="760"/>
      <c r="H10515" s="760"/>
      <c r="I10515" s="760"/>
      <c r="J10515" s="760"/>
      <c r="K10515" s="760"/>
    </row>
    <row r="10516" spans="1:11">
      <c r="A10516" s="760"/>
      <c r="B10516" s="760"/>
      <c r="C10516" s="760"/>
      <c r="D10516" s="760"/>
      <c r="E10516" s="760"/>
      <c r="F10516" s="760"/>
      <c r="G10516" s="760"/>
      <c r="H10516" s="760"/>
      <c r="I10516" s="760"/>
      <c r="J10516" s="760"/>
      <c r="K10516" s="760"/>
    </row>
    <row r="10517" spans="1:11">
      <c r="A10517" s="760"/>
      <c r="B10517" s="760"/>
      <c r="C10517" s="760"/>
      <c r="D10517" s="760"/>
      <c r="E10517" s="760"/>
      <c r="F10517" s="760"/>
      <c r="G10517" s="760"/>
      <c r="H10517" s="760"/>
      <c r="I10517" s="760"/>
      <c r="J10517" s="760"/>
      <c r="K10517" s="760"/>
    </row>
    <row r="10518" spans="1:11">
      <c r="A10518" s="760"/>
      <c r="B10518" s="760"/>
      <c r="C10518" s="760"/>
      <c r="D10518" s="760"/>
      <c r="E10518" s="760"/>
      <c r="F10518" s="760"/>
      <c r="G10518" s="760"/>
      <c r="H10518" s="760"/>
      <c r="I10518" s="760"/>
      <c r="J10518" s="760"/>
      <c r="K10518" s="760"/>
    </row>
    <row r="10519" spans="1:11">
      <c r="A10519" s="760"/>
      <c r="B10519" s="760"/>
      <c r="C10519" s="760"/>
      <c r="D10519" s="760"/>
      <c r="E10519" s="760"/>
      <c r="F10519" s="760"/>
      <c r="G10519" s="760"/>
      <c r="H10519" s="760"/>
      <c r="I10519" s="760"/>
      <c r="J10519" s="760"/>
      <c r="K10519" s="760"/>
    </row>
    <row r="10520" spans="1:11">
      <c r="A10520" s="760"/>
      <c r="B10520" s="760"/>
      <c r="C10520" s="760"/>
      <c r="D10520" s="760"/>
      <c r="E10520" s="760"/>
      <c r="F10520" s="760"/>
      <c r="G10520" s="760"/>
      <c r="H10520" s="760"/>
      <c r="I10520" s="760"/>
      <c r="J10520" s="760"/>
      <c r="K10520" s="760"/>
    </row>
    <row r="10521" spans="1:11">
      <c r="A10521" s="760"/>
      <c r="B10521" s="760"/>
      <c r="C10521" s="760"/>
      <c r="D10521" s="760"/>
      <c r="E10521" s="760"/>
      <c r="F10521" s="760"/>
      <c r="G10521" s="760"/>
      <c r="H10521" s="760"/>
      <c r="I10521" s="760"/>
      <c r="J10521" s="760"/>
      <c r="K10521" s="760"/>
    </row>
    <row r="10522" spans="1:11">
      <c r="A10522" s="760"/>
      <c r="B10522" s="760"/>
      <c r="C10522" s="760"/>
      <c r="D10522" s="760"/>
      <c r="E10522" s="760"/>
      <c r="F10522" s="760"/>
      <c r="G10522" s="760"/>
      <c r="H10522" s="760"/>
      <c r="I10522" s="760"/>
      <c r="J10522" s="760"/>
      <c r="K10522" s="760"/>
    </row>
    <row r="10523" spans="1:11">
      <c r="A10523" s="760"/>
      <c r="B10523" s="760"/>
      <c r="C10523" s="760"/>
      <c r="D10523" s="760"/>
      <c r="E10523" s="760"/>
      <c r="F10523" s="760"/>
      <c r="G10523" s="760"/>
      <c r="H10523" s="760"/>
      <c r="I10523" s="760"/>
      <c r="J10523" s="760"/>
      <c r="K10523" s="760"/>
    </row>
    <row r="10524" spans="1:11">
      <c r="A10524" s="760"/>
      <c r="B10524" s="760"/>
      <c r="C10524" s="760"/>
      <c r="D10524" s="760"/>
      <c r="E10524" s="760"/>
      <c r="F10524" s="760"/>
      <c r="G10524" s="760"/>
      <c r="H10524" s="760"/>
      <c r="I10524" s="760"/>
      <c r="J10524" s="760"/>
      <c r="K10524" s="760"/>
    </row>
    <row r="10525" spans="1:11">
      <c r="A10525" s="760"/>
      <c r="B10525" s="760"/>
      <c r="C10525" s="760"/>
      <c r="D10525" s="760"/>
      <c r="E10525" s="760"/>
      <c r="F10525" s="760"/>
      <c r="G10525" s="760"/>
      <c r="H10525" s="760"/>
      <c r="I10525" s="760"/>
      <c r="J10525" s="760"/>
      <c r="K10525" s="760"/>
    </row>
    <row r="10526" spans="1:11">
      <c r="A10526" s="760"/>
      <c r="B10526" s="760"/>
      <c r="C10526" s="760"/>
      <c r="D10526" s="760"/>
      <c r="E10526" s="760"/>
      <c r="F10526" s="760"/>
      <c r="G10526" s="760"/>
      <c r="H10526" s="760"/>
      <c r="I10526" s="760"/>
      <c r="J10526" s="760"/>
      <c r="K10526" s="760"/>
    </row>
    <row r="10527" spans="1:11">
      <c r="A10527" s="760"/>
      <c r="B10527" s="760"/>
      <c r="C10527" s="760"/>
      <c r="D10527" s="760"/>
      <c r="E10527" s="760"/>
      <c r="F10527" s="760"/>
      <c r="G10527" s="760"/>
      <c r="H10527" s="760"/>
      <c r="I10527" s="760"/>
      <c r="J10527" s="760"/>
      <c r="K10527" s="760"/>
    </row>
    <row r="10528" spans="1:11">
      <c r="A10528" s="760"/>
      <c r="B10528" s="760"/>
      <c r="C10528" s="760"/>
      <c r="D10528" s="760"/>
      <c r="E10528" s="760"/>
      <c r="F10528" s="760"/>
      <c r="G10528" s="760"/>
      <c r="H10528" s="760"/>
      <c r="I10528" s="760"/>
      <c r="J10528" s="760"/>
      <c r="K10528" s="760"/>
    </row>
    <row r="10529" spans="1:11">
      <c r="A10529" s="760"/>
      <c r="B10529" s="760"/>
      <c r="C10529" s="760"/>
      <c r="D10529" s="760"/>
      <c r="E10529" s="760"/>
      <c r="F10529" s="760"/>
      <c r="G10529" s="760"/>
      <c r="H10529" s="760"/>
      <c r="I10529" s="760"/>
      <c r="J10529" s="760"/>
      <c r="K10529" s="760"/>
    </row>
    <row r="10530" spans="1:11">
      <c r="A10530" s="760"/>
      <c r="B10530" s="760"/>
      <c r="C10530" s="760"/>
      <c r="D10530" s="760"/>
      <c r="E10530" s="760"/>
      <c r="F10530" s="760"/>
      <c r="G10530" s="760"/>
      <c r="H10530" s="760"/>
      <c r="I10530" s="760"/>
      <c r="J10530" s="760"/>
      <c r="K10530" s="760"/>
    </row>
    <row r="10531" spans="1:11">
      <c r="A10531" s="760"/>
      <c r="B10531" s="760"/>
      <c r="C10531" s="760"/>
      <c r="D10531" s="760"/>
      <c r="E10531" s="760"/>
      <c r="F10531" s="760"/>
      <c r="G10531" s="760"/>
      <c r="H10531" s="760"/>
      <c r="I10531" s="760"/>
      <c r="J10531" s="760"/>
      <c r="K10531" s="760"/>
    </row>
    <row r="10532" spans="1:11">
      <c r="A10532" s="760"/>
      <c r="B10532" s="760"/>
      <c r="C10532" s="760"/>
      <c r="D10532" s="760"/>
      <c r="E10532" s="760"/>
      <c r="F10532" s="760"/>
      <c r="G10532" s="760"/>
      <c r="H10532" s="760"/>
      <c r="I10532" s="760"/>
      <c r="J10532" s="760"/>
      <c r="K10532" s="760"/>
    </row>
    <row r="10533" spans="1:11">
      <c r="A10533" s="760"/>
      <c r="B10533" s="760"/>
      <c r="C10533" s="760"/>
      <c r="D10533" s="760"/>
      <c r="E10533" s="760"/>
      <c r="F10533" s="760"/>
      <c r="G10533" s="760"/>
      <c r="H10533" s="760"/>
      <c r="I10533" s="760"/>
      <c r="J10533" s="760"/>
      <c r="K10533" s="760"/>
    </row>
    <row r="10534" spans="1:11">
      <c r="A10534" s="760"/>
      <c r="B10534" s="760"/>
      <c r="C10534" s="760"/>
      <c r="D10534" s="760"/>
      <c r="E10534" s="760"/>
      <c r="F10534" s="760"/>
      <c r="G10534" s="760"/>
      <c r="H10534" s="760"/>
      <c r="I10534" s="760"/>
      <c r="J10534" s="760"/>
      <c r="K10534" s="760"/>
    </row>
    <row r="10535" spans="1:11">
      <c r="A10535" s="760"/>
      <c r="B10535" s="760"/>
      <c r="C10535" s="760"/>
      <c r="D10535" s="760"/>
      <c r="E10535" s="760"/>
      <c r="F10535" s="760"/>
      <c r="G10535" s="760"/>
      <c r="H10535" s="760"/>
      <c r="I10535" s="760"/>
      <c r="J10535" s="760"/>
      <c r="K10535" s="760"/>
    </row>
    <row r="10536" spans="1:11">
      <c r="A10536" s="760"/>
      <c r="B10536" s="760"/>
      <c r="C10536" s="760"/>
      <c r="D10536" s="760"/>
      <c r="E10536" s="760"/>
      <c r="F10536" s="760"/>
      <c r="G10536" s="760"/>
      <c r="H10536" s="760"/>
      <c r="I10536" s="760"/>
      <c r="J10536" s="760"/>
      <c r="K10536" s="760"/>
    </row>
    <row r="10537" spans="1:11">
      <c r="A10537" s="760"/>
      <c r="B10537" s="760"/>
      <c r="C10537" s="760"/>
      <c r="D10537" s="760"/>
      <c r="E10537" s="760"/>
      <c r="F10537" s="760"/>
      <c r="G10537" s="760"/>
      <c r="H10537" s="760"/>
      <c r="I10537" s="760"/>
      <c r="J10537" s="760"/>
      <c r="K10537" s="760"/>
    </row>
    <row r="10538" spans="1:11">
      <c r="A10538" s="760"/>
      <c r="B10538" s="760"/>
      <c r="C10538" s="760"/>
      <c r="D10538" s="760"/>
      <c r="E10538" s="760"/>
      <c r="F10538" s="760"/>
      <c r="G10538" s="760"/>
      <c r="H10538" s="760"/>
      <c r="I10538" s="760"/>
      <c r="J10538" s="760"/>
      <c r="K10538" s="760"/>
    </row>
    <row r="10539" spans="1:11">
      <c r="A10539" s="760"/>
      <c r="B10539" s="760"/>
      <c r="C10539" s="760"/>
      <c r="D10539" s="760"/>
      <c r="E10539" s="760"/>
      <c r="F10539" s="760"/>
      <c r="G10539" s="760"/>
      <c r="H10539" s="760"/>
      <c r="I10539" s="760"/>
      <c r="J10539" s="760"/>
      <c r="K10539" s="760"/>
    </row>
    <row r="10540" spans="1:11">
      <c r="A10540" s="760"/>
      <c r="B10540" s="760"/>
      <c r="C10540" s="760"/>
      <c r="D10540" s="760"/>
      <c r="E10540" s="760"/>
      <c r="F10540" s="760"/>
      <c r="G10540" s="760"/>
      <c r="H10540" s="760"/>
      <c r="I10540" s="760"/>
      <c r="J10540" s="760"/>
      <c r="K10540" s="760"/>
    </row>
    <row r="10541" spans="1:11">
      <c r="A10541" s="760"/>
      <c r="B10541" s="760"/>
      <c r="C10541" s="760"/>
      <c r="D10541" s="760"/>
      <c r="E10541" s="760"/>
      <c r="F10541" s="760"/>
      <c r="G10541" s="760"/>
      <c r="H10541" s="760"/>
      <c r="I10541" s="760"/>
      <c r="J10541" s="760"/>
      <c r="K10541" s="760"/>
    </row>
    <row r="10542" spans="1:11">
      <c r="A10542" s="760"/>
      <c r="B10542" s="760"/>
      <c r="C10542" s="760"/>
      <c r="D10542" s="760"/>
      <c r="E10542" s="760"/>
      <c r="F10542" s="760"/>
      <c r="G10542" s="760"/>
      <c r="H10542" s="760"/>
      <c r="I10542" s="760"/>
      <c r="J10542" s="760"/>
      <c r="K10542" s="760"/>
    </row>
    <row r="10543" spans="1:11">
      <c r="A10543" s="760"/>
      <c r="B10543" s="760"/>
      <c r="C10543" s="760"/>
      <c r="D10543" s="760"/>
      <c r="E10543" s="760"/>
      <c r="F10543" s="760"/>
      <c r="G10543" s="760"/>
      <c r="H10543" s="760"/>
      <c r="I10543" s="760"/>
      <c r="J10543" s="760"/>
      <c r="K10543" s="760"/>
    </row>
    <row r="10544" spans="1:11">
      <c r="A10544" s="760"/>
      <c r="B10544" s="760"/>
      <c r="C10544" s="760"/>
      <c r="D10544" s="760"/>
      <c r="E10544" s="760"/>
      <c r="F10544" s="760"/>
      <c r="G10544" s="760"/>
      <c r="H10544" s="760"/>
      <c r="I10544" s="760"/>
      <c r="J10544" s="760"/>
      <c r="K10544" s="760"/>
    </row>
    <row r="10545" spans="1:11">
      <c r="A10545" s="760"/>
      <c r="B10545" s="760"/>
      <c r="C10545" s="760"/>
      <c r="D10545" s="760"/>
      <c r="E10545" s="760"/>
      <c r="F10545" s="760"/>
      <c r="G10545" s="760"/>
      <c r="H10545" s="760"/>
      <c r="I10545" s="760"/>
      <c r="J10545" s="760"/>
      <c r="K10545" s="760"/>
    </row>
    <row r="10546" spans="1:11">
      <c r="A10546" s="760"/>
      <c r="B10546" s="760"/>
      <c r="C10546" s="760"/>
      <c r="D10546" s="760"/>
      <c r="E10546" s="760"/>
      <c r="F10546" s="760"/>
      <c r="G10546" s="760"/>
      <c r="H10546" s="760"/>
      <c r="I10546" s="760"/>
      <c r="J10546" s="760"/>
      <c r="K10546" s="760"/>
    </row>
    <row r="10547" spans="1:11">
      <c r="A10547" s="760"/>
      <c r="B10547" s="760"/>
      <c r="C10547" s="760"/>
      <c r="D10547" s="760"/>
      <c r="E10547" s="760"/>
      <c r="F10547" s="760"/>
      <c r="G10547" s="760"/>
      <c r="H10547" s="760"/>
      <c r="I10547" s="760"/>
      <c r="J10547" s="760"/>
      <c r="K10547" s="760"/>
    </row>
    <row r="10548" spans="1:11">
      <c r="A10548" s="760"/>
      <c r="B10548" s="760"/>
      <c r="C10548" s="760"/>
      <c r="D10548" s="760"/>
      <c r="E10548" s="760"/>
      <c r="F10548" s="760"/>
      <c r="G10548" s="760"/>
      <c r="H10548" s="760"/>
      <c r="I10548" s="760"/>
      <c r="J10548" s="760"/>
      <c r="K10548" s="760"/>
    </row>
    <row r="10549" spans="1:11">
      <c r="A10549" s="760"/>
      <c r="B10549" s="760"/>
      <c r="C10549" s="760"/>
      <c r="D10549" s="760"/>
      <c r="E10549" s="760"/>
      <c r="F10549" s="760"/>
      <c r="G10549" s="760"/>
      <c r="H10549" s="760"/>
      <c r="I10549" s="760"/>
      <c r="J10549" s="760"/>
      <c r="K10549" s="760"/>
    </row>
    <row r="10550" spans="1:11">
      <c r="A10550" s="760"/>
      <c r="B10550" s="760"/>
      <c r="C10550" s="760"/>
      <c r="D10550" s="760"/>
      <c r="E10550" s="760"/>
      <c r="F10550" s="760"/>
      <c r="G10550" s="760"/>
      <c r="H10550" s="760"/>
      <c r="I10550" s="760"/>
      <c r="J10550" s="760"/>
      <c r="K10550" s="760"/>
    </row>
    <row r="10551" spans="1:11">
      <c r="A10551" s="760"/>
      <c r="B10551" s="760"/>
      <c r="C10551" s="760"/>
      <c r="D10551" s="760"/>
      <c r="E10551" s="760"/>
      <c r="F10551" s="760"/>
      <c r="G10551" s="760"/>
      <c r="H10551" s="760"/>
      <c r="I10551" s="760"/>
      <c r="J10551" s="760"/>
      <c r="K10551" s="760"/>
    </row>
    <row r="10552" spans="1:11">
      <c r="A10552" s="760"/>
      <c r="B10552" s="760"/>
      <c r="C10552" s="760"/>
      <c r="D10552" s="760"/>
      <c r="E10552" s="760"/>
      <c r="F10552" s="760"/>
      <c r="G10552" s="760"/>
      <c r="H10552" s="760"/>
      <c r="I10552" s="760"/>
      <c r="J10552" s="760"/>
      <c r="K10552" s="760"/>
    </row>
    <row r="10553" spans="1:11">
      <c r="A10553" s="760"/>
      <c r="B10553" s="760"/>
      <c r="C10553" s="760"/>
      <c r="D10553" s="760"/>
      <c r="E10553" s="760"/>
      <c r="F10553" s="760"/>
      <c r="G10553" s="760"/>
      <c r="H10553" s="760"/>
      <c r="I10553" s="760"/>
      <c r="J10553" s="760"/>
      <c r="K10553" s="760"/>
    </row>
    <row r="10554" spans="1:11">
      <c r="A10554" s="760"/>
      <c r="B10554" s="760"/>
      <c r="C10554" s="760"/>
      <c r="D10554" s="760"/>
      <c r="E10554" s="760"/>
      <c r="F10554" s="760"/>
      <c r="G10554" s="760"/>
      <c r="H10554" s="760"/>
      <c r="I10554" s="760"/>
      <c r="J10554" s="760"/>
      <c r="K10554" s="760"/>
    </row>
    <row r="10555" spans="1:11">
      <c r="A10555" s="760"/>
      <c r="B10555" s="760"/>
      <c r="C10555" s="760"/>
      <c r="D10555" s="760"/>
      <c r="E10555" s="760"/>
      <c r="F10555" s="760"/>
      <c r="G10555" s="760"/>
      <c r="H10555" s="760"/>
      <c r="I10555" s="760"/>
      <c r="J10555" s="760"/>
      <c r="K10555" s="760"/>
    </row>
    <row r="10556" spans="1:11">
      <c r="A10556" s="760"/>
      <c r="B10556" s="760"/>
      <c r="C10556" s="760"/>
      <c r="D10556" s="760"/>
      <c r="E10556" s="760"/>
      <c r="F10556" s="760"/>
      <c r="G10556" s="760"/>
      <c r="H10556" s="760"/>
      <c r="I10556" s="760"/>
      <c r="J10556" s="760"/>
      <c r="K10556" s="760"/>
    </row>
    <row r="10557" spans="1:11">
      <c r="A10557" s="760"/>
      <c r="B10557" s="760"/>
      <c r="C10557" s="760"/>
      <c r="D10557" s="760"/>
      <c r="E10557" s="760"/>
      <c r="F10557" s="760"/>
      <c r="G10557" s="760"/>
      <c r="H10557" s="760"/>
      <c r="I10557" s="760"/>
      <c r="J10557" s="760"/>
      <c r="K10557" s="760"/>
    </row>
    <row r="10558" spans="1:11">
      <c r="A10558" s="760"/>
      <c r="B10558" s="760"/>
      <c r="C10558" s="760"/>
      <c r="D10558" s="760"/>
      <c r="E10558" s="760"/>
      <c r="F10558" s="760"/>
      <c r="G10558" s="760"/>
      <c r="H10558" s="760"/>
      <c r="I10558" s="760"/>
      <c r="J10558" s="760"/>
      <c r="K10558" s="760"/>
    </row>
    <row r="10559" spans="1:11">
      <c r="A10559" s="760"/>
      <c r="B10559" s="760"/>
      <c r="C10559" s="760"/>
      <c r="D10559" s="760"/>
      <c r="E10559" s="760"/>
      <c r="F10559" s="760"/>
      <c r="G10559" s="760"/>
      <c r="H10559" s="760"/>
      <c r="I10559" s="760"/>
      <c r="J10559" s="760"/>
      <c r="K10559" s="760"/>
    </row>
    <row r="10560" spans="1:11">
      <c r="A10560" s="760"/>
      <c r="B10560" s="760"/>
      <c r="C10560" s="760"/>
      <c r="D10560" s="760"/>
      <c r="E10560" s="760"/>
      <c r="F10560" s="760"/>
      <c r="G10560" s="760"/>
      <c r="H10560" s="760"/>
      <c r="I10560" s="760"/>
      <c r="J10560" s="760"/>
      <c r="K10560" s="760"/>
    </row>
    <row r="10561" spans="1:11">
      <c r="A10561" s="760"/>
      <c r="B10561" s="760"/>
      <c r="C10561" s="760"/>
      <c r="D10561" s="760"/>
      <c r="E10561" s="760"/>
      <c r="F10561" s="760"/>
      <c r="G10561" s="760"/>
      <c r="H10561" s="760"/>
      <c r="I10561" s="760"/>
      <c r="J10561" s="760"/>
      <c r="K10561" s="760"/>
    </row>
    <row r="10562" spans="1:11">
      <c r="A10562" s="760"/>
      <c r="B10562" s="760"/>
      <c r="C10562" s="760"/>
      <c r="D10562" s="760"/>
      <c r="E10562" s="760"/>
      <c r="F10562" s="760"/>
      <c r="G10562" s="760"/>
      <c r="H10562" s="760"/>
      <c r="I10562" s="760"/>
      <c r="J10562" s="760"/>
      <c r="K10562" s="760"/>
    </row>
    <row r="10563" spans="1:11">
      <c r="A10563" s="760"/>
      <c r="B10563" s="760"/>
      <c r="C10563" s="760"/>
      <c r="D10563" s="760"/>
      <c r="E10563" s="760"/>
      <c r="F10563" s="760"/>
      <c r="G10563" s="760"/>
      <c r="H10563" s="760"/>
      <c r="I10563" s="760"/>
      <c r="J10563" s="760"/>
      <c r="K10563" s="760"/>
    </row>
    <row r="10564" spans="1:11">
      <c r="A10564" s="760"/>
      <c r="B10564" s="760"/>
      <c r="C10564" s="760"/>
      <c r="D10564" s="760"/>
      <c r="E10564" s="760"/>
      <c r="F10564" s="760"/>
      <c r="G10564" s="760"/>
      <c r="H10564" s="760"/>
      <c r="I10564" s="760"/>
      <c r="J10564" s="760"/>
      <c r="K10564" s="760"/>
    </row>
    <row r="10565" spans="1:11">
      <c r="A10565" s="760"/>
      <c r="B10565" s="760"/>
      <c r="C10565" s="760"/>
      <c r="D10565" s="760"/>
      <c r="E10565" s="760"/>
      <c r="F10565" s="760"/>
      <c r="G10565" s="760"/>
      <c r="H10565" s="760"/>
      <c r="I10565" s="760"/>
      <c r="J10565" s="760"/>
      <c r="K10565" s="760"/>
    </row>
    <row r="10566" spans="1:11">
      <c r="A10566" s="760"/>
      <c r="B10566" s="760"/>
      <c r="C10566" s="760"/>
      <c r="D10566" s="760"/>
      <c r="E10566" s="760"/>
      <c r="F10566" s="760"/>
      <c r="G10566" s="760"/>
      <c r="H10566" s="760"/>
      <c r="I10566" s="760"/>
      <c r="J10566" s="760"/>
      <c r="K10566" s="760"/>
    </row>
    <row r="10567" spans="1:11">
      <c r="A10567" s="760"/>
      <c r="B10567" s="760"/>
      <c r="C10567" s="760"/>
      <c r="D10567" s="760"/>
      <c r="E10567" s="760"/>
      <c r="F10567" s="760"/>
      <c r="G10567" s="760"/>
      <c r="H10567" s="760"/>
      <c r="I10567" s="760"/>
      <c r="J10567" s="760"/>
      <c r="K10567" s="760"/>
    </row>
    <row r="10568" spans="1:11">
      <c r="A10568" s="760"/>
      <c r="B10568" s="760"/>
      <c r="C10568" s="760"/>
      <c r="D10568" s="760"/>
      <c r="E10568" s="760"/>
      <c r="F10568" s="760"/>
      <c r="G10568" s="760"/>
      <c r="H10568" s="760"/>
      <c r="I10568" s="760"/>
      <c r="J10568" s="760"/>
      <c r="K10568" s="760"/>
    </row>
    <row r="10569" spans="1:11">
      <c r="A10569" s="760"/>
      <c r="B10569" s="760"/>
      <c r="C10569" s="760"/>
      <c r="D10569" s="760"/>
      <c r="E10569" s="760"/>
      <c r="F10569" s="760"/>
      <c r="G10569" s="760"/>
      <c r="H10569" s="760"/>
      <c r="I10569" s="760"/>
      <c r="J10569" s="760"/>
      <c r="K10569" s="760"/>
    </row>
    <row r="10570" spans="1:11">
      <c r="A10570" s="760"/>
      <c r="B10570" s="760"/>
      <c r="C10570" s="760"/>
      <c r="D10570" s="760"/>
      <c r="E10570" s="760"/>
      <c r="F10570" s="760"/>
      <c r="G10570" s="760"/>
      <c r="H10570" s="760"/>
      <c r="I10570" s="760"/>
      <c r="J10570" s="760"/>
      <c r="K10570" s="760"/>
    </row>
    <row r="10571" spans="1:11">
      <c r="A10571" s="760"/>
      <c r="B10571" s="760"/>
      <c r="C10571" s="760"/>
      <c r="D10571" s="760"/>
      <c r="E10571" s="760"/>
      <c r="F10571" s="760"/>
      <c r="G10571" s="760"/>
      <c r="H10571" s="760"/>
      <c r="I10571" s="760"/>
      <c r="J10571" s="760"/>
      <c r="K10571" s="760"/>
    </row>
    <row r="10572" spans="1:11">
      <c r="A10572" s="760"/>
      <c r="B10572" s="760"/>
      <c r="C10572" s="760"/>
      <c r="D10572" s="760"/>
      <c r="E10572" s="760"/>
      <c r="F10572" s="760"/>
      <c r="G10572" s="760"/>
      <c r="H10572" s="760"/>
      <c r="I10572" s="760"/>
      <c r="J10572" s="760"/>
      <c r="K10572" s="760"/>
    </row>
    <row r="10573" spans="1:11">
      <c r="A10573" s="760"/>
      <c r="B10573" s="760"/>
      <c r="C10573" s="760"/>
      <c r="D10573" s="760"/>
      <c r="E10573" s="760"/>
      <c r="F10573" s="760"/>
      <c r="G10573" s="760"/>
      <c r="H10573" s="760"/>
      <c r="I10573" s="760"/>
      <c r="J10573" s="760"/>
      <c r="K10573" s="760"/>
    </row>
    <row r="10574" spans="1:11">
      <c r="A10574" s="760"/>
      <c r="B10574" s="760"/>
      <c r="C10574" s="760"/>
      <c r="D10574" s="760"/>
      <c r="E10574" s="760"/>
      <c r="F10574" s="760"/>
      <c r="G10574" s="760"/>
      <c r="H10574" s="760"/>
      <c r="I10574" s="760"/>
      <c r="J10574" s="760"/>
      <c r="K10574" s="760"/>
    </row>
    <row r="10575" spans="1:11">
      <c r="A10575" s="760"/>
      <c r="B10575" s="760"/>
      <c r="C10575" s="760"/>
      <c r="D10575" s="760"/>
      <c r="E10575" s="760"/>
      <c r="F10575" s="760"/>
      <c r="G10575" s="760"/>
      <c r="H10575" s="760"/>
      <c r="I10575" s="760"/>
      <c r="J10575" s="760"/>
      <c r="K10575" s="760"/>
    </row>
    <row r="10576" spans="1:11">
      <c r="A10576" s="760"/>
      <c r="B10576" s="760"/>
      <c r="C10576" s="760"/>
      <c r="D10576" s="760"/>
      <c r="E10576" s="760"/>
      <c r="F10576" s="760"/>
      <c r="G10576" s="760"/>
      <c r="H10576" s="760"/>
      <c r="I10576" s="760"/>
      <c r="J10576" s="760"/>
      <c r="K10576" s="760"/>
    </row>
    <row r="10577" spans="1:11">
      <c r="A10577" s="760"/>
      <c r="B10577" s="760"/>
      <c r="C10577" s="760"/>
      <c r="D10577" s="760"/>
      <c r="E10577" s="760"/>
      <c r="F10577" s="760"/>
      <c r="G10577" s="760"/>
      <c r="H10577" s="760"/>
      <c r="I10577" s="760"/>
      <c r="J10577" s="760"/>
      <c r="K10577" s="760"/>
    </row>
    <row r="10578" spans="1:11">
      <c r="A10578" s="760"/>
      <c r="B10578" s="760"/>
      <c r="C10578" s="760"/>
      <c r="D10578" s="760"/>
      <c r="E10578" s="760"/>
      <c r="F10578" s="760"/>
      <c r="G10578" s="760"/>
      <c r="H10578" s="760"/>
      <c r="I10578" s="760"/>
      <c r="J10578" s="760"/>
      <c r="K10578" s="760"/>
    </row>
    <row r="10579" spans="1:11">
      <c r="A10579" s="760"/>
      <c r="B10579" s="760"/>
      <c r="C10579" s="760"/>
      <c r="D10579" s="760"/>
      <c r="E10579" s="760"/>
      <c r="F10579" s="760"/>
      <c r="G10579" s="760"/>
      <c r="H10579" s="760"/>
      <c r="I10579" s="760"/>
      <c r="J10579" s="760"/>
      <c r="K10579" s="760"/>
    </row>
    <row r="10580" spans="1:11">
      <c r="A10580" s="760"/>
      <c r="B10580" s="760"/>
      <c r="C10580" s="760"/>
      <c r="D10580" s="760"/>
      <c r="E10580" s="760"/>
      <c r="F10580" s="760"/>
      <c r="G10580" s="760"/>
      <c r="H10580" s="760"/>
      <c r="I10580" s="760"/>
      <c r="J10580" s="760"/>
      <c r="K10580" s="760"/>
    </row>
    <row r="10581" spans="1:11">
      <c r="A10581" s="760"/>
      <c r="B10581" s="760"/>
      <c r="C10581" s="760"/>
      <c r="D10581" s="760"/>
      <c r="E10581" s="760"/>
      <c r="F10581" s="760"/>
      <c r="G10581" s="760"/>
      <c r="H10581" s="760"/>
      <c r="I10581" s="760"/>
      <c r="J10581" s="760"/>
      <c r="K10581" s="760"/>
    </row>
    <row r="10582" spans="1:11">
      <c r="A10582" s="760"/>
      <c r="B10582" s="760"/>
      <c r="C10582" s="760"/>
      <c r="D10582" s="760"/>
      <c r="E10582" s="760"/>
      <c r="F10582" s="760"/>
      <c r="G10582" s="760"/>
      <c r="H10582" s="760"/>
      <c r="I10582" s="760"/>
      <c r="J10582" s="760"/>
      <c r="K10582" s="760"/>
    </row>
    <row r="10583" spans="1:11">
      <c r="A10583" s="760"/>
      <c r="B10583" s="760"/>
      <c r="C10583" s="760"/>
      <c r="D10583" s="760"/>
      <c r="E10583" s="760"/>
      <c r="F10583" s="760"/>
      <c r="G10583" s="760"/>
      <c r="H10583" s="760"/>
      <c r="I10583" s="760"/>
      <c r="J10583" s="760"/>
      <c r="K10583" s="760"/>
    </row>
    <row r="10584" spans="1:11">
      <c r="A10584" s="760"/>
      <c r="B10584" s="760"/>
      <c r="C10584" s="760"/>
      <c r="D10584" s="760"/>
      <c r="E10584" s="760"/>
      <c r="F10584" s="760"/>
      <c r="G10584" s="760"/>
      <c r="H10584" s="760"/>
      <c r="I10584" s="760"/>
      <c r="J10584" s="760"/>
      <c r="K10584" s="760"/>
    </row>
    <row r="10585" spans="1:11">
      <c r="A10585" s="760"/>
      <c r="B10585" s="760"/>
      <c r="C10585" s="760"/>
      <c r="D10585" s="760"/>
      <c r="E10585" s="760"/>
      <c r="F10585" s="760"/>
      <c r="G10585" s="760"/>
      <c r="H10585" s="760"/>
      <c r="I10585" s="760"/>
      <c r="J10585" s="760"/>
      <c r="K10585" s="760"/>
    </row>
    <row r="10586" spans="1:11">
      <c r="A10586" s="760"/>
      <c r="B10586" s="760"/>
      <c r="C10586" s="760"/>
      <c r="D10586" s="760"/>
      <c r="E10586" s="760"/>
      <c r="F10586" s="760"/>
      <c r="G10586" s="760"/>
      <c r="H10586" s="760"/>
      <c r="I10586" s="760"/>
      <c r="J10586" s="760"/>
      <c r="K10586" s="760"/>
    </row>
    <row r="10587" spans="1:11">
      <c r="A10587" s="760"/>
      <c r="B10587" s="760"/>
      <c r="C10587" s="760"/>
      <c r="D10587" s="760"/>
      <c r="E10587" s="760"/>
      <c r="F10587" s="760"/>
      <c r="G10587" s="760"/>
      <c r="H10587" s="760"/>
      <c r="I10587" s="760"/>
      <c r="J10587" s="760"/>
      <c r="K10587" s="760"/>
    </row>
    <row r="10588" spans="1:11">
      <c r="A10588" s="760"/>
      <c r="B10588" s="760"/>
      <c r="C10588" s="760"/>
      <c r="D10588" s="760"/>
      <c r="E10588" s="760"/>
      <c r="F10588" s="760"/>
      <c r="G10588" s="760"/>
      <c r="H10588" s="760"/>
      <c r="I10588" s="760"/>
      <c r="J10588" s="760"/>
      <c r="K10588" s="760"/>
    </row>
    <row r="10589" spans="1:11">
      <c r="A10589" s="760"/>
      <c r="B10589" s="760"/>
      <c r="C10589" s="760"/>
      <c r="D10589" s="760"/>
      <c r="E10589" s="760"/>
      <c r="F10589" s="760"/>
      <c r="G10589" s="760"/>
      <c r="H10589" s="760"/>
      <c r="I10589" s="760"/>
      <c r="J10589" s="760"/>
      <c r="K10589" s="760"/>
    </row>
    <row r="10590" spans="1:11">
      <c r="A10590" s="760"/>
      <c r="B10590" s="760"/>
      <c r="C10590" s="760"/>
      <c r="D10590" s="760"/>
      <c r="E10590" s="760"/>
      <c r="F10590" s="760"/>
      <c r="G10590" s="760"/>
      <c r="H10590" s="760"/>
      <c r="I10590" s="760"/>
      <c r="J10590" s="760"/>
      <c r="K10590" s="760"/>
    </row>
    <row r="10591" spans="1:11">
      <c r="A10591" s="760"/>
      <c r="B10591" s="760"/>
      <c r="C10591" s="760"/>
      <c r="D10591" s="760"/>
      <c r="E10591" s="760"/>
      <c r="F10591" s="760"/>
      <c r="G10591" s="760"/>
      <c r="H10591" s="760"/>
      <c r="I10591" s="760"/>
      <c r="J10591" s="760"/>
      <c r="K10591" s="760"/>
    </row>
    <row r="10592" spans="1:11">
      <c r="A10592" s="760"/>
      <c r="B10592" s="760"/>
      <c r="C10592" s="760"/>
      <c r="D10592" s="760"/>
      <c r="E10592" s="760"/>
      <c r="F10592" s="760"/>
      <c r="G10592" s="760"/>
      <c r="H10592" s="760"/>
      <c r="I10592" s="760"/>
      <c r="J10592" s="760"/>
      <c r="K10592" s="760"/>
    </row>
    <row r="10593" spans="1:11">
      <c r="A10593" s="760"/>
      <c r="B10593" s="760"/>
      <c r="C10593" s="760"/>
      <c r="D10593" s="760"/>
      <c r="E10593" s="760"/>
      <c r="F10593" s="760"/>
      <c r="G10593" s="760"/>
      <c r="H10593" s="760"/>
      <c r="I10593" s="760"/>
      <c r="J10593" s="760"/>
      <c r="K10593" s="760"/>
    </row>
    <row r="10594" spans="1:11">
      <c r="A10594" s="760"/>
      <c r="B10594" s="760"/>
      <c r="C10594" s="760"/>
      <c r="D10594" s="760"/>
      <c r="E10594" s="760"/>
      <c r="F10594" s="760"/>
      <c r="G10594" s="760"/>
      <c r="H10594" s="760"/>
      <c r="I10594" s="760"/>
      <c r="J10594" s="760"/>
      <c r="K10594" s="760"/>
    </row>
    <row r="10595" spans="1:11">
      <c r="A10595" s="760"/>
      <c r="B10595" s="760"/>
      <c r="C10595" s="760"/>
      <c r="D10595" s="760"/>
      <c r="E10595" s="760"/>
      <c r="F10595" s="760"/>
      <c r="G10595" s="760"/>
      <c r="H10595" s="760"/>
      <c r="I10595" s="760"/>
      <c r="J10595" s="760"/>
      <c r="K10595" s="760"/>
    </row>
    <row r="10596" spans="1:11">
      <c r="A10596" s="760"/>
      <c r="B10596" s="760"/>
      <c r="C10596" s="760"/>
      <c r="D10596" s="760"/>
      <c r="E10596" s="760"/>
      <c r="F10596" s="760"/>
      <c r="G10596" s="760"/>
      <c r="H10596" s="760"/>
      <c r="I10596" s="760"/>
      <c r="J10596" s="760"/>
      <c r="K10596" s="760"/>
    </row>
    <row r="10597" spans="1:11">
      <c r="A10597" s="760"/>
      <c r="B10597" s="760"/>
      <c r="C10597" s="760"/>
      <c r="D10597" s="760"/>
      <c r="E10597" s="760"/>
      <c r="F10597" s="760"/>
      <c r="G10597" s="760"/>
      <c r="H10597" s="760"/>
      <c r="I10597" s="760"/>
      <c r="J10597" s="760"/>
      <c r="K10597" s="760"/>
    </row>
    <row r="10598" spans="1:11">
      <c r="A10598" s="760"/>
      <c r="B10598" s="760"/>
      <c r="C10598" s="760"/>
      <c r="D10598" s="760"/>
      <c r="E10598" s="760"/>
      <c r="F10598" s="760"/>
      <c r="G10598" s="760"/>
      <c r="H10598" s="760"/>
      <c r="I10598" s="760"/>
      <c r="J10598" s="760"/>
      <c r="K10598" s="760"/>
    </row>
    <row r="10599" spans="1:11">
      <c r="A10599" s="760"/>
      <c r="B10599" s="760"/>
      <c r="C10599" s="760"/>
      <c r="D10599" s="760"/>
      <c r="E10599" s="760"/>
      <c r="F10599" s="760"/>
      <c r="G10599" s="760"/>
      <c r="H10599" s="760"/>
      <c r="I10599" s="760"/>
      <c r="J10599" s="760"/>
      <c r="K10599" s="760"/>
    </row>
    <row r="10600" spans="1:11">
      <c r="A10600" s="760"/>
      <c r="B10600" s="760"/>
      <c r="C10600" s="760"/>
      <c r="D10600" s="760"/>
      <c r="E10600" s="760"/>
      <c r="F10600" s="760"/>
      <c r="G10600" s="760"/>
      <c r="H10600" s="760"/>
      <c r="I10600" s="760"/>
      <c r="J10600" s="760"/>
      <c r="K10600" s="760"/>
    </row>
    <row r="10601" spans="1:11">
      <c r="A10601" s="760"/>
      <c r="B10601" s="760"/>
      <c r="C10601" s="760"/>
      <c r="D10601" s="760"/>
      <c r="E10601" s="760"/>
      <c r="F10601" s="760"/>
      <c r="G10601" s="760"/>
      <c r="H10601" s="760"/>
      <c r="I10601" s="760"/>
      <c r="J10601" s="760"/>
      <c r="K10601" s="760"/>
    </row>
    <row r="10602" spans="1:11">
      <c r="A10602" s="760"/>
      <c r="B10602" s="760"/>
      <c r="C10602" s="760"/>
      <c r="D10602" s="760"/>
      <c r="E10602" s="760"/>
      <c r="F10602" s="760"/>
      <c r="G10602" s="760"/>
      <c r="H10602" s="760"/>
      <c r="I10602" s="760"/>
      <c r="J10602" s="760"/>
      <c r="K10602" s="760"/>
    </row>
    <row r="10603" spans="1:11">
      <c r="A10603" s="760"/>
      <c r="B10603" s="760"/>
      <c r="C10603" s="760"/>
      <c r="D10603" s="760"/>
      <c r="E10603" s="760"/>
      <c r="F10603" s="760"/>
      <c r="G10603" s="760"/>
      <c r="H10603" s="760"/>
      <c r="I10603" s="760"/>
      <c r="J10603" s="760"/>
      <c r="K10603" s="760"/>
    </row>
    <row r="10604" spans="1:11">
      <c r="A10604" s="760"/>
      <c r="B10604" s="760"/>
      <c r="C10604" s="760"/>
      <c r="D10604" s="760"/>
      <c r="E10604" s="760"/>
      <c r="F10604" s="760"/>
      <c r="G10604" s="760"/>
      <c r="H10604" s="760"/>
      <c r="I10604" s="760"/>
      <c r="J10604" s="760"/>
      <c r="K10604" s="760"/>
    </row>
    <row r="10605" spans="1:11">
      <c r="A10605" s="760"/>
      <c r="B10605" s="760"/>
      <c r="C10605" s="760"/>
      <c r="D10605" s="760"/>
      <c r="E10605" s="760"/>
      <c r="F10605" s="760"/>
      <c r="G10605" s="760"/>
      <c r="H10605" s="760"/>
      <c r="I10605" s="760"/>
      <c r="J10605" s="760"/>
      <c r="K10605" s="760"/>
    </row>
    <row r="10606" spans="1:11">
      <c r="A10606" s="760"/>
      <c r="B10606" s="760"/>
      <c r="C10606" s="760"/>
      <c r="D10606" s="760"/>
      <c r="E10606" s="760"/>
      <c r="F10606" s="760"/>
      <c r="G10606" s="760"/>
      <c r="H10606" s="760"/>
      <c r="I10606" s="760"/>
      <c r="J10606" s="760"/>
      <c r="K10606" s="760"/>
    </row>
    <row r="10607" spans="1:11">
      <c r="A10607" s="760"/>
      <c r="B10607" s="760"/>
      <c r="C10607" s="760"/>
      <c r="D10607" s="760"/>
      <c r="E10607" s="760"/>
      <c r="F10607" s="760"/>
      <c r="G10607" s="760"/>
      <c r="H10607" s="760"/>
      <c r="I10607" s="760"/>
      <c r="J10607" s="760"/>
      <c r="K10607" s="760"/>
    </row>
    <row r="10608" spans="1:11">
      <c r="A10608" s="760"/>
      <c r="B10608" s="760"/>
      <c r="C10608" s="760"/>
      <c r="D10608" s="760"/>
      <c r="E10608" s="760"/>
      <c r="F10608" s="760"/>
      <c r="G10608" s="760"/>
      <c r="H10608" s="760"/>
      <c r="I10608" s="760"/>
      <c r="J10608" s="760"/>
      <c r="K10608" s="760"/>
    </row>
    <row r="10609" spans="1:11">
      <c r="A10609" s="760"/>
      <c r="B10609" s="760"/>
      <c r="C10609" s="760"/>
      <c r="D10609" s="760"/>
      <c r="E10609" s="760"/>
      <c r="F10609" s="760"/>
      <c r="G10609" s="760"/>
      <c r="H10609" s="760"/>
      <c r="I10609" s="760"/>
      <c r="J10609" s="760"/>
      <c r="K10609" s="760"/>
    </row>
    <row r="10610" spans="1:11">
      <c r="A10610" s="760"/>
      <c r="B10610" s="760"/>
      <c r="C10610" s="760"/>
      <c r="D10610" s="760"/>
      <c r="E10610" s="760"/>
      <c r="F10610" s="760"/>
      <c r="G10610" s="760"/>
      <c r="H10610" s="760"/>
      <c r="I10610" s="760"/>
      <c r="J10610" s="760"/>
      <c r="K10610" s="760"/>
    </row>
    <row r="10611" spans="1:11">
      <c r="A10611" s="760"/>
      <c r="B10611" s="760"/>
      <c r="C10611" s="760"/>
      <c r="D10611" s="760"/>
      <c r="E10611" s="760"/>
      <c r="F10611" s="760"/>
      <c r="G10611" s="760"/>
      <c r="H10611" s="760"/>
      <c r="I10611" s="760"/>
      <c r="J10611" s="760"/>
      <c r="K10611" s="760"/>
    </row>
    <row r="10612" spans="1:11">
      <c r="A10612" s="760"/>
      <c r="B10612" s="760"/>
      <c r="C10612" s="760"/>
      <c r="D10612" s="760"/>
      <c r="E10612" s="760"/>
      <c r="F10612" s="760"/>
      <c r="G10612" s="760"/>
      <c r="H10612" s="760"/>
      <c r="I10612" s="760"/>
      <c r="J10612" s="760"/>
      <c r="K10612" s="760"/>
    </row>
    <row r="10613" spans="1:11">
      <c r="A10613" s="760"/>
      <c r="B10613" s="760"/>
      <c r="C10613" s="760"/>
      <c r="D10613" s="760"/>
      <c r="E10613" s="760"/>
      <c r="F10613" s="760"/>
      <c r="G10613" s="760"/>
      <c r="H10613" s="760"/>
      <c r="I10613" s="760"/>
      <c r="J10613" s="760"/>
      <c r="K10613" s="760"/>
    </row>
    <row r="10614" spans="1:11">
      <c r="A10614" s="760"/>
      <c r="B10614" s="760"/>
      <c r="C10614" s="760"/>
      <c r="D10614" s="760"/>
      <c r="E10614" s="760"/>
      <c r="F10614" s="760"/>
      <c r="G10614" s="760"/>
      <c r="H10614" s="760"/>
      <c r="I10614" s="760"/>
      <c r="J10614" s="760"/>
      <c r="K10614" s="760"/>
    </row>
    <row r="10615" spans="1:11">
      <c r="A10615" s="760"/>
      <c r="B10615" s="760"/>
      <c r="C10615" s="760"/>
      <c r="D10615" s="760"/>
      <c r="E10615" s="760"/>
      <c r="F10615" s="760"/>
      <c r="G10615" s="760"/>
      <c r="H10615" s="760"/>
      <c r="I10615" s="760"/>
      <c r="J10615" s="760"/>
      <c r="K10615" s="760"/>
    </row>
    <row r="10616" spans="1:11">
      <c r="A10616" s="760"/>
      <c r="B10616" s="760"/>
      <c r="C10616" s="760"/>
      <c r="D10616" s="760"/>
      <c r="E10616" s="760"/>
      <c r="F10616" s="760"/>
      <c r="G10616" s="760"/>
      <c r="H10616" s="760"/>
      <c r="I10616" s="760"/>
      <c r="J10616" s="760"/>
      <c r="K10616" s="760"/>
    </row>
    <row r="10617" spans="1:11">
      <c r="A10617" s="760"/>
      <c r="B10617" s="760"/>
      <c r="C10617" s="760"/>
      <c r="D10617" s="760"/>
      <c r="E10617" s="760"/>
      <c r="F10617" s="760"/>
      <c r="G10617" s="760"/>
      <c r="H10617" s="760"/>
      <c r="I10617" s="760"/>
      <c r="J10617" s="760"/>
      <c r="K10617" s="760"/>
    </row>
    <row r="10618" spans="1:11">
      <c r="A10618" s="760"/>
      <c r="B10618" s="760"/>
      <c r="C10618" s="760"/>
      <c r="D10618" s="760"/>
      <c r="E10618" s="760"/>
      <c r="F10618" s="760"/>
      <c r="G10618" s="760"/>
      <c r="H10618" s="760"/>
      <c r="I10618" s="760"/>
      <c r="J10618" s="760"/>
      <c r="K10618" s="760"/>
    </row>
    <row r="10619" spans="1:11">
      <c r="A10619" s="760"/>
      <c r="B10619" s="760"/>
      <c r="C10619" s="760"/>
      <c r="D10619" s="760"/>
      <c r="E10619" s="760"/>
      <c r="F10619" s="760"/>
      <c r="G10619" s="760"/>
      <c r="H10619" s="760"/>
      <c r="I10619" s="760"/>
      <c r="J10619" s="760"/>
      <c r="K10619" s="760"/>
    </row>
    <row r="10620" spans="1:11">
      <c r="A10620" s="760"/>
      <c r="B10620" s="760"/>
      <c r="C10620" s="760"/>
      <c r="D10620" s="760"/>
      <c r="E10620" s="760"/>
      <c r="F10620" s="760"/>
      <c r="G10620" s="760"/>
      <c r="H10620" s="760"/>
      <c r="I10620" s="760"/>
      <c r="J10620" s="760"/>
      <c r="K10620" s="760"/>
    </row>
    <row r="10621" spans="1:11">
      <c r="A10621" s="760"/>
      <c r="B10621" s="760"/>
      <c r="C10621" s="760"/>
      <c r="D10621" s="760"/>
      <c r="E10621" s="760"/>
      <c r="F10621" s="760"/>
      <c r="G10621" s="760"/>
      <c r="H10621" s="760"/>
      <c r="I10621" s="760"/>
      <c r="J10621" s="760"/>
      <c r="K10621" s="760"/>
    </row>
    <row r="10622" spans="1:11">
      <c r="A10622" s="760"/>
      <c r="B10622" s="760"/>
      <c r="C10622" s="760"/>
      <c r="D10622" s="760"/>
      <c r="E10622" s="760"/>
      <c r="F10622" s="760"/>
      <c r="G10622" s="760"/>
      <c r="H10622" s="760"/>
      <c r="I10622" s="760"/>
      <c r="J10622" s="760"/>
      <c r="K10622" s="760"/>
    </row>
    <row r="10623" spans="1:11">
      <c r="A10623" s="760"/>
      <c r="B10623" s="760"/>
      <c r="C10623" s="760"/>
      <c r="D10623" s="760"/>
      <c r="E10623" s="760"/>
      <c r="F10623" s="760"/>
      <c r="G10623" s="760"/>
      <c r="H10623" s="760"/>
      <c r="I10623" s="760"/>
      <c r="J10623" s="760"/>
      <c r="K10623" s="760"/>
    </row>
    <row r="10624" spans="1:11">
      <c r="A10624" s="760"/>
      <c r="B10624" s="760"/>
      <c r="C10624" s="760"/>
      <c r="D10624" s="760"/>
      <c r="E10624" s="760"/>
      <c r="F10624" s="760"/>
      <c r="G10624" s="760"/>
      <c r="H10624" s="760"/>
      <c r="I10624" s="760"/>
      <c r="J10624" s="760"/>
      <c r="K10624" s="760"/>
    </row>
    <row r="10625" spans="1:11">
      <c r="A10625" s="760"/>
      <c r="B10625" s="760"/>
      <c r="C10625" s="760"/>
      <c r="D10625" s="760"/>
      <c r="E10625" s="760"/>
      <c r="F10625" s="760"/>
      <c r="G10625" s="760"/>
      <c r="H10625" s="760"/>
      <c r="I10625" s="760"/>
      <c r="J10625" s="760"/>
      <c r="K10625" s="760"/>
    </row>
    <row r="10626" spans="1:11">
      <c r="A10626" s="760"/>
      <c r="B10626" s="760"/>
      <c r="C10626" s="760"/>
      <c r="D10626" s="760"/>
      <c r="E10626" s="760"/>
      <c r="F10626" s="760"/>
      <c r="G10626" s="760"/>
      <c r="H10626" s="760"/>
      <c r="I10626" s="760"/>
      <c r="J10626" s="760"/>
      <c r="K10626" s="760"/>
    </row>
    <row r="10627" spans="1:11">
      <c r="A10627" s="760"/>
      <c r="B10627" s="760"/>
      <c r="C10627" s="760"/>
      <c r="D10627" s="760"/>
      <c r="E10627" s="760"/>
      <c r="F10627" s="760"/>
      <c r="G10627" s="760"/>
      <c r="H10627" s="760"/>
      <c r="I10627" s="760"/>
      <c r="J10627" s="760"/>
      <c r="K10627" s="760"/>
    </row>
    <row r="10628" spans="1:11">
      <c r="A10628" s="760"/>
      <c r="B10628" s="760"/>
      <c r="C10628" s="760"/>
      <c r="D10628" s="760"/>
      <c r="E10628" s="760"/>
      <c r="F10628" s="760"/>
      <c r="G10628" s="760"/>
      <c r="H10628" s="760"/>
      <c r="I10628" s="760"/>
      <c r="J10628" s="760"/>
      <c r="K10628" s="760"/>
    </row>
    <row r="10629" spans="1:11">
      <c r="A10629" s="760"/>
      <c r="B10629" s="760"/>
      <c r="C10629" s="760"/>
      <c r="D10629" s="760"/>
      <c r="E10629" s="760"/>
      <c r="F10629" s="760"/>
      <c r="G10629" s="760"/>
      <c r="H10629" s="760"/>
      <c r="I10629" s="760"/>
      <c r="J10629" s="760"/>
      <c r="K10629" s="760"/>
    </row>
    <row r="10630" spans="1:11">
      <c r="A10630" s="760"/>
      <c r="B10630" s="760"/>
      <c r="C10630" s="760"/>
      <c r="D10630" s="760"/>
      <c r="E10630" s="760"/>
      <c r="F10630" s="760"/>
      <c r="G10630" s="760"/>
      <c r="H10630" s="760"/>
      <c r="I10630" s="760"/>
      <c r="J10630" s="760"/>
      <c r="K10630" s="760"/>
    </row>
    <row r="10631" spans="1:11">
      <c r="A10631" s="760"/>
      <c r="B10631" s="760"/>
      <c r="C10631" s="760"/>
      <c r="D10631" s="760"/>
      <c r="E10631" s="760"/>
      <c r="F10631" s="760"/>
      <c r="G10631" s="760"/>
      <c r="H10631" s="760"/>
      <c r="I10631" s="760"/>
      <c r="J10631" s="760"/>
      <c r="K10631" s="760"/>
    </row>
    <row r="10632" spans="1:11">
      <c r="A10632" s="760"/>
      <c r="B10632" s="760"/>
      <c r="C10632" s="760"/>
      <c r="D10632" s="760"/>
      <c r="E10632" s="760"/>
      <c r="F10632" s="760"/>
      <c r="G10632" s="760"/>
      <c r="H10632" s="760"/>
      <c r="I10632" s="760"/>
      <c r="J10632" s="760"/>
      <c r="K10632" s="760"/>
    </row>
    <row r="10633" spans="1:11">
      <c r="A10633" s="760"/>
      <c r="B10633" s="760"/>
      <c r="C10633" s="760"/>
      <c r="D10633" s="760"/>
      <c r="E10633" s="760"/>
      <c r="F10633" s="760"/>
      <c r="G10633" s="760"/>
      <c r="H10633" s="760"/>
      <c r="I10633" s="760"/>
      <c r="J10633" s="760"/>
      <c r="K10633" s="760"/>
    </row>
    <row r="10634" spans="1:11">
      <c r="A10634" s="760"/>
      <c r="B10634" s="760"/>
      <c r="C10634" s="760"/>
      <c r="D10634" s="760"/>
      <c r="E10634" s="760"/>
      <c r="F10634" s="760"/>
      <c r="G10634" s="760"/>
      <c r="H10634" s="760"/>
      <c r="I10634" s="760"/>
      <c r="J10634" s="760"/>
      <c r="K10634" s="760"/>
    </row>
    <row r="10635" spans="1:11">
      <c r="A10635" s="760"/>
      <c r="B10635" s="760"/>
      <c r="C10635" s="760"/>
      <c r="D10635" s="760"/>
      <c r="E10635" s="760"/>
      <c r="F10635" s="760"/>
      <c r="G10635" s="760"/>
      <c r="H10635" s="760"/>
      <c r="I10635" s="760"/>
      <c r="J10635" s="760"/>
      <c r="K10635" s="760"/>
    </row>
    <row r="10636" spans="1:11">
      <c r="A10636" s="760"/>
      <c r="B10636" s="760"/>
      <c r="C10636" s="760"/>
      <c r="D10636" s="760"/>
      <c r="E10636" s="760"/>
      <c r="F10636" s="760"/>
      <c r="G10636" s="760"/>
      <c r="H10636" s="760"/>
      <c r="I10636" s="760"/>
      <c r="J10636" s="760"/>
      <c r="K10636" s="760"/>
    </row>
    <row r="10637" spans="1:11">
      <c r="A10637" s="760"/>
      <c r="B10637" s="760"/>
      <c r="C10637" s="760"/>
      <c r="D10637" s="760"/>
      <c r="E10637" s="760"/>
      <c r="F10637" s="760"/>
      <c r="G10637" s="760"/>
      <c r="H10637" s="760"/>
      <c r="I10637" s="760"/>
      <c r="J10637" s="760"/>
      <c r="K10637" s="760"/>
    </row>
    <row r="10638" spans="1:11">
      <c r="A10638" s="760"/>
      <c r="B10638" s="760"/>
      <c r="C10638" s="760"/>
      <c r="D10638" s="760"/>
      <c r="E10638" s="760"/>
      <c r="F10638" s="760"/>
      <c r="G10638" s="760"/>
      <c r="H10638" s="760"/>
      <c r="I10638" s="760"/>
      <c r="J10638" s="760"/>
      <c r="K10638" s="760"/>
    </row>
    <row r="10639" spans="1:11">
      <c r="A10639" s="760"/>
      <c r="B10639" s="760"/>
      <c r="C10639" s="760"/>
      <c r="D10639" s="760"/>
      <c r="E10639" s="760"/>
      <c r="F10639" s="760"/>
      <c r="G10639" s="760"/>
      <c r="H10639" s="760"/>
      <c r="I10639" s="760"/>
      <c r="J10639" s="760"/>
      <c r="K10639" s="760"/>
    </row>
    <row r="10640" spans="1:11">
      <c r="A10640" s="760"/>
      <c r="B10640" s="760"/>
      <c r="C10640" s="760"/>
      <c r="D10640" s="760"/>
      <c r="E10640" s="760"/>
      <c r="F10640" s="760"/>
      <c r="G10640" s="760"/>
      <c r="H10640" s="760"/>
      <c r="I10640" s="760"/>
      <c r="J10640" s="760"/>
      <c r="K10640" s="760"/>
    </row>
    <row r="10641" spans="1:11">
      <c r="A10641" s="760"/>
      <c r="B10641" s="760"/>
      <c r="C10641" s="760"/>
      <c r="D10641" s="760"/>
      <c r="E10641" s="760"/>
      <c r="F10641" s="760"/>
      <c r="G10641" s="760"/>
      <c r="H10641" s="760"/>
      <c r="I10641" s="760"/>
      <c r="J10641" s="760"/>
      <c r="K10641" s="760"/>
    </row>
    <row r="10642" spans="1:11">
      <c r="A10642" s="760"/>
      <c r="B10642" s="760"/>
      <c r="C10642" s="760"/>
      <c r="D10642" s="760"/>
      <c r="E10642" s="760"/>
      <c r="F10642" s="760"/>
      <c r="G10642" s="760"/>
      <c r="H10642" s="760"/>
      <c r="I10642" s="760"/>
      <c r="J10642" s="760"/>
      <c r="K10642" s="760"/>
    </row>
    <row r="10643" spans="1:11">
      <c r="A10643" s="760"/>
      <c r="B10643" s="760"/>
      <c r="C10643" s="760"/>
      <c r="D10643" s="760"/>
      <c r="E10643" s="760"/>
      <c r="F10643" s="760"/>
      <c r="G10643" s="760"/>
      <c r="H10643" s="760"/>
      <c r="I10643" s="760"/>
      <c r="J10643" s="760"/>
      <c r="K10643" s="760"/>
    </row>
    <row r="10644" spans="1:11">
      <c r="A10644" s="760"/>
      <c r="B10644" s="760"/>
      <c r="C10644" s="760"/>
      <c r="D10644" s="760"/>
      <c r="E10644" s="760"/>
      <c r="F10644" s="760"/>
      <c r="G10644" s="760"/>
      <c r="H10644" s="760"/>
      <c r="I10644" s="760"/>
      <c r="J10644" s="760"/>
      <c r="K10644" s="760"/>
    </row>
    <row r="10645" spans="1:11">
      <c r="A10645" s="760"/>
      <c r="B10645" s="760"/>
      <c r="C10645" s="760"/>
      <c r="D10645" s="760"/>
      <c r="E10645" s="760"/>
      <c r="F10645" s="760"/>
      <c r="G10645" s="760"/>
      <c r="H10645" s="760"/>
      <c r="I10645" s="760"/>
      <c r="J10645" s="760"/>
      <c r="K10645" s="760"/>
    </row>
    <row r="10646" spans="1:11">
      <c r="A10646" s="760"/>
      <c r="B10646" s="760"/>
      <c r="C10646" s="760"/>
      <c r="D10646" s="760"/>
      <c r="E10646" s="760"/>
      <c r="F10646" s="760"/>
      <c r="G10646" s="760"/>
      <c r="H10646" s="760"/>
      <c r="I10646" s="760"/>
      <c r="J10646" s="760"/>
      <c r="K10646" s="760"/>
    </row>
    <row r="10647" spans="1:11">
      <c r="A10647" s="760"/>
      <c r="B10647" s="760"/>
      <c r="C10647" s="760"/>
      <c r="D10647" s="760"/>
      <c r="E10647" s="760"/>
      <c r="F10647" s="760"/>
      <c r="G10647" s="760"/>
      <c r="H10647" s="760"/>
      <c r="I10647" s="760"/>
      <c r="J10647" s="760"/>
      <c r="K10647" s="760"/>
    </row>
    <row r="10648" spans="1:11">
      <c r="A10648" s="760"/>
      <c r="B10648" s="760"/>
      <c r="C10648" s="760"/>
      <c r="D10648" s="760"/>
      <c r="E10648" s="760"/>
      <c r="F10648" s="760"/>
      <c r="G10648" s="760"/>
      <c r="H10648" s="760"/>
      <c r="I10648" s="760"/>
      <c r="J10648" s="760"/>
      <c r="K10648" s="760"/>
    </row>
    <row r="10649" spans="1:11">
      <c r="A10649" s="760"/>
      <c r="B10649" s="760"/>
      <c r="C10649" s="760"/>
      <c r="D10649" s="760"/>
      <c r="E10649" s="760"/>
      <c r="F10649" s="760"/>
      <c r="G10649" s="760"/>
      <c r="H10649" s="760"/>
      <c r="I10649" s="760"/>
      <c r="J10649" s="760"/>
      <c r="K10649" s="760"/>
    </row>
    <row r="10650" spans="1:11">
      <c r="A10650" s="760"/>
      <c r="B10650" s="760"/>
      <c r="C10650" s="760"/>
      <c r="D10650" s="760"/>
      <c r="E10650" s="760"/>
      <c r="F10650" s="760"/>
      <c r="G10650" s="760"/>
      <c r="H10650" s="760"/>
      <c r="I10650" s="760"/>
      <c r="J10650" s="760"/>
      <c r="K10650" s="760"/>
    </row>
    <row r="10651" spans="1:11">
      <c r="A10651" s="760"/>
      <c r="B10651" s="760"/>
      <c r="C10651" s="760"/>
      <c r="D10651" s="760"/>
      <c r="E10651" s="760"/>
      <c r="F10651" s="760"/>
      <c r="G10651" s="760"/>
      <c r="H10651" s="760"/>
      <c r="I10651" s="760"/>
      <c r="J10651" s="760"/>
      <c r="K10651" s="760"/>
    </row>
    <row r="10652" spans="1:11">
      <c r="A10652" s="760"/>
      <c r="B10652" s="760"/>
      <c r="C10652" s="760"/>
      <c r="D10652" s="760"/>
      <c r="E10652" s="760"/>
      <c r="F10652" s="760"/>
      <c r="G10652" s="760"/>
      <c r="H10652" s="760"/>
      <c r="I10652" s="760"/>
      <c r="J10652" s="760"/>
      <c r="K10652" s="760"/>
    </row>
    <row r="10653" spans="1:11">
      <c r="A10653" s="760"/>
      <c r="B10653" s="760"/>
      <c r="C10653" s="760"/>
      <c r="D10653" s="760"/>
      <c r="E10653" s="760"/>
      <c r="F10653" s="760"/>
      <c r="G10653" s="760"/>
      <c r="H10653" s="760"/>
      <c r="I10653" s="760"/>
      <c r="J10653" s="760"/>
      <c r="K10653" s="760"/>
    </row>
    <row r="10654" spans="1:11">
      <c r="A10654" s="760"/>
      <c r="B10654" s="760"/>
      <c r="C10654" s="760"/>
      <c r="D10654" s="760"/>
      <c r="E10654" s="760"/>
      <c r="F10654" s="760"/>
      <c r="G10654" s="760"/>
      <c r="H10654" s="760"/>
      <c r="I10654" s="760"/>
      <c r="J10654" s="760"/>
      <c r="K10654" s="760"/>
    </row>
    <row r="10655" spans="1:11">
      <c r="A10655" s="760"/>
      <c r="B10655" s="760"/>
      <c r="C10655" s="760"/>
      <c r="D10655" s="760"/>
      <c r="E10655" s="760"/>
      <c r="F10655" s="760"/>
      <c r="G10655" s="760"/>
      <c r="H10655" s="760"/>
      <c r="I10655" s="760"/>
      <c r="J10655" s="760"/>
      <c r="K10655" s="760"/>
    </row>
    <row r="10656" spans="1:11">
      <c r="A10656" s="760"/>
      <c r="B10656" s="760"/>
      <c r="C10656" s="760"/>
      <c r="D10656" s="760"/>
      <c r="E10656" s="760"/>
      <c r="F10656" s="760"/>
      <c r="G10656" s="760"/>
      <c r="H10656" s="760"/>
      <c r="I10656" s="760"/>
      <c r="J10656" s="760"/>
      <c r="K10656" s="760"/>
    </row>
    <row r="10657" spans="1:11">
      <c r="A10657" s="760"/>
      <c r="B10657" s="760"/>
      <c r="C10657" s="760"/>
      <c r="D10657" s="760"/>
      <c r="E10657" s="760"/>
      <c r="F10657" s="760"/>
      <c r="G10657" s="760"/>
      <c r="H10657" s="760"/>
      <c r="I10657" s="760"/>
      <c r="J10657" s="760"/>
      <c r="K10657" s="760"/>
    </row>
    <row r="10658" spans="1:11">
      <c r="A10658" s="760"/>
      <c r="B10658" s="760"/>
      <c r="C10658" s="760"/>
      <c r="D10658" s="760"/>
      <c r="E10658" s="760"/>
      <c r="F10658" s="760"/>
      <c r="G10658" s="760"/>
      <c r="H10658" s="760"/>
      <c r="I10658" s="760"/>
      <c r="J10658" s="760"/>
      <c r="K10658" s="760"/>
    </row>
    <row r="10659" spans="1:11">
      <c r="A10659" s="760"/>
      <c r="B10659" s="760"/>
      <c r="C10659" s="760"/>
      <c r="D10659" s="760"/>
      <c r="E10659" s="760"/>
      <c r="F10659" s="760"/>
      <c r="G10659" s="760"/>
      <c r="H10659" s="760"/>
      <c r="I10659" s="760"/>
      <c r="J10659" s="760"/>
      <c r="K10659" s="760"/>
    </row>
    <row r="10660" spans="1:11">
      <c r="A10660" s="760"/>
      <c r="B10660" s="760"/>
      <c r="C10660" s="760"/>
      <c r="D10660" s="760"/>
      <c r="E10660" s="760"/>
      <c r="F10660" s="760"/>
      <c r="G10660" s="760"/>
      <c r="H10660" s="760"/>
      <c r="I10660" s="760"/>
      <c r="J10660" s="760"/>
      <c r="K10660" s="760"/>
    </row>
    <row r="10661" spans="1:11">
      <c r="A10661" s="760"/>
      <c r="B10661" s="760"/>
      <c r="C10661" s="760"/>
      <c r="D10661" s="760"/>
      <c r="E10661" s="760"/>
      <c r="F10661" s="760"/>
      <c r="G10661" s="760"/>
      <c r="H10661" s="760"/>
      <c r="I10661" s="760"/>
      <c r="J10661" s="760"/>
      <c r="K10661" s="760"/>
    </row>
    <row r="10662" spans="1:11">
      <c r="A10662" s="760"/>
      <c r="B10662" s="760"/>
      <c r="C10662" s="760"/>
      <c r="D10662" s="760"/>
      <c r="E10662" s="760"/>
      <c r="F10662" s="760"/>
      <c r="G10662" s="760"/>
      <c r="H10662" s="760"/>
      <c r="I10662" s="760"/>
      <c r="J10662" s="760"/>
      <c r="K10662" s="760"/>
    </row>
    <row r="10663" spans="1:11">
      <c r="A10663" s="760"/>
      <c r="B10663" s="760"/>
      <c r="C10663" s="760"/>
      <c r="D10663" s="760"/>
      <c r="E10663" s="760"/>
      <c r="F10663" s="760"/>
      <c r="G10663" s="760"/>
      <c r="H10663" s="760"/>
      <c r="I10663" s="760"/>
      <c r="J10663" s="760"/>
      <c r="K10663" s="760"/>
    </row>
    <row r="10664" spans="1:11">
      <c r="A10664" s="760"/>
      <c r="B10664" s="760"/>
      <c r="C10664" s="760"/>
      <c r="D10664" s="760"/>
      <c r="E10664" s="760"/>
      <c r="F10664" s="760"/>
      <c r="G10664" s="760"/>
      <c r="H10664" s="760"/>
      <c r="I10664" s="760"/>
      <c r="J10664" s="760"/>
      <c r="K10664" s="760"/>
    </row>
    <row r="10665" spans="1:11">
      <c r="A10665" s="760"/>
      <c r="B10665" s="760"/>
      <c r="C10665" s="760"/>
      <c r="D10665" s="760"/>
      <c r="E10665" s="760"/>
      <c r="F10665" s="760"/>
      <c r="G10665" s="760"/>
      <c r="H10665" s="760"/>
      <c r="I10665" s="760"/>
      <c r="J10665" s="760"/>
      <c r="K10665" s="760"/>
    </row>
    <row r="10666" spans="1:11">
      <c r="A10666" s="760"/>
      <c r="B10666" s="760"/>
      <c r="C10666" s="760"/>
      <c r="D10666" s="760"/>
      <c r="E10666" s="760"/>
      <c r="F10666" s="760"/>
      <c r="G10666" s="760"/>
      <c r="H10666" s="760"/>
      <c r="I10666" s="760"/>
      <c r="J10666" s="760"/>
      <c r="K10666" s="760"/>
    </row>
    <row r="10667" spans="1:11">
      <c r="A10667" s="760"/>
      <c r="B10667" s="760"/>
      <c r="C10667" s="760"/>
      <c r="D10667" s="760"/>
      <c r="E10667" s="760"/>
      <c r="F10667" s="760"/>
      <c r="G10667" s="760"/>
      <c r="H10667" s="760"/>
      <c r="I10667" s="760"/>
      <c r="J10667" s="760"/>
      <c r="K10667" s="760"/>
    </row>
    <row r="10668" spans="1:11">
      <c r="A10668" s="760"/>
      <c r="B10668" s="760"/>
      <c r="C10668" s="760"/>
      <c r="D10668" s="760"/>
      <c r="E10668" s="760"/>
      <c r="F10668" s="760"/>
      <c r="G10668" s="760"/>
      <c r="H10668" s="760"/>
      <c r="I10668" s="760"/>
      <c r="J10668" s="760"/>
      <c r="K10668" s="760"/>
    </row>
    <row r="10669" spans="1:11">
      <c r="A10669" s="760"/>
      <c r="B10669" s="760"/>
      <c r="C10669" s="760"/>
      <c r="D10669" s="760"/>
      <c r="E10669" s="760"/>
      <c r="F10669" s="760"/>
      <c r="G10669" s="760"/>
      <c r="H10669" s="760"/>
      <c r="I10669" s="760"/>
      <c r="J10669" s="760"/>
      <c r="K10669" s="760"/>
    </row>
    <row r="10670" spans="1:11">
      <c r="A10670" s="760"/>
      <c r="B10670" s="760"/>
      <c r="C10670" s="760"/>
      <c r="D10670" s="760"/>
      <c r="E10670" s="760"/>
      <c r="F10670" s="760"/>
      <c r="G10670" s="760"/>
      <c r="H10670" s="760"/>
      <c r="I10670" s="760"/>
      <c r="J10670" s="760"/>
      <c r="K10670" s="760"/>
    </row>
    <row r="10671" spans="1:11">
      <c r="A10671" s="760"/>
      <c r="B10671" s="760"/>
      <c r="C10671" s="760"/>
      <c r="D10671" s="760"/>
      <c r="E10671" s="760"/>
      <c r="F10671" s="760"/>
      <c r="G10671" s="760"/>
      <c r="H10671" s="760"/>
      <c r="I10671" s="760"/>
      <c r="J10671" s="760"/>
      <c r="K10671" s="760"/>
    </row>
    <row r="10672" spans="1:11">
      <c r="A10672" s="760"/>
      <c r="B10672" s="760"/>
      <c r="C10672" s="760"/>
      <c r="D10672" s="760"/>
      <c r="E10672" s="760"/>
      <c r="F10672" s="760"/>
      <c r="G10672" s="760"/>
      <c r="H10672" s="760"/>
      <c r="I10672" s="760"/>
      <c r="J10672" s="760"/>
      <c r="K10672" s="760"/>
    </row>
    <row r="10673" spans="1:11">
      <c r="A10673" s="760"/>
      <c r="B10673" s="760"/>
      <c r="C10673" s="760"/>
      <c r="D10673" s="760"/>
      <c r="E10673" s="760"/>
      <c r="F10673" s="760"/>
      <c r="G10673" s="760"/>
      <c r="H10673" s="760"/>
      <c r="I10673" s="760"/>
      <c r="J10673" s="760"/>
      <c r="K10673" s="760"/>
    </row>
    <row r="10674" spans="1:11">
      <c r="A10674" s="760"/>
      <c r="B10674" s="760"/>
      <c r="C10674" s="760"/>
      <c r="D10674" s="760"/>
      <c r="E10674" s="760"/>
      <c r="F10674" s="760"/>
      <c r="G10674" s="760"/>
      <c r="H10674" s="760"/>
      <c r="I10674" s="760"/>
      <c r="J10674" s="760"/>
      <c r="K10674" s="760"/>
    </row>
    <row r="10675" spans="1:11">
      <c r="A10675" s="760"/>
      <c r="B10675" s="760"/>
      <c r="C10675" s="760"/>
      <c r="D10675" s="760"/>
      <c r="E10675" s="760"/>
      <c r="F10675" s="760"/>
      <c r="G10675" s="760"/>
      <c r="H10675" s="760"/>
      <c r="I10675" s="760"/>
      <c r="J10675" s="760"/>
      <c r="K10675" s="760"/>
    </row>
    <row r="10676" spans="1:11">
      <c r="A10676" s="760"/>
      <c r="B10676" s="760"/>
      <c r="C10676" s="760"/>
      <c r="D10676" s="760"/>
      <c r="E10676" s="760"/>
      <c r="F10676" s="760"/>
      <c r="G10676" s="760"/>
      <c r="H10676" s="760"/>
      <c r="I10676" s="760"/>
      <c r="J10676" s="760"/>
      <c r="K10676" s="760"/>
    </row>
    <row r="10677" spans="1:11">
      <c r="A10677" s="760"/>
      <c r="B10677" s="760"/>
      <c r="C10677" s="760"/>
      <c r="D10677" s="760"/>
      <c r="E10677" s="760"/>
      <c r="F10677" s="760"/>
      <c r="G10677" s="760"/>
      <c r="H10677" s="760"/>
      <c r="I10677" s="760"/>
      <c r="J10677" s="760"/>
      <c r="K10677" s="760"/>
    </row>
    <row r="10678" spans="1:11">
      <c r="A10678" s="760"/>
      <c r="B10678" s="760"/>
      <c r="C10678" s="760"/>
      <c r="D10678" s="760"/>
      <c r="E10678" s="760"/>
      <c r="F10678" s="760"/>
      <c r="G10678" s="760"/>
      <c r="H10678" s="760"/>
      <c r="I10678" s="760"/>
      <c r="J10678" s="760"/>
      <c r="K10678" s="760"/>
    </row>
    <row r="10679" spans="1:11">
      <c r="A10679" s="760"/>
      <c r="B10679" s="760"/>
      <c r="C10679" s="760"/>
      <c r="D10679" s="760"/>
      <c r="E10679" s="760"/>
      <c r="F10679" s="760"/>
      <c r="G10679" s="760"/>
      <c r="H10679" s="760"/>
      <c r="I10679" s="760"/>
      <c r="J10679" s="760"/>
      <c r="K10679" s="760"/>
    </row>
    <row r="10680" spans="1:11">
      <c r="A10680" s="760"/>
      <c r="B10680" s="760"/>
      <c r="C10680" s="760"/>
      <c r="D10680" s="760"/>
      <c r="E10680" s="760"/>
      <c r="F10680" s="760"/>
      <c r="G10680" s="760"/>
      <c r="H10680" s="760"/>
      <c r="I10680" s="760"/>
      <c r="J10680" s="760"/>
      <c r="K10680" s="760"/>
    </row>
    <row r="10681" spans="1:11">
      <c r="A10681" s="760"/>
      <c r="B10681" s="760"/>
      <c r="C10681" s="760"/>
      <c r="D10681" s="760"/>
      <c r="E10681" s="760"/>
      <c r="F10681" s="760"/>
      <c r="G10681" s="760"/>
      <c r="H10681" s="760"/>
      <c r="I10681" s="760"/>
      <c r="J10681" s="760"/>
      <c r="K10681" s="760"/>
    </row>
    <row r="10682" spans="1:11">
      <c r="A10682" s="760"/>
      <c r="B10682" s="760"/>
      <c r="C10682" s="760"/>
      <c r="D10682" s="760"/>
      <c r="E10682" s="760"/>
      <c r="F10682" s="760"/>
      <c r="G10682" s="760"/>
      <c r="H10682" s="760"/>
      <c r="I10682" s="760"/>
      <c r="J10682" s="760"/>
      <c r="K10682" s="760"/>
    </row>
    <row r="10683" spans="1:11">
      <c r="A10683" s="760"/>
      <c r="B10683" s="760"/>
      <c r="C10683" s="760"/>
      <c r="D10683" s="760"/>
      <c r="E10683" s="760"/>
      <c r="F10683" s="760"/>
      <c r="G10683" s="760"/>
      <c r="H10683" s="760"/>
      <c r="I10683" s="760"/>
      <c r="J10683" s="760"/>
      <c r="K10683" s="760"/>
    </row>
    <row r="10684" spans="1:11">
      <c r="A10684" s="760"/>
      <c r="B10684" s="760"/>
      <c r="C10684" s="760"/>
      <c r="D10684" s="760"/>
      <c r="E10684" s="760"/>
      <c r="F10684" s="760"/>
      <c r="G10684" s="760"/>
      <c r="H10684" s="760"/>
      <c r="I10684" s="760"/>
      <c r="J10684" s="760"/>
      <c r="K10684" s="760"/>
    </row>
    <row r="10685" spans="1:11">
      <c r="A10685" s="760"/>
      <c r="B10685" s="760"/>
      <c r="C10685" s="760"/>
      <c r="D10685" s="760"/>
      <c r="E10685" s="760"/>
      <c r="F10685" s="760"/>
      <c r="G10685" s="760"/>
      <c r="H10685" s="760"/>
      <c r="I10685" s="760"/>
      <c r="J10685" s="760"/>
      <c r="K10685" s="760"/>
    </row>
    <row r="10686" spans="1:11">
      <c r="A10686" s="760"/>
      <c r="B10686" s="760"/>
      <c r="C10686" s="760"/>
      <c r="D10686" s="760"/>
      <c r="E10686" s="760"/>
      <c r="F10686" s="760"/>
      <c r="G10686" s="760"/>
      <c r="H10686" s="760"/>
      <c r="I10686" s="760"/>
      <c r="J10686" s="760"/>
      <c r="K10686" s="760"/>
    </row>
    <row r="10687" spans="1:11">
      <c r="A10687" s="760"/>
      <c r="B10687" s="760"/>
      <c r="C10687" s="760"/>
      <c r="D10687" s="760"/>
      <c r="E10687" s="760"/>
      <c r="F10687" s="760"/>
      <c r="G10687" s="760"/>
      <c r="H10687" s="760"/>
      <c r="I10687" s="760"/>
      <c r="J10687" s="760"/>
      <c r="K10687" s="760"/>
    </row>
    <row r="10688" spans="1:11">
      <c r="A10688" s="760"/>
      <c r="B10688" s="760"/>
      <c r="C10688" s="760"/>
      <c r="D10688" s="760"/>
      <c r="E10688" s="760"/>
      <c r="F10688" s="760"/>
      <c r="G10688" s="760"/>
      <c r="H10688" s="760"/>
      <c r="I10688" s="760"/>
      <c r="J10688" s="760"/>
      <c r="K10688" s="760"/>
    </row>
    <row r="10689" spans="1:11">
      <c r="A10689" s="760"/>
      <c r="B10689" s="760"/>
      <c r="C10689" s="760"/>
      <c r="D10689" s="760"/>
      <c r="E10689" s="760"/>
      <c r="F10689" s="760"/>
      <c r="G10689" s="760"/>
      <c r="H10689" s="760"/>
      <c r="I10689" s="760"/>
      <c r="J10689" s="760"/>
      <c r="K10689" s="760"/>
    </row>
    <row r="10690" spans="1:11">
      <c r="A10690" s="760"/>
      <c r="B10690" s="760"/>
      <c r="C10690" s="760"/>
      <c r="D10690" s="760"/>
      <c r="E10690" s="760"/>
      <c r="F10690" s="760"/>
      <c r="G10690" s="760"/>
      <c r="H10690" s="760"/>
      <c r="I10690" s="760"/>
      <c r="J10690" s="760"/>
      <c r="K10690" s="760"/>
    </row>
    <row r="10691" spans="1:11">
      <c r="A10691" s="760"/>
      <c r="B10691" s="760"/>
      <c r="C10691" s="760"/>
      <c r="D10691" s="760"/>
      <c r="E10691" s="760"/>
      <c r="F10691" s="760"/>
      <c r="G10691" s="760"/>
      <c r="H10691" s="760"/>
      <c r="I10691" s="760"/>
      <c r="J10691" s="760"/>
      <c r="K10691" s="760"/>
    </row>
    <row r="10692" spans="1:11">
      <c r="A10692" s="760"/>
      <c r="B10692" s="760"/>
      <c r="C10692" s="760"/>
      <c r="D10692" s="760"/>
      <c r="E10692" s="760"/>
      <c r="F10692" s="760"/>
      <c r="G10692" s="760"/>
      <c r="H10692" s="760"/>
      <c r="I10692" s="760"/>
      <c r="J10692" s="760"/>
      <c r="K10692" s="760"/>
    </row>
    <row r="10693" spans="1:11">
      <c r="A10693" s="760"/>
      <c r="B10693" s="760"/>
      <c r="C10693" s="760"/>
      <c r="D10693" s="760"/>
      <c r="E10693" s="760"/>
      <c r="F10693" s="760"/>
      <c r="G10693" s="760"/>
      <c r="H10693" s="760"/>
      <c r="I10693" s="760"/>
      <c r="J10693" s="760"/>
      <c r="K10693" s="760"/>
    </row>
    <row r="10694" spans="1:11">
      <c r="A10694" s="760"/>
      <c r="B10694" s="760"/>
      <c r="C10694" s="760"/>
      <c r="D10694" s="760"/>
      <c r="E10694" s="760"/>
      <c r="F10694" s="760"/>
      <c r="G10694" s="760"/>
      <c r="H10694" s="760"/>
      <c r="I10694" s="760"/>
      <c r="J10694" s="760"/>
      <c r="K10694" s="760"/>
    </row>
    <row r="10695" spans="1:11">
      <c r="A10695" s="760"/>
      <c r="B10695" s="760"/>
      <c r="C10695" s="760"/>
      <c r="D10695" s="760"/>
      <c r="E10695" s="760"/>
      <c r="F10695" s="760"/>
      <c r="G10695" s="760"/>
      <c r="H10695" s="760"/>
      <c r="I10695" s="760"/>
      <c r="J10695" s="760"/>
      <c r="K10695" s="760"/>
    </row>
    <row r="10696" spans="1:11">
      <c r="A10696" s="760"/>
      <c r="B10696" s="760"/>
      <c r="C10696" s="760"/>
      <c r="D10696" s="760"/>
      <c r="E10696" s="760"/>
      <c r="F10696" s="760"/>
      <c r="G10696" s="760"/>
      <c r="H10696" s="760"/>
      <c r="I10696" s="760"/>
      <c r="J10696" s="760"/>
      <c r="K10696" s="760"/>
    </row>
    <row r="10697" spans="1:11">
      <c r="A10697" s="760"/>
      <c r="B10697" s="760"/>
      <c r="C10697" s="760"/>
      <c r="D10697" s="760"/>
      <c r="E10697" s="760"/>
      <c r="F10697" s="760"/>
      <c r="G10697" s="760"/>
      <c r="H10697" s="760"/>
      <c r="I10697" s="760"/>
      <c r="J10697" s="760"/>
      <c r="K10697" s="760"/>
    </row>
    <row r="10698" spans="1:11">
      <c r="A10698" s="760"/>
      <c r="B10698" s="760"/>
      <c r="C10698" s="760"/>
      <c r="D10698" s="760"/>
      <c r="E10698" s="760"/>
      <c r="F10698" s="760"/>
      <c r="G10698" s="760"/>
      <c r="H10698" s="760"/>
      <c r="I10698" s="760"/>
      <c r="J10698" s="760"/>
      <c r="K10698" s="760"/>
    </row>
    <row r="10699" spans="1:11">
      <c r="A10699" s="760"/>
      <c r="B10699" s="760"/>
      <c r="C10699" s="760"/>
      <c r="D10699" s="760"/>
      <c r="E10699" s="760"/>
      <c r="F10699" s="760"/>
      <c r="G10699" s="760"/>
      <c r="H10699" s="760"/>
      <c r="I10699" s="760"/>
      <c r="J10699" s="760"/>
      <c r="K10699" s="760"/>
    </row>
    <row r="10700" spans="1:11">
      <c r="A10700" s="760"/>
      <c r="B10700" s="760"/>
      <c r="C10700" s="760"/>
      <c r="D10700" s="760"/>
      <c r="E10700" s="760"/>
      <c r="F10700" s="760"/>
      <c r="G10700" s="760"/>
      <c r="H10700" s="760"/>
      <c r="I10700" s="760"/>
      <c r="J10700" s="760"/>
      <c r="K10700" s="760"/>
    </row>
    <row r="10701" spans="1:11">
      <c r="A10701" s="760"/>
      <c r="B10701" s="760"/>
      <c r="C10701" s="760"/>
      <c r="D10701" s="760"/>
      <c r="E10701" s="760"/>
      <c r="F10701" s="760"/>
      <c r="G10701" s="760"/>
      <c r="H10701" s="760"/>
      <c r="I10701" s="760"/>
      <c r="J10701" s="760"/>
      <c r="K10701" s="760"/>
    </row>
    <row r="10702" spans="1:11">
      <c r="A10702" s="760"/>
      <c r="B10702" s="760"/>
      <c r="C10702" s="760"/>
      <c r="D10702" s="760"/>
      <c r="E10702" s="760"/>
      <c r="F10702" s="760"/>
      <c r="G10702" s="760"/>
      <c r="H10702" s="760"/>
      <c r="I10702" s="760"/>
      <c r="J10702" s="760"/>
      <c r="K10702" s="760"/>
    </row>
    <row r="10703" spans="1:11">
      <c r="A10703" s="760"/>
      <c r="B10703" s="760"/>
      <c r="C10703" s="760"/>
      <c r="D10703" s="760"/>
      <c r="E10703" s="760"/>
      <c r="F10703" s="760"/>
      <c r="G10703" s="760"/>
      <c r="H10703" s="760"/>
      <c r="I10703" s="760"/>
      <c r="J10703" s="760"/>
      <c r="K10703" s="760"/>
    </row>
    <row r="10704" spans="1:11">
      <c r="A10704" s="760"/>
      <c r="B10704" s="760"/>
      <c r="C10704" s="760"/>
      <c r="D10704" s="760"/>
      <c r="E10704" s="760"/>
      <c r="F10704" s="760"/>
      <c r="G10704" s="760"/>
      <c r="H10704" s="760"/>
      <c r="I10704" s="760"/>
      <c r="J10704" s="760"/>
      <c r="K10704" s="760"/>
    </row>
    <row r="10705" spans="1:11">
      <c r="A10705" s="760"/>
      <c r="B10705" s="760"/>
      <c r="C10705" s="760"/>
      <c r="D10705" s="760"/>
      <c r="E10705" s="760"/>
      <c r="F10705" s="760"/>
      <c r="G10705" s="760"/>
      <c r="H10705" s="760"/>
      <c r="I10705" s="760"/>
      <c r="J10705" s="760"/>
      <c r="K10705" s="760"/>
    </row>
    <row r="10706" spans="1:11">
      <c r="A10706" s="760"/>
      <c r="B10706" s="760"/>
      <c r="C10706" s="760"/>
      <c r="D10706" s="760"/>
      <c r="E10706" s="760"/>
      <c r="F10706" s="760"/>
      <c r="G10706" s="760"/>
      <c r="H10706" s="760"/>
      <c r="I10706" s="760"/>
      <c r="J10706" s="760"/>
      <c r="K10706" s="760"/>
    </row>
    <row r="10707" spans="1:11">
      <c r="A10707" s="760"/>
      <c r="B10707" s="760"/>
      <c r="C10707" s="760"/>
      <c r="D10707" s="760"/>
      <c r="E10707" s="760"/>
      <c r="F10707" s="760"/>
      <c r="G10707" s="760"/>
      <c r="H10707" s="760"/>
      <c r="I10707" s="760"/>
      <c r="J10707" s="760"/>
      <c r="K10707" s="760"/>
    </row>
    <row r="10708" spans="1:11">
      <c r="A10708" s="760"/>
      <c r="B10708" s="760"/>
      <c r="C10708" s="760"/>
      <c r="D10708" s="760"/>
      <c r="E10708" s="760"/>
      <c r="F10708" s="760"/>
      <c r="G10708" s="760"/>
      <c r="H10708" s="760"/>
      <c r="I10708" s="760"/>
      <c r="J10708" s="760"/>
      <c r="K10708" s="760"/>
    </row>
    <row r="10709" spans="1:11">
      <c r="A10709" s="760"/>
      <c r="B10709" s="760"/>
      <c r="C10709" s="760"/>
      <c r="D10709" s="760"/>
      <c r="E10709" s="760"/>
      <c r="F10709" s="760"/>
      <c r="G10709" s="760"/>
      <c r="H10709" s="760"/>
      <c r="I10709" s="760"/>
      <c r="J10709" s="760"/>
      <c r="K10709" s="760"/>
    </row>
    <row r="10710" spans="1:11">
      <c r="A10710" s="760"/>
      <c r="B10710" s="760"/>
      <c r="C10710" s="760"/>
      <c r="D10710" s="760"/>
      <c r="E10710" s="760"/>
      <c r="F10710" s="760"/>
      <c r="G10710" s="760"/>
      <c r="H10710" s="760"/>
      <c r="I10710" s="760"/>
      <c r="J10710" s="760"/>
      <c r="K10710" s="760"/>
    </row>
    <row r="10711" spans="1:11">
      <c r="A10711" s="760"/>
      <c r="B10711" s="760"/>
      <c r="C10711" s="760"/>
      <c r="D10711" s="760"/>
      <c r="E10711" s="760"/>
      <c r="F10711" s="760"/>
      <c r="G10711" s="760"/>
      <c r="H10711" s="760"/>
      <c r="I10711" s="760"/>
      <c r="J10711" s="760"/>
      <c r="K10711" s="760"/>
    </row>
    <row r="10712" spans="1:11">
      <c r="A10712" s="760"/>
      <c r="B10712" s="760"/>
      <c r="C10712" s="760"/>
      <c r="D10712" s="760"/>
      <c r="E10712" s="760"/>
      <c r="F10712" s="760"/>
      <c r="G10712" s="760"/>
      <c r="H10712" s="760"/>
      <c r="I10712" s="760"/>
      <c r="J10712" s="760"/>
      <c r="K10712" s="760"/>
    </row>
    <row r="10713" spans="1:11">
      <c r="A10713" s="760"/>
      <c r="B10713" s="760"/>
      <c r="C10713" s="760"/>
      <c r="D10713" s="760"/>
      <c r="E10713" s="760"/>
      <c r="F10713" s="760"/>
      <c r="G10713" s="760"/>
      <c r="H10713" s="760"/>
      <c r="I10713" s="760"/>
      <c r="J10713" s="760"/>
      <c r="K10713" s="760"/>
    </row>
    <row r="10714" spans="1:11">
      <c r="A10714" s="760"/>
      <c r="B10714" s="760"/>
      <c r="C10714" s="760"/>
      <c r="D10714" s="760"/>
      <c r="E10714" s="760"/>
      <c r="F10714" s="760"/>
      <c r="G10714" s="760"/>
      <c r="H10714" s="760"/>
      <c r="I10714" s="760"/>
      <c r="J10714" s="760"/>
      <c r="K10714" s="760"/>
    </row>
    <row r="10715" spans="1:11">
      <c r="A10715" s="760"/>
      <c r="B10715" s="760"/>
      <c r="C10715" s="760"/>
      <c r="D10715" s="760"/>
      <c r="E10715" s="760"/>
      <c r="F10715" s="760"/>
      <c r="G10715" s="760"/>
      <c r="H10715" s="760"/>
      <c r="I10715" s="760"/>
      <c r="J10715" s="760"/>
      <c r="K10715" s="760"/>
    </row>
    <row r="10716" spans="1:11">
      <c r="A10716" s="760"/>
      <c r="B10716" s="760"/>
      <c r="C10716" s="760"/>
      <c r="D10716" s="760"/>
      <c r="E10716" s="760"/>
      <c r="F10716" s="760"/>
      <c r="G10716" s="760"/>
      <c r="H10716" s="760"/>
      <c r="I10716" s="760"/>
      <c r="J10716" s="760"/>
      <c r="K10716" s="760"/>
    </row>
    <row r="10717" spans="1:11">
      <c r="A10717" s="760"/>
      <c r="B10717" s="760"/>
      <c r="C10717" s="760"/>
      <c r="D10717" s="760"/>
      <c r="E10717" s="760"/>
      <c r="F10717" s="760"/>
      <c r="G10717" s="760"/>
      <c r="H10717" s="760"/>
      <c r="I10717" s="760"/>
      <c r="J10717" s="760"/>
      <c r="K10717" s="760"/>
    </row>
    <row r="10718" spans="1:11">
      <c r="A10718" s="760"/>
      <c r="B10718" s="760"/>
      <c r="C10718" s="760"/>
      <c r="D10718" s="760"/>
      <c r="E10718" s="760"/>
      <c r="F10718" s="760"/>
      <c r="G10718" s="760"/>
      <c r="H10718" s="760"/>
      <c r="I10718" s="760"/>
      <c r="J10718" s="760"/>
      <c r="K10718" s="760"/>
    </row>
    <row r="10719" spans="1:11">
      <c r="A10719" s="760"/>
      <c r="B10719" s="760"/>
      <c r="C10719" s="760"/>
      <c r="D10719" s="760"/>
      <c r="E10719" s="760"/>
      <c r="F10719" s="760"/>
      <c r="G10719" s="760"/>
      <c r="H10719" s="760"/>
      <c r="I10719" s="760"/>
      <c r="J10719" s="760"/>
      <c r="K10719" s="760"/>
    </row>
    <row r="10720" spans="1:11">
      <c r="A10720" s="760"/>
      <c r="B10720" s="760"/>
      <c r="C10720" s="760"/>
      <c r="D10720" s="760"/>
      <c r="E10720" s="760"/>
      <c r="F10720" s="760"/>
      <c r="G10720" s="760"/>
      <c r="H10720" s="760"/>
      <c r="I10720" s="760"/>
      <c r="J10720" s="760"/>
      <c r="K10720" s="760"/>
    </row>
    <row r="10721" spans="1:11">
      <c r="A10721" s="760"/>
      <c r="B10721" s="760"/>
      <c r="C10721" s="760"/>
      <c r="D10721" s="760"/>
      <c r="E10721" s="760"/>
      <c r="F10721" s="760"/>
      <c r="G10721" s="760"/>
      <c r="H10721" s="760"/>
      <c r="I10721" s="760"/>
      <c r="J10721" s="760"/>
      <c r="K10721" s="760"/>
    </row>
    <row r="10722" spans="1:11">
      <c r="A10722" s="760"/>
      <c r="B10722" s="760"/>
      <c r="C10722" s="760"/>
      <c r="D10722" s="760"/>
      <c r="E10722" s="760"/>
      <c r="F10722" s="760"/>
      <c r="G10722" s="760"/>
      <c r="H10722" s="760"/>
      <c r="I10722" s="760"/>
      <c r="J10722" s="760"/>
      <c r="K10722" s="760"/>
    </row>
    <row r="10723" spans="1:11">
      <c r="A10723" s="760"/>
      <c r="B10723" s="760"/>
      <c r="C10723" s="760"/>
      <c r="D10723" s="760"/>
      <c r="E10723" s="760"/>
      <c r="F10723" s="760"/>
      <c r="G10723" s="760"/>
      <c r="H10723" s="760"/>
      <c r="I10723" s="760"/>
      <c r="J10723" s="760"/>
      <c r="K10723" s="760"/>
    </row>
    <row r="10724" spans="1:11">
      <c r="A10724" s="760"/>
      <c r="B10724" s="760"/>
      <c r="C10724" s="760"/>
      <c r="D10724" s="760"/>
      <c r="E10724" s="760"/>
      <c r="F10724" s="760"/>
      <c r="G10724" s="760"/>
      <c r="H10724" s="760"/>
      <c r="I10724" s="760"/>
      <c r="J10724" s="760"/>
      <c r="K10724" s="760"/>
    </row>
    <row r="10725" spans="1:11">
      <c r="A10725" s="760"/>
      <c r="B10725" s="760"/>
      <c r="C10725" s="760"/>
      <c r="D10725" s="760"/>
      <c r="E10725" s="760"/>
      <c r="F10725" s="760"/>
      <c r="G10725" s="760"/>
      <c r="H10725" s="760"/>
      <c r="I10725" s="760"/>
      <c r="J10725" s="760"/>
      <c r="K10725" s="760"/>
    </row>
    <row r="10726" spans="1:11">
      <c r="A10726" s="760"/>
      <c r="B10726" s="760"/>
      <c r="C10726" s="760"/>
      <c r="D10726" s="760"/>
      <c r="E10726" s="760"/>
      <c r="F10726" s="760"/>
      <c r="G10726" s="760"/>
      <c r="H10726" s="760"/>
      <c r="I10726" s="760"/>
      <c r="J10726" s="760"/>
      <c r="K10726" s="760"/>
    </row>
    <row r="10727" spans="1:11">
      <c r="A10727" s="760"/>
      <c r="B10727" s="760"/>
      <c r="C10727" s="760"/>
      <c r="D10727" s="760"/>
      <c r="E10727" s="760"/>
      <c r="F10727" s="760"/>
      <c r="G10727" s="760"/>
      <c r="H10727" s="760"/>
      <c r="I10727" s="760"/>
      <c r="J10727" s="760"/>
      <c r="K10727" s="760"/>
    </row>
    <row r="10728" spans="1:11">
      <c r="A10728" s="760"/>
      <c r="B10728" s="760"/>
      <c r="C10728" s="760"/>
      <c r="D10728" s="760"/>
      <c r="E10728" s="760"/>
      <c r="F10728" s="760"/>
      <c r="G10728" s="760"/>
      <c r="H10728" s="760"/>
      <c r="I10728" s="760"/>
      <c r="J10728" s="760"/>
      <c r="K10728" s="760"/>
    </row>
    <row r="10729" spans="1:11">
      <c r="A10729" s="760"/>
      <c r="B10729" s="760"/>
      <c r="C10729" s="760"/>
      <c r="D10729" s="760"/>
      <c r="E10729" s="760"/>
      <c r="F10729" s="760"/>
      <c r="G10729" s="760"/>
      <c r="H10729" s="760"/>
      <c r="I10729" s="760"/>
      <c r="J10729" s="760"/>
      <c r="K10729" s="760"/>
    </row>
    <row r="10730" spans="1:11">
      <c r="A10730" s="760"/>
      <c r="B10730" s="760"/>
      <c r="C10730" s="760"/>
      <c r="D10730" s="760"/>
      <c r="E10730" s="760"/>
      <c r="F10730" s="760"/>
      <c r="G10730" s="760"/>
      <c r="H10730" s="760"/>
      <c r="I10730" s="760"/>
      <c r="J10730" s="760"/>
      <c r="K10730" s="760"/>
    </row>
    <row r="10731" spans="1:11">
      <c r="A10731" s="760"/>
      <c r="B10731" s="760"/>
      <c r="C10731" s="760"/>
      <c r="D10731" s="760"/>
      <c r="E10731" s="760"/>
      <c r="F10731" s="760"/>
      <c r="G10731" s="760"/>
      <c r="H10731" s="760"/>
      <c r="I10731" s="760"/>
      <c r="J10731" s="760"/>
      <c r="K10731" s="760"/>
    </row>
    <row r="10732" spans="1:11">
      <c r="A10732" s="760"/>
      <c r="B10732" s="760"/>
      <c r="C10732" s="760"/>
      <c r="D10732" s="760"/>
      <c r="E10732" s="760"/>
      <c r="F10732" s="760"/>
      <c r="G10732" s="760"/>
      <c r="H10732" s="760"/>
      <c r="I10732" s="760"/>
      <c r="J10732" s="760"/>
      <c r="K10732" s="760"/>
    </row>
    <row r="10733" spans="1:11">
      <c r="A10733" s="760"/>
      <c r="B10733" s="760"/>
      <c r="C10733" s="760"/>
      <c r="D10733" s="760"/>
      <c r="E10733" s="760"/>
      <c r="F10733" s="760"/>
      <c r="G10733" s="760"/>
      <c r="H10733" s="760"/>
      <c r="I10733" s="760"/>
      <c r="J10733" s="760"/>
      <c r="K10733" s="760"/>
    </row>
    <row r="10734" spans="1:11">
      <c r="A10734" s="760"/>
      <c r="B10734" s="760"/>
      <c r="C10734" s="760"/>
      <c r="D10734" s="760"/>
      <c r="E10734" s="760"/>
      <c r="F10734" s="760"/>
      <c r="G10734" s="760"/>
      <c r="H10734" s="760"/>
      <c r="I10734" s="760"/>
      <c r="J10734" s="760"/>
      <c r="K10734" s="760"/>
    </row>
    <row r="10735" spans="1:11">
      <c r="A10735" s="760"/>
      <c r="B10735" s="760"/>
      <c r="C10735" s="760"/>
      <c r="D10735" s="760"/>
      <c r="E10735" s="760"/>
      <c r="F10735" s="760"/>
      <c r="G10735" s="760"/>
      <c r="H10735" s="760"/>
      <c r="I10735" s="760"/>
      <c r="J10735" s="760"/>
      <c r="K10735" s="760"/>
    </row>
    <row r="10736" spans="1:11">
      <c r="A10736" s="760"/>
      <c r="B10736" s="760"/>
      <c r="C10736" s="760"/>
      <c r="D10736" s="760"/>
      <c r="E10736" s="760"/>
      <c r="F10736" s="760"/>
      <c r="G10736" s="760"/>
      <c r="H10736" s="760"/>
      <c r="I10736" s="760"/>
      <c r="J10736" s="760"/>
      <c r="K10736" s="760"/>
    </row>
    <row r="10737" spans="1:11">
      <c r="A10737" s="760"/>
      <c r="B10737" s="760"/>
      <c r="C10737" s="760"/>
      <c r="D10737" s="760"/>
      <c r="E10737" s="760"/>
      <c r="F10737" s="760"/>
      <c r="G10737" s="760"/>
      <c r="H10737" s="760"/>
      <c r="I10737" s="760"/>
      <c r="J10737" s="760"/>
      <c r="K10737" s="760"/>
    </row>
    <row r="10738" spans="1:11">
      <c r="A10738" s="760"/>
      <c r="B10738" s="760"/>
      <c r="C10738" s="760"/>
      <c r="D10738" s="760"/>
      <c r="E10738" s="760"/>
      <c r="F10738" s="760"/>
      <c r="G10738" s="760"/>
      <c r="H10738" s="760"/>
      <c r="I10738" s="760"/>
      <c r="J10738" s="760"/>
      <c r="K10738" s="760"/>
    </row>
    <row r="10739" spans="1:11">
      <c r="A10739" s="760"/>
      <c r="B10739" s="760"/>
      <c r="C10739" s="760"/>
      <c r="D10739" s="760"/>
      <c r="E10739" s="760"/>
      <c r="F10739" s="760"/>
      <c r="G10739" s="760"/>
      <c r="H10739" s="760"/>
      <c r="I10739" s="760"/>
      <c r="J10739" s="760"/>
      <c r="K10739" s="760"/>
    </row>
    <row r="10740" spans="1:11">
      <c r="A10740" s="760"/>
      <c r="B10740" s="760"/>
      <c r="C10740" s="760"/>
      <c r="D10740" s="760"/>
      <c r="E10740" s="760"/>
      <c r="F10740" s="760"/>
      <c r="G10740" s="760"/>
      <c r="H10740" s="760"/>
      <c r="I10740" s="760"/>
      <c r="J10740" s="760"/>
      <c r="K10740" s="760"/>
    </row>
    <row r="10741" spans="1:11">
      <c r="A10741" s="760"/>
      <c r="B10741" s="760"/>
      <c r="C10741" s="760"/>
      <c r="D10741" s="760"/>
      <c r="E10741" s="760"/>
      <c r="F10741" s="760"/>
      <c r="G10741" s="760"/>
      <c r="H10741" s="760"/>
      <c r="I10741" s="760"/>
      <c r="J10741" s="760"/>
      <c r="K10741" s="760"/>
    </row>
    <row r="10742" spans="1:11">
      <c r="A10742" s="760"/>
      <c r="B10742" s="760"/>
      <c r="C10742" s="760"/>
      <c r="D10742" s="760"/>
      <c r="E10742" s="760"/>
      <c r="F10742" s="760"/>
      <c r="G10742" s="760"/>
      <c r="H10742" s="760"/>
      <c r="I10742" s="760"/>
      <c r="J10742" s="760"/>
      <c r="K10742" s="760"/>
    </row>
    <row r="10743" spans="1:11">
      <c r="A10743" s="760"/>
      <c r="B10743" s="760"/>
      <c r="C10743" s="760"/>
      <c r="D10743" s="760"/>
      <c r="E10743" s="760"/>
      <c r="F10743" s="760"/>
      <c r="G10743" s="760"/>
      <c r="H10743" s="760"/>
      <c r="I10743" s="760"/>
      <c r="J10743" s="760"/>
      <c r="K10743" s="760"/>
    </row>
    <row r="10744" spans="1:11">
      <c r="A10744" s="760"/>
      <c r="B10744" s="760"/>
      <c r="C10744" s="760"/>
      <c r="D10744" s="760"/>
      <c r="E10744" s="760"/>
      <c r="F10744" s="760"/>
      <c r="G10744" s="760"/>
      <c r="H10744" s="760"/>
      <c r="I10744" s="760"/>
      <c r="J10744" s="760"/>
      <c r="K10744" s="760"/>
    </row>
    <row r="10745" spans="1:11">
      <c r="A10745" s="760"/>
      <c r="B10745" s="760"/>
      <c r="C10745" s="760"/>
      <c r="D10745" s="760"/>
      <c r="E10745" s="760"/>
      <c r="F10745" s="760"/>
      <c r="G10745" s="760"/>
      <c r="H10745" s="760"/>
      <c r="I10745" s="760"/>
      <c r="J10745" s="760"/>
      <c r="K10745" s="760"/>
    </row>
    <row r="10746" spans="1:11">
      <c r="A10746" s="760"/>
      <c r="B10746" s="760"/>
      <c r="C10746" s="760"/>
      <c r="D10746" s="760"/>
      <c r="E10746" s="760"/>
      <c r="F10746" s="760"/>
      <c r="G10746" s="760"/>
      <c r="H10746" s="760"/>
      <c r="I10746" s="760"/>
      <c r="J10746" s="760"/>
      <c r="K10746" s="760"/>
    </row>
    <row r="10747" spans="1:11">
      <c r="A10747" s="760"/>
      <c r="B10747" s="760"/>
      <c r="C10747" s="760"/>
      <c r="D10747" s="760"/>
      <c r="E10747" s="760"/>
      <c r="F10747" s="760"/>
      <c r="G10747" s="760"/>
      <c r="H10747" s="760"/>
      <c r="I10747" s="760"/>
      <c r="J10747" s="760"/>
      <c r="K10747" s="760"/>
    </row>
    <row r="10748" spans="1:11">
      <c r="A10748" s="760"/>
      <c r="B10748" s="760"/>
      <c r="C10748" s="760"/>
      <c r="D10748" s="760"/>
      <c r="E10748" s="760"/>
      <c r="F10748" s="760"/>
      <c r="G10748" s="760"/>
      <c r="H10748" s="760"/>
      <c r="I10748" s="760"/>
      <c r="J10748" s="760"/>
      <c r="K10748" s="760"/>
    </row>
    <row r="10749" spans="1:11">
      <c r="A10749" s="760"/>
      <c r="B10749" s="760"/>
      <c r="C10749" s="760"/>
      <c r="D10749" s="760"/>
      <c r="E10749" s="760"/>
      <c r="F10749" s="760"/>
      <c r="G10749" s="760"/>
      <c r="H10749" s="760"/>
      <c r="I10749" s="760"/>
      <c r="J10749" s="760"/>
      <c r="K10749" s="760"/>
    </row>
    <row r="10750" spans="1:11">
      <c r="A10750" s="760"/>
      <c r="B10750" s="760"/>
      <c r="C10750" s="760"/>
      <c r="D10750" s="760"/>
      <c r="E10750" s="760"/>
      <c r="F10750" s="760"/>
      <c r="G10750" s="760"/>
      <c r="H10750" s="760"/>
      <c r="I10750" s="760"/>
      <c r="J10750" s="760"/>
      <c r="K10750" s="760"/>
    </row>
    <row r="10751" spans="1:11">
      <c r="A10751" s="760"/>
      <c r="B10751" s="760"/>
      <c r="C10751" s="760"/>
      <c r="D10751" s="760"/>
      <c r="E10751" s="760"/>
      <c r="F10751" s="760"/>
      <c r="G10751" s="760"/>
      <c r="H10751" s="760"/>
      <c r="I10751" s="760"/>
      <c r="J10751" s="760"/>
      <c r="K10751" s="760"/>
    </row>
    <row r="10752" spans="1:11">
      <c r="A10752" s="760"/>
      <c r="B10752" s="760"/>
      <c r="C10752" s="760"/>
      <c r="D10752" s="760"/>
      <c r="E10752" s="760"/>
      <c r="F10752" s="760"/>
      <c r="G10752" s="760"/>
      <c r="H10752" s="760"/>
      <c r="I10752" s="760"/>
      <c r="J10752" s="760"/>
      <c r="K10752" s="760"/>
    </row>
    <row r="10753" spans="1:11">
      <c r="A10753" s="760"/>
      <c r="B10753" s="760"/>
      <c r="C10753" s="760"/>
      <c r="D10753" s="760"/>
      <c r="E10753" s="760"/>
      <c r="F10753" s="760"/>
      <c r="G10753" s="760"/>
      <c r="H10753" s="760"/>
      <c r="I10753" s="760"/>
      <c r="J10753" s="760"/>
      <c r="K10753" s="760"/>
    </row>
    <row r="10754" spans="1:11">
      <c r="A10754" s="760"/>
      <c r="B10754" s="760"/>
      <c r="C10754" s="760"/>
      <c r="D10754" s="760"/>
      <c r="E10754" s="760"/>
      <c r="F10754" s="760"/>
      <c r="G10754" s="760"/>
      <c r="H10754" s="760"/>
      <c r="I10754" s="760"/>
      <c r="J10754" s="760"/>
      <c r="K10754" s="760"/>
    </row>
    <row r="10755" spans="1:11">
      <c r="A10755" s="760"/>
      <c r="B10755" s="760"/>
      <c r="C10755" s="760"/>
      <c r="D10755" s="760"/>
      <c r="E10755" s="760"/>
      <c r="F10755" s="760"/>
      <c r="G10755" s="760"/>
      <c r="H10755" s="760"/>
      <c r="I10755" s="760"/>
      <c r="J10755" s="760"/>
      <c r="K10755" s="760"/>
    </row>
    <row r="10756" spans="1:11">
      <c r="A10756" s="760"/>
      <c r="B10756" s="760"/>
      <c r="C10756" s="760"/>
      <c r="D10756" s="760"/>
      <c r="E10756" s="760"/>
      <c r="F10756" s="760"/>
      <c r="G10756" s="760"/>
      <c r="H10756" s="760"/>
      <c r="I10756" s="760"/>
      <c r="J10756" s="760"/>
      <c r="K10756" s="760"/>
    </row>
    <row r="10757" spans="1:11">
      <c r="A10757" s="760"/>
      <c r="B10757" s="760"/>
      <c r="C10757" s="760"/>
      <c r="D10757" s="760"/>
      <c r="E10757" s="760"/>
      <c r="F10757" s="760"/>
      <c r="G10757" s="760"/>
      <c r="H10757" s="760"/>
      <c r="I10757" s="760"/>
      <c r="J10757" s="760"/>
      <c r="K10757" s="760"/>
    </row>
    <row r="10758" spans="1:11">
      <c r="A10758" s="760"/>
      <c r="B10758" s="760"/>
      <c r="C10758" s="760"/>
      <c r="D10758" s="760"/>
      <c r="E10758" s="760"/>
      <c r="F10758" s="760"/>
      <c r="G10758" s="760"/>
      <c r="H10758" s="760"/>
      <c r="I10758" s="760"/>
      <c r="J10758" s="760"/>
      <c r="K10758" s="760"/>
    </row>
    <row r="10759" spans="1:11">
      <c r="A10759" s="760"/>
      <c r="B10759" s="760"/>
      <c r="C10759" s="760"/>
      <c r="D10759" s="760"/>
      <c r="E10759" s="760"/>
      <c r="F10759" s="760"/>
      <c r="G10759" s="760"/>
      <c r="H10759" s="760"/>
      <c r="I10759" s="760"/>
      <c r="J10759" s="760"/>
      <c r="K10759" s="760"/>
    </row>
    <row r="10760" spans="1:11">
      <c r="A10760" s="760"/>
      <c r="B10760" s="760"/>
      <c r="C10760" s="760"/>
      <c r="D10760" s="760"/>
      <c r="E10760" s="760"/>
      <c r="F10760" s="760"/>
      <c r="G10760" s="760"/>
      <c r="H10760" s="760"/>
      <c r="I10760" s="760"/>
      <c r="J10760" s="760"/>
      <c r="K10760" s="760"/>
    </row>
    <row r="10761" spans="1:11">
      <c r="A10761" s="760"/>
      <c r="B10761" s="760"/>
      <c r="C10761" s="760"/>
      <c r="D10761" s="760"/>
      <c r="E10761" s="760"/>
      <c r="F10761" s="760"/>
      <c r="G10761" s="760"/>
      <c r="H10761" s="760"/>
      <c r="I10761" s="760"/>
      <c r="J10761" s="760"/>
      <c r="K10761" s="760"/>
    </row>
    <row r="10762" spans="1:11">
      <c r="A10762" s="760"/>
      <c r="B10762" s="760"/>
      <c r="C10762" s="760"/>
      <c r="D10762" s="760"/>
      <c r="E10762" s="760"/>
      <c r="F10762" s="760"/>
      <c r="G10762" s="760"/>
      <c r="H10762" s="760"/>
      <c r="I10762" s="760"/>
      <c r="J10762" s="760"/>
      <c r="K10762" s="760"/>
    </row>
    <row r="10763" spans="1:11">
      <c r="A10763" s="760"/>
      <c r="B10763" s="760"/>
      <c r="C10763" s="760"/>
      <c r="D10763" s="760"/>
      <c r="E10763" s="760"/>
      <c r="F10763" s="760"/>
      <c r="G10763" s="760"/>
      <c r="H10763" s="760"/>
      <c r="I10763" s="760"/>
      <c r="J10763" s="760"/>
      <c r="K10763" s="760"/>
    </row>
    <row r="10764" spans="1:11">
      <c r="A10764" s="760"/>
      <c r="B10764" s="760"/>
      <c r="C10764" s="760"/>
      <c r="D10764" s="760"/>
      <c r="E10764" s="760"/>
      <c r="F10764" s="760"/>
      <c r="G10764" s="760"/>
      <c r="H10764" s="760"/>
      <c r="I10764" s="760"/>
      <c r="J10764" s="760"/>
      <c r="K10764" s="760"/>
    </row>
    <row r="10765" spans="1:11">
      <c r="A10765" s="760"/>
      <c r="B10765" s="760"/>
      <c r="C10765" s="760"/>
      <c r="D10765" s="760"/>
      <c r="E10765" s="760"/>
      <c r="F10765" s="760"/>
      <c r="G10765" s="760"/>
      <c r="H10765" s="760"/>
      <c r="I10765" s="760"/>
      <c r="J10765" s="760"/>
      <c r="K10765" s="760"/>
    </row>
    <row r="10766" spans="1:11">
      <c r="A10766" s="760"/>
      <c r="B10766" s="760"/>
      <c r="C10766" s="760"/>
      <c r="D10766" s="760"/>
      <c r="E10766" s="760"/>
      <c r="F10766" s="760"/>
      <c r="G10766" s="760"/>
      <c r="H10766" s="760"/>
      <c r="I10766" s="760"/>
      <c r="J10766" s="760"/>
      <c r="K10766" s="760"/>
    </row>
    <row r="10767" spans="1:11">
      <c r="A10767" s="760"/>
      <c r="B10767" s="760"/>
      <c r="C10767" s="760"/>
      <c r="D10767" s="760"/>
      <c r="E10767" s="760"/>
      <c r="F10767" s="760"/>
      <c r="G10767" s="760"/>
      <c r="H10767" s="760"/>
      <c r="I10767" s="760"/>
      <c r="J10767" s="760"/>
      <c r="K10767" s="760"/>
    </row>
    <row r="10768" spans="1:11">
      <c r="A10768" s="760"/>
      <c r="B10768" s="760"/>
      <c r="C10768" s="760"/>
      <c r="D10768" s="760"/>
      <c r="E10768" s="760"/>
      <c r="F10768" s="760"/>
      <c r="G10768" s="760"/>
      <c r="H10768" s="760"/>
      <c r="I10768" s="760"/>
      <c r="J10768" s="760"/>
      <c r="K10768" s="760"/>
    </row>
    <row r="10769" spans="1:11">
      <c r="A10769" s="760"/>
      <c r="B10769" s="760"/>
      <c r="C10769" s="760"/>
      <c r="D10769" s="760"/>
      <c r="E10769" s="760"/>
      <c r="F10769" s="760"/>
      <c r="G10769" s="760"/>
      <c r="H10769" s="760"/>
      <c r="I10769" s="760"/>
      <c r="J10769" s="760"/>
      <c r="K10769" s="760"/>
    </row>
    <row r="10770" spans="1:11">
      <c r="A10770" s="760"/>
      <c r="B10770" s="760"/>
      <c r="C10770" s="760"/>
      <c r="D10770" s="760"/>
      <c r="E10770" s="760"/>
      <c r="F10770" s="760"/>
      <c r="G10770" s="760"/>
      <c r="H10770" s="760"/>
      <c r="I10770" s="760"/>
      <c r="J10770" s="760"/>
      <c r="K10770" s="760"/>
    </row>
    <row r="10771" spans="1:11">
      <c r="A10771" s="760"/>
      <c r="B10771" s="760"/>
      <c r="C10771" s="760"/>
      <c r="D10771" s="760"/>
      <c r="E10771" s="760"/>
      <c r="F10771" s="760"/>
      <c r="G10771" s="760"/>
      <c r="H10771" s="760"/>
      <c r="I10771" s="760"/>
      <c r="J10771" s="760"/>
      <c r="K10771" s="760"/>
    </row>
    <row r="10772" spans="1:11">
      <c r="A10772" s="760"/>
      <c r="B10772" s="760"/>
      <c r="C10772" s="760"/>
      <c r="D10772" s="760"/>
      <c r="E10772" s="760"/>
      <c r="F10772" s="760"/>
      <c r="G10772" s="760"/>
      <c r="H10772" s="760"/>
      <c r="I10772" s="760"/>
      <c r="J10772" s="760"/>
      <c r="K10772" s="760"/>
    </row>
    <row r="10773" spans="1:11">
      <c r="A10773" s="760"/>
      <c r="B10773" s="760"/>
      <c r="C10773" s="760"/>
      <c r="D10773" s="760"/>
      <c r="E10773" s="760"/>
      <c r="F10773" s="760"/>
      <c r="G10773" s="760"/>
      <c r="H10773" s="760"/>
      <c r="I10773" s="760"/>
      <c r="J10773" s="760"/>
      <c r="K10773" s="760"/>
    </row>
    <row r="10774" spans="1:11">
      <c r="A10774" s="760"/>
      <c r="B10774" s="760"/>
      <c r="C10774" s="760"/>
      <c r="D10774" s="760"/>
      <c r="E10774" s="760"/>
      <c r="F10774" s="760"/>
      <c r="G10774" s="760"/>
      <c r="H10774" s="760"/>
      <c r="I10774" s="760"/>
      <c r="J10774" s="760"/>
      <c r="K10774" s="760"/>
    </row>
    <row r="10775" spans="1:11">
      <c r="A10775" s="760"/>
      <c r="B10775" s="760"/>
      <c r="C10775" s="760"/>
      <c r="D10775" s="760"/>
      <c r="E10775" s="760"/>
      <c r="F10775" s="760"/>
      <c r="G10775" s="760"/>
      <c r="H10775" s="760"/>
      <c r="I10775" s="760"/>
      <c r="J10775" s="760"/>
      <c r="K10775" s="760"/>
    </row>
    <row r="10776" spans="1:11">
      <c r="A10776" s="760"/>
      <c r="B10776" s="760"/>
      <c r="C10776" s="760"/>
      <c r="D10776" s="760"/>
      <c r="E10776" s="760"/>
      <c r="F10776" s="760"/>
      <c r="G10776" s="760"/>
      <c r="H10776" s="760"/>
      <c r="I10776" s="760"/>
      <c r="J10776" s="760"/>
      <c r="K10776" s="760"/>
    </row>
    <row r="10777" spans="1:11">
      <c r="A10777" s="760"/>
      <c r="B10777" s="760"/>
      <c r="C10777" s="760"/>
      <c r="D10777" s="760"/>
      <c r="E10777" s="760"/>
      <c r="F10777" s="760"/>
      <c r="G10777" s="760"/>
      <c r="H10777" s="760"/>
      <c r="I10777" s="760"/>
      <c r="J10777" s="760"/>
      <c r="K10777" s="760"/>
    </row>
    <row r="10778" spans="1:11">
      <c r="A10778" s="760"/>
      <c r="B10778" s="760"/>
      <c r="C10778" s="760"/>
      <c r="D10778" s="760"/>
      <c r="E10778" s="760"/>
      <c r="F10778" s="760"/>
      <c r="G10778" s="760"/>
      <c r="H10778" s="760"/>
      <c r="I10778" s="760"/>
      <c r="J10778" s="760"/>
      <c r="K10778" s="760"/>
    </row>
    <row r="10779" spans="1:11">
      <c r="A10779" s="760"/>
      <c r="B10779" s="760"/>
      <c r="C10779" s="760"/>
      <c r="D10779" s="760"/>
      <c r="E10779" s="760"/>
      <c r="F10779" s="760"/>
      <c r="G10779" s="760"/>
      <c r="H10779" s="760"/>
      <c r="I10779" s="760"/>
      <c r="J10779" s="760"/>
      <c r="K10779" s="760"/>
    </row>
    <row r="10780" spans="1:11">
      <c r="A10780" s="760"/>
      <c r="B10780" s="760"/>
      <c r="C10780" s="760"/>
      <c r="D10780" s="760"/>
      <c r="E10780" s="760"/>
      <c r="F10780" s="760"/>
      <c r="G10780" s="760"/>
      <c r="H10780" s="760"/>
      <c r="I10780" s="760"/>
      <c r="J10780" s="760"/>
      <c r="K10780" s="760"/>
    </row>
    <row r="10781" spans="1:11">
      <c r="A10781" s="760"/>
      <c r="B10781" s="760"/>
      <c r="C10781" s="760"/>
      <c r="D10781" s="760"/>
      <c r="E10781" s="760"/>
      <c r="F10781" s="760"/>
      <c r="G10781" s="760"/>
      <c r="H10781" s="760"/>
      <c r="I10781" s="760"/>
      <c r="J10781" s="760"/>
      <c r="K10781" s="760"/>
    </row>
    <row r="10782" spans="1:11">
      <c r="A10782" s="760"/>
      <c r="B10782" s="760"/>
      <c r="C10782" s="760"/>
      <c r="D10782" s="760"/>
      <c r="E10782" s="760"/>
      <c r="F10782" s="760"/>
      <c r="G10782" s="760"/>
      <c r="H10782" s="760"/>
      <c r="I10782" s="760"/>
      <c r="J10782" s="760"/>
      <c r="K10782" s="760"/>
    </row>
    <row r="10783" spans="1:11">
      <c r="A10783" s="760"/>
      <c r="B10783" s="760"/>
      <c r="C10783" s="760"/>
      <c r="D10783" s="760"/>
      <c r="E10783" s="760"/>
      <c r="F10783" s="760"/>
      <c r="G10783" s="760"/>
      <c r="H10783" s="760"/>
      <c r="I10783" s="760"/>
      <c r="J10783" s="760"/>
      <c r="K10783" s="760"/>
    </row>
    <row r="10784" spans="1:11">
      <c r="A10784" s="760"/>
      <c r="B10784" s="760"/>
      <c r="C10784" s="760"/>
      <c r="D10784" s="760"/>
      <c r="E10784" s="760"/>
      <c r="F10784" s="760"/>
      <c r="G10784" s="760"/>
      <c r="H10784" s="760"/>
      <c r="I10784" s="760"/>
      <c r="J10784" s="760"/>
      <c r="K10784" s="760"/>
    </row>
    <row r="10785" spans="1:11">
      <c r="A10785" s="760"/>
      <c r="B10785" s="760"/>
      <c r="C10785" s="760"/>
      <c r="D10785" s="760"/>
      <c r="E10785" s="760"/>
      <c r="F10785" s="760"/>
      <c r="G10785" s="760"/>
      <c r="H10785" s="760"/>
      <c r="I10785" s="760"/>
      <c r="J10785" s="760"/>
      <c r="K10785" s="760"/>
    </row>
    <row r="10786" spans="1:11">
      <c r="A10786" s="760"/>
      <c r="B10786" s="760"/>
      <c r="C10786" s="760"/>
      <c r="D10786" s="760"/>
      <c r="E10786" s="760"/>
      <c r="F10786" s="760"/>
      <c r="G10786" s="760"/>
      <c r="H10786" s="760"/>
      <c r="I10786" s="760"/>
      <c r="J10786" s="760"/>
      <c r="K10786" s="760"/>
    </row>
    <row r="10787" spans="1:11">
      <c r="A10787" s="760"/>
      <c r="B10787" s="760"/>
      <c r="C10787" s="760"/>
      <c r="D10787" s="760"/>
      <c r="E10787" s="760"/>
      <c r="F10787" s="760"/>
      <c r="G10787" s="760"/>
      <c r="H10787" s="760"/>
      <c r="I10787" s="760"/>
      <c r="J10787" s="760"/>
      <c r="K10787" s="760"/>
    </row>
    <row r="10788" spans="1:11">
      <c r="A10788" s="760"/>
      <c r="B10788" s="760"/>
      <c r="C10788" s="760"/>
      <c r="D10788" s="760"/>
      <c r="E10788" s="760"/>
      <c r="F10788" s="760"/>
      <c r="G10788" s="760"/>
      <c r="H10788" s="760"/>
      <c r="I10788" s="760"/>
      <c r="J10788" s="760"/>
      <c r="K10788" s="760"/>
    </row>
    <row r="10789" spans="1:11">
      <c r="A10789" s="760"/>
      <c r="B10789" s="760"/>
      <c r="C10789" s="760"/>
      <c r="D10789" s="760"/>
      <c r="E10789" s="760"/>
      <c r="F10789" s="760"/>
      <c r="G10789" s="760"/>
      <c r="H10789" s="760"/>
      <c r="I10789" s="760"/>
      <c r="J10789" s="760"/>
      <c r="K10789" s="760"/>
    </row>
    <row r="10790" spans="1:11">
      <c r="A10790" s="760"/>
      <c r="B10790" s="760"/>
      <c r="C10790" s="760"/>
      <c r="D10790" s="760"/>
      <c r="E10790" s="760"/>
      <c r="F10790" s="760"/>
      <c r="G10790" s="760"/>
      <c r="H10790" s="760"/>
      <c r="I10790" s="760"/>
      <c r="J10790" s="760"/>
      <c r="K10790" s="760"/>
    </row>
    <row r="10791" spans="1:11">
      <c r="A10791" s="760"/>
      <c r="B10791" s="760"/>
      <c r="C10791" s="760"/>
      <c r="D10791" s="760"/>
      <c r="E10791" s="760"/>
      <c r="F10791" s="760"/>
      <c r="G10791" s="760"/>
      <c r="H10791" s="760"/>
      <c r="I10791" s="760"/>
      <c r="J10791" s="760"/>
      <c r="K10791" s="760"/>
    </row>
    <row r="10792" spans="1:11">
      <c r="A10792" s="760"/>
      <c r="B10792" s="760"/>
      <c r="C10792" s="760"/>
      <c r="D10792" s="760"/>
      <c r="E10792" s="760"/>
      <c r="F10792" s="760"/>
      <c r="G10792" s="760"/>
      <c r="H10792" s="760"/>
      <c r="I10792" s="760"/>
      <c r="J10792" s="760"/>
      <c r="K10792" s="760"/>
    </row>
    <row r="10793" spans="1:11">
      <c r="A10793" s="760"/>
      <c r="B10793" s="760"/>
      <c r="C10793" s="760"/>
      <c r="D10793" s="760"/>
      <c r="E10793" s="760"/>
      <c r="F10793" s="760"/>
      <c r="G10793" s="760"/>
      <c r="H10793" s="760"/>
      <c r="I10793" s="760"/>
      <c r="J10793" s="760"/>
      <c r="K10793" s="760"/>
    </row>
    <row r="10794" spans="1:11">
      <c r="A10794" s="760"/>
      <c r="B10794" s="760"/>
      <c r="C10794" s="760"/>
      <c r="D10794" s="760"/>
      <c r="E10794" s="760"/>
      <c r="F10794" s="760"/>
      <c r="G10794" s="760"/>
      <c r="H10794" s="760"/>
      <c r="I10794" s="760"/>
      <c r="J10794" s="760"/>
      <c r="K10794" s="760"/>
    </row>
    <row r="10795" spans="1:11">
      <c r="A10795" s="760"/>
      <c r="B10795" s="760"/>
      <c r="C10795" s="760"/>
      <c r="D10795" s="760"/>
      <c r="E10795" s="760"/>
      <c r="F10795" s="760"/>
      <c r="G10795" s="760"/>
      <c r="H10795" s="760"/>
      <c r="I10795" s="760"/>
      <c r="J10795" s="760"/>
      <c r="K10795" s="760"/>
    </row>
    <row r="10796" spans="1:11">
      <c r="A10796" s="760"/>
      <c r="B10796" s="760"/>
      <c r="C10796" s="760"/>
      <c r="D10796" s="760"/>
      <c r="E10796" s="760"/>
      <c r="F10796" s="760"/>
      <c r="G10796" s="760"/>
      <c r="H10796" s="760"/>
      <c r="I10796" s="760"/>
      <c r="J10796" s="760"/>
      <c r="K10796" s="760"/>
    </row>
    <row r="10797" spans="1:11">
      <c r="A10797" s="760"/>
      <c r="B10797" s="760"/>
      <c r="C10797" s="760"/>
      <c r="D10797" s="760"/>
      <c r="E10797" s="760"/>
      <c r="F10797" s="760"/>
      <c r="G10797" s="760"/>
      <c r="H10797" s="760"/>
      <c r="I10797" s="760"/>
      <c r="J10797" s="760"/>
      <c r="K10797" s="760"/>
    </row>
    <row r="10798" spans="1:11">
      <c r="A10798" s="760"/>
      <c r="B10798" s="760"/>
      <c r="C10798" s="760"/>
      <c r="D10798" s="760"/>
      <c r="E10798" s="760"/>
      <c r="F10798" s="760"/>
      <c r="G10798" s="760"/>
      <c r="H10798" s="760"/>
      <c r="I10798" s="760"/>
      <c r="J10798" s="760"/>
      <c r="K10798" s="760"/>
    </row>
    <row r="10799" spans="1:11">
      <c r="A10799" s="760"/>
      <c r="B10799" s="760"/>
      <c r="C10799" s="760"/>
      <c r="D10799" s="760"/>
      <c r="E10799" s="760"/>
      <c r="F10799" s="760"/>
      <c r="G10799" s="760"/>
      <c r="H10799" s="760"/>
      <c r="I10799" s="760"/>
      <c r="J10799" s="760"/>
      <c r="K10799" s="760"/>
    </row>
    <row r="10800" spans="1:11">
      <c r="A10800" s="760"/>
      <c r="B10800" s="760"/>
      <c r="C10800" s="760"/>
      <c r="D10800" s="760"/>
      <c r="E10800" s="760"/>
      <c r="F10800" s="760"/>
      <c r="G10800" s="760"/>
      <c r="H10800" s="760"/>
      <c r="I10800" s="760"/>
      <c r="J10800" s="760"/>
      <c r="K10800" s="760"/>
    </row>
    <row r="10801" spans="1:11">
      <c r="A10801" s="760"/>
      <c r="B10801" s="760"/>
      <c r="C10801" s="760"/>
      <c r="D10801" s="760"/>
      <c r="E10801" s="760"/>
      <c r="F10801" s="760"/>
      <c r="G10801" s="760"/>
      <c r="H10801" s="760"/>
      <c r="I10801" s="760"/>
      <c r="J10801" s="760"/>
      <c r="K10801" s="760"/>
    </row>
    <row r="10802" spans="1:11">
      <c r="A10802" s="760"/>
      <c r="B10802" s="760"/>
      <c r="C10802" s="760"/>
      <c r="D10802" s="760"/>
      <c r="E10802" s="760"/>
      <c r="F10802" s="760"/>
      <c r="G10802" s="760"/>
      <c r="H10802" s="760"/>
      <c r="I10802" s="760"/>
      <c r="J10802" s="760"/>
      <c r="K10802" s="760"/>
    </row>
    <row r="10803" spans="1:11">
      <c r="A10803" s="760"/>
      <c r="B10803" s="760"/>
      <c r="C10803" s="760"/>
      <c r="D10803" s="760"/>
      <c r="E10803" s="760"/>
      <c r="F10803" s="760"/>
      <c r="G10803" s="760"/>
      <c r="H10803" s="760"/>
      <c r="I10803" s="760"/>
      <c r="J10803" s="760"/>
      <c r="K10803" s="760"/>
    </row>
    <row r="10804" spans="1:11">
      <c r="A10804" s="760"/>
      <c r="B10804" s="760"/>
      <c r="C10804" s="760"/>
      <c r="D10804" s="760"/>
      <c r="E10804" s="760"/>
      <c r="F10804" s="760"/>
      <c r="G10804" s="760"/>
      <c r="H10804" s="760"/>
      <c r="I10804" s="760"/>
      <c r="J10804" s="760"/>
      <c r="K10804" s="760"/>
    </row>
    <row r="10805" spans="1:11">
      <c r="A10805" s="760"/>
      <c r="B10805" s="760"/>
      <c r="C10805" s="760"/>
      <c r="D10805" s="760"/>
      <c r="E10805" s="760"/>
      <c r="F10805" s="760"/>
      <c r="G10805" s="760"/>
      <c r="H10805" s="760"/>
      <c r="I10805" s="760"/>
      <c r="J10805" s="760"/>
      <c r="K10805" s="760"/>
    </row>
    <row r="10806" spans="1:11">
      <c r="A10806" s="760"/>
      <c r="B10806" s="760"/>
      <c r="C10806" s="760"/>
      <c r="D10806" s="760"/>
      <c r="E10806" s="760"/>
      <c r="F10806" s="760"/>
      <c r="G10806" s="760"/>
      <c r="H10806" s="760"/>
      <c r="I10806" s="760"/>
      <c r="J10806" s="760"/>
      <c r="K10806" s="760"/>
    </row>
    <row r="10807" spans="1:11">
      <c r="A10807" s="760"/>
      <c r="B10807" s="760"/>
      <c r="C10807" s="760"/>
      <c r="D10807" s="760"/>
      <c r="E10807" s="760"/>
      <c r="F10807" s="760"/>
      <c r="G10807" s="760"/>
      <c r="H10807" s="760"/>
      <c r="I10807" s="760"/>
      <c r="J10807" s="760"/>
      <c r="K10807" s="760"/>
    </row>
    <row r="10808" spans="1:11">
      <c r="A10808" s="760"/>
      <c r="B10808" s="760"/>
      <c r="C10808" s="760"/>
      <c r="D10808" s="760"/>
      <c r="E10808" s="760"/>
      <c r="F10808" s="760"/>
      <c r="G10808" s="760"/>
      <c r="H10808" s="760"/>
      <c r="I10808" s="760"/>
      <c r="J10808" s="760"/>
      <c r="K10808" s="760"/>
    </row>
    <row r="10809" spans="1:11">
      <c r="A10809" s="760"/>
      <c r="B10809" s="760"/>
      <c r="C10809" s="760"/>
      <c r="D10809" s="760"/>
      <c r="E10809" s="760"/>
      <c r="F10809" s="760"/>
      <c r="G10809" s="760"/>
      <c r="H10809" s="760"/>
      <c r="I10809" s="760"/>
      <c r="J10809" s="760"/>
      <c r="K10809" s="760"/>
    </row>
    <row r="10810" spans="1:11">
      <c r="A10810" s="760"/>
      <c r="B10810" s="760"/>
      <c r="C10810" s="760"/>
      <c r="D10810" s="760"/>
      <c r="E10810" s="760"/>
      <c r="F10810" s="760"/>
      <c r="G10810" s="760"/>
      <c r="H10810" s="760"/>
      <c r="I10810" s="760"/>
      <c r="J10810" s="760"/>
      <c r="K10810" s="760"/>
    </row>
    <row r="10811" spans="1:11">
      <c r="A10811" s="760"/>
      <c r="B10811" s="760"/>
      <c r="C10811" s="760"/>
      <c r="D10811" s="760"/>
      <c r="E10811" s="760"/>
      <c r="F10811" s="760"/>
      <c r="G10811" s="760"/>
      <c r="H10811" s="760"/>
      <c r="I10811" s="760"/>
      <c r="J10811" s="760"/>
      <c r="K10811" s="760"/>
    </row>
    <row r="10812" spans="1:11">
      <c r="A10812" s="760"/>
      <c r="B10812" s="760"/>
      <c r="C10812" s="760"/>
      <c r="D10812" s="760"/>
      <c r="E10812" s="760"/>
      <c r="F10812" s="760"/>
      <c r="G10812" s="760"/>
      <c r="H10812" s="760"/>
      <c r="I10812" s="760"/>
      <c r="J10812" s="760"/>
      <c r="K10812" s="760"/>
    </row>
    <row r="10813" spans="1:11">
      <c r="A10813" s="760"/>
      <c r="B10813" s="760"/>
      <c r="C10813" s="760"/>
      <c r="D10813" s="760"/>
      <c r="E10813" s="760"/>
      <c r="F10813" s="760"/>
      <c r="G10813" s="760"/>
      <c r="H10813" s="760"/>
      <c r="I10813" s="760"/>
      <c r="J10813" s="760"/>
      <c r="K10813" s="760"/>
    </row>
    <row r="10814" spans="1:11">
      <c r="A10814" s="760"/>
      <c r="B10814" s="760"/>
      <c r="C10814" s="760"/>
      <c r="D10814" s="760"/>
      <c r="E10814" s="760"/>
      <c r="F10814" s="760"/>
      <c r="G10814" s="760"/>
      <c r="H10814" s="760"/>
      <c r="I10814" s="760"/>
      <c r="J10814" s="760"/>
      <c r="K10814" s="760"/>
    </row>
    <row r="10815" spans="1:11">
      <c r="A10815" s="760"/>
      <c r="B10815" s="760"/>
      <c r="C10815" s="760"/>
      <c r="D10815" s="760"/>
      <c r="E10815" s="760"/>
      <c r="F10815" s="760"/>
      <c r="G10815" s="760"/>
      <c r="H10815" s="760"/>
      <c r="I10815" s="760"/>
      <c r="J10815" s="760"/>
      <c r="K10815" s="760"/>
    </row>
    <row r="10816" spans="1:11">
      <c r="A10816" s="760"/>
      <c r="B10816" s="760"/>
      <c r="C10816" s="760"/>
      <c r="D10816" s="760"/>
      <c r="E10816" s="760"/>
      <c r="F10816" s="760"/>
      <c r="G10816" s="760"/>
      <c r="H10816" s="760"/>
      <c r="I10816" s="760"/>
      <c r="J10816" s="760"/>
      <c r="K10816" s="760"/>
    </row>
    <row r="10817" spans="1:11">
      <c r="A10817" s="760"/>
      <c r="B10817" s="760"/>
      <c r="C10817" s="760"/>
      <c r="D10817" s="760"/>
      <c r="E10817" s="760"/>
      <c r="F10817" s="760"/>
      <c r="G10817" s="760"/>
      <c r="H10817" s="760"/>
      <c r="I10817" s="760"/>
      <c r="J10817" s="760"/>
      <c r="K10817" s="760"/>
    </row>
    <row r="10818" spans="1:11">
      <c r="A10818" s="760"/>
      <c r="B10818" s="760"/>
      <c r="C10818" s="760"/>
      <c r="D10818" s="760"/>
      <c r="E10818" s="760"/>
      <c r="F10818" s="760"/>
      <c r="G10818" s="760"/>
      <c r="H10818" s="760"/>
      <c r="I10818" s="760"/>
      <c r="J10818" s="760"/>
      <c r="K10818" s="760"/>
    </row>
    <row r="10819" spans="1:11">
      <c r="A10819" s="760"/>
      <c r="B10819" s="760"/>
      <c r="C10819" s="760"/>
      <c r="D10819" s="760"/>
      <c r="E10819" s="760"/>
      <c r="F10819" s="760"/>
      <c r="G10819" s="760"/>
      <c r="H10819" s="760"/>
      <c r="I10819" s="760"/>
      <c r="J10819" s="760"/>
      <c r="K10819" s="760"/>
    </row>
    <row r="10820" spans="1:11">
      <c r="A10820" s="760"/>
      <c r="B10820" s="760"/>
      <c r="C10820" s="760"/>
      <c r="D10820" s="760"/>
      <c r="E10820" s="760"/>
      <c r="F10820" s="760"/>
      <c r="G10820" s="760"/>
      <c r="H10820" s="760"/>
      <c r="I10820" s="760"/>
      <c r="J10820" s="760"/>
      <c r="K10820" s="760"/>
    </row>
    <row r="10821" spans="1:11">
      <c r="A10821" s="760"/>
      <c r="B10821" s="760"/>
      <c r="C10821" s="760"/>
      <c r="D10821" s="760"/>
      <c r="E10821" s="760"/>
      <c r="F10821" s="760"/>
      <c r="G10821" s="760"/>
      <c r="H10821" s="760"/>
      <c r="I10821" s="760"/>
      <c r="J10821" s="760"/>
      <c r="K10821" s="760"/>
    </row>
    <row r="10822" spans="1:11">
      <c r="A10822" s="760"/>
      <c r="B10822" s="760"/>
      <c r="C10822" s="760"/>
      <c r="D10822" s="760"/>
      <c r="E10822" s="760"/>
      <c r="F10822" s="760"/>
      <c r="G10822" s="760"/>
      <c r="H10822" s="760"/>
      <c r="I10822" s="760"/>
      <c r="J10822" s="760"/>
      <c r="K10822" s="760"/>
    </row>
    <row r="10823" spans="1:11">
      <c r="A10823" s="760"/>
      <c r="B10823" s="760"/>
      <c r="C10823" s="760"/>
      <c r="D10823" s="760"/>
      <c r="E10823" s="760"/>
      <c r="F10823" s="760"/>
      <c r="G10823" s="760"/>
      <c r="H10823" s="760"/>
      <c r="I10823" s="760"/>
      <c r="J10823" s="760"/>
      <c r="K10823" s="760"/>
    </row>
    <row r="10824" spans="1:11">
      <c r="A10824" s="760"/>
      <c r="B10824" s="760"/>
      <c r="C10824" s="760"/>
      <c r="D10824" s="760"/>
      <c r="E10824" s="760"/>
      <c r="F10824" s="760"/>
      <c r="G10824" s="760"/>
      <c r="H10824" s="760"/>
      <c r="I10824" s="760"/>
      <c r="J10824" s="760"/>
      <c r="K10824" s="760"/>
    </row>
    <row r="10825" spans="1:11">
      <c r="A10825" s="760"/>
      <c r="B10825" s="760"/>
      <c r="C10825" s="760"/>
      <c r="D10825" s="760"/>
      <c r="E10825" s="760"/>
      <c r="F10825" s="760"/>
      <c r="G10825" s="760"/>
      <c r="H10825" s="760"/>
      <c r="I10825" s="760"/>
      <c r="J10825" s="760"/>
      <c r="K10825" s="760"/>
    </row>
    <row r="10826" spans="1:11">
      <c r="A10826" s="760"/>
      <c r="B10826" s="760"/>
      <c r="C10826" s="760"/>
      <c r="D10826" s="760"/>
      <c r="E10826" s="760"/>
      <c r="F10826" s="760"/>
      <c r="G10826" s="760"/>
      <c r="H10826" s="760"/>
      <c r="I10826" s="760"/>
      <c r="J10826" s="760"/>
      <c r="K10826" s="760"/>
    </row>
    <row r="10827" spans="1:11">
      <c r="A10827" s="760"/>
      <c r="B10827" s="760"/>
      <c r="C10827" s="760"/>
      <c r="D10827" s="760"/>
      <c r="E10827" s="760"/>
      <c r="F10827" s="760"/>
      <c r="G10827" s="760"/>
      <c r="H10827" s="760"/>
      <c r="I10827" s="760"/>
      <c r="J10827" s="760"/>
      <c r="K10827" s="760"/>
    </row>
    <row r="10828" spans="1:11">
      <c r="A10828" s="760"/>
      <c r="B10828" s="760"/>
      <c r="C10828" s="760"/>
      <c r="D10828" s="760"/>
      <c r="E10828" s="760"/>
      <c r="F10828" s="760"/>
      <c r="G10828" s="760"/>
      <c r="H10828" s="760"/>
      <c r="I10828" s="760"/>
      <c r="J10828" s="760"/>
      <c r="K10828" s="760"/>
    </row>
    <row r="10829" spans="1:11">
      <c r="A10829" s="760"/>
      <c r="B10829" s="760"/>
      <c r="C10829" s="760"/>
      <c r="D10829" s="760"/>
      <c r="E10829" s="760"/>
      <c r="F10829" s="760"/>
      <c r="G10829" s="760"/>
      <c r="H10829" s="760"/>
      <c r="I10829" s="760"/>
      <c r="J10829" s="760"/>
      <c r="K10829" s="760"/>
    </row>
    <row r="10830" spans="1:11">
      <c r="A10830" s="760"/>
      <c r="B10830" s="760"/>
      <c r="C10830" s="760"/>
      <c r="D10830" s="760"/>
      <c r="E10830" s="760"/>
      <c r="F10830" s="760"/>
      <c r="G10830" s="760"/>
      <c r="H10830" s="760"/>
      <c r="I10830" s="760"/>
      <c r="J10830" s="760"/>
      <c r="K10830" s="760"/>
    </row>
    <row r="10831" spans="1:11">
      <c r="A10831" s="760"/>
      <c r="B10831" s="760"/>
      <c r="C10831" s="760"/>
      <c r="D10831" s="760"/>
      <c r="E10831" s="760"/>
      <c r="F10831" s="760"/>
      <c r="G10831" s="760"/>
      <c r="H10831" s="760"/>
      <c r="I10831" s="760"/>
      <c r="J10831" s="760"/>
      <c r="K10831" s="760"/>
    </row>
    <row r="10832" spans="1:11">
      <c r="A10832" s="760"/>
      <c r="B10832" s="760"/>
      <c r="C10832" s="760"/>
      <c r="D10832" s="760"/>
      <c r="E10832" s="760"/>
      <c r="F10832" s="760"/>
      <c r="G10832" s="760"/>
      <c r="H10832" s="760"/>
      <c r="I10832" s="760"/>
      <c r="J10832" s="760"/>
      <c r="K10832" s="760"/>
    </row>
    <row r="10833" spans="1:11">
      <c r="A10833" s="760"/>
      <c r="B10833" s="760"/>
      <c r="C10833" s="760"/>
      <c r="D10833" s="760"/>
      <c r="E10833" s="760"/>
      <c r="F10833" s="760"/>
      <c r="G10833" s="760"/>
      <c r="H10833" s="760"/>
      <c r="I10833" s="760"/>
      <c r="J10833" s="760"/>
      <c r="K10833" s="760"/>
    </row>
    <row r="10834" spans="1:11">
      <c r="A10834" s="760"/>
      <c r="B10834" s="760"/>
      <c r="C10834" s="760"/>
      <c r="D10834" s="760"/>
      <c r="E10834" s="760"/>
      <c r="F10834" s="760"/>
      <c r="G10834" s="760"/>
      <c r="H10834" s="760"/>
      <c r="I10834" s="760"/>
      <c r="J10834" s="760"/>
      <c r="K10834" s="760"/>
    </row>
    <row r="10835" spans="1:11">
      <c r="A10835" s="760"/>
      <c r="B10835" s="760"/>
      <c r="C10835" s="760"/>
      <c r="D10835" s="760"/>
      <c r="E10835" s="760"/>
      <c r="F10835" s="760"/>
      <c r="G10835" s="760"/>
      <c r="H10835" s="760"/>
      <c r="I10835" s="760"/>
      <c r="J10835" s="760"/>
      <c r="K10835" s="760"/>
    </row>
    <row r="10836" spans="1:11">
      <c r="A10836" s="760"/>
      <c r="B10836" s="760"/>
      <c r="C10836" s="760"/>
      <c r="D10836" s="760"/>
      <c r="E10836" s="760"/>
      <c r="F10836" s="760"/>
      <c r="G10836" s="760"/>
      <c r="H10836" s="760"/>
      <c r="I10836" s="760"/>
      <c r="J10836" s="760"/>
      <c r="K10836" s="760"/>
    </row>
    <row r="10837" spans="1:11">
      <c r="A10837" s="760"/>
      <c r="B10837" s="760"/>
      <c r="C10837" s="760"/>
      <c r="D10837" s="760"/>
      <c r="E10837" s="760"/>
      <c r="F10837" s="760"/>
      <c r="G10837" s="760"/>
      <c r="H10837" s="760"/>
      <c r="I10837" s="760"/>
      <c r="J10837" s="760"/>
      <c r="K10837" s="760"/>
    </row>
    <row r="10838" spans="1:11">
      <c r="A10838" s="760"/>
      <c r="B10838" s="760"/>
      <c r="C10838" s="760"/>
      <c r="D10838" s="760"/>
      <c r="E10838" s="760"/>
      <c r="F10838" s="760"/>
      <c r="G10838" s="760"/>
      <c r="H10838" s="760"/>
      <c r="I10838" s="760"/>
      <c r="J10838" s="760"/>
      <c r="K10838" s="760"/>
    </row>
    <row r="10839" spans="1:11">
      <c r="A10839" s="760"/>
      <c r="B10839" s="760"/>
      <c r="C10839" s="760"/>
      <c r="D10839" s="760"/>
      <c r="E10839" s="760"/>
      <c r="F10839" s="760"/>
      <c r="G10839" s="760"/>
      <c r="H10839" s="760"/>
      <c r="I10839" s="760"/>
      <c r="J10839" s="760"/>
      <c r="K10839" s="760"/>
    </row>
    <row r="10840" spans="1:11">
      <c r="A10840" s="760"/>
      <c r="B10840" s="760"/>
      <c r="C10840" s="760"/>
      <c r="D10840" s="760"/>
      <c r="E10840" s="760"/>
      <c r="F10840" s="760"/>
      <c r="G10840" s="760"/>
      <c r="H10840" s="760"/>
      <c r="I10840" s="760"/>
      <c r="J10840" s="760"/>
      <c r="K10840" s="760"/>
    </row>
    <row r="10841" spans="1:11">
      <c r="A10841" s="760"/>
      <c r="B10841" s="760"/>
      <c r="C10841" s="760"/>
      <c r="D10841" s="760"/>
      <c r="E10841" s="760"/>
      <c r="F10841" s="760"/>
      <c r="G10841" s="760"/>
      <c r="H10841" s="760"/>
      <c r="I10841" s="760"/>
      <c r="J10841" s="760"/>
      <c r="K10841" s="760"/>
    </row>
    <row r="10842" spans="1:11">
      <c r="A10842" s="760"/>
      <c r="B10842" s="760"/>
      <c r="C10842" s="760"/>
      <c r="D10842" s="760"/>
      <c r="E10842" s="760"/>
      <c r="F10842" s="760"/>
      <c r="G10842" s="760"/>
      <c r="H10842" s="760"/>
      <c r="I10842" s="760"/>
      <c r="J10842" s="760"/>
      <c r="K10842" s="760"/>
    </row>
    <row r="10843" spans="1:11">
      <c r="A10843" s="760"/>
      <c r="B10843" s="760"/>
      <c r="C10843" s="760"/>
      <c r="D10843" s="760"/>
      <c r="E10843" s="760"/>
      <c r="F10843" s="760"/>
      <c r="G10843" s="760"/>
      <c r="H10843" s="760"/>
      <c r="I10843" s="760"/>
      <c r="J10843" s="760"/>
      <c r="K10843" s="760"/>
    </row>
    <row r="10844" spans="1:11">
      <c r="A10844" s="760"/>
      <c r="B10844" s="760"/>
      <c r="C10844" s="760"/>
      <c r="D10844" s="760"/>
      <c r="E10844" s="760"/>
      <c r="F10844" s="760"/>
      <c r="G10844" s="760"/>
      <c r="H10844" s="760"/>
      <c r="I10844" s="760"/>
      <c r="J10844" s="760"/>
      <c r="K10844" s="760"/>
    </row>
    <row r="10845" spans="1:11">
      <c r="A10845" s="760"/>
      <c r="B10845" s="760"/>
      <c r="C10845" s="760"/>
      <c r="D10845" s="760"/>
      <c r="E10845" s="760"/>
      <c r="F10845" s="760"/>
      <c r="G10845" s="760"/>
      <c r="H10845" s="760"/>
      <c r="I10845" s="760"/>
      <c r="J10845" s="760"/>
      <c r="K10845" s="760"/>
    </row>
    <row r="10846" spans="1:11">
      <c r="A10846" s="760"/>
      <c r="B10846" s="760"/>
      <c r="C10846" s="760"/>
      <c r="D10846" s="760"/>
      <c r="E10846" s="760"/>
      <c r="F10846" s="760"/>
      <c r="G10846" s="760"/>
      <c r="H10846" s="760"/>
      <c r="I10846" s="760"/>
      <c r="J10846" s="760"/>
      <c r="K10846" s="760"/>
    </row>
    <row r="10847" spans="1:11">
      <c r="A10847" s="760"/>
      <c r="B10847" s="760"/>
      <c r="C10847" s="760"/>
      <c r="D10847" s="760"/>
      <c r="E10847" s="760"/>
      <c r="F10847" s="760"/>
      <c r="G10847" s="760"/>
      <c r="H10847" s="760"/>
      <c r="I10847" s="760"/>
      <c r="J10847" s="760"/>
      <c r="K10847" s="760"/>
    </row>
    <row r="10848" spans="1:11">
      <c r="A10848" s="760"/>
      <c r="B10848" s="760"/>
      <c r="C10848" s="760"/>
      <c r="D10848" s="760"/>
      <c r="E10848" s="760"/>
      <c r="F10848" s="760"/>
      <c r="G10848" s="760"/>
      <c r="H10848" s="760"/>
      <c r="I10848" s="760"/>
      <c r="J10848" s="760"/>
      <c r="K10848" s="760"/>
    </row>
    <row r="10849" spans="1:11">
      <c r="A10849" s="760"/>
      <c r="B10849" s="760"/>
      <c r="C10849" s="760"/>
      <c r="D10849" s="760"/>
      <c r="E10849" s="760"/>
      <c r="F10849" s="760"/>
      <c r="G10849" s="760"/>
      <c r="H10849" s="760"/>
      <c r="I10849" s="760"/>
      <c r="J10849" s="760"/>
      <c r="K10849" s="760"/>
    </row>
    <row r="10850" spans="1:11">
      <c r="A10850" s="760"/>
      <c r="B10850" s="760"/>
      <c r="C10850" s="760"/>
      <c r="D10850" s="760"/>
      <c r="E10850" s="760"/>
      <c r="F10850" s="760"/>
      <c r="G10850" s="760"/>
      <c r="H10850" s="760"/>
      <c r="I10850" s="760"/>
      <c r="J10850" s="760"/>
      <c r="K10850" s="760"/>
    </row>
    <row r="10851" spans="1:11">
      <c r="A10851" s="760"/>
      <c r="B10851" s="760"/>
      <c r="C10851" s="760"/>
      <c r="D10851" s="760"/>
      <c r="E10851" s="760"/>
      <c r="F10851" s="760"/>
      <c r="G10851" s="760"/>
      <c r="H10851" s="760"/>
      <c r="I10851" s="760"/>
      <c r="J10851" s="760"/>
      <c r="K10851" s="760"/>
    </row>
    <row r="10852" spans="1:11">
      <c r="A10852" s="760"/>
      <c r="B10852" s="760"/>
      <c r="C10852" s="760"/>
      <c r="D10852" s="760"/>
      <c r="E10852" s="760"/>
      <c r="F10852" s="760"/>
      <c r="G10852" s="760"/>
      <c r="H10852" s="760"/>
      <c r="I10852" s="760"/>
      <c r="J10852" s="760"/>
      <c r="K10852" s="760"/>
    </row>
    <row r="10853" spans="1:11">
      <c r="A10853" s="760"/>
      <c r="B10853" s="760"/>
      <c r="C10853" s="760"/>
      <c r="D10853" s="760"/>
      <c r="E10853" s="760"/>
      <c r="F10853" s="760"/>
      <c r="G10853" s="760"/>
      <c r="H10853" s="760"/>
      <c r="I10853" s="760"/>
      <c r="J10853" s="760"/>
      <c r="K10853" s="760"/>
    </row>
    <row r="10854" spans="1:11">
      <c r="A10854" s="760"/>
      <c r="B10854" s="760"/>
      <c r="C10854" s="760"/>
      <c r="D10854" s="760"/>
      <c r="E10854" s="760"/>
      <c r="F10854" s="760"/>
      <c r="G10854" s="760"/>
      <c r="H10854" s="760"/>
      <c r="I10854" s="760"/>
      <c r="J10854" s="760"/>
      <c r="K10854" s="760"/>
    </row>
    <row r="10855" spans="1:11">
      <c r="A10855" s="760"/>
      <c r="B10855" s="760"/>
      <c r="C10855" s="760"/>
      <c r="D10855" s="760"/>
      <c r="E10855" s="760"/>
      <c r="F10855" s="760"/>
      <c r="G10855" s="760"/>
      <c r="H10855" s="760"/>
      <c r="I10855" s="760"/>
      <c r="J10855" s="760"/>
      <c r="K10855" s="760"/>
    </row>
    <row r="10856" spans="1:11">
      <c r="A10856" s="760"/>
      <c r="B10856" s="760"/>
      <c r="C10856" s="760"/>
      <c r="D10856" s="760"/>
      <c r="E10856" s="760"/>
      <c r="F10856" s="760"/>
      <c r="G10856" s="760"/>
      <c r="H10856" s="760"/>
      <c r="I10856" s="760"/>
      <c r="J10856" s="760"/>
      <c r="K10856" s="760"/>
    </row>
    <row r="10857" spans="1:11">
      <c r="A10857" s="760"/>
      <c r="B10857" s="760"/>
      <c r="C10857" s="760"/>
      <c r="D10857" s="760"/>
      <c r="E10857" s="760"/>
      <c r="F10857" s="760"/>
      <c r="G10857" s="760"/>
      <c r="H10857" s="760"/>
      <c r="I10857" s="760"/>
      <c r="J10857" s="760"/>
      <c r="K10857" s="760"/>
    </row>
    <row r="10858" spans="1:11">
      <c r="A10858" s="760"/>
      <c r="B10858" s="760"/>
      <c r="C10858" s="760"/>
      <c r="D10858" s="760"/>
      <c r="E10858" s="760"/>
      <c r="F10858" s="760"/>
      <c r="G10858" s="760"/>
      <c r="H10858" s="760"/>
      <c r="I10858" s="760"/>
      <c r="J10858" s="760"/>
      <c r="K10858" s="760"/>
    </row>
    <row r="10859" spans="1:11">
      <c r="A10859" s="760"/>
      <c r="B10859" s="760"/>
      <c r="C10859" s="760"/>
      <c r="D10859" s="760"/>
      <c r="E10859" s="760"/>
      <c r="F10859" s="760"/>
      <c r="G10859" s="760"/>
      <c r="H10859" s="760"/>
      <c r="I10859" s="760"/>
      <c r="J10859" s="760"/>
      <c r="K10859" s="760"/>
    </row>
    <row r="10860" spans="1:11">
      <c r="A10860" s="760"/>
      <c r="B10860" s="760"/>
      <c r="C10860" s="760"/>
      <c r="D10860" s="760"/>
      <c r="E10860" s="760"/>
      <c r="F10860" s="760"/>
      <c r="G10860" s="760"/>
      <c r="H10860" s="760"/>
      <c r="I10860" s="760"/>
      <c r="J10860" s="760"/>
      <c r="K10860" s="760"/>
    </row>
    <row r="10861" spans="1:11">
      <c r="A10861" s="760"/>
      <c r="B10861" s="760"/>
      <c r="C10861" s="760"/>
      <c r="D10861" s="760"/>
      <c r="E10861" s="760"/>
      <c r="F10861" s="760"/>
      <c r="G10861" s="760"/>
      <c r="H10861" s="760"/>
      <c r="I10861" s="760"/>
      <c r="J10861" s="760"/>
      <c r="K10861" s="760"/>
    </row>
    <row r="10862" spans="1:11">
      <c r="A10862" s="760"/>
      <c r="B10862" s="760"/>
      <c r="C10862" s="760"/>
      <c r="D10862" s="760"/>
      <c r="E10862" s="760"/>
      <c r="F10862" s="760"/>
      <c r="G10862" s="760"/>
      <c r="H10862" s="760"/>
      <c r="I10862" s="760"/>
      <c r="J10862" s="760"/>
      <c r="K10862" s="760"/>
    </row>
    <row r="10863" spans="1:11">
      <c r="A10863" s="760"/>
      <c r="B10863" s="760"/>
      <c r="C10863" s="760"/>
      <c r="D10863" s="760"/>
      <c r="E10863" s="760"/>
      <c r="F10863" s="760"/>
      <c r="G10863" s="760"/>
      <c r="H10863" s="760"/>
      <c r="I10863" s="760"/>
      <c r="J10863" s="760"/>
      <c r="K10863" s="760"/>
    </row>
    <row r="10864" spans="1:11">
      <c r="A10864" s="760"/>
      <c r="B10864" s="760"/>
      <c r="C10864" s="760"/>
      <c r="D10864" s="760"/>
      <c r="E10864" s="760"/>
      <c r="F10864" s="760"/>
      <c r="G10864" s="760"/>
      <c r="H10864" s="760"/>
      <c r="I10864" s="760"/>
      <c r="J10864" s="760"/>
      <c r="K10864" s="760"/>
    </row>
    <row r="10865" spans="1:11">
      <c r="A10865" s="760"/>
      <c r="B10865" s="760"/>
      <c r="C10865" s="760"/>
      <c r="D10865" s="760"/>
      <c r="E10865" s="760"/>
      <c r="F10865" s="760"/>
      <c r="G10865" s="760"/>
      <c r="H10865" s="760"/>
      <c r="I10865" s="760"/>
      <c r="J10865" s="760"/>
      <c r="K10865" s="760"/>
    </row>
    <row r="10866" spans="1:11">
      <c r="A10866" s="760"/>
      <c r="B10866" s="760"/>
      <c r="C10866" s="760"/>
      <c r="D10866" s="760"/>
      <c r="E10866" s="760"/>
      <c r="F10866" s="760"/>
      <c r="G10866" s="760"/>
      <c r="H10866" s="760"/>
      <c r="I10866" s="760"/>
      <c r="J10866" s="760"/>
      <c r="K10866" s="760"/>
    </row>
    <row r="10867" spans="1:11">
      <c r="A10867" s="760"/>
      <c r="B10867" s="760"/>
      <c r="C10867" s="760"/>
      <c r="D10867" s="760"/>
      <c r="E10867" s="760"/>
      <c r="F10867" s="760"/>
      <c r="G10867" s="760"/>
      <c r="H10867" s="760"/>
      <c r="I10867" s="760"/>
      <c r="J10867" s="760"/>
      <c r="K10867" s="760"/>
    </row>
    <row r="10868" spans="1:11">
      <c r="A10868" s="760"/>
      <c r="B10868" s="760"/>
      <c r="C10868" s="760"/>
      <c r="D10868" s="760"/>
      <c r="E10868" s="760"/>
      <c r="F10868" s="760"/>
      <c r="G10868" s="760"/>
      <c r="H10868" s="760"/>
      <c r="I10868" s="760"/>
      <c r="J10868" s="760"/>
      <c r="K10868" s="760"/>
    </row>
    <row r="10869" spans="1:11">
      <c r="A10869" s="760"/>
      <c r="B10869" s="760"/>
      <c r="C10869" s="760"/>
      <c r="D10869" s="760"/>
      <c r="E10869" s="760"/>
      <c r="F10869" s="760"/>
      <c r="G10869" s="760"/>
      <c r="H10869" s="760"/>
      <c r="I10869" s="760"/>
      <c r="J10869" s="760"/>
      <c r="K10869" s="760"/>
    </row>
    <row r="10870" spans="1:11">
      <c r="A10870" s="760"/>
      <c r="B10870" s="760"/>
      <c r="C10870" s="760"/>
      <c r="D10870" s="760"/>
      <c r="E10870" s="760"/>
      <c r="F10870" s="760"/>
      <c r="G10870" s="760"/>
      <c r="H10870" s="760"/>
      <c r="I10870" s="760"/>
      <c r="J10870" s="760"/>
      <c r="K10870" s="760"/>
    </row>
    <row r="10871" spans="1:11">
      <c r="A10871" s="760"/>
      <c r="B10871" s="760"/>
      <c r="C10871" s="760"/>
      <c r="D10871" s="760"/>
      <c r="E10871" s="760"/>
      <c r="F10871" s="760"/>
      <c r="G10871" s="760"/>
      <c r="H10871" s="760"/>
      <c r="I10871" s="760"/>
      <c r="J10871" s="760"/>
      <c r="K10871" s="760"/>
    </row>
    <row r="10872" spans="1:11">
      <c r="A10872" s="760"/>
      <c r="B10872" s="760"/>
      <c r="C10872" s="760"/>
      <c r="D10872" s="760"/>
      <c r="E10872" s="760"/>
      <c r="F10872" s="760"/>
      <c r="G10872" s="760"/>
      <c r="H10872" s="760"/>
      <c r="I10872" s="760"/>
      <c r="J10872" s="760"/>
      <c r="K10872" s="760"/>
    </row>
    <row r="10873" spans="1:11">
      <c r="A10873" s="760"/>
      <c r="B10873" s="760"/>
      <c r="C10873" s="760"/>
      <c r="D10873" s="760"/>
      <c r="E10873" s="760"/>
      <c r="F10873" s="760"/>
      <c r="G10873" s="760"/>
      <c r="H10873" s="760"/>
      <c r="I10873" s="760"/>
      <c r="J10873" s="760"/>
      <c r="K10873" s="760"/>
    </row>
    <row r="10874" spans="1:11">
      <c r="A10874" s="760"/>
      <c r="B10874" s="760"/>
      <c r="C10874" s="760"/>
      <c r="D10874" s="760"/>
      <c r="E10874" s="760"/>
      <c r="F10874" s="760"/>
      <c r="G10874" s="760"/>
      <c r="H10874" s="760"/>
      <c r="I10874" s="760"/>
      <c r="J10874" s="760"/>
      <c r="K10874" s="760"/>
    </row>
    <row r="10875" spans="1:11">
      <c r="A10875" s="760"/>
      <c r="B10875" s="760"/>
      <c r="C10875" s="760"/>
      <c r="D10875" s="760"/>
      <c r="E10875" s="760"/>
      <c r="F10875" s="760"/>
      <c r="G10875" s="760"/>
      <c r="H10875" s="760"/>
      <c r="I10875" s="760"/>
      <c r="J10875" s="760"/>
      <c r="K10875" s="760"/>
    </row>
    <row r="10876" spans="1:11">
      <c r="A10876" s="760"/>
      <c r="B10876" s="760"/>
      <c r="C10876" s="760"/>
      <c r="D10876" s="760"/>
      <c r="E10876" s="760"/>
      <c r="F10876" s="760"/>
      <c r="G10876" s="760"/>
      <c r="H10876" s="760"/>
      <c r="I10876" s="760"/>
      <c r="J10876" s="760"/>
      <c r="K10876" s="760"/>
    </row>
    <row r="10877" spans="1:11">
      <c r="A10877" s="760"/>
      <c r="B10877" s="760"/>
      <c r="C10877" s="760"/>
      <c r="D10877" s="760"/>
      <c r="E10877" s="760"/>
      <c r="F10877" s="760"/>
      <c r="G10877" s="760"/>
      <c r="H10877" s="760"/>
      <c r="I10877" s="760"/>
      <c r="J10877" s="760"/>
      <c r="K10877" s="760"/>
    </row>
    <row r="10878" spans="1:11">
      <c r="A10878" s="760"/>
      <c r="B10878" s="760"/>
      <c r="C10878" s="760"/>
      <c r="D10878" s="760"/>
      <c r="E10878" s="760"/>
      <c r="F10878" s="760"/>
      <c r="G10878" s="760"/>
      <c r="H10878" s="760"/>
      <c r="I10878" s="760"/>
      <c r="J10878" s="760"/>
      <c r="K10878" s="760"/>
    </row>
    <row r="10879" spans="1:11">
      <c r="A10879" s="760"/>
      <c r="B10879" s="760"/>
      <c r="C10879" s="760"/>
      <c r="D10879" s="760"/>
      <c r="E10879" s="760"/>
      <c r="F10879" s="760"/>
      <c r="G10879" s="760"/>
      <c r="H10879" s="760"/>
      <c r="I10879" s="760"/>
      <c r="J10879" s="760"/>
      <c r="K10879" s="760"/>
    </row>
    <row r="10880" spans="1:11">
      <c r="A10880" s="760"/>
      <c r="B10880" s="760"/>
      <c r="C10880" s="760"/>
      <c r="D10880" s="760"/>
      <c r="E10880" s="760"/>
      <c r="F10880" s="760"/>
      <c r="G10880" s="760"/>
      <c r="H10880" s="760"/>
      <c r="I10880" s="760"/>
      <c r="J10880" s="760"/>
      <c r="K10880" s="760"/>
    </row>
    <row r="10881" spans="1:11">
      <c r="A10881" s="760"/>
      <c r="B10881" s="760"/>
      <c r="C10881" s="760"/>
      <c r="D10881" s="760"/>
      <c r="E10881" s="760"/>
      <c r="F10881" s="760"/>
      <c r="G10881" s="760"/>
      <c r="H10881" s="760"/>
      <c r="I10881" s="760"/>
      <c r="J10881" s="760"/>
      <c r="K10881" s="760"/>
    </row>
    <row r="10882" spans="1:11">
      <c r="A10882" s="760"/>
      <c r="B10882" s="760"/>
      <c r="C10882" s="760"/>
      <c r="D10882" s="760"/>
      <c r="E10882" s="760"/>
      <c r="F10882" s="760"/>
      <c r="G10882" s="760"/>
      <c r="H10882" s="760"/>
      <c r="I10882" s="760"/>
      <c r="J10882" s="760"/>
      <c r="K10882" s="760"/>
    </row>
    <row r="10883" spans="1:11">
      <c r="A10883" s="760"/>
      <c r="B10883" s="760"/>
      <c r="C10883" s="760"/>
      <c r="D10883" s="760"/>
      <c r="E10883" s="760"/>
      <c r="F10883" s="760"/>
      <c r="G10883" s="760"/>
      <c r="H10883" s="760"/>
      <c r="I10883" s="760"/>
      <c r="J10883" s="760"/>
      <c r="K10883" s="760"/>
    </row>
    <row r="10884" spans="1:11">
      <c r="A10884" s="760"/>
      <c r="B10884" s="760"/>
      <c r="C10884" s="760"/>
      <c r="D10884" s="760"/>
      <c r="E10884" s="760"/>
      <c r="F10884" s="760"/>
      <c r="G10884" s="760"/>
      <c r="H10884" s="760"/>
      <c r="I10884" s="760"/>
      <c r="J10884" s="760"/>
      <c r="K10884" s="760"/>
    </row>
    <row r="10885" spans="1:11">
      <c r="A10885" s="760"/>
      <c r="B10885" s="760"/>
      <c r="C10885" s="760"/>
      <c r="D10885" s="760"/>
      <c r="E10885" s="760"/>
      <c r="F10885" s="760"/>
      <c r="G10885" s="760"/>
      <c r="H10885" s="760"/>
      <c r="I10885" s="760"/>
      <c r="J10885" s="760"/>
      <c r="K10885" s="760"/>
    </row>
    <row r="10886" spans="1:11">
      <c r="A10886" s="760"/>
      <c r="B10886" s="760"/>
      <c r="C10886" s="760"/>
      <c r="D10886" s="760"/>
      <c r="E10886" s="760"/>
      <c r="F10886" s="760"/>
      <c r="G10886" s="760"/>
      <c r="H10886" s="760"/>
      <c r="I10886" s="760"/>
      <c r="J10886" s="760"/>
      <c r="K10886" s="760"/>
    </row>
    <row r="10887" spans="1:11">
      <c r="A10887" s="760"/>
      <c r="B10887" s="760"/>
      <c r="C10887" s="760"/>
      <c r="D10887" s="760"/>
      <c r="E10887" s="760"/>
      <c r="F10887" s="760"/>
      <c r="G10887" s="760"/>
      <c r="H10887" s="760"/>
      <c r="I10887" s="760"/>
      <c r="J10887" s="760"/>
      <c r="K10887" s="760"/>
    </row>
    <row r="10888" spans="1:11">
      <c r="A10888" s="760"/>
      <c r="B10888" s="760"/>
      <c r="C10888" s="760"/>
      <c r="D10888" s="760"/>
      <c r="E10888" s="760"/>
      <c r="F10888" s="760"/>
      <c r="G10888" s="760"/>
      <c r="H10888" s="760"/>
      <c r="I10888" s="760"/>
      <c r="J10888" s="760"/>
      <c r="K10888" s="760"/>
    </row>
    <row r="10889" spans="1:11">
      <c r="A10889" s="760"/>
      <c r="B10889" s="760"/>
      <c r="C10889" s="760"/>
      <c r="D10889" s="760"/>
      <c r="E10889" s="760"/>
      <c r="F10889" s="760"/>
      <c r="G10889" s="760"/>
      <c r="H10889" s="760"/>
      <c r="I10889" s="760"/>
      <c r="J10889" s="760"/>
      <c r="K10889" s="760"/>
    </row>
    <row r="10890" spans="1:11">
      <c r="A10890" s="760"/>
      <c r="B10890" s="760"/>
      <c r="C10890" s="760"/>
      <c r="D10890" s="760"/>
      <c r="E10890" s="760"/>
      <c r="F10890" s="760"/>
      <c r="G10890" s="760"/>
      <c r="H10890" s="760"/>
      <c r="I10890" s="760"/>
      <c r="J10890" s="760"/>
      <c r="K10890" s="760"/>
    </row>
    <row r="10891" spans="1:11">
      <c r="A10891" s="760"/>
      <c r="B10891" s="760"/>
      <c r="C10891" s="760"/>
      <c r="D10891" s="760"/>
      <c r="E10891" s="760"/>
      <c r="F10891" s="760"/>
      <c r="G10891" s="760"/>
      <c r="H10891" s="760"/>
      <c r="I10891" s="760"/>
      <c r="J10891" s="760"/>
      <c r="K10891" s="760"/>
    </row>
    <row r="10892" spans="1:11">
      <c r="A10892" s="760"/>
      <c r="B10892" s="760"/>
      <c r="C10892" s="760"/>
      <c r="D10892" s="760"/>
      <c r="E10892" s="760"/>
      <c r="F10892" s="760"/>
      <c r="G10892" s="760"/>
      <c r="H10892" s="760"/>
      <c r="I10892" s="760"/>
      <c r="J10892" s="760"/>
      <c r="K10892" s="760"/>
    </row>
    <row r="10893" spans="1:11">
      <c r="A10893" s="760"/>
      <c r="B10893" s="760"/>
      <c r="C10893" s="760"/>
      <c r="D10893" s="760"/>
      <c r="E10893" s="760"/>
      <c r="F10893" s="760"/>
      <c r="G10893" s="760"/>
      <c r="H10893" s="760"/>
      <c r="I10893" s="760"/>
      <c r="J10893" s="760"/>
      <c r="K10893" s="760"/>
    </row>
    <row r="10894" spans="1:11">
      <c r="A10894" s="760"/>
      <c r="B10894" s="760"/>
      <c r="C10894" s="760"/>
      <c r="D10894" s="760"/>
      <c r="E10894" s="760"/>
      <c r="F10894" s="760"/>
      <c r="G10894" s="760"/>
      <c r="H10894" s="760"/>
      <c r="I10894" s="760"/>
      <c r="J10894" s="760"/>
      <c r="K10894" s="760"/>
    </row>
    <row r="10895" spans="1:11">
      <c r="A10895" s="760"/>
      <c r="B10895" s="760"/>
      <c r="C10895" s="760"/>
      <c r="D10895" s="760"/>
      <c r="E10895" s="760"/>
      <c r="F10895" s="760"/>
      <c r="G10895" s="760"/>
      <c r="H10895" s="760"/>
      <c r="I10895" s="760"/>
      <c r="J10895" s="760"/>
      <c r="K10895" s="760"/>
    </row>
    <row r="10896" spans="1:11">
      <c r="A10896" s="760"/>
      <c r="B10896" s="760"/>
      <c r="C10896" s="760"/>
      <c r="D10896" s="760"/>
      <c r="E10896" s="760"/>
      <c r="F10896" s="760"/>
      <c r="G10896" s="760"/>
      <c r="H10896" s="760"/>
      <c r="I10896" s="760"/>
      <c r="J10896" s="760"/>
      <c r="K10896" s="760"/>
    </row>
    <row r="10897" spans="1:11">
      <c r="A10897" s="760"/>
      <c r="B10897" s="760"/>
      <c r="C10897" s="760"/>
      <c r="D10897" s="760"/>
      <c r="E10897" s="760"/>
      <c r="F10897" s="760"/>
      <c r="G10897" s="760"/>
      <c r="H10897" s="760"/>
      <c r="I10897" s="760"/>
      <c r="J10897" s="760"/>
      <c r="K10897" s="760"/>
    </row>
    <row r="10898" spans="1:11">
      <c r="A10898" s="760"/>
      <c r="B10898" s="760"/>
      <c r="C10898" s="760"/>
      <c r="D10898" s="760"/>
      <c r="E10898" s="760"/>
      <c r="F10898" s="760"/>
      <c r="G10898" s="760"/>
      <c r="H10898" s="760"/>
      <c r="I10898" s="760"/>
      <c r="J10898" s="760"/>
      <c r="K10898" s="760"/>
    </row>
    <row r="10899" spans="1:11">
      <c r="A10899" s="760"/>
      <c r="B10899" s="760"/>
      <c r="C10899" s="760"/>
      <c r="D10899" s="760"/>
      <c r="E10899" s="760"/>
      <c r="F10899" s="760"/>
      <c r="G10899" s="760"/>
      <c r="H10899" s="760"/>
      <c r="I10899" s="760"/>
      <c r="J10899" s="760"/>
      <c r="K10899" s="760"/>
    </row>
    <row r="10900" spans="1:11">
      <c r="A10900" s="760"/>
      <c r="B10900" s="760"/>
      <c r="C10900" s="760"/>
      <c r="D10900" s="760"/>
      <c r="E10900" s="760"/>
      <c r="F10900" s="760"/>
      <c r="G10900" s="760"/>
      <c r="H10900" s="760"/>
      <c r="I10900" s="760"/>
      <c r="J10900" s="760"/>
      <c r="K10900" s="760"/>
    </row>
    <row r="10901" spans="1:11">
      <c r="A10901" s="760"/>
      <c r="B10901" s="760"/>
      <c r="C10901" s="760"/>
      <c r="D10901" s="760"/>
      <c r="E10901" s="760"/>
      <c r="F10901" s="760"/>
      <c r="G10901" s="760"/>
      <c r="H10901" s="760"/>
      <c r="I10901" s="760"/>
      <c r="J10901" s="760"/>
      <c r="K10901" s="760"/>
    </row>
    <row r="10902" spans="1:11">
      <c r="A10902" s="760"/>
      <c r="B10902" s="760"/>
      <c r="C10902" s="760"/>
      <c r="D10902" s="760"/>
      <c r="E10902" s="760"/>
      <c r="F10902" s="760"/>
      <c r="G10902" s="760"/>
      <c r="H10902" s="760"/>
      <c r="I10902" s="760"/>
      <c r="J10902" s="760"/>
      <c r="K10902" s="760"/>
    </row>
    <row r="10903" spans="1:11">
      <c r="A10903" s="760"/>
      <c r="B10903" s="760"/>
      <c r="C10903" s="760"/>
      <c r="D10903" s="760"/>
      <c r="E10903" s="760"/>
      <c r="F10903" s="760"/>
      <c r="G10903" s="760"/>
      <c r="H10903" s="760"/>
      <c r="I10903" s="760"/>
      <c r="J10903" s="760"/>
      <c r="K10903" s="760"/>
    </row>
    <row r="10904" spans="1:11">
      <c r="A10904" s="760"/>
      <c r="B10904" s="760"/>
      <c r="C10904" s="760"/>
      <c r="D10904" s="760"/>
      <c r="E10904" s="760"/>
      <c r="F10904" s="760"/>
      <c r="G10904" s="760"/>
      <c r="H10904" s="760"/>
      <c r="I10904" s="760"/>
      <c r="J10904" s="760"/>
      <c r="K10904" s="760"/>
    </row>
    <row r="10905" spans="1:11">
      <c r="A10905" s="760"/>
      <c r="B10905" s="760"/>
      <c r="C10905" s="760"/>
      <c r="D10905" s="760"/>
      <c r="E10905" s="760"/>
      <c r="F10905" s="760"/>
      <c r="G10905" s="760"/>
      <c r="H10905" s="760"/>
      <c r="I10905" s="760"/>
      <c r="J10905" s="760"/>
      <c r="K10905" s="760"/>
    </row>
    <row r="10906" spans="1:11">
      <c r="A10906" s="760"/>
      <c r="B10906" s="760"/>
      <c r="C10906" s="760"/>
      <c r="D10906" s="760"/>
      <c r="E10906" s="760"/>
      <c r="F10906" s="760"/>
      <c r="G10906" s="760"/>
      <c r="H10906" s="760"/>
      <c r="I10906" s="760"/>
      <c r="J10906" s="760"/>
      <c r="K10906" s="760"/>
    </row>
    <row r="10907" spans="1:11">
      <c r="A10907" s="760"/>
      <c r="B10907" s="760"/>
      <c r="C10907" s="760"/>
      <c r="D10907" s="760"/>
      <c r="E10907" s="760"/>
      <c r="F10907" s="760"/>
      <c r="G10907" s="760"/>
      <c r="H10907" s="760"/>
      <c r="I10907" s="760"/>
      <c r="J10907" s="760"/>
      <c r="K10907" s="760"/>
    </row>
    <row r="10908" spans="1:11">
      <c r="A10908" s="760"/>
      <c r="B10908" s="760"/>
      <c r="C10908" s="760"/>
      <c r="D10908" s="760"/>
      <c r="E10908" s="760"/>
      <c r="F10908" s="760"/>
      <c r="G10908" s="760"/>
      <c r="H10908" s="760"/>
      <c r="I10908" s="760"/>
      <c r="J10908" s="760"/>
      <c r="K10908" s="760"/>
    </row>
    <row r="10909" spans="1:11">
      <c r="A10909" s="760"/>
      <c r="B10909" s="760"/>
      <c r="C10909" s="760"/>
      <c r="D10909" s="760"/>
      <c r="E10909" s="760"/>
      <c r="F10909" s="760"/>
      <c r="G10909" s="760"/>
      <c r="H10909" s="760"/>
      <c r="I10909" s="760"/>
      <c r="J10909" s="760"/>
      <c r="K10909" s="760"/>
    </row>
    <row r="10910" spans="1:11">
      <c r="A10910" s="760"/>
      <c r="B10910" s="760"/>
      <c r="C10910" s="760"/>
      <c r="D10910" s="760"/>
      <c r="E10910" s="760"/>
      <c r="F10910" s="760"/>
      <c r="G10910" s="760"/>
      <c r="H10910" s="760"/>
      <c r="I10910" s="760"/>
      <c r="J10910" s="760"/>
      <c r="K10910" s="760"/>
    </row>
    <row r="10911" spans="1:11">
      <c r="A10911" s="760"/>
      <c r="B10911" s="760"/>
      <c r="C10911" s="760"/>
      <c r="D10911" s="760"/>
      <c r="E10911" s="760"/>
      <c r="F10911" s="760"/>
      <c r="G10911" s="760"/>
      <c r="H10911" s="760"/>
      <c r="I10911" s="760"/>
      <c r="J10911" s="760"/>
      <c r="K10911" s="760"/>
    </row>
    <row r="10912" spans="1:11">
      <c r="A10912" s="760"/>
      <c r="B10912" s="760"/>
      <c r="C10912" s="760"/>
      <c r="D10912" s="760"/>
      <c r="E10912" s="760"/>
      <c r="F10912" s="760"/>
      <c r="G10912" s="760"/>
      <c r="H10912" s="760"/>
      <c r="I10912" s="760"/>
      <c r="J10912" s="760"/>
      <c r="K10912" s="760"/>
    </row>
    <row r="10913" spans="1:11">
      <c r="A10913" s="760"/>
      <c r="B10913" s="760"/>
      <c r="C10913" s="760"/>
      <c r="D10913" s="760"/>
      <c r="E10913" s="760"/>
      <c r="F10913" s="760"/>
      <c r="G10913" s="760"/>
      <c r="H10913" s="760"/>
      <c r="I10913" s="760"/>
      <c r="J10913" s="760"/>
      <c r="K10913" s="760"/>
    </row>
    <row r="10914" spans="1:11">
      <c r="A10914" s="760"/>
      <c r="B10914" s="760"/>
      <c r="C10914" s="760"/>
      <c r="D10914" s="760"/>
      <c r="E10914" s="760"/>
      <c r="F10914" s="760"/>
      <c r="G10914" s="760"/>
      <c r="H10914" s="760"/>
      <c r="I10914" s="760"/>
      <c r="J10914" s="760"/>
      <c r="K10914" s="760"/>
    </row>
    <row r="10915" spans="1:11">
      <c r="A10915" s="760"/>
      <c r="B10915" s="760"/>
      <c r="C10915" s="760"/>
      <c r="D10915" s="760"/>
      <c r="E10915" s="760"/>
      <c r="F10915" s="760"/>
      <c r="G10915" s="760"/>
      <c r="H10915" s="760"/>
      <c r="I10915" s="760"/>
      <c r="J10915" s="760"/>
      <c r="K10915" s="760"/>
    </row>
    <row r="10916" spans="1:11">
      <c r="A10916" s="760"/>
      <c r="B10916" s="760"/>
      <c r="C10916" s="760"/>
      <c r="D10916" s="760"/>
      <c r="E10916" s="760"/>
      <c r="F10916" s="760"/>
      <c r="G10916" s="760"/>
      <c r="H10916" s="760"/>
      <c r="I10916" s="760"/>
      <c r="J10916" s="760"/>
      <c r="K10916" s="760"/>
    </row>
    <row r="10917" spans="1:11">
      <c r="A10917" s="760"/>
      <c r="B10917" s="760"/>
      <c r="C10917" s="760"/>
      <c r="D10917" s="760"/>
      <c r="E10917" s="760"/>
      <c r="F10917" s="760"/>
      <c r="G10917" s="760"/>
      <c r="H10917" s="760"/>
      <c r="I10917" s="760"/>
      <c r="J10917" s="760"/>
      <c r="K10917" s="760"/>
    </row>
    <row r="10918" spans="1:11">
      <c r="A10918" s="760"/>
      <c r="B10918" s="760"/>
      <c r="C10918" s="760"/>
      <c r="D10918" s="760"/>
      <c r="E10918" s="760"/>
      <c r="F10918" s="760"/>
      <c r="G10918" s="760"/>
      <c r="H10918" s="760"/>
      <c r="I10918" s="760"/>
      <c r="J10918" s="760"/>
      <c r="K10918" s="760"/>
    </row>
    <row r="10919" spans="1:11">
      <c r="A10919" s="760"/>
      <c r="B10919" s="760"/>
      <c r="C10919" s="760"/>
      <c r="D10919" s="760"/>
      <c r="E10919" s="760"/>
      <c r="F10919" s="760"/>
      <c r="G10919" s="760"/>
      <c r="H10919" s="760"/>
      <c r="I10919" s="760"/>
      <c r="J10919" s="760"/>
      <c r="K10919" s="760"/>
    </row>
    <row r="10920" spans="1:11">
      <c r="A10920" s="760"/>
      <c r="B10920" s="760"/>
      <c r="C10920" s="760"/>
      <c r="D10920" s="760"/>
      <c r="E10920" s="760"/>
      <c r="F10920" s="760"/>
      <c r="G10920" s="760"/>
      <c r="H10920" s="760"/>
      <c r="I10920" s="760"/>
      <c r="J10920" s="760"/>
      <c r="K10920" s="760"/>
    </row>
    <row r="10921" spans="1:11">
      <c r="A10921" s="760"/>
      <c r="B10921" s="760"/>
      <c r="C10921" s="760"/>
      <c r="D10921" s="760"/>
      <c r="E10921" s="760"/>
      <c r="F10921" s="760"/>
      <c r="G10921" s="760"/>
      <c r="H10921" s="760"/>
      <c r="I10921" s="760"/>
      <c r="J10921" s="760"/>
      <c r="K10921" s="760"/>
    </row>
    <row r="10922" spans="1:11">
      <c r="A10922" s="760"/>
      <c r="B10922" s="760"/>
      <c r="C10922" s="760"/>
      <c r="D10922" s="760"/>
      <c r="E10922" s="760"/>
      <c r="F10922" s="760"/>
      <c r="G10922" s="760"/>
      <c r="H10922" s="760"/>
      <c r="I10922" s="760"/>
      <c r="J10922" s="760"/>
      <c r="K10922" s="760"/>
    </row>
    <row r="10923" spans="1:11">
      <c r="A10923" s="760"/>
      <c r="B10923" s="760"/>
      <c r="C10923" s="760"/>
      <c r="D10923" s="760"/>
      <c r="E10923" s="760"/>
      <c r="F10923" s="760"/>
      <c r="G10923" s="760"/>
      <c r="H10923" s="760"/>
      <c r="I10923" s="760"/>
      <c r="J10923" s="760"/>
      <c r="K10923" s="760"/>
    </row>
    <row r="10924" spans="1:11">
      <c r="A10924" s="760"/>
      <c r="B10924" s="760"/>
      <c r="C10924" s="760"/>
      <c r="D10924" s="760"/>
      <c r="E10924" s="760"/>
      <c r="F10924" s="760"/>
      <c r="G10924" s="760"/>
      <c r="H10924" s="760"/>
      <c r="I10924" s="760"/>
      <c r="J10924" s="760"/>
      <c r="K10924" s="760"/>
    </row>
    <row r="10925" spans="1:11">
      <c r="A10925" s="760"/>
      <c r="B10925" s="760"/>
      <c r="C10925" s="760"/>
      <c r="D10925" s="760"/>
      <c r="E10925" s="760"/>
      <c r="F10925" s="760"/>
      <c r="G10925" s="760"/>
      <c r="H10925" s="760"/>
      <c r="I10925" s="760"/>
      <c r="J10925" s="760"/>
      <c r="K10925" s="760"/>
    </row>
    <row r="10926" spans="1:11">
      <c r="A10926" s="760"/>
      <c r="B10926" s="760"/>
      <c r="C10926" s="760"/>
      <c r="D10926" s="760"/>
      <c r="E10926" s="760"/>
      <c r="F10926" s="760"/>
      <c r="G10926" s="760"/>
      <c r="H10926" s="760"/>
      <c r="I10926" s="760"/>
      <c r="J10926" s="760"/>
      <c r="K10926" s="760"/>
    </row>
    <row r="10927" spans="1:11">
      <c r="A10927" s="760"/>
      <c r="B10927" s="760"/>
      <c r="C10927" s="760"/>
      <c r="D10927" s="760"/>
      <c r="E10927" s="760"/>
      <c r="F10927" s="760"/>
      <c r="G10927" s="760"/>
      <c r="H10927" s="760"/>
      <c r="I10927" s="760"/>
      <c r="J10927" s="760"/>
      <c r="K10927" s="760"/>
    </row>
    <row r="10928" spans="1:11">
      <c r="A10928" s="760"/>
      <c r="B10928" s="760"/>
      <c r="C10928" s="760"/>
      <c r="D10928" s="760"/>
      <c r="E10928" s="760"/>
      <c r="F10928" s="760"/>
      <c r="G10928" s="760"/>
      <c r="H10928" s="760"/>
      <c r="I10928" s="760"/>
      <c r="J10928" s="760"/>
      <c r="K10928" s="760"/>
    </row>
    <row r="10929" spans="1:11">
      <c r="A10929" s="760"/>
      <c r="B10929" s="760"/>
      <c r="C10929" s="760"/>
      <c r="D10929" s="760"/>
      <c r="E10929" s="760"/>
      <c r="F10929" s="760"/>
      <c r="G10929" s="760"/>
      <c r="H10929" s="760"/>
      <c r="I10929" s="760"/>
      <c r="J10929" s="760"/>
      <c r="K10929" s="760"/>
    </row>
    <row r="10930" spans="1:11">
      <c r="A10930" s="760"/>
      <c r="B10930" s="760"/>
      <c r="C10930" s="760"/>
      <c r="D10930" s="760"/>
      <c r="E10930" s="760"/>
      <c r="F10930" s="760"/>
      <c r="G10930" s="760"/>
      <c r="H10930" s="760"/>
      <c r="I10930" s="760"/>
      <c r="J10930" s="760"/>
      <c r="K10930" s="760"/>
    </row>
    <row r="10931" spans="1:11">
      <c r="A10931" s="760"/>
      <c r="B10931" s="760"/>
      <c r="C10931" s="760"/>
      <c r="D10931" s="760"/>
      <c r="E10931" s="760"/>
      <c r="F10931" s="760"/>
      <c r="G10931" s="760"/>
      <c r="H10931" s="760"/>
      <c r="I10931" s="760"/>
      <c r="J10931" s="760"/>
      <c r="K10931" s="760"/>
    </row>
    <row r="10932" spans="1:11">
      <c r="A10932" s="760"/>
      <c r="B10932" s="760"/>
      <c r="C10932" s="760"/>
      <c r="D10932" s="760"/>
      <c r="E10932" s="760"/>
      <c r="F10932" s="760"/>
      <c r="G10932" s="760"/>
      <c r="H10932" s="760"/>
      <c r="I10932" s="760"/>
      <c r="J10932" s="760"/>
      <c r="K10932" s="760"/>
    </row>
    <row r="10933" spans="1:11">
      <c r="A10933" s="760"/>
      <c r="B10933" s="760"/>
      <c r="C10933" s="760"/>
      <c r="D10933" s="760"/>
      <c r="E10933" s="760"/>
      <c r="F10933" s="760"/>
      <c r="G10933" s="760"/>
      <c r="H10933" s="760"/>
      <c r="I10933" s="760"/>
      <c r="J10933" s="760"/>
      <c r="K10933" s="760"/>
    </row>
    <row r="10934" spans="1:11">
      <c r="A10934" s="760"/>
      <c r="B10934" s="760"/>
      <c r="C10934" s="760"/>
      <c r="D10934" s="760"/>
      <c r="E10934" s="760"/>
      <c r="F10934" s="760"/>
      <c r="G10934" s="760"/>
      <c r="H10934" s="760"/>
      <c r="I10934" s="760"/>
      <c r="J10934" s="760"/>
      <c r="K10934" s="760"/>
    </row>
    <row r="10935" spans="1:11">
      <c r="A10935" s="760"/>
      <c r="B10935" s="760"/>
      <c r="C10935" s="760"/>
      <c r="D10935" s="760"/>
      <c r="E10935" s="760"/>
      <c r="F10935" s="760"/>
      <c r="G10935" s="760"/>
      <c r="H10935" s="760"/>
      <c r="I10935" s="760"/>
      <c r="J10935" s="760"/>
      <c r="K10935" s="760"/>
    </row>
    <row r="10936" spans="1:11">
      <c r="A10936" s="760"/>
      <c r="B10936" s="760"/>
      <c r="C10936" s="760"/>
      <c r="D10936" s="760"/>
      <c r="E10936" s="760"/>
      <c r="F10936" s="760"/>
      <c r="G10936" s="760"/>
      <c r="H10936" s="760"/>
      <c r="I10936" s="760"/>
      <c r="J10936" s="760"/>
      <c r="K10936" s="760"/>
    </row>
    <row r="10937" spans="1:11">
      <c r="A10937" s="760"/>
      <c r="B10937" s="760"/>
      <c r="C10937" s="760"/>
      <c r="D10937" s="760"/>
      <c r="E10937" s="760"/>
      <c r="F10937" s="760"/>
      <c r="G10937" s="760"/>
      <c r="H10937" s="760"/>
      <c r="I10937" s="760"/>
      <c r="J10937" s="760"/>
      <c r="K10937" s="760"/>
    </row>
    <row r="10938" spans="1:11">
      <c r="A10938" s="760"/>
      <c r="B10938" s="760"/>
      <c r="C10938" s="760"/>
      <c r="D10938" s="760"/>
      <c r="E10938" s="760"/>
      <c r="F10938" s="760"/>
      <c r="G10938" s="760"/>
      <c r="H10938" s="760"/>
      <c r="I10938" s="760"/>
      <c r="J10938" s="760"/>
      <c r="K10938" s="760"/>
    </row>
    <row r="10939" spans="1:11">
      <c r="A10939" s="760"/>
      <c r="B10939" s="760"/>
      <c r="C10939" s="760"/>
      <c r="D10939" s="760"/>
      <c r="E10939" s="760"/>
      <c r="F10939" s="760"/>
      <c r="G10939" s="760"/>
      <c r="H10939" s="760"/>
      <c r="I10939" s="760"/>
      <c r="J10939" s="760"/>
      <c r="K10939" s="760"/>
    </row>
    <row r="10940" spans="1:11">
      <c r="A10940" s="760"/>
      <c r="B10940" s="760"/>
      <c r="C10940" s="760"/>
      <c r="D10940" s="760"/>
      <c r="E10940" s="760"/>
      <c r="F10940" s="760"/>
      <c r="G10940" s="760"/>
      <c r="H10940" s="760"/>
      <c r="I10940" s="760"/>
      <c r="J10940" s="760"/>
      <c r="K10940" s="760"/>
    </row>
    <row r="10941" spans="1:11">
      <c r="A10941" s="760"/>
      <c r="B10941" s="760"/>
      <c r="C10941" s="760"/>
      <c r="D10941" s="760"/>
      <c r="E10941" s="760"/>
      <c r="F10941" s="760"/>
      <c r="G10941" s="760"/>
      <c r="H10941" s="760"/>
      <c r="I10941" s="760"/>
      <c r="J10941" s="760"/>
      <c r="K10941" s="760"/>
    </row>
    <row r="10942" spans="1:11">
      <c r="A10942" s="760"/>
      <c r="B10942" s="760"/>
      <c r="C10942" s="760"/>
      <c r="D10942" s="760"/>
      <c r="E10942" s="760"/>
      <c r="F10942" s="760"/>
      <c r="G10942" s="760"/>
      <c r="H10942" s="760"/>
      <c r="I10942" s="760"/>
      <c r="J10942" s="760"/>
      <c r="K10942" s="760"/>
    </row>
    <row r="10943" spans="1:11">
      <c r="A10943" s="760"/>
      <c r="B10943" s="760"/>
      <c r="C10943" s="760"/>
      <c r="D10943" s="760"/>
      <c r="E10943" s="760"/>
      <c r="F10943" s="760"/>
      <c r="G10943" s="760"/>
      <c r="H10943" s="760"/>
      <c r="I10943" s="760"/>
      <c r="J10943" s="760"/>
      <c r="K10943" s="760"/>
    </row>
    <row r="10944" spans="1:11">
      <c r="A10944" s="760"/>
      <c r="B10944" s="760"/>
      <c r="C10944" s="760"/>
      <c r="D10944" s="760"/>
      <c r="E10944" s="760"/>
      <c r="F10944" s="760"/>
      <c r="G10944" s="760"/>
      <c r="H10944" s="760"/>
      <c r="I10944" s="760"/>
      <c r="J10944" s="760"/>
      <c r="K10944" s="760"/>
    </row>
    <row r="10945" spans="1:11">
      <c r="A10945" s="760"/>
      <c r="B10945" s="760"/>
      <c r="C10945" s="760"/>
      <c r="D10945" s="760"/>
      <c r="E10945" s="760"/>
      <c r="F10945" s="760"/>
      <c r="G10945" s="760"/>
      <c r="H10945" s="760"/>
      <c r="I10945" s="760"/>
      <c r="J10945" s="760"/>
      <c r="K10945" s="760"/>
    </row>
    <row r="10946" spans="1:11">
      <c r="A10946" s="760"/>
      <c r="B10946" s="760"/>
      <c r="C10946" s="760"/>
      <c r="D10946" s="760"/>
      <c r="E10946" s="760"/>
      <c r="F10946" s="760"/>
      <c r="G10946" s="760"/>
      <c r="H10946" s="760"/>
      <c r="I10946" s="760"/>
      <c r="J10946" s="760"/>
      <c r="K10946" s="760"/>
    </row>
    <row r="10947" spans="1:11">
      <c r="A10947" s="760"/>
      <c r="B10947" s="760"/>
      <c r="C10947" s="760"/>
      <c r="D10947" s="760"/>
      <c r="E10947" s="760"/>
      <c r="F10947" s="760"/>
      <c r="G10947" s="760"/>
      <c r="H10947" s="760"/>
      <c r="I10947" s="760"/>
      <c r="J10947" s="760"/>
      <c r="K10947" s="760"/>
    </row>
    <row r="10948" spans="1:11">
      <c r="A10948" s="760"/>
      <c r="B10948" s="760"/>
      <c r="C10948" s="760"/>
      <c r="D10948" s="760"/>
      <c r="E10948" s="760"/>
      <c r="F10948" s="760"/>
      <c r="G10948" s="760"/>
      <c r="H10948" s="760"/>
      <c r="I10948" s="760"/>
      <c r="J10948" s="760"/>
      <c r="K10948" s="760"/>
    </row>
    <row r="10949" spans="1:11">
      <c r="A10949" s="760"/>
      <c r="B10949" s="760"/>
      <c r="C10949" s="760"/>
      <c r="D10949" s="760"/>
      <c r="E10949" s="760"/>
      <c r="F10949" s="760"/>
      <c r="G10949" s="760"/>
      <c r="H10949" s="760"/>
      <c r="I10949" s="760"/>
      <c r="J10949" s="760"/>
      <c r="K10949" s="760"/>
    </row>
    <row r="10950" spans="1:11">
      <c r="A10950" s="760"/>
      <c r="B10950" s="760"/>
      <c r="C10950" s="760"/>
      <c r="D10950" s="760"/>
      <c r="E10950" s="760"/>
      <c r="F10950" s="760"/>
      <c r="G10950" s="760"/>
      <c r="H10950" s="760"/>
      <c r="I10950" s="760"/>
      <c r="J10950" s="760"/>
      <c r="K10950" s="760"/>
    </row>
    <row r="10951" spans="1:11">
      <c r="A10951" s="760"/>
      <c r="B10951" s="760"/>
      <c r="C10951" s="760"/>
      <c r="D10951" s="760"/>
      <c r="E10951" s="760"/>
      <c r="F10951" s="760"/>
      <c r="G10951" s="760"/>
      <c r="H10951" s="760"/>
      <c r="I10951" s="760"/>
      <c r="J10951" s="760"/>
      <c r="K10951" s="760"/>
    </row>
    <row r="10952" spans="1:11">
      <c r="A10952" s="760"/>
      <c r="B10952" s="760"/>
      <c r="C10952" s="760"/>
      <c r="D10952" s="760"/>
      <c r="E10952" s="760"/>
      <c r="F10952" s="760"/>
      <c r="G10952" s="760"/>
      <c r="H10952" s="760"/>
      <c r="I10952" s="760"/>
      <c r="J10952" s="760"/>
      <c r="K10952" s="760"/>
    </row>
    <row r="10953" spans="1:11">
      <c r="A10953" s="760"/>
      <c r="B10953" s="760"/>
      <c r="C10953" s="760"/>
      <c r="D10953" s="760"/>
      <c r="E10953" s="760"/>
      <c r="F10953" s="760"/>
      <c r="G10953" s="760"/>
      <c r="H10953" s="760"/>
      <c r="I10953" s="760"/>
      <c r="J10953" s="760"/>
      <c r="K10953" s="760"/>
    </row>
    <row r="10954" spans="1:11">
      <c r="A10954" s="760"/>
      <c r="B10954" s="760"/>
      <c r="C10954" s="760"/>
      <c r="D10954" s="760"/>
      <c r="E10954" s="760"/>
      <c r="F10954" s="760"/>
      <c r="G10954" s="760"/>
      <c r="H10954" s="760"/>
      <c r="I10954" s="760"/>
      <c r="J10954" s="760"/>
      <c r="K10954" s="760"/>
    </row>
    <row r="10955" spans="1:11">
      <c r="A10955" s="760"/>
      <c r="B10955" s="760"/>
      <c r="C10955" s="760"/>
      <c r="D10955" s="760"/>
      <c r="E10955" s="760"/>
      <c r="F10955" s="760"/>
      <c r="G10955" s="760"/>
      <c r="H10955" s="760"/>
      <c r="I10955" s="760"/>
      <c r="J10955" s="760"/>
      <c r="K10955" s="760"/>
    </row>
    <row r="10956" spans="1:11">
      <c r="A10956" s="760"/>
      <c r="B10956" s="760"/>
      <c r="C10956" s="760"/>
      <c r="D10956" s="760"/>
      <c r="E10956" s="760"/>
      <c r="F10956" s="760"/>
      <c r="G10956" s="760"/>
      <c r="H10956" s="760"/>
      <c r="I10956" s="760"/>
      <c r="J10956" s="760"/>
      <c r="K10956" s="760"/>
    </row>
    <row r="10957" spans="1:11">
      <c r="A10957" s="760"/>
      <c r="B10957" s="760"/>
      <c r="C10957" s="760"/>
      <c r="D10957" s="760"/>
      <c r="E10957" s="760"/>
      <c r="F10957" s="760"/>
      <c r="G10957" s="760"/>
      <c r="H10957" s="760"/>
      <c r="I10957" s="760"/>
      <c r="J10957" s="760"/>
      <c r="K10957" s="760"/>
    </row>
    <row r="10958" spans="1:11">
      <c r="A10958" s="760"/>
      <c r="B10958" s="760"/>
      <c r="C10958" s="760"/>
      <c r="D10958" s="760"/>
      <c r="E10958" s="760"/>
      <c r="F10958" s="760"/>
      <c r="G10958" s="760"/>
      <c r="H10958" s="760"/>
      <c r="I10958" s="760"/>
      <c r="J10958" s="760"/>
      <c r="K10958" s="760"/>
    </row>
    <row r="10959" spans="1:11">
      <c r="A10959" s="760"/>
      <c r="B10959" s="760"/>
      <c r="C10959" s="760"/>
      <c r="D10959" s="760"/>
      <c r="E10959" s="760"/>
      <c r="F10959" s="760"/>
      <c r="G10959" s="760"/>
      <c r="H10959" s="760"/>
      <c r="I10959" s="760"/>
      <c r="J10959" s="760"/>
      <c r="K10959" s="760"/>
    </row>
    <row r="10960" spans="1:11">
      <c r="A10960" s="760"/>
      <c r="B10960" s="760"/>
      <c r="C10960" s="760"/>
      <c r="D10960" s="760"/>
      <c r="E10960" s="760"/>
      <c r="F10960" s="760"/>
      <c r="G10960" s="760"/>
      <c r="H10960" s="760"/>
      <c r="I10960" s="760"/>
      <c r="J10960" s="760"/>
      <c r="K10960" s="760"/>
    </row>
    <row r="10961" spans="1:11">
      <c r="A10961" s="760"/>
      <c r="B10961" s="760"/>
      <c r="C10961" s="760"/>
      <c r="D10961" s="760"/>
      <c r="E10961" s="760"/>
      <c r="F10961" s="760"/>
      <c r="G10961" s="760"/>
      <c r="H10961" s="760"/>
      <c r="I10961" s="760"/>
      <c r="J10961" s="760"/>
      <c r="K10961" s="760"/>
    </row>
    <row r="10962" spans="1:11">
      <c r="A10962" s="760"/>
      <c r="B10962" s="760"/>
      <c r="C10962" s="760"/>
      <c r="D10962" s="760"/>
      <c r="E10962" s="760"/>
      <c r="F10962" s="760"/>
      <c r="G10962" s="760"/>
      <c r="H10962" s="760"/>
      <c r="I10962" s="760"/>
      <c r="J10962" s="760"/>
      <c r="K10962" s="760"/>
    </row>
    <row r="10963" spans="1:11">
      <c r="A10963" s="760"/>
      <c r="B10963" s="760"/>
      <c r="C10963" s="760"/>
      <c r="D10963" s="760"/>
      <c r="E10963" s="760"/>
      <c r="F10963" s="760"/>
      <c r="G10963" s="760"/>
      <c r="H10963" s="760"/>
      <c r="I10963" s="760"/>
      <c r="J10963" s="760"/>
      <c r="K10963" s="760"/>
    </row>
    <row r="10964" spans="1:11">
      <c r="A10964" s="760"/>
      <c r="B10964" s="760"/>
      <c r="C10964" s="760"/>
      <c r="D10964" s="760"/>
      <c r="E10964" s="760"/>
      <c r="F10964" s="760"/>
      <c r="G10964" s="760"/>
      <c r="H10964" s="760"/>
      <c r="I10964" s="760"/>
      <c r="J10964" s="760"/>
      <c r="K10964" s="760"/>
    </row>
    <row r="10965" spans="1:11">
      <c r="A10965" s="760"/>
      <c r="B10965" s="760"/>
      <c r="C10965" s="760"/>
      <c r="D10965" s="760"/>
      <c r="E10965" s="760"/>
      <c r="F10965" s="760"/>
      <c r="G10965" s="760"/>
      <c r="H10965" s="760"/>
      <c r="I10965" s="760"/>
      <c r="J10965" s="760"/>
      <c r="K10965" s="760"/>
    </row>
    <row r="10966" spans="1:11">
      <c r="A10966" s="760"/>
      <c r="B10966" s="760"/>
      <c r="C10966" s="760"/>
      <c r="D10966" s="760"/>
      <c r="E10966" s="760"/>
      <c r="F10966" s="760"/>
      <c r="G10966" s="760"/>
      <c r="H10966" s="760"/>
      <c r="I10966" s="760"/>
      <c r="J10966" s="760"/>
      <c r="K10966" s="760"/>
    </row>
    <row r="10967" spans="1:11">
      <c r="A10967" s="760"/>
      <c r="B10967" s="760"/>
      <c r="C10967" s="760"/>
      <c r="D10967" s="760"/>
      <c r="E10967" s="760"/>
      <c r="F10967" s="760"/>
      <c r="G10967" s="760"/>
      <c r="H10967" s="760"/>
      <c r="I10967" s="760"/>
      <c r="J10967" s="760"/>
      <c r="K10967" s="760"/>
    </row>
    <row r="10968" spans="1:11">
      <c r="A10968" s="760"/>
      <c r="B10968" s="760"/>
      <c r="C10968" s="760"/>
      <c r="D10968" s="760"/>
      <c r="E10968" s="760"/>
      <c r="F10968" s="760"/>
      <c r="G10968" s="760"/>
      <c r="H10968" s="760"/>
      <c r="I10968" s="760"/>
      <c r="J10968" s="760"/>
      <c r="K10968" s="760"/>
    </row>
    <row r="10969" spans="1:11">
      <c r="A10969" s="760"/>
      <c r="B10969" s="760"/>
      <c r="C10969" s="760"/>
      <c r="D10969" s="760"/>
      <c r="E10969" s="760"/>
      <c r="F10969" s="760"/>
      <c r="G10969" s="760"/>
      <c r="H10969" s="760"/>
      <c r="I10969" s="760"/>
      <c r="J10969" s="760"/>
      <c r="K10969" s="760"/>
    </row>
    <row r="10970" spans="1:11">
      <c r="A10970" s="760"/>
      <c r="B10970" s="760"/>
      <c r="C10970" s="760"/>
      <c r="D10970" s="760"/>
      <c r="E10970" s="760"/>
      <c r="F10970" s="760"/>
      <c r="G10970" s="760"/>
      <c r="H10970" s="760"/>
      <c r="I10970" s="760"/>
      <c r="J10970" s="760"/>
      <c r="K10970" s="760"/>
    </row>
    <row r="10971" spans="1:11">
      <c r="A10971" s="760"/>
      <c r="B10971" s="760"/>
      <c r="C10971" s="760"/>
      <c r="D10971" s="760"/>
      <c r="E10971" s="760"/>
      <c r="F10971" s="760"/>
      <c r="G10971" s="760"/>
      <c r="H10971" s="760"/>
      <c r="I10971" s="760"/>
      <c r="J10971" s="760"/>
      <c r="K10971" s="760"/>
    </row>
    <row r="10972" spans="1:11">
      <c r="A10972" s="760"/>
      <c r="B10972" s="760"/>
      <c r="C10972" s="760"/>
      <c r="D10972" s="760"/>
      <c r="E10972" s="760"/>
      <c r="F10972" s="760"/>
      <c r="G10972" s="760"/>
      <c r="H10972" s="760"/>
      <c r="I10972" s="760"/>
      <c r="J10972" s="760"/>
      <c r="K10972" s="760"/>
    </row>
    <row r="10973" spans="1:11">
      <c r="A10973" s="760"/>
      <c r="B10973" s="760"/>
      <c r="C10973" s="760"/>
      <c r="D10973" s="760"/>
      <c r="E10973" s="760"/>
      <c r="F10973" s="760"/>
      <c r="G10973" s="760"/>
      <c r="H10973" s="760"/>
      <c r="I10973" s="760"/>
      <c r="J10973" s="760"/>
      <c r="K10973" s="760"/>
    </row>
    <row r="10974" spans="1:11">
      <c r="A10974" s="760"/>
      <c r="B10974" s="760"/>
      <c r="C10974" s="760"/>
      <c r="D10974" s="760"/>
      <c r="E10974" s="760"/>
      <c r="F10974" s="760"/>
      <c r="G10974" s="760"/>
      <c r="H10974" s="760"/>
      <c r="I10974" s="760"/>
      <c r="J10974" s="760"/>
      <c r="K10974" s="760"/>
    </row>
    <row r="10975" spans="1:11">
      <c r="A10975" s="760"/>
      <c r="B10975" s="760"/>
      <c r="C10975" s="760"/>
      <c r="D10975" s="760"/>
      <c r="E10975" s="760"/>
      <c r="F10975" s="760"/>
      <c r="G10975" s="760"/>
      <c r="H10975" s="760"/>
      <c r="I10975" s="760"/>
      <c r="J10975" s="760"/>
      <c r="K10975" s="760"/>
    </row>
    <row r="10976" spans="1:11">
      <c r="A10976" s="760"/>
      <c r="B10976" s="760"/>
      <c r="C10976" s="760"/>
      <c r="D10976" s="760"/>
      <c r="E10976" s="760"/>
      <c r="F10976" s="760"/>
      <c r="G10976" s="760"/>
      <c r="H10976" s="760"/>
      <c r="I10976" s="760"/>
      <c r="J10976" s="760"/>
      <c r="K10976" s="760"/>
    </row>
    <row r="10977" spans="1:11">
      <c r="A10977" s="760"/>
      <c r="B10977" s="760"/>
      <c r="C10977" s="760"/>
      <c r="D10977" s="760"/>
      <c r="E10977" s="760"/>
      <c r="F10977" s="760"/>
      <c r="G10977" s="760"/>
      <c r="H10977" s="760"/>
      <c r="I10977" s="760"/>
      <c r="J10977" s="760"/>
      <c r="K10977" s="760"/>
    </row>
    <row r="10978" spans="1:11">
      <c r="A10978" s="760"/>
      <c r="B10978" s="760"/>
      <c r="C10978" s="760"/>
      <c r="D10978" s="760"/>
      <c r="E10978" s="760"/>
      <c r="F10978" s="760"/>
      <c r="G10978" s="760"/>
      <c r="H10978" s="760"/>
      <c r="I10978" s="760"/>
      <c r="J10978" s="760"/>
      <c r="K10978" s="760"/>
    </row>
    <row r="10979" spans="1:11">
      <c r="A10979" s="760"/>
      <c r="B10979" s="760"/>
      <c r="C10979" s="760"/>
      <c r="D10979" s="760"/>
      <c r="E10979" s="760"/>
      <c r="F10979" s="760"/>
      <c r="G10979" s="760"/>
      <c r="H10979" s="760"/>
      <c r="I10979" s="760"/>
      <c r="J10979" s="760"/>
      <c r="K10979" s="760"/>
    </row>
    <row r="10980" spans="1:11">
      <c r="A10980" s="760"/>
      <c r="B10980" s="760"/>
      <c r="C10980" s="760"/>
      <c r="D10980" s="760"/>
      <c r="E10980" s="760"/>
      <c r="F10980" s="760"/>
      <c r="G10980" s="760"/>
      <c r="H10980" s="760"/>
      <c r="I10980" s="760"/>
      <c r="J10980" s="760"/>
      <c r="K10980" s="760"/>
    </row>
    <row r="10981" spans="1:11">
      <c r="A10981" s="760"/>
      <c r="B10981" s="760"/>
      <c r="C10981" s="760"/>
      <c r="D10981" s="760"/>
      <c r="E10981" s="760"/>
      <c r="F10981" s="760"/>
      <c r="G10981" s="760"/>
      <c r="H10981" s="760"/>
      <c r="I10981" s="760"/>
      <c r="J10981" s="760"/>
      <c r="K10981" s="760"/>
    </row>
    <row r="10982" spans="1:11">
      <c r="A10982" s="760"/>
      <c r="B10982" s="760"/>
      <c r="C10982" s="760"/>
      <c r="D10982" s="760"/>
      <c r="E10982" s="760"/>
      <c r="F10982" s="760"/>
      <c r="G10982" s="760"/>
      <c r="H10982" s="760"/>
      <c r="I10982" s="760"/>
      <c r="J10982" s="760"/>
      <c r="K10982" s="760"/>
    </row>
    <row r="10983" spans="1:11">
      <c r="A10983" s="760"/>
      <c r="B10983" s="760"/>
      <c r="C10983" s="760"/>
      <c r="D10983" s="760"/>
      <c r="E10983" s="760"/>
      <c r="F10983" s="760"/>
      <c r="G10983" s="760"/>
      <c r="H10983" s="760"/>
      <c r="I10983" s="760"/>
      <c r="J10983" s="760"/>
      <c r="K10983" s="760"/>
    </row>
    <row r="10984" spans="1:11">
      <c r="A10984" s="760"/>
      <c r="B10984" s="760"/>
      <c r="C10984" s="760"/>
      <c r="D10984" s="760"/>
      <c r="E10984" s="760"/>
      <c r="F10984" s="760"/>
      <c r="G10984" s="760"/>
      <c r="H10984" s="760"/>
      <c r="I10984" s="760"/>
      <c r="J10984" s="760"/>
      <c r="K10984" s="760"/>
    </row>
    <row r="10985" spans="1:11">
      <c r="A10985" s="760"/>
      <c r="B10985" s="760"/>
      <c r="C10985" s="760"/>
      <c r="D10985" s="760"/>
      <c r="E10985" s="760"/>
      <c r="F10985" s="760"/>
      <c r="G10985" s="760"/>
      <c r="H10985" s="760"/>
      <c r="I10985" s="760"/>
      <c r="J10985" s="760"/>
      <c r="K10985" s="760"/>
    </row>
    <row r="10986" spans="1:11">
      <c r="A10986" s="760"/>
      <c r="B10986" s="760"/>
      <c r="C10986" s="760"/>
      <c r="D10986" s="760"/>
      <c r="E10986" s="760"/>
      <c r="F10986" s="760"/>
      <c r="G10986" s="760"/>
      <c r="H10986" s="760"/>
      <c r="I10986" s="760"/>
      <c r="J10986" s="760"/>
      <c r="K10986" s="760"/>
    </row>
    <row r="10987" spans="1:11">
      <c r="A10987" s="760"/>
      <c r="B10987" s="760"/>
      <c r="C10987" s="760"/>
      <c r="D10987" s="760"/>
      <c r="E10987" s="760"/>
      <c r="F10987" s="760"/>
      <c r="G10987" s="760"/>
      <c r="H10987" s="760"/>
      <c r="I10987" s="760"/>
      <c r="J10987" s="760"/>
      <c r="K10987" s="760"/>
    </row>
    <row r="10988" spans="1:11">
      <c r="A10988" s="760"/>
      <c r="B10988" s="760"/>
      <c r="C10988" s="760"/>
      <c r="D10988" s="760"/>
      <c r="E10988" s="760"/>
      <c r="F10988" s="760"/>
      <c r="G10988" s="760"/>
      <c r="H10988" s="760"/>
      <c r="I10988" s="760"/>
      <c r="J10988" s="760"/>
      <c r="K10988" s="760"/>
    </row>
    <row r="10989" spans="1:11">
      <c r="A10989" s="760"/>
      <c r="B10989" s="760"/>
      <c r="C10989" s="760"/>
      <c r="D10989" s="760"/>
      <c r="E10989" s="760"/>
      <c r="F10989" s="760"/>
      <c r="G10989" s="760"/>
      <c r="H10989" s="760"/>
      <c r="I10989" s="760"/>
      <c r="J10989" s="760"/>
      <c r="K10989" s="760"/>
    </row>
    <row r="10990" spans="1:11">
      <c r="A10990" s="760"/>
      <c r="B10990" s="760"/>
      <c r="C10990" s="760"/>
      <c r="D10990" s="760"/>
      <c r="E10990" s="760"/>
      <c r="F10990" s="760"/>
      <c r="G10990" s="760"/>
      <c r="H10990" s="760"/>
      <c r="I10990" s="760"/>
      <c r="J10990" s="760"/>
      <c r="K10990" s="760"/>
    </row>
    <row r="10991" spans="1:11">
      <c r="A10991" s="760"/>
      <c r="B10991" s="760"/>
      <c r="C10991" s="760"/>
      <c r="D10991" s="760"/>
      <c r="E10991" s="760"/>
      <c r="F10991" s="760"/>
      <c r="G10991" s="760"/>
      <c r="H10991" s="760"/>
      <c r="I10991" s="760"/>
      <c r="J10991" s="760"/>
      <c r="K10991" s="760"/>
    </row>
    <row r="10992" spans="1:11">
      <c r="A10992" s="760"/>
      <c r="B10992" s="760"/>
      <c r="C10992" s="760"/>
      <c r="D10992" s="760"/>
      <c r="E10992" s="760"/>
      <c r="F10992" s="760"/>
      <c r="G10992" s="760"/>
      <c r="H10992" s="760"/>
      <c r="I10992" s="760"/>
      <c r="J10992" s="760"/>
      <c r="K10992" s="760"/>
    </row>
    <row r="10993" spans="1:11">
      <c r="A10993" s="760"/>
      <c r="B10993" s="760"/>
      <c r="C10993" s="760"/>
      <c r="D10993" s="760"/>
      <c r="E10993" s="760"/>
      <c r="F10993" s="760"/>
      <c r="G10993" s="760"/>
      <c r="H10993" s="760"/>
      <c r="I10993" s="760"/>
      <c r="J10993" s="760"/>
      <c r="K10993" s="760"/>
    </row>
    <row r="10994" spans="1:11">
      <c r="A10994" s="760"/>
      <c r="B10994" s="760"/>
      <c r="C10994" s="760"/>
      <c r="D10994" s="760"/>
      <c r="E10994" s="760"/>
      <c r="F10994" s="760"/>
      <c r="G10994" s="760"/>
      <c r="H10994" s="760"/>
      <c r="I10994" s="760"/>
      <c r="J10994" s="760"/>
      <c r="K10994" s="760"/>
    </row>
    <row r="10995" spans="1:11">
      <c r="A10995" s="760"/>
      <c r="B10995" s="760"/>
      <c r="C10995" s="760"/>
      <c r="D10995" s="760"/>
      <c r="E10995" s="760"/>
      <c r="F10995" s="760"/>
      <c r="G10995" s="760"/>
      <c r="H10995" s="760"/>
      <c r="I10995" s="760"/>
      <c r="J10995" s="760"/>
      <c r="K10995" s="760"/>
    </row>
    <row r="10996" spans="1:11">
      <c r="A10996" s="760"/>
      <c r="B10996" s="760"/>
      <c r="C10996" s="760"/>
      <c r="D10996" s="760"/>
      <c r="E10996" s="760"/>
      <c r="F10996" s="760"/>
      <c r="G10996" s="760"/>
      <c r="H10996" s="760"/>
      <c r="I10996" s="760"/>
      <c r="J10996" s="760"/>
      <c r="K10996" s="760"/>
    </row>
    <row r="10997" spans="1:11">
      <c r="A10997" s="760"/>
      <c r="B10997" s="760"/>
      <c r="C10997" s="760"/>
      <c r="D10997" s="760"/>
      <c r="E10997" s="760"/>
      <c r="F10997" s="760"/>
      <c r="G10997" s="760"/>
      <c r="H10997" s="760"/>
      <c r="I10997" s="760"/>
      <c r="J10997" s="760"/>
      <c r="K10997" s="760"/>
    </row>
    <row r="10998" spans="1:11">
      <c r="A10998" s="760"/>
      <c r="B10998" s="760"/>
      <c r="C10998" s="760"/>
      <c r="D10998" s="760"/>
      <c r="E10998" s="760"/>
      <c r="F10998" s="760"/>
      <c r="G10998" s="760"/>
      <c r="H10998" s="760"/>
      <c r="I10998" s="760"/>
      <c r="J10998" s="760"/>
      <c r="K10998" s="760"/>
    </row>
    <row r="10999" spans="1:11">
      <c r="A10999" s="760"/>
      <c r="B10999" s="760"/>
      <c r="C10999" s="760"/>
      <c r="D10999" s="760"/>
      <c r="E10999" s="760"/>
      <c r="F10999" s="760"/>
      <c r="G10999" s="760"/>
      <c r="H10999" s="760"/>
      <c r="I10999" s="760"/>
      <c r="J10999" s="760"/>
      <c r="K10999" s="760"/>
    </row>
    <row r="11000" spans="1:11">
      <c r="A11000" s="760"/>
      <c r="B11000" s="760"/>
      <c r="C11000" s="760"/>
      <c r="D11000" s="760"/>
      <c r="E11000" s="760"/>
      <c r="F11000" s="760"/>
      <c r="G11000" s="760"/>
      <c r="H11000" s="760"/>
      <c r="I11000" s="760"/>
      <c r="J11000" s="760"/>
      <c r="K11000" s="760"/>
    </row>
    <row r="11001" spans="1:11">
      <c r="A11001" s="760"/>
      <c r="B11001" s="760"/>
      <c r="C11001" s="760"/>
      <c r="D11001" s="760"/>
      <c r="E11001" s="760"/>
      <c r="F11001" s="760"/>
      <c r="G11001" s="760"/>
      <c r="H11001" s="760"/>
      <c r="I11001" s="760"/>
      <c r="J11001" s="760"/>
      <c r="K11001" s="760"/>
    </row>
    <row r="11002" spans="1:11">
      <c r="A11002" s="760"/>
      <c r="B11002" s="760"/>
      <c r="C11002" s="760"/>
      <c r="D11002" s="760"/>
      <c r="E11002" s="760"/>
      <c r="F11002" s="760"/>
      <c r="G11002" s="760"/>
      <c r="H11002" s="760"/>
      <c r="I11002" s="760"/>
      <c r="J11002" s="760"/>
      <c r="K11002" s="760"/>
    </row>
    <row r="11003" spans="1:11">
      <c r="A11003" s="760"/>
      <c r="B11003" s="760"/>
      <c r="C11003" s="760"/>
      <c r="D11003" s="760"/>
      <c r="E11003" s="760"/>
      <c r="F11003" s="760"/>
      <c r="G11003" s="760"/>
      <c r="H11003" s="760"/>
      <c r="I11003" s="760"/>
      <c r="J11003" s="760"/>
      <c r="K11003" s="760"/>
    </row>
    <row r="11004" spans="1:11">
      <c r="A11004" s="760"/>
      <c r="B11004" s="760"/>
      <c r="C11004" s="760"/>
      <c r="D11004" s="760"/>
      <c r="E11004" s="760"/>
      <c r="F11004" s="760"/>
      <c r="G11004" s="760"/>
      <c r="H11004" s="760"/>
      <c r="I11004" s="760"/>
      <c r="J11004" s="760"/>
      <c r="K11004" s="760"/>
    </row>
    <row r="11005" spans="1:11">
      <c r="A11005" s="760"/>
      <c r="B11005" s="760"/>
      <c r="C11005" s="760"/>
      <c r="D11005" s="760"/>
      <c r="E11005" s="760"/>
      <c r="F11005" s="760"/>
      <c r="G11005" s="760"/>
      <c r="H11005" s="760"/>
      <c r="I11005" s="760"/>
      <c r="J11005" s="760"/>
      <c r="K11005" s="760"/>
    </row>
    <row r="11006" spans="1:11">
      <c r="A11006" s="760"/>
      <c r="B11006" s="760"/>
      <c r="C11006" s="760"/>
      <c r="D11006" s="760"/>
      <c r="E11006" s="760"/>
      <c r="F11006" s="760"/>
      <c r="G11006" s="760"/>
      <c r="H11006" s="760"/>
      <c r="I11006" s="760"/>
      <c r="J11006" s="760"/>
      <c r="K11006" s="760"/>
    </row>
    <row r="11007" spans="1:11">
      <c r="A11007" s="760"/>
      <c r="B11007" s="760"/>
      <c r="C11007" s="760"/>
      <c r="D11007" s="760"/>
      <c r="E11007" s="760"/>
      <c r="F11007" s="760"/>
      <c r="G11007" s="760"/>
      <c r="H11007" s="760"/>
      <c r="I11007" s="760"/>
      <c r="J11007" s="760"/>
      <c r="K11007" s="760"/>
    </row>
    <row r="11008" spans="1:11">
      <c r="A11008" s="760"/>
      <c r="B11008" s="760"/>
      <c r="C11008" s="760"/>
      <c r="D11008" s="760"/>
      <c r="E11008" s="760"/>
      <c r="F11008" s="760"/>
      <c r="G11008" s="760"/>
      <c r="H11008" s="760"/>
      <c r="I11008" s="760"/>
      <c r="J11008" s="760"/>
      <c r="K11008" s="760"/>
    </row>
    <row r="11009" spans="1:11">
      <c r="A11009" s="760"/>
      <c r="B11009" s="760"/>
      <c r="C11009" s="760"/>
      <c r="D11009" s="760"/>
      <c r="E11009" s="760"/>
      <c r="F11009" s="760"/>
      <c r="G11009" s="760"/>
      <c r="H11009" s="760"/>
      <c r="I11009" s="760"/>
      <c r="J11009" s="760"/>
      <c r="K11009" s="760"/>
    </row>
    <row r="11010" spans="1:11">
      <c r="A11010" s="760"/>
      <c r="B11010" s="760"/>
      <c r="C11010" s="760"/>
      <c r="D11010" s="760"/>
      <c r="E11010" s="760"/>
      <c r="F11010" s="760"/>
      <c r="G11010" s="760"/>
      <c r="H11010" s="760"/>
      <c r="I11010" s="760"/>
      <c r="J11010" s="760"/>
      <c r="K11010" s="760"/>
    </row>
    <row r="11011" spans="1:11">
      <c r="A11011" s="760"/>
      <c r="B11011" s="760"/>
      <c r="C11011" s="760"/>
      <c r="D11011" s="760"/>
      <c r="E11011" s="760"/>
      <c r="F11011" s="760"/>
      <c r="G11011" s="760"/>
      <c r="H11011" s="760"/>
      <c r="I11011" s="760"/>
      <c r="J11011" s="760"/>
      <c r="K11011" s="760"/>
    </row>
    <row r="11012" spans="1:11">
      <c r="A11012" s="760"/>
      <c r="B11012" s="760"/>
      <c r="C11012" s="760"/>
      <c r="D11012" s="760"/>
      <c r="E11012" s="760"/>
      <c r="F11012" s="760"/>
      <c r="G11012" s="760"/>
      <c r="H11012" s="760"/>
      <c r="I11012" s="760"/>
      <c r="J11012" s="760"/>
      <c r="K11012" s="760"/>
    </row>
    <row r="11013" spans="1:11">
      <c r="A11013" s="760"/>
      <c r="B11013" s="760"/>
      <c r="C11013" s="760"/>
      <c r="D11013" s="760"/>
      <c r="E11013" s="760"/>
      <c r="F11013" s="760"/>
      <c r="G11013" s="760"/>
      <c r="H11013" s="760"/>
      <c r="I11013" s="760"/>
      <c r="J11013" s="760"/>
      <c r="K11013" s="760"/>
    </row>
    <row r="11014" spans="1:11">
      <c r="A11014" s="760"/>
      <c r="B11014" s="760"/>
      <c r="C11014" s="760"/>
      <c r="D11014" s="760"/>
      <c r="E11014" s="760"/>
      <c r="F11014" s="760"/>
      <c r="G11014" s="760"/>
      <c r="H11014" s="760"/>
      <c r="I11014" s="760"/>
      <c r="J11014" s="760"/>
      <c r="K11014" s="760"/>
    </row>
    <row r="11015" spans="1:11">
      <c r="A11015" s="760"/>
      <c r="B11015" s="760"/>
      <c r="C11015" s="760"/>
      <c r="D11015" s="760"/>
      <c r="E11015" s="760"/>
      <c r="F11015" s="760"/>
      <c r="G11015" s="760"/>
      <c r="H11015" s="760"/>
      <c r="I11015" s="760"/>
      <c r="J11015" s="760"/>
      <c r="K11015" s="760"/>
    </row>
    <row r="11016" spans="1:11">
      <c r="A11016" s="760"/>
      <c r="B11016" s="760"/>
      <c r="C11016" s="760"/>
      <c r="D11016" s="760"/>
      <c r="E11016" s="760"/>
      <c r="F11016" s="760"/>
      <c r="G11016" s="760"/>
      <c r="H11016" s="760"/>
      <c r="I11016" s="760"/>
      <c r="J11016" s="760"/>
      <c r="K11016" s="760"/>
    </row>
    <row r="11017" spans="1:11">
      <c r="A11017" s="760"/>
      <c r="B11017" s="760"/>
      <c r="C11017" s="760"/>
      <c r="D11017" s="760"/>
      <c r="E11017" s="760"/>
      <c r="F11017" s="760"/>
      <c r="G11017" s="760"/>
      <c r="H11017" s="760"/>
      <c r="I11017" s="760"/>
      <c r="J11017" s="760"/>
      <c r="K11017" s="760"/>
    </row>
    <row r="11018" spans="1:11">
      <c r="A11018" s="760"/>
      <c r="B11018" s="760"/>
      <c r="C11018" s="760"/>
      <c r="D11018" s="760"/>
      <c r="E11018" s="760"/>
      <c r="F11018" s="760"/>
      <c r="G11018" s="760"/>
      <c r="H11018" s="760"/>
      <c r="I11018" s="760"/>
      <c r="J11018" s="760"/>
      <c r="K11018" s="760"/>
    </row>
    <row r="11019" spans="1:11">
      <c r="A11019" s="760"/>
      <c r="B11019" s="760"/>
      <c r="C11019" s="760"/>
      <c r="D11019" s="760"/>
      <c r="E11019" s="760"/>
      <c r="F11019" s="760"/>
      <c r="G11019" s="760"/>
      <c r="H11019" s="760"/>
      <c r="I11019" s="760"/>
      <c r="J11019" s="760"/>
      <c r="K11019" s="760"/>
    </row>
    <row r="11020" spans="1:11">
      <c r="A11020" s="760"/>
      <c r="B11020" s="760"/>
      <c r="C11020" s="760"/>
      <c r="D11020" s="760"/>
      <c r="E11020" s="760"/>
      <c r="F11020" s="760"/>
      <c r="G11020" s="760"/>
      <c r="H11020" s="760"/>
      <c r="I11020" s="760"/>
      <c r="J11020" s="760"/>
      <c r="K11020" s="760"/>
    </row>
    <row r="11021" spans="1:11">
      <c r="A11021" s="760"/>
      <c r="B11021" s="760"/>
      <c r="C11021" s="760"/>
      <c r="D11021" s="760"/>
      <c r="E11021" s="760"/>
      <c r="F11021" s="760"/>
      <c r="G11021" s="760"/>
      <c r="H11021" s="760"/>
      <c r="I11021" s="760"/>
      <c r="J11021" s="760"/>
      <c r="K11021" s="760"/>
    </row>
    <row r="11022" spans="1:11">
      <c r="A11022" s="760"/>
      <c r="B11022" s="760"/>
      <c r="C11022" s="760"/>
      <c r="D11022" s="760"/>
      <c r="E11022" s="760"/>
      <c r="F11022" s="760"/>
      <c r="G11022" s="760"/>
      <c r="H11022" s="760"/>
      <c r="I11022" s="760"/>
      <c r="J11022" s="760"/>
      <c r="K11022" s="760"/>
    </row>
    <row r="11023" spans="1:11">
      <c r="A11023" s="760"/>
      <c r="B11023" s="760"/>
      <c r="C11023" s="760"/>
      <c r="D11023" s="760"/>
      <c r="E11023" s="760"/>
      <c r="F11023" s="760"/>
      <c r="G11023" s="760"/>
      <c r="H11023" s="760"/>
      <c r="I11023" s="760"/>
      <c r="J11023" s="760"/>
      <c r="K11023" s="760"/>
    </row>
    <row r="11024" spans="1:11">
      <c r="A11024" s="760"/>
      <c r="B11024" s="760"/>
      <c r="C11024" s="760"/>
      <c r="D11024" s="760"/>
      <c r="E11024" s="760"/>
      <c r="F11024" s="760"/>
      <c r="G11024" s="760"/>
      <c r="H11024" s="760"/>
      <c r="I11024" s="760"/>
      <c r="J11024" s="760"/>
      <c r="K11024" s="760"/>
    </row>
    <row r="11025" spans="1:11">
      <c r="A11025" s="760"/>
      <c r="B11025" s="760"/>
      <c r="C11025" s="760"/>
      <c r="D11025" s="760"/>
      <c r="E11025" s="760"/>
      <c r="F11025" s="760"/>
      <c r="G11025" s="760"/>
      <c r="H11025" s="760"/>
      <c r="I11025" s="760"/>
      <c r="J11025" s="760"/>
      <c r="K11025" s="760"/>
    </row>
    <row r="11026" spans="1:11">
      <c r="A11026" s="760"/>
      <c r="B11026" s="760"/>
      <c r="C11026" s="760"/>
      <c r="D11026" s="760"/>
      <c r="E11026" s="760"/>
      <c r="F11026" s="760"/>
      <c r="G11026" s="760"/>
      <c r="H11026" s="760"/>
      <c r="I11026" s="760"/>
      <c r="J11026" s="760"/>
      <c r="K11026" s="760"/>
    </row>
    <row r="11027" spans="1:11">
      <c r="A11027" s="760"/>
      <c r="B11027" s="760"/>
      <c r="C11027" s="760"/>
      <c r="D11027" s="760"/>
      <c r="E11027" s="760"/>
      <c r="F11027" s="760"/>
      <c r="G11027" s="760"/>
      <c r="H11027" s="760"/>
      <c r="I11027" s="760"/>
      <c r="J11027" s="760"/>
      <c r="K11027" s="760"/>
    </row>
    <row r="11028" spans="1:11">
      <c r="A11028" s="760"/>
      <c r="B11028" s="760"/>
      <c r="C11028" s="760"/>
      <c r="D11028" s="760"/>
      <c r="E11028" s="760"/>
      <c r="F11028" s="760"/>
      <c r="G11028" s="760"/>
      <c r="H11028" s="760"/>
      <c r="I11028" s="760"/>
      <c r="J11028" s="760"/>
      <c r="K11028" s="760"/>
    </row>
    <row r="11029" spans="1:11">
      <c r="A11029" s="760"/>
      <c r="B11029" s="760"/>
      <c r="C11029" s="760"/>
      <c r="D11029" s="760"/>
      <c r="E11029" s="760"/>
      <c r="F11029" s="760"/>
      <c r="G11029" s="760"/>
      <c r="H11029" s="760"/>
      <c r="I11029" s="760"/>
      <c r="J11029" s="760"/>
      <c r="K11029" s="760"/>
    </row>
    <row r="11030" spans="1:11">
      <c r="A11030" s="760"/>
      <c r="B11030" s="760"/>
      <c r="C11030" s="760"/>
      <c r="D11030" s="760"/>
      <c r="E11030" s="760"/>
      <c r="F11030" s="760"/>
      <c r="G11030" s="760"/>
      <c r="H11030" s="760"/>
      <c r="I11030" s="760"/>
      <c r="J11030" s="760"/>
      <c r="K11030" s="760"/>
    </row>
    <row r="11031" spans="1:11">
      <c r="A11031" s="760"/>
      <c r="B11031" s="760"/>
      <c r="C11031" s="760"/>
      <c r="D11031" s="760"/>
      <c r="E11031" s="760"/>
      <c r="F11031" s="760"/>
      <c r="G11031" s="760"/>
      <c r="H11031" s="760"/>
      <c r="I11031" s="760"/>
      <c r="J11031" s="760"/>
      <c r="K11031" s="760"/>
    </row>
    <row r="11032" spans="1:11">
      <c r="A11032" s="760"/>
      <c r="B11032" s="760"/>
      <c r="C11032" s="760"/>
      <c r="D11032" s="760"/>
      <c r="E11032" s="760"/>
      <c r="F11032" s="760"/>
      <c r="G11032" s="760"/>
      <c r="H11032" s="760"/>
      <c r="I11032" s="760"/>
      <c r="J11032" s="760"/>
      <c r="K11032" s="760"/>
    </row>
    <row r="11033" spans="1:11">
      <c r="A11033" s="760"/>
      <c r="B11033" s="760"/>
      <c r="C11033" s="760"/>
      <c r="D11033" s="760"/>
      <c r="E11033" s="760"/>
      <c r="F11033" s="760"/>
      <c r="G11033" s="760"/>
      <c r="H11033" s="760"/>
      <c r="I11033" s="760"/>
      <c r="J11033" s="760"/>
      <c r="K11033" s="760"/>
    </row>
    <row r="11034" spans="1:11">
      <c r="A11034" s="760"/>
      <c r="B11034" s="760"/>
      <c r="C11034" s="760"/>
      <c r="D11034" s="760"/>
      <c r="E11034" s="760"/>
      <c r="F11034" s="760"/>
      <c r="G11034" s="760"/>
      <c r="H11034" s="760"/>
      <c r="I11034" s="760"/>
      <c r="J11034" s="760"/>
      <c r="K11034" s="760"/>
    </row>
    <row r="11035" spans="1:11">
      <c r="A11035" s="760"/>
      <c r="B11035" s="760"/>
      <c r="C11035" s="760"/>
      <c r="D11035" s="760"/>
      <c r="E11035" s="760"/>
      <c r="F11035" s="760"/>
      <c r="G11035" s="760"/>
      <c r="H11035" s="760"/>
      <c r="I11035" s="760"/>
      <c r="J11035" s="760"/>
      <c r="K11035" s="760"/>
    </row>
    <row r="11036" spans="1:11">
      <c r="A11036" s="760"/>
      <c r="B11036" s="760"/>
      <c r="C11036" s="760"/>
      <c r="D11036" s="760"/>
      <c r="E11036" s="760"/>
      <c r="F11036" s="760"/>
      <c r="G11036" s="760"/>
      <c r="H11036" s="760"/>
      <c r="I11036" s="760"/>
      <c r="J11036" s="760"/>
      <c r="K11036" s="760"/>
    </row>
    <row r="11037" spans="1:11">
      <c r="A11037" s="760"/>
      <c r="B11037" s="760"/>
      <c r="C11037" s="760"/>
      <c r="D11037" s="760"/>
      <c r="E11037" s="760"/>
      <c r="F11037" s="760"/>
      <c r="G11037" s="760"/>
      <c r="H11037" s="760"/>
      <c r="I11037" s="760"/>
      <c r="J11037" s="760"/>
      <c r="K11037" s="760"/>
    </row>
    <row r="11038" spans="1:11">
      <c r="A11038" s="760"/>
      <c r="B11038" s="760"/>
      <c r="C11038" s="760"/>
      <c r="D11038" s="760"/>
      <c r="E11038" s="760"/>
      <c r="F11038" s="760"/>
      <c r="G11038" s="760"/>
      <c r="H11038" s="760"/>
      <c r="I11038" s="760"/>
      <c r="J11038" s="760"/>
      <c r="K11038" s="760"/>
    </row>
    <row r="11039" spans="1:11">
      <c r="A11039" s="760"/>
      <c r="B11039" s="760"/>
      <c r="C11039" s="760"/>
      <c r="D11039" s="760"/>
      <c r="E11039" s="760"/>
      <c r="F11039" s="760"/>
      <c r="G11039" s="760"/>
      <c r="H11039" s="760"/>
      <c r="I11039" s="760"/>
      <c r="J11039" s="760"/>
      <c r="K11039" s="760"/>
    </row>
    <row r="11040" spans="1:11">
      <c r="A11040" s="760"/>
      <c r="B11040" s="760"/>
      <c r="C11040" s="760"/>
      <c r="D11040" s="760"/>
      <c r="E11040" s="760"/>
      <c r="F11040" s="760"/>
      <c r="G11040" s="760"/>
      <c r="H11040" s="760"/>
      <c r="I11040" s="760"/>
      <c r="J11040" s="760"/>
      <c r="K11040" s="760"/>
    </row>
    <row r="11041" spans="1:11">
      <c r="A11041" s="760"/>
      <c r="B11041" s="760"/>
      <c r="C11041" s="760"/>
      <c r="D11041" s="760"/>
      <c r="E11041" s="760"/>
      <c r="F11041" s="760"/>
      <c r="G11041" s="760"/>
      <c r="H11041" s="760"/>
      <c r="I11041" s="760"/>
      <c r="J11041" s="760"/>
      <c r="K11041" s="760"/>
    </row>
    <row r="11042" spans="1:11">
      <c r="A11042" s="760"/>
      <c r="B11042" s="760"/>
      <c r="C11042" s="760"/>
      <c r="D11042" s="760"/>
      <c r="E11042" s="760"/>
      <c r="F11042" s="760"/>
      <c r="G11042" s="760"/>
      <c r="H11042" s="760"/>
      <c r="I11042" s="760"/>
      <c r="J11042" s="760"/>
      <c r="K11042" s="760"/>
    </row>
    <row r="11043" spans="1:11">
      <c r="A11043" s="760"/>
      <c r="B11043" s="760"/>
      <c r="C11043" s="760"/>
      <c r="D11043" s="760"/>
      <c r="E11043" s="760"/>
      <c r="F11043" s="760"/>
      <c r="G11043" s="760"/>
      <c r="H11043" s="760"/>
      <c r="I11043" s="760"/>
      <c r="J11043" s="760"/>
      <c r="K11043" s="760"/>
    </row>
    <row r="11044" spans="1:11">
      <c r="A11044" s="760"/>
      <c r="B11044" s="760"/>
      <c r="C11044" s="760"/>
      <c r="D11044" s="760"/>
      <c r="E11044" s="760"/>
      <c r="F11044" s="760"/>
      <c r="G11044" s="760"/>
      <c r="H11044" s="760"/>
      <c r="I11044" s="760"/>
      <c r="J11044" s="760"/>
      <c r="K11044" s="760"/>
    </row>
    <row r="11045" spans="1:11">
      <c r="A11045" s="760"/>
      <c r="B11045" s="760"/>
      <c r="C11045" s="760"/>
      <c r="D11045" s="760"/>
      <c r="E11045" s="760"/>
      <c r="F11045" s="760"/>
      <c r="G11045" s="760"/>
      <c r="H11045" s="760"/>
      <c r="I11045" s="760"/>
      <c r="J11045" s="760"/>
      <c r="K11045" s="760"/>
    </row>
    <row r="11046" spans="1:11">
      <c r="A11046" s="760"/>
      <c r="B11046" s="760"/>
      <c r="C11046" s="760"/>
      <c r="D11046" s="760"/>
      <c r="E11046" s="760"/>
      <c r="F11046" s="760"/>
      <c r="G11046" s="760"/>
      <c r="H11046" s="760"/>
      <c r="I11046" s="760"/>
      <c r="J11046" s="760"/>
      <c r="K11046" s="760"/>
    </row>
    <row r="11047" spans="1:11">
      <c r="A11047" s="760"/>
      <c r="B11047" s="760"/>
      <c r="C11047" s="760"/>
      <c r="D11047" s="760"/>
      <c r="E11047" s="760"/>
      <c r="F11047" s="760"/>
      <c r="G11047" s="760"/>
      <c r="H11047" s="760"/>
      <c r="I11047" s="760"/>
      <c r="J11047" s="760"/>
      <c r="K11047" s="760"/>
    </row>
    <row r="11048" spans="1:11">
      <c r="A11048" s="760"/>
      <c r="B11048" s="760"/>
      <c r="C11048" s="760"/>
      <c r="D11048" s="760"/>
      <c r="E11048" s="760"/>
      <c r="F11048" s="760"/>
      <c r="G11048" s="760"/>
      <c r="H11048" s="760"/>
      <c r="I11048" s="760"/>
      <c r="J11048" s="760"/>
      <c r="K11048" s="760"/>
    </row>
    <row r="11049" spans="1:11">
      <c r="A11049" s="760"/>
      <c r="B11049" s="760"/>
      <c r="C11049" s="760"/>
      <c r="D11049" s="760"/>
      <c r="E11049" s="760"/>
      <c r="F11049" s="760"/>
      <c r="G11049" s="760"/>
      <c r="H11049" s="760"/>
      <c r="I11049" s="760"/>
      <c r="J11049" s="760"/>
      <c r="K11049" s="760"/>
    </row>
    <row r="11050" spans="1:11">
      <c r="A11050" s="760"/>
      <c r="B11050" s="760"/>
      <c r="C11050" s="760"/>
      <c r="D11050" s="760"/>
      <c r="E11050" s="760"/>
      <c r="F11050" s="760"/>
      <c r="G11050" s="760"/>
      <c r="H11050" s="760"/>
      <c r="I11050" s="760"/>
      <c r="J11050" s="760"/>
      <c r="K11050" s="760"/>
    </row>
    <row r="11051" spans="1:11">
      <c r="A11051" s="760"/>
      <c r="B11051" s="760"/>
      <c r="C11051" s="760"/>
      <c r="D11051" s="760"/>
      <c r="E11051" s="760"/>
      <c r="F11051" s="760"/>
      <c r="G11051" s="760"/>
      <c r="H11051" s="760"/>
      <c r="I11051" s="760"/>
      <c r="J11051" s="760"/>
      <c r="K11051" s="760"/>
    </row>
    <row r="11052" spans="1:11">
      <c r="A11052" s="760"/>
      <c r="B11052" s="760"/>
      <c r="C11052" s="760"/>
      <c r="D11052" s="760"/>
      <c r="E11052" s="760"/>
      <c r="F11052" s="760"/>
      <c r="G11052" s="760"/>
      <c r="H11052" s="760"/>
      <c r="I11052" s="760"/>
      <c r="J11052" s="760"/>
      <c r="K11052" s="760"/>
    </row>
    <row r="11053" spans="1:11">
      <c r="A11053" s="760"/>
      <c r="B11053" s="760"/>
      <c r="C11053" s="760"/>
      <c r="D11053" s="760"/>
      <c r="E11053" s="760"/>
      <c r="F11053" s="760"/>
      <c r="G11053" s="760"/>
      <c r="H11053" s="760"/>
      <c r="I11053" s="760"/>
      <c r="J11053" s="760"/>
      <c r="K11053" s="760"/>
    </row>
    <row r="11054" spans="1:11">
      <c r="A11054" s="760"/>
      <c r="B11054" s="760"/>
      <c r="C11054" s="760"/>
      <c r="D11054" s="760"/>
      <c r="E11054" s="760"/>
      <c r="F11054" s="760"/>
      <c r="G11054" s="760"/>
      <c r="H11054" s="760"/>
      <c r="I11054" s="760"/>
      <c r="J11054" s="760"/>
      <c r="K11054" s="760"/>
    </row>
    <row r="11055" spans="1:11">
      <c r="A11055" s="760"/>
      <c r="B11055" s="760"/>
      <c r="C11055" s="760"/>
      <c r="D11055" s="760"/>
      <c r="E11055" s="760"/>
      <c r="F11055" s="760"/>
      <c r="G11055" s="760"/>
      <c r="H11055" s="760"/>
      <c r="I11055" s="760"/>
      <c r="J11055" s="760"/>
      <c r="K11055" s="760"/>
    </row>
    <row r="11056" spans="1:11">
      <c r="A11056" s="760"/>
      <c r="B11056" s="760"/>
      <c r="C11056" s="760"/>
      <c r="D11056" s="760"/>
      <c r="E11056" s="760"/>
      <c r="F11056" s="760"/>
      <c r="G11056" s="760"/>
      <c r="H11056" s="760"/>
      <c r="I11056" s="760"/>
      <c r="J11056" s="760"/>
      <c r="K11056" s="760"/>
    </row>
    <row r="11057" spans="1:11">
      <c r="A11057" s="760"/>
      <c r="B11057" s="760"/>
      <c r="C11057" s="760"/>
      <c r="D11057" s="760"/>
      <c r="E11057" s="760"/>
      <c r="F11057" s="760"/>
      <c r="G11057" s="760"/>
      <c r="H11057" s="760"/>
      <c r="I11057" s="760"/>
      <c r="J11057" s="760"/>
      <c r="K11057" s="760"/>
    </row>
    <row r="11058" spans="1:11">
      <c r="A11058" s="760"/>
      <c r="B11058" s="760"/>
      <c r="C11058" s="760"/>
      <c r="D11058" s="760"/>
      <c r="E11058" s="760"/>
      <c r="F11058" s="760"/>
      <c r="G11058" s="760"/>
      <c r="H11058" s="760"/>
      <c r="I11058" s="760"/>
      <c r="J11058" s="760"/>
      <c r="K11058" s="760"/>
    </row>
    <row r="11059" spans="1:11">
      <c r="A11059" s="760"/>
      <c r="B11059" s="760"/>
      <c r="C11059" s="760"/>
      <c r="D11059" s="760"/>
      <c r="E11059" s="760"/>
      <c r="F11059" s="760"/>
      <c r="G11059" s="760"/>
      <c r="H11059" s="760"/>
      <c r="I11059" s="760"/>
      <c r="J11059" s="760"/>
      <c r="K11059" s="760"/>
    </row>
    <row r="11060" spans="1:11">
      <c r="A11060" s="760"/>
      <c r="B11060" s="760"/>
      <c r="C11060" s="760"/>
      <c r="D11060" s="760"/>
      <c r="E11060" s="760"/>
      <c r="F11060" s="760"/>
      <c r="G11060" s="760"/>
      <c r="H11060" s="760"/>
      <c r="I11060" s="760"/>
      <c r="J11060" s="760"/>
      <c r="K11060" s="760"/>
    </row>
    <row r="11061" spans="1:11">
      <c r="A11061" s="760"/>
      <c r="B11061" s="760"/>
      <c r="C11061" s="760"/>
      <c r="D11061" s="760"/>
      <c r="E11061" s="760"/>
      <c r="F11061" s="760"/>
      <c r="G11061" s="760"/>
      <c r="H11061" s="760"/>
      <c r="I11061" s="760"/>
      <c r="J11061" s="760"/>
      <c r="K11061" s="760"/>
    </row>
    <row r="11062" spans="1:11">
      <c r="A11062" s="760"/>
      <c r="B11062" s="760"/>
      <c r="C11062" s="760"/>
      <c r="D11062" s="760"/>
      <c r="E11062" s="760"/>
      <c r="F11062" s="760"/>
      <c r="G11062" s="760"/>
      <c r="H11062" s="760"/>
      <c r="I11062" s="760"/>
      <c r="J11062" s="760"/>
      <c r="K11062" s="760"/>
    </row>
    <row r="11063" spans="1:11">
      <c r="A11063" s="760"/>
      <c r="B11063" s="760"/>
      <c r="C11063" s="760"/>
      <c r="D11063" s="760"/>
      <c r="E11063" s="760"/>
      <c r="F11063" s="760"/>
      <c r="G11063" s="760"/>
      <c r="H11063" s="760"/>
      <c r="I11063" s="760"/>
      <c r="J11063" s="760"/>
      <c r="K11063" s="760"/>
    </row>
    <row r="11064" spans="1:11">
      <c r="A11064" s="760"/>
      <c r="B11064" s="760"/>
      <c r="C11064" s="760"/>
      <c r="D11064" s="760"/>
      <c r="E11064" s="760"/>
      <c r="F11064" s="760"/>
      <c r="G11064" s="760"/>
      <c r="H11064" s="760"/>
      <c r="I11064" s="760"/>
      <c r="J11064" s="760"/>
      <c r="K11064" s="760"/>
    </row>
    <row r="11065" spans="1:11">
      <c r="A11065" s="760"/>
      <c r="B11065" s="760"/>
      <c r="C11065" s="760"/>
      <c r="D11065" s="760"/>
      <c r="E11065" s="760"/>
      <c r="F11065" s="760"/>
      <c r="G11065" s="760"/>
      <c r="H11065" s="760"/>
      <c r="I11065" s="760"/>
      <c r="J11065" s="760"/>
      <c r="K11065" s="760"/>
    </row>
    <row r="11066" spans="1:11">
      <c r="A11066" s="760"/>
      <c r="B11066" s="760"/>
      <c r="C11066" s="760"/>
      <c r="D11066" s="760"/>
      <c r="E11066" s="760"/>
      <c r="F11066" s="760"/>
      <c r="G11066" s="760"/>
      <c r="H11066" s="760"/>
      <c r="I11066" s="760"/>
      <c r="J11066" s="760"/>
      <c r="K11066" s="760"/>
    </row>
    <row r="11067" spans="1:11">
      <c r="A11067" s="760"/>
      <c r="B11067" s="760"/>
      <c r="C11067" s="760"/>
      <c r="D11067" s="760"/>
      <c r="E11067" s="760"/>
      <c r="F11067" s="760"/>
      <c r="G11067" s="760"/>
      <c r="H11067" s="760"/>
      <c r="I11067" s="760"/>
      <c r="J11067" s="760"/>
      <c r="K11067" s="760"/>
    </row>
    <row r="11068" spans="1:11">
      <c r="A11068" s="760"/>
      <c r="B11068" s="760"/>
      <c r="C11068" s="760"/>
      <c r="D11068" s="760"/>
      <c r="E11068" s="760"/>
      <c r="F11068" s="760"/>
      <c r="G11068" s="760"/>
      <c r="H11068" s="760"/>
      <c r="I11068" s="760"/>
      <c r="J11068" s="760"/>
      <c r="K11068" s="760"/>
    </row>
    <row r="11069" spans="1:11">
      <c r="A11069" s="760"/>
      <c r="B11069" s="760"/>
      <c r="C11069" s="760"/>
      <c r="D11069" s="760"/>
      <c r="E11069" s="760"/>
      <c r="F11069" s="760"/>
      <c r="G11069" s="760"/>
      <c r="H11069" s="760"/>
      <c r="I11069" s="760"/>
      <c r="J11069" s="760"/>
      <c r="K11069" s="760"/>
    </row>
    <row r="11070" spans="1:11">
      <c r="A11070" s="760"/>
      <c r="B11070" s="760"/>
      <c r="C11070" s="760"/>
      <c r="D11070" s="760"/>
      <c r="E11070" s="760"/>
      <c r="F11070" s="760"/>
      <c r="G11070" s="760"/>
      <c r="H11070" s="760"/>
      <c r="I11070" s="760"/>
      <c r="J11070" s="760"/>
      <c r="K11070" s="760"/>
    </row>
    <row r="11071" spans="1:11">
      <c r="A11071" s="760"/>
      <c r="B11071" s="760"/>
      <c r="C11071" s="760"/>
      <c r="D11071" s="760"/>
      <c r="E11071" s="760"/>
      <c r="F11071" s="760"/>
      <c r="G11071" s="760"/>
      <c r="H11071" s="760"/>
      <c r="I11071" s="760"/>
      <c r="J11071" s="760"/>
      <c r="K11071" s="760"/>
    </row>
    <row r="11072" spans="1:11">
      <c r="A11072" s="760"/>
      <c r="B11072" s="760"/>
      <c r="C11072" s="760"/>
      <c r="D11072" s="760"/>
      <c r="E11072" s="760"/>
      <c r="F11072" s="760"/>
      <c r="G11072" s="760"/>
      <c r="H11072" s="760"/>
      <c r="I11072" s="760"/>
      <c r="J11072" s="760"/>
      <c r="K11072" s="760"/>
    </row>
    <row r="11073" spans="1:11">
      <c r="A11073" s="760"/>
      <c r="B11073" s="760"/>
      <c r="C11073" s="760"/>
      <c r="D11073" s="760"/>
      <c r="E11073" s="760"/>
      <c r="F11073" s="760"/>
      <c r="G11073" s="760"/>
      <c r="H11073" s="760"/>
      <c r="I11073" s="760"/>
      <c r="J11073" s="760"/>
      <c r="K11073" s="760"/>
    </row>
    <row r="11074" spans="1:11">
      <c r="A11074" s="760"/>
      <c r="B11074" s="760"/>
      <c r="C11074" s="760"/>
      <c r="D11074" s="760"/>
      <c r="E11074" s="760"/>
      <c r="F11074" s="760"/>
      <c r="G11074" s="760"/>
      <c r="H11074" s="760"/>
      <c r="I11074" s="760"/>
      <c r="J11074" s="760"/>
      <c r="K11074" s="760"/>
    </row>
    <row r="11075" spans="1:11">
      <c r="A11075" s="760"/>
      <c r="B11075" s="760"/>
      <c r="C11075" s="760"/>
      <c r="D11075" s="760"/>
      <c r="E11075" s="760"/>
      <c r="F11075" s="760"/>
      <c r="G11075" s="760"/>
      <c r="H11075" s="760"/>
      <c r="I11075" s="760"/>
      <c r="J11075" s="760"/>
      <c r="K11075" s="760"/>
    </row>
    <row r="11076" spans="1:11">
      <c r="A11076" s="760"/>
      <c r="B11076" s="760"/>
      <c r="C11076" s="760"/>
      <c r="D11076" s="760"/>
      <c r="E11076" s="760"/>
      <c r="F11076" s="760"/>
      <c r="G11076" s="760"/>
      <c r="H11076" s="760"/>
      <c r="I11076" s="760"/>
      <c r="J11076" s="760"/>
      <c r="K11076" s="760"/>
    </row>
    <row r="11077" spans="1:11">
      <c r="A11077" s="760"/>
      <c r="B11077" s="760"/>
      <c r="C11077" s="760"/>
      <c r="D11077" s="760"/>
      <c r="E11077" s="760"/>
      <c r="F11077" s="760"/>
      <c r="G11077" s="760"/>
      <c r="H11077" s="760"/>
      <c r="I11077" s="760"/>
      <c r="J11077" s="760"/>
      <c r="K11077" s="760"/>
    </row>
    <row r="11078" spans="1:11">
      <c r="A11078" s="760"/>
      <c r="B11078" s="760"/>
      <c r="C11078" s="760"/>
      <c r="D11078" s="760"/>
      <c r="E11078" s="760"/>
      <c r="F11078" s="760"/>
      <c r="G11078" s="760"/>
      <c r="H11078" s="760"/>
      <c r="I11078" s="760"/>
      <c r="J11078" s="760"/>
      <c r="K11078" s="760"/>
    </row>
    <row r="11079" spans="1:11">
      <c r="A11079" s="760"/>
      <c r="B11079" s="760"/>
      <c r="C11079" s="760"/>
      <c r="D11079" s="760"/>
      <c r="E11079" s="760"/>
      <c r="F11079" s="760"/>
      <c r="G11079" s="760"/>
      <c r="H11079" s="760"/>
      <c r="I11079" s="760"/>
      <c r="J11079" s="760"/>
      <c r="K11079" s="760"/>
    </row>
    <row r="11080" spans="1:11">
      <c r="A11080" s="760"/>
      <c r="B11080" s="760"/>
      <c r="C11080" s="760"/>
      <c r="D11080" s="760"/>
      <c r="E11080" s="760"/>
      <c r="F11080" s="760"/>
      <c r="G11080" s="760"/>
      <c r="H11080" s="760"/>
      <c r="I11080" s="760"/>
      <c r="J11080" s="760"/>
      <c r="K11080" s="760"/>
    </row>
    <row r="11081" spans="1:11">
      <c r="A11081" s="760"/>
      <c r="B11081" s="760"/>
      <c r="C11081" s="760"/>
      <c r="D11081" s="760"/>
      <c r="E11081" s="760"/>
      <c r="F11081" s="760"/>
      <c r="G11081" s="760"/>
      <c r="H11081" s="760"/>
      <c r="I11081" s="760"/>
      <c r="J11081" s="760"/>
      <c r="K11081" s="760"/>
    </row>
    <row r="11082" spans="1:11">
      <c r="A11082" s="760"/>
      <c r="B11082" s="760"/>
      <c r="C11082" s="760"/>
      <c r="D11082" s="760"/>
      <c r="E11082" s="760"/>
      <c r="F11082" s="760"/>
      <c r="G11082" s="760"/>
      <c r="H11082" s="760"/>
      <c r="I11082" s="760"/>
      <c r="J11082" s="760"/>
      <c r="K11082" s="760"/>
    </row>
    <row r="11083" spans="1:11">
      <c r="A11083" s="760"/>
      <c r="B11083" s="760"/>
      <c r="C11083" s="760"/>
      <c r="D11083" s="760"/>
      <c r="E11083" s="760"/>
      <c r="F11083" s="760"/>
      <c r="G11083" s="760"/>
      <c r="H11083" s="760"/>
      <c r="I11083" s="760"/>
      <c r="J11083" s="760"/>
      <c r="K11083" s="760"/>
    </row>
    <row r="11084" spans="1:11">
      <c r="A11084" s="760"/>
      <c r="B11084" s="760"/>
      <c r="C11084" s="760"/>
      <c r="D11084" s="760"/>
      <c r="E11084" s="760"/>
      <c r="F11084" s="760"/>
      <c r="G11084" s="760"/>
      <c r="H11084" s="760"/>
      <c r="I11084" s="760"/>
      <c r="J11084" s="760"/>
      <c r="K11084" s="760"/>
    </row>
    <row r="11085" spans="1:11">
      <c r="A11085" s="760"/>
      <c r="B11085" s="760"/>
      <c r="C11085" s="760"/>
      <c r="D11085" s="760"/>
      <c r="E11085" s="760"/>
      <c r="F11085" s="760"/>
      <c r="G11085" s="760"/>
      <c r="H11085" s="760"/>
      <c r="I11085" s="760"/>
      <c r="J11085" s="760"/>
      <c r="K11085" s="760"/>
    </row>
    <row r="11086" spans="1:11">
      <c r="A11086" s="760"/>
      <c r="B11086" s="760"/>
      <c r="C11086" s="760"/>
      <c r="D11086" s="760"/>
      <c r="E11086" s="760"/>
      <c r="F11086" s="760"/>
      <c r="G11086" s="760"/>
      <c r="H11086" s="760"/>
      <c r="I11086" s="760"/>
      <c r="J11086" s="760"/>
      <c r="K11086" s="760"/>
    </row>
    <row r="11087" spans="1:11">
      <c r="A11087" s="760"/>
      <c r="B11087" s="760"/>
      <c r="C11087" s="760"/>
      <c r="D11087" s="760"/>
      <c r="E11087" s="760"/>
      <c r="F11087" s="760"/>
      <c r="G11087" s="760"/>
      <c r="H11087" s="760"/>
      <c r="I11087" s="760"/>
      <c r="J11087" s="760"/>
      <c r="K11087" s="760"/>
    </row>
    <row r="11088" spans="1:11">
      <c r="A11088" s="760"/>
      <c r="B11088" s="760"/>
      <c r="C11088" s="760"/>
      <c r="D11088" s="760"/>
      <c r="E11088" s="760"/>
      <c r="F11088" s="760"/>
      <c r="G11088" s="760"/>
      <c r="H11088" s="760"/>
      <c r="I11088" s="760"/>
      <c r="J11088" s="760"/>
      <c r="K11088" s="760"/>
    </row>
    <row r="11089" spans="1:11">
      <c r="A11089" s="760"/>
      <c r="B11089" s="760"/>
      <c r="C11089" s="760"/>
      <c r="D11089" s="760"/>
      <c r="E11089" s="760"/>
      <c r="F11089" s="760"/>
      <c r="G11089" s="760"/>
      <c r="H11089" s="760"/>
      <c r="I11089" s="760"/>
      <c r="J11089" s="760"/>
      <c r="K11089" s="760"/>
    </row>
    <row r="11090" spans="1:11">
      <c r="A11090" s="760"/>
      <c r="B11090" s="760"/>
      <c r="C11090" s="760"/>
      <c r="D11090" s="760"/>
      <c r="E11090" s="760"/>
      <c r="F11090" s="760"/>
      <c r="G11090" s="760"/>
      <c r="H11090" s="760"/>
      <c r="I11090" s="760"/>
      <c r="J11090" s="760"/>
      <c r="K11090" s="760"/>
    </row>
    <row r="11091" spans="1:11">
      <c r="A11091" s="760"/>
      <c r="B11091" s="760"/>
      <c r="C11091" s="760"/>
      <c r="D11091" s="760"/>
      <c r="E11091" s="760"/>
      <c r="F11091" s="760"/>
      <c r="G11091" s="760"/>
      <c r="H11091" s="760"/>
      <c r="I11091" s="760"/>
      <c r="J11091" s="760"/>
      <c r="K11091" s="760"/>
    </row>
    <row r="11092" spans="1:11">
      <c r="A11092" s="760"/>
      <c r="B11092" s="760"/>
      <c r="C11092" s="760"/>
      <c r="D11092" s="760"/>
      <c r="E11092" s="760"/>
      <c r="F11092" s="760"/>
      <c r="G11092" s="760"/>
      <c r="H11092" s="760"/>
      <c r="I11092" s="760"/>
      <c r="J11092" s="760"/>
      <c r="K11092" s="760"/>
    </row>
    <row r="11093" spans="1:11">
      <c r="A11093" s="760"/>
      <c r="B11093" s="760"/>
      <c r="C11093" s="760"/>
      <c r="D11093" s="760"/>
      <c r="E11093" s="760"/>
      <c r="F11093" s="760"/>
      <c r="G11093" s="760"/>
      <c r="H11093" s="760"/>
      <c r="I11093" s="760"/>
      <c r="J11093" s="760"/>
      <c r="K11093" s="760"/>
    </row>
    <row r="11094" spans="1:11">
      <c r="A11094" s="760"/>
      <c r="B11094" s="760"/>
      <c r="C11094" s="760"/>
      <c r="D11094" s="760"/>
      <c r="E11094" s="760"/>
      <c r="F11094" s="760"/>
      <c r="G11094" s="760"/>
      <c r="H11094" s="760"/>
      <c r="I11094" s="760"/>
      <c r="J11094" s="760"/>
      <c r="K11094" s="760"/>
    </row>
    <row r="11095" spans="1:11">
      <c r="A11095" s="760"/>
      <c r="B11095" s="760"/>
      <c r="C11095" s="760"/>
      <c r="D11095" s="760"/>
      <c r="E11095" s="760"/>
      <c r="F11095" s="760"/>
      <c r="G11095" s="760"/>
      <c r="H11095" s="760"/>
      <c r="I11095" s="760"/>
      <c r="J11095" s="760"/>
      <c r="K11095" s="760"/>
    </row>
    <row r="11096" spans="1:11">
      <c r="A11096" s="760"/>
      <c r="B11096" s="760"/>
      <c r="C11096" s="760"/>
      <c r="D11096" s="760"/>
      <c r="E11096" s="760"/>
      <c r="F11096" s="760"/>
      <c r="G11096" s="760"/>
      <c r="H11096" s="760"/>
      <c r="I11096" s="760"/>
      <c r="J11096" s="760"/>
      <c r="K11096" s="760"/>
    </row>
    <row r="11097" spans="1:11">
      <c r="A11097" s="760"/>
      <c r="B11097" s="760"/>
      <c r="C11097" s="760"/>
      <c r="D11097" s="760"/>
      <c r="E11097" s="760"/>
      <c r="F11097" s="760"/>
      <c r="G11097" s="760"/>
      <c r="H11097" s="760"/>
      <c r="I11097" s="760"/>
      <c r="J11097" s="760"/>
      <c r="K11097" s="760"/>
    </row>
    <row r="11098" spans="1:11">
      <c r="A11098" s="760"/>
      <c r="B11098" s="760"/>
      <c r="C11098" s="760"/>
      <c r="D11098" s="760"/>
      <c r="E11098" s="760"/>
      <c r="F11098" s="760"/>
      <c r="G11098" s="760"/>
      <c r="H11098" s="760"/>
      <c r="I11098" s="760"/>
      <c r="J11098" s="760"/>
      <c r="K11098" s="760"/>
    </row>
    <row r="11099" spans="1:11">
      <c r="A11099" s="760"/>
      <c r="B11099" s="760"/>
      <c r="C11099" s="760"/>
      <c r="D11099" s="760"/>
      <c r="E11099" s="760"/>
      <c r="F11099" s="760"/>
      <c r="G11099" s="760"/>
      <c r="H11099" s="760"/>
      <c r="I11099" s="760"/>
      <c r="J11099" s="760"/>
      <c r="K11099" s="760"/>
    </row>
    <row r="11100" spans="1:11">
      <c r="A11100" s="760"/>
      <c r="B11100" s="760"/>
      <c r="C11100" s="760"/>
      <c r="D11100" s="760"/>
      <c r="E11100" s="760"/>
      <c r="F11100" s="760"/>
      <c r="G11100" s="760"/>
      <c r="H11100" s="760"/>
      <c r="I11100" s="760"/>
      <c r="J11100" s="760"/>
      <c r="K11100" s="760"/>
    </row>
    <row r="11101" spans="1:11">
      <c r="A11101" s="760"/>
      <c r="B11101" s="760"/>
      <c r="C11101" s="760"/>
      <c r="D11101" s="760"/>
      <c r="E11101" s="760"/>
      <c r="F11101" s="760"/>
      <c r="G11101" s="760"/>
      <c r="H11101" s="760"/>
      <c r="I11101" s="760"/>
      <c r="J11101" s="760"/>
      <c r="K11101" s="760"/>
    </row>
    <row r="11102" spans="1:11">
      <c r="A11102" s="760"/>
      <c r="B11102" s="760"/>
      <c r="C11102" s="760"/>
      <c r="D11102" s="760"/>
      <c r="E11102" s="760"/>
      <c r="F11102" s="760"/>
      <c r="G11102" s="760"/>
      <c r="H11102" s="760"/>
      <c r="I11102" s="760"/>
      <c r="J11102" s="760"/>
      <c r="K11102" s="760"/>
    </row>
    <row r="11103" spans="1:11">
      <c r="A11103" s="760"/>
      <c r="B11103" s="760"/>
      <c r="C11103" s="760"/>
      <c r="D11103" s="760"/>
      <c r="E11103" s="760"/>
      <c r="F11103" s="760"/>
      <c r="G11103" s="760"/>
      <c r="H11103" s="760"/>
      <c r="I11103" s="760"/>
      <c r="J11103" s="760"/>
      <c r="K11103" s="760"/>
    </row>
    <row r="11104" spans="1:11">
      <c r="A11104" s="760"/>
      <c r="B11104" s="760"/>
      <c r="C11104" s="760"/>
      <c r="D11104" s="760"/>
      <c r="E11104" s="760"/>
      <c r="F11104" s="760"/>
      <c r="G11104" s="760"/>
      <c r="H11104" s="760"/>
      <c r="I11104" s="760"/>
      <c r="J11104" s="760"/>
      <c r="K11104" s="760"/>
    </row>
    <row r="11105" spans="1:11">
      <c r="A11105" s="760"/>
      <c r="B11105" s="760"/>
      <c r="C11105" s="760"/>
      <c r="D11105" s="760"/>
      <c r="E11105" s="760"/>
      <c r="F11105" s="760"/>
      <c r="G11105" s="760"/>
      <c r="H11105" s="760"/>
      <c r="I11105" s="760"/>
      <c r="J11105" s="760"/>
      <c r="K11105" s="760"/>
    </row>
    <row r="11106" spans="1:11">
      <c r="A11106" s="760"/>
      <c r="B11106" s="760"/>
      <c r="C11106" s="760"/>
      <c r="D11106" s="760"/>
      <c r="E11106" s="760"/>
      <c r="F11106" s="760"/>
      <c r="G11106" s="760"/>
      <c r="H11106" s="760"/>
      <c r="I11106" s="760"/>
      <c r="J11106" s="760"/>
      <c r="K11106" s="760"/>
    </row>
    <row r="11107" spans="1:11">
      <c r="A11107" s="760"/>
      <c r="B11107" s="760"/>
      <c r="C11107" s="760"/>
      <c r="D11107" s="760"/>
      <c r="E11107" s="760"/>
      <c r="F11107" s="760"/>
      <c r="G11107" s="760"/>
      <c r="H11107" s="760"/>
      <c r="I11107" s="760"/>
      <c r="J11107" s="760"/>
      <c r="K11107" s="760"/>
    </row>
    <row r="11108" spans="1:11">
      <c r="A11108" s="760"/>
      <c r="B11108" s="760"/>
      <c r="C11108" s="760"/>
      <c r="D11108" s="760"/>
      <c r="E11108" s="760"/>
      <c r="F11108" s="760"/>
      <c r="G11108" s="760"/>
      <c r="H11108" s="760"/>
      <c r="I11108" s="760"/>
      <c r="J11108" s="760"/>
      <c r="K11108" s="760"/>
    </row>
    <row r="11109" spans="1:11">
      <c r="A11109" s="760"/>
      <c r="B11109" s="760"/>
      <c r="C11109" s="760"/>
      <c r="D11109" s="760"/>
      <c r="E11109" s="760"/>
      <c r="F11109" s="760"/>
      <c r="G11109" s="760"/>
      <c r="H11109" s="760"/>
      <c r="I11109" s="760"/>
      <c r="J11109" s="760"/>
      <c r="K11109" s="760"/>
    </row>
    <row r="11110" spans="1:11">
      <c r="A11110" s="760"/>
      <c r="B11110" s="760"/>
      <c r="C11110" s="760"/>
      <c r="D11110" s="760"/>
      <c r="E11110" s="760"/>
      <c r="F11110" s="760"/>
      <c r="G11110" s="760"/>
      <c r="H11110" s="760"/>
      <c r="I11110" s="760"/>
      <c r="J11110" s="760"/>
      <c r="K11110" s="760"/>
    </row>
    <row r="11111" spans="1:11">
      <c r="A11111" s="760"/>
      <c r="B11111" s="760"/>
      <c r="C11111" s="760"/>
      <c r="D11111" s="760"/>
      <c r="E11111" s="760"/>
      <c r="F11111" s="760"/>
      <c r="G11111" s="760"/>
      <c r="H11111" s="760"/>
      <c r="I11111" s="760"/>
      <c r="J11111" s="760"/>
      <c r="K11111" s="760"/>
    </row>
    <row r="11112" spans="1:11">
      <c r="A11112" s="760"/>
      <c r="B11112" s="760"/>
      <c r="C11112" s="760"/>
      <c r="D11112" s="760"/>
      <c r="E11112" s="760"/>
      <c r="F11112" s="760"/>
      <c r="G11112" s="760"/>
      <c r="H11112" s="760"/>
      <c r="I11112" s="760"/>
      <c r="J11112" s="760"/>
      <c r="K11112" s="760"/>
    </row>
    <row r="11113" spans="1:11">
      <c r="A11113" s="760"/>
      <c r="B11113" s="760"/>
      <c r="C11113" s="760"/>
      <c r="D11113" s="760"/>
      <c r="E11113" s="760"/>
      <c r="F11113" s="760"/>
      <c r="G11113" s="760"/>
      <c r="H11113" s="760"/>
      <c r="I11113" s="760"/>
      <c r="J11113" s="760"/>
      <c r="K11113" s="760"/>
    </row>
    <row r="11114" spans="1:11">
      <c r="A11114" s="760"/>
      <c r="B11114" s="760"/>
      <c r="C11114" s="760"/>
      <c r="D11114" s="760"/>
      <c r="E11114" s="760"/>
      <c r="F11114" s="760"/>
      <c r="G11114" s="760"/>
      <c r="H11114" s="760"/>
      <c r="I11114" s="760"/>
      <c r="J11114" s="760"/>
      <c r="K11114" s="760"/>
    </row>
    <row r="11115" spans="1:11">
      <c r="A11115" s="760"/>
      <c r="B11115" s="760"/>
      <c r="C11115" s="760"/>
      <c r="D11115" s="760"/>
      <c r="E11115" s="760"/>
      <c r="F11115" s="760"/>
      <c r="G11115" s="760"/>
      <c r="H11115" s="760"/>
      <c r="I11115" s="760"/>
      <c r="J11115" s="760"/>
      <c r="K11115" s="760"/>
    </row>
    <row r="11116" spans="1:11">
      <c r="A11116" s="760"/>
      <c r="B11116" s="760"/>
      <c r="C11116" s="760"/>
      <c r="D11116" s="760"/>
      <c r="E11116" s="760"/>
      <c r="F11116" s="760"/>
      <c r="G11116" s="760"/>
      <c r="H11116" s="760"/>
      <c r="I11116" s="760"/>
      <c r="J11116" s="760"/>
      <c r="K11116" s="760"/>
    </row>
    <row r="11117" spans="1:11">
      <c r="A11117" s="760"/>
      <c r="B11117" s="760"/>
      <c r="C11117" s="760"/>
      <c r="D11117" s="760"/>
      <c r="E11117" s="760"/>
      <c r="F11117" s="760"/>
      <c r="G11117" s="760"/>
      <c r="H11117" s="760"/>
      <c r="I11117" s="760"/>
      <c r="J11117" s="760"/>
      <c r="K11117" s="760"/>
    </row>
    <row r="11118" spans="1:11">
      <c r="A11118" s="760"/>
      <c r="B11118" s="760"/>
      <c r="C11118" s="760"/>
      <c r="D11118" s="760"/>
      <c r="E11118" s="760"/>
      <c r="F11118" s="760"/>
      <c r="G11118" s="760"/>
      <c r="H11118" s="760"/>
      <c r="I11118" s="760"/>
      <c r="J11118" s="760"/>
      <c r="K11118" s="760"/>
    </row>
    <row r="11119" spans="1:11">
      <c r="A11119" s="760"/>
      <c r="B11119" s="760"/>
      <c r="C11119" s="760"/>
      <c r="D11119" s="760"/>
      <c r="E11119" s="760"/>
      <c r="F11119" s="760"/>
      <c r="G11119" s="760"/>
      <c r="H11119" s="760"/>
      <c r="I11119" s="760"/>
      <c r="J11119" s="760"/>
      <c r="K11119" s="760"/>
    </row>
    <row r="11120" spans="1:11">
      <c r="A11120" s="760"/>
      <c r="B11120" s="760"/>
      <c r="C11120" s="760"/>
      <c r="D11120" s="760"/>
      <c r="E11120" s="760"/>
      <c r="F11120" s="760"/>
      <c r="G11120" s="760"/>
      <c r="H11120" s="760"/>
      <c r="I11120" s="760"/>
      <c r="J11120" s="760"/>
      <c r="K11120" s="760"/>
    </row>
    <row r="11121" spans="1:11">
      <c r="A11121" s="760"/>
      <c r="B11121" s="760"/>
      <c r="C11121" s="760"/>
      <c r="D11121" s="760"/>
      <c r="E11121" s="760"/>
      <c r="F11121" s="760"/>
      <c r="G11121" s="760"/>
      <c r="H11121" s="760"/>
      <c r="I11121" s="760"/>
      <c r="J11121" s="760"/>
      <c r="K11121" s="760"/>
    </row>
    <row r="11122" spans="1:11">
      <c r="A11122" s="760"/>
      <c r="B11122" s="760"/>
      <c r="C11122" s="760"/>
      <c r="D11122" s="760"/>
      <c r="E11122" s="760"/>
      <c r="F11122" s="760"/>
      <c r="G11122" s="760"/>
      <c r="H11122" s="760"/>
      <c r="I11122" s="760"/>
      <c r="J11122" s="760"/>
      <c r="K11122" s="760"/>
    </row>
    <row r="11123" spans="1:11">
      <c r="A11123" s="760"/>
      <c r="B11123" s="760"/>
      <c r="C11123" s="760"/>
      <c r="D11123" s="760"/>
      <c r="E11123" s="760"/>
      <c r="F11123" s="760"/>
      <c r="G11123" s="760"/>
      <c r="H11123" s="760"/>
      <c r="I11123" s="760"/>
      <c r="J11123" s="760"/>
      <c r="K11123" s="760"/>
    </row>
    <row r="11124" spans="1:11">
      <c r="A11124" s="760"/>
      <c r="B11124" s="760"/>
      <c r="C11124" s="760"/>
      <c r="D11124" s="760"/>
      <c r="E11124" s="760"/>
      <c r="F11124" s="760"/>
      <c r="G11124" s="760"/>
      <c r="H11124" s="760"/>
      <c r="I11124" s="760"/>
      <c r="J11124" s="760"/>
      <c r="K11124" s="760"/>
    </row>
    <row r="11125" spans="1:11">
      <c r="A11125" s="760"/>
      <c r="B11125" s="760"/>
      <c r="C11125" s="760"/>
      <c r="D11125" s="760"/>
      <c r="E11125" s="760"/>
      <c r="F11125" s="760"/>
      <c r="G11125" s="760"/>
      <c r="H11125" s="760"/>
      <c r="I11125" s="760"/>
      <c r="J11125" s="760"/>
      <c r="K11125" s="760"/>
    </row>
    <row r="11126" spans="1:11">
      <c r="A11126" s="760"/>
      <c r="B11126" s="760"/>
      <c r="C11126" s="760"/>
      <c r="D11126" s="760"/>
      <c r="E11126" s="760"/>
      <c r="F11126" s="760"/>
      <c r="G11126" s="760"/>
      <c r="H11126" s="760"/>
      <c r="I11126" s="760"/>
      <c r="J11126" s="760"/>
      <c r="K11126" s="760"/>
    </row>
    <row r="11127" spans="1:11">
      <c r="A11127" s="760"/>
      <c r="B11127" s="760"/>
      <c r="C11127" s="760"/>
      <c r="D11127" s="760"/>
      <c r="E11127" s="760"/>
      <c r="F11127" s="760"/>
      <c r="G11127" s="760"/>
      <c r="H11127" s="760"/>
      <c r="I11127" s="760"/>
      <c r="J11127" s="760"/>
      <c r="K11127" s="760"/>
    </row>
    <row r="11128" spans="1:11">
      <c r="A11128" s="760"/>
      <c r="B11128" s="760"/>
      <c r="C11128" s="760"/>
      <c r="D11128" s="760"/>
      <c r="E11128" s="760"/>
      <c r="F11128" s="760"/>
      <c r="G11128" s="760"/>
      <c r="H11128" s="760"/>
      <c r="I11128" s="760"/>
      <c r="J11128" s="760"/>
      <c r="K11128" s="760"/>
    </row>
    <row r="11129" spans="1:11">
      <c r="A11129" s="760"/>
      <c r="B11129" s="760"/>
      <c r="C11129" s="760"/>
      <c r="D11129" s="760"/>
      <c r="E11129" s="760"/>
      <c r="F11129" s="760"/>
      <c r="G11129" s="760"/>
      <c r="H11129" s="760"/>
      <c r="I11129" s="760"/>
      <c r="J11129" s="760"/>
      <c r="K11129" s="760"/>
    </row>
    <row r="11130" spans="1:11">
      <c r="A11130" s="760"/>
      <c r="B11130" s="760"/>
      <c r="C11130" s="760"/>
      <c r="D11130" s="760"/>
      <c r="E11130" s="760"/>
      <c r="F11130" s="760"/>
      <c r="G11130" s="760"/>
      <c r="H11130" s="760"/>
      <c r="I11130" s="760"/>
      <c r="J11130" s="760"/>
      <c r="K11130" s="760"/>
    </row>
    <row r="11131" spans="1:11">
      <c r="A11131" s="760"/>
      <c r="B11131" s="760"/>
      <c r="C11131" s="760"/>
      <c r="D11131" s="760"/>
      <c r="E11131" s="760"/>
      <c r="F11131" s="760"/>
      <c r="G11131" s="760"/>
      <c r="H11131" s="760"/>
      <c r="I11131" s="760"/>
      <c r="J11131" s="760"/>
      <c r="K11131" s="760"/>
    </row>
    <row r="11132" spans="1:11">
      <c r="A11132" s="760"/>
      <c r="B11132" s="760"/>
      <c r="C11132" s="760"/>
      <c r="D11132" s="760"/>
      <c r="E11132" s="760"/>
      <c r="F11132" s="760"/>
      <c r="G11132" s="760"/>
      <c r="H11132" s="760"/>
      <c r="I11132" s="760"/>
      <c r="J11132" s="760"/>
      <c r="K11132" s="760"/>
    </row>
    <row r="11133" spans="1:11">
      <c r="A11133" s="760"/>
      <c r="B11133" s="760"/>
      <c r="C11133" s="760"/>
      <c r="D11133" s="760"/>
      <c r="E11133" s="760"/>
      <c r="F11133" s="760"/>
      <c r="G11133" s="760"/>
      <c r="H11133" s="760"/>
      <c r="I11133" s="760"/>
      <c r="J11133" s="760"/>
      <c r="K11133" s="760"/>
    </row>
    <row r="11134" spans="1:11">
      <c r="A11134" s="760"/>
      <c r="B11134" s="760"/>
      <c r="C11134" s="760"/>
      <c r="D11134" s="760"/>
      <c r="E11134" s="760"/>
      <c r="F11134" s="760"/>
      <c r="G11134" s="760"/>
      <c r="H11134" s="760"/>
      <c r="I11134" s="760"/>
      <c r="J11134" s="760"/>
      <c r="K11134" s="760"/>
    </row>
    <row r="11135" spans="1:11">
      <c r="A11135" s="760"/>
      <c r="B11135" s="760"/>
      <c r="C11135" s="760"/>
      <c r="D11135" s="760"/>
      <c r="E11135" s="760"/>
      <c r="F11135" s="760"/>
      <c r="G11135" s="760"/>
      <c r="H11135" s="760"/>
      <c r="I11135" s="760"/>
      <c r="J11135" s="760"/>
      <c r="K11135" s="760"/>
    </row>
    <row r="11136" spans="1:11">
      <c r="A11136" s="760"/>
      <c r="B11136" s="760"/>
      <c r="C11136" s="760"/>
      <c r="D11136" s="760"/>
      <c r="E11136" s="760"/>
      <c r="F11136" s="760"/>
      <c r="G11136" s="760"/>
      <c r="H11136" s="760"/>
      <c r="I11136" s="760"/>
      <c r="J11136" s="760"/>
      <c r="K11136" s="760"/>
    </row>
    <row r="11137" spans="1:11">
      <c r="A11137" s="760"/>
      <c r="B11137" s="760"/>
      <c r="C11137" s="760"/>
      <c r="D11137" s="760"/>
      <c r="E11137" s="760"/>
      <c r="F11137" s="760"/>
      <c r="G11137" s="760"/>
      <c r="H11137" s="760"/>
      <c r="I11137" s="760"/>
      <c r="J11137" s="760"/>
      <c r="K11137" s="760"/>
    </row>
    <row r="11138" spans="1:11">
      <c r="A11138" s="760"/>
      <c r="B11138" s="760"/>
      <c r="C11138" s="760"/>
      <c r="D11138" s="760"/>
      <c r="E11138" s="760"/>
      <c r="F11138" s="760"/>
      <c r="G11138" s="760"/>
      <c r="H11138" s="760"/>
      <c r="I11138" s="760"/>
      <c r="J11138" s="760"/>
      <c r="K11138" s="760"/>
    </row>
    <row r="11139" spans="1:11">
      <c r="A11139" s="760"/>
      <c r="B11139" s="760"/>
      <c r="C11139" s="760"/>
      <c r="D11139" s="760"/>
      <c r="E11139" s="760"/>
      <c r="F11139" s="760"/>
      <c r="G11139" s="760"/>
      <c r="H11139" s="760"/>
      <c r="I11139" s="760"/>
      <c r="J11139" s="760"/>
      <c r="K11139" s="760"/>
    </row>
    <row r="11140" spans="1:11">
      <c r="A11140" s="760"/>
      <c r="B11140" s="760"/>
      <c r="C11140" s="760"/>
      <c r="D11140" s="760"/>
      <c r="E11140" s="760"/>
      <c r="F11140" s="760"/>
      <c r="G11140" s="760"/>
      <c r="H11140" s="760"/>
      <c r="I11140" s="760"/>
      <c r="J11140" s="760"/>
      <c r="K11140" s="760"/>
    </row>
    <row r="11141" spans="1:11">
      <c r="A11141" s="760"/>
      <c r="B11141" s="760"/>
      <c r="C11141" s="760"/>
      <c r="D11141" s="760"/>
      <c r="E11141" s="760"/>
      <c r="F11141" s="760"/>
      <c r="G11141" s="760"/>
      <c r="H11141" s="760"/>
      <c r="I11141" s="760"/>
      <c r="J11141" s="760"/>
      <c r="K11141" s="760"/>
    </row>
    <row r="11142" spans="1:11">
      <c r="A11142" s="760"/>
      <c r="B11142" s="760"/>
      <c r="C11142" s="760"/>
      <c r="D11142" s="760"/>
      <c r="E11142" s="760"/>
      <c r="F11142" s="760"/>
      <c r="G11142" s="760"/>
      <c r="H11142" s="760"/>
      <c r="I11142" s="760"/>
      <c r="J11142" s="760"/>
      <c r="K11142" s="760"/>
    </row>
    <row r="11143" spans="1:11">
      <c r="A11143" s="760"/>
      <c r="B11143" s="760"/>
      <c r="C11143" s="760"/>
      <c r="D11143" s="760"/>
      <c r="E11143" s="760"/>
      <c r="F11143" s="760"/>
      <c r="G11143" s="760"/>
      <c r="H11143" s="760"/>
      <c r="I11143" s="760"/>
      <c r="J11143" s="760"/>
      <c r="K11143" s="760"/>
    </row>
    <row r="11144" spans="1:11">
      <c r="A11144" s="760"/>
      <c r="B11144" s="760"/>
      <c r="C11144" s="760"/>
      <c r="D11144" s="760"/>
      <c r="E11144" s="760"/>
      <c r="F11144" s="760"/>
      <c r="G11144" s="760"/>
      <c r="H11144" s="760"/>
      <c r="I11144" s="760"/>
      <c r="J11144" s="760"/>
      <c r="K11144" s="760"/>
    </row>
    <row r="11145" spans="1:11">
      <c r="A11145" s="760"/>
      <c r="B11145" s="760"/>
      <c r="C11145" s="760"/>
      <c r="D11145" s="760"/>
      <c r="E11145" s="760"/>
      <c r="F11145" s="760"/>
      <c r="G11145" s="760"/>
      <c r="H11145" s="760"/>
      <c r="I11145" s="760"/>
      <c r="J11145" s="760"/>
      <c r="K11145" s="760"/>
    </row>
    <row r="11146" spans="1:11">
      <c r="A11146" s="760"/>
      <c r="B11146" s="760"/>
      <c r="C11146" s="760"/>
      <c r="D11146" s="760"/>
      <c r="E11146" s="760"/>
      <c r="F11146" s="760"/>
      <c r="G11146" s="760"/>
      <c r="H11146" s="760"/>
      <c r="I11146" s="760"/>
      <c r="J11146" s="760"/>
      <c r="K11146" s="760"/>
    </row>
    <row r="11147" spans="1:11">
      <c r="A11147" s="760"/>
      <c r="B11147" s="760"/>
      <c r="C11147" s="760"/>
      <c r="D11147" s="760"/>
      <c r="E11147" s="760"/>
      <c r="F11147" s="760"/>
      <c r="G11147" s="760"/>
      <c r="H11147" s="760"/>
      <c r="I11147" s="760"/>
      <c r="J11147" s="760"/>
      <c r="K11147" s="760"/>
    </row>
    <row r="11148" spans="1:11">
      <c r="A11148" s="760"/>
      <c r="B11148" s="760"/>
      <c r="C11148" s="760"/>
      <c r="D11148" s="760"/>
      <c r="E11148" s="760"/>
      <c r="F11148" s="760"/>
      <c r="G11148" s="760"/>
      <c r="H11148" s="760"/>
      <c r="I11148" s="760"/>
      <c r="J11148" s="760"/>
      <c r="K11148" s="760"/>
    </row>
    <row r="11149" spans="1:11">
      <c r="A11149" s="760"/>
      <c r="B11149" s="760"/>
      <c r="C11149" s="760"/>
      <c r="D11149" s="760"/>
      <c r="E11149" s="760"/>
      <c r="F11149" s="760"/>
      <c r="G11149" s="760"/>
      <c r="H11149" s="760"/>
      <c r="I11149" s="760"/>
      <c r="J11149" s="760"/>
      <c r="K11149" s="760"/>
    </row>
    <row r="11150" spans="1:11">
      <c r="A11150" s="760"/>
      <c r="B11150" s="760"/>
      <c r="C11150" s="760"/>
      <c r="D11150" s="760"/>
      <c r="E11150" s="760"/>
      <c r="F11150" s="760"/>
      <c r="G11150" s="760"/>
      <c r="H11150" s="760"/>
      <c r="I11150" s="760"/>
      <c r="J11150" s="760"/>
      <c r="K11150" s="760"/>
    </row>
    <row r="11151" spans="1:11">
      <c r="A11151" s="760"/>
      <c r="B11151" s="760"/>
      <c r="C11151" s="760"/>
      <c r="D11151" s="760"/>
      <c r="E11151" s="760"/>
      <c r="F11151" s="760"/>
      <c r="G11151" s="760"/>
      <c r="H11151" s="760"/>
      <c r="I11151" s="760"/>
      <c r="J11151" s="760"/>
      <c r="K11151" s="760"/>
    </row>
    <row r="11152" spans="1:11">
      <c r="A11152" s="760"/>
      <c r="B11152" s="760"/>
      <c r="C11152" s="760"/>
      <c r="D11152" s="760"/>
      <c r="E11152" s="760"/>
      <c r="F11152" s="760"/>
      <c r="G11152" s="760"/>
      <c r="H11152" s="760"/>
      <c r="I11152" s="760"/>
      <c r="J11152" s="760"/>
      <c r="K11152" s="760"/>
    </row>
    <row r="11153" spans="1:11">
      <c r="A11153" s="760"/>
      <c r="B11153" s="760"/>
      <c r="C11153" s="760"/>
      <c r="D11153" s="760"/>
      <c r="E11153" s="760"/>
      <c r="F11153" s="760"/>
      <c r="G11153" s="760"/>
      <c r="H11153" s="760"/>
      <c r="I11153" s="760"/>
      <c r="J11153" s="760"/>
      <c r="K11153" s="760"/>
    </row>
    <row r="11154" spans="1:11">
      <c r="A11154" s="760"/>
      <c r="B11154" s="760"/>
      <c r="C11154" s="760"/>
      <c r="D11154" s="760"/>
      <c r="E11154" s="760"/>
      <c r="F11154" s="760"/>
      <c r="G11154" s="760"/>
      <c r="H11154" s="760"/>
      <c r="I11154" s="760"/>
      <c r="J11154" s="760"/>
      <c r="K11154" s="760"/>
    </row>
    <row r="11155" spans="1:11">
      <c r="A11155" s="760"/>
      <c r="B11155" s="760"/>
      <c r="C11155" s="760"/>
      <c r="D11155" s="760"/>
      <c r="E11155" s="760"/>
      <c r="F11155" s="760"/>
      <c r="G11155" s="760"/>
      <c r="H11155" s="760"/>
      <c r="I11155" s="760"/>
      <c r="J11155" s="760"/>
      <c r="K11155" s="760"/>
    </row>
    <row r="11156" spans="1:11">
      <c r="A11156" s="760"/>
      <c r="B11156" s="760"/>
      <c r="C11156" s="760"/>
      <c r="D11156" s="760"/>
      <c r="E11156" s="760"/>
      <c r="F11156" s="760"/>
      <c r="G11156" s="760"/>
      <c r="H11156" s="760"/>
      <c r="I11156" s="760"/>
      <c r="J11156" s="760"/>
      <c r="K11156" s="760"/>
    </row>
    <row r="11157" spans="1:11">
      <c r="A11157" s="760"/>
      <c r="B11157" s="760"/>
      <c r="C11157" s="760"/>
      <c r="D11157" s="760"/>
      <c r="E11157" s="760"/>
      <c r="F11157" s="760"/>
      <c r="G11157" s="760"/>
      <c r="H11157" s="760"/>
      <c r="I11157" s="760"/>
      <c r="J11157" s="760"/>
      <c r="K11157" s="760"/>
    </row>
    <row r="11158" spans="1:11">
      <c r="A11158" s="760"/>
      <c r="B11158" s="760"/>
      <c r="C11158" s="760"/>
      <c r="D11158" s="760"/>
      <c r="E11158" s="760"/>
      <c r="F11158" s="760"/>
      <c r="G11158" s="760"/>
      <c r="H11158" s="760"/>
      <c r="I11158" s="760"/>
      <c r="J11158" s="760"/>
      <c r="K11158" s="760"/>
    </row>
    <row r="11159" spans="1:11">
      <c r="A11159" s="760"/>
      <c r="B11159" s="760"/>
      <c r="C11159" s="760"/>
      <c r="D11159" s="760"/>
      <c r="E11159" s="760"/>
      <c r="F11159" s="760"/>
      <c r="G11159" s="760"/>
      <c r="H11159" s="760"/>
      <c r="I11159" s="760"/>
      <c r="J11159" s="760"/>
      <c r="K11159" s="760"/>
    </row>
    <row r="11160" spans="1:11">
      <c r="A11160" s="760"/>
      <c r="B11160" s="760"/>
      <c r="C11160" s="760"/>
      <c r="D11160" s="760"/>
      <c r="E11160" s="760"/>
      <c r="F11160" s="760"/>
      <c r="G11160" s="760"/>
      <c r="H11160" s="760"/>
      <c r="I11160" s="760"/>
      <c r="J11160" s="760"/>
      <c r="K11160" s="760"/>
    </row>
    <row r="11161" spans="1:11">
      <c r="A11161" s="760"/>
      <c r="B11161" s="760"/>
      <c r="C11161" s="760"/>
      <c r="D11161" s="760"/>
      <c r="E11161" s="760"/>
      <c r="F11161" s="760"/>
      <c r="G11161" s="760"/>
      <c r="H11161" s="760"/>
      <c r="I11161" s="760"/>
      <c r="J11161" s="760"/>
      <c r="K11161" s="760"/>
    </row>
    <row r="11162" spans="1:11">
      <c r="A11162" s="760"/>
      <c r="B11162" s="760"/>
      <c r="C11162" s="760"/>
      <c r="D11162" s="760"/>
      <c r="E11162" s="760"/>
      <c r="F11162" s="760"/>
      <c r="G11162" s="760"/>
      <c r="H11162" s="760"/>
      <c r="I11162" s="760"/>
      <c r="J11162" s="760"/>
      <c r="K11162" s="760"/>
    </row>
    <row r="11163" spans="1:11">
      <c r="A11163" s="760"/>
      <c r="B11163" s="760"/>
      <c r="C11163" s="760"/>
      <c r="D11163" s="760"/>
      <c r="E11163" s="760"/>
      <c r="F11163" s="760"/>
      <c r="G11163" s="760"/>
      <c r="H11163" s="760"/>
      <c r="I11163" s="760"/>
      <c r="J11163" s="760"/>
      <c r="K11163" s="760"/>
    </row>
    <row r="11164" spans="1:11">
      <c r="A11164" s="760"/>
      <c r="B11164" s="760"/>
      <c r="C11164" s="760"/>
      <c r="D11164" s="760"/>
      <c r="E11164" s="760"/>
      <c r="F11164" s="760"/>
      <c r="G11164" s="760"/>
      <c r="H11164" s="760"/>
      <c r="I11164" s="760"/>
      <c r="J11164" s="760"/>
      <c r="K11164" s="760"/>
    </row>
    <row r="11165" spans="1:11">
      <c r="A11165" s="760"/>
      <c r="B11165" s="760"/>
      <c r="C11165" s="760"/>
      <c r="D11165" s="760"/>
      <c r="E11165" s="760"/>
      <c r="F11165" s="760"/>
      <c r="G11165" s="760"/>
      <c r="H11165" s="760"/>
      <c r="I11165" s="760"/>
      <c r="J11165" s="760"/>
      <c r="K11165" s="760"/>
    </row>
    <row r="11166" spans="1:11">
      <c r="A11166" s="760"/>
      <c r="B11166" s="760"/>
      <c r="C11166" s="760"/>
      <c r="D11166" s="760"/>
      <c r="E11166" s="760"/>
      <c r="F11166" s="760"/>
      <c r="G11166" s="760"/>
      <c r="H11166" s="760"/>
      <c r="I11166" s="760"/>
      <c r="J11166" s="760"/>
      <c r="K11166" s="760"/>
    </row>
    <row r="11167" spans="1:11">
      <c r="A11167" s="760"/>
      <c r="B11167" s="760"/>
      <c r="C11167" s="760"/>
      <c r="D11167" s="760"/>
      <c r="E11167" s="760"/>
      <c r="F11167" s="760"/>
      <c r="G11167" s="760"/>
      <c r="H11167" s="760"/>
      <c r="I11167" s="760"/>
      <c r="J11167" s="760"/>
      <c r="K11167" s="760"/>
    </row>
    <row r="11168" spans="1:11">
      <c r="A11168" s="760"/>
      <c r="B11168" s="760"/>
      <c r="C11168" s="760"/>
      <c r="D11168" s="760"/>
      <c r="E11168" s="760"/>
      <c r="F11168" s="760"/>
      <c r="G11168" s="760"/>
      <c r="H11168" s="760"/>
      <c r="I11168" s="760"/>
      <c r="J11168" s="760"/>
      <c r="K11168" s="760"/>
    </row>
    <row r="11169" spans="1:11">
      <c r="A11169" s="760"/>
      <c r="B11169" s="760"/>
      <c r="C11169" s="760"/>
      <c r="D11169" s="760"/>
      <c r="E11169" s="760"/>
      <c r="F11169" s="760"/>
      <c r="G11169" s="760"/>
      <c r="H11169" s="760"/>
      <c r="I11169" s="760"/>
      <c r="J11169" s="760"/>
      <c r="K11169" s="760"/>
    </row>
    <row r="11170" spans="1:11">
      <c r="A11170" s="760"/>
      <c r="B11170" s="760"/>
      <c r="C11170" s="760"/>
      <c r="D11170" s="760"/>
      <c r="E11170" s="760"/>
      <c r="F11170" s="760"/>
      <c r="G11170" s="760"/>
      <c r="H11170" s="760"/>
      <c r="I11170" s="760"/>
      <c r="J11170" s="760"/>
      <c r="K11170" s="760"/>
    </row>
    <row r="11171" spans="1:11">
      <c r="A11171" s="760"/>
      <c r="B11171" s="760"/>
      <c r="C11171" s="760"/>
      <c r="D11171" s="760"/>
      <c r="E11171" s="760"/>
      <c r="F11171" s="760"/>
      <c r="G11171" s="760"/>
      <c r="H11171" s="760"/>
      <c r="I11171" s="760"/>
      <c r="J11171" s="760"/>
      <c r="K11171" s="760"/>
    </row>
    <row r="11172" spans="1:11">
      <c r="A11172" s="760"/>
      <c r="B11172" s="760"/>
      <c r="C11172" s="760"/>
      <c r="D11172" s="760"/>
      <c r="E11172" s="760"/>
      <c r="F11172" s="760"/>
      <c r="G11172" s="760"/>
      <c r="H11172" s="760"/>
      <c r="I11172" s="760"/>
      <c r="J11172" s="760"/>
      <c r="K11172" s="760"/>
    </row>
    <row r="11173" spans="1:11">
      <c r="A11173" s="760"/>
      <c r="B11173" s="760"/>
      <c r="C11173" s="760"/>
      <c r="D11173" s="760"/>
      <c r="E11173" s="760"/>
      <c r="F11173" s="760"/>
      <c r="G11173" s="760"/>
      <c r="H11173" s="760"/>
      <c r="I11173" s="760"/>
      <c r="J11173" s="760"/>
      <c r="K11173" s="760"/>
    </row>
    <row r="11174" spans="1:11">
      <c r="A11174" s="760"/>
      <c r="B11174" s="760"/>
      <c r="C11174" s="760"/>
      <c r="D11174" s="760"/>
      <c r="E11174" s="760"/>
      <c r="F11174" s="760"/>
      <c r="G11174" s="760"/>
      <c r="H11174" s="760"/>
      <c r="I11174" s="760"/>
      <c r="J11174" s="760"/>
      <c r="K11174" s="760"/>
    </row>
    <row r="11175" spans="1:11">
      <c r="A11175" s="760"/>
      <c r="B11175" s="760"/>
      <c r="C11175" s="760"/>
      <c r="D11175" s="760"/>
      <c r="E11175" s="760"/>
      <c r="F11175" s="760"/>
      <c r="G11175" s="760"/>
      <c r="H11175" s="760"/>
      <c r="I11175" s="760"/>
      <c r="J11175" s="760"/>
      <c r="K11175" s="760"/>
    </row>
    <row r="11176" spans="1:11">
      <c r="A11176" s="760"/>
      <c r="B11176" s="760"/>
      <c r="C11176" s="760"/>
      <c r="D11176" s="760"/>
      <c r="E11176" s="760"/>
      <c r="F11176" s="760"/>
      <c r="G11176" s="760"/>
      <c r="H11176" s="760"/>
      <c r="I11176" s="760"/>
      <c r="J11176" s="760"/>
      <c r="K11176" s="760"/>
    </row>
    <row r="11177" spans="1:11">
      <c r="A11177" s="760"/>
      <c r="B11177" s="760"/>
      <c r="C11177" s="760"/>
      <c r="D11177" s="760"/>
      <c r="E11177" s="760"/>
      <c r="F11177" s="760"/>
      <c r="G11177" s="760"/>
      <c r="H11177" s="760"/>
      <c r="I11177" s="760"/>
      <c r="J11177" s="760"/>
      <c r="K11177" s="760"/>
    </row>
    <row r="11178" spans="1:11">
      <c r="A11178" s="760"/>
      <c r="B11178" s="760"/>
      <c r="C11178" s="760"/>
      <c r="D11178" s="760"/>
      <c r="E11178" s="760"/>
      <c r="F11178" s="760"/>
      <c r="G11178" s="760"/>
      <c r="H11178" s="760"/>
      <c r="I11178" s="760"/>
      <c r="J11178" s="760"/>
      <c r="K11178" s="760"/>
    </row>
    <row r="11179" spans="1:11">
      <c r="A11179" s="760"/>
      <c r="B11179" s="760"/>
      <c r="C11179" s="760"/>
      <c r="D11179" s="760"/>
      <c r="E11179" s="760"/>
      <c r="F11179" s="760"/>
      <c r="G11179" s="760"/>
      <c r="H11179" s="760"/>
      <c r="I11179" s="760"/>
      <c r="J11179" s="760"/>
      <c r="K11179" s="760"/>
    </row>
    <row r="11180" spans="1:11">
      <c r="A11180" s="760"/>
      <c r="B11180" s="760"/>
      <c r="C11180" s="760"/>
      <c r="D11180" s="760"/>
      <c r="E11180" s="760"/>
      <c r="F11180" s="760"/>
      <c r="G11180" s="760"/>
      <c r="H11180" s="760"/>
      <c r="I11180" s="760"/>
      <c r="J11180" s="760"/>
      <c r="K11180" s="760"/>
    </row>
    <row r="11181" spans="1:11">
      <c r="A11181" s="760"/>
      <c r="B11181" s="760"/>
      <c r="C11181" s="760"/>
      <c r="D11181" s="760"/>
      <c r="E11181" s="760"/>
      <c r="F11181" s="760"/>
      <c r="G11181" s="760"/>
      <c r="H11181" s="760"/>
      <c r="I11181" s="760"/>
      <c r="J11181" s="760"/>
      <c r="K11181" s="760"/>
    </row>
    <row r="11182" spans="1:11">
      <c r="A11182" s="760"/>
      <c r="B11182" s="760"/>
      <c r="C11182" s="760"/>
      <c r="D11182" s="760"/>
      <c r="E11182" s="760"/>
      <c r="F11182" s="760"/>
      <c r="G11182" s="760"/>
      <c r="H11182" s="760"/>
      <c r="I11182" s="760"/>
      <c r="J11182" s="760"/>
      <c r="K11182" s="760"/>
    </row>
    <row r="11183" spans="1:11">
      <c r="A11183" s="760"/>
      <c r="B11183" s="760"/>
      <c r="C11183" s="760"/>
      <c r="D11183" s="760"/>
      <c r="E11183" s="760"/>
      <c r="F11183" s="760"/>
      <c r="G11183" s="760"/>
      <c r="H11183" s="760"/>
      <c r="I11183" s="760"/>
      <c r="J11183" s="760"/>
      <c r="K11183" s="760"/>
    </row>
    <row r="11184" spans="1:11">
      <c r="A11184" s="760"/>
      <c r="B11184" s="760"/>
      <c r="C11184" s="760"/>
      <c r="D11184" s="760"/>
      <c r="E11184" s="760"/>
      <c r="F11184" s="760"/>
      <c r="G11184" s="760"/>
      <c r="H11184" s="760"/>
      <c r="I11184" s="760"/>
      <c r="J11184" s="760"/>
      <c r="K11184" s="760"/>
    </row>
    <row r="11185" spans="1:11">
      <c r="A11185" s="760"/>
      <c r="B11185" s="760"/>
      <c r="C11185" s="760"/>
      <c r="D11185" s="760"/>
      <c r="E11185" s="760"/>
      <c r="F11185" s="760"/>
      <c r="G11185" s="760"/>
      <c r="H11185" s="760"/>
      <c r="I11185" s="760"/>
      <c r="J11185" s="760"/>
      <c r="K11185" s="760"/>
    </row>
    <row r="11186" spans="1:11">
      <c r="A11186" s="760"/>
      <c r="B11186" s="760"/>
      <c r="C11186" s="760"/>
      <c r="D11186" s="760"/>
      <c r="E11186" s="760"/>
      <c r="F11186" s="760"/>
      <c r="G11186" s="760"/>
      <c r="H11186" s="760"/>
      <c r="I11186" s="760"/>
      <c r="J11186" s="760"/>
      <c r="K11186" s="760"/>
    </row>
    <row r="11187" spans="1:11">
      <c r="A11187" s="760"/>
      <c r="B11187" s="760"/>
      <c r="C11187" s="760"/>
      <c r="D11187" s="760"/>
      <c r="E11187" s="760"/>
      <c r="F11187" s="760"/>
      <c r="G11187" s="760"/>
      <c r="H11187" s="760"/>
      <c r="I11187" s="760"/>
      <c r="J11187" s="760"/>
      <c r="K11187" s="760"/>
    </row>
    <row r="11188" spans="1:11">
      <c r="A11188" s="760"/>
      <c r="B11188" s="760"/>
      <c r="C11188" s="760"/>
      <c r="D11188" s="760"/>
      <c r="E11188" s="760"/>
      <c r="F11188" s="760"/>
      <c r="G11188" s="760"/>
      <c r="H11188" s="760"/>
      <c r="I11188" s="760"/>
      <c r="J11188" s="760"/>
      <c r="K11188" s="760"/>
    </row>
    <row r="11189" spans="1:11">
      <c r="A11189" s="760"/>
      <c r="B11189" s="760"/>
      <c r="C11189" s="760"/>
      <c r="D11189" s="760"/>
      <c r="E11189" s="760"/>
      <c r="F11189" s="760"/>
      <c r="G11189" s="760"/>
      <c r="H11189" s="760"/>
      <c r="I11189" s="760"/>
      <c r="J11189" s="760"/>
      <c r="K11189" s="760"/>
    </row>
    <row r="11190" spans="1:11">
      <c r="A11190" s="760"/>
      <c r="B11190" s="760"/>
      <c r="C11190" s="760"/>
      <c r="D11190" s="760"/>
      <c r="E11190" s="760"/>
      <c r="F11190" s="760"/>
      <c r="G11190" s="760"/>
      <c r="H11190" s="760"/>
      <c r="I11190" s="760"/>
      <c r="J11190" s="760"/>
      <c r="K11190" s="760"/>
    </row>
    <row r="11191" spans="1:11">
      <c r="A11191" s="760"/>
      <c r="B11191" s="760"/>
      <c r="C11191" s="760"/>
      <c r="D11191" s="760"/>
      <c r="E11191" s="760"/>
      <c r="F11191" s="760"/>
      <c r="G11191" s="760"/>
      <c r="H11191" s="760"/>
      <c r="I11191" s="760"/>
      <c r="J11191" s="760"/>
      <c r="K11191" s="760"/>
    </row>
    <row r="11192" spans="1:11">
      <c r="A11192" s="760"/>
      <c r="B11192" s="760"/>
      <c r="C11192" s="760"/>
      <c r="D11192" s="760"/>
      <c r="E11192" s="760"/>
      <c r="F11192" s="760"/>
      <c r="G11192" s="760"/>
      <c r="H11192" s="760"/>
      <c r="I11192" s="760"/>
      <c r="J11192" s="760"/>
      <c r="K11192" s="760"/>
    </row>
    <row r="11193" spans="1:11">
      <c r="A11193" s="760"/>
      <c r="B11193" s="760"/>
      <c r="C11193" s="760"/>
      <c r="D11193" s="760"/>
      <c r="E11193" s="760"/>
      <c r="F11193" s="760"/>
      <c r="G11193" s="760"/>
      <c r="H11193" s="760"/>
      <c r="I11193" s="760"/>
      <c r="J11193" s="760"/>
      <c r="K11193" s="760"/>
    </row>
    <row r="11194" spans="1:11">
      <c r="A11194" s="760"/>
      <c r="B11194" s="760"/>
      <c r="C11194" s="760"/>
      <c r="D11194" s="760"/>
      <c r="E11194" s="760"/>
      <c r="F11194" s="760"/>
      <c r="G11194" s="760"/>
      <c r="H11194" s="760"/>
      <c r="I11194" s="760"/>
      <c r="J11194" s="760"/>
      <c r="K11194" s="760"/>
    </row>
    <row r="11195" spans="1:11">
      <c r="A11195" s="760"/>
      <c r="B11195" s="760"/>
      <c r="C11195" s="760"/>
      <c r="D11195" s="760"/>
      <c r="E11195" s="760"/>
      <c r="F11195" s="760"/>
      <c r="G11195" s="760"/>
      <c r="H11195" s="760"/>
      <c r="I11195" s="760"/>
      <c r="J11195" s="760"/>
      <c r="K11195" s="760"/>
    </row>
    <row r="11196" spans="1:11">
      <c r="A11196" s="760"/>
      <c r="B11196" s="760"/>
      <c r="C11196" s="760"/>
      <c r="D11196" s="760"/>
      <c r="E11196" s="760"/>
      <c r="F11196" s="760"/>
      <c r="G11196" s="760"/>
      <c r="H11196" s="760"/>
      <c r="I11196" s="760"/>
      <c r="J11196" s="760"/>
      <c r="K11196" s="760"/>
    </row>
    <row r="11197" spans="1:11">
      <c r="A11197" s="760"/>
      <c r="B11197" s="760"/>
      <c r="C11197" s="760"/>
      <c r="D11197" s="760"/>
      <c r="E11197" s="760"/>
      <c r="F11197" s="760"/>
      <c r="G11197" s="760"/>
      <c r="H11197" s="760"/>
      <c r="I11197" s="760"/>
      <c r="J11197" s="760"/>
      <c r="K11197" s="760"/>
    </row>
    <row r="11198" spans="1:11">
      <c r="A11198" s="760"/>
      <c r="B11198" s="760"/>
      <c r="C11198" s="760"/>
      <c r="D11198" s="760"/>
      <c r="E11198" s="760"/>
      <c r="F11198" s="760"/>
      <c r="G11198" s="760"/>
      <c r="H11198" s="760"/>
      <c r="I11198" s="760"/>
      <c r="J11198" s="760"/>
      <c r="K11198" s="760"/>
    </row>
    <row r="11199" spans="1:11">
      <c r="A11199" s="760"/>
      <c r="B11199" s="760"/>
      <c r="C11199" s="760"/>
      <c r="D11199" s="760"/>
      <c r="E11199" s="760"/>
      <c r="F11199" s="760"/>
      <c r="G11199" s="760"/>
      <c r="H11199" s="760"/>
      <c r="I11199" s="760"/>
      <c r="J11199" s="760"/>
      <c r="K11199" s="760"/>
    </row>
    <row r="11200" spans="1:11">
      <c r="A11200" s="760"/>
      <c r="B11200" s="760"/>
      <c r="C11200" s="760"/>
      <c r="D11200" s="760"/>
      <c r="E11200" s="760"/>
      <c r="F11200" s="760"/>
      <c r="G11200" s="760"/>
      <c r="H11200" s="760"/>
      <c r="I11200" s="760"/>
      <c r="J11200" s="760"/>
      <c r="K11200" s="760"/>
    </row>
    <row r="11201" spans="1:11">
      <c r="A11201" s="760"/>
      <c r="B11201" s="760"/>
      <c r="C11201" s="760"/>
      <c r="D11201" s="760"/>
      <c r="E11201" s="760"/>
      <c r="F11201" s="760"/>
      <c r="G11201" s="760"/>
      <c r="H11201" s="760"/>
      <c r="I11201" s="760"/>
      <c r="J11201" s="760"/>
      <c r="K11201" s="760"/>
    </row>
    <row r="11202" spans="1:11">
      <c r="A11202" s="760"/>
      <c r="B11202" s="760"/>
      <c r="C11202" s="760"/>
      <c r="D11202" s="760"/>
      <c r="E11202" s="760"/>
      <c r="F11202" s="760"/>
      <c r="G11202" s="760"/>
      <c r="H11202" s="760"/>
      <c r="I11202" s="760"/>
      <c r="J11202" s="760"/>
      <c r="K11202" s="760"/>
    </row>
    <row r="11203" spans="1:11">
      <c r="A11203" s="760"/>
      <c r="B11203" s="760"/>
      <c r="C11203" s="760"/>
      <c r="D11203" s="760"/>
      <c r="E11203" s="760"/>
      <c r="F11203" s="760"/>
      <c r="G11203" s="760"/>
      <c r="H11203" s="760"/>
      <c r="I11203" s="760"/>
      <c r="J11203" s="760"/>
      <c r="K11203" s="760"/>
    </row>
    <row r="11204" spans="1:11">
      <c r="A11204" s="760"/>
      <c r="B11204" s="760"/>
      <c r="C11204" s="760"/>
      <c r="D11204" s="760"/>
      <c r="E11204" s="760"/>
      <c r="F11204" s="760"/>
      <c r="G11204" s="760"/>
      <c r="H11204" s="760"/>
      <c r="I11204" s="760"/>
      <c r="J11204" s="760"/>
      <c r="K11204" s="760"/>
    </row>
    <row r="11205" spans="1:11">
      <c r="A11205" s="760"/>
      <c r="B11205" s="760"/>
      <c r="C11205" s="760"/>
      <c r="D11205" s="760"/>
      <c r="E11205" s="760"/>
      <c r="F11205" s="760"/>
      <c r="G11205" s="760"/>
      <c r="H11205" s="760"/>
      <c r="I11205" s="760"/>
      <c r="J11205" s="760"/>
      <c r="K11205" s="760"/>
    </row>
    <row r="11206" spans="1:11">
      <c r="A11206" s="760"/>
      <c r="B11206" s="760"/>
      <c r="C11206" s="760"/>
      <c r="D11206" s="760"/>
      <c r="E11206" s="760"/>
      <c r="F11206" s="760"/>
      <c r="G11206" s="760"/>
      <c r="H11206" s="760"/>
      <c r="I11206" s="760"/>
      <c r="J11206" s="760"/>
      <c r="K11206" s="760"/>
    </row>
    <row r="11207" spans="1:11">
      <c r="A11207" s="760"/>
      <c r="B11207" s="760"/>
      <c r="C11207" s="760"/>
      <c r="D11207" s="760"/>
      <c r="E11207" s="760"/>
      <c r="F11207" s="760"/>
      <c r="G11207" s="760"/>
      <c r="H11207" s="760"/>
      <c r="I11207" s="760"/>
      <c r="J11207" s="760"/>
      <c r="K11207" s="760"/>
    </row>
    <row r="11208" spans="1:11">
      <c r="A11208" s="760"/>
      <c r="B11208" s="760"/>
      <c r="C11208" s="760"/>
      <c r="D11208" s="760"/>
      <c r="E11208" s="760"/>
      <c r="F11208" s="760"/>
      <c r="G11208" s="760"/>
      <c r="H11208" s="760"/>
      <c r="I11208" s="760"/>
      <c r="J11208" s="760"/>
      <c r="K11208" s="760"/>
    </row>
    <row r="11209" spans="1:11">
      <c r="A11209" s="760"/>
      <c r="B11209" s="760"/>
      <c r="C11209" s="760"/>
      <c r="D11209" s="760"/>
      <c r="E11209" s="760"/>
      <c r="F11209" s="760"/>
      <c r="G11209" s="760"/>
      <c r="H11209" s="760"/>
      <c r="I11209" s="760"/>
      <c r="J11209" s="760"/>
      <c r="K11209" s="760"/>
    </row>
    <row r="11210" spans="1:11">
      <c r="A11210" s="760"/>
      <c r="B11210" s="760"/>
      <c r="C11210" s="760"/>
      <c r="D11210" s="760"/>
      <c r="E11210" s="760"/>
      <c r="F11210" s="760"/>
      <c r="G11210" s="760"/>
      <c r="H11210" s="760"/>
      <c r="I11210" s="760"/>
      <c r="J11210" s="760"/>
      <c r="K11210" s="760"/>
    </row>
    <row r="11211" spans="1:11">
      <c r="A11211" s="760"/>
      <c r="B11211" s="760"/>
      <c r="C11211" s="760"/>
      <c r="D11211" s="760"/>
      <c r="E11211" s="760"/>
      <c r="F11211" s="760"/>
      <c r="G11211" s="760"/>
      <c r="H11211" s="760"/>
      <c r="I11211" s="760"/>
      <c r="J11211" s="760"/>
      <c r="K11211" s="760"/>
    </row>
    <row r="11212" spans="1:11">
      <c r="A11212" s="760"/>
      <c r="B11212" s="760"/>
      <c r="C11212" s="760"/>
      <c r="D11212" s="760"/>
      <c r="E11212" s="760"/>
      <c r="F11212" s="760"/>
      <c r="G11212" s="760"/>
      <c r="H11212" s="760"/>
      <c r="I11212" s="760"/>
      <c r="J11212" s="760"/>
      <c r="K11212" s="760"/>
    </row>
    <row r="11213" spans="1:11">
      <c r="A11213" s="760"/>
      <c r="B11213" s="760"/>
      <c r="C11213" s="760"/>
      <c r="D11213" s="760"/>
      <c r="E11213" s="760"/>
      <c r="F11213" s="760"/>
      <c r="G11213" s="760"/>
      <c r="H11213" s="760"/>
      <c r="I11213" s="760"/>
      <c r="J11213" s="760"/>
      <c r="K11213" s="760"/>
    </row>
    <row r="11214" spans="1:11">
      <c r="A11214" s="760"/>
      <c r="B11214" s="760"/>
      <c r="C11214" s="760"/>
      <c r="D11214" s="760"/>
      <c r="E11214" s="760"/>
      <c r="F11214" s="760"/>
      <c r="G11214" s="760"/>
      <c r="H11214" s="760"/>
      <c r="I11214" s="760"/>
      <c r="J11214" s="760"/>
      <c r="K11214" s="760"/>
    </row>
    <row r="11215" spans="1:11">
      <c r="A11215" s="760"/>
      <c r="B11215" s="760"/>
      <c r="C11215" s="760"/>
      <c r="D11215" s="760"/>
      <c r="E11215" s="760"/>
      <c r="F11215" s="760"/>
      <c r="G11215" s="760"/>
      <c r="H11215" s="760"/>
      <c r="I11215" s="760"/>
      <c r="J11215" s="760"/>
      <c r="K11215" s="760"/>
    </row>
    <row r="11216" spans="1:11">
      <c r="A11216" s="760"/>
      <c r="B11216" s="760"/>
      <c r="C11216" s="760"/>
      <c r="D11216" s="760"/>
      <c r="E11216" s="760"/>
      <c r="F11216" s="760"/>
      <c r="G11216" s="760"/>
      <c r="H11216" s="760"/>
      <c r="I11216" s="760"/>
      <c r="J11216" s="760"/>
      <c r="K11216" s="760"/>
    </row>
    <row r="11217" spans="1:11">
      <c r="A11217" s="760"/>
      <c r="B11217" s="760"/>
      <c r="C11217" s="760"/>
      <c r="D11217" s="760"/>
      <c r="E11217" s="760"/>
      <c r="F11217" s="760"/>
      <c r="G11217" s="760"/>
      <c r="H11217" s="760"/>
      <c r="I11217" s="760"/>
      <c r="J11217" s="760"/>
      <c r="K11217" s="760"/>
    </row>
    <row r="11218" spans="1:11">
      <c r="A11218" s="760"/>
      <c r="B11218" s="760"/>
      <c r="C11218" s="760"/>
      <c r="D11218" s="760"/>
      <c r="E11218" s="760"/>
      <c r="F11218" s="760"/>
      <c r="G11218" s="760"/>
      <c r="H11218" s="760"/>
      <c r="I11218" s="760"/>
      <c r="J11218" s="760"/>
      <c r="K11218" s="760"/>
    </row>
    <row r="11219" spans="1:11">
      <c r="A11219" s="760"/>
      <c r="B11219" s="760"/>
      <c r="C11219" s="760"/>
      <c r="D11219" s="760"/>
      <c r="E11219" s="760"/>
      <c r="F11219" s="760"/>
      <c r="G11219" s="760"/>
      <c r="H11219" s="760"/>
      <c r="I11219" s="760"/>
      <c r="J11219" s="760"/>
      <c r="K11219" s="760"/>
    </row>
    <row r="11220" spans="1:11">
      <c r="A11220" s="760"/>
      <c r="B11220" s="760"/>
      <c r="C11220" s="760"/>
      <c r="D11220" s="760"/>
      <c r="E11220" s="760"/>
      <c r="F11220" s="760"/>
      <c r="G11220" s="760"/>
      <c r="H11220" s="760"/>
      <c r="I11220" s="760"/>
      <c r="J11220" s="760"/>
      <c r="K11220" s="760"/>
    </row>
    <row r="11221" spans="1:11">
      <c r="A11221" s="760"/>
      <c r="B11221" s="760"/>
      <c r="C11221" s="760"/>
      <c r="D11221" s="760"/>
      <c r="E11221" s="760"/>
      <c r="F11221" s="760"/>
      <c r="G11221" s="760"/>
      <c r="H11221" s="760"/>
      <c r="I11221" s="760"/>
      <c r="J11221" s="760"/>
      <c r="K11221" s="760"/>
    </row>
    <row r="11222" spans="1:11">
      <c r="A11222" s="760"/>
      <c r="B11222" s="760"/>
      <c r="C11222" s="760"/>
      <c r="D11222" s="760"/>
      <c r="E11222" s="760"/>
      <c r="F11222" s="760"/>
      <c r="G11222" s="760"/>
      <c r="H11222" s="760"/>
      <c r="I11222" s="760"/>
      <c r="J11222" s="760"/>
      <c r="K11222" s="760"/>
    </row>
    <row r="11223" spans="1:11">
      <c r="A11223" s="760"/>
      <c r="B11223" s="760"/>
      <c r="C11223" s="760"/>
      <c r="D11223" s="760"/>
      <c r="E11223" s="760"/>
      <c r="F11223" s="760"/>
      <c r="G11223" s="760"/>
      <c r="H11223" s="760"/>
      <c r="I11223" s="760"/>
      <c r="J11223" s="760"/>
      <c r="K11223" s="760"/>
    </row>
    <row r="11224" spans="1:11">
      <c r="A11224" s="760"/>
      <c r="B11224" s="760"/>
      <c r="C11224" s="760"/>
      <c r="D11224" s="760"/>
      <c r="E11224" s="760"/>
      <c r="F11224" s="760"/>
      <c r="G11224" s="760"/>
      <c r="H11224" s="760"/>
      <c r="I11224" s="760"/>
      <c r="J11224" s="760"/>
      <c r="K11224" s="760"/>
    </row>
    <row r="11225" spans="1:11">
      <c r="A11225" s="760"/>
      <c r="B11225" s="760"/>
      <c r="C11225" s="760"/>
      <c r="D11225" s="760"/>
      <c r="E11225" s="760"/>
      <c r="F11225" s="760"/>
      <c r="G11225" s="760"/>
      <c r="H11225" s="760"/>
      <c r="I11225" s="760"/>
      <c r="J11225" s="760"/>
      <c r="K11225" s="760"/>
    </row>
    <row r="11226" spans="1:11">
      <c r="A11226" s="760"/>
      <c r="B11226" s="760"/>
      <c r="C11226" s="760"/>
      <c r="D11226" s="760"/>
      <c r="E11226" s="760"/>
      <c r="F11226" s="760"/>
      <c r="G11226" s="760"/>
      <c r="H11226" s="760"/>
      <c r="I11226" s="760"/>
      <c r="J11226" s="760"/>
      <c r="K11226" s="760"/>
    </row>
    <row r="11227" spans="1:11">
      <c r="A11227" s="760"/>
      <c r="B11227" s="760"/>
      <c r="C11227" s="760"/>
      <c r="D11227" s="760"/>
      <c r="E11227" s="760"/>
      <c r="F11227" s="760"/>
      <c r="G11227" s="760"/>
      <c r="H11227" s="760"/>
      <c r="I11227" s="760"/>
      <c r="J11227" s="760"/>
      <c r="K11227" s="760"/>
    </row>
    <row r="11228" spans="1:11">
      <c r="A11228" s="760"/>
      <c r="B11228" s="760"/>
      <c r="C11228" s="760"/>
      <c r="D11228" s="760"/>
      <c r="E11228" s="760"/>
      <c r="F11228" s="760"/>
      <c r="G11228" s="760"/>
      <c r="H11228" s="760"/>
      <c r="I11228" s="760"/>
      <c r="J11228" s="760"/>
      <c r="K11228" s="760"/>
    </row>
    <row r="11229" spans="1:11">
      <c r="A11229" s="760"/>
      <c r="B11229" s="760"/>
      <c r="C11229" s="760"/>
      <c r="D11229" s="760"/>
      <c r="E11229" s="760"/>
      <c r="F11229" s="760"/>
      <c r="G11229" s="760"/>
      <c r="H11229" s="760"/>
      <c r="I11229" s="760"/>
      <c r="J11229" s="760"/>
      <c r="K11229" s="760"/>
    </row>
    <row r="11230" spans="1:11">
      <c r="A11230" s="760"/>
      <c r="B11230" s="760"/>
      <c r="C11230" s="760"/>
      <c r="D11230" s="760"/>
      <c r="E11230" s="760"/>
      <c r="F11230" s="760"/>
      <c r="G11230" s="760"/>
      <c r="H11230" s="760"/>
      <c r="I11230" s="760"/>
      <c r="J11230" s="760"/>
      <c r="K11230" s="760"/>
    </row>
    <row r="11231" spans="1:11">
      <c r="A11231" s="760"/>
      <c r="B11231" s="760"/>
      <c r="C11231" s="760"/>
      <c r="D11231" s="760"/>
      <c r="E11231" s="760"/>
      <c r="F11231" s="760"/>
      <c r="G11231" s="760"/>
      <c r="H11231" s="760"/>
      <c r="I11231" s="760"/>
      <c r="J11231" s="760"/>
      <c r="K11231" s="760"/>
    </row>
    <row r="11232" spans="1:11">
      <c r="A11232" s="760"/>
      <c r="B11232" s="760"/>
      <c r="C11232" s="760"/>
      <c r="D11232" s="760"/>
      <c r="E11232" s="760"/>
      <c r="F11232" s="760"/>
      <c r="G11232" s="760"/>
      <c r="H11232" s="760"/>
      <c r="I11232" s="760"/>
      <c r="J11232" s="760"/>
      <c r="K11232" s="760"/>
    </row>
    <row r="11233" spans="1:11">
      <c r="A11233" s="760"/>
      <c r="B11233" s="760"/>
      <c r="C11233" s="760"/>
      <c r="D11233" s="760"/>
      <c r="E11233" s="760"/>
      <c r="F11233" s="760"/>
      <c r="G11233" s="760"/>
      <c r="H11233" s="760"/>
      <c r="I11233" s="760"/>
      <c r="J11233" s="760"/>
      <c r="K11233" s="760"/>
    </row>
    <row r="11234" spans="1:11">
      <c r="A11234" s="760"/>
      <c r="B11234" s="760"/>
      <c r="C11234" s="760"/>
      <c r="D11234" s="760"/>
      <c r="E11234" s="760"/>
      <c r="F11234" s="760"/>
      <c r="G11234" s="760"/>
      <c r="H11234" s="760"/>
      <c r="I11234" s="760"/>
      <c r="J11234" s="760"/>
      <c r="K11234" s="760"/>
    </row>
    <row r="11235" spans="1:11">
      <c r="A11235" s="760"/>
      <c r="B11235" s="760"/>
      <c r="C11235" s="760"/>
      <c r="D11235" s="760"/>
      <c r="E11235" s="760"/>
      <c r="F11235" s="760"/>
      <c r="G11235" s="760"/>
      <c r="H11235" s="760"/>
      <c r="I11235" s="760"/>
      <c r="J11235" s="760"/>
      <c r="K11235" s="760"/>
    </row>
    <row r="11236" spans="1:11">
      <c r="A11236" s="760"/>
      <c r="B11236" s="760"/>
      <c r="C11236" s="760"/>
      <c r="D11236" s="760"/>
      <c r="E11236" s="760"/>
      <c r="F11236" s="760"/>
      <c r="G11236" s="760"/>
      <c r="H11236" s="760"/>
      <c r="I11236" s="760"/>
      <c r="J11236" s="760"/>
      <c r="K11236" s="760"/>
    </row>
    <row r="11237" spans="1:11">
      <c r="A11237" s="760"/>
      <c r="B11237" s="760"/>
      <c r="C11237" s="760"/>
      <c r="D11237" s="760"/>
      <c r="E11237" s="760"/>
      <c r="F11237" s="760"/>
      <c r="G11237" s="760"/>
      <c r="H11237" s="760"/>
      <c r="I11237" s="760"/>
      <c r="J11237" s="760"/>
      <c r="K11237" s="760"/>
    </row>
    <row r="11238" spans="1:11">
      <c r="A11238" s="760"/>
      <c r="B11238" s="760"/>
      <c r="C11238" s="760"/>
      <c r="D11238" s="760"/>
      <c r="E11238" s="760"/>
      <c r="F11238" s="760"/>
      <c r="G11238" s="760"/>
      <c r="H11238" s="760"/>
      <c r="I11238" s="760"/>
      <c r="J11238" s="760"/>
      <c r="K11238" s="760"/>
    </row>
    <row r="11239" spans="1:11">
      <c r="A11239" s="760"/>
      <c r="B11239" s="760"/>
      <c r="C11239" s="760"/>
      <c r="D11239" s="760"/>
      <c r="E11239" s="760"/>
      <c r="F11239" s="760"/>
      <c r="G11239" s="760"/>
      <c r="H11239" s="760"/>
      <c r="I11239" s="760"/>
      <c r="J11239" s="760"/>
      <c r="K11239" s="760"/>
    </row>
    <row r="11240" spans="1:11">
      <c r="A11240" s="760"/>
      <c r="B11240" s="760"/>
      <c r="C11240" s="760"/>
      <c r="D11240" s="760"/>
      <c r="E11240" s="760"/>
      <c r="F11240" s="760"/>
      <c r="G11240" s="760"/>
      <c r="H11240" s="760"/>
      <c r="I11240" s="760"/>
      <c r="J11240" s="760"/>
      <c r="K11240" s="760"/>
    </row>
    <row r="11241" spans="1:11">
      <c r="A11241" s="760"/>
      <c r="B11241" s="760"/>
      <c r="C11241" s="760"/>
      <c r="D11241" s="760"/>
      <c r="E11241" s="760"/>
      <c r="F11241" s="760"/>
      <c r="G11241" s="760"/>
      <c r="H11241" s="760"/>
      <c r="I11241" s="760"/>
      <c r="J11241" s="760"/>
      <c r="K11241" s="760"/>
    </row>
    <row r="11242" spans="1:11">
      <c r="A11242" s="760"/>
      <c r="B11242" s="760"/>
      <c r="C11242" s="760"/>
      <c r="D11242" s="760"/>
      <c r="E11242" s="760"/>
      <c r="F11242" s="760"/>
      <c r="G11242" s="760"/>
      <c r="H11242" s="760"/>
      <c r="I11242" s="760"/>
      <c r="J11242" s="760"/>
      <c r="K11242" s="760"/>
    </row>
    <row r="11243" spans="1:11">
      <c r="A11243" s="760"/>
      <c r="B11243" s="760"/>
      <c r="C11243" s="760"/>
      <c r="D11243" s="760"/>
      <c r="E11243" s="760"/>
      <c r="F11243" s="760"/>
      <c r="G11243" s="760"/>
      <c r="H11243" s="760"/>
      <c r="I11243" s="760"/>
      <c r="J11243" s="760"/>
      <c r="K11243" s="760"/>
    </row>
    <row r="11244" spans="1:11">
      <c r="A11244" s="760"/>
      <c r="B11244" s="760"/>
      <c r="C11244" s="760"/>
      <c r="D11244" s="760"/>
      <c r="E11244" s="760"/>
      <c r="F11244" s="760"/>
      <c r="G11244" s="760"/>
      <c r="H11244" s="760"/>
      <c r="I11244" s="760"/>
      <c r="J11244" s="760"/>
      <c r="K11244" s="760"/>
    </row>
    <row r="11245" spans="1:11">
      <c r="A11245" s="760"/>
      <c r="B11245" s="760"/>
      <c r="C11245" s="760"/>
      <c r="D11245" s="760"/>
      <c r="E11245" s="760"/>
      <c r="F11245" s="760"/>
      <c r="G11245" s="760"/>
      <c r="H11245" s="760"/>
      <c r="I11245" s="760"/>
      <c r="J11245" s="760"/>
      <c r="K11245" s="760"/>
    </row>
    <row r="11246" spans="1:11">
      <c r="A11246" s="760"/>
      <c r="B11246" s="760"/>
      <c r="C11246" s="760"/>
      <c r="D11246" s="760"/>
      <c r="E11246" s="760"/>
      <c r="F11246" s="760"/>
      <c r="G11246" s="760"/>
      <c r="H11246" s="760"/>
      <c r="I11246" s="760"/>
      <c r="J11246" s="760"/>
      <c r="K11246" s="760"/>
    </row>
    <row r="11247" spans="1:11">
      <c r="A11247" s="760"/>
      <c r="B11247" s="760"/>
      <c r="C11247" s="760"/>
      <c r="D11247" s="760"/>
      <c r="E11247" s="760"/>
      <c r="F11247" s="760"/>
      <c r="G11247" s="760"/>
      <c r="H11247" s="760"/>
      <c r="I11247" s="760"/>
      <c r="J11247" s="760"/>
      <c r="K11247" s="760"/>
    </row>
    <row r="11248" spans="1:11">
      <c r="A11248" s="760"/>
      <c r="B11248" s="760"/>
      <c r="C11248" s="760"/>
      <c r="D11248" s="760"/>
      <c r="E11248" s="760"/>
      <c r="F11248" s="760"/>
      <c r="G11248" s="760"/>
      <c r="H11248" s="760"/>
      <c r="I11248" s="760"/>
      <c r="J11248" s="760"/>
      <c r="K11248" s="760"/>
    </row>
    <row r="11249" spans="1:11">
      <c r="A11249" s="760"/>
      <c r="B11249" s="760"/>
      <c r="C11249" s="760"/>
      <c r="D11249" s="760"/>
      <c r="E11249" s="760"/>
      <c r="F11249" s="760"/>
      <c r="G11249" s="760"/>
      <c r="H11249" s="760"/>
      <c r="I11249" s="760"/>
      <c r="J11249" s="760"/>
      <c r="K11249" s="760"/>
    </row>
    <row r="11250" spans="1:11">
      <c r="A11250" s="760"/>
      <c r="B11250" s="760"/>
      <c r="C11250" s="760"/>
      <c r="D11250" s="760"/>
      <c r="E11250" s="760"/>
      <c r="F11250" s="760"/>
      <c r="G11250" s="760"/>
      <c r="H11250" s="760"/>
      <c r="I11250" s="760"/>
      <c r="J11250" s="760"/>
      <c r="K11250" s="760"/>
    </row>
    <row r="11251" spans="1:11">
      <c r="A11251" s="760"/>
      <c r="B11251" s="760"/>
      <c r="C11251" s="760"/>
      <c r="D11251" s="760"/>
      <c r="E11251" s="760"/>
      <c r="F11251" s="760"/>
      <c r="G11251" s="760"/>
      <c r="H11251" s="760"/>
      <c r="I11251" s="760"/>
      <c r="J11251" s="760"/>
      <c r="K11251" s="760"/>
    </row>
    <row r="11252" spans="1:11">
      <c r="A11252" s="760"/>
      <c r="B11252" s="760"/>
      <c r="C11252" s="760"/>
      <c r="D11252" s="760"/>
      <c r="E11252" s="760"/>
      <c r="F11252" s="760"/>
      <c r="G11252" s="760"/>
      <c r="H11252" s="760"/>
      <c r="I11252" s="760"/>
      <c r="J11252" s="760"/>
      <c r="K11252" s="760"/>
    </row>
    <row r="11253" spans="1:11">
      <c r="A11253" s="760"/>
      <c r="B11253" s="760"/>
      <c r="C11253" s="760"/>
      <c r="D11253" s="760"/>
      <c r="E11253" s="760"/>
      <c r="F11253" s="760"/>
      <c r="G11253" s="760"/>
      <c r="H11253" s="760"/>
      <c r="I11253" s="760"/>
      <c r="J11253" s="760"/>
      <c r="K11253" s="760"/>
    </row>
    <row r="11254" spans="1:11">
      <c r="A11254" s="760"/>
      <c r="B11254" s="760"/>
      <c r="C11254" s="760"/>
      <c r="D11254" s="760"/>
      <c r="E11254" s="760"/>
      <c r="F11254" s="760"/>
      <c r="G11254" s="760"/>
      <c r="H11254" s="760"/>
      <c r="I11254" s="760"/>
      <c r="J11254" s="760"/>
      <c r="K11254" s="760"/>
    </row>
    <row r="11255" spans="1:11">
      <c r="A11255" s="760"/>
      <c r="B11255" s="760"/>
      <c r="C11255" s="760"/>
      <c r="D11255" s="760"/>
      <c r="E11255" s="760"/>
      <c r="F11255" s="760"/>
      <c r="G11255" s="760"/>
      <c r="H11255" s="760"/>
      <c r="I11255" s="760"/>
      <c r="J11255" s="760"/>
      <c r="K11255" s="760"/>
    </row>
    <row r="11256" spans="1:11">
      <c r="A11256" s="760"/>
      <c r="B11256" s="760"/>
      <c r="C11256" s="760"/>
      <c r="D11256" s="760"/>
      <c r="E11256" s="760"/>
      <c r="F11256" s="760"/>
      <c r="G11256" s="760"/>
      <c r="H11256" s="760"/>
      <c r="I11256" s="760"/>
      <c r="J11256" s="760"/>
      <c r="K11256" s="760"/>
    </row>
    <row r="11257" spans="1:11">
      <c r="A11257" s="760"/>
      <c r="B11257" s="760"/>
      <c r="C11257" s="760"/>
      <c r="D11257" s="760"/>
      <c r="E11257" s="760"/>
      <c r="F11257" s="760"/>
      <c r="G11257" s="760"/>
      <c r="H11257" s="760"/>
      <c r="I11257" s="760"/>
      <c r="J11257" s="760"/>
      <c r="K11257" s="760"/>
    </row>
    <row r="11258" spans="1:11">
      <c r="A11258" s="760"/>
      <c r="B11258" s="760"/>
      <c r="C11258" s="760"/>
      <c r="D11258" s="760"/>
      <c r="E11258" s="760"/>
      <c r="F11258" s="760"/>
      <c r="G11258" s="760"/>
      <c r="H11258" s="760"/>
      <c r="I11258" s="760"/>
      <c r="J11258" s="760"/>
      <c r="K11258" s="760"/>
    </row>
    <row r="11259" spans="1:11">
      <c r="A11259" s="760"/>
      <c r="B11259" s="760"/>
      <c r="C11259" s="760"/>
      <c r="D11259" s="760"/>
      <c r="E11259" s="760"/>
      <c r="F11259" s="760"/>
      <c r="G11259" s="760"/>
      <c r="H11259" s="760"/>
      <c r="I11259" s="760"/>
      <c r="J11259" s="760"/>
      <c r="K11259" s="760"/>
    </row>
    <row r="11260" spans="1:11">
      <c r="A11260" s="760"/>
      <c r="B11260" s="760"/>
      <c r="C11260" s="760"/>
      <c r="D11260" s="760"/>
      <c r="E11260" s="760"/>
      <c r="F11260" s="760"/>
      <c r="G11260" s="760"/>
      <c r="H11260" s="760"/>
      <c r="I11260" s="760"/>
      <c r="J11260" s="760"/>
      <c r="K11260" s="760"/>
    </row>
    <row r="11261" spans="1:11">
      <c r="A11261" s="760"/>
      <c r="B11261" s="760"/>
      <c r="C11261" s="760"/>
      <c r="D11261" s="760"/>
      <c r="E11261" s="760"/>
      <c r="F11261" s="760"/>
      <c r="G11261" s="760"/>
      <c r="H11261" s="760"/>
      <c r="I11261" s="760"/>
      <c r="J11261" s="760"/>
      <c r="K11261" s="760"/>
    </row>
    <row r="11262" spans="1:11">
      <c r="A11262" s="760"/>
      <c r="B11262" s="760"/>
      <c r="C11262" s="760"/>
      <c r="D11262" s="760"/>
      <c r="E11262" s="760"/>
      <c r="F11262" s="760"/>
      <c r="G11262" s="760"/>
      <c r="H11262" s="760"/>
      <c r="I11262" s="760"/>
      <c r="J11262" s="760"/>
      <c r="K11262" s="760"/>
    </row>
    <row r="11263" spans="1:11">
      <c r="A11263" s="760"/>
      <c r="B11263" s="760"/>
      <c r="C11263" s="760"/>
      <c r="D11263" s="760"/>
      <c r="E11263" s="760"/>
      <c r="F11263" s="760"/>
      <c r="G11263" s="760"/>
      <c r="H11263" s="760"/>
      <c r="I11263" s="760"/>
      <c r="J11263" s="760"/>
      <c r="K11263" s="760"/>
    </row>
    <row r="11264" spans="1:11">
      <c r="A11264" s="760"/>
      <c r="B11264" s="760"/>
      <c r="C11264" s="760"/>
      <c r="D11264" s="760"/>
      <c r="E11264" s="760"/>
      <c r="F11264" s="760"/>
      <c r="G11264" s="760"/>
      <c r="H11264" s="760"/>
      <c r="I11264" s="760"/>
      <c r="J11264" s="760"/>
      <c r="K11264" s="760"/>
    </row>
    <row r="11265" spans="1:11">
      <c r="A11265" s="760"/>
      <c r="B11265" s="760"/>
      <c r="C11265" s="760"/>
      <c r="D11265" s="760"/>
      <c r="E11265" s="760"/>
      <c r="F11265" s="760"/>
      <c r="G11265" s="760"/>
      <c r="H11265" s="760"/>
      <c r="I11265" s="760"/>
      <c r="J11265" s="760"/>
      <c r="K11265" s="760"/>
    </row>
    <row r="11266" spans="1:11">
      <c r="A11266" s="760"/>
      <c r="B11266" s="760"/>
      <c r="C11266" s="760"/>
      <c r="D11266" s="760"/>
      <c r="E11266" s="760"/>
      <c r="F11266" s="760"/>
      <c r="G11266" s="760"/>
      <c r="H11266" s="760"/>
      <c r="I11266" s="760"/>
      <c r="J11266" s="760"/>
      <c r="K11266" s="760"/>
    </row>
    <row r="11267" spans="1:11">
      <c r="A11267" s="760"/>
      <c r="B11267" s="760"/>
      <c r="C11267" s="760"/>
      <c r="D11267" s="760"/>
      <c r="E11267" s="760"/>
      <c r="F11267" s="760"/>
      <c r="G11267" s="760"/>
      <c r="H11267" s="760"/>
      <c r="I11267" s="760"/>
      <c r="J11267" s="760"/>
      <c r="K11267" s="760"/>
    </row>
    <row r="11268" spans="1:11">
      <c r="A11268" s="760"/>
      <c r="B11268" s="760"/>
      <c r="C11268" s="760"/>
      <c r="D11268" s="760"/>
      <c r="E11268" s="760"/>
      <c r="F11268" s="760"/>
      <c r="G11268" s="760"/>
      <c r="H11268" s="760"/>
      <c r="I11268" s="760"/>
      <c r="J11268" s="760"/>
      <c r="K11268" s="760"/>
    </row>
    <row r="11269" spans="1:11">
      <c r="A11269" s="760"/>
      <c r="B11269" s="760"/>
      <c r="C11269" s="760"/>
      <c r="D11269" s="760"/>
      <c r="E11269" s="760"/>
      <c r="F11269" s="760"/>
      <c r="G11269" s="760"/>
      <c r="H11269" s="760"/>
      <c r="I11269" s="760"/>
      <c r="J11269" s="760"/>
      <c r="K11269" s="760"/>
    </row>
    <row r="11270" spans="1:11">
      <c r="A11270" s="760"/>
      <c r="B11270" s="760"/>
      <c r="C11270" s="760"/>
      <c r="D11270" s="760"/>
      <c r="E11270" s="760"/>
      <c r="F11270" s="760"/>
      <c r="G11270" s="760"/>
      <c r="H11270" s="760"/>
      <c r="I11270" s="760"/>
      <c r="J11270" s="760"/>
      <c r="K11270" s="760"/>
    </row>
    <row r="11271" spans="1:11">
      <c r="A11271" s="760"/>
      <c r="B11271" s="760"/>
      <c r="C11271" s="760"/>
      <c r="D11271" s="760"/>
      <c r="E11271" s="760"/>
      <c r="F11271" s="760"/>
      <c r="G11271" s="760"/>
      <c r="H11271" s="760"/>
      <c r="I11271" s="760"/>
      <c r="J11271" s="760"/>
      <c r="K11271" s="760"/>
    </row>
    <row r="11272" spans="1:11">
      <c r="A11272" s="760"/>
      <c r="B11272" s="760"/>
      <c r="C11272" s="760"/>
      <c r="D11272" s="760"/>
      <c r="E11272" s="760"/>
      <c r="F11272" s="760"/>
      <c r="G11272" s="760"/>
      <c r="H11272" s="760"/>
      <c r="I11272" s="760"/>
      <c r="J11272" s="760"/>
      <c r="K11272" s="760"/>
    </row>
    <row r="11273" spans="1:11">
      <c r="A11273" s="760"/>
      <c r="B11273" s="760"/>
      <c r="C11273" s="760"/>
      <c r="D11273" s="760"/>
      <c r="E11273" s="760"/>
      <c r="F11273" s="760"/>
      <c r="G11273" s="760"/>
      <c r="H11273" s="760"/>
      <c r="I11273" s="760"/>
      <c r="J11273" s="760"/>
      <c r="K11273" s="760"/>
    </row>
    <row r="11274" spans="1:11">
      <c r="A11274" s="760"/>
      <c r="B11274" s="760"/>
      <c r="C11274" s="760"/>
      <c r="D11274" s="760"/>
      <c r="E11274" s="760"/>
      <c r="F11274" s="760"/>
      <c r="G11274" s="760"/>
      <c r="H11274" s="760"/>
      <c r="I11274" s="760"/>
      <c r="J11274" s="760"/>
      <c r="K11274" s="760"/>
    </row>
    <row r="11275" spans="1:11">
      <c r="A11275" s="760"/>
      <c r="B11275" s="760"/>
      <c r="C11275" s="760"/>
      <c r="D11275" s="760"/>
      <c r="E11275" s="760"/>
      <c r="F11275" s="760"/>
      <c r="G11275" s="760"/>
      <c r="H11275" s="760"/>
      <c r="I11275" s="760"/>
      <c r="J11275" s="760"/>
      <c r="K11275" s="760"/>
    </row>
    <row r="11276" spans="1:11">
      <c r="A11276" s="760"/>
      <c r="B11276" s="760"/>
      <c r="C11276" s="760"/>
      <c r="D11276" s="760"/>
      <c r="E11276" s="760"/>
      <c r="F11276" s="760"/>
      <c r="G11276" s="760"/>
      <c r="H11276" s="760"/>
      <c r="I11276" s="760"/>
      <c r="J11276" s="760"/>
      <c r="K11276" s="760"/>
    </row>
    <row r="11277" spans="1:11">
      <c r="A11277" s="760"/>
      <c r="B11277" s="760"/>
      <c r="C11277" s="760"/>
      <c r="D11277" s="760"/>
      <c r="E11277" s="760"/>
      <c r="F11277" s="760"/>
      <c r="G11277" s="760"/>
      <c r="H11277" s="760"/>
      <c r="I11277" s="760"/>
      <c r="J11277" s="760"/>
      <c r="K11277" s="760"/>
    </row>
    <row r="11278" spans="1:11">
      <c r="A11278" s="760"/>
      <c r="B11278" s="760"/>
      <c r="C11278" s="760"/>
      <c r="D11278" s="760"/>
      <c r="E11278" s="760"/>
      <c r="F11278" s="760"/>
      <c r="G11278" s="760"/>
      <c r="H11278" s="760"/>
      <c r="I11278" s="760"/>
      <c r="J11278" s="760"/>
      <c r="K11278" s="760"/>
    </row>
    <row r="11279" spans="1:11">
      <c r="A11279" s="760"/>
      <c r="B11279" s="760"/>
      <c r="C11279" s="760"/>
      <c r="D11279" s="760"/>
      <c r="E11279" s="760"/>
      <c r="F11279" s="760"/>
      <c r="G11279" s="760"/>
      <c r="H11279" s="760"/>
      <c r="I11279" s="760"/>
      <c r="J11279" s="760"/>
      <c r="K11279" s="760"/>
    </row>
    <row r="11280" spans="1:11">
      <c r="A11280" s="760"/>
      <c r="B11280" s="760"/>
      <c r="C11280" s="760"/>
      <c r="D11280" s="760"/>
      <c r="E11280" s="760"/>
      <c r="F11280" s="760"/>
      <c r="G11280" s="760"/>
      <c r="H11280" s="760"/>
      <c r="I11280" s="760"/>
      <c r="J11280" s="760"/>
      <c r="K11280" s="760"/>
    </row>
    <row r="11281" spans="1:11">
      <c r="A11281" s="760"/>
      <c r="B11281" s="760"/>
      <c r="C11281" s="760"/>
      <c r="D11281" s="760"/>
      <c r="E11281" s="760"/>
      <c r="F11281" s="760"/>
      <c r="G11281" s="760"/>
      <c r="H11281" s="760"/>
      <c r="I11281" s="760"/>
      <c r="J11281" s="760"/>
      <c r="K11281" s="760"/>
    </row>
    <row r="11282" spans="1:11">
      <c r="A11282" s="760"/>
      <c r="B11282" s="760"/>
      <c r="C11282" s="760"/>
      <c r="D11282" s="760"/>
      <c r="E11282" s="760"/>
      <c r="F11282" s="760"/>
      <c r="G11282" s="760"/>
      <c r="H11282" s="760"/>
      <c r="I11282" s="760"/>
      <c r="J11282" s="760"/>
      <c r="K11282" s="760"/>
    </row>
    <row r="11283" spans="1:11">
      <c r="A11283" s="760"/>
      <c r="B11283" s="760"/>
      <c r="C11283" s="760"/>
      <c r="D11283" s="760"/>
      <c r="E11283" s="760"/>
      <c r="F11283" s="760"/>
      <c r="G11283" s="760"/>
      <c r="H11283" s="760"/>
      <c r="I11283" s="760"/>
      <c r="J11283" s="760"/>
      <c r="K11283" s="760"/>
    </row>
    <row r="11284" spans="1:11">
      <c r="A11284" s="760"/>
      <c r="B11284" s="760"/>
      <c r="C11284" s="760"/>
      <c r="D11284" s="760"/>
      <c r="E11284" s="760"/>
      <c r="F11284" s="760"/>
      <c r="G11284" s="760"/>
      <c r="H11284" s="760"/>
      <c r="I11284" s="760"/>
      <c r="J11284" s="760"/>
      <c r="K11284" s="760"/>
    </row>
    <row r="11285" spans="1:11">
      <c r="A11285" s="760"/>
      <c r="B11285" s="760"/>
      <c r="C11285" s="760"/>
      <c r="D11285" s="760"/>
      <c r="E11285" s="760"/>
      <c r="F11285" s="760"/>
      <c r="G11285" s="760"/>
      <c r="H11285" s="760"/>
      <c r="I11285" s="760"/>
      <c r="J11285" s="760"/>
      <c r="K11285" s="760"/>
    </row>
    <row r="11286" spans="1:11">
      <c r="A11286" s="760"/>
      <c r="B11286" s="760"/>
      <c r="C11286" s="760"/>
      <c r="D11286" s="760"/>
      <c r="E11286" s="760"/>
      <c r="F11286" s="760"/>
      <c r="G11286" s="760"/>
      <c r="H11286" s="760"/>
      <c r="I11286" s="760"/>
      <c r="J11286" s="760"/>
      <c r="K11286" s="760"/>
    </row>
    <row r="11287" spans="1:11">
      <c r="A11287" s="760"/>
      <c r="B11287" s="760"/>
      <c r="C11287" s="760"/>
      <c r="D11287" s="760"/>
      <c r="E11287" s="760"/>
      <c r="F11287" s="760"/>
      <c r="G11287" s="760"/>
      <c r="H11287" s="760"/>
      <c r="I11287" s="760"/>
      <c r="J11287" s="760"/>
      <c r="K11287" s="760"/>
    </row>
    <row r="11288" spans="1:11">
      <c r="A11288" s="760"/>
      <c r="B11288" s="760"/>
      <c r="C11288" s="760"/>
      <c r="D11288" s="760"/>
      <c r="E11288" s="760"/>
      <c r="F11288" s="760"/>
      <c r="G11288" s="760"/>
      <c r="H11288" s="760"/>
      <c r="I11288" s="760"/>
      <c r="J11288" s="760"/>
      <c r="K11288" s="760"/>
    </row>
    <row r="11289" spans="1:11">
      <c r="A11289" s="760"/>
      <c r="B11289" s="760"/>
      <c r="C11289" s="760"/>
      <c r="D11289" s="760"/>
      <c r="E11289" s="760"/>
      <c r="F11289" s="760"/>
      <c r="G11289" s="760"/>
      <c r="H11289" s="760"/>
      <c r="I11289" s="760"/>
      <c r="J11289" s="760"/>
      <c r="K11289" s="760"/>
    </row>
    <row r="11290" spans="1:11">
      <c r="A11290" s="760"/>
      <c r="B11290" s="760"/>
      <c r="C11290" s="760"/>
      <c r="D11290" s="760"/>
      <c r="E11290" s="760"/>
      <c r="F11290" s="760"/>
      <c r="G11290" s="760"/>
      <c r="H11290" s="760"/>
      <c r="I11290" s="760"/>
      <c r="J11290" s="760"/>
      <c r="K11290" s="760"/>
    </row>
    <row r="11291" spans="1:11">
      <c r="A11291" s="760"/>
      <c r="B11291" s="760"/>
      <c r="C11291" s="760"/>
      <c r="D11291" s="760"/>
      <c r="E11291" s="760"/>
      <c r="F11291" s="760"/>
      <c r="G11291" s="760"/>
      <c r="H11291" s="760"/>
      <c r="I11291" s="760"/>
      <c r="J11291" s="760"/>
      <c r="K11291" s="760"/>
    </row>
    <row r="11292" spans="1:11">
      <c r="A11292" s="760"/>
      <c r="B11292" s="760"/>
      <c r="C11292" s="760"/>
      <c r="D11292" s="760"/>
      <c r="E11292" s="760"/>
      <c r="F11292" s="760"/>
      <c r="G11292" s="760"/>
      <c r="H11292" s="760"/>
      <c r="I11292" s="760"/>
      <c r="J11292" s="760"/>
      <c r="K11292" s="760"/>
    </row>
    <row r="11293" spans="1:11">
      <c r="A11293" s="760"/>
      <c r="B11293" s="760"/>
      <c r="C11293" s="760"/>
      <c r="D11293" s="760"/>
      <c r="E11293" s="760"/>
      <c r="F11293" s="760"/>
      <c r="G11293" s="760"/>
      <c r="H11293" s="760"/>
      <c r="I11293" s="760"/>
      <c r="J11293" s="760"/>
      <c r="K11293" s="760"/>
    </row>
    <row r="11294" spans="1:11">
      <c r="A11294" s="760"/>
      <c r="B11294" s="760"/>
      <c r="C11294" s="760"/>
      <c r="D11294" s="760"/>
      <c r="E11294" s="760"/>
      <c r="F11294" s="760"/>
      <c r="G11294" s="760"/>
      <c r="H11294" s="760"/>
      <c r="I11294" s="760"/>
      <c r="J11294" s="760"/>
      <c r="K11294" s="760"/>
    </row>
    <row r="11295" spans="1:11">
      <c r="A11295" s="760"/>
      <c r="B11295" s="760"/>
      <c r="C11295" s="760"/>
      <c r="D11295" s="760"/>
      <c r="E11295" s="760"/>
      <c r="F11295" s="760"/>
      <c r="G11295" s="760"/>
      <c r="H11295" s="760"/>
      <c r="I11295" s="760"/>
      <c r="J11295" s="760"/>
      <c r="K11295" s="760"/>
    </row>
    <row r="11296" spans="1:11">
      <c r="A11296" s="760"/>
      <c r="B11296" s="760"/>
      <c r="C11296" s="760"/>
      <c r="D11296" s="760"/>
      <c r="E11296" s="760"/>
      <c r="F11296" s="760"/>
      <c r="G11296" s="760"/>
      <c r="H11296" s="760"/>
      <c r="I11296" s="760"/>
      <c r="J11296" s="760"/>
      <c r="K11296" s="760"/>
    </row>
    <row r="11297" spans="1:11">
      <c r="A11297" s="760"/>
      <c r="B11297" s="760"/>
      <c r="C11297" s="760"/>
      <c r="D11297" s="760"/>
      <c r="E11297" s="760"/>
      <c r="F11297" s="760"/>
      <c r="G11297" s="760"/>
      <c r="H11297" s="760"/>
      <c r="I11297" s="760"/>
      <c r="J11297" s="760"/>
      <c r="K11297" s="760"/>
    </row>
    <row r="11298" spans="1:11">
      <c r="A11298" s="760"/>
      <c r="B11298" s="760"/>
      <c r="C11298" s="760"/>
      <c r="D11298" s="760"/>
      <c r="E11298" s="760"/>
      <c r="F11298" s="760"/>
      <c r="G11298" s="760"/>
      <c r="H11298" s="760"/>
      <c r="I11298" s="760"/>
      <c r="J11298" s="760"/>
      <c r="K11298" s="760"/>
    </row>
    <row r="11299" spans="1:11">
      <c r="A11299" s="760"/>
      <c r="B11299" s="760"/>
      <c r="C11299" s="760"/>
      <c r="D11299" s="760"/>
      <c r="E11299" s="760"/>
      <c r="F11299" s="760"/>
      <c r="G11299" s="760"/>
      <c r="H11299" s="760"/>
      <c r="I11299" s="760"/>
      <c r="J11299" s="760"/>
      <c r="K11299" s="760"/>
    </row>
    <row r="11300" spans="1:11">
      <c r="A11300" s="760"/>
      <c r="B11300" s="760"/>
      <c r="C11300" s="760"/>
      <c r="D11300" s="760"/>
      <c r="E11300" s="760"/>
      <c r="F11300" s="760"/>
      <c r="G11300" s="760"/>
      <c r="H11300" s="760"/>
      <c r="I11300" s="760"/>
      <c r="J11300" s="760"/>
      <c r="K11300" s="760"/>
    </row>
    <row r="11301" spans="1:11">
      <c r="A11301" s="760"/>
      <c r="B11301" s="760"/>
      <c r="C11301" s="760"/>
      <c r="D11301" s="760"/>
      <c r="E11301" s="760"/>
      <c r="F11301" s="760"/>
      <c r="G11301" s="760"/>
      <c r="H11301" s="760"/>
      <c r="I11301" s="760"/>
      <c r="J11301" s="760"/>
      <c r="K11301" s="760"/>
    </row>
    <row r="11302" spans="1:11">
      <c r="A11302" s="760"/>
      <c r="B11302" s="760"/>
      <c r="C11302" s="760"/>
      <c r="D11302" s="760"/>
      <c r="E11302" s="760"/>
      <c r="F11302" s="760"/>
      <c r="G11302" s="760"/>
      <c r="H11302" s="760"/>
      <c r="I11302" s="760"/>
      <c r="J11302" s="760"/>
      <c r="K11302" s="760"/>
    </row>
    <row r="11303" spans="1:11">
      <c r="A11303" s="760"/>
      <c r="B11303" s="760"/>
      <c r="C11303" s="760"/>
      <c r="D11303" s="760"/>
      <c r="E11303" s="760"/>
      <c r="F11303" s="760"/>
      <c r="G11303" s="760"/>
      <c r="H11303" s="760"/>
      <c r="I11303" s="760"/>
      <c r="J11303" s="760"/>
      <c r="K11303" s="760"/>
    </row>
    <row r="11304" spans="1:11">
      <c r="A11304" s="760"/>
      <c r="B11304" s="760"/>
      <c r="C11304" s="760"/>
      <c r="D11304" s="760"/>
      <c r="E11304" s="760"/>
      <c r="F11304" s="760"/>
      <c r="G11304" s="760"/>
      <c r="H11304" s="760"/>
      <c r="I11304" s="760"/>
      <c r="J11304" s="760"/>
      <c r="K11304" s="760"/>
    </row>
    <row r="11305" spans="1:11">
      <c r="A11305" s="760"/>
      <c r="B11305" s="760"/>
      <c r="C11305" s="760"/>
      <c r="D11305" s="760"/>
      <c r="E11305" s="760"/>
      <c r="F11305" s="760"/>
      <c r="G11305" s="760"/>
      <c r="H11305" s="760"/>
      <c r="I11305" s="760"/>
      <c r="J11305" s="760"/>
      <c r="K11305" s="760"/>
    </row>
    <row r="11306" spans="1:11">
      <c r="A11306" s="760"/>
      <c r="B11306" s="760"/>
      <c r="C11306" s="760"/>
      <c r="D11306" s="760"/>
      <c r="E11306" s="760"/>
      <c r="F11306" s="760"/>
      <c r="G11306" s="760"/>
      <c r="H11306" s="760"/>
      <c r="I11306" s="760"/>
      <c r="J11306" s="760"/>
      <c r="K11306" s="760"/>
    </row>
    <row r="11307" spans="1:11">
      <c r="A11307" s="760"/>
      <c r="B11307" s="760"/>
      <c r="C11307" s="760"/>
      <c r="D11307" s="760"/>
      <c r="E11307" s="760"/>
      <c r="F11307" s="760"/>
      <c r="G11307" s="760"/>
      <c r="H11307" s="760"/>
      <c r="I11307" s="760"/>
      <c r="J11307" s="760"/>
      <c r="K11307" s="760"/>
    </row>
    <row r="11308" spans="1:11">
      <c r="A11308" s="760"/>
      <c r="B11308" s="760"/>
      <c r="C11308" s="760"/>
      <c r="D11308" s="760"/>
      <c r="E11308" s="760"/>
      <c r="F11308" s="760"/>
      <c r="G11308" s="760"/>
      <c r="H11308" s="760"/>
      <c r="I11308" s="760"/>
      <c r="J11308" s="760"/>
      <c r="K11308" s="760"/>
    </row>
    <row r="11309" spans="1:11">
      <c r="A11309" s="760"/>
      <c r="B11309" s="760"/>
      <c r="C11309" s="760"/>
      <c r="D11309" s="760"/>
      <c r="E11309" s="760"/>
      <c r="F11309" s="760"/>
      <c r="G11309" s="760"/>
      <c r="H11309" s="760"/>
      <c r="I11309" s="760"/>
      <c r="J11309" s="760"/>
      <c r="K11309" s="760"/>
    </row>
    <row r="11310" spans="1:11">
      <c r="A11310" s="760"/>
      <c r="B11310" s="760"/>
      <c r="C11310" s="760"/>
      <c r="D11310" s="760"/>
      <c r="E11310" s="760"/>
      <c r="F11310" s="760"/>
      <c r="G11310" s="760"/>
      <c r="H11310" s="760"/>
      <c r="I11310" s="760"/>
      <c r="J11310" s="760"/>
      <c r="K11310" s="760"/>
    </row>
    <row r="11311" spans="1:11">
      <c r="A11311" s="760"/>
      <c r="B11311" s="760"/>
      <c r="C11311" s="760"/>
      <c r="D11311" s="760"/>
      <c r="E11311" s="760"/>
      <c r="F11311" s="760"/>
      <c r="G11311" s="760"/>
      <c r="H11311" s="760"/>
      <c r="I11311" s="760"/>
      <c r="J11311" s="760"/>
      <c r="K11311" s="760"/>
    </row>
    <row r="11312" spans="1:11">
      <c r="A11312" s="760"/>
      <c r="B11312" s="760"/>
      <c r="C11312" s="760"/>
      <c r="D11312" s="760"/>
      <c r="E11312" s="760"/>
      <c r="F11312" s="760"/>
      <c r="G11312" s="760"/>
      <c r="H11312" s="760"/>
      <c r="I11312" s="760"/>
      <c r="J11312" s="760"/>
      <c r="K11312" s="760"/>
    </row>
    <row r="11313" spans="1:11">
      <c r="A11313" s="760"/>
      <c r="B11313" s="760"/>
      <c r="C11313" s="760"/>
      <c r="D11313" s="760"/>
      <c r="E11313" s="760"/>
      <c r="F11313" s="760"/>
      <c r="G11313" s="760"/>
      <c r="H11313" s="760"/>
      <c r="I11313" s="760"/>
      <c r="J11313" s="760"/>
      <c r="K11313" s="760"/>
    </row>
    <row r="11314" spans="1:11">
      <c r="A11314" s="760"/>
      <c r="B11314" s="760"/>
      <c r="C11314" s="760"/>
      <c r="D11314" s="760"/>
      <c r="E11314" s="760"/>
      <c r="F11314" s="760"/>
      <c r="G11314" s="760"/>
      <c r="H11314" s="760"/>
      <c r="I11314" s="760"/>
      <c r="J11314" s="760"/>
      <c r="K11314" s="760"/>
    </row>
    <row r="11315" spans="1:11">
      <c r="A11315" s="760"/>
      <c r="B11315" s="760"/>
      <c r="C11315" s="760"/>
      <c r="D11315" s="760"/>
      <c r="E11315" s="760"/>
      <c r="F11315" s="760"/>
      <c r="G11315" s="760"/>
      <c r="H11315" s="760"/>
      <c r="I11315" s="760"/>
      <c r="J11315" s="760"/>
      <c r="K11315" s="760"/>
    </row>
    <row r="11316" spans="1:11">
      <c r="A11316" s="760"/>
      <c r="B11316" s="760"/>
      <c r="C11316" s="760"/>
      <c r="D11316" s="760"/>
      <c r="E11316" s="760"/>
      <c r="F11316" s="760"/>
      <c r="G11316" s="760"/>
      <c r="H11316" s="760"/>
      <c r="I11316" s="760"/>
      <c r="J11316" s="760"/>
      <c r="K11316" s="760"/>
    </row>
    <row r="11317" spans="1:11">
      <c r="A11317" s="760"/>
      <c r="B11317" s="760"/>
      <c r="C11317" s="760"/>
      <c r="D11317" s="760"/>
      <c r="E11317" s="760"/>
      <c r="F11317" s="760"/>
      <c r="G11317" s="760"/>
      <c r="H11317" s="760"/>
      <c r="I11317" s="760"/>
      <c r="J11317" s="760"/>
      <c r="K11317" s="760"/>
    </row>
    <row r="11318" spans="1:11">
      <c r="A11318" s="760"/>
      <c r="B11318" s="760"/>
      <c r="C11318" s="760"/>
      <c r="D11318" s="760"/>
      <c r="E11318" s="760"/>
      <c r="F11318" s="760"/>
      <c r="G11318" s="760"/>
      <c r="H11318" s="760"/>
      <c r="I11318" s="760"/>
      <c r="J11318" s="760"/>
      <c r="K11318" s="760"/>
    </row>
    <row r="11319" spans="1:11">
      <c r="A11319" s="760"/>
      <c r="B11319" s="760"/>
      <c r="C11319" s="760"/>
      <c r="D11319" s="760"/>
      <c r="E11319" s="760"/>
      <c r="F11319" s="760"/>
      <c r="G11319" s="760"/>
      <c r="H11319" s="760"/>
      <c r="I11319" s="760"/>
      <c r="J11319" s="760"/>
      <c r="K11319" s="760"/>
    </row>
    <row r="11320" spans="1:11">
      <c r="A11320" s="760"/>
      <c r="B11320" s="760"/>
      <c r="C11320" s="760"/>
      <c r="D11320" s="760"/>
      <c r="E11320" s="760"/>
      <c r="F11320" s="760"/>
      <c r="G11320" s="760"/>
      <c r="H11320" s="760"/>
      <c r="I11320" s="760"/>
      <c r="J11320" s="760"/>
      <c r="K11320" s="760"/>
    </row>
    <row r="11321" spans="1:11">
      <c r="A11321" s="760"/>
      <c r="B11321" s="760"/>
      <c r="C11321" s="760"/>
      <c r="D11321" s="760"/>
      <c r="E11321" s="760"/>
      <c r="F11321" s="760"/>
      <c r="G11321" s="760"/>
      <c r="H11321" s="760"/>
      <c r="I11321" s="760"/>
      <c r="J11321" s="760"/>
      <c r="K11321" s="760"/>
    </row>
    <row r="11322" spans="1:11">
      <c r="A11322" s="760"/>
      <c r="B11322" s="760"/>
      <c r="C11322" s="760"/>
      <c r="D11322" s="760"/>
      <c r="E11322" s="760"/>
      <c r="F11322" s="760"/>
      <c r="G11322" s="760"/>
      <c r="H11322" s="760"/>
      <c r="I11322" s="760"/>
      <c r="J11322" s="760"/>
      <c r="K11322" s="760"/>
    </row>
    <row r="11323" spans="1:11">
      <c r="A11323" s="760"/>
      <c r="B11323" s="760"/>
      <c r="C11323" s="760"/>
      <c r="D11323" s="760"/>
      <c r="E11323" s="760"/>
      <c r="F11323" s="760"/>
      <c r="G11323" s="760"/>
      <c r="H11323" s="760"/>
      <c r="I11323" s="760"/>
      <c r="J11323" s="760"/>
      <c r="K11323" s="760"/>
    </row>
    <row r="11324" spans="1:11">
      <c r="A11324" s="760"/>
      <c r="B11324" s="760"/>
      <c r="C11324" s="760"/>
      <c r="D11324" s="760"/>
      <c r="E11324" s="760"/>
      <c r="F11324" s="760"/>
      <c r="G11324" s="760"/>
      <c r="H11324" s="760"/>
      <c r="I11324" s="760"/>
      <c r="J11324" s="760"/>
      <c r="K11324" s="760"/>
    </row>
    <row r="11325" spans="1:11">
      <c r="A11325" s="760"/>
      <c r="B11325" s="760"/>
      <c r="C11325" s="760"/>
      <c r="D11325" s="760"/>
      <c r="E11325" s="760"/>
      <c r="F11325" s="760"/>
      <c r="G11325" s="760"/>
      <c r="H11325" s="760"/>
      <c r="I11325" s="760"/>
      <c r="J11325" s="760"/>
      <c r="K11325" s="760"/>
    </row>
    <row r="11326" spans="1:11">
      <c r="A11326" s="760"/>
      <c r="B11326" s="760"/>
      <c r="C11326" s="760"/>
      <c r="D11326" s="760"/>
      <c r="E11326" s="760"/>
      <c r="F11326" s="760"/>
      <c r="G11326" s="760"/>
      <c r="H11326" s="760"/>
      <c r="I11326" s="760"/>
      <c r="J11326" s="760"/>
      <c r="K11326" s="760"/>
    </row>
    <row r="11327" spans="1:11">
      <c r="A11327" s="760"/>
      <c r="B11327" s="760"/>
      <c r="C11327" s="760"/>
      <c r="D11327" s="760"/>
      <c r="E11327" s="760"/>
      <c r="F11327" s="760"/>
      <c r="G11327" s="760"/>
      <c r="H11327" s="760"/>
      <c r="I11327" s="760"/>
      <c r="J11327" s="760"/>
      <c r="K11327" s="760"/>
    </row>
    <row r="11328" spans="1:11">
      <c r="A11328" s="760"/>
      <c r="B11328" s="760"/>
      <c r="C11328" s="760"/>
      <c r="D11328" s="760"/>
      <c r="E11328" s="760"/>
      <c r="F11328" s="760"/>
      <c r="G11328" s="760"/>
      <c r="H11328" s="760"/>
      <c r="I11328" s="760"/>
      <c r="J11328" s="760"/>
      <c r="K11328" s="760"/>
    </row>
    <row r="11329" spans="1:11">
      <c r="A11329" s="760"/>
      <c r="B11329" s="760"/>
      <c r="C11329" s="760"/>
      <c r="D11329" s="760"/>
      <c r="E11329" s="760"/>
      <c r="F11329" s="760"/>
      <c r="G11329" s="760"/>
      <c r="H11329" s="760"/>
      <c r="I11329" s="760"/>
      <c r="J11329" s="760"/>
      <c r="K11329" s="760"/>
    </row>
    <row r="11330" spans="1:11">
      <c r="A11330" s="760"/>
      <c r="B11330" s="760"/>
      <c r="C11330" s="760"/>
      <c r="D11330" s="760"/>
      <c r="E11330" s="760"/>
      <c r="F11330" s="760"/>
      <c r="G11330" s="760"/>
      <c r="H11330" s="760"/>
      <c r="I11330" s="760"/>
      <c r="J11330" s="760"/>
      <c r="K11330" s="760"/>
    </row>
    <row r="11331" spans="1:11">
      <c r="A11331" s="760"/>
      <c r="B11331" s="760"/>
      <c r="C11331" s="760"/>
      <c r="D11331" s="760"/>
      <c r="E11331" s="760"/>
      <c r="F11331" s="760"/>
      <c r="G11331" s="760"/>
      <c r="H11331" s="760"/>
      <c r="I11331" s="760"/>
      <c r="J11331" s="760"/>
      <c r="K11331" s="760"/>
    </row>
    <row r="11332" spans="1:11">
      <c r="A11332" s="760"/>
      <c r="B11332" s="760"/>
      <c r="C11332" s="760"/>
      <c r="D11332" s="760"/>
      <c r="E11332" s="760"/>
      <c r="F11332" s="760"/>
      <c r="G11332" s="760"/>
      <c r="H11332" s="760"/>
      <c r="I11332" s="760"/>
      <c r="J11332" s="760"/>
      <c r="K11332" s="760"/>
    </row>
    <row r="11333" spans="1:11">
      <c r="A11333" s="760"/>
      <c r="B11333" s="760"/>
      <c r="C11333" s="760"/>
      <c r="D11333" s="760"/>
      <c r="E11333" s="760"/>
      <c r="F11333" s="760"/>
      <c r="G11333" s="760"/>
      <c r="H11333" s="760"/>
      <c r="I11333" s="760"/>
      <c r="J11333" s="760"/>
      <c r="K11333" s="760"/>
    </row>
    <row r="11334" spans="1:11">
      <c r="A11334" s="760"/>
      <c r="B11334" s="760"/>
      <c r="C11334" s="760"/>
      <c r="D11334" s="760"/>
      <c r="E11334" s="760"/>
      <c r="F11334" s="760"/>
      <c r="G11334" s="760"/>
      <c r="H11334" s="760"/>
      <c r="I11334" s="760"/>
      <c r="J11334" s="760"/>
      <c r="K11334" s="760"/>
    </row>
    <row r="11335" spans="1:11">
      <c r="A11335" s="760"/>
      <c r="B11335" s="760"/>
      <c r="C11335" s="760"/>
      <c r="D11335" s="760"/>
      <c r="E11335" s="760"/>
      <c r="F11335" s="760"/>
      <c r="G11335" s="760"/>
      <c r="H11335" s="760"/>
      <c r="I11335" s="760"/>
      <c r="J11335" s="760"/>
      <c r="K11335" s="760"/>
    </row>
    <row r="11336" spans="1:11">
      <c r="A11336" s="760"/>
      <c r="B11336" s="760"/>
      <c r="C11336" s="760"/>
      <c r="D11336" s="760"/>
      <c r="E11336" s="760"/>
      <c r="F11336" s="760"/>
      <c r="G11336" s="760"/>
      <c r="H11336" s="760"/>
      <c r="I11336" s="760"/>
      <c r="J11336" s="760"/>
      <c r="K11336" s="760"/>
    </row>
    <row r="11337" spans="1:11">
      <c r="A11337" s="760"/>
      <c r="B11337" s="760"/>
      <c r="C11337" s="760"/>
      <c r="D11337" s="760"/>
      <c r="E11337" s="760"/>
      <c r="F11337" s="760"/>
      <c r="G11337" s="760"/>
      <c r="H11337" s="760"/>
      <c r="I11337" s="760"/>
      <c r="J11337" s="760"/>
      <c r="K11337" s="760"/>
    </row>
    <row r="11338" spans="1:11">
      <c r="A11338" s="760"/>
      <c r="B11338" s="760"/>
      <c r="C11338" s="760"/>
      <c r="D11338" s="760"/>
      <c r="E11338" s="760"/>
      <c r="F11338" s="760"/>
      <c r="G11338" s="760"/>
      <c r="H11338" s="760"/>
      <c r="I11338" s="760"/>
      <c r="J11338" s="760"/>
      <c r="K11338" s="760"/>
    </row>
    <row r="11339" spans="1:11">
      <c r="A11339" s="760"/>
      <c r="B11339" s="760"/>
      <c r="C11339" s="760"/>
      <c r="D11339" s="760"/>
      <c r="E11339" s="760"/>
      <c r="F11339" s="760"/>
      <c r="G11339" s="760"/>
      <c r="H11339" s="760"/>
      <c r="I11339" s="760"/>
      <c r="J11339" s="760"/>
      <c r="K11339" s="760"/>
    </row>
    <row r="11340" spans="1:11">
      <c r="A11340" s="760"/>
      <c r="B11340" s="760"/>
      <c r="C11340" s="760"/>
      <c r="D11340" s="760"/>
      <c r="E11340" s="760"/>
      <c r="F11340" s="760"/>
      <c r="G11340" s="760"/>
      <c r="H11340" s="760"/>
      <c r="I11340" s="760"/>
      <c r="J11340" s="760"/>
      <c r="K11340" s="760"/>
    </row>
    <row r="11341" spans="1:11">
      <c r="A11341" s="760"/>
      <c r="B11341" s="760"/>
      <c r="C11341" s="760"/>
      <c r="D11341" s="760"/>
      <c r="E11341" s="760"/>
      <c r="F11341" s="760"/>
      <c r="G11341" s="760"/>
      <c r="H11341" s="760"/>
      <c r="I11341" s="760"/>
      <c r="J11341" s="760"/>
      <c r="K11341" s="760"/>
    </row>
    <row r="11342" spans="1:11">
      <c r="A11342" s="760"/>
      <c r="B11342" s="760"/>
      <c r="C11342" s="760"/>
      <c r="D11342" s="760"/>
      <c r="E11342" s="760"/>
      <c r="F11342" s="760"/>
      <c r="G11342" s="760"/>
      <c r="H11342" s="760"/>
      <c r="I11342" s="760"/>
      <c r="J11342" s="760"/>
      <c r="K11342" s="760"/>
    </row>
    <row r="11343" spans="1:11">
      <c r="A11343" s="760"/>
      <c r="B11343" s="760"/>
      <c r="C11343" s="760"/>
      <c r="D11343" s="760"/>
      <c r="E11343" s="760"/>
      <c r="F11343" s="760"/>
      <c r="G11343" s="760"/>
      <c r="H11343" s="760"/>
      <c r="I11343" s="760"/>
      <c r="J11343" s="760"/>
      <c r="K11343" s="760"/>
    </row>
    <row r="11344" spans="1:11">
      <c r="A11344" s="760"/>
      <c r="B11344" s="760"/>
      <c r="C11344" s="760"/>
      <c r="D11344" s="760"/>
      <c r="E11344" s="760"/>
      <c r="F11344" s="760"/>
      <c r="G11344" s="760"/>
      <c r="H11344" s="760"/>
      <c r="I11344" s="760"/>
      <c r="J11344" s="760"/>
      <c r="K11344" s="760"/>
    </row>
    <row r="11345" spans="1:11">
      <c r="A11345" s="760"/>
      <c r="B11345" s="760"/>
      <c r="C11345" s="760"/>
      <c r="D11345" s="760"/>
      <c r="E11345" s="760"/>
      <c r="F11345" s="760"/>
      <c r="G11345" s="760"/>
      <c r="H11345" s="760"/>
      <c r="I11345" s="760"/>
      <c r="J11345" s="760"/>
      <c r="K11345" s="760"/>
    </row>
    <row r="11346" spans="1:11">
      <c r="A11346" s="760"/>
      <c r="B11346" s="760"/>
      <c r="C11346" s="760"/>
      <c r="D11346" s="760"/>
      <c r="E11346" s="760"/>
      <c r="F11346" s="760"/>
      <c r="G11346" s="760"/>
      <c r="H11346" s="760"/>
      <c r="I11346" s="760"/>
      <c r="J11346" s="760"/>
      <c r="K11346" s="760"/>
    </row>
    <row r="11347" spans="1:11">
      <c r="A11347" s="760"/>
      <c r="B11347" s="760"/>
      <c r="C11347" s="760"/>
      <c r="D11347" s="760"/>
      <c r="E11347" s="760"/>
      <c r="F11347" s="760"/>
      <c r="G11347" s="760"/>
      <c r="H11347" s="760"/>
      <c r="I11347" s="760"/>
      <c r="J11347" s="760"/>
      <c r="K11347" s="760"/>
    </row>
    <row r="11348" spans="1:11">
      <c r="A11348" s="760"/>
      <c r="B11348" s="760"/>
      <c r="C11348" s="760"/>
      <c r="D11348" s="760"/>
      <c r="E11348" s="760"/>
      <c r="F11348" s="760"/>
      <c r="G11348" s="760"/>
      <c r="H11348" s="760"/>
      <c r="I11348" s="760"/>
      <c r="J11348" s="760"/>
      <c r="K11348" s="760"/>
    </row>
    <row r="11349" spans="1:11">
      <c r="A11349" s="760"/>
      <c r="B11349" s="760"/>
      <c r="C11349" s="760"/>
      <c r="D11349" s="760"/>
      <c r="E11349" s="760"/>
      <c r="F11349" s="760"/>
      <c r="G11349" s="760"/>
      <c r="H11349" s="760"/>
      <c r="I11349" s="760"/>
      <c r="J11349" s="760"/>
      <c r="K11349" s="760"/>
    </row>
    <row r="11350" spans="1:11">
      <c r="A11350" s="760"/>
      <c r="B11350" s="760"/>
      <c r="C11350" s="760"/>
      <c r="D11350" s="760"/>
      <c r="E11350" s="760"/>
      <c r="F11350" s="760"/>
      <c r="G11350" s="760"/>
      <c r="H11350" s="760"/>
      <c r="I11350" s="760"/>
      <c r="J11350" s="760"/>
      <c r="K11350" s="760"/>
    </row>
    <row r="11351" spans="1:11">
      <c r="A11351" s="760"/>
      <c r="B11351" s="760"/>
      <c r="C11351" s="760"/>
      <c r="D11351" s="760"/>
      <c r="E11351" s="760"/>
      <c r="F11351" s="760"/>
      <c r="G11351" s="760"/>
      <c r="H11351" s="760"/>
      <c r="I11351" s="760"/>
      <c r="J11351" s="760"/>
      <c r="K11351" s="760"/>
    </row>
    <row r="11352" spans="1:11">
      <c r="A11352" s="760"/>
      <c r="B11352" s="760"/>
      <c r="C11352" s="760"/>
      <c r="D11352" s="760"/>
      <c r="E11352" s="760"/>
      <c r="F11352" s="760"/>
      <c r="G11352" s="760"/>
      <c r="H11352" s="760"/>
      <c r="I11352" s="760"/>
      <c r="J11352" s="760"/>
      <c r="K11352" s="760"/>
    </row>
    <row r="11353" spans="1:11">
      <c r="A11353" s="760"/>
      <c r="B11353" s="760"/>
      <c r="C11353" s="760"/>
      <c r="D11353" s="760"/>
      <c r="E11353" s="760"/>
      <c r="F11353" s="760"/>
      <c r="G11353" s="760"/>
      <c r="H11353" s="760"/>
      <c r="I11353" s="760"/>
      <c r="J11353" s="760"/>
      <c r="K11353" s="760"/>
    </row>
    <row r="11354" spans="1:11">
      <c r="A11354" s="760"/>
      <c r="B11354" s="760"/>
      <c r="C11354" s="760"/>
      <c r="D11354" s="760"/>
      <c r="E11354" s="760"/>
      <c r="F11354" s="760"/>
      <c r="G11354" s="760"/>
      <c r="H11354" s="760"/>
      <c r="I11354" s="760"/>
      <c r="J11354" s="760"/>
      <c r="K11354" s="760"/>
    </row>
    <row r="11355" spans="1:11">
      <c r="A11355" s="760"/>
      <c r="B11355" s="760"/>
      <c r="C11355" s="760"/>
      <c r="D11355" s="760"/>
      <c r="E11355" s="760"/>
      <c r="F11355" s="760"/>
      <c r="G11355" s="760"/>
      <c r="H11355" s="760"/>
      <c r="I11355" s="760"/>
      <c r="J11355" s="760"/>
      <c r="K11355" s="760"/>
    </row>
    <row r="11356" spans="1:11">
      <c r="A11356" s="760"/>
      <c r="B11356" s="760"/>
      <c r="C11356" s="760"/>
      <c r="D11356" s="760"/>
      <c r="E11356" s="760"/>
      <c r="F11356" s="760"/>
      <c r="G11356" s="760"/>
      <c r="H11356" s="760"/>
      <c r="I11356" s="760"/>
      <c r="J11356" s="760"/>
      <c r="K11356" s="760"/>
    </row>
    <row r="11357" spans="1:11">
      <c r="A11357" s="760"/>
      <c r="B11357" s="760"/>
      <c r="C11357" s="760"/>
      <c r="D11357" s="760"/>
      <c r="E11357" s="760"/>
      <c r="F11357" s="760"/>
      <c r="G11357" s="760"/>
      <c r="H11357" s="760"/>
      <c r="I11357" s="760"/>
      <c r="J11357" s="760"/>
      <c r="K11357" s="760"/>
    </row>
    <row r="11358" spans="1:11">
      <c r="A11358" s="760"/>
      <c r="B11358" s="760"/>
      <c r="C11358" s="760"/>
      <c r="D11358" s="760"/>
      <c r="E11358" s="760"/>
      <c r="F11358" s="760"/>
      <c r="G11358" s="760"/>
      <c r="H11358" s="760"/>
      <c r="I11358" s="760"/>
      <c r="J11358" s="760"/>
      <c r="K11358" s="760"/>
    </row>
    <row r="11359" spans="1:11">
      <c r="A11359" s="760"/>
      <c r="B11359" s="760"/>
      <c r="C11359" s="760"/>
      <c r="D11359" s="760"/>
      <c r="E11359" s="760"/>
      <c r="F11359" s="760"/>
      <c r="G11359" s="760"/>
      <c r="H11359" s="760"/>
      <c r="I11359" s="760"/>
      <c r="J11359" s="760"/>
      <c r="K11359" s="760"/>
    </row>
    <row r="11360" spans="1:11">
      <c r="A11360" s="760"/>
      <c r="B11360" s="760"/>
      <c r="C11360" s="760"/>
      <c r="D11360" s="760"/>
      <c r="E11360" s="760"/>
      <c r="F11360" s="760"/>
      <c r="G11360" s="760"/>
      <c r="H11360" s="760"/>
      <c r="I11360" s="760"/>
      <c r="J11360" s="760"/>
      <c r="K11360" s="760"/>
    </row>
    <row r="11361" spans="1:11">
      <c r="A11361" s="760"/>
      <c r="B11361" s="760"/>
      <c r="C11361" s="760"/>
      <c r="D11361" s="760"/>
      <c r="E11361" s="760"/>
      <c r="F11361" s="760"/>
      <c r="G11361" s="760"/>
      <c r="H11361" s="760"/>
      <c r="I11361" s="760"/>
      <c r="J11361" s="760"/>
      <c r="K11361" s="760"/>
    </row>
    <row r="11362" spans="1:11">
      <c r="A11362" s="760"/>
      <c r="B11362" s="760"/>
      <c r="C11362" s="760"/>
      <c r="D11362" s="760"/>
      <c r="E11362" s="760"/>
      <c r="F11362" s="760"/>
      <c r="G11362" s="760"/>
      <c r="H11362" s="760"/>
      <c r="I11362" s="760"/>
      <c r="J11362" s="760"/>
      <c r="K11362" s="760"/>
    </row>
    <row r="11363" spans="1:11">
      <c r="A11363" s="760"/>
      <c r="B11363" s="760"/>
      <c r="C11363" s="760"/>
      <c r="D11363" s="760"/>
      <c r="E11363" s="760"/>
      <c r="F11363" s="760"/>
      <c r="G11363" s="760"/>
      <c r="H11363" s="760"/>
      <c r="I11363" s="760"/>
      <c r="J11363" s="760"/>
      <c r="K11363" s="760"/>
    </row>
    <row r="11364" spans="1:11">
      <c r="A11364" s="760"/>
      <c r="B11364" s="760"/>
      <c r="C11364" s="760"/>
      <c r="D11364" s="760"/>
      <c r="E11364" s="760"/>
      <c r="F11364" s="760"/>
      <c r="G11364" s="760"/>
      <c r="H11364" s="760"/>
      <c r="I11364" s="760"/>
      <c r="J11364" s="760"/>
      <c r="K11364" s="760"/>
    </row>
    <row r="11365" spans="1:11">
      <c r="A11365" s="760"/>
      <c r="B11365" s="760"/>
      <c r="C11365" s="760"/>
      <c r="D11365" s="760"/>
      <c r="E11365" s="760"/>
      <c r="F11365" s="760"/>
      <c r="G11365" s="760"/>
      <c r="H11365" s="760"/>
      <c r="I11365" s="760"/>
      <c r="J11365" s="760"/>
      <c r="K11365" s="760"/>
    </row>
    <row r="11366" spans="1:11">
      <c r="A11366" s="760"/>
      <c r="B11366" s="760"/>
      <c r="C11366" s="760"/>
      <c r="D11366" s="760"/>
      <c r="E11366" s="760"/>
      <c r="F11366" s="760"/>
      <c r="G11366" s="760"/>
      <c r="H11366" s="760"/>
      <c r="I11366" s="760"/>
      <c r="J11366" s="760"/>
      <c r="K11366" s="760"/>
    </row>
    <row r="11367" spans="1:11">
      <c r="A11367" s="760"/>
      <c r="B11367" s="760"/>
      <c r="C11367" s="760"/>
      <c r="D11367" s="760"/>
      <c r="E11367" s="760"/>
      <c r="F11367" s="760"/>
      <c r="G11367" s="760"/>
      <c r="H11367" s="760"/>
      <c r="I11367" s="760"/>
      <c r="J11367" s="760"/>
      <c r="K11367" s="760"/>
    </row>
    <row r="11368" spans="1:11">
      <c r="A11368" s="760"/>
      <c r="B11368" s="760"/>
      <c r="C11368" s="760"/>
      <c r="D11368" s="760"/>
      <c r="E11368" s="760"/>
      <c r="F11368" s="760"/>
      <c r="G11368" s="760"/>
      <c r="H11368" s="760"/>
      <c r="I11368" s="760"/>
      <c r="J11368" s="760"/>
      <c r="K11368" s="760"/>
    </row>
    <row r="11369" spans="1:11">
      <c r="A11369" s="760"/>
      <c r="B11369" s="760"/>
      <c r="C11369" s="760"/>
      <c r="D11369" s="760"/>
      <c r="E11369" s="760"/>
      <c r="F11369" s="760"/>
      <c r="G11369" s="760"/>
      <c r="H11369" s="760"/>
      <c r="I11369" s="760"/>
      <c r="J11369" s="760"/>
      <c r="K11369" s="760"/>
    </row>
    <row r="11370" spans="1:11">
      <c r="A11370" s="760"/>
      <c r="B11370" s="760"/>
      <c r="C11370" s="760"/>
      <c r="D11370" s="760"/>
      <c r="E11370" s="760"/>
      <c r="F11370" s="760"/>
      <c r="G11370" s="760"/>
      <c r="H11370" s="760"/>
      <c r="I11370" s="760"/>
      <c r="J11370" s="760"/>
      <c r="K11370" s="760"/>
    </row>
    <row r="11371" spans="1:11">
      <c r="A11371" s="760"/>
      <c r="B11371" s="760"/>
      <c r="C11371" s="760"/>
      <c r="D11371" s="760"/>
      <c r="E11371" s="760"/>
      <c r="F11371" s="760"/>
      <c r="G11371" s="760"/>
      <c r="H11371" s="760"/>
      <c r="I11371" s="760"/>
      <c r="J11371" s="760"/>
      <c r="K11371" s="760"/>
    </row>
    <row r="11372" spans="1:11">
      <c r="A11372" s="760"/>
      <c r="B11372" s="760"/>
      <c r="C11372" s="760"/>
      <c r="D11372" s="760"/>
      <c r="E11372" s="760"/>
      <c r="F11372" s="760"/>
      <c r="G11372" s="760"/>
      <c r="H11372" s="760"/>
      <c r="I11372" s="760"/>
      <c r="J11372" s="760"/>
      <c r="K11372" s="760"/>
    </row>
    <row r="11373" spans="1:11">
      <c r="A11373" s="760"/>
      <c r="B11373" s="760"/>
      <c r="C11373" s="760"/>
      <c r="D11373" s="760"/>
      <c r="E11373" s="760"/>
      <c r="F11373" s="760"/>
      <c r="G11373" s="760"/>
      <c r="H11373" s="760"/>
      <c r="I11373" s="760"/>
      <c r="J11373" s="760"/>
      <c r="K11373" s="760"/>
    </row>
    <row r="11374" spans="1:11">
      <c r="A11374" s="760"/>
      <c r="B11374" s="760"/>
      <c r="C11374" s="760"/>
      <c r="D11374" s="760"/>
      <c r="E11374" s="760"/>
      <c r="F11374" s="760"/>
      <c r="G11374" s="760"/>
      <c r="H11374" s="760"/>
      <c r="I11374" s="760"/>
      <c r="J11374" s="760"/>
      <c r="K11374" s="760"/>
    </row>
    <row r="11375" spans="1:11">
      <c r="A11375" s="760"/>
      <c r="B11375" s="760"/>
      <c r="C11375" s="760"/>
      <c r="D11375" s="760"/>
      <c r="E11375" s="760"/>
      <c r="F11375" s="760"/>
      <c r="G11375" s="760"/>
      <c r="H11375" s="760"/>
      <c r="I11375" s="760"/>
      <c r="J11375" s="760"/>
      <c r="K11375" s="760"/>
    </row>
    <row r="11376" spans="1:11">
      <c r="A11376" s="760"/>
      <c r="B11376" s="760"/>
      <c r="C11376" s="760"/>
      <c r="D11376" s="760"/>
      <c r="E11376" s="760"/>
      <c r="F11376" s="760"/>
      <c r="G11376" s="760"/>
      <c r="H11376" s="760"/>
      <c r="I11376" s="760"/>
      <c r="J11376" s="760"/>
      <c r="K11376" s="760"/>
    </row>
    <row r="11377" spans="1:11">
      <c r="A11377" s="760"/>
      <c r="B11377" s="760"/>
      <c r="C11377" s="760"/>
      <c r="D11377" s="760"/>
      <c r="E11377" s="760"/>
      <c r="F11377" s="760"/>
      <c r="G11377" s="760"/>
      <c r="H11377" s="760"/>
      <c r="I11377" s="760"/>
      <c r="J11377" s="760"/>
      <c r="K11377" s="760"/>
    </row>
    <row r="11378" spans="1:11">
      <c r="A11378" s="760"/>
      <c r="B11378" s="760"/>
      <c r="C11378" s="760"/>
      <c r="D11378" s="760"/>
      <c r="E11378" s="760"/>
      <c r="F11378" s="760"/>
      <c r="G11378" s="760"/>
      <c r="H11378" s="760"/>
      <c r="I11378" s="760"/>
      <c r="J11378" s="760"/>
      <c r="K11378" s="760"/>
    </row>
    <row r="11379" spans="1:11">
      <c r="A11379" s="760"/>
      <c r="B11379" s="760"/>
      <c r="C11379" s="760"/>
      <c r="D11379" s="760"/>
      <c r="E11379" s="760"/>
      <c r="F11379" s="760"/>
      <c r="G11379" s="760"/>
      <c r="H11379" s="760"/>
      <c r="I11379" s="760"/>
      <c r="J11379" s="760"/>
      <c r="K11379" s="760"/>
    </row>
    <row r="11380" spans="1:11">
      <c r="A11380" s="760"/>
      <c r="B11380" s="760"/>
      <c r="C11380" s="760"/>
      <c r="D11380" s="760"/>
      <c r="E11380" s="760"/>
      <c r="F11380" s="760"/>
      <c r="G11380" s="760"/>
      <c r="H11380" s="760"/>
      <c r="I11380" s="760"/>
      <c r="J11380" s="760"/>
      <c r="K11380" s="760"/>
    </row>
    <row r="11381" spans="1:11">
      <c r="A11381" s="760"/>
      <c r="B11381" s="760"/>
      <c r="C11381" s="760"/>
      <c r="D11381" s="760"/>
      <c r="E11381" s="760"/>
      <c r="F11381" s="760"/>
      <c r="G11381" s="760"/>
      <c r="H11381" s="760"/>
      <c r="I11381" s="760"/>
      <c r="J11381" s="760"/>
      <c r="K11381" s="760"/>
    </row>
    <row r="11382" spans="1:11">
      <c r="A11382" s="760"/>
      <c r="B11382" s="760"/>
      <c r="C11382" s="760"/>
      <c r="D11382" s="760"/>
      <c r="E11382" s="760"/>
      <c r="F11382" s="760"/>
      <c r="G11382" s="760"/>
      <c r="H11382" s="760"/>
      <c r="I11382" s="760"/>
      <c r="J11382" s="760"/>
      <c r="K11382" s="760"/>
    </row>
    <row r="11383" spans="1:11">
      <c r="A11383" s="760"/>
      <c r="B11383" s="760"/>
      <c r="C11383" s="760"/>
      <c r="D11383" s="760"/>
      <c r="E11383" s="760"/>
      <c r="F11383" s="760"/>
      <c r="G11383" s="760"/>
      <c r="H11383" s="760"/>
      <c r="I11383" s="760"/>
      <c r="J11383" s="760"/>
      <c r="K11383" s="760"/>
    </row>
    <row r="11384" spans="1:11">
      <c r="A11384" s="760"/>
      <c r="B11384" s="760"/>
      <c r="C11384" s="760"/>
      <c r="D11384" s="760"/>
      <c r="E11384" s="760"/>
      <c r="F11384" s="760"/>
      <c r="G11384" s="760"/>
      <c r="H11384" s="760"/>
      <c r="I11384" s="760"/>
      <c r="J11384" s="760"/>
      <c r="K11384" s="760"/>
    </row>
    <row r="11385" spans="1:11">
      <c r="A11385" s="760"/>
      <c r="B11385" s="760"/>
      <c r="C11385" s="760"/>
      <c r="D11385" s="760"/>
      <c r="E11385" s="760"/>
      <c r="F11385" s="760"/>
      <c r="G11385" s="760"/>
      <c r="H11385" s="760"/>
      <c r="I11385" s="760"/>
      <c r="J11385" s="760"/>
      <c r="K11385" s="760"/>
    </row>
    <row r="11386" spans="1:11">
      <c r="A11386" s="760"/>
      <c r="B11386" s="760"/>
      <c r="C11386" s="760"/>
      <c r="D11386" s="760"/>
      <c r="E11386" s="760"/>
      <c r="F11386" s="760"/>
      <c r="G11386" s="760"/>
      <c r="H11386" s="760"/>
      <c r="I11386" s="760"/>
      <c r="J11386" s="760"/>
      <c r="K11386" s="760"/>
    </row>
    <row r="11387" spans="1:11">
      <c r="A11387" s="760"/>
      <c r="B11387" s="760"/>
      <c r="C11387" s="760"/>
      <c r="D11387" s="760"/>
      <c r="E11387" s="760"/>
      <c r="F11387" s="760"/>
      <c r="G11387" s="760"/>
      <c r="H11387" s="760"/>
      <c r="I11387" s="760"/>
      <c r="J11387" s="760"/>
      <c r="K11387" s="760"/>
    </row>
    <row r="11388" spans="1:11">
      <c r="A11388" s="760"/>
      <c r="B11388" s="760"/>
      <c r="C11388" s="760"/>
      <c r="D11388" s="760"/>
      <c r="E11388" s="760"/>
      <c r="F11388" s="760"/>
      <c r="G11388" s="760"/>
      <c r="H11388" s="760"/>
      <c r="I11388" s="760"/>
      <c r="J11388" s="760"/>
      <c r="K11388" s="760"/>
    </row>
    <row r="11389" spans="1:11">
      <c r="A11389" s="760"/>
      <c r="B11389" s="760"/>
      <c r="C11389" s="760"/>
      <c r="D11389" s="760"/>
      <c r="E11389" s="760"/>
      <c r="F11389" s="760"/>
      <c r="G11389" s="760"/>
      <c r="H11389" s="760"/>
      <c r="I11389" s="760"/>
      <c r="J11389" s="760"/>
      <c r="K11389" s="760"/>
    </row>
    <row r="11390" spans="1:11">
      <c r="A11390" s="760"/>
      <c r="B11390" s="760"/>
      <c r="C11390" s="760"/>
      <c r="D11390" s="760"/>
      <c r="E11390" s="760"/>
      <c r="F11390" s="760"/>
      <c r="G11390" s="760"/>
      <c r="H11390" s="760"/>
      <c r="I11390" s="760"/>
      <c r="J11390" s="760"/>
      <c r="K11390" s="760"/>
    </row>
    <row r="11391" spans="1:11">
      <c r="A11391" s="760"/>
      <c r="B11391" s="760"/>
      <c r="C11391" s="760"/>
      <c r="D11391" s="760"/>
      <c r="E11391" s="760"/>
      <c r="F11391" s="760"/>
      <c r="G11391" s="760"/>
      <c r="H11391" s="760"/>
      <c r="I11391" s="760"/>
      <c r="J11391" s="760"/>
      <c r="K11391" s="760"/>
    </row>
    <row r="11392" spans="1:11">
      <c r="A11392" s="760"/>
      <c r="B11392" s="760"/>
      <c r="C11392" s="760"/>
      <c r="D11392" s="760"/>
      <c r="E11392" s="760"/>
      <c r="F11392" s="760"/>
      <c r="G11392" s="760"/>
      <c r="H11392" s="760"/>
      <c r="I11392" s="760"/>
      <c r="J11392" s="760"/>
      <c r="K11392" s="760"/>
    </row>
    <row r="11393" spans="1:11">
      <c r="A11393" s="760"/>
      <c r="B11393" s="760"/>
      <c r="C11393" s="760"/>
      <c r="D11393" s="760"/>
      <c r="E11393" s="760"/>
      <c r="F11393" s="760"/>
      <c r="G11393" s="760"/>
      <c r="H11393" s="760"/>
      <c r="I11393" s="760"/>
      <c r="J11393" s="760"/>
      <c r="K11393" s="760"/>
    </row>
    <row r="11394" spans="1:11">
      <c r="A11394" s="760"/>
      <c r="B11394" s="760"/>
      <c r="C11394" s="760"/>
      <c r="D11394" s="760"/>
      <c r="E11394" s="760"/>
      <c r="F11394" s="760"/>
      <c r="G11394" s="760"/>
      <c r="H11394" s="760"/>
      <c r="I11394" s="760"/>
      <c r="J11394" s="760"/>
      <c r="K11394" s="760"/>
    </row>
    <row r="11395" spans="1:11">
      <c r="A11395" s="760"/>
      <c r="B11395" s="760"/>
      <c r="C11395" s="760"/>
      <c r="D11395" s="760"/>
      <c r="E11395" s="760"/>
      <c r="F11395" s="760"/>
      <c r="G11395" s="760"/>
      <c r="H11395" s="760"/>
      <c r="I11395" s="760"/>
      <c r="J11395" s="760"/>
      <c r="K11395" s="760"/>
    </row>
    <row r="11396" spans="1:11">
      <c r="A11396" s="760"/>
      <c r="B11396" s="760"/>
      <c r="C11396" s="760"/>
      <c r="D11396" s="760"/>
      <c r="E11396" s="760"/>
      <c r="F11396" s="760"/>
      <c r="G11396" s="760"/>
      <c r="H11396" s="760"/>
      <c r="I11396" s="760"/>
      <c r="J11396" s="760"/>
      <c r="K11396" s="760"/>
    </row>
    <row r="11397" spans="1:11">
      <c r="A11397" s="760"/>
      <c r="B11397" s="760"/>
      <c r="C11397" s="760"/>
      <c r="D11397" s="760"/>
      <c r="E11397" s="760"/>
      <c r="F11397" s="760"/>
      <c r="G11397" s="760"/>
      <c r="H11397" s="760"/>
      <c r="I11397" s="760"/>
      <c r="J11397" s="760"/>
      <c r="K11397" s="760"/>
    </row>
    <row r="11398" spans="1:11">
      <c r="A11398" s="760"/>
      <c r="B11398" s="760"/>
      <c r="C11398" s="760"/>
      <c r="D11398" s="760"/>
      <c r="E11398" s="760"/>
      <c r="F11398" s="760"/>
      <c r="G11398" s="760"/>
      <c r="H11398" s="760"/>
      <c r="I11398" s="760"/>
      <c r="J11398" s="760"/>
      <c r="K11398" s="760"/>
    </row>
    <row r="11399" spans="1:11">
      <c r="A11399" s="760"/>
      <c r="B11399" s="760"/>
      <c r="C11399" s="760"/>
      <c r="D11399" s="760"/>
      <c r="E11399" s="760"/>
      <c r="F11399" s="760"/>
      <c r="G11399" s="760"/>
      <c r="H11399" s="760"/>
      <c r="I11399" s="760"/>
      <c r="J11399" s="760"/>
      <c r="K11399" s="760"/>
    </row>
    <row r="11400" spans="1:11">
      <c r="A11400" s="760"/>
      <c r="B11400" s="760"/>
      <c r="C11400" s="760"/>
      <c r="D11400" s="760"/>
      <c r="E11400" s="760"/>
      <c r="F11400" s="760"/>
      <c r="G11400" s="760"/>
      <c r="H11400" s="760"/>
      <c r="I11400" s="760"/>
      <c r="J11400" s="760"/>
      <c r="K11400" s="760"/>
    </row>
    <row r="11401" spans="1:11">
      <c r="A11401" s="760"/>
      <c r="B11401" s="760"/>
      <c r="C11401" s="760"/>
      <c r="D11401" s="760"/>
      <c r="E11401" s="760"/>
      <c r="F11401" s="760"/>
      <c r="G11401" s="760"/>
      <c r="H11401" s="760"/>
      <c r="I11401" s="760"/>
      <c r="J11401" s="760"/>
      <c r="K11401" s="760"/>
    </row>
    <row r="11402" spans="1:11">
      <c r="A11402" s="760"/>
      <c r="B11402" s="760"/>
      <c r="C11402" s="760"/>
      <c r="D11402" s="760"/>
      <c r="E11402" s="760"/>
      <c r="F11402" s="760"/>
      <c r="G11402" s="760"/>
      <c r="H11402" s="760"/>
      <c r="I11402" s="760"/>
      <c r="J11402" s="760"/>
      <c r="K11402" s="760"/>
    </row>
    <row r="11403" spans="1:11">
      <c r="A11403" s="760"/>
      <c r="B11403" s="760"/>
      <c r="C11403" s="760"/>
      <c r="D11403" s="760"/>
      <c r="E11403" s="760"/>
      <c r="F11403" s="760"/>
      <c r="G11403" s="760"/>
      <c r="H11403" s="760"/>
      <c r="I11403" s="760"/>
      <c r="J11403" s="760"/>
      <c r="K11403" s="760"/>
    </row>
    <row r="11404" spans="1:11">
      <c r="A11404" s="760"/>
      <c r="B11404" s="760"/>
      <c r="C11404" s="760"/>
      <c r="D11404" s="760"/>
      <c r="E11404" s="760"/>
      <c r="F11404" s="760"/>
      <c r="G11404" s="760"/>
      <c r="H11404" s="760"/>
      <c r="I11404" s="760"/>
      <c r="J11404" s="760"/>
      <c r="K11404" s="760"/>
    </row>
    <row r="11405" spans="1:11">
      <c r="A11405" s="760"/>
      <c r="B11405" s="760"/>
      <c r="C11405" s="760"/>
      <c r="D11405" s="760"/>
      <c r="E11405" s="760"/>
      <c r="F11405" s="760"/>
      <c r="G11405" s="760"/>
      <c r="H11405" s="760"/>
      <c r="I11405" s="760"/>
      <c r="J11405" s="760"/>
      <c r="K11405" s="760"/>
    </row>
    <row r="11406" spans="1:11">
      <c r="A11406" s="760"/>
      <c r="B11406" s="760"/>
      <c r="C11406" s="760"/>
      <c r="D11406" s="760"/>
      <c r="E11406" s="760"/>
      <c r="F11406" s="760"/>
      <c r="G11406" s="760"/>
      <c r="H11406" s="760"/>
      <c r="I11406" s="760"/>
      <c r="J11406" s="760"/>
      <c r="K11406" s="760"/>
    </row>
    <row r="11407" spans="1:11">
      <c r="A11407" s="760"/>
      <c r="B11407" s="760"/>
      <c r="C11407" s="760"/>
      <c r="D11407" s="760"/>
      <c r="E11407" s="760"/>
      <c r="F11407" s="760"/>
      <c r="G11407" s="760"/>
      <c r="H11407" s="760"/>
      <c r="I11407" s="760"/>
      <c r="J11407" s="760"/>
      <c r="K11407" s="760"/>
    </row>
    <row r="11408" spans="1:11">
      <c r="A11408" s="760"/>
      <c r="B11408" s="760"/>
      <c r="C11408" s="760"/>
      <c r="D11408" s="760"/>
      <c r="E11408" s="760"/>
      <c r="F11408" s="760"/>
      <c r="G11408" s="760"/>
      <c r="H11408" s="760"/>
      <c r="I11408" s="760"/>
      <c r="J11408" s="760"/>
      <c r="K11408" s="760"/>
    </row>
    <row r="11409" spans="1:11">
      <c r="A11409" s="760"/>
      <c r="B11409" s="760"/>
      <c r="C11409" s="760"/>
      <c r="D11409" s="760"/>
      <c r="E11409" s="760"/>
      <c r="F11409" s="760"/>
      <c r="G11409" s="760"/>
      <c r="H11409" s="760"/>
      <c r="I11409" s="760"/>
      <c r="J11409" s="760"/>
      <c r="K11409" s="760"/>
    </row>
    <row r="11410" spans="1:11">
      <c r="A11410" s="760"/>
      <c r="B11410" s="760"/>
      <c r="C11410" s="760"/>
      <c r="D11410" s="760"/>
      <c r="E11410" s="760"/>
      <c r="F11410" s="760"/>
      <c r="G11410" s="760"/>
      <c r="H11410" s="760"/>
      <c r="I11410" s="760"/>
      <c r="J11410" s="760"/>
      <c r="K11410" s="760"/>
    </row>
    <row r="11411" spans="1:11">
      <c r="A11411" s="760"/>
      <c r="B11411" s="760"/>
      <c r="C11411" s="760"/>
      <c r="D11411" s="760"/>
      <c r="E11411" s="760"/>
      <c r="F11411" s="760"/>
      <c r="G11411" s="760"/>
      <c r="H11411" s="760"/>
      <c r="I11411" s="760"/>
      <c r="J11411" s="760"/>
      <c r="K11411" s="760"/>
    </row>
    <row r="11412" spans="1:11">
      <c r="A11412" s="760"/>
      <c r="B11412" s="760"/>
      <c r="C11412" s="760"/>
      <c r="D11412" s="760"/>
      <c r="E11412" s="760"/>
      <c r="F11412" s="760"/>
      <c r="G11412" s="760"/>
      <c r="H11412" s="760"/>
      <c r="I11412" s="760"/>
      <c r="J11412" s="760"/>
      <c r="K11412" s="760"/>
    </row>
    <row r="11413" spans="1:11">
      <c r="A11413" s="760"/>
      <c r="B11413" s="760"/>
      <c r="C11413" s="760"/>
      <c r="D11413" s="760"/>
      <c r="E11413" s="760"/>
      <c r="F11413" s="760"/>
      <c r="G11413" s="760"/>
      <c r="H11413" s="760"/>
      <c r="I11413" s="760"/>
      <c r="J11413" s="760"/>
      <c r="K11413" s="760"/>
    </row>
    <row r="11414" spans="1:11">
      <c r="A11414" s="760"/>
      <c r="B11414" s="760"/>
      <c r="C11414" s="760"/>
      <c r="D11414" s="760"/>
      <c r="E11414" s="760"/>
      <c r="F11414" s="760"/>
      <c r="G11414" s="760"/>
      <c r="H11414" s="760"/>
      <c r="I11414" s="760"/>
      <c r="J11414" s="760"/>
      <c r="K11414" s="760"/>
    </row>
    <row r="11415" spans="1:11">
      <c r="A11415" s="760"/>
      <c r="B11415" s="760"/>
      <c r="C11415" s="760"/>
      <c r="D11415" s="760"/>
      <c r="E11415" s="760"/>
      <c r="F11415" s="760"/>
      <c r="G11415" s="760"/>
      <c r="H11415" s="760"/>
      <c r="I11415" s="760"/>
      <c r="J11415" s="760"/>
      <c r="K11415" s="760"/>
    </row>
    <row r="11416" spans="1:11">
      <c r="A11416" s="760"/>
      <c r="B11416" s="760"/>
      <c r="C11416" s="760"/>
      <c r="D11416" s="760"/>
      <c r="E11416" s="760"/>
      <c r="F11416" s="760"/>
      <c r="G11416" s="760"/>
      <c r="H11416" s="760"/>
      <c r="I11416" s="760"/>
      <c r="J11416" s="760"/>
      <c r="K11416" s="760"/>
    </row>
    <row r="11417" spans="1:11">
      <c r="A11417" s="760"/>
      <c r="B11417" s="760"/>
      <c r="C11417" s="760"/>
      <c r="D11417" s="760"/>
      <c r="E11417" s="760"/>
      <c r="F11417" s="760"/>
      <c r="G11417" s="760"/>
      <c r="H11417" s="760"/>
      <c r="I11417" s="760"/>
      <c r="J11417" s="760"/>
      <c r="K11417" s="760"/>
    </row>
    <row r="11418" spans="1:11">
      <c r="A11418" s="760"/>
      <c r="B11418" s="760"/>
      <c r="C11418" s="760"/>
      <c r="D11418" s="760"/>
      <c r="E11418" s="760"/>
      <c r="F11418" s="760"/>
      <c r="G11418" s="760"/>
      <c r="H11418" s="760"/>
      <c r="I11418" s="760"/>
      <c r="J11418" s="760"/>
      <c r="K11418" s="760"/>
    </row>
    <row r="11419" spans="1:11">
      <c r="A11419" s="760"/>
      <c r="B11419" s="760"/>
      <c r="C11419" s="760"/>
      <c r="D11419" s="760"/>
      <c r="E11419" s="760"/>
      <c r="F11419" s="760"/>
      <c r="G11419" s="760"/>
      <c r="H11419" s="760"/>
      <c r="I11419" s="760"/>
      <c r="J11419" s="760"/>
      <c r="K11419" s="760"/>
    </row>
    <row r="11420" spans="1:11">
      <c r="A11420" s="760"/>
      <c r="B11420" s="760"/>
      <c r="C11420" s="760"/>
      <c r="D11420" s="760"/>
      <c r="E11420" s="760"/>
      <c r="F11420" s="760"/>
      <c r="G11420" s="760"/>
      <c r="H11420" s="760"/>
      <c r="I11420" s="760"/>
      <c r="J11420" s="760"/>
      <c r="K11420" s="760"/>
    </row>
    <row r="11421" spans="1:11">
      <c r="A11421" s="760"/>
      <c r="B11421" s="760"/>
      <c r="C11421" s="760"/>
      <c r="D11421" s="760"/>
      <c r="E11421" s="760"/>
      <c r="F11421" s="760"/>
      <c r="G11421" s="760"/>
      <c r="H11421" s="760"/>
      <c r="I11421" s="760"/>
      <c r="J11421" s="760"/>
      <c r="K11421" s="760"/>
    </row>
    <row r="11422" spans="1:11">
      <c r="A11422" s="760"/>
      <c r="B11422" s="760"/>
      <c r="C11422" s="760"/>
      <c r="D11422" s="760"/>
      <c r="E11422" s="760"/>
      <c r="F11422" s="760"/>
      <c r="G11422" s="760"/>
      <c r="H11422" s="760"/>
      <c r="I11422" s="760"/>
      <c r="J11422" s="760"/>
      <c r="K11422" s="760"/>
    </row>
    <row r="11423" spans="1:11">
      <c r="A11423" s="760"/>
      <c r="B11423" s="760"/>
      <c r="C11423" s="760"/>
      <c r="D11423" s="760"/>
      <c r="E11423" s="760"/>
      <c r="F11423" s="760"/>
      <c r="G11423" s="760"/>
      <c r="H11423" s="760"/>
      <c r="I11423" s="760"/>
      <c r="J11423" s="760"/>
      <c r="K11423" s="760"/>
    </row>
    <row r="11424" spans="1:11">
      <c r="A11424" s="760"/>
      <c r="B11424" s="760"/>
      <c r="C11424" s="760"/>
      <c r="D11424" s="760"/>
      <c r="E11424" s="760"/>
      <c r="F11424" s="760"/>
      <c r="G11424" s="760"/>
      <c r="H11424" s="760"/>
      <c r="I11424" s="760"/>
      <c r="J11424" s="760"/>
      <c r="K11424" s="760"/>
    </row>
    <row r="11425" spans="1:11">
      <c r="A11425" s="760"/>
      <c r="B11425" s="760"/>
      <c r="C11425" s="760"/>
      <c r="D11425" s="760"/>
      <c r="E11425" s="760"/>
      <c r="F11425" s="760"/>
      <c r="G11425" s="760"/>
      <c r="H11425" s="760"/>
      <c r="I11425" s="760"/>
      <c r="J11425" s="760"/>
      <c r="K11425" s="760"/>
    </row>
    <row r="11426" spans="1:11">
      <c r="A11426" s="760"/>
      <c r="B11426" s="760"/>
      <c r="C11426" s="760"/>
      <c r="D11426" s="760"/>
      <c r="E11426" s="760"/>
      <c r="F11426" s="760"/>
      <c r="G11426" s="760"/>
      <c r="H11426" s="760"/>
      <c r="I11426" s="760"/>
      <c r="J11426" s="760"/>
      <c r="K11426" s="760"/>
    </row>
    <row r="11427" spans="1:11">
      <c r="A11427" s="760"/>
      <c r="B11427" s="760"/>
      <c r="C11427" s="760"/>
      <c r="D11427" s="760"/>
      <c r="E11427" s="760"/>
      <c r="F11427" s="760"/>
      <c r="G11427" s="760"/>
      <c r="H11427" s="760"/>
      <c r="I11427" s="760"/>
      <c r="J11427" s="760"/>
      <c r="K11427" s="760"/>
    </row>
    <row r="11428" spans="1:11">
      <c r="A11428" s="760"/>
      <c r="B11428" s="760"/>
      <c r="C11428" s="760"/>
      <c r="D11428" s="760"/>
      <c r="E11428" s="760"/>
      <c r="F11428" s="760"/>
      <c r="G11428" s="760"/>
      <c r="H11428" s="760"/>
      <c r="I11428" s="760"/>
      <c r="J11428" s="760"/>
      <c r="K11428" s="760"/>
    </row>
    <row r="11429" spans="1:11">
      <c r="A11429" s="760"/>
      <c r="B11429" s="760"/>
      <c r="C11429" s="760"/>
      <c r="D11429" s="760"/>
      <c r="E11429" s="760"/>
      <c r="F11429" s="760"/>
      <c r="G11429" s="760"/>
      <c r="H11429" s="760"/>
      <c r="I11429" s="760"/>
      <c r="J11429" s="760"/>
      <c r="K11429" s="760"/>
    </row>
    <row r="11430" spans="1:11">
      <c r="A11430" s="760"/>
      <c r="B11430" s="760"/>
      <c r="C11430" s="760"/>
      <c r="D11430" s="760"/>
      <c r="E11430" s="760"/>
      <c r="F11430" s="760"/>
      <c r="G11430" s="760"/>
      <c r="H11430" s="760"/>
      <c r="I11430" s="760"/>
      <c r="J11430" s="760"/>
      <c r="K11430" s="760"/>
    </row>
    <row r="11431" spans="1:11">
      <c r="A11431" s="760"/>
      <c r="B11431" s="760"/>
      <c r="C11431" s="760"/>
      <c r="D11431" s="760"/>
      <c r="E11431" s="760"/>
      <c r="F11431" s="760"/>
      <c r="G11431" s="760"/>
      <c r="H11431" s="760"/>
      <c r="I11431" s="760"/>
      <c r="J11431" s="760"/>
      <c r="K11431" s="760"/>
    </row>
    <row r="11432" spans="1:11">
      <c r="A11432" s="760"/>
      <c r="B11432" s="760"/>
      <c r="C11432" s="760"/>
      <c r="D11432" s="760"/>
      <c r="E11432" s="760"/>
      <c r="F11432" s="760"/>
      <c r="G11432" s="760"/>
      <c r="H11432" s="760"/>
      <c r="I11432" s="760"/>
      <c r="J11432" s="760"/>
      <c r="K11432" s="760"/>
    </row>
    <row r="11433" spans="1:11">
      <c r="A11433" s="760"/>
      <c r="B11433" s="760"/>
      <c r="C11433" s="760"/>
      <c r="D11433" s="760"/>
      <c r="E11433" s="760"/>
      <c r="F11433" s="760"/>
      <c r="G11433" s="760"/>
      <c r="H11433" s="760"/>
      <c r="I11433" s="760"/>
      <c r="J11433" s="760"/>
      <c r="K11433" s="760"/>
    </row>
    <row r="11434" spans="1:11">
      <c r="A11434" s="760"/>
      <c r="B11434" s="760"/>
      <c r="C11434" s="760"/>
      <c r="D11434" s="760"/>
      <c r="E11434" s="760"/>
      <c r="F11434" s="760"/>
      <c r="G11434" s="760"/>
      <c r="H11434" s="760"/>
      <c r="I11434" s="760"/>
      <c r="J11434" s="760"/>
      <c r="K11434" s="760"/>
    </row>
    <row r="11435" spans="1:11">
      <c r="A11435" s="760"/>
      <c r="B11435" s="760"/>
      <c r="C11435" s="760"/>
      <c r="D11435" s="760"/>
      <c r="E11435" s="760"/>
      <c r="F11435" s="760"/>
      <c r="G11435" s="760"/>
      <c r="H11435" s="760"/>
      <c r="I11435" s="760"/>
      <c r="J11435" s="760"/>
      <c r="K11435" s="760"/>
    </row>
    <row r="11436" spans="1:11">
      <c r="A11436" s="760"/>
      <c r="B11436" s="760"/>
      <c r="C11436" s="760"/>
      <c r="D11436" s="760"/>
      <c r="E11436" s="760"/>
      <c r="F11436" s="760"/>
      <c r="G11436" s="760"/>
      <c r="H11436" s="760"/>
      <c r="I11436" s="760"/>
      <c r="J11436" s="760"/>
      <c r="K11436" s="760"/>
    </row>
    <row r="11437" spans="1:11">
      <c r="A11437" s="760"/>
      <c r="B11437" s="760"/>
      <c r="C11437" s="760"/>
      <c r="D11437" s="760"/>
      <c r="E11437" s="760"/>
      <c r="F11437" s="760"/>
      <c r="G11437" s="760"/>
      <c r="H11437" s="760"/>
      <c r="I11437" s="760"/>
      <c r="J11437" s="760"/>
      <c r="K11437" s="760"/>
    </row>
    <row r="11438" spans="1:11">
      <c r="A11438" s="760"/>
      <c r="B11438" s="760"/>
      <c r="C11438" s="760"/>
      <c r="D11438" s="760"/>
      <c r="E11438" s="760"/>
      <c r="F11438" s="760"/>
      <c r="G11438" s="760"/>
      <c r="H11438" s="760"/>
      <c r="I11438" s="760"/>
      <c r="J11438" s="760"/>
      <c r="K11438" s="760"/>
    </row>
    <row r="11439" spans="1:11">
      <c r="A11439" s="760"/>
      <c r="B11439" s="760"/>
      <c r="C11439" s="760"/>
      <c r="D11439" s="760"/>
      <c r="E11439" s="760"/>
      <c r="F11439" s="760"/>
      <c r="G11439" s="760"/>
      <c r="H11439" s="760"/>
      <c r="I11439" s="760"/>
      <c r="J11439" s="760"/>
      <c r="K11439" s="760"/>
    </row>
    <row r="11440" spans="1:11">
      <c r="A11440" s="760"/>
      <c r="B11440" s="760"/>
      <c r="C11440" s="760"/>
      <c r="D11440" s="760"/>
      <c r="E11440" s="760"/>
      <c r="F11440" s="760"/>
      <c r="G11440" s="760"/>
      <c r="H11440" s="760"/>
      <c r="I11440" s="760"/>
      <c r="J11440" s="760"/>
      <c r="K11440" s="760"/>
    </row>
    <row r="11441" spans="1:11">
      <c r="A11441" s="760"/>
      <c r="B11441" s="760"/>
      <c r="C11441" s="760"/>
      <c r="D11441" s="760"/>
      <c r="E11441" s="760"/>
      <c r="F11441" s="760"/>
      <c r="G11441" s="760"/>
      <c r="H11441" s="760"/>
      <c r="I11441" s="760"/>
      <c r="J11441" s="760"/>
      <c r="K11441" s="760"/>
    </row>
    <row r="11442" spans="1:11">
      <c r="A11442" s="760"/>
      <c r="B11442" s="760"/>
      <c r="C11442" s="760"/>
      <c r="D11442" s="760"/>
      <c r="E11442" s="760"/>
      <c r="F11442" s="760"/>
      <c r="G11442" s="760"/>
      <c r="H11442" s="760"/>
      <c r="I11442" s="760"/>
      <c r="J11442" s="760"/>
      <c r="K11442" s="760"/>
    </row>
    <row r="11443" spans="1:11">
      <c r="A11443" s="760"/>
      <c r="B11443" s="760"/>
      <c r="C11443" s="760"/>
      <c r="D11443" s="760"/>
      <c r="E11443" s="760"/>
      <c r="F11443" s="760"/>
      <c r="G11443" s="760"/>
      <c r="H11443" s="760"/>
      <c r="I11443" s="760"/>
      <c r="J11443" s="760"/>
      <c r="K11443" s="760"/>
    </row>
    <row r="11444" spans="1:11">
      <c r="A11444" s="760"/>
      <c r="B11444" s="760"/>
      <c r="C11444" s="760"/>
      <c r="D11444" s="760"/>
      <c r="E11444" s="760"/>
      <c r="F11444" s="760"/>
      <c r="G11444" s="760"/>
      <c r="H11444" s="760"/>
      <c r="I11444" s="760"/>
      <c r="J11444" s="760"/>
      <c r="K11444" s="760"/>
    </row>
    <row r="11445" spans="1:11">
      <c r="A11445" s="760"/>
      <c r="B11445" s="760"/>
      <c r="C11445" s="760"/>
      <c r="D11445" s="760"/>
      <c r="E11445" s="760"/>
      <c r="F11445" s="760"/>
      <c r="G11445" s="760"/>
      <c r="H11445" s="760"/>
      <c r="I11445" s="760"/>
      <c r="J11445" s="760"/>
      <c r="K11445" s="760"/>
    </row>
    <row r="11446" spans="1:11">
      <c r="A11446" s="760"/>
      <c r="B11446" s="760"/>
      <c r="C11446" s="760"/>
      <c r="D11446" s="760"/>
      <c r="E11446" s="760"/>
      <c r="F11446" s="760"/>
      <c r="G11446" s="760"/>
      <c r="H11446" s="760"/>
      <c r="I11446" s="760"/>
      <c r="J11446" s="760"/>
      <c r="K11446" s="760"/>
    </row>
    <row r="11447" spans="1:11">
      <c r="A11447" s="760"/>
      <c r="B11447" s="760"/>
      <c r="C11447" s="760"/>
      <c r="D11447" s="760"/>
      <c r="E11447" s="760"/>
      <c r="F11447" s="760"/>
      <c r="G11447" s="760"/>
      <c r="H11447" s="760"/>
      <c r="I11447" s="760"/>
      <c r="J11447" s="760"/>
      <c r="K11447" s="760"/>
    </row>
    <row r="11448" spans="1:11">
      <c r="A11448" s="760"/>
      <c r="B11448" s="760"/>
      <c r="C11448" s="760"/>
      <c r="D11448" s="760"/>
      <c r="E11448" s="760"/>
      <c r="F11448" s="760"/>
      <c r="G11448" s="760"/>
      <c r="H11448" s="760"/>
      <c r="I11448" s="760"/>
      <c r="J11448" s="760"/>
      <c r="K11448" s="760"/>
    </row>
    <row r="11449" spans="1:11">
      <c r="A11449" s="760"/>
      <c r="B11449" s="760"/>
      <c r="C11449" s="760"/>
      <c r="D11449" s="760"/>
      <c r="E11449" s="760"/>
      <c r="F11449" s="760"/>
      <c r="G11449" s="760"/>
      <c r="H11449" s="760"/>
      <c r="I11449" s="760"/>
      <c r="J11449" s="760"/>
      <c r="K11449" s="760"/>
    </row>
    <row r="11450" spans="1:11">
      <c r="A11450" s="760"/>
      <c r="B11450" s="760"/>
      <c r="C11450" s="760"/>
      <c r="D11450" s="760"/>
      <c r="E11450" s="760"/>
      <c r="F11450" s="760"/>
      <c r="G11450" s="760"/>
      <c r="H11450" s="760"/>
      <c r="I11450" s="760"/>
      <c r="J11450" s="760"/>
      <c r="K11450" s="760"/>
    </row>
    <row r="11451" spans="1:11">
      <c r="A11451" s="760"/>
      <c r="B11451" s="760"/>
      <c r="C11451" s="760"/>
      <c r="D11451" s="760"/>
      <c r="E11451" s="760"/>
      <c r="F11451" s="760"/>
      <c r="G11451" s="760"/>
      <c r="H11451" s="760"/>
      <c r="I11451" s="760"/>
      <c r="J11451" s="760"/>
      <c r="K11451" s="760"/>
    </row>
    <row r="11452" spans="1:11">
      <c r="A11452" s="760"/>
      <c r="B11452" s="760"/>
      <c r="C11452" s="760"/>
      <c r="D11452" s="760"/>
      <c r="E11452" s="760"/>
      <c r="F11452" s="760"/>
      <c r="G11452" s="760"/>
      <c r="H11452" s="760"/>
      <c r="I11452" s="760"/>
      <c r="J11452" s="760"/>
      <c r="K11452" s="760"/>
    </row>
    <row r="11453" spans="1:11">
      <c r="A11453" s="760"/>
      <c r="B11453" s="760"/>
      <c r="C11453" s="760"/>
      <c r="D11453" s="760"/>
      <c r="E11453" s="760"/>
      <c r="F11453" s="760"/>
      <c r="G11453" s="760"/>
      <c r="H11453" s="760"/>
      <c r="I11453" s="760"/>
      <c r="J11453" s="760"/>
      <c r="K11453" s="760"/>
    </row>
    <row r="11454" spans="1:11">
      <c r="A11454" s="760"/>
      <c r="B11454" s="760"/>
      <c r="C11454" s="760"/>
      <c r="D11454" s="760"/>
      <c r="E11454" s="760"/>
      <c r="F11454" s="760"/>
      <c r="G11454" s="760"/>
      <c r="H11454" s="760"/>
      <c r="I11454" s="760"/>
      <c r="J11454" s="760"/>
      <c r="K11454" s="760"/>
    </row>
    <row r="11455" spans="1:11">
      <c r="A11455" s="760"/>
      <c r="B11455" s="760"/>
      <c r="C11455" s="760"/>
      <c r="D11455" s="760"/>
      <c r="E11455" s="760"/>
      <c r="F11455" s="760"/>
      <c r="G11455" s="760"/>
      <c r="H11455" s="760"/>
      <c r="I11455" s="760"/>
      <c r="J11455" s="760"/>
      <c r="K11455" s="760"/>
    </row>
    <row r="11456" spans="1:11">
      <c r="A11456" s="760"/>
      <c r="B11456" s="760"/>
      <c r="C11456" s="760"/>
      <c r="D11456" s="760"/>
      <c r="E11456" s="760"/>
      <c r="F11456" s="760"/>
      <c r="G11456" s="760"/>
      <c r="H11456" s="760"/>
      <c r="I11456" s="760"/>
      <c r="J11456" s="760"/>
      <c r="K11456" s="760"/>
    </row>
    <row r="11457" spans="1:11">
      <c r="A11457" s="760"/>
      <c r="B11457" s="760"/>
      <c r="C11457" s="760"/>
      <c r="D11457" s="760"/>
      <c r="E11457" s="760"/>
      <c r="F11457" s="760"/>
      <c r="G11457" s="760"/>
      <c r="H11457" s="760"/>
      <c r="I11457" s="760"/>
      <c r="J11457" s="760"/>
      <c r="K11457" s="760"/>
    </row>
    <row r="11458" spans="1:11">
      <c r="A11458" s="760"/>
      <c r="B11458" s="760"/>
      <c r="C11458" s="760"/>
      <c r="D11458" s="760"/>
      <c r="E11458" s="760"/>
      <c r="F11458" s="760"/>
      <c r="G11458" s="760"/>
      <c r="H11458" s="760"/>
      <c r="I11458" s="760"/>
      <c r="J11458" s="760"/>
      <c r="K11458" s="760"/>
    </row>
    <row r="11459" spans="1:11">
      <c r="A11459" s="760"/>
      <c r="B11459" s="760"/>
      <c r="C11459" s="760"/>
      <c r="D11459" s="760"/>
      <c r="E11459" s="760"/>
      <c r="F11459" s="760"/>
      <c r="G11459" s="760"/>
      <c r="H11459" s="760"/>
      <c r="I11459" s="760"/>
      <c r="J11459" s="760"/>
      <c r="K11459" s="760"/>
    </row>
    <row r="11460" spans="1:11">
      <c r="A11460" s="760"/>
      <c r="B11460" s="760"/>
      <c r="C11460" s="760"/>
      <c r="D11460" s="760"/>
      <c r="E11460" s="760"/>
      <c r="F11460" s="760"/>
      <c r="G11460" s="760"/>
      <c r="H11460" s="760"/>
      <c r="I11460" s="760"/>
      <c r="J11460" s="760"/>
      <c r="K11460" s="760"/>
    </row>
    <row r="11461" spans="1:11">
      <c r="A11461" s="760"/>
      <c r="B11461" s="760"/>
      <c r="C11461" s="760"/>
      <c r="D11461" s="760"/>
      <c r="E11461" s="760"/>
      <c r="F11461" s="760"/>
      <c r="G11461" s="760"/>
      <c r="H11461" s="760"/>
      <c r="I11461" s="760"/>
      <c r="J11461" s="760"/>
      <c r="K11461" s="760"/>
    </row>
    <row r="11462" spans="1:11">
      <c r="A11462" s="760"/>
      <c r="B11462" s="760"/>
      <c r="C11462" s="760"/>
      <c r="D11462" s="760"/>
      <c r="E11462" s="760"/>
      <c r="F11462" s="760"/>
      <c r="G11462" s="760"/>
      <c r="H11462" s="760"/>
      <c r="I11462" s="760"/>
      <c r="J11462" s="760"/>
      <c r="K11462" s="760"/>
    </row>
    <row r="11463" spans="1:11">
      <c r="A11463" s="760"/>
      <c r="B11463" s="760"/>
      <c r="C11463" s="760"/>
      <c r="D11463" s="760"/>
      <c r="E11463" s="760"/>
      <c r="F11463" s="760"/>
      <c r="G11463" s="760"/>
      <c r="H11463" s="760"/>
      <c r="I11463" s="760"/>
      <c r="J11463" s="760"/>
      <c r="K11463" s="760"/>
    </row>
    <row r="11464" spans="1:11">
      <c r="A11464" s="760"/>
      <c r="B11464" s="760"/>
      <c r="C11464" s="760"/>
      <c r="D11464" s="760"/>
      <c r="E11464" s="760"/>
      <c r="F11464" s="760"/>
      <c r="G11464" s="760"/>
      <c r="H11464" s="760"/>
      <c r="I11464" s="760"/>
      <c r="J11464" s="760"/>
      <c r="K11464" s="760"/>
    </row>
    <row r="11465" spans="1:11">
      <c r="A11465" s="760"/>
      <c r="B11465" s="760"/>
      <c r="C11465" s="760"/>
      <c r="D11465" s="760"/>
      <c r="E11465" s="760"/>
      <c r="F11465" s="760"/>
      <c r="G11465" s="760"/>
      <c r="H11465" s="760"/>
      <c r="I11465" s="760"/>
      <c r="J11465" s="760"/>
      <c r="K11465" s="760"/>
    </row>
    <row r="11466" spans="1:11">
      <c r="A11466" s="760"/>
      <c r="B11466" s="760"/>
      <c r="C11466" s="760"/>
      <c r="D11466" s="760"/>
      <c r="E11466" s="760"/>
      <c r="F11466" s="760"/>
      <c r="G11466" s="760"/>
      <c r="H11466" s="760"/>
      <c r="I11466" s="760"/>
      <c r="J11466" s="760"/>
      <c r="K11466" s="760"/>
    </row>
    <row r="11467" spans="1:11">
      <c r="A11467" s="760"/>
      <c r="B11467" s="760"/>
      <c r="C11467" s="760"/>
      <c r="D11467" s="760"/>
      <c r="E11467" s="760"/>
      <c r="F11467" s="760"/>
      <c r="G11467" s="760"/>
      <c r="H11467" s="760"/>
      <c r="I11467" s="760"/>
      <c r="J11467" s="760"/>
      <c r="K11467" s="760"/>
    </row>
    <row r="11468" spans="1:11">
      <c r="A11468" s="760"/>
      <c r="B11468" s="760"/>
      <c r="C11468" s="760"/>
      <c r="D11468" s="760"/>
      <c r="E11468" s="760"/>
      <c r="F11468" s="760"/>
      <c r="G11468" s="760"/>
      <c r="H11468" s="760"/>
      <c r="I11468" s="760"/>
      <c r="J11468" s="760"/>
      <c r="K11468" s="760"/>
    </row>
    <row r="11469" spans="1:11">
      <c r="A11469" s="760"/>
      <c r="B11469" s="760"/>
      <c r="C11469" s="760"/>
      <c r="D11469" s="760"/>
      <c r="E11469" s="760"/>
      <c r="F11469" s="760"/>
      <c r="G11469" s="760"/>
      <c r="H11469" s="760"/>
      <c r="I11469" s="760"/>
      <c r="J11469" s="760"/>
      <c r="K11469" s="760"/>
    </row>
    <row r="11470" spans="1:11">
      <c r="A11470" s="760"/>
      <c r="B11470" s="760"/>
      <c r="C11470" s="760"/>
      <c r="D11470" s="760"/>
      <c r="E11470" s="760"/>
      <c r="F11470" s="760"/>
      <c r="G11470" s="760"/>
      <c r="H11470" s="760"/>
      <c r="I11470" s="760"/>
      <c r="J11470" s="760"/>
      <c r="K11470" s="760"/>
    </row>
    <row r="11471" spans="1:11">
      <c r="A11471" s="760"/>
      <c r="B11471" s="760"/>
      <c r="C11471" s="760"/>
      <c r="D11471" s="760"/>
      <c r="E11471" s="760"/>
      <c r="F11471" s="760"/>
      <c r="G11471" s="760"/>
      <c r="H11471" s="760"/>
      <c r="I11471" s="760"/>
      <c r="J11471" s="760"/>
      <c r="K11471" s="760"/>
    </row>
    <row r="11472" spans="1:11">
      <c r="A11472" s="760"/>
      <c r="B11472" s="760"/>
      <c r="C11472" s="760"/>
      <c r="D11472" s="760"/>
      <c r="E11472" s="760"/>
      <c r="F11472" s="760"/>
      <c r="G11472" s="760"/>
      <c r="H11472" s="760"/>
      <c r="I11472" s="760"/>
      <c r="J11472" s="760"/>
      <c r="K11472" s="760"/>
    </row>
    <row r="11473" spans="1:11">
      <c r="A11473" s="760"/>
      <c r="B11473" s="760"/>
      <c r="C11473" s="760"/>
      <c r="D11473" s="760"/>
      <c r="E11473" s="760"/>
      <c r="F11473" s="760"/>
      <c r="G11473" s="760"/>
      <c r="H11473" s="760"/>
      <c r="I11473" s="760"/>
      <c r="J11473" s="760"/>
      <c r="K11473" s="760"/>
    </row>
    <row r="11474" spans="1:11">
      <c r="A11474" s="760"/>
      <c r="B11474" s="760"/>
      <c r="C11474" s="760"/>
      <c r="D11474" s="760"/>
      <c r="E11474" s="760"/>
      <c r="F11474" s="760"/>
      <c r="G11474" s="760"/>
      <c r="H11474" s="760"/>
      <c r="I11474" s="760"/>
      <c r="J11474" s="760"/>
      <c r="K11474" s="760"/>
    </row>
    <row r="11475" spans="1:11">
      <c r="A11475" s="760"/>
      <c r="B11475" s="760"/>
      <c r="C11475" s="760"/>
      <c r="D11475" s="760"/>
      <c r="E11475" s="760"/>
      <c r="F11475" s="760"/>
      <c r="G11475" s="760"/>
      <c r="H11475" s="760"/>
      <c r="I11475" s="760"/>
      <c r="J11475" s="760"/>
      <c r="K11475" s="760"/>
    </row>
    <row r="11476" spans="1:11">
      <c r="A11476" s="760"/>
      <c r="B11476" s="760"/>
      <c r="C11476" s="760"/>
      <c r="D11476" s="760"/>
      <c r="E11476" s="760"/>
      <c r="F11476" s="760"/>
      <c r="G11476" s="760"/>
      <c r="H11476" s="760"/>
      <c r="I11476" s="760"/>
      <c r="J11476" s="760"/>
      <c r="K11476" s="760"/>
    </row>
    <row r="11477" spans="1:11">
      <c r="A11477" s="760"/>
      <c r="B11477" s="760"/>
      <c r="C11477" s="760"/>
      <c r="D11477" s="760"/>
      <c r="E11477" s="760"/>
      <c r="F11477" s="760"/>
      <c r="G11477" s="760"/>
      <c r="H11477" s="760"/>
      <c r="I11477" s="760"/>
      <c r="J11477" s="760"/>
      <c r="K11477" s="760"/>
    </row>
    <row r="11478" spans="1:11">
      <c r="A11478" s="760"/>
      <c r="B11478" s="760"/>
      <c r="C11478" s="760"/>
      <c r="D11478" s="760"/>
      <c r="E11478" s="760"/>
      <c r="F11478" s="760"/>
      <c r="G11478" s="760"/>
      <c r="H11478" s="760"/>
      <c r="I11478" s="760"/>
      <c r="J11478" s="760"/>
      <c r="K11478" s="760"/>
    </row>
    <row r="11479" spans="1:11">
      <c r="A11479" s="760"/>
      <c r="B11479" s="760"/>
      <c r="C11479" s="760"/>
      <c r="D11479" s="760"/>
      <c r="E11479" s="760"/>
      <c r="F11479" s="760"/>
      <c r="G11479" s="760"/>
      <c r="H11479" s="760"/>
      <c r="I11479" s="760"/>
      <c r="J11479" s="760"/>
      <c r="K11479" s="760"/>
    </row>
    <row r="11480" spans="1:11">
      <c r="A11480" s="760"/>
      <c r="B11480" s="760"/>
      <c r="C11480" s="760"/>
      <c r="D11480" s="760"/>
      <c r="E11480" s="760"/>
      <c r="F11480" s="760"/>
      <c r="G11480" s="760"/>
      <c r="H11480" s="760"/>
      <c r="I11480" s="760"/>
      <c r="J11480" s="760"/>
      <c r="K11480" s="760"/>
    </row>
    <row r="11481" spans="1:11">
      <c r="A11481" s="760"/>
      <c r="B11481" s="760"/>
      <c r="C11481" s="760"/>
      <c r="D11481" s="760"/>
      <c r="E11481" s="760"/>
      <c r="F11481" s="760"/>
      <c r="G11481" s="760"/>
      <c r="H11481" s="760"/>
      <c r="I11481" s="760"/>
      <c r="J11481" s="760"/>
      <c r="K11481" s="760"/>
    </row>
    <row r="11482" spans="1:11">
      <c r="A11482" s="760"/>
      <c r="B11482" s="760"/>
      <c r="C11482" s="760"/>
      <c r="D11482" s="760"/>
      <c r="E11482" s="760"/>
      <c r="F11482" s="760"/>
      <c r="G11482" s="760"/>
      <c r="H11482" s="760"/>
      <c r="I11482" s="760"/>
      <c r="J11482" s="760"/>
      <c r="K11482" s="760"/>
    </row>
    <row r="11483" spans="1:11">
      <c r="A11483" s="760"/>
      <c r="B11483" s="760"/>
      <c r="C11483" s="760"/>
      <c r="D11483" s="760"/>
      <c r="E11483" s="760"/>
      <c r="F11483" s="760"/>
      <c r="G11483" s="760"/>
      <c r="H11483" s="760"/>
      <c r="I11483" s="760"/>
      <c r="J11483" s="760"/>
      <c r="K11483" s="760"/>
    </row>
    <row r="11484" spans="1:11">
      <c r="A11484" s="760"/>
      <c r="B11484" s="760"/>
      <c r="C11484" s="760"/>
      <c r="D11484" s="760"/>
      <c r="E11484" s="760"/>
      <c r="F11484" s="760"/>
      <c r="G11484" s="760"/>
      <c r="H11484" s="760"/>
      <c r="I11484" s="760"/>
      <c r="J11484" s="760"/>
      <c r="K11484" s="760"/>
    </row>
    <row r="11485" spans="1:11">
      <c r="A11485" s="760"/>
      <c r="B11485" s="760"/>
      <c r="C11485" s="760"/>
      <c r="D11485" s="760"/>
      <c r="E11485" s="760"/>
      <c r="F11485" s="760"/>
      <c r="G11485" s="760"/>
      <c r="H11485" s="760"/>
      <c r="I11485" s="760"/>
      <c r="J11485" s="760"/>
      <c r="K11485" s="760"/>
    </row>
    <row r="11486" spans="1:11">
      <c r="A11486" s="760"/>
      <c r="B11486" s="760"/>
      <c r="C11486" s="760"/>
      <c r="D11486" s="760"/>
      <c r="E11486" s="760"/>
      <c r="F11486" s="760"/>
      <c r="G11486" s="760"/>
      <c r="H11486" s="760"/>
      <c r="I11486" s="760"/>
      <c r="J11486" s="760"/>
      <c r="K11486" s="760"/>
    </row>
    <row r="11487" spans="1:11">
      <c r="A11487" s="760"/>
      <c r="B11487" s="760"/>
      <c r="C11487" s="760"/>
      <c r="D11487" s="760"/>
      <c r="E11487" s="760"/>
      <c r="F11487" s="760"/>
      <c r="G11487" s="760"/>
      <c r="H11487" s="760"/>
      <c r="I11487" s="760"/>
      <c r="J11487" s="760"/>
      <c r="K11487" s="760"/>
    </row>
    <row r="11488" spans="1:11">
      <c r="A11488" s="760"/>
      <c r="B11488" s="760"/>
      <c r="C11488" s="760"/>
      <c r="D11488" s="760"/>
      <c r="E11488" s="760"/>
      <c r="F11488" s="760"/>
      <c r="G11488" s="760"/>
      <c r="H11488" s="760"/>
      <c r="I11488" s="760"/>
      <c r="J11488" s="760"/>
      <c r="K11488" s="760"/>
    </row>
    <row r="11489" spans="1:11">
      <c r="A11489" s="760"/>
      <c r="B11489" s="760"/>
      <c r="C11489" s="760"/>
      <c r="D11489" s="760"/>
      <c r="E11489" s="760"/>
      <c r="F11489" s="760"/>
      <c r="G11489" s="760"/>
      <c r="H11489" s="760"/>
      <c r="I11489" s="760"/>
      <c r="J11489" s="760"/>
      <c r="K11489" s="760"/>
    </row>
    <row r="11490" spans="1:11">
      <c r="A11490" s="760"/>
      <c r="B11490" s="760"/>
      <c r="C11490" s="760"/>
      <c r="D11490" s="760"/>
      <c r="E11490" s="760"/>
      <c r="F11490" s="760"/>
      <c r="G11490" s="760"/>
      <c r="H11490" s="760"/>
      <c r="I11490" s="760"/>
      <c r="J11490" s="760"/>
      <c r="K11490" s="760"/>
    </row>
    <row r="11491" spans="1:11">
      <c r="A11491" s="760"/>
      <c r="B11491" s="760"/>
      <c r="C11491" s="760"/>
      <c r="D11491" s="760"/>
      <c r="E11491" s="760"/>
      <c r="F11491" s="760"/>
      <c r="G11491" s="760"/>
      <c r="H11491" s="760"/>
      <c r="I11491" s="760"/>
      <c r="J11491" s="760"/>
      <c r="K11491" s="760"/>
    </row>
    <row r="11492" spans="1:11">
      <c r="A11492" s="760"/>
      <c r="B11492" s="760"/>
      <c r="C11492" s="760"/>
      <c r="D11492" s="760"/>
      <c r="E11492" s="760"/>
      <c r="F11492" s="760"/>
      <c r="G11492" s="760"/>
      <c r="H11492" s="760"/>
      <c r="I11492" s="760"/>
      <c r="J11492" s="760"/>
      <c r="K11492" s="760"/>
    </row>
    <row r="11493" spans="1:11">
      <c r="A11493" s="760"/>
      <c r="B11493" s="760"/>
      <c r="C11493" s="760"/>
      <c r="D11493" s="760"/>
      <c r="E11493" s="760"/>
      <c r="F11493" s="760"/>
      <c r="G11493" s="760"/>
      <c r="H11493" s="760"/>
      <c r="I11493" s="760"/>
      <c r="J11493" s="760"/>
      <c r="K11493" s="760"/>
    </row>
    <row r="11494" spans="1:11">
      <c r="A11494" s="760"/>
      <c r="B11494" s="760"/>
      <c r="C11494" s="760"/>
      <c r="D11494" s="760"/>
      <c r="E11494" s="760"/>
      <c r="F11494" s="760"/>
      <c r="G11494" s="760"/>
      <c r="H11494" s="760"/>
      <c r="I11494" s="760"/>
      <c r="J11494" s="760"/>
      <c r="K11494" s="760"/>
    </row>
    <row r="11495" spans="1:11">
      <c r="A11495" s="760"/>
      <c r="B11495" s="760"/>
      <c r="C11495" s="760"/>
      <c r="D11495" s="760"/>
      <c r="E11495" s="760"/>
      <c r="F11495" s="760"/>
      <c r="G11495" s="760"/>
      <c r="H11495" s="760"/>
      <c r="I11495" s="760"/>
      <c r="J11495" s="760"/>
      <c r="K11495" s="760"/>
    </row>
    <row r="11496" spans="1:11">
      <c r="A11496" s="760"/>
      <c r="B11496" s="760"/>
      <c r="C11496" s="760"/>
      <c r="D11496" s="760"/>
      <c r="E11496" s="760"/>
      <c r="F11496" s="760"/>
      <c r="G11496" s="760"/>
      <c r="H11496" s="760"/>
      <c r="I11496" s="760"/>
      <c r="J11496" s="760"/>
      <c r="K11496" s="760"/>
    </row>
    <row r="11497" spans="1:11">
      <c r="A11497" s="760"/>
      <c r="B11497" s="760"/>
      <c r="C11497" s="760"/>
      <c r="D11497" s="760"/>
      <c r="E11497" s="760"/>
      <c r="F11497" s="760"/>
      <c r="G11497" s="760"/>
      <c r="H11497" s="760"/>
      <c r="I11497" s="760"/>
      <c r="J11497" s="760"/>
      <c r="K11497" s="760"/>
    </row>
    <row r="11498" spans="1:11">
      <c r="A11498" s="760"/>
      <c r="B11498" s="760"/>
      <c r="C11498" s="760"/>
      <c r="D11498" s="760"/>
      <c r="E11498" s="760"/>
      <c r="F11498" s="760"/>
      <c r="G11498" s="760"/>
      <c r="H11498" s="760"/>
      <c r="I11498" s="760"/>
      <c r="J11498" s="760"/>
      <c r="K11498" s="760"/>
    </row>
    <row r="11499" spans="1:11">
      <c r="A11499" s="760"/>
      <c r="B11499" s="760"/>
      <c r="C11499" s="760"/>
      <c r="D11499" s="760"/>
      <c r="E11499" s="760"/>
      <c r="F11499" s="760"/>
      <c r="G11499" s="760"/>
      <c r="H11499" s="760"/>
      <c r="I11499" s="760"/>
      <c r="J11499" s="760"/>
      <c r="K11499" s="760"/>
    </row>
    <row r="11500" spans="1:11">
      <c r="A11500" s="760"/>
      <c r="B11500" s="760"/>
      <c r="C11500" s="760"/>
      <c r="D11500" s="760"/>
      <c r="E11500" s="760"/>
      <c r="F11500" s="760"/>
      <c r="G11500" s="760"/>
      <c r="H11500" s="760"/>
      <c r="I11500" s="760"/>
      <c r="J11500" s="760"/>
      <c r="K11500" s="760"/>
    </row>
    <row r="11501" spans="1:11">
      <c r="A11501" s="760"/>
      <c r="B11501" s="760"/>
      <c r="C11501" s="760"/>
      <c r="D11501" s="760"/>
      <c r="E11501" s="760"/>
      <c r="F11501" s="760"/>
      <c r="G11501" s="760"/>
      <c r="H11501" s="760"/>
      <c r="I11501" s="760"/>
      <c r="J11501" s="760"/>
      <c r="K11501" s="760"/>
    </row>
    <row r="11502" spans="1:11">
      <c r="A11502" s="760"/>
      <c r="B11502" s="760"/>
      <c r="C11502" s="760"/>
      <c r="D11502" s="760"/>
      <c r="E11502" s="760"/>
      <c r="F11502" s="760"/>
      <c r="G11502" s="760"/>
      <c r="H11502" s="760"/>
      <c r="I11502" s="760"/>
      <c r="J11502" s="760"/>
      <c r="K11502" s="760"/>
    </row>
    <row r="11503" spans="1:11">
      <c r="A11503" s="760"/>
      <c r="B11503" s="760"/>
      <c r="C11503" s="760"/>
      <c r="D11503" s="760"/>
      <c r="E11503" s="760"/>
      <c r="F11503" s="760"/>
      <c r="G11503" s="760"/>
      <c r="H11503" s="760"/>
      <c r="I11503" s="760"/>
      <c r="J11503" s="760"/>
      <c r="K11503" s="760"/>
    </row>
    <row r="11504" spans="1:11">
      <c r="A11504" s="760"/>
      <c r="B11504" s="760"/>
      <c r="C11504" s="760"/>
      <c r="D11504" s="760"/>
      <c r="E11504" s="760"/>
      <c r="F11504" s="760"/>
      <c r="G11504" s="760"/>
      <c r="H11504" s="760"/>
      <c r="I11504" s="760"/>
      <c r="J11504" s="760"/>
      <c r="K11504" s="760"/>
    </row>
    <row r="11505" spans="1:11">
      <c r="A11505" s="760"/>
      <c r="B11505" s="760"/>
      <c r="C11505" s="760"/>
      <c r="D11505" s="760"/>
      <c r="E11505" s="760"/>
      <c r="F11505" s="760"/>
      <c r="G11505" s="760"/>
      <c r="H11505" s="760"/>
      <c r="I11505" s="760"/>
      <c r="J11505" s="760"/>
      <c r="K11505" s="760"/>
    </row>
    <row r="11506" spans="1:11">
      <c r="A11506" s="760"/>
      <c r="B11506" s="760"/>
      <c r="C11506" s="760"/>
      <c r="D11506" s="760"/>
      <c r="E11506" s="760"/>
      <c r="F11506" s="760"/>
      <c r="G11506" s="760"/>
      <c r="H11506" s="760"/>
      <c r="I11506" s="760"/>
      <c r="J11506" s="760"/>
      <c r="K11506" s="760"/>
    </row>
    <row r="11507" spans="1:11">
      <c r="A11507" s="760"/>
      <c r="B11507" s="760"/>
      <c r="C11507" s="760"/>
      <c r="D11507" s="760"/>
      <c r="E11507" s="760"/>
      <c r="F11507" s="760"/>
      <c r="G11507" s="760"/>
      <c r="H11507" s="760"/>
      <c r="I11507" s="760"/>
      <c r="J11507" s="760"/>
      <c r="K11507" s="760"/>
    </row>
    <row r="11508" spans="1:11">
      <c r="A11508" s="760"/>
      <c r="B11508" s="760"/>
      <c r="C11508" s="760"/>
      <c r="D11508" s="760"/>
      <c r="E11508" s="760"/>
      <c r="F11508" s="760"/>
      <c r="G11508" s="760"/>
      <c r="H11508" s="760"/>
      <c r="I11508" s="760"/>
      <c r="J11508" s="760"/>
      <c r="K11508" s="760"/>
    </row>
    <row r="11509" spans="1:11">
      <c r="A11509" s="760"/>
      <c r="B11509" s="760"/>
      <c r="C11509" s="760"/>
      <c r="D11509" s="760"/>
      <c r="E11509" s="760"/>
      <c r="F11509" s="760"/>
      <c r="G11509" s="760"/>
      <c r="H11509" s="760"/>
      <c r="I11509" s="760"/>
      <c r="J11509" s="760"/>
      <c r="K11509" s="760"/>
    </row>
    <row r="11510" spans="1:11">
      <c r="A11510" s="760"/>
      <c r="B11510" s="760"/>
      <c r="C11510" s="760"/>
      <c r="D11510" s="760"/>
      <c r="E11510" s="760"/>
      <c r="F11510" s="760"/>
      <c r="G11510" s="760"/>
      <c r="H11510" s="760"/>
      <c r="I11510" s="760"/>
      <c r="J11510" s="760"/>
      <c r="K11510" s="760"/>
    </row>
    <row r="11511" spans="1:11">
      <c r="A11511" s="760"/>
      <c r="B11511" s="760"/>
      <c r="C11511" s="760"/>
      <c r="D11511" s="760"/>
      <c r="E11511" s="760"/>
      <c r="F11511" s="760"/>
      <c r="G11511" s="760"/>
      <c r="H11511" s="760"/>
      <c r="I11511" s="760"/>
      <c r="J11511" s="760"/>
      <c r="K11511" s="760"/>
    </row>
    <row r="11512" spans="1:11">
      <c r="A11512" s="760"/>
      <c r="B11512" s="760"/>
      <c r="C11512" s="760"/>
      <c r="D11512" s="760"/>
      <c r="E11512" s="760"/>
      <c r="F11512" s="760"/>
      <c r="G11512" s="760"/>
      <c r="H11512" s="760"/>
      <c r="I11512" s="760"/>
      <c r="J11512" s="760"/>
      <c r="K11512" s="760"/>
    </row>
    <row r="11513" spans="1:11">
      <c r="A11513" s="760"/>
      <c r="B11513" s="760"/>
      <c r="C11513" s="760"/>
      <c r="D11513" s="760"/>
      <c r="E11513" s="760"/>
      <c r="F11513" s="760"/>
      <c r="G11513" s="760"/>
      <c r="H11513" s="760"/>
      <c r="I11513" s="760"/>
      <c r="J11513" s="760"/>
      <c r="K11513" s="760"/>
    </row>
    <row r="11514" spans="1:11">
      <c r="A11514" s="760"/>
      <c r="B11514" s="760"/>
      <c r="C11514" s="760"/>
      <c r="D11514" s="760"/>
      <c r="E11514" s="760"/>
      <c r="F11514" s="760"/>
      <c r="G11514" s="760"/>
      <c r="H11514" s="760"/>
      <c r="I11514" s="760"/>
      <c r="J11514" s="760"/>
      <c r="K11514" s="760"/>
    </row>
    <row r="11515" spans="1:11">
      <c r="A11515" s="760"/>
      <c r="B11515" s="760"/>
      <c r="C11515" s="760"/>
      <c r="D11515" s="760"/>
      <c r="E11515" s="760"/>
      <c r="F11515" s="760"/>
      <c r="G11515" s="760"/>
      <c r="H11515" s="760"/>
      <c r="I11515" s="760"/>
      <c r="J11515" s="760"/>
      <c r="K11515" s="760"/>
    </row>
    <row r="11516" spans="1:11">
      <c r="A11516" s="760"/>
      <c r="B11516" s="760"/>
      <c r="C11516" s="760"/>
      <c r="D11516" s="760"/>
      <c r="E11516" s="760"/>
      <c r="F11516" s="760"/>
      <c r="G11516" s="760"/>
      <c r="H11516" s="760"/>
      <c r="I11516" s="760"/>
      <c r="J11516" s="760"/>
      <c r="K11516" s="760"/>
    </row>
    <row r="11517" spans="1:11">
      <c r="A11517" s="760"/>
      <c r="B11517" s="760"/>
      <c r="C11517" s="760"/>
      <c r="D11517" s="760"/>
      <c r="E11517" s="760"/>
      <c r="F11517" s="760"/>
      <c r="G11517" s="760"/>
      <c r="H11517" s="760"/>
      <c r="I11517" s="760"/>
      <c r="J11517" s="760"/>
      <c r="K11517" s="760"/>
    </row>
    <row r="11518" spans="1:11">
      <c r="A11518" s="760"/>
      <c r="B11518" s="760"/>
      <c r="C11518" s="760"/>
      <c r="D11518" s="760"/>
      <c r="E11518" s="760"/>
      <c r="F11518" s="760"/>
      <c r="G11518" s="760"/>
      <c r="H11518" s="760"/>
      <c r="I11518" s="760"/>
      <c r="J11518" s="760"/>
      <c r="K11518" s="760"/>
    </row>
    <row r="11519" spans="1:11">
      <c r="A11519" s="760"/>
      <c r="B11519" s="760"/>
      <c r="C11519" s="760"/>
      <c r="D11519" s="760"/>
      <c r="E11519" s="760"/>
      <c r="F11519" s="760"/>
      <c r="G11519" s="760"/>
      <c r="H11519" s="760"/>
      <c r="I11519" s="760"/>
      <c r="J11519" s="760"/>
      <c r="K11519" s="760"/>
    </row>
    <row r="11520" spans="1:11">
      <c r="A11520" s="760"/>
      <c r="B11520" s="760"/>
      <c r="C11520" s="760"/>
      <c r="D11520" s="760"/>
      <c r="E11520" s="760"/>
      <c r="F11520" s="760"/>
      <c r="G11520" s="760"/>
      <c r="H11520" s="760"/>
      <c r="I11520" s="760"/>
      <c r="J11520" s="760"/>
      <c r="K11520" s="760"/>
    </row>
    <row r="11521" spans="1:11">
      <c r="A11521" s="760"/>
      <c r="B11521" s="760"/>
      <c r="C11521" s="760"/>
      <c r="D11521" s="760"/>
      <c r="E11521" s="760"/>
      <c r="F11521" s="760"/>
      <c r="G11521" s="760"/>
      <c r="H11521" s="760"/>
      <c r="I11521" s="760"/>
      <c r="J11521" s="760"/>
      <c r="K11521" s="760"/>
    </row>
    <row r="11522" spans="1:11">
      <c r="A11522" s="760"/>
      <c r="B11522" s="760"/>
      <c r="C11522" s="760"/>
      <c r="D11522" s="760"/>
      <c r="E11522" s="760"/>
      <c r="F11522" s="760"/>
      <c r="G11522" s="760"/>
      <c r="H11522" s="760"/>
      <c r="I11522" s="760"/>
      <c r="J11522" s="760"/>
      <c r="K11522" s="760"/>
    </row>
    <row r="11523" spans="1:11">
      <c r="A11523" s="760"/>
      <c r="B11523" s="760"/>
      <c r="C11523" s="760"/>
      <c r="D11523" s="760"/>
      <c r="E11523" s="760"/>
      <c r="F11523" s="760"/>
      <c r="G11523" s="760"/>
      <c r="H11523" s="760"/>
      <c r="I11523" s="760"/>
      <c r="J11523" s="760"/>
      <c r="K11523" s="760"/>
    </row>
    <row r="11524" spans="1:11">
      <c r="A11524" s="760"/>
      <c r="B11524" s="760"/>
      <c r="C11524" s="760"/>
      <c r="D11524" s="760"/>
      <c r="E11524" s="760"/>
      <c r="F11524" s="760"/>
      <c r="G11524" s="760"/>
      <c r="H11524" s="760"/>
      <c r="I11524" s="760"/>
      <c r="J11524" s="760"/>
      <c r="K11524" s="760"/>
    </row>
    <row r="11525" spans="1:11">
      <c r="A11525" s="760"/>
      <c r="B11525" s="760"/>
      <c r="C11525" s="760"/>
      <c r="D11525" s="760"/>
      <c r="E11525" s="760"/>
      <c r="F11525" s="760"/>
      <c r="G11525" s="760"/>
      <c r="H11525" s="760"/>
      <c r="I11525" s="760"/>
      <c r="J11525" s="760"/>
      <c r="K11525" s="760"/>
    </row>
    <row r="11526" spans="1:11">
      <c r="A11526" s="760"/>
      <c r="B11526" s="760"/>
      <c r="C11526" s="760"/>
      <c r="D11526" s="760"/>
      <c r="E11526" s="760"/>
      <c r="F11526" s="760"/>
      <c r="G11526" s="760"/>
      <c r="H11526" s="760"/>
      <c r="I11526" s="760"/>
      <c r="J11526" s="760"/>
      <c r="K11526" s="760"/>
    </row>
    <row r="11527" spans="1:11">
      <c r="A11527" s="760"/>
      <c r="B11527" s="760"/>
      <c r="C11527" s="760"/>
      <c r="D11527" s="760"/>
      <c r="E11527" s="760"/>
      <c r="F11527" s="760"/>
      <c r="G11527" s="760"/>
      <c r="H11527" s="760"/>
      <c r="I11527" s="760"/>
      <c r="J11527" s="760"/>
      <c r="K11527" s="760"/>
    </row>
    <row r="11528" spans="1:11">
      <c r="A11528" s="760"/>
      <c r="B11528" s="760"/>
      <c r="C11528" s="760"/>
      <c r="D11528" s="760"/>
      <c r="E11528" s="760"/>
      <c r="F11528" s="760"/>
      <c r="G11528" s="760"/>
      <c r="H11528" s="760"/>
      <c r="I11528" s="760"/>
      <c r="J11528" s="760"/>
      <c r="K11528" s="760"/>
    </row>
    <row r="11529" spans="1:11">
      <c r="A11529" s="760"/>
      <c r="B11529" s="760"/>
      <c r="C11529" s="760"/>
      <c r="D11529" s="760"/>
      <c r="E11529" s="760"/>
      <c r="F11529" s="760"/>
      <c r="G11529" s="760"/>
      <c r="H11529" s="760"/>
      <c r="I11529" s="760"/>
      <c r="J11529" s="760"/>
      <c r="K11529" s="760"/>
    </row>
    <row r="11530" spans="1:11">
      <c r="A11530" s="760"/>
      <c r="B11530" s="760"/>
      <c r="C11530" s="760"/>
      <c r="D11530" s="760"/>
      <c r="E11530" s="760"/>
      <c r="F11530" s="760"/>
      <c r="G11530" s="760"/>
      <c r="H11530" s="760"/>
      <c r="I11530" s="760"/>
      <c r="J11530" s="760"/>
      <c r="K11530" s="760"/>
    </row>
    <row r="11531" spans="1:11">
      <c r="A11531" s="760"/>
      <c r="B11531" s="760"/>
      <c r="C11531" s="760"/>
      <c r="D11531" s="760"/>
      <c r="E11531" s="760"/>
      <c r="F11531" s="760"/>
      <c r="G11531" s="760"/>
      <c r="H11531" s="760"/>
      <c r="I11531" s="760"/>
      <c r="J11531" s="760"/>
      <c r="K11531" s="760"/>
    </row>
    <row r="11532" spans="1:11">
      <c r="A11532" s="760"/>
      <c r="B11532" s="760"/>
      <c r="C11532" s="760"/>
      <c r="D11532" s="760"/>
      <c r="E11532" s="760"/>
      <c r="F11532" s="760"/>
      <c r="G11532" s="760"/>
      <c r="H11532" s="760"/>
      <c r="I11532" s="760"/>
      <c r="J11532" s="760"/>
      <c r="K11532" s="760"/>
    </row>
    <row r="11533" spans="1:11">
      <c r="A11533" s="760"/>
      <c r="B11533" s="760"/>
      <c r="C11533" s="760"/>
      <c r="D11533" s="760"/>
      <c r="E11533" s="760"/>
      <c r="F11533" s="760"/>
      <c r="G11533" s="760"/>
      <c r="H11533" s="760"/>
      <c r="I11533" s="760"/>
      <c r="J11533" s="760"/>
      <c r="K11533" s="760"/>
    </row>
    <row r="11534" spans="1:11">
      <c r="A11534" s="760"/>
      <c r="B11534" s="760"/>
      <c r="C11534" s="760"/>
      <c r="D11534" s="760"/>
      <c r="E11534" s="760"/>
      <c r="F11534" s="760"/>
      <c r="G11534" s="760"/>
      <c r="H11534" s="760"/>
      <c r="I11534" s="760"/>
      <c r="J11534" s="760"/>
      <c r="K11534" s="760"/>
    </row>
    <row r="11535" spans="1:11">
      <c r="A11535" s="760"/>
      <c r="B11535" s="760"/>
      <c r="C11535" s="760"/>
      <c r="D11535" s="760"/>
      <c r="E11535" s="760"/>
      <c r="F11535" s="760"/>
      <c r="G11535" s="760"/>
      <c r="H11535" s="760"/>
      <c r="I11535" s="760"/>
      <c r="J11535" s="760"/>
      <c r="K11535" s="760"/>
    </row>
    <row r="11536" spans="1:11">
      <c r="A11536" s="760"/>
      <c r="B11536" s="760"/>
      <c r="C11536" s="760"/>
      <c r="D11536" s="760"/>
      <c r="E11536" s="760"/>
      <c r="F11536" s="760"/>
      <c r="G11536" s="760"/>
      <c r="H11536" s="760"/>
      <c r="I11536" s="760"/>
      <c r="J11536" s="760"/>
      <c r="K11536" s="760"/>
    </row>
    <row r="11537" spans="1:11">
      <c r="A11537" s="760"/>
      <c r="B11537" s="760"/>
      <c r="C11537" s="760"/>
      <c r="D11537" s="760"/>
      <c r="E11537" s="760"/>
      <c r="F11537" s="760"/>
      <c r="G11537" s="760"/>
      <c r="H11537" s="760"/>
      <c r="I11537" s="760"/>
      <c r="J11537" s="760"/>
      <c r="K11537" s="760"/>
    </row>
    <row r="11538" spans="1:11">
      <c r="A11538" s="760"/>
      <c r="B11538" s="760"/>
      <c r="C11538" s="760"/>
      <c r="D11538" s="760"/>
      <c r="E11538" s="760"/>
      <c r="F11538" s="760"/>
      <c r="G11538" s="760"/>
      <c r="H11538" s="760"/>
      <c r="I11538" s="760"/>
      <c r="J11538" s="760"/>
      <c r="K11538" s="760"/>
    </row>
    <row r="11539" spans="1:11">
      <c r="A11539" s="760"/>
      <c r="B11539" s="760"/>
      <c r="C11539" s="760"/>
      <c r="D11539" s="760"/>
      <c r="E11539" s="760"/>
      <c r="F11539" s="760"/>
      <c r="G11539" s="760"/>
      <c r="H11539" s="760"/>
      <c r="I11539" s="760"/>
      <c r="J11539" s="760"/>
      <c r="K11539" s="760"/>
    </row>
    <row r="11540" spans="1:11">
      <c r="A11540" s="760"/>
      <c r="B11540" s="760"/>
      <c r="C11540" s="760"/>
      <c r="D11540" s="760"/>
      <c r="E11540" s="760"/>
      <c r="F11540" s="760"/>
      <c r="G11540" s="760"/>
      <c r="H11540" s="760"/>
      <c r="I11540" s="760"/>
      <c r="J11540" s="760"/>
      <c r="K11540" s="760"/>
    </row>
    <row r="11541" spans="1:11">
      <c r="A11541" s="760"/>
      <c r="B11541" s="760"/>
      <c r="C11541" s="760"/>
      <c r="D11541" s="760"/>
      <c r="E11541" s="760"/>
      <c r="F11541" s="760"/>
      <c r="G11541" s="760"/>
      <c r="H11541" s="760"/>
      <c r="I11541" s="760"/>
      <c r="J11541" s="760"/>
      <c r="K11541" s="760"/>
    </row>
    <row r="11542" spans="1:11">
      <c r="A11542" s="760"/>
      <c r="B11542" s="760"/>
      <c r="C11542" s="760"/>
      <c r="D11542" s="760"/>
      <c r="E11542" s="760"/>
      <c r="F11542" s="760"/>
      <c r="G11542" s="760"/>
      <c r="H11542" s="760"/>
      <c r="I11542" s="760"/>
      <c r="J11542" s="760"/>
      <c r="K11542" s="760"/>
    </row>
    <row r="11543" spans="1:11">
      <c r="A11543" s="760"/>
      <c r="B11543" s="760"/>
      <c r="C11543" s="760"/>
      <c r="D11543" s="760"/>
      <c r="E11543" s="760"/>
      <c r="F11543" s="760"/>
      <c r="G11543" s="760"/>
      <c r="H11543" s="760"/>
      <c r="I11543" s="760"/>
      <c r="J11543" s="760"/>
      <c r="K11543" s="760"/>
    </row>
    <row r="11544" spans="1:11">
      <c r="A11544" s="760"/>
      <c r="B11544" s="760"/>
      <c r="C11544" s="760"/>
      <c r="D11544" s="760"/>
      <c r="E11544" s="760"/>
      <c r="F11544" s="760"/>
      <c r="G11544" s="760"/>
      <c r="H11544" s="760"/>
      <c r="I11544" s="760"/>
      <c r="J11544" s="760"/>
      <c r="K11544" s="760"/>
    </row>
    <row r="11545" spans="1:11">
      <c r="A11545" s="760"/>
      <c r="B11545" s="760"/>
      <c r="C11545" s="760"/>
      <c r="D11545" s="760"/>
      <c r="E11545" s="760"/>
      <c r="F11545" s="760"/>
      <c r="G11545" s="760"/>
      <c r="H11545" s="760"/>
      <c r="I11545" s="760"/>
      <c r="J11545" s="760"/>
      <c r="K11545" s="760"/>
    </row>
    <row r="11546" spans="1:11">
      <c r="A11546" s="760"/>
      <c r="B11546" s="760"/>
      <c r="C11546" s="760"/>
      <c r="D11546" s="760"/>
      <c r="E11546" s="760"/>
      <c r="F11546" s="760"/>
      <c r="G11546" s="760"/>
      <c r="H11546" s="760"/>
      <c r="I11546" s="760"/>
      <c r="J11546" s="760"/>
      <c r="K11546" s="760"/>
    </row>
    <row r="11547" spans="1:11">
      <c r="A11547" s="760"/>
      <c r="B11547" s="760"/>
      <c r="C11547" s="760"/>
      <c r="D11547" s="760"/>
      <c r="E11547" s="760"/>
      <c r="F11547" s="760"/>
      <c r="G11547" s="760"/>
      <c r="H11547" s="760"/>
      <c r="I11547" s="760"/>
      <c r="J11547" s="760"/>
      <c r="K11547" s="760"/>
    </row>
    <row r="11548" spans="1:11">
      <c r="A11548" s="760"/>
      <c r="B11548" s="760"/>
      <c r="C11548" s="760"/>
      <c r="D11548" s="760"/>
      <c r="E11548" s="760"/>
      <c r="F11548" s="760"/>
      <c r="G11548" s="760"/>
      <c r="H11548" s="760"/>
      <c r="I11548" s="760"/>
      <c r="J11548" s="760"/>
      <c r="K11548" s="760"/>
    </row>
    <row r="11549" spans="1:11">
      <c r="A11549" s="760"/>
      <c r="B11549" s="760"/>
      <c r="C11549" s="760"/>
      <c r="D11549" s="760"/>
      <c r="E11549" s="760"/>
      <c r="F11549" s="760"/>
      <c r="G11549" s="760"/>
      <c r="H11549" s="760"/>
      <c r="I11549" s="760"/>
      <c r="J11549" s="760"/>
      <c r="K11549" s="760"/>
    </row>
    <row r="11550" spans="1:11">
      <c r="A11550" s="760"/>
      <c r="B11550" s="760"/>
      <c r="C11550" s="760"/>
      <c r="D11550" s="760"/>
      <c r="E11550" s="760"/>
      <c r="F11550" s="760"/>
      <c r="G11550" s="760"/>
      <c r="H11550" s="760"/>
      <c r="I11550" s="760"/>
      <c r="J11550" s="760"/>
      <c r="K11550" s="760"/>
    </row>
    <row r="11551" spans="1:11">
      <c r="A11551" s="760"/>
      <c r="B11551" s="760"/>
      <c r="C11551" s="760"/>
      <c r="D11551" s="760"/>
      <c r="E11551" s="760"/>
      <c r="F11551" s="760"/>
      <c r="G11551" s="760"/>
      <c r="H11551" s="760"/>
      <c r="I11551" s="760"/>
      <c r="J11551" s="760"/>
      <c r="K11551" s="760"/>
    </row>
    <row r="11552" spans="1:11">
      <c r="A11552" s="760"/>
      <c r="B11552" s="760"/>
      <c r="C11552" s="760"/>
      <c r="D11552" s="760"/>
      <c r="E11552" s="760"/>
      <c r="F11552" s="760"/>
      <c r="G11552" s="760"/>
      <c r="H11552" s="760"/>
      <c r="I11552" s="760"/>
      <c r="J11552" s="760"/>
      <c r="K11552" s="760"/>
    </row>
    <row r="11553" spans="1:11">
      <c r="A11553" s="760"/>
      <c r="B11553" s="760"/>
      <c r="C11553" s="760"/>
      <c r="D11553" s="760"/>
      <c r="E11553" s="760"/>
      <c r="F11553" s="760"/>
      <c r="G11553" s="760"/>
      <c r="H11553" s="760"/>
      <c r="I11553" s="760"/>
      <c r="J11553" s="760"/>
      <c r="K11553" s="760"/>
    </row>
    <row r="11554" spans="1:11">
      <c r="A11554" s="760"/>
      <c r="B11554" s="760"/>
      <c r="C11554" s="760"/>
      <c r="D11554" s="760"/>
      <c r="E11554" s="760"/>
      <c r="F11554" s="760"/>
      <c r="G11554" s="760"/>
      <c r="H11554" s="760"/>
      <c r="I11554" s="760"/>
      <c r="J11554" s="760"/>
      <c r="K11554" s="760"/>
    </row>
    <row r="11555" spans="1:11">
      <c r="A11555" s="760"/>
      <c r="B11555" s="760"/>
      <c r="C11555" s="760"/>
      <c r="D11555" s="760"/>
      <c r="E11555" s="760"/>
      <c r="F11555" s="760"/>
      <c r="G11555" s="760"/>
      <c r="H11555" s="760"/>
      <c r="I11555" s="760"/>
      <c r="J11555" s="760"/>
      <c r="K11555" s="760"/>
    </row>
    <row r="11556" spans="1:11">
      <c r="A11556" s="760"/>
      <c r="B11556" s="760"/>
      <c r="C11556" s="760"/>
      <c r="D11556" s="760"/>
      <c r="E11556" s="760"/>
      <c r="F11556" s="760"/>
      <c r="G11556" s="760"/>
      <c r="H11556" s="760"/>
      <c r="I11556" s="760"/>
      <c r="J11556" s="760"/>
      <c r="K11556" s="760"/>
    </row>
    <row r="11557" spans="1:11">
      <c r="A11557" s="760"/>
      <c r="B11557" s="760"/>
      <c r="C11557" s="760"/>
      <c r="D11557" s="760"/>
      <c r="E11557" s="760"/>
      <c r="F11557" s="760"/>
      <c r="G11557" s="760"/>
      <c r="H11557" s="760"/>
      <c r="I11557" s="760"/>
      <c r="J11557" s="760"/>
      <c r="K11557" s="760"/>
    </row>
    <row r="11558" spans="1:11">
      <c r="A11558" s="760"/>
      <c r="B11558" s="760"/>
      <c r="C11558" s="760"/>
      <c r="D11558" s="760"/>
      <c r="E11558" s="760"/>
      <c r="F11558" s="760"/>
      <c r="G11558" s="760"/>
      <c r="H11558" s="760"/>
      <c r="I11558" s="760"/>
      <c r="J11558" s="760"/>
      <c r="K11558" s="760"/>
    </row>
    <row r="11559" spans="1:11">
      <c r="A11559" s="760"/>
      <c r="B11559" s="760"/>
      <c r="C11559" s="760"/>
      <c r="D11559" s="760"/>
      <c r="E11559" s="760"/>
      <c r="F11559" s="760"/>
      <c r="G11559" s="760"/>
      <c r="H11559" s="760"/>
      <c r="I11559" s="760"/>
      <c r="J11559" s="760"/>
      <c r="K11559" s="760"/>
    </row>
    <row r="11560" spans="1:11">
      <c r="A11560" s="760"/>
      <c r="B11560" s="760"/>
      <c r="C11560" s="760"/>
      <c r="D11560" s="760"/>
      <c r="E11560" s="760"/>
      <c r="F11560" s="760"/>
      <c r="G11560" s="760"/>
      <c r="H11560" s="760"/>
      <c r="I11560" s="760"/>
      <c r="J11560" s="760"/>
      <c r="K11560" s="760"/>
    </row>
    <row r="11561" spans="1:11">
      <c r="A11561" s="760"/>
      <c r="B11561" s="760"/>
      <c r="C11561" s="760"/>
      <c r="D11561" s="760"/>
      <c r="E11561" s="760"/>
      <c r="F11561" s="760"/>
      <c r="G11561" s="760"/>
      <c r="H11561" s="760"/>
      <c r="I11561" s="760"/>
      <c r="J11561" s="760"/>
      <c r="K11561" s="760"/>
    </row>
    <row r="11562" spans="1:11">
      <c r="A11562" s="760"/>
      <c r="B11562" s="760"/>
      <c r="C11562" s="760"/>
      <c r="D11562" s="760"/>
      <c r="E11562" s="760"/>
      <c r="F11562" s="760"/>
      <c r="G11562" s="760"/>
      <c r="H11562" s="760"/>
      <c r="I11562" s="760"/>
      <c r="J11562" s="760"/>
      <c r="K11562" s="760"/>
    </row>
    <row r="11563" spans="1:11">
      <c r="A11563" s="760"/>
      <c r="B11563" s="760"/>
      <c r="C11563" s="760"/>
      <c r="D11563" s="760"/>
      <c r="E11563" s="760"/>
      <c r="F11563" s="760"/>
      <c r="G11563" s="760"/>
      <c r="H11563" s="760"/>
      <c r="I11563" s="760"/>
      <c r="J11563" s="760"/>
      <c r="K11563" s="760"/>
    </row>
    <row r="11564" spans="1:11">
      <c r="A11564" s="760"/>
      <c r="B11564" s="760"/>
      <c r="C11564" s="760"/>
      <c r="D11564" s="760"/>
      <c r="E11564" s="760"/>
      <c r="F11564" s="760"/>
      <c r="G11564" s="760"/>
      <c r="H11564" s="760"/>
      <c r="I11564" s="760"/>
      <c r="J11564" s="760"/>
      <c r="K11564" s="760"/>
    </row>
    <row r="11565" spans="1:11">
      <c r="A11565" s="760"/>
      <c r="B11565" s="760"/>
      <c r="C11565" s="760"/>
      <c r="D11565" s="760"/>
      <c r="E11565" s="760"/>
      <c r="F11565" s="760"/>
      <c r="G11565" s="760"/>
      <c r="H11565" s="760"/>
      <c r="I11565" s="760"/>
      <c r="J11565" s="760"/>
      <c r="K11565" s="760"/>
    </row>
    <row r="11566" spans="1:11">
      <c r="A11566" s="760"/>
      <c r="B11566" s="760"/>
      <c r="C11566" s="760"/>
      <c r="D11566" s="760"/>
      <c r="E11566" s="760"/>
      <c r="F11566" s="760"/>
      <c r="G11566" s="760"/>
      <c r="H11566" s="760"/>
      <c r="I11566" s="760"/>
      <c r="J11566" s="760"/>
      <c r="K11566" s="760"/>
    </row>
    <row r="11567" spans="1:11">
      <c r="A11567" s="760"/>
      <c r="B11567" s="760"/>
      <c r="C11567" s="760"/>
      <c r="D11567" s="760"/>
      <c r="E11567" s="760"/>
      <c r="F11567" s="760"/>
      <c r="G11567" s="760"/>
      <c r="H11567" s="760"/>
      <c r="I11567" s="760"/>
      <c r="J11567" s="760"/>
      <c r="K11567" s="760"/>
    </row>
    <row r="11568" spans="1:11">
      <c r="A11568" s="760"/>
      <c r="B11568" s="760"/>
      <c r="C11568" s="760"/>
      <c r="D11568" s="760"/>
      <c r="E11568" s="760"/>
      <c r="F11568" s="760"/>
      <c r="G11568" s="760"/>
      <c r="H11568" s="760"/>
      <c r="I11568" s="760"/>
      <c r="J11568" s="760"/>
      <c r="K11568" s="760"/>
    </row>
    <row r="11569" spans="1:11">
      <c r="A11569" s="760"/>
      <c r="B11569" s="760"/>
      <c r="C11569" s="760"/>
      <c r="D11569" s="760"/>
      <c r="E11569" s="760"/>
      <c r="F11569" s="760"/>
      <c r="G11569" s="760"/>
      <c r="H11569" s="760"/>
      <c r="I11569" s="760"/>
      <c r="J11569" s="760"/>
      <c r="K11569" s="760"/>
    </row>
    <row r="11570" spans="1:11">
      <c r="A11570" s="760"/>
      <c r="B11570" s="760"/>
      <c r="C11570" s="760"/>
      <c r="D11570" s="760"/>
      <c r="E11570" s="760"/>
      <c r="F11570" s="760"/>
      <c r="G11570" s="760"/>
      <c r="H11570" s="760"/>
      <c r="I11570" s="760"/>
      <c r="J11570" s="760"/>
      <c r="K11570" s="760"/>
    </row>
    <row r="11571" spans="1:11">
      <c r="A11571" s="760"/>
      <c r="B11571" s="760"/>
      <c r="C11571" s="760"/>
      <c r="D11571" s="760"/>
      <c r="E11571" s="760"/>
      <c r="F11571" s="760"/>
      <c r="G11571" s="760"/>
      <c r="H11571" s="760"/>
      <c r="I11571" s="760"/>
      <c r="J11571" s="760"/>
      <c r="K11571" s="760"/>
    </row>
    <row r="11572" spans="1:11">
      <c r="A11572" s="760"/>
      <c r="B11572" s="760"/>
      <c r="C11572" s="760"/>
      <c r="D11572" s="760"/>
      <c r="E11572" s="760"/>
      <c r="F11572" s="760"/>
      <c r="G11572" s="760"/>
      <c r="H11572" s="760"/>
      <c r="I11572" s="760"/>
      <c r="J11572" s="760"/>
      <c r="K11572" s="760"/>
    </row>
    <row r="11573" spans="1:11">
      <c r="A11573" s="760"/>
      <c r="B11573" s="760"/>
      <c r="C11573" s="760"/>
      <c r="D11573" s="760"/>
      <c r="E11573" s="760"/>
      <c r="F11573" s="760"/>
      <c r="G11573" s="760"/>
      <c r="H11573" s="760"/>
      <c r="I11573" s="760"/>
      <c r="J11573" s="760"/>
      <c r="K11573" s="760"/>
    </row>
    <row r="11574" spans="1:11">
      <c r="A11574" s="760"/>
      <c r="B11574" s="760"/>
      <c r="C11574" s="760"/>
      <c r="D11574" s="760"/>
      <c r="E11574" s="760"/>
      <c r="F11574" s="760"/>
      <c r="G11574" s="760"/>
      <c r="H11574" s="760"/>
      <c r="I11574" s="760"/>
      <c r="J11574" s="760"/>
      <c r="K11574" s="760"/>
    </row>
    <row r="11575" spans="1:11">
      <c r="A11575" s="760"/>
      <c r="B11575" s="760"/>
      <c r="C11575" s="760"/>
      <c r="D11575" s="760"/>
      <c r="E11575" s="760"/>
      <c r="F11575" s="760"/>
      <c r="G11575" s="760"/>
      <c r="H11575" s="760"/>
      <c r="I11575" s="760"/>
      <c r="J11575" s="760"/>
      <c r="K11575" s="760"/>
    </row>
    <row r="11576" spans="1:11">
      <c r="A11576" s="760"/>
      <c r="B11576" s="760"/>
      <c r="C11576" s="760"/>
      <c r="D11576" s="760"/>
      <c r="E11576" s="760"/>
      <c r="F11576" s="760"/>
      <c r="G11576" s="760"/>
      <c r="H11576" s="760"/>
      <c r="I11576" s="760"/>
      <c r="J11576" s="760"/>
      <c r="K11576" s="760"/>
    </row>
    <row r="11577" spans="1:11">
      <c r="A11577" s="760"/>
      <c r="B11577" s="760"/>
      <c r="C11577" s="760"/>
      <c r="D11577" s="760"/>
      <c r="E11577" s="760"/>
      <c r="F11577" s="760"/>
      <c r="G11577" s="760"/>
      <c r="H11577" s="760"/>
      <c r="I11577" s="760"/>
      <c r="J11577" s="760"/>
      <c r="K11577" s="760"/>
    </row>
    <row r="11578" spans="1:11">
      <c r="A11578" s="760"/>
      <c r="B11578" s="760"/>
      <c r="C11578" s="760"/>
      <c r="D11578" s="760"/>
      <c r="E11578" s="760"/>
      <c r="F11578" s="760"/>
      <c r="G11578" s="760"/>
      <c r="H11578" s="760"/>
      <c r="I11578" s="760"/>
      <c r="J11578" s="760"/>
      <c r="K11578" s="760"/>
    </row>
    <row r="11579" spans="1:11">
      <c r="A11579" s="760"/>
      <c r="B11579" s="760"/>
      <c r="C11579" s="760"/>
      <c r="D11579" s="760"/>
      <c r="E11579" s="760"/>
      <c r="F11579" s="760"/>
      <c r="G11579" s="760"/>
      <c r="H11579" s="760"/>
      <c r="I11579" s="760"/>
      <c r="J11579" s="760"/>
      <c r="K11579" s="760"/>
    </row>
    <row r="11580" spans="1:11">
      <c r="A11580" s="760"/>
      <c r="B11580" s="760"/>
      <c r="C11580" s="760"/>
      <c r="D11580" s="760"/>
      <c r="E11580" s="760"/>
      <c r="F11580" s="760"/>
      <c r="G11580" s="760"/>
      <c r="H11580" s="760"/>
      <c r="I11580" s="760"/>
      <c r="J11580" s="760"/>
      <c r="K11580" s="760"/>
    </row>
    <row r="11581" spans="1:11">
      <c r="A11581" s="760"/>
      <c r="B11581" s="760"/>
      <c r="C11581" s="760"/>
      <c r="D11581" s="760"/>
      <c r="E11581" s="760"/>
      <c r="F11581" s="760"/>
      <c r="G11581" s="760"/>
      <c r="H11581" s="760"/>
      <c r="I11581" s="760"/>
      <c r="J11581" s="760"/>
      <c r="K11581" s="760"/>
    </row>
    <row r="11582" spans="1:11">
      <c r="A11582" s="760"/>
      <c r="B11582" s="760"/>
      <c r="C11582" s="760"/>
      <c r="D11582" s="760"/>
      <c r="E11582" s="760"/>
      <c r="F11582" s="760"/>
      <c r="G11582" s="760"/>
      <c r="H11582" s="760"/>
      <c r="I11582" s="760"/>
      <c r="J11582" s="760"/>
      <c r="K11582" s="760"/>
    </row>
    <row r="11583" spans="1:11">
      <c r="A11583" s="760"/>
      <c r="B11583" s="760"/>
      <c r="C11583" s="760"/>
      <c r="D11583" s="760"/>
      <c r="E11583" s="760"/>
      <c r="F11583" s="760"/>
      <c r="G11583" s="760"/>
      <c r="H11583" s="760"/>
      <c r="I11583" s="760"/>
      <c r="J11583" s="760"/>
      <c r="K11583" s="760"/>
    </row>
    <row r="11584" spans="1:11">
      <c r="A11584" s="760"/>
      <c r="B11584" s="760"/>
      <c r="C11584" s="760"/>
      <c r="D11584" s="760"/>
      <c r="E11584" s="760"/>
      <c r="F11584" s="760"/>
      <c r="G11584" s="760"/>
      <c r="H11584" s="760"/>
      <c r="I11584" s="760"/>
      <c r="J11584" s="760"/>
      <c r="K11584" s="760"/>
    </row>
    <row r="11585" spans="1:11">
      <c r="A11585" s="760"/>
      <c r="B11585" s="760"/>
      <c r="C11585" s="760"/>
      <c r="D11585" s="760"/>
      <c r="E11585" s="760"/>
      <c r="F11585" s="760"/>
      <c r="G11585" s="760"/>
      <c r="H11585" s="760"/>
      <c r="I11585" s="760"/>
      <c r="J11585" s="760"/>
      <c r="K11585" s="760"/>
    </row>
    <row r="11586" spans="1:11">
      <c r="A11586" s="760"/>
      <c r="B11586" s="760"/>
      <c r="C11586" s="760"/>
      <c r="D11586" s="760"/>
      <c r="E11586" s="760"/>
      <c r="F11586" s="760"/>
      <c r="G11586" s="760"/>
      <c r="H11586" s="760"/>
      <c r="I11586" s="760"/>
      <c r="J11586" s="760"/>
      <c r="K11586" s="760"/>
    </row>
    <row r="11587" spans="1:11">
      <c r="A11587" s="760"/>
      <c r="B11587" s="760"/>
      <c r="C11587" s="760"/>
      <c r="D11587" s="760"/>
      <c r="E11587" s="760"/>
      <c r="F11587" s="760"/>
      <c r="G11587" s="760"/>
      <c r="H11587" s="760"/>
      <c r="I11587" s="760"/>
      <c r="J11587" s="760"/>
      <c r="K11587" s="760"/>
    </row>
    <row r="11588" spans="1:11">
      <c r="A11588" s="760"/>
      <c r="B11588" s="760"/>
      <c r="C11588" s="760"/>
      <c r="D11588" s="760"/>
      <c r="E11588" s="760"/>
      <c r="F11588" s="760"/>
      <c r="G11588" s="760"/>
      <c r="H11588" s="760"/>
      <c r="I11588" s="760"/>
      <c r="J11588" s="760"/>
      <c r="K11588" s="760"/>
    </row>
    <row r="11589" spans="1:11">
      <c r="A11589" s="760"/>
      <c r="B11589" s="760"/>
      <c r="C11589" s="760"/>
      <c r="D11589" s="760"/>
      <c r="E11589" s="760"/>
      <c r="F11589" s="760"/>
      <c r="G11589" s="760"/>
      <c r="H11589" s="760"/>
      <c r="I11589" s="760"/>
      <c r="J11589" s="760"/>
      <c r="K11589" s="760"/>
    </row>
    <row r="11590" spans="1:11">
      <c r="A11590" s="760"/>
      <c r="B11590" s="760"/>
      <c r="C11590" s="760"/>
      <c r="D11590" s="760"/>
      <c r="E11590" s="760"/>
      <c r="F11590" s="760"/>
      <c r="G11590" s="760"/>
      <c r="H11590" s="760"/>
      <c r="I11590" s="760"/>
      <c r="J11590" s="760"/>
      <c r="K11590" s="760"/>
    </row>
    <row r="11591" spans="1:11">
      <c r="A11591" s="760"/>
      <c r="B11591" s="760"/>
      <c r="C11591" s="760"/>
      <c r="D11591" s="760"/>
      <c r="E11591" s="760"/>
      <c r="F11591" s="760"/>
      <c r="G11591" s="760"/>
      <c r="H11591" s="760"/>
      <c r="I11591" s="760"/>
      <c r="J11591" s="760"/>
      <c r="K11591" s="760"/>
    </row>
    <row r="11592" spans="1:11">
      <c r="A11592" s="760"/>
      <c r="B11592" s="760"/>
      <c r="C11592" s="760"/>
      <c r="D11592" s="760"/>
      <c r="E11592" s="760"/>
      <c r="F11592" s="760"/>
      <c r="G11592" s="760"/>
      <c r="H11592" s="760"/>
      <c r="I11592" s="760"/>
      <c r="J11592" s="760"/>
      <c r="K11592" s="760"/>
    </row>
    <row r="11593" spans="1:11">
      <c r="A11593" s="760"/>
      <c r="B11593" s="760"/>
      <c r="C11593" s="760"/>
      <c r="D11593" s="760"/>
      <c r="E11593" s="760"/>
      <c r="F11593" s="760"/>
      <c r="G11593" s="760"/>
      <c r="H11593" s="760"/>
      <c r="I11593" s="760"/>
      <c r="J11593" s="760"/>
      <c r="K11593" s="760"/>
    </row>
    <row r="11594" spans="1:11">
      <c r="A11594" s="760"/>
      <c r="B11594" s="760"/>
      <c r="C11594" s="760"/>
      <c r="D11594" s="760"/>
      <c r="E11594" s="760"/>
      <c r="F11594" s="760"/>
      <c r="G11594" s="760"/>
      <c r="H11594" s="760"/>
      <c r="I11594" s="760"/>
      <c r="J11594" s="760"/>
      <c r="K11594" s="760"/>
    </row>
    <row r="11595" spans="1:11">
      <c r="A11595" s="760"/>
      <c r="B11595" s="760"/>
      <c r="C11595" s="760"/>
      <c r="D11595" s="760"/>
      <c r="E11595" s="760"/>
      <c r="F11595" s="760"/>
      <c r="G11595" s="760"/>
      <c r="H11595" s="760"/>
      <c r="I11595" s="760"/>
      <c r="J11595" s="760"/>
      <c r="K11595" s="760"/>
    </row>
    <row r="11596" spans="1:11">
      <c r="A11596" s="760"/>
      <c r="B11596" s="760"/>
      <c r="C11596" s="760"/>
      <c r="D11596" s="760"/>
      <c r="E11596" s="760"/>
      <c r="F11596" s="760"/>
      <c r="G11596" s="760"/>
      <c r="H11596" s="760"/>
      <c r="I11596" s="760"/>
      <c r="J11596" s="760"/>
      <c r="K11596" s="760"/>
    </row>
    <row r="11597" spans="1:11">
      <c r="A11597" s="760"/>
      <c r="B11597" s="760"/>
      <c r="C11597" s="760"/>
      <c r="D11597" s="760"/>
      <c r="E11597" s="760"/>
      <c r="F11597" s="760"/>
      <c r="G11597" s="760"/>
      <c r="H11597" s="760"/>
      <c r="I11597" s="760"/>
      <c r="J11597" s="760"/>
      <c r="K11597" s="760"/>
    </row>
    <row r="11598" spans="1:11">
      <c r="A11598" s="760"/>
      <c r="B11598" s="760"/>
      <c r="C11598" s="760"/>
      <c r="D11598" s="760"/>
      <c r="E11598" s="760"/>
      <c r="F11598" s="760"/>
      <c r="G11598" s="760"/>
      <c r="H11598" s="760"/>
      <c r="I11598" s="760"/>
      <c r="J11598" s="760"/>
      <c r="K11598" s="760"/>
    </row>
    <row r="11599" spans="1:11">
      <c r="A11599" s="760"/>
      <c r="B11599" s="760"/>
      <c r="C11599" s="760"/>
      <c r="D11599" s="760"/>
      <c r="E11599" s="760"/>
      <c r="F11599" s="760"/>
      <c r="G11599" s="760"/>
      <c r="H11599" s="760"/>
      <c r="I11599" s="760"/>
      <c r="J11599" s="760"/>
      <c r="K11599" s="760"/>
    </row>
    <row r="11600" spans="1:11">
      <c r="A11600" s="760"/>
      <c r="B11600" s="760"/>
      <c r="C11600" s="760"/>
      <c r="D11600" s="760"/>
      <c r="E11600" s="760"/>
      <c r="F11600" s="760"/>
      <c r="G11600" s="760"/>
      <c r="H11600" s="760"/>
      <c r="I11600" s="760"/>
      <c r="J11600" s="760"/>
      <c r="K11600" s="760"/>
    </row>
    <row r="11601" spans="1:11">
      <c r="A11601" s="760"/>
      <c r="B11601" s="760"/>
      <c r="C11601" s="760"/>
      <c r="D11601" s="760"/>
      <c r="E11601" s="760"/>
      <c r="F11601" s="760"/>
      <c r="G11601" s="760"/>
      <c r="H11601" s="760"/>
      <c r="I11601" s="760"/>
      <c r="J11601" s="760"/>
      <c r="K11601" s="760"/>
    </row>
    <row r="11602" spans="1:11">
      <c r="A11602" s="760"/>
      <c r="B11602" s="760"/>
      <c r="C11602" s="760"/>
      <c r="D11602" s="760"/>
      <c r="E11602" s="760"/>
      <c r="F11602" s="760"/>
      <c r="G11602" s="760"/>
      <c r="H11602" s="760"/>
      <c r="I11602" s="760"/>
      <c r="J11602" s="760"/>
      <c r="K11602" s="760"/>
    </row>
    <row r="11603" spans="1:11">
      <c r="A11603" s="760"/>
      <c r="B11603" s="760"/>
      <c r="C11603" s="760"/>
      <c r="D11603" s="760"/>
      <c r="E11603" s="760"/>
      <c r="F11603" s="760"/>
      <c r="G11603" s="760"/>
      <c r="H11603" s="760"/>
      <c r="I11603" s="760"/>
      <c r="J11603" s="760"/>
      <c r="K11603" s="760"/>
    </row>
    <row r="11604" spans="1:11">
      <c r="A11604" s="760"/>
      <c r="B11604" s="760"/>
      <c r="C11604" s="760"/>
      <c r="D11604" s="760"/>
      <c r="E11604" s="760"/>
      <c r="F11604" s="760"/>
      <c r="G11604" s="760"/>
      <c r="H11604" s="760"/>
      <c r="I11604" s="760"/>
      <c r="J11604" s="760"/>
      <c r="K11604" s="760"/>
    </row>
    <row r="11605" spans="1:11">
      <c r="A11605" s="760"/>
      <c r="B11605" s="760"/>
      <c r="C11605" s="760"/>
      <c r="D11605" s="760"/>
      <c r="E11605" s="760"/>
      <c r="F11605" s="760"/>
      <c r="G11605" s="760"/>
      <c r="H11605" s="760"/>
      <c r="I11605" s="760"/>
      <c r="J11605" s="760"/>
      <c r="K11605" s="760"/>
    </row>
    <row r="11606" spans="1:11">
      <c r="A11606" s="760"/>
      <c r="B11606" s="760"/>
      <c r="C11606" s="760"/>
      <c r="D11606" s="760"/>
      <c r="E11606" s="760"/>
      <c r="F11606" s="760"/>
      <c r="G11606" s="760"/>
      <c r="H11606" s="760"/>
      <c r="I11606" s="760"/>
      <c r="J11606" s="760"/>
      <c r="K11606" s="760"/>
    </row>
    <row r="11607" spans="1:11">
      <c r="A11607" s="760"/>
      <c r="B11607" s="760"/>
      <c r="C11607" s="760"/>
      <c r="D11607" s="760"/>
      <c r="E11607" s="760"/>
      <c r="F11607" s="760"/>
      <c r="G11607" s="760"/>
      <c r="H11607" s="760"/>
      <c r="I11607" s="760"/>
      <c r="J11607" s="760"/>
      <c r="K11607" s="760"/>
    </row>
    <row r="11608" spans="1:11">
      <c r="A11608" s="760"/>
      <c r="B11608" s="760"/>
      <c r="C11608" s="760"/>
      <c r="D11608" s="760"/>
      <c r="E11608" s="760"/>
      <c r="F11608" s="760"/>
      <c r="G11608" s="760"/>
      <c r="H11608" s="760"/>
      <c r="I11608" s="760"/>
      <c r="J11608" s="760"/>
      <c r="K11608" s="760"/>
    </row>
    <row r="11609" spans="1:11">
      <c r="A11609" s="760"/>
      <c r="B11609" s="760"/>
      <c r="C11609" s="760"/>
      <c r="D11609" s="760"/>
      <c r="E11609" s="760"/>
      <c r="F11609" s="760"/>
      <c r="G11609" s="760"/>
      <c r="H11609" s="760"/>
      <c r="I11609" s="760"/>
      <c r="J11609" s="760"/>
      <c r="K11609" s="760"/>
    </row>
    <row r="11610" spans="1:11">
      <c r="A11610" s="760"/>
      <c r="B11610" s="760"/>
      <c r="C11610" s="760"/>
      <c r="D11610" s="760"/>
      <c r="E11610" s="760"/>
      <c r="F11610" s="760"/>
      <c r="G11610" s="760"/>
      <c r="H11610" s="760"/>
      <c r="I11610" s="760"/>
      <c r="J11610" s="760"/>
      <c r="K11610" s="760"/>
    </row>
    <row r="11611" spans="1:11">
      <c r="A11611" s="760"/>
      <c r="B11611" s="760"/>
      <c r="C11611" s="760"/>
      <c r="D11611" s="760"/>
      <c r="E11611" s="760"/>
      <c r="F11611" s="760"/>
      <c r="G11611" s="760"/>
      <c r="H11611" s="760"/>
      <c r="I11611" s="760"/>
      <c r="J11611" s="760"/>
      <c r="K11611" s="760"/>
    </row>
    <row r="11612" spans="1:11">
      <c r="A11612" s="760"/>
      <c r="B11612" s="760"/>
      <c r="C11612" s="760"/>
      <c r="D11612" s="760"/>
      <c r="E11612" s="760"/>
      <c r="F11612" s="760"/>
      <c r="G11612" s="760"/>
      <c r="H11612" s="760"/>
      <c r="I11612" s="760"/>
      <c r="J11612" s="760"/>
      <c r="K11612" s="760"/>
    </row>
    <row r="11613" spans="1:11">
      <c r="A11613" s="760"/>
      <c r="B11613" s="760"/>
      <c r="C11613" s="760"/>
      <c r="D11613" s="760"/>
      <c r="E11613" s="760"/>
      <c r="F11613" s="760"/>
      <c r="G11613" s="760"/>
      <c r="H11613" s="760"/>
      <c r="I11613" s="760"/>
      <c r="J11613" s="760"/>
      <c r="K11613" s="760"/>
    </row>
    <row r="11614" spans="1:11">
      <c r="A11614" s="760"/>
      <c r="B11614" s="760"/>
      <c r="C11614" s="760"/>
      <c r="D11614" s="760"/>
      <c r="E11614" s="760"/>
      <c r="F11614" s="760"/>
      <c r="G11614" s="760"/>
      <c r="H11614" s="760"/>
      <c r="I11614" s="760"/>
      <c r="J11614" s="760"/>
      <c r="K11614" s="760"/>
    </row>
    <row r="11615" spans="1:11">
      <c r="A11615" s="760"/>
      <c r="B11615" s="760"/>
      <c r="C11615" s="760"/>
      <c r="D11615" s="760"/>
      <c r="E11615" s="760"/>
      <c r="F11615" s="760"/>
      <c r="G11615" s="760"/>
      <c r="H11615" s="760"/>
      <c r="I11615" s="760"/>
      <c r="J11615" s="760"/>
      <c r="K11615" s="760"/>
    </row>
    <row r="11616" spans="1:11">
      <c r="A11616" s="760"/>
      <c r="B11616" s="760"/>
      <c r="C11616" s="760"/>
      <c r="D11616" s="760"/>
      <c r="E11616" s="760"/>
      <c r="F11616" s="760"/>
      <c r="G11616" s="760"/>
      <c r="H11616" s="760"/>
      <c r="I11616" s="760"/>
      <c r="J11616" s="760"/>
      <c r="K11616" s="760"/>
    </row>
    <row r="11617" spans="1:11">
      <c r="A11617" s="760"/>
      <c r="B11617" s="760"/>
      <c r="C11617" s="760"/>
      <c r="D11617" s="760"/>
      <c r="E11617" s="760"/>
      <c r="F11617" s="760"/>
      <c r="G11617" s="760"/>
      <c r="H11617" s="760"/>
      <c r="I11617" s="760"/>
      <c r="J11617" s="760"/>
      <c r="K11617" s="760"/>
    </row>
    <row r="11618" spans="1:11">
      <c r="A11618" s="760"/>
      <c r="B11618" s="760"/>
      <c r="C11618" s="760"/>
      <c r="D11618" s="760"/>
      <c r="E11618" s="760"/>
      <c r="F11618" s="760"/>
      <c r="G11618" s="760"/>
      <c r="H11618" s="760"/>
      <c r="I11618" s="760"/>
      <c r="J11618" s="760"/>
      <c r="K11618" s="760"/>
    </row>
    <row r="11619" spans="1:11">
      <c r="A11619" s="760"/>
      <c r="B11619" s="760"/>
      <c r="C11619" s="760"/>
      <c r="D11619" s="760"/>
      <c r="E11619" s="760"/>
      <c r="F11619" s="760"/>
      <c r="G11619" s="760"/>
      <c r="H11619" s="760"/>
      <c r="I11619" s="760"/>
      <c r="J11619" s="760"/>
      <c r="K11619" s="760"/>
    </row>
    <row r="11620" spans="1:11">
      <c r="A11620" s="760"/>
      <c r="B11620" s="760"/>
      <c r="C11620" s="760"/>
      <c r="D11620" s="760"/>
      <c r="E11620" s="760"/>
      <c r="F11620" s="760"/>
      <c r="G11620" s="760"/>
      <c r="H11620" s="760"/>
      <c r="I11620" s="760"/>
      <c r="J11620" s="760"/>
      <c r="K11620" s="760"/>
    </row>
    <row r="11621" spans="1:11">
      <c r="A11621" s="760"/>
      <c r="B11621" s="760"/>
      <c r="C11621" s="760"/>
      <c r="D11621" s="760"/>
      <c r="E11621" s="760"/>
      <c r="F11621" s="760"/>
      <c r="G11621" s="760"/>
      <c r="H11621" s="760"/>
      <c r="I11621" s="760"/>
      <c r="J11621" s="760"/>
      <c r="K11621" s="760"/>
    </row>
    <row r="11622" spans="1:11">
      <c r="A11622" s="760"/>
      <c r="B11622" s="760"/>
      <c r="C11622" s="760"/>
      <c r="D11622" s="760"/>
      <c r="E11622" s="760"/>
      <c r="F11622" s="760"/>
      <c r="G11622" s="760"/>
      <c r="H11622" s="760"/>
      <c r="I11622" s="760"/>
      <c r="J11622" s="760"/>
      <c r="K11622" s="760"/>
    </row>
    <row r="11623" spans="1:11">
      <c r="A11623" s="760"/>
      <c r="B11623" s="760"/>
      <c r="C11623" s="760"/>
      <c r="D11623" s="760"/>
      <c r="E11623" s="760"/>
      <c r="F11623" s="760"/>
      <c r="G11623" s="760"/>
      <c r="H11623" s="760"/>
      <c r="I11623" s="760"/>
      <c r="J11623" s="760"/>
      <c r="K11623" s="760"/>
    </row>
    <row r="11624" spans="1:11">
      <c r="A11624" s="760"/>
      <c r="B11624" s="760"/>
      <c r="C11624" s="760"/>
      <c r="D11624" s="760"/>
      <c r="E11624" s="760"/>
      <c r="F11624" s="760"/>
      <c r="G11624" s="760"/>
      <c r="H11624" s="760"/>
      <c r="I11624" s="760"/>
      <c r="J11624" s="760"/>
      <c r="K11624" s="760"/>
    </row>
    <row r="11625" spans="1:11">
      <c r="A11625" s="760"/>
      <c r="B11625" s="760"/>
      <c r="C11625" s="760"/>
      <c r="D11625" s="760"/>
      <c r="E11625" s="760"/>
      <c r="F11625" s="760"/>
      <c r="G11625" s="760"/>
      <c r="H11625" s="760"/>
      <c r="I11625" s="760"/>
      <c r="J11625" s="760"/>
      <c r="K11625" s="760"/>
    </row>
    <row r="11626" spans="1:11">
      <c r="A11626" s="760"/>
      <c r="B11626" s="760"/>
      <c r="C11626" s="760"/>
      <c r="D11626" s="760"/>
      <c r="E11626" s="760"/>
      <c r="F11626" s="760"/>
      <c r="G11626" s="760"/>
      <c r="H11626" s="760"/>
      <c r="I11626" s="760"/>
      <c r="J11626" s="760"/>
      <c r="K11626" s="760"/>
    </row>
    <row r="11627" spans="1:11">
      <c r="A11627" s="760"/>
      <c r="B11627" s="760"/>
      <c r="C11627" s="760"/>
      <c r="D11627" s="760"/>
      <c r="E11627" s="760"/>
      <c r="F11627" s="760"/>
      <c r="G11627" s="760"/>
      <c r="H11627" s="760"/>
      <c r="I11627" s="760"/>
      <c r="J11627" s="760"/>
      <c r="K11627" s="760"/>
    </row>
    <row r="11628" spans="1:11">
      <c r="A11628" s="760"/>
      <c r="B11628" s="760"/>
      <c r="C11628" s="760"/>
      <c r="D11628" s="760"/>
      <c r="E11628" s="760"/>
      <c r="F11628" s="760"/>
      <c r="G11628" s="760"/>
      <c r="H11628" s="760"/>
      <c r="I11628" s="760"/>
      <c r="J11628" s="760"/>
      <c r="K11628" s="760"/>
    </row>
    <row r="11629" spans="1:11">
      <c r="A11629" s="760"/>
      <c r="B11629" s="760"/>
      <c r="C11629" s="760"/>
      <c r="D11629" s="760"/>
      <c r="E11629" s="760"/>
      <c r="F11629" s="760"/>
      <c r="G11629" s="760"/>
      <c r="H11629" s="760"/>
      <c r="I11629" s="760"/>
      <c r="J11629" s="760"/>
      <c r="K11629" s="760"/>
    </row>
    <row r="11630" spans="1:11">
      <c r="A11630" s="760"/>
      <c r="B11630" s="760"/>
      <c r="C11630" s="760"/>
      <c r="D11630" s="760"/>
      <c r="E11630" s="760"/>
      <c r="F11630" s="760"/>
      <c r="G11630" s="760"/>
      <c r="H11630" s="760"/>
      <c r="I11630" s="760"/>
      <c r="J11630" s="760"/>
      <c r="K11630" s="760"/>
    </row>
    <row r="11631" spans="1:11">
      <c r="A11631" s="760"/>
      <c r="B11631" s="760"/>
      <c r="C11631" s="760"/>
      <c r="D11631" s="760"/>
      <c r="E11631" s="760"/>
      <c r="F11631" s="760"/>
      <c r="G11631" s="760"/>
      <c r="H11631" s="760"/>
      <c r="I11631" s="760"/>
      <c r="J11631" s="760"/>
      <c r="K11631" s="760"/>
    </row>
    <row r="11632" spans="1:11">
      <c r="A11632" s="760"/>
      <c r="B11632" s="760"/>
      <c r="C11632" s="760"/>
      <c r="D11632" s="760"/>
      <c r="E11632" s="760"/>
      <c r="F11632" s="760"/>
      <c r="G11632" s="760"/>
      <c r="H11632" s="760"/>
      <c r="I11632" s="760"/>
      <c r="J11632" s="760"/>
      <c r="K11632" s="760"/>
    </row>
    <row r="11633" spans="1:11">
      <c r="A11633" s="760"/>
      <c r="B11633" s="760"/>
      <c r="C11633" s="760"/>
      <c r="D11633" s="760"/>
      <c r="E11633" s="760"/>
      <c r="F11633" s="760"/>
      <c r="G11633" s="760"/>
      <c r="H11633" s="760"/>
      <c r="I11633" s="760"/>
      <c r="J11633" s="760"/>
      <c r="K11633" s="760"/>
    </row>
    <row r="11634" spans="1:11">
      <c r="A11634" s="760"/>
      <c r="B11634" s="760"/>
      <c r="C11634" s="760"/>
      <c r="D11634" s="760"/>
      <c r="E11634" s="760"/>
      <c r="F11634" s="760"/>
      <c r="G11634" s="760"/>
      <c r="H11634" s="760"/>
      <c r="I11634" s="760"/>
      <c r="J11634" s="760"/>
      <c r="K11634" s="760"/>
    </row>
    <row r="11635" spans="1:11">
      <c r="A11635" s="760"/>
      <c r="B11635" s="760"/>
      <c r="C11635" s="760"/>
      <c r="D11635" s="760"/>
      <c r="E11635" s="760"/>
      <c r="F11635" s="760"/>
      <c r="G11635" s="760"/>
      <c r="H11635" s="760"/>
      <c r="I11635" s="760"/>
      <c r="J11635" s="760"/>
      <c r="K11635" s="760"/>
    </row>
    <row r="11636" spans="1:11">
      <c r="A11636" s="760"/>
      <c r="B11636" s="760"/>
      <c r="C11636" s="760"/>
      <c r="D11636" s="760"/>
      <c r="E11636" s="760"/>
      <c r="F11636" s="760"/>
      <c r="G11636" s="760"/>
      <c r="H11636" s="760"/>
      <c r="I11636" s="760"/>
      <c r="J11636" s="760"/>
      <c r="K11636" s="760"/>
    </row>
    <row r="11637" spans="1:11">
      <c r="A11637" s="760"/>
      <c r="B11637" s="760"/>
      <c r="C11637" s="760"/>
      <c r="D11637" s="760"/>
      <c r="E11637" s="760"/>
      <c r="F11637" s="760"/>
      <c r="G11637" s="760"/>
      <c r="H11637" s="760"/>
      <c r="I11637" s="760"/>
      <c r="J11637" s="760"/>
      <c r="K11637" s="760"/>
    </row>
    <row r="11638" spans="1:11">
      <c r="A11638" s="760"/>
      <c r="B11638" s="760"/>
      <c r="C11638" s="760"/>
      <c r="D11638" s="760"/>
      <c r="E11638" s="760"/>
      <c r="F11638" s="760"/>
      <c r="G11638" s="760"/>
      <c r="H11638" s="760"/>
      <c r="I11638" s="760"/>
      <c r="J11638" s="760"/>
      <c r="K11638" s="760"/>
    </row>
    <row r="11639" spans="1:11">
      <c r="A11639" s="760"/>
      <c r="B11639" s="760"/>
      <c r="C11639" s="760"/>
      <c r="D11639" s="760"/>
      <c r="E11639" s="760"/>
      <c r="F11639" s="760"/>
      <c r="G11639" s="760"/>
      <c r="H11639" s="760"/>
      <c r="I11639" s="760"/>
      <c r="J11639" s="760"/>
      <c r="K11639" s="760"/>
    </row>
    <row r="11640" spans="1:11">
      <c r="A11640" s="760"/>
      <c r="B11640" s="760"/>
      <c r="C11640" s="760"/>
      <c r="D11640" s="760"/>
      <c r="E11640" s="760"/>
      <c r="F11640" s="760"/>
      <c r="G11640" s="760"/>
      <c r="H11640" s="760"/>
      <c r="I11640" s="760"/>
      <c r="J11640" s="760"/>
      <c r="K11640" s="760"/>
    </row>
    <row r="11641" spans="1:11">
      <c r="A11641" s="760"/>
      <c r="B11641" s="760"/>
      <c r="C11641" s="760"/>
      <c r="D11641" s="760"/>
      <c r="E11641" s="760"/>
      <c r="F11641" s="760"/>
      <c r="G11641" s="760"/>
      <c r="H11641" s="760"/>
      <c r="I11641" s="760"/>
      <c r="J11641" s="760"/>
      <c r="K11641" s="760"/>
    </row>
    <row r="11642" spans="1:11">
      <c r="A11642" s="760"/>
      <c r="B11642" s="760"/>
      <c r="C11642" s="760"/>
      <c r="D11642" s="760"/>
      <c r="E11642" s="760"/>
      <c r="F11642" s="760"/>
      <c r="G11642" s="760"/>
      <c r="H11642" s="760"/>
      <c r="I11642" s="760"/>
      <c r="J11642" s="760"/>
      <c r="K11642" s="760"/>
    </row>
    <row r="11643" spans="1:11">
      <c r="A11643" s="760"/>
      <c r="B11643" s="760"/>
      <c r="C11643" s="760"/>
      <c r="D11643" s="760"/>
      <c r="E11643" s="760"/>
      <c r="F11643" s="760"/>
      <c r="G11643" s="760"/>
      <c r="H11643" s="760"/>
      <c r="I11643" s="760"/>
      <c r="J11643" s="760"/>
      <c r="K11643" s="760"/>
    </row>
    <row r="11644" spans="1:11">
      <c r="A11644" s="760"/>
      <c r="B11644" s="760"/>
      <c r="C11644" s="760"/>
      <c r="D11644" s="760"/>
      <c r="E11644" s="760"/>
      <c r="F11644" s="760"/>
      <c r="G11644" s="760"/>
      <c r="H11644" s="760"/>
      <c r="I11644" s="760"/>
      <c r="J11644" s="760"/>
      <c r="K11644" s="760"/>
    </row>
    <row r="11645" spans="1:11">
      <c r="A11645" s="760"/>
      <c r="B11645" s="760"/>
      <c r="C11645" s="760"/>
      <c r="D11645" s="760"/>
      <c r="E11645" s="760"/>
      <c r="F11645" s="760"/>
      <c r="G11645" s="760"/>
      <c r="H11645" s="760"/>
      <c r="I11645" s="760"/>
      <c r="J11645" s="760"/>
      <c r="K11645" s="760"/>
    </row>
    <row r="11646" spans="1:11">
      <c r="A11646" s="760"/>
      <c r="B11646" s="760"/>
      <c r="C11646" s="760"/>
      <c r="D11646" s="760"/>
      <c r="E11646" s="760"/>
      <c r="F11646" s="760"/>
      <c r="G11646" s="760"/>
      <c r="H11646" s="760"/>
      <c r="I11646" s="760"/>
      <c r="J11646" s="760"/>
      <c r="K11646" s="760"/>
    </row>
    <row r="11647" spans="1:11">
      <c r="A11647" s="760"/>
      <c r="B11647" s="760"/>
      <c r="C11647" s="760"/>
      <c r="D11647" s="760"/>
      <c r="E11647" s="760"/>
      <c r="F11647" s="760"/>
      <c r="G11647" s="760"/>
      <c r="H11647" s="760"/>
      <c r="I11647" s="760"/>
      <c r="J11647" s="760"/>
      <c r="K11647" s="760"/>
    </row>
    <row r="11648" spans="1:11">
      <c r="A11648" s="760"/>
      <c r="B11648" s="760"/>
      <c r="C11648" s="760"/>
      <c r="D11648" s="760"/>
      <c r="E11648" s="760"/>
      <c r="F11648" s="760"/>
      <c r="G11648" s="760"/>
      <c r="H11648" s="760"/>
      <c r="I11648" s="760"/>
      <c r="J11648" s="760"/>
      <c r="K11648" s="760"/>
    </row>
    <row r="11649" spans="1:11">
      <c r="A11649" s="760"/>
      <c r="B11649" s="760"/>
      <c r="C11649" s="760"/>
      <c r="D11649" s="760"/>
      <c r="E11649" s="760"/>
      <c r="F11649" s="760"/>
      <c r="G11649" s="760"/>
      <c r="H11649" s="760"/>
      <c r="I11649" s="760"/>
      <c r="J11649" s="760"/>
      <c r="K11649" s="760"/>
    </row>
    <row r="11650" spans="1:11">
      <c r="A11650" s="760"/>
      <c r="B11650" s="760"/>
      <c r="C11650" s="760"/>
      <c r="D11650" s="760"/>
      <c r="E11650" s="760"/>
      <c r="F11650" s="760"/>
      <c r="G11650" s="760"/>
      <c r="H11650" s="760"/>
      <c r="I11650" s="760"/>
      <c r="J11650" s="760"/>
      <c r="K11650" s="760"/>
    </row>
    <row r="11651" spans="1:11">
      <c r="A11651" s="760"/>
      <c r="B11651" s="760"/>
      <c r="C11651" s="760"/>
      <c r="D11651" s="760"/>
      <c r="E11651" s="760"/>
      <c r="F11651" s="760"/>
      <c r="G11651" s="760"/>
      <c r="H11651" s="760"/>
      <c r="I11651" s="760"/>
      <c r="J11651" s="760"/>
      <c r="K11651" s="760"/>
    </row>
    <row r="11652" spans="1:11">
      <c r="A11652" s="760"/>
      <c r="B11652" s="760"/>
      <c r="C11652" s="760"/>
      <c r="D11652" s="760"/>
      <c r="E11652" s="760"/>
      <c r="F11652" s="760"/>
      <c r="G11652" s="760"/>
      <c r="H11652" s="760"/>
      <c r="I11652" s="760"/>
      <c r="J11652" s="760"/>
      <c r="K11652" s="760"/>
    </row>
    <row r="11653" spans="1:11">
      <c r="A11653" s="760"/>
      <c r="B11653" s="760"/>
      <c r="C11653" s="760"/>
      <c r="D11653" s="760"/>
      <c r="E11653" s="760"/>
      <c r="F11653" s="760"/>
      <c r="G11653" s="760"/>
      <c r="H11653" s="760"/>
      <c r="I11653" s="760"/>
      <c r="J11653" s="760"/>
      <c r="K11653" s="760"/>
    </row>
    <row r="11654" spans="1:11">
      <c r="A11654" s="760"/>
      <c r="B11654" s="760"/>
      <c r="C11654" s="760"/>
      <c r="D11654" s="760"/>
      <c r="E11654" s="760"/>
      <c r="F11654" s="760"/>
      <c r="G11654" s="760"/>
      <c r="H11654" s="760"/>
      <c r="I11654" s="760"/>
      <c r="J11654" s="760"/>
      <c r="K11654" s="760"/>
    </row>
    <row r="11655" spans="1:11">
      <c r="A11655" s="760"/>
      <c r="B11655" s="760"/>
      <c r="C11655" s="760"/>
      <c r="D11655" s="760"/>
      <c r="E11655" s="760"/>
      <c r="F11655" s="760"/>
      <c r="G11655" s="760"/>
      <c r="H11655" s="760"/>
      <c r="I11655" s="760"/>
      <c r="J11655" s="760"/>
      <c r="K11655" s="760"/>
    </row>
    <row r="11656" spans="1:11">
      <c r="A11656" s="760"/>
      <c r="B11656" s="760"/>
      <c r="C11656" s="760"/>
      <c r="D11656" s="760"/>
      <c r="E11656" s="760"/>
      <c r="F11656" s="760"/>
      <c r="G11656" s="760"/>
      <c r="H11656" s="760"/>
      <c r="I11656" s="760"/>
      <c r="J11656" s="760"/>
      <c r="K11656" s="760"/>
    </row>
    <row r="11657" spans="1:11">
      <c r="A11657" s="760"/>
      <c r="B11657" s="760"/>
      <c r="C11657" s="760"/>
      <c r="D11657" s="760"/>
      <c r="E11657" s="760"/>
      <c r="F11657" s="760"/>
      <c r="G11657" s="760"/>
      <c r="H11657" s="760"/>
      <c r="I11657" s="760"/>
      <c r="J11657" s="760"/>
      <c r="K11657" s="760"/>
    </row>
    <row r="11658" spans="1:11">
      <c r="A11658" s="760"/>
      <c r="B11658" s="760"/>
      <c r="C11658" s="760"/>
      <c r="D11658" s="760"/>
      <c r="E11658" s="760"/>
      <c r="F11658" s="760"/>
      <c r="G11658" s="760"/>
      <c r="H11658" s="760"/>
      <c r="I11658" s="760"/>
      <c r="J11658" s="760"/>
      <c r="K11658" s="760"/>
    </row>
    <row r="11659" spans="1:11">
      <c r="A11659" s="760"/>
      <c r="B11659" s="760"/>
      <c r="C11659" s="760"/>
      <c r="D11659" s="760"/>
      <c r="E11659" s="760"/>
      <c r="F11659" s="760"/>
      <c r="G11659" s="760"/>
      <c r="H11659" s="760"/>
      <c r="I11659" s="760"/>
      <c r="J11659" s="760"/>
      <c r="K11659" s="760"/>
    </row>
    <row r="11660" spans="1:11">
      <c r="A11660" s="760"/>
      <c r="B11660" s="760"/>
      <c r="C11660" s="760"/>
      <c r="D11660" s="760"/>
      <c r="E11660" s="760"/>
      <c r="F11660" s="760"/>
      <c r="G11660" s="760"/>
      <c r="H11660" s="760"/>
      <c r="I11660" s="760"/>
      <c r="J11660" s="760"/>
      <c r="K11660" s="760"/>
    </row>
    <row r="11661" spans="1:11">
      <c r="A11661" s="760"/>
      <c r="B11661" s="760"/>
      <c r="C11661" s="760"/>
      <c r="D11661" s="760"/>
      <c r="E11661" s="760"/>
      <c r="F11661" s="760"/>
      <c r="G11661" s="760"/>
      <c r="H11661" s="760"/>
      <c r="I11661" s="760"/>
      <c r="J11661" s="760"/>
      <c r="K11661" s="760"/>
    </row>
    <row r="11662" spans="1:11">
      <c r="A11662" s="760"/>
      <c r="B11662" s="760"/>
      <c r="C11662" s="760"/>
      <c r="D11662" s="760"/>
      <c r="E11662" s="760"/>
      <c r="F11662" s="760"/>
      <c r="G11662" s="760"/>
      <c r="H11662" s="760"/>
      <c r="I11662" s="760"/>
      <c r="J11662" s="760"/>
      <c r="K11662" s="760"/>
    </row>
    <row r="11663" spans="1:11">
      <c r="A11663" s="760"/>
      <c r="B11663" s="760"/>
      <c r="C11663" s="760"/>
      <c r="D11663" s="760"/>
      <c r="E11663" s="760"/>
      <c r="F11663" s="760"/>
      <c r="G11663" s="760"/>
      <c r="H11663" s="760"/>
      <c r="I11663" s="760"/>
      <c r="J11663" s="760"/>
      <c r="K11663" s="760"/>
    </row>
    <row r="11664" spans="1:11">
      <c r="A11664" s="760"/>
      <c r="B11664" s="760"/>
      <c r="C11664" s="760"/>
      <c r="D11664" s="760"/>
      <c r="E11664" s="760"/>
      <c r="F11664" s="760"/>
      <c r="G11664" s="760"/>
      <c r="H11664" s="760"/>
      <c r="I11664" s="760"/>
      <c r="J11664" s="760"/>
      <c r="K11664" s="760"/>
    </row>
    <row r="11665" spans="1:11">
      <c r="A11665" s="760"/>
      <c r="B11665" s="760"/>
      <c r="C11665" s="760"/>
      <c r="D11665" s="760"/>
      <c r="E11665" s="760"/>
      <c r="F11665" s="760"/>
      <c r="G11665" s="760"/>
      <c r="H11665" s="760"/>
      <c r="I11665" s="760"/>
      <c r="J11665" s="760"/>
      <c r="K11665" s="760"/>
    </row>
    <row r="11666" spans="1:11">
      <c r="A11666" s="760"/>
      <c r="B11666" s="760"/>
      <c r="C11666" s="760"/>
      <c r="D11666" s="760"/>
      <c r="E11666" s="760"/>
      <c r="F11666" s="760"/>
      <c r="G11666" s="760"/>
      <c r="H11666" s="760"/>
      <c r="I11666" s="760"/>
      <c r="J11666" s="760"/>
      <c r="K11666" s="760"/>
    </row>
    <row r="11667" spans="1:11">
      <c r="A11667" s="760"/>
      <c r="B11667" s="760"/>
      <c r="C11667" s="760"/>
      <c r="D11667" s="760"/>
      <c r="E11667" s="760"/>
      <c r="F11667" s="760"/>
      <c r="G11667" s="760"/>
      <c r="H11667" s="760"/>
      <c r="I11667" s="760"/>
      <c r="J11667" s="760"/>
      <c r="K11667" s="760"/>
    </row>
    <row r="11668" spans="1:11">
      <c r="A11668" s="760"/>
      <c r="B11668" s="760"/>
      <c r="C11668" s="760"/>
      <c r="D11668" s="760"/>
      <c r="E11668" s="760"/>
      <c r="F11668" s="760"/>
      <c r="G11668" s="760"/>
      <c r="H11668" s="760"/>
      <c r="I11668" s="760"/>
      <c r="J11668" s="760"/>
      <c r="K11668" s="760"/>
    </row>
    <row r="11669" spans="1:11">
      <c r="A11669" s="760"/>
      <c r="B11669" s="760"/>
      <c r="C11669" s="760"/>
      <c r="D11669" s="760"/>
      <c r="E11669" s="760"/>
      <c r="F11669" s="760"/>
      <c r="G11669" s="760"/>
      <c r="H11669" s="760"/>
      <c r="I11669" s="760"/>
      <c r="J11669" s="760"/>
      <c r="K11669" s="760"/>
    </row>
    <row r="11670" spans="1:11">
      <c r="A11670" s="760"/>
      <c r="B11670" s="760"/>
      <c r="C11670" s="760"/>
      <c r="D11670" s="760"/>
      <c r="E11670" s="760"/>
      <c r="F11670" s="760"/>
      <c r="G11670" s="760"/>
      <c r="H11670" s="760"/>
      <c r="I11670" s="760"/>
      <c r="J11670" s="760"/>
      <c r="K11670" s="760"/>
    </row>
    <row r="11671" spans="1:11">
      <c r="A11671" s="760"/>
      <c r="B11671" s="760"/>
      <c r="C11671" s="760"/>
      <c r="D11671" s="760"/>
      <c r="E11671" s="760"/>
      <c r="F11671" s="760"/>
      <c r="G11671" s="760"/>
      <c r="H11671" s="760"/>
      <c r="I11671" s="760"/>
      <c r="J11671" s="760"/>
      <c r="K11671" s="760"/>
    </row>
    <row r="11672" spans="1:11">
      <c r="A11672" s="760"/>
      <c r="B11672" s="760"/>
      <c r="C11672" s="760"/>
      <c r="D11672" s="760"/>
      <c r="E11672" s="760"/>
      <c r="F11672" s="760"/>
      <c r="G11672" s="760"/>
      <c r="H11672" s="760"/>
      <c r="I11672" s="760"/>
      <c r="J11672" s="760"/>
      <c r="K11672" s="760"/>
    </row>
    <row r="11673" spans="1:11">
      <c r="A11673" s="760"/>
      <c r="B11673" s="760"/>
      <c r="C11673" s="760"/>
      <c r="D11673" s="760"/>
      <c r="E11673" s="760"/>
      <c r="F11673" s="760"/>
      <c r="G11673" s="760"/>
      <c r="H11673" s="760"/>
      <c r="I11673" s="760"/>
      <c r="J11673" s="760"/>
      <c r="K11673" s="760"/>
    </row>
    <row r="11674" spans="1:11">
      <c r="A11674" s="760"/>
      <c r="B11674" s="760"/>
      <c r="C11674" s="760"/>
      <c r="D11674" s="760"/>
      <c r="E11674" s="760"/>
      <c r="F11674" s="760"/>
      <c r="G11674" s="760"/>
      <c r="H11674" s="760"/>
      <c r="I11674" s="760"/>
      <c r="J11674" s="760"/>
      <c r="K11674" s="760"/>
    </row>
    <row r="11675" spans="1:11">
      <c r="A11675" s="760"/>
      <c r="B11675" s="760"/>
      <c r="C11675" s="760"/>
      <c r="D11675" s="760"/>
      <c r="E11675" s="760"/>
      <c r="F11675" s="760"/>
      <c r="G11675" s="760"/>
      <c r="H11675" s="760"/>
      <c r="I11675" s="760"/>
      <c r="J11675" s="760"/>
      <c r="K11675" s="760"/>
    </row>
    <row r="11676" spans="1:11">
      <c r="A11676" s="760"/>
      <c r="B11676" s="760"/>
      <c r="C11676" s="760"/>
      <c r="D11676" s="760"/>
      <c r="E11676" s="760"/>
      <c r="F11676" s="760"/>
      <c r="G11676" s="760"/>
      <c r="H11676" s="760"/>
      <c r="I11676" s="760"/>
      <c r="J11676" s="760"/>
      <c r="K11676" s="760"/>
    </row>
    <row r="11677" spans="1:11">
      <c r="A11677" s="760"/>
      <c r="B11677" s="760"/>
      <c r="C11677" s="760"/>
      <c r="D11677" s="760"/>
      <c r="E11677" s="760"/>
      <c r="F11677" s="760"/>
      <c r="G11677" s="760"/>
      <c r="H11677" s="760"/>
      <c r="I11677" s="760"/>
      <c r="J11677" s="760"/>
      <c r="K11677" s="760"/>
    </row>
    <row r="11678" spans="1:11">
      <c r="A11678" s="760"/>
      <c r="B11678" s="760"/>
      <c r="C11678" s="760"/>
      <c r="D11678" s="760"/>
      <c r="E11678" s="760"/>
      <c r="F11678" s="760"/>
      <c r="G11678" s="760"/>
      <c r="H11678" s="760"/>
      <c r="I11678" s="760"/>
      <c r="J11678" s="760"/>
      <c r="K11678" s="760"/>
    </row>
    <row r="11679" spans="1:11">
      <c r="A11679" s="760"/>
      <c r="B11679" s="760"/>
      <c r="C11679" s="760"/>
      <c r="D11679" s="760"/>
      <c r="E11679" s="760"/>
      <c r="F11679" s="760"/>
      <c r="G11679" s="760"/>
      <c r="H11679" s="760"/>
      <c r="I11679" s="760"/>
      <c r="J11679" s="760"/>
      <c r="K11679" s="760"/>
    </row>
    <row r="11680" spans="1:11">
      <c r="A11680" s="760"/>
      <c r="B11680" s="760"/>
      <c r="C11680" s="760"/>
      <c r="D11680" s="760"/>
      <c r="E11680" s="760"/>
      <c r="F11680" s="760"/>
      <c r="G11680" s="760"/>
      <c r="H11680" s="760"/>
      <c r="I11680" s="760"/>
      <c r="J11680" s="760"/>
      <c r="K11680" s="760"/>
    </row>
    <row r="11681" spans="1:11">
      <c r="A11681" s="760"/>
      <c r="B11681" s="760"/>
      <c r="C11681" s="760"/>
      <c r="D11681" s="760"/>
      <c r="E11681" s="760"/>
      <c r="F11681" s="760"/>
      <c r="G11681" s="760"/>
      <c r="H11681" s="760"/>
      <c r="I11681" s="760"/>
      <c r="J11681" s="760"/>
      <c r="K11681" s="760"/>
    </row>
    <row r="11682" spans="1:11">
      <c r="A11682" s="760"/>
      <c r="B11682" s="760"/>
      <c r="C11682" s="760"/>
      <c r="D11682" s="760"/>
      <c r="E11682" s="760"/>
      <c r="F11682" s="760"/>
      <c r="G11682" s="760"/>
      <c r="H11682" s="760"/>
      <c r="I11682" s="760"/>
      <c r="J11682" s="760"/>
      <c r="K11682" s="760"/>
    </row>
    <row r="11683" spans="1:11">
      <c r="A11683" s="760"/>
      <c r="B11683" s="760"/>
      <c r="C11683" s="760"/>
      <c r="D11683" s="760"/>
      <c r="E11683" s="760"/>
      <c r="F11683" s="760"/>
      <c r="G11683" s="760"/>
      <c r="H11683" s="760"/>
      <c r="I11683" s="760"/>
      <c r="J11683" s="760"/>
      <c r="K11683" s="760"/>
    </row>
    <row r="11684" spans="1:11">
      <c r="A11684" s="760"/>
      <c r="B11684" s="760"/>
      <c r="C11684" s="760"/>
      <c r="D11684" s="760"/>
      <c r="E11684" s="760"/>
      <c r="F11684" s="760"/>
      <c r="G11684" s="760"/>
      <c r="H11684" s="760"/>
      <c r="I11684" s="760"/>
      <c r="J11684" s="760"/>
      <c r="K11684" s="760"/>
    </row>
    <row r="11685" spans="1:11">
      <c r="A11685" s="760"/>
      <c r="B11685" s="760"/>
      <c r="C11685" s="760"/>
      <c r="D11685" s="760"/>
      <c r="E11685" s="760"/>
      <c r="F11685" s="760"/>
      <c r="G11685" s="760"/>
      <c r="H11685" s="760"/>
      <c r="I11685" s="760"/>
      <c r="J11685" s="760"/>
      <c r="K11685" s="760"/>
    </row>
    <row r="11686" spans="1:11">
      <c r="A11686" s="760"/>
      <c r="B11686" s="760"/>
      <c r="C11686" s="760"/>
      <c r="D11686" s="760"/>
      <c r="E11686" s="760"/>
      <c r="F11686" s="760"/>
      <c r="G11686" s="760"/>
      <c r="H11686" s="760"/>
      <c r="I11686" s="760"/>
      <c r="J11686" s="760"/>
      <c r="K11686" s="760"/>
    </row>
    <row r="11687" spans="1:11">
      <c r="A11687" s="760"/>
      <c r="B11687" s="760"/>
      <c r="C11687" s="760"/>
      <c r="D11687" s="760"/>
      <c r="E11687" s="760"/>
      <c r="F11687" s="760"/>
      <c r="G11687" s="760"/>
      <c r="H11687" s="760"/>
      <c r="I11687" s="760"/>
      <c r="J11687" s="760"/>
      <c r="K11687" s="760"/>
    </row>
    <row r="11688" spans="1:11">
      <c r="A11688" s="760"/>
      <c r="B11688" s="760"/>
      <c r="C11688" s="760"/>
      <c r="D11688" s="760"/>
      <c r="E11688" s="760"/>
      <c r="F11688" s="760"/>
      <c r="G11688" s="760"/>
      <c r="H11688" s="760"/>
      <c r="I11688" s="760"/>
      <c r="J11688" s="760"/>
      <c r="K11688" s="760"/>
    </row>
    <row r="11689" spans="1:11">
      <c r="A11689" s="760"/>
      <c r="B11689" s="760"/>
      <c r="C11689" s="760"/>
      <c r="D11689" s="760"/>
      <c r="E11689" s="760"/>
      <c r="F11689" s="760"/>
      <c r="G11689" s="760"/>
      <c r="H11689" s="760"/>
      <c r="I11689" s="760"/>
      <c r="J11689" s="760"/>
      <c r="K11689" s="760"/>
    </row>
    <row r="11690" spans="1:11">
      <c r="A11690" s="760"/>
      <c r="B11690" s="760"/>
      <c r="C11690" s="760"/>
      <c r="D11690" s="760"/>
      <c r="E11690" s="760"/>
      <c r="F11690" s="760"/>
      <c r="G11690" s="760"/>
      <c r="H11690" s="760"/>
      <c r="I11690" s="760"/>
      <c r="J11690" s="760"/>
      <c r="K11690" s="760"/>
    </row>
    <row r="11691" spans="1:11">
      <c r="A11691" s="760"/>
      <c r="B11691" s="760"/>
      <c r="C11691" s="760"/>
      <c r="D11691" s="760"/>
      <c r="E11691" s="760"/>
      <c r="F11691" s="760"/>
      <c r="G11691" s="760"/>
      <c r="H11691" s="760"/>
      <c r="I11691" s="760"/>
      <c r="J11691" s="760"/>
      <c r="K11691" s="760"/>
    </row>
    <row r="11692" spans="1:11">
      <c r="A11692" s="760"/>
      <c r="B11692" s="760"/>
      <c r="C11692" s="760"/>
      <c r="D11692" s="760"/>
      <c r="E11692" s="760"/>
      <c r="F11692" s="760"/>
      <c r="G11692" s="760"/>
      <c r="H11692" s="760"/>
      <c r="I11692" s="760"/>
      <c r="J11692" s="760"/>
      <c r="K11692" s="760"/>
    </row>
    <row r="11693" spans="1:11">
      <c r="A11693" s="760"/>
      <c r="B11693" s="760"/>
      <c r="C11693" s="760"/>
      <c r="D11693" s="760"/>
      <c r="E11693" s="760"/>
      <c r="F11693" s="760"/>
      <c r="G11693" s="760"/>
      <c r="H11693" s="760"/>
      <c r="I11693" s="760"/>
      <c r="J11693" s="760"/>
      <c r="K11693" s="760"/>
    </row>
    <row r="11694" spans="1:11">
      <c r="A11694" s="760"/>
      <c r="B11694" s="760"/>
      <c r="C11694" s="760"/>
      <c r="D11694" s="760"/>
      <c r="E11694" s="760"/>
      <c r="F11694" s="760"/>
      <c r="G11694" s="760"/>
      <c r="H11694" s="760"/>
      <c r="I11694" s="760"/>
      <c r="J11694" s="760"/>
      <c r="K11694" s="760"/>
    </row>
    <row r="11695" spans="1:11">
      <c r="A11695" s="760"/>
      <c r="B11695" s="760"/>
      <c r="C11695" s="760"/>
      <c r="D11695" s="760"/>
      <c r="E11695" s="760"/>
      <c r="F11695" s="760"/>
      <c r="G11695" s="760"/>
      <c r="H11695" s="760"/>
      <c r="I11695" s="760"/>
      <c r="J11695" s="760"/>
      <c r="K11695" s="760"/>
    </row>
    <row r="11696" spans="1:11">
      <c r="A11696" s="760"/>
      <c r="B11696" s="760"/>
      <c r="C11696" s="760"/>
      <c r="D11696" s="760"/>
      <c r="E11696" s="760"/>
      <c r="F11696" s="760"/>
      <c r="G11696" s="760"/>
      <c r="H11696" s="760"/>
      <c r="I11696" s="760"/>
      <c r="J11696" s="760"/>
      <c r="K11696" s="760"/>
    </row>
    <row r="11697" spans="1:11">
      <c r="A11697" s="760"/>
      <c r="B11697" s="760"/>
      <c r="C11697" s="760"/>
      <c r="D11697" s="760"/>
      <c r="E11697" s="760"/>
      <c r="F11697" s="760"/>
      <c r="G11697" s="760"/>
      <c r="H11697" s="760"/>
      <c r="I11697" s="760"/>
      <c r="J11697" s="760"/>
      <c r="K11697" s="760"/>
    </row>
    <row r="11698" spans="1:11">
      <c r="A11698" s="760"/>
      <c r="B11698" s="760"/>
      <c r="C11698" s="760"/>
      <c r="D11698" s="760"/>
      <c r="E11698" s="760"/>
      <c r="F11698" s="760"/>
      <c r="G11698" s="760"/>
      <c r="H11698" s="760"/>
      <c r="I11698" s="760"/>
      <c r="J11698" s="760"/>
      <c r="K11698" s="760"/>
    </row>
    <row r="11699" spans="1:11">
      <c r="A11699" s="760"/>
      <c r="B11699" s="760"/>
      <c r="C11699" s="760"/>
      <c r="D11699" s="760"/>
      <c r="E11699" s="760"/>
      <c r="F11699" s="760"/>
      <c r="G11699" s="760"/>
      <c r="H11699" s="760"/>
      <c r="I11699" s="760"/>
      <c r="J11699" s="760"/>
      <c r="K11699" s="760"/>
    </row>
    <row r="11700" spans="1:11">
      <c r="A11700" s="760"/>
      <c r="B11700" s="760"/>
      <c r="C11700" s="760"/>
      <c r="D11700" s="760"/>
      <c r="E11700" s="760"/>
      <c r="F11700" s="760"/>
      <c r="G11700" s="760"/>
      <c r="H11700" s="760"/>
      <c r="I11700" s="760"/>
      <c r="J11700" s="760"/>
      <c r="K11700" s="760"/>
    </row>
    <row r="11701" spans="1:11">
      <c r="A11701" s="760"/>
      <c r="B11701" s="760"/>
      <c r="C11701" s="760"/>
      <c r="D11701" s="760"/>
      <c r="E11701" s="760"/>
      <c r="F11701" s="760"/>
      <c r="G11701" s="760"/>
      <c r="H11701" s="760"/>
      <c r="I11701" s="760"/>
      <c r="J11701" s="760"/>
      <c r="K11701" s="760"/>
    </row>
    <row r="11702" spans="1:11">
      <c r="A11702" s="760"/>
      <c r="B11702" s="760"/>
      <c r="C11702" s="760"/>
      <c r="D11702" s="760"/>
      <c r="E11702" s="760"/>
      <c r="F11702" s="760"/>
      <c r="G11702" s="760"/>
      <c r="H11702" s="760"/>
      <c r="I11702" s="760"/>
      <c r="J11702" s="760"/>
      <c r="K11702" s="760"/>
    </row>
    <row r="11703" spans="1:11">
      <c r="A11703" s="760"/>
      <c r="B11703" s="760"/>
      <c r="C11703" s="760"/>
      <c r="D11703" s="760"/>
      <c r="E11703" s="760"/>
      <c r="F11703" s="760"/>
      <c r="G11703" s="760"/>
      <c r="H11703" s="760"/>
      <c r="I11703" s="760"/>
      <c r="J11703" s="760"/>
      <c r="K11703" s="760"/>
    </row>
    <row r="11704" spans="1:11">
      <c r="A11704" s="760"/>
      <c r="B11704" s="760"/>
      <c r="C11704" s="760"/>
      <c r="D11704" s="760"/>
      <c r="E11704" s="760"/>
      <c r="F11704" s="760"/>
      <c r="G11704" s="760"/>
      <c r="H11704" s="760"/>
      <c r="I11704" s="760"/>
      <c r="J11704" s="760"/>
      <c r="K11704" s="760"/>
    </row>
    <row r="11705" spans="1:11">
      <c r="A11705" s="760"/>
      <c r="B11705" s="760"/>
      <c r="C11705" s="760"/>
      <c r="D11705" s="760"/>
      <c r="E11705" s="760"/>
      <c r="F11705" s="760"/>
      <c r="G11705" s="760"/>
      <c r="H11705" s="760"/>
      <c r="I11705" s="760"/>
      <c r="J11705" s="760"/>
      <c r="K11705" s="760"/>
    </row>
    <row r="11706" spans="1:11">
      <c r="A11706" s="760"/>
      <c r="B11706" s="760"/>
      <c r="C11706" s="760"/>
      <c r="D11706" s="760"/>
      <c r="E11706" s="760"/>
      <c r="F11706" s="760"/>
      <c r="G11706" s="760"/>
      <c r="H11706" s="760"/>
      <c r="I11706" s="760"/>
      <c r="J11706" s="760"/>
      <c r="K11706" s="760"/>
    </row>
    <row r="11707" spans="1:11">
      <c r="A11707" s="760"/>
      <c r="B11707" s="760"/>
      <c r="C11707" s="760"/>
      <c r="D11707" s="760"/>
      <c r="E11707" s="760"/>
      <c r="F11707" s="760"/>
      <c r="G11707" s="760"/>
      <c r="H11707" s="760"/>
      <c r="I11707" s="760"/>
      <c r="J11707" s="760"/>
      <c r="K11707" s="760"/>
    </row>
    <row r="11708" spans="1:11">
      <c r="A11708" s="760"/>
      <c r="B11708" s="760"/>
      <c r="C11708" s="760"/>
      <c r="D11708" s="760"/>
      <c r="E11708" s="760"/>
      <c r="F11708" s="760"/>
      <c r="G11708" s="760"/>
      <c r="H11708" s="760"/>
      <c r="I11708" s="760"/>
      <c r="J11708" s="760"/>
      <c r="K11708" s="760"/>
    </row>
    <row r="11709" spans="1:11">
      <c r="A11709" s="760"/>
      <c r="B11709" s="760"/>
      <c r="C11709" s="760"/>
      <c r="D11709" s="760"/>
      <c r="E11709" s="760"/>
      <c r="F11709" s="760"/>
      <c r="G11709" s="760"/>
      <c r="H11709" s="760"/>
      <c r="I11709" s="760"/>
      <c r="J11709" s="760"/>
      <c r="K11709" s="760"/>
    </row>
    <row r="11710" spans="1:11">
      <c r="A11710" s="760"/>
      <c r="B11710" s="760"/>
      <c r="C11710" s="760"/>
      <c r="D11710" s="760"/>
      <c r="E11710" s="760"/>
      <c r="F11710" s="760"/>
      <c r="G11710" s="760"/>
      <c r="H11710" s="760"/>
      <c r="I11710" s="760"/>
      <c r="J11710" s="760"/>
      <c r="K11710" s="760"/>
    </row>
    <row r="11711" spans="1:11">
      <c r="A11711" s="760"/>
      <c r="B11711" s="760"/>
      <c r="C11711" s="760"/>
      <c r="D11711" s="760"/>
      <c r="E11711" s="760"/>
      <c r="F11711" s="760"/>
      <c r="G11711" s="760"/>
      <c r="H11711" s="760"/>
      <c r="I11711" s="760"/>
      <c r="J11711" s="760"/>
      <c r="K11711" s="760"/>
    </row>
    <row r="11712" spans="1:11">
      <c r="A11712" s="760"/>
      <c r="B11712" s="760"/>
      <c r="C11712" s="760"/>
      <c r="D11712" s="760"/>
      <c r="E11712" s="760"/>
      <c r="F11712" s="760"/>
      <c r="G11712" s="760"/>
      <c r="H11712" s="760"/>
      <c r="I11712" s="760"/>
      <c r="J11712" s="760"/>
      <c r="K11712" s="760"/>
    </row>
    <row r="11713" spans="1:11">
      <c r="A11713" s="760"/>
      <c r="B11713" s="760"/>
      <c r="C11713" s="760"/>
      <c r="D11713" s="760"/>
      <c r="E11713" s="760"/>
      <c r="F11713" s="760"/>
      <c r="G11713" s="760"/>
      <c r="H11713" s="760"/>
      <c r="I11713" s="760"/>
      <c r="J11713" s="760"/>
      <c r="K11713" s="760"/>
    </row>
    <row r="11714" spans="1:11">
      <c r="A11714" s="760"/>
      <c r="B11714" s="760"/>
      <c r="C11714" s="760"/>
      <c r="D11714" s="760"/>
      <c r="E11714" s="760"/>
      <c r="F11714" s="760"/>
      <c r="G11714" s="760"/>
      <c r="H11714" s="760"/>
      <c r="I11714" s="760"/>
      <c r="J11714" s="760"/>
      <c r="K11714" s="760"/>
    </row>
    <row r="11715" spans="1:11">
      <c r="A11715" s="760"/>
      <c r="B11715" s="760"/>
      <c r="C11715" s="760"/>
      <c r="D11715" s="760"/>
      <c r="E11715" s="760"/>
      <c r="F11715" s="760"/>
      <c r="G11715" s="760"/>
      <c r="H11715" s="760"/>
      <c r="I11715" s="760"/>
      <c r="J11715" s="760"/>
      <c r="K11715" s="760"/>
    </row>
    <row r="11716" spans="1:11">
      <c r="A11716" s="760"/>
      <c r="B11716" s="760"/>
      <c r="C11716" s="760"/>
      <c r="D11716" s="760"/>
      <c r="E11716" s="760"/>
      <c r="F11716" s="760"/>
      <c r="G11716" s="760"/>
      <c r="H11716" s="760"/>
      <c r="I11716" s="760"/>
      <c r="J11716" s="760"/>
      <c r="K11716" s="760"/>
    </row>
    <row r="11717" spans="1:11">
      <c r="A11717" s="760"/>
      <c r="B11717" s="760"/>
      <c r="C11717" s="760"/>
      <c r="D11717" s="760"/>
      <c r="E11717" s="760"/>
      <c r="F11717" s="760"/>
      <c r="G11717" s="760"/>
      <c r="H11717" s="760"/>
      <c r="I11717" s="760"/>
      <c r="J11717" s="760"/>
      <c r="K11717" s="760"/>
    </row>
    <row r="11718" spans="1:11">
      <c r="A11718" s="760"/>
      <c r="B11718" s="760"/>
      <c r="C11718" s="760"/>
      <c r="D11718" s="760"/>
      <c r="E11718" s="760"/>
      <c r="F11718" s="760"/>
      <c r="G11718" s="760"/>
      <c r="H11718" s="760"/>
      <c r="I11718" s="760"/>
      <c r="J11718" s="760"/>
      <c r="K11718" s="760"/>
    </row>
    <row r="11719" spans="1:11">
      <c r="A11719" s="760"/>
      <c r="B11719" s="760"/>
      <c r="C11719" s="760"/>
      <c r="D11719" s="760"/>
      <c r="E11719" s="760"/>
      <c r="F11719" s="760"/>
      <c r="G11719" s="760"/>
      <c r="H11719" s="760"/>
      <c r="I11719" s="760"/>
      <c r="J11719" s="760"/>
      <c r="K11719" s="760"/>
    </row>
    <row r="11720" spans="1:11">
      <c r="A11720" s="760"/>
      <c r="B11720" s="760"/>
      <c r="C11720" s="760"/>
      <c r="D11720" s="760"/>
      <c r="E11720" s="760"/>
      <c r="F11720" s="760"/>
      <c r="G11720" s="760"/>
      <c r="H11720" s="760"/>
      <c r="I11720" s="760"/>
      <c r="J11720" s="760"/>
      <c r="K11720" s="760"/>
    </row>
    <row r="11721" spans="1:11">
      <c r="A11721" s="760"/>
      <c r="B11721" s="760"/>
      <c r="C11721" s="760"/>
      <c r="D11721" s="760"/>
      <c r="E11721" s="760"/>
      <c r="F11721" s="760"/>
      <c r="G11721" s="760"/>
      <c r="H11721" s="760"/>
      <c r="I11721" s="760"/>
      <c r="J11721" s="760"/>
      <c r="K11721" s="760"/>
    </row>
    <row r="11722" spans="1:11">
      <c r="A11722" s="760"/>
      <c r="B11722" s="760"/>
      <c r="C11722" s="760"/>
      <c r="D11722" s="760"/>
      <c r="E11722" s="760"/>
      <c r="F11722" s="760"/>
      <c r="G11722" s="760"/>
      <c r="H11722" s="760"/>
      <c r="I11722" s="760"/>
      <c r="J11722" s="760"/>
      <c r="K11722" s="760"/>
    </row>
    <row r="11723" spans="1:11">
      <c r="A11723" s="760"/>
      <c r="B11723" s="760"/>
      <c r="C11723" s="760"/>
      <c r="D11723" s="760"/>
      <c r="E11723" s="760"/>
      <c r="F11723" s="760"/>
      <c r="G11723" s="760"/>
      <c r="H11723" s="760"/>
      <c r="I11723" s="760"/>
      <c r="J11723" s="760"/>
      <c r="K11723" s="760"/>
    </row>
    <row r="11724" spans="1:11">
      <c r="A11724" s="760"/>
      <c r="B11724" s="760"/>
      <c r="C11724" s="760"/>
      <c r="D11724" s="760"/>
      <c r="E11724" s="760"/>
      <c r="F11724" s="760"/>
      <c r="G11724" s="760"/>
      <c r="H11724" s="760"/>
      <c r="I11724" s="760"/>
      <c r="J11724" s="760"/>
      <c r="K11724" s="760"/>
    </row>
    <row r="11725" spans="1:11">
      <c r="A11725" s="760"/>
      <c r="B11725" s="760"/>
      <c r="C11725" s="760"/>
      <c r="D11725" s="760"/>
      <c r="E11725" s="760"/>
      <c r="F11725" s="760"/>
      <c r="G11725" s="760"/>
      <c r="H11725" s="760"/>
      <c r="I11725" s="760"/>
      <c r="J11725" s="760"/>
      <c r="K11725" s="760"/>
    </row>
    <row r="11726" spans="1:11">
      <c r="A11726" s="760"/>
      <c r="B11726" s="760"/>
      <c r="C11726" s="760"/>
      <c r="D11726" s="760"/>
      <c r="E11726" s="760"/>
      <c r="F11726" s="760"/>
      <c r="G11726" s="760"/>
      <c r="H11726" s="760"/>
      <c r="I11726" s="760"/>
      <c r="J11726" s="760"/>
      <c r="K11726" s="760"/>
    </row>
    <row r="11727" spans="1:11">
      <c r="A11727" s="760"/>
      <c r="B11727" s="760"/>
      <c r="C11727" s="760"/>
      <c r="D11727" s="760"/>
      <c r="E11727" s="760"/>
      <c r="F11727" s="760"/>
      <c r="G11727" s="760"/>
      <c r="H11727" s="760"/>
      <c r="I11727" s="760"/>
      <c r="J11727" s="760"/>
      <c r="K11727" s="760"/>
    </row>
    <row r="11728" spans="1:11">
      <c r="A11728" s="760"/>
      <c r="B11728" s="760"/>
      <c r="C11728" s="760"/>
      <c r="D11728" s="760"/>
      <c r="E11728" s="760"/>
      <c r="F11728" s="760"/>
      <c r="G11728" s="760"/>
      <c r="H11728" s="760"/>
      <c r="I11728" s="760"/>
      <c r="J11728" s="760"/>
      <c r="K11728" s="760"/>
    </row>
    <row r="11729" spans="1:11">
      <c r="A11729" s="760"/>
      <c r="B11729" s="760"/>
      <c r="C11729" s="760"/>
      <c r="D11729" s="760"/>
      <c r="E11729" s="760"/>
      <c r="F11729" s="760"/>
      <c r="G11729" s="760"/>
      <c r="H11729" s="760"/>
      <c r="I11729" s="760"/>
      <c r="J11729" s="760"/>
      <c r="K11729" s="760"/>
    </row>
    <row r="11730" spans="1:11">
      <c r="A11730" s="760"/>
      <c r="B11730" s="760"/>
      <c r="C11730" s="760"/>
      <c r="D11730" s="760"/>
      <c r="E11730" s="760"/>
      <c r="F11730" s="760"/>
      <c r="G11730" s="760"/>
      <c r="H11730" s="760"/>
      <c r="I11730" s="760"/>
      <c r="J11730" s="760"/>
      <c r="K11730" s="760"/>
    </row>
    <row r="11731" spans="1:11">
      <c r="A11731" s="760"/>
      <c r="B11731" s="760"/>
      <c r="C11731" s="760"/>
      <c r="D11731" s="760"/>
      <c r="E11731" s="760"/>
      <c r="F11731" s="760"/>
      <c r="G11731" s="760"/>
      <c r="H11731" s="760"/>
      <c r="I11731" s="760"/>
      <c r="J11731" s="760"/>
      <c r="K11731" s="760"/>
    </row>
    <row r="11732" spans="1:11">
      <c r="A11732" s="760"/>
      <c r="B11732" s="760"/>
      <c r="C11732" s="760"/>
      <c r="D11732" s="760"/>
      <c r="E11732" s="760"/>
      <c r="F11732" s="760"/>
      <c r="G11732" s="760"/>
      <c r="H11732" s="760"/>
      <c r="I11732" s="760"/>
      <c r="J11732" s="760"/>
      <c r="K11732" s="760"/>
    </row>
    <row r="11733" spans="1:11">
      <c r="A11733" s="760"/>
      <c r="B11733" s="760"/>
      <c r="C11733" s="760"/>
      <c r="D11733" s="760"/>
      <c r="E11733" s="760"/>
      <c r="F11733" s="760"/>
      <c r="G11733" s="760"/>
      <c r="H11733" s="760"/>
      <c r="I11733" s="760"/>
      <c r="J11733" s="760"/>
      <c r="K11733" s="760"/>
    </row>
    <row r="11734" spans="1:11">
      <c r="A11734" s="760"/>
      <c r="B11734" s="760"/>
      <c r="C11734" s="760"/>
      <c r="D11734" s="760"/>
      <c r="E11734" s="760"/>
      <c r="F11734" s="760"/>
      <c r="G11734" s="760"/>
      <c r="H11734" s="760"/>
      <c r="I11734" s="760"/>
      <c r="J11734" s="760"/>
      <c r="K11734" s="760"/>
    </row>
    <row r="11735" spans="1:11">
      <c r="A11735" s="760"/>
      <c r="B11735" s="760"/>
      <c r="C11735" s="760"/>
      <c r="D11735" s="760"/>
      <c r="E11735" s="760"/>
      <c r="F11735" s="760"/>
      <c r="G11735" s="760"/>
      <c r="H11735" s="760"/>
      <c r="I11735" s="760"/>
      <c r="J11735" s="760"/>
      <c r="K11735" s="760"/>
    </row>
    <row r="11736" spans="1:11">
      <c r="A11736" s="760"/>
      <c r="B11736" s="760"/>
      <c r="C11736" s="760"/>
      <c r="D11736" s="760"/>
      <c r="E11736" s="760"/>
      <c r="F11736" s="760"/>
      <c r="G11736" s="760"/>
      <c r="H11736" s="760"/>
      <c r="I11736" s="760"/>
      <c r="J11736" s="760"/>
      <c r="K11736" s="760"/>
    </row>
    <row r="11737" spans="1:11">
      <c r="A11737" s="760"/>
      <c r="B11737" s="760"/>
      <c r="C11737" s="760"/>
      <c r="D11737" s="760"/>
      <c r="E11737" s="760"/>
      <c r="F11737" s="760"/>
      <c r="G11737" s="760"/>
      <c r="H11737" s="760"/>
      <c r="I11737" s="760"/>
      <c r="J11737" s="760"/>
      <c r="K11737" s="760"/>
    </row>
    <row r="11738" spans="1:11">
      <c r="A11738" s="760"/>
      <c r="B11738" s="760"/>
      <c r="C11738" s="760"/>
      <c r="D11738" s="760"/>
      <c r="E11738" s="760"/>
      <c r="F11738" s="760"/>
      <c r="G11738" s="760"/>
      <c r="H11738" s="760"/>
      <c r="I11738" s="760"/>
      <c r="J11738" s="760"/>
      <c r="K11738" s="760"/>
    </row>
    <row r="11739" spans="1:11">
      <c r="A11739" s="760"/>
      <c r="B11739" s="760"/>
      <c r="C11739" s="760"/>
      <c r="D11739" s="760"/>
      <c r="E11739" s="760"/>
      <c r="F11739" s="760"/>
      <c r="G11739" s="760"/>
      <c r="H11739" s="760"/>
      <c r="I11739" s="760"/>
      <c r="J11739" s="760"/>
      <c r="K11739" s="760"/>
    </row>
    <row r="11740" spans="1:11">
      <c r="A11740" s="760"/>
      <c r="B11740" s="760"/>
      <c r="C11740" s="760"/>
      <c r="D11740" s="760"/>
      <c r="E11740" s="760"/>
      <c r="F11740" s="760"/>
      <c r="G11740" s="760"/>
      <c r="H11740" s="760"/>
      <c r="I11740" s="760"/>
      <c r="J11740" s="760"/>
      <c r="K11740" s="760"/>
    </row>
    <row r="11741" spans="1:11">
      <c r="A11741" s="760"/>
      <c r="B11741" s="760"/>
      <c r="C11741" s="760"/>
      <c r="D11741" s="760"/>
      <c r="E11741" s="760"/>
      <c r="F11741" s="760"/>
      <c r="G11741" s="760"/>
      <c r="H11741" s="760"/>
      <c r="I11741" s="760"/>
      <c r="J11741" s="760"/>
      <c r="K11741" s="760"/>
    </row>
    <row r="11742" spans="1:11">
      <c r="A11742" s="760"/>
      <c r="B11742" s="760"/>
      <c r="C11742" s="760"/>
      <c r="D11742" s="760"/>
      <c r="E11742" s="760"/>
      <c r="F11742" s="760"/>
      <c r="G11742" s="760"/>
      <c r="H11742" s="760"/>
      <c r="I11742" s="760"/>
      <c r="J11742" s="760"/>
      <c r="K11742" s="760"/>
    </row>
    <row r="11743" spans="1:11">
      <c r="A11743" s="760"/>
      <c r="B11743" s="760"/>
      <c r="C11743" s="760"/>
      <c r="D11743" s="760"/>
      <c r="E11743" s="760"/>
      <c r="F11743" s="760"/>
      <c r="G11743" s="760"/>
      <c r="H11743" s="760"/>
      <c r="I11743" s="760"/>
      <c r="J11743" s="760"/>
      <c r="K11743" s="760"/>
    </row>
    <row r="11744" spans="1:11">
      <c r="A11744" s="760"/>
      <c r="B11744" s="760"/>
      <c r="C11744" s="760"/>
      <c r="D11744" s="760"/>
      <c r="E11744" s="760"/>
      <c r="F11744" s="760"/>
      <c r="G11744" s="760"/>
      <c r="H11744" s="760"/>
      <c r="I11744" s="760"/>
      <c r="J11744" s="760"/>
      <c r="K11744" s="760"/>
    </row>
    <row r="11745" spans="1:11">
      <c r="A11745" s="760"/>
      <c r="B11745" s="760"/>
      <c r="C11745" s="760"/>
      <c r="D11745" s="760"/>
      <c r="E11745" s="760"/>
      <c r="F11745" s="760"/>
      <c r="G11745" s="760"/>
      <c r="H11745" s="760"/>
      <c r="I11745" s="760"/>
      <c r="J11745" s="760"/>
      <c r="K11745" s="760"/>
    </row>
    <row r="11746" spans="1:11">
      <c r="A11746" s="760"/>
      <c r="B11746" s="760"/>
      <c r="C11746" s="760"/>
      <c r="D11746" s="760"/>
      <c r="E11746" s="760"/>
      <c r="F11746" s="760"/>
      <c r="G11746" s="760"/>
      <c r="H11746" s="760"/>
      <c r="I11746" s="760"/>
      <c r="J11746" s="760"/>
      <c r="K11746" s="760"/>
    </row>
    <row r="11747" spans="1:11">
      <c r="A11747" s="760"/>
      <c r="B11747" s="760"/>
      <c r="C11747" s="760"/>
      <c r="D11747" s="760"/>
      <c r="E11747" s="760"/>
      <c r="F11747" s="760"/>
      <c r="G11747" s="760"/>
      <c r="H11747" s="760"/>
      <c r="I11747" s="760"/>
      <c r="J11747" s="760"/>
      <c r="K11747" s="760"/>
    </row>
    <row r="11748" spans="1:11">
      <c r="A11748" s="760"/>
      <c r="B11748" s="760"/>
      <c r="C11748" s="760"/>
      <c r="D11748" s="760"/>
      <c r="E11748" s="760"/>
      <c r="F11748" s="760"/>
      <c r="G11748" s="760"/>
      <c r="H11748" s="760"/>
      <c r="I11748" s="760"/>
      <c r="J11748" s="760"/>
      <c r="K11748" s="760"/>
    </row>
    <row r="11749" spans="1:11">
      <c r="A11749" s="760"/>
      <c r="B11749" s="760"/>
      <c r="C11749" s="760"/>
      <c r="D11749" s="760"/>
      <c r="E11749" s="760"/>
      <c r="F11749" s="760"/>
      <c r="G11749" s="760"/>
      <c r="H11749" s="760"/>
      <c r="I11749" s="760"/>
      <c r="J11749" s="760"/>
      <c r="K11749" s="760"/>
    </row>
    <row r="11750" spans="1:11">
      <c r="A11750" s="760"/>
      <c r="B11750" s="760"/>
      <c r="C11750" s="760"/>
      <c r="D11750" s="760"/>
      <c r="E11750" s="760"/>
      <c r="F11750" s="760"/>
      <c r="G11750" s="760"/>
      <c r="H11750" s="760"/>
      <c r="I11750" s="760"/>
      <c r="J11750" s="760"/>
      <c r="K11750" s="760"/>
    </row>
    <row r="11751" spans="1:11">
      <c r="A11751" s="760"/>
      <c r="B11751" s="760"/>
      <c r="C11751" s="760"/>
      <c r="D11751" s="760"/>
      <c r="E11751" s="760"/>
      <c r="F11751" s="760"/>
      <c r="G11751" s="760"/>
      <c r="H11751" s="760"/>
      <c r="I11751" s="760"/>
      <c r="J11751" s="760"/>
      <c r="K11751" s="760"/>
    </row>
    <row r="11752" spans="1:11">
      <c r="A11752" s="760"/>
      <c r="B11752" s="760"/>
      <c r="C11752" s="760"/>
      <c r="D11752" s="760"/>
      <c r="E11752" s="760"/>
      <c r="F11752" s="760"/>
      <c r="G11752" s="760"/>
      <c r="H11752" s="760"/>
      <c r="I11752" s="760"/>
      <c r="J11752" s="760"/>
      <c r="K11752" s="760"/>
    </row>
    <row r="11753" spans="1:11">
      <c r="A11753" s="760"/>
      <c r="B11753" s="760"/>
      <c r="C11753" s="760"/>
      <c r="D11753" s="760"/>
      <c r="E11753" s="760"/>
      <c r="F11753" s="760"/>
      <c r="G11753" s="760"/>
      <c r="H11753" s="760"/>
      <c r="I11753" s="760"/>
      <c r="J11753" s="760"/>
      <c r="K11753" s="760"/>
    </row>
    <row r="11754" spans="1:11">
      <c r="A11754" s="760"/>
      <c r="B11754" s="760"/>
      <c r="C11754" s="760"/>
      <c r="D11754" s="760"/>
      <c r="E11754" s="760"/>
      <c r="F11754" s="760"/>
      <c r="G11754" s="760"/>
      <c r="H11754" s="760"/>
      <c r="I11754" s="760"/>
      <c r="J11754" s="760"/>
      <c r="K11754" s="760"/>
    </row>
    <row r="11755" spans="1:11">
      <c r="A11755" s="760"/>
      <c r="B11755" s="760"/>
      <c r="C11755" s="760"/>
      <c r="D11755" s="760"/>
      <c r="E11755" s="760"/>
      <c r="F11755" s="760"/>
      <c r="G11755" s="760"/>
      <c r="H11755" s="760"/>
      <c r="I11755" s="760"/>
      <c r="J11755" s="760"/>
      <c r="K11755" s="760"/>
    </row>
    <row r="11756" spans="1:11">
      <c r="A11756" s="760"/>
      <c r="B11756" s="760"/>
      <c r="C11756" s="760"/>
      <c r="D11756" s="760"/>
      <c r="E11756" s="760"/>
      <c r="F11756" s="760"/>
      <c r="G11756" s="760"/>
      <c r="H11756" s="760"/>
      <c r="I11756" s="760"/>
      <c r="J11756" s="760"/>
      <c r="K11756" s="760"/>
    </row>
    <row r="11757" spans="1:11">
      <c r="A11757" s="760"/>
      <c r="B11757" s="760"/>
      <c r="C11757" s="760"/>
      <c r="D11757" s="760"/>
      <c r="E11757" s="760"/>
      <c r="F11757" s="760"/>
      <c r="G11757" s="760"/>
      <c r="H11757" s="760"/>
      <c r="I11757" s="760"/>
      <c r="J11757" s="760"/>
      <c r="K11757" s="760"/>
    </row>
    <row r="11758" spans="1:11">
      <c r="A11758" s="760"/>
      <c r="B11758" s="760"/>
      <c r="C11758" s="760"/>
      <c r="D11758" s="760"/>
      <c r="E11758" s="760"/>
      <c r="F11758" s="760"/>
      <c r="G11758" s="760"/>
      <c r="H11758" s="760"/>
      <c r="I11758" s="760"/>
      <c r="J11758" s="760"/>
      <c r="K11758" s="760"/>
    </row>
    <row r="11759" spans="1:11">
      <c r="A11759" s="760"/>
      <c r="B11759" s="760"/>
      <c r="C11759" s="760"/>
      <c r="D11759" s="760"/>
      <c r="E11759" s="760"/>
      <c r="F11759" s="760"/>
      <c r="G11759" s="760"/>
      <c r="H11759" s="760"/>
      <c r="I11759" s="760"/>
      <c r="J11759" s="760"/>
      <c r="K11759" s="760"/>
    </row>
    <row r="11760" spans="1:11">
      <c r="A11760" s="760"/>
      <c r="B11760" s="760"/>
      <c r="C11760" s="760"/>
      <c r="D11760" s="760"/>
      <c r="E11760" s="760"/>
      <c r="F11760" s="760"/>
      <c r="G11760" s="760"/>
      <c r="H11760" s="760"/>
      <c r="I11760" s="760"/>
      <c r="J11760" s="760"/>
      <c r="K11760" s="760"/>
    </row>
    <row r="11761" spans="1:11">
      <c r="A11761" s="760"/>
      <c r="B11761" s="760"/>
      <c r="C11761" s="760"/>
      <c r="D11761" s="760"/>
      <c r="E11761" s="760"/>
      <c r="F11761" s="760"/>
      <c r="G11761" s="760"/>
      <c r="H11761" s="760"/>
      <c r="I11761" s="760"/>
      <c r="J11761" s="760"/>
      <c r="K11761" s="760"/>
    </row>
    <row r="11762" spans="1:11">
      <c r="A11762" s="760"/>
      <c r="B11762" s="760"/>
      <c r="C11762" s="760"/>
      <c r="D11762" s="760"/>
      <c r="E11762" s="760"/>
      <c r="F11762" s="760"/>
      <c r="G11762" s="760"/>
      <c r="H11762" s="760"/>
      <c r="I11762" s="760"/>
      <c r="J11762" s="760"/>
      <c r="K11762" s="760"/>
    </row>
    <row r="11763" spans="1:11">
      <c r="A11763" s="760"/>
      <c r="B11763" s="760"/>
      <c r="C11763" s="760"/>
      <c r="D11763" s="760"/>
      <c r="E11763" s="760"/>
      <c r="F11763" s="760"/>
      <c r="G11763" s="760"/>
      <c r="H11763" s="760"/>
      <c r="I11763" s="760"/>
      <c r="J11763" s="760"/>
      <c r="K11763" s="760"/>
    </row>
    <row r="11764" spans="1:11">
      <c r="A11764" s="760"/>
      <c r="B11764" s="760"/>
      <c r="C11764" s="760"/>
      <c r="D11764" s="760"/>
      <c r="E11764" s="760"/>
      <c r="F11764" s="760"/>
      <c r="G11764" s="760"/>
      <c r="H11764" s="760"/>
      <c r="I11764" s="760"/>
      <c r="J11764" s="760"/>
      <c r="K11764" s="760"/>
    </row>
    <row r="11765" spans="1:11">
      <c r="A11765" s="760"/>
      <c r="B11765" s="760"/>
      <c r="C11765" s="760"/>
      <c r="D11765" s="760"/>
      <c r="E11765" s="760"/>
      <c r="F11765" s="760"/>
      <c r="G11765" s="760"/>
      <c r="H11765" s="760"/>
      <c r="I11765" s="760"/>
      <c r="J11765" s="760"/>
      <c r="K11765" s="760"/>
    </row>
    <row r="11766" spans="1:11">
      <c r="A11766" s="760"/>
      <c r="B11766" s="760"/>
      <c r="C11766" s="760"/>
      <c r="D11766" s="760"/>
      <c r="E11766" s="760"/>
      <c r="F11766" s="760"/>
      <c r="G11766" s="760"/>
      <c r="H11766" s="760"/>
      <c r="I11766" s="760"/>
      <c r="J11766" s="760"/>
      <c r="K11766" s="760"/>
    </row>
    <row r="11767" spans="1:11">
      <c r="A11767" s="760"/>
      <c r="B11767" s="760"/>
      <c r="C11767" s="760"/>
      <c r="D11767" s="760"/>
      <c r="E11767" s="760"/>
      <c r="F11767" s="760"/>
      <c r="G11767" s="760"/>
      <c r="H11767" s="760"/>
      <c r="I11767" s="760"/>
      <c r="J11767" s="760"/>
      <c r="K11767" s="760"/>
    </row>
    <row r="11768" spans="1:11">
      <c r="A11768" s="760"/>
      <c r="B11768" s="760"/>
      <c r="C11768" s="760"/>
      <c r="D11768" s="760"/>
      <c r="E11768" s="760"/>
      <c r="F11768" s="760"/>
      <c r="G11768" s="760"/>
      <c r="H11768" s="760"/>
      <c r="I11768" s="760"/>
      <c r="J11768" s="760"/>
      <c r="K11768" s="760"/>
    </row>
    <row r="11769" spans="1:11">
      <c r="A11769" s="760"/>
      <c r="B11769" s="760"/>
      <c r="C11769" s="760"/>
      <c r="D11769" s="760"/>
      <c r="E11769" s="760"/>
      <c r="F11769" s="760"/>
      <c r="G11769" s="760"/>
      <c r="H11769" s="760"/>
      <c r="I11769" s="760"/>
      <c r="J11769" s="760"/>
      <c r="K11769" s="760"/>
    </row>
    <row r="11770" spans="1:11">
      <c r="A11770" s="760"/>
      <c r="B11770" s="760"/>
      <c r="C11770" s="760"/>
      <c r="D11770" s="760"/>
      <c r="E11770" s="760"/>
      <c r="F11770" s="760"/>
      <c r="G11770" s="760"/>
      <c r="H11770" s="760"/>
      <c r="I11770" s="760"/>
      <c r="J11770" s="760"/>
      <c r="K11770" s="760"/>
    </row>
    <row r="11771" spans="1:11">
      <c r="A11771" s="760"/>
      <c r="B11771" s="760"/>
      <c r="C11771" s="760"/>
      <c r="D11771" s="760"/>
      <c r="E11771" s="760"/>
      <c r="F11771" s="760"/>
      <c r="G11771" s="760"/>
      <c r="H11771" s="760"/>
      <c r="I11771" s="760"/>
      <c r="J11771" s="760"/>
      <c r="K11771" s="760"/>
    </row>
    <row r="11772" spans="1:11">
      <c r="A11772" s="760"/>
      <c r="B11772" s="760"/>
      <c r="C11772" s="760"/>
      <c r="D11772" s="760"/>
      <c r="E11772" s="760"/>
      <c r="F11772" s="760"/>
      <c r="G11772" s="760"/>
      <c r="H11772" s="760"/>
      <c r="I11772" s="760"/>
      <c r="J11772" s="760"/>
      <c r="K11772" s="760"/>
    </row>
    <row r="11773" spans="1:11">
      <c r="A11773" s="760"/>
      <c r="B11773" s="760"/>
      <c r="C11773" s="760"/>
      <c r="D11773" s="760"/>
      <c r="E11773" s="760"/>
      <c r="F11773" s="760"/>
      <c r="G11773" s="760"/>
      <c r="H11773" s="760"/>
      <c r="I11773" s="760"/>
      <c r="J11773" s="760"/>
      <c r="K11773" s="760"/>
    </row>
    <row r="11774" spans="1:11">
      <c r="A11774" s="760"/>
      <c r="B11774" s="760"/>
      <c r="C11774" s="760"/>
      <c r="D11774" s="760"/>
      <c r="E11774" s="760"/>
      <c r="F11774" s="760"/>
      <c r="G11774" s="760"/>
      <c r="H11774" s="760"/>
      <c r="I11774" s="760"/>
      <c r="J11774" s="760"/>
      <c r="K11774" s="760"/>
    </row>
    <row r="11775" spans="1:11">
      <c r="A11775" s="760"/>
      <c r="B11775" s="760"/>
      <c r="C11775" s="760"/>
      <c r="D11775" s="760"/>
      <c r="E11775" s="760"/>
      <c r="F11775" s="760"/>
      <c r="G11775" s="760"/>
      <c r="H11775" s="760"/>
      <c r="I11775" s="760"/>
      <c r="J11775" s="760"/>
      <c r="K11775" s="760"/>
    </row>
    <row r="11776" spans="1:11">
      <c r="A11776" s="760"/>
      <c r="B11776" s="760"/>
      <c r="C11776" s="760"/>
      <c r="D11776" s="760"/>
      <c r="E11776" s="760"/>
      <c r="F11776" s="760"/>
      <c r="G11776" s="760"/>
      <c r="H11776" s="760"/>
      <c r="I11776" s="760"/>
      <c r="J11776" s="760"/>
      <c r="K11776" s="760"/>
    </row>
    <row r="11777" spans="1:11">
      <c r="A11777" s="760"/>
      <c r="B11777" s="760"/>
      <c r="C11777" s="760"/>
      <c r="D11777" s="760"/>
      <c r="E11777" s="760"/>
      <c r="F11777" s="760"/>
      <c r="G11777" s="760"/>
      <c r="H11777" s="760"/>
      <c r="I11777" s="760"/>
      <c r="J11777" s="760"/>
      <c r="K11777" s="760"/>
    </row>
    <row r="11778" spans="1:11">
      <c r="A11778" s="760"/>
      <c r="B11778" s="760"/>
      <c r="C11778" s="760"/>
      <c r="D11778" s="760"/>
      <c r="E11778" s="760"/>
      <c r="F11778" s="760"/>
      <c r="G11778" s="760"/>
      <c r="H11778" s="760"/>
      <c r="I11778" s="760"/>
      <c r="J11778" s="760"/>
      <c r="K11778" s="760"/>
    </row>
    <row r="11779" spans="1:11">
      <c r="A11779" s="760"/>
      <c r="B11779" s="760"/>
      <c r="C11779" s="760"/>
      <c r="D11779" s="760"/>
      <c r="E11779" s="760"/>
      <c r="F11779" s="760"/>
      <c r="G11779" s="760"/>
      <c r="H11779" s="760"/>
      <c r="I11779" s="760"/>
      <c r="J11779" s="760"/>
      <c r="K11779" s="760"/>
    </row>
    <row r="11780" spans="1:11">
      <c r="A11780" s="760"/>
      <c r="B11780" s="760"/>
      <c r="C11780" s="760"/>
      <c r="D11780" s="760"/>
      <c r="E11780" s="760"/>
      <c r="F11780" s="760"/>
      <c r="G11780" s="760"/>
      <c r="H11780" s="760"/>
      <c r="I11780" s="760"/>
      <c r="J11780" s="760"/>
      <c r="K11780" s="760"/>
    </row>
    <row r="11781" spans="1:11">
      <c r="A11781" s="760"/>
      <c r="B11781" s="760"/>
      <c r="C11781" s="760"/>
      <c r="D11781" s="760"/>
      <c r="E11781" s="760"/>
      <c r="F11781" s="760"/>
      <c r="G11781" s="760"/>
      <c r="H11781" s="760"/>
      <c r="I11781" s="760"/>
      <c r="J11781" s="760"/>
      <c r="K11781" s="760"/>
    </row>
    <row r="11782" spans="1:11">
      <c r="A11782" s="760"/>
      <c r="B11782" s="760"/>
      <c r="C11782" s="760"/>
      <c r="D11782" s="760"/>
      <c r="E11782" s="760"/>
      <c r="F11782" s="760"/>
      <c r="G11782" s="760"/>
      <c r="H11782" s="760"/>
      <c r="I11782" s="760"/>
      <c r="J11782" s="760"/>
      <c r="K11782" s="760"/>
    </row>
    <row r="11783" spans="1:11">
      <c r="A11783" s="760"/>
      <c r="B11783" s="760"/>
      <c r="C11783" s="760"/>
      <c r="D11783" s="760"/>
      <c r="E11783" s="760"/>
      <c r="F11783" s="760"/>
      <c r="G11783" s="760"/>
      <c r="H11783" s="760"/>
      <c r="I11783" s="760"/>
      <c r="J11783" s="760"/>
      <c r="K11783" s="760"/>
    </row>
    <row r="11784" spans="1:11">
      <c r="A11784" s="760"/>
      <c r="B11784" s="760"/>
      <c r="C11784" s="760"/>
      <c r="D11784" s="760"/>
      <c r="E11784" s="760"/>
      <c r="F11784" s="760"/>
      <c r="G11784" s="760"/>
      <c r="H11784" s="760"/>
      <c r="I11784" s="760"/>
      <c r="J11784" s="760"/>
      <c r="K11784" s="760"/>
    </row>
    <row r="11785" spans="1:11">
      <c r="A11785" s="760"/>
      <c r="B11785" s="760"/>
      <c r="C11785" s="760"/>
      <c r="D11785" s="760"/>
      <c r="E11785" s="760"/>
      <c r="F11785" s="760"/>
      <c r="G11785" s="760"/>
      <c r="H11785" s="760"/>
      <c r="I11785" s="760"/>
      <c r="J11785" s="760"/>
      <c r="K11785" s="760"/>
    </row>
    <row r="11786" spans="1:11">
      <c r="A11786" s="760"/>
      <c r="B11786" s="760"/>
      <c r="C11786" s="760"/>
      <c r="D11786" s="760"/>
      <c r="E11786" s="760"/>
      <c r="F11786" s="760"/>
      <c r="G11786" s="760"/>
      <c r="H11786" s="760"/>
      <c r="I11786" s="760"/>
      <c r="J11786" s="760"/>
      <c r="K11786" s="760"/>
    </row>
    <row r="11787" spans="1:11">
      <c r="A11787" s="760"/>
      <c r="B11787" s="760"/>
      <c r="C11787" s="760"/>
      <c r="D11787" s="760"/>
      <c r="E11787" s="760"/>
      <c r="F11787" s="760"/>
      <c r="G11787" s="760"/>
      <c r="H11787" s="760"/>
      <c r="I11787" s="760"/>
      <c r="J11787" s="760"/>
      <c r="K11787" s="760"/>
    </row>
    <row r="11788" spans="1:11">
      <c r="A11788" s="760"/>
      <c r="B11788" s="760"/>
      <c r="C11788" s="760"/>
      <c r="D11788" s="760"/>
      <c r="E11788" s="760"/>
      <c r="F11788" s="760"/>
      <c r="G11788" s="760"/>
      <c r="H11788" s="760"/>
      <c r="I11788" s="760"/>
      <c r="J11788" s="760"/>
      <c r="K11788" s="760"/>
    </row>
    <row r="11789" spans="1:11">
      <c r="A11789" s="760"/>
      <c r="B11789" s="760"/>
      <c r="C11789" s="760"/>
      <c r="D11789" s="760"/>
      <c r="E11789" s="760"/>
      <c r="F11789" s="760"/>
      <c r="G11789" s="760"/>
      <c r="H11789" s="760"/>
      <c r="I11789" s="760"/>
      <c r="J11789" s="760"/>
      <c r="K11789" s="760"/>
    </row>
    <row r="11790" spans="1:11">
      <c r="A11790" s="760"/>
      <c r="B11790" s="760"/>
      <c r="C11790" s="760"/>
      <c r="D11790" s="760"/>
      <c r="E11790" s="760"/>
      <c r="F11790" s="760"/>
      <c r="G11790" s="760"/>
      <c r="H11790" s="760"/>
      <c r="I11790" s="760"/>
      <c r="J11790" s="760"/>
      <c r="K11790" s="760"/>
    </row>
    <row r="11791" spans="1:11">
      <c r="A11791" s="760"/>
      <c r="B11791" s="760"/>
      <c r="C11791" s="760"/>
      <c r="D11791" s="760"/>
      <c r="E11791" s="760"/>
      <c r="F11791" s="760"/>
      <c r="G11791" s="760"/>
      <c r="H11791" s="760"/>
      <c r="I11791" s="760"/>
      <c r="J11791" s="760"/>
      <c r="K11791" s="760"/>
    </row>
    <row r="11792" spans="1:11">
      <c r="A11792" s="760"/>
      <c r="B11792" s="760"/>
      <c r="C11792" s="760"/>
      <c r="D11792" s="760"/>
      <c r="E11792" s="760"/>
      <c r="F11792" s="760"/>
      <c r="G11792" s="760"/>
      <c r="H11792" s="760"/>
      <c r="I11792" s="760"/>
      <c r="J11792" s="760"/>
      <c r="K11792" s="760"/>
    </row>
    <row r="11793" spans="1:11">
      <c r="A11793" s="760"/>
      <c r="B11793" s="760"/>
      <c r="C11793" s="760"/>
      <c r="D11793" s="760"/>
      <c r="E11793" s="760"/>
      <c r="F11793" s="760"/>
      <c r="G11793" s="760"/>
      <c r="H11793" s="760"/>
      <c r="I11793" s="760"/>
      <c r="J11793" s="760"/>
      <c r="K11793" s="760"/>
    </row>
    <row r="11794" spans="1:11">
      <c r="A11794" s="760"/>
      <c r="B11794" s="760"/>
      <c r="C11794" s="760"/>
      <c r="D11794" s="760"/>
      <c r="E11794" s="760"/>
      <c r="F11794" s="760"/>
      <c r="G11794" s="760"/>
      <c r="H11794" s="760"/>
      <c r="I11794" s="760"/>
      <c r="J11794" s="760"/>
      <c r="K11794" s="760"/>
    </row>
    <row r="11795" spans="1:11">
      <c r="A11795" s="760"/>
      <c r="B11795" s="760"/>
      <c r="C11795" s="760"/>
      <c r="D11795" s="760"/>
      <c r="E11795" s="760"/>
      <c r="F11795" s="760"/>
      <c r="G11795" s="760"/>
      <c r="H11795" s="760"/>
      <c r="I11795" s="760"/>
      <c r="J11795" s="760"/>
      <c r="K11795" s="760"/>
    </row>
    <row r="11796" spans="1:11">
      <c r="A11796" s="760"/>
      <c r="B11796" s="760"/>
      <c r="C11796" s="760"/>
      <c r="D11796" s="760"/>
      <c r="E11796" s="760"/>
      <c r="F11796" s="760"/>
      <c r="G11796" s="760"/>
      <c r="H11796" s="760"/>
      <c r="I11796" s="760"/>
      <c r="J11796" s="760"/>
      <c r="K11796" s="760"/>
    </row>
    <row r="11797" spans="1:11">
      <c r="A11797" s="760"/>
      <c r="B11797" s="760"/>
      <c r="C11797" s="760"/>
      <c r="D11797" s="760"/>
      <c r="E11797" s="760"/>
      <c r="F11797" s="760"/>
      <c r="G11797" s="760"/>
      <c r="H11797" s="760"/>
      <c r="I11797" s="760"/>
      <c r="J11797" s="760"/>
      <c r="K11797" s="760"/>
    </row>
    <row r="11798" spans="1:11">
      <c r="A11798" s="760"/>
      <c r="B11798" s="760"/>
      <c r="C11798" s="760"/>
      <c r="D11798" s="760"/>
      <c r="E11798" s="760"/>
      <c r="F11798" s="760"/>
      <c r="G11798" s="760"/>
      <c r="H11798" s="760"/>
      <c r="I11798" s="760"/>
      <c r="J11798" s="760"/>
      <c r="K11798" s="760"/>
    </row>
    <row r="11799" spans="1:11">
      <c r="A11799" s="760"/>
      <c r="B11799" s="760"/>
      <c r="C11799" s="760"/>
      <c r="D11799" s="760"/>
      <c r="E11799" s="760"/>
      <c r="F11799" s="760"/>
      <c r="G11799" s="760"/>
      <c r="H11799" s="760"/>
      <c r="I11799" s="760"/>
      <c r="J11799" s="760"/>
      <c r="K11799" s="760"/>
    </row>
    <row r="11800" spans="1:11">
      <c r="A11800" s="760"/>
      <c r="B11800" s="760"/>
      <c r="C11800" s="760"/>
      <c r="D11800" s="760"/>
      <c r="E11800" s="760"/>
      <c r="F11800" s="760"/>
      <c r="G11800" s="760"/>
      <c r="H11800" s="760"/>
      <c r="I11800" s="760"/>
      <c r="J11800" s="760"/>
      <c r="K11800" s="760"/>
    </row>
    <row r="11801" spans="1:11">
      <c r="A11801" s="760"/>
      <c r="B11801" s="760"/>
      <c r="C11801" s="760"/>
      <c r="D11801" s="760"/>
      <c r="E11801" s="760"/>
      <c r="F11801" s="760"/>
      <c r="G11801" s="760"/>
      <c r="H11801" s="760"/>
      <c r="I11801" s="760"/>
      <c r="J11801" s="760"/>
      <c r="K11801" s="760"/>
    </row>
    <row r="11802" spans="1:11">
      <c r="A11802" s="760"/>
      <c r="B11802" s="760"/>
      <c r="C11802" s="760"/>
      <c r="D11802" s="760"/>
      <c r="E11802" s="760"/>
      <c r="F11802" s="760"/>
      <c r="G11802" s="760"/>
      <c r="H11802" s="760"/>
      <c r="I11802" s="760"/>
      <c r="J11802" s="760"/>
      <c r="K11802" s="760"/>
    </row>
    <row r="11803" spans="1:11">
      <c r="A11803" s="760"/>
      <c r="B11803" s="760"/>
      <c r="C11803" s="760"/>
      <c r="D11803" s="760"/>
      <c r="E11803" s="760"/>
      <c r="F11803" s="760"/>
      <c r="G11803" s="760"/>
      <c r="H11803" s="760"/>
      <c r="I11803" s="760"/>
      <c r="J11803" s="760"/>
      <c r="K11803" s="760"/>
    </row>
    <row r="11804" spans="1:11">
      <c r="A11804" s="760"/>
      <c r="B11804" s="760"/>
      <c r="C11804" s="760"/>
      <c r="D11804" s="760"/>
      <c r="E11804" s="760"/>
      <c r="F11804" s="760"/>
      <c r="G11804" s="760"/>
      <c r="H11804" s="760"/>
      <c r="I11804" s="760"/>
      <c r="J11804" s="760"/>
      <c r="K11804" s="760"/>
    </row>
    <row r="11805" spans="1:11">
      <c r="A11805" s="760"/>
      <c r="B11805" s="760"/>
      <c r="C11805" s="760"/>
      <c r="D11805" s="760"/>
      <c r="E11805" s="760"/>
      <c r="F11805" s="760"/>
      <c r="G11805" s="760"/>
      <c r="H11805" s="760"/>
      <c r="I11805" s="760"/>
      <c r="J11805" s="760"/>
      <c r="K11805" s="760"/>
    </row>
    <row r="11806" spans="1:11">
      <c r="A11806" s="760"/>
      <c r="B11806" s="760"/>
      <c r="C11806" s="760"/>
      <c r="D11806" s="760"/>
      <c r="E11806" s="760"/>
      <c r="F11806" s="760"/>
      <c r="G11806" s="760"/>
      <c r="H11806" s="760"/>
      <c r="I11806" s="760"/>
      <c r="J11806" s="760"/>
      <c r="K11806" s="760"/>
    </row>
    <row r="11807" spans="1:11">
      <c r="A11807" s="760"/>
      <c r="B11807" s="760"/>
      <c r="C11807" s="760"/>
      <c r="D11807" s="760"/>
      <c r="E11807" s="760"/>
      <c r="F11807" s="760"/>
      <c r="G11807" s="760"/>
      <c r="H11807" s="760"/>
      <c r="I11807" s="760"/>
      <c r="J11807" s="760"/>
      <c r="K11807" s="760"/>
    </row>
    <row r="11808" spans="1:11">
      <c r="A11808" s="760"/>
      <c r="B11808" s="760"/>
      <c r="C11808" s="760"/>
      <c r="D11808" s="760"/>
      <c r="E11808" s="760"/>
      <c r="F11808" s="760"/>
      <c r="G11808" s="760"/>
      <c r="H11808" s="760"/>
      <c r="I11808" s="760"/>
      <c r="J11808" s="760"/>
      <c r="K11808" s="760"/>
    </row>
    <row r="11809" spans="1:11">
      <c r="A11809" s="760"/>
      <c r="B11809" s="760"/>
      <c r="C11809" s="760"/>
      <c r="D11809" s="760"/>
      <c r="E11809" s="760"/>
      <c r="F11809" s="760"/>
      <c r="G11809" s="760"/>
      <c r="H11809" s="760"/>
      <c r="I11809" s="760"/>
      <c r="J11809" s="760"/>
      <c r="K11809" s="760"/>
    </row>
    <row r="11810" spans="1:11">
      <c r="A11810" s="760"/>
      <c r="B11810" s="760"/>
      <c r="C11810" s="760"/>
      <c r="D11810" s="760"/>
      <c r="E11810" s="760"/>
      <c r="F11810" s="760"/>
      <c r="G11810" s="760"/>
      <c r="H11810" s="760"/>
      <c r="I11810" s="760"/>
      <c r="J11810" s="760"/>
      <c r="K11810" s="760"/>
    </row>
    <row r="11811" spans="1:11">
      <c r="A11811" s="760"/>
      <c r="B11811" s="760"/>
      <c r="C11811" s="760"/>
      <c r="D11811" s="760"/>
      <c r="E11811" s="760"/>
      <c r="F11811" s="760"/>
      <c r="G11811" s="760"/>
      <c r="H11811" s="760"/>
      <c r="I11811" s="760"/>
      <c r="J11811" s="760"/>
      <c r="K11811" s="760"/>
    </row>
    <row r="11812" spans="1:11">
      <c r="A11812" s="760"/>
      <c r="B11812" s="760"/>
      <c r="C11812" s="760"/>
      <c r="D11812" s="760"/>
      <c r="E11812" s="760"/>
      <c r="F11812" s="760"/>
      <c r="G11812" s="760"/>
      <c r="H11812" s="760"/>
      <c r="I11812" s="760"/>
      <c r="J11812" s="760"/>
      <c r="K11812" s="760"/>
    </row>
    <row r="11813" spans="1:11">
      <c r="A11813" s="760"/>
      <c r="B11813" s="760"/>
      <c r="C11813" s="760"/>
      <c r="D11813" s="760"/>
      <c r="E11813" s="760"/>
      <c r="F11813" s="760"/>
      <c r="G11813" s="760"/>
      <c r="H11813" s="760"/>
      <c r="I11813" s="760"/>
      <c r="J11813" s="760"/>
      <c r="K11813" s="760"/>
    </row>
    <row r="11814" spans="1:11">
      <c r="A11814" s="760"/>
      <c r="B11814" s="760"/>
      <c r="C11814" s="760"/>
      <c r="D11814" s="760"/>
      <c r="E11814" s="760"/>
      <c r="F11814" s="760"/>
      <c r="G11814" s="760"/>
      <c r="H11814" s="760"/>
      <c r="I11814" s="760"/>
      <c r="J11814" s="760"/>
      <c r="K11814" s="760"/>
    </row>
    <row r="11815" spans="1:11">
      <c r="A11815" s="760"/>
      <c r="B11815" s="760"/>
      <c r="C11815" s="760"/>
      <c r="D11815" s="760"/>
      <c r="E11815" s="760"/>
      <c r="F11815" s="760"/>
      <c r="G11815" s="760"/>
      <c r="H11815" s="760"/>
      <c r="I11815" s="760"/>
      <c r="J11815" s="760"/>
      <c r="K11815" s="760"/>
    </row>
    <row r="11816" spans="1:11">
      <c r="A11816" s="760"/>
      <c r="B11816" s="760"/>
      <c r="C11816" s="760"/>
      <c r="D11816" s="760"/>
      <c r="E11816" s="760"/>
      <c r="F11816" s="760"/>
      <c r="G11816" s="760"/>
      <c r="H11816" s="760"/>
      <c r="I11816" s="760"/>
      <c r="J11816" s="760"/>
      <c r="K11816" s="760"/>
    </row>
    <row r="11817" spans="1:11">
      <c r="A11817" s="760"/>
      <c r="B11817" s="760"/>
      <c r="C11817" s="760"/>
      <c r="D11817" s="760"/>
      <c r="E11817" s="760"/>
      <c r="F11817" s="760"/>
      <c r="G11817" s="760"/>
      <c r="H11817" s="760"/>
      <c r="I11817" s="760"/>
      <c r="J11817" s="760"/>
      <c r="K11817" s="760"/>
    </row>
    <row r="11818" spans="1:11">
      <c r="A11818" s="760"/>
      <c r="B11818" s="760"/>
      <c r="C11818" s="760"/>
      <c r="D11818" s="760"/>
      <c r="E11818" s="760"/>
      <c r="F11818" s="760"/>
      <c r="G11818" s="760"/>
      <c r="H11818" s="760"/>
      <c r="I11818" s="760"/>
      <c r="J11818" s="760"/>
      <c r="K11818" s="760"/>
    </row>
    <row r="11819" spans="1:11">
      <c r="A11819" s="760"/>
      <c r="B11819" s="760"/>
      <c r="C11819" s="760"/>
      <c r="D11819" s="760"/>
      <c r="E11819" s="760"/>
      <c r="F11819" s="760"/>
      <c r="G11819" s="760"/>
      <c r="H11819" s="760"/>
      <c r="I11819" s="760"/>
      <c r="J11819" s="760"/>
      <c r="K11819" s="760"/>
    </row>
    <row r="11820" spans="1:11">
      <c r="A11820" s="760"/>
      <c r="B11820" s="760"/>
      <c r="C11820" s="760"/>
      <c r="D11820" s="760"/>
      <c r="E11820" s="760"/>
      <c r="F11820" s="760"/>
      <c r="G11820" s="760"/>
      <c r="H11820" s="760"/>
      <c r="I11820" s="760"/>
      <c r="J11820" s="760"/>
      <c r="K11820" s="760"/>
    </row>
    <row r="11821" spans="1:11">
      <c r="A11821" s="760"/>
      <c r="B11821" s="760"/>
      <c r="C11821" s="760"/>
      <c r="D11821" s="760"/>
      <c r="E11821" s="760"/>
      <c r="F11821" s="760"/>
      <c r="G11821" s="760"/>
      <c r="H11821" s="760"/>
      <c r="I11821" s="760"/>
      <c r="J11821" s="760"/>
      <c r="K11821" s="760"/>
    </row>
    <row r="11822" spans="1:11">
      <c r="A11822" s="760"/>
      <c r="B11822" s="760"/>
      <c r="C11822" s="760"/>
      <c r="D11822" s="760"/>
      <c r="E11822" s="760"/>
      <c r="F11822" s="760"/>
      <c r="G11822" s="760"/>
      <c r="H11822" s="760"/>
      <c r="I11822" s="760"/>
      <c r="J11822" s="760"/>
      <c r="K11822" s="760"/>
    </row>
    <row r="11823" spans="1:11">
      <c r="A11823" s="760"/>
      <c r="B11823" s="760"/>
      <c r="C11823" s="760"/>
      <c r="D11823" s="760"/>
      <c r="E11823" s="760"/>
      <c r="F11823" s="760"/>
      <c r="G11823" s="760"/>
      <c r="H11823" s="760"/>
      <c r="I11823" s="760"/>
      <c r="J11823" s="760"/>
      <c r="K11823" s="760"/>
    </row>
    <row r="11824" spans="1:11">
      <c r="A11824" s="760"/>
      <c r="B11824" s="760"/>
      <c r="C11824" s="760"/>
      <c r="D11824" s="760"/>
      <c r="E11824" s="760"/>
      <c r="F11824" s="760"/>
      <c r="G11824" s="760"/>
      <c r="H11824" s="760"/>
      <c r="I11824" s="760"/>
      <c r="J11824" s="760"/>
      <c r="K11824" s="760"/>
    </row>
    <row r="11825" spans="1:11">
      <c r="A11825" s="760"/>
      <c r="B11825" s="760"/>
      <c r="C11825" s="760"/>
      <c r="D11825" s="760"/>
      <c r="E11825" s="760"/>
      <c r="F11825" s="760"/>
      <c r="G11825" s="760"/>
      <c r="H11825" s="760"/>
      <c r="I11825" s="760"/>
      <c r="J11825" s="760"/>
      <c r="K11825" s="760"/>
    </row>
    <row r="11826" spans="1:11">
      <c r="A11826" s="760"/>
      <c r="B11826" s="760"/>
      <c r="C11826" s="760"/>
      <c r="D11826" s="760"/>
      <c r="E11826" s="760"/>
      <c r="F11826" s="760"/>
      <c r="G11826" s="760"/>
      <c r="H11826" s="760"/>
      <c r="I11826" s="760"/>
      <c r="J11826" s="760"/>
      <c r="K11826" s="760"/>
    </row>
    <row r="11827" spans="1:11">
      <c r="A11827" s="760"/>
      <c r="B11827" s="760"/>
      <c r="C11827" s="760"/>
      <c r="D11827" s="760"/>
      <c r="E11827" s="760"/>
      <c r="F11827" s="760"/>
      <c r="G11827" s="760"/>
      <c r="H11827" s="760"/>
      <c r="I11827" s="760"/>
      <c r="J11827" s="760"/>
      <c r="K11827" s="760"/>
    </row>
    <row r="11828" spans="1:11">
      <c r="A11828" s="760"/>
      <c r="B11828" s="760"/>
      <c r="C11828" s="760"/>
      <c r="D11828" s="760"/>
      <c r="E11828" s="760"/>
      <c r="F11828" s="760"/>
      <c r="G11828" s="760"/>
      <c r="H11828" s="760"/>
      <c r="I11828" s="760"/>
      <c r="J11828" s="760"/>
      <c r="K11828" s="760"/>
    </row>
    <row r="11829" spans="1:11">
      <c r="A11829" s="760"/>
      <c r="B11829" s="760"/>
      <c r="C11829" s="760"/>
      <c r="D11829" s="760"/>
      <c r="E11829" s="760"/>
      <c r="F11829" s="760"/>
      <c r="G11829" s="760"/>
      <c r="H11829" s="760"/>
      <c r="I11829" s="760"/>
      <c r="J11829" s="760"/>
      <c r="K11829" s="760"/>
    </row>
    <row r="11830" spans="1:11">
      <c r="A11830" s="760"/>
      <c r="B11830" s="760"/>
      <c r="C11830" s="760"/>
      <c r="D11830" s="760"/>
      <c r="E11830" s="760"/>
      <c r="F11830" s="760"/>
      <c r="G11830" s="760"/>
      <c r="H11830" s="760"/>
      <c r="I11830" s="760"/>
      <c r="J11830" s="760"/>
      <c r="K11830" s="760"/>
    </row>
    <row r="11831" spans="1:11">
      <c r="A11831" s="760"/>
      <c r="B11831" s="760"/>
      <c r="C11831" s="760"/>
      <c r="D11831" s="760"/>
      <c r="E11831" s="760"/>
      <c r="F11831" s="760"/>
      <c r="G11831" s="760"/>
      <c r="H11831" s="760"/>
      <c r="I11831" s="760"/>
      <c r="J11831" s="760"/>
      <c r="K11831" s="760"/>
    </row>
    <row r="11832" spans="1:11">
      <c r="A11832" s="760"/>
      <c r="B11832" s="760"/>
      <c r="C11832" s="760"/>
      <c r="D11832" s="760"/>
      <c r="E11832" s="760"/>
      <c r="F11832" s="760"/>
      <c r="G11832" s="760"/>
      <c r="H11832" s="760"/>
      <c r="I11832" s="760"/>
      <c r="J11832" s="760"/>
      <c r="K11832" s="760"/>
    </row>
    <row r="11833" spans="1:11">
      <c r="A11833" s="760"/>
      <c r="B11833" s="760"/>
      <c r="C11833" s="760"/>
      <c r="D11833" s="760"/>
      <c r="E11833" s="760"/>
      <c r="F11833" s="760"/>
      <c r="G11833" s="760"/>
      <c r="H11833" s="760"/>
      <c r="I11833" s="760"/>
      <c r="J11833" s="760"/>
      <c r="K11833" s="760"/>
    </row>
    <row r="11834" spans="1:11">
      <c r="A11834" s="760"/>
      <c r="B11834" s="760"/>
      <c r="C11834" s="760"/>
      <c r="D11834" s="760"/>
      <c r="E11834" s="760"/>
      <c r="F11834" s="760"/>
      <c r="G11834" s="760"/>
      <c r="H11834" s="760"/>
      <c r="I11834" s="760"/>
      <c r="J11834" s="760"/>
      <c r="K11834" s="760"/>
    </row>
    <row r="11835" spans="1:11">
      <c r="A11835" s="760"/>
      <c r="B11835" s="760"/>
      <c r="C11835" s="760"/>
      <c r="D11835" s="760"/>
      <c r="E11835" s="760"/>
      <c r="F11835" s="760"/>
      <c r="G11835" s="760"/>
      <c r="H11835" s="760"/>
      <c r="I11835" s="760"/>
      <c r="J11835" s="760"/>
      <c r="K11835" s="760"/>
    </row>
    <row r="11836" spans="1:11">
      <c r="A11836" s="760"/>
      <c r="B11836" s="760"/>
      <c r="C11836" s="760"/>
      <c r="D11836" s="760"/>
      <c r="E11836" s="760"/>
      <c r="F11836" s="760"/>
      <c r="G11836" s="760"/>
      <c r="H11836" s="760"/>
      <c r="I11836" s="760"/>
      <c r="J11836" s="760"/>
      <c r="K11836" s="760"/>
    </row>
    <row r="11837" spans="1:11">
      <c r="A11837" s="760"/>
      <c r="B11837" s="760"/>
      <c r="C11837" s="760"/>
      <c r="D11837" s="760"/>
      <c r="E11837" s="760"/>
      <c r="F11837" s="760"/>
      <c r="G11837" s="760"/>
      <c r="H11837" s="760"/>
      <c r="I11837" s="760"/>
      <c r="J11837" s="760"/>
      <c r="K11837" s="760"/>
    </row>
    <row r="11838" spans="1:11">
      <c r="A11838" s="760"/>
      <c r="B11838" s="760"/>
      <c r="C11838" s="760"/>
      <c r="D11838" s="760"/>
      <c r="E11838" s="760"/>
      <c r="F11838" s="760"/>
      <c r="G11838" s="760"/>
      <c r="H11838" s="760"/>
      <c r="I11838" s="760"/>
      <c r="J11838" s="760"/>
      <c r="K11838" s="760"/>
    </row>
    <row r="11839" spans="1:11">
      <c r="A11839" s="760"/>
      <c r="B11839" s="760"/>
      <c r="C11839" s="760"/>
      <c r="D11839" s="760"/>
      <c r="E11839" s="760"/>
      <c r="F11839" s="760"/>
      <c r="G11839" s="760"/>
      <c r="H11839" s="760"/>
      <c r="I11839" s="760"/>
      <c r="J11839" s="760"/>
      <c r="K11839" s="760"/>
    </row>
    <row r="11840" spans="1:11">
      <c r="A11840" s="760"/>
      <c r="B11840" s="760"/>
      <c r="C11840" s="760"/>
      <c r="D11840" s="760"/>
      <c r="E11840" s="760"/>
      <c r="F11840" s="760"/>
      <c r="G11840" s="760"/>
      <c r="H11840" s="760"/>
      <c r="I11840" s="760"/>
      <c r="J11840" s="760"/>
      <c r="K11840" s="760"/>
    </row>
    <row r="11841" spans="1:11">
      <c r="A11841" s="760"/>
      <c r="B11841" s="760"/>
      <c r="C11841" s="760"/>
      <c r="D11841" s="760"/>
      <c r="E11841" s="760"/>
      <c r="F11841" s="760"/>
      <c r="G11841" s="760"/>
      <c r="H11841" s="760"/>
      <c r="I11841" s="760"/>
      <c r="J11841" s="760"/>
      <c r="K11841" s="760"/>
    </row>
    <row r="11842" spans="1:11">
      <c r="A11842" s="760"/>
      <c r="B11842" s="760"/>
      <c r="C11842" s="760"/>
      <c r="D11842" s="760"/>
      <c r="E11842" s="760"/>
      <c r="F11842" s="760"/>
      <c r="G11842" s="760"/>
      <c r="H11842" s="760"/>
      <c r="I11842" s="760"/>
      <c r="J11842" s="760"/>
      <c r="K11842" s="760"/>
    </row>
    <row r="11843" spans="1:11">
      <c r="A11843" s="760"/>
      <c r="B11843" s="760"/>
      <c r="C11843" s="760"/>
      <c r="D11843" s="760"/>
      <c r="E11843" s="760"/>
      <c r="F11843" s="760"/>
      <c r="G11843" s="760"/>
      <c r="H11843" s="760"/>
      <c r="I11843" s="760"/>
      <c r="J11843" s="760"/>
      <c r="K11843" s="760"/>
    </row>
    <row r="11844" spans="1:11">
      <c r="A11844" s="760"/>
      <c r="B11844" s="760"/>
      <c r="C11844" s="760"/>
      <c r="D11844" s="760"/>
      <c r="E11844" s="760"/>
      <c r="F11844" s="760"/>
      <c r="G11844" s="760"/>
      <c r="H11844" s="760"/>
      <c r="I11844" s="760"/>
      <c r="J11844" s="760"/>
      <c r="K11844" s="760"/>
    </row>
    <row r="11845" spans="1:11">
      <c r="A11845" s="760"/>
      <c r="B11845" s="760"/>
      <c r="C11845" s="760"/>
      <c r="D11845" s="760"/>
      <c r="E11845" s="760"/>
      <c r="F11845" s="760"/>
      <c r="G11845" s="760"/>
      <c r="H11845" s="760"/>
      <c r="I11845" s="760"/>
      <c r="J11845" s="760"/>
      <c r="K11845" s="760"/>
    </row>
    <row r="11846" spans="1:11">
      <c r="A11846" s="760"/>
      <c r="B11846" s="760"/>
      <c r="C11846" s="760"/>
      <c r="D11846" s="760"/>
      <c r="E11846" s="760"/>
      <c r="F11846" s="760"/>
      <c r="G11846" s="760"/>
      <c r="H11846" s="760"/>
      <c r="I11846" s="760"/>
      <c r="J11846" s="760"/>
      <c r="K11846" s="760"/>
    </row>
    <row r="11847" spans="1:11">
      <c r="A11847" s="760"/>
      <c r="B11847" s="760"/>
      <c r="C11847" s="760"/>
      <c r="D11847" s="760"/>
      <c r="E11847" s="760"/>
      <c r="F11847" s="760"/>
      <c r="G11847" s="760"/>
      <c r="H11847" s="760"/>
      <c r="I11847" s="760"/>
      <c r="J11847" s="760"/>
      <c r="K11847" s="760"/>
    </row>
    <row r="11848" spans="1:11">
      <c r="A11848" s="760"/>
      <c r="B11848" s="760"/>
      <c r="C11848" s="760"/>
      <c r="D11848" s="760"/>
      <c r="E11848" s="760"/>
      <c r="F11848" s="760"/>
      <c r="G11848" s="760"/>
      <c r="H11848" s="760"/>
      <c r="I11848" s="760"/>
      <c r="J11848" s="760"/>
      <c r="K11848" s="760"/>
    </row>
    <row r="11849" spans="1:11">
      <c r="A11849" s="760"/>
      <c r="B11849" s="760"/>
      <c r="C11849" s="760"/>
      <c r="D11849" s="760"/>
      <c r="E11849" s="760"/>
      <c r="F11849" s="760"/>
      <c r="G11849" s="760"/>
      <c r="H11849" s="760"/>
      <c r="I11849" s="760"/>
      <c r="J11849" s="760"/>
      <c r="K11849" s="760"/>
    </row>
    <row r="11850" spans="1:11">
      <c r="A11850" s="760"/>
      <c r="B11850" s="760"/>
      <c r="C11850" s="760"/>
      <c r="D11850" s="760"/>
      <c r="E11850" s="760"/>
      <c r="F11850" s="760"/>
      <c r="G11850" s="760"/>
      <c r="H11850" s="760"/>
      <c r="I11850" s="760"/>
      <c r="J11850" s="760"/>
      <c r="K11850" s="760"/>
    </row>
    <row r="11851" spans="1:11">
      <c r="A11851" s="760"/>
      <c r="B11851" s="760"/>
      <c r="C11851" s="760"/>
      <c r="D11851" s="760"/>
      <c r="E11851" s="760"/>
      <c r="F11851" s="760"/>
      <c r="G11851" s="760"/>
      <c r="H11851" s="760"/>
      <c r="I11851" s="760"/>
      <c r="J11851" s="760"/>
      <c r="K11851" s="760"/>
    </row>
    <row r="11852" spans="1:11">
      <c r="A11852" s="760"/>
      <c r="B11852" s="760"/>
      <c r="C11852" s="760"/>
      <c r="D11852" s="760"/>
      <c r="E11852" s="760"/>
      <c r="F11852" s="760"/>
      <c r="G11852" s="760"/>
      <c r="H11852" s="760"/>
      <c r="I11852" s="760"/>
      <c r="J11852" s="760"/>
      <c r="K11852" s="760"/>
    </row>
    <row r="11853" spans="1:11">
      <c r="A11853" s="760"/>
      <c r="B11853" s="760"/>
      <c r="C11853" s="760"/>
      <c r="D11853" s="760"/>
      <c r="E11853" s="760"/>
      <c r="F11853" s="760"/>
      <c r="G11853" s="760"/>
      <c r="H11853" s="760"/>
      <c r="I11853" s="760"/>
      <c r="J11853" s="760"/>
      <c r="K11853" s="760"/>
    </row>
    <row r="11854" spans="1:11">
      <c r="A11854" s="760"/>
      <c r="B11854" s="760"/>
      <c r="C11854" s="760"/>
      <c r="D11854" s="760"/>
      <c r="E11854" s="760"/>
      <c r="F11854" s="760"/>
      <c r="G11854" s="760"/>
      <c r="H11854" s="760"/>
      <c r="I11854" s="760"/>
      <c r="J11854" s="760"/>
      <c r="K11854" s="760"/>
    </row>
    <row r="11855" spans="1:11">
      <c r="A11855" s="760"/>
      <c r="B11855" s="760"/>
      <c r="C11855" s="760"/>
      <c r="D11855" s="760"/>
      <c r="E11855" s="760"/>
      <c r="F11855" s="760"/>
      <c r="G11855" s="760"/>
      <c r="H11855" s="760"/>
      <c r="I11855" s="760"/>
      <c r="J11855" s="760"/>
      <c r="K11855" s="760"/>
    </row>
    <row r="11856" spans="1:11">
      <c r="A11856" s="760"/>
      <c r="B11856" s="760"/>
      <c r="C11856" s="760"/>
      <c r="D11856" s="760"/>
      <c r="E11856" s="760"/>
      <c r="F11856" s="760"/>
      <c r="G11856" s="760"/>
      <c r="H11856" s="760"/>
      <c r="I11856" s="760"/>
      <c r="J11856" s="760"/>
      <c r="K11856" s="760"/>
    </row>
    <row r="11857" spans="1:11">
      <c r="A11857" s="760"/>
      <c r="B11857" s="760"/>
      <c r="C11857" s="760"/>
      <c r="D11857" s="760"/>
      <c r="E11857" s="760"/>
      <c r="F11857" s="760"/>
      <c r="G11857" s="760"/>
      <c r="H11857" s="760"/>
      <c r="I11857" s="760"/>
      <c r="J11857" s="760"/>
      <c r="K11857" s="760"/>
    </row>
    <row r="11858" spans="1:11">
      <c r="A11858" s="760"/>
      <c r="B11858" s="760"/>
      <c r="C11858" s="760"/>
      <c r="D11858" s="760"/>
      <c r="E11858" s="760"/>
      <c r="F11858" s="760"/>
      <c r="G11858" s="760"/>
      <c r="H11858" s="760"/>
      <c r="I11858" s="760"/>
      <c r="J11858" s="760"/>
      <c r="K11858" s="760"/>
    </row>
    <row r="11859" spans="1:11">
      <c r="A11859" s="760"/>
      <c r="B11859" s="760"/>
      <c r="C11859" s="760"/>
      <c r="D11859" s="760"/>
      <c r="E11859" s="760"/>
      <c r="F11859" s="760"/>
      <c r="G11859" s="760"/>
      <c r="H11859" s="760"/>
      <c r="I11859" s="760"/>
      <c r="J11859" s="760"/>
      <c r="K11859" s="760"/>
    </row>
    <row r="11860" spans="1:11">
      <c r="A11860" s="760"/>
      <c r="B11860" s="760"/>
      <c r="C11860" s="760"/>
      <c r="D11860" s="760"/>
      <c r="E11860" s="760"/>
      <c r="F11860" s="760"/>
      <c r="G11860" s="760"/>
      <c r="H11860" s="760"/>
      <c r="I11860" s="760"/>
      <c r="J11860" s="760"/>
      <c r="K11860" s="760"/>
    </row>
    <row r="11861" spans="1:11">
      <c r="A11861" s="760"/>
      <c r="B11861" s="760"/>
      <c r="C11861" s="760"/>
      <c r="D11861" s="760"/>
      <c r="E11861" s="760"/>
      <c r="F11861" s="760"/>
      <c r="G11861" s="760"/>
      <c r="H11861" s="760"/>
      <c r="I11861" s="760"/>
      <c r="J11861" s="760"/>
      <c r="K11861" s="760"/>
    </row>
    <row r="11862" spans="1:11">
      <c r="A11862" s="760"/>
      <c r="B11862" s="760"/>
      <c r="C11862" s="760"/>
      <c r="D11862" s="760"/>
      <c r="E11862" s="760"/>
      <c r="F11862" s="760"/>
      <c r="G11862" s="760"/>
      <c r="H11862" s="760"/>
      <c r="I11862" s="760"/>
      <c r="J11862" s="760"/>
      <c r="K11862" s="760"/>
    </row>
    <row r="11863" spans="1:11">
      <c r="A11863" s="760"/>
      <c r="B11863" s="760"/>
      <c r="C11863" s="760"/>
      <c r="D11863" s="760"/>
      <c r="E11863" s="760"/>
      <c r="F11863" s="760"/>
      <c r="G11863" s="760"/>
      <c r="H11863" s="760"/>
      <c r="I11863" s="760"/>
      <c r="J11863" s="760"/>
      <c r="K11863" s="760"/>
    </row>
    <row r="11864" spans="1:11">
      <c r="A11864" s="760"/>
      <c r="B11864" s="760"/>
      <c r="C11864" s="760"/>
      <c r="D11864" s="760"/>
      <c r="E11864" s="760"/>
      <c r="F11864" s="760"/>
      <c r="G11864" s="760"/>
      <c r="H11864" s="760"/>
      <c r="I11864" s="760"/>
      <c r="J11864" s="760"/>
      <c r="K11864" s="760"/>
    </row>
    <row r="11865" spans="1:11">
      <c r="A11865" s="760"/>
      <c r="B11865" s="760"/>
      <c r="C11865" s="760"/>
      <c r="D11865" s="760"/>
      <c r="E11865" s="760"/>
      <c r="F11865" s="760"/>
      <c r="G11865" s="760"/>
      <c r="H11865" s="760"/>
      <c r="I11865" s="760"/>
      <c r="J11865" s="760"/>
      <c r="K11865" s="760"/>
    </row>
    <row r="11866" spans="1:11">
      <c r="A11866" s="760"/>
      <c r="B11866" s="760"/>
      <c r="C11866" s="760"/>
      <c r="D11866" s="760"/>
      <c r="E11866" s="760"/>
      <c r="F11866" s="760"/>
      <c r="G11866" s="760"/>
      <c r="H11866" s="760"/>
      <c r="I11866" s="760"/>
      <c r="J11866" s="760"/>
      <c r="K11866" s="760"/>
    </row>
    <row r="11867" spans="1:11">
      <c r="A11867" s="760"/>
      <c r="B11867" s="760"/>
      <c r="C11867" s="760"/>
      <c r="D11867" s="760"/>
      <c r="E11867" s="760"/>
      <c r="F11867" s="760"/>
      <c r="G11867" s="760"/>
      <c r="H11867" s="760"/>
      <c r="I11867" s="760"/>
      <c r="J11867" s="760"/>
      <c r="K11867" s="760"/>
    </row>
    <row r="11868" spans="1:11">
      <c r="A11868" s="760"/>
      <c r="B11868" s="760"/>
      <c r="C11868" s="760"/>
      <c r="D11868" s="760"/>
      <c r="E11868" s="760"/>
      <c r="F11868" s="760"/>
      <c r="G11868" s="760"/>
      <c r="H11868" s="760"/>
      <c r="I11868" s="760"/>
      <c r="J11868" s="760"/>
      <c r="K11868" s="760"/>
    </row>
    <row r="11869" spans="1:11">
      <c r="A11869" s="760"/>
      <c r="B11869" s="760"/>
      <c r="C11869" s="760"/>
      <c r="D11869" s="760"/>
      <c r="E11869" s="760"/>
      <c r="F11869" s="760"/>
      <c r="G11869" s="760"/>
      <c r="H11869" s="760"/>
      <c r="I11869" s="760"/>
      <c r="J11869" s="760"/>
      <c r="K11869" s="760"/>
    </row>
    <row r="11870" spans="1:11">
      <c r="A11870" s="760"/>
      <c r="B11870" s="760"/>
      <c r="C11870" s="760"/>
      <c r="D11870" s="760"/>
      <c r="E11870" s="760"/>
      <c r="F11870" s="760"/>
      <c r="G11870" s="760"/>
      <c r="H11870" s="760"/>
      <c r="I11870" s="760"/>
      <c r="J11870" s="760"/>
      <c r="K11870" s="760"/>
    </row>
    <row r="11871" spans="1:11">
      <c r="A11871" s="760"/>
      <c r="B11871" s="760"/>
      <c r="C11871" s="760"/>
      <c r="D11871" s="760"/>
      <c r="E11871" s="760"/>
      <c r="F11871" s="760"/>
      <c r="G11871" s="760"/>
      <c r="H11871" s="760"/>
      <c r="I11871" s="760"/>
      <c r="J11871" s="760"/>
      <c r="K11871" s="760"/>
    </row>
    <row r="11872" spans="1:11">
      <c r="A11872" s="760"/>
      <c r="B11872" s="760"/>
      <c r="C11872" s="760"/>
      <c r="D11872" s="760"/>
      <c r="E11872" s="760"/>
      <c r="F11872" s="760"/>
      <c r="G11872" s="760"/>
      <c r="H11872" s="760"/>
      <c r="I11872" s="760"/>
      <c r="J11872" s="760"/>
      <c r="K11872" s="760"/>
    </row>
    <row r="11873" spans="1:11">
      <c r="A11873" s="760"/>
      <c r="B11873" s="760"/>
      <c r="C11873" s="760"/>
      <c r="D11873" s="760"/>
      <c r="E11873" s="760"/>
      <c r="F11873" s="760"/>
      <c r="G11873" s="760"/>
      <c r="H11873" s="760"/>
      <c r="I11873" s="760"/>
      <c r="J11873" s="760"/>
      <c r="K11873" s="760"/>
    </row>
    <row r="11874" spans="1:11">
      <c r="A11874" s="760"/>
      <c r="B11874" s="760"/>
      <c r="C11874" s="760"/>
      <c r="D11874" s="760"/>
      <c r="E11874" s="760"/>
      <c r="F11874" s="760"/>
      <c r="G11874" s="760"/>
      <c r="H11874" s="760"/>
      <c r="I11874" s="760"/>
      <c r="J11874" s="760"/>
      <c r="K11874" s="760"/>
    </row>
    <row r="11875" spans="1:11">
      <c r="A11875" s="760"/>
      <c r="B11875" s="760"/>
      <c r="C11875" s="760"/>
      <c r="D11875" s="760"/>
      <c r="E11875" s="760"/>
      <c r="F11875" s="760"/>
      <c r="G11875" s="760"/>
      <c r="H11875" s="760"/>
      <c r="I11875" s="760"/>
      <c r="J11875" s="760"/>
      <c r="K11875" s="760"/>
    </row>
    <row r="11876" spans="1:11">
      <c r="A11876" s="760"/>
      <c r="B11876" s="760"/>
      <c r="C11876" s="760"/>
      <c r="D11876" s="760"/>
      <c r="E11876" s="760"/>
      <c r="F11876" s="760"/>
      <c r="G11876" s="760"/>
      <c r="H11876" s="760"/>
      <c r="I11876" s="760"/>
      <c r="J11876" s="760"/>
      <c r="K11876" s="760"/>
    </row>
    <row r="11877" spans="1:11">
      <c r="A11877" s="760"/>
      <c r="B11877" s="760"/>
      <c r="C11877" s="760"/>
      <c r="D11877" s="760"/>
      <c r="E11877" s="760"/>
      <c r="F11877" s="760"/>
      <c r="G11877" s="760"/>
      <c r="H11877" s="760"/>
      <c r="I11877" s="760"/>
      <c r="J11877" s="760"/>
      <c r="K11877" s="760"/>
    </row>
    <row r="11878" spans="1:11">
      <c r="A11878" s="760"/>
      <c r="B11878" s="760"/>
      <c r="C11878" s="760"/>
      <c r="D11878" s="760"/>
      <c r="E11878" s="760"/>
      <c r="F11878" s="760"/>
      <c r="G11878" s="760"/>
      <c r="H11878" s="760"/>
      <c r="I11878" s="760"/>
      <c r="J11878" s="760"/>
      <c r="K11878" s="760"/>
    </row>
    <row r="11879" spans="1:11">
      <c r="A11879" s="760"/>
      <c r="B11879" s="760"/>
      <c r="C11879" s="760"/>
      <c r="D11879" s="760"/>
      <c r="E11879" s="760"/>
      <c r="F11879" s="760"/>
      <c r="G11879" s="760"/>
      <c r="H11879" s="760"/>
      <c r="I11879" s="760"/>
      <c r="J11879" s="760"/>
      <c r="K11879" s="760"/>
    </row>
    <row r="11880" spans="1:11">
      <c r="A11880" s="760"/>
      <c r="B11880" s="760"/>
      <c r="C11880" s="760"/>
      <c r="D11880" s="760"/>
      <c r="E11880" s="760"/>
      <c r="F11880" s="760"/>
      <c r="G11880" s="760"/>
      <c r="H11880" s="760"/>
      <c r="I11880" s="760"/>
      <c r="J11880" s="760"/>
      <c r="K11880" s="760"/>
    </row>
    <row r="11881" spans="1:11">
      <c r="A11881" s="760"/>
      <c r="B11881" s="760"/>
      <c r="C11881" s="760"/>
      <c r="D11881" s="760"/>
      <c r="E11881" s="760"/>
      <c r="F11881" s="760"/>
      <c r="G11881" s="760"/>
      <c r="H11881" s="760"/>
      <c r="I11881" s="760"/>
      <c r="J11881" s="760"/>
      <c r="K11881" s="760"/>
    </row>
    <row r="11882" spans="1:11">
      <c r="A11882" s="760"/>
      <c r="B11882" s="760"/>
      <c r="C11882" s="760"/>
      <c r="D11882" s="760"/>
      <c r="E11882" s="760"/>
      <c r="F11882" s="760"/>
      <c r="G11882" s="760"/>
      <c r="H11882" s="760"/>
      <c r="I11882" s="760"/>
      <c r="J11882" s="760"/>
      <c r="K11882" s="760"/>
    </row>
    <row r="11883" spans="1:11">
      <c r="A11883" s="760"/>
      <c r="B11883" s="760"/>
      <c r="C11883" s="760"/>
      <c r="D11883" s="760"/>
      <c r="E11883" s="760"/>
      <c r="F11883" s="760"/>
      <c r="G11883" s="760"/>
      <c r="H11883" s="760"/>
      <c r="I11883" s="760"/>
      <c r="J11883" s="760"/>
      <c r="K11883" s="760"/>
    </row>
    <row r="11884" spans="1:11">
      <c r="A11884" s="760"/>
      <c r="B11884" s="760"/>
      <c r="C11884" s="760"/>
      <c r="D11884" s="760"/>
      <c r="E11884" s="760"/>
      <c r="F11884" s="760"/>
      <c r="G11884" s="760"/>
      <c r="H11884" s="760"/>
      <c r="I11884" s="760"/>
      <c r="J11884" s="760"/>
      <c r="K11884" s="760"/>
    </row>
    <row r="11885" spans="1:11">
      <c r="A11885" s="760"/>
      <c r="B11885" s="760"/>
      <c r="C11885" s="760"/>
      <c r="D11885" s="760"/>
      <c r="E11885" s="760"/>
      <c r="F11885" s="760"/>
      <c r="G11885" s="760"/>
      <c r="H11885" s="760"/>
      <c r="I11885" s="760"/>
      <c r="J11885" s="760"/>
      <c r="K11885" s="760"/>
    </row>
    <row r="11886" spans="1:11">
      <c r="A11886" s="760"/>
      <c r="B11886" s="760"/>
      <c r="C11886" s="760"/>
      <c r="D11886" s="760"/>
      <c r="E11886" s="760"/>
      <c r="F11886" s="760"/>
      <c r="G11886" s="760"/>
      <c r="H11886" s="760"/>
      <c r="I11886" s="760"/>
      <c r="J11886" s="760"/>
      <c r="K11886" s="760"/>
    </row>
    <row r="11887" spans="1:11">
      <c r="A11887" s="760"/>
      <c r="B11887" s="760"/>
      <c r="C11887" s="760"/>
      <c r="D11887" s="760"/>
      <c r="E11887" s="760"/>
      <c r="F11887" s="760"/>
      <c r="G11887" s="760"/>
      <c r="H11887" s="760"/>
      <c r="I11887" s="760"/>
      <c r="J11887" s="760"/>
      <c r="K11887" s="760"/>
    </row>
    <row r="11888" spans="1:11">
      <c r="A11888" s="760"/>
      <c r="B11888" s="760"/>
      <c r="C11888" s="760"/>
      <c r="D11888" s="760"/>
      <c r="E11888" s="760"/>
      <c r="F11888" s="760"/>
      <c r="G11888" s="760"/>
      <c r="H11888" s="760"/>
      <c r="I11888" s="760"/>
      <c r="J11888" s="760"/>
      <c r="K11888" s="760"/>
    </row>
    <row r="11889" spans="1:11">
      <c r="A11889" s="760"/>
      <c r="B11889" s="760"/>
      <c r="C11889" s="760"/>
      <c r="D11889" s="760"/>
      <c r="E11889" s="760"/>
      <c r="F11889" s="760"/>
      <c r="G11889" s="760"/>
      <c r="H11889" s="760"/>
      <c r="I11889" s="760"/>
      <c r="J11889" s="760"/>
      <c r="K11889" s="760"/>
    </row>
    <row r="11890" spans="1:11">
      <c r="A11890" s="760"/>
      <c r="B11890" s="760"/>
      <c r="C11890" s="760"/>
      <c r="D11890" s="760"/>
      <c r="E11890" s="760"/>
      <c r="F11890" s="760"/>
      <c r="G11890" s="760"/>
      <c r="H11890" s="760"/>
      <c r="I11890" s="760"/>
      <c r="J11890" s="760"/>
      <c r="K11890" s="760"/>
    </row>
    <row r="11891" spans="1:11">
      <c r="A11891" s="760"/>
      <c r="B11891" s="760"/>
      <c r="C11891" s="760"/>
      <c r="D11891" s="760"/>
      <c r="E11891" s="760"/>
      <c r="F11891" s="760"/>
      <c r="G11891" s="760"/>
      <c r="H11891" s="760"/>
      <c r="I11891" s="760"/>
      <c r="J11891" s="760"/>
      <c r="K11891" s="760"/>
    </row>
    <row r="11892" spans="1:11">
      <c r="A11892" s="760"/>
      <c r="B11892" s="760"/>
      <c r="C11892" s="760"/>
      <c r="D11892" s="760"/>
      <c r="E11892" s="760"/>
      <c r="F11892" s="760"/>
      <c r="G11892" s="760"/>
      <c r="H11892" s="760"/>
      <c r="I11892" s="760"/>
      <c r="J11892" s="760"/>
      <c r="K11892" s="760"/>
    </row>
    <row r="11893" spans="1:11">
      <c r="A11893" s="760"/>
      <c r="B11893" s="760"/>
      <c r="C11893" s="760"/>
      <c r="D11893" s="760"/>
      <c r="E11893" s="760"/>
      <c r="F11893" s="760"/>
      <c r="G11893" s="760"/>
      <c r="H11893" s="760"/>
      <c r="I11893" s="760"/>
      <c r="J11893" s="760"/>
      <c r="K11893" s="760"/>
    </row>
    <row r="11894" spans="1:11">
      <c r="A11894" s="760"/>
      <c r="B11894" s="760"/>
      <c r="C11894" s="760"/>
      <c r="D11894" s="760"/>
      <c r="E11894" s="760"/>
      <c r="F11894" s="760"/>
      <c r="G11894" s="760"/>
      <c r="H11894" s="760"/>
      <c r="I11894" s="760"/>
      <c r="J11894" s="760"/>
      <c r="K11894" s="760"/>
    </row>
    <row r="11895" spans="1:11">
      <c r="A11895" s="760"/>
      <c r="B11895" s="760"/>
      <c r="C11895" s="760"/>
      <c r="D11895" s="760"/>
      <c r="E11895" s="760"/>
      <c r="F11895" s="760"/>
      <c r="G11895" s="760"/>
      <c r="H11895" s="760"/>
      <c r="I11895" s="760"/>
      <c r="J11895" s="760"/>
      <c r="K11895" s="760"/>
    </row>
    <row r="11896" spans="1:11">
      <c r="A11896" s="760"/>
      <c r="B11896" s="760"/>
      <c r="C11896" s="760"/>
      <c r="D11896" s="760"/>
      <c r="E11896" s="760"/>
      <c r="F11896" s="760"/>
      <c r="G11896" s="760"/>
      <c r="H11896" s="760"/>
      <c r="I11896" s="760"/>
      <c r="J11896" s="760"/>
      <c r="K11896" s="760"/>
    </row>
    <row r="11897" spans="1:11">
      <c r="A11897" s="760"/>
      <c r="B11897" s="760"/>
      <c r="C11897" s="760"/>
      <c r="D11897" s="760"/>
      <c r="E11897" s="760"/>
      <c r="F11897" s="760"/>
      <c r="G11897" s="760"/>
      <c r="H11897" s="760"/>
      <c r="I11897" s="760"/>
      <c r="J11897" s="760"/>
      <c r="K11897" s="760"/>
    </row>
    <row r="11898" spans="1:11">
      <c r="A11898" s="760"/>
      <c r="B11898" s="760"/>
      <c r="C11898" s="760"/>
      <c r="D11898" s="760"/>
      <c r="E11898" s="760"/>
      <c r="F11898" s="760"/>
      <c r="G11898" s="760"/>
      <c r="H11898" s="760"/>
      <c r="I11898" s="760"/>
      <c r="J11898" s="760"/>
      <c r="K11898" s="760"/>
    </row>
    <row r="11899" spans="1:11">
      <c r="A11899" s="760"/>
      <c r="B11899" s="760"/>
      <c r="C11899" s="760"/>
      <c r="D11899" s="760"/>
      <c r="E11899" s="760"/>
      <c r="F11899" s="760"/>
      <c r="G11899" s="760"/>
      <c r="H11899" s="760"/>
      <c r="I11899" s="760"/>
      <c r="J11899" s="760"/>
      <c r="K11899" s="760"/>
    </row>
    <row r="11900" spans="1:11">
      <c r="A11900" s="760"/>
      <c r="B11900" s="760"/>
      <c r="C11900" s="760"/>
      <c r="D11900" s="760"/>
      <c r="E11900" s="760"/>
      <c r="F11900" s="760"/>
      <c r="G11900" s="760"/>
      <c r="H11900" s="760"/>
      <c r="I11900" s="760"/>
      <c r="J11900" s="760"/>
      <c r="K11900" s="760"/>
    </row>
    <row r="11901" spans="1:11">
      <c r="A11901" s="760"/>
      <c r="B11901" s="760"/>
      <c r="C11901" s="760"/>
      <c r="D11901" s="760"/>
      <c r="E11901" s="760"/>
      <c r="F11901" s="760"/>
      <c r="G11901" s="760"/>
      <c r="H11901" s="760"/>
      <c r="I11901" s="760"/>
      <c r="J11901" s="760"/>
      <c r="K11901" s="760"/>
    </row>
    <row r="11902" spans="1:11">
      <c r="A11902" s="760"/>
      <c r="B11902" s="760"/>
      <c r="C11902" s="760"/>
      <c r="D11902" s="760"/>
      <c r="E11902" s="760"/>
      <c r="F11902" s="760"/>
      <c r="G11902" s="760"/>
      <c r="H11902" s="760"/>
      <c r="I11902" s="760"/>
      <c r="J11902" s="760"/>
      <c r="K11902" s="760"/>
    </row>
    <row r="11903" spans="1:11">
      <c r="A11903" s="760"/>
      <c r="B11903" s="760"/>
      <c r="C11903" s="760"/>
      <c r="D11903" s="760"/>
      <c r="E11903" s="760"/>
      <c r="F11903" s="760"/>
      <c r="G11903" s="760"/>
      <c r="H11903" s="760"/>
      <c r="I11903" s="760"/>
      <c r="J11903" s="760"/>
      <c r="K11903" s="760"/>
    </row>
    <row r="11904" spans="1:11">
      <c r="A11904" s="760"/>
      <c r="B11904" s="760"/>
      <c r="C11904" s="760"/>
      <c r="D11904" s="760"/>
      <c r="E11904" s="760"/>
      <c r="F11904" s="760"/>
      <c r="G11904" s="760"/>
      <c r="H11904" s="760"/>
      <c r="I11904" s="760"/>
      <c r="J11904" s="760"/>
      <c r="K11904" s="760"/>
    </row>
    <row r="11905" spans="1:11">
      <c r="A11905" s="760"/>
      <c r="B11905" s="760"/>
      <c r="C11905" s="760"/>
      <c r="D11905" s="760"/>
      <c r="E11905" s="760"/>
      <c r="F11905" s="760"/>
      <c r="G11905" s="760"/>
      <c r="H11905" s="760"/>
      <c r="I11905" s="760"/>
      <c r="J11905" s="760"/>
      <c r="K11905" s="760"/>
    </row>
    <row r="11906" spans="1:11">
      <c r="A11906" s="760"/>
      <c r="B11906" s="760"/>
      <c r="C11906" s="760"/>
      <c r="D11906" s="760"/>
      <c r="E11906" s="760"/>
      <c r="F11906" s="760"/>
      <c r="G11906" s="760"/>
      <c r="H11906" s="760"/>
      <c r="I11906" s="760"/>
      <c r="J11906" s="760"/>
      <c r="K11906" s="760"/>
    </row>
    <row r="11907" spans="1:11">
      <c r="A11907" s="760"/>
      <c r="B11907" s="760"/>
      <c r="C11907" s="760"/>
      <c r="D11907" s="760"/>
      <c r="E11907" s="760"/>
      <c r="F11907" s="760"/>
      <c r="G11907" s="760"/>
      <c r="H11907" s="760"/>
      <c r="I11907" s="760"/>
      <c r="J11907" s="760"/>
      <c r="K11907" s="760"/>
    </row>
    <row r="11908" spans="1:11">
      <c r="A11908" s="760"/>
      <c r="B11908" s="760"/>
      <c r="C11908" s="760"/>
      <c r="D11908" s="760"/>
      <c r="E11908" s="760"/>
      <c r="F11908" s="760"/>
      <c r="G11908" s="760"/>
      <c r="H11908" s="760"/>
      <c r="I11908" s="760"/>
      <c r="J11908" s="760"/>
      <c r="K11908" s="760"/>
    </row>
    <row r="11909" spans="1:11">
      <c r="A11909" s="760"/>
      <c r="B11909" s="760"/>
      <c r="C11909" s="760"/>
      <c r="D11909" s="760"/>
      <c r="E11909" s="760"/>
      <c r="F11909" s="760"/>
      <c r="G11909" s="760"/>
      <c r="H11909" s="760"/>
      <c r="I11909" s="760"/>
      <c r="J11909" s="760"/>
      <c r="K11909" s="760"/>
    </row>
    <row r="11910" spans="1:11">
      <c r="A11910" s="760"/>
      <c r="B11910" s="760"/>
      <c r="C11910" s="760"/>
      <c r="D11910" s="760"/>
      <c r="E11910" s="760"/>
      <c r="F11910" s="760"/>
      <c r="G11910" s="760"/>
      <c r="H11910" s="760"/>
      <c r="I11910" s="760"/>
      <c r="J11910" s="760"/>
      <c r="K11910" s="760"/>
    </row>
    <row r="11911" spans="1:11">
      <c r="A11911" s="760"/>
      <c r="B11911" s="760"/>
      <c r="C11911" s="760"/>
      <c r="D11911" s="760"/>
      <c r="E11911" s="760"/>
      <c r="F11911" s="760"/>
      <c r="G11911" s="760"/>
      <c r="H11911" s="760"/>
      <c r="I11911" s="760"/>
      <c r="J11911" s="760"/>
      <c r="K11911" s="760"/>
    </row>
    <row r="11912" spans="1:11">
      <c r="A11912" s="760"/>
      <c r="B11912" s="760"/>
      <c r="C11912" s="760"/>
      <c r="D11912" s="760"/>
      <c r="E11912" s="760"/>
      <c r="F11912" s="760"/>
      <c r="G11912" s="760"/>
      <c r="H11912" s="760"/>
      <c r="I11912" s="760"/>
      <c r="J11912" s="760"/>
      <c r="K11912" s="760"/>
    </row>
    <row r="11913" spans="1:11">
      <c r="A11913" s="760"/>
      <c r="B11913" s="760"/>
      <c r="C11913" s="760"/>
      <c r="D11913" s="760"/>
      <c r="E11913" s="760"/>
      <c r="F11913" s="760"/>
      <c r="G11913" s="760"/>
      <c r="H11913" s="760"/>
      <c r="I11913" s="760"/>
      <c r="J11913" s="760"/>
      <c r="K11913" s="760"/>
    </row>
    <row r="11914" spans="1:11">
      <c r="A11914" s="760"/>
      <c r="B11914" s="760"/>
      <c r="C11914" s="760"/>
      <c r="D11914" s="760"/>
      <c r="E11914" s="760"/>
      <c r="F11914" s="760"/>
      <c r="G11914" s="760"/>
      <c r="H11914" s="760"/>
      <c r="I11914" s="760"/>
      <c r="J11914" s="760"/>
      <c r="K11914" s="760"/>
    </row>
    <row r="11915" spans="1:11">
      <c r="A11915" s="760"/>
      <c r="B11915" s="760"/>
      <c r="C11915" s="760"/>
      <c r="D11915" s="760"/>
      <c r="E11915" s="760"/>
      <c r="F11915" s="760"/>
      <c r="G11915" s="760"/>
      <c r="H11915" s="760"/>
      <c r="I11915" s="760"/>
      <c r="J11915" s="760"/>
      <c r="K11915" s="760"/>
    </row>
    <row r="11916" spans="1:11">
      <c r="A11916" s="760"/>
      <c r="B11916" s="760"/>
      <c r="C11916" s="760"/>
      <c r="D11916" s="760"/>
      <c r="E11916" s="760"/>
      <c r="F11916" s="760"/>
      <c r="G11916" s="760"/>
      <c r="H11916" s="760"/>
      <c r="I11916" s="760"/>
      <c r="J11916" s="760"/>
      <c r="K11916" s="760"/>
    </row>
    <row r="11917" spans="1:11">
      <c r="A11917" s="760"/>
      <c r="B11917" s="760"/>
      <c r="C11917" s="760"/>
      <c r="D11917" s="760"/>
      <c r="E11917" s="760"/>
      <c r="F11917" s="760"/>
      <c r="G11917" s="760"/>
      <c r="H11917" s="760"/>
      <c r="I11917" s="760"/>
      <c r="J11917" s="760"/>
      <c r="K11917" s="760"/>
    </row>
    <row r="11918" spans="1:11">
      <c r="A11918" s="760"/>
      <c r="B11918" s="760"/>
      <c r="C11918" s="760"/>
      <c r="D11918" s="760"/>
      <c r="E11918" s="760"/>
      <c r="F11918" s="760"/>
      <c r="G11918" s="760"/>
      <c r="H11918" s="760"/>
      <c r="I11918" s="760"/>
      <c r="J11918" s="760"/>
      <c r="K11918" s="760"/>
    </row>
    <row r="11919" spans="1:11">
      <c r="A11919" s="760"/>
      <c r="B11919" s="760"/>
      <c r="C11919" s="760"/>
      <c r="D11919" s="760"/>
      <c r="E11919" s="760"/>
      <c r="F11919" s="760"/>
      <c r="G11919" s="760"/>
      <c r="H11919" s="760"/>
      <c r="I11919" s="760"/>
      <c r="J11919" s="760"/>
      <c r="K11919" s="760"/>
    </row>
    <row r="11920" spans="1:11">
      <c r="A11920" s="760"/>
      <c r="B11920" s="760"/>
      <c r="C11920" s="760"/>
      <c r="D11920" s="760"/>
      <c r="E11920" s="760"/>
      <c r="F11920" s="760"/>
      <c r="G11920" s="760"/>
      <c r="H11920" s="760"/>
      <c r="I11920" s="760"/>
      <c r="J11920" s="760"/>
      <c r="K11920" s="760"/>
    </row>
    <row r="11921" spans="1:11">
      <c r="A11921" s="760"/>
      <c r="B11921" s="760"/>
      <c r="C11921" s="760"/>
      <c r="D11921" s="760"/>
      <c r="E11921" s="760"/>
      <c r="F11921" s="760"/>
      <c r="G11921" s="760"/>
      <c r="H11921" s="760"/>
      <c r="I11921" s="760"/>
      <c r="J11921" s="760"/>
      <c r="K11921" s="760"/>
    </row>
    <row r="11922" spans="1:11">
      <c r="A11922" s="760"/>
      <c r="B11922" s="760"/>
      <c r="C11922" s="760"/>
      <c r="D11922" s="760"/>
      <c r="E11922" s="760"/>
      <c r="F11922" s="760"/>
      <c r="G11922" s="760"/>
      <c r="H11922" s="760"/>
      <c r="I11922" s="760"/>
      <c r="J11922" s="760"/>
      <c r="K11922" s="760"/>
    </row>
    <row r="11923" spans="1:11">
      <c r="A11923" s="760"/>
      <c r="B11923" s="760"/>
      <c r="C11923" s="760"/>
      <c r="D11923" s="760"/>
      <c r="E11923" s="760"/>
      <c r="F11923" s="760"/>
      <c r="G11923" s="760"/>
      <c r="H11923" s="760"/>
      <c r="I11923" s="760"/>
      <c r="J11923" s="760"/>
      <c r="K11923" s="760"/>
    </row>
    <row r="11924" spans="1:11">
      <c r="A11924" s="760"/>
      <c r="B11924" s="760"/>
      <c r="C11924" s="760"/>
      <c r="D11924" s="760"/>
      <c r="E11924" s="760"/>
      <c r="F11924" s="760"/>
      <c r="G11924" s="760"/>
      <c r="H11924" s="760"/>
      <c r="I11924" s="760"/>
      <c r="J11924" s="760"/>
      <c r="K11924" s="760"/>
    </row>
    <row r="11925" spans="1:11">
      <c r="A11925" s="760"/>
      <c r="B11925" s="760"/>
      <c r="C11925" s="760"/>
      <c r="D11925" s="760"/>
      <c r="E11925" s="760"/>
      <c r="F11925" s="760"/>
      <c r="G11925" s="760"/>
      <c r="H11925" s="760"/>
      <c r="I11925" s="760"/>
      <c r="J11925" s="760"/>
      <c r="K11925" s="760"/>
    </row>
    <row r="11926" spans="1:11">
      <c r="A11926" s="760"/>
      <c r="B11926" s="760"/>
      <c r="C11926" s="760"/>
      <c r="D11926" s="760"/>
      <c r="E11926" s="760"/>
      <c r="F11926" s="760"/>
      <c r="G11926" s="760"/>
      <c r="H11926" s="760"/>
      <c r="I11926" s="760"/>
      <c r="J11926" s="760"/>
      <c r="K11926" s="760"/>
    </row>
    <row r="11927" spans="1:11">
      <c r="A11927" s="760"/>
      <c r="B11927" s="760"/>
      <c r="C11927" s="760"/>
      <c r="D11927" s="760"/>
      <c r="E11927" s="760"/>
      <c r="F11927" s="760"/>
      <c r="G11927" s="760"/>
      <c r="H11927" s="760"/>
      <c r="I11927" s="760"/>
      <c r="J11927" s="760"/>
      <c r="K11927" s="760"/>
    </row>
    <row r="11928" spans="1:11">
      <c r="A11928" s="760"/>
      <c r="B11928" s="760"/>
      <c r="C11928" s="760"/>
      <c r="D11928" s="760"/>
      <c r="E11928" s="760"/>
      <c r="F11928" s="760"/>
      <c r="G11928" s="760"/>
      <c r="H11928" s="760"/>
      <c r="I11928" s="760"/>
      <c r="J11928" s="760"/>
      <c r="K11928" s="760"/>
    </row>
    <row r="11929" spans="1:11">
      <c r="A11929" s="760"/>
      <c r="B11929" s="760"/>
      <c r="C11929" s="760"/>
      <c r="D11929" s="760"/>
      <c r="E11929" s="760"/>
      <c r="F11929" s="760"/>
      <c r="G11929" s="760"/>
      <c r="H11929" s="760"/>
      <c r="I11929" s="760"/>
      <c r="J11929" s="760"/>
      <c r="K11929" s="760"/>
    </row>
    <row r="11930" spans="1:11">
      <c r="A11930" s="760"/>
      <c r="B11930" s="760"/>
      <c r="C11930" s="760"/>
      <c r="D11930" s="760"/>
      <c r="E11930" s="760"/>
      <c r="F11930" s="760"/>
      <c r="G11930" s="760"/>
      <c r="H11930" s="760"/>
      <c r="I11930" s="760"/>
      <c r="J11930" s="760"/>
      <c r="K11930" s="760"/>
    </row>
    <row r="11931" spans="1:11">
      <c r="A11931" s="760"/>
      <c r="B11931" s="760"/>
      <c r="C11931" s="760"/>
      <c r="D11931" s="760"/>
      <c r="E11931" s="760"/>
      <c r="F11931" s="760"/>
      <c r="G11931" s="760"/>
      <c r="H11931" s="760"/>
      <c r="I11931" s="760"/>
      <c r="J11931" s="760"/>
      <c r="K11931" s="760"/>
    </row>
    <row r="11932" spans="1:11">
      <c r="A11932" s="760"/>
      <c r="B11932" s="760"/>
      <c r="C11932" s="760"/>
      <c r="D11932" s="760"/>
      <c r="E11932" s="760"/>
      <c r="F11932" s="760"/>
      <c r="G11932" s="760"/>
      <c r="H11932" s="760"/>
      <c r="I11932" s="760"/>
      <c r="J11932" s="760"/>
      <c r="K11932" s="760"/>
    </row>
    <row r="11933" spans="1:11">
      <c r="A11933" s="760"/>
      <c r="B11933" s="760"/>
      <c r="C11933" s="760"/>
      <c r="D11933" s="760"/>
      <c r="E11933" s="760"/>
      <c r="F11933" s="760"/>
      <c r="G11933" s="760"/>
      <c r="H11933" s="760"/>
      <c r="I11933" s="760"/>
      <c r="J11933" s="760"/>
      <c r="K11933" s="760"/>
    </row>
    <row r="11934" spans="1:11">
      <c r="A11934" s="760"/>
      <c r="B11934" s="760"/>
      <c r="C11934" s="760"/>
      <c r="D11934" s="760"/>
      <c r="E11934" s="760"/>
      <c r="F11934" s="760"/>
      <c r="G11934" s="760"/>
      <c r="H11934" s="760"/>
      <c r="I11934" s="760"/>
      <c r="J11934" s="760"/>
      <c r="K11934" s="760"/>
    </row>
    <row r="11935" spans="1:11">
      <c r="A11935" s="760"/>
      <c r="B11935" s="760"/>
      <c r="C11935" s="760"/>
      <c r="D11935" s="760"/>
      <c r="E11935" s="760"/>
      <c r="F11935" s="760"/>
      <c r="G11935" s="760"/>
      <c r="H11935" s="760"/>
      <c r="I11935" s="760"/>
      <c r="J11935" s="760"/>
      <c r="K11935" s="760"/>
    </row>
    <row r="11936" spans="1:11">
      <c r="A11936" s="760"/>
      <c r="B11936" s="760"/>
      <c r="C11936" s="760"/>
      <c r="D11936" s="760"/>
      <c r="E11936" s="760"/>
      <c r="F11936" s="760"/>
      <c r="G11936" s="760"/>
      <c r="H11936" s="760"/>
      <c r="I11936" s="760"/>
      <c r="J11936" s="760"/>
      <c r="K11936" s="760"/>
    </row>
    <row r="11937" spans="1:11">
      <c r="A11937" s="760"/>
      <c r="B11937" s="760"/>
      <c r="C11937" s="760"/>
      <c r="D11937" s="760"/>
      <c r="E11937" s="760"/>
      <c r="F11937" s="760"/>
      <c r="G11937" s="760"/>
      <c r="H11937" s="760"/>
      <c r="I11937" s="760"/>
      <c r="J11937" s="760"/>
      <c r="K11937" s="760"/>
    </row>
    <row r="11938" spans="1:11">
      <c r="A11938" s="760"/>
      <c r="B11938" s="760"/>
      <c r="C11938" s="760"/>
      <c r="D11938" s="760"/>
      <c r="E11938" s="760"/>
      <c r="F11938" s="760"/>
      <c r="G11938" s="760"/>
      <c r="H11938" s="760"/>
      <c r="I11938" s="760"/>
      <c r="J11938" s="760"/>
      <c r="K11938" s="760"/>
    </row>
    <row r="11939" spans="1:11">
      <c r="A11939" s="760"/>
      <c r="B11939" s="760"/>
      <c r="C11939" s="760"/>
      <c r="D11939" s="760"/>
      <c r="E11939" s="760"/>
      <c r="F11939" s="760"/>
      <c r="G11939" s="760"/>
      <c r="H11939" s="760"/>
      <c r="I11939" s="760"/>
      <c r="J11939" s="760"/>
      <c r="K11939" s="760"/>
    </row>
    <row r="11940" spans="1:11">
      <c r="A11940" s="760"/>
      <c r="B11940" s="760"/>
      <c r="C11940" s="760"/>
      <c r="D11940" s="760"/>
      <c r="E11940" s="760"/>
      <c r="F11940" s="760"/>
      <c r="G11940" s="760"/>
      <c r="H11940" s="760"/>
      <c r="I11940" s="760"/>
      <c r="J11940" s="760"/>
      <c r="K11940" s="760"/>
    </row>
    <row r="11941" spans="1:11">
      <c r="A11941" s="760"/>
      <c r="B11941" s="760"/>
      <c r="C11941" s="760"/>
      <c r="D11941" s="760"/>
      <c r="E11941" s="760"/>
      <c r="F11941" s="760"/>
      <c r="G11941" s="760"/>
      <c r="H11941" s="760"/>
      <c r="I11941" s="760"/>
      <c r="J11941" s="760"/>
      <c r="K11941" s="760"/>
    </row>
    <row r="11942" spans="1:11">
      <c r="A11942" s="760"/>
      <c r="B11942" s="760"/>
      <c r="C11942" s="760"/>
      <c r="D11942" s="760"/>
      <c r="E11942" s="760"/>
      <c r="F11942" s="760"/>
      <c r="G11942" s="760"/>
      <c r="H11942" s="760"/>
      <c r="I11942" s="760"/>
      <c r="J11942" s="760"/>
      <c r="K11942" s="760"/>
    </row>
    <row r="11943" spans="1:11">
      <c r="A11943" s="760"/>
      <c r="B11943" s="760"/>
      <c r="C11943" s="760"/>
      <c r="D11943" s="760"/>
      <c r="E11943" s="760"/>
      <c r="F11943" s="760"/>
      <c r="G11943" s="760"/>
      <c r="H11943" s="760"/>
      <c r="I11943" s="760"/>
      <c r="J11943" s="760"/>
      <c r="K11943" s="760"/>
    </row>
    <row r="11944" spans="1:11">
      <c r="A11944" s="760"/>
      <c r="B11944" s="760"/>
      <c r="C11944" s="760"/>
      <c r="D11944" s="760"/>
      <c r="E11944" s="760"/>
      <c r="F11944" s="760"/>
      <c r="G11944" s="760"/>
      <c r="H11944" s="760"/>
      <c r="I11944" s="760"/>
      <c r="J11944" s="760"/>
      <c r="K11944" s="760"/>
    </row>
    <row r="11945" spans="1:11">
      <c r="A11945" s="760"/>
      <c r="B11945" s="760"/>
      <c r="C11945" s="760"/>
      <c r="D11945" s="760"/>
      <c r="E11945" s="760"/>
      <c r="F11945" s="760"/>
      <c r="G11945" s="760"/>
      <c r="H11945" s="760"/>
      <c r="I11945" s="760"/>
      <c r="J11945" s="760"/>
      <c r="K11945" s="760"/>
    </row>
    <row r="11946" spans="1:11">
      <c r="A11946" s="760"/>
      <c r="B11946" s="760"/>
      <c r="C11946" s="760"/>
      <c r="D11946" s="760"/>
      <c r="E11946" s="760"/>
      <c r="F11946" s="760"/>
      <c r="G11946" s="760"/>
      <c r="H11946" s="760"/>
      <c r="I11946" s="760"/>
      <c r="J11946" s="760"/>
      <c r="K11946" s="760"/>
    </row>
    <row r="11947" spans="1:11">
      <c r="A11947" s="760"/>
      <c r="B11947" s="760"/>
      <c r="C11947" s="760"/>
      <c r="D11947" s="760"/>
      <c r="E11947" s="760"/>
      <c r="F11947" s="760"/>
      <c r="G11947" s="760"/>
      <c r="H11947" s="760"/>
      <c r="I11947" s="760"/>
      <c r="J11947" s="760"/>
      <c r="K11947" s="760"/>
    </row>
    <row r="11948" spans="1:11">
      <c r="A11948" s="760"/>
      <c r="B11948" s="760"/>
      <c r="C11948" s="760"/>
      <c r="D11948" s="760"/>
      <c r="E11948" s="760"/>
      <c r="F11948" s="760"/>
      <c r="G11948" s="760"/>
      <c r="H11948" s="760"/>
      <c r="I11948" s="760"/>
      <c r="J11948" s="760"/>
      <c r="K11948" s="760"/>
    </row>
    <row r="11949" spans="1:11">
      <c r="A11949" s="760"/>
      <c r="B11949" s="760"/>
      <c r="C11949" s="760"/>
      <c r="D11949" s="760"/>
      <c r="E11949" s="760"/>
      <c r="F11949" s="760"/>
      <c r="G11949" s="760"/>
      <c r="H11949" s="760"/>
      <c r="I11949" s="760"/>
      <c r="J11949" s="760"/>
      <c r="K11949" s="760"/>
    </row>
    <row r="11950" spans="1:11">
      <c r="A11950" s="760"/>
      <c r="B11950" s="760"/>
      <c r="C11950" s="760"/>
      <c r="D11950" s="760"/>
      <c r="E11950" s="760"/>
      <c r="F11950" s="760"/>
      <c r="G11950" s="760"/>
      <c r="H11950" s="760"/>
      <c r="I11950" s="760"/>
      <c r="J11950" s="760"/>
      <c r="K11950" s="760"/>
    </row>
    <row r="11951" spans="1:11">
      <c r="A11951" s="760"/>
      <c r="B11951" s="760"/>
      <c r="C11951" s="760"/>
      <c r="D11951" s="760"/>
      <c r="E11951" s="760"/>
      <c r="F11951" s="760"/>
      <c r="G11951" s="760"/>
      <c r="H11951" s="760"/>
      <c r="I11951" s="760"/>
      <c r="J11951" s="760"/>
      <c r="K11951" s="760"/>
    </row>
    <row r="11952" spans="1:11">
      <c r="A11952" s="760"/>
      <c r="B11952" s="760"/>
      <c r="C11952" s="760"/>
      <c r="D11952" s="760"/>
      <c r="E11952" s="760"/>
      <c r="F11952" s="760"/>
      <c r="G11952" s="760"/>
      <c r="H11952" s="760"/>
      <c r="I11952" s="760"/>
      <c r="J11952" s="760"/>
      <c r="K11952" s="760"/>
    </row>
    <row r="11953" spans="1:11">
      <c r="A11953" s="760"/>
      <c r="B11953" s="760"/>
      <c r="C11953" s="760"/>
      <c r="D11953" s="760"/>
      <c r="E11953" s="760"/>
      <c r="F11953" s="760"/>
      <c r="G11953" s="760"/>
      <c r="H11953" s="760"/>
      <c r="I11953" s="760"/>
      <c r="J11953" s="760"/>
      <c r="K11953" s="760"/>
    </row>
    <row r="11954" spans="1:11">
      <c r="A11954" s="760"/>
      <c r="B11954" s="760"/>
      <c r="C11954" s="760"/>
      <c r="D11954" s="760"/>
      <c r="E11954" s="760"/>
      <c r="F11954" s="760"/>
      <c r="G11954" s="760"/>
      <c r="H11954" s="760"/>
      <c r="I11954" s="760"/>
      <c r="J11954" s="760"/>
      <c r="K11954" s="760"/>
    </row>
    <row r="11955" spans="1:11">
      <c r="A11955" s="760"/>
      <c r="B11955" s="760"/>
      <c r="C11955" s="760"/>
      <c r="D11955" s="760"/>
      <c r="E11955" s="760"/>
      <c r="F11955" s="760"/>
      <c r="G11955" s="760"/>
      <c r="H11955" s="760"/>
      <c r="I11955" s="760"/>
      <c r="J11955" s="760"/>
      <c r="K11955" s="760"/>
    </row>
    <row r="11956" spans="1:11">
      <c r="A11956" s="760"/>
      <c r="B11956" s="760"/>
      <c r="C11956" s="760"/>
      <c r="D11956" s="760"/>
      <c r="E11956" s="760"/>
      <c r="F11956" s="760"/>
      <c r="G11956" s="760"/>
      <c r="H11956" s="760"/>
      <c r="I11956" s="760"/>
      <c r="J11956" s="760"/>
      <c r="K11956" s="760"/>
    </row>
    <row r="11957" spans="1:11">
      <c r="A11957" s="760"/>
      <c r="B11957" s="760"/>
      <c r="C11957" s="760"/>
      <c r="D11957" s="760"/>
      <c r="E11957" s="760"/>
      <c r="F11957" s="760"/>
      <c r="G11957" s="760"/>
      <c r="H11957" s="760"/>
      <c r="I11957" s="760"/>
      <c r="J11957" s="760"/>
      <c r="K11957" s="760"/>
    </row>
    <row r="11958" spans="1:11">
      <c r="A11958" s="760"/>
      <c r="B11958" s="760"/>
      <c r="C11958" s="760"/>
      <c r="D11958" s="760"/>
      <c r="E11958" s="760"/>
      <c r="F11958" s="760"/>
      <c r="G11958" s="760"/>
      <c r="H11958" s="760"/>
      <c r="I11958" s="760"/>
      <c r="J11958" s="760"/>
      <c r="K11958" s="760"/>
    </row>
    <row r="11959" spans="1:11">
      <c r="A11959" s="760"/>
      <c r="B11959" s="760"/>
      <c r="C11959" s="760"/>
      <c r="D11959" s="760"/>
      <c r="E11959" s="760"/>
      <c r="F11959" s="760"/>
      <c r="G11959" s="760"/>
      <c r="H11959" s="760"/>
      <c r="I11959" s="760"/>
      <c r="J11959" s="760"/>
      <c r="K11959" s="760"/>
    </row>
    <row r="11960" spans="1:11">
      <c r="A11960" s="760"/>
      <c r="B11960" s="760"/>
      <c r="C11960" s="760"/>
      <c r="D11960" s="760"/>
      <c r="E11960" s="760"/>
      <c r="F11960" s="760"/>
      <c r="G11960" s="760"/>
      <c r="H11960" s="760"/>
      <c r="I11960" s="760"/>
      <c r="J11960" s="760"/>
      <c r="K11960" s="760"/>
    </row>
    <row r="11961" spans="1:11">
      <c r="A11961" s="760"/>
      <c r="B11961" s="760"/>
      <c r="C11961" s="760"/>
      <c r="D11961" s="760"/>
      <c r="E11961" s="760"/>
      <c r="F11961" s="760"/>
      <c r="G11961" s="760"/>
      <c r="H11961" s="760"/>
      <c r="I11961" s="760"/>
      <c r="J11961" s="760"/>
      <c r="K11961" s="760"/>
    </row>
    <row r="11962" spans="1:11">
      <c r="A11962" s="760"/>
      <c r="B11962" s="760"/>
      <c r="C11962" s="760"/>
      <c r="D11962" s="760"/>
      <c r="E11962" s="760"/>
      <c r="F11962" s="760"/>
      <c r="G11962" s="760"/>
      <c r="H11962" s="760"/>
      <c r="I11962" s="760"/>
      <c r="J11962" s="760"/>
      <c r="K11962" s="760"/>
    </row>
    <row r="11963" spans="1:11">
      <c r="A11963" s="760"/>
      <c r="B11963" s="760"/>
      <c r="C11963" s="760"/>
      <c r="D11963" s="760"/>
      <c r="E11963" s="760"/>
      <c r="F11963" s="760"/>
      <c r="G11963" s="760"/>
      <c r="H11963" s="760"/>
      <c r="I11963" s="760"/>
      <c r="J11963" s="760"/>
      <c r="K11963" s="760"/>
    </row>
    <row r="11964" spans="1:11">
      <c r="A11964" s="760"/>
      <c r="B11964" s="760"/>
      <c r="C11964" s="760"/>
      <c r="D11964" s="760"/>
      <c r="E11964" s="760"/>
      <c r="F11964" s="760"/>
      <c r="G11964" s="760"/>
      <c r="H11964" s="760"/>
      <c r="I11964" s="760"/>
      <c r="J11964" s="760"/>
      <c r="K11964" s="760"/>
    </row>
    <row r="11965" spans="1:11">
      <c r="A11965" s="760"/>
      <c r="B11965" s="760"/>
      <c r="C11965" s="760"/>
      <c r="D11965" s="760"/>
      <c r="E11965" s="760"/>
      <c r="F11965" s="760"/>
      <c r="G11965" s="760"/>
      <c r="H11965" s="760"/>
      <c r="I11965" s="760"/>
      <c r="J11965" s="760"/>
      <c r="K11965" s="760"/>
    </row>
    <row r="11966" spans="1:11">
      <c r="A11966" s="760"/>
      <c r="B11966" s="760"/>
      <c r="C11966" s="760"/>
      <c r="D11966" s="760"/>
      <c r="E11966" s="760"/>
      <c r="F11966" s="760"/>
      <c r="G11966" s="760"/>
      <c r="H11966" s="760"/>
      <c r="I11966" s="760"/>
      <c r="J11966" s="760"/>
      <c r="K11966" s="760"/>
    </row>
    <row r="11967" spans="1:11">
      <c r="A11967" s="760"/>
      <c r="B11967" s="760"/>
      <c r="C11967" s="760"/>
      <c r="D11967" s="760"/>
      <c r="E11967" s="760"/>
      <c r="F11967" s="760"/>
      <c r="G11967" s="760"/>
      <c r="H11967" s="760"/>
      <c r="I11967" s="760"/>
      <c r="J11967" s="760"/>
      <c r="K11967" s="760"/>
    </row>
    <row r="11968" spans="1:11">
      <c r="A11968" s="760"/>
      <c r="B11968" s="760"/>
      <c r="C11968" s="760"/>
      <c r="D11968" s="760"/>
      <c r="E11968" s="760"/>
      <c r="F11968" s="760"/>
      <c r="G11968" s="760"/>
      <c r="H11968" s="760"/>
      <c r="I11968" s="760"/>
      <c r="J11968" s="760"/>
      <c r="K11968" s="760"/>
    </row>
    <row r="11969" spans="1:11">
      <c r="A11969" s="760"/>
      <c r="B11969" s="760"/>
      <c r="C11969" s="760"/>
      <c r="D11969" s="760"/>
      <c r="E11969" s="760"/>
      <c r="F11969" s="760"/>
      <c r="G11969" s="760"/>
      <c r="H11969" s="760"/>
      <c r="I11969" s="760"/>
      <c r="J11969" s="760"/>
      <c r="K11969" s="760"/>
    </row>
    <row r="11970" spans="1:11">
      <c r="A11970" s="760"/>
      <c r="B11970" s="760"/>
      <c r="C11970" s="760"/>
      <c r="D11970" s="760"/>
      <c r="E11970" s="760"/>
      <c r="F11970" s="760"/>
      <c r="G11970" s="760"/>
      <c r="H11970" s="760"/>
      <c r="I11970" s="760"/>
      <c r="J11970" s="760"/>
      <c r="K11970" s="760"/>
    </row>
    <row r="11971" spans="1:11">
      <c r="A11971" s="760"/>
      <c r="B11971" s="760"/>
      <c r="C11971" s="760"/>
      <c r="D11971" s="760"/>
      <c r="E11971" s="760"/>
      <c r="F11971" s="760"/>
      <c r="G11971" s="760"/>
      <c r="H11971" s="760"/>
      <c r="I11971" s="760"/>
      <c r="J11971" s="760"/>
      <c r="K11971" s="760"/>
    </row>
    <row r="11972" spans="1:11">
      <c r="A11972" s="760"/>
      <c r="B11972" s="760"/>
      <c r="C11972" s="760"/>
      <c r="D11972" s="760"/>
      <c r="E11972" s="760"/>
      <c r="F11972" s="760"/>
      <c r="G11972" s="760"/>
      <c r="H11972" s="760"/>
      <c r="I11972" s="760"/>
      <c r="J11972" s="760"/>
      <c r="K11972" s="760"/>
    </row>
    <row r="11973" spans="1:11">
      <c r="A11973" s="760"/>
      <c r="B11973" s="760"/>
      <c r="C11973" s="760"/>
      <c r="D11973" s="760"/>
      <c r="E11973" s="760"/>
      <c r="F11973" s="760"/>
      <c r="G11973" s="760"/>
      <c r="H11973" s="760"/>
      <c r="I11973" s="760"/>
      <c r="J11973" s="760"/>
      <c r="K11973" s="760"/>
    </row>
    <row r="11974" spans="1:11">
      <c r="A11974" s="760"/>
      <c r="B11974" s="760"/>
      <c r="C11974" s="760"/>
      <c r="D11974" s="760"/>
      <c r="E11974" s="760"/>
      <c r="F11974" s="760"/>
      <c r="G11974" s="760"/>
      <c r="H11974" s="760"/>
      <c r="I11974" s="760"/>
      <c r="J11974" s="760"/>
      <c r="K11974" s="760"/>
    </row>
    <row r="11975" spans="1:11">
      <c r="A11975" s="760"/>
      <c r="B11975" s="760"/>
      <c r="C11975" s="760"/>
      <c r="D11975" s="760"/>
      <c r="E11975" s="760"/>
      <c r="F11975" s="760"/>
      <c r="G11975" s="760"/>
      <c r="H11975" s="760"/>
      <c r="I11975" s="760"/>
      <c r="J11975" s="760"/>
      <c r="K11975" s="760"/>
    </row>
    <row r="11976" spans="1:11">
      <c r="A11976" s="760"/>
      <c r="B11976" s="760"/>
      <c r="C11976" s="760"/>
      <c r="D11976" s="760"/>
      <c r="E11976" s="760"/>
      <c r="F11976" s="760"/>
      <c r="G11976" s="760"/>
      <c r="H11976" s="760"/>
      <c r="I11976" s="760"/>
      <c r="J11976" s="760"/>
      <c r="K11976" s="760"/>
    </row>
    <row r="11977" spans="1:11">
      <c r="A11977" s="760"/>
      <c r="B11977" s="760"/>
      <c r="C11977" s="760"/>
      <c r="D11977" s="760"/>
      <c r="E11977" s="760"/>
      <c r="F11977" s="760"/>
      <c r="G11977" s="760"/>
      <c r="H11977" s="760"/>
      <c r="I11977" s="760"/>
      <c r="J11977" s="760"/>
      <c r="K11977" s="760"/>
    </row>
    <row r="11978" spans="1:11">
      <c r="A11978" s="760"/>
      <c r="B11978" s="760"/>
      <c r="C11978" s="760"/>
      <c r="D11978" s="760"/>
      <c r="E11978" s="760"/>
      <c r="F11978" s="760"/>
      <c r="G11978" s="760"/>
      <c r="H11978" s="760"/>
      <c r="I11978" s="760"/>
      <c r="J11978" s="760"/>
      <c r="K11978" s="760"/>
    </row>
    <row r="11979" spans="1:11">
      <c r="A11979" s="760"/>
      <c r="B11979" s="760"/>
      <c r="C11979" s="760"/>
      <c r="D11979" s="760"/>
      <c r="E11979" s="760"/>
      <c r="F11979" s="760"/>
      <c r="G11979" s="760"/>
      <c r="H11979" s="760"/>
      <c r="I11979" s="760"/>
      <c r="J11979" s="760"/>
      <c r="K11979" s="760"/>
    </row>
    <row r="11980" spans="1:11">
      <c r="A11980" s="760"/>
      <c r="B11980" s="760"/>
      <c r="C11980" s="760"/>
      <c r="D11980" s="760"/>
      <c r="E11980" s="760"/>
      <c r="F11980" s="760"/>
      <c r="G11980" s="760"/>
      <c r="H11980" s="760"/>
      <c r="I11980" s="760"/>
      <c r="J11980" s="760"/>
      <c r="K11980" s="760"/>
    </row>
    <row r="11981" spans="1:11">
      <c r="A11981" s="760"/>
      <c r="B11981" s="760"/>
      <c r="C11981" s="760"/>
      <c r="D11981" s="760"/>
      <c r="E11981" s="760"/>
      <c r="F11981" s="760"/>
      <c r="G11981" s="760"/>
      <c r="H11981" s="760"/>
      <c r="I11981" s="760"/>
      <c r="J11981" s="760"/>
      <c r="K11981" s="760"/>
    </row>
    <row r="11982" spans="1:11">
      <c r="A11982" s="760"/>
      <c r="B11982" s="760"/>
      <c r="C11982" s="760"/>
      <c r="D11982" s="760"/>
      <c r="E11982" s="760"/>
      <c r="F11982" s="760"/>
      <c r="G11982" s="760"/>
      <c r="H11982" s="760"/>
      <c r="I11982" s="760"/>
      <c r="J11982" s="760"/>
      <c r="K11982" s="760"/>
    </row>
    <row r="11983" spans="1:11">
      <c r="A11983" s="760"/>
      <c r="B11983" s="760"/>
      <c r="C11983" s="760"/>
      <c r="D11983" s="760"/>
      <c r="E11983" s="760"/>
      <c r="F11983" s="760"/>
      <c r="G11983" s="760"/>
      <c r="H11983" s="760"/>
      <c r="I11983" s="760"/>
      <c r="J11983" s="760"/>
      <c r="K11983" s="760"/>
    </row>
    <row r="11984" spans="1:11">
      <c r="A11984" s="760"/>
      <c r="B11984" s="760"/>
      <c r="C11984" s="760"/>
      <c r="D11984" s="760"/>
      <c r="E11984" s="760"/>
      <c r="F11984" s="760"/>
      <c r="G11984" s="760"/>
      <c r="H11984" s="760"/>
      <c r="I11984" s="760"/>
      <c r="J11984" s="760"/>
      <c r="K11984" s="760"/>
    </row>
    <row r="11985" spans="1:11">
      <c r="A11985" s="760"/>
      <c r="B11985" s="760"/>
      <c r="C11985" s="760"/>
      <c r="D11985" s="760"/>
      <c r="E11985" s="760"/>
      <c r="F11985" s="760"/>
      <c r="G11985" s="760"/>
      <c r="H11985" s="760"/>
      <c r="I11985" s="760"/>
      <c r="J11985" s="760"/>
      <c r="K11985" s="760"/>
    </row>
    <row r="11986" spans="1:11">
      <c r="A11986" s="760"/>
      <c r="B11986" s="760"/>
      <c r="C11986" s="760"/>
      <c r="D11986" s="760"/>
      <c r="E11986" s="760"/>
      <c r="F11986" s="760"/>
      <c r="G11986" s="760"/>
      <c r="H11986" s="760"/>
      <c r="I11986" s="760"/>
      <c r="J11986" s="760"/>
      <c r="K11986" s="760"/>
    </row>
    <row r="11987" spans="1:11">
      <c r="A11987" s="760"/>
      <c r="B11987" s="760"/>
      <c r="C11987" s="760"/>
      <c r="D11987" s="760"/>
      <c r="E11987" s="760"/>
      <c r="F11987" s="760"/>
      <c r="G11987" s="760"/>
      <c r="H11987" s="760"/>
      <c r="I11987" s="760"/>
      <c r="J11987" s="760"/>
      <c r="K11987" s="760"/>
    </row>
    <row r="11988" spans="1:11">
      <c r="A11988" s="760"/>
      <c r="B11988" s="760"/>
      <c r="C11988" s="760"/>
      <c r="D11988" s="760"/>
      <c r="E11988" s="760"/>
      <c r="F11988" s="760"/>
      <c r="G11988" s="760"/>
      <c r="H11988" s="760"/>
      <c r="I11988" s="760"/>
      <c r="J11988" s="760"/>
      <c r="K11988" s="760"/>
    </row>
    <row r="11989" spans="1:11">
      <c r="A11989" s="760"/>
      <c r="B11989" s="760"/>
      <c r="C11989" s="760"/>
      <c r="D11989" s="760"/>
      <c r="E11989" s="760"/>
      <c r="F11989" s="760"/>
      <c r="G11989" s="760"/>
      <c r="H11989" s="760"/>
      <c r="I11989" s="760"/>
      <c r="J11989" s="760"/>
      <c r="K11989" s="760"/>
    </row>
    <row r="11990" spans="1:11">
      <c r="A11990" s="760"/>
      <c r="B11990" s="760"/>
      <c r="C11990" s="760"/>
      <c r="D11990" s="760"/>
      <c r="E11990" s="760"/>
      <c r="F11990" s="760"/>
      <c r="G11990" s="760"/>
      <c r="H11990" s="760"/>
      <c r="I11990" s="760"/>
      <c r="J11990" s="760"/>
      <c r="K11990" s="760"/>
    </row>
    <row r="11991" spans="1:11">
      <c r="A11991" s="760"/>
      <c r="B11991" s="760"/>
      <c r="C11991" s="760"/>
      <c r="D11991" s="760"/>
      <c r="E11991" s="760"/>
      <c r="F11991" s="760"/>
      <c r="G11991" s="760"/>
      <c r="H11991" s="760"/>
      <c r="I11991" s="760"/>
      <c r="J11991" s="760"/>
      <c r="K11991" s="760"/>
    </row>
    <row r="11992" spans="1:11">
      <c r="A11992" s="760"/>
      <c r="B11992" s="760"/>
      <c r="C11992" s="760"/>
      <c r="D11992" s="760"/>
      <c r="E11992" s="760"/>
      <c r="F11992" s="760"/>
      <c r="G11992" s="760"/>
      <c r="H11992" s="760"/>
      <c r="I11992" s="760"/>
      <c r="J11992" s="760"/>
      <c r="K11992" s="760"/>
    </row>
    <row r="11993" spans="1:11">
      <c r="A11993" s="760"/>
      <c r="B11993" s="760"/>
      <c r="C11993" s="760"/>
      <c r="D11993" s="760"/>
      <c r="E11993" s="760"/>
      <c r="F11993" s="760"/>
      <c r="G11993" s="760"/>
      <c r="H11993" s="760"/>
      <c r="I11993" s="760"/>
      <c r="J11993" s="760"/>
      <c r="K11993" s="760"/>
    </row>
    <row r="11994" spans="1:11">
      <c r="A11994" s="760"/>
      <c r="B11994" s="760"/>
      <c r="C11994" s="760"/>
      <c r="D11994" s="760"/>
      <c r="E11994" s="760"/>
      <c r="F11994" s="760"/>
      <c r="G11994" s="760"/>
      <c r="H11994" s="760"/>
      <c r="I11994" s="760"/>
      <c r="J11994" s="760"/>
      <c r="K11994" s="760"/>
    </row>
    <row r="11995" spans="1:11">
      <c r="A11995" s="760"/>
      <c r="B11995" s="760"/>
      <c r="C11995" s="760"/>
      <c r="D11995" s="760"/>
      <c r="E11995" s="760"/>
      <c r="F11995" s="760"/>
      <c r="G11995" s="760"/>
      <c r="H11995" s="760"/>
      <c r="I11995" s="760"/>
      <c r="J11995" s="760"/>
      <c r="K11995" s="760"/>
    </row>
    <row r="11996" spans="1:11">
      <c r="A11996" s="760"/>
      <c r="B11996" s="760"/>
      <c r="C11996" s="760"/>
      <c r="D11996" s="760"/>
      <c r="E11996" s="760"/>
      <c r="F11996" s="760"/>
      <c r="G11996" s="760"/>
      <c r="H11996" s="760"/>
      <c r="I11996" s="760"/>
      <c r="J11996" s="760"/>
      <c r="K11996" s="760"/>
    </row>
    <row r="11997" spans="1:11">
      <c r="A11997" s="760"/>
      <c r="B11997" s="760"/>
      <c r="C11997" s="760"/>
      <c r="D11997" s="760"/>
      <c r="E11997" s="760"/>
      <c r="F11997" s="760"/>
      <c r="G11997" s="760"/>
      <c r="H11997" s="760"/>
      <c r="I11997" s="760"/>
      <c r="J11997" s="760"/>
      <c r="K11997" s="760"/>
    </row>
    <row r="11998" spans="1:11">
      <c r="A11998" s="760"/>
      <c r="B11998" s="760"/>
      <c r="C11998" s="760"/>
      <c r="D11998" s="760"/>
      <c r="E11998" s="760"/>
      <c r="F11998" s="760"/>
      <c r="G11998" s="760"/>
      <c r="H11998" s="760"/>
      <c r="I11998" s="760"/>
      <c r="J11998" s="760"/>
      <c r="K11998" s="760"/>
    </row>
    <row r="11999" spans="1:11">
      <c r="A11999" s="760"/>
      <c r="B11999" s="760"/>
      <c r="C11999" s="760"/>
      <c r="D11999" s="760"/>
      <c r="E11999" s="760"/>
      <c r="F11999" s="760"/>
      <c r="G11999" s="760"/>
      <c r="H11999" s="760"/>
      <c r="I11999" s="760"/>
      <c r="J11999" s="760"/>
      <c r="K11999" s="760"/>
    </row>
    <row r="12000" spans="1:11">
      <c r="A12000" s="760"/>
      <c r="B12000" s="760"/>
      <c r="C12000" s="760"/>
      <c r="D12000" s="760"/>
      <c r="E12000" s="760"/>
      <c r="F12000" s="760"/>
      <c r="G12000" s="760"/>
      <c r="H12000" s="760"/>
      <c r="I12000" s="760"/>
      <c r="J12000" s="760"/>
      <c r="K12000" s="760"/>
    </row>
    <row r="12001" spans="1:11">
      <c r="A12001" s="760"/>
      <c r="B12001" s="760"/>
      <c r="C12001" s="760"/>
      <c r="D12001" s="760"/>
      <c r="E12001" s="760"/>
      <c r="F12001" s="760"/>
      <c r="G12001" s="760"/>
      <c r="H12001" s="760"/>
      <c r="I12001" s="760"/>
      <c r="J12001" s="760"/>
      <c r="K12001" s="760"/>
    </row>
    <row r="12002" spans="1:11">
      <c r="A12002" s="760"/>
      <c r="B12002" s="760"/>
      <c r="C12002" s="760"/>
      <c r="D12002" s="760"/>
      <c r="E12002" s="760"/>
      <c r="F12002" s="760"/>
      <c r="G12002" s="760"/>
      <c r="H12002" s="760"/>
      <c r="I12002" s="760"/>
      <c r="J12002" s="760"/>
      <c r="K12002" s="760"/>
    </row>
    <row r="12003" spans="1:11">
      <c r="A12003" s="760"/>
      <c r="B12003" s="760"/>
      <c r="C12003" s="760"/>
      <c r="D12003" s="760"/>
      <c r="E12003" s="760"/>
      <c r="F12003" s="760"/>
      <c r="G12003" s="760"/>
      <c r="H12003" s="760"/>
      <c r="I12003" s="760"/>
      <c r="J12003" s="760"/>
      <c r="K12003" s="760"/>
    </row>
    <row r="12004" spans="1:11">
      <c r="A12004" s="760"/>
      <c r="B12004" s="760"/>
      <c r="C12004" s="760"/>
      <c r="D12004" s="760"/>
      <c r="E12004" s="760"/>
      <c r="F12004" s="760"/>
      <c r="G12004" s="760"/>
      <c r="H12004" s="760"/>
      <c r="I12004" s="760"/>
      <c r="J12004" s="760"/>
      <c r="K12004" s="760"/>
    </row>
    <row r="12005" spans="1:11">
      <c r="A12005" s="760"/>
      <c r="B12005" s="760"/>
      <c r="C12005" s="760"/>
      <c r="D12005" s="760"/>
      <c r="E12005" s="760"/>
      <c r="F12005" s="760"/>
      <c r="G12005" s="760"/>
      <c r="H12005" s="760"/>
      <c r="I12005" s="760"/>
      <c r="J12005" s="760"/>
      <c r="K12005" s="760"/>
    </row>
    <row r="12006" spans="1:11">
      <c r="A12006" s="760"/>
      <c r="B12006" s="760"/>
      <c r="C12006" s="760"/>
      <c r="D12006" s="760"/>
      <c r="E12006" s="760"/>
      <c r="F12006" s="760"/>
      <c r="G12006" s="760"/>
      <c r="H12006" s="760"/>
      <c r="I12006" s="760"/>
      <c r="J12006" s="760"/>
      <c r="K12006" s="760"/>
    </row>
    <row r="12007" spans="1:11">
      <c r="A12007" s="760"/>
      <c r="B12007" s="760"/>
      <c r="C12007" s="760"/>
      <c r="D12007" s="760"/>
      <c r="E12007" s="760"/>
      <c r="F12007" s="760"/>
      <c r="G12007" s="760"/>
      <c r="H12007" s="760"/>
      <c r="I12007" s="760"/>
      <c r="J12007" s="760"/>
      <c r="K12007" s="760"/>
    </row>
    <row r="12008" spans="1:11">
      <c r="A12008" s="760"/>
      <c r="B12008" s="760"/>
      <c r="C12008" s="760"/>
      <c r="D12008" s="760"/>
      <c r="E12008" s="760"/>
      <c r="F12008" s="760"/>
      <c r="G12008" s="760"/>
      <c r="H12008" s="760"/>
      <c r="I12008" s="760"/>
      <c r="J12008" s="760"/>
      <c r="K12008" s="760"/>
    </row>
    <row r="12009" spans="1:11">
      <c r="A12009" s="760"/>
      <c r="B12009" s="760"/>
      <c r="C12009" s="760"/>
      <c r="D12009" s="760"/>
      <c r="E12009" s="760"/>
      <c r="F12009" s="760"/>
      <c r="G12009" s="760"/>
      <c r="H12009" s="760"/>
      <c r="I12009" s="760"/>
      <c r="J12009" s="760"/>
      <c r="K12009" s="760"/>
    </row>
    <row r="12010" spans="1:11">
      <c r="A12010" s="760"/>
      <c r="B12010" s="760"/>
      <c r="C12010" s="760"/>
      <c r="D12010" s="760"/>
      <c r="E12010" s="760"/>
      <c r="F12010" s="760"/>
      <c r="G12010" s="760"/>
      <c r="H12010" s="760"/>
      <c r="I12010" s="760"/>
      <c r="J12010" s="760"/>
      <c r="K12010" s="760"/>
    </row>
    <row r="12011" spans="1:11">
      <c r="A12011" s="760"/>
      <c r="B12011" s="760"/>
      <c r="C12011" s="760"/>
      <c r="D12011" s="760"/>
      <c r="E12011" s="760"/>
      <c r="F12011" s="760"/>
      <c r="G12011" s="760"/>
      <c r="H12011" s="760"/>
      <c r="I12011" s="760"/>
      <c r="J12011" s="760"/>
      <c r="K12011" s="760"/>
    </row>
    <row r="12012" spans="1:11">
      <c r="A12012" s="760"/>
      <c r="B12012" s="760"/>
      <c r="C12012" s="760"/>
      <c r="D12012" s="760"/>
      <c r="E12012" s="760"/>
      <c r="F12012" s="760"/>
      <c r="G12012" s="760"/>
      <c r="H12012" s="760"/>
      <c r="I12012" s="760"/>
      <c r="J12012" s="760"/>
      <c r="K12012" s="760"/>
    </row>
    <row r="12013" spans="1:11">
      <c r="A12013" s="760"/>
      <c r="B12013" s="760"/>
      <c r="C12013" s="760"/>
      <c r="D12013" s="760"/>
      <c r="E12013" s="760"/>
      <c r="F12013" s="760"/>
      <c r="G12013" s="760"/>
      <c r="H12013" s="760"/>
      <c r="I12013" s="760"/>
      <c r="J12013" s="760"/>
      <c r="K12013" s="760"/>
    </row>
    <row r="12014" spans="1:11">
      <c r="A12014" s="760"/>
      <c r="B12014" s="760"/>
      <c r="C12014" s="760"/>
      <c r="D12014" s="760"/>
      <c r="E12014" s="760"/>
      <c r="F12014" s="760"/>
      <c r="G12014" s="760"/>
      <c r="H12014" s="760"/>
      <c r="I12014" s="760"/>
      <c r="J12014" s="760"/>
      <c r="K12014" s="760"/>
    </row>
    <row r="12015" spans="1:11">
      <c r="A12015" s="760"/>
      <c r="B12015" s="760"/>
      <c r="C12015" s="760"/>
      <c r="D12015" s="760"/>
      <c r="E12015" s="760"/>
      <c r="F12015" s="760"/>
      <c r="G12015" s="760"/>
      <c r="H12015" s="760"/>
      <c r="I12015" s="760"/>
      <c r="J12015" s="760"/>
      <c r="K12015" s="760"/>
    </row>
    <row r="12016" spans="1:11">
      <c r="A12016" s="760"/>
      <c r="B12016" s="760"/>
      <c r="C12016" s="760"/>
      <c r="D12016" s="760"/>
      <c r="E12016" s="760"/>
      <c r="F12016" s="760"/>
      <c r="G12016" s="760"/>
      <c r="H12016" s="760"/>
      <c r="I12016" s="760"/>
      <c r="J12016" s="760"/>
      <c r="K12016" s="760"/>
    </row>
    <row r="12017" spans="1:11">
      <c r="A12017" s="760"/>
      <c r="B12017" s="760"/>
      <c r="C12017" s="760"/>
      <c r="D12017" s="760"/>
      <c r="E12017" s="760"/>
      <c r="F12017" s="760"/>
      <c r="G12017" s="760"/>
      <c r="H12017" s="760"/>
      <c r="I12017" s="760"/>
      <c r="J12017" s="760"/>
      <c r="K12017" s="760"/>
    </row>
    <row r="12018" spans="1:11">
      <c r="A12018" s="760"/>
      <c r="B12018" s="760"/>
      <c r="C12018" s="760"/>
      <c r="D12018" s="760"/>
      <c r="E12018" s="760"/>
      <c r="F12018" s="760"/>
      <c r="G12018" s="760"/>
      <c r="H12018" s="760"/>
      <c r="I12018" s="760"/>
      <c r="J12018" s="760"/>
      <c r="K12018" s="760"/>
    </row>
    <row r="12019" spans="1:11">
      <c r="A12019" s="760"/>
      <c r="B12019" s="760"/>
      <c r="C12019" s="760"/>
      <c r="D12019" s="760"/>
      <c r="E12019" s="760"/>
      <c r="F12019" s="760"/>
      <c r="G12019" s="760"/>
      <c r="H12019" s="760"/>
      <c r="I12019" s="760"/>
      <c r="J12019" s="760"/>
      <c r="K12019" s="760"/>
    </row>
    <row r="12020" spans="1:11">
      <c r="A12020" s="760"/>
      <c r="B12020" s="760"/>
      <c r="C12020" s="760"/>
      <c r="D12020" s="760"/>
      <c r="E12020" s="760"/>
      <c r="F12020" s="760"/>
      <c r="G12020" s="760"/>
      <c r="H12020" s="760"/>
      <c r="I12020" s="760"/>
      <c r="J12020" s="760"/>
      <c r="K12020" s="760"/>
    </row>
    <row r="12021" spans="1:11">
      <c r="A12021" s="760"/>
      <c r="B12021" s="760"/>
      <c r="C12021" s="760"/>
      <c r="D12021" s="760"/>
      <c r="E12021" s="760"/>
      <c r="F12021" s="760"/>
      <c r="G12021" s="760"/>
      <c r="H12021" s="760"/>
      <c r="I12021" s="760"/>
      <c r="J12021" s="760"/>
      <c r="K12021" s="760"/>
    </row>
    <row r="12022" spans="1:11">
      <c r="A12022" s="760"/>
      <c r="B12022" s="760"/>
      <c r="C12022" s="760"/>
      <c r="D12022" s="760"/>
      <c r="E12022" s="760"/>
      <c r="F12022" s="760"/>
      <c r="G12022" s="760"/>
      <c r="H12022" s="760"/>
      <c r="I12022" s="760"/>
      <c r="J12022" s="760"/>
      <c r="K12022" s="760"/>
    </row>
    <row r="12023" spans="1:11">
      <c r="A12023" s="760"/>
      <c r="B12023" s="760"/>
      <c r="C12023" s="760"/>
      <c r="D12023" s="760"/>
      <c r="E12023" s="760"/>
      <c r="F12023" s="760"/>
      <c r="G12023" s="760"/>
      <c r="H12023" s="760"/>
      <c r="I12023" s="760"/>
      <c r="J12023" s="760"/>
      <c r="K12023" s="760"/>
    </row>
    <row r="12024" spans="1:11">
      <c r="A12024" s="760"/>
      <c r="B12024" s="760"/>
      <c r="C12024" s="760"/>
      <c r="D12024" s="760"/>
      <c r="E12024" s="760"/>
      <c r="F12024" s="760"/>
      <c r="G12024" s="760"/>
      <c r="H12024" s="760"/>
      <c r="I12024" s="760"/>
      <c r="J12024" s="760"/>
      <c r="K12024" s="760"/>
    </row>
    <row r="12025" spans="1:11">
      <c r="A12025" s="760"/>
      <c r="B12025" s="760"/>
      <c r="C12025" s="760"/>
      <c r="D12025" s="760"/>
      <c r="E12025" s="760"/>
      <c r="F12025" s="760"/>
      <c r="G12025" s="760"/>
      <c r="H12025" s="760"/>
      <c r="I12025" s="760"/>
      <c r="J12025" s="760"/>
      <c r="K12025" s="760"/>
    </row>
    <row r="12026" spans="1:11">
      <c r="A12026" s="760"/>
      <c r="B12026" s="760"/>
      <c r="C12026" s="760"/>
      <c r="D12026" s="760"/>
      <c r="E12026" s="760"/>
      <c r="F12026" s="760"/>
      <c r="G12026" s="760"/>
      <c r="H12026" s="760"/>
      <c r="I12026" s="760"/>
      <c r="J12026" s="760"/>
      <c r="K12026" s="760"/>
    </row>
    <row r="12027" spans="1:11">
      <c r="A12027" s="760"/>
      <c r="B12027" s="760"/>
      <c r="C12027" s="760"/>
      <c r="D12027" s="760"/>
      <c r="E12027" s="760"/>
      <c r="F12027" s="760"/>
      <c r="G12027" s="760"/>
      <c r="H12027" s="760"/>
      <c r="I12027" s="760"/>
      <c r="J12027" s="760"/>
      <c r="K12027" s="760"/>
    </row>
    <row r="12028" spans="1:11">
      <c r="A12028" s="760"/>
      <c r="B12028" s="760"/>
      <c r="C12028" s="760"/>
      <c r="D12028" s="760"/>
      <c r="E12028" s="760"/>
      <c r="F12028" s="760"/>
      <c r="G12028" s="760"/>
      <c r="H12028" s="760"/>
      <c r="I12028" s="760"/>
      <c r="J12028" s="760"/>
      <c r="K12028" s="760"/>
    </row>
    <row r="12029" spans="1:11">
      <c r="A12029" s="760"/>
      <c r="B12029" s="760"/>
      <c r="C12029" s="760"/>
      <c r="D12029" s="760"/>
      <c r="E12029" s="760"/>
      <c r="F12029" s="760"/>
      <c r="G12029" s="760"/>
      <c r="H12029" s="760"/>
      <c r="I12029" s="760"/>
      <c r="J12029" s="760"/>
      <c r="K12029" s="760"/>
    </row>
    <row r="12030" spans="1:11">
      <c r="A12030" s="760"/>
      <c r="B12030" s="760"/>
      <c r="C12030" s="760"/>
      <c r="D12030" s="760"/>
      <c r="E12030" s="760"/>
      <c r="F12030" s="760"/>
      <c r="G12030" s="760"/>
      <c r="H12030" s="760"/>
      <c r="I12030" s="760"/>
      <c r="J12030" s="760"/>
      <c r="K12030" s="760"/>
    </row>
    <row r="12031" spans="1:11">
      <c r="A12031" s="760"/>
      <c r="B12031" s="760"/>
      <c r="C12031" s="760"/>
      <c r="D12031" s="760"/>
      <c r="E12031" s="760"/>
      <c r="F12031" s="760"/>
      <c r="G12031" s="760"/>
      <c r="H12031" s="760"/>
      <c r="I12031" s="760"/>
      <c r="J12031" s="760"/>
      <c r="K12031" s="760"/>
    </row>
    <row r="12032" spans="1:11">
      <c r="A12032" s="760"/>
      <c r="B12032" s="760"/>
      <c r="C12032" s="760"/>
      <c r="D12032" s="760"/>
      <c r="E12032" s="760"/>
      <c r="F12032" s="760"/>
      <c r="G12032" s="760"/>
      <c r="H12032" s="760"/>
      <c r="I12032" s="760"/>
      <c r="J12032" s="760"/>
      <c r="K12032" s="760"/>
    </row>
    <row r="12033" spans="1:11">
      <c r="A12033" s="760"/>
      <c r="B12033" s="760"/>
      <c r="C12033" s="760"/>
      <c r="D12033" s="760"/>
      <c r="E12033" s="760"/>
      <c r="F12033" s="760"/>
      <c r="G12033" s="760"/>
      <c r="H12033" s="760"/>
      <c r="I12033" s="760"/>
      <c r="J12033" s="760"/>
      <c r="K12033" s="760"/>
    </row>
    <row r="12034" spans="1:11">
      <c r="A12034" s="760"/>
      <c r="B12034" s="760"/>
      <c r="C12034" s="760"/>
      <c r="D12034" s="760"/>
      <c r="E12034" s="760"/>
      <c r="F12034" s="760"/>
      <c r="G12034" s="760"/>
      <c r="H12034" s="760"/>
      <c r="I12034" s="760"/>
      <c r="J12034" s="760"/>
      <c r="K12034" s="760"/>
    </row>
    <row r="12035" spans="1:11">
      <c r="A12035" s="760"/>
      <c r="B12035" s="760"/>
      <c r="C12035" s="760"/>
      <c r="D12035" s="760"/>
      <c r="E12035" s="760"/>
      <c r="F12035" s="760"/>
      <c r="G12035" s="760"/>
      <c r="H12035" s="760"/>
      <c r="I12035" s="760"/>
      <c r="J12035" s="760"/>
      <c r="K12035" s="760"/>
    </row>
    <row r="12036" spans="1:11">
      <c r="A12036" s="760"/>
      <c r="B12036" s="760"/>
      <c r="C12036" s="760"/>
      <c r="D12036" s="760"/>
      <c r="E12036" s="760"/>
      <c r="F12036" s="760"/>
      <c r="G12036" s="760"/>
      <c r="H12036" s="760"/>
      <c r="I12036" s="760"/>
      <c r="J12036" s="760"/>
      <c r="K12036" s="760"/>
    </row>
    <row r="12037" spans="1:11">
      <c r="A12037" s="760"/>
      <c r="B12037" s="760"/>
      <c r="C12037" s="760"/>
      <c r="D12037" s="760"/>
      <c r="E12037" s="760"/>
      <c r="F12037" s="760"/>
      <c r="G12037" s="760"/>
      <c r="H12037" s="760"/>
      <c r="I12037" s="760"/>
      <c r="J12037" s="760"/>
      <c r="K12037" s="760"/>
    </row>
    <row r="12038" spans="1:11">
      <c r="A12038" s="760"/>
      <c r="B12038" s="760"/>
      <c r="C12038" s="760"/>
      <c r="D12038" s="760"/>
      <c r="E12038" s="760"/>
      <c r="F12038" s="760"/>
      <c r="G12038" s="760"/>
      <c r="H12038" s="760"/>
      <c r="I12038" s="760"/>
      <c r="J12038" s="760"/>
      <c r="K12038" s="760"/>
    </row>
    <row r="12039" spans="1:11">
      <c r="A12039" s="760"/>
      <c r="B12039" s="760"/>
      <c r="C12039" s="760"/>
      <c r="D12039" s="760"/>
      <c r="E12039" s="760"/>
      <c r="F12039" s="760"/>
      <c r="G12039" s="760"/>
      <c r="H12039" s="760"/>
      <c r="I12039" s="760"/>
      <c r="J12039" s="760"/>
      <c r="K12039" s="760"/>
    </row>
    <row r="12040" spans="1:11">
      <c r="A12040" s="760"/>
      <c r="B12040" s="760"/>
      <c r="C12040" s="760"/>
      <c r="D12040" s="760"/>
      <c r="E12040" s="760"/>
      <c r="F12040" s="760"/>
      <c r="G12040" s="760"/>
      <c r="H12040" s="760"/>
      <c r="I12040" s="760"/>
      <c r="J12040" s="760"/>
      <c r="K12040" s="760"/>
    </row>
    <row r="12041" spans="1:11">
      <c r="A12041" s="760"/>
      <c r="B12041" s="760"/>
      <c r="C12041" s="760"/>
      <c r="D12041" s="760"/>
      <c r="E12041" s="760"/>
      <c r="F12041" s="760"/>
      <c r="G12041" s="760"/>
      <c r="H12041" s="760"/>
      <c r="I12041" s="760"/>
      <c r="J12041" s="760"/>
      <c r="K12041" s="760"/>
    </row>
    <row r="12042" spans="1:11">
      <c r="A12042" s="760"/>
      <c r="B12042" s="760"/>
      <c r="C12042" s="760"/>
      <c r="D12042" s="760"/>
      <c r="E12042" s="760"/>
      <c r="F12042" s="760"/>
      <c r="G12042" s="760"/>
      <c r="H12042" s="760"/>
      <c r="I12042" s="760"/>
      <c r="J12042" s="760"/>
      <c r="K12042" s="760"/>
    </row>
    <row r="12043" spans="1:11">
      <c r="A12043" s="760"/>
      <c r="B12043" s="760"/>
      <c r="C12043" s="760"/>
      <c r="D12043" s="760"/>
      <c r="E12043" s="760"/>
      <c r="F12043" s="760"/>
      <c r="G12043" s="760"/>
      <c r="H12043" s="760"/>
      <c r="I12043" s="760"/>
      <c r="J12043" s="760"/>
      <c r="K12043" s="760"/>
    </row>
    <row r="12044" spans="1:11">
      <c r="A12044" s="760"/>
      <c r="B12044" s="760"/>
      <c r="C12044" s="760"/>
      <c r="D12044" s="760"/>
      <c r="E12044" s="760"/>
      <c r="F12044" s="760"/>
      <c r="G12044" s="760"/>
      <c r="H12044" s="760"/>
      <c r="I12044" s="760"/>
      <c r="J12044" s="760"/>
      <c r="K12044" s="760"/>
    </row>
    <row r="12045" spans="1:11">
      <c r="A12045" s="760"/>
      <c r="B12045" s="760"/>
      <c r="C12045" s="760"/>
      <c r="D12045" s="760"/>
      <c r="E12045" s="760"/>
      <c r="F12045" s="760"/>
      <c r="G12045" s="760"/>
      <c r="H12045" s="760"/>
      <c r="I12045" s="760"/>
      <c r="J12045" s="760"/>
      <c r="K12045" s="760"/>
    </row>
    <row r="12046" spans="1:11">
      <c r="A12046" s="760"/>
      <c r="B12046" s="760"/>
      <c r="C12046" s="760"/>
      <c r="D12046" s="760"/>
      <c r="E12046" s="760"/>
      <c r="F12046" s="760"/>
      <c r="G12046" s="760"/>
      <c r="H12046" s="760"/>
      <c r="I12046" s="760"/>
      <c r="J12046" s="760"/>
      <c r="K12046" s="760"/>
    </row>
    <row r="12047" spans="1:11">
      <c r="A12047" s="760"/>
      <c r="B12047" s="760"/>
      <c r="C12047" s="760"/>
      <c r="D12047" s="760"/>
      <c r="E12047" s="760"/>
      <c r="F12047" s="760"/>
      <c r="G12047" s="760"/>
      <c r="H12047" s="760"/>
      <c r="I12047" s="760"/>
      <c r="J12047" s="760"/>
      <c r="K12047" s="760"/>
    </row>
    <row r="12048" spans="1:11">
      <c r="A12048" s="760"/>
      <c r="B12048" s="760"/>
      <c r="C12048" s="760"/>
      <c r="D12048" s="760"/>
      <c r="E12048" s="760"/>
      <c r="F12048" s="760"/>
      <c r="G12048" s="760"/>
      <c r="H12048" s="760"/>
      <c r="I12048" s="760"/>
      <c r="J12048" s="760"/>
      <c r="K12048" s="760"/>
    </row>
    <row r="12049" spans="1:11">
      <c r="A12049" s="760"/>
      <c r="B12049" s="760"/>
      <c r="C12049" s="760"/>
      <c r="D12049" s="760"/>
      <c r="E12049" s="760"/>
      <c r="F12049" s="760"/>
      <c r="G12049" s="760"/>
      <c r="H12049" s="760"/>
      <c r="I12049" s="760"/>
      <c r="J12049" s="760"/>
      <c r="K12049" s="760"/>
    </row>
    <row r="12050" spans="1:11">
      <c r="A12050" s="760"/>
      <c r="B12050" s="760"/>
      <c r="C12050" s="760"/>
      <c r="D12050" s="760"/>
      <c r="E12050" s="760"/>
      <c r="F12050" s="760"/>
      <c r="G12050" s="760"/>
      <c r="H12050" s="760"/>
      <c r="I12050" s="760"/>
      <c r="J12050" s="760"/>
      <c r="K12050" s="760"/>
    </row>
    <row r="12051" spans="1:11">
      <c r="A12051" s="760"/>
      <c r="B12051" s="760"/>
      <c r="C12051" s="760"/>
      <c r="D12051" s="760"/>
      <c r="E12051" s="760"/>
      <c r="F12051" s="760"/>
      <c r="G12051" s="760"/>
      <c r="H12051" s="760"/>
      <c r="I12051" s="760"/>
      <c r="J12051" s="760"/>
      <c r="K12051" s="760"/>
    </row>
    <row r="12052" spans="1:11">
      <c r="A12052" s="760"/>
      <c r="B12052" s="760"/>
      <c r="C12052" s="760"/>
      <c r="D12052" s="760"/>
      <c r="E12052" s="760"/>
      <c r="F12052" s="760"/>
      <c r="G12052" s="760"/>
      <c r="H12052" s="760"/>
      <c r="I12052" s="760"/>
      <c r="J12052" s="760"/>
      <c r="K12052" s="760"/>
    </row>
    <row r="12053" spans="1:11">
      <c r="A12053" s="760"/>
      <c r="B12053" s="760"/>
      <c r="C12053" s="760"/>
      <c r="D12053" s="760"/>
      <c r="E12053" s="760"/>
      <c r="F12053" s="760"/>
      <c r="G12053" s="760"/>
      <c r="H12053" s="760"/>
      <c r="I12053" s="760"/>
      <c r="J12053" s="760"/>
      <c r="K12053" s="760"/>
    </row>
    <row r="12054" spans="1:11">
      <c r="A12054" s="760"/>
      <c r="B12054" s="760"/>
      <c r="C12054" s="760"/>
      <c r="D12054" s="760"/>
      <c r="E12054" s="760"/>
      <c r="F12054" s="760"/>
      <c r="G12054" s="760"/>
      <c r="H12054" s="760"/>
      <c r="I12054" s="760"/>
      <c r="J12054" s="760"/>
      <c r="K12054" s="760"/>
    </row>
    <row r="12055" spans="1:11">
      <c r="A12055" s="760"/>
      <c r="B12055" s="760"/>
      <c r="C12055" s="760"/>
      <c r="D12055" s="760"/>
      <c r="E12055" s="760"/>
      <c r="F12055" s="760"/>
      <c r="G12055" s="760"/>
      <c r="H12055" s="760"/>
      <c r="I12055" s="760"/>
      <c r="J12055" s="760"/>
      <c r="K12055" s="760"/>
    </row>
    <row r="12056" spans="1:11">
      <c r="A12056" s="760"/>
      <c r="B12056" s="760"/>
      <c r="C12056" s="760"/>
      <c r="D12056" s="760"/>
      <c r="E12056" s="760"/>
      <c r="F12056" s="760"/>
      <c r="G12056" s="760"/>
      <c r="H12056" s="760"/>
      <c r="I12056" s="760"/>
      <c r="J12056" s="760"/>
      <c r="K12056" s="760"/>
    </row>
    <row r="12057" spans="1:11">
      <c r="A12057" s="760"/>
      <c r="B12057" s="760"/>
      <c r="C12057" s="760"/>
      <c r="D12057" s="760"/>
      <c r="E12057" s="760"/>
      <c r="F12057" s="760"/>
      <c r="G12057" s="760"/>
      <c r="H12057" s="760"/>
      <c r="I12057" s="760"/>
      <c r="J12057" s="760"/>
      <c r="K12057" s="760"/>
    </row>
    <row r="12058" spans="1:11">
      <c r="A12058" s="760"/>
      <c r="B12058" s="760"/>
      <c r="C12058" s="760"/>
      <c r="D12058" s="760"/>
      <c r="E12058" s="760"/>
      <c r="F12058" s="760"/>
      <c r="G12058" s="760"/>
      <c r="H12058" s="760"/>
      <c r="I12058" s="760"/>
      <c r="J12058" s="760"/>
      <c r="K12058" s="760"/>
    </row>
    <row r="12059" spans="1:11">
      <c r="A12059" s="760"/>
      <c r="B12059" s="760"/>
      <c r="C12059" s="760"/>
      <c r="D12059" s="760"/>
      <c r="E12059" s="760"/>
      <c r="F12059" s="760"/>
      <c r="G12059" s="760"/>
      <c r="H12059" s="760"/>
      <c r="I12059" s="760"/>
      <c r="J12059" s="760"/>
      <c r="K12059" s="760"/>
    </row>
    <row r="12060" spans="1:11">
      <c r="A12060" s="760"/>
      <c r="B12060" s="760"/>
      <c r="C12060" s="760"/>
      <c r="D12060" s="760"/>
      <c r="E12060" s="760"/>
      <c r="F12060" s="760"/>
      <c r="G12060" s="760"/>
      <c r="H12060" s="760"/>
      <c r="I12060" s="760"/>
      <c r="J12060" s="760"/>
      <c r="K12060" s="760"/>
    </row>
    <row r="12061" spans="1:11">
      <c r="A12061" s="760"/>
      <c r="B12061" s="760"/>
      <c r="C12061" s="760"/>
      <c r="D12061" s="760"/>
      <c r="E12061" s="760"/>
      <c r="F12061" s="760"/>
      <c r="G12061" s="760"/>
      <c r="H12061" s="760"/>
      <c r="I12061" s="760"/>
      <c r="J12061" s="760"/>
      <c r="K12061" s="760"/>
    </row>
    <row r="12062" spans="1:11">
      <c r="A12062" s="760"/>
      <c r="B12062" s="760"/>
      <c r="C12062" s="760"/>
      <c r="D12062" s="760"/>
      <c r="E12062" s="760"/>
      <c r="F12062" s="760"/>
      <c r="G12062" s="760"/>
      <c r="H12062" s="760"/>
      <c r="I12062" s="760"/>
      <c r="J12062" s="760"/>
      <c r="K12062" s="760"/>
    </row>
    <row r="12063" spans="1:11">
      <c r="A12063" s="760"/>
      <c r="B12063" s="760"/>
      <c r="C12063" s="760"/>
      <c r="D12063" s="760"/>
      <c r="E12063" s="760"/>
      <c r="F12063" s="760"/>
      <c r="G12063" s="760"/>
      <c r="H12063" s="760"/>
      <c r="I12063" s="760"/>
      <c r="J12063" s="760"/>
      <c r="K12063" s="760"/>
    </row>
    <row r="12064" spans="1:11">
      <c r="A12064" s="760"/>
      <c r="B12064" s="760"/>
      <c r="C12064" s="760"/>
      <c r="D12064" s="760"/>
      <c r="E12064" s="760"/>
      <c r="F12064" s="760"/>
      <c r="G12064" s="760"/>
      <c r="H12064" s="760"/>
      <c r="I12064" s="760"/>
      <c r="J12064" s="760"/>
      <c r="K12064" s="760"/>
    </row>
    <row r="12065" spans="1:11">
      <c r="A12065" s="760"/>
      <c r="B12065" s="760"/>
      <c r="C12065" s="760"/>
      <c r="D12065" s="760"/>
      <c r="E12065" s="760"/>
      <c r="F12065" s="760"/>
      <c r="G12065" s="760"/>
      <c r="H12065" s="760"/>
      <c r="I12065" s="760"/>
      <c r="J12065" s="760"/>
      <c r="K12065" s="760"/>
    </row>
    <row r="12066" spans="1:11">
      <c r="A12066" s="760"/>
      <c r="B12066" s="760"/>
      <c r="C12066" s="760"/>
      <c r="D12066" s="760"/>
      <c r="E12066" s="760"/>
      <c r="F12066" s="760"/>
      <c r="G12066" s="760"/>
      <c r="H12066" s="760"/>
      <c r="I12066" s="760"/>
      <c r="J12066" s="760"/>
      <c r="K12066" s="760"/>
    </row>
    <row r="12067" spans="1:11">
      <c r="A12067" s="760"/>
      <c r="B12067" s="760"/>
      <c r="C12067" s="760"/>
      <c r="D12067" s="760"/>
      <c r="E12067" s="760"/>
      <c r="F12067" s="760"/>
      <c r="G12067" s="760"/>
      <c r="H12067" s="760"/>
      <c r="I12067" s="760"/>
      <c r="J12067" s="760"/>
      <c r="K12067" s="760"/>
    </row>
    <row r="12068" spans="1:11">
      <c r="A12068" s="760"/>
      <c r="B12068" s="760"/>
      <c r="C12068" s="760"/>
      <c r="D12068" s="760"/>
      <c r="E12068" s="760"/>
      <c r="F12068" s="760"/>
      <c r="G12068" s="760"/>
      <c r="H12068" s="760"/>
      <c r="I12068" s="760"/>
      <c r="J12068" s="760"/>
      <c r="K12068" s="760"/>
    </row>
    <row r="12069" spans="1:11">
      <c r="A12069" s="760"/>
      <c r="B12069" s="760"/>
      <c r="C12069" s="760"/>
      <c r="D12069" s="760"/>
      <c r="E12069" s="760"/>
      <c r="F12069" s="760"/>
      <c r="G12069" s="760"/>
      <c r="H12069" s="760"/>
      <c r="I12069" s="760"/>
      <c r="J12069" s="760"/>
      <c r="K12069" s="760"/>
    </row>
    <row r="12070" spans="1:11">
      <c r="A12070" s="760"/>
      <c r="B12070" s="760"/>
      <c r="C12070" s="760"/>
      <c r="D12070" s="760"/>
      <c r="E12070" s="760"/>
      <c r="F12070" s="760"/>
      <c r="G12070" s="760"/>
      <c r="H12070" s="760"/>
      <c r="I12070" s="760"/>
      <c r="J12070" s="760"/>
      <c r="K12070" s="760"/>
    </row>
    <row r="12071" spans="1:11">
      <c r="A12071" s="760"/>
      <c r="B12071" s="760"/>
      <c r="C12071" s="760"/>
      <c r="D12071" s="760"/>
      <c r="E12071" s="760"/>
      <c r="F12071" s="760"/>
      <c r="G12071" s="760"/>
      <c r="H12071" s="760"/>
      <c r="I12071" s="760"/>
      <c r="J12071" s="760"/>
      <c r="K12071" s="760"/>
    </row>
    <row r="12072" spans="1:11">
      <c r="A12072" s="760"/>
      <c r="B12072" s="760"/>
      <c r="C12072" s="760"/>
      <c r="D12072" s="760"/>
      <c r="E12072" s="760"/>
      <c r="F12072" s="760"/>
      <c r="G12072" s="760"/>
      <c r="H12072" s="760"/>
      <c r="I12072" s="760"/>
      <c r="J12072" s="760"/>
      <c r="K12072" s="760"/>
    </row>
    <row r="12073" spans="1:11">
      <c r="A12073" s="760"/>
      <c r="B12073" s="760"/>
      <c r="C12073" s="760"/>
      <c r="D12073" s="760"/>
      <c r="E12073" s="760"/>
      <c r="F12073" s="760"/>
      <c r="G12073" s="760"/>
      <c r="H12073" s="760"/>
      <c r="I12073" s="760"/>
      <c r="J12073" s="760"/>
      <c r="K12073" s="760"/>
    </row>
    <row r="12074" spans="1:11">
      <c r="A12074" s="760"/>
      <c r="B12074" s="760"/>
      <c r="C12074" s="760"/>
      <c r="D12074" s="760"/>
      <c r="E12074" s="760"/>
      <c r="F12074" s="760"/>
      <c r="G12074" s="760"/>
      <c r="H12074" s="760"/>
      <c r="I12074" s="760"/>
      <c r="J12074" s="760"/>
      <c r="K12074" s="760"/>
    </row>
    <row r="12075" spans="1:11">
      <c r="A12075" s="760"/>
      <c r="B12075" s="760"/>
      <c r="C12075" s="760"/>
      <c r="D12075" s="760"/>
      <c r="E12075" s="760"/>
      <c r="F12075" s="760"/>
      <c r="G12075" s="760"/>
      <c r="H12075" s="760"/>
      <c r="I12075" s="760"/>
      <c r="J12075" s="760"/>
      <c r="K12075" s="760"/>
    </row>
    <row r="12076" spans="1:11">
      <c r="A12076" s="760"/>
      <c r="B12076" s="760"/>
      <c r="C12076" s="760"/>
      <c r="D12076" s="760"/>
      <c r="E12076" s="760"/>
      <c r="F12076" s="760"/>
      <c r="G12076" s="760"/>
      <c r="H12076" s="760"/>
      <c r="I12076" s="760"/>
      <c r="J12076" s="760"/>
      <c r="K12076" s="760"/>
    </row>
    <row r="12077" spans="1:11">
      <c r="A12077" s="760"/>
      <c r="B12077" s="760"/>
      <c r="C12077" s="760"/>
      <c r="D12077" s="760"/>
      <c r="E12077" s="760"/>
      <c r="F12077" s="760"/>
      <c r="G12077" s="760"/>
      <c r="H12077" s="760"/>
      <c r="I12077" s="760"/>
      <c r="J12077" s="760"/>
      <c r="K12077" s="760"/>
    </row>
    <row r="12078" spans="1:11">
      <c r="A12078" s="760"/>
      <c r="B12078" s="760"/>
      <c r="C12078" s="760"/>
      <c r="D12078" s="760"/>
      <c r="E12078" s="760"/>
      <c r="F12078" s="760"/>
      <c r="G12078" s="760"/>
      <c r="H12078" s="760"/>
      <c r="I12078" s="760"/>
      <c r="J12078" s="760"/>
      <c r="K12078" s="760"/>
    </row>
    <row r="12079" spans="1:11">
      <c r="A12079" s="760"/>
      <c r="B12079" s="760"/>
      <c r="C12079" s="760"/>
      <c r="D12079" s="760"/>
      <c r="E12079" s="760"/>
      <c r="F12079" s="760"/>
      <c r="G12079" s="760"/>
      <c r="H12079" s="760"/>
      <c r="I12079" s="760"/>
      <c r="J12079" s="760"/>
      <c r="K12079" s="760"/>
    </row>
    <row r="12080" spans="1:11">
      <c r="A12080" s="760"/>
      <c r="B12080" s="760"/>
      <c r="C12080" s="760"/>
      <c r="D12080" s="760"/>
      <c r="E12080" s="760"/>
      <c r="F12080" s="760"/>
      <c r="G12080" s="760"/>
      <c r="H12080" s="760"/>
      <c r="I12080" s="760"/>
      <c r="J12080" s="760"/>
      <c r="K12080" s="760"/>
    </row>
    <row r="12081" spans="1:11">
      <c r="A12081" s="760"/>
      <c r="B12081" s="760"/>
      <c r="C12081" s="760"/>
      <c r="D12081" s="760"/>
      <c r="E12081" s="760"/>
      <c r="F12081" s="760"/>
      <c r="G12081" s="760"/>
      <c r="H12081" s="760"/>
      <c r="I12081" s="760"/>
      <c r="J12081" s="760"/>
      <c r="K12081" s="760"/>
    </row>
    <row r="12082" spans="1:11">
      <c r="A12082" s="760"/>
      <c r="B12082" s="760"/>
      <c r="C12082" s="760"/>
      <c r="D12082" s="760"/>
      <c r="E12082" s="760"/>
      <c r="F12082" s="760"/>
      <c r="G12082" s="760"/>
      <c r="H12082" s="760"/>
      <c r="I12082" s="760"/>
      <c r="J12082" s="760"/>
      <c r="K12082" s="760"/>
    </row>
    <row r="12083" spans="1:11">
      <c r="A12083" s="760"/>
      <c r="B12083" s="760"/>
      <c r="C12083" s="760"/>
      <c r="D12083" s="760"/>
      <c r="E12083" s="760"/>
      <c r="F12083" s="760"/>
      <c r="G12083" s="760"/>
      <c r="H12083" s="760"/>
      <c r="I12083" s="760"/>
      <c r="J12083" s="760"/>
      <c r="K12083" s="760"/>
    </row>
    <row r="12084" spans="1:11">
      <c r="A12084" s="760"/>
      <c r="B12084" s="760"/>
      <c r="C12084" s="760"/>
      <c r="D12084" s="760"/>
      <c r="E12084" s="760"/>
      <c r="F12084" s="760"/>
      <c r="G12084" s="760"/>
      <c r="H12084" s="760"/>
      <c r="I12084" s="760"/>
      <c r="J12084" s="760"/>
      <c r="K12084" s="760"/>
    </row>
    <row r="12085" spans="1:11">
      <c r="A12085" s="760"/>
      <c r="B12085" s="760"/>
      <c r="C12085" s="760"/>
      <c r="D12085" s="760"/>
      <c r="E12085" s="760"/>
      <c r="F12085" s="760"/>
      <c r="G12085" s="760"/>
      <c r="H12085" s="760"/>
      <c r="I12085" s="760"/>
      <c r="J12085" s="760"/>
      <c r="K12085" s="760"/>
    </row>
    <row r="12086" spans="1:11">
      <c r="A12086" s="760"/>
      <c r="B12086" s="760"/>
      <c r="C12086" s="760"/>
      <c r="D12086" s="760"/>
      <c r="E12086" s="760"/>
      <c r="F12086" s="760"/>
      <c r="G12086" s="760"/>
      <c r="H12086" s="760"/>
      <c r="I12086" s="760"/>
      <c r="J12086" s="760"/>
      <c r="K12086" s="760"/>
    </row>
    <row r="12087" spans="1:11">
      <c r="A12087" s="760"/>
      <c r="B12087" s="760"/>
      <c r="C12087" s="760"/>
      <c r="D12087" s="760"/>
      <c r="E12087" s="760"/>
      <c r="F12087" s="760"/>
      <c r="G12087" s="760"/>
      <c r="H12087" s="760"/>
      <c r="I12087" s="760"/>
      <c r="J12087" s="760"/>
      <c r="K12087" s="760"/>
    </row>
    <row r="12088" spans="1:11">
      <c r="A12088" s="760"/>
      <c r="B12088" s="760"/>
      <c r="C12088" s="760"/>
      <c r="D12088" s="760"/>
      <c r="E12088" s="760"/>
      <c r="F12088" s="760"/>
      <c r="G12088" s="760"/>
      <c r="H12088" s="760"/>
      <c r="I12088" s="760"/>
      <c r="J12088" s="760"/>
      <c r="K12088" s="760"/>
    </row>
    <row r="12089" spans="1:11">
      <c r="A12089" s="760"/>
      <c r="B12089" s="760"/>
      <c r="C12089" s="760"/>
      <c r="D12089" s="760"/>
      <c r="E12089" s="760"/>
      <c r="F12089" s="760"/>
      <c r="G12089" s="760"/>
      <c r="H12089" s="760"/>
      <c r="I12089" s="760"/>
      <c r="J12089" s="760"/>
      <c r="K12089" s="760"/>
    </row>
    <row r="12090" spans="1:11">
      <c r="A12090" s="760"/>
      <c r="B12090" s="760"/>
      <c r="C12090" s="760"/>
      <c r="D12090" s="760"/>
      <c r="E12090" s="760"/>
      <c r="F12090" s="760"/>
      <c r="G12090" s="760"/>
      <c r="H12090" s="760"/>
      <c r="I12090" s="760"/>
      <c r="J12090" s="760"/>
      <c r="K12090" s="760"/>
    </row>
    <row r="12091" spans="1:11">
      <c r="A12091" s="760"/>
      <c r="B12091" s="760"/>
      <c r="C12091" s="760"/>
      <c r="D12091" s="760"/>
      <c r="E12091" s="760"/>
      <c r="F12091" s="760"/>
      <c r="G12091" s="760"/>
      <c r="H12091" s="760"/>
      <c r="I12091" s="760"/>
      <c r="J12091" s="760"/>
      <c r="K12091" s="760"/>
    </row>
    <row r="12092" spans="1:11">
      <c r="A12092" s="760"/>
      <c r="B12092" s="760"/>
      <c r="C12092" s="760"/>
      <c r="D12092" s="760"/>
      <c r="E12092" s="760"/>
      <c r="F12092" s="760"/>
      <c r="G12092" s="760"/>
      <c r="H12092" s="760"/>
      <c r="I12092" s="760"/>
      <c r="J12092" s="760"/>
      <c r="K12092" s="760"/>
    </row>
    <row r="12093" spans="1:11">
      <c r="A12093" s="760"/>
      <c r="B12093" s="760"/>
      <c r="C12093" s="760"/>
      <c r="D12093" s="760"/>
      <c r="E12093" s="760"/>
      <c r="F12093" s="760"/>
      <c r="G12093" s="760"/>
      <c r="H12093" s="760"/>
      <c r="I12093" s="760"/>
      <c r="J12093" s="760"/>
      <c r="K12093" s="760"/>
    </row>
    <row r="12094" spans="1:11">
      <c r="A12094" s="760"/>
      <c r="B12094" s="760"/>
      <c r="C12094" s="760"/>
      <c r="D12094" s="760"/>
      <c r="E12094" s="760"/>
      <c r="F12094" s="760"/>
      <c r="G12094" s="760"/>
      <c r="H12094" s="760"/>
      <c r="I12094" s="760"/>
      <c r="J12094" s="760"/>
      <c r="K12094" s="760"/>
    </row>
    <row r="12095" spans="1:11">
      <c r="A12095" s="760"/>
      <c r="B12095" s="760"/>
      <c r="C12095" s="760"/>
      <c r="D12095" s="760"/>
      <c r="E12095" s="760"/>
      <c r="F12095" s="760"/>
      <c r="G12095" s="760"/>
      <c r="H12095" s="760"/>
      <c r="I12095" s="760"/>
      <c r="J12095" s="760"/>
      <c r="K12095" s="760"/>
    </row>
    <row r="12096" spans="1:11">
      <c r="A12096" s="760"/>
      <c r="B12096" s="760"/>
      <c r="C12096" s="760"/>
      <c r="D12096" s="760"/>
      <c r="E12096" s="760"/>
      <c r="F12096" s="760"/>
      <c r="G12096" s="760"/>
      <c r="H12096" s="760"/>
      <c r="I12096" s="760"/>
      <c r="J12096" s="760"/>
      <c r="K12096" s="760"/>
    </row>
    <row r="12097" spans="1:11">
      <c r="A12097" s="760"/>
      <c r="B12097" s="760"/>
      <c r="C12097" s="760"/>
      <c r="D12097" s="760"/>
      <c r="E12097" s="760"/>
      <c r="F12097" s="760"/>
      <c r="G12097" s="760"/>
      <c r="H12097" s="760"/>
      <c r="I12097" s="760"/>
      <c r="J12097" s="760"/>
      <c r="K12097" s="760"/>
    </row>
    <row r="12098" spans="1:11">
      <c r="A12098" s="760"/>
      <c r="B12098" s="760"/>
      <c r="C12098" s="760"/>
      <c r="D12098" s="760"/>
      <c r="E12098" s="760"/>
      <c r="F12098" s="760"/>
      <c r="G12098" s="760"/>
      <c r="H12098" s="760"/>
      <c r="I12098" s="760"/>
      <c r="J12098" s="760"/>
      <c r="K12098" s="760"/>
    </row>
    <row r="12099" spans="1:11">
      <c r="A12099" s="760"/>
      <c r="B12099" s="760"/>
      <c r="C12099" s="760"/>
      <c r="D12099" s="760"/>
      <c r="E12099" s="760"/>
      <c r="F12099" s="760"/>
      <c r="G12099" s="760"/>
      <c r="H12099" s="760"/>
      <c r="I12099" s="760"/>
      <c r="J12099" s="760"/>
      <c r="K12099" s="760"/>
    </row>
    <row r="12100" spans="1:11">
      <c r="A12100" s="760"/>
      <c r="B12100" s="760"/>
      <c r="C12100" s="760"/>
      <c r="D12100" s="760"/>
      <c r="E12100" s="760"/>
      <c r="F12100" s="760"/>
      <c r="G12100" s="760"/>
      <c r="H12100" s="760"/>
      <c r="I12100" s="760"/>
      <c r="J12100" s="760"/>
      <c r="K12100" s="760"/>
    </row>
    <row r="12101" spans="1:11">
      <c r="A12101" s="760"/>
      <c r="B12101" s="760"/>
      <c r="C12101" s="760"/>
      <c r="D12101" s="760"/>
      <c r="E12101" s="760"/>
      <c r="F12101" s="760"/>
      <c r="G12101" s="760"/>
      <c r="H12101" s="760"/>
      <c r="I12101" s="760"/>
      <c r="J12101" s="760"/>
      <c r="K12101" s="760"/>
    </row>
    <row r="12102" spans="1:11">
      <c r="A12102" s="760"/>
      <c r="B12102" s="760"/>
      <c r="C12102" s="760"/>
      <c r="D12102" s="760"/>
      <c r="E12102" s="760"/>
      <c r="F12102" s="760"/>
      <c r="G12102" s="760"/>
      <c r="H12102" s="760"/>
      <c r="I12102" s="760"/>
      <c r="J12102" s="760"/>
      <c r="K12102" s="760"/>
    </row>
    <row r="12103" spans="1:11">
      <c r="A12103" s="760"/>
      <c r="B12103" s="760"/>
      <c r="C12103" s="760"/>
      <c r="D12103" s="760"/>
      <c r="E12103" s="760"/>
      <c r="F12103" s="760"/>
      <c r="G12103" s="760"/>
      <c r="H12103" s="760"/>
      <c r="I12103" s="760"/>
      <c r="J12103" s="760"/>
      <c r="K12103" s="760"/>
    </row>
    <row r="12104" spans="1:11">
      <c r="A12104" s="760"/>
      <c r="B12104" s="760"/>
      <c r="C12104" s="760"/>
      <c r="D12104" s="760"/>
      <c r="E12104" s="760"/>
      <c r="F12104" s="760"/>
      <c r="G12104" s="760"/>
      <c r="H12104" s="760"/>
      <c r="I12104" s="760"/>
      <c r="J12104" s="760"/>
      <c r="K12104" s="760"/>
    </row>
    <row r="12105" spans="1:11">
      <c r="A12105" s="760"/>
      <c r="B12105" s="760"/>
      <c r="C12105" s="760"/>
      <c r="D12105" s="760"/>
      <c r="E12105" s="760"/>
      <c r="F12105" s="760"/>
      <c r="G12105" s="760"/>
      <c r="H12105" s="760"/>
      <c r="I12105" s="760"/>
      <c r="J12105" s="760"/>
      <c r="K12105" s="760"/>
    </row>
    <row r="12106" spans="1:11">
      <c r="A12106" s="760"/>
      <c r="B12106" s="760"/>
      <c r="C12106" s="760"/>
      <c r="D12106" s="760"/>
      <c r="E12106" s="760"/>
      <c r="F12106" s="760"/>
      <c r="G12106" s="760"/>
      <c r="H12106" s="760"/>
      <c r="I12106" s="760"/>
      <c r="J12106" s="760"/>
      <c r="K12106" s="760"/>
    </row>
    <row r="12107" spans="1:11">
      <c r="A12107" s="760"/>
      <c r="B12107" s="760"/>
      <c r="C12107" s="760"/>
      <c r="D12107" s="760"/>
      <c r="E12107" s="760"/>
      <c r="F12107" s="760"/>
      <c r="G12107" s="760"/>
      <c r="H12107" s="760"/>
      <c r="I12107" s="760"/>
      <c r="J12107" s="760"/>
      <c r="K12107" s="760"/>
    </row>
    <row r="12108" spans="1:11">
      <c r="A12108" s="760"/>
      <c r="B12108" s="760"/>
      <c r="C12108" s="760"/>
      <c r="D12108" s="760"/>
      <c r="E12108" s="760"/>
      <c r="F12108" s="760"/>
      <c r="G12108" s="760"/>
      <c r="H12108" s="760"/>
      <c r="I12108" s="760"/>
      <c r="J12108" s="760"/>
      <c r="K12108" s="760"/>
    </row>
    <row r="12109" spans="1:11">
      <c r="A12109" s="760"/>
      <c r="B12109" s="760"/>
      <c r="C12109" s="760"/>
      <c r="D12109" s="760"/>
      <c r="E12109" s="760"/>
      <c r="F12109" s="760"/>
      <c r="G12109" s="760"/>
      <c r="H12109" s="760"/>
      <c r="I12109" s="760"/>
      <c r="J12109" s="760"/>
      <c r="K12109" s="760"/>
    </row>
    <row r="12110" spans="1:11">
      <c r="A12110" s="760"/>
      <c r="B12110" s="760"/>
      <c r="C12110" s="760"/>
      <c r="D12110" s="760"/>
      <c r="E12110" s="760"/>
      <c r="F12110" s="760"/>
      <c r="G12110" s="760"/>
      <c r="H12110" s="760"/>
      <c r="I12110" s="760"/>
      <c r="J12110" s="760"/>
      <c r="K12110" s="760"/>
    </row>
    <row r="12111" spans="1:11">
      <c r="A12111" s="760"/>
      <c r="B12111" s="760"/>
      <c r="C12111" s="760"/>
      <c r="D12111" s="760"/>
      <c r="E12111" s="760"/>
      <c r="F12111" s="760"/>
      <c r="G12111" s="760"/>
      <c r="H12111" s="760"/>
      <c r="I12111" s="760"/>
      <c r="J12111" s="760"/>
      <c r="K12111" s="760"/>
    </row>
    <row r="12112" spans="1:11">
      <c r="A12112" s="760"/>
      <c r="B12112" s="760"/>
      <c r="C12112" s="760"/>
      <c r="D12112" s="760"/>
      <c r="E12112" s="760"/>
      <c r="F12112" s="760"/>
      <c r="G12112" s="760"/>
      <c r="H12112" s="760"/>
      <c r="I12112" s="760"/>
      <c r="J12112" s="760"/>
      <c r="K12112" s="760"/>
    </row>
    <row r="12113" spans="1:11">
      <c r="A12113" s="760"/>
      <c r="B12113" s="760"/>
      <c r="C12113" s="760"/>
      <c r="D12113" s="760"/>
      <c r="E12113" s="760"/>
      <c r="F12113" s="760"/>
      <c r="G12113" s="760"/>
      <c r="H12113" s="760"/>
      <c r="I12113" s="760"/>
      <c r="J12113" s="760"/>
      <c r="K12113" s="760"/>
    </row>
    <row r="12114" spans="1:11">
      <c r="A12114" s="760"/>
      <c r="B12114" s="760"/>
      <c r="C12114" s="760"/>
      <c r="D12114" s="760"/>
      <c r="E12114" s="760"/>
      <c r="F12114" s="760"/>
      <c r="G12114" s="760"/>
      <c r="H12114" s="760"/>
      <c r="I12114" s="760"/>
      <c r="J12114" s="760"/>
      <c r="K12114" s="760"/>
    </row>
    <row r="12115" spans="1:11">
      <c r="A12115" s="760"/>
      <c r="B12115" s="760"/>
      <c r="C12115" s="760"/>
      <c r="D12115" s="760"/>
      <c r="E12115" s="760"/>
      <c r="F12115" s="760"/>
      <c r="G12115" s="760"/>
      <c r="H12115" s="760"/>
      <c r="I12115" s="760"/>
      <c r="J12115" s="760"/>
      <c r="K12115" s="760"/>
    </row>
    <row r="12116" spans="1:11">
      <c r="A12116" s="760"/>
      <c r="B12116" s="760"/>
      <c r="C12116" s="760"/>
      <c r="D12116" s="760"/>
      <c r="E12116" s="760"/>
      <c r="F12116" s="760"/>
      <c r="G12116" s="760"/>
      <c r="H12116" s="760"/>
      <c r="I12116" s="760"/>
      <c r="J12116" s="760"/>
      <c r="K12116" s="760"/>
    </row>
    <row r="12117" spans="1:11">
      <c r="A12117" s="760"/>
      <c r="B12117" s="760"/>
      <c r="C12117" s="760"/>
      <c r="D12117" s="760"/>
      <c r="E12117" s="760"/>
      <c r="F12117" s="760"/>
      <c r="G12117" s="760"/>
      <c r="H12117" s="760"/>
      <c r="I12117" s="760"/>
      <c r="J12117" s="760"/>
      <c r="K12117" s="760"/>
    </row>
    <row r="12118" spans="1:11">
      <c r="A12118" s="760"/>
      <c r="B12118" s="760"/>
      <c r="C12118" s="760"/>
      <c r="D12118" s="760"/>
      <c r="E12118" s="760"/>
      <c r="F12118" s="760"/>
      <c r="G12118" s="760"/>
      <c r="H12118" s="760"/>
      <c r="I12118" s="760"/>
      <c r="J12118" s="760"/>
      <c r="K12118" s="760"/>
    </row>
    <row r="12119" spans="1:11">
      <c r="A12119" s="760"/>
      <c r="B12119" s="760"/>
      <c r="C12119" s="760"/>
      <c r="D12119" s="760"/>
      <c r="E12119" s="760"/>
      <c r="F12119" s="760"/>
      <c r="G12119" s="760"/>
      <c r="H12119" s="760"/>
      <c r="I12119" s="760"/>
      <c r="J12119" s="760"/>
      <c r="K12119" s="760"/>
    </row>
    <row r="12120" spans="1:11">
      <c r="A12120" s="760"/>
      <c r="B12120" s="760"/>
      <c r="C12120" s="760"/>
      <c r="D12120" s="760"/>
      <c r="E12120" s="760"/>
      <c r="F12120" s="760"/>
      <c r="G12120" s="760"/>
      <c r="H12120" s="760"/>
      <c r="I12120" s="760"/>
      <c r="J12120" s="760"/>
      <c r="K12120" s="760"/>
    </row>
    <row r="12121" spans="1:11">
      <c r="A12121" s="760"/>
      <c r="B12121" s="760"/>
      <c r="C12121" s="760"/>
      <c r="D12121" s="760"/>
      <c r="E12121" s="760"/>
      <c r="F12121" s="760"/>
      <c r="G12121" s="760"/>
      <c r="H12121" s="760"/>
      <c r="I12121" s="760"/>
      <c r="J12121" s="760"/>
      <c r="K12121" s="760"/>
    </row>
    <row r="12122" spans="1:11">
      <c r="A12122" s="760"/>
      <c r="B12122" s="760"/>
      <c r="C12122" s="760"/>
      <c r="D12122" s="760"/>
      <c r="E12122" s="760"/>
      <c r="F12122" s="760"/>
      <c r="G12122" s="760"/>
      <c r="H12122" s="760"/>
      <c r="I12122" s="760"/>
      <c r="J12122" s="760"/>
      <c r="K12122" s="760"/>
    </row>
    <row r="12123" spans="1:11">
      <c r="A12123" s="760"/>
      <c r="B12123" s="760"/>
      <c r="C12123" s="760"/>
      <c r="D12123" s="760"/>
      <c r="E12123" s="760"/>
      <c r="F12123" s="760"/>
      <c r="G12123" s="760"/>
      <c r="H12123" s="760"/>
      <c r="I12123" s="760"/>
      <c r="J12123" s="760"/>
      <c r="K12123" s="760"/>
    </row>
    <row r="12124" spans="1:11">
      <c r="A12124" s="760"/>
      <c r="B12124" s="760"/>
      <c r="C12124" s="760"/>
      <c r="D12124" s="760"/>
      <c r="E12124" s="760"/>
      <c r="F12124" s="760"/>
      <c r="G12124" s="760"/>
      <c r="H12124" s="760"/>
      <c r="I12124" s="760"/>
      <c r="J12124" s="760"/>
      <c r="K12124" s="760"/>
    </row>
    <row r="12125" spans="1:11">
      <c r="A12125" s="760"/>
      <c r="B12125" s="760"/>
      <c r="C12125" s="760"/>
      <c r="D12125" s="760"/>
      <c r="E12125" s="760"/>
      <c r="F12125" s="760"/>
      <c r="G12125" s="760"/>
      <c r="H12125" s="760"/>
      <c r="I12125" s="760"/>
      <c r="J12125" s="760"/>
      <c r="K12125" s="760"/>
    </row>
    <row r="12126" spans="1:11">
      <c r="A12126" s="760"/>
      <c r="B12126" s="760"/>
      <c r="C12126" s="760"/>
      <c r="D12126" s="760"/>
      <c r="E12126" s="760"/>
      <c r="F12126" s="760"/>
      <c r="G12126" s="760"/>
      <c r="H12126" s="760"/>
      <c r="I12126" s="760"/>
      <c r="J12126" s="760"/>
      <c r="K12126" s="760"/>
    </row>
    <row r="12127" spans="1:11">
      <c r="A12127" s="760"/>
      <c r="B12127" s="760"/>
      <c r="C12127" s="760"/>
      <c r="D12127" s="760"/>
      <c r="E12127" s="760"/>
      <c r="F12127" s="760"/>
      <c r="G12127" s="760"/>
      <c r="H12127" s="760"/>
      <c r="I12127" s="760"/>
      <c r="J12127" s="760"/>
      <c r="K12127" s="760"/>
    </row>
    <row r="12128" spans="1:11">
      <c r="A12128" s="760"/>
      <c r="B12128" s="760"/>
      <c r="C12128" s="760"/>
      <c r="D12128" s="760"/>
      <c r="E12128" s="760"/>
      <c r="F12128" s="760"/>
      <c r="G12128" s="760"/>
      <c r="H12128" s="760"/>
      <c r="I12128" s="760"/>
      <c r="J12128" s="760"/>
      <c r="K12128" s="760"/>
    </row>
    <row r="12129" spans="1:11">
      <c r="A12129" s="760"/>
      <c r="B12129" s="760"/>
      <c r="C12129" s="760"/>
      <c r="D12129" s="760"/>
      <c r="E12129" s="760"/>
      <c r="F12129" s="760"/>
      <c r="G12129" s="760"/>
      <c r="H12129" s="760"/>
      <c r="I12129" s="760"/>
      <c r="J12129" s="760"/>
      <c r="K12129" s="760"/>
    </row>
    <row r="12130" spans="1:11">
      <c r="A12130" s="760"/>
      <c r="B12130" s="760"/>
      <c r="C12130" s="760"/>
      <c r="D12130" s="760"/>
      <c r="E12130" s="760"/>
      <c r="F12130" s="760"/>
      <c r="G12130" s="760"/>
      <c r="H12130" s="760"/>
      <c r="I12130" s="760"/>
      <c r="J12130" s="760"/>
      <c r="K12130" s="760"/>
    </row>
    <row r="12131" spans="1:11">
      <c r="A12131" s="760"/>
      <c r="B12131" s="760"/>
      <c r="C12131" s="760"/>
      <c r="D12131" s="760"/>
      <c r="E12131" s="760"/>
      <c r="F12131" s="760"/>
      <c r="G12131" s="760"/>
      <c r="H12131" s="760"/>
      <c r="I12131" s="760"/>
      <c r="J12131" s="760"/>
      <c r="K12131" s="760"/>
    </row>
    <row r="12132" spans="1:11">
      <c r="A12132" s="760"/>
      <c r="B12132" s="760"/>
      <c r="C12132" s="760"/>
      <c r="D12132" s="760"/>
      <c r="E12132" s="760"/>
      <c r="F12132" s="760"/>
      <c r="G12132" s="760"/>
      <c r="H12132" s="760"/>
      <c r="I12132" s="760"/>
      <c r="J12132" s="760"/>
      <c r="K12132" s="760"/>
    </row>
    <row r="12133" spans="1:11">
      <c r="A12133" s="760"/>
      <c r="B12133" s="760"/>
      <c r="C12133" s="760"/>
      <c r="D12133" s="760"/>
      <c r="E12133" s="760"/>
      <c r="F12133" s="760"/>
      <c r="G12133" s="760"/>
      <c r="H12133" s="760"/>
      <c r="I12133" s="760"/>
      <c r="J12133" s="760"/>
      <c r="K12133" s="760"/>
    </row>
    <row r="12134" spans="1:11">
      <c r="A12134" s="760"/>
      <c r="B12134" s="760"/>
      <c r="C12134" s="760"/>
      <c r="D12134" s="760"/>
      <c r="E12134" s="760"/>
      <c r="F12134" s="760"/>
      <c r="G12134" s="760"/>
      <c r="H12134" s="760"/>
      <c r="I12134" s="760"/>
      <c r="J12134" s="760"/>
      <c r="K12134" s="760"/>
    </row>
    <row r="12135" spans="1:11">
      <c r="A12135" s="760"/>
      <c r="B12135" s="760"/>
      <c r="C12135" s="760"/>
      <c r="D12135" s="760"/>
      <c r="E12135" s="760"/>
      <c r="F12135" s="760"/>
      <c r="G12135" s="760"/>
      <c r="H12135" s="760"/>
      <c r="I12135" s="760"/>
      <c r="J12135" s="760"/>
      <c r="K12135" s="760"/>
    </row>
    <row r="12136" spans="1:11">
      <c r="A12136" s="760"/>
      <c r="B12136" s="760"/>
      <c r="C12136" s="760"/>
      <c r="D12136" s="760"/>
      <c r="E12136" s="760"/>
      <c r="F12136" s="760"/>
      <c r="G12136" s="760"/>
      <c r="H12136" s="760"/>
      <c r="I12136" s="760"/>
      <c r="J12136" s="760"/>
      <c r="K12136" s="760"/>
    </row>
    <row r="12137" spans="1:11">
      <c r="A12137" s="760"/>
      <c r="B12137" s="760"/>
      <c r="C12137" s="760"/>
      <c r="D12137" s="760"/>
      <c r="E12137" s="760"/>
      <c r="F12137" s="760"/>
      <c r="G12137" s="760"/>
      <c r="H12137" s="760"/>
      <c r="I12137" s="760"/>
      <c r="J12137" s="760"/>
      <c r="K12137" s="760"/>
    </row>
    <row r="12138" spans="1:11">
      <c r="A12138" s="760"/>
      <c r="B12138" s="760"/>
      <c r="C12138" s="760"/>
      <c r="D12138" s="760"/>
      <c r="E12138" s="760"/>
      <c r="F12138" s="760"/>
      <c r="G12138" s="760"/>
      <c r="H12138" s="760"/>
      <c r="I12138" s="760"/>
      <c r="J12138" s="760"/>
      <c r="K12138" s="760"/>
    </row>
    <row r="12139" spans="1:11">
      <c r="A12139" s="760"/>
      <c r="B12139" s="760"/>
      <c r="C12139" s="760"/>
      <c r="D12139" s="760"/>
      <c r="E12139" s="760"/>
      <c r="F12139" s="760"/>
      <c r="G12139" s="760"/>
      <c r="H12139" s="760"/>
      <c r="I12139" s="760"/>
      <c r="J12139" s="760"/>
      <c r="K12139" s="760"/>
    </row>
    <row r="12140" spans="1:11">
      <c r="A12140" s="760"/>
      <c r="B12140" s="760"/>
      <c r="C12140" s="760"/>
      <c r="D12140" s="760"/>
      <c r="E12140" s="760"/>
      <c r="F12140" s="760"/>
      <c r="G12140" s="760"/>
      <c r="H12140" s="760"/>
      <c r="I12140" s="760"/>
      <c r="J12140" s="760"/>
      <c r="K12140" s="760"/>
    </row>
    <row r="12141" spans="1:11">
      <c r="A12141" s="760"/>
      <c r="B12141" s="760"/>
      <c r="C12141" s="760"/>
      <c r="D12141" s="760"/>
      <c r="E12141" s="760"/>
      <c r="F12141" s="760"/>
      <c r="G12141" s="760"/>
      <c r="H12141" s="760"/>
      <c r="I12141" s="760"/>
      <c r="J12141" s="760"/>
      <c r="K12141" s="760"/>
    </row>
    <row r="12142" spans="1:11">
      <c r="A12142" s="760"/>
      <c r="B12142" s="760"/>
      <c r="C12142" s="760"/>
      <c r="D12142" s="760"/>
      <c r="E12142" s="760"/>
      <c r="F12142" s="760"/>
      <c r="G12142" s="760"/>
      <c r="H12142" s="760"/>
      <c r="I12142" s="760"/>
      <c r="J12142" s="760"/>
      <c r="K12142" s="760"/>
    </row>
    <row r="12143" spans="1:11">
      <c r="A12143" s="760"/>
      <c r="B12143" s="760"/>
      <c r="C12143" s="760"/>
      <c r="D12143" s="760"/>
      <c r="E12143" s="760"/>
      <c r="F12143" s="760"/>
      <c r="G12143" s="760"/>
      <c r="H12143" s="760"/>
      <c r="I12143" s="760"/>
      <c r="J12143" s="760"/>
      <c r="K12143" s="760"/>
    </row>
    <row r="12144" spans="1:11">
      <c r="A12144" s="760"/>
      <c r="B12144" s="760"/>
      <c r="C12144" s="760"/>
      <c r="D12144" s="760"/>
      <c r="E12144" s="760"/>
      <c r="F12144" s="760"/>
      <c r="G12144" s="760"/>
      <c r="H12144" s="760"/>
      <c r="I12144" s="760"/>
      <c r="J12144" s="760"/>
      <c r="K12144" s="760"/>
    </row>
    <row r="12145" spans="1:11">
      <c r="A12145" s="760"/>
      <c r="B12145" s="760"/>
      <c r="C12145" s="760"/>
      <c r="D12145" s="760"/>
      <c r="E12145" s="760"/>
      <c r="F12145" s="760"/>
      <c r="G12145" s="760"/>
      <c r="H12145" s="760"/>
      <c r="I12145" s="760"/>
      <c r="J12145" s="760"/>
      <c r="K12145" s="760"/>
    </row>
    <row r="12146" spans="1:11">
      <c r="A12146" s="760"/>
      <c r="B12146" s="760"/>
      <c r="C12146" s="760"/>
      <c r="D12146" s="760"/>
      <c r="E12146" s="760"/>
      <c r="F12146" s="760"/>
      <c r="G12146" s="760"/>
      <c r="H12146" s="760"/>
      <c r="I12146" s="760"/>
      <c r="J12146" s="760"/>
      <c r="K12146" s="760"/>
    </row>
    <row r="12147" spans="1:11">
      <c r="A12147" s="760"/>
      <c r="B12147" s="760"/>
      <c r="C12147" s="760"/>
      <c r="D12147" s="760"/>
      <c r="E12147" s="760"/>
      <c r="F12147" s="760"/>
      <c r="G12147" s="760"/>
      <c r="H12147" s="760"/>
      <c r="I12147" s="760"/>
      <c r="J12147" s="760"/>
      <c r="K12147" s="760"/>
    </row>
    <row r="12148" spans="1:11">
      <c r="A12148" s="760"/>
      <c r="B12148" s="760"/>
      <c r="C12148" s="760"/>
      <c r="D12148" s="760"/>
      <c r="E12148" s="760"/>
      <c r="F12148" s="760"/>
      <c r="G12148" s="760"/>
      <c r="H12148" s="760"/>
      <c r="I12148" s="760"/>
      <c r="J12148" s="760"/>
      <c r="K12148" s="760"/>
    </row>
    <row r="12149" spans="1:11">
      <c r="A12149" s="760"/>
      <c r="B12149" s="760"/>
      <c r="C12149" s="760"/>
      <c r="D12149" s="760"/>
      <c r="E12149" s="760"/>
      <c r="F12149" s="760"/>
      <c r="G12149" s="760"/>
      <c r="H12149" s="760"/>
      <c r="I12149" s="760"/>
      <c r="J12149" s="760"/>
      <c r="K12149" s="760"/>
    </row>
    <row r="12150" spans="1:11">
      <c r="A12150" s="760"/>
      <c r="B12150" s="760"/>
      <c r="C12150" s="760"/>
      <c r="D12150" s="760"/>
      <c r="E12150" s="760"/>
      <c r="F12150" s="760"/>
      <c r="G12150" s="760"/>
      <c r="H12150" s="760"/>
      <c r="I12150" s="760"/>
      <c r="J12150" s="760"/>
      <c r="K12150" s="760"/>
    </row>
    <row r="12151" spans="1:11">
      <c r="A12151" s="760"/>
      <c r="B12151" s="760"/>
      <c r="C12151" s="760"/>
      <c r="D12151" s="760"/>
      <c r="E12151" s="760"/>
      <c r="F12151" s="760"/>
      <c r="G12151" s="760"/>
      <c r="H12151" s="760"/>
      <c r="I12151" s="760"/>
      <c r="J12151" s="760"/>
      <c r="K12151" s="760"/>
    </row>
    <row r="12152" spans="1:11">
      <c r="A12152" s="760"/>
      <c r="B12152" s="760"/>
      <c r="C12152" s="760"/>
      <c r="D12152" s="760"/>
      <c r="E12152" s="760"/>
      <c r="F12152" s="760"/>
      <c r="G12152" s="760"/>
      <c r="H12152" s="760"/>
      <c r="I12152" s="760"/>
      <c r="J12152" s="760"/>
      <c r="K12152" s="760"/>
    </row>
    <row r="12153" spans="1:11">
      <c r="A12153" s="760"/>
      <c r="B12153" s="760"/>
      <c r="C12153" s="760"/>
      <c r="D12153" s="760"/>
      <c r="E12153" s="760"/>
      <c r="F12153" s="760"/>
      <c r="G12153" s="760"/>
      <c r="H12153" s="760"/>
      <c r="I12153" s="760"/>
      <c r="J12153" s="760"/>
      <c r="K12153" s="760"/>
    </row>
    <row r="12154" spans="1:11">
      <c r="A12154" s="760"/>
      <c r="B12154" s="760"/>
      <c r="C12154" s="760"/>
      <c r="D12154" s="760"/>
      <c r="E12154" s="760"/>
      <c r="F12154" s="760"/>
      <c r="G12154" s="760"/>
      <c r="H12154" s="760"/>
      <c r="I12154" s="760"/>
      <c r="J12154" s="760"/>
      <c r="K12154" s="760"/>
    </row>
    <row r="12155" spans="1:11">
      <c r="A12155" s="760"/>
      <c r="B12155" s="760"/>
      <c r="C12155" s="760"/>
      <c r="D12155" s="760"/>
      <c r="E12155" s="760"/>
      <c r="F12155" s="760"/>
      <c r="G12155" s="760"/>
      <c r="H12155" s="760"/>
      <c r="I12155" s="760"/>
      <c r="J12155" s="760"/>
      <c r="K12155" s="760"/>
    </row>
    <row r="12156" spans="1:11">
      <c r="A12156" s="760"/>
      <c r="B12156" s="760"/>
      <c r="C12156" s="760"/>
      <c r="D12156" s="760"/>
      <c r="E12156" s="760"/>
      <c r="F12156" s="760"/>
      <c r="G12156" s="760"/>
      <c r="H12156" s="760"/>
      <c r="I12156" s="760"/>
      <c r="J12156" s="760"/>
      <c r="K12156" s="760"/>
    </row>
    <row r="12157" spans="1:11">
      <c r="A12157" s="760"/>
      <c r="B12157" s="760"/>
      <c r="C12157" s="760"/>
      <c r="D12157" s="760"/>
      <c r="E12157" s="760"/>
      <c r="F12157" s="760"/>
      <c r="G12157" s="760"/>
      <c r="H12157" s="760"/>
      <c r="I12157" s="760"/>
      <c r="J12157" s="760"/>
      <c r="K12157" s="760"/>
    </row>
    <row r="12158" spans="1:11">
      <c r="A12158" s="760"/>
      <c r="B12158" s="760"/>
      <c r="C12158" s="760"/>
      <c r="D12158" s="760"/>
      <c r="E12158" s="760"/>
      <c r="F12158" s="760"/>
      <c r="G12158" s="760"/>
      <c r="H12158" s="760"/>
      <c r="I12158" s="760"/>
      <c r="J12158" s="760"/>
      <c r="K12158" s="760"/>
    </row>
    <row r="12159" spans="1:11">
      <c r="A12159" s="760"/>
      <c r="B12159" s="760"/>
      <c r="C12159" s="760"/>
      <c r="D12159" s="760"/>
      <c r="E12159" s="760"/>
      <c r="F12159" s="760"/>
      <c r="G12159" s="760"/>
      <c r="H12159" s="760"/>
      <c r="I12159" s="760"/>
      <c r="J12159" s="760"/>
      <c r="K12159" s="760"/>
    </row>
    <row r="12160" spans="1:11">
      <c r="A12160" s="760"/>
      <c r="B12160" s="760"/>
      <c r="C12160" s="760"/>
      <c r="D12160" s="760"/>
      <c r="E12160" s="760"/>
      <c r="F12160" s="760"/>
      <c r="G12160" s="760"/>
      <c r="H12160" s="760"/>
      <c r="I12160" s="760"/>
      <c r="J12160" s="760"/>
      <c r="K12160" s="760"/>
    </row>
    <row r="12161" spans="1:11">
      <c r="A12161" s="760"/>
      <c r="B12161" s="760"/>
      <c r="C12161" s="760"/>
      <c r="D12161" s="760"/>
      <c r="E12161" s="760"/>
      <c r="F12161" s="760"/>
      <c r="G12161" s="760"/>
      <c r="H12161" s="760"/>
      <c r="I12161" s="760"/>
      <c r="J12161" s="760"/>
      <c r="K12161" s="760"/>
    </row>
    <row r="12162" spans="1:11">
      <c r="A12162" s="760"/>
      <c r="B12162" s="760"/>
      <c r="C12162" s="760"/>
      <c r="D12162" s="760"/>
      <c r="E12162" s="760"/>
      <c r="F12162" s="760"/>
      <c r="G12162" s="760"/>
      <c r="H12162" s="760"/>
      <c r="I12162" s="760"/>
      <c r="J12162" s="760"/>
      <c r="K12162" s="760"/>
    </row>
    <row r="12163" spans="1:11">
      <c r="A12163" s="760"/>
      <c r="B12163" s="760"/>
      <c r="C12163" s="760"/>
      <c r="D12163" s="760"/>
      <c r="E12163" s="760"/>
      <c r="F12163" s="760"/>
      <c r="G12163" s="760"/>
      <c r="H12163" s="760"/>
      <c r="I12163" s="760"/>
      <c r="J12163" s="760"/>
      <c r="K12163" s="760"/>
    </row>
    <row r="12164" spans="1:11">
      <c r="A12164" s="760"/>
      <c r="B12164" s="760"/>
      <c r="C12164" s="760"/>
      <c r="D12164" s="760"/>
      <c r="E12164" s="760"/>
      <c r="F12164" s="760"/>
      <c r="G12164" s="760"/>
      <c r="H12164" s="760"/>
      <c r="I12164" s="760"/>
      <c r="J12164" s="760"/>
      <c r="K12164" s="760"/>
    </row>
    <row r="12165" spans="1:11">
      <c r="A12165" s="760"/>
      <c r="B12165" s="760"/>
      <c r="C12165" s="760"/>
      <c r="D12165" s="760"/>
      <c r="E12165" s="760"/>
      <c r="F12165" s="760"/>
      <c r="G12165" s="760"/>
      <c r="H12165" s="760"/>
      <c r="I12165" s="760"/>
      <c r="J12165" s="760"/>
      <c r="K12165" s="760"/>
    </row>
    <row r="12166" spans="1:11">
      <c r="A12166" s="760"/>
      <c r="B12166" s="760"/>
      <c r="C12166" s="760"/>
      <c r="D12166" s="760"/>
      <c r="E12166" s="760"/>
      <c r="F12166" s="760"/>
      <c r="G12166" s="760"/>
      <c r="H12166" s="760"/>
      <c r="I12166" s="760"/>
      <c r="J12166" s="760"/>
      <c r="K12166" s="760"/>
    </row>
    <row r="12167" spans="1:11">
      <c r="A12167" s="760"/>
      <c r="B12167" s="760"/>
      <c r="C12167" s="760"/>
      <c r="D12167" s="760"/>
      <c r="E12167" s="760"/>
      <c r="F12167" s="760"/>
      <c r="G12167" s="760"/>
      <c r="H12167" s="760"/>
      <c r="I12167" s="760"/>
      <c r="J12167" s="760"/>
      <c r="K12167" s="760"/>
    </row>
    <row r="12168" spans="1:11">
      <c r="A12168" s="760"/>
      <c r="B12168" s="760"/>
      <c r="C12168" s="760"/>
      <c r="D12168" s="760"/>
      <c r="E12168" s="760"/>
      <c r="F12168" s="760"/>
      <c r="G12168" s="760"/>
      <c r="H12168" s="760"/>
      <c r="I12168" s="760"/>
      <c r="J12168" s="760"/>
      <c r="K12168" s="760"/>
    </row>
    <row r="12169" spans="1:11">
      <c r="A12169" s="760"/>
      <c r="B12169" s="760"/>
      <c r="C12169" s="760"/>
      <c r="D12169" s="760"/>
      <c r="E12169" s="760"/>
      <c r="F12169" s="760"/>
      <c r="G12169" s="760"/>
      <c r="H12169" s="760"/>
      <c r="I12169" s="760"/>
      <c r="J12169" s="760"/>
      <c r="K12169" s="760"/>
    </row>
    <row r="12170" spans="1:11">
      <c r="A12170" s="760"/>
      <c r="B12170" s="760"/>
      <c r="C12170" s="760"/>
      <c r="D12170" s="760"/>
      <c r="E12170" s="760"/>
      <c r="F12170" s="760"/>
      <c r="G12170" s="760"/>
      <c r="H12170" s="760"/>
      <c r="I12170" s="760"/>
      <c r="J12170" s="760"/>
      <c r="K12170" s="760"/>
    </row>
    <row r="12171" spans="1:11">
      <c r="A12171" s="760"/>
      <c r="B12171" s="760"/>
      <c r="C12171" s="760"/>
      <c r="D12171" s="760"/>
      <c r="E12171" s="760"/>
      <c r="F12171" s="760"/>
      <c r="G12171" s="760"/>
      <c r="H12171" s="760"/>
      <c r="I12171" s="760"/>
      <c r="J12171" s="760"/>
      <c r="K12171" s="760"/>
    </row>
    <row r="12172" spans="1:11">
      <c r="A12172" s="760"/>
      <c r="B12172" s="760"/>
      <c r="C12172" s="760"/>
      <c r="D12172" s="760"/>
      <c r="E12172" s="760"/>
      <c r="F12172" s="760"/>
      <c r="G12172" s="760"/>
      <c r="H12172" s="760"/>
      <c r="I12172" s="760"/>
      <c r="J12172" s="760"/>
      <c r="K12172" s="760"/>
    </row>
    <row r="12173" spans="1:11">
      <c r="A12173" s="760"/>
      <c r="B12173" s="760"/>
      <c r="C12173" s="760"/>
      <c r="D12173" s="760"/>
      <c r="E12173" s="760"/>
      <c r="F12173" s="760"/>
      <c r="G12173" s="760"/>
      <c r="H12173" s="760"/>
      <c r="I12173" s="760"/>
      <c r="J12173" s="760"/>
      <c r="K12173" s="760"/>
    </row>
    <row r="12174" spans="1:11">
      <c r="A12174" s="760"/>
      <c r="B12174" s="760"/>
      <c r="C12174" s="760"/>
      <c r="D12174" s="760"/>
      <c r="E12174" s="760"/>
      <c r="F12174" s="760"/>
      <c r="G12174" s="760"/>
      <c r="H12174" s="760"/>
      <c r="I12174" s="760"/>
      <c r="J12174" s="760"/>
      <c r="K12174" s="760"/>
    </row>
    <row r="12175" spans="1:11">
      <c r="A12175" s="760"/>
      <c r="B12175" s="760"/>
      <c r="C12175" s="760"/>
      <c r="D12175" s="760"/>
      <c r="E12175" s="760"/>
      <c r="F12175" s="760"/>
      <c r="G12175" s="760"/>
      <c r="H12175" s="760"/>
      <c r="I12175" s="760"/>
      <c r="J12175" s="760"/>
      <c r="K12175" s="760"/>
    </row>
    <row r="12176" spans="1:11">
      <c r="A12176" s="760"/>
      <c r="B12176" s="760"/>
      <c r="C12176" s="760"/>
      <c r="D12176" s="760"/>
      <c r="E12176" s="760"/>
      <c r="F12176" s="760"/>
      <c r="G12176" s="760"/>
      <c r="H12176" s="760"/>
      <c r="I12176" s="760"/>
      <c r="J12176" s="760"/>
      <c r="K12176" s="760"/>
    </row>
    <row r="12177" spans="1:11">
      <c r="A12177" s="760"/>
      <c r="B12177" s="760"/>
      <c r="C12177" s="760"/>
      <c r="D12177" s="760"/>
      <c r="E12177" s="760"/>
      <c r="F12177" s="760"/>
      <c r="G12177" s="760"/>
      <c r="H12177" s="760"/>
      <c r="I12177" s="760"/>
      <c r="J12177" s="760"/>
      <c r="K12177" s="760"/>
    </row>
    <row r="12178" spans="1:11">
      <c r="A12178" s="760"/>
      <c r="B12178" s="760"/>
      <c r="C12178" s="760"/>
      <c r="D12178" s="760"/>
      <c r="E12178" s="760"/>
      <c r="F12178" s="760"/>
      <c r="G12178" s="760"/>
      <c r="H12178" s="760"/>
      <c r="I12178" s="760"/>
      <c r="J12178" s="760"/>
      <c r="K12178" s="760"/>
    </row>
    <row r="12179" spans="1:11">
      <c r="A12179" s="760"/>
      <c r="B12179" s="760"/>
      <c r="C12179" s="760"/>
      <c r="D12179" s="760"/>
      <c r="E12179" s="760"/>
      <c r="F12179" s="760"/>
      <c r="G12179" s="760"/>
      <c r="H12179" s="760"/>
      <c r="I12179" s="760"/>
      <c r="J12179" s="760"/>
      <c r="K12179" s="760"/>
    </row>
    <row r="12180" spans="1:11">
      <c r="A12180" s="760"/>
      <c r="B12180" s="760"/>
      <c r="C12180" s="760"/>
      <c r="D12180" s="760"/>
      <c r="E12180" s="760"/>
      <c r="F12180" s="760"/>
      <c r="G12180" s="760"/>
      <c r="H12180" s="760"/>
      <c r="I12180" s="760"/>
      <c r="J12180" s="760"/>
      <c r="K12180" s="760"/>
    </row>
    <row r="12181" spans="1:11">
      <c r="A12181" s="760"/>
      <c r="B12181" s="760"/>
      <c r="C12181" s="760"/>
      <c r="D12181" s="760"/>
      <c r="E12181" s="760"/>
      <c r="F12181" s="760"/>
      <c r="G12181" s="760"/>
      <c r="H12181" s="760"/>
      <c r="I12181" s="760"/>
      <c r="J12181" s="760"/>
      <c r="K12181" s="760"/>
    </row>
    <row r="12182" spans="1:11">
      <c r="A12182" s="760"/>
      <c r="B12182" s="760"/>
      <c r="C12182" s="760"/>
      <c r="D12182" s="760"/>
      <c r="E12182" s="760"/>
      <c r="F12182" s="760"/>
      <c r="G12182" s="760"/>
      <c r="H12182" s="760"/>
      <c r="I12182" s="760"/>
      <c r="J12182" s="760"/>
      <c r="K12182" s="760"/>
    </row>
    <row r="12183" spans="1:11">
      <c r="A12183" s="760"/>
      <c r="B12183" s="760"/>
      <c r="C12183" s="760"/>
      <c r="D12183" s="760"/>
      <c r="E12183" s="760"/>
      <c r="F12183" s="760"/>
      <c r="G12183" s="760"/>
      <c r="H12183" s="760"/>
      <c r="I12183" s="760"/>
      <c r="J12183" s="760"/>
      <c r="K12183" s="760"/>
    </row>
    <row r="12184" spans="1:11">
      <c r="A12184" s="760"/>
      <c r="B12184" s="760"/>
      <c r="C12184" s="760"/>
      <c r="D12184" s="760"/>
      <c r="E12184" s="760"/>
      <c r="F12184" s="760"/>
      <c r="G12184" s="760"/>
      <c r="H12184" s="760"/>
      <c r="I12184" s="760"/>
      <c r="J12184" s="760"/>
      <c r="K12184" s="760"/>
    </row>
    <row r="12185" spans="1:11">
      <c r="A12185" s="760"/>
      <c r="B12185" s="760"/>
      <c r="C12185" s="760"/>
      <c r="D12185" s="760"/>
      <c r="E12185" s="760"/>
      <c r="F12185" s="760"/>
      <c r="G12185" s="760"/>
      <c r="H12185" s="760"/>
      <c r="I12185" s="760"/>
      <c r="J12185" s="760"/>
      <c r="K12185" s="760"/>
    </row>
    <row r="12186" spans="1:11">
      <c r="A12186" s="760"/>
      <c r="B12186" s="760"/>
      <c r="C12186" s="760"/>
      <c r="D12186" s="760"/>
      <c r="E12186" s="760"/>
      <c r="F12186" s="760"/>
      <c r="G12186" s="760"/>
      <c r="H12186" s="760"/>
      <c r="I12186" s="760"/>
      <c r="J12186" s="760"/>
      <c r="K12186" s="760"/>
    </row>
    <row r="12187" spans="1:11">
      <c r="A12187" s="760"/>
      <c r="B12187" s="760"/>
      <c r="C12187" s="760"/>
      <c r="D12187" s="760"/>
      <c r="E12187" s="760"/>
      <c r="F12187" s="760"/>
      <c r="G12187" s="760"/>
      <c r="H12187" s="760"/>
      <c r="I12187" s="760"/>
      <c r="J12187" s="760"/>
      <c r="K12187" s="760"/>
    </row>
    <row r="12188" spans="1:11">
      <c r="A12188" s="760"/>
      <c r="B12188" s="760"/>
      <c r="C12188" s="760"/>
      <c r="D12188" s="760"/>
      <c r="E12188" s="760"/>
      <c r="F12188" s="760"/>
      <c r="G12188" s="760"/>
      <c r="H12188" s="760"/>
      <c r="I12188" s="760"/>
      <c r="J12188" s="760"/>
      <c r="K12188" s="760"/>
    </row>
    <row r="12189" spans="1:11">
      <c r="A12189" s="760"/>
      <c r="B12189" s="760"/>
      <c r="C12189" s="760"/>
      <c r="D12189" s="760"/>
      <c r="E12189" s="760"/>
      <c r="F12189" s="760"/>
      <c r="G12189" s="760"/>
      <c r="H12189" s="760"/>
      <c r="I12189" s="760"/>
      <c r="J12189" s="760"/>
      <c r="K12189" s="760"/>
    </row>
    <row r="12190" spans="1:11">
      <c r="A12190" s="760"/>
      <c r="B12190" s="760"/>
      <c r="C12190" s="760"/>
      <c r="D12190" s="760"/>
      <c r="E12190" s="760"/>
      <c r="F12190" s="760"/>
      <c r="G12190" s="760"/>
      <c r="H12190" s="760"/>
      <c r="I12190" s="760"/>
      <c r="J12190" s="760"/>
      <c r="K12190" s="760"/>
    </row>
    <row r="12191" spans="1:11">
      <c r="A12191" s="760"/>
      <c r="B12191" s="760"/>
      <c r="C12191" s="760"/>
      <c r="D12191" s="760"/>
      <c r="E12191" s="760"/>
      <c r="F12191" s="760"/>
      <c r="G12191" s="760"/>
      <c r="H12191" s="760"/>
      <c r="I12191" s="760"/>
      <c r="J12191" s="760"/>
      <c r="K12191" s="760"/>
    </row>
    <row r="12192" spans="1:11">
      <c r="A12192" s="760"/>
      <c r="B12192" s="760"/>
      <c r="C12192" s="760"/>
      <c r="D12192" s="760"/>
      <c r="E12192" s="760"/>
      <c r="F12192" s="760"/>
      <c r="G12192" s="760"/>
      <c r="H12192" s="760"/>
      <c r="I12192" s="760"/>
      <c r="J12192" s="760"/>
      <c r="K12192" s="760"/>
    </row>
    <row r="12193" spans="1:11">
      <c r="A12193" s="760"/>
      <c r="B12193" s="760"/>
      <c r="C12193" s="760"/>
      <c r="D12193" s="760"/>
      <c r="E12193" s="760"/>
      <c r="F12193" s="760"/>
      <c r="G12193" s="760"/>
      <c r="H12193" s="760"/>
      <c r="I12193" s="760"/>
      <c r="J12193" s="760"/>
      <c r="K12193" s="760"/>
    </row>
    <row r="12194" spans="1:11">
      <c r="A12194" s="760"/>
      <c r="B12194" s="760"/>
      <c r="C12194" s="760"/>
      <c r="D12194" s="760"/>
      <c r="E12194" s="760"/>
      <c r="F12194" s="760"/>
      <c r="G12194" s="760"/>
      <c r="H12194" s="760"/>
      <c r="I12194" s="760"/>
      <c r="J12194" s="760"/>
      <c r="K12194" s="760"/>
    </row>
    <row r="12195" spans="1:11">
      <c r="A12195" s="760"/>
      <c r="B12195" s="760"/>
      <c r="C12195" s="760"/>
      <c r="D12195" s="760"/>
      <c r="E12195" s="760"/>
      <c r="F12195" s="760"/>
      <c r="G12195" s="760"/>
      <c r="H12195" s="760"/>
      <c r="I12195" s="760"/>
      <c r="J12195" s="760"/>
      <c r="K12195" s="760"/>
    </row>
    <row r="12196" spans="1:11">
      <c r="A12196" s="760"/>
      <c r="B12196" s="760"/>
      <c r="C12196" s="760"/>
      <c r="D12196" s="760"/>
      <c r="E12196" s="760"/>
      <c r="F12196" s="760"/>
      <c r="G12196" s="760"/>
      <c r="H12196" s="760"/>
      <c r="I12196" s="760"/>
      <c r="J12196" s="760"/>
      <c r="K12196" s="760"/>
    </row>
    <row r="12197" spans="1:11">
      <c r="A12197" s="760"/>
      <c r="B12197" s="760"/>
      <c r="C12197" s="760"/>
      <c r="D12197" s="760"/>
      <c r="E12197" s="760"/>
      <c r="F12197" s="760"/>
      <c r="G12197" s="760"/>
      <c r="H12197" s="760"/>
      <c r="I12197" s="760"/>
      <c r="J12197" s="760"/>
      <c r="K12197" s="760"/>
    </row>
    <row r="12198" spans="1:11">
      <c r="A12198" s="760"/>
      <c r="B12198" s="760"/>
      <c r="C12198" s="760"/>
      <c r="D12198" s="760"/>
      <c r="E12198" s="760"/>
      <c r="F12198" s="760"/>
      <c r="G12198" s="760"/>
      <c r="H12198" s="760"/>
      <c r="I12198" s="760"/>
      <c r="J12198" s="760"/>
      <c r="K12198" s="760"/>
    </row>
    <row r="12199" spans="1:11">
      <c r="A12199" s="760"/>
      <c r="B12199" s="760"/>
      <c r="C12199" s="760"/>
      <c r="D12199" s="760"/>
      <c r="E12199" s="760"/>
      <c r="F12199" s="760"/>
      <c r="G12199" s="760"/>
      <c r="H12199" s="760"/>
      <c r="I12199" s="760"/>
      <c r="J12199" s="760"/>
      <c r="K12199" s="760"/>
    </row>
    <row r="12200" spans="1:11">
      <c r="A12200" s="760"/>
      <c r="B12200" s="760"/>
      <c r="C12200" s="760"/>
      <c r="D12200" s="760"/>
      <c r="E12200" s="760"/>
      <c r="F12200" s="760"/>
      <c r="G12200" s="760"/>
      <c r="H12200" s="760"/>
      <c r="I12200" s="760"/>
      <c r="J12200" s="760"/>
      <c r="K12200" s="760"/>
    </row>
    <row r="12201" spans="1:11">
      <c r="A12201" s="760"/>
      <c r="B12201" s="760"/>
      <c r="C12201" s="760"/>
      <c r="D12201" s="760"/>
      <c r="E12201" s="760"/>
      <c r="F12201" s="760"/>
      <c r="G12201" s="760"/>
      <c r="H12201" s="760"/>
      <c r="I12201" s="760"/>
      <c r="J12201" s="760"/>
      <c r="K12201" s="760"/>
    </row>
    <row r="12202" spans="1:11">
      <c r="A12202" s="760"/>
      <c r="B12202" s="760"/>
      <c r="C12202" s="760"/>
      <c r="D12202" s="760"/>
      <c r="E12202" s="760"/>
      <c r="F12202" s="760"/>
      <c r="G12202" s="760"/>
      <c r="H12202" s="760"/>
      <c r="I12202" s="760"/>
      <c r="J12202" s="760"/>
      <c r="K12202" s="760"/>
    </row>
    <row r="12203" spans="1:11">
      <c r="A12203" s="760"/>
      <c r="B12203" s="760"/>
      <c r="C12203" s="760"/>
      <c r="D12203" s="760"/>
      <c r="E12203" s="760"/>
      <c r="F12203" s="760"/>
      <c r="G12203" s="760"/>
      <c r="H12203" s="760"/>
      <c r="I12203" s="760"/>
      <c r="J12203" s="760"/>
      <c r="K12203" s="760"/>
    </row>
    <row r="12204" spans="1:11">
      <c r="A12204" s="760"/>
      <c r="B12204" s="760"/>
      <c r="C12204" s="760"/>
      <c r="D12204" s="760"/>
      <c r="E12204" s="760"/>
      <c r="F12204" s="760"/>
      <c r="G12204" s="760"/>
      <c r="H12204" s="760"/>
      <c r="I12204" s="760"/>
      <c r="J12204" s="760"/>
      <c r="K12204" s="760"/>
    </row>
    <row r="12205" spans="1:11">
      <c r="A12205" s="760"/>
      <c r="B12205" s="760"/>
      <c r="C12205" s="760"/>
      <c r="D12205" s="760"/>
      <c r="E12205" s="760"/>
      <c r="F12205" s="760"/>
      <c r="G12205" s="760"/>
      <c r="H12205" s="760"/>
      <c r="I12205" s="760"/>
      <c r="J12205" s="760"/>
      <c r="K12205" s="760"/>
    </row>
    <row r="12206" spans="1:11">
      <c r="A12206" s="760"/>
      <c r="B12206" s="760"/>
      <c r="C12206" s="760"/>
      <c r="D12206" s="760"/>
      <c r="E12206" s="760"/>
      <c r="F12206" s="760"/>
      <c r="G12206" s="760"/>
      <c r="H12206" s="760"/>
      <c r="I12206" s="760"/>
      <c r="J12206" s="760"/>
      <c r="K12206" s="760"/>
    </row>
    <row r="12207" spans="1:11">
      <c r="A12207" s="760"/>
      <c r="B12207" s="760"/>
      <c r="C12207" s="760"/>
      <c r="D12207" s="760"/>
      <c r="E12207" s="760"/>
      <c r="F12207" s="760"/>
      <c r="G12207" s="760"/>
      <c r="H12207" s="760"/>
      <c r="I12207" s="760"/>
      <c r="J12207" s="760"/>
      <c r="K12207" s="760"/>
    </row>
    <row r="12208" spans="1:11">
      <c r="A12208" s="760"/>
      <c r="B12208" s="760"/>
      <c r="C12208" s="760"/>
      <c r="D12208" s="760"/>
      <c r="E12208" s="760"/>
      <c r="F12208" s="760"/>
      <c r="G12208" s="760"/>
      <c r="H12208" s="760"/>
      <c r="I12208" s="760"/>
      <c r="J12208" s="760"/>
      <c r="K12208" s="760"/>
    </row>
    <row r="12209" spans="1:11">
      <c r="A12209" s="760"/>
      <c r="B12209" s="760"/>
      <c r="C12209" s="760"/>
      <c r="D12209" s="760"/>
      <c r="E12209" s="760"/>
      <c r="F12209" s="760"/>
      <c r="G12209" s="760"/>
      <c r="H12209" s="760"/>
      <c r="I12209" s="760"/>
      <c r="J12209" s="760"/>
      <c r="K12209" s="760"/>
    </row>
    <row r="12210" spans="1:11">
      <c r="A12210" s="760"/>
      <c r="B12210" s="760"/>
      <c r="C12210" s="760"/>
      <c r="D12210" s="760"/>
      <c r="E12210" s="760"/>
      <c r="F12210" s="760"/>
      <c r="G12210" s="760"/>
      <c r="H12210" s="760"/>
      <c r="I12210" s="760"/>
      <c r="J12210" s="760"/>
      <c r="K12210" s="760"/>
    </row>
    <row r="12211" spans="1:11">
      <c r="A12211" s="760"/>
      <c r="B12211" s="760"/>
      <c r="C12211" s="760"/>
      <c r="D12211" s="760"/>
      <c r="E12211" s="760"/>
      <c r="F12211" s="760"/>
      <c r="G12211" s="760"/>
      <c r="H12211" s="760"/>
      <c r="I12211" s="760"/>
      <c r="J12211" s="760"/>
      <c r="K12211" s="760"/>
    </row>
    <row r="12212" spans="1:11">
      <c r="A12212" s="760"/>
      <c r="B12212" s="760"/>
      <c r="C12212" s="760"/>
      <c r="D12212" s="760"/>
      <c r="E12212" s="760"/>
      <c r="F12212" s="760"/>
      <c r="G12212" s="760"/>
      <c r="H12212" s="760"/>
      <c r="I12212" s="760"/>
      <c r="J12212" s="760"/>
      <c r="K12212" s="760"/>
    </row>
    <row r="12213" spans="1:11">
      <c r="A12213" s="760"/>
      <c r="B12213" s="760"/>
      <c r="C12213" s="760"/>
      <c r="D12213" s="760"/>
      <c r="E12213" s="760"/>
      <c r="F12213" s="760"/>
      <c r="G12213" s="760"/>
      <c r="H12213" s="760"/>
      <c r="I12213" s="760"/>
      <c r="J12213" s="760"/>
      <c r="K12213" s="760"/>
    </row>
    <row r="12214" spans="1:11">
      <c r="A12214" s="760"/>
      <c r="B12214" s="760"/>
      <c r="C12214" s="760"/>
      <c r="D12214" s="760"/>
      <c r="E12214" s="760"/>
      <c r="F12214" s="760"/>
      <c r="G12214" s="760"/>
      <c r="H12214" s="760"/>
      <c r="I12214" s="760"/>
      <c r="J12214" s="760"/>
      <c r="K12214" s="760"/>
    </row>
    <row r="12215" spans="1:11">
      <c r="A12215" s="760"/>
      <c r="B12215" s="760"/>
      <c r="C12215" s="760"/>
      <c r="D12215" s="760"/>
      <c r="E12215" s="760"/>
      <c r="F12215" s="760"/>
      <c r="G12215" s="760"/>
      <c r="H12215" s="760"/>
      <c r="I12215" s="760"/>
      <c r="J12215" s="760"/>
      <c r="K12215" s="760"/>
    </row>
    <row r="12216" spans="1:11">
      <c r="A12216" s="760"/>
      <c r="B12216" s="760"/>
      <c r="C12216" s="760"/>
      <c r="D12216" s="760"/>
      <c r="E12216" s="760"/>
      <c r="F12216" s="760"/>
      <c r="G12216" s="760"/>
      <c r="H12216" s="760"/>
      <c r="I12216" s="760"/>
      <c r="J12216" s="760"/>
      <c r="K12216" s="760"/>
    </row>
    <row r="12217" spans="1:11">
      <c r="A12217" s="760"/>
      <c r="B12217" s="760"/>
      <c r="C12217" s="760"/>
      <c r="D12217" s="760"/>
      <c r="E12217" s="760"/>
      <c r="F12217" s="760"/>
      <c r="G12217" s="760"/>
      <c r="H12217" s="760"/>
      <c r="I12217" s="760"/>
      <c r="J12217" s="760"/>
      <c r="K12217" s="760"/>
    </row>
    <row r="12218" spans="1:11">
      <c r="A12218" s="760"/>
      <c r="B12218" s="760"/>
      <c r="C12218" s="760"/>
      <c r="D12218" s="760"/>
      <c r="E12218" s="760"/>
      <c r="F12218" s="760"/>
      <c r="G12218" s="760"/>
      <c r="H12218" s="760"/>
      <c r="I12218" s="760"/>
      <c r="J12218" s="760"/>
      <c r="K12218" s="760"/>
    </row>
    <row r="12219" spans="1:11">
      <c r="A12219" s="760"/>
      <c r="B12219" s="760"/>
      <c r="C12219" s="760"/>
      <c r="D12219" s="760"/>
      <c r="E12219" s="760"/>
      <c r="F12219" s="760"/>
      <c r="G12219" s="760"/>
      <c r="H12219" s="760"/>
      <c r="I12219" s="760"/>
      <c r="J12219" s="760"/>
      <c r="K12219" s="760"/>
    </row>
    <row r="12220" spans="1:11">
      <c r="A12220" s="760"/>
      <c r="B12220" s="760"/>
      <c r="C12220" s="760"/>
      <c r="D12220" s="760"/>
      <c r="E12220" s="760"/>
      <c r="F12220" s="760"/>
      <c r="G12220" s="760"/>
      <c r="H12220" s="760"/>
      <c r="I12220" s="760"/>
      <c r="J12220" s="760"/>
      <c r="K12220" s="760"/>
    </row>
    <row r="12221" spans="1:11">
      <c r="A12221" s="760"/>
      <c r="B12221" s="760"/>
      <c r="C12221" s="760"/>
      <c r="D12221" s="760"/>
      <c r="E12221" s="760"/>
      <c r="F12221" s="760"/>
      <c r="G12221" s="760"/>
      <c r="H12221" s="760"/>
      <c r="I12221" s="760"/>
      <c r="J12221" s="760"/>
      <c r="K12221" s="760"/>
    </row>
    <row r="12222" spans="1:11">
      <c r="A12222" s="760"/>
      <c r="B12222" s="760"/>
      <c r="C12222" s="760"/>
      <c r="D12222" s="760"/>
      <c r="E12222" s="760"/>
      <c r="F12222" s="760"/>
      <c r="G12222" s="760"/>
      <c r="H12222" s="760"/>
      <c r="I12222" s="760"/>
      <c r="J12222" s="760"/>
      <c r="K12222" s="760"/>
    </row>
    <row r="12223" spans="1:11">
      <c r="A12223" s="760"/>
      <c r="B12223" s="760"/>
      <c r="C12223" s="760"/>
      <c r="D12223" s="760"/>
      <c r="E12223" s="760"/>
      <c r="F12223" s="760"/>
      <c r="G12223" s="760"/>
      <c r="H12223" s="760"/>
      <c r="I12223" s="760"/>
      <c r="J12223" s="760"/>
      <c r="K12223" s="760"/>
    </row>
    <row r="12224" spans="1:11">
      <c r="A12224" s="760"/>
      <c r="B12224" s="760"/>
      <c r="C12224" s="760"/>
      <c r="D12224" s="760"/>
      <c r="E12224" s="760"/>
      <c r="F12224" s="760"/>
      <c r="G12224" s="760"/>
      <c r="H12224" s="760"/>
      <c r="I12224" s="760"/>
      <c r="J12224" s="760"/>
      <c r="K12224" s="760"/>
    </row>
    <row r="12225" spans="1:11">
      <c r="A12225" s="760"/>
      <c r="B12225" s="760"/>
      <c r="C12225" s="760"/>
      <c r="D12225" s="760"/>
      <c r="E12225" s="760"/>
      <c r="F12225" s="760"/>
      <c r="G12225" s="760"/>
      <c r="H12225" s="760"/>
      <c r="I12225" s="760"/>
      <c r="J12225" s="760"/>
      <c r="K12225" s="760"/>
    </row>
    <row r="12226" spans="1:11">
      <c r="A12226" s="760"/>
      <c r="B12226" s="760"/>
      <c r="C12226" s="760"/>
      <c r="D12226" s="760"/>
      <c r="E12226" s="760"/>
      <c r="F12226" s="760"/>
      <c r="G12226" s="760"/>
      <c r="H12226" s="760"/>
      <c r="I12226" s="760"/>
      <c r="J12226" s="760"/>
      <c r="K12226" s="760"/>
    </row>
    <row r="12227" spans="1:11">
      <c r="A12227" s="760"/>
      <c r="B12227" s="760"/>
      <c r="C12227" s="760"/>
      <c r="D12227" s="760"/>
      <c r="E12227" s="760"/>
      <c r="F12227" s="760"/>
      <c r="G12227" s="760"/>
      <c r="H12227" s="760"/>
      <c r="I12227" s="760"/>
      <c r="J12227" s="760"/>
      <c r="K12227" s="760"/>
    </row>
    <row r="12228" spans="1:11">
      <c r="A12228" s="760"/>
      <c r="B12228" s="760"/>
      <c r="C12228" s="760"/>
      <c r="D12228" s="760"/>
      <c r="E12228" s="760"/>
      <c r="F12228" s="760"/>
      <c r="G12228" s="760"/>
      <c r="H12228" s="760"/>
      <c r="I12228" s="760"/>
      <c r="J12228" s="760"/>
      <c r="K12228" s="760"/>
    </row>
    <row r="12229" spans="1:11">
      <c r="A12229" s="760"/>
      <c r="B12229" s="760"/>
      <c r="C12229" s="760"/>
      <c r="D12229" s="760"/>
      <c r="E12229" s="760"/>
      <c r="F12229" s="760"/>
      <c r="G12229" s="760"/>
      <c r="H12229" s="760"/>
      <c r="I12229" s="760"/>
      <c r="J12229" s="760"/>
      <c r="K12229" s="760"/>
    </row>
    <row r="12230" spans="1:11">
      <c r="A12230" s="760"/>
      <c r="B12230" s="760"/>
      <c r="C12230" s="760"/>
      <c r="D12230" s="760"/>
      <c r="E12230" s="760"/>
      <c r="F12230" s="760"/>
      <c r="G12230" s="760"/>
      <c r="H12230" s="760"/>
      <c r="I12230" s="760"/>
      <c r="J12230" s="760"/>
      <c r="K12230" s="760"/>
    </row>
    <row r="12231" spans="1:11">
      <c r="A12231" s="760"/>
      <c r="B12231" s="760"/>
      <c r="C12231" s="760"/>
      <c r="D12231" s="760"/>
      <c r="E12231" s="760"/>
      <c r="F12231" s="760"/>
      <c r="G12231" s="760"/>
      <c r="H12231" s="760"/>
      <c r="I12231" s="760"/>
      <c r="J12231" s="760"/>
      <c r="K12231" s="760"/>
    </row>
    <row r="12232" spans="1:11">
      <c r="A12232" s="760"/>
      <c r="B12232" s="760"/>
      <c r="C12232" s="760"/>
      <c r="D12232" s="760"/>
      <c r="E12232" s="760"/>
      <c r="F12232" s="760"/>
      <c r="G12232" s="760"/>
      <c r="H12232" s="760"/>
      <c r="I12232" s="760"/>
      <c r="J12232" s="760"/>
      <c r="K12232" s="760"/>
    </row>
    <row r="12233" spans="1:11">
      <c r="A12233" s="760"/>
      <c r="B12233" s="760"/>
      <c r="C12233" s="760"/>
      <c r="D12233" s="760"/>
      <c r="E12233" s="760"/>
      <c r="F12233" s="760"/>
      <c r="G12233" s="760"/>
      <c r="H12233" s="760"/>
      <c r="I12233" s="760"/>
      <c r="J12233" s="760"/>
      <c r="K12233" s="760"/>
    </row>
    <row r="12234" spans="1:11">
      <c r="A12234" s="760"/>
      <c r="B12234" s="760"/>
      <c r="C12234" s="760"/>
      <c r="D12234" s="760"/>
      <c r="E12234" s="760"/>
      <c r="F12234" s="760"/>
      <c r="G12234" s="760"/>
      <c r="H12234" s="760"/>
      <c r="I12234" s="760"/>
      <c r="J12234" s="760"/>
      <c r="K12234" s="760"/>
    </row>
    <row r="12235" spans="1:11">
      <c r="A12235" s="760"/>
      <c r="B12235" s="760"/>
      <c r="C12235" s="760"/>
      <c r="D12235" s="760"/>
      <c r="E12235" s="760"/>
      <c r="F12235" s="760"/>
      <c r="G12235" s="760"/>
      <c r="H12235" s="760"/>
      <c r="I12235" s="760"/>
      <c r="J12235" s="760"/>
      <c r="K12235" s="760"/>
    </row>
    <row r="12236" spans="1:11">
      <c r="A12236" s="760"/>
      <c r="B12236" s="760"/>
      <c r="C12236" s="760"/>
      <c r="D12236" s="760"/>
      <c r="E12236" s="760"/>
      <c r="F12236" s="760"/>
      <c r="G12236" s="760"/>
      <c r="H12236" s="760"/>
      <c r="I12236" s="760"/>
      <c r="J12236" s="760"/>
      <c r="K12236" s="760"/>
    </row>
    <row r="12237" spans="1:11">
      <c r="A12237" s="760"/>
      <c r="B12237" s="760"/>
      <c r="C12237" s="760"/>
      <c r="D12237" s="760"/>
      <c r="E12237" s="760"/>
      <c r="F12237" s="760"/>
      <c r="G12237" s="760"/>
      <c r="H12237" s="760"/>
      <c r="I12237" s="760"/>
      <c r="J12237" s="760"/>
      <c r="K12237" s="760"/>
    </row>
    <row r="12238" spans="1:11">
      <c r="A12238" s="760"/>
      <c r="B12238" s="760"/>
      <c r="C12238" s="760"/>
      <c r="D12238" s="760"/>
      <c r="E12238" s="760"/>
      <c r="F12238" s="760"/>
      <c r="G12238" s="760"/>
      <c r="H12238" s="760"/>
      <c r="I12238" s="760"/>
      <c r="J12238" s="760"/>
      <c r="K12238" s="760"/>
    </row>
    <row r="12239" spans="1:11">
      <c r="A12239" s="760"/>
      <c r="B12239" s="760"/>
      <c r="C12239" s="760"/>
      <c r="D12239" s="760"/>
      <c r="E12239" s="760"/>
      <c r="F12239" s="760"/>
      <c r="G12239" s="760"/>
      <c r="H12239" s="760"/>
      <c r="I12239" s="760"/>
      <c r="J12239" s="760"/>
      <c r="K12239" s="760"/>
    </row>
    <row r="12240" spans="1:11">
      <c r="A12240" s="760"/>
      <c r="B12240" s="760"/>
      <c r="C12240" s="760"/>
      <c r="D12240" s="760"/>
      <c r="E12240" s="760"/>
      <c r="F12240" s="760"/>
      <c r="G12240" s="760"/>
      <c r="H12240" s="760"/>
      <c r="I12240" s="760"/>
      <c r="J12240" s="760"/>
      <c r="K12240" s="760"/>
    </row>
    <row r="12241" spans="1:11">
      <c r="A12241" s="760"/>
      <c r="B12241" s="760"/>
      <c r="C12241" s="760"/>
      <c r="D12241" s="760"/>
      <c r="E12241" s="760"/>
      <c r="F12241" s="760"/>
      <c r="G12241" s="760"/>
      <c r="H12241" s="760"/>
      <c r="I12241" s="760"/>
      <c r="J12241" s="760"/>
      <c r="K12241" s="760"/>
    </row>
    <row r="12242" spans="1:11">
      <c r="A12242" s="760"/>
      <c r="B12242" s="760"/>
      <c r="C12242" s="760"/>
      <c r="D12242" s="760"/>
      <c r="E12242" s="760"/>
      <c r="F12242" s="760"/>
      <c r="G12242" s="760"/>
      <c r="H12242" s="760"/>
      <c r="I12242" s="760"/>
      <c r="J12242" s="760"/>
      <c r="K12242" s="760"/>
    </row>
    <row r="12243" spans="1:11">
      <c r="A12243" s="760"/>
      <c r="B12243" s="760"/>
      <c r="C12243" s="760"/>
      <c r="D12243" s="760"/>
      <c r="E12243" s="760"/>
      <c r="F12243" s="760"/>
      <c r="G12243" s="760"/>
      <c r="H12243" s="760"/>
      <c r="I12243" s="760"/>
      <c r="J12243" s="760"/>
      <c r="K12243" s="760"/>
    </row>
    <row r="12244" spans="1:11">
      <c r="A12244" s="760"/>
      <c r="B12244" s="760"/>
      <c r="C12244" s="760"/>
      <c r="D12244" s="760"/>
      <c r="E12244" s="760"/>
      <c r="F12244" s="760"/>
      <c r="G12244" s="760"/>
      <c r="H12244" s="760"/>
      <c r="I12244" s="760"/>
      <c r="J12244" s="760"/>
      <c r="K12244" s="760"/>
    </row>
    <row r="12245" spans="1:11">
      <c r="A12245" s="760"/>
      <c r="B12245" s="760"/>
      <c r="C12245" s="760"/>
      <c r="D12245" s="760"/>
      <c r="E12245" s="760"/>
      <c r="F12245" s="760"/>
      <c r="G12245" s="760"/>
      <c r="H12245" s="760"/>
      <c r="I12245" s="760"/>
      <c r="J12245" s="760"/>
      <c r="K12245" s="760"/>
    </row>
    <row r="12246" spans="1:11">
      <c r="A12246" s="760"/>
      <c r="B12246" s="760"/>
      <c r="C12246" s="760"/>
      <c r="D12246" s="760"/>
      <c r="E12246" s="760"/>
      <c r="F12246" s="760"/>
      <c r="G12246" s="760"/>
      <c r="H12246" s="760"/>
      <c r="I12246" s="760"/>
      <c r="J12246" s="760"/>
      <c r="K12246" s="760"/>
    </row>
    <row r="12247" spans="1:11">
      <c r="A12247" s="760"/>
      <c r="B12247" s="760"/>
      <c r="C12247" s="760"/>
      <c r="D12247" s="760"/>
      <c r="E12247" s="760"/>
      <c r="F12247" s="760"/>
      <c r="G12247" s="760"/>
      <c r="H12247" s="760"/>
      <c r="I12247" s="760"/>
      <c r="J12247" s="760"/>
      <c r="K12247" s="760"/>
    </row>
    <row r="12248" spans="1:11">
      <c r="A12248" s="760"/>
      <c r="B12248" s="760"/>
      <c r="C12248" s="760"/>
      <c r="D12248" s="760"/>
      <c r="E12248" s="760"/>
      <c r="F12248" s="760"/>
      <c r="G12248" s="760"/>
      <c r="H12248" s="760"/>
      <c r="I12248" s="760"/>
      <c r="J12248" s="760"/>
      <c r="K12248" s="760"/>
    </row>
    <row r="12249" spans="1:11">
      <c r="A12249" s="760"/>
      <c r="B12249" s="760"/>
      <c r="C12249" s="760"/>
      <c r="D12249" s="760"/>
      <c r="E12249" s="760"/>
      <c r="F12249" s="760"/>
      <c r="G12249" s="760"/>
      <c r="H12249" s="760"/>
      <c r="I12249" s="760"/>
      <c r="J12249" s="760"/>
      <c r="K12249" s="760"/>
    </row>
    <row r="12250" spans="1:11">
      <c r="A12250" s="760"/>
      <c r="B12250" s="760"/>
      <c r="C12250" s="760"/>
      <c r="D12250" s="760"/>
      <c r="E12250" s="760"/>
      <c r="F12250" s="760"/>
      <c r="G12250" s="760"/>
      <c r="H12250" s="760"/>
      <c r="I12250" s="760"/>
      <c r="J12250" s="760"/>
      <c r="K12250" s="760"/>
    </row>
    <row r="12251" spans="1:11">
      <c r="A12251" s="760"/>
      <c r="B12251" s="760"/>
      <c r="C12251" s="760"/>
      <c r="D12251" s="760"/>
      <c r="E12251" s="760"/>
      <c r="F12251" s="760"/>
      <c r="G12251" s="760"/>
      <c r="H12251" s="760"/>
      <c r="I12251" s="760"/>
      <c r="J12251" s="760"/>
      <c r="K12251" s="760"/>
    </row>
    <row r="12252" spans="1:11">
      <c r="A12252" s="760"/>
      <c r="B12252" s="760"/>
      <c r="C12252" s="760"/>
      <c r="D12252" s="760"/>
      <c r="E12252" s="760"/>
      <c r="F12252" s="760"/>
      <c r="G12252" s="760"/>
      <c r="H12252" s="760"/>
      <c r="I12252" s="760"/>
      <c r="J12252" s="760"/>
      <c r="K12252" s="760"/>
    </row>
    <row r="12253" spans="1:11">
      <c r="A12253" s="760"/>
      <c r="B12253" s="760"/>
      <c r="C12253" s="760"/>
      <c r="D12253" s="760"/>
      <c r="E12253" s="760"/>
      <c r="F12253" s="760"/>
      <c r="G12253" s="760"/>
      <c r="H12253" s="760"/>
      <c r="I12253" s="760"/>
      <c r="J12253" s="760"/>
      <c r="K12253" s="760"/>
    </row>
    <row r="12254" spans="1:11">
      <c r="A12254" s="760"/>
      <c r="B12254" s="760"/>
      <c r="C12254" s="760"/>
      <c r="D12254" s="760"/>
      <c r="E12254" s="760"/>
      <c r="F12254" s="760"/>
      <c r="G12254" s="760"/>
      <c r="H12254" s="760"/>
      <c r="I12254" s="760"/>
      <c r="J12254" s="760"/>
      <c r="K12254" s="760"/>
    </row>
    <row r="12255" spans="1:11">
      <c r="A12255" s="760"/>
      <c r="B12255" s="760"/>
      <c r="C12255" s="760"/>
      <c r="D12255" s="760"/>
      <c r="E12255" s="760"/>
      <c r="F12255" s="760"/>
      <c r="G12255" s="760"/>
      <c r="H12255" s="760"/>
      <c r="I12255" s="760"/>
      <c r="J12255" s="760"/>
      <c r="K12255" s="760"/>
    </row>
    <row r="12256" spans="1:11">
      <c r="A12256" s="760"/>
      <c r="B12256" s="760"/>
      <c r="C12256" s="760"/>
      <c r="D12256" s="760"/>
      <c r="E12256" s="760"/>
      <c r="F12256" s="760"/>
      <c r="G12256" s="760"/>
      <c r="H12256" s="760"/>
      <c r="I12256" s="760"/>
      <c r="J12256" s="760"/>
      <c r="K12256" s="760"/>
    </row>
    <row r="12257" spans="1:11">
      <c r="A12257" s="760"/>
      <c r="B12257" s="760"/>
      <c r="C12257" s="760"/>
      <c r="D12257" s="760"/>
      <c r="E12257" s="760"/>
      <c r="F12257" s="760"/>
      <c r="G12257" s="760"/>
      <c r="H12257" s="760"/>
      <c r="I12257" s="760"/>
      <c r="J12257" s="760"/>
      <c r="K12257" s="760"/>
    </row>
    <row r="12258" spans="1:11">
      <c r="A12258" s="760"/>
      <c r="B12258" s="760"/>
      <c r="C12258" s="760"/>
      <c r="D12258" s="760"/>
      <c r="E12258" s="760"/>
      <c r="F12258" s="760"/>
      <c r="G12258" s="760"/>
      <c r="H12258" s="760"/>
      <c r="I12258" s="760"/>
      <c r="J12258" s="760"/>
      <c r="K12258" s="760"/>
    </row>
    <row r="12259" spans="1:11">
      <c r="A12259" s="760"/>
      <c r="B12259" s="760"/>
      <c r="C12259" s="760"/>
      <c r="D12259" s="760"/>
      <c r="E12259" s="760"/>
      <c r="F12259" s="760"/>
      <c r="G12259" s="760"/>
      <c r="H12259" s="760"/>
      <c r="I12259" s="760"/>
      <c r="J12259" s="760"/>
      <c r="K12259" s="760"/>
    </row>
    <row r="12260" spans="1:11">
      <c r="A12260" s="760"/>
      <c r="B12260" s="760"/>
      <c r="C12260" s="760"/>
      <c r="D12260" s="760"/>
      <c r="E12260" s="760"/>
      <c r="F12260" s="760"/>
      <c r="G12260" s="760"/>
      <c r="H12260" s="760"/>
      <c r="I12260" s="760"/>
      <c r="J12260" s="760"/>
      <c r="K12260" s="760"/>
    </row>
    <row r="12261" spans="1:11">
      <c r="A12261" s="760"/>
      <c r="B12261" s="760"/>
      <c r="C12261" s="760"/>
      <c r="D12261" s="760"/>
      <c r="E12261" s="760"/>
      <c r="F12261" s="760"/>
      <c r="G12261" s="760"/>
      <c r="H12261" s="760"/>
      <c r="I12261" s="760"/>
      <c r="J12261" s="760"/>
      <c r="K12261" s="760"/>
    </row>
    <row r="12262" spans="1:11">
      <c r="A12262" s="760"/>
      <c r="B12262" s="760"/>
      <c r="C12262" s="760"/>
      <c r="D12262" s="760"/>
      <c r="E12262" s="760"/>
      <c r="F12262" s="760"/>
      <c r="G12262" s="760"/>
      <c r="H12262" s="760"/>
      <c r="I12262" s="760"/>
      <c r="J12262" s="760"/>
      <c r="K12262" s="760"/>
    </row>
    <row r="12263" spans="1:11">
      <c r="A12263" s="760"/>
      <c r="B12263" s="760"/>
      <c r="C12263" s="760"/>
      <c r="D12263" s="760"/>
      <c r="E12263" s="760"/>
      <c r="F12263" s="760"/>
      <c r="G12263" s="760"/>
      <c r="H12263" s="760"/>
      <c r="I12263" s="760"/>
      <c r="J12263" s="760"/>
      <c r="K12263" s="760"/>
    </row>
    <row r="12264" spans="1:11">
      <c r="A12264" s="760"/>
      <c r="B12264" s="760"/>
      <c r="C12264" s="760"/>
      <c r="D12264" s="760"/>
      <c r="E12264" s="760"/>
      <c r="F12264" s="760"/>
      <c r="G12264" s="760"/>
      <c r="H12264" s="760"/>
      <c r="I12264" s="760"/>
      <c r="J12264" s="760"/>
      <c r="K12264" s="760"/>
    </row>
    <row r="12265" spans="1:11">
      <c r="A12265" s="760"/>
      <c r="B12265" s="760"/>
      <c r="C12265" s="760"/>
      <c r="D12265" s="760"/>
      <c r="E12265" s="760"/>
      <c r="F12265" s="760"/>
      <c r="G12265" s="760"/>
      <c r="H12265" s="760"/>
      <c r="I12265" s="760"/>
      <c r="J12265" s="760"/>
      <c r="K12265" s="760"/>
    </row>
    <row r="12266" spans="1:11">
      <c r="A12266" s="760"/>
      <c r="B12266" s="760"/>
      <c r="C12266" s="760"/>
      <c r="D12266" s="760"/>
      <c r="E12266" s="760"/>
      <c r="F12266" s="760"/>
      <c r="G12266" s="760"/>
      <c r="H12266" s="760"/>
      <c r="I12266" s="760"/>
      <c r="J12266" s="760"/>
      <c r="K12266" s="760"/>
    </row>
    <row r="12267" spans="1:11">
      <c r="A12267" s="760"/>
      <c r="B12267" s="760"/>
      <c r="C12267" s="760"/>
      <c r="D12267" s="760"/>
      <c r="E12267" s="760"/>
      <c r="F12267" s="760"/>
      <c r="G12267" s="760"/>
      <c r="H12267" s="760"/>
      <c r="I12267" s="760"/>
      <c r="J12267" s="760"/>
      <c r="K12267" s="760"/>
    </row>
    <row r="12268" spans="1:11">
      <c r="A12268" s="760"/>
      <c r="B12268" s="760"/>
      <c r="C12268" s="760"/>
      <c r="D12268" s="760"/>
      <c r="E12268" s="760"/>
      <c r="F12268" s="760"/>
      <c r="G12268" s="760"/>
      <c r="H12268" s="760"/>
      <c r="I12268" s="760"/>
      <c r="J12268" s="760"/>
      <c r="K12268" s="760"/>
    </row>
    <row r="12269" spans="1:11">
      <c r="A12269" s="760"/>
      <c r="B12269" s="760"/>
      <c r="C12269" s="760"/>
      <c r="D12269" s="760"/>
      <c r="E12269" s="760"/>
      <c r="F12269" s="760"/>
      <c r="G12269" s="760"/>
      <c r="H12269" s="760"/>
      <c r="I12269" s="760"/>
      <c r="J12269" s="760"/>
      <c r="K12269" s="760"/>
    </row>
    <row r="12270" spans="1:11">
      <c r="A12270" s="760"/>
      <c r="B12270" s="760"/>
      <c r="C12270" s="760"/>
      <c r="D12270" s="760"/>
      <c r="E12270" s="760"/>
      <c r="F12270" s="760"/>
      <c r="G12270" s="760"/>
      <c r="H12270" s="760"/>
      <c r="I12270" s="760"/>
      <c r="J12270" s="760"/>
      <c r="K12270" s="760"/>
    </row>
    <row r="12271" spans="1:11">
      <c r="A12271" s="760"/>
      <c r="B12271" s="760"/>
      <c r="C12271" s="760"/>
      <c r="D12271" s="760"/>
      <c r="E12271" s="760"/>
      <c r="F12271" s="760"/>
      <c r="G12271" s="760"/>
      <c r="H12271" s="760"/>
      <c r="I12271" s="760"/>
      <c r="J12271" s="760"/>
      <c r="K12271" s="760"/>
    </row>
    <row r="12272" spans="1:11">
      <c r="A12272" s="760"/>
      <c r="B12272" s="760"/>
      <c r="C12272" s="760"/>
      <c r="D12272" s="760"/>
      <c r="E12272" s="760"/>
      <c r="F12272" s="760"/>
      <c r="G12272" s="760"/>
      <c r="H12272" s="760"/>
      <c r="I12272" s="760"/>
      <c r="J12272" s="760"/>
      <c r="K12272" s="760"/>
    </row>
    <row r="12273" spans="1:11">
      <c r="A12273" s="760"/>
      <c r="B12273" s="760"/>
      <c r="C12273" s="760"/>
      <c r="D12273" s="760"/>
      <c r="E12273" s="760"/>
      <c r="F12273" s="760"/>
      <c r="G12273" s="760"/>
      <c r="H12273" s="760"/>
      <c r="I12273" s="760"/>
      <c r="J12273" s="760"/>
      <c r="K12273" s="760"/>
    </row>
    <row r="12274" spans="1:11">
      <c r="A12274" s="760"/>
      <c r="B12274" s="760"/>
      <c r="C12274" s="760"/>
      <c r="D12274" s="760"/>
      <c r="E12274" s="760"/>
      <c r="F12274" s="760"/>
      <c r="G12274" s="760"/>
      <c r="H12274" s="760"/>
      <c r="I12274" s="760"/>
      <c r="J12274" s="760"/>
      <c r="K12274" s="760"/>
    </row>
    <row r="12275" spans="1:11">
      <c r="A12275" s="760"/>
      <c r="B12275" s="760"/>
      <c r="C12275" s="760"/>
      <c r="D12275" s="760"/>
      <c r="E12275" s="760"/>
      <c r="F12275" s="760"/>
      <c r="G12275" s="760"/>
      <c r="H12275" s="760"/>
      <c r="I12275" s="760"/>
      <c r="J12275" s="760"/>
      <c r="K12275" s="760"/>
    </row>
    <row r="12276" spans="1:11">
      <c r="A12276" s="760"/>
      <c r="B12276" s="760"/>
      <c r="C12276" s="760"/>
      <c r="D12276" s="760"/>
      <c r="E12276" s="760"/>
      <c r="F12276" s="760"/>
      <c r="G12276" s="760"/>
      <c r="H12276" s="760"/>
      <c r="I12276" s="760"/>
      <c r="J12276" s="760"/>
      <c r="K12276" s="760"/>
    </row>
    <row r="12277" spans="1:11">
      <c r="A12277" s="760"/>
      <c r="B12277" s="760"/>
      <c r="C12277" s="760"/>
      <c r="D12277" s="760"/>
      <c r="E12277" s="760"/>
      <c r="F12277" s="760"/>
      <c r="G12277" s="760"/>
      <c r="H12277" s="760"/>
      <c r="I12277" s="760"/>
      <c r="J12277" s="760"/>
      <c r="K12277" s="760"/>
    </row>
    <row r="12278" spans="1:11">
      <c r="A12278" s="760"/>
      <c r="B12278" s="760"/>
      <c r="C12278" s="760"/>
      <c r="D12278" s="760"/>
      <c r="E12278" s="760"/>
      <c r="F12278" s="760"/>
      <c r="G12278" s="760"/>
      <c r="H12278" s="760"/>
      <c r="I12278" s="760"/>
      <c r="J12278" s="760"/>
      <c r="K12278" s="760"/>
    </row>
    <row r="12279" spans="1:11">
      <c r="A12279" s="760"/>
      <c r="B12279" s="760"/>
      <c r="C12279" s="760"/>
      <c r="D12279" s="760"/>
      <c r="E12279" s="760"/>
      <c r="F12279" s="760"/>
      <c r="G12279" s="760"/>
      <c r="H12279" s="760"/>
      <c r="I12279" s="760"/>
      <c r="J12279" s="760"/>
      <c r="K12279" s="760"/>
    </row>
    <row r="12280" spans="1:11">
      <c r="A12280" s="760"/>
      <c r="B12280" s="760"/>
      <c r="C12280" s="760"/>
      <c r="D12280" s="760"/>
      <c r="E12280" s="760"/>
      <c r="F12280" s="760"/>
      <c r="G12280" s="760"/>
      <c r="H12280" s="760"/>
      <c r="I12280" s="760"/>
      <c r="J12280" s="760"/>
      <c r="K12280" s="760"/>
    </row>
    <row r="12281" spans="1:11">
      <c r="A12281" s="760"/>
      <c r="B12281" s="760"/>
      <c r="C12281" s="760"/>
      <c r="D12281" s="760"/>
      <c r="E12281" s="760"/>
      <c r="F12281" s="760"/>
      <c r="G12281" s="760"/>
      <c r="H12281" s="760"/>
      <c r="I12281" s="760"/>
      <c r="J12281" s="760"/>
      <c r="K12281" s="760"/>
    </row>
    <row r="12282" spans="1:11">
      <c r="A12282" s="760"/>
      <c r="B12282" s="760"/>
      <c r="C12282" s="760"/>
      <c r="D12282" s="760"/>
      <c r="E12282" s="760"/>
      <c r="F12282" s="760"/>
      <c r="G12282" s="760"/>
      <c r="H12282" s="760"/>
      <c r="I12282" s="760"/>
      <c r="J12282" s="760"/>
      <c r="K12282" s="760"/>
    </row>
    <row r="12283" spans="1:11">
      <c r="A12283" s="760"/>
      <c r="B12283" s="760"/>
      <c r="C12283" s="760"/>
      <c r="D12283" s="760"/>
      <c r="E12283" s="760"/>
      <c r="F12283" s="760"/>
      <c r="G12283" s="760"/>
      <c r="H12283" s="760"/>
      <c r="I12283" s="760"/>
      <c r="J12283" s="760"/>
      <c r="K12283" s="760"/>
    </row>
    <row r="12284" spans="1:11">
      <c r="A12284" s="760"/>
      <c r="B12284" s="760"/>
      <c r="C12284" s="760"/>
      <c r="D12284" s="760"/>
      <c r="E12284" s="760"/>
      <c r="F12284" s="760"/>
      <c r="G12284" s="760"/>
      <c r="H12284" s="760"/>
      <c r="I12284" s="760"/>
      <c r="J12284" s="760"/>
      <c r="K12284" s="760"/>
    </row>
    <row r="12285" spans="1:11">
      <c r="A12285" s="760"/>
      <c r="B12285" s="760"/>
      <c r="C12285" s="760"/>
      <c r="D12285" s="760"/>
      <c r="E12285" s="760"/>
      <c r="F12285" s="760"/>
      <c r="G12285" s="760"/>
      <c r="H12285" s="760"/>
      <c r="I12285" s="760"/>
      <c r="J12285" s="760"/>
      <c r="K12285" s="760"/>
    </row>
    <row r="12286" spans="1:11">
      <c r="A12286" s="760"/>
      <c r="B12286" s="760"/>
      <c r="C12286" s="760"/>
      <c r="D12286" s="760"/>
      <c r="E12286" s="760"/>
      <c r="F12286" s="760"/>
      <c r="G12286" s="760"/>
      <c r="H12286" s="760"/>
      <c r="I12286" s="760"/>
      <c r="J12286" s="760"/>
      <c r="K12286" s="760"/>
    </row>
    <row r="12287" spans="1:11">
      <c r="A12287" s="760"/>
      <c r="B12287" s="760"/>
      <c r="C12287" s="760"/>
      <c r="D12287" s="760"/>
      <c r="E12287" s="760"/>
      <c r="F12287" s="760"/>
      <c r="G12287" s="760"/>
      <c r="H12287" s="760"/>
      <c r="I12287" s="760"/>
      <c r="J12287" s="760"/>
      <c r="K12287" s="760"/>
    </row>
    <row r="12288" spans="1:11">
      <c r="A12288" s="760"/>
      <c r="B12288" s="760"/>
      <c r="C12288" s="760"/>
      <c r="D12288" s="760"/>
      <c r="E12288" s="760"/>
      <c r="F12288" s="760"/>
      <c r="G12288" s="760"/>
      <c r="H12288" s="760"/>
      <c r="I12288" s="760"/>
      <c r="J12288" s="760"/>
      <c r="K12288" s="760"/>
    </row>
    <row r="12289" spans="1:11">
      <c r="A12289" s="760"/>
      <c r="B12289" s="760"/>
      <c r="C12289" s="760"/>
      <c r="D12289" s="760"/>
      <c r="E12289" s="760"/>
      <c r="F12289" s="760"/>
      <c r="G12289" s="760"/>
      <c r="H12289" s="760"/>
      <c r="I12289" s="760"/>
      <c r="J12289" s="760"/>
      <c r="K12289" s="760"/>
    </row>
    <row r="12290" spans="1:11">
      <c r="A12290" s="760"/>
      <c r="B12290" s="760"/>
      <c r="C12290" s="760"/>
      <c r="D12290" s="760"/>
      <c r="E12290" s="760"/>
      <c r="F12290" s="760"/>
      <c r="G12290" s="760"/>
      <c r="H12290" s="760"/>
      <c r="I12290" s="760"/>
      <c r="J12290" s="760"/>
      <c r="K12290" s="760"/>
    </row>
    <row r="12291" spans="1:11">
      <c r="A12291" s="760"/>
      <c r="B12291" s="760"/>
      <c r="C12291" s="760"/>
      <c r="D12291" s="760"/>
      <c r="E12291" s="760"/>
      <c r="F12291" s="760"/>
      <c r="G12291" s="760"/>
      <c r="H12291" s="760"/>
      <c r="I12291" s="760"/>
      <c r="J12291" s="760"/>
      <c r="K12291" s="760"/>
    </row>
    <row r="12292" spans="1:11">
      <c r="A12292" s="760"/>
      <c r="B12292" s="760"/>
      <c r="C12292" s="760"/>
      <c r="D12292" s="760"/>
      <c r="E12292" s="760"/>
      <c r="F12292" s="760"/>
      <c r="G12292" s="760"/>
      <c r="H12292" s="760"/>
      <c r="I12292" s="760"/>
      <c r="J12292" s="760"/>
      <c r="K12292" s="760"/>
    </row>
    <row r="12293" spans="1:11">
      <c r="A12293" s="760"/>
      <c r="B12293" s="760"/>
      <c r="C12293" s="760"/>
      <c r="D12293" s="760"/>
      <c r="E12293" s="760"/>
      <c r="F12293" s="760"/>
      <c r="G12293" s="760"/>
      <c r="H12293" s="760"/>
      <c r="I12293" s="760"/>
      <c r="J12293" s="760"/>
      <c r="K12293" s="760"/>
    </row>
    <row r="12294" spans="1:11">
      <c r="A12294" s="760"/>
      <c r="B12294" s="760"/>
      <c r="C12294" s="760"/>
      <c r="D12294" s="760"/>
      <c r="E12294" s="760"/>
      <c r="F12294" s="760"/>
      <c r="G12294" s="760"/>
      <c r="H12294" s="760"/>
      <c r="I12294" s="760"/>
      <c r="J12294" s="760"/>
      <c r="K12294" s="760"/>
    </row>
    <row r="12295" spans="1:11">
      <c r="A12295" s="760"/>
      <c r="B12295" s="760"/>
      <c r="C12295" s="760"/>
      <c r="D12295" s="760"/>
      <c r="E12295" s="760"/>
      <c r="F12295" s="760"/>
      <c r="G12295" s="760"/>
      <c r="H12295" s="760"/>
      <c r="I12295" s="760"/>
      <c r="J12295" s="760"/>
      <c r="K12295" s="760"/>
    </row>
    <row r="12296" spans="1:11">
      <c r="A12296" s="760"/>
      <c r="B12296" s="760"/>
      <c r="C12296" s="760"/>
      <c r="D12296" s="760"/>
      <c r="E12296" s="760"/>
      <c r="F12296" s="760"/>
      <c r="G12296" s="760"/>
      <c r="H12296" s="760"/>
      <c r="I12296" s="760"/>
      <c r="J12296" s="760"/>
      <c r="K12296" s="760"/>
    </row>
    <row r="12297" spans="1:11">
      <c r="A12297" s="760"/>
      <c r="B12297" s="760"/>
      <c r="C12297" s="760"/>
      <c r="D12297" s="760"/>
      <c r="E12297" s="760"/>
      <c r="F12297" s="760"/>
      <c r="G12297" s="760"/>
      <c r="H12297" s="760"/>
      <c r="I12297" s="760"/>
      <c r="J12297" s="760"/>
      <c r="K12297" s="760"/>
    </row>
    <row r="12298" spans="1:11">
      <c r="A12298" s="760"/>
      <c r="B12298" s="760"/>
      <c r="C12298" s="760"/>
      <c r="D12298" s="760"/>
      <c r="E12298" s="760"/>
      <c r="F12298" s="760"/>
      <c r="G12298" s="760"/>
      <c r="H12298" s="760"/>
      <c r="I12298" s="760"/>
      <c r="J12298" s="760"/>
      <c r="K12298" s="760"/>
    </row>
    <row r="12299" spans="1:11">
      <c r="A12299" s="760"/>
      <c r="B12299" s="760"/>
      <c r="C12299" s="760"/>
      <c r="D12299" s="760"/>
      <c r="E12299" s="760"/>
      <c r="F12299" s="760"/>
      <c r="G12299" s="760"/>
      <c r="H12299" s="760"/>
      <c r="I12299" s="760"/>
      <c r="J12299" s="760"/>
      <c r="K12299" s="760"/>
    </row>
    <row r="12300" spans="1:11">
      <c r="A12300" s="760"/>
      <c r="B12300" s="760"/>
      <c r="C12300" s="760"/>
      <c r="D12300" s="760"/>
      <c r="E12300" s="760"/>
      <c r="F12300" s="760"/>
      <c r="G12300" s="760"/>
      <c r="H12300" s="760"/>
      <c r="I12300" s="760"/>
      <c r="J12300" s="760"/>
      <c r="K12300" s="760"/>
    </row>
    <row r="12301" spans="1:11">
      <c r="A12301" s="760"/>
      <c r="B12301" s="760"/>
      <c r="C12301" s="760"/>
      <c r="D12301" s="760"/>
      <c r="E12301" s="760"/>
      <c r="F12301" s="760"/>
      <c r="G12301" s="760"/>
      <c r="H12301" s="760"/>
      <c r="I12301" s="760"/>
      <c r="J12301" s="760"/>
      <c r="K12301" s="760"/>
    </row>
    <row r="12302" spans="1:11">
      <c r="A12302" s="760"/>
      <c r="B12302" s="760"/>
      <c r="C12302" s="760"/>
      <c r="D12302" s="760"/>
      <c r="E12302" s="760"/>
      <c r="F12302" s="760"/>
      <c r="G12302" s="760"/>
      <c r="H12302" s="760"/>
      <c r="I12302" s="760"/>
      <c r="J12302" s="760"/>
      <c r="K12302" s="760"/>
    </row>
    <row r="12303" spans="1:11">
      <c r="A12303" s="760"/>
      <c r="B12303" s="760"/>
      <c r="C12303" s="760"/>
      <c r="D12303" s="760"/>
      <c r="E12303" s="760"/>
      <c r="F12303" s="760"/>
      <c r="G12303" s="760"/>
      <c r="H12303" s="760"/>
      <c r="I12303" s="760"/>
      <c r="J12303" s="760"/>
      <c r="K12303" s="760"/>
    </row>
    <row r="12304" spans="1:11">
      <c r="A12304" s="760"/>
      <c r="B12304" s="760"/>
      <c r="C12304" s="760"/>
      <c r="D12304" s="760"/>
      <c r="E12304" s="760"/>
      <c r="F12304" s="760"/>
      <c r="G12304" s="760"/>
      <c r="H12304" s="760"/>
      <c r="I12304" s="760"/>
      <c r="J12304" s="760"/>
      <c r="K12304" s="760"/>
    </row>
    <row r="12305" spans="1:11">
      <c r="A12305" s="760"/>
      <c r="B12305" s="760"/>
      <c r="C12305" s="760"/>
      <c r="D12305" s="760"/>
      <c r="E12305" s="760"/>
      <c r="F12305" s="760"/>
      <c r="G12305" s="760"/>
      <c r="H12305" s="760"/>
      <c r="I12305" s="760"/>
      <c r="J12305" s="760"/>
      <c r="K12305" s="760"/>
    </row>
    <row r="12306" spans="1:11">
      <c r="A12306" s="760"/>
      <c r="B12306" s="760"/>
      <c r="C12306" s="760"/>
      <c r="D12306" s="760"/>
      <c r="E12306" s="760"/>
      <c r="F12306" s="760"/>
      <c r="G12306" s="760"/>
      <c r="H12306" s="760"/>
      <c r="I12306" s="760"/>
      <c r="J12306" s="760"/>
      <c r="K12306" s="760"/>
    </row>
    <row r="12307" spans="1:11">
      <c r="A12307" s="760"/>
      <c r="B12307" s="760"/>
      <c r="C12307" s="760"/>
      <c r="D12307" s="760"/>
      <c r="E12307" s="760"/>
      <c r="F12307" s="760"/>
      <c r="G12307" s="760"/>
      <c r="H12307" s="760"/>
      <c r="I12307" s="760"/>
      <c r="J12307" s="760"/>
      <c r="K12307" s="760"/>
    </row>
    <row r="12308" spans="1:11">
      <c r="A12308" s="760"/>
      <c r="B12308" s="760"/>
      <c r="C12308" s="760"/>
      <c r="D12308" s="760"/>
      <c r="E12308" s="760"/>
      <c r="F12308" s="760"/>
      <c r="G12308" s="760"/>
      <c r="H12308" s="760"/>
      <c r="I12308" s="760"/>
      <c r="J12308" s="760"/>
      <c r="K12308" s="760"/>
    </row>
    <row r="12309" spans="1:11">
      <c r="A12309" s="760"/>
      <c r="B12309" s="760"/>
      <c r="C12309" s="760"/>
      <c r="D12309" s="760"/>
      <c r="E12309" s="760"/>
      <c r="F12309" s="760"/>
      <c r="G12309" s="760"/>
      <c r="H12309" s="760"/>
      <c r="I12309" s="760"/>
      <c r="J12309" s="760"/>
      <c r="K12309" s="760"/>
    </row>
    <row r="12310" spans="1:11">
      <c r="A12310" s="760"/>
      <c r="B12310" s="760"/>
      <c r="C12310" s="760"/>
      <c r="D12310" s="760"/>
      <c r="E12310" s="760"/>
      <c r="F12310" s="760"/>
      <c r="G12310" s="760"/>
      <c r="H12310" s="760"/>
      <c r="I12310" s="760"/>
      <c r="J12310" s="760"/>
      <c r="K12310" s="760"/>
    </row>
    <row r="12311" spans="1:11">
      <c r="A12311" s="760"/>
      <c r="B12311" s="760"/>
      <c r="C12311" s="760"/>
      <c r="D12311" s="760"/>
      <c r="E12311" s="760"/>
      <c r="F12311" s="760"/>
      <c r="G12311" s="760"/>
      <c r="H12311" s="760"/>
      <c r="I12311" s="760"/>
      <c r="J12311" s="760"/>
      <c r="K12311" s="760"/>
    </row>
    <row r="12312" spans="1:11">
      <c r="A12312" s="760"/>
      <c r="B12312" s="760"/>
      <c r="C12312" s="760"/>
      <c r="D12312" s="760"/>
      <c r="E12312" s="760"/>
      <c r="F12312" s="760"/>
      <c r="G12312" s="760"/>
      <c r="H12312" s="760"/>
      <c r="I12312" s="760"/>
      <c r="J12312" s="760"/>
      <c r="K12312" s="760"/>
    </row>
    <row r="12313" spans="1:11">
      <c r="A12313" s="760"/>
      <c r="B12313" s="760"/>
      <c r="C12313" s="760"/>
      <c r="D12313" s="760"/>
      <c r="E12313" s="760"/>
      <c r="F12313" s="760"/>
      <c r="G12313" s="760"/>
      <c r="H12313" s="760"/>
      <c r="I12313" s="760"/>
      <c r="J12313" s="760"/>
      <c r="K12313" s="760"/>
    </row>
    <row r="12314" spans="1:11">
      <c r="A12314" s="760"/>
      <c r="B12314" s="760"/>
      <c r="C12314" s="760"/>
      <c r="D12314" s="760"/>
      <c r="E12314" s="760"/>
      <c r="F12314" s="760"/>
      <c r="G12314" s="760"/>
      <c r="H12314" s="760"/>
      <c r="I12314" s="760"/>
      <c r="J12314" s="760"/>
      <c r="K12314" s="760"/>
    </row>
    <row r="12315" spans="1:11">
      <c r="A12315" s="760"/>
      <c r="B12315" s="760"/>
      <c r="C12315" s="760"/>
      <c r="D12315" s="760"/>
      <c r="E12315" s="760"/>
      <c r="F12315" s="760"/>
      <c r="G12315" s="760"/>
      <c r="H12315" s="760"/>
      <c r="I12315" s="760"/>
      <c r="J12315" s="760"/>
      <c r="K12315" s="760"/>
    </row>
    <row r="12316" spans="1:11">
      <c r="A12316" s="760"/>
      <c r="B12316" s="760"/>
      <c r="C12316" s="760"/>
      <c r="D12316" s="760"/>
      <c r="E12316" s="760"/>
      <c r="F12316" s="760"/>
      <c r="G12316" s="760"/>
      <c r="H12316" s="760"/>
      <c r="I12316" s="760"/>
      <c r="J12316" s="760"/>
      <c r="K12316" s="760"/>
    </row>
    <row r="12317" spans="1:11">
      <c r="A12317" s="760"/>
      <c r="B12317" s="760"/>
      <c r="C12317" s="760"/>
      <c r="D12317" s="760"/>
      <c r="E12317" s="760"/>
      <c r="F12317" s="760"/>
      <c r="G12317" s="760"/>
      <c r="H12317" s="760"/>
      <c r="I12317" s="760"/>
      <c r="J12317" s="760"/>
      <c r="K12317" s="760"/>
    </row>
    <row r="12318" spans="1:11">
      <c r="A12318" s="760"/>
      <c r="B12318" s="760"/>
      <c r="C12318" s="760"/>
      <c r="D12318" s="760"/>
      <c r="E12318" s="760"/>
      <c r="F12318" s="760"/>
      <c r="G12318" s="760"/>
      <c r="H12318" s="760"/>
      <c r="I12318" s="760"/>
      <c r="J12318" s="760"/>
      <c r="K12318" s="760"/>
    </row>
    <row r="12319" spans="1:11">
      <c r="A12319" s="760"/>
      <c r="B12319" s="760"/>
      <c r="C12319" s="760"/>
      <c r="D12319" s="760"/>
      <c r="E12319" s="760"/>
      <c r="F12319" s="760"/>
      <c r="G12319" s="760"/>
      <c r="H12319" s="760"/>
      <c r="I12319" s="760"/>
      <c r="J12319" s="760"/>
      <c r="K12319" s="760"/>
    </row>
    <row r="12320" spans="1:11">
      <c r="A12320" s="760"/>
      <c r="B12320" s="760"/>
      <c r="C12320" s="760"/>
      <c r="D12320" s="760"/>
      <c r="E12320" s="760"/>
      <c r="F12320" s="760"/>
      <c r="G12320" s="760"/>
      <c r="H12320" s="760"/>
      <c r="I12320" s="760"/>
      <c r="J12320" s="760"/>
      <c r="K12320" s="760"/>
    </row>
    <row r="12321" spans="1:11">
      <c r="A12321" s="760"/>
      <c r="B12321" s="760"/>
      <c r="C12321" s="760"/>
      <c r="D12321" s="760"/>
      <c r="E12321" s="760"/>
      <c r="F12321" s="760"/>
      <c r="G12321" s="760"/>
      <c r="H12321" s="760"/>
      <c r="I12321" s="760"/>
      <c r="J12321" s="760"/>
      <c r="K12321" s="760"/>
    </row>
    <row r="12322" spans="1:11">
      <c r="A12322" s="760"/>
      <c r="B12322" s="760"/>
      <c r="C12322" s="760"/>
      <c r="D12322" s="760"/>
      <c r="E12322" s="760"/>
      <c r="F12322" s="760"/>
      <c r="G12322" s="760"/>
      <c r="H12322" s="760"/>
      <c r="I12322" s="760"/>
      <c r="J12322" s="760"/>
      <c r="K12322" s="760"/>
    </row>
    <row r="12323" spans="1:11">
      <c r="A12323" s="760"/>
      <c r="B12323" s="760"/>
      <c r="C12323" s="760"/>
      <c r="D12323" s="760"/>
      <c r="E12323" s="760"/>
      <c r="F12323" s="760"/>
      <c r="G12323" s="760"/>
      <c r="H12323" s="760"/>
      <c r="I12323" s="760"/>
      <c r="J12323" s="760"/>
      <c r="K12323" s="760"/>
    </row>
    <row r="12324" spans="1:11">
      <c r="A12324" s="760"/>
      <c r="B12324" s="760"/>
      <c r="C12324" s="760"/>
      <c r="D12324" s="760"/>
      <c r="E12324" s="760"/>
      <c r="F12324" s="760"/>
      <c r="G12324" s="760"/>
      <c r="H12324" s="760"/>
      <c r="I12324" s="760"/>
      <c r="J12324" s="760"/>
      <c r="K12324" s="760"/>
    </row>
    <row r="12325" spans="1:11">
      <c r="A12325" s="760"/>
      <c r="B12325" s="760"/>
      <c r="C12325" s="760"/>
      <c r="D12325" s="760"/>
      <c r="E12325" s="760"/>
      <c r="F12325" s="760"/>
      <c r="G12325" s="760"/>
      <c r="H12325" s="760"/>
      <c r="I12325" s="760"/>
      <c r="J12325" s="760"/>
      <c r="K12325" s="760"/>
    </row>
    <row r="12326" spans="1:11">
      <c r="A12326" s="760"/>
      <c r="B12326" s="760"/>
      <c r="C12326" s="760"/>
      <c r="D12326" s="760"/>
      <c r="E12326" s="760"/>
      <c r="F12326" s="760"/>
      <c r="G12326" s="760"/>
      <c r="H12326" s="760"/>
      <c r="I12326" s="760"/>
      <c r="J12326" s="760"/>
      <c r="K12326" s="760"/>
    </row>
    <row r="12327" spans="1:11">
      <c r="A12327" s="760"/>
      <c r="B12327" s="760"/>
      <c r="C12327" s="760"/>
      <c r="D12327" s="760"/>
      <c r="E12327" s="760"/>
      <c r="F12327" s="760"/>
      <c r="G12327" s="760"/>
      <c r="H12327" s="760"/>
      <c r="I12327" s="760"/>
      <c r="J12327" s="760"/>
      <c r="K12327" s="760"/>
    </row>
    <row r="12328" spans="1:11">
      <c r="A12328" s="760"/>
      <c r="B12328" s="760"/>
      <c r="C12328" s="760"/>
      <c r="D12328" s="760"/>
      <c r="E12328" s="760"/>
      <c r="F12328" s="760"/>
      <c r="G12328" s="760"/>
      <c r="H12328" s="760"/>
      <c r="I12328" s="760"/>
      <c r="J12328" s="760"/>
      <c r="K12328" s="760"/>
    </row>
    <row r="12329" spans="1:11">
      <c r="A12329" s="760"/>
      <c r="B12329" s="760"/>
      <c r="C12329" s="760"/>
      <c r="D12329" s="760"/>
      <c r="E12329" s="760"/>
      <c r="F12329" s="760"/>
      <c r="G12329" s="760"/>
      <c r="H12329" s="760"/>
      <c r="I12329" s="760"/>
      <c r="J12329" s="760"/>
      <c r="K12329" s="760"/>
    </row>
    <row r="12330" spans="1:11">
      <c r="A12330" s="760"/>
      <c r="B12330" s="760"/>
      <c r="C12330" s="760"/>
      <c r="D12330" s="760"/>
      <c r="E12330" s="760"/>
      <c r="F12330" s="760"/>
      <c r="G12330" s="760"/>
      <c r="H12330" s="760"/>
      <c r="I12330" s="760"/>
      <c r="J12330" s="760"/>
      <c r="K12330" s="760"/>
    </row>
    <row r="12331" spans="1:11">
      <c r="A12331" s="760"/>
      <c r="B12331" s="760"/>
      <c r="C12331" s="760"/>
      <c r="D12331" s="760"/>
      <c r="E12331" s="760"/>
      <c r="F12331" s="760"/>
      <c r="G12331" s="760"/>
      <c r="H12331" s="760"/>
      <c r="I12331" s="760"/>
      <c r="J12331" s="760"/>
      <c r="K12331" s="760"/>
    </row>
    <row r="12332" spans="1:11">
      <c r="A12332" s="760"/>
      <c r="B12332" s="760"/>
      <c r="C12332" s="760"/>
      <c r="D12332" s="760"/>
      <c r="E12332" s="760"/>
      <c r="F12332" s="760"/>
      <c r="G12332" s="760"/>
      <c r="H12332" s="760"/>
      <c r="I12332" s="760"/>
      <c r="J12332" s="760"/>
      <c r="K12332" s="760"/>
    </row>
    <row r="12333" spans="1:11">
      <c r="A12333" s="760"/>
      <c r="B12333" s="760"/>
      <c r="C12333" s="760"/>
      <c r="D12333" s="760"/>
      <c r="E12333" s="760"/>
      <c r="F12333" s="760"/>
      <c r="G12333" s="760"/>
      <c r="H12333" s="760"/>
      <c r="I12333" s="760"/>
      <c r="J12333" s="760"/>
      <c r="K12333" s="760"/>
    </row>
    <row r="12334" spans="1:11">
      <c r="A12334" s="760"/>
      <c r="B12334" s="760"/>
      <c r="C12334" s="760"/>
      <c r="D12334" s="760"/>
      <c r="E12334" s="760"/>
      <c r="F12334" s="760"/>
      <c r="G12334" s="760"/>
      <c r="H12334" s="760"/>
      <c r="I12334" s="760"/>
      <c r="J12334" s="760"/>
      <c r="K12334" s="760"/>
    </row>
    <row r="12335" spans="1:11">
      <c r="A12335" s="760"/>
      <c r="B12335" s="760"/>
      <c r="C12335" s="760"/>
      <c r="D12335" s="760"/>
      <c r="E12335" s="760"/>
      <c r="F12335" s="760"/>
      <c r="G12335" s="760"/>
      <c r="H12335" s="760"/>
      <c r="I12335" s="760"/>
      <c r="J12335" s="760"/>
      <c r="K12335" s="760"/>
    </row>
    <row r="12336" spans="1:11">
      <c r="A12336" s="760"/>
      <c r="B12336" s="760"/>
      <c r="C12336" s="760"/>
      <c r="D12336" s="760"/>
      <c r="E12336" s="760"/>
      <c r="F12336" s="760"/>
      <c r="G12336" s="760"/>
      <c r="H12336" s="760"/>
      <c r="I12336" s="760"/>
      <c r="J12336" s="760"/>
      <c r="K12336" s="760"/>
    </row>
    <row r="12337" spans="1:11">
      <c r="A12337" s="760"/>
      <c r="B12337" s="760"/>
      <c r="C12337" s="760"/>
      <c r="D12337" s="760"/>
      <c r="E12337" s="760"/>
      <c r="F12337" s="760"/>
      <c r="G12337" s="760"/>
      <c r="H12337" s="760"/>
      <c r="I12337" s="760"/>
      <c r="J12337" s="760"/>
      <c r="K12337" s="760"/>
    </row>
    <row r="12338" spans="1:11">
      <c r="A12338" s="760"/>
      <c r="B12338" s="760"/>
      <c r="C12338" s="760"/>
      <c r="D12338" s="760"/>
      <c r="E12338" s="760"/>
      <c r="F12338" s="760"/>
      <c r="G12338" s="760"/>
      <c r="H12338" s="760"/>
      <c r="I12338" s="760"/>
      <c r="J12338" s="760"/>
      <c r="K12338" s="760"/>
    </row>
    <row r="12339" spans="1:11">
      <c r="A12339" s="760"/>
      <c r="B12339" s="760"/>
      <c r="C12339" s="760"/>
      <c r="D12339" s="760"/>
      <c r="E12339" s="760"/>
      <c r="F12339" s="760"/>
      <c r="G12339" s="760"/>
      <c r="H12339" s="760"/>
      <c r="I12339" s="760"/>
      <c r="J12339" s="760"/>
      <c r="K12339" s="760"/>
    </row>
    <row r="12340" spans="1:11">
      <c r="A12340" s="760"/>
      <c r="B12340" s="760"/>
      <c r="C12340" s="760"/>
      <c r="D12340" s="760"/>
      <c r="E12340" s="760"/>
      <c r="F12340" s="760"/>
      <c r="G12340" s="760"/>
      <c r="H12340" s="760"/>
      <c r="I12340" s="760"/>
      <c r="J12340" s="760"/>
      <c r="K12340" s="760"/>
    </row>
    <row r="12341" spans="1:11">
      <c r="A12341" s="760"/>
      <c r="B12341" s="760"/>
      <c r="C12341" s="760"/>
      <c r="D12341" s="760"/>
      <c r="E12341" s="760"/>
      <c r="F12341" s="760"/>
      <c r="G12341" s="760"/>
      <c r="H12341" s="760"/>
      <c r="I12341" s="760"/>
      <c r="J12341" s="760"/>
      <c r="K12341" s="760"/>
    </row>
    <row r="12342" spans="1:11">
      <c r="A12342" s="760"/>
      <c r="B12342" s="760"/>
      <c r="C12342" s="760"/>
      <c r="D12342" s="760"/>
      <c r="E12342" s="760"/>
      <c r="F12342" s="760"/>
      <c r="G12342" s="760"/>
      <c r="H12342" s="760"/>
      <c r="I12342" s="760"/>
      <c r="J12342" s="760"/>
      <c r="K12342" s="760"/>
    </row>
    <row r="12343" spans="1:11">
      <c r="A12343" s="760"/>
      <c r="B12343" s="760"/>
      <c r="C12343" s="760"/>
      <c r="D12343" s="760"/>
      <c r="E12343" s="760"/>
      <c r="F12343" s="760"/>
      <c r="G12343" s="760"/>
      <c r="H12343" s="760"/>
      <c r="I12343" s="760"/>
      <c r="J12343" s="760"/>
      <c r="K12343" s="760"/>
    </row>
    <row r="12344" spans="1:11">
      <c r="A12344" s="760"/>
      <c r="B12344" s="760"/>
      <c r="C12344" s="760"/>
      <c r="D12344" s="760"/>
      <c r="E12344" s="760"/>
      <c r="F12344" s="760"/>
      <c r="G12344" s="760"/>
      <c r="H12344" s="760"/>
      <c r="I12344" s="760"/>
      <c r="J12344" s="760"/>
      <c r="K12344" s="760"/>
    </row>
    <row r="12345" spans="1:11">
      <c r="A12345" s="760"/>
      <c r="B12345" s="760"/>
      <c r="C12345" s="760"/>
      <c r="D12345" s="760"/>
      <c r="E12345" s="760"/>
      <c r="F12345" s="760"/>
      <c r="G12345" s="760"/>
      <c r="H12345" s="760"/>
      <c r="I12345" s="760"/>
      <c r="J12345" s="760"/>
      <c r="K12345" s="760"/>
    </row>
    <row r="12346" spans="1:11">
      <c r="A12346" s="760"/>
      <c r="B12346" s="760"/>
      <c r="C12346" s="760"/>
      <c r="D12346" s="760"/>
      <c r="E12346" s="760"/>
      <c r="F12346" s="760"/>
      <c r="G12346" s="760"/>
      <c r="H12346" s="760"/>
      <c r="I12346" s="760"/>
      <c r="J12346" s="760"/>
      <c r="K12346" s="760"/>
    </row>
    <row r="12347" spans="1:11">
      <c r="A12347" s="760"/>
      <c r="B12347" s="760"/>
      <c r="C12347" s="760"/>
      <c r="D12347" s="760"/>
      <c r="E12347" s="760"/>
      <c r="F12347" s="760"/>
      <c r="G12347" s="760"/>
      <c r="H12347" s="760"/>
      <c r="I12347" s="760"/>
      <c r="J12347" s="760"/>
      <c r="K12347" s="760"/>
    </row>
    <row r="12348" spans="1:11">
      <c r="A12348" s="760"/>
      <c r="B12348" s="760"/>
      <c r="C12348" s="760"/>
      <c r="D12348" s="760"/>
      <c r="E12348" s="760"/>
      <c r="F12348" s="760"/>
      <c r="G12348" s="760"/>
      <c r="H12348" s="760"/>
      <c r="I12348" s="760"/>
      <c r="J12348" s="760"/>
      <c r="K12348" s="760"/>
    </row>
    <row r="12349" spans="1:11">
      <c r="A12349" s="760"/>
      <c r="B12349" s="760"/>
      <c r="C12349" s="760"/>
      <c r="D12349" s="760"/>
      <c r="E12349" s="760"/>
      <c r="F12349" s="760"/>
      <c r="G12349" s="760"/>
      <c r="H12349" s="760"/>
      <c r="I12349" s="760"/>
      <c r="J12349" s="760"/>
      <c r="K12349" s="760"/>
    </row>
    <row r="12350" spans="1:11">
      <c r="A12350" s="760"/>
      <c r="B12350" s="760"/>
      <c r="C12350" s="760"/>
      <c r="D12350" s="760"/>
      <c r="E12350" s="760"/>
      <c r="F12350" s="760"/>
      <c r="G12350" s="760"/>
      <c r="H12350" s="760"/>
      <c r="I12350" s="760"/>
      <c r="J12350" s="760"/>
      <c r="K12350" s="760"/>
    </row>
    <row r="12351" spans="1:11">
      <c r="A12351" s="760"/>
      <c r="B12351" s="760"/>
      <c r="C12351" s="760"/>
      <c r="D12351" s="760"/>
      <c r="E12351" s="760"/>
      <c r="F12351" s="760"/>
      <c r="G12351" s="760"/>
      <c r="H12351" s="760"/>
      <c r="I12351" s="760"/>
      <c r="J12351" s="760"/>
      <c r="K12351" s="760"/>
    </row>
    <row r="12352" spans="1:11">
      <c r="A12352" s="760"/>
      <c r="B12352" s="760"/>
      <c r="C12352" s="760"/>
      <c r="D12352" s="760"/>
      <c r="E12352" s="760"/>
      <c r="F12352" s="760"/>
      <c r="G12352" s="760"/>
      <c r="H12352" s="760"/>
      <c r="I12352" s="760"/>
      <c r="J12352" s="760"/>
      <c r="K12352" s="760"/>
    </row>
    <row r="12353" spans="1:11">
      <c r="A12353" s="760"/>
      <c r="B12353" s="760"/>
      <c r="C12353" s="760"/>
      <c r="D12353" s="760"/>
      <c r="E12353" s="760"/>
      <c r="F12353" s="760"/>
      <c r="G12353" s="760"/>
      <c r="H12353" s="760"/>
      <c r="I12353" s="760"/>
      <c r="J12353" s="760"/>
      <c r="K12353" s="760"/>
    </row>
    <row r="12354" spans="1:11">
      <c r="A12354" s="760"/>
      <c r="B12354" s="760"/>
      <c r="C12354" s="760"/>
      <c r="D12354" s="760"/>
      <c r="E12354" s="760"/>
      <c r="F12354" s="760"/>
      <c r="G12354" s="760"/>
      <c r="H12354" s="760"/>
      <c r="I12354" s="760"/>
      <c r="J12354" s="760"/>
      <c r="K12354" s="760"/>
    </row>
    <row r="12355" spans="1:11">
      <c r="A12355" s="760"/>
      <c r="B12355" s="760"/>
      <c r="C12355" s="760"/>
      <c r="D12355" s="760"/>
      <c r="E12355" s="760"/>
      <c r="F12355" s="760"/>
      <c r="G12355" s="760"/>
      <c r="H12355" s="760"/>
      <c r="I12355" s="760"/>
      <c r="J12355" s="760"/>
      <c r="K12355" s="760"/>
    </row>
    <row r="12356" spans="1:11">
      <c r="A12356" s="760"/>
      <c r="B12356" s="760"/>
      <c r="C12356" s="760"/>
      <c r="D12356" s="760"/>
      <c r="E12356" s="760"/>
      <c r="F12356" s="760"/>
      <c r="G12356" s="760"/>
      <c r="H12356" s="760"/>
      <c r="I12356" s="760"/>
      <c r="J12356" s="760"/>
      <c r="K12356" s="760"/>
    </row>
    <row r="12357" spans="1:11">
      <c r="A12357" s="760"/>
      <c r="B12357" s="760"/>
      <c r="C12357" s="760"/>
      <c r="D12357" s="760"/>
      <c r="E12357" s="760"/>
      <c r="F12357" s="760"/>
      <c r="G12357" s="760"/>
      <c r="H12357" s="760"/>
      <c r="I12357" s="760"/>
      <c r="J12357" s="760"/>
      <c r="K12357" s="760"/>
    </row>
    <row r="12358" spans="1:11">
      <c r="A12358" s="760"/>
      <c r="B12358" s="760"/>
      <c r="C12358" s="760"/>
      <c r="D12358" s="760"/>
      <c r="E12358" s="760"/>
      <c r="F12358" s="760"/>
      <c r="G12358" s="760"/>
      <c r="H12358" s="760"/>
      <c r="I12358" s="760"/>
      <c r="J12358" s="760"/>
      <c r="K12358" s="760"/>
    </row>
    <row r="12359" spans="1:11">
      <c r="A12359" s="760"/>
      <c r="B12359" s="760"/>
      <c r="C12359" s="760"/>
      <c r="D12359" s="760"/>
      <c r="E12359" s="760"/>
      <c r="F12359" s="760"/>
      <c r="G12359" s="760"/>
      <c r="H12359" s="760"/>
      <c r="I12359" s="760"/>
      <c r="J12359" s="760"/>
      <c r="K12359" s="760"/>
    </row>
    <row r="12360" spans="1:11">
      <c r="A12360" s="760"/>
      <c r="B12360" s="760"/>
      <c r="C12360" s="760"/>
      <c r="D12360" s="760"/>
      <c r="E12360" s="760"/>
      <c r="F12360" s="760"/>
      <c r="G12360" s="760"/>
      <c r="H12360" s="760"/>
      <c r="I12360" s="760"/>
      <c r="J12360" s="760"/>
      <c r="K12360" s="760"/>
    </row>
    <row r="12361" spans="1:11">
      <c r="A12361" s="760"/>
      <c r="B12361" s="760"/>
      <c r="C12361" s="760"/>
      <c r="D12361" s="760"/>
      <c r="E12361" s="760"/>
      <c r="F12361" s="760"/>
      <c r="G12361" s="760"/>
      <c r="H12361" s="760"/>
      <c r="I12361" s="760"/>
      <c r="J12361" s="760"/>
      <c r="K12361" s="760"/>
    </row>
    <row r="12362" spans="1:11">
      <c r="A12362" s="760"/>
      <c r="B12362" s="760"/>
      <c r="C12362" s="760"/>
      <c r="D12362" s="760"/>
      <c r="E12362" s="760"/>
      <c r="F12362" s="760"/>
      <c r="G12362" s="760"/>
      <c r="H12362" s="760"/>
      <c r="I12362" s="760"/>
      <c r="J12362" s="760"/>
      <c r="K12362" s="760"/>
    </row>
    <row r="12363" spans="1:11">
      <c r="A12363" s="760"/>
      <c r="B12363" s="760"/>
      <c r="C12363" s="760"/>
      <c r="D12363" s="760"/>
      <c r="E12363" s="760"/>
      <c r="F12363" s="760"/>
      <c r="G12363" s="760"/>
      <c r="H12363" s="760"/>
      <c r="I12363" s="760"/>
      <c r="J12363" s="760"/>
      <c r="K12363" s="760"/>
    </row>
    <row r="12364" spans="1:11">
      <c r="A12364" s="760"/>
      <c r="B12364" s="760"/>
      <c r="C12364" s="760"/>
      <c r="D12364" s="760"/>
      <c r="E12364" s="760"/>
      <c r="F12364" s="760"/>
      <c r="G12364" s="760"/>
      <c r="H12364" s="760"/>
      <c r="I12364" s="760"/>
      <c r="J12364" s="760"/>
      <c r="K12364" s="760"/>
    </row>
    <row r="12365" spans="1:11">
      <c r="A12365" s="760"/>
      <c r="B12365" s="760"/>
      <c r="C12365" s="760"/>
      <c r="D12365" s="760"/>
      <c r="E12365" s="760"/>
      <c r="F12365" s="760"/>
      <c r="G12365" s="760"/>
      <c r="H12365" s="760"/>
      <c r="I12365" s="760"/>
      <c r="J12365" s="760"/>
      <c r="K12365" s="760"/>
    </row>
    <row r="12366" spans="1:11">
      <c r="A12366" s="760"/>
      <c r="B12366" s="760"/>
      <c r="C12366" s="760"/>
      <c r="D12366" s="760"/>
      <c r="E12366" s="760"/>
      <c r="F12366" s="760"/>
      <c r="G12366" s="760"/>
      <c r="H12366" s="760"/>
      <c r="I12366" s="760"/>
      <c r="J12366" s="760"/>
      <c r="K12366" s="760"/>
    </row>
    <row r="12367" spans="1:11">
      <c r="A12367" s="760"/>
      <c r="B12367" s="760"/>
      <c r="C12367" s="760"/>
      <c r="D12367" s="760"/>
      <c r="E12367" s="760"/>
      <c r="F12367" s="760"/>
      <c r="G12367" s="760"/>
      <c r="H12367" s="760"/>
      <c r="I12367" s="760"/>
      <c r="J12367" s="760"/>
      <c r="K12367" s="760"/>
    </row>
    <row r="12368" spans="1:11">
      <c r="A12368" s="760"/>
      <c r="B12368" s="760"/>
      <c r="C12368" s="760"/>
      <c r="D12368" s="760"/>
      <c r="E12368" s="760"/>
      <c r="F12368" s="760"/>
      <c r="G12368" s="760"/>
      <c r="H12368" s="760"/>
      <c r="I12368" s="760"/>
      <c r="J12368" s="760"/>
      <c r="K12368" s="760"/>
    </row>
    <row r="12369" spans="1:11">
      <c r="A12369" s="760"/>
      <c r="B12369" s="760"/>
      <c r="C12369" s="760"/>
      <c r="D12369" s="760"/>
      <c r="E12369" s="760"/>
      <c r="F12369" s="760"/>
      <c r="G12369" s="760"/>
      <c r="H12369" s="760"/>
      <c r="I12369" s="760"/>
      <c r="J12369" s="760"/>
      <c r="K12369" s="760"/>
    </row>
    <row r="12370" spans="1:11">
      <c r="A12370" s="760"/>
      <c r="B12370" s="760"/>
      <c r="C12370" s="760"/>
      <c r="D12370" s="760"/>
      <c r="E12370" s="760"/>
      <c r="F12370" s="760"/>
      <c r="G12370" s="760"/>
      <c r="H12370" s="760"/>
      <c r="I12370" s="760"/>
      <c r="J12370" s="760"/>
      <c r="K12370" s="760"/>
    </row>
    <row r="12371" spans="1:11">
      <c r="A12371" s="760"/>
      <c r="B12371" s="760"/>
      <c r="C12371" s="760"/>
      <c r="D12371" s="760"/>
      <c r="E12371" s="760"/>
      <c r="F12371" s="760"/>
      <c r="G12371" s="760"/>
      <c r="H12371" s="760"/>
      <c r="I12371" s="760"/>
      <c r="J12371" s="760"/>
      <c r="K12371" s="760"/>
    </row>
    <row r="12372" spans="1:11">
      <c r="A12372" s="760"/>
      <c r="B12372" s="760"/>
      <c r="C12372" s="760"/>
      <c r="D12372" s="760"/>
      <c r="E12372" s="760"/>
      <c r="F12372" s="760"/>
      <c r="G12372" s="760"/>
      <c r="H12372" s="760"/>
      <c r="I12372" s="760"/>
      <c r="J12372" s="760"/>
      <c r="K12372" s="760"/>
    </row>
    <row r="12373" spans="1:11">
      <c r="A12373" s="760"/>
      <c r="B12373" s="760"/>
      <c r="C12373" s="760"/>
      <c r="D12373" s="760"/>
      <c r="E12373" s="760"/>
      <c r="F12373" s="760"/>
      <c r="G12373" s="760"/>
      <c r="H12373" s="760"/>
      <c r="I12373" s="760"/>
      <c r="J12373" s="760"/>
      <c r="K12373" s="760"/>
    </row>
    <row r="12374" spans="1:11">
      <c r="A12374" s="760"/>
      <c r="B12374" s="760"/>
      <c r="C12374" s="760"/>
      <c r="D12374" s="760"/>
      <c r="E12374" s="760"/>
      <c r="F12374" s="760"/>
      <c r="G12374" s="760"/>
      <c r="H12374" s="760"/>
      <c r="I12374" s="760"/>
      <c r="J12374" s="760"/>
      <c r="K12374" s="760"/>
    </row>
    <row r="12375" spans="1:11">
      <c r="A12375" s="760"/>
      <c r="B12375" s="760"/>
      <c r="C12375" s="760"/>
      <c r="D12375" s="760"/>
      <c r="E12375" s="760"/>
      <c r="F12375" s="760"/>
      <c r="G12375" s="760"/>
      <c r="H12375" s="760"/>
      <c r="I12375" s="760"/>
      <c r="J12375" s="760"/>
      <c r="K12375" s="760"/>
    </row>
    <row r="12376" spans="1:11">
      <c r="A12376" s="760"/>
      <c r="B12376" s="760"/>
      <c r="C12376" s="760"/>
      <c r="D12376" s="760"/>
      <c r="E12376" s="760"/>
      <c r="F12376" s="760"/>
      <c r="G12376" s="760"/>
      <c r="H12376" s="760"/>
      <c r="I12376" s="760"/>
      <c r="J12376" s="760"/>
      <c r="K12376" s="760"/>
    </row>
    <row r="12377" spans="1:11">
      <c r="A12377" s="760"/>
      <c r="B12377" s="760"/>
      <c r="C12377" s="760"/>
      <c r="D12377" s="760"/>
      <c r="E12377" s="760"/>
      <c r="F12377" s="760"/>
      <c r="G12377" s="760"/>
      <c r="H12377" s="760"/>
      <c r="I12377" s="760"/>
      <c r="J12377" s="760"/>
      <c r="K12377" s="760"/>
    </row>
    <row r="12378" spans="1:11">
      <c r="A12378" s="760"/>
      <c r="B12378" s="760"/>
      <c r="C12378" s="760"/>
      <c r="D12378" s="760"/>
      <c r="E12378" s="760"/>
      <c r="F12378" s="760"/>
      <c r="G12378" s="760"/>
      <c r="H12378" s="760"/>
      <c r="I12378" s="760"/>
      <c r="J12378" s="760"/>
      <c r="K12378" s="760"/>
    </row>
    <row r="12379" spans="1:11">
      <c r="A12379" s="760"/>
      <c r="B12379" s="760"/>
      <c r="C12379" s="760"/>
      <c r="D12379" s="760"/>
      <c r="E12379" s="760"/>
      <c r="F12379" s="760"/>
      <c r="G12379" s="760"/>
      <c r="H12379" s="760"/>
      <c r="I12379" s="760"/>
      <c r="J12379" s="760"/>
      <c r="K12379" s="760"/>
    </row>
    <row r="12380" spans="1:11">
      <c r="A12380" s="760"/>
      <c r="B12380" s="760"/>
      <c r="C12380" s="760"/>
      <c r="D12380" s="760"/>
      <c r="E12380" s="760"/>
      <c r="F12380" s="760"/>
      <c r="G12380" s="760"/>
      <c r="H12380" s="760"/>
      <c r="I12380" s="760"/>
      <c r="J12380" s="760"/>
      <c r="K12380" s="760"/>
    </row>
    <row r="12381" spans="1:11">
      <c r="A12381" s="760"/>
      <c r="B12381" s="760"/>
      <c r="C12381" s="760"/>
      <c r="D12381" s="760"/>
      <c r="E12381" s="760"/>
      <c r="F12381" s="760"/>
      <c r="G12381" s="760"/>
      <c r="H12381" s="760"/>
      <c r="I12381" s="760"/>
      <c r="J12381" s="760"/>
      <c r="K12381" s="760"/>
    </row>
    <row r="12382" spans="1:11">
      <c r="A12382" s="760"/>
      <c r="B12382" s="760"/>
      <c r="C12382" s="760"/>
      <c r="D12382" s="760"/>
      <c r="E12382" s="760"/>
      <c r="F12382" s="760"/>
      <c r="G12382" s="760"/>
      <c r="H12382" s="760"/>
      <c r="I12382" s="760"/>
      <c r="J12382" s="760"/>
      <c r="K12382" s="760"/>
    </row>
    <row r="12383" spans="1:11">
      <c r="A12383" s="760"/>
      <c r="B12383" s="760"/>
      <c r="C12383" s="760"/>
      <c r="D12383" s="760"/>
      <c r="E12383" s="760"/>
      <c r="F12383" s="760"/>
      <c r="G12383" s="760"/>
      <c r="H12383" s="760"/>
      <c r="I12383" s="760"/>
      <c r="J12383" s="760"/>
      <c r="K12383" s="760"/>
    </row>
    <row r="12384" spans="1:11">
      <c r="A12384" s="760"/>
      <c r="B12384" s="760"/>
      <c r="C12384" s="760"/>
      <c r="D12384" s="760"/>
      <c r="E12384" s="760"/>
      <c r="F12384" s="760"/>
      <c r="G12384" s="760"/>
      <c r="H12384" s="760"/>
      <c r="I12384" s="760"/>
      <c r="J12384" s="760"/>
      <c r="K12384" s="760"/>
    </row>
    <row r="12385" spans="1:11">
      <c r="A12385" s="760"/>
      <c r="B12385" s="760"/>
      <c r="C12385" s="760"/>
      <c r="D12385" s="760"/>
      <c r="E12385" s="760"/>
      <c r="F12385" s="760"/>
      <c r="G12385" s="760"/>
      <c r="H12385" s="760"/>
      <c r="I12385" s="760"/>
      <c r="J12385" s="760"/>
      <c r="K12385" s="760"/>
    </row>
    <row r="12386" spans="1:11">
      <c r="A12386" s="760"/>
      <c r="B12386" s="760"/>
      <c r="C12386" s="760"/>
      <c r="D12386" s="760"/>
      <c r="E12386" s="760"/>
      <c r="F12386" s="760"/>
      <c r="G12386" s="760"/>
      <c r="H12386" s="760"/>
      <c r="I12386" s="760"/>
      <c r="J12386" s="760"/>
      <c r="K12386" s="760"/>
    </row>
    <row r="12387" spans="1:11">
      <c r="A12387" s="760"/>
      <c r="B12387" s="760"/>
      <c r="C12387" s="760"/>
      <c r="D12387" s="760"/>
      <c r="E12387" s="760"/>
      <c r="F12387" s="760"/>
      <c r="G12387" s="760"/>
      <c r="H12387" s="760"/>
      <c r="I12387" s="760"/>
      <c r="J12387" s="760"/>
      <c r="K12387" s="760"/>
    </row>
    <row r="12388" spans="1:11">
      <c r="A12388" s="760"/>
      <c r="B12388" s="760"/>
      <c r="C12388" s="760"/>
      <c r="D12388" s="760"/>
      <c r="E12388" s="760"/>
      <c r="F12388" s="760"/>
      <c r="G12388" s="760"/>
      <c r="H12388" s="760"/>
      <c r="I12388" s="760"/>
      <c r="J12388" s="760"/>
      <c r="K12388" s="760"/>
    </row>
    <row r="12389" spans="1:11">
      <c r="A12389" s="760"/>
      <c r="B12389" s="760"/>
      <c r="C12389" s="760"/>
      <c r="D12389" s="760"/>
      <c r="E12389" s="760"/>
      <c r="F12389" s="760"/>
      <c r="G12389" s="760"/>
      <c r="H12389" s="760"/>
      <c r="I12389" s="760"/>
      <c r="J12389" s="760"/>
      <c r="K12389" s="760"/>
    </row>
    <row r="12390" spans="1:11">
      <c r="A12390" s="760"/>
      <c r="B12390" s="760"/>
      <c r="C12390" s="760"/>
      <c r="D12390" s="760"/>
      <c r="E12390" s="760"/>
      <c r="F12390" s="760"/>
      <c r="G12390" s="760"/>
      <c r="H12390" s="760"/>
      <c r="I12390" s="760"/>
      <c r="J12390" s="760"/>
      <c r="K12390" s="760"/>
    </row>
    <row r="12391" spans="1:11">
      <c r="A12391" s="760"/>
      <c r="B12391" s="760"/>
      <c r="C12391" s="760"/>
      <c r="D12391" s="760"/>
      <c r="E12391" s="760"/>
      <c r="F12391" s="760"/>
      <c r="G12391" s="760"/>
      <c r="H12391" s="760"/>
      <c r="I12391" s="760"/>
      <c r="J12391" s="760"/>
      <c r="K12391" s="760"/>
    </row>
    <row r="12392" spans="1:11">
      <c r="A12392" s="760"/>
      <c r="B12392" s="760"/>
      <c r="C12392" s="760"/>
      <c r="D12392" s="760"/>
      <c r="E12392" s="760"/>
      <c r="F12392" s="760"/>
      <c r="G12392" s="760"/>
      <c r="H12392" s="760"/>
      <c r="I12392" s="760"/>
      <c r="J12392" s="760"/>
      <c r="K12392" s="760"/>
    </row>
    <row r="12393" spans="1:11">
      <c r="A12393" s="760"/>
      <c r="B12393" s="760"/>
      <c r="C12393" s="760"/>
      <c r="D12393" s="760"/>
      <c r="E12393" s="760"/>
      <c r="F12393" s="760"/>
      <c r="G12393" s="760"/>
      <c r="H12393" s="760"/>
      <c r="I12393" s="760"/>
      <c r="J12393" s="760"/>
      <c r="K12393" s="760"/>
    </row>
    <row r="12394" spans="1:11">
      <c r="A12394" s="760"/>
      <c r="B12394" s="760"/>
      <c r="C12394" s="760"/>
      <c r="D12394" s="760"/>
      <c r="E12394" s="760"/>
      <c r="F12394" s="760"/>
      <c r="G12394" s="760"/>
      <c r="H12394" s="760"/>
      <c r="I12394" s="760"/>
      <c r="J12394" s="760"/>
      <c r="K12394" s="760"/>
    </row>
    <row r="12395" spans="1:11">
      <c r="A12395" s="760"/>
      <c r="B12395" s="760"/>
      <c r="C12395" s="760"/>
      <c r="D12395" s="760"/>
      <c r="E12395" s="760"/>
      <c r="F12395" s="760"/>
      <c r="G12395" s="760"/>
      <c r="H12395" s="760"/>
      <c r="I12395" s="760"/>
      <c r="J12395" s="760"/>
      <c r="K12395" s="760"/>
    </row>
    <row r="12396" spans="1:11">
      <c r="A12396" s="760"/>
      <c r="B12396" s="760"/>
      <c r="C12396" s="760"/>
      <c r="D12396" s="760"/>
      <c r="E12396" s="760"/>
      <c r="F12396" s="760"/>
      <c r="G12396" s="760"/>
      <c r="H12396" s="760"/>
      <c r="I12396" s="760"/>
      <c r="J12396" s="760"/>
      <c r="K12396" s="760"/>
    </row>
    <row r="12397" spans="1:11">
      <c r="A12397" s="760"/>
      <c r="B12397" s="760"/>
      <c r="C12397" s="760"/>
      <c r="D12397" s="760"/>
      <c r="E12397" s="760"/>
      <c r="F12397" s="760"/>
      <c r="G12397" s="760"/>
      <c r="H12397" s="760"/>
      <c r="I12397" s="760"/>
      <c r="J12397" s="760"/>
      <c r="K12397" s="760"/>
    </row>
    <row r="12398" spans="1:11">
      <c r="A12398" s="760"/>
      <c r="B12398" s="760"/>
      <c r="C12398" s="760"/>
      <c r="D12398" s="760"/>
      <c r="E12398" s="760"/>
      <c r="F12398" s="760"/>
      <c r="G12398" s="760"/>
      <c r="H12398" s="760"/>
      <c r="I12398" s="760"/>
      <c r="J12398" s="760"/>
      <c r="K12398" s="760"/>
    </row>
    <row r="12399" spans="1:11">
      <c r="A12399" s="760"/>
      <c r="B12399" s="760"/>
      <c r="C12399" s="760"/>
      <c r="D12399" s="760"/>
      <c r="E12399" s="760"/>
      <c r="F12399" s="760"/>
      <c r="G12399" s="760"/>
      <c r="H12399" s="760"/>
      <c r="I12399" s="760"/>
      <c r="J12399" s="760"/>
      <c r="K12399" s="760"/>
    </row>
    <row r="12400" spans="1:11">
      <c r="A12400" s="760"/>
      <c r="B12400" s="760"/>
      <c r="C12400" s="760"/>
      <c r="D12400" s="760"/>
      <c r="E12400" s="760"/>
      <c r="F12400" s="760"/>
      <c r="G12400" s="760"/>
      <c r="H12400" s="760"/>
      <c r="I12400" s="760"/>
      <c r="J12400" s="760"/>
      <c r="K12400" s="760"/>
    </row>
    <row r="12401" spans="1:11">
      <c r="A12401" s="760"/>
      <c r="B12401" s="760"/>
      <c r="C12401" s="760"/>
      <c r="D12401" s="760"/>
      <c r="E12401" s="760"/>
      <c r="F12401" s="760"/>
      <c r="G12401" s="760"/>
      <c r="H12401" s="760"/>
      <c r="I12401" s="760"/>
      <c r="J12401" s="760"/>
      <c r="K12401" s="760"/>
    </row>
    <row r="12402" spans="1:11">
      <c r="A12402" s="760"/>
      <c r="B12402" s="760"/>
      <c r="C12402" s="760"/>
      <c r="D12402" s="760"/>
      <c r="E12402" s="760"/>
      <c r="F12402" s="760"/>
      <c r="G12402" s="760"/>
      <c r="H12402" s="760"/>
      <c r="I12402" s="760"/>
      <c r="J12402" s="760"/>
      <c r="K12402" s="760"/>
    </row>
    <row r="12403" spans="1:11">
      <c r="A12403" s="760"/>
      <c r="B12403" s="760"/>
      <c r="C12403" s="760"/>
      <c r="D12403" s="760"/>
      <c r="E12403" s="760"/>
      <c r="F12403" s="760"/>
      <c r="G12403" s="760"/>
      <c r="H12403" s="760"/>
      <c r="I12403" s="760"/>
      <c r="J12403" s="760"/>
      <c r="K12403" s="760"/>
    </row>
    <row r="12404" spans="1:11">
      <c r="A12404" s="760"/>
      <c r="B12404" s="760"/>
      <c r="C12404" s="760"/>
      <c r="D12404" s="760"/>
      <c r="E12404" s="760"/>
      <c r="F12404" s="760"/>
      <c r="G12404" s="760"/>
      <c r="H12404" s="760"/>
      <c r="I12404" s="760"/>
      <c r="J12404" s="760"/>
      <c r="K12404" s="760"/>
    </row>
    <row r="12405" spans="1:11">
      <c r="A12405" s="760"/>
      <c r="B12405" s="760"/>
      <c r="C12405" s="760"/>
      <c r="D12405" s="760"/>
      <c r="E12405" s="760"/>
      <c r="F12405" s="760"/>
      <c r="G12405" s="760"/>
      <c r="H12405" s="760"/>
      <c r="I12405" s="760"/>
      <c r="J12405" s="760"/>
      <c r="K12405" s="760"/>
    </row>
    <row r="12406" spans="1:11">
      <c r="A12406" s="760"/>
      <c r="B12406" s="760"/>
      <c r="C12406" s="760"/>
      <c r="D12406" s="760"/>
      <c r="E12406" s="760"/>
      <c r="F12406" s="760"/>
      <c r="G12406" s="760"/>
      <c r="H12406" s="760"/>
      <c r="I12406" s="760"/>
      <c r="J12406" s="760"/>
      <c r="K12406" s="760"/>
    </row>
    <row r="12407" spans="1:11">
      <c r="A12407" s="760"/>
      <c r="B12407" s="760"/>
      <c r="C12407" s="760"/>
      <c r="D12407" s="760"/>
      <c r="E12407" s="760"/>
      <c r="F12407" s="760"/>
      <c r="G12407" s="760"/>
      <c r="H12407" s="760"/>
      <c r="I12407" s="760"/>
      <c r="J12407" s="760"/>
      <c r="K12407" s="760"/>
    </row>
    <row r="12408" spans="1:11">
      <c r="A12408" s="760"/>
      <c r="B12408" s="760"/>
      <c r="C12408" s="760"/>
      <c r="D12408" s="760"/>
      <c r="E12408" s="760"/>
      <c r="F12408" s="760"/>
      <c r="G12408" s="760"/>
      <c r="H12408" s="760"/>
      <c r="I12408" s="760"/>
      <c r="J12408" s="760"/>
      <c r="K12408" s="760"/>
    </row>
    <row r="12409" spans="1:11">
      <c r="A12409" s="760"/>
      <c r="B12409" s="760"/>
      <c r="C12409" s="760"/>
      <c r="D12409" s="760"/>
      <c r="E12409" s="760"/>
      <c r="F12409" s="760"/>
      <c r="G12409" s="760"/>
      <c r="H12409" s="760"/>
      <c r="I12409" s="760"/>
      <c r="J12409" s="760"/>
      <c r="K12409" s="760"/>
    </row>
    <row r="12410" spans="1:11">
      <c r="A12410" s="760"/>
      <c r="B12410" s="760"/>
      <c r="C12410" s="760"/>
      <c r="D12410" s="760"/>
      <c r="E12410" s="760"/>
      <c r="F12410" s="760"/>
      <c r="G12410" s="760"/>
      <c r="H12410" s="760"/>
      <c r="I12410" s="760"/>
      <c r="J12410" s="760"/>
      <c r="K12410" s="760"/>
    </row>
    <row r="12411" spans="1:11">
      <c r="A12411" s="760"/>
      <c r="B12411" s="760"/>
      <c r="C12411" s="760"/>
      <c r="D12411" s="760"/>
      <c r="E12411" s="760"/>
      <c r="F12411" s="760"/>
      <c r="G12411" s="760"/>
      <c r="H12411" s="760"/>
      <c r="I12411" s="760"/>
      <c r="J12411" s="760"/>
      <c r="K12411" s="760"/>
    </row>
    <row r="12412" spans="1:11">
      <c r="A12412" s="760"/>
      <c r="B12412" s="760"/>
      <c r="C12412" s="760"/>
      <c r="D12412" s="760"/>
      <c r="E12412" s="760"/>
      <c r="F12412" s="760"/>
      <c r="G12412" s="760"/>
      <c r="H12412" s="760"/>
      <c r="I12412" s="760"/>
      <c r="J12412" s="760"/>
      <c r="K12412" s="760"/>
    </row>
    <row r="12413" spans="1:11">
      <c r="A12413" s="760"/>
      <c r="B12413" s="760"/>
      <c r="C12413" s="760"/>
      <c r="D12413" s="760"/>
      <c r="E12413" s="760"/>
      <c r="F12413" s="760"/>
      <c r="G12413" s="760"/>
      <c r="H12413" s="760"/>
      <c r="I12413" s="760"/>
      <c r="J12413" s="760"/>
      <c r="K12413" s="760"/>
    </row>
    <row r="12414" spans="1:11">
      <c r="A12414" s="760"/>
      <c r="B12414" s="760"/>
      <c r="C12414" s="760"/>
      <c r="D12414" s="760"/>
      <c r="E12414" s="760"/>
      <c r="F12414" s="760"/>
      <c r="G12414" s="760"/>
      <c r="H12414" s="760"/>
      <c r="I12414" s="760"/>
      <c r="J12414" s="760"/>
      <c r="K12414" s="760"/>
    </row>
    <row r="12415" spans="1:11">
      <c r="A12415" s="760"/>
      <c r="B12415" s="760"/>
      <c r="C12415" s="760"/>
      <c r="D12415" s="760"/>
      <c r="E12415" s="760"/>
      <c r="F12415" s="760"/>
      <c r="G12415" s="760"/>
      <c r="H12415" s="760"/>
      <c r="I12415" s="760"/>
      <c r="J12415" s="760"/>
      <c r="K12415" s="760"/>
    </row>
    <row r="12416" spans="1:11">
      <c r="A12416" s="760"/>
      <c r="B12416" s="760"/>
      <c r="C12416" s="760"/>
      <c r="D12416" s="760"/>
      <c r="E12416" s="760"/>
      <c r="F12416" s="760"/>
      <c r="G12416" s="760"/>
      <c r="H12416" s="760"/>
      <c r="I12416" s="760"/>
      <c r="J12416" s="760"/>
      <c r="K12416" s="760"/>
    </row>
    <row r="12417" spans="1:11">
      <c r="A12417" s="760"/>
      <c r="B12417" s="760"/>
      <c r="C12417" s="760"/>
      <c r="D12417" s="760"/>
      <c r="E12417" s="760"/>
      <c r="F12417" s="760"/>
      <c r="G12417" s="760"/>
      <c r="H12417" s="760"/>
      <c r="I12417" s="760"/>
      <c r="J12417" s="760"/>
      <c r="K12417" s="760"/>
    </row>
    <row r="12418" spans="1:11">
      <c r="A12418" s="760"/>
      <c r="B12418" s="760"/>
      <c r="C12418" s="760"/>
      <c r="D12418" s="760"/>
      <c r="E12418" s="760"/>
      <c r="F12418" s="760"/>
      <c r="G12418" s="760"/>
      <c r="H12418" s="760"/>
      <c r="I12418" s="760"/>
      <c r="J12418" s="760"/>
      <c r="K12418" s="760"/>
    </row>
    <row r="12419" spans="1:11">
      <c r="A12419" s="760"/>
      <c r="B12419" s="760"/>
      <c r="C12419" s="760"/>
      <c r="D12419" s="760"/>
      <c r="E12419" s="760"/>
      <c r="F12419" s="760"/>
      <c r="G12419" s="760"/>
      <c r="H12419" s="760"/>
      <c r="I12419" s="760"/>
      <c r="J12419" s="760"/>
      <c r="K12419" s="760"/>
    </row>
    <row r="12420" spans="1:11">
      <c r="A12420" s="760"/>
      <c r="B12420" s="760"/>
      <c r="C12420" s="760"/>
      <c r="D12420" s="760"/>
      <c r="E12420" s="760"/>
      <c r="F12420" s="760"/>
      <c r="G12420" s="760"/>
      <c r="H12420" s="760"/>
      <c r="I12420" s="760"/>
      <c r="J12420" s="760"/>
      <c r="K12420" s="760"/>
    </row>
    <row r="12421" spans="1:11">
      <c r="A12421" s="760"/>
      <c r="B12421" s="760"/>
      <c r="C12421" s="760"/>
      <c r="D12421" s="760"/>
      <c r="E12421" s="760"/>
      <c r="F12421" s="760"/>
      <c r="G12421" s="760"/>
      <c r="H12421" s="760"/>
      <c r="I12421" s="760"/>
      <c r="J12421" s="760"/>
      <c r="K12421" s="760"/>
    </row>
    <row r="12422" spans="1:11">
      <c r="A12422" s="760"/>
      <c r="B12422" s="760"/>
      <c r="C12422" s="760"/>
      <c r="D12422" s="760"/>
      <c r="E12422" s="760"/>
      <c r="F12422" s="760"/>
      <c r="G12422" s="760"/>
      <c r="H12422" s="760"/>
      <c r="I12422" s="760"/>
      <c r="J12422" s="760"/>
      <c r="K12422" s="760"/>
    </row>
    <row r="12423" spans="1:11">
      <c r="A12423" s="760"/>
      <c r="B12423" s="760"/>
      <c r="C12423" s="760"/>
      <c r="D12423" s="760"/>
      <c r="E12423" s="760"/>
      <c r="F12423" s="760"/>
      <c r="G12423" s="760"/>
      <c r="H12423" s="760"/>
      <c r="I12423" s="760"/>
      <c r="J12423" s="760"/>
      <c r="K12423" s="760"/>
    </row>
    <row r="12424" spans="1:11">
      <c r="A12424" s="760"/>
      <c r="B12424" s="760"/>
      <c r="C12424" s="760"/>
      <c r="D12424" s="760"/>
      <c r="E12424" s="760"/>
      <c r="F12424" s="760"/>
      <c r="G12424" s="760"/>
      <c r="H12424" s="760"/>
      <c r="I12424" s="760"/>
      <c r="J12424" s="760"/>
      <c r="K12424" s="760"/>
    </row>
    <row r="12425" spans="1:11">
      <c r="A12425" s="760"/>
      <c r="B12425" s="760"/>
      <c r="C12425" s="760"/>
      <c r="D12425" s="760"/>
      <c r="E12425" s="760"/>
      <c r="F12425" s="760"/>
      <c r="G12425" s="760"/>
      <c r="H12425" s="760"/>
      <c r="I12425" s="760"/>
      <c r="J12425" s="760"/>
      <c r="K12425" s="760"/>
    </row>
    <row r="12426" spans="1:11">
      <c r="A12426" s="760"/>
      <c r="B12426" s="760"/>
      <c r="C12426" s="760"/>
      <c r="D12426" s="760"/>
      <c r="E12426" s="760"/>
      <c r="F12426" s="760"/>
      <c r="G12426" s="760"/>
      <c r="H12426" s="760"/>
      <c r="I12426" s="760"/>
      <c r="J12426" s="760"/>
      <c r="K12426" s="760"/>
    </row>
    <row r="12427" spans="1:11">
      <c r="A12427" s="760"/>
      <c r="B12427" s="760"/>
      <c r="C12427" s="760"/>
      <c r="D12427" s="760"/>
      <c r="E12427" s="760"/>
      <c r="F12427" s="760"/>
      <c r="G12427" s="760"/>
      <c r="H12427" s="760"/>
      <c r="I12427" s="760"/>
      <c r="J12427" s="760"/>
      <c r="K12427" s="760"/>
    </row>
    <row r="12428" spans="1:11">
      <c r="A12428" s="760"/>
      <c r="B12428" s="760"/>
      <c r="C12428" s="760"/>
      <c r="D12428" s="760"/>
      <c r="E12428" s="760"/>
      <c r="F12428" s="760"/>
      <c r="G12428" s="760"/>
      <c r="H12428" s="760"/>
      <c r="I12428" s="760"/>
      <c r="J12428" s="760"/>
      <c r="K12428" s="760"/>
    </row>
    <row r="12429" spans="1:11">
      <c r="A12429" s="760"/>
      <c r="B12429" s="760"/>
      <c r="C12429" s="760"/>
      <c r="D12429" s="760"/>
      <c r="E12429" s="760"/>
      <c r="F12429" s="760"/>
      <c r="G12429" s="760"/>
      <c r="H12429" s="760"/>
      <c r="I12429" s="760"/>
      <c r="J12429" s="760"/>
      <c r="K12429" s="760"/>
    </row>
    <row r="12430" spans="1:11">
      <c r="A12430" s="760"/>
      <c r="B12430" s="760"/>
      <c r="C12430" s="760"/>
      <c r="D12430" s="760"/>
      <c r="E12430" s="760"/>
      <c r="F12430" s="760"/>
      <c r="G12430" s="760"/>
      <c r="H12430" s="760"/>
      <c r="I12430" s="760"/>
      <c r="J12430" s="760"/>
      <c r="K12430" s="760"/>
    </row>
    <row r="12431" spans="1:11">
      <c r="A12431" s="760"/>
      <c r="B12431" s="760"/>
      <c r="C12431" s="760"/>
      <c r="D12431" s="760"/>
      <c r="E12431" s="760"/>
      <c r="F12431" s="760"/>
      <c r="G12431" s="760"/>
      <c r="H12431" s="760"/>
      <c r="I12431" s="760"/>
      <c r="J12431" s="760"/>
      <c r="K12431" s="760"/>
    </row>
    <row r="12432" spans="1:11">
      <c r="A12432" s="760"/>
      <c r="B12432" s="760"/>
      <c r="C12432" s="760"/>
      <c r="D12432" s="760"/>
      <c r="E12432" s="760"/>
      <c r="F12432" s="760"/>
      <c r="G12432" s="760"/>
      <c r="H12432" s="760"/>
      <c r="I12432" s="760"/>
      <c r="J12432" s="760"/>
      <c r="K12432" s="760"/>
    </row>
    <row r="12433" spans="1:11">
      <c r="A12433" s="760"/>
      <c r="B12433" s="760"/>
      <c r="C12433" s="760"/>
      <c r="D12433" s="760"/>
      <c r="E12433" s="760"/>
      <c r="F12433" s="760"/>
      <c r="G12433" s="760"/>
      <c r="H12433" s="760"/>
      <c r="I12433" s="760"/>
      <c r="J12433" s="760"/>
      <c r="K12433" s="760"/>
    </row>
    <row r="12434" spans="1:11">
      <c r="A12434" s="760"/>
      <c r="B12434" s="760"/>
      <c r="C12434" s="760"/>
      <c r="D12434" s="760"/>
      <c r="E12434" s="760"/>
      <c r="F12434" s="760"/>
      <c r="G12434" s="760"/>
      <c r="H12434" s="760"/>
      <c r="I12434" s="760"/>
      <c r="J12434" s="760"/>
      <c r="K12434" s="760"/>
    </row>
    <row r="12435" spans="1:11">
      <c r="A12435" s="760"/>
      <c r="B12435" s="760"/>
      <c r="C12435" s="760"/>
      <c r="D12435" s="760"/>
      <c r="E12435" s="760"/>
      <c r="F12435" s="760"/>
      <c r="G12435" s="760"/>
      <c r="H12435" s="760"/>
      <c r="I12435" s="760"/>
      <c r="J12435" s="760"/>
      <c r="K12435" s="760"/>
    </row>
    <row r="12436" spans="1:11">
      <c r="A12436" s="760"/>
      <c r="B12436" s="760"/>
      <c r="C12436" s="760"/>
      <c r="D12436" s="760"/>
      <c r="E12436" s="760"/>
      <c r="F12436" s="760"/>
      <c r="G12436" s="760"/>
      <c r="H12436" s="760"/>
      <c r="I12436" s="760"/>
      <c r="J12436" s="760"/>
      <c r="K12436" s="760"/>
    </row>
    <row r="12437" spans="1:11">
      <c r="A12437" s="760"/>
      <c r="B12437" s="760"/>
      <c r="C12437" s="760"/>
      <c r="D12437" s="760"/>
      <c r="E12437" s="760"/>
      <c r="F12437" s="760"/>
      <c r="G12437" s="760"/>
      <c r="H12437" s="760"/>
      <c r="I12437" s="760"/>
      <c r="J12437" s="760"/>
      <c r="K12437" s="760"/>
    </row>
    <row r="12438" spans="1:11">
      <c r="A12438" s="760"/>
      <c r="B12438" s="760"/>
      <c r="C12438" s="760"/>
      <c r="D12438" s="760"/>
      <c r="E12438" s="760"/>
      <c r="F12438" s="760"/>
      <c r="G12438" s="760"/>
      <c r="H12438" s="760"/>
      <c r="I12438" s="760"/>
      <c r="J12438" s="760"/>
      <c r="K12438" s="760"/>
    </row>
    <row r="12439" spans="1:11">
      <c r="A12439" s="760"/>
      <c r="B12439" s="760"/>
      <c r="C12439" s="760"/>
      <c r="D12439" s="760"/>
      <c r="E12439" s="760"/>
      <c r="F12439" s="760"/>
      <c r="G12439" s="760"/>
      <c r="H12439" s="760"/>
      <c r="I12439" s="760"/>
      <c r="J12439" s="760"/>
      <c r="K12439" s="760"/>
    </row>
    <row r="12440" spans="1:11">
      <c r="A12440" s="760"/>
      <c r="B12440" s="760"/>
      <c r="C12440" s="760"/>
      <c r="D12440" s="760"/>
      <c r="E12440" s="760"/>
      <c r="F12440" s="760"/>
      <c r="G12440" s="760"/>
      <c r="H12440" s="760"/>
      <c r="I12440" s="760"/>
      <c r="J12440" s="760"/>
      <c r="K12440" s="760"/>
    </row>
    <row r="12441" spans="1:11">
      <c r="A12441" s="760"/>
      <c r="B12441" s="760"/>
      <c r="C12441" s="760"/>
      <c r="D12441" s="760"/>
      <c r="E12441" s="760"/>
      <c r="F12441" s="760"/>
      <c r="G12441" s="760"/>
      <c r="H12441" s="760"/>
      <c r="I12441" s="760"/>
      <c r="J12441" s="760"/>
      <c r="K12441" s="760"/>
    </row>
    <row r="12442" spans="1:11">
      <c r="A12442" s="760"/>
      <c r="B12442" s="760"/>
      <c r="C12442" s="760"/>
      <c r="D12442" s="760"/>
      <c r="E12442" s="760"/>
      <c r="F12442" s="760"/>
      <c r="G12442" s="760"/>
      <c r="H12442" s="760"/>
      <c r="I12442" s="760"/>
      <c r="J12442" s="760"/>
      <c r="K12442" s="760"/>
    </row>
    <row r="12443" spans="1:11">
      <c r="A12443" s="760"/>
      <c r="B12443" s="760"/>
      <c r="C12443" s="760"/>
      <c r="D12443" s="760"/>
      <c r="E12443" s="760"/>
      <c r="F12443" s="760"/>
      <c r="G12443" s="760"/>
      <c r="H12443" s="760"/>
      <c r="I12443" s="760"/>
      <c r="J12443" s="760"/>
      <c r="K12443" s="760"/>
    </row>
    <row r="12444" spans="1:11">
      <c r="A12444" s="760"/>
      <c r="B12444" s="760"/>
      <c r="C12444" s="760"/>
      <c r="D12444" s="760"/>
      <c r="E12444" s="760"/>
      <c r="F12444" s="760"/>
      <c r="G12444" s="760"/>
      <c r="H12444" s="760"/>
      <c r="I12444" s="760"/>
      <c r="J12444" s="760"/>
      <c r="K12444" s="760"/>
    </row>
    <row r="12445" spans="1:11">
      <c r="A12445" s="760"/>
      <c r="B12445" s="760"/>
      <c r="C12445" s="760"/>
      <c r="D12445" s="760"/>
      <c r="E12445" s="760"/>
      <c r="F12445" s="760"/>
      <c r="G12445" s="760"/>
      <c r="H12445" s="760"/>
      <c r="I12445" s="760"/>
      <c r="J12445" s="760"/>
      <c r="K12445" s="760"/>
    </row>
    <row r="12446" spans="1:11">
      <c r="A12446" s="760"/>
      <c r="B12446" s="760"/>
      <c r="C12446" s="760"/>
      <c r="D12446" s="760"/>
      <c r="E12446" s="760"/>
      <c r="F12446" s="760"/>
      <c r="G12446" s="760"/>
      <c r="H12446" s="760"/>
      <c r="I12446" s="760"/>
      <c r="J12446" s="760"/>
      <c r="K12446" s="760"/>
    </row>
    <row r="12447" spans="1:11">
      <c r="A12447" s="760"/>
      <c r="B12447" s="760"/>
      <c r="C12447" s="760"/>
      <c r="D12447" s="760"/>
      <c r="E12447" s="760"/>
      <c r="F12447" s="760"/>
      <c r="G12447" s="760"/>
      <c r="H12447" s="760"/>
      <c r="I12447" s="760"/>
      <c r="J12447" s="760"/>
      <c r="K12447" s="760"/>
    </row>
    <row r="12448" spans="1:11">
      <c r="A12448" s="760"/>
      <c r="B12448" s="760"/>
      <c r="C12448" s="760"/>
      <c r="D12448" s="760"/>
      <c r="E12448" s="760"/>
      <c r="F12448" s="760"/>
      <c r="G12448" s="760"/>
      <c r="H12448" s="760"/>
      <c r="I12448" s="760"/>
      <c r="J12448" s="760"/>
      <c r="K12448" s="760"/>
    </row>
    <row r="12449" spans="1:11">
      <c r="A12449" s="760"/>
      <c r="B12449" s="760"/>
      <c r="C12449" s="760"/>
      <c r="D12449" s="760"/>
      <c r="E12449" s="760"/>
      <c r="F12449" s="760"/>
      <c r="G12449" s="760"/>
      <c r="H12449" s="760"/>
      <c r="I12449" s="760"/>
      <c r="J12449" s="760"/>
      <c r="K12449" s="760"/>
    </row>
    <row r="12450" spans="1:11">
      <c r="A12450" s="760"/>
      <c r="B12450" s="760"/>
      <c r="C12450" s="760"/>
      <c r="D12450" s="760"/>
      <c r="E12450" s="760"/>
      <c r="F12450" s="760"/>
      <c r="G12450" s="760"/>
      <c r="H12450" s="760"/>
      <c r="I12450" s="760"/>
      <c r="J12450" s="760"/>
      <c r="K12450" s="760"/>
    </row>
    <row r="12451" spans="1:11">
      <c r="A12451" s="760"/>
      <c r="B12451" s="760"/>
      <c r="C12451" s="760"/>
      <c r="D12451" s="760"/>
      <c r="E12451" s="760"/>
      <c r="F12451" s="760"/>
      <c r="G12451" s="760"/>
      <c r="H12451" s="760"/>
      <c r="I12451" s="760"/>
      <c r="J12451" s="760"/>
      <c r="K12451" s="760"/>
    </row>
    <row r="12452" spans="1:11">
      <c r="A12452" s="760"/>
      <c r="B12452" s="760"/>
      <c r="C12452" s="760"/>
      <c r="D12452" s="760"/>
      <c r="E12452" s="760"/>
      <c r="F12452" s="760"/>
      <c r="G12452" s="760"/>
      <c r="H12452" s="760"/>
      <c r="I12452" s="760"/>
      <c r="J12452" s="760"/>
      <c r="K12452" s="760"/>
    </row>
    <row r="12453" spans="1:11">
      <c r="A12453" s="760"/>
      <c r="B12453" s="760"/>
      <c r="C12453" s="760"/>
      <c r="D12453" s="760"/>
      <c r="E12453" s="760"/>
      <c r="F12453" s="760"/>
      <c r="G12453" s="760"/>
      <c r="H12453" s="760"/>
      <c r="I12453" s="760"/>
      <c r="J12453" s="760"/>
      <c r="K12453" s="760"/>
    </row>
    <row r="12454" spans="1:11">
      <c r="A12454" s="760"/>
      <c r="B12454" s="760"/>
      <c r="C12454" s="760"/>
      <c r="D12454" s="760"/>
      <c r="E12454" s="760"/>
      <c r="F12454" s="760"/>
      <c r="G12454" s="760"/>
      <c r="H12454" s="760"/>
      <c r="I12454" s="760"/>
      <c r="J12454" s="760"/>
      <c r="K12454" s="760"/>
    </row>
    <row r="12455" spans="1:11">
      <c r="A12455" s="760"/>
      <c r="B12455" s="760"/>
      <c r="C12455" s="760"/>
      <c r="D12455" s="760"/>
      <c r="E12455" s="760"/>
      <c r="F12455" s="760"/>
      <c r="G12455" s="760"/>
      <c r="H12455" s="760"/>
      <c r="I12455" s="760"/>
      <c r="J12455" s="760"/>
      <c r="K12455" s="760"/>
    </row>
    <row r="12456" spans="1:11">
      <c r="A12456" s="760"/>
      <c r="B12456" s="760"/>
      <c r="C12456" s="760"/>
      <c r="D12456" s="760"/>
      <c r="E12456" s="760"/>
      <c r="F12456" s="760"/>
      <c r="G12456" s="760"/>
      <c r="H12456" s="760"/>
      <c r="I12456" s="760"/>
      <c r="J12456" s="760"/>
      <c r="K12456" s="760"/>
    </row>
    <row r="12457" spans="1:11">
      <c r="A12457" s="760"/>
      <c r="B12457" s="760"/>
      <c r="C12457" s="760"/>
      <c r="D12457" s="760"/>
      <c r="E12457" s="760"/>
      <c r="F12457" s="760"/>
      <c r="G12457" s="760"/>
      <c r="H12457" s="760"/>
      <c r="I12457" s="760"/>
      <c r="J12457" s="760"/>
      <c r="K12457" s="760"/>
    </row>
    <row r="12458" spans="1:11">
      <c r="A12458" s="760"/>
      <c r="B12458" s="760"/>
      <c r="C12458" s="760"/>
      <c r="D12458" s="760"/>
      <c r="E12458" s="760"/>
      <c r="F12458" s="760"/>
      <c r="G12458" s="760"/>
      <c r="H12458" s="760"/>
      <c r="I12458" s="760"/>
      <c r="J12458" s="760"/>
      <c r="K12458" s="760"/>
    </row>
    <row r="12459" spans="1:11">
      <c r="A12459" s="760"/>
      <c r="B12459" s="760"/>
      <c r="C12459" s="760"/>
      <c r="D12459" s="760"/>
      <c r="E12459" s="760"/>
      <c r="F12459" s="760"/>
      <c r="G12459" s="760"/>
      <c r="H12459" s="760"/>
      <c r="I12459" s="760"/>
      <c r="J12459" s="760"/>
      <c r="K12459" s="760"/>
    </row>
    <row r="12460" spans="1:11">
      <c r="A12460" s="760"/>
      <c r="B12460" s="760"/>
      <c r="C12460" s="760"/>
      <c r="D12460" s="760"/>
      <c r="E12460" s="760"/>
      <c r="F12460" s="760"/>
      <c r="G12460" s="760"/>
      <c r="H12460" s="760"/>
      <c r="I12460" s="760"/>
      <c r="J12460" s="760"/>
      <c r="K12460" s="760"/>
    </row>
    <row r="12461" spans="1:11">
      <c r="A12461" s="760"/>
      <c r="B12461" s="760"/>
      <c r="C12461" s="760"/>
      <c r="D12461" s="760"/>
      <c r="E12461" s="760"/>
      <c r="F12461" s="760"/>
      <c r="G12461" s="760"/>
      <c r="H12461" s="760"/>
      <c r="I12461" s="760"/>
      <c r="J12461" s="760"/>
      <c r="K12461" s="760"/>
    </row>
    <row r="12462" spans="1:11">
      <c r="A12462" s="760"/>
      <c r="B12462" s="760"/>
      <c r="C12462" s="760"/>
      <c r="D12462" s="760"/>
      <c r="E12462" s="760"/>
      <c r="F12462" s="760"/>
      <c r="G12462" s="760"/>
      <c r="H12462" s="760"/>
      <c r="I12462" s="760"/>
      <c r="J12462" s="760"/>
      <c r="K12462" s="760"/>
    </row>
    <row r="12463" spans="1:11">
      <c r="A12463" s="760"/>
      <c r="B12463" s="760"/>
      <c r="C12463" s="760"/>
      <c r="D12463" s="760"/>
      <c r="E12463" s="760"/>
      <c r="F12463" s="760"/>
      <c r="G12463" s="760"/>
      <c r="H12463" s="760"/>
      <c r="I12463" s="760"/>
      <c r="J12463" s="760"/>
      <c r="K12463" s="760"/>
    </row>
    <row r="12464" spans="1:11">
      <c r="A12464" s="760"/>
      <c r="B12464" s="760"/>
      <c r="C12464" s="760"/>
      <c r="D12464" s="760"/>
      <c r="E12464" s="760"/>
      <c r="F12464" s="760"/>
      <c r="G12464" s="760"/>
      <c r="H12464" s="760"/>
      <c r="I12464" s="760"/>
      <c r="J12464" s="760"/>
      <c r="K12464" s="760"/>
    </row>
    <row r="12465" spans="1:11">
      <c r="A12465" s="760"/>
      <c r="B12465" s="760"/>
      <c r="C12465" s="760"/>
      <c r="D12465" s="760"/>
      <c r="E12465" s="760"/>
      <c r="F12465" s="760"/>
      <c r="G12465" s="760"/>
      <c r="H12465" s="760"/>
      <c r="I12465" s="760"/>
      <c r="J12465" s="760"/>
      <c r="K12465" s="760"/>
    </row>
    <row r="12466" spans="1:11">
      <c r="A12466" s="760"/>
      <c r="B12466" s="760"/>
      <c r="C12466" s="760"/>
      <c r="D12466" s="760"/>
      <c r="E12466" s="760"/>
      <c r="F12466" s="760"/>
      <c r="G12466" s="760"/>
      <c r="H12466" s="760"/>
      <c r="I12466" s="760"/>
      <c r="J12466" s="760"/>
      <c r="K12466" s="760"/>
    </row>
    <row r="12467" spans="1:11">
      <c r="A12467" s="760"/>
      <c r="B12467" s="760"/>
      <c r="C12467" s="760"/>
      <c r="D12467" s="760"/>
      <c r="E12467" s="760"/>
      <c r="F12467" s="760"/>
      <c r="G12467" s="760"/>
      <c r="H12467" s="760"/>
      <c r="I12467" s="760"/>
      <c r="J12467" s="760"/>
      <c r="K12467" s="760"/>
    </row>
    <row r="12468" spans="1:11">
      <c r="A12468" s="760"/>
      <c r="B12468" s="760"/>
      <c r="C12468" s="760"/>
      <c r="D12468" s="760"/>
      <c r="E12468" s="760"/>
      <c r="F12468" s="760"/>
      <c r="G12468" s="760"/>
      <c r="H12468" s="760"/>
      <c r="I12468" s="760"/>
      <c r="J12468" s="760"/>
      <c r="K12468" s="760"/>
    </row>
    <row r="12469" spans="1:11">
      <c r="A12469" s="760"/>
      <c r="B12469" s="760"/>
      <c r="C12469" s="760"/>
      <c r="D12469" s="760"/>
      <c r="E12469" s="760"/>
      <c r="F12469" s="760"/>
      <c r="G12469" s="760"/>
      <c r="H12469" s="760"/>
      <c r="I12469" s="760"/>
      <c r="J12469" s="760"/>
      <c r="K12469" s="760"/>
    </row>
    <row r="12470" spans="1:11">
      <c r="A12470" s="760"/>
      <c r="B12470" s="760"/>
      <c r="C12470" s="760"/>
      <c r="D12470" s="760"/>
      <c r="E12470" s="760"/>
      <c r="F12470" s="760"/>
      <c r="G12470" s="760"/>
      <c r="H12470" s="760"/>
      <c r="I12470" s="760"/>
      <c r="J12470" s="760"/>
      <c r="K12470" s="760"/>
    </row>
    <row r="12471" spans="1:11">
      <c r="A12471" s="760"/>
      <c r="B12471" s="760"/>
      <c r="C12471" s="760"/>
      <c r="D12471" s="760"/>
      <c r="E12471" s="760"/>
      <c r="F12471" s="760"/>
      <c r="G12471" s="760"/>
      <c r="H12471" s="760"/>
      <c r="I12471" s="760"/>
      <c r="J12471" s="760"/>
      <c r="K12471" s="760"/>
    </row>
    <row r="12472" spans="1:11">
      <c r="A12472" s="760"/>
      <c r="B12472" s="760"/>
      <c r="C12472" s="760"/>
      <c r="D12472" s="760"/>
      <c r="E12472" s="760"/>
      <c r="F12472" s="760"/>
      <c r="G12472" s="760"/>
      <c r="H12472" s="760"/>
      <c r="I12472" s="760"/>
      <c r="J12472" s="760"/>
      <c r="K12472" s="760"/>
    </row>
    <row r="12473" spans="1:11">
      <c r="A12473" s="760"/>
      <c r="B12473" s="760"/>
      <c r="C12473" s="760"/>
      <c r="D12473" s="760"/>
      <c r="E12473" s="760"/>
      <c r="F12473" s="760"/>
      <c r="G12473" s="760"/>
      <c r="H12473" s="760"/>
      <c r="I12473" s="760"/>
      <c r="J12473" s="760"/>
      <c r="K12473" s="760"/>
    </row>
    <row r="12474" spans="1:11">
      <c r="A12474" s="760"/>
      <c r="B12474" s="760"/>
      <c r="C12474" s="760"/>
      <c r="D12474" s="760"/>
      <c r="E12474" s="760"/>
      <c r="F12474" s="760"/>
      <c r="G12474" s="760"/>
      <c r="H12474" s="760"/>
      <c r="I12474" s="760"/>
      <c r="J12474" s="760"/>
      <c r="K12474" s="760"/>
    </row>
    <row r="12475" spans="1:11">
      <c r="A12475" s="760"/>
      <c r="B12475" s="760"/>
      <c r="C12475" s="760"/>
      <c r="D12475" s="760"/>
      <c r="E12475" s="760"/>
      <c r="F12475" s="760"/>
      <c r="G12475" s="760"/>
      <c r="H12475" s="760"/>
      <c r="I12475" s="760"/>
      <c r="J12475" s="760"/>
      <c r="K12475" s="760"/>
    </row>
    <row r="12476" spans="1:11">
      <c r="A12476" s="760"/>
      <c r="B12476" s="760"/>
      <c r="C12476" s="760"/>
      <c r="D12476" s="760"/>
      <c r="E12476" s="760"/>
      <c r="F12476" s="760"/>
      <c r="G12476" s="760"/>
      <c r="H12476" s="760"/>
      <c r="I12476" s="760"/>
      <c r="J12476" s="760"/>
      <c r="K12476" s="760"/>
    </row>
    <row r="12477" spans="1:11">
      <c r="A12477" s="760"/>
      <c r="B12477" s="760"/>
      <c r="C12477" s="760"/>
      <c r="D12477" s="760"/>
      <c r="E12477" s="760"/>
      <c r="F12477" s="760"/>
      <c r="G12477" s="760"/>
      <c r="H12477" s="760"/>
      <c r="I12477" s="760"/>
      <c r="J12477" s="760"/>
      <c r="K12477" s="760"/>
    </row>
    <row r="12478" spans="1:11">
      <c r="A12478" s="760"/>
      <c r="B12478" s="760"/>
      <c r="C12478" s="760"/>
      <c r="D12478" s="760"/>
      <c r="E12478" s="760"/>
      <c r="F12478" s="760"/>
      <c r="G12478" s="760"/>
      <c r="H12478" s="760"/>
      <c r="I12478" s="760"/>
      <c r="J12478" s="760"/>
      <c r="K12478" s="760"/>
    </row>
    <row r="12479" spans="1:11">
      <c r="A12479" s="760"/>
      <c r="B12479" s="760"/>
      <c r="C12479" s="760"/>
      <c r="D12479" s="760"/>
      <c r="E12479" s="760"/>
      <c r="F12479" s="760"/>
      <c r="G12479" s="760"/>
      <c r="H12479" s="760"/>
      <c r="I12479" s="760"/>
      <c r="J12479" s="760"/>
      <c r="K12479" s="760"/>
    </row>
    <row r="12480" spans="1:11">
      <c r="A12480" s="760"/>
      <c r="B12480" s="760"/>
      <c r="C12480" s="760"/>
      <c r="D12480" s="760"/>
      <c r="E12480" s="760"/>
      <c r="F12480" s="760"/>
      <c r="G12480" s="760"/>
      <c r="H12480" s="760"/>
      <c r="I12480" s="760"/>
      <c r="J12480" s="760"/>
      <c r="K12480" s="760"/>
    </row>
    <row r="12481" spans="1:11">
      <c r="A12481" s="760"/>
      <c r="B12481" s="760"/>
      <c r="C12481" s="760"/>
      <c r="D12481" s="760"/>
      <c r="E12481" s="760"/>
      <c r="F12481" s="760"/>
      <c r="G12481" s="760"/>
      <c r="H12481" s="760"/>
      <c r="I12481" s="760"/>
      <c r="J12481" s="760"/>
      <c r="K12481" s="760"/>
    </row>
    <row r="12482" spans="1:11">
      <c r="A12482" s="760"/>
      <c r="B12482" s="760"/>
      <c r="C12482" s="760"/>
      <c r="D12482" s="760"/>
      <c r="E12482" s="760"/>
      <c r="F12482" s="760"/>
      <c r="G12482" s="760"/>
      <c r="H12482" s="760"/>
      <c r="I12482" s="760"/>
      <c r="J12482" s="760"/>
      <c r="K12482" s="760"/>
    </row>
    <row r="12483" spans="1:11">
      <c r="A12483" s="760"/>
      <c r="B12483" s="760"/>
      <c r="C12483" s="760"/>
      <c r="D12483" s="760"/>
      <c r="E12483" s="760"/>
      <c r="F12483" s="760"/>
      <c r="G12483" s="760"/>
      <c r="H12483" s="760"/>
      <c r="I12483" s="760"/>
      <c r="J12483" s="760"/>
      <c r="K12483" s="760"/>
    </row>
    <row r="12484" spans="1:11">
      <c r="A12484" s="760"/>
      <c r="B12484" s="760"/>
      <c r="C12484" s="760"/>
      <c r="D12484" s="760"/>
      <c r="E12484" s="760"/>
      <c r="F12484" s="760"/>
      <c r="G12484" s="760"/>
      <c r="H12484" s="760"/>
      <c r="I12484" s="760"/>
      <c r="J12484" s="760"/>
      <c r="K12484" s="760"/>
    </row>
    <row r="12485" spans="1:11">
      <c r="A12485" s="760"/>
      <c r="B12485" s="760"/>
      <c r="C12485" s="760"/>
      <c r="D12485" s="760"/>
      <c r="E12485" s="760"/>
      <c r="F12485" s="760"/>
      <c r="G12485" s="760"/>
      <c r="H12485" s="760"/>
      <c r="I12485" s="760"/>
      <c r="J12485" s="760"/>
      <c r="K12485" s="760"/>
    </row>
    <row r="12486" spans="1:11">
      <c r="A12486" s="760"/>
      <c r="B12486" s="760"/>
      <c r="C12486" s="760"/>
      <c r="D12486" s="760"/>
      <c r="E12486" s="760"/>
      <c r="F12486" s="760"/>
      <c r="G12486" s="760"/>
      <c r="H12486" s="760"/>
      <c r="I12486" s="760"/>
      <c r="J12486" s="760"/>
      <c r="K12486" s="760"/>
    </row>
    <row r="12487" spans="1:11">
      <c r="A12487" s="760"/>
      <c r="B12487" s="760"/>
      <c r="C12487" s="760"/>
      <c r="D12487" s="760"/>
      <c r="E12487" s="760"/>
      <c r="F12487" s="760"/>
      <c r="G12487" s="760"/>
      <c r="H12487" s="760"/>
      <c r="I12487" s="760"/>
      <c r="J12487" s="760"/>
      <c r="K12487" s="760"/>
    </row>
    <row r="12488" spans="1:11">
      <c r="A12488" s="760"/>
      <c r="B12488" s="760"/>
      <c r="C12488" s="760"/>
      <c r="D12488" s="760"/>
      <c r="E12488" s="760"/>
      <c r="F12488" s="760"/>
      <c r="G12488" s="760"/>
      <c r="H12488" s="760"/>
      <c r="I12488" s="760"/>
      <c r="J12488" s="760"/>
      <c r="K12488" s="760"/>
    </row>
    <row r="12489" spans="1:11">
      <c r="A12489" s="760"/>
      <c r="B12489" s="760"/>
      <c r="C12489" s="760"/>
      <c r="D12489" s="760"/>
      <c r="E12489" s="760"/>
      <c r="F12489" s="760"/>
      <c r="G12489" s="760"/>
      <c r="H12489" s="760"/>
      <c r="I12489" s="760"/>
      <c r="J12489" s="760"/>
      <c r="K12489" s="760"/>
    </row>
    <row r="12490" spans="1:11">
      <c r="A12490" s="760"/>
      <c r="B12490" s="760"/>
      <c r="C12490" s="760"/>
      <c r="D12490" s="760"/>
      <c r="E12490" s="760"/>
      <c r="F12490" s="760"/>
      <c r="G12490" s="760"/>
      <c r="H12490" s="760"/>
      <c r="I12490" s="760"/>
      <c r="J12490" s="760"/>
      <c r="K12490" s="760"/>
    </row>
    <row r="12491" spans="1:11">
      <c r="A12491" s="760"/>
      <c r="B12491" s="760"/>
      <c r="C12491" s="760"/>
      <c r="D12491" s="760"/>
      <c r="E12491" s="760"/>
      <c r="F12491" s="760"/>
      <c r="G12491" s="760"/>
      <c r="H12491" s="760"/>
      <c r="I12491" s="760"/>
      <c r="J12491" s="760"/>
      <c r="K12491" s="760"/>
    </row>
    <row r="12492" spans="1:11">
      <c r="A12492" s="760"/>
      <c r="B12492" s="760"/>
      <c r="C12492" s="760"/>
      <c r="D12492" s="760"/>
      <c r="E12492" s="760"/>
      <c r="F12492" s="760"/>
      <c r="G12492" s="760"/>
      <c r="H12492" s="760"/>
      <c r="I12492" s="760"/>
      <c r="J12492" s="760"/>
      <c r="K12492" s="760"/>
    </row>
    <row r="12493" spans="1:11">
      <c r="A12493" s="760"/>
      <c r="B12493" s="760"/>
      <c r="C12493" s="760"/>
      <c r="D12493" s="760"/>
      <c r="E12493" s="760"/>
      <c r="F12493" s="760"/>
      <c r="G12493" s="760"/>
      <c r="H12493" s="760"/>
      <c r="I12493" s="760"/>
      <c r="J12493" s="760"/>
      <c r="K12493" s="760"/>
    </row>
    <row r="12494" spans="1:11">
      <c r="A12494" s="760"/>
      <c r="B12494" s="760"/>
      <c r="C12494" s="760"/>
      <c r="D12494" s="760"/>
      <c r="E12494" s="760"/>
      <c r="F12494" s="760"/>
      <c r="G12494" s="760"/>
      <c r="H12494" s="760"/>
      <c r="I12494" s="760"/>
      <c r="J12494" s="760"/>
      <c r="K12494" s="760"/>
    </row>
    <row r="12495" spans="1:11">
      <c r="A12495" s="760"/>
      <c r="B12495" s="760"/>
      <c r="C12495" s="760"/>
      <c r="D12495" s="760"/>
      <c r="E12495" s="760"/>
      <c r="F12495" s="760"/>
      <c r="G12495" s="760"/>
      <c r="H12495" s="760"/>
      <c r="I12495" s="760"/>
      <c r="J12495" s="760"/>
      <c r="K12495" s="760"/>
    </row>
    <row r="12496" spans="1:11">
      <c r="A12496" s="760"/>
      <c r="B12496" s="760"/>
      <c r="C12496" s="760"/>
      <c r="D12496" s="760"/>
      <c r="E12496" s="760"/>
      <c r="F12496" s="760"/>
      <c r="G12496" s="760"/>
      <c r="H12496" s="760"/>
      <c r="I12496" s="760"/>
      <c r="J12496" s="760"/>
      <c r="K12496" s="760"/>
    </row>
    <row r="12497" spans="1:11">
      <c r="A12497" s="760"/>
      <c r="B12497" s="760"/>
      <c r="C12497" s="760"/>
      <c r="D12497" s="760"/>
      <c r="E12497" s="760"/>
      <c r="F12497" s="760"/>
      <c r="G12497" s="760"/>
      <c r="H12497" s="760"/>
      <c r="I12497" s="760"/>
      <c r="J12497" s="760"/>
      <c r="K12497" s="760"/>
    </row>
    <row r="12498" spans="1:11">
      <c r="A12498" s="760"/>
      <c r="B12498" s="760"/>
      <c r="C12498" s="760"/>
      <c r="D12498" s="760"/>
      <c r="E12498" s="760"/>
      <c r="F12498" s="760"/>
      <c r="G12498" s="760"/>
      <c r="H12498" s="760"/>
      <c r="I12498" s="760"/>
      <c r="J12498" s="760"/>
      <c r="K12498" s="760"/>
    </row>
    <row r="12499" spans="1:11">
      <c r="A12499" s="760"/>
      <c r="B12499" s="760"/>
      <c r="C12499" s="760"/>
      <c r="D12499" s="760"/>
      <c r="E12499" s="760"/>
      <c r="F12499" s="760"/>
      <c r="G12499" s="760"/>
      <c r="H12499" s="760"/>
      <c r="I12499" s="760"/>
      <c r="J12499" s="760"/>
      <c r="K12499" s="760"/>
    </row>
    <row r="12500" spans="1:11">
      <c r="A12500" s="760"/>
      <c r="B12500" s="760"/>
      <c r="C12500" s="760"/>
      <c r="D12500" s="760"/>
      <c r="E12500" s="760"/>
      <c r="F12500" s="760"/>
      <c r="G12500" s="760"/>
      <c r="H12500" s="760"/>
      <c r="I12500" s="760"/>
      <c r="J12500" s="760"/>
      <c r="K12500" s="760"/>
    </row>
    <row r="12501" spans="1:11">
      <c r="A12501" s="760"/>
      <c r="B12501" s="760"/>
      <c r="C12501" s="760"/>
      <c r="D12501" s="760"/>
      <c r="E12501" s="760"/>
      <c r="F12501" s="760"/>
      <c r="G12501" s="760"/>
      <c r="H12501" s="760"/>
      <c r="I12501" s="760"/>
      <c r="J12501" s="760"/>
      <c r="K12501" s="760"/>
    </row>
    <row r="12502" spans="1:11">
      <c r="A12502" s="760"/>
      <c r="B12502" s="760"/>
      <c r="C12502" s="760"/>
      <c r="D12502" s="760"/>
      <c r="E12502" s="760"/>
      <c r="F12502" s="760"/>
      <c r="G12502" s="760"/>
      <c r="H12502" s="760"/>
      <c r="I12502" s="760"/>
      <c r="J12502" s="760"/>
      <c r="K12502" s="760"/>
    </row>
    <row r="12503" spans="1:11">
      <c r="A12503" s="760"/>
      <c r="B12503" s="760"/>
      <c r="C12503" s="760"/>
      <c r="D12503" s="760"/>
      <c r="E12503" s="760"/>
      <c r="F12503" s="760"/>
      <c r="G12503" s="760"/>
      <c r="H12503" s="760"/>
      <c r="I12503" s="760"/>
      <c r="J12503" s="760"/>
      <c r="K12503" s="760"/>
    </row>
    <row r="12504" spans="1:11">
      <c r="A12504" s="760"/>
      <c r="B12504" s="760"/>
      <c r="C12504" s="760"/>
      <c r="D12504" s="760"/>
      <c r="E12504" s="760"/>
      <c r="F12504" s="760"/>
      <c r="G12504" s="760"/>
      <c r="H12504" s="760"/>
      <c r="I12504" s="760"/>
      <c r="J12504" s="760"/>
      <c r="K12504" s="760"/>
    </row>
    <row r="12505" spans="1:11">
      <c r="A12505" s="760"/>
      <c r="B12505" s="760"/>
      <c r="C12505" s="760"/>
      <c r="D12505" s="760"/>
      <c r="E12505" s="760"/>
      <c r="F12505" s="760"/>
      <c r="G12505" s="760"/>
      <c r="H12505" s="760"/>
      <c r="I12505" s="760"/>
      <c r="J12505" s="760"/>
      <c r="K12505" s="760"/>
    </row>
    <row r="12506" spans="1:11">
      <c r="A12506" s="760"/>
      <c r="B12506" s="760"/>
      <c r="C12506" s="760"/>
      <c r="D12506" s="760"/>
      <c r="E12506" s="760"/>
      <c r="F12506" s="760"/>
      <c r="G12506" s="760"/>
      <c r="H12506" s="760"/>
      <c r="I12506" s="760"/>
      <c r="J12506" s="760"/>
      <c r="K12506" s="760"/>
    </row>
    <row r="12507" spans="1:11">
      <c r="A12507" s="760"/>
      <c r="B12507" s="760"/>
      <c r="C12507" s="760"/>
      <c r="D12507" s="760"/>
      <c r="E12507" s="760"/>
      <c r="F12507" s="760"/>
      <c r="G12507" s="760"/>
      <c r="H12507" s="760"/>
      <c r="I12507" s="760"/>
      <c r="J12507" s="760"/>
      <c r="K12507" s="760"/>
    </row>
    <row r="12508" spans="1:11">
      <c r="A12508" s="760"/>
      <c r="B12508" s="760"/>
      <c r="C12508" s="760"/>
      <c r="D12508" s="760"/>
      <c r="E12508" s="760"/>
      <c r="F12508" s="760"/>
      <c r="G12508" s="760"/>
      <c r="H12508" s="760"/>
      <c r="I12508" s="760"/>
      <c r="J12508" s="760"/>
      <c r="K12508" s="760"/>
    </row>
    <row r="12509" spans="1:11">
      <c r="A12509" s="760"/>
      <c r="B12509" s="760"/>
      <c r="C12509" s="760"/>
      <c r="D12509" s="760"/>
      <c r="E12509" s="760"/>
      <c r="F12509" s="760"/>
      <c r="G12509" s="760"/>
      <c r="H12509" s="760"/>
      <c r="I12509" s="760"/>
      <c r="J12509" s="760"/>
      <c r="K12509" s="760"/>
    </row>
    <row r="12510" spans="1:11">
      <c r="A12510" s="760"/>
      <c r="B12510" s="760"/>
      <c r="C12510" s="760"/>
      <c r="D12510" s="760"/>
      <c r="E12510" s="760"/>
      <c r="F12510" s="760"/>
      <c r="G12510" s="760"/>
      <c r="H12510" s="760"/>
      <c r="I12510" s="760"/>
      <c r="J12510" s="760"/>
      <c r="K12510" s="760"/>
    </row>
    <row r="12511" spans="1:11">
      <c r="A12511" s="760"/>
      <c r="B12511" s="760"/>
      <c r="C12511" s="760"/>
      <c r="D12511" s="760"/>
      <c r="E12511" s="760"/>
      <c r="F12511" s="760"/>
      <c r="G12511" s="760"/>
      <c r="H12511" s="760"/>
      <c r="I12511" s="760"/>
      <c r="J12511" s="760"/>
      <c r="K12511" s="760"/>
    </row>
    <row r="12512" spans="1:11">
      <c r="A12512" s="760"/>
      <c r="B12512" s="760"/>
      <c r="C12512" s="760"/>
      <c r="D12512" s="760"/>
      <c r="E12512" s="760"/>
      <c r="F12512" s="760"/>
      <c r="G12512" s="760"/>
      <c r="H12512" s="760"/>
      <c r="I12512" s="760"/>
      <c r="J12512" s="760"/>
      <c r="K12512" s="760"/>
    </row>
    <row r="12513" spans="1:11">
      <c r="A12513" s="760"/>
      <c r="B12513" s="760"/>
      <c r="C12513" s="760"/>
      <c r="D12513" s="760"/>
      <c r="E12513" s="760"/>
      <c r="F12513" s="760"/>
      <c r="G12513" s="760"/>
      <c r="H12513" s="760"/>
      <c r="I12513" s="760"/>
      <c r="J12513" s="760"/>
      <c r="K12513" s="760"/>
    </row>
    <row r="12514" spans="1:11">
      <c r="A12514" s="760"/>
      <c r="B12514" s="760"/>
      <c r="C12514" s="760"/>
      <c r="D12514" s="760"/>
      <c r="E12514" s="760"/>
      <c r="F12514" s="760"/>
      <c r="G12514" s="760"/>
      <c r="H12514" s="760"/>
      <c r="I12514" s="760"/>
      <c r="J12514" s="760"/>
      <c r="K12514" s="760"/>
    </row>
    <row r="12515" spans="1:11">
      <c r="A12515" s="760"/>
      <c r="B12515" s="760"/>
      <c r="C12515" s="760"/>
      <c r="D12515" s="760"/>
      <c r="E12515" s="760"/>
      <c r="F12515" s="760"/>
      <c r="G12515" s="760"/>
      <c r="H12515" s="760"/>
      <c r="I12515" s="760"/>
      <c r="J12515" s="760"/>
      <c r="K12515" s="760"/>
    </row>
    <row r="12516" spans="1:11">
      <c r="A12516" s="760"/>
      <c r="B12516" s="760"/>
      <c r="C12516" s="760"/>
      <c r="D12516" s="760"/>
      <c r="E12516" s="760"/>
      <c r="F12516" s="760"/>
      <c r="G12516" s="760"/>
      <c r="H12516" s="760"/>
      <c r="I12516" s="760"/>
      <c r="J12516" s="760"/>
      <c r="K12516" s="760"/>
    </row>
    <row r="12517" spans="1:11">
      <c r="A12517" s="760"/>
      <c r="B12517" s="760"/>
      <c r="C12517" s="760"/>
      <c r="D12517" s="760"/>
      <c r="E12517" s="760"/>
      <c r="F12517" s="760"/>
      <c r="G12517" s="760"/>
      <c r="H12517" s="760"/>
      <c r="I12517" s="760"/>
      <c r="J12517" s="760"/>
      <c r="K12517" s="760"/>
    </row>
    <row r="12518" spans="1:11">
      <c r="A12518" s="760"/>
      <c r="B12518" s="760"/>
      <c r="C12518" s="760"/>
      <c r="D12518" s="760"/>
      <c r="E12518" s="760"/>
      <c r="F12518" s="760"/>
      <c r="G12518" s="760"/>
      <c r="H12518" s="760"/>
      <c r="I12518" s="760"/>
      <c r="J12518" s="760"/>
      <c r="K12518" s="760"/>
    </row>
    <row r="12519" spans="1:11">
      <c r="A12519" s="760"/>
      <c r="B12519" s="760"/>
      <c r="C12519" s="760"/>
      <c r="D12519" s="760"/>
      <c r="E12519" s="760"/>
      <c r="F12519" s="760"/>
      <c r="G12519" s="760"/>
      <c r="H12519" s="760"/>
      <c r="I12519" s="760"/>
      <c r="J12519" s="760"/>
      <c r="K12519" s="760"/>
    </row>
    <row r="12520" spans="1:11">
      <c r="A12520" s="760"/>
      <c r="B12520" s="760"/>
      <c r="C12520" s="760"/>
      <c r="D12520" s="760"/>
      <c r="E12520" s="760"/>
      <c r="F12520" s="760"/>
      <c r="G12520" s="760"/>
      <c r="H12520" s="760"/>
      <c r="I12520" s="760"/>
      <c r="J12520" s="760"/>
      <c r="K12520" s="760"/>
    </row>
    <row r="12521" spans="1:11">
      <c r="A12521" s="760"/>
      <c r="B12521" s="760"/>
      <c r="C12521" s="760"/>
      <c r="D12521" s="760"/>
      <c r="E12521" s="760"/>
      <c r="F12521" s="760"/>
      <c r="G12521" s="760"/>
      <c r="H12521" s="760"/>
      <c r="I12521" s="760"/>
      <c r="J12521" s="760"/>
      <c r="K12521" s="760"/>
    </row>
    <row r="12522" spans="1:11">
      <c r="A12522" s="760"/>
      <c r="B12522" s="760"/>
      <c r="C12522" s="760"/>
      <c r="D12522" s="760"/>
      <c r="E12522" s="760"/>
      <c r="F12522" s="760"/>
      <c r="G12522" s="760"/>
      <c r="H12522" s="760"/>
      <c r="I12522" s="760"/>
      <c r="J12522" s="760"/>
      <c r="K12522" s="760"/>
    </row>
    <row r="12523" spans="1:11">
      <c r="A12523" s="760"/>
      <c r="B12523" s="760"/>
      <c r="C12523" s="760"/>
      <c r="D12523" s="760"/>
      <c r="E12523" s="760"/>
      <c r="F12523" s="760"/>
      <c r="G12523" s="760"/>
      <c r="H12523" s="760"/>
      <c r="I12523" s="760"/>
      <c r="J12523" s="760"/>
      <c r="K12523" s="760"/>
    </row>
    <row r="12524" spans="1:11">
      <c r="A12524" s="760"/>
      <c r="B12524" s="760"/>
      <c r="C12524" s="760"/>
      <c r="D12524" s="760"/>
      <c r="E12524" s="760"/>
      <c r="F12524" s="760"/>
      <c r="G12524" s="760"/>
      <c r="H12524" s="760"/>
      <c r="I12524" s="760"/>
      <c r="J12524" s="760"/>
      <c r="K12524" s="760"/>
    </row>
    <row r="12525" spans="1:11">
      <c r="A12525" s="760"/>
      <c r="B12525" s="760"/>
      <c r="C12525" s="760"/>
      <c r="D12525" s="760"/>
      <c r="E12525" s="760"/>
      <c r="F12525" s="760"/>
      <c r="G12525" s="760"/>
      <c r="H12525" s="760"/>
      <c r="I12525" s="760"/>
      <c r="J12525" s="760"/>
      <c r="K12525" s="760"/>
    </row>
    <row r="12526" spans="1:11">
      <c r="A12526" s="760"/>
      <c r="B12526" s="760"/>
      <c r="C12526" s="760"/>
      <c r="D12526" s="760"/>
      <c r="E12526" s="760"/>
      <c r="F12526" s="760"/>
      <c r="G12526" s="760"/>
      <c r="H12526" s="760"/>
      <c r="I12526" s="760"/>
      <c r="J12526" s="760"/>
      <c r="K12526" s="760"/>
    </row>
    <row r="12527" spans="1:11">
      <c r="A12527" s="760"/>
      <c r="B12527" s="760"/>
      <c r="C12527" s="760"/>
      <c r="D12527" s="760"/>
      <c r="E12527" s="760"/>
      <c r="F12527" s="760"/>
      <c r="G12527" s="760"/>
      <c r="H12527" s="760"/>
      <c r="I12527" s="760"/>
      <c r="J12527" s="760"/>
      <c r="K12527" s="760"/>
    </row>
    <row r="12528" spans="1:11">
      <c r="A12528" s="760"/>
      <c r="B12528" s="760"/>
      <c r="C12528" s="760"/>
      <c r="D12528" s="760"/>
      <c r="E12528" s="760"/>
      <c r="F12528" s="760"/>
      <c r="G12528" s="760"/>
      <c r="H12528" s="760"/>
      <c r="I12528" s="760"/>
      <c r="J12528" s="760"/>
      <c r="K12528" s="760"/>
    </row>
    <row r="12529" spans="1:11">
      <c r="A12529" s="760"/>
      <c r="B12529" s="760"/>
      <c r="C12529" s="760"/>
      <c r="D12529" s="760"/>
      <c r="E12529" s="760"/>
      <c r="F12529" s="760"/>
      <c r="G12529" s="760"/>
      <c r="H12529" s="760"/>
      <c r="I12529" s="760"/>
      <c r="J12529" s="760"/>
      <c r="K12529" s="760"/>
    </row>
    <row r="12530" spans="1:11">
      <c r="A12530" s="760"/>
      <c r="B12530" s="760"/>
      <c r="C12530" s="760"/>
      <c r="D12530" s="760"/>
      <c r="E12530" s="760"/>
      <c r="F12530" s="760"/>
      <c r="G12530" s="760"/>
      <c r="H12530" s="760"/>
      <c r="I12530" s="760"/>
      <c r="J12530" s="760"/>
      <c r="K12530" s="760"/>
    </row>
    <row r="12531" spans="1:11">
      <c r="A12531" s="760"/>
      <c r="B12531" s="760"/>
      <c r="C12531" s="760"/>
      <c r="D12531" s="760"/>
      <c r="E12531" s="760"/>
      <c r="F12531" s="760"/>
      <c r="G12531" s="760"/>
      <c r="H12531" s="760"/>
      <c r="I12531" s="760"/>
      <c r="J12531" s="760"/>
      <c r="K12531" s="760"/>
    </row>
    <row r="12532" spans="1:11">
      <c r="A12532" s="760"/>
      <c r="B12532" s="760"/>
      <c r="C12532" s="760"/>
      <c r="D12532" s="760"/>
      <c r="E12532" s="760"/>
      <c r="F12532" s="760"/>
      <c r="G12532" s="760"/>
      <c r="H12532" s="760"/>
      <c r="I12532" s="760"/>
      <c r="J12532" s="760"/>
      <c r="K12532" s="760"/>
    </row>
    <row r="12533" spans="1:11">
      <c r="A12533" s="760"/>
      <c r="B12533" s="760"/>
      <c r="C12533" s="760"/>
      <c r="D12533" s="760"/>
      <c r="E12533" s="760"/>
      <c r="F12533" s="760"/>
      <c r="G12533" s="760"/>
      <c r="H12533" s="760"/>
      <c r="I12533" s="760"/>
      <c r="J12533" s="760"/>
      <c r="K12533" s="760"/>
    </row>
    <row r="12534" spans="1:11">
      <c r="A12534" s="760"/>
      <c r="B12534" s="760"/>
      <c r="C12534" s="760"/>
      <c r="D12534" s="760"/>
      <c r="E12534" s="760"/>
      <c r="F12534" s="760"/>
      <c r="G12534" s="760"/>
      <c r="H12534" s="760"/>
      <c r="I12534" s="760"/>
      <c r="J12534" s="760"/>
      <c r="K12534" s="760"/>
    </row>
    <row r="12535" spans="1:11">
      <c r="A12535" s="760"/>
      <c r="B12535" s="760"/>
      <c r="C12535" s="760"/>
      <c r="D12535" s="760"/>
      <c r="E12535" s="760"/>
      <c r="F12535" s="760"/>
      <c r="G12535" s="760"/>
      <c r="H12535" s="760"/>
      <c r="I12535" s="760"/>
      <c r="J12535" s="760"/>
      <c r="K12535" s="760"/>
    </row>
    <row r="12536" spans="1:11">
      <c r="A12536" s="760"/>
      <c r="B12536" s="760"/>
      <c r="C12536" s="760"/>
      <c r="D12536" s="760"/>
      <c r="E12536" s="760"/>
      <c r="F12536" s="760"/>
      <c r="G12536" s="760"/>
      <c r="H12536" s="760"/>
      <c r="I12536" s="760"/>
      <c r="J12536" s="760"/>
      <c r="K12536" s="760"/>
    </row>
    <row r="12537" spans="1:11">
      <c r="A12537" s="760"/>
      <c r="B12537" s="760"/>
      <c r="C12537" s="760"/>
      <c r="D12537" s="760"/>
      <c r="E12537" s="760"/>
      <c r="F12537" s="760"/>
      <c r="G12537" s="760"/>
      <c r="H12537" s="760"/>
      <c r="I12537" s="760"/>
      <c r="J12537" s="760"/>
      <c r="K12537" s="760"/>
    </row>
    <row r="12538" spans="1:11">
      <c r="A12538" s="760"/>
      <c r="B12538" s="760"/>
      <c r="C12538" s="760"/>
      <c r="D12538" s="760"/>
      <c r="E12538" s="760"/>
      <c r="F12538" s="760"/>
      <c r="G12538" s="760"/>
      <c r="H12538" s="760"/>
      <c r="I12538" s="760"/>
      <c r="J12538" s="760"/>
      <c r="K12538" s="760"/>
    </row>
    <row r="12539" spans="1:11">
      <c r="A12539" s="760"/>
      <c r="B12539" s="760"/>
      <c r="C12539" s="760"/>
      <c r="D12539" s="760"/>
      <c r="E12539" s="760"/>
      <c r="F12539" s="760"/>
      <c r="G12539" s="760"/>
      <c r="H12539" s="760"/>
      <c r="I12539" s="760"/>
      <c r="J12539" s="760"/>
      <c r="K12539" s="760"/>
    </row>
    <row r="12540" spans="1:11">
      <c r="A12540" s="760"/>
      <c r="B12540" s="760"/>
      <c r="C12540" s="760"/>
      <c r="D12540" s="760"/>
      <c r="E12540" s="760"/>
      <c r="F12540" s="760"/>
      <c r="G12540" s="760"/>
      <c r="H12540" s="760"/>
      <c r="I12540" s="760"/>
      <c r="J12540" s="760"/>
      <c r="K12540" s="760"/>
    </row>
    <row r="12541" spans="1:11">
      <c r="A12541" s="760"/>
      <c r="B12541" s="760"/>
      <c r="C12541" s="760"/>
      <c r="D12541" s="760"/>
      <c r="E12541" s="760"/>
      <c r="F12541" s="760"/>
      <c r="G12541" s="760"/>
      <c r="H12541" s="760"/>
      <c r="I12541" s="760"/>
      <c r="J12541" s="760"/>
      <c r="K12541" s="760"/>
    </row>
    <row r="12542" spans="1:11">
      <c r="A12542" s="760"/>
      <c r="B12542" s="760"/>
      <c r="C12542" s="760"/>
      <c r="D12542" s="760"/>
      <c r="E12542" s="760"/>
      <c r="F12542" s="760"/>
      <c r="G12542" s="760"/>
      <c r="H12542" s="760"/>
      <c r="I12542" s="760"/>
      <c r="J12542" s="760"/>
      <c r="K12542" s="760"/>
    </row>
    <row r="12543" spans="1:11">
      <c r="A12543" s="760"/>
      <c r="B12543" s="760"/>
      <c r="C12543" s="760"/>
      <c r="D12543" s="760"/>
      <c r="E12543" s="760"/>
      <c r="F12543" s="760"/>
      <c r="G12543" s="760"/>
      <c r="H12543" s="760"/>
      <c r="I12543" s="760"/>
      <c r="J12543" s="760"/>
      <c r="K12543" s="760"/>
    </row>
    <row r="12544" spans="1:11">
      <c r="A12544" s="760"/>
      <c r="B12544" s="760"/>
      <c r="C12544" s="760"/>
      <c r="D12544" s="760"/>
      <c r="E12544" s="760"/>
      <c r="F12544" s="760"/>
      <c r="G12544" s="760"/>
      <c r="H12544" s="760"/>
      <c r="I12544" s="760"/>
      <c r="J12544" s="760"/>
      <c r="K12544" s="760"/>
    </row>
    <row r="12545" spans="1:11">
      <c r="A12545" s="760"/>
      <c r="B12545" s="760"/>
      <c r="C12545" s="760"/>
      <c r="D12545" s="760"/>
      <c r="E12545" s="760"/>
      <c r="F12545" s="760"/>
      <c r="G12545" s="760"/>
      <c r="H12545" s="760"/>
      <c r="I12545" s="760"/>
      <c r="J12545" s="760"/>
      <c r="K12545" s="760"/>
    </row>
    <row r="12546" spans="1:11">
      <c r="A12546" s="760"/>
      <c r="B12546" s="760"/>
      <c r="C12546" s="760"/>
      <c r="D12546" s="760"/>
      <c r="E12546" s="760"/>
      <c r="F12546" s="760"/>
      <c r="G12546" s="760"/>
      <c r="H12546" s="760"/>
      <c r="I12546" s="760"/>
      <c r="J12546" s="760"/>
      <c r="K12546" s="760"/>
    </row>
    <row r="12547" spans="1:11">
      <c r="A12547" s="760"/>
      <c r="B12547" s="760"/>
      <c r="C12547" s="760"/>
      <c r="D12547" s="760"/>
      <c r="E12547" s="760"/>
      <c r="F12547" s="760"/>
      <c r="G12547" s="760"/>
      <c r="H12547" s="760"/>
      <c r="I12547" s="760"/>
      <c r="J12547" s="760"/>
      <c r="K12547" s="760"/>
    </row>
    <row r="12548" spans="1:11">
      <c r="A12548" s="760"/>
      <c r="B12548" s="760"/>
      <c r="C12548" s="760"/>
      <c r="D12548" s="760"/>
      <c r="E12548" s="760"/>
      <c r="F12548" s="760"/>
      <c r="G12548" s="760"/>
      <c r="H12548" s="760"/>
      <c r="I12548" s="760"/>
      <c r="J12548" s="760"/>
      <c r="K12548" s="760"/>
    </row>
    <row r="12549" spans="1:11">
      <c r="A12549" s="760"/>
      <c r="B12549" s="760"/>
      <c r="C12549" s="760"/>
      <c r="D12549" s="760"/>
      <c r="E12549" s="760"/>
      <c r="F12549" s="760"/>
      <c r="G12549" s="760"/>
      <c r="H12549" s="760"/>
      <c r="I12549" s="760"/>
      <c r="J12549" s="760"/>
      <c r="K12549" s="760"/>
    </row>
    <row r="12550" spans="1:11">
      <c r="A12550" s="760"/>
      <c r="B12550" s="760"/>
      <c r="C12550" s="760"/>
      <c r="D12550" s="760"/>
      <c r="E12550" s="760"/>
      <c r="F12550" s="760"/>
      <c r="G12550" s="760"/>
      <c r="H12550" s="760"/>
      <c r="I12550" s="760"/>
      <c r="J12550" s="760"/>
      <c r="K12550" s="760"/>
    </row>
    <row r="12551" spans="1:11">
      <c r="A12551" s="760"/>
      <c r="B12551" s="760"/>
      <c r="C12551" s="760"/>
      <c r="D12551" s="760"/>
      <c r="E12551" s="760"/>
      <c r="F12551" s="760"/>
      <c r="G12551" s="760"/>
      <c r="H12551" s="760"/>
      <c r="I12551" s="760"/>
      <c r="J12551" s="760"/>
      <c r="K12551" s="760"/>
    </row>
    <row r="12552" spans="1:11">
      <c r="A12552" s="760"/>
      <c r="B12552" s="760"/>
      <c r="C12552" s="760"/>
      <c r="D12552" s="760"/>
      <c r="E12552" s="760"/>
      <c r="F12552" s="760"/>
      <c r="G12552" s="760"/>
      <c r="H12552" s="760"/>
      <c r="I12552" s="760"/>
      <c r="J12552" s="760"/>
      <c r="K12552" s="760"/>
    </row>
    <row r="12553" spans="1:11">
      <c r="A12553" s="760"/>
      <c r="B12553" s="760"/>
      <c r="C12553" s="760"/>
      <c r="D12553" s="760"/>
      <c r="E12553" s="760"/>
      <c r="F12553" s="760"/>
      <c r="G12553" s="760"/>
      <c r="H12553" s="760"/>
      <c r="I12553" s="760"/>
      <c r="J12553" s="760"/>
      <c r="K12553" s="760"/>
    </row>
    <row r="12554" spans="1:11">
      <c r="A12554" s="760"/>
      <c r="B12554" s="760"/>
      <c r="C12554" s="760"/>
      <c r="D12554" s="760"/>
      <c r="E12554" s="760"/>
      <c r="F12554" s="760"/>
      <c r="G12554" s="760"/>
      <c r="H12554" s="760"/>
      <c r="I12554" s="760"/>
      <c r="J12554" s="760"/>
      <c r="K12554" s="760"/>
    </row>
    <row r="12555" spans="1:11">
      <c r="A12555" s="760"/>
      <c r="B12555" s="760"/>
      <c r="C12555" s="760"/>
      <c r="D12555" s="760"/>
      <c r="E12555" s="760"/>
      <c r="F12555" s="760"/>
      <c r="G12555" s="760"/>
      <c r="H12555" s="760"/>
      <c r="I12555" s="760"/>
      <c r="J12555" s="760"/>
      <c r="K12555" s="760"/>
    </row>
    <row r="12556" spans="1:11">
      <c r="A12556" s="760"/>
      <c r="B12556" s="760"/>
      <c r="C12556" s="760"/>
      <c r="D12556" s="760"/>
      <c r="E12556" s="760"/>
      <c r="F12556" s="760"/>
      <c r="G12556" s="760"/>
      <c r="H12556" s="760"/>
      <c r="I12556" s="760"/>
      <c r="J12556" s="760"/>
      <c r="K12556" s="760"/>
    </row>
    <row r="12557" spans="1:11">
      <c r="A12557" s="760"/>
      <c r="B12557" s="760"/>
      <c r="C12557" s="760"/>
      <c r="D12557" s="760"/>
      <c r="E12557" s="760"/>
      <c r="F12557" s="760"/>
      <c r="G12557" s="760"/>
      <c r="H12557" s="760"/>
      <c r="I12557" s="760"/>
      <c r="J12557" s="760"/>
      <c r="K12557" s="760"/>
    </row>
    <row r="12558" spans="1:11">
      <c r="A12558" s="760"/>
      <c r="B12558" s="760"/>
      <c r="C12558" s="760"/>
      <c r="D12558" s="760"/>
      <c r="E12558" s="760"/>
      <c r="F12558" s="760"/>
      <c r="G12558" s="760"/>
      <c r="H12558" s="760"/>
      <c r="I12558" s="760"/>
      <c r="J12558" s="760"/>
      <c r="K12558" s="760"/>
    </row>
    <row r="12559" spans="1:11">
      <c r="A12559" s="760"/>
      <c r="B12559" s="760"/>
      <c r="C12559" s="760"/>
      <c r="D12559" s="760"/>
      <c r="E12559" s="760"/>
      <c r="F12559" s="760"/>
      <c r="G12559" s="760"/>
      <c r="H12559" s="760"/>
      <c r="I12559" s="760"/>
      <c r="J12559" s="760"/>
      <c r="K12559" s="760"/>
    </row>
    <row r="12560" spans="1:11">
      <c r="A12560" s="760"/>
      <c r="B12560" s="760"/>
      <c r="C12560" s="760"/>
      <c r="D12560" s="760"/>
      <c r="E12560" s="760"/>
      <c r="F12560" s="760"/>
      <c r="G12560" s="760"/>
      <c r="H12560" s="760"/>
      <c r="I12560" s="760"/>
      <c r="J12560" s="760"/>
      <c r="K12560" s="760"/>
    </row>
    <row r="12561" spans="1:11">
      <c r="A12561" s="760"/>
      <c r="B12561" s="760"/>
      <c r="C12561" s="760"/>
      <c r="D12561" s="760"/>
      <c r="E12561" s="760"/>
      <c r="F12561" s="760"/>
      <c r="G12561" s="760"/>
      <c r="H12561" s="760"/>
      <c r="I12561" s="760"/>
      <c r="J12561" s="760"/>
      <c r="K12561" s="760"/>
    </row>
    <row r="12562" spans="1:11">
      <c r="A12562" s="760"/>
      <c r="B12562" s="760"/>
      <c r="C12562" s="760"/>
      <c r="D12562" s="760"/>
      <c r="E12562" s="760"/>
      <c r="F12562" s="760"/>
      <c r="G12562" s="760"/>
      <c r="H12562" s="760"/>
      <c r="I12562" s="760"/>
      <c r="J12562" s="760"/>
      <c r="K12562" s="760"/>
    </row>
    <row r="12563" spans="1:11">
      <c r="A12563" s="760"/>
      <c r="B12563" s="760"/>
      <c r="C12563" s="760"/>
      <c r="D12563" s="760"/>
      <c r="E12563" s="760"/>
      <c r="F12563" s="760"/>
      <c r="G12563" s="760"/>
      <c r="H12563" s="760"/>
      <c r="I12563" s="760"/>
      <c r="J12563" s="760"/>
      <c r="K12563" s="760"/>
    </row>
    <row r="12564" spans="1:11">
      <c r="A12564" s="760"/>
      <c r="B12564" s="760"/>
      <c r="C12564" s="760"/>
      <c r="D12564" s="760"/>
      <c r="E12564" s="760"/>
      <c r="F12564" s="760"/>
      <c r="G12564" s="760"/>
      <c r="H12564" s="760"/>
      <c r="I12564" s="760"/>
      <c r="J12564" s="760"/>
      <c r="K12564" s="760"/>
    </row>
    <row r="12565" spans="1:11">
      <c r="A12565" s="760"/>
      <c r="B12565" s="760"/>
      <c r="C12565" s="760"/>
      <c r="D12565" s="760"/>
      <c r="E12565" s="760"/>
      <c r="F12565" s="760"/>
      <c r="G12565" s="760"/>
      <c r="H12565" s="760"/>
      <c r="I12565" s="760"/>
      <c r="J12565" s="760"/>
      <c r="K12565" s="760"/>
    </row>
    <row r="12566" spans="1:11">
      <c r="A12566" s="760"/>
      <c r="B12566" s="760"/>
      <c r="C12566" s="760"/>
      <c r="D12566" s="760"/>
      <c r="E12566" s="760"/>
      <c r="F12566" s="760"/>
      <c r="G12566" s="760"/>
      <c r="H12566" s="760"/>
      <c r="I12566" s="760"/>
      <c r="J12566" s="760"/>
      <c r="K12566" s="760"/>
    </row>
    <row r="12567" spans="1:11">
      <c r="A12567" s="760"/>
      <c r="B12567" s="760"/>
      <c r="C12567" s="760"/>
      <c r="D12567" s="760"/>
      <c r="E12567" s="760"/>
      <c r="F12567" s="760"/>
      <c r="G12567" s="760"/>
      <c r="H12567" s="760"/>
      <c r="I12567" s="760"/>
      <c r="J12567" s="760"/>
      <c r="K12567" s="760"/>
    </row>
    <row r="12568" spans="1:11">
      <c r="A12568" s="760"/>
      <c r="B12568" s="760"/>
      <c r="C12568" s="760"/>
      <c r="D12568" s="760"/>
      <c r="E12568" s="760"/>
      <c r="F12568" s="760"/>
      <c r="G12568" s="760"/>
      <c r="H12568" s="760"/>
      <c r="I12568" s="760"/>
      <c r="J12568" s="760"/>
      <c r="K12568" s="760"/>
    </row>
    <row r="12569" spans="1:11">
      <c r="A12569" s="760"/>
      <c r="B12569" s="760"/>
      <c r="C12569" s="760"/>
      <c r="D12569" s="760"/>
      <c r="E12569" s="760"/>
      <c r="F12569" s="760"/>
      <c r="G12569" s="760"/>
      <c r="H12569" s="760"/>
      <c r="I12569" s="760"/>
      <c r="J12569" s="760"/>
      <c r="K12569" s="760"/>
    </row>
    <row r="12570" spans="1:11">
      <c r="A12570" s="760"/>
      <c r="B12570" s="760"/>
      <c r="C12570" s="760"/>
      <c r="D12570" s="760"/>
      <c r="E12570" s="760"/>
      <c r="F12570" s="760"/>
      <c r="G12570" s="760"/>
      <c r="H12570" s="760"/>
      <c r="I12570" s="760"/>
      <c r="J12570" s="760"/>
      <c r="K12570" s="760"/>
    </row>
    <row r="12571" spans="1:11">
      <c r="A12571" s="760"/>
      <c r="B12571" s="760"/>
      <c r="C12571" s="760"/>
      <c r="D12571" s="760"/>
      <c r="E12571" s="760"/>
      <c r="F12571" s="760"/>
      <c r="G12571" s="760"/>
      <c r="H12571" s="760"/>
      <c r="I12571" s="760"/>
      <c r="J12571" s="760"/>
      <c r="K12571" s="760"/>
    </row>
    <row r="12572" spans="1:11">
      <c r="A12572" s="760"/>
      <c r="B12572" s="760"/>
      <c r="C12572" s="760"/>
      <c r="D12572" s="760"/>
      <c r="E12572" s="760"/>
      <c r="F12572" s="760"/>
      <c r="G12572" s="760"/>
      <c r="H12572" s="760"/>
      <c r="I12572" s="760"/>
      <c r="J12572" s="760"/>
      <c r="K12572" s="760"/>
    </row>
    <row r="12573" spans="1:11">
      <c r="A12573" s="760"/>
      <c r="B12573" s="760"/>
      <c r="C12573" s="760"/>
      <c r="D12573" s="760"/>
      <c r="E12573" s="760"/>
      <c r="F12573" s="760"/>
      <c r="G12573" s="760"/>
      <c r="H12573" s="760"/>
      <c r="I12573" s="760"/>
      <c r="J12573" s="760"/>
      <c r="K12573" s="760"/>
    </row>
    <row r="12574" spans="1:11">
      <c r="A12574" s="760"/>
      <c r="B12574" s="760"/>
      <c r="C12574" s="760"/>
      <c r="D12574" s="760"/>
      <c r="E12574" s="760"/>
      <c r="F12574" s="760"/>
      <c r="G12574" s="760"/>
      <c r="H12574" s="760"/>
      <c r="I12574" s="760"/>
      <c r="J12574" s="760"/>
      <c r="K12574" s="760"/>
    </row>
    <row r="12575" spans="1:11">
      <c r="A12575" s="760"/>
      <c r="B12575" s="760"/>
      <c r="C12575" s="760"/>
      <c r="D12575" s="760"/>
      <c r="E12575" s="760"/>
      <c r="F12575" s="760"/>
      <c r="G12575" s="760"/>
      <c r="H12575" s="760"/>
      <c r="I12575" s="760"/>
      <c r="J12575" s="760"/>
      <c r="K12575" s="760"/>
    </row>
    <row r="12576" spans="1:11">
      <c r="A12576" s="760"/>
      <c r="B12576" s="760"/>
      <c r="C12576" s="760"/>
      <c r="D12576" s="760"/>
      <c r="E12576" s="760"/>
      <c r="F12576" s="760"/>
      <c r="G12576" s="760"/>
      <c r="H12576" s="760"/>
      <c r="I12576" s="760"/>
      <c r="J12576" s="760"/>
      <c r="K12576" s="760"/>
    </row>
    <row r="12577" spans="1:11">
      <c r="A12577" s="760"/>
      <c r="B12577" s="760"/>
      <c r="C12577" s="760"/>
      <c r="D12577" s="760"/>
      <c r="E12577" s="760"/>
      <c r="F12577" s="760"/>
      <c r="G12577" s="760"/>
      <c r="H12577" s="760"/>
      <c r="I12577" s="760"/>
      <c r="J12577" s="760"/>
      <c r="K12577" s="760"/>
    </row>
    <row r="12578" spans="1:11">
      <c r="A12578" s="760"/>
      <c r="B12578" s="760"/>
      <c r="C12578" s="760"/>
      <c r="D12578" s="760"/>
      <c r="E12578" s="760"/>
      <c r="F12578" s="760"/>
      <c r="G12578" s="760"/>
      <c r="H12578" s="760"/>
      <c r="I12578" s="760"/>
      <c r="J12578" s="760"/>
      <c r="K12578" s="760"/>
    </row>
    <row r="12579" spans="1:11">
      <c r="A12579" s="760"/>
      <c r="B12579" s="760"/>
      <c r="C12579" s="760"/>
      <c r="D12579" s="760"/>
      <c r="E12579" s="760"/>
      <c r="F12579" s="760"/>
      <c r="G12579" s="760"/>
      <c r="H12579" s="760"/>
      <c r="I12579" s="760"/>
      <c r="J12579" s="760"/>
      <c r="K12579" s="760"/>
    </row>
    <row r="12580" spans="1:11">
      <c r="A12580" s="760"/>
      <c r="B12580" s="760"/>
      <c r="C12580" s="760"/>
      <c r="D12580" s="760"/>
      <c r="E12580" s="760"/>
      <c r="F12580" s="760"/>
      <c r="G12580" s="760"/>
      <c r="H12580" s="760"/>
      <c r="I12580" s="760"/>
      <c r="J12580" s="760"/>
      <c r="K12580" s="760"/>
    </row>
    <row r="12581" spans="1:11">
      <c r="A12581" s="760"/>
      <c r="B12581" s="760"/>
      <c r="C12581" s="760"/>
      <c r="D12581" s="760"/>
      <c r="E12581" s="760"/>
      <c r="F12581" s="760"/>
      <c r="G12581" s="760"/>
      <c r="H12581" s="760"/>
      <c r="I12581" s="760"/>
      <c r="J12581" s="760"/>
      <c r="K12581" s="760"/>
    </row>
    <row r="12582" spans="1:11">
      <c r="A12582" s="760"/>
      <c r="B12582" s="760"/>
      <c r="C12582" s="760"/>
      <c r="D12582" s="760"/>
      <c r="E12582" s="760"/>
      <c r="F12582" s="760"/>
      <c r="G12582" s="760"/>
      <c r="H12582" s="760"/>
      <c r="I12582" s="760"/>
      <c r="J12582" s="760"/>
      <c r="K12582" s="760"/>
    </row>
    <row r="12583" spans="1:11">
      <c r="A12583" s="760"/>
      <c r="B12583" s="760"/>
      <c r="C12583" s="760"/>
      <c r="D12583" s="760"/>
      <c r="E12583" s="760"/>
      <c r="F12583" s="760"/>
      <c r="G12583" s="760"/>
      <c r="H12583" s="760"/>
      <c r="I12583" s="760"/>
      <c r="J12583" s="760"/>
      <c r="K12583" s="760"/>
    </row>
    <row r="12584" spans="1:11">
      <c r="A12584" s="760"/>
      <c r="B12584" s="760"/>
      <c r="C12584" s="760"/>
      <c r="D12584" s="760"/>
      <c r="E12584" s="760"/>
      <c r="F12584" s="760"/>
      <c r="G12584" s="760"/>
      <c r="H12584" s="760"/>
      <c r="I12584" s="760"/>
      <c r="J12584" s="760"/>
      <c r="K12584" s="760"/>
    </row>
    <row r="12585" spans="1:11">
      <c r="A12585" s="760"/>
      <c r="B12585" s="760"/>
      <c r="C12585" s="760"/>
      <c r="D12585" s="760"/>
      <c r="E12585" s="760"/>
      <c r="F12585" s="760"/>
      <c r="G12585" s="760"/>
      <c r="H12585" s="760"/>
      <c r="I12585" s="760"/>
      <c r="J12585" s="760"/>
      <c r="K12585" s="760"/>
    </row>
    <row r="12586" spans="1:11">
      <c r="A12586" s="760"/>
      <c r="B12586" s="760"/>
      <c r="C12586" s="760"/>
      <c r="D12586" s="760"/>
      <c r="E12586" s="760"/>
      <c r="F12586" s="760"/>
      <c r="G12586" s="760"/>
      <c r="H12586" s="760"/>
      <c r="I12586" s="760"/>
      <c r="J12586" s="760"/>
      <c r="K12586" s="760"/>
    </row>
    <row r="12587" spans="1:11">
      <c r="A12587" s="760"/>
      <c r="B12587" s="760"/>
      <c r="C12587" s="760"/>
      <c r="D12587" s="760"/>
      <c r="E12587" s="760"/>
      <c r="F12587" s="760"/>
      <c r="G12587" s="760"/>
      <c r="H12587" s="760"/>
      <c r="I12587" s="760"/>
      <c r="J12587" s="760"/>
      <c r="K12587" s="760"/>
    </row>
    <row r="12588" spans="1:11">
      <c r="A12588" s="760"/>
      <c r="B12588" s="760"/>
      <c r="C12588" s="760"/>
      <c r="D12588" s="760"/>
      <c r="E12588" s="760"/>
      <c r="F12588" s="760"/>
      <c r="G12588" s="760"/>
      <c r="H12588" s="760"/>
      <c r="I12588" s="760"/>
      <c r="J12588" s="760"/>
      <c r="K12588" s="760"/>
    </row>
    <row r="12589" spans="1:11">
      <c r="A12589" s="760"/>
      <c r="B12589" s="760"/>
      <c r="C12589" s="760"/>
      <c r="D12589" s="760"/>
      <c r="E12589" s="760"/>
      <c r="F12589" s="760"/>
      <c r="G12589" s="760"/>
      <c r="H12589" s="760"/>
      <c r="I12589" s="760"/>
      <c r="J12589" s="760"/>
      <c r="K12589" s="760"/>
    </row>
    <row r="12590" spans="1:11">
      <c r="A12590" s="760"/>
      <c r="B12590" s="760"/>
      <c r="C12590" s="760"/>
      <c r="D12590" s="760"/>
      <c r="E12590" s="760"/>
      <c r="F12590" s="760"/>
      <c r="G12590" s="760"/>
      <c r="H12590" s="760"/>
      <c r="I12590" s="760"/>
      <c r="J12590" s="760"/>
      <c r="K12590" s="760"/>
    </row>
    <row r="12591" spans="1:11">
      <c r="A12591" s="760"/>
      <c r="B12591" s="760"/>
      <c r="C12591" s="760"/>
      <c r="D12591" s="760"/>
      <c r="E12591" s="760"/>
      <c r="F12591" s="760"/>
      <c r="G12591" s="760"/>
      <c r="H12591" s="760"/>
      <c r="I12591" s="760"/>
      <c r="J12591" s="760"/>
      <c r="K12591" s="760"/>
    </row>
    <row r="12592" spans="1:11">
      <c r="A12592" s="760"/>
      <c r="B12592" s="760"/>
      <c r="C12592" s="760"/>
      <c r="D12592" s="760"/>
      <c r="E12592" s="760"/>
      <c r="F12592" s="760"/>
      <c r="G12592" s="760"/>
      <c r="H12592" s="760"/>
      <c r="I12592" s="760"/>
      <c r="J12592" s="760"/>
      <c r="K12592" s="760"/>
    </row>
    <row r="12593" spans="1:11">
      <c r="A12593" s="760"/>
      <c r="B12593" s="760"/>
      <c r="C12593" s="760"/>
      <c r="D12593" s="760"/>
      <c r="E12593" s="760"/>
      <c r="F12593" s="760"/>
      <c r="G12593" s="760"/>
      <c r="H12593" s="760"/>
      <c r="I12593" s="760"/>
      <c r="J12593" s="760"/>
      <c r="K12593" s="760"/>
    </row>
    <row r="12594" spans="1:11">
      <c r="A12594" s="760"/>
      <c r="B12594" s="760"/>
      <c r="C12594" s="760"/>
      <c r="D12594" s="760"/>
      <c r="E12594" s="760"/>
      <c r="F12594" s="760"/>
      <c r="G12594" s="760"/>
      <c r="H12594" s="760"/>
      <c r="I12594" s="760"/>
      <c r="J12594" s="760"/>
      <c r="K12594" s="760"/>
    </row>
    <row r="12595" spans="1:11">
      <c r="A12595" s="760"/>
      <c r="B12595" s="760"/>
      <c r="C12595" s="760"/>
      <c r="D12595" s="760"/>
      <c r="E12595" s="760"/>
      <c r="F12595" s="760"/>
      <c r="G12595" s="760"/>
      <c r="H12595" s="760"/>
      <c r="I12595" s="760"/>
      <c r="J12595" s="760"/>
      <c r="K12595" s="760"/>
    </row>
    <row r="12596" spans="1:11">
      <c r="A12596" s="760"/>
      <c r="B12596" s="760"/>
      <c r="C12596" s="760"/>
      <c r="D12596" s="760"/>
      <c r="E12596" s="760"/>
      <c r="F12596" s="760"/>
      <c r="G12596" s="760"/>
      <c r="H12596" s="760"/>
      <c r="I12596" s="760"/>
      <c r="J12596" s="760"/>
      <c r="K12596" s="760"/>
    </row>
    <row r="12597" spans="1:11">
      <c r="A12597" s="760"/>
      <c r="B12597" s="760"/>
      <c r="C12597" s="760"/>
      <c r="D12597" s="760"/>
      <c r="E12597" s="760"/>
      <c r="F12597" s="760"/>
      <c r="G12597" s="760"/>
      <c r="H12597" s="760"/>
      <c r="I12597" s="760"/>
      <c r="J12597" s="760"/>
      <c r="K12597" s="760"/>
    </row>
    <row r="12598" spans="1:11">
      <c r="A12598" s="760"/>
      <c r="B12598" s="760"/>
      <c r="C12598" s="760"/>
      <c r="D12598" s="760"/>
      <c r="E12598" s="760"/>
      <c r="F12598" s="760"/>
      <c r="G12598" s="760"/>
      <c r="H12598" s="760"/>
      <c r="I12598" s="760"/>
      <c r="J12598" s="760"/>
      <c r="K12598" s="760"/>
    </row>
    <row r="12599" spans="1:11">
      <c r="A12599" s="760"/>
      <c r="B12599" s="760"/>
      <c r="C12599" s="760"/>
      <c r="D12599" s="760"/>
      <c r="E12599" s="760"/>
      <c r="F12599" s="760"/>
      <c r="G12599" s="760"/>
      <c r="H12599" s="760"/>
      <c r="I12599" s="760"/>
      <c r="J12599" s="760"/>
      <c r="K12599" s="760"/>
    </row>
    <row r="12600" spans="1:11">
      <c r="A12600" s="760"/>
      <c r="B12600" s="760"/>
      <c r="C12600" s="760"/>
      <c r="D12600" s="760"/>
      <c r="E12600" s="760"/>
      <c r="F12600" s="760"/>
      <c r="G12600" s="760"/>
      <c r="H12600" s="760"/>
      <c r="I12600" s="760"/>
      <c r="J12600" s="760"/>
      <c r="K12600" s="760"/>
    </row>
    <row r="12601" spans="1:11">
      <c r="A12601" s="760"/>
      <c r="B12601" s="760"/>
      <c r="C12601" s="760"/>
      <c r="D12601" s="760"/>
      <c r="E12601" s="760"/>
      <c r="F12601" s="760"/>
      <c r="G12601" s="760"/>
      <c r="H12601" s="760"/>
      <c r="I12601" s="760"/>
      <c r="J12601" s="760"/>
      <c r="K12601" s="760"/>
    </row>
    <row r="12602" spans="1:11">
      <c r="A12602" s="760"/>
      <c r="B12602" s="760"/>
      <c r="C12602" s="760"/>
      <c r="D12602" s="760"/>
      <c r="E12602" s="760"/>
      <c r="F12602" s="760"/>
      <c r="G12602" s="760"/>
      <c r="H12602" s="760"/>
      <c r="I12602" s="760"/>
      <c r="J12602" s="760"/>
      <c r="K12602" s="760"/>
    </row>
    <row r="12603" spans="1:11">
      <c r="A12603" s="760"/>
      <c r="B12603" s="760"/>
      <c r="C12603" s="760"/>
      <c r="D12603" s="760"/>
      <c r="E12603" s="760"/>
      <c r="F12603" s="760"/>
      <c r="G12603" s="760"/>
      <c r="H12603" s="760"/>
      <c r="I12603" s="760"/>
      <c r="J12603" s="760"/>
      <c r="K12603" s="760"/>
    </row>
    <row r="12604" spans="1:11">
      <c r="A12604" s="760"/>
      <c r="B12604" s="760"/>
      <c r="C12604" s="760"/>
      <c r="D12604" s="760"/>
      <c r="E12604" s="760"/>
      <c r="F12604" s="760"/>
      <c r="G12604" s="760"/>
      <c r="H12604" s="760"/>
      <c r="I12604" s="760"/>
      <c r="J12604" s="760"/>
      <c r="K12604" s="760"/>
    </row>
    <row r="12605" spans="1:11">
      <c r="A12605" s="760"/>
      <c r="B12605" s="760"/>
      <c r="C12605" s="760"/>
      <c r="D12605" s="760"/>
      <c r="E12605" s="760"/>
      <c r="F12605" s="760"/>
      <c r="G12605" s="760"/>
      <c r="H12605" s="760"/>
      <c r="I12605" s="760"/>
      <c r="J12605" s="760"/>
      <c r="K12605" s="760"/>
    </row>
    <row r="12606" spans="1:11">
      <c r="A12606" s="760"/>
      <c r="B12606" s="760"/>
      <c r="C12606" s="760"/>
      <c r="D12606" s="760"/>
      <c r="E12606" s="760"/>
      <c r="F12606" s="760"/>
      <c r="G12606" s="760"/>
      <c r="H12606" s="760"/>
      <c r="I12606" s="760"/>
      <c r="J12606" s="760"/>
      <c r="K12606" s="760"/>
    </row>
    <row r="12607" spans="1:11">
      <c r="A12607" s="760"/>
      <c r="B12607" s="760"/>
      <c r="C12607" s="760"/>
      <c r="D12607" s="760"/>
      <c r="E12607" s="760"/>
      <c r="F12607" s="760"/>
      <c r="G12607" s="760"/>
      <c r="H12607" s="760"/>
      <c r="I12607" s="760"/>
      <c r="J12607" s="760"/>
      <c r="K12607" s="760"/>
    </row>
    <row r="12608" spans="1:11">
      <c r="A12608" s="760"/>
      <c r="B12608" s="760"/>
      <c r="C12608" s="760"/>
      <c r="D12608" s="760"/>
      <c r="E12608" s="760"/>
      <c r="F12608" s="760"/>
      <c r="G12608" s="760"/>
      <c r="H12608" s="760"/>
      <c r="I12608" s="760"/>
      <c r="J12608" s="760"/>
      <c r="K12608" s="760"/>
    </row>
    <row r="12609" spans="1:11">
      <c r="A12609" s="760"/>
      <c r="B12609" s="760"/>
      <c r="C12609" s="760"/>
      <c r="D12609" s="760"/>
      <c r="E12609" s="760"/>
      <c r="F12609" s="760"/>
      <c r="G12609" s="760"/>
      <c r="H12609" s="760"/>
      <c r="I12609" s="760"/>
      <c r="J12609" s="760"/>
      <c r="K12609" s="760"/>
    </row>
    <row r="12610" spans="1:11">
      <c r="A12610" s="760"/>
      <c r="B12610" s="760"/>
      <c r="C12610" s="760"/>
      <c r="D12610" s="760"/>
      <c r="E12610" s="760"/>
      <c r="F12610" s="760"/>
      <c r="G12610" s="760"/>
      <c r="H12610" s="760"/>
      <c r="I12610" s="760"/>
      <c r="J12610" s="760"/>
      <c r="K12610" s="760"/>
    </row>
    <row r="12611" spans="1:11">
      <c r="A12611" s="760"/>
      <c r="B12611" s="760"/>
      <c r="C12611" s="760"/>
      <c r="D12611" s="760"/>
      <c r="E12611" s="760"/>
      <c r="F12611" s="760"/>
      <c r="G12611" s="760"/>
      <c r="H12611" s="760"/>
      <c r="I12611" s="760"/>
      <c r="J12611" s="760"/>
      <c r="K12611" s="760"/>
    </row>
    <row r="12612" spans="1:11">
      <c r="A12612" s="760"/>
      <c r="B12612" s="760"/>
      <c r="C12612" s="760"/>
      <c r="D12612" s="760"/>
      <c r="E12612" s="760"/>
      <c r="F12612" s="760"/>
      <c r="G12612" s="760"/>
      <c r="H12612" s="760"/>
      <c r="I12612" s="760"/>
      <c r="J12612" s="760"/>
      <c r="K12612" s="760"/>
    </row>
    <row r="12613" spans="1:11">
      <c r="A12613" s="760"/>
      <c r="B12613" s="760"/>
      <c r="C12613" s="760"/>
      <c r="D12613" s="760"/>
      <c r="E12613" s="760"/>
      <c r="F12613" s="760"/>
      <c r="G12613" s="760"/>
      <c r="H12613" s="760"/>
      <c r="I12613" s="760"/>
      <c r="J12613" s="760"/>
      <c r="K12613" s="760"/>
    </row>
    <row r="12614" spans="1:11">
      <c r="A12614" s="760"/>
      <c r="B12614" s="760"/>
      <c r="C12614" s="760"/>
      <c r="D12614" s="760"/>
      <c r="E12614" s="760"/>
      <c r="F12614" s="760"/>
      <c r="G12614" s="760"/>
      <c r="H12614" s="760"/>
      <c r="I12614" s="760"/>
      <c r="J12614" s="760"/>
      <c r="K12614" s="760"/>
    </row>
    <row r="12615" spans="1:11">
      <c r="A12615" s="760"/>
      <c r="B12615" s="760"/>
      <c r="C12615" s="760"/>
      <c r="D12615" s="760"/>
      <c r="E12615" s="760"/>
      <c r="F12615" s="760"/>
      <c r="G12615" s="760"/>
      <c r="H12615" s="760"/>
      <c r="I12615" s="760"/>
      <c r="J12615" s="760"/>
      <c r="K12615" s="760"/>
    </row>
    <row r="12616" spans="1:11">
      <c r="A12616" s="760"/>
      <c r="B12616" s="760"/>
      <c r="C12616" s="760"/>
      <c r="D12616" s="760"/>
      <c r="E12616" s="760"/>
      <c r="F12616" s="760"/>
      <c r="G12616" s="760"/>
      <c r="H12616" s="760"/>
      <c r="I12616" s="760"/>
      <c r="J12616" s="760"/>
      <c r="K12616" s="760"/>
    </row>
    <row r="12617" spans="1:11">
      <c r="A12617" s="760"/>
      <c r="B12617" s="760"/>
      <c r="C12617" s="760"/>
      <c r="D12617" s="760"/>
      <c r="E12617" s="760"/>
      <c r="F12617" s="760"/>
      <c r="G12617" s="760"/>
      <c r="H12617" s="760"/>
      <c r="I12617" s="760"/>
      <c r="J12617" s="760"/>
      <c r="K12617" s="760"/>
    </row>
    <row r="12618" spans="1:11">
      <c r="A12618" s="760"/>
      <c r="B12618" s="760"/>
      <c r="C12618" s="760"/>
      <c r="D12618" s="760"/>
      <c r="E12618" s="760"/>
      <c r="F12618" s="760"/>
      <c r="G12618" s="760"/>
      <c r="H12618" s="760"/>
      <c r="I12618" s="760"/>
      <c r="J12618" s="760"/>
      <c r="K12618" s="760"/>
    </row>
    <row r="12619" spans="1:11">
      <c r="A12619" s="760"/>
      <c r="B12619" s="760"/>
      <c r="C12619" s="760"/>
      <c r="D12619" s="760"/>
      <c r="E12619" s="760"/>
      <c r="F12619" s="760"/>
      <c r="G12619" s="760"/>
      <c r="H12619" s="760"/>
      <c r="I12619" s="760"/>
      <c r="J12619" s="760"/>
      <c r="K12619" s="760"/>
    </row>
    <row r="12620" spans="1:11">
      <c r="A12620" s="760"/>
      <c r="B12620" s="760"/>
      <c r="C12620" s="760"/>
      <c r="D12620" s="760"/>
      <c r="E12620" s="760"/>
      <c r="F12620" s="760"/>
      <c r="G12620" s="760"/>
      <c r="H12620" s="760"/>
      <c r="I12620" s="760"/>
      <c r="J12620" s="760"/>
      <c r="K12620" s="760"/>
    </row>
    <row r="12621" spans="1:11">
      <c r="A12621" s="760"/>
      <c r="B12621" s="760"/>
      <c r="C12621" s="760"/>
      <c r="D12621" s="760"/>
      <c r="E12621" s="760"/>
      <c r="F12621" s="760"/>
      <c r="G12621" s="760"/>
      <c r="H12621" s="760"/>
      <c r="I12621" s="760"/>
      <c r="J12621" s="760"/>
      <c r="K12621" s="760"/>
    </row>
    <row r="12622" spans="1:11">
      <c r="A12622" s="760"/>
      <c r="B12622" s="760"/>
      <c r="C12622" s="760"/>
      <c r="D12622" s="760"/>
      <c r="E12622" s="760"/>
      <c r="F12622" s="760"/>
      <c r="G12622" s="760"/>
      <c r="H12622" s="760"/>
      <c r="I12622" s="760"/>
      <c r="J12622" s="760"/>
      <c r="K12622" s="760"/>
    </row>
    <row r="12623" spans="1:11">
      <c r="A12623" s="760"/>
      <c r="B12623" s="760"/>
      <c r="C12623" s="760"/>
      <c r="D12623" s="760"/>
      <c r="E12623" s="760"/>
      <c r="F12623" s="760"/>
      <c r="G12623" s="760"/>
      <c r="H12623" s="760"/>
      <c r="I12623" s="760"/>
      <c r="J12623" s="760"/>
      <c r="K12623" s="760"/>
    </row>
    <row r="12624" spans="1:11">
      <c r="A12624" s="760"/>
      <c r="B12624" s="760"/>
      <c r="C12624" s="760"/>
      <c r="D12624" s="760"/>
      <c r="E12624" s="760"/>
      <c r="F12624" s="760"/>
      <c r="G12624" s="760"/>
      <c r="H12624" s="760"/>
      <c r="I12624" s="760"/>
      <c r="J12624" s="760"/>
      <c r="K12624" s="760"/>
    </row>
    <row r="12625" spans="1:11">
      <c r="A12625" s="760"/>
      <c r="B12625" s="760"/>
      <c r="C12625" s="760"/>
      <c r="D12625" s="760"/>
      <c r="E12625" s="760"/>
      <c r="F12625" s="760"/>
      <c r="G12625" s="760"/>
      <c r="H12625" s="760"/>
      <c r="I12625" s="760"/>
      <c r="J12625" s="760"/>
      <c r="K12625" s="760"/>
    </row>
    <row r="12626" spans="1:11">
      <c r="A12626" s="760"/>
      <c r="B12626" s="760"/>
      <c r="C12626" s="760"/>
      <c r="D12626" s="760"/>
      <c r="E12626" s="760"/>
      <c r="F12626" s="760"/>
      <c r="G12626" s="760"/>
      <c r="H12626" s="760"/>
      <c r="I12626" s="760"/>
      <c r="J12626" s="760"/>
      <c r="K12626" s="760"/>
    </row>
    <row r="12627" spans="1:11">
      <c r="A12627" s="760"/>
      <c r="B12627" s="760"/>
      <c r="C12627" s="760"/>
      <c r="D12627" s="760"/>
      <c r="E12627" s="760"/>
      <c r="F12627" s="760"/>
      <c r="G12627" s="760"/>
      <c r="H12627" s="760"/>
      <c r="I12627" s="760"/>
      <c r="J12627" s="760"/>
      <c r="K12627" s="760"/>
    </row>
    <row r="12628" spans="1:11">
      <c r="A12628" s="760"/>
      <c r="B12628" s="760"/>
      <c r="C12628" s="760"/>
      <c r="D12628" s="760"/>
      <c r="E12628" s="760"/>
      <c r="F12628" s="760"/>
      <c r="G12628" s="760"/>
      <c r="H12628" s="760"/>
      <c r="I12628" s="760"/>
      <c r="J12628" s="760"/>
      <c r="K12628" s="760"/>
    </row>
    <row r="12629" spans="1:11">
      <c r="A12629" s="760"/>
      <c r="B12629" s="760"/>
      <c r="C12629" s="760"/>
      <c r="D12629" s="760"/>
      <c r="E12629" s="760"/>
      <c r="F12629" s="760"/>
      <c r="G12629" s="760"/>
      <c r="H12629" s="760"/>
      <c r="I12629" s="760"/>
      <c r="J12629" s="760"/>
      <c r="K12629" s="760"/>
    </row>
    <row r="12630" spans="1:11">
      <c r="A12630" s="760"/>
      <c r="B12630" s="760"/>
      <c r="C12630" s="760"/>
      <c r="D12630" s="760"/>
      <c r="E12630" s="760"/>
      <c r="F12630" s="760"/>
      <c r="G12630" s="760"/>
      <c r="H12630" s="760"/>
      <c r="I12630" s="760"/>
      <c r="J12630" s="760"/>
      <c r="K12630" s="760"/>
    </row>
    <row r="12631" spans="1:11">
      <c r="A12631" s="760"/>
      <c r="B12631" s="760"/>
      <c r="C12631" s="760"/>
      <c r="D12631" s="760"/>
      <c r="E12631" s="760"/>
      <c r="F12631" s="760"/>
      <c r="G12631" s="760"/>
      <c r="H12631" s="760"/>
      <c r="I12631" s="760"/>
      <c r="J12631" s="760"/>
      <c r="K12631" s="760"/>
    </row>
    <row r="12632" spans="1:11">
      <c r="A12632" s="760"/>
      <c r="B12632" s="760"/>
      <c r="C12632" s="760"/>
      <c r="D12632" s="760"/>
      <c r="E12632" s="760"/>
      <c r="F12632" s="760"/>
      <c r="G12632" s="760"/>
      <c r="H12632" s="760"/>
      <c r="I12632" s="760"/>
      <c r="J12632" s="760"/>
      <c r="K12632" s="760"/>
    </row>
    <row r="12633" spans="1:11">
      <c r="A12633" s="760"/>
      <c r="B12633" s="760"/>
      <c r="C12633" s="760"/>
      <c r="D12633" s="760"/>
      <c r="E12633" s="760"/>
      <c r="F12633" s="760"/>
      <c r="G12633" s="760"/>
      <c r="H12633" s="760"/>
      <c r="I12633" s="760"/>
      <c r="J12633" s="760"/>
      <c r="K12633" s="760"/>
    </row>
    <row r="12634" spans="1:11">
      <c r="A12634" s="760"/>
      <c r="B12634" s="760"/>
      <c r="C12634" s="760"/>
      <c r="D12634" s="760"/>
      <c r="E12634" s="760"/>
      <c r="F12634" s="760"/>
      <c r="G12634" s="760"/>
      <c r="H12634" s="760"/>
      <c r="I12634" s="760"/>
      <c r="J12634" s="760"/>
      <c r="K12634" s="760"/>
    </row>
    <row r="12635" spans="1:11">
      <c r="A12635" s="760"/>
      <c r="B12635" s="760"/>
      <c r="C12635" s="760"/>
      <c r="D12635" s="760"/>
      <c r="E12635" s="760"/>
      <c r="F12635" s="760"/>
      <c r="G12635" s="760"/>
      <c r="H12635" s="760"/>
      <c r="I12635" s="760"/>
      <c r="J12635" s="760"/>
      <c r="K12635" s="760"/>
    </row>
    <row r="12636" spans="1:11">
      <c r="A12636" s="760"/>
      <c r="B12636" s="760"/>
      <c r="C12636" s="760"/>
      <c r="D12636" s="760"/>
      <c r="E12636" s="760"/>
      <c r="F12636" s="760"/>
      <c r="G12636" s="760"/>
      <c r="H12636" s="760"/>
      <c r="I12636" s="760"/>
      <c r="J12636" s="760"/>
      <c r="K12636" s="760"/>
    </row>
    <row r="12637" spans="1:11">
      <c r="A12637" s="760"/>
      <c r="B12637" s="760"/>
      <c r="C12637" s="760"/>
      <c r="D12637" s="760"/>
      <c r="E12637" s="760"/>
      <c r="F12637" s="760"/>
      <c r="G12637" s="760"/>
      <c r="H12637" s="760"/>
      <c r="I12637" s="760"/>
      <c r="J12637" s="760"/>
      <c r="K12637" s="760"/>
    </row>
    <row r="12638" spans="1:11">
      <c r="A12638" s="760"/>
      <c r="B12638" s="760"/>
      <c r="C12638" s="760"/>
      <c r="D12638" s="760"/>
      <c r="E12638" s="760"/>
      <c r="F12638" s="760"/>
      <c r="G12638" s="760"/>
      <c r="H12638" s="760"/>
      <c r="I12638" s="760"/>
      <c r="J12638" s="760"/>
      <c r="K12638" s="760"/>
    </row>
    <row r="12639" spans="1:11">
      <c r="A12639" s="760"/>
      <c r="B12639" s="760"/>
      <c r="C12639" s="760"/>
      <c r="D12639" s="760"/>
      <c r="E12639" s="760"/>
      <c r="F12639" s="760"/>
      <c r="G12639" s="760"/>
      <c r="H12639" s="760"/>
      <c r="I12639" s="760"/>
      <c r="J12639" s="760"/>
      <c r="K12639" s="760"/>
    </row>
    <row r="12640" spans="1:11">
      <c r="A12640" s="760"/>
      <c r="B12640" s="760"/>
      <c r="C12640" s="760"/>
      <c r="D12640" s="760"/>
      <c r="E12640" s="760"/>
      <c r="F12640" s="760"/>
      <c r="G12640" s="760"/>
      <c r="H12640" s="760"/>
      <c r="I12640" s="760"/>
      <c r="J12640" s="760"/>
      <c r="K12640" s="760"/>
    </row>
    <row r="12641" spans="1:11">
      <c r="A12641" s="760"/>
      <c r="B12641" s="760"/>
      <c r="C12641" s="760"/>
      <c r="D12641" s="760"/>
      <c r="E12641" s="760"/>
      <c r="F12641" s="760"/>
      <c r="G12641" s="760"/>
      <c r="H12641" s="760"/>
      <c r="I12641" s="760"/>
      <c r="J12641" s="760"/>
      <c r="K12641" s="760"/>
    </row>
    <row r="12642" spans="1:11">
      <c r="A12642" s="760"/>
      <c r="B12642" s="760"/>
      <c r="C12642" s="760"/>
      <c r="D12642" s="760"/>
      <c r="E12642" s="760"/>
      <c r="F12642" s="760"/>
      <c r="G12642" s="760"/>
      <c r="H12642" s="760"/>
      <c r="I12642" s="760"/>
      <c r="J12642" s="760"/>
      <c r="K12642" s="760"/>
    </row>
    <row r="12643" spans="1:11">
      <c r="A12643" s="760"/>
      <c r="B12643" s="760"/>
      <c r="C12643" s="760"/>
      <c r="D12643" s="760"/>
      <c r="E12643" s="760"/>
      <c r="F12643" s="760"/>
      <c r="G12643" s="760"/>
      <c r="H12643" s="760"/>
      <c r="I12643" s="760"/>
      <c r="J12643" s="760"/>
      <c r="K12643" s="760"/>
    </row>
    <row r="12644" spans="1:11">
      <c r="A12644" s="760"/>
      <c r="B12644" s="760"/>
      <c r="C12644" s="760"/>
      <c r="D12644" s="760"/>
      <c r="E12644" s="760"/>
      <c r="F12644" s="760"/>
      <c r="G12644" s="760"/>
      <c r="H12644" s="760"/>
      <c r="I12644" s="760"/>
      <c r="J12644" s="760"/>
      <c r="K12644" s="760"/>
    </row>
    <row r="12645" spans="1:11">
      <c r="A12645" s="760"/>
      <c r="B12645" s="760"/>
      <c r="C12645" s="760"/>
      <c r="D12645" s="760"/>
      <c r="E12645" s="760"/>
      <c r="F12645" s="760"/>
      <c r="G12645" s="760"/>
      <c r="H12645" s="760"/>
      <c r="I12645" s="760"/>
      <c r="J12645" s="760"/>
      <c r="K12645" s="760"/>
    </row>
    <row r="12646" spans="1:11">
      <c r="A12646" s="760"/>
      <c r="B12646" s="760"/>
      <c r="C12646" s="760"/>
      <c r="D12646" s="760"/>
      <c r="E12646" s="760"/>
      <c r="F12646" s="760"/>
      <c r="G12646" s="760"/>
      <c r="H12646" s="760"/>
      <c r="I12646" s="760"/>
      <c r="J12646" s="760"/>
      <c r="K12646" s="760"/>
    </row>
    <row r="12647" spans="1:11">
      <c r="A12647" s="760"/>
      <c r="B12647" s="760"/>
      <c r="C12647" s="760"/>
      <c r="D12647" s="760"/>
      <c r="E12647" s="760"/>
      <c r="F12647" s="760"/>
      <c r="G12647" s="760"/>
      <c r="H12647" s="760"/>
      <c r="I12647" s="760"/>
      <c r="J12647" s="760"/>
      <c r="K12647" s="760"/>
    </row>
    <row r="12648" spans="1:11">
      <c r="A12648" s="760"/>
      <c r="B12648" s="760"/>
      <c r="C12648" s="760"/>
      <c r="D12648" s="760"/>
      <c r="E12648" s="760"/>
      <c r="F12648" s="760"/>
      <c r="G12648" s="760"/>
      <c r="H12648" s="760"/>
      <c r="I12648" s="760"/>
      <c r="J12648" s="760"/>
      <c r="K12648" s="760"/>
    </row>
    <row r="12649" spans="1:11">
      <c r="A12649" s="760"/>
      <c r="B12649" s="760"/>
      <c r="C12649" s="760"/>
      <c r="D12649" s="760"/>
      <c r="E12649" s="760"/>
      <c r="F12649" s="760"/>
      <c r="G12649" s="760"/>
      <c r="H12649" s="760"/>
      <c r="I12649" s="760"/>
      <c r="J12649" s="760"/>
      <c r="K12649" s="760"/>
    </row>
    <row r="12650" spans="1:11">
      <c r="A12650" s="760"/>
      <c r="B12650" s="760"/>
      <c r="C12650" s="760"/>
      <c r="D12650" s="760"/>
      <c r="E12650" s="760"/>
      <c r="F12650" s="760"/>
      <c r="G12650" s="760"/>
      <c r="H12650" s="760"/>
      <c r="I12650" s="760"/>
      <c r="J12650" s="760"/>
      <c r="K12650" s="760"/>
    </row>
    <row r="12651" spans="1:11">
      <c r="A12651" s="760"/>
      <c r="B12651" s="760"/>
      <c r="C12651" s="760"/>
      <c r="D12651" s="760"/>
      <c r="E12651" s="760"/>
      <c r="F12651" s="760"/>
      <c r="G12651" s="760"/>
      <c r="H12651" s="760"/>
      <c r="I12651" s="760"/>
      <c r="J12651" s="760"/>
      <c r="K12651" s="760"/>
    </row>
    <row r="12652" spans="1:11">
      <c r="A12652" s="760"/>
      <c r="B12652" s="760"/>
      <c r="C12652" s="760"/>
      <c r="D12652" s="760"/>
      <c r="E12652" s="760"/>
      <c r="F12652" s="760"/>
      <c r="G12652" s="760"/>
      <c r="H12652" s="760"/>
      <c r="I12652" s="760"/>
      <c r="J12652" s="760"/>
      <c r="K12652" s="760"/>
    </row>
    <row r="12653" spans="1:11">
      <c r="A12653" s="760"/>
      <c r="B12653" s="760"/>
      <c r="C12653" s="760"/>
      <c r="D12653" s="760"/>
      <c r="E12653" s="760"/>
      <c r="F12653" s="760"/>
      <c r="G12653" s="760"/>
      <c r="H12653" s="760"/>
      <c r="I12653" s="760"/>
      <c r="J12653" s="760"/>
      <c r="K12653" s="760"/>
    </row>
    <row r="12654" spans="1:11">
      <c r="A12654" s="760"/>
      <c r="B12654" s="760"/>
      <c r="C12654" s="760"/>
      <c r="D12654" s="760"/>
      <c r="E12654" s="760"/>
      <c r="F12654" s="760"/>
      <c r="G12654" s="760"/>
      <c r="H12654" s="760"/>
      <c r="I12654" s="760"/>
      <c r="J12654" s="760"/>
      <c r="K12654" s="760"/>
    </row>
    <row r="12655" spans="1:11">
      <c r="A12655" s="760"/>
      <c r="B12655" s="760"/>
      <c r="C12655" s="760"/>
      <c r="D12655" s="760"/>
      <c r="E12655" s="760"/>
      <c r="F12655" s="760"/>
      <c r="G12655" s="760"/>
      <c r="H12655" s="760"/>
      <c r="I12655" s="760"/>
      <c r="J12655" s="760"/>
      <c r="K12655" s="760"/>
    </row>
    <row r="12656" spans="1:11">
      <c r="A12656" s="760"/>
      <c r="B12656" s="760"/>
      <c r="C12656" s="760"/>
      <c r="D12656" s="760"/>
      <c r="E12656" s="760"/>
      <c r="F12656" s="760"/>
      <c r="G12656" s="760"/>
      <c r="H12656" s="760"/>
      <c r="I12656" s="760"/>
      <c r="J12656" s="760"/>
      <c r="K12656" s="760"/>
    </row>
    <row r="12657" spans="1:11">
      <c r="A12657" s="760"/>
      <c r="B12657" s="760"/>
      <c r="C12657" s="760"/>
      <c r="D12657" s="760"/>
      <c r="E12657" s="760"/>
      <c r="F12657" s="760"/>
      <c r="G12657" s="760"/>
      <c r="H12657" s="760"/>
      <c r="I12657" s="760"/>
      <c r="J12657" s="760"/>
      <c r="K12657" s="760"/>
    </row>
    <row r="12658" spans="1:11">
      <c r="A12658" s="760"/>
      <c r="B12658" s="760"/>
      <c r="C12658" s="760"/>
      <c r="D12658" s="760"/>
      <c r="E12658" s="760"/>
      <c r="F12658" s="760"/>
      <c r="G12658" s="760"/>
      <c r="H12658" s="760"/>
      <c r="I12658" s="760"/>
      <c r="J12658" s="760"/>
      <c r="K12658" s="760"/>
    </row>
    <row r="12659" spans="1:11">
      <c r="A12659" s="760"/>
      <c r="B12659" s="760"/>
      <c r="C12659" s="760"/>
      <c r="D12659" s="760"/>
      <c r="E12659" s="760"/>
      <c r="F12659" s="760"/>
      <c r="G12659" s="760"/>
      <c r="H12659" s="760"/>
      <c r="I12659" s="760"/>
      <c r="J12659" s="760"/>
      <c r="K12659" s="760"/>
    </row>
    <row r="12660" spans="1:11">
      <c r="A12660" s="760"/>
      <c r="B12660" s="760"/>
      <c r="C12660" s="760"/>
      <c r="D12660" s="760"/>
      <c r="E12660" s="760"/>
      <c r="F12660" s="760"/>
      <c r="G12660" s="760"/>
      <c r="H12660" s="760"/>
      <c r="I12660" s="760"/>
      <c r="J12660" s="760"/>
      <c r="K12660" s="760"/>
    </row>
    <row r="12661" spans="1:11">
      <c r="A12661" s="760"/>
      <c r="B12661" s="760"/>
      <c r="C12661" s="760"/>
      <c r="D12661" s="760"/>
      <c r="E12661" s="760"/>
      <c r="F12661" s="760"/>
      <c r="G12661" s="760"/>
      <c r="H12661" s="760"/>
      <c r="I12661" s="760"/>
      <c r="J12661" s="760"/>
      <c r="K12661" s="760"/>
    </row>
    <row r="12662" spans="1:11">
      <c r="A12662" s="760"/>
      <c r="B12662" s="760"/>
      <c r="C12662" s="760"/>
      <c r="D12662" s="760"/>
      <c r="E12662" s="760"/>
      <c r="F12662" s="760"/>
      <c r="G12662" s="760"/>
      <c r="H12662" s="760"/>
      <c r="I12662" s="760"/>
      <c r="J12662" s="760"/>
      <c r="K12662" s="760"/>
    </row>
    <row r="12663" spans="1:11">
      <c r="A12663" s="760"/>
      <c r="B12663" s="760"/>
      <c r="C12663" s="760"/>
      <c r="D12663" s="760"/>
      <c r="E12663" s="760"/>
      <c r="F12663" s="760"/>
      <c r="G12663" s="760"/>
      <c r="H12663" s="760"/>
      <c r="I12663" s="760"/>
      <c r="J12663" s="760"/>
      <c r="K12663" s="760"/>
    </row>
    <row r="12664" spans="1:11">
      <c r="A12664" s="760"/>
      <c r="B12664" s="760"/>
      <c r="C12664" s="760"/>
      <c r="D12664" s="760"/>
      <c r="E12664" s="760"/>
      <c r="F12664" s="760"/>
      <c r="G12664" s="760"/>
      <c r="H12664" s="760"/>
      <c r="I12664" s="760"/>
      <c r="J12664" s="760"/>
      <c r="K12664" s="760"/>
    </row>
    <row r="12665" spans="1:11">
      <c r="A12665" s="760"/>
      <c r="B12665" s="760"/>
      <c r="C12665" s="760"/>
      <c r="D12665" s="760"/>
      <c r="E12665" s="760"/>
      <c r="F12665" s="760"/>
      <c r="G12665" s="760"/>
      <c r="H12665" s="760"/>
      <c r="I12665" s="760"/>
      <c r="J12665" s="760"/>
      <c r="K12665" s="760"/>
    </row>
    <row r="12666" spans="1:11">
      <c r="A12666" s="760"/>
      <c r="B12666" s="760"/>
      <c r="C12666" s="760"/>
      <c r="D12666" s="760"/>
      <c r="E12666" s="760"/>
      <c r="F12666" s="760"/>
      <c r="G12666" s="760"/>
      <c r="H12666" s="760"/>
      <c r="I12666" s="760"/>
      <c r="J12666" s="760"/>
      <c r="K12666" s="760"/>
    </row>
    <row r="12667" spans="1:11">
      <c r="A12667" s="760"/>
      <c r="B12667" s="760"/>
      <c r="C12667" s="760"/>
      <c r="D12667" s="760"/>
      <c r="E12667" s="760"/>
      <c r="F12667" s="760"/>
      <c r="G12667" s="760"/>
      <c r="H12667" s="760"/>
      <c r="I12667" s="760"/>
      <c r="J12667" s="760"/>
      <c r="K12667" s="760"/>
    </row>
    <row r="12668" spans="1:11">
      <c r="A12668" s="760"/>
      <c r="B12668" s="760"/>
      <c r="C12668" s="760"/>
      <c r="D12668" s="760"/>
      <c r="E12668" s="760"/>
      <c r="F12668" s="760"/>
      <c r="G12668" s="760"/>
      <c r="H12668" s="760"/>
      <c r="I12668" s="760"/>
      <c r="J12668" s="760"/>
      <c r="K12668" s="760"/>
    </row>
    <row r="12669" spans="1:11">
      <c r="A12669" s="760"/>
      <c r="B12669" s="760"/>
      <c r="C12669" s="760"/>
      <c r="D12669" s="760"/>
      <c r="E12669" s="760"/>
      <c r="F12669" s="760"/>
      <c r="G12669" s="760"/>
      <c r="H12669" s="760"/>
      <c r="I12669" s="760"/>
      <c r="J12669" s="760"/>
      <c r="K12669" s="760"/>
    </row>
    <row r="12670" spans="1:11">
      <c r="A12670" s="760"/>
      <c r="B12670" s="760"/>
      <c r="C12670" s="760"/>
      <c r="D12670" s="760"/>
      <c r="E12670" s="760"/>
      <c r="F12670" s="760"/>
      <c r="G12670" s="760"/>
      <c r="H12670" s="760"/>
      <c r="I12670" s="760"/>
      <c r="J12670" s="760"/>
      <c r="K12670" s="760"/>
    </row>
    <row r="12671" spans="1:11">
      <c r="A12671" s="760"/>
      <c r="B12671" s="760"/>
      <c r="C12671" s="760"/>
      <c r="D12671" s="760"/>
      <c r="E12671" s="760"/>
      <c r="F12671" s="760"/>
      <c r="G12671" s="760"/>
      <c r="H12671" s="760"/>
      <c r="I12671" s="760"/>
      <c r="J12671" s="760"/>
      <c r="K12671" s="760"/>
    </row>
    <row r="12672" spans="1:11">
      <c r="A12672" s="760"/>
      <c r="B12672" s="760"/>
      <c r="C12672" s="760"/>
      <c r="D12672" s="760"/>
      <c r="E12672" s="760"/>
      <c r="F12672" s="760"/>
      <c r="G12672" s="760"/>
      <c r="H12672" s="760"/>
      <c r="I12672" s="760"/>
      <c r="J12672" s="760"/>
      <c r="K12672" s="760"/>
    </row>
    <row r="12673" spans="1:11">
      <c r="A12673" s="760"/>
      <c r="B12673" s="760"/>
      <c r="C12673" s="760"/>
      <c r="D12673" s="760"/>
      <c r="E12673" s="760"/>
      <c r="F12673" s="760"/>
      <c r="G12673" s="760"/>
      <c r="H12673" s="760"/>
      <c r="I12673" s="760"/>
      <c r="J12673" s="760"/>
      <c r="K12673" s="760"/>
    </row>
    <row r="12674" spans="1:11">
      <c r="A12674" s="760"/>
      <c r="B12674" s="760"/>
      <c r="C12674" s="760"/>
      <c r="D12674" s="760"/>
      <c r="E12674" s="760"/>
      <c r="F12674" s="760"/>
      <c r="G12674" s="760"/>
      <c r="H12674" s="760"/>
      <c r="I12674" s="760"/>
      <c r="J12674" s="760"/>
      <c r="K12674" s="760"/>
    </row>
    <row r="12675" spans="1:11">
      <c r="A12675" s="760"/>
      <c r="B12675" s="760"/>
      <c r="C12675" s="760"/>
      <c r="D12675" s="760"/>
      <c r="E12675" s="760"/>
      <c r="F12675" s="760"/>
      <c r="G12675" s="760"/>
      <c r="H12675" s="760"/>
      <c r="I12675" s="760"/>
      <c r="J12675" s="760"/>
      <c r="K12675" s="760"/>
    </row>
    <row r="12676" spans="1:11">
      <c r="A12676" s="760"/>
      <c r="B12676" s="760"/>
      <c r="C12676" s="760"/>
      <c r="D12676" s="760"/>
      <c r="E12676" s="760"/>
      <c r="F12676" s="760"/>
      <c r="G12676" s="760"/>
      <c r="H12676" s="760"/>
      <c r="I12676" s="760"/>
      <c r="J12676" s="760"/>
      <c r="K12676" s="760"/>
    </row>
    <row r="12677" spans="1:11">
      <c r="A12677" s="760"/>
      <c r="B12677" s="760"/>
      <c r="C12677" s="760"/>
      <c r="D12677" s="760"/>
      <c r="E12677" s="760"/>
      <c r="F12677" s="760"/>
      <c r="G12677" s="760"/>
      <c r="H12677" s="760"/>
      <c r="I12677" s="760"/>
      <c r="J12677" s="760"/>
      <c r="K12677" s="760"/>
    </row>
    <row r="12678" spans="1:11">
      <c r="A12678" s="760"/>
      <c r="B12678" s="760"/>
      <c r="C12678" s="760"/>
      <c r="D12678" s="760"/>
      <c r="E12678" s="760"/>
      <c r="F12678" s="760"/>
      <c r="G12678" s="760"/>
      <c r="H12678" s="760"/>
      <c r="I12678" s="760"/>
      <c r="J12678" s="760"/>
      <c r="K12678" s="760"/>
    </row>
    <row r="12679" spans="1:11">
      <c r="A12679" s="760"/>
      <c r="B12679" s="760"/>
      <c r="C12679" s="760"/>
      <c r="D12679" s="760"/>
      <c r="E12679" s="760"/>
      <c r="F12679" s="760"/>
      <c r="G12679" s="760"/>
      <c r="H12679" s="760"/>
      <c r="I12679" s="760"/>
      <c r="J12679" s="760"/>
      <c r="K12679" s="760"/>
    </row>
    <row r="12680" spans="1:11">
      <c r="A12680" s="760"/>
      <c r="B12680" s="760"/>
      <c r="C12680" s="760"/>
      <c r="D12680" s="760"/>
      <c r="E12680" s="760"/>
      <c r="F12680" s="760"/>
      <c r="G12680" s="760"/>
      <c r="H12680" s="760"/>
      <c r="I12680" s="760"/>
      <c r="J12680" s="760"/>
      <c r="K12680" s="760"/>
    </row>
    <row r="12681" spans="1:11">
      <c r="A12681" s="760"/>
      <c r="B12681" s="760"/>
      <c r="C12681" s="760"/>
      <c r="D12681" s="760"/>
      <c r="E12681" s="760"/>
      <c r="F12681" s="760"/>
      <c r="G12681" s="760"/>
      <c r="H12681" s="760"/>
      <c r="I12681" s="760"/>
      <c r="J12681" s="760"/>
      <c r="K12681" s="760"/>
    </row>
    <row r="12682" spans="1:11">
      <c r="A12682" s="760"/>
      <c r="B12682" s="760"/>
      <c r="C12682" s="760"/>
      <c r="D12682" s="760"/>
      <c r="E12682" s="760"/>
      <c r="F12682" s="760"/>
      <c r="G12682" s="760"/>
      <c r="H12682" s="760"/>
      <c r="I12682" s="760"/>
      <c r="J12682" s="760"/>
      <c r="K12682" s="760"/>
    </row>
    <row r="12683" spans="1:11">
      <c r="A12683" s="760"/>
      <c r="B12683" s="760"/>
      <c r="C12683" s="760"/>
      <c r="D12683" s="760"/>
      <c r="E12683" s="760"/>
      <c r="F12683" s="760"/>
      <c r="G12683" s="760"/>
      <c r="H12683" s="760"/>
      <c r="I12683" s="760"/>
      <c r="J12683" s="760"/>
      <c r="K12683" s="760"/>
    </row>
    <row r="12684" spans="1:11">
      <c r="A12684" s="760"/>
      <c r="B12684" s="760"/>
      <c r="C12684" s="760"/>
      <c r="D12684" s="760"/>
      <c r="E12684" s="760"/>
      <c r="F12684" s="760"/>
      <c r="G12684" s="760"/>
      <c r="H12684" s="760"/>
      <c r="I12684" s="760"/>
      <c r="J12684" s="760"/>
      <c r="K12684" s="760"/>
    </row>
    <row r="12685" spans="1:11">
      <c r="A12685" s="760"/>
      <c r="B12685" s="760"/>
      <c r="C12685" s="760"/>
      <c r="D12685" s="760"/>
      <c r="E12685" s="760"/>
      <c r="F12685" s="760"/>
      <c r="G12685" s="760"/>
      <c r="H12685" s="760"/>
      <c r="I12685" s="760"/>
      <c r="J12685" s="760"/>
      <c r="K12685" s="760"/>
    </row>
    <row r="12686" spans="1:11">
      <c r="A12686" s="760"/>
      <c r="B12686" s="760"/>
      <c r="C12686" s="760"/>
      <c r="D12686" s="760"/>
      <c r="E12686" s="760"/>
      <c r="F12686" s="760"/>
      <c r="G12686" s="760"/>
      <c r="H12686" s="760"/>
      <c r="I12686" s="760"/>
      <c r="J12686" s="760"/>
      <c r="K12686" s="760"/>
    </row>
    <row r="12687" spans="1:11">
      <c r="A12687" s="760"/>
      <c r="B12687" s="760"/>
      <c r="C12687" s="760"/>
      <c r="D12687" s="760"/>
      <c r="E12687" s="760"/>
      <c r="F12687" s="760"/>
      <c r="G12687" s="760"/>
      <c r="H12687" s="760"/>
      <c r="I12687" s="760"/>
      <c r="J12687" s="760"/>
      <c r="K12687" s="760"/>
    </row>
    <row r="12688" spans="1:11">
      <c r="A12688" s="760"/>
      <c r="B12688" s="760"/>
      <c r="C12688" s="760"/>
      <c r="D12688" s="760"/>
      <c r="E12688" s="760"/>
      <c r="F12688" s="760"/>
      <c r="G12688" s="760"/>
      <c r="H12688" s="760"/>
      <c r="I12688" s="760"/>
      <c r="J12688" s="760"/>
      <c r="K12688" s="760"/>
    </row>
    <row r="12689" spans="1:11">
      <c r="A12689" s="760"/>
      <c r="B12689" s="760"/>
      <c r="C12689" s="760"/>
      <c r="D12689" s="760"/>
      <c r="E12689" s="760"/>
      <c r="F12689" s="760"/>
      <c r="G12689" s="760"/>
      <c r="H12689" s="760"/>
      <c r="I12689" s="760"/>
      <c r="J12689" s="760"/>
      <c r="K12689" s="760"/>
    </row>
    <row r="12690" spans="1:11">
      <c r="A12690" s="760"/>
      <c r="B12690" s="760"/>
      <c r="C12690" s="760"/>
      <c r="D12690" s="760"/>
      <c r="E12690" s="760"/>
      <c r="F12690" s="760"/>
      <c r="G12690" s="760"/>
      <c r="H12690" s="760"/>
      <c r="I12690" s="760"/>
      <c r="J12690" s="760"/>
      <c r="K12690" s="760"/>
    </row>
    <row r="12691" spans="1:11">
      <c r="A12691" s="760"/>
      <c r="B12691" s="760"/>
      <c r="C12691" s="760"/>
      <c r="D12691" s="760"/>
      <c r="E12691" s="760"/>
      <c r="F12691" s="760"/>
      <c r="G12691" s="760"/>
      <c r="H12691" s="760"/>
      <c r="I12691" s="760"/>
      <c r="J12691" s="760"/>
      <c r="K12691" s="760"/>
    </row>
    <row r="12692" spans="1:11">
      <c r="A12692" s="760"/>
      <c r="B12692" s="760"/>
      <c r="C12692" s="760"/>
      <c r="D12692" s="760"/>
      <c r="E12692" s="760"/>
      <c r="F12692" s="760"/>
      <c r="G12692" s="760"/>
      <c r="H12692" s="760"/>
      <c r="I12692" s="760"/>
      <c r="J12692" s="760"/>
      <c r="K12692" s="760"/>
    </row>
    <row r="12693" spans="1:11">
      <c r="A12693" s="760"/>
      <c r="B12693" s="760"/>
      <c r="C12693" s="760"/>
      <c r="D12693" s="760"/>
      <c r="E12693" s="760"/>
      <c r="F12693" s="760"/>
      <c r="G12693" s="760"/>
      <c r="H12693" s="760"/>
      <c r="I12693" s="760"/>
      <c r="J12693" s="760"/>
      <c r="K12693" s="760"/>
    </row>
    <row r="12694" spans="1:11">
      <c r="A12694" s="760"/>
      <c r="B12694" s="760"/>
      <c r="C12694" s="760"/>
      <c r="D12694" s="760"/>
      <c r="E12694" s="760"/>
      <c r="F12694" s="760"/>
      <c r="G12694" s="760"/>
      <c r="H12694" s="760"/>
      <c r="I12694" s="760"/>
      <c r="J12694" s="760"/>
      <c r="K12694" s="760"/>
    </row>
    <row r="12695" spans="1:11">
      <c r="A12695" s="760"/>
      <c r="B12695" s="760"/>
      <c r="C12695" s="760"/>
      <c r="D12695" s="760"/>
      <c r="E12695" s="760"/>
      <c r="F12695" s="760"/>
      <c r="G12695" s="760"/>
      <c r="H12695" s="760"/>
      <c r="I12695" s="760"/>
      <c r="J12695" s="760"/>
      <c r="K12695" s="760"/>
    </row>
    <row r="12696" spans="1:11">
      <c r="A12696" s="760"/>
      <c r="B12696" s="760"/>
      <c r="C12696" s="760"/>
      <c r="D12696" s="760"/>
      <c r="E12696" s="760"/>
      <c r="F12696" s="760"/>
      <c r="G12696" s="760"/>
      <c r="H12696" s="760"/>
      <c r="I12696" s="760"/>
      <c r="J12696" s="760"/>
      <c r="K12696" s="760"/>
    </row>
    <row r="12697" spans="1:11">
      <c r="A12697" s="760"/>
      <c r="B12697" s="760"/>
      <c r="C12697" s="760"/>
      <c r="D12697" s="760"/>
      <c r="E12697" s="760"/>
      <c r="F12697" s="760"/>
      <c r="G12697" s="760"/>
      <c r="H12697" s="760"/>
      <c r="I12697" s="760"/>
      <c r="J12697" s="760"/>
      <c r="K12697" s="760"/>
    </row>
    <row r="12698" spans="1:11">
      <c r="A12698" s="760"/>
      <c r="B12698" s="760"/>
      <c r="C12698" s="760"/>
      <c r="D12698" s="760"/>
      <c r="E12698" s="760"/>
      <c r="F12698" s="760"/>
      <c r="G12698" s="760"/>
      <c r="H12698" s="760"/>
      <c r="I12698" s="760"/>
      <c r="J12698" s="760"/>
      <c r="K12698" s="760"/>
    </row>
    <row r="12699" spans="1:11">
      <c r="A12699" s="760"/>
      <c r="B12699" s="760"/>
      <c r="C12699" s="760"/>
      <c r="D12699" s="760"/>
      <c r="E12699" s="760"/>
      <c r="F12699" s="760"/>
      <c r="G12699" s="760"/>
      <c r="H12699" s="760"/>
      <c r="I12699" s="760"/>
      <c r="J12699" s="760"/>
      <c r="K12699" s="760"/>
    </row>
    <row r="12700" spans="1:11">
      <c r="A12700" s="760"/>
      <c r="B12700" s="760"/>
      <c r="C12700" s="760"/>
      <c r="D12700" s="760"/>
      <c r="E12700" s="760"/>
      <c r="F12700" s="760"/>
      <c r="G12700" s="760"/>
      <c r="H12700" s="760"/>
      <c r="I12700" s="760"/>
      <c r="J12700" s="760"/>
      <c r="K12700" s="760"/>
    </row>
    <row r="12701" spans="1:11">
      <c r="A12701" s="760"/>
      <c r="B12701" s="760"/>
      <c r="C12701" s="760"/>
      <c r="D12701" s="760"/>
      <c r="E12701" s="760"/>
      <c r="F12701" s="760"/>
      <c r="G12701" s="760"/>
      <c r="H12701" s="760"/>
      <c r="I12701" s="760"/>
      <c r="J12701" s="760"/>
      <c r="K12701" s="760"/>
    </row>
    <row r="12702" spans="1:11">
      <c r="A12702" s="760"/>
      <c r="B12702" s="760"/>
      <c r="C12702" s="760"/>
      <c r="D12702" s="760"/>
      <c r="E12702" s="760"/>
      <c r="F12702" s="760"/>
      <c r="G12702" s="760"/>
      <c r="H12702" s="760"/>
      <c r="I12702" s="760"/>
      <c r="J12702" s="760"/>
      <c r="K12702" s="760"/>
    </row>
    <row r="12703" spans="1:11">
      <c r="A12703" s="760"/>
      <c r="B12703" s="760"/>
      <c r="C12703" s="760"/>
      <c r="D12703" s="760"/>
      <c r="E12703" s="760"/>
      <c r="F12703" s="760"/>
      <c r="G12703" s="760"/>
      <c r="H12703" s="760"/>
      <c r="I12703" s="760"/>
      <c r="J12703" s="760"/>
      <c r="K12703" s="760"/>
    </row>
    <row r="12704" spans="1:11">
      <c r="A12704" s="760"/>
      <c r="B12704" s="760"/>
      <c r="C12704" s="760"/>
      <c r="D12704" s="760"/>
      <c r="E12704" s="760"/>
      <c r="F12704" s="760"/>
      <c r="G12704" s="760"/>
      <c r="H12704" s="760"/>
      <c r="I12704" s="760"/>
      <c r="J12704" s="760"/>
      <c r="K12704" s="760"/>
    </row>
    <row r="12705" spans="1:11">
      <c r="A12705" s="760"/>
      <c r="B12705" s="760"/>
      <c r="C12705" s="760"/>
      <c r="D12705" s="760"/>
      <c r="E12705" s="760"/>
      <c r="F12705" s="760"/>
      <c r="G12705" s="760"/>
      <c r="H12705" s="760"/>
      <c r="I12705" s="760"/>
      <c r="J12705" s="760"/>
      <c r="K12705" s="760"/>
    </row>
    <row r="12706" spans="1:11">
      <c r="A12706" s="760"/>
      <c r="B12706" s="760"/>
      <c r="C12706" s="760"/>
      <c r="D12706" s="760"/>
      <c r="E12706" s="760"/>
      <c r="F12706" s="760"/>
      <c r="G12706" s="760"/>
      <c r="H12706" s="760"/>
      <c r="I12706" s="760"/>
      <c r="J12706" s="760"/>
      <c r="K12706" s="760"/>
    </row>
    <row r="12707" spans="1:11">
      <c r="A12707" s="760"/>
      <c r="B12707" s="760"/>
      <c r="C12707" s="760"/>
      <c r="D12707" s="760"/>
      <c r="E12707" s="760"/>
      <c r="F12707" s="760"/>
      <c r="G12707" s="760"/>
      <c r="H12707" s="760"/>
      <c r="I12707" s="760"/>
      <c r="J12707" s="760"/>
      <c r="K12707" s="760"/>
    </row>
    <row r="12708" spans="1:11">
      <c r="A12708" s="760"/>
      <c r="B12708" s="760"/>
      <c r="C12708" s="760"/>
      <c r="D12708" s="760"/>
      <c r="E12708" s="760"/>
      <c r="F12708" s="760"/>
      <c r="G12708" s="760"/>
      <c r="H12708" s="760"/>
      <c r="I12708" s="760"/>
      <c r="J12708" s="760"/>
      <c r="K12708" s="760"/>
    </row>
    <row r="12709" spans="1:11">
      <c r="A12709" s="760"/>
      <c r="B12709" s="760"/>
      <c r="C12709" s="760"/>
      <c r="D12709" s="760"/>
      <c r="E12709" s="760"/>
      <c r="F12709" s="760"/>
      <c r="G12709" s="760"/>
      <c r="H12709" s="760"/>
      <c r="I12709" s="760"/>
      <c r="J12709" s="760"/>
      <c r="K12709" s="760"/>
    </row>
    <row r="12710" spans="1:11">
      <c r="A12710" s="760"/>
      <c r="B12710" s="760"/>
      <c r="C12710" s="760"/>
      <c r="D12710" s="760"/>
      <c r="E12710" s="760"/>
      <c r="F12710" s="760"/>
      <c r="G12710" s="760"/>
      <c r="H12710" s="760"/>
      <c r="I12710" s="760"/>
      <c r="J12710" s="760"/>
      <c r="K12710" s="760"/>
    </row>
    <row r="12711" spans="1:11">
      <c r="A12711" s="760"/>
      <c r="B12711" s="760"/>
      <c r="C12711" s="760"/>
      <c r="D12711" s="760"/>
      <c r="E12711" s="760"/>
      <c r="F12711" s="760"/>
      <c r="G12711" s="760"/>
      <c r="H12711" s="760"/>
      <c r="I12711" s="760"/>
      <c r="J12711" s="760"/>
      <c r="K12711" s="760"/>
    </row>
    <row r="12712" spans="1:11">
      <c r="A12712" s="760"/>
      <c r="B12712" s="760"/>
      <c r="C12712" s="760"/>
      <c r="D12712" s="760"/>
      <c r="E12712" s="760"/>
      <c r="F12712" s="760"/>
      <c r="G12712" s="760"/>
      <c r="H12712" s="760"/>
      <c r="I12712" s="760"/>
      <c r="J12712" s="760"/>
      <c r="K12712" s="760"/>
    </row>
    <row r="12713" spans="1:11">
      <c r="A12713" s="760"/>
      <c r="B12713" s="760"/>
      <c r="C12713" s="760"/>
      <c r="D12713" s="760"/>
      <c r="E12713" s="760"/>
      <c r="F12713" s="760"/>
      <c r="G12713" s="760"/>
      <c r="H12713" s="760"/>
      <c r="I12713" s="760"/>
      <c r="J12713" s="760"/>
      <c r="K12713" s="760"/>
    </row>
    <row r="12714" spans="1:11">
      <c r="A12714" s="760"/>
      <c r="B12714" s="760"/>
      <c r="C12714" s="760"/>
      <c r="D12714" s="760"/>
      <c r="E12714" s="760"/>
      <c r="F12714" s="760"/>
      <c r="G12714" s="760"/>
      <c r="H12714" s="760"/>
      <c r="I12714" s="760"/>
      <c r="J12714" s="760"/>
      <c r="K12714" s="760"/>
    </row>
    <row r="12715" spans="1:11">
      <c r="A12715" s="760"/>
      <c r="B12715" s="760"/>
      <c r="C12715" s="760"/>
      <c r="D12715" s="760"/>
      <c r="E12715" s="760"/>
      <c r="F12715" s="760"/>
      <c r="G12715" s="760"/>
      <c r="H12715" s="760"/>
      <c r="I12715" s="760"/>
      <c r="J12715" s="760"/>
      <c r="K12715" s="760"/>
    </row>
    <row r="12716" spans="1:11">
      <c r="A12716" s="760"/>
      <c r="B12716" s="760"/>
      <c r="C12716" s="760"/>
      <c r="D12716" s="760"/>
      <c r="E12716" s="760"/>
      <c r="F12716" s="760"/>
      <c r="G12716" s="760"/>
      <c r="H12716" s="760"/>
      <c r="I12716" s="760"/>
      <c r="J12716" s="760"/>
      <c r="K12716" s="760"/>
    </row>
    <row r="12717" spans="1:11">
      <c r="A12717" s="760"/>
      <c r="B12717" s="760"/>
      <c r="C12717" s="760"/>
      <c r="D12717" s="760"/>
      <c r="E12717" s="760"/>
      <c r="F12717" s="760"/>
      <c r="G12717" s="760"/>
      <c r="H12717" s="760"/>
      <c r="I12717" s="760"/>
      <c r="J12717" s="760"/>
      <c r="K12717" s="760"/>
    </row>
    <row r="12718" spans="1:11">
      <c r="A12718" s="760"/>
      <c r="B12718" s="760"/>
      <c r="C12718" s="760"/>
      <c r="D12718" s="760"/>
      <c r="E12718" s="760"/>
      <c r="F12718" s="760"/>
      <c r="G12718" s="760"/>
      <c r="H12718" s="760"/>
      <c r="I12718" s="760"/>
      <c r="J12718" s="760"/>
      <c r="K12718" s="760"/>
    </row>
    <row r="12719" spans="1:11">
      <c r="A12719" s="760"/>
      <c r="B12719" s="760"/>
      <c r="C12719" s="760"/>
      <c r="D12719" s="760"/>
      <c r="E12719" s="760"/>
      <c r="F12719" s="760"/>
      <c r="G12719" s="760"/>
      <c r="H12719" s="760"/>
      <c r="I12719" s="760"/>
      <c r="J12719" s="760"/>
      <c r="K12719" s="760"/>
    </row>
    <row r="12720" spans="1:11">
      <c r="A12720" s="760"/>
      <c r="B12720" s="760"/>
      <c r="C12720" s="760"/>
      <c r="D12720" s="760"/>
      <c r="E12720" s="760"/>
      <c r="F12720" s="760"/>
      <c r="G12720" s="760"/>
      <c r="H12720" s="760"/>
      <c r="I12720" s="760"/>
      <c r="J12720" s="760"/>
      <c r="K12720" s="760"/>
    </row>
    <row r="12721" spans="1:11">
      <c r="A12721" s="760"/>
      <c r="B12721" s="760"/>
      <c r="C12721" s="760"/>
      <c r="D12721" s="760"/>
      <c r="E12721" s="760"/>
      <c r="F12721" s="760"/>
      <c r="G12721" s="760"/>
      <c r="H12721" s="760"/>
      <c r="I12721" s="760"/>
      <c r="J12721" s="760"/>
      <c r="K12721" s="760"/>
    </row>
    <row r="12722" spans="1:11">
      <c r="A12722" s="760"/>
      <c r="B12722" s="760"/>
      <c r="C12722" s="760"/>
      <c r="D12722" s="760"/>
      <c r="E12722" s="760"/>
      <c r="F12722" s="760"/>
      <c r="G12722" s="760"/>
      <c r="H12722" s="760"/>
      <c r="I12722" s="760"/>
      <c r="J12722" s="760"/>
      <c r="K12722" s="760"/>
    </row>
    <row r="12723" spans="1:11">
      <c r="A12723" s="760"/>
      <c r="B12723" s="760"/>
      <c r="C12723" s="760"/>
      <c r="D12723" s="760"/>
      <c r="E12723" s="760"/>
      <c r="F12723" s="760"/>
      <c r="G12723" s="760"/>
      <c r="H12723" s="760"/>
      <c r="I12723" s="760"/>
      <c r="J12723" s="760"/>
      <c r="K12723" s="760"/>
    </row>
    <row r="12724" spans="1:11">
      <c r="A12724" s="760"/>
      <c r="B12724" s="760"/>
      <c r="C12724" s="760"/>
      <c r="D12724" s="760"/>
      <c r="E12724" s="760"/>
      <c r="F12724" s="760"/>
      <c r="G12724" s="760"/>
      <c r="H12724" s="760"/>
      <c r="I12724" s="760"/>
      <c r="J12724" s="760"/>
      <c r="K12724" s="760"/>
    </row>
    <row r="12725" spans="1:11">
      <c r="A12725" s="760"/>
      <c r="B12725" s="760"/>
      <c r="C12725" s="760"/>
      <c r="D12725" s="760"/>
      <c r="E12725" s="760"/>
      <c r="F12725" s="760"/>
      <c r="G12725" s="760"/>
      <c r="H12725" s="760"/>
      <c r="I12725" s="760"/>
      <c r="J12725" s="760"/>
      <c r="K12725" s="760"/>
    </row>
    <row r="12726" spans="1:11">
      <c r="A12726" s="760"/>
      <c r="B12726" s="760"/>
      <c r="C12726" s="760"/>
      <c r="D12726" s="760"/>
      <c r="E12726" s="760"/>
      <c r="F12726" s="760"/>
      <c r="G12726" s="760"/>
      <c r="H12726" s="760"/>
      <c r="I12726" s="760"/>
      <c r="J12726" s="760"/>
      <c r="K12726" s="760"/>
    </row>
    <row r="12727" spans="1:11">
      <c r="A12727" s="760"/>
      <c r="B12727" s="760"/>
      <c r="C12727" s="760"/>
      <c r="D12727" s="760"/>
      <c r="E12727" s="760"/>
      <c r="F12727" s="760"/>
      <c r="G12727" s="760"/>
      <c r="H12727" s="760"/>
      <c r="I12727" s="760"/>
      <c r="J12727" s="760"/>
      <c r="K12727" s="760"/>
    </row>
    <row r="12728" spans="1:11">
      <c r="A12728" s="760"/>
      <c r="B12728" s="760"/>
      <c r="C12728" s="760"/>
      <c r="D12728" s="760"/>
      <c r="E12728" s="760"/>
      <c r="F12728" s="760"/>
      <c r="G12728" s="760"/>
      <c r="H12728" s="760"/>
      <c r="I12728" s="760"/>
      <c r="J12728" s="760"/>
      <c r="K12728" s="760"/>
    </row>
    <row r="12729" spans="1:11">
      <c r="A12729" s="760"/>
      <c r="B12729" s="760"/>
      <c r="C12729" s="760"/>
      <c r="D12729" s="760"/>
      <c r="E12729" s="760"/>
      <c r="F12729" s="760"/>
      <c r="G12729" s="760"/>
      <c r="H12729" s="760"/>
      <c r="I12729" s="760"/>
      <c r="J12729" s="760"/>
      <c r="K12729" s="760"/>
    </row>
    <row r="12730" spans="1:11">
      <c r="A12730" s="760"/>
      <c r="B12730" s="760"/>
      <c r="C12730" s="760"/>
      <c r="D12730" s="760"/>
      <c r="E12730" s="760"/>
      <c r="F12730" s="760"/>
      <c r="G12730" s="760"/>
      <c r="H12730" s="760"/>
      <c r="I12730" s="760"/>
      <c r="J12730" s="760"/>
      <c r="K12730" s="760"/>
    </row>
    <row r="12731" spans="1:11">
      <c r="A12731" s="760"/>
      <c r="B12731" s="760"/>
      <c r="C12731" s="760"/>
      <c r="D12731" s="760"/>
      <c r="E12731" s="760"/>
      <c r="F12731" s="760"/>
      <c r="G12731" s="760"/>
      <c r="H12731" s="760"/>
      <c r="I12731" s="760"/>
      <c r="J12731" s="760"/>
      <c r="K12731" s="760"/>
    </row>
    <row r="12732" spans="1:11">
      <c r="A12732" s="760"/>
      <c r="B12732" s="760"/>
      <c r="C12732" s="760"/>
      <c r="D12732" s="760"/>
      <c r="E12732" s="760"/>
      <c r="F12732" s="760"/>
      <c r="G12732" s="760"/>
      <c r="H12732" s="760"/>
      <c r="I12732" s="760"/>
      <c r="J12732" s="760"/>
      <c r="K12732" s="760"/>
    </row>
    <row r="12733" spans="1:11">
      <c r="A12733" s="760"/>
      <c r="B12733" s="760"/>
      <c r="C12733" s="760"/>
      <c r="D12733" s="760"/>
      <c r="E12733" s="760"/>
      <c r="F12733" s="760"/>
      <c r="G12733" s="760"/>
      <c r="H12733" s="760"/>
      <c r="I12733" s="760"/>
      <c r="J12733" s="760"/>
      <c r="K12733" s="760"/>
    </row>
    <row r="12734" spans="1:11">
      <c r="A12734" s="760"/>
      <c r="B12734" s="760"/>
      <c r="C12734" s="760"/>
      <c r="D12734" s="760"/>
      <c r="E12734" s="760"/>
      <c r="F12734" s="760"/>
      <c r="G12734" s="760"/>
      <c r="H12734" s="760"/>
      <c r="I12734" s="760"/>
      <c r="J12734" s="760"/>
      <c r="K12734" s="760"/>
    </row>
    <row r="12735" spans="1:11">
      <c r="A12735" s="760"/>
      <c r="B12735" s="760"/>
      <c r="C12735" s="760"/>
      <c r="D12735" s="760"/>
      <c r="E12735" s="760"/>
      <c r="F12735" s="760"/>
      <c r="G12735" s="760"/>
      <c r="H12735" s="760"/>
      <c r="I12735" s="760"/>
      <c r="J12735" s="760"/>
      <c r="K12735" s="760"/>
    </row>
    <row r="12736" spans="1:11">
      <c r="A12736" s="760"/>
      <c r="B12736" s="760"/>
      <c r="C12736" s="760"/>
      <c r="D12736" s="760"/>
      <c r="E12736" s="760"/>
      <c r="F12736" s="760"/>
      <c r="G12736" s="760"/>
      <c r="H12736" s="760"/>
      <c r="I12736" s="760"/>
      <c r="J12736" s="760"/>
      <c r="K12736" s="760"/>
    </row>
    <row r="12737" spans="1:11">
      <c r="A12737" s="760"/>
      <c r="B12737" s="760"/>
      <c r="C12737" s="760"/>
      <c r="D12737" s="760"/>
      <c r="E12737" s="760"/>
      <c r="F12737" s="760"/>
      <c r="G12737" s="760"/>
      <c r="H12737" s="760"/>
      <c r="I12737" s="760"/>
      <c r="J12737" s="760"/>
      <c r="K12737" s="760"/>
    </row>
    <row r="12738" spans="1:11">
      <c r="A12738" s="760"/>
      <c r="B12738" s="760"/>
      <c r="C12738" s="760"/>
      <c r="D12738" s="760"/>
      <c r="E12738" s="760"/>
      <c r="F12738" s="760"/>
      <c r="G12738" s="760"/>
      <c r="H12738" s="760"/>
      <c r="I12738" s="760"/>
      <c r="J12738" s="760"/>
      <c r="K12738" s="760"/>
    </row>
    <row r="12739" spans="1:11">
      <c r="A12739" s="760"/>
      <c r="B12739" s="760"/>
      <c r="C12739" s="760"/>
      <c r="D12739" s="760"/>
      <c r="E12739" s="760"/>
      <c r="F12739" s="760"/>
      <c r="G12739" s="760"/>
      <c r="H12739" s="760"/>
      <c r="I12739" s="760"/>
      <c r="J12739" s="760"/>
      <c r="K12739" s="760"/>
    </row>
    <row r="12740" spans="1:11">
      <c r="A12740" s="760"/>
      <c r="B12740" s="760"/>
      <c r="C12740" s="760"/>
      <c r="D12740" s="760"/>
      <c r="E12740" s="760"/>
      <c r="F12740" s="760"/>
      <c r="G12740" s="760"/>
      <c r="H12740" s="760"/>
      <c r="I12740" s="760"/>
      <c r="J12740" s="760"/>
      <c r="K12740" s="760"/>
    </row>
    <row r="12741" spans="1:11">
      <c r="A12741" s="760"/>
      <c r="B12741" s="760"/>
      <c r="C12741" s="760"/>
      <c r="D12741" s="760"/>
      <c r="E12741" s="760"/>
      <c r="F12741" s="760"/>
      <c r="G12741" s="760"/>
      <c r="H12741" s="760"/>
      <c r="I12741" s="760"/>
      <c r="J12741" s="760"/>
      <c r="K12741" s="760"/>
    </row>
    <row r="12742" spans="1:11">
      <c r="A12742" s="760"/>
      <c r="B12742" s="760"/>
      <c r="C12742" s="760"/>
      <c r="D12742" s="760"/>
      <c r="E12742" s="760"/>
      <c r="F12742" s="760"/>
      <c r="G12742" s="760"/>
      <c r="H12742" s="760"/>
      <c r="I12742" s="760"/>
      <c r="J12742" s="760"/>
      <c r="K12742" s="760"/>
    </row>
    <row r="12743" spans="1:11">
      <c r="A12743" s="760"/>
      <c r="B12743" s="760"/>
      <c r="C12743" s="760"/>
      <c r="D12743" s="760"/>
      <c r="E12743" s="760"/>
      <c r="F12743" s="760"/>
      <c r="G12743" s="760"/>
      <c r="H12743" s="760"/>
      <c r="I12743" s="760"/>
      <c r="J12743" s="760"/>
      <c r="K12743" s="760"/>
    </row>
    <row r="12744" spans="1:11">
      <c r="A12744" s="760"/>
      <c r="B12744" s="760"/>
      <c r="C12744" s="760"/>
      <c r="D12744" s="760"/>
      <c r="E12744" s="760"/>
      <c r="F12744" s="760"/>
      <c r="G12744" s="760"/>
      <c r="H12744" s="760"/>
      <c r="I12744" s="760"/>
      <c r="J12744" s="760"/>
      <c r="K12744" s="760"/>
    </row>
    <row r="12745" spans="1:11">
      <c r="A12745" s="760"/>
      <c r="B12745" s="760"/>
      <c r="C12745" s="760"/>
      <c r="D12745" s="760"/>
      <c r="E12745" s="760"/>
      <c r="F12745" s="760"/>
      <c r="G12745" s="760"/>
      <c r="H12745" s="760"/>
      <c r="I12745" s="760"/>
      <c r="J12745" s="760"/>
      <c r="K12745" s="760"/>
    </row>
    <row r="12746" spans="1:11">
      <c r="A12746" s="760"/>
      <c r="B12746" s="760"/>
      <c r="C12746" s="760"/>
      <c r="D12746" s="760"/>
      <c r="E12746" s="760"/>
      <c r="F12746" s="760"/>
      <c r="G12746" s="760"/>
      <c r="H12746" s="760"/>
      <c r="I12746" s="760"/>
      <c r="J12746" s="760"/>
      <c r="K12746" s="760"/>
    </row>
    <row r="12747" spans="1:11">
      <c r="A12747" s="760"/>
      <c r="B12747" s="760"/>
      <c r="C12747" s="760"/>
      <c r="D12747" s="760"/>
      <c r="E12747" s="760"/>
      <c r="F12747" s="760"/>
      <c r="G12747" s="760"/>
      <c r="H12747" s="760"/>
      <c r="I12747" s="760"/>
      <c r="J12747" s="760"/>
      <c r="K12747" s="760"/>
    </row>
    <row r="12748" spans="1:11">
      <c r="A12748" s="760"/>
      <c r="B12748" s="760"/>
      <c r="C12748" s="760"/>
      <c r="D12748" s="760"/>
      <c r="E12748" s="760"/>
      <c r="F12748" s="760"/>
      <c r="G12748" s="760"/>
      <c r="H12748" s="760"/>
      <c r="I12748" s="760"/>
      <c r="J12748" s="760"/>
      <c r="K12748" s="760"/>
    </row>
    <row r="12749" spans="1:11">
      <c r="A12749" s="760"/>
      <c r="B12749" s="760"/>
      <c r="C12749" s="760"/>
      <c r="D12749" s="760"/>
      <c r="E12749" s="760"/>
      <c r="F12749" s="760"/>
      <c r="G12749" s="760"/>
      <c r="H12749" s="760"/>
      <c r="I12749" s="760"/>
      <c r="J12749" s="760"/>
      <c r="K12749" s="760"/>
    </row>
    <row r="12750" spans="1:11">
      <c r="A12750" s="760"/>
      <c r="B12750" s="760"/>
      <c r="C12750" s="760"/>
      <c r="D12750" s="760"/>
      <c r="E12750" s="760"/>
      <c r="F12750" s="760"/>
      <c r="G12750" s="760"/>
      <c r="H12750" s="760"/>
      <c r="I12750" s="760"/>
      <c r="J12750" s="760"/>
      <c r="K12750" s="760"/>
    </row>
    <row r="12751" spans="1:11">
      <c r="A12751" s="760"/>
      <c r="B12751" s="760"/>
      <c r="C12751" s="760"/>
      <c r="D12751" s="760"/>
      <c r="E12751" s="760"/>
      <c r="F12751" s="760"/>
      <c r="G12751" s="760"/>
      <c r="H12751" s="760"/>
      <c r="I12751" s="760"/>
      <c r="J12751" s="760"/>
      <c r="K12751" s="760"/>
    </row>
    <row r="12752" spans="1:11">
      <c r="A12752" s="760"/>
      <c r="B12752" s="760"/>
      <c r="C12752" s="760"/>
      <c r="D12752" s="760"/>
      <c r="E12752" s="760"/>
      <c r="F12752" s="760"/>
      <c r="G12752" s="760"/>
      <c r="H12752" s="760"/>
      <c r="I12752" s="760"/>
      <c r="J12752" s="760"/>
      <c r="K12752" s="760"/>
    </row>
    <row r="12753" spans="1:11">
      <c r="A12753" s="760"/>
      <c r="B12753" s="760"/>
      <c r="C12753" s="760"/>
      <c r="D12753" s="760"/>
      <c r="E12753" s="760"/>
      <c r="F12753" s="760"/>
      <c r="G12753" s="760"/>
      <c r="H12753" s="760"/>
      <c r="I12753" s="760"/>
      <c r="J12753" s="760"/>
      <c r="K12753" s="760"/>
    </row>
    <row r="12754" spans="1:11">
      <c r="A12754" s="760"/>
      <c r="B12754" s="760"/>
      <c r="C12754" s="760"/>
      <c r="D12754" s="760"/>
      <c r="E12754" s="760"/>
      <c r="F12754" s="760"/>
      <c r="G12754" s="760"/>
      <c r="H12754" s="760"/>
      <c r="I12754" s="760"/>
      <c r="J12754" s="760"/>
      <c r="K12754" s="760"/>
    </row>
    <row r="12755" spans="1:11">
      <c r="A12755" s="760"/>
      <c r="B12755" s="760"/>
      <c r="C12755" s="760"/>
      <c r="D12755" s="760"/>
      <c r="E12755" s="760"/>
      <c r="F12755" s="760"/>
      <c r="G12755" s="760"/>
      <c r="H12755" s="760"/>
      <c r="I12755" s="760"/>
      <c r="J12755" s="760"/>
      <c r="K12755" s="760"/>
    </row>
    <row r="12756" spans="1:11">
      <c r="A12756" s="760"/>
      <c r="B12756" s="760"/>
      <c r="C12756" s="760"/>
      <c r="D12756" s="760"/>
      <c r="E12756" s="760"/>
      <c r="F12756" s="760"/>
      <c r="G12756" s="760"/>
      <c r="H12756" s="760"/>
      <c r="I12756" s="760"/>
      <c r="J12756" s="760"/>
      <c r="K12756" s="760"/>
    </row>
    <row r="12757" spans="1:11">
      <c r="A12757" s="760"/>
      <c r="B12757" s="760"/>
      <c r="C12757" s="760"/>
      <c r="D12757" s="760"/>
      <c r="E12757" s="760"/>
      <c r="F12757" s="760"/>
      <c r="G12757" s="760"/>
      <c r="H12757" s="760"/>
      <c r="I12757" s="760"/>
      <c r="J12757" s="760"/>
      <c r="K12757" s="760"/>
    </row>
    <row r="12758" spans="1:11">
      <c r="A12758" s="760"/>
      <c r="B12758" s="760"/>
      <c r="C12758" s="760"/>
      <c r="D12758" s="760"/>
      <c r="E12758" s="760"/>
      <c r="F12758" s="760"/>
      <c r="G12758" s="760"/>
      <c r="H12758" s="760"/>
      <c r="I12758" s="760"/>
      <c r="J12758" s="760"/>
      <c r="K12758" s="760"/>
    </row>
    <row r="12759" spans="1:11">
      <c r="A12759" s="760"/>
      <c r="B12759" s="760"/>
      <c r="C12759" s="760"/>
      <c r="D12759" s="760"/>
      <c r="E12759" s="760"/>
      <c r="F12759" s="760"/>
      <c r="G12759" s="760"/>
      <c r="H12759" s="760"/>
      <c r="I12759" s="760"/>
      <c r="J12759" s="760"/>
      <c r="K12759" s="760"/>
    </row>
    <row r="12760" spans="1:11">
      <c r="A12760" s="760"/>
      <c r="B12760" s="760"/>
      <c r="C12760" s="760"/>
      <c r="D12760" s="760"/>
      <c r="E12760" s="760"/>
      <c r="F12760" s="760"/>
      <c r="G12760" s="760"/>
      <c r="H12760" s="760"/>
      <c r="I12760" s="760"/>
      <c r="J12760" s="760"/>
      <c r="K12760" s="760"/>
    </row>
    <row r="12761" spans="1:11">
      <c r="A12761" s="760"/>
      <c r="B12761" s="760"/>
      <c r="C12761" s="760"/>
      <c r="D12761" s="760"/>
      <c r="E12761" s="760"/>
      <c r="F12761" s="760"/>
      <c r="G12761" s="760"/>
      <c r="H12761" s="760"/>
      <c r="I12761" s="760"/>
      <c r="J12761" s="760"/>
      <c r="K12761" s="760"/>
    </row>
    <row r="12762" spans="1:11">
      <c r="A12762" s="760"/>
      <c r="B12762" s="760"/>
      <c r="C12762" s="760"/>
      <c r="D12762" s="760"/>
      <c r="E12762" s="760"/>
      <c r="F12762" s="760"/>
      <c r="G12762" s="760"/>
      <c r="H12762" s="760"/>
      <c r="I12762" s="760"/>
      <c r="J12762" s="760"/>
      <c r="K12762" s="760"/>
    </row>
    <row r="12763" spans="1:11">
      <c r="A12763" s="760"/>
      <c r="B12763" s="760"/>
      <c r="C12763" s="760"/>
      <c r="D12763" s="760"/>
      <c r="E12763" s="760"/>
      <c r="F12763" s="760"/>
      <c r="G12763" s="760"/>
      <c r="H12763" s="760"/>
      <c r="I12763" s="760"/>
      <c r="J12763" s="760"/>
      <c r="K12763" s="760"/>
    </row>
    <row r="12764" spans="1:11">
      <c r="A12764" s="760"/>
      <c r="B12764" s="760"/>
      <c r="C12764" s="760"/>
      <c r="D12764" s="760"/>
      <c r="E12764" s="760"/>
      <c r="F12764" s="760"/>
      <c r="G12764" s="760"/>
      <c r="H12764" s="760"/>
      <c r="I12764" s="760"/>
      <c r="J12764" s="760"/>
      <c r="K12764" s="760"/>
    </row>
    <row r="12765" spans="1:11">
      <c r="A12765" s="760"/>
      <c r="B12765" s="760"/>
      <c r="C12765" s="760"/>
      <c r="D12765" s="760"/>
      <c r="E12765" s="760"/>
      <c r="F12765" s="760"/>
      <c r="G12765" s="760"/>
      <c r="H12765" s="760"/>
      <c r="I12765" s="760"/>
      <c r="J12765" s="760"/>
      <c r="K12765" s="760"/>
    </row>
    <row r="12766" spans="1:11">
      <c r="A12766" s="760"/>
      <c r="B12766" s="760"/>
      <c r="C12766" s="760"/>
      <c r="D12766" s="760"/>
      <c r="E12766" s="760"/>
      <c r="F12766" s="760"/>
      <c r="G12766" s="760"/>
      <c r="H12766" s="760"/>
      <c r="I12766" s="760"/>
      <c r="J12766" s="760"/>
      <c r="K12766" s="760"/>
    </row>
    <row r="12767" spans="1:11">
      <c r="A12767" s="760"/>
      <c r="B12767" s="760"/>
      <c r="C12767" s="760"/>
      <c r="D12767" s="760"/>
      <c r="E12767" s="760"/>
      <c r="F12767" s="760"/>
      <c r="G12767" s="760"/>
      <c r="H12767" s="760"/>
      <c r="I12767" s="760"/>
      <c r="J12767" s="760"/>
      <c r="K12767" s="760"/>
    </row>
    <row r="12768" spans="1:11">
      <c r="A12768" s="760"/>
      <c r="B12768" s="760"/>
      <c r="C12768" s="760"/>
      <c r="D12768" s="760"/>
      <c r="E12768" s="760"/>
      <c r="F12768" s="760"/>
      <c r="G12768" s="760"/>
      <c r="H12768" s="760"/>
      <c r="I12768" s="760"/>
      <c r="J12768" s="760"/>
      <c r="K12768" s="760"/>
    </row>
    <row r="12769" spans="1:11">
      <c r="A12769" s="760"/>
      <c r="B12769" s="760"/>
      <c r="C12769" s="760"/>
      <c r="D12769" s="760"/>
      <c r="E12769" s="760"/>
      <c r="F12769" s="760"/>
      <c r="G12769" s="760"/>
      <c r="H12769" s="760"/>
      <c r="I12769" s="760"/>
      <c r="J12769" s="760"/>
      <c r="K12769" s="760"/>
    </row>
    <row r="12770" spans="1:11">
      <c r="A12770" s="760"/>
      <c r="B12770" s="760"/>
      <c r="C12770" s="760"/>
      <c r="D12770" s="760"/>
      <c r="E12770" s="760"/>
      <c r="F12770" s="760"/>
      <c r="G12770" s="760"/>
      <c r="H12770" s="760"/>
      <c r="I12770" s="760"/>
      <c r="J12770" s="760"/>
      <c r="K12770" s="760"/>
    </row>
    <row r="12771" spans="1:11">
      <c r="A12771" s="760"/>
      <c r="B12771" s="760"/>
      <c r="C12771" s="760"/>
      <c r="D12771" s="760"/>
      <c r="E12771" s="760"/>
      <c r="F12771" s="760"/>
      <c r="G12771" s="760"/>
      <c r="H12771" s="760"/>
      <c r="I12771" s="760"/>
      <c r="J12771" s="760"/>
      <c r="K12771" s="760"/>
    </row>
    <row r="12772" spans="1:11">
      <c r="A12772" s="760"/>
      <c r="B12772" s="760"/>
      <c r="C12772" s="760"/>
      <c r="D12772" s="760"/>
      <c r="E12772" s="760"/>
      <c r="F12772" s="760"/>
      <c r="G12772" s="760"/>
      <c r="H12772" s="760"/>
      <c r="I12772" s="760"/>
      <c r="J12772" s="760"/>
      <c r="K12772" s="760"/>
    </row>
    <row r="12773" spans="1:11">
      <c r="A12773" s="760"/>
      <c r="B12773" s="760"/>
      <c r="C12773" s="760"/>
      <c r="D12773" s="760"/>
      <c r="E12773" s="760"/>
      <c r="F12773" s="760"/>
      <c r="G12773" s="760"/>
      <c r="H12773" s="760"/>
      <c r="I12773" s="760"/>
      <c r="J12773" s="760"/>
      <c r="K12773" s="760"/>
    </row>
    <row r="12774" spans="1:11">
      <c r="A12774" s="760"/>
      <c r="B12774" s="760"/>
      <c r="C12774" s="760"/>
      <c r="D12774" s="760"/>
      <c r="E12774" s="760"/>
      <c r="F12774" s="760"/>
      <c r="G12774" s="760"/>
      <c r="H12774" s="760"/>
      <c r="I12774" s="760"/>
      <c r="J12774" s="760"/>
      <c r="K12774" s="760"/>
    </row>
    <row r="12775" spans="1:11">
      <c r="A12775" s="760"/>
      <c r="B12775" s="760"/>
      <c r="C12775" s="760"/>
      <c r="D12775" s="760"/>
      <c r="E12775" s="760"/>
      <c r="F12775" s="760"/>
      <c r="G12775" s="760"/>
      <c r="H12775" s="760"/>
      <c r="I12775" s="760"/>
      <c r="J12775" s="760"/>
      <c r="K12775" s="760"/>
    </row>
    <row r="12776" spans="1:11">
      <c r="A12776" s="760"/>
      <c r="B12776" s="760"/>
      <c r="C12776" s="760"/>
      <c r="D12776" s="760"/>
      <c r="E12776" s="760"/>
      <c r="F12776" s="760"/>
      <c r="G12776" s="760"/>
      <c r="H12776" s="760"/>
      <c r="I12776" s="760"/>
      <c r="J12776" s="760"/>
      <c r="K12776" s="760"/>
    </row>
    <row r="12777" spans="1:11">
      <c r="A12777" s="760"/>
      <c r="B12777" s="760"/>
      <c r="C12777" s="760"/>
      <c r="D12777" s="760"/>
      <c r="E12777" s="760"/>
      <c r="F12777" s="760"/>
      <c r="G12777" s="760"/>
      <c r="H12777" s="760"/>
      <c r="I12777" s="760"/>
      <c r="J12777" s="760"/>
      <c r="K12777" s="760"/>
    </row>
    <row r="12778" spans="1:11">
      <c r="A12778" s="760"/>
      <c r="B12778" s="760"/>
      <c r="C12778" s="760"/>
      <c r="D12778" s="760"/>
      <c r="E12778" s="760"/>
      <c r="F12778" s="760"/>
      <c r="G12778" s="760"/>
      <c r="H12778" s="760"/>
      <c r="I12778" s="760"/>
      <c r="J12778" s="760"/>
      <c r="K12778" s="760"/>
    </row>
    <row r="12779" spans="1:11">
      <c r="A12779" s="760"/>
      <c r="B12779" s="760"/>
      <c r="C12779" s="760"/>
      <c r="D12779" s="760"/>
      <c r="E12779" s="760"/>
      <c r="F12779" s="760"/>
      <c r="G12779" s="760"/>
      <c r="H12779" s="760"/>
      <c r="I12779" s="760"/>
      <c r="J12779" s="760"/>
      <c r="K12779" s="760"/>
    </row>
    <row r="12780" spans="1:11">
      <c r="A12780" s="760"/>
      <c r="B12780" s="760"/>
      <c r="C12780" s="760"/>
      <c r="D12780" s="760"/>
      <c r="E12780" s="760"/>
      <c r="F12780" s="760"/>
      <c r="G12780" s="760"/>
      <c r="H12780" s="760"/>
      <c r="I12780" s="760"/>
      <c r="J12780" s="760"/>
      <c r="K12780" s="760"/>
    </row>
    <row r="12781" spans="1:11">
      <c r="A12781" s="760"/>
      <c r="B12781" s="760"/>
      <c r="C12781" s="760"/>
      <c r="D12781" s="760"/>
      <c r="E12781" s="760"/>
      <c r="F12781" s="760"/>
      <c r="G12781" s="760"/>
      <c r="H12781" s="760"/>
      <c r="I12781" s="760"/>
      <c r="J12781" s="760"/>
      <c r="K12781" s="760"/>
    </row>
    <row r="12782" spans="1:11">
      <c r="A12782" s="760"/>
      <c r="B12782" s="760"/>
      <c r="C12782" s="760"/>
      <c r="D12782" s="760"/>
      <c r="E12782" s="760"/>
      <c r="F12782" s="760"/>
      <c r="G12782" s="760"/>
      <c r="H12782" s="760"/>
      <c r="I12782" s="760"/>
      <c r="J12782" s="760"/>
      <c r="K12782" s="760"/>
    </row>
    <row r="12783" spans="1:11">
      <c r="A12783" s="760"/>
      <c r="B12783" s="760"/>
      <c r="C12783" s="760"/>
      <c r="D12783" s="760"/>
      <c r="E12783" s="760"/>
      <c r="F12783" s="760"/>
      <c r="G12783" s="760"/>
      <c r="H12783" s="760"/>
      <c r="I12783" s="760"/>
      <c r="J12783" s="760"/>
      <c r="K12783" s="760"/>
    </row>
    <row r="12784" spans="1:11">
      <c r="A12784" s="760"/>
      <c r="B12784" s="760"/>
      <c r="C12784" s="760"/>
      <c r="D12784" s="760"/>
      <c r="E12784" s="760"/>
      <c r="F12784" s="760"/>
      <c r="G12784" s="760"/>
      <c r="H12784" s="760"/>
      <c r="I12784" s="760"/>
      <c r="J12784" s="760"/>
      <c r="K12784" s="760"/>
    </row>
    <row r="12785" spans="1:11">
      <c r="A12785" s="760"/>
      <c r="B12785" s="760"/>
      <c r="C12785" s="760"/>
      <c r="D12785" s="760"/>
      <c r="E12785" s="760"/>
      <c r="F12785" s="760"/>
      <c r="G12785" s="760"/>
      <c r="H12785" s="760"/>
      <c r="I12785" s="760"/>
      <c r="J12785" s="760"/>
      <c r="K12785" s="760"/>
    </row>
    <row r="12786" spans="1:11">
      <c r="A12786" s="760"/>
      <c r="B12786" s="760"/>
      <c r="C12786" s="760"/>
      <c r="D12786" s="760"/>
      <c r="E12786" s="760"/>
      <c r="F12786" s="760"/>
      <c r="G12786" s="760"/>
      <c r="H12786" s="760"/>
      <c r="I12786" s="760"/>
      <c r="J12786" s="760"/>
      <c r="K12786" s="760"/>
    </row>
    <row r="12787" spans="1:11">
      <c r="A12787" s="760"/>
      <c r="B12787" s="760"/>
      <c r="C12787" s="760"/>
      <c r="D12787" s="760"/>
      <c r="E12787" s="760"/>
      <c r="F12787" s="760"/>
      <c r="G12787" s="760"/>
      <c r="H12787" s="760"/>
      <c r="I12787" s="760"/>
      <c r="J12787" s="760"/>
      <c r="K12787" s="760"/>
    </row>
    <row r="12788" spans="1:11">
      <c r="A12788" s="760"/>
      <c r="B12788" s="760"/>
      <c r="C12788" s="760"/>
      <c r="D12788" s="760"/>
      <c r="E12788" s="760"/>
      <c r="F12788" s="760"/>
      <c r="G12788" s="760"/>
      <c r="H12788" s="760"/>
      <c r="I12788" s="760"/>
      <c r="J12788" s="760"/>
      <c r="K12788" s="760"/>
    </row>
    <row r="12789" spans="1:11">
      <c r="A12789" s="760"/>
      <c r="B12789" s="760"/>
      <c r="C12789" s="760"/>
      <c r="D12789" s="760"/>
      <c r="E12789" s="760"/>
      <c r="F12789" s="760"/>
      <c r="G12789" s="760"/>
      <c r="H12789" s="760"/>
      <c r="I12789" s="760"/>
      <c r="J12789" s="760"/>
      <c r="K12789" s="760"/>
    </row>
    <row r="12790" spans="1:11">
      <c r="A12790" s="760"/>
      <c r="B12790" s="760"/>
      <c r="C12790" s="760"/>
      <c r="D12790" s="760"/>
      <c r="E12790" s="760"/>
      <c r="F12790" s="760"/>
      <c r="G12790" s="760"/>
      <c r="H12790" s="760"/>
      <c r="I12790" s="760"/>
      <c r="J12790" s="760"/>
      <c r="K12790" s="760"/>
    </row>
    <row r="12791" spans="1:11">
      <c r="A12791" s="760"/>
      <c r="B12791" s="760"/>
      <c r="C12791" s="760"/>
      <c r="D12791" s="760"/>
      <c r="E12791" s="760"/>
      <c r="F12791" s="760"/>
      <c r="G12791" s="760"/>
      <c r="H12791" s="760"/>
      <c r="I12791" s="760"/>
      <c r="J12791" s="760"/>
      <c r="K12791" s="760"/>
    </row>
    <row r="12792" spans="1:11">
      <c r="A12792" s="760"/>
      <c r="B12792" s="760"/>
      <c r="C12792" s="760"/>
      <c r="D12792" s="760"/>
      <c r="E12792" s="760"/>
      <c r="F12792" s="760"/>
      <c r="G12792" s="760"/>
      <c r="H12792" s="760"/>
      <c r="I12792" s="760"/>
      <c r="J12792" s="760"/>
      <c r="K12792" s="760"/>
    </row>
    <row r="12793" spans="1:11">
      <c r="A12793" s="760"/>
      <c r="B12793" s="760"/>
      <c r="C12793" s="760"/>
      <c r="D12793" s="760"/>
      <c r="E12793" s="760"/>
      <c r="F12793" s="760"/>
      <c r="G12793" s="760"/>
      <c r="H12793" s="760"/>
      <c r="I12793" s="760"/>
      <c r="J12793" s="760"/>
      <c r="K12793" s="760"/>
    </row>
    <row r="12794" spans="1:11">
      <c r="A12794" s="760"/>
      <c r="B12794" s="760"/>
      <c r="C12794" s="760"/>
      <c r="D12794" s="760"/>
      <c r="E12794" s="760"/>
      <c r="F12794" s="760"/>
      <c r="G12794" s="760"/>
      <c r="H12794" s="760"/>
      <c r="I12794" s="760"/>
      <c r="J12794" s="760"/>
      <c r="K12794" s="760"/>
    </row>
    <row r="12795" spans="1:11">
      <c r="A12795" s="760"/>
      <c r="B12795" s="760"/>
      <c r="C12795" s="760"/>
      <c r="D12795" s="760"/>
      <c r="E12795" s="760"/>
      <c r="F12795" s="760"/>
      <c r="G12795" s="760"/>
      <c r="H12795" s="760"/>
      <c r="I12795" s="760"/>
      <c r="J12795" s="760"/>
      <c r="K12795" s="760"/>
    </row>
    <row r="12796" spans="1:11">
      <c r="A12796" s="760"/>
      <c r="B12796" s="760"/>
      <c r="C12796" s="760"/>
      <c r="D12796" s="760"/>
      <c r="E12796" s="760"/>
      <c r="F12796" s="760"/>
      <c r="G12796" s="760"/>
      <c r="H12796" s="760"/>
      <c r="I12796" s="760"/>
      <c r="J12796" s="760"/>
      <c r="K12796" s="760"/>
    </row>
    <row r="12797" spans="1:11">
      <c r="A12797" s="760"/>
      <c r="B12797" s="760"/>
      <c r="C12797" s="760"/>
      <c r="D12797" s="760"/>
      <c r="E12797" s="760"/>
      <c r="F12797" s="760"/>
      <c r="G12797" s="760"/>
      <c r="H12797" s="760"/>
      <c r="I12797" s="760"/>
      <c r="J12797" s="760"/>
      <c r="K12797" s="760"/>
    </row>
    <row r="12798" spans="1:11">
      <c r="A12798" s="760"/>
      <c r="B12798" s="760"/>
      <c r="C12798" s="760"/>
      <c r="D12798" s="760"/>
      <c r="E12798" s="760"/>
      <c r="F12798" s="760"/>
      <c r="G12798" s="760"/>
      <c r="H12798" s="760"/>
      <c r="I12798" s="760"/>
      <c r="J12798" s="760"/>
      <c r="K12798" s="760"/>
    </row>
    <row r="12799" spans="1:11">
      <c r="A12799" s="760"/>
      <c r="B12799" s="760"/>
      <c r="C12799" s="760"/>
      <c r="D12799" s="760"/>
      <c r="E12799" s="760"/>
      <c r="F12799" s="760"/>
      <c r="G12799" s="760"/>
      <c r="H12799" s="760"/>
      <c r="I12799" s="760"/>
      <c r="J12799" s="760"/>
      <c r="K12799" s="760"/>
    </row>
    <row r="12800" spans="1:11">
      <c r="A12800" s="760"/>
      <c r="B12800" s="760"/>
      <c r="C12800" s="760"/>
      <c r="D12800" s="760"/>
      <c r="E12800" s="760"/>
      <c r="F12800" s="760"/>
      <c r="G12800" s="760"/>
      <c r="H12800" s="760"/>
      <c r="I12800" s="760"/>
      <c r="J12800" s="760"/>
      <c r="K12800" s="760"/>
    </row>
    <row r="12801" spans="1:11">
      <c r="A12801" s="760"/>
      <c r="B12801" s="760"/>
      <c r="C12801" s="760"/>
      <c r="D12801" s="760"/>
      <c r="E12801" s="760"/>
      <c r="F12801" s="760"/>
      <c r="G12801" s="760"/>
      <c r="H12801" s="760"/>
      <c r="I12801" s="760"/>
      <c r="J12801" s="760"/>
      <c r="K12801" s="760"/>
    </row>
    <row r="12802" spans="1:11">
      <c r="A12802" s="760"/>
      <c r="B12802" s="760"/>
      <c r="C12802" s="760"/>
      <c r="D12802" s="760"/>
      <c r="E12802" s="760"/>
      <c r="F12802" s="760"/>
      <c r="G12802" s="760"/>
      <c r="H12802" s="760"/>
      <c r="I12802" s="760"/>
      <c r="J12802" s="760"/>
      <c r="K12802" s="760"/>
    </row>
    <row r="12803" spans="1:11">
      <c r="A12803" s="760"/>
      <c r="B12803" s="760"/>
      <c r="C12803" s="760"/>
      <c r="D12803" s="760"/>
      <c r="E12803" s="760"/>
      <c r="F12803" s="760"/>
      <c r="G12803" s="760"/>
      <c r="H12803" s="760"/>
      <c r="I12803" s="760"/>
      <c r="J12803" s="760"/>
      <c r="K12803" s="760"/>
    </row>
    <row r="12804" spans="1:11">
      <c r="A12804" s="760"/>
      <c r="B12804" s="760"/>
      <c r="C12804" s="760"/>
      <c r="D12804" s="760"/>
      <c r="E12804" s="760"/>
      <c r="F12804" s="760"/>
      <c r="G12804" s="760"/>
      <c r="H12804" s="760"/>
      <c r="I12804" s="760"/>
      <c r="J12804" s="760"/>
      <c r="K12804" s="760"/>
    </row>
    <row r="12805" spans="1:11">
      <c r="A12805" s="760"/>
      <c r="B12805" s="760"/>
      <c r="C12805" s="760"/>
      <c r="D12805" s="760"/>
      <c r="E12805" s="760"/>
      <c r="F12805" s="760"/>
      <c r="G12805" s="760"/>
      <c r="H12805" s="760"/>
      <c r="I12805" s="760"/>
      <c r="J12805" s="760"/>
      <c r="K12805" s="760"/>
    </row>
    <row r="12806" spans="1:11">
      <c r="A12806" s="760"/>
      <c r="B12806" s="760"/>
      <c r="C12806" s="760"/>
      <c r="D12806" s="760"/>
      <c r="E12806" s="760"/>
      <c r="F12806" s="760"/>
      <c r="G12806" s="760"/>
      <c r="H12806" s="760"/>
      <c r="I12806" s="760"/>
      <c r="J12806" s="760"/>
      <c r="K12806" s="760"/>
    </row>
    <row r="12807" spans="1:11">
      <c r="A12807" s="760"/>
      <c r="B12807" s="760"/>
      <c r="C12807" s="760"/>
      <c r="D12807" s="760"/>
      <c r="E12807" s="760"/>
      <c r="F12807" s="760"/>
      <c r="G12807" s="760"/>
      <c r="H12807" s="760"/>
      <c r="I12807" s="760"/>
      <c r="J12807" s="760"/>
      <c r="K12807" s="760"/>
    </row>
    <row r="12808" spans="1:11">
      <c r="A12808" s="760"/>
      <c r="B12808" s="760"/>
      <c r="C12808" s="760"/>
      <c r="D12808" s="760"/>
      <c r="E12808" s="760"/>
      <c r="F12808" s="760"/>
      <c r="G12808" s="760"/>
      <c r="H12808" s="760"/>
      <c r="I12808" s="760"/>
      <c r="J12808" s="760"/>
      <c r="K12808" s="760"/>
    </row>
    <row r="12809" spans="1:11">
      <c r="A12809" s="760"/>
      <c r="B12809" s="760"/>
      <c r="C12809" s="760"/>
      <c r="D12809" s="760"/>
      <c r="E12809" s="760"/>
      <c r="F12809" s="760"/>
      <c r="G12809" s="760"/>
      <c r="H12809" s="760"/>
      <c r="I12809" s="760"/>
      <c r="J12809" s="760"/>
      <c r="K12809" s="760"/>
    </row>
    <row r="12810" spans="1:11">
      <c r="A12810" s="760"/>
      <c r="B12810" s="760"/>
      <c r="C12810" s="760"/>
      <c r="D12810" s="760"/>
      <c r="E12810" s="760"/>
      <c r="F12810" s="760"/>
      <c r="G12810" s="760"/>
      <c r="H12810" s="760"/>
      <c r="I12810" s="760"/>
      <c r="J12810" s="760"/>
      <c r="K12810" s="760"/>
    </row>
    <row r="12811" spans="1:11">
      <c r="A12811" s="760"/>
      <c r="B12811" s="760"/>
      <c r="C12811" s="760"/>
      <c r="D12811" s="760"/>
      <c r="E12811" s="760"/>
      <c r="F12811" s="760"/>
      <c r="G12811" s="760"/>
      <c r="H12811" s="760"/>
      <c r="I12811" s="760"/>
      <c r="J12811" s="760"/>
      <c r="K12811" s="760"/>
    </row>
    <row r="12812" spans="1:11">
      <c r="A12812" s="760"/>
      <c r="B12812" s="760"/>
      <c r="C12812" s="760"/>
      <c r="D12812" s="760"/>
      <c r="E12812" s="760"/>
      <c r="F12812" s="760"/>
      <c r="G12812" s="760"/>
      <c r="H12812" s="760"/>
      <c r="I12812" s="760"/>
      <c r="J12812" s="760"/>
      <c r="K12812" s="760"/>
    </row>
    <row r="12813" spans="1:11">
      <c r="A12813" s="760"/>
      <c r="B12813" s="760"/>
      <c r="C12813" s="760"/>
      <c r="D12813" s="760"/>
      <c r="E12813" s="760"/>
      <c r="F12813" s="760"/>
      <c r="G12813" s="760"/>
      <c r="H12813" s="760"/>
      <c r="I12813" s="760"/>
      <c r="J12813" s="760"/>
      <c r="K12813" s="760"/>
    </row>
    <row r="12814" spans="1:11">
      <c r="A12814" s="760"/>
      <c r="B12814" s="760"/>
      <c r="C12814" s="760"/>
      <c r="D12814" s="760"/>
      <c r="E12814" s="760"/>
      <c r="F12814" s="760"/>
      <c r="G12814" s="760"/>
      <c r="H12814" s="760"/>
      <c r="I12814" s="760"/>
      <c r="J12814" s="760"/>
      <c r="K12814" s="760"/>
    </row>
    <row r="12815" spans="1:11">
      <c r="A12815" s="760"/>
      <c r="B12815" s="760"/>
      <c r="C12815" s="760"/>
      <c r="D12815" s="760"/>
      <c r="E12815" s="760"/>
      <c r="F12815" s="760"/>
      <c r="G12815" s="760"/>
      <c r="H12815" s="760"/>
      <c r="I12815" s="760"/>
      <c r="J12815" s="760"/>
      <c r="K12815" s="760"/>
    </row>
    <row r="12816" spans="1:11">
      <c r="A12816" s="760"/>
      <c r="B12816" s="760"/>
      <c r="C12816" s="760"/>
      <c r="D12816" s="760"/>
      <c r="E12816" s="760"/>
      <c r="F12816" s="760"/>
      <c r="G12816" s="760"/>
      <c r="H12816" s="760"/>
      <c r="I12816" s="760"/>
      <c r="J12816" s="760"/>
      <c r="K12816" s="760"/>
    </row>
    <row r="12817" spans="1:11">
      <c r="A12817" s="760"/>
      <c r="B12817" s="760"/>
      <c r="C12817" s="760"/>
      <c r="D12817" s="760"/>
      <c r="E12817" s="760"/>
      <c r="F12817" s="760"/>
      <c r="G12817" s="760"/>
      <c r="H12817" s="760"/>
      <c r="I12817" s="760"/>
      <c r="J12817" s="760"/>
      <c r="K12817" s="760"/>
    </row>
    <row r="12818" spans="1:11">
      <c r="A12818" s="760"/>
      <c r="B12818" s="760"/>
      <c r="C12818" s="760"/>
      <c r="D12818" s="760"/>
      <c r="E12818" s="760"/>
      <c r="F12818" s="760"/>
      <c r="G12818" s="760"/>
      <c r="H12818" s="760"/>
      <c r="I12818" s="760"/>
      <c r="J12818" s="760"/>
      <c r="K12818" s="760"/>
    </row>
    <row r="12819" spans="1:11">
      <c r="A12819" s="760"/>
      <c r="B12819" s="760"/>
      <c r="C12819" s="760"/>
      <c r="D12819" s="760"/>
      <c r="E12819" s="760"/>
      <c r="F12819" s="760"/>
      <c r="G12819" s="760"/>
      <c r="H12819" s="760"/>
      <c r="I12819" s="760"/>
      <c r="J12819" s="760"/>
      <c r="K12819" s="760"/>
    </row>
    <row r="12820" spans="1:11">
      <c r="A12820" s="760"/>
      <c r="B12820" s="760"/>
      <c r="C12820" s="760"/>
      <c r="D12820" s="760"/>
      <c r="E12820" s="760"/>
      <c r="F12820" s="760"/>
      <c r="G12820" s="760"/>
      <c r="H12820" s="760"/>
      <c r="I12820" s="760"/>
      <c r="J12820" s="760"/>
      <c r="K12820" s="760"/>
    </row>
    <row r="12821" spans="1:11">
      <c r="A12821" s="760"/>
      <c r="B12821" s="760"/>
      <c r="C12821" s="760"/>
      <c r="D12821" s="760"/>
      <c r="E12821" s="760"/>
      <c r="F12821" s="760"/>
      <c r="G12821" s="760"/>
      <c r="H12821" s="760"/>
      <c r="I12821" s="760"/>
      <c r="J12821" s="760"/>
      <c r="K12821" s="760"/>
    </row>
    <row r="12822" spans="1:11">
      <c r="A12822" s="760"/>
      <c r="B12822" s="760"/>
      <c r="C12822" s="760"/>
      <c r="D12822" s="760"/>
      <c r="E12822" s="760"/>
      <c r="F12822" s="760"/>
      <c r="G12822" s="760"/>
      <c r="H12822" s="760"/>
      <c r="I12822" s="760"/>
      <c r="J12822" s="760"/>
      <c r="K12822" s="760"/>
    </row>
    <row r="12823" spans="1:11">
      <c r="A12823" s="760"/>
      <c r="B12823" s="760"/>
      <c r="C12823" s="760"/>
      <c r="D12823" s="760"/>
      <c r="E12823" s="760"/>
      <c r="F12823" s="760"/>
      <c r="G12823" s="760"/>
      <c r="H12823" s="760"/>
      <c r="I12823" s="760"/>
      <c r="J12823" s="760"/>
      <c r="K12823" s="760"/>
    </row>
    <row r="12824" spans="1:11">
      <c r="A12824" s="760"/>
      <c r="B12824" s="760"/>
      <c r="C12824" s="760"/>
      <c r="D12824" s="760"/>
      <c r="E12824" s="760"/>
      <c r="F12824" s="760"/>
      <c r="G12824" s="760"/>
      <c r="H12824" s="760"/>
      <c r="I12824" s="760"/>
      <c r="J12824" s="760"/>
      <c r="K12824" s="760"/>
    </row>
    <row r="12825" spans="1:11">
      <c r="A12825" s="760"/>
      <c r="B12825" s="760"/>
      <c r="C12825" s="760"/>
      <c r="D12825" s="760"/>
      <c r="E12825" s="760"/>
      <c r="F12825" s="760"/>
      <c r="G12825" s="760"/>
      <c r="H12825" s="760"/>
      <c r="I12825" s="760"/>
      <c r="J12825" s="760"/>
      <c r="K12825" s="760"/>
    </row>
    <row r="12826" spans="1:11">
      <c r="A12826" s="760"/>
      <c r="B12826" s="760"/>
      <c r="C12826" s="760"/>
      <c r="D12826" s="760"/>
      <c r="E12826" s="760"/>
      <c r="F12826" s="760"/>
      <c r="G12826" s="760"/>
      <c r="H12826" s="760"/>
      <c r="I12826" s="760"/>
      <c r="J12826" s="760"/>
      <c r="K12826" s="760"/>
    </row>
    <row r="12827" spans="1:11">
      <c r="A12827" s="760"/>
      <c r="B12827" s="760"/>
      <c r="C12827" s="760"/>
      <c r="D12827" s="760"/>
      <c r="E12827" s="760"/>
      <c r="F12827" s="760"/>
      <c r="G12827" s="760"/>
      <c r="H12827" s="760"/>
      <c r="I12827" s="760"/>
      <c r="J12827" s="760"/>
      <c r="K12827" s="760"/>
    </row>
    <row r="12828" spans="1:11">
      <c r="A12828" s="760"/>
      <c r="B12828" s="760"/>
      <c r="C12828" s="760"/>
      <c r="D12828" s="760"/>
      <c r="E12828" s="760"/>
      <c r="F12828" s="760"/>
      <c r="G12828" s="760"/>
      <c r="H12828" s="760"/>
      <c r="I12828" s="760"/>
      <c r="J12828" s="760"/>
      <c r="K12828" s="760"/>
    </row>
    <row r="12829" spans="1:11">
      <c r="A12829" s="760"/>
      <c r="B12829" s="760"/>
      <c r="C12829" s="760"/>
      <c r="D12829" s="760"/>
      <c r="E12829" s="760"/>
      <c r="F12829" s="760"/>
      <c r="G12829" s="760"/>
      <c r="H12829" s="760"/>
      <c r="I12829" s="760"/>
      <c r="J12829" s="760"/>
      <c r="K12829" s="760"/>
    </row>
    <row r="12830" spans="1:11">
      <c r="A12830" s="760"/>
      <c r="B12830" s="760"/>
      <c r="C12830" s="760"/>
      <c r="D12830" s="760"/>
      <c r="E12830" s="760"/>
      <c r="F12830" s="760"/>
      <c r="G12830" s="760"/>
      <c r="H12830" s="760"/>
      <c r="I12830" s="760"/>
      <c r="J12830" s="760"/>
      <c r="K12830" s="760"/>
    </row>
    <row r="12831" spans="1:11">
      <c r="A12831" s="760"/>
      <c r="B12831" s="760"/>
      <c r="C12831" s="760"/>
      <c r="D12831" s="760"/>
      <c r="E12831" s="760"/>
      <c r="F12831" s="760"/>
      <c r="G12831" s="760"/>
      <c r="H12831" s="760"/>
      <c r="I12831" s="760"/>
      <c r="J12831" s="760"/>
      <c r="K12831" s="760"/>
    </row>
    <row r="12832" spans="1:11">
      <c r="A12832" s="760"/>
      <c r="B12832" s="760"/>
      <c r="C12832" s="760"/>
      <c r="D12832" s="760"/>
      <c r="E12832" s="760"/>
      <c r="F12832" s="760"/>
      <c r="G12832" s="760"/>
      <c r="H12832" s="760"/>
      <c r="I12832" s="760"/>
      <c r="J12832" s="760"/>
      <c r="K12832" s="760"/>
    </row>
    <row r="12833" spans="1:11">
      <c r="A12833" s="760"/>
      <c r="B12833" s="760"/>
      <c r="C12833" s="760"/>
      <c r="D12833" s="760"/>
      <c r="E12833" s="760"/>
      <c r="F12833" s="760"/>
      <c r="G12833" s="760"/>
      <c r="H12833" s="760"/>
      <c r="I12833" s="760"/>
      <c r="J12833" s="760"/>
      <c r="K12833" s="760"/>
    </row>
    <row r="12834" spans="1:11">
      <c r="A12834" s="760"/>
      <c r="B12834" s="760"/>
      <c r="C12834" s="760"/>
      <c r="D12834" s="760"/>
      <c r="E12834" s="760"/>
      <c r="F12834" s="760"/>
      <c r="G12834" s="760"/>
      <c r="H12834" s="760"/>
      <c r="I12834" s="760"/>
      <c r="J12834" s="760"/>
      <c r="K12834" s="760"/>
    </row>
    <row r="12835" spans="1:11">
      <c r="A12835" s="760"/>
      <c r="B12835" s="760"/>
      <c r="C12835" s="760"/>
      <c r="D12835" s="760"/>
      <c r="E12835" s="760"/>
      <c r="F12835" s="760"/>
      <c r="G12835" s="760"/>
      <c r="H12835" s="760"/>
      <c r="I12835" s="760"/>
      <c r="J12835" s="760"/>
      <c r="K12835" s="760"/>
    </row>
    <row r="12836" spans="1:11">
      <c r="A12836" s="760"/>
      <c r="B12836" s="760"/>
      <c r="C12836" s="760"/>
      <c r="D12836" s="760"/>
      <c r="E12836" s="760"/>
      <c r="F12836" s="760"/>
      <c r="G12836" s="760"/>
      <c r="H12836" s="760"/>
      <c r="I12836" s="760"/>
      <c r="J12836" s="760"/>
      <c r="K12836" s="760"/>
    </row>
    <row r="12837" spans="1:11">
      <c r="A12837" s="760"/>
      <c r="B12837" s="760"/>
      <c r="C12837" s="760"/>
      <c r="D12837" s="760"/>
      <c r="E12837" s="760"/>
      <c r="F12837" s="760"/>
      <c r="G12837" s="760"/>
      <c r="H12837" s="760"/>
      <c r="I12837" s="760"/>
      <c r="J12837" s="760"/>
      <c r="K12837" s="760"/>
    </row>
    <row r="12838" spans="1:11">
      <c r="A12838" s="760"/>
      <c r="B12838" s="760"/>
      <c r="C12838" s="760"/>
      <c r="D12838" s="760"/>
      <c r="E12838" s="760"/>
      <c r="F12838" s="760"/>
      <c r="G12838" s="760"/>
      <c r="H12838" s="760"/>
      <c r="I12838" s="760"/>
      <c r="J12838" s="760"/>
      <c r="K12838" s="760"/>
    </row>
    <row r="12839" spans="1:11">
      <c r="A12839" s="760"/>
      <c r="B12839" s="760"/>
      <c r="C12839" s="760"/>
      <c r="D12839" s="760"/>
      <c r="E12839" s="760"/>
      <c r="F12839" s="760"/>
      <c r="G12839" s="760"/>
      <c r="H12839" s="760"/>
      <c r="I12839" s="760"/>
      <c r="J12839" s="760"/>
      <c r="K12839" s="760"/>
    </row>
    <row r="12840" spans="1:11">
      <c r="A12840" s="760"/>
      <c r="B12840" s="760"/>
      <c r="C12840" s="760"/>
      <c r="D12840" s="760"/>
      <c r="E12840" s="760"/>
      <c r="F12840" s="760"/>
      <c r="G12840" s="760"/>
      <c r="H12840" s="760"/>
      <c r="I12840" s="760"/>
      <c r="J12840" s="760"/>
      <c r="K12840" s="760"/>
    </row>
    <row r="12841" spans="1:11">
      <c r="A12841" s="760"/>
      <c r="B12841" s="760"/>
      <c r="C12841" s="760"/>
      <c r="D12841" s="760"/>
      <c r="E12841" s="760"/>
      <c r="F12841" s="760"/>
      <c r="G12841" s="760"/>
      <c r="H12841" s="760"/>
      <c r="I12841" s="760"/>
      <c r="J12841" s="760"/>
      <c r="K12841" s="760"/>
    </row>
    <row r="12842" spans="1:11">
      <c r="A12842" s="760"/>
      <c r="B12842" s="760"/>
      <c r="C12842" s="760"/>
      <c r="D12842" s="760"/>
      <c r="E12842" s="760"/>
      <c r="F12842" s="760"/>
      <c r="G12842" s="760"/>
      <c r="H12842" s="760"/>
      <c r="I12842" s="760"/>
      <c r="J12842" s="760"/>
      <c r="K12842" s="760"/>
    </row>
    <row r="12843" spans="1:11">
      <c r="A12843" s="760"/>
      <c r="B12843" s="760"/>
      <c r="C12843" s="760"/>
      <c r="D12843" s="760"/>
      <c r="E12843" s="760"/>
      <c r="F12843" s="760"/>
      <c r="G12843" s="760"/>
      <c r="H12843" s="760"/>
      <c r="I12843" s="760"/>
      <c r="J12843" s="760"/>
      <c r="K12843" s="760"/>
    </row>
    <row r="12844" spans="1:11">
      <c r="A12844" s="760"/>
      <c r="B12844" s="760"/>
      <c r="C12844" s="760"/>
      <c r="D12844" s="760"/>
      <c r="E12844" s="760"/>
      <c r="F12844" s="760"/>
      <c r="G12844" s="760"/>
      <c r="H12844" s="760"/>
      <c r="I12844" s="760"/>
      <c r="J12844" s="760"/>
      <c r="K12844" s="760"/>
    </row>
    <row r="12845" spans="1:11">
      <c r="A12845" s="760"/>
      <c r="B12845" s="760"/>
      <c r="C12845" s="760"/>
      <c r="D12845" s="760"/>
      <c r="E12845" s="760"/>
      <c r="F12845" s="760"/>
      <c r="G12845" s="760"/>
      <c r="H12845" s="760"/>
      <c r="I12845" s="760"/>
      <c r="J12845" s="760"/>
      <c r="K12845" s="760"/>
    </row>
    <row r="12846" spans="1:11">
      <c r="A12846" s="760"/>
      <c r="B12846" s="760"/>
      <c r="C12846" s="760"/>
      <c r="D12846" s="760"/>
      <c r="E12846" s="760"/>
      <c r="F12846" s="760"/>
      <c r="G12846" s="760"/>
      <c r="H12846" s="760"/>
      <c r="I12846" s="760"/>
      <c r="J12846" s="760"/>
      <c r="K12846" s="760"/>
    </row>
    <row r="12847" spans="1:11">
      <c r="A12847" s="760"/>
      <c r="B12847" s="760"/>
      <c r="C12847" s="760"/>
      <c r="D12847" s="760"/>
      <c r="E12847" s="760"/>
      <c r="F12847" s="760"/>
      <c r="G12847" s="760"/>
      <c r="H12847" s="760"/>
      <c r="I12847" s="760"/>
      <c r="J12847" s="760"/>
      <c r="K12847" s="760"/>
    </row>
    <row r="12848" spans="1:11">
      <c r="A12848" s="760"/>
      <c r="B12848" s="760"/>
      <c r="C12848" s="760"/>
      <c r="D12848" s="760"/>
      <c r="E12848" s="760"/>
      <c r="F12848" s="760"/>
      <c r="G12848" s="760"/>
      <c r="H12848" s="760"/>
      <c r="I12848" s="760"/>
      <c r="J12848" s="760"/>
      <c r="K12848" s="760"/>
    </row>
    <row r="12849" spans="1:11">
      <c r="A12849" s="760"/>
      <c r="B12849" s="760"/>
      <c r="C12849" s="760"/>
      <c r="D12849" s="760"/>
      <c r="E12849" s="760"/>
      <c r="F12849" s="760"/>
      <c r="G12849" s="760"/>
      <c r="H12849" s="760"/>
      <c r="I12849" s="760"/>
      <c r="J12849" s="760"/>
      <c r="K12849" s="760"/>
    </row>
    <row r="12850" spans="1:11">
      <c r="A12850" s="760"/>
      <c r="B12850" s="760"/>
      <c r="C12850" s="760"/>
      <c r="D12850" s="760"/>
      <c r="E12850" s="760"/>
      <c r="F12850" s="760"/>
      <c r="G12850" s="760"/>
      <c r="H12850" s="760"/>
      <c r="I12850" s="760"/>
      <c r="J12850" s="760"/>
      <c r="K12850" s="760"/>
    </row>
    <row r="12851" spans="1:11">
      <c r="A12851" s="760"/>
      <c r="B12851" s="760"/>
      <c r="C12851" s="760"/>
      <c r="D12851" s="760"/>
      <c r="E12851" s="760"/>
      <c r="F12851" s="760"/>
      <c r="G12851" s="760"/>
      <c r="H12851" s="760"/>
      <c r="I12851" s="760"/>
      <c r="J12851" s="760"/>
      <c r="K12851" s="760"/>
    </row>
    <row r="12852" spans="1:11">
      <c r="A12852" s="760"/>
      <c r="B12852" s="760"/>
      <c r="C12852" s="760"/>
      <c r="D12852" s="760"/>
      <c r="E12852" s="760"/>
      <c r="F12852" s="760"/>
      <c r="G12852" s="760"/>
      <c r="H12852" s="760"/>
      <c r="I12852" s="760"/>
      <c r="J12852" s="760"/>
      <c r="K12852" s="760"/>
    </row>
    <row r="12853" spans="1:11">
      <c r="A12853" s="760"/>
      <c r="B12853" s="760"/>
      <c r="C12853" s="760"/>
      <c r="D12853" s="760"/>
      <c r="E12853" s="760"/>
      <c r="F12853" s="760"/>
      <c r="G12853" s="760"/>
      <c r="H12853" s="760"/>
      <c r="I12853" s="760"/>
      <c r="J12853" s="760"/>
      <c r="K12853" s="760"/>
    </row>
    <row r="12854" spans="1:11">
      <c r="A12854" s="760"/>
      <c r="B12854" s="760"/>
      <c r="C12854" s="760"/>
      <c r="D12854" s="760"/>
      <c r="E12854" s="760"/>
      <c r="F12854" s="760"/>
      <c r="G12854" s="760"/>
      <c r="H12854" s="760"/>
      <c r="I12854" s="760"/>
      <c r="J12854" s="760"/>
      <c r="K12854" s="760"/>
    </row>
    <row r="12855" spans="1:11">
      <c r="A12855" s="760"/>
      <c r="B12855" s="760"/>
      <c r="C12855" s="760"/>
      <c r="D12855" s="760"/>
      <c r="E12855" s="760"/>
      <c r="F12855" s="760"/>
      <c r="G12855" s="760"/>
      <c r="H12855" s="760"/>
      <c r="I12855" s="760"/>
      <c r="J12855" s="760"/>
      <c r="K12855" s="760"/>
    </row>
    <row r="12856" spans="1:11">
      <c r="A12856" s="760"/>
      <c r="B12856" s="760"/>
      <c r="C12856" s="760"/>
      <c r="D12856" s="760"/>
      <c r="E12856" s="760"/>
      <c r="F12856" s="760"/>
      <c r="G12856" s="760"/>
      <c r="H12856" s="760"/>
      <c r="I12856" s="760"/>
      <c r="J12856" s="760"/>
      <c r="K12856" s="760"/>
    </row>
    <row r="12857" spans="1:11">
      <c r="A12857" s="760"/>
      <c r="B12857" s="760"/>
      <c r="C12857" s="760"/>
      <c r="D12857" s="760"/>
      <c r="E12857" s="760"/>
      <c r="F12857" s="760"/>
      <c r="G12857" s="760"/>
      <c r="H12857" s="760"/>
      <c r="I12857" s="760"/>
      <c r="J12857" s="760"/>
      <c r="K12857" s="760"/>
    </row>
    <row r="12858" spans="1:11">
      <c r="A12858" s="760"/>
      <c r="B12858" s="760"/>
      <c r="C12858" s="760"/>
      <c r="D12858" s="760"/>
      <c r="E12858" s="760"/>
      <c r="F12858" s="760"/>
      <c r="G12858" s="760"/>
      <c r="H12858" s="760"/>
      <c r="I12858" s="760"/>
      <c r="J12858" s="760"/>
      <c r="K12858" s="760"/>
    </row>
    <row r="12859" spans="1:11">
      <c r="A12859" s="760"/>
      <c r="B12859" s="760"/>
      <c r="C12859" s="760"/>
      <c r="D12859" s="760"/>
      <c r="E12859" s="760"/>
      <c r="F12859" s="760"/>
      <c r="G12859" s="760"/>
      <c r="H12859" s="760"/>
      <c r="I12859" s="760"/>
      <c r="J12859" s="760"/>
      <c r="K12859" s="760"/>
    </row>
    <row r="12860" spans="1:11">
      <c r="A12860" s="760"/>
      <c r="B12860" s="760"/>
      <c r="C12860" s="760"/>
      <c r="D12860" s="760"/>
      <c r="E12860" s="760"/>
      <c r="F12860" s="760"/>
      <c r="G12860" s="760"/>
      <c r="H12860" s="760"/>
      <c r="I12860" s="760"/>
      <c r="J12860" s="760"/>
      <c r="K12860" s="760"/>
    </row>
    <row r="12861" spans="1:11">
      <c r="A12861" s="760"/>
      <c r="B12861" s="760"/>
      <c r="C12861" s="760"/>
      <c r="D12861" s="760"/>
      <c r="E12861" s="760"/>
      <c r="F12861" s="760"/>
      <c r="G12861" s="760"/>
      <c r="H12861" s="760"/>
      <c r="I12861" s="760"/>
      <c r="J12861" s="760"/>
      <c r="K12861" s="760"/>
    </row>
    <row r="12862" spans="1:11">
      <c r="A12862" s="760"/>
      <c r="B12862" s="760"/>
      <c r="C12862" s="760"/>
      <c r="D12862" s="760"/>
      <c r="E12862" s="760"/>
      <c r="F12862" s="760"/>
      <c r="G12862" s="760"/>
      <c r="H12862" s="760"/>
      <c r="I12862" s="760"/>
      <c r="J12862" s="760"/>
      <c r="K12862" s="760"/>
    </row>
    <row r="12863" spans="1:11">
      <c r="A12863" s="760"/>
      <c r="B12863" s="760"/>
      <c r="C12863" s="760"/>
      <c r="D12863" s="760"/>
      <c r="E12863" s="760"/>
      <c r="F12863" s="760"/>
      <c r="G12863" s="760"/>
      <c r="H12863" s="760"/>
      <c r="I12863" s="760"/>
      <c r="J12863" s="760"/>
      <c r="K12863" s="760"/>
    </row>
    <row r="12864" spans="1:11">
      <c r="A12864" s="760"/>
      <c r="B12864" s="760"/>
      <c r="C12864" s="760"/>
      <c r="D12864" s="760"/>
      <c r="E12864" s="760"/>
      <c r="F12864" s="760"/>
      <c r="G12864" s="760"/>
      <c r="H12864" s="760"/>
      <c r="I12864" s="760"/>
      <c r="J12864" s="760"/>
      <c r="K12864" s="760"/>
    </row>
    <row r="12865" spans="1:11">
      <c r="A12865" s="760"/>
      <c r="B12865" s="760"/>
      <c r="C12865" s="760"/>
      <c r="D12865" s="760"/>
      <c r="E12865" s="760"/>
      <c r="F12865" s="760"/>
      <c r="G12865" s="760"/>
      <c r="H12865" s="760"/>
      <c r="I12865" s="760"/>
      <c r="J12865" s="760"/>
      <c r="K12865" s="760"/>
    </row>
    <row r="12866" spans="1:11">
      <c r="A12866" s="760"/>
      <c r="B12866" s="760"/>
      <c r="C12866" s="760"/>
      <c r="D12866" s="760"/>
      <c r="E12866" s="760"/>
      <c r="F12866" s="760"/>
      <c r="G12866" s="760"/>
      <c r="H12866" s="760"/>
      <c r="I12866" s="760"/>
      <c r="J12866" s="760"/>
      <c r="K12866" s="760"/>
    </row>
    <row r="12867" spans="1:11">
      <c r="A12867" s="760"/>
      <c r="B12867" s="760"/>
      <c r="C12867" s="760"/>
      <c r="D12867" s="760"/>
      <c r="E12867" s="760"/>
      <c r="F12867" s="760"/>
      <c r="G12867" s="760"/>
      <c r="H12867" s="760"/>
      <c r="I12867" s="760"/>
      <c r="J12867" s="760"/>
      <c r="K12867" s="760"/>
    </row>
    <row r="12868" spans="1:11">
      <c r="A12868" s="760"/>
      <c r="B12868" s="760"/>
      <c r="C12868" s="760"/>
      <c r="D12868" s="760"/>
      <c r="E12868" s="760"/>
      <c r="F12868" s="760"/>
      <c r="G12868" s="760"/>
      <c r="H12868" s="760"/>
      <c r="I12868" s="760"/>
      <c r="J12868" s="760"/>
      <c r="K12868" s="760"/>
    </row>
    <row r="12869" spans="1:11">
      <c r="A12869" s="760"/>
      <c r="B12869" s="760"/>
      <c r="C12869" s="760"/>
      <c r="D12869" s="760"/>
      <c r="E12869" s="760"/>
      <c r="F12869" s="760"/>
      <c r="G12869" s="760"/>
      <c r="H12869" s="760"/>
      <c r="I12869" s="760"/>
      <c r="J12869" s="760"/>
      <c r="K12869" s="760"/>
    </row>
    <row r="12870" spans="1:11">
      <c r="A12870" s="760"/>
      <c r="B12870" s="760"/>
      <c r="C12870" s="760"/>
      <c r="D12870" s="760"/>
      <c r="E12870" s="760"/>
      <c r="F12870" s="760"/>
      <c r="G12870" s="760"/>
      <c r="H12870" s="760"/>
      <c r="I12870" s="760"/>
      <c r="J12870" s="760"/>
      <c r="K12870" s="760"/>
    </row>
    <row r="12871" spans="1:11">
      <c r="A12871" s="760"/>
      <c r="B12871" s="760"/>
      <c r="C12871" s="760"/>
      <c r="D12871" s="760"/>
      <c r="E12871" s="760"/>
      <c r="F12871" s="760"/>
      <c r="G12871" s="760"/>
      <c r="H12871" s="760"/>
      <c r="I12871" s="760"/>
      <c r="J12871" s="760"/>
      <c r="K12871" s="760"/>
    </row>
    <row r="12872" spans="1:11">
      <c r="A12872" s="760"/>
      <c r="B12872" s="760"/>
      <c r="C12872" s="760"/>
      <c r="D12872" s="760"/>
      <c r="E12872" s="760"/>
      <c r="F12872" s="760"/>
      <c r="G12872" s="760"/>
      <c r="H12872" s="760"/>
      <c r="I12872" s="760"/>
      <c r="J12872" s="760"/>
      <c r="K12872" s="760"/>
    </row>
    <row r="12873" spans="1:11">
      <c r="A12873" s="760"/>
      <c r="B12873" s="760"/>
      <c r="C12873" s="760"/>
      <c r="D12873" s="760"/>
      <c r="E12873" s="760"/>
      <c r="F12873" s="760"/>
      <c r="G12873" s="760"/>
      <c r="H12873" s="760"/>
      <c r="I12873" s="760"/>
      <c r="J12873" s="760"/>
      <c r="K12873" s="760"/>
    </row>
    <row r="12874" spans="1:11">
      <c r="A12874" s="760"/>
      <c r="B12874" s="760"/>
      <c r="C12874" s="760"/>
      <c r="D12874" s="760"/>
      <c r="E12874" s="760"/>
      <c r="F12874" s="760"/>
      <c r="G12874" s="760"/>
      <c r="H12874" s="760"/>
      <c r="I12874" s="760"/>
      <c r="J12874" s="760"/>
      <c r="K12874" s="760"/>
    </row>
    <row r="12875" spans="1:11">
      <c r="A12875" s="760"/>
      <c r="B12875" s="760"/>
      <c r="C12875" s="760"/>
      <c r="D12875" s="760"/>
      <c r="E12875" s="760"/>
      <c r="F12875" s="760"/>
      <c r="G12875" s="760"/>
      <c r="H12875" s="760"/>
      <c r="I12875" s="760"/>
      <c r="J12875" s="760"/>
      <c r="K12875" s="760"/>
    </row>
    <row r="12876" spans="1:11">
      <c r="A12876" s="760"/>
      <c r="B12876" s="760"/>
      <c r="C12876" s="760"/>
      <c r="D12876" s="760"/>
      <c r="E12876" s="760"/>
      <c r="F12876" s="760"/>
      <c r="G12876" s="760"/>
      <c r="H12876" s="760"/>
      <c r="I12876" s="760"/>
      <c r="J12876" s="760"/>
      <c r="K12876" s="760"/>
    </row>
    <row r="12877" spans="1:11">
      <c r="A12877" s="760"/>
      <c r="B12877" s="760"/>
      <c r="C12877" s="760"/>
      <c r="D12877" s="760"/>
      <c r="E12877" s="760"/>
      <c r="F12877" s="760"/>
      <c r="G12877" s="760"/>
      <c r="H12877" s="760"/>
      <c r="I12877" s="760"/>
      <c r="J12877" s="760"/>
      <c r="K12877" s="760"/>
    </row>
    <row r="12878" spans="1:11">
      <c r="A12878" s="760"/>
      <c r="B12878" s="760"/>
      <c r="C12878" s="760"/>
      <c r="D12878" s="760"/>
      <c r="E12878" s="760"/>
      <c r="F12878" s="760"/>
      <c r="G12878" s="760"/>
      <c r="H12878" s="760"/>
      <c r="I12878" s="760"/>
      <c r="J12878" s="760"/>
      <c r="K12878" s="760"/>
    </row>
    <row r="12879" spans="1:11">
      <c r="A12879" s="760"/>
      <c r="B12879" s="760"/>
      <c r="C12879" s="760"/>
      <c r="D12879" s="760"/>
      <c r="E12879" s="760"/>
      <c r="F12879" s="760"/>
      <c r="G12879" s="760"/>
      <c r="H12879" s="760"/>
      <c r="I12879" s="760"/>
      <c r="J12879" s="760"/>
      <c r="K12879" s="760"/>
    </row>
    <row r="12880" spans="1:11">
      <c r="A12880" s="760"/>
      <c r="B12880" s="760"/>
      <c r="C12880" s="760"/>
      <c r="D12880" s="760"/>
      <c r="E12880" s="760"/>
      <c r="F12880" s="760"/>
      <c r="G12880" s="760"/>
      <c r="H12880" s="760"/>
      <c r="I12880" s="760"/>
      <c r="J12880" s="760"/>
      <c r="K12880" s="760"/>
    </row>
    <row r="12881" spans="1:11">
      <c r="A12881" s="760"/>
      <c r="B12881" s="760"/>
      <c r="C12881" s="760"/>
      <c r="D12881" s="760"/>
      <c r="E12881" s="760"/>
      <c r="F12881" s="760"/>
      <c r="G12881" s="760"/>
      <c r="H12881" s="760"/>
      <c r="I12881" s="760"/>
      <c r="J12881" s="760"/>
      <c r="K12881" s="760"/>
    </row>
    <row r="12882" spans="1:11">
      <c r="A12882" s="760"/>
      <c r="B12882" s="760"/>
      <c r="C12882" s="760"/>
      <c r="D12882" s="760"/>
      <c r="E12882" s="760"/>
      <c r="F12882" s="760"/>
      <c r="G12882" s="760"/>
      <c r="H12882" s="760"/>
      <c r="I12882" s="760"/>
      <c r="J12882" s="760"/>
      <c r="K12882" s="760"/>
    </row>
    <row r="12883" spans="1:11">
      <c r="A12883" s="760"/>
      <c r="B12883" s="760"/>
      <c r="C12883" s="760"/>
      <c r="D12883" s="760"/>
      <c r="E12883" s="760"/>
      <c r="F12883" s="760"/>
      <c r="G12883" s="760"/>
      <c r="H12883" s="760"/>
      <c r="I12883" s="760"/>
      <c r="J12883" s="760"/>
      <c r="K12883" s="760"/>
    </row>
    <row r="12884" spans="1:11">
      <c r="A12884" s="760"/>
      <c r="B12884" s="760"/>
      <c r="C12884" s="760"/>
      <c r="D12884" s="760"/>
      <c r="E12884" s="760"/>
      <c r="F12884" s="760"/>
      <c r="G12884" s="760"/>
      <c r="H12884" s="760"/>
      <c r="I12884" s="760"/>
      <c r="J12884" s="760"/>
      <c r="K12884" s="760"/>
    </row>
    <row r="12885" spans="1:11">
      <c r="A12885" s="760"/>
      <c r="B12885" s="760"/>
      <c r="C12885" s="760"/>
      <c r="D12885" s="760"/>
      <c r="E12885" s="760"/>
      <c r="F12885" s="760"/>
      <c r="G12885" s="760"/>
      <c r="H12885" s="760"/>
      <c r="I12885" s="760"/>
      <c r="J12885" s="760"/>
      <c r="K12885" s="760"/>
    </row>
    <row r="12886" spans="1:11">
      <c r="A12886" s="760"/>
      <c r="B12886" s="760"/>
      <c r="C12886" s="760"/>
      <c r="D12886" s="760"/>
      <c r="E12886" s="760"/>
      <c r="F12886" s="760"/>
      <c r="G12886" s="760"/>
      <c r="H12886" s="760"/>
      <c r="I12886" s="760"/>
      <c r="J12886" s="760"/>
      <c r="K12886" s="760"/>
    </row>
    <row r="12887" spans="1:11">
      <c r="A12887" s="760"/>
      <c r="B12887" s="760"/>
      <c r="C12887" s="760"/>
      <c r="D12887" s="760"/>
      <c r="E12887" s="760"/>
      <c r="F12887" s="760"/>
      <c r="G12887" s="760"/>
      <c r="H12887" s="760"/>
      <c r="I12887" s="760"/>
      <c r="J12887" s="760"/>
      <c r="K12887" s="760"/>
    </row>
    <row r="12888" spans="1:11">
      <c r="A12888" s="760"/>
      <c r="B12888" s="760"/>
      <c r="C12888" s="760"/>
      <c r="D12888" s="760"/>
      <c r="E12888" s="760"/>
      <c r="F12888" s="760"/>
      <c r="G12888" s="760"/>
      <c r="H12888" s="760"/>
      <c r="I12888" s="760"/>
      <c r="J12888" s="760"/>
      <c r="K12888" s="760"/>
    </row>
    <row r="12889" spans="1:11">
      <c r="A12889" s="760"/>
      <c r="B12889" s="760"/>
      <c r="C12889" s="760"/>
      <c r="D12889" s="760"/>
      <c r="E12889" s="760"/>
      <c r="F12889" s="760"/>
      <c r="G12889" s="760"/>
      <c r="H12889" s="760"/>
      <c r="I12889" s="760"/>
      <c r="J12889" s="760"/>
      <c r="K12889" s="760"/>
    </row>
    <row r="12890" spans="1:11">
      <c r="A12890" s="760"/>
      <c r="B12890" s="760"/>
      <c r="C12890" s="760"/>
      <c r="D12890" s="760"/>
      <c r="E12890" s="760"/>
      <c r="F12890" s="760"/>
      <c r="G12890" s="760"/>
      <c r="H12890" s="760"/>
      <c r="I12890" s="760"/>
      <c r="J12890" s="760"/>
      <c r="K12890" s="760"/>
    </row>
    <row r="12891" spans="1:11">
      <c r="A12891" s="760"/>
      <c r="B12891" s="760"/>
      <c r="C12891" s="760"/>
      <c r="D12891" s="760"/>
      <c r="E12891" s="760"/>
      <c r="F12891" s="760"/>
      <c r="G12891" s="760"/>
      <c r="H12891" s="760"/>
      <c r="I12891" s="760"/>
      <c r="J12891" s="760"/>
      <c r="K12891" s="760"/>
    </row>
    <row r="12892" spans="1:11">
      <c r="A12892" s="760"/>
      <c r="B12892" s="760"/>
      <c r="C12892" s="760"/>
      <c r="D12892" s="760"/>
      <c r="E12892" s="760"/>
      <c r="F12892" s="760"/>
      <c r="G12892" s="760"/>
      <c r="H12892" s="760"/>
      <c r="I12892" s="760"/>
      <c r="J12892" s="760"/>
      <c r="K12892" s="760"/>
    </row>
    <row r="12893" spans="1:11">
      <c r="A12893" s="760"/>
      <c r="B12893" s="760"/>
      <c r="C12893" s="760"/>
      <c r="D12893" s="760"/>
      <c r="E12893" s="760"/>
      <c r="F12893" s="760"/>
      <c r="G12893" s="760"/>
      <c r="H12893" s="760"/>
      <c r="I12893" s="760"/>
      <c r="J12893" s="760"/>
      <c r="K12893" s="760"/>
    </row>
    <row r="12894" spans="1:11">
      <c r="A12894" s="760"/>
      <c r="B12894" s="760"/>
      <c r="C12894" s="760"/>
      <c r="D12894" s="760"/>
      <c r="E12894" s="760"/>
      <c r="F12894" s="760"/>
      <c r="G12894" s="760"/>
      <c r="H12894" s="760"/>
      <c r="I12894" s="760"/>
      <c r="J12894" s="760"/>
      <c r="K12894" s="760"/>
    </row>
    <row r="12895" spans="1:11">
      <c r="A12895" s="760"/>
      <c r="B12895" s="760"/>
      <c r="C12895" s="760"/>
      <c r="D12895" s="760"/>
      <c r="E12895" s="760"/>
      <c r="F12895" s="760"/>
      <c r="G12895" s="760"/>
      <c r="H12895" s="760"/>
      <c r="I12895" s="760"/>
      <c r="J12895" s="760"/>
      <c r="K12895" s="760"/>
    </row>
    <row r="12896" spans="1:11">
      <c r="A12896" s="760"/>
      <c r="B12896" s="760"/>
      <c r="C12896" s="760"/>
      <c r="D12896" s="760"/>
      <c r="E12896" s="760"/>
      <c r="F12896" s="760"/>
      <c r="G12896" s="760"/>
      <c r="H12896" s="760"/>
      <c r="I12896" s="760"/>
      <c r="J12896" s="760"/>
      <c r="K12896" s="760"/>
    </row>
    <row r="12897" spans="1:11">
      <c r="A12897" s="760"/>
      <c r="B12897" s="760"/>
      <c r="C12897" s="760"/>
      <c r="D12897" s="760"/>
      <c r="E12897" s="760"/>
      <c r="F12897" s="760"/>
      <c r="G12897" s="760"/>
      <c r="H12897" s="760"/>
      <c r="I12897" s="760"/>
      <c r="J12897" s="760"/>
      <c r="K12897" s="760"/>
    </row>
    <row r="12898" spans="1:11">
      <c r="A12898" s="760"/>
      <c r="B12898" s="760"/>
      <c r="C12898" s="760"/>
      <c r="D12898" s="760"/>
      <c r="E12898" s="760"/>
      <c r="F12898" s="760"/>
      <c r="G12898" s="760"/>
      <c r="H12898" s="760"/>
      <c r="I12898" s="760"/>
      <c r="J12898" s="760"/>
      <c r="K12898" s="760"/>
    </row>
    <row r="12899" spans="1:11">
      <c r="A12899" s="760"/>
      <c r="B12899" s="760"/>
      <c r="C12899" s="760"/>
      <c r="D12899" s="760"/>
      <c r="E12899" s="760"/>
      <c r="F12899" s="760"/>
      <c r="G12899" s="760"/>
      <c r="H12899" s="760"/>
      <c r="I12899" s="760"/>
      <c r="J12899" s="760"/>
      <c r="K12899" s="760"/>
    </row>
    <row r="12900" spans="1:11">
      <c r="A12900" s="760"/>
      <c r="B12900" s="760"/>
      <c r="C12900" s="760"/>
      <c r="D12900" s="760"/>
      <c r="E12900" s="760"/>
      <c r="F12900" s="760"/>
      <c r="G12900" s="760"/>
      <c r="H12900" s="760"/>
      <c r="I12900" s="760"/>
      <c r="J12900" s="760"/>
      <c r="K12900" s="760"/>
    </row>
    <row r="12901" spans="1:11">
      <c r="A12901" s="760"/>
      <c r="B12901" s="760"/>
      <c r="C12901" s="760"/>
      <c r="D12901" s="760"/>
      <c r="E12901" s="760"/>
      <c r="F12901" s="760"/>
      <c r="G12901" s="760"/>
      <c r="H12901" s="760"/>
      <c r="I12901" s="760"/>
      <c r="J12901" s="760"/>
      <c r="K12901" s="760"/>
    </row>
    <row r="12902" spans="1:11">
      <c r="A12902" s="760"/>
      <c r="B12902" s="760"/>
      <c r="C12902" s="760"/>
      <c r="D12902" s="760"/>
      <c r="E12902" s="760"/>
      <c r="F12902" s="760"/>
      <c r="G12902" s="760"/>
      <c r="H12902" s="760"/>
      <c r="I12902" s="760"/>
      <c r="J12902" s="760"/>
      <c r="K12902" s="760"/>
    </row>
    <row r="12903" spans="1:11">
      <c r="A12903" s="760"/>
      <c r="B12903" s="760"/>
      <c r="C12903" s="760"/>
      <c r="D12903" s="760"/>
      <c r="E12903" s="760"/>
      <c r="F12903" s="760"/>
      <c r="G12903" s="760"/>
      <c r="H12903" s="760"/>
      <c r="I12903" s="760"/>
      <c r="J12903" s="760"/>
      <c r="K12903" s="760"/>
    </row>
    <row r="12904" spans="1:11">
      <c r="A12904" s="760"/>
      <c r="B12904" s="760"/>
      <c r="C12904" s="760"/>
      <c r="D12904" s="760"/>
      <c r="E12904" s="760"/>
      <c r="F12904" s="760"/>
      <c r="G12904" s="760"/>
      <c r="H12904" s="760"/>
      <c r="I12904" s="760"/>
      <c r="J12904" s="760"/>
      <c r="K12904" s="760"/>
    </row>
    <row r="12905" spans="1:11">
      <c r="A12905" s="760"/>
      <c r="B12905" s="760"/>
      <c r="C12905" s="760"/>
      <c r="D12905" s="760"/>
      <c r="E12905" s="760"/>
      <c r="F12905" s="760"/>
      <c r="G12905" s="760"/>
      <c r="H12905" s="760"/>
      <c r="I12905" s="760"/>
      <c r="J12905" s="760"/>
      <c r="K12905" s="760"/>
    </row>
    <row r="12906" spans="1:11">
      <c r="A12906" s="760"/>
      <c r="B12906" s="760"/>
      <c r="C12906" s="760"/>
      <c r="D12906" s="760"/>
      <c r="E12906" s="760"/>
      <c r="F12906" s="760"/>
      <c r="G12906" s="760"/>
      <c r="H12906" s="760"/>
      <c r="I12906" s="760"/>
      <c r="J12906" s="760"/>
      <c r="K12906" s="760"/>
    </row>
    <row r="12907" spans="1:11">
      <c r="A12907" s="760"/>
      <c r="B12907" s="760"/>
      <c r="C12907" s="760"/>
      <c r="D12907" s="760"/>
      <c r="E12907" s="760"/>
      <c r="F12907" s="760"/>
      <c r="G12907" s="760"/>
      <c r="H12907" s="760"/>
      <c r="I12907" s="760"/>
      <c r="J12907" s="760"/>
      <c r="K12907" s="760"/>
    </row>
    <row r="12908" spans="1:11">
      <c r="A12908" s="760"/>
      <c r="B12908" s="760"/>
      <c r="C12908" s="760"/>
      <c r="D12908" s="760"/>
      <c r="E12908" s="760"/>
      <c r="F12908" s="760"/>
      <c r="G12908" s="760"/>
      <c r="H12908" s="760"/>
      <c r="I12908" s="760"/>
      <c r="J12908" s="760"/>
      <c r="K12908" s="760"/>
    </row>
    <row r="12909" spans="1:11">
      <c r="A12909" s="760"/>
      <c r="B12909" s="760"/>
      <c r="C12909" s="760"/>
      <c r="D12909" s="760"/>
      <c r="E12909" s="760"/>
      <c r="F12909" s="760"/>
      <c r="G12909" s="760"/>
      <c r="H12909" s="760"/>
      <c r="I12909" s="760"/>
      <c r="J12909" s="760"/>
      <c r="K12909" s="760"/>
    </row>
    <row r="12910" spans="1:11">
      <c r="A12910" s="760"/>
      <c r="B12910" s="760"/>
      <c r="C12910" s="760"/>
      <c r="D12910" s="760"/>
      <c r="E12910" s="760"/>
      <c r="F12910" s="760"/>
      <c r="G12910" s="760"/>
      <c r="H12910" s="760"/>
      <c r="I12910" s="760"/>
      <c r="J12910" s="760"/>
      <c r="K12910" s="760"/>
    </row>
    <row r="12911" spans="1:11">
      <c r="A12911" s="760"/>
      <c r="B12911" s="760"/>
      <c r="C12911" s="760"/>
      <c r="D12911" s="760"/>
      <c r="E12911" s="760"/>
      <c r="F12911" s="760"/>
      <c r="G12911" s="760"/>
      <c r="H12911" s="760"/>
      <c r="I12911" s="760"/>
      <c r="J12911" s="760"/>
      <c r="K12911" s="760"/>
    </row>
    <row r="12912" spans="1:11">
      <c r="A12912" s="760"/>
      <c r="B12912" s="760"/>
      <c r="C12912" s="760"/>
      <c r="D12912" s="760"/>
      <c r="E12912" s="760"/>
      <c r="F12912" s="760"/>
      <c r="G12912" s="760"/>
      <c r="H12912" s="760"/>
      <c r="I12912" s="760"/>
      <c r="J12912" s="760"/>
      <c r="K12912" s="760"/>
    </row>
    <row r="12913" spans="1:11">
      <c r="A12913" s="760"/>
      <c r="B12913" s="760"/>
      <c r="C12913" s="760"/>
      <c r="D12913" s="760"/>
      <c r="E12913" s="760"/>
      <c r="F12913" s="760"/>
      <c r="G12913" s="760"/>
      <c r="H12913" s="760"/>
      <c r="I12913" s="760"/>
      <c r="J12913" s="760"/>
      <c r="K12913" s="760"/>
    </row>
    <row r="12914" spans="1:11">
      <c r="A12914" s="760"/>
      <c r="B12914" s="760"/>
      <c r="C12914" s="760"/>
      <c r="D12914" s="760"/>
      <c r="E12914" s="760"/>
      <c r="F12914" s="760"/>
      <c r="G12914" s="760"/>
      <c r="H12914" s="760"/>
      <c r="I12914" s="760"/>
      <c r="J12914" s="760"/>
      <c r="K12914" s="760"/>
    </row>
    <row r="12915" spans="1:11">
      <c r="A12915" s="760"/>
      <c r="B12915" s="760"/>
      <c r="C12915" s="760"/>
      <c r="D12915" s="760"/>
      <c r="E12915" s="760"/>
      <c r="F12915" s="760"/>
      <c r="G12915" s="760"/>
      <c r="H12915" s="760"/>
      <c r="I12915" s="760"/>
      <c r="J12915" s="760"/>
      <c r="K12915" s="760"/>
    </row>
    <row r="12916" spans="1:11">
      <c r="A12916" s="760"/>
      <c r="B12916" s="760"/>
      <c r="C12916" s="760"/>
      <c r="D12916" s="760"/>
      <c r="E12916" s="760"/>
      <c r="F12916" s="760"/>
      <c r="G12916" s="760"/>
      <c r="H12916" s="760"/>
      <c r="I12916" s="760"/>
      <c r="J12916" s="760"/>
      <c r="K12916" s="760"/>
    </row>
    <row r="12917" spans="1:11">
      <c r="A12917" s="760"/>
      <c r="B12917" s="760"/>
      <c r="C12917" s="760"/>
      <c r="D12917" s="760"/>
      <c r="E12917" s="760"/>
      <c r="F12917" s="760"/>
      <c r="G12917" s="760"/>
      <c r="H12917" s="760"/>
      <c r="I12917" s="760"/>
      <c r="J12917" s="760"/>
      <c r="K12917" s="760"/>
    </row>
    <row r="12918" spans="1:11">
      <c r="A12918" s="760"/>
      <c r="B12918" s="760"/>
      <c r="C12918" s="760"/>
      <c r="D12918" s="760"/>
      <c r="E12918" s="760"/>
      <c r="F12918" s="760"/>
      <c r="G12918" s="760"/>
      <c r="H12918" s="760"/>
      <c r="I12918" s="760"/>
      <c r="J12918" s="760"/>
      <c r="K12918" s="760"/>
    </row>
    <row r="12919" spans="1:11">
      <c r="A12919" s="760"/>
      <c r="B12919" s="760"/>
      <c r="C12919" s="760"/>
      <c r="D12919" s="760"/>
      <c r="E12919" s="760"/>
      <c r="F12919" s="760"/>
      <c r="G12919" s="760"/>
      <c r="H12919" s="760"/>
      <c r="I12919" s="760"/>
      <c r="J12919" s="760"/>
      <c r="K12919" s="760"/>
    </row>
    <row r="12920" spans="1:11">
      <c r="A12920" s="760"/>
      <c r="B12920" s="760"/>
      <c r="C12920" s="760"/>
      <c r="D12920" s="760"/>
      <c r="E12920" s="760"/>
      <c r="F12920" s="760"/>
      <c r="G12920" s="760"/>
      <c r="H12920" s="760"/>
      <c r="I12920" s="760"/>
      <c r="J12920" s="760"/>
      <c r="K12920" s="760"/>
    </row>
    <row r="12921" spans="1:11">
      <c r="A12921" s="760"/>
      <c r="B12921" s="760"/>
      <c r="C12921" s="760"/>
      <c r="D12921" s="760"/>
      <c r="E12921" s="760"/>
      <c r="F12921" s="760"/>
      <c r="G12921" s="760"/>
      <c r="H12921" s="760"/>
      <c r="I12921" s="760"/>
      <c r="J12921" s="760"/>
      <c r="K12921" s="760"/>
    </row>
    <row r="12922" spans="1:11">
      <c r="A12922" s="760"/>
      <c r="B12922" s="760"/>
      <c r="C12922" s="760"/>
      <c r="D12922" s="760"/>
      <c r="E12922" s="760"/>
      <c r="F12922" s="760"/>
      <c r="G12922" s="760"/>
      <c r="H12922" s="760"/>
      <c r="I12922" s="760"/>
      <c r="J12922" s="760"/>
      <c r="K12922" s="760"/>
    </row>
    <row r="12923" spans="1:11">
      <c r="A12923" s="760"/>
      <c r="B12923" s="760"/>
      <c r="C12923" s="760"/>
      <c r="D12923" s="760"/>
      <c r="E12923" s="760"/>
      <c r="F12923" s="760"/>
      <c r="G12923" s="760"/>
      <c r="H12923" s="760"/>
      <c r="I12923" s="760"/>
      <c r="J12923" s="760"/>
      <c r="K12923" s="760"/>
    </row>
    <row r="12924" spans="1:11">
      <c r="A12924" s="760"/>
      <c r="B12924" s="760"/>
      <c r="C12924" s="760"/>
      <c r="D12924" s="760"/>
      <c r="E12924" s="760"/>
      <c r="F12924" s="760"/>
      <c r="G12924" s="760"/>
      <c r="H12924" s="760"/>
      <c r="I12924" s="760"/>
      <c r="J12924" s="760"/>
      <c r="K12924" s="760"/>
    </row>
    <row r="12925" spans="1:11">
      <c r="A12925" s="760"/>
      <c r="B12925" s="760"/>
      <c r="C12925" s="760"/>
      <c r="D12925" s="760"/>
      <c r="E12925" s="760"/>
      <c r="F12925" s="760"/>
      <c r="G12925" s="760"/>
      <c r="H12925" s="760"/>
      <c r="I12925" s="760"/>
      <c r="J12925" s="760"/>
      <c r="K12925" s="760"/>
    </row>
    <row r="12926" spans="1:11">
      <c r="A12926" s="760"/>
      <c r="B12926" s="760"/>
      <c r="C12926" s="760"/>
      <c r="D12926" s="760"/>
      <c r="E12926" s="760"/>
      <c r="F12926" s="760"/>
      <c r="G12926" s="760"/>
      <c r="H12926" s="760"/>
      <c r="I12926" s="760"/>
      <c r="J12926" s="760"/>
      <c r="K12926" s="760"/>
    </row>
    <row r="12927" spans="1:11">
      <c r="A12927" s="760"/>
      <c r="B12927" s="760"/>
      <c r="C12927" s="760"/>
      <c r="D12927" s="760"/>
      <c r="E12927" s="760"/>
      <c r="F12927" s="760"/>
      <c r="G12927" s="760"/>
      <c r="H12927" s="760"/>
      <c r="I12927" s="760"/>
      <c r="J12927" s="760"/>
      <c r="K12927" s="760"/>
    </row>
    <row r="12928" spans="1:11">
      <c r="A12928" s="760"/>
      <c r="B12928" s="760"/>
      <c r="C12928" s="760"/>
      <c r="D12928" s="760"/>
      <c r="E12928" s="760"/>
      <c r="F12928" s="760"/>
      <c r="G12928" s="760"/>
      <c r="H12928" s="760"/>
      <c r="I12928" s="760"/>
      <c r="J12928" s="760"/>
      <c r="K12928" s="760"/>
    </row>
    <row r="12929" spans="1:11">
      <c r="A12929" s="760"/>
      <c r="B12929" s="760"/>
      <c r="C12929" s="760"/>
      <c r="D12929" s="760"/>
      <c r="E12929" s="760"/>
      <c r="F12929" s="760"/>
      <c r="G12929" s="760"/>
      <c r="H12929" s="760"/>
      <c r="I12929" s="760"/>
      <c r="J12929" s="760"/>
      <c r="K12929" s="760"/>
    </row>
    <row r="12930" spans="1:11">
      <c r="A12930" s="760"/>
      <c r="B12930" s="760"/>
      <c r="C12930" s="760"/>
      <c r="D12930" s="760"/>
      <c r="E12930" s="760"/>
      <c r="F12930" s="760"/>
      <c r="G12930" s="760"/>
      <c r="H12930" s="760"/>
      <c r="I12930" s="760"/>
      <c r="J12930" s="760"/>
      <c r="K12930" s="760"/>
    </row>
    <row r="12931" spans="1:11">
      <c r="A12931" s="760"/>
      <c r="B12931" s="760"/>
      <c r="C12931" s="760"/>
      <c r="D12931" s="760"/>
      <c r="E12931" s="760"/>
      <c r="F12931" s="760"/>
      <c r="G12931" s="760"/>
      <c r="H12931" s="760"/>
      <c r="I12931" s="760"/>
      <c r="J12931" s="760"/>
      <c r="K12931" s="760"/>
    </row>
    <row r="12932" spans="1:11">
      <c r="A12932" s="760"/>
      <c r="B12932" s="760"/>
      <c r="C12932" s="760"/>
      <c r="D12932" s="760"/>
      <c r="E12932" s="760"/>
      <c r="F12932" s="760"/>
      <c r="G12932" s="760"/>
      <c r="H12932" s="760"/>
      <c r="I12932" s="760"/>
      <c r="J12932" s="760"/>
      <c r="K12932" s="760"/>
    </row>
    <row r="12933" spans="1:11">
      <c r="A12933" s="760"/>
      <c r="B12933" s="760"/>
      <c r="C12933" s="760"/>
      <c r="D12933" s="760"/>
      <c r="E12933" s="760"/>
      <c r="F12933" s="760"/>
      <c r="G12933" s="760"/>
      <c r="H12933" s="760"/>
      <c r="I12933" s="760"/>
      <c r="J12933" s="760"/>
      <c r="K12933" s="760"/>
    </row>
    <row r="12934" spans="1:11">
      <c r="A12934" s="760"/>
      <c r="B12934" s="760"/>
      <c r="C12934" s="760"/>
      <c r="D12934" s="760"/>
      <c r="E12934" s="760"/>
      <c r="F12934" s="760"/>
      <c r="G12934" s="760"/>
      <c r="H12934" s="760"/>
      <c r="I12934" s="760"/>
      <c r="J12934" s="760"/>
      <c r="K12934" s="760"/>
    </row>
    <row r="12935" spans="1:11">
      <c r="A12935" s="760"/>
      <c r="B12935" s="760"/>
      <c r="C12935" s="760"/>
      <c r="D12935" s="760"/>
      <c r="E12935" s="760"/>
      <c r="F12935" s="760"/>
      <c r="G12935" s="760"/>
      <c r="H12935" s="760"/>
      <c r="I12935" s="760"/>
      <c r="J12935" s="760"/>
      <c r="K12935" s="760"/>
    </row>
    <row r="12936" spans="1:11">
      <c r="A12936" s="760"/>
      <c r="B12936" s="760"/>
      <c r="C12936" s="760"/>
      <c r="D12936" s="760"/>
      <c r="E12936" s="760"/>
      <c r="F12936" s="760"/>
      <c r="G12936" s="760"/>
      <c r="H12936" s="760"/>
      <c r="I12936" s="760"/>
      <c r="J12936" s="760"/>
      <c r="K12936" s="760"/>
    </row>
    <row r="12937" spans="1:11">
      <c r="A12937" s="760"/>
      <c r="B12937" s="760"/>
      <c r="C12937" s="760"/>
      <c r="D12937" s="760"/>
      <c r="E12937" s="760"/>
      <c r="F12937" s="760"/>
      <c r="G12937" s="760"/>
      <c r="H12937" s="760"/>
      <c r="I12937" s="760"/>
      <c r="J12937" s="760"/>
      <c r="K12937" s="760"/>
    </row>
    <row r="12938" spans="1:11">
      <c r="A12938" s="760"/>
      <c r="B12938" s="760"/>
      <c r="C12938" s="760"/>
      <c r="D12938" s="760"/>
      <c r="E12938" s="760"/>
      <c r="F12938" s="760"/>
      <c r="G12938" s="760"/>
      <c r="H12938" s="760"/>
      <c r="I12938" s="760"/>
      <c r="J12938" s="760"/>
      <c r="K12938" s="760"/>
    </row>
    <row r="12939" spans="1:11">
      <c r="A12939" s="760"/>
      <c r="B12939" s="760"/>
      <c r="C12939" s="760"/>
      <c r="D12939" s="760"/>
      <c r="E12939" s="760"/>
      <c r="F12939" s="760"/>
      <c r="G12939" s="760"/>
      <c r="H12939" s="760"/>
      <c r="I12939" s="760"/>
      <c r="J12939" s="760"/>
      <c r="K12939" s="760"/>
    </row>
    <row r="12940" spans="1:11">
      <c r="A12940" s="760"/>
      <c r="B12940" s="760"/>
      <c r="C12940" s="760"/>
      <c r="D12940" s="760"/>
      <c r="E12940" s="760"/>
      <c r="F12940" s="760"/>
      <c r="G12940" s="760"/>
      <c r="H12940" s="760"/>
      <c r="I12940" s="760"/>
      <c r="J12940" s="760"/>
      <c r="K12940" s="760"/>
    </row>
    <row r="12941" spans="1:11">
      <c r="A12941" s="760"/>
      <c r="B12941" s="760"/>
      <c r="C12941" s="760"/>
      <c r="D12941" s="760"/>
      <c r="E12941" s="760"/>
      <c r="F12941" s="760"/>
      <c r="G12941" s="760"/>
      <c r="H12941" s="760"/>
      <c r="I12941" s="760"/>
      <c r="J12941" s="760"/>
      <c r="K12941" s="760"/>
    </row>
    <row r="12942" spans="1:11">
      <c r="A12942" s="760"/>
      <c r="B12942" s="760"/>
      <c r="C12942" s="760"/>
      <c r="D12942" s="760"/>
      <c r="E12942" s="760"/>
      <c r="F12942" s="760"/>
      <c r="G12942" s="760"/>
      <c r="H12942" s="760"/>
      <c r="I12942" s="760"/>
      <c r="J12942" s="760"/>
      <c r="K12942" s="760"/>
    </row>
    <row r="12943" spans="1:11">
      <c r="A12943" s="760"/>
      <c r="B12943" s="760"/>
      <c r="C12943" s="760"/>
      <c r="D12943" s="760"/>
      <c r="E12943" s="760"/>
      <c r="F12943" s="760"/>
      <c r="G12943" s="760"/>
      <c r="H12943" s="760"/>
      <c r="I12943" s="760"/>
      <c r="J12943" s="760"/>
      <c r="K12943" s="760"/>
    </row>
    <row r="12944" spans="1:11">
      <c r="A12944" s="760"/>
      <c r="B12944" s="760"/>
      <c r="C12944" s="760"/>
      <c r="D12944" s="760"/>
      <c r="E12944" s="760"/>
      <c r="F12944" s="760"/>
      <c r="G12944" s="760"/>
      <c r="H12944" s="760"/>
      <c r="I12944" s="760"/>
      <c r="J12944" s="760"/>
      <c r="K12944" s="760"/>
    </row>
    <row r="12945" spans="1:11">
      <c r="A12945" s="760"/>
      <c r="B12945" s="760"/>
      <c r="C12945" s="760"/>
      <c r="D12945" s="760"/>
      <c r="E12945" s="760"/>
      <c r="F12945" s="760"/>
      <c r="G12945" s="760"/>
      <c r="H12945" s="760"/>
      <c r="I12945" s="760"/>
      <c r="J12945" s="760"/>
      <c r="K12945" s="760"/>
    </row>
    <row r="12946" spans="1:11">
      <c r="A12946" s="760"/>
      <c r="B12946" s="760"/>
      <c r="C12946" s="760"/>
      <c r="D12946" s="760"/>
      <c r="E12946" s="760"/>
      <c r="F12946" s="760"/>
      <c r="G12946" s="760"/>
      <c r="H12946" s="760"/>
      <c r="I12946" s="760"/>
      <c r="J12946" s="760"/>
      <c r="K12946" s="760"/>
    </row>
    <row r="12947" spans="1:11">
      <c r="A12947" s="760"/>
      <c r="B12947" s="760"/>
      <c r="C12947" s="760"/>
      <c r="D12947" s="760"/>
      <c r="E12947" s="760"/>
      <c r="F12947" s="760"/>
      <c r="G12947" s="760"/>
      <c r="H12947" s="760"/>
      <c r="I12947" s="760"/>
      <c r="J12947" s="760"/>
      <c r="K12947" s="760"/>
    </row>
    <row r="12948" spans="1:11">
      <c r="A12948" s="760"/>
      <c r="B12948" s="760"/>
      <c r="C12948" s="760"/>
      <c r="D12948" s="760"/>
      <c r="E12948" s="760"/>
      <c r="F12948" s="760"/>
      <c r="G12948" s="760"/>
      <c r="H12948" s="760"/>
      <c r="I12948" s="760"/>
      <c r="J12948" s="760"/>
      <c r="K12948" s="760"/>
    </row>
    <row r="12949" spans="1:11">
      <c r="A12949" s="760"/>
      <c r="B12949" s="760"/>
      <c r="C12949" s="760"/>
      <c r="D12949" s="760"/>
      <c r="E12949" s="760"/>
      <c r="F12949" s="760"/>
      <c r="G12949" s="760"/>
      <c r="H12949" s="760"/>
      <c r="I12949" s="760"/>
      <c r="J12949" s="760"/>
      <c r="K12949" s="760"/>
    </row>
    <row r="12950" spans="1:11">
      <c r="A12950" s="760"/>
      <c r="B12950" s="760"/>
      <c r="C12950" s="760"/>
      <c r="D12950" s="760"/>
      <c r="E12950" s="760"/>
      <c r="F12950" s="760"/>
      <c r="G12950" s="760"/>
      <c r="H12950" s="760"/>
      <c r="I12950" s="760"/>
      <c r="J12950" s="760"/>
      <c r="K12950" s="760"/>
    </row>
    <row r="12951" spans="1:11">
      <c r="A12951" s="760"/>
      <c r="B12951" s="760"/>
      <c r="C12951" s="760"/>
      <c r="D12951" s="760"/>
      <c r="E12951" s="760"/>
      <c r="F12951" s="760"/>
      <c r="G12951" s="760"/>
      <c r="H12951" s="760"/>
      <c r="I12951" s="760"/>
      <c r="J12951" s="760"/>
      <c r="K12951" s="760"/>
    </row>
    <row r="12952" spans="1:11">
      <c r="A12952" s="760"/>
      <c r="B12952" s="760"/>
      <c r="C12952" s="760"/>
      <c r="D12952" s="760"/>
      <c r="E12952" s="760"/>
      <c r="F12952" s="760"/>
      <c r="G12952" s="760"/>
      <c r="H12952" s="760"/>
      <c r="I12952" s="760"/>
      <c r="J12952" s="760"/>
      <c r="K12952" s="760"/>
    </row>
    <row r="12953" spans="1:11">
      <c r="A12953" s="760"/>
      <c r="B12953" s="760"/>
      <c r="C12953" s="760"/>
      <c r="D12953" s="760"/>
      <c r="E12953" s="760"/>
      <c r="F12953" s="760"/>
      <c r="G12953" s="760"/>
      <c r="H12953" s="760"/>
      <c r="I12953" s="760"/>
      <c r="J12953" s="760"/>
      <c r="K12953" s="760"/>
    </row>
    <row r="12954" spans="1:11">
      <c r="A12954" s="760"/>
      <c r="B12954" s="760"/>
      <c r="C12954" s="760"/>
      <c r="D12954" s="760"/>
      <c r="E12954" s="760"/>
      <c r="F12954" s="760"/>
      <c r="G12954" s="760"/>
      <c r="H12954" s="760"/>
      <c r="I12954" s="760"/>
      <c r="J12954" s="760"/>
      <c r="K12954" s="760"/>
    </row>
    <row r="12955" spans="1:11">
      <c r="A12955" s="760"/>
      <c r="B12955" s="760"/>
      <c r="C12955" s="760"/>
      <c r="D12955" s="760"/>
      <c r="E12955" s="760"/>
      <c r="F12955" s="760"/>
      <c r="G12955" s="760"/>
      <c r="H12955" s="760"/>
      <c r="I12955" s="760"/>
      <c r="J12955" s="760"/>
      <c r="K12955" s="760"/>
    </row>
    <row r="12956" spans="1:11">
      <c r="A12956" s="760"/>
      <c r="B12956" s="760"/>
      <c r="C12956" s="760"/>
      <c r="D12956" s="760"/>
      <c r="E12956" s="760"/>
      <c r="F12956" s="760"/>
      <c r="G12956" s="760"/>
      <c r="H12956" s="760"/>
      <c r="I12956" s="760"/>
      <c r="J12956" s="760"/>
      <c r="K12956" s="760"/>
    </row>
    <row r="12957" spans="1:11">
      <c r="A12957" s="760"/>
      <c r="B12957" s="760"/>
      <c r="C12957" s="760"/>
      <c r="D12957" s="760"/>
      <c r="E12957" s="760"/>
      <c r="F12957" s="760"/>
      <c r="G12957" s="760"/>
      <c r="H12957" s="760"/>
      <c r="I12957" s="760"/>
      <c r="J12957" s="760"/>
      <c r="K12957" s="760"/>
    </row>
    <row r="12958" spans="1:11">
      <c r="A12958" s="760"/>
      <c r="B12958" s="760"/>
      <c r="C12958" s="760"/>
      <c r="D12958" s="760"/>
      <c r="E12958" s="760"/>
      <c r="F12958" s="760"/>
      <c r="G12958" s="760"/>
      <c r="H12958" s="760"/>
      <c r="I12958" s="760"/>
      <c r="J12958" s="760"/>
      <c r="K12958" s="760"/>
    </row>
    <row r="12959" spans="1:11">
      <c r="A12959" s="760"/>
      <c r="B12959" s="760"/>
      <c r="C12959" s="760"/>
      <c r="D12959" s="760"/>
      <c r="E12959" s="760"/>
      <c r="F12959" s="760"/>
      <c r="G12959" s="760"/>
      <c r="H12959" s="760"/>
      <c r="I12959" s="760"/>
      <c r="J12959" s="760"/>
      <c r="K12959" s="760"/>
    </row>
    <row r="12960" spans="1:11">
      <c r="A12960" s="760"/>
      <c r="B12960" s="760"/>
      <c r="C12960" s="760"/>
      <c r="D12960" s="760"/>
      <c r="E12960" s="760"/>
      <c r="F12960" s="760"/>
      <c r="G12960" s="760"/>
      <c r="H12960" s="760"/>
      <c r="I12960" s="760"/>
      <c r="J12960" s="760"/>
      <c r="K12960" s="760"/>
    </row>
    <row r="12961" spans="1:11">
      <c r="A12961" s="760"/>
      <c r="B12961" s="760"/>
      <c r="C12961" s="760"/>
      <c r="D12961" s="760"/>
      <c r="E12961" s="760"/>
      <c r="F12961" s="760"/>
      <c r="G12961" s="760"/>
      <c r="H12961" s="760"/>
      <c r="I12961" s="760"/>
      <c r="J12961" s="760"/>
      <c r="K12961" s="760"/>
    </row>
    <row r="12962" spans="1:11">
      <c r="A12962" s="760"/>
      <c r="B12962" s="760"/>
      <c r="C12962" s="760"/>
      <c r="D12962" s="760"/>
      <c r="E12962" s="760"/>
      <c r="F12962" s="760"/>
      <c r="G12962" s="760"/>
      <c r="H12962" s="760"/>
      <c r="I12962" s="760"/>
      <c r="J12962" s="760"/>
      <c r="K12962" s="760"/>
    </row>
    <row r="12963" spans="1:11">
      <c r="A12963" s="760"/>
      <c r="B12963" s="760"/>
      <c r="C12963" s="760"/>
      <c r="D12963" s="760"/>
      <c r="E12963" s="760"/>
      <c r="F12963" s="760"/>
      <c r="G12963" s="760"/>
      <c r="H12963" s="760"/>
      <c r="I12963" s="760"/>
      <c r="J12963" s="760"/>
      <c r="K12963" s="760"/>
    </row>
    <row r="12964" spans="1:11">
      <c r="A12964" s="760"/>
      <c r="B12964" s="760"/>
      <c r="C12964" s="760"/>
      <c r="D12964" s="760"/>
      <c r="E12964" s="760"/>
      <c r="F12964" s="760"/>
      <c r="G12964" s="760"/>
      <c r="H12964" s="760"/>
      <c r="I12964" s="760"/>
      <c r="J12964" s="760"/>
      <c r="K12964" s="760"/>
    </row>
    <row r="12965" spans="1:11">
      <c r="A12965" s="760"/>
      <c r="B12965" s="760"/>
      <c r="C12965" s="760"/>
      <c r="D12965" s="760"/>
      <c r="E12965" s="760"/>
      <c r="F12965" s="760"/>
      <c r="G12965" s="760"/>
      <c r="H12965" s="760"/>
      <c r="I12965" s="760"/>
      <c r="J12965" s="760"/>
      <c r="K12965" s="760"/>
    </row>
    <row r="12966" spans="1:11">
      <c r="A12966" s="760"/>
      <c r="B12966" s="760"/>
      <c r="C12966" s="760"/>
      <c r="D12966" s="760"/>
      <c r="E12966" s="760"/>
      <c r="F12966" s="760"/>
      <c r="G12966" s="760"/>
      <c r="H12966" s="760"/>
      <c r="I12966" s="760"/>
      <c r="J12966" s="760"/>
      <c r="K12966" s="760"/>
    </row>
    <row r="12967" spans="1:11">
      <c r="A12967" s="760"/>
      <c r="B12967" s="760"/>
      <c r="C12967" s="760"/>
      <c r="D12967" s="760"/>
      <c r="E12967" s="760"/>
      <c r="F12967" s="760"/>
      <c r="G12967" s="760"/>
      <c r="H12967" s="760"/>
      <c r="I12967" s="760"/>
      <c r="J12967" s="760"/>
      <c r="K12967" s="760"/>
    </row>
    <row r="12968" spans="1:11">
      <c r="A12968" s="760"/>
      <c r="B12968" s="760"/>
      <c r="C12968" s="760"/>
      <c r="D12968" s="760"/>
      <c r="E12968" s="760"/>
      <c r="F12968" s="760"/>
      <c r="G12968" s="760"/>
      <c r="H12968" s="760"/>
      <c r="I12968" s="760"/>
      <c r="J12968" s="760"/>
      <c r="K12968" s="760"/>
    </row>
    <row r="12969" spans="1:11">
      <c r="A12969" s="760"/>
      <c r="B12969" s="760"/>
      <c r="C12969" s="760"/>
      <c r="D12969" s="760"/>
      <c r="E12969" s="760"/>
      <c r="F12969" s="760"/>
      <c r="G12969" s="760"/>
      <c r="H12969" s="760"/>
      <c r="I12969" s="760"/>
      <c r="J12969" s="760"/>
      <c r="K12969" s="760"/>
    </row>
    <row r="12970" spans="1:11">
      <c r="A12970" s="760"/>
      <c r="B12970" s="760"/>
      <c r="C12970" s="760"/>
      <c r="D12970" s="760"/>
      <c r="E12970" s="760"/>
      <c r="F12970" s="760"/>
      <c r="G12970" s="760"/>
      <c r="H12970" s="760"/>
      <c r="I12970" s="760"/>
      <c r="J12970" s="760"/>
      <c r="K12970" s="760"/>
    </row>
    <row r="12971" spans="1:11">
      <c r="A12971" s="760"/>
      <c r="B12971" s="760"/>
      <c r="C12971" s="760"/>
      <c r="D12971" s="760"/>
      <c r="E12971" s="760"/>
      <c r="F12971" s="760"/>
      <c r="G12971" s="760"/>
      <c r="H12971" s="760"/>
      <c r="I12971" s="760"/>
      <c r="J12971" s="760"/>
      <c r="K12971" s="760"/>
    </row>
    <row r="12972" spans="1:11">
      <c r="A12972" s="760"/>
      <c r="B12972" s="760"/>
      <c r="C12972" s="760"/>
      <c r="D12972" s="760"/>
      <c r="E12972" s="760"/>
      <c r="F12972" s="760"/>
      <c r="G12972" s="760"/>
      <c r="H12972" s="760"/>
      <c r="I12972" s="760"/>
      <c r="J12972" s="760"/>
      <c r="K12972" s="760"/>
    </row>
    <row r="12973" spans="1:11">
      <c r="A12973" s="760"/>
      <c r="B12973" s="760"/>
      <c r="C12973" s="760"/>
      <c r="D12973" s="760"/>
      <c r="E12973" s="760"/>
      <c r="F12973" s="760"/>
      <c r="G12973" s="760"/>
      <c r="H12973" s="760"/>
      <c r="I12973" s="760"/>
      <c r="J12973" s="760"/>
      <c r="K12973" s="760"/>
    </row>
    <row r="12974" spans="1:11">
      <c r="A12974" s="760"/>
      <c r="B12974" s="760"/>
      <c r="C12974" s="760"/>
      <c r="D12974" s="760"/>
      <c r="E12974" s="760"/>
      <c r="F12974" s="760"/>
      <c r="G12974" s="760"/>
      <c r="H12974" s="760"/>
      <c r="I12974" s="760"/>
      <c r="J12974" s="760"/>
      <c r="K12974" s="760"/>
    </row>
    <row r="12975" spans="1:11">
      <c r="A12975" s="760"/>
      <c r="B12975" s="760"/>
      <c r="C12975" s="760"/>
      <c r="D12975" s="760"/>
      <c r="E12975" s="760"/>
      <c r="F12975" s="760"/>
      <c r="G12975" s="760"/>
      <c r="H12975" s="760"/>
      <c r="I12975" s="760"/>
      <c r="J12975" s="760"/>
      <c r="K12975" s="760"/>
    </row>
    <row r="12976" spans="1:11">
      <c r="A12976" s="760"/>
      <c r="B12976" s="760"/>
      <c r="C12976" s="760"/>
      <c r="D12976" s="760"/>
      <c r="E12976" s="760"/>
      <c r="F12976" s="760"/>
      <c r="G12976" s="760"/>
      <c r="H12976" s="760"/>
      <c r="I12976" s="760"/>
      <c r="J12976" s="760"/>
      <c r="K12976" s="760"/>
    </row>
    <row r="12977" spans="1:11">
      <c r="A12977" s="760"/>
      <c r="B12977" s="760"/>
      <c r="C12977" s="760"/>
      <c r="D12977" s="760"/>
      <c r="E12977" s="760"/>
      <c r="F12977" s="760"/>
      <c r="G12977" s="760"/>
      <c r="H12977" s="760"/>
      <c r="I12977" s="760"/>
      <c r="J12977" s="760"/>
      <c r="K12977" s="760"/>
    </row>
    <row r="12978" spans="1:11">
      <c r="A12978" s="760"/>
      <c r="B12978" s="760"/>
      <c r="C12978" s="760"/>
      <c r="D12978" s="760"/>
      <c r="E12978" s="760"/>
      <c r="F12978" s="760"/>
      <c r="G12978" s="760"/>
      <c r="H12978" s="760"/>
      <c r="I12978" s="760"/>
      <c r="J12978" s="760"/>
      <c r="K12978" s="760"/>
    </row>
    <row r="12979" spans="1:11">
      <c r="A12979" s="760"/>
      <c r="B12979" s="760"/>
      <c r="C12979" s="760"/>
      <c r="D12979" s="760"/>
      <c r="E12979" s="760"/>
      <c r="F12979" s="760"/>
      <c r="G12979" s="760"/>
      <c r="H12979" s="760"/>
      <c r="I12979" s="760"/>
      <c r="J12979" s="760"/>
      <c r="K12979" s="760"/>
    </row>
    <row r="12980" spans="1:11">
      <c r="A12980" s="760"/>
      <c r="B12980" s="760"/>
      <c r="C12980" s="760"/>
      <c r="D12980" s="760"/>
      <c r="E12980" s="760"/>
      <c r="F12980" s="760"/>
      <c r="G12980" s="760"/>
      <c r="H12980" s="760"/>
      <c r="I12980" s="760"/>
      <c r="J12980" s="760"/>
      <c r="K12980" s="760"/>
    </row>
    <row r="12981" spans="1:11">
      <c r="A12981" s="760"/>
      <c r="B12981" s="760"/>
      <c r="C12981" s="760"/>
      <c r="D12981" s="760"/>
      <c r="E12981" s="760"/>
      <c r="F12981" s="760"/>
      <c r="G12981" s="760"/>
      <c r="H12981" s="760"/>
      <c r="I12981" s="760"/>
      <c r="J12981" s="760"/>
      <c r="K12981" s="760"/>
    </row>
    <row r="12982" spans="1:11">
      <c r="A12982" s="760"/>
      <c r="B12982" s="760"/>
      <c r="C12982" s="760"/>
      <c r="D12982" s="760"/>
      <c r="E12982" s="760"/>
      <c r="F12982" s="760"/>
      <c r="G12982" s="760"/>
      <c r="H12982" s="760"/>
      <c r="I12982" s="760"/>
      <c r="J12982" s="760"/>
      <c r="K12982" s="760"/>
    </row>
    <row r="12983" spans="1:11">
      <c r="A12983" s="760"/>
      <c r="B12983" s="760"/>
      <c r="C12983" s="760"/>
      <c r="D12983" s="760"/>
      <c r="E12983" s="760"/>
      <c r="F12983" s="760"/>
      <c r="G12983" s="760"/>
      <c r="H12983" s="760"/>
      <c r="I12983" s="760"/>
      <c r="J12983" s="760"/>
      <c r="K12983" s="760"/>
    </row>
    <row r="12984" spans="1:11">
      <c r="A12984" s="760"/>
      <c r="B12984" s="760"/>
      <c r="C12984" s="760"/>
      <c r="D12984" s="760"/>
      <c r="E12984" s="760"/>
      <c r="F12984" s="760"/>
      <c r="G12984" s="760"/>
      <c r="H12984" s="760"/>
      <c r="I12984" s="760"/>
      <c r="J12984" s="760"/>
      <c r="K12984" s="760"/>
    </row>
    <row r="12985" spans="1:11">
      <c r="A12985" s="760"/>
      <c r="B12985" s="760"/>
      <c r="C12985" s="760"/>
      <c r="D12985" s="760"/>
      <c r="E12985" s="760"/>
      <c r="F12985" s="760"/>
      <c r="G12985" s="760"/>
      <c r="H12985" s="760"/>
      <c r="I12985" s="760"/>
      <c r="J12985" s="760"/>
      <c r="K12985" s="760"/>
    </row>
    <row r="12986" spans="1:11">
      <c r="A12986" s="760"/>
      <c r="B12986" s="760"/>
      <c r="C12986" s="760"/>
      <c r="D12986" s="760"/>
      <c r="E12986" s="760"/>
      <c r="F12986" s="760"/>
      <c r="G12986" s="760"/>
      <c r="H12986" s="760"/>
      <c r="I12986" s="760"/>
      <c r="J12986" s="760"/>
      <c r="K12986" s="760"/>
    </row>
    <row r="12987" spans="1:11">
      <c r="A12987" s="760"/>
      <c r="B12987" s="760"/>
      <c r="C12987" s="760"/>
      <c r="D12987" s="760"/>
      <c r="E12987" s="760"/>
      <c r="F12987" s="760"/>
      <c r="G12987" s="760"/>
      <c r="H12987" s="760"/>
      <c r="I12987" s="760"/>
      <c r="J12987" s="760"/>
      <c r="K12987" s="760"/>
    </row>
    <row r="12988" spans="1:11">
      <c r="A12988" s="760"/>
      <c r="B12988" s="760"/>
      <c r="C12988" s="760"/>
      <c r="D12988" s="760"/>
      <c r="E12988" s="760"/>
      <c r="F12988" s="760"/>
      <c r="G12988" s="760"/>
      <c r="H12988" s="760"/>
      <c r="I12988" s="760"/>
      <c r="J12988" s="760"/>
      <c r="K12988" s="760"/>
    </row>
    <row r="12989" spans="1:11">
      <c r="A12989" s="760"/>
      <c r="B12989" s="760"/>
      <c r="C12989" s="760"/>
      <c r="D12989" s="760"/>
      <c r="E12989" s="760"/>
      <c r="F12989" s="760"/>
      <c r="G12989" s="760"/>
      <c r="H12989" s="760"/>
      <c r="I12989" s="760"/>
      <c r="J12989" s="760"/>
      <c r="K12989" s="760"/>
    </row>
    <row r="12990" spans="1:11">
      <c r="A12990" s="760"/>
      <c r="B12990" s="760"/>
      <c r="C12990" s="760"/>
      <c r="D12990" s="760"/>
      <c r="E12990" s="760"/>
      <c r="F12990" s="760"/>
      <c r="G12990" s="760"/>
      <c r="H12990" s="760"/>
      <c r="I12990" s="760"/>
      <c r="J12990" s="760"/>
      <c r="K12990" s="760"/>
    </row>
    <row r="12991" spans="1:11">
      <c r="A12991" s="760"/>
      <c r="B12991" s="760"/>
      <c r="C12991" s="760"/>
      <c r="D12991" s="760"/>
      <c r="E12991" s="760"/>
      <c r="F12991" s="760"/>
      <c r="G12991" s="760"/>
      <c r="H12991" s="760"/>
      <c r="I12991" s="760"/>
      <c r="J12991" s="760"/>
      <c r="K12991" s="760"/>
    </row>
    <row r="12992" spans="1:11">
      <c r="A12992" s="760"/>
      <c r="B12992" s="760"/>
      <c r="C12992" s="760"/>
      <c r="D12992" s="760"/>
      <c r="E12992" s="760"/>
      <c r="F12992" s="760"/>
      <c r="G12992" s="760"/>
      <c r="H12992" s="760"/>
      <c r="I12992" s="760"/>
      <c r="J12992" s="760"/>
      <c r="K12992" s="760"/>
    </row>
    <row r="12993" spans="1:11">
      <c r="A12993" s="760"/>
      <c r="B12993" s="760"/>
      <c r="C12993" s="760"/>
      <c r="D12993" s="760"/>
      <c r="E12993" s="760"/>
      <c r="F12993" s="760"/>
      <c r="G12993" s="760"/>
      <c r="H12993" s="760"/>
      <c r="I12993" s="760"/>
      <c r="J12993" s="760"/>
      <c r="K12993" s="760"/>
    </row>
    <row r="12994" spans="1:11">
      <c r="A12994" s="760"/>
      <c r="B12994" s="760"/>
      <c r="C12994" s="760"/>
      <c r="D12994" s="760"/>
      <c r="E12994" s="760"/>
      <c r="F12994" s="760"/>
      <c r="G12994" s="760"/>
      <c r="H12994" s="760"/>
      <c r="I12994" s="760"/>
      <c r="J12994" s="760"/>
      <c r="K12994" s="760"/>
    </row>
    <row r="12995" spans="1:11">
      <c r="A12995" s="760"/>
      <c r="B12995" s="760"/>
      <c r="C12995" s="760"/>
      <c r="D12995" s="760"/>
      <c r="E12995" s="760"/>
      <c r="F12995" s="760"/>
      <c r="G12995" s="760"/>
      <c r="H12995" s="760"/>
      <c r="I12995" s="760"/>
      <c r="J12995" s="760"/>
      <c r="K12995" s="760"/>
    </row>
    <row r="12996" spans="1:11">
      <c r="A12996" s="760"/>
      <c r="B12996" s="760"/>
      <c r="C12996" s="760"/>
      <c r="D12996" s="760"/>
      <c r="E12996" s="760"/>
      <c r="F12996" s="760"/>
      <c r="G12996" s="760"/>
      <c r="H12996" s="760"/>
      <c r="I12996" s="760"/>
      <c r="J12996" s="760"/>
      <c r="K12996" s="760"/>
    </row>
    <row r="12997" spans="1:11">
      <c r="A12997" s="760"/>
      <c r="B12997" s="760"/>
      <c r="C12997" s="760"/>
      <c r="D12997" s="760"/>
      <c r="E12997" s="760"/>
      <c r="F12997" s="760"/>
      <c r="G12997" s="760"/>
      <c r="H12997" s="760"/>
      <c r="I12997" s="760"/>
      <c r="J12997" s="760"/>
      <c r="K12997" s="760"/>
    </row>
    <row r="12998" spans="1:11">
      <c r="A12998" s="760"/>
      <c r="B12998" s="760"/>
      <c r="C12998" s="760"/>
      <c r="D12998" s="760"/>
      <c r="E12998" s="760"/>
      <c r="F12998" s="760"/>
      <c r="G12998" s="760"/>
      <c r="H12998" s="760"/>
      <c r="I12998" s="760"/>
      <c r="J12998" s="760"/>
      <c r="K12998" s="760"/>
    </row>
    <row r="12999" spans="1:11">
      <c r="A12999" s="760"/>
      <c r="B12999" s="760"/>
      <c r="C12999" s="760"/>
      <c r="D12999" s="760"/>
      <c r="E12999" s="760"/>
      <c r="F12999" s="760"/>
      <c r="G12999" s="760"/>
      <c r="H12999" s="760"/>
      <c r="I12999" s="760"/>
      <c r="J12999" s="760"/>
      <c r="K12999" s="760"/>
    </row>
    <row r="13000" spans="1:11">
      <c r="A13000" s="760"/>
      <c r="B13000" s="760"/>
      <c r="C13000" s="760"/>
      <c r="D13000" s="760"/>
      <c r="E13000" s="760"/>
      <c r="F13000" s="760"/>
      <c r="G13000" s="760"/>
      <c r="H13000" s="760"/>
      <c r="I13000" s="760"/>
      <c r="J13000" s="760"/>
      <c r="K13000" s="760"/>
    </row>
    <row r="13001" spans="1:11">
      <c r="A13001" s="760"/>
      <c r="B13001" s="760"/>
      <c r="C13001" s="760"/>
      <c r="D13001" s="760"/>
      <c r="E13001" s="760"/>
      <c r="F13001" s="760"/>
      <c r="G13001" s="760"/>
      <c r="H13001" s="760"/>
      <c r="I13001" s="760"/>
      <c r="J13001" s="760"/>
      <c r="K13001" s="760"/>
    </row>
    <row r="13002" spans="1:11">
      <c r="A13002" s="760"/>
      <c r="B13002" s="760"/>
      <c r="C13002" s="760"/>
      <c r="D13002" s="760"/>
      <c r="E13002" s="760"/>
      <c r="F13002" s="760"/>
      <c r="G13002" s="760"/>
      <c r="H13002" s="760"/>
      <c r="I13002" s="760"/>
      <c r="J13002" s="760"/>
      <c r="K13002" s="760"/>
    </row>
    <row r="13003" spans="1:11">
      <c r="A13003" s="760"/>
      <c r="B13003" s="760"/>
      <c r="C13003" s="760"/>
      <c r="D13003" s="760"/>
      <c r="E13003" s="760"/>
      <c r="F13003" s="760"/>
      <c r="G13003" s="760"/>
      <c r="H13003" s="760"/>
      <c r="I13003" s="760"/>
      <c r="J13003" s="760"/>
      <c r="K13003" s="760"/>
    </row>
    <row r="13004" spans="1:11">
      <c r="A13004" s="760"/>
      <c r="B13004" s="760"/>
      <c r="C13004" s="760"/>
      <c r="D13004" s="760"/>
      <c r="E13004" s="760"/>
      <c r="F13004" s="760"/>
      <c r="G13004" s="760"/>
      <c r="H13004" s="760"/>
      <c r="I13004" s="760"/>
      <c r="J13004" s="760"/>
      <c r="K13004" s="760"/>
    </row>
    <row r="13005" spans="1:11">
      <c r="A13005" s="760"/>
      <c r="B13005" s="760"/>
      <c r="C13005" s="760"/>
      <c r="D13005" s="760"/>
      <c r="E13005" s="760"/>
      <c r="F13005" s="760"/>
      <c r="G13005" s="760"/>
      <c r="H13005" s="760"/>
      <c r="I13005" s="760"/>
      <c r="J13005" s="760"/>
      <c r="K13005" s="760"/>
    </row>
    <row r="13006" spans="1:11">
      <c r="A13006" s="760"/>
      <c r="B13006" s="760"/>
      <c r="C13006" s="760"/>
      <c r="D13006" s="760"/>
      <c r="E13006" s="760"/>
      <c r="F13006" s="760"/>
      <c r="G13006" s="760"/>
      <c r="H13006" s="760"/>
      <c r="I13006" s="760"/>
      <c r="J13006" s="760"/>
      <c r="K13006" s="760"/>
    </row>
    <row r="13007" spans="1:11">
      <c r="A13007" s="760"/>
      <c r="B13007" s="760"/>
      <c r="C13007" s="760"/>
      <c r="D13007" s="760"/>
      <c r="E13007" s="760"/>
      <c r="F13007" s="760"/>
      <c r="G13007" s="760"/>
      <c r="H13007" s="760"/>
      <c r="I13007" s="760"/>
      <c r="J13007" s="760"/>
      <c r="K13007" s="760"/>
    </row>
    <row r="13008" spans="1:11">
      <c r="A13008" s="760"/>
      <c r="B13008" s="760"/>
      <c r="C13008" s="760"/>
      <c r="D13008" s="760"/>
      <c r="E13008" s="760"/>
      <c r="F13008" s="760"/>
      <c r="G13008" s="760"/>
      <c r="H13008" s="760"/>
      <c r="I13008" s="760"/>
      <c r="J13008" s="760"/>
      <c r="K13008" s="760"/>
    </row>
    <row r="13009" spans="1:11">
      <c r="A13009" s="760"/>
      <c r="B13009" s="760"/>
      <c r="C13009" s="760"/>
      <c r="D13009" s="760"/>
      <c r="E13009" s="760"/>
      <c r="F13009" s="760"/>
      <c r="G13009" s="760"/>
      <c r="H13009" s="760"/>
      <c r="I13009" s="760"/>
      <c r="J13009" s="760"/>
      <c r="K13009" s="760"/>
    </row>
    <row r="13010" spans="1:11">
      <c r="A13010" s="760"/>
      <c r="B13010" s="760"/>
      <c r="C13010" s="760"/>
      <c r="D13010" s="760"/>
      <c r="E13010" s="760"/>
      <c r="F13010" s="760"/>
      <c r="G13010" s="760"/>
      <c r="H13010" s="760"/>
      <c r="I13010" s="760"/>
      <c r="J13010" s="760"/>
      <c r="K13010" s="760"/>
    </row>
    <row r="13011" spans="1:11">
      <c r="A13011" s="760"/>
      <c r="B13011" s="760"/>
      <c r="C13011" s="760"/>
      <c r="D13011" s="760"/>
      <c r="E13011" s="760"/>
      <c r="F13011" s="760"/>
      <c r="G13011" s="760"/>
      <c r="H13011" s="760"/>
      <c r="I13011" s="760"/>
      <c r="J13011" s="760"/>
      <c r="K13011" s="760"/>
    </row>
    <row r="13012" spans="1:11">
      <c r="A13012" s="760"/>
      <c r="B13012" s="760"/>
      <c r="C13012" s="760"/>
      <c r="D13012" s="760"/>
      <c r="E13012" s="760"/>
      <c r="F13012" s="760"/>
      <c r="G13012" s="760"/>
      <c r="H13012" s="760"/>
      <c r="I13012" s="760"/>
      <c r="J13012" s="760"/>
      <c r="K13012" s="760"/>
    </row>
    <row r="13013" spans="1:11">
      <c r="A13013" s="760"/>
      <c r="B13013" s="760"/>
      <c r="C13013" s="760"/>
      <c r="D13013" s="760"/>
      <c r="E13013" s="760"/>
      <c r="F13013" s="760"/>
      <c r="G13013" s="760"/>
      <c r="H13013" s="760"/>
      <c r="I13013" s="760"/>
      <c r="J13013" s="760"/>
      <c r="K13013" s="760"/>
    </row>
    <row r="13014" spans="1:11">
      <c r="A13014" s="760"/>
      <c r="B13014" s="760"/>
      <c r="C13014" s="760"/>
      <c r="D13014" s="760"/>
      <c r="E13014" s="760"/>
      <c r="F13014" s="760"/>
      <c r="G13014" s="760"/>
      <c r="H13014" s="760"/>
      <c r="I13014" s="760"/>
      <c r="J13014" s="760"/>
      <c r="K13014" s="760"/>
    </row>
    <row r="13015" spans="1:11">
      <c r="A13015" s="760"/>
      <c r="B13015" s="760"/>
      <c r="C13015" s="760"/>
      <c r="D13015" s="760"/>
      <c r="E13015" s="760"/>
      <c r="F13015" s="760"/>
      <c r="G13015" s="760"/>
      <c r="H13015" s="760"/>
      <c r="I13015" s="760"/>
      <c r="J13015" s="760"/>
      <c r="K13015" s="760"/>
    </row>
    <row r="13016" spans="1:11">
      <c r="A13016" s="760"/>
      <c r="B13016" s="760"/>
      <c r="C13016" s="760"/>
      <c r="D13016" s="760"/>
      <c r="E13016" s="760"/>
      <c r="F13016" s="760"/>
      <c r="G13016" s="760"/>
      <c r="H13016" s="760"/>
      <c r="I13016" s="760"/>
      <c r="J13016" s="760"/>
      <c r="K13016" s="760"/>
    </row>
    <row r="13017" spans="1:11">
      <c r="A13017" s="760"/>
      <c r="B13017" s="760"/>
      <c r="C13017" s="760"/>
      <c r="D13017" s="760"/>
      <c r="E13017" s="760"/>
      <c r="F13017" s="760"/>
      <c r="G13017" s="760"/>
      <c r="H13017" s="760"/>
      <c r="I13017" s="760"/>
      <c r="J13017" s="760"/>
      <c r="K13017" s="760"/>
    </row>
    <row r="13018" spans="1:11">
      <c r="A13018" s="760"/>
      <c r="B13018" s="760"/>
      <c r="C13018" s="760"/>
      <c r="D13018" s="760"/>
      <c r="E13018" s="760"/>
      <c r="F13018" s="760"/>
      <c r="G13018" s="760"/>
      <c r="H13018" s="760"/>
      <c r="I13018" s="760"/>
      <c r="J13018" s="760"/>
      <c r="K13018" s="760"/>
    </row>
    <row r="13019" spans="1:11">
      <c r="A13019" s="760"/>
      <c r="B13019" s="760"/>
      <c r="C13019" s="760"/>
      <c r="D13019" s="760"/>
      <c r="E13019" s="760"/>
      <c r="F13019" s="760"/>
      <c r="G13019" s="760"/>
      <c r="H13019" s="760"/>
      <c r="I13019" s="760"/>
      <c r="J13019" s="760"/>
      <c r="K13019" s="760"/>
    </row>
    <row r="13020" spans="1:11">
      <c r="A13020" s="760"/>
      <c r="B13020" s="760"/>
      <c r="C13020" s="760"/>
      <c r="D13020" s="760"/>
      <c r="E13020" s="760"/>
      <c r="F13020" s="760"/>
      <c r="G13020" s="760"/>
      <c r="H13020" s="760"/>
      <c r="I13020" s="760"/>
      <c r="J13020" s="760"/>
      <c r="K13020" s="760"/>
    </row>
    <row r="13021" spans="1:11">
      <c r="A13021" s="760"/>
      <c r="B13021" s="760"/>
      <c r="C13021" s="760"/>
      <c r="D13021" s="760"/>
      <c r="E13021" s="760"/>
      <c r="F13021" s="760"/>
      <c r="G13021" s="760"/>
      <c r="H13021" s="760"/>
      <c r="I13021" s="760"/>
      <c r="J13021" s="760"/>
      <c r="K13021" s="760"/>
    </row>
    <row r="13022" spans="1:11">
      <c r="A13022" s="760"/>
      <c r="B13022" s="760"/>
      <c r="C13022" s="760"/>
      <c r="D13022" s="760"/>
      <c r="E13022" s="760"/>
      <c r="F13022" s="760"/>
      <c r="G13022" s="760"/>
      <c r="H13022" s="760"/>
      <c r="I13022" s="760"/>
      <c r="J13022" s="760"/>
      <c r="K13022" s="760"/>
    </row>
    <row r="13023" spans="1:11">
      <c r="A13023" s="760"/>
      <c r="B13023" s="760"/>
      <c r="C13023" s="760"/>
      <c r="D13023" s="760"/>
      <c r="E13023" s="760"/>
      <c r="F13023" s="760"/>
      <c r="G13023" s="760"/>
      <c r="H13023" s="760"/>
      <c r="I13023" s="760"/>
      <c r="J13023" s="760"/>
      <c r="K13023" s="760"/>
    </row>
    <row r="13024" spans="1:11">
      <c r="A13024" s="760"/>
      <c r="B13024" s="760"/>
      <c r="C13024" s="760"/>
      <c r="D13024" s="760"/>
      <c r="E13024" s="760"/>
      <c r="F13024" s="760"/>
      <c r="G13024" s="760"/>
      <c r="H13024" s="760"/>
      <c r="I13024" s="760"/>
      <c r="J13024" s="760"/>
      <c r="K13024" s="760"/>
    </row>
    <row r="13025" spans="1:11">
      <c r="A13025" s="760"/>
      <c r="B13025" s="760"/>
      <c r="C13025" s="760"/>
      <c r="D13025" s="760"/>
      <c r="E13025" s="760"/>
      <c r="F13025" s="760"/>
      <c r="G13025" s="760"/>
      <c r="H13025" s="760"/>
      <c r="I13025" s="760"/>
      <c r="J13025" s="760"/>
      <c r="K13025" s="760"/>
    </row>
    <row r="13026" spans="1:11">
      <c r="A13026" s="760"/>
      <c r="B13026" s="760"/>
      <c r="C13026" s="760"/>
      <c r="D13026" s="760"/>
      <c r="E13026" s="760"/>
      <c r="F13026" s="760"/>
      <c r="G13026" s="760"/>
      <c r="H13026" s="760"/>
      <c r="I13026" s="760"/>
      <c r="J13026" s="760"/>
      <c r="K13026" s="760"/>
    </row>
    <row r="13027" spans="1:11">
      <c r="A13027" s="760"/>
      <c r="B13027" s="760"/>
      <c r="C13027" s="760"/>
      <c r="D13027" s="760"/>
      <c r="E13027" s="760"/>
      <c r="F13027" s="760"/>
      <c r="G13027" s="760"/>
      <c r="H13027" s="760"/>
      <c r="I13027" s="760"/>
      <c r="J13027" s="760"/>
      <c r="K13027" s="760"/>
    </row>
    <row r="13028" spans="1:11">
      <c r="A13028" s="760"/>
      <c r="B13028" s="760"/>
      <c r="C13028" s="760"/>
      <c r="D13028" s="760"/>
      <c r="E13028" s="760"/>
      <c r="F13028" s="760"/>
      <c r="G13028" s="760"/>
      <c r="H13028" s="760"/>
      <c r="I13028" s="760"/>
      <c r="J13028" s="760"/>
      <c r="K13028" s="760"/>
    </row>
    <row r="13029" spans="1:11">
      <c r="A13029" s="760"/>
      <c r="B13029" s="760"/>
      <c r="C13029" s="760"/>
      <c r="D13029" s="760"/>
      <c r="E13029" s="760"/>
      <c r="F13029" s="760"/>
      <c r="G13029" s="760"/>
      <c r="H13029" s="760"/>
      <c r="I13029" s="760"/>
      <c r="J13029" s="760"/>
      <c r="K13029" s="760"/>
    </row>
    <row r="13030" spans="1:11">
      <c r="A13030" s="760"/>
      <c r="B13030" s="760"/>
      <c r="C13030" s="760"/>
      <c r="D13030" s="760"/>
      <c r="E13030" s="760"/>
      <c r="F13030" s="760"/>
      <c r="G13030" s="760"/>
      <c r="H13030" s="760"/>
      <c r="I13030" s="760"/>
      <c r="J13030" s="760"/>
      <c r="K13030" s="760"/>
    </row>
    <row r="13031" spans="1:11">
      <c r="A13031" s="760"/>
      <c r="B13031" s="760"/>
      <c r="C13031" s="760"/>
      <c r="D13031" s="760"/>
      <c r="E13031" s="760"/>
      <c r="F13031" s="760"/>
      <c r="G13031" s="760"/>
      <c r="H13031" s="760"/>
      <c r="I13031" s="760"/>
      <c r="J13031" s="760"/>
      <c r="K13031" s="760"/>
    </row>
    <row r="13032" spans="1:11">
      <c r="A13032" s="760"/>
      <c r="B13032" s="760"/>
      <c r="C13032" s="760"/>
      <c r="D13032" s="760"/>
      <c r="E13032" s="760"/>
      <c r="F13032" s="760"/>
      <c r="G13032" s="760"/>
      <c r="H13032" s="760"/>
      <c r="I13032" s="760"/>
      <c r="J13032" s="760"/>
      <c r="K13032" s="760"/>
    </row>
    <row r="13033" spans="1:11">
      <c r="A13033" s="760"/>
      <c r="B13033" s="760"/>
      <c r="C13033" s="760"/>
      <c r="D13033" s="760"/>
      <c r="E13033" s="760"/>
      <c r="F13033" s="760"/>
      <c r="G13033" s="760"/>
      <c r="H13033" s="760"/>
      <c r="I13033" s="760"/>
      <c r="J13033" s="760"/>
      <c r="K13033" s="760"/>
    </row>
    <row r="13034" spans="1:11">
      <c r="A13034" s="760"/>
      <c r="B13034" s="760"/>
      <c r="C13034" s="760"/>
      <c r="D13034" s="760"/>
      <c r="E13034" s="760"/>
      <c r="F13034" s="760"/>
      <c r="G13034" s="760"/>
      <c r="H13034" s="760"/>
      <c r="I13034" s="760"/>
      <c r="J13034" s="760"/>
      <c r="K13034" s="760"/>
    </row>
    <row r="13035" spans="1:11">
      <c r="A13035" s="760"/>
      <c r="B13035" s="760"/>
      <c r="C13035" s="760"/>
      <c r="D13035" s="760"/>
      <c r="E13035" s="760"/>
      <c r="F13035" s="760"/>
      <c r="G13035" s="760"/>
      <c r="H13035" s="760"/>
      <c r="I13035" s="760"/>
      <c r="J13035" s="760"/>
      <c r="K13035" s="760"/>
    </row>
    <row r="13036" spans="1:11">
      <c r="A13036" s="760"/>
      <c r="B13036" s="760"/>
      <c r="C13036" s="760"/>
      <c r="D13036" s="760"/>
      <c r="E13036" s="760"/>
      <c r="F13036" s="760"/>
      <c r="G13036" s="760"/>
      <c r="H13036" s="760"/>
      <c r="I13036" s="760"/>
      <c r="J13036" s="760"/>
      <c r="K13036" s="760"/>
    </row>
    <row r="13037" spans="1:11">
      <c r="A13037" s="760"/>
      <c r="B13037" s="760"/>
      <c r="C13037" s="760"/>
      <c r="D13037" s="760"/>
      <c r="E13037" s="760"/>
      <c r="F13037" s="760"/>
      <c r="G13037" s="760"/>
      <c r="H13037" s="760"/>
      <c r="I13037" s="760"/>
      <c r="J13037" s="760"/>
      <c r="K13037" s="760"/>
    </row>
    <row r="13038" spans="1:11">
      <c r="A13038" s="760"/>
      <c r="B13038" s="760"/>
      <c r="C13038" s="760"/>
      <c r="D13038" s="760"/>
      <c r="E13038" s="760"/>
      <c r="F13038" s="760"/>
      <c r="G13038" s="760"/>
      <c r="H13038" s="760"/>
      <c r="I13038" s="760"/>
      <c r="J13038" s="760"/>
      <c r="K13038" s="760"/>
    </row>
    <row r="13039" spans="1:11">
      <c r="A13039" s="760"/>
      <c r="B13039" s="760"/>
      <c r="C13039" s="760"/>
      <c r="D13039" s="760"/>
      <c r="E13039" s="760"/>
      <c r="F13039" s="760"/>
      <c r="G13039" s="760"/>
      <c r="H13039" s="760"/>
      <c r="I13039" s="760"/>
      <c r="J13039" s="760"/>
      <c r="K13039" s="760"/>
    </row>
    <row r="13040" spans="1:11">
      <c r="A13040" s="760"/>
      <c r="B13040" s="760"/>
      <c r="C13040" s="760"/>
      <c r="D13040" s="760"/>
      <c r="E13040" s="760"/>
      <c r="F13040" s="760"/>
      <c r="G13040" s="760"/>
      <c r="H13040" s="760"/>
      <c r="I13040" s="760"/>
      <c r="J13040" s="760"/>
      <c r="K13040" s="760"/>
    </row>
    <row r="13041" spans="1:11">
      <c r="A13041" s="760"/>
      <c r="B13041" s="760"/>
      <c r="C13041" s="760"/>
      <c r="D13041" s="760"/>
      <c r="E13041" s="760"/>
      <c r="F13041" s="760"/>
      <c r="G13041" s="760"/>
      <c r="H13041" s="760"/>
      <c r="I13041" s="760"/>
      <c r="J13041" s="760"/>
      <c r="K13041" s="760"/>
    </row>
    <row r="13042" spans="1:11">
      <c r="A13042" s="760"/>
      <c r="B13042" s="760"/>
      <c r="C13042" s="760"/>
      <c r="D13042" s="760"/>
      <c r="E13042" s="760"/>
      <c r="F13042" s="760"/>
      <c r="G13042" s="760"/>
      <c r="H13042" s="760"/>
      <c r="I13042" s="760"/>
      <c r="J13042" s="760"/>
      <c r="K13042" s="760"/>
    </row>
    <row r="13043" spans="1:11">
      <c r="A13043" s="760"/>
      <c r="B13043" s="760"/>
      <c r="C13043" s="760"/>
      <c r="D13043" s="760"/>
      <c r="E13043" s="760"/>
      <c r="F13043" s="760"/>
      <c r="G13043" s="760"/>
      <c r="H13043" s="760"/>
      <c r="I13043" s="760"/>
      <c r="J13043" s="760"/>
      <c r="K13043" s="760"/>
    </row>
    <row r="13044" spans="1:11">
      <c r="A13044" s="760"/>
      <c r="B13044" s="760"/>
      <c r="C13044" s="760"/>
      <c r="D13044" s="760"/>
      <c r="E13044" s="760"/>
      <c r="F13044" s="760"/>
      <c r="G13044" s="760"/>
      <c r="H13044" s="760"/>
      <c r="I13044" s="760"/>
      <c r="J13044" s="760"/>
      <c r="K13044" s="760"/>
    </row>
    <row r="13045" spans="1:11">
      <c r="A13045" s="760"/>
      <c r="B13045" s="760"/>
      <c r="C13045" s="760"/>
      <c r="D13045" s="760"/>
      <c r="E13045" s="760"/>
      <c r="F13045" s="760"/>
      <c r="G13045" s="760"/>
      <c r="H13045" s="760"/>
      <c r="I13045" s="760"/>
      <c r="J13045" s="760"/>
      <c r="K13045" s="760"/>
    </row>
    <row r="13046" spans="1:11">
      <c r="A13046" s="760"/>
      <c r="B13046" s="760"/>
      <c r="C13046" s="760"/>
      <c r="D13046" s="760"/>
      <c r="E13046" s="760"/>
      <c r="F13046" s="760"/>
      <c r="G13046" s="760"/>
      <c r="H13046" s="760"/>
      <c r="I13046" s="760"/>
      <c r="J13046" s="760"/>
      <c r="K13046" s="760"/>
    </row>
    <row r="13047" spans="1:11">
      <c r="A13047" s="760"/>
      <c r="B13047" s="760"/>
      <c r="C13047" s="760"/>
      <c r="D13047" s="760"/>
      <c r="E13047" s="760"/>
      <c r="F13047" s="760"/>
      <c r="G13047" s="760"/>
      <c r="H13047" s="760"/>
      <c r="I13047" s="760"/>
      <c r="J13047" s="760"/>
      <c r="K13047" s="760"/>
    </row>
    <row r="13048" spans="1:11">
      <c r="A13048" s="760"/>
      <c r="B13048" s="760"/>
      <c r="C13048" s="760"/>
      <c r="D13048" s="760"/>
      <c r="E13048" s="760"/>
      <c r="F13048" s="760"/>
      <c r="G13048" s="760"/>
      <c r="H13048" s="760"/>
      <c r="I13048" s="760"/>
      <c r="J13048" s="760"/>
      <c r="K13048" s="760"/>
    </row>
    <row r="13049" spans="1:11">
      <c r="A13049" s="760"/>
      <c r="B13049" s="760"/>
      <c r="C13049" s="760"/>
      <c r="D13049" s="760"/>
      <c r="E13049" s="760"/>
      <c r="F13049" s="760"/>
      <c r="G13049" s="760"/>
      <c r="H13049" s="760"/>
      <c r="I13049" s="760"/>
      <c r="J13049" s="760"/>
      <c r="K13049" s="760"/>
    </row>
    <row r="13050" spans="1:11">
      <c r="A13050" s="760"/>
      <c r="B13050" s="760"/>
      <c r="C13050" s="760"/>
      <c r="D13050" s="760"/>
      <c r="E13050" s="760"/>
      <c r="F13050" s="760"/>
      <c r="G13050" s="760"/>
      <c r="H13050" s="760"/>
      <c r="I13050" s="760"/>
      <c r="J13050" s="760"/>
      <c r="K13050" s="760"/>
    </row>
    <row r="13051" spans="1:11">
      <c r="A13051" s="760"/>
      <c r="B13051" s="760"/>
      <c r="C13051" s="760"/>
      <c r="D13051" s="760"/>
      <c r="E13051" s="760"/>
      <c r="F13051" s="760"/>
      <c r="G13051" s="760"/>
      <c r="H13051" s="760"/>
      <c r="I13051" s="760"/>
      <c r="J13051" s="760"/>
      <c r="K13051" s="760"/>
    </row>
    <row r="13052" spans="1:11">
      <c r="A13052" s="760"/>
      <c r="B13052" s="760"/>
      <c r="C13052" s="760"/>
      <c r="D13052" s="760"/>
      <c r="E13052" s="760"/>
      <c r="F13052" s="760"/>
      <c r="G13052" s="760"/>
      <c r="H13052" s="760"/>
      <c r="I13052" s="760"/>
      <c r="J13052" s="760"/>
      <c r="K13052" s="760"/>
    </row>
    <row r="13053" spans="1:11">
      <c r="A13053" s="760"/>
      <c r="B13053" s="760"/>
      <c r="C13053" s="760"/>
      <c r="D13053" s="760"/>
      <c r="E13053" s="760"/>
      <c r="F13053" s="760"/>
      <c r="G13053" s="760"/>
      <c r="H13053" s="760"/>
      <c r="I13053" s="760"/>
      <c r="J13053" s="760"/>
      <c r="K13053" s="760"/>
    </row>
    <row r="13054" spans="1:11">
      <c r="A13054" s="760"/>
      <c r="B13054" s="760"/>
      <c r="C13054" s="760"/>
      <c r="D13054" s="760"/>
      <c r="E13054" s="760"/>
      <c r="F13054" s="760"/>
      <c r="G13054" s="760"/>
      <c r="H13054" s="760"/>
      <c r="I13054" s="760"/>
      <c r="J13054" s="760"/>
      <c r="K13054" s="760"/>
    </row>
    <row r="13055" spans="1:11">
      <c r="A13055" s="760"/>
      <c r="B13055" s="760"/>
      <c r="C13055" s="760"/>
      <c r="D13055" s="760"/>
      <c r="E13055" s="760"/>
      <c r="F13055" s="760"/>
      <c r="G13055" s="760"/>
      <c r="H13055" s="760"/>
      <c r="I13055" s="760"/>
      <c r="J13055" s="760"/>
      <c r="K13055" s="760"/>
    </row>
    <row r="13056" spans="1:11">
      <c r="A13056" s="760"/>
      <c r="B13056" s="760"/>
      <c r="C13056" s="760"/>
      <c r="D13056" s="760"/>
      <c r="E13056" s="760"/>
      <c r="F13056" s="760"/>
      <c r="G13056" s="760"/>
      <c r="H13056" s="760"/>
      <c r="I13056" s="760"/>
      <c r="J13056" s="760"/>
      <c r="K13056" s="760"/>
    </row>
    <row r="13057" spans="1:11">
      <c r="A13057" s="760"/>
      <c r="B13057" s="760"/>
      <c r="C13057" s="760"/>
      <c r="D13057" s="760"/>
      <c r="E13057" s="760"/>
      <c r="F13057" s="760"/>
      <c r="G13057" s="760"/>
      <c r="H13057" s="760"/>
      <c r="I13057" s="760"/>
      <c r="J13057" s="760"/>
      <c r="K13057" s="760"/>
    </row>
    <row r="13058" spans="1:11">
      <c r="A13058" s="760"/>
      <c r="B13058" s="760"/>
      <c r="C13058" s="760"/>
      <c r="D13058" s="760"/>
      <c r="E13058" s="760"/>
      <c r="F13058" s="760"/>
      <c r="G13058" s="760"/>
      <c r="H13058" s="760"/>
      <c r="I13058" s="760"/>
      <c r="J13058" s="760"/>
      <c r="K13058" s="760"/>
    </row>
    <row r="13059" spans="1:11">
      <c r="A13059" s="760"/>
      <c r="B13059" s="760"/>
      <c r="C13059" s="760"/>
      <c r="D13059" s="760"/>
      <c r="E13059" s="760"/>
      <c r="F13059" s="760"/>
      <c r="G13059" s="760"/>
      <c r="H13059" s="760"/>
      <c r="I13059" s="760"/>
      <c r="J13059" s="760"/>
      <c r="K13059" s="760"/>
    </row>
    <row r="13060" spans="1:11">
      <c r="A13060" s="760"/>
      <c r="B13060" s="760"/>
      <c r="C13060" s="760"/>
      <c r="D13060" s="760"/>
      <c r="E13060" s="760"/>
      <c r="F13060" s="760"/>
      <c r="G13060" s="760"/>
      <c r="H13060" s="760"/>
      <c r="I13060" s="760"/>
      <c r="J13060" s="760"/>
      <c r="K13060" s="760"/>
    </row>
    <row r="13061" spans="1:11">
      <c r="A13061" s="760"/>
      <c r="B13061" s="760"/>
      <c r="C13061" s="760"/>
      <c r="D13061" s="760"/>
      <c r="E13061" s="760"/>
      <c r="F13061" s="760"/>
      <c r="G13061" s="760"/>
      <c r="H13061" s="760"/>
      <c r="I13061" s="760"/>
      <c r="J13061" s="760"/>
      <c r="K13061" s="760"/>
    </row>
    <row r="13062" spans="1:11">
      <c r="A13062" s="760"/>
      <c r="B13062" s="760"/>
      <c r="C13062" s="760"/>
      <c r="D13062" s="760"/>
      <c r="E13062" s="760"/>
      <c r="F13062" s="760"/>
      <c r="G13062" s="760"/>
      <c r="H13062" s="760"/>
      <c r="I13062" s="760"/>
      <c r="J13062" s="760"/>
      <c r="K13062" s="760"/>
    </row>
    <row r="13063" spans="1:11">
      <c r="A13063" s="760"/>
      <c r="B13063" s="760"/>
      <c r="C13063" s="760"/>
      <c r="D13063" s="760"/>
      <c r="E13063" s="760"/>
      <c r="F13063" s="760"/>
      <c r="G13063" s="760"/>
      <c r="H13063" s="760"/>
      <c r="I13063" s="760"/>
      <c r="J13063" s="760"/>
      <c r="K13063" s="760"/>
    </row>
    <row r="13064" spans="1:11">
      <c r="A13064" s="760"/>
      <c r="B13064" s="760"/>
      <c r="C13064" s="760"/>
      <c r="D13064" s="760"/>
      <c r="E13064" s="760"/>
      <c r="F13064" s="760"/>
      <c r="G13064" s="760"/>
      <c r="H13064" s="760"/>
      <c r="I13064" s="760"/>
      <c r="J13064" s="760"/>
      <c r="K13064" s="760"/>
    </row>
    <row r="13065" spans="1:11">
      <c r="A13065" s="760"/>
      <c r="B13065" s="760"/>
      <c r="C13065" s="760"/>
      <c r="D13065" s="760"/>
      <c r="E13065" s="760"/>
      <c r="F13065" s="760"/>
      <c r="G13065" s="760"/>
      <c r="H13065" s="760"/>
      <c r="I13065" s="760"/>
      <c r="J13065" s="760"/>
      <c r="K13065" s="760"/>
    </row>
    <row r="13066" spans="1:11">
      <c r="A13066" s="760"/>
      <c r="B13066" s="760"/>
      <c r="C13066" s="760"/>
      <c r="D13066" s="760"/>
      <c r="E13066" s="760"/>
      <c r="F13066" s="760"/>
      <c r="G13066" s="760"/>
      <c r="H13066" s="760"/>
      <c r="I13066" s="760"/>
      <c r="J13066" s="760"/>
      <c r="K13066" s="760"/>
    </row>
    <row r="13067" spans="1:11">
      <c r="A13067" s="760"/>
      <c r="B13067" s="760"/>
      <c r="C13067" s="760"/>
      <c r="D13067" s="760"/>
      <c r="E13067" s="760"/>
      <c r="F13067" s="760"/>
      <c r="G13067" s="760"/>
      <c r="H13067" s="760"/>
      <c r="I13067" s="760"/>
      <c r="J13067" s="760"/>
      <c r="K13067" s="760"/>
    </row>
    <row r="13068" spans="1:11">
      <c r="A13068" s="760"/>
      <c r="B13068" s="760"/>
      <c r="C13068" s="760"/>
      <c r="D13068" s="760"/>
      <c r="E13068" s="760"/>
      <c r="F13068" s="760"/>
      <c r="G13068" s="760"/>
      <c r="H13068" s="760"/>
      <c r="I13068" s="760"/>
      <c r="J13068" s="760"/>
      <c r="K13068" s="760"/>
    </row>
    <row r="13069" spans="1:11">
      <c r="A13069" s="760"/>
      <c r="B13069" s="760"/>
      <c r="C13069" s="760"/>
      <c r="D13069" s="760"/>
      <c r="E13069" s="760"/>
      <c r="F13069" s="760"/>
      <c r="G13069" s="760"/>
      <c r="H13069" s="760"/>
      <c r="I13069" s="760"/>
      <c r="J13069" s="760"/>
      <c r="K13069" s="760"/>
    </row>
    <row r="13070" spans="1:11">
      <c r="A13070" s="760"/>
      <c r="B13070" s="760"/>
      <c r="C13070" s="760"/>
      <c r="D13070" s="760"/>
      <c r="E13070" s="760"/>
      <c r="F13070" s="760"/>
      <c r="G13070" s="760"/>
      <c r="H13070" s="760"/>
      <c r="I13070" s="760"/>
      <c r="J13070" s="760"/>
      <c r="K13070" s="760"/>
    </row>
    <row r="13071" spans="1:11">
      <c r="A13071" s="760"/>
      <c r="B13071" s="760"/>
      <c r="C13071" s="760"/>
      <c r="D13071" s="760"/>
      <c r="E13071" s="760"/>
      <c r="F13071" s="760"/>
      <c r="G13071" s="760"/>
      <c r="H13071" s="760"/>
      <c r="I13071" s="760"/>
      <c r="J13071" s="760"/>
      <c r="K13071" s="760"/>
    </row>
    <row r="13072" spans="1:11">
      <c r="A13072" s="760"/>
      <c r="B13072" s="760"/>
      <c r="C13072" s="760"/>
      <c r="D13072" s="760"/>
      <c r="E13072" s="760"/>
      <c r="F13072" s="760"/>
      <c r="G13072" s="760"/>
      <c r="H13072" s="760"/>
      <c r="I13072" s="760"/>
      <c r="J13072" s="760"/>
      <c r="K13072" s="760"/>
    </row>
    <row r="13073" spans="1:11">
      <c r="A13073" s="760"/>
      <c r="B13073" s="760"/>
      <c r="C13073" s="760"/>
      <c r="D13073" s="760"/>
      <c r="E13073" s="760"/>
      <c r="F13073" s="760"/>
      <c r="G13073" s="760"/>
      <c r="H13073" s="760"/>
      <c r="I13073" s="760"/>
      <c r="J13073" s="760"/>
      <c r="K13073" s="760"/>
    </row>
    <row r="13074" spans="1:11">
      <c r="A13074" s="760"/>
      <c r="B13074" s="760"/>
      <c r="C13074" s="760"/>
      <c r="D13074" s="760"/>
      <c r="E13074" s="760"/>
      <c r="F13074" s="760"/>
      <c r="G13074" s="760"/>
      <c r="H13074" s="760"/>
      <c r="I13074" s="760"/>
      <c r="J13074" s="760"/>
      <c r="K13074" s="760"/>
    </row>
    <row r="13075" spans="1:11">
      <c r="A13075" s="760"/>
      <c r="B13075" s="760"/>
      <c r="C13075" s="760"/>
      <c r="D13075" s="760"/>
      <c r="E13075" s="760"/>
      <c r="F13075" s="760"/>
      <c r="G13075" s="760"/>
      <c r="H13075" s="760"/>
      <c r="I13075" s="760"/>
      <c r="J13075" s="760"/>
      <c r="K13075" s="760"/>
    </row>
    <row r="13076" spans="1:11">
      <c r="A13076" s="760"/>
      <c r="B13076" s="760"/>
      <c r="C13076" s="760"/>
      <c r="D13076" s="760"/>
      <c r="E13076" s="760"/>
      <c r="F13076" s="760"/>
      <c r="G13076" s="760"/>
      <c r="H13076" s="760"/>
      <c r="I13076" s="760"/>
      <c r="J13076" s="760"/>
      <c r="K13076" s="760"/>
    </row>
    <row r="13077" spans="1:11">
      <c r="A13077" s="760"/>
      <c r="B13077" s="760"/>
      <c r="C13077" s="760"/>
      <c r="D13077" s="760"/>
      <c r="E13077" s="760"/>
      <c r="F13077" s="760"/>
      <c r="G13077" s="760"/>
      <c r="H13077" s="760"/>
      <c r="I13077" s="760"/>
      <c r="J13077" s="760"/>
      <c r="K13077" s="760"/>
    </row>
    <row r="13078" spans="1:11">
      <c r="A13078" s="760"/>
      <c r="B13078" s="760"/>
      <c r="C13078" s="760"/>
      <c r="D13078" s="760"/>
      <c r="E13078" s="760"/>
      <c r="F13078" s="760"/>
      <c r="G13078" s="760"/>
      <c r="H13078" s="760"/>
      <c r="I13078" s="760"/>
      <c r="J13078" s="760"/>
      <c r="K13078" s="760"/>
    </row>
    <row r="13079" spans="1:11">
      <c r="A13079" s="760"/>
      <c r="B13079" s="760"/>
      <c r="C13079" s="760"/>
      <c r="D13079" s="760"/>
      <c r="E13079" s="760"/>
      <c r="F13079" s="760"/>
      <c r="G13079" s="760"/>
      <c r="H13079" s="760"/>
      <c r="I13079" s="760"/>
      <c r="J13079" s="760"/>
      <c r="K13079" s="760"/>
    </row>
    <row r="13080" spans="1:11">
      <c r="A13080" s="760"/>
      <c r="B13080" s="760"/>
      <c r="C13080" s="760"/>
      <c r="D13080" s="760"/>
      <c r="E13080" s="760"/>
      <c r="F13080" s="760"/>
      <c r="G13080" s="760"/>
      <c r="H13080" s="760"/>
      <c r="I13080" s="760"/>
      <c r="J13080" s="760"/>
      <c r="K13080" s="760"/>
    </row>
    <row r="13081" spans="1:11">
      <c r="A13081" s="760"/>
      <c r="B13081" s="760"/>
      <c r="C13081" s="760"/>
      <c r="D13081" s="760"/>
      <c r="E13081" s="760"/>
      <c r="F13081" s="760"/>
      <c r="G13081" s="760"/>
      <c r="H13081" s="760"/>
      <c r="I13081" s="760"/>
      <c r="J13081" s="760"/>
      <c r="K13081" s="760"/>
    </row>
    <row r="13082" spans="1:11">
      <c r="A13082" s="760"/>
      <c r="B13082" s="760"/>
      <c r="C13082" s="760"/>
      <c r="D13082" s="760"/>
      <c r="E13082" s="760"/>
      <c r="F13082" s="760"/>
      <c r="G13082" s="760"/>
      <c r="H13082" s="760"/>
      <c r="I13082" s="760"/>
      <c r="J13082" s="760"/>
      <c r="K13082" s="760"/>
    </row>
    <row r="13083" spans="1:11">
      <c r="A13083" s="760"/>
      <c r="B13083" s="760"/>
      <c r="C13083" s="760"/>
      <c r="D13083" s="760"/>
      <c r="E13083" s="760"/>
      <c r="F13083" s="760"/>
      <c r="G13083" s="760"/>
      <c r="H13083" s="760"/>
      <c r="I13083" s="760"/>
      <c r="J13083" s="760"/>
      <c r="K13083" s="760"/>
    </row>
    <row r="13084" spans="1:11">
      <c r="A13084" s="760"/>
      <c r="B13084" s="760"/>
      <c r="C13084" s="760"/>
      <c r="D13084" s="760"/>
      <c r="E13084" s="760"/>
      <c r="F13084" s="760"/>
      <c r="G13084" s="760"/>
      <c r="H13084" s="760"/>
      <c r="I13084" s="760"/>
      <c r="J13084" s="760"/>
      <c r="K13084" s="760"/>
    </row>
    <row r="13085" spans="1:11">
      <c r="A13085" s="760"/>
      <c r="B13085" s="760"/>
      <c r="C13085" s="760"/>
      <c r="D13085" s="760"/>
      <c r="E13085" s="760"/>
      <c r="F13085" s="760"/>
      <c r="G13085" s="760"/>
      <c r="H13085" s="760"/>
      <c r="I13085" s="760"/>
      <c r="J13085" s="760"/>
      <c r="K13085" s="760"/>
    </row>
    <row r="13086" spans="1:11">
      <c r="A13086" s="760"/>
      <c r="B13086" s="760"/>
      <c r="C13086" s="760"/>
      <c r="D13086" s="760"/>
      <c r="E13086" s="760"/>
      <c r="F13086" s="760"/>
      <c r="G13086" s="760"/>
      <c r="H13086" s="760"/>
      <c r="I13086" s="760"/>
      <c r="J13086" s="760"/>
      <c r="K13086" s="760"/>
    </row>
    <row r="13087" spans="1:11">
      <c r="A13087" s="760"/>
      <c r="B13087" s="760"/>
      <c r="C13087" s="760"/>
      <c r="D13087" s="760"/>
      <c r="E13087" s="760"/>
      <c r="F13087" s="760"/>
      <c r="G13087" s="760"/>
      <c r="H13087" s="760"/>
      <c r="I13087" s="760"/>
      <c r="J13087" s="760"/>
      <c r="K13087" s="760"/>
    </row>
    <row r="13088" spans="1:11">
      <c r="A13088" s="760"/>
      <c r="B13088" s="760"/>
      <c r="C13088" s="760"/>
      <c r="D13088" s="760"/>
      <c r="E13088" s="760"/>
      <c r="F13088" s="760"/>
      <c r="G13088" s="760"/>
      <c r="H13088" s="760"/>
      <c r="I13088" s="760"/>
      <c r="J13088" s="760"/>
      <c r="K13088" s="760"/>
    </row>
    <row r="13089" spans="1:11">
      <c r="A13089" s="760"/>
      <c r="B13089" s="760"/>
      <c r="C13089" s="760"/>
      <c r="D13089" s="760"/>
      <c r="E13089" s="760"/>
      <c r="F13089" s="760"/>
      <c r="G13089" s="760"/>
      <c r="H13089" s="760"/>
      <c r="I13089" s="760"/>
      <c r="J13089" s="760"/>
      <c r="K13089" s="760"/>
    </row>
    <row r="13090" spans="1:11">
      <c r="A13090" s="760"/>
      <c r="B13090" s="760"/>
      <c r="C13090" s="760"/>
      <c r="D13090" s="760"/>
      <c r="E13090" s="760"/>
      <c r="F13090" s="760"/>
      <c r="G13090" s="760"/>
      <c r="H13090" s="760"/>
      <c r="I13090" s="760"/>
      <c r="J13090" s="760"/>
      <c r="K13090" s="760"/>
    </row>
    <row r="13091" spans="1:11">
      <c r="A13091" s="760"/>
      <c r="B13091" s="760"/>
      <c r="C13091" s="760"/>
      <c r="D13091" s="760"/>
      <c r="E13091" s="760"/>
      <c r="F13091" s="760"/>
      <c r="G13091" s="760"/>
      <c r="H13091" s="760"/>
      <c r="I13091" s="760"/>
      <c r="J13091" s="760"/>
      <c r="K13091" s="760"/>
    </row>
    <row r="13092" spans="1:11">
      <c r="A13092" s="760"/>
      <c r="B13092" s="760"/>
      <c r="C13092" s="760"/>
      <c r="D13092" s="760"/>
      <c r="E13092" s="760"/>
      <c r="F13092" s="760"/>
      <c r="G13092" s="760"/>
      <c r="H13092" s="760"/>
      <c r="I13092" s="760"/>
      <c r="J13092" s="760"/>
      <c r="K13092" s="760"/>
    </row>
    <row r="13093" spans="1:11">
      <c r="A13093" s="760"/>
      <c r="B13093" s="760"/>
      <c r="C13093" s="760"/>
      <c r="D13093" s="760"/>
      <c r="E13093" s="760"/>
      <c r="F13093" s="760"/>
      <c r="G13093" s="760"/>
      <c r="H13093" s="760"/>
      <c r="I13093" s="760"/>
      <c r="J13093" s="760"/>
      <c r="K13093" s="760"/>
    </row>
    <row r="13094" spans="1:11">
      <c r="A13094" s="760"/>
      <c r="B13094" s="760"/>
      <c r="C13094" s="760"/>
      <c r="D13094" s="760"/>
      <c r="E13094" s="760"/>
      <c r="F13094" s="760"/>
      <c r="G13094" s="760"/>
      <c r="H13094" s="760"/>
      <c r="I13094" s="760"/>
      <c r="J13094" s="760"/>
      <c r="K13094" s="760"/>
    </row>
    <row r="13095" spans="1:11">
      <c r="A13095" s="760"/>
      <c r="B13095" s="760"/>
      <c r="C13095" s="760"/>
      <c r="D13095" s="760"/>
      <c r="E13095" s="760"/>
      <c r="F13095" s="760"/>
      <c r="G13095" s="760"/>
      <c r="H13095" s="760"/>
      <c r="I13095" s="760"/>
      <c r="J13095" s="760"/>
      <c r="K13095" s="760"/>
    </row>
    <row r="13096" spans="1:11">
      <c r="A13096" s="760"/>
      <c r="B13096" s="760"/>
      <c r="C13096" s="760"/>
      <c r="D13096" s="760"/>
      <c r="E13096" s="760"/>
      <c r="F13096" s="760"/>
      <c r="G13096" s="760"/>
      <c r="H13096" s="760"/>
      <c r="I13096" s="760"/>
      <c r="J13096" s="760"/>
      <c r="K13096" s="760"/>
    </row>
    <row r="13097" spans="1:11">
      <c r="A13097" s="760"/>
      <c r="B13097" s="760"/>
      <c r="C13097" s="760"/>
      <c r="D13097" s="760"/>
      <c r="E13097" s="760"/>
      <c r="F13097" s="760"/>
      <c r="G13097" s="760"/>
      <c r="H13097" s="760"/>
      <c r="I13097" s="760"/>
      <c r="J13097" s="760"/>
      <c r="K13097" s="760"/>
    </row>
    <row r="13098" spans="1:11">
      <c r="A13098" s="760"/>
      <c r="B13098" s="760"/>
      <c r="C13098" s="760"/>
      <c r="D13098" s="760"/>
      <c r="E13098" s="760"/>
      <c r="F13098" s="760"/>
      <c r="G13098" s="760"/>
      <c r="H13098" s="760"/>
      <c r="I13098" s="760"/>
      <c r="J13098" s="760"/>
      <c r="K13098" s="760"/>
    </row>
    <row r="13099" spans="1:11">
      <c r="A13099" s="760"/>
      <c r="B13099" s="760"/>
      <c r="C13099" s="760"/>
      <c r="D13099" s="760"/>
      <c r="E13099" s="760"/>
      <c r="F13099" s="760"/>
      <c r="G13099" s="760"/>
      <c r="H13099" s="760"/>
      <c r="I13099" s="760"/>
      <c r="J13099" s="760"/>
      <c r="K13099" s="760"/>
    </row>
    <row r="13100" spans="1:11">
      <c r="A13100" s="760"/>
      <c r="B13100" s="760"/>
      <c r="C13100" s="760"/>
      <c r="D13100" s="760"/>
      <c r="E13100" s="760"/>
      <c r="F13100" s="760"/>
      <c r="G13100" s="760"/>
      <c r="H13100" s="760"/>
      <c r="I13100" s="760"/>
      <c r="J13100" s="760"/>
      <c r="K13100" s="760"/>
    </row>
    <row r="13101" spans="1:11">
      <c r="A13101" s="760"/>
      <c r="B13101" s="760"/>
      <c r="C13101" s="760"/>
      <c r="D13101" s="760"/>
      <c r="E13101" s="760"/>
      <c r="F13101" s="760"/>
      <c r="G13101" s="760"/>
      <c r="H13101" s="760"/>
      <c r="I13101" s="760"/>
      <c r="J13101" s="760"/>
      <c r="K13101" s="760"/>
    </row>
    <row r="13102" spans="1:11">
      <c r="A13102" s="760"/>
      <c r="B13102" s="760"/>
      <c r="C13102" s="760"/>
      <c r="D13102" s="760"/>
      <c r="E13102" s="760"/>
      <c r="F13102" s="760"/>
      <c r="G13102" s="760"/>
      <c r="H13102" s="760"/>
      <c r="I13102" s="760"/>
      <c r="J13102" s="760"/>
      <c r="K13102" s="760"/>
    </row>
    <row r="13103" spans="1:11">
      <c r="A13103" s="760"/>
      <c r="B13103" s="760"/>
      <c r="C13103" s="760"/>
      <c r="D13103" s="760"/>
      <c r="E13103" s="760"/>
      <c r="F13103" s="760"/>
      <c r="G13103" s="760"/>
      <c r="H13103" s="760"/>
      <c r="I13103" s="760"/>
      <c r="J13103" s="760"/>
      <c r="K13103" s="760"/>
    </row>
    <row r="13104" spans="1:11">
      <c r="A13104" s="760"/>
      <c r="B13104" s="760"/>
      <c r="C13104" s="760"/>
      <c r="D13104" s="760"/>
      <c r="E13104" s="760"/>
      <c r="F13104" s="760"/>
      <c r="G13104" s="760"/>
      <c r="H13104" s="760"/>
      <c r="I13104" s="760"/>
      <c r="J13104" s="760"/>
      <c r="K13104" s="760"/>
    </row>
    <row r="13105" spans="1:11">
      <c r="A13105" s="760"/>
      <c r="B13105" s="760"/>
      <c r="C13105" s="760"/>
      <c r="D13105" s="760"/>
      <c r="E13105" s="760"/>
      <c r="F13105" s="760"/>
      <c r="G13105" s="760"/>
      <c r="H13105" s="760"/>
      <c r="I13105" s="760"/>
      <c r="J13105" s="760"/>
      <c r="K13105" s="760"/>
    </row>
    <row r="13106" spans="1:11">
      <c r="A13106" s="760"/>
      <c r="B13106" s="760"/>
      <c r="C13106" s="760"/>
      <c r="D13106" s="760"/>
      <c r="E13106" s="760"/>
      <c r="F13106" s="760"/>
      <c r="G13106" s="760"/>
      <c r="H13106" s="760"/>
      <c r="I13106" s="760"/>
      <c r="J13106" s="760"/>
      <c r="K13106" s="760"/>
    </row>
    <row r="13107" spans="1:11">
      <c r="A13107" s="760"/>
      <c r="B13107" s="760"/>
      <c r="C13107" s="760"/>
      <c r="D13107" s="760"/>
      <c r="E13107" s="760"/>
      <c r="F13107" s="760"/>
      <c r="G13107" s="760"/>
      <c r="H13107" s="760"/>
      <c r="I13107" s="760"/>
      <c r="J13107" s="760"/>
      <c r="K13107" s="760"/>
    </row>
    <row r="13108" spans="1:11">
      <c r="A13108" s="760"/>
      <c r="B13108" s="760"/>
      <c r="C13108" s="760"/>
      <c r="D13108" s="760"/>
      <c r="E13108" s="760"/>
      <c r="F13108" s="760"/>
      <c r="G13108" s="760"/>
      <c r="H13108" s="760"/>
      <c r="I13108" s="760"/>
      <c r="J13108" s="760"/>
      <c r="K13108" s="760"/>
    </row>
    <row r="13109" spans="1:11">
      <c r="A13109" s="760"/>
      <c r="B13109" s="760"/>
      <c r="C13109" s="760"/>
      <c r="D13109" s="760"/>
      <c r="E13109" s="760"/>
      <c r="F13109" s="760"/>
      <c r="G13109" s="760"/>
      <c r="H13109" s="760"/>
      <c r="I13109" s="760"/>
      <c r="J13109" s="760"/>
      <c r="K13109" s="760"/>
    </row>
    <row r="13110" spans="1:11">
      <c r="A13110" s="760"/>
      <c r="B13110" s="760"/>
      <c r="C13110" s="760"/>
      <c r="D13110" s="760"/>
      <c r="E13110" s="760"/>
      <c r="F13110" s="760"/>
      <c r="G13110" s="760"/>
      <c r="H13110" s="760"/>
      <c r="I13110" s="760"/>
      <c r="J13110" s="760"/>
      <c r="K13110" s="760"/>
    </row>
    <row r="13111" spans="1:11">
      <c r="A13111" s="760"/>
      <c r="B13111" s="760"/>
      <c r="C13111" s="760"/>
      <c r="D13111" s="760"/>
      <c r="E13111" s="760"/>
      <c r="F13111" s="760"/>
      <c r="G13111" s="760"/>
      <c r="H13111" s="760"/>
      <c r="I13111" s="760"/>
      <c r="J13111" s="760"/>
      <c r="K13111" s="760"/>
    </row>
    <row r="13112" spans="1:11">
      <c r="A13112" s="760"/>
      <c r="B13112" s="760"/>
      <c r="C13112" s="760"/>
      <c r="D13112" s="760"/>
      <c r="E13112" s="760"/>
      <c r="F13112" s="760"/>
      <c r="G13112" s="760"/>
      <c r="H13112" s="760"/>
      <c r="I13112" s="760"/>
      <c r="J13112" s="760"/>
      <c r="K13112" s="760"/>
    </row>
    <row r="13113" spans="1:11">
      <c r="A13113" s="760"/>
      <c r="B13113" s="760"/>
      <c r="C13113" s="760"/>
      <c r="D13113" s="760"/>
      <c r="E13113" s="760"/>
      <c r="F13113" s="760"/>
      <c r="G13113" s="760"/>
      <c r="H13113" s="760"/>
      <c r="I13113" s="760"/>
      <c r="J13113" s="760"/>
      <c r="K13113" s="760"/>
    </row>
    <row r="13114" spans="1:11">
      <c r="A13114" s="760"/>
      <c r="B13114" s="760"/>
      <c r="C13114" s="760"/>
      <c r="D13114" s="760"/>
      <c r="E13114" s="760"/>
      <c r="F13114" s="760"/>
      <c r="G13114" s="760"/>
      <c r="H13114" s="760"/>
      <c r="I13114" s="760"/>
      <c r="J13114" s="760"/>
      <c r="K13114" s="760"/>
    </row>
    <row r="13115" spans="1:11">
      <c r="A13115" s="760"/>
      <c r="B13115" s="760"/>
      <c r="C13115" s="760"/>
      <c r="D13115" s="760"/>
      <c r="E13115" s="760"/>
      <c r="F13115" s="760"/>
      <c r="G13115" s="760"/>
      <c r="H13115" s="760"/>
      <c r="I13115" s="760"/>
      <c r="J13115" s="760"/>
      <c r="K13115" s="760"/>
    </row>
    <row r="13116" spans="1:11">
      <c r="A13116" s="760"/>
      <c r="B13116" s="760"/>
      <c r="C13116" s="760"/>
      <c r="D13116" s="760"/>
      <c r="E13116" s="760"/>
      <c r="F13116" s="760"/>
      <c r="G13116" s="760"/>
      <c r="H13116" s="760"/>
      <c r="I13116" s="760"/>
      <c r="J13116" s="760"/>
      <c r="K13116" s="760"/>
    </row>
    <row r="13117" spans="1:11">
      <c r="A13117" s="760"/>
      <c r="B13117" s="760"/>
      <c r="C13117" s="760"/>
      <c r="D13117" s="760"/>
      <c r="E13117" s="760"/>
      <c r="F13117" s="760"/>
      <c r="G13117" s="760"/>
      <c r="H13117" s="760"/>
      <c r="I13117" s="760"/>
      <c r="J13117" s="760"/>
      <c r="K13117" s="760"/>
    </row>
    <row r="13118" spans="1:11">
      <c r="A13118" s="760"/>
      <c r="B13118" s="760"/>
      <c r="C13118" s="760"/>
      <c r="D13118" s="760"/>
      <c r="E13118" s="760"/>
      <c r="F13118" s="760"/>
      <c r="G13118" s="760"/>
      <c r="H13118" s="760"/>
      <c r="I13118" s="760"/>
      <c r="J13118" s="760"/>
      <c r="K13118" s="760"/>
    </row>
    <row r="13119" spans="1:11">
      <c r="A13119" s="760"/>
      <c r="B13119" s="760"/>
      <c r="C13119" s="760"/>
      <c r="D13119" s="760"/>
      <c r="E13119" s="760"/>
      <c r="F13119" s="760"/>
      <c r="G13119" s="760"/>
      <c r="H13119" s="760"/>
      <c r="I13119" s="760"/>
      <c r="J13119" s="760"/>
      <c r="K13119" s="760"/>
    </row>
    <row r="13120" spans="1:11">
      <c r="A13120" s="760"/>
      <c r="B13120" s="760"/>
      <c r="C13120" s="760"/>
      <c r="D13120" s="760"/>
      <c r="E13120" s="760"/>
      <c r="F13120" s="760"/>
      <c r="G13120" s="760"/>
      <c r="H13120" s="760"/>
      <c r="I13120" s="760"/>
      <c r="J13120" s="760"/>
      <c r="K13120" s="760"/>
    </row>
    <row r="13121" spans="1:11">
      <c r="A13121" s="760"/>
      <c r="B13121" s="760"/>
      <c r="C13121" s="760"/>
      <c r="D13121" s="760"/>
      <c r="E13121" s="760"/>
      <c r="F13121" s="760"/>
      <c r="G13121" s="760"/>
      <c r="H13121" s="760"/>
      <c r="I13121" s="760"/>
      <c r="J13121" s="760"/>
      <c r="K13121" s="760"/>
    </row>
    <row r="13122" spans="1:11">
      <c r="A13122" s="760"/>
      <c r="B13122" s="760"/>
      <c r="C13122" s="760"/>
      <c r="D13122" s="760"/>
      <c r="E13122" s="760"/>
      <c r="F13122" s="760"/>
      <c r="G13122" s="760"/>
      <c r="H13122" s="760"/>
      <c r="I13122" s="760"/>
      <c r="J13122" s="760"/>
      <c r="K13122" s="760"/>
    </row>
    <row r="13123" spans="1:11">
      <c r="A13123" s="760"/>
      <c r="B13123" s="760"/>
      <c r="C13123" s="760"/>
      <c r="D13123" s="760"/>
      <c r="E13123" s="760"/>
      <c r="F13123" s="760"/>
      <c r="G13123" s="760"/>
      <c r="H13123" s="760"/>
      <c r="I13123" s="760"/>
      <c r="J13123" s="760"/>
      <c r="K13123" s="760"/>
    </row>
    <row r="13124" spans="1:11">
      <c r="A13124" s="760"/>
      <c r="B13124" s="760"/>
      <c r="C13124" s="760"/>
      <c r="D13124" s="760"/>
      <c r="E13124" s="760"/>
      <c r="F13124" s="760"/>
      <c r="G13124" s="760"/>
      <c r="H13124" s="760"/>
      <c r="I13124" s="760"/>
      <c r="J13124" s="760"/>
      <c r="K13124" s="760"/>
    </row>
    <row r="13125" spans="1:11">
      <c r="A13125" s="760"/>
      <c r="B13125" s="760"/>
      <c r="C13125" s="760"/>
      <c r="D13125" s="760"/>
      <c r="E13125" s="760"/>
      <c r="F13125" s="760"/>
      <c r="G13125" s="760"/>
      <c r="H13125" s="760"/>
      <c r="I13125" s="760"/>
      <c r="J13125" s="760"/>
      <c r="K13125" s="760"/>
    </row>
    <row r="13126" spans="1:11">
      <c r="A13126" s="760"/>
      <c r="B13126" s="760"/>
      <c r="C13126" s="760"/>
      <c r="D13126" s="760"/>
      <c r="E13126" s="760"/>
      <c r="F13126" s="760"/>
      <c r="G13126" s="760"/>
      <c r="H13126" s="760"/>
      <c r="I13126" s="760"/>
      <c r="J13126" s="760"/>
      <c r="K13126" s="760"/>
    </row>
    <row r="13127" spans="1:11">
      <c r="A13127" s="760"/>
      <c r="B13127" s="760"/>
      <c r="C13127" s="760"/>
      <c r="D13127" s="760"/>
      <c r="E13127" s="760"/>
      <c r="F13127" s="760"/>
      <c r="G13127" s="760"/>
      <c r="H13127" s="760"/>
      <c r="I13127" s="760"/>
      <c r="J13127" s="760"/>
      <c r="K13127" s="760"/>
    </row>
    <row r="13128" spans="1:11">
      <c r="A13128" s="760"/>
      <c r="B13128" s="760"/>
      <c r="C13128" s="760"/>
      <c r="D13128" s="760"/>
      <c r="E13128" s="760"/>
      <c r="F13128" s="760"/>
      <c r="G13128" s="760"/>
      <c r="H13128" s="760"/>
      <c r="I13128" s="760"/>
      <c r="J13128" s="760"/>
      <c r="K13128" s="760"/>
    </row>
    <row r="13129" spans="1:11">
      <c r="A13129" s="760"/>
      <c r="B13129" s="760"/>
      <c r="C13129" s="760"/>
      <c r="D13129" s="760"/>
      <c r="E13129" s="760"/>
      <c r="F13129" s="760"/>
      <c r="G13129" s="760"/>
      <c r="H13129" s="760"/>
      <c r="I13129" s="760"/>
      <c r="J13129" s="760"/>
      <c r="K13129" s="760"/>
    </row>
    <row r="13130" spans="1:11">
      <c r="A13130" s="760"/>
      <c r="B13130" s="760"/>
      <c r="C13130" s="760"/>
      <c r="D13130" s="760"/>
      <c r="E13130" s="760"/>
      <c r="F13130" s="760"/>
      <c r="G13130" s="760"/>
      <c r="H13130" s="760"/>
      <c r="I13130" s="760"/>
      <c r="J13130" s="760"/>
      <c r="K13130" s="760"/>
    </row>
    <row r="13131" spans="1:11">
      <c r="A13131" s="760"/>
      <c r="B13131" s="760"/>
      <c r="C13131" s="760"/>
      <c r="D13131" s="760"/>
      <c r="E13131" s="760"/>
      <c r="F13131" s="760"/>
      <c r="G13131" s="760"/>
      <c r="H13131" s="760"/>
      <c r="I13131" s="760"/>
      <c r="J13131" s="760"/>
      <c r="K13131" s="760"/>
    </row>
    <row r="13132" spans="1:11">
      <c r="A13132" s="760"/>
      <c r="B13132" s="760"/>
      <c r="C13132" s="760"/>
      <c r="D13132" s="760"/>
      <c r="E13132" s="760"/>
      <c r="F13132" s="760"/>
      <c r="G13132" s="760"/>
      <c r="H13132" s="760"/>
      <c r="I13132" s="760"/>
      <c r="J13132" s="760"/>
      <c r="K13132" s="760"/>
    </row>
    <row r="13133" spans="1:11">
      <c r="A13133" s="760"/>
      <c r="B13133" s="760"/>
      <c r="C13133" s="760"/>
      <c r="D13133" s="760"/>
      <c r="E13133" s="760"/>
      <c r="F13133" s="760"/>
      <c r="G13133" s="760"/>
      <c r="H13133" s="760"/>
      <c r="I13133" s="760"/>
      <c r="J13133" s="760"/>
      <c r="K13133" s="760"/>
    </row>
    <row r="13134" spans="1:11">
      <c r="A13134" s="760"/>
      <c r="B13134" s="760"/>
      <c r="C13134" s="760"/>
      <c r="D13134" s="760"/>
      <c r="E13134" s="760"/>
      <c r="F13134" s="760"/>
      <c r="G13134" s="760"/>
      <c r="H13134" s="760"/>
      <c r="I13134" s="760"/>
      <c r="J13134" s="760"/>
      <c r="K13134" s="760"/>
    </row>
    <row r="13135" spans="1:11">
      <c r="A13135" s="760"/>
      <c r="B13135" s="760"/>
      <c r="C13135" s="760"/>
      <c r="D13135" s="760"/>
      <c r="E13135" s="760"/>
      <c r="F13135" s="760"/>
      <c r="G13135" s="760"/>
      <c r="H13135" s="760"/>
      <c r="I13135" s="760"/>
      <c r="J13135" s="760"/>
      <c r="K13135" s="760"/>
    </row>
    <row r="13136" spans="1:11">
      <c r="A13136" s="760"/>
      <c r="B13136" s="760"/>
      <c r="C13136" s="760"/>
      <c r="D13136" s="760"/>
      <c r="E13136" s="760"/>
      <c r="F13136" s="760"/>
      <c r="G13136" s="760"/>
      <c r="H13136" s="760"/>
      <c r="I13136" s="760"/>
      <c r="J13136" s="760"/>
      <c r="K13136" s="760"/>
    </row>
    <row r="13137" spans="1:11">
      <c r="A13137" s="760"/>
      <c r="B13137" s="760"/>
      <c r="C13137" s="760"/>
      <c r="D13137" s="760"/>
      <c r="E13137" s="760"/>
      <c r="F13137" s="760"/>
      <c r="G13137" s="760"/>
      <c r="H13137" s="760"/>
      <c r="I13137" s="760"/>
      <c r="J13137" s="760"/>
      <c r="K13137" s="760"/>
    </row>
    <row r="13138" spans="1:11">
      <c r="A13138" s="760"/>
      <c r="B13138" s="760"/>
      <c r="C13138" s="760"/>
      <c r="D13138" s="760"/>
      <c r="E13138" s="760"/>
      <c r="F13138" s="760"/>
      <c r="G13138" s="760"/>
      <c r="H13138" s="760"/>
      <c r="I13138" s="760"/>
      <c r="J13138" s="760"/>
      <c r="K13138" s="760"/>
    </row>
    <row r="13139" spans="1:11">
      <c r="A13139" s="760"/>
      <c r="B13139" s="760"/>
      <c r="C13139" s="760"/>
      <c r="D13139" s="760"/>
      <c r="E13139" s="760"/>
      <c r="F13139" s="760"/>
      <c r="G13139" s="760"/>
      <c r="H13139" s="760"/>
      <c r="I13139" s="760"/>
      <c r="J13139" s="760"/>
      <c r="K13139" s="760"/>
    </row>
    <row r="13140" spans="1:11">
      <c r="A13140" s="760"/>
      <c r="B13140" s="760"/>
      <c r="C13140" s="760"/>
      <c r="D13140" s="760"/>
      <c r="E13140" s="760"/>
      <c r="F13140" s="760"/>
      <c r="G13140" s="760"/>
      <c r="H13140" s="760"/>
      <c r="I13140" s="760"/>
      <c r="J13140" s="760"/>
      <c r="K13140" s="760"/>
    </row>
    <row r="13141" spans="1:11">
      <c r="A13141" s="760"/>
      <c r="B13141" s="760"/>
      <c r="C13141" s="760"/>
      <c r="D13141" s="760"/>
      <c r="E13141" s="760"/>
      <c r="F13141" s="760"/>
      <c r="G13141" s="760"/>
      <c r="H13141" s="760"/>
      <c r="I13141" s="760"/>
      <c r="J13141" s="760"/>
      <c r="K13141" s="760"/>
    </row>
    <row r="13142" spans="1:11">
      <c r="A13142" s="760"/>
      <c r="B13142" s="760"/>
      <c r="C13142" s="760"/>
      <c r="D13142" s="760"/>
      <c r="E13142" s="760"/>
      <c r="F13142" s="760"/>
      <c r="G13142" s="760"/>
      <c r="H13142" s="760"/>
      <c r="I13142" s="760"/>
      <c r="J13142" s="760"/>
      <c r="K13142" s="760"/>
    </row>
    <row r="13143" spans="1:11">
      <c r="A13143" s="760"/>
      <c r="B13143" s="760"/>
      <c r="C13143" s="760"/>
      <c r="D13143" s="760"/>
      <c r="E13143" s="760"/>
      <c r="F13143" s="760"/>
      <c r="G13143" s="760"/>
      <c r="H13143" s="760"/>
      <c r="I13143" s="760"/>
      <c r="J13143" s="760"/>
      <c r="K13143" s="760"/>
    </row>
    <row r="13144" spans="1:11">
      <c r="A13144" s="760"/>
      <c r="B13144" s="760"/>
      <c r="C13144" s="760"/>
      <c r="D13144" s="760"/>
      <c r="E13144" s="760"/>
      <c r="F13144" s="760"/>
      <c r="G13144" s="760"/>
      <c r="H13144" s="760"/>
      <c r="I13144" s="760"/>
      <c r="J13144" s="760"/>
      <c r="K13144" s="760"/>
    </row>
    <row r="13145" spans="1:11">
      <c r="A13145" s="760"/>
      <c r="B13145" s="760"/>
      <c r="C13145" s="760"/>
      <c r="D13145" s="760"/>
      <c r="E13145" s="760"/>
      <c r="F13145" s="760"/>
      <c r="G13145" s="760"/>
      <c r="H13145" s="760"/>
      <c r="I13145" s="760"/>
      <c r="J13145" s="760"/>
      <c r="K13145" s="760"/>
    </row>
    <row r="13146" spans="1:11">
      <c r="A13146" s="760"/>
      <c r="B13146" s="760"/>
      <c r="C13146" s="760"/>
      <c r="D13146" s="760"/>
      <c r="E13146" s="760"/>
      <c r="F13146" s="760"/>
      <c r="G13146" s="760"/>
      <c r="H13146" s="760"/>
      <c r="I13146" s="760"/>
      <c r="J13146" s="760"/>
      <c r="K13146" s="760"/>
    </row>
    <row r="13147" spans="1:11">
      <c r="A13147" s="760"/>
      <c r="B13147" s="760"/>
      <c r="C13147" s="760"/>
      <c r="D13147" s="760"/>
      <c r="E13147" s="760"/>
      <c r="F13147" s="760"/>
      <c r="G13147" s="760"/>
      <c r="H13147" s="760"/>
      <c r="I13147" s="760"/>
      <c r="J13147" s="760"/>
      <c r="K13147" s="760"/>
    </row>
    <row r="13148" spans="1:11">
      <c r="A13148" s="760"/>
      <c r="B13148" s="760"/>
      <c r="C13148" s="760"/>
      <c r="D13148" s="760"/>
      <c r="E13148" s="760"/>
      <c r="F13148" s="760"/>
      <c r="G13148" s="760"/>
      <c r="H13148" s="760"/>
      <c r="I13148" s="760"/>
      <c r="J13148" s="760"/>
      <c r="K13148" s="760"/>
    </row>
    <row r="13149" spans="1:11">
      <c r="A13149" s="760"/>
      <c r="B13149" s="760"/>
      <c r="C13149" s="760"/>
      <c r="D13149" s="760"/>
      <c r="E13149" s="760"/>
      <c r="F13149" s="760"/>
      <c r="G13149" s="760"/>
      <c r="H13149" s="760"/>
      <c r="I13149" s="760"/>
      <c r="J13149" s="760"/>
      <c r="K13149" s="760"/>
    </row>
    <row r="13150" spans="1:11">
      <c r="A13150" s="760"/>
      <c r="B13150" s="760"/>
      <c r="C13150" s="760"/>
      <c r="D13150" s="760"/>
      <c r="E13150" s="760"/>
      <c r="F13150" s="760"/>
      <c r="G13150" s="760"/>
      <c r="H13150" s="760"/>
      <c r="I13150" s="760"/>
      <c r="J13150" s="760"/>
      <c r="K13150" s="760"/>
    </row>
    <row r="13151" spans="1:11">
      <c r="A13151" s="760"/>
      <c r="B13151" s="760"/>
      <c r="C13151" s="760"/>
      <c r="D13151" s="760"/>
      <c r="E13151" s="760"/>
      <c r="F13151" s="760"/>
      <c r="G13151" s="760"/>
      <c r="H13151" s="760"/>
      <c r="I13151" s="760"/>
      <c r="J13151" s="760"/>
      <c r="K13151" s="760"/>
    </row>
    <row r="13152" spans="1:11">
      <c r="A13152" s="760"/>
      <c r="B13152" s="760"/>
      <c r="C13152" s="760"/>
      <c r="D13152" s="760"/>
      <c r="E13152" s="760"/>
      <c r="F13152" s="760"/>
      <c r="G13152" s="760"/>
      <c r="H13152" s="760"/>
      <c r="I13152" s="760"/>
      <c r="J13152" s="760"/>
      <c r="K13152" s="760"/>
    </row>
    <row r="13153" spans="1:11">
      <c r="A13153" s="760"/>
      <c r="B13153" s="760"/>
      <c r="C13153" s="760"/>
      <c r="D13153" s="760"/>
      <c r="E13153" s="760"/>
      <c r="F13153" s="760"/>
      <c r="G13153" s="760"/>
      <c r="H13153" s="760"/>
      <c r="I13153" s="760"/>
      <c r="J13153" s="760"/>
      <c r="K13153" s="760"/>
    </row>
    <row r="13154" spans="1:11">
      <c r="A13154" s="760"/>
      <c r="B13154" s="760"/>
      <c r="C13154" s="760"/>
      <c r="D13154" s="760"/>
      <c r="E13154" s="760"/>
      <c r="F13154" s="760"/>
      <c r="G13154" s="760"/>
      <c r="H13154" s="760"/>
      <c r="I13154" s="760"/>
      <c r="J13154" s="760"/>
      <c r="K13154" s="760"/>
    </row>
    <row r="13155" spans="1:11">
      <c r="A13155" s="760"/>
      <c r="B13155" s="760"/>
      <c r="C13155" s="760"/>
      <c r="D13155" s="760"/>
      <c r="E13155" s="760"/>
      <c r="F13155" s="760"/>
      <c r="G13155" s="760"/>
      <c r="H13155" s="760"/>
      <c r="I13155" s="760"/>
      <c r="J13155" s="760"/>
      <c r="K13155" s="760"/>
    </row>
    <row r="13156" spans="1:11">
      <c r="A13156" s="760"/>
      <c r="B13156" s="760"/>
      <c r="C13156" s="760"/>
      <c r="D13156" s="760"/>
      <c r="E13156" s="760"/>
      <c r="F13156" s="760"/>
      <c r="G13156" s="760"/>
      <c r="H13156" s="760"/>
      <c r="I13156" s="760"/>
      <c r="J13156" s="760"/>
      <c r="K13156" s="760"/>
    </row>
    <row r="13157" spans="1:11">
      <c r="A13157" s="760"/>
      <c r="B13157" s="760"/>
      <c r="C13157" s="760"/>
      <c r="D13157" s="760"/>
      <c r="E13157" s="760"/>
      <c r="F13157" s="760"/>
      <c r="G13157" s="760"/>
      <c r="H13157" s="760"/>
      <c r="I13157" s="760"/>
      <c r="J13157" s="760"/>
      <c r="K13157" s="760"/>
    </row>
    <row r="13158" spans="1:11">
      <c r="A13158" s="760"/>
      <c r="B13158" s="760"/>
      <c r="C13158" s="760"/>
      <c r="D13158" s="760"/>
      <c r="E13158" s="760"/>
      <c r="F13158" s="760"/>
      <c r="G13158" s="760"/>
      <c r="H13158" s="760"/>
      <c r="I13158" s="760"/>
      <c r="J13158" s="760"/>
      <c r="K13158" s="760"/>
    </row>
    <row r="13159" spans="1:11">
      <c r="A13159" s="760"/>
      <c r="B13159" s="760"/>
      <c r="C13159" s="760"/>
      <c r="D13159" s="760"/>
      <c r="E13159" s="760"/>
      <c r="F13159" s="760"/>
      <c r="G13159" s="760"/>
      <c r="H13159" s="760"/>
      <c r="I13159" s="760"/>
      <c r="J13159" s="760"/>
      <c r="K13159" s="760"/>
    </row>
    <row r="13160" spans="1:11">
      <c r="A13160" s="760"/>
      <c r="B13160" s="760"/>
      <c r="C13160" s="760"/>
      <c r="D13160" s="760"/>
      <c r="E13160" s="760"/>
      <c r="F13160" s="760"/>
      <c r="G13160" s="760"/>
      <c r="H13160" s="760"/>
      <c r="I13160" s="760"/>
      <c r="J13160" s="760"/>
      <c r="K13160" s="760"/>
    </row>
    <row r="13161" spans="1:11">
      <c r="A13161" s="760"/>
      <c r="B13161" s="760"/>
      <c r="C13161" s="760"/>
      <c r="D13161" s="760"/>
      <c r="E13161" s="760"/>
      <c r="F13161" s="760"/>
      <c r="G13161" s="760"/>
      <c r="H13161" s="760"/>
      <c r="I13161" s="760"/>
      <c r="J13161" s="760"/>
      <c r="K13161" s="760"/>
    </row>
    <row r="13162" spans="1:11">
      <c r="A13162" s="760"/>
      <c r="B13162" s="760"/>
      <c r="C13162" s="760"/>
      <c r="D13162" s="760"/>
      <c r="E13162" s="760"/>
      <c r="F13162" s="760"/>
      <c r="G13162" s="760"/>
      <c r="H13162" s="760"/>
      <c r="I13162" s="760"/>
      <c r="J13162" s="760"/>
      <c r="K13162" s="760"/>
    </row>
    <row r="13163" spans="1:11">
      <c r="A13163" s="760"/>
      <c r="B13163" s="760"/>
      <c r="C13163" s="760"/>
      <c r="D13163" s="760"/>
      <c r="E13163" s="760"/>
      <c r="F13163" s="760"/>
      <c r="G13163" s="760"/>
      <c r="H13163" s="760"/>
      <c r="I13163" s="760"/>
      <c r="J13163" s="760"/>
      <c r="K13163" s="760"/>
    </row>
    <row r="13164" spans="1:11">
      <c r="A13164" s="760"/>
      <c r="B13164" s="760"/>
      <c r="C13164" s="760"/>
      <c r="D13164" s="760"/>
      <c r="E13164" s="760"/>
      <c r="F13164" s="760"/>
      <c r="G13164" s="760"/>
      <c r="H13164" s="760"/>
      <c r="I13164" s="760"/>
      <c r="J13164" s="760"/>
      <c r="K13164" s="760"/>
    </row>
    <row r="13165" spans="1:11">
      <c r="A13165" s="760"/>
      <c r="B13165" s="760"/>
      <c r="C13165" s="760"/>
      <c r="D13165" s="760"/>
      <c r="E13165" s="760"/>
      <c r="F13165" s="760"/>
      <c r="G13165" s="760"/>
      <c r="H13165" s="760"/>
      <c r="I13165" s="760"/>
      <c r="J13165" s="760"/>
      <c r="K13165" s="760"/>
    </row>
    <row r="13166" spans="1:11">
      <c r="A13166" s="760"/>
      <c r="B13166" s="760"/>
      <c r="C13166" s="760"/>
      <c r="D13166" s="760"/>
      <c r="E13166" s="760"/>
      <c r="F13166" s="760"/>
      <c r="G13166" s="760"/>
      <c r="H13166" s="760"/>
      <c r="I13166" s="760"/>
      <c r="J13166" s="760"/>
      <c r="K13166" s="760"/>
    </row>
    <row r="13167" spans="1:11">
      <c r="A13167" s="760"/>
      <c r="B13167" s="760"/>
      <c r="C13167" s="760"/>
      <c r="D13167" s="760"/>
      <c r="E13167" s="760"/>
      <c r="F13167" s="760"/>
      <c r="G13167" s="760"/>
      <c r="H13167" s="760"/>
      <c r="I13167" s="760"/>
      <c r="J13167" s="760"/>
      <c r="K13167" s="760"/>
    </row>
    <row r="13168" spans="1:11">
      <c r="A13168" s="760"/>
      <c r="B13168" s="760"/>
      <c r="C13168" s="760"/>
      <c r="D13168" s="760"/>
      <c r="E13168" s="760"/>
      <c r="F13168" s="760"/>
      <c r="G13168" s="760"/>
      <c r="H13168" s="760"/>
      <c r="I13168" s="760"/>
      <c r="J13168" s="760"/>
      <c r="K13168" s="760"/>
    </row>
    <row r="13169" spans="1:11">
      <c r="A13169" s="760"/>
      <c r="B13169" s="760"/>
      <c r="C13169" s="760"/>
      <c r="D13169" s="760"/>
      <c r="E13169" s="760"/>
      <c r="F13169" s="760"/>
      <c r="G13169" s="760"/>
      <c r="H13169" s="760"/>
      <c r="I13169" s="760"/>
      <c r="J13169" s="760"/>
      <c r="K13169" s="760"/>
    </row>
    <row r="13170" spans="1:11">
      <c r="A13170" s="760"/>
      <c r="B13170" s="760"/>
      <c r="C13170" s="760"/>
      <c r="D13170" s="760"/>
      <c r="E13170" s="760"/>
      <c r="F13170" s="760"/>
      <c r="G13170" s="760"/>
      <c r="H13170" s="760"/>
      <c r="I13170" s="760"/>
      <c r="J13170" s="760"/>
      <c r="K13170" s="760"/>
    </row>
    <row r="13171" spans="1:11">
      <c r="A13171" s="760"/>
      <c r="B13171" s="760"/>
      <c r="C13171" s="760"/>
      <c r="D13171" s="760"/>
      <c r="E13171" s="760"/>
      <c r="F13171" s="760"/>
      <c r="G13171" s="760"/>
      <c r="H13171" s="760"/>
      <c r="I13171" s="760"/>
      <c r="J13171" s="760"/>
      <c r="K13171" s="760"/>
    </row>
    <row r="13172" spans="1:11">
      <c r="A13172" s="760"/>
      <c r="B13172" s="760"/>
      <c r="C13172" s="760"/>
      <c r="D13172" s="760"/>
      <c r="E13172" s="760"/>
      <c r="F13172" s="760"/>
      <c r="G13172" s="760"/>
      <c r="H13172" s="760"/>
      <c r="I13172" s="760"/>
      <c r="J13172" s="760"/>
      <c r="K13172" s="760"/>
    </row>
    <row r="13173" spans="1:11">
      <c r="A13173" s="760"/>
      <c r="B13173" s="760"/>
      <c r="C13173" s="760"/>
      <c r="D13173" s="760"/>
      <c r="E13173" s="760"/>
      <c r="F13173" s="760"/>
      <c r="G13173" s="760"/>
      <c r="H13173" s="760"/>
      <c r="I13173" s="760"/>
      <c r="J13173" s="760"/>
      <c r="K13173" s="760"/>
    </row>
    <row r="13174" spans="1:11">
      <c r="A13174" s="760"/>
      <c r="B13174" s="760"/>
      <c r="C13174" s="760"/>
      <c r="D13174" s="760"/>
      <c r="E13174" s="760"/>
      <c r="F13174" s="760"/>
      <c r="G13174" s="760"/>
      <c r="H13174" s="760"/>
      <c r="I13174" s="760"/>
      <c r="J13174" s="760"/>
      <c r="K13174" s="760"/>
    </row>
    <row r="13175" spans="1:11">
      <c r="A13175" s="760"/>
      <c r="B13175" s="760"/>
      <c r="C13175" s="760"/>
      <c r="D13175" s="760"/>
      <c r="E13175" s="760"/>
      <c r="F13175" s="760"/>
      <c r="G13175" s="760"/>
      <c r="H13175" s="760"/>
      <c r="I13175" s="760"/>
      <c r="J13175" s="760"/>
      <c r="K13175" s="760"/>
    </row>
    <row r="13176" spans="1:11">
      <c r="A13176" s="760"/>
      <c r="B13176" s="760"/>
      <c r="C13176" s="760"/>
      <c r="D13176" s="760"/>
      <c r="E13176" s="760"/>
      <c r="F13176" s="760"/>
      <c r="G13176" s="760"/>
      <c r="H13176" s="760"/>
      <c r="I13176" s="760"/>
      <c r="J13176" s="760"/>
      <c r="K13176" s="760"/>
    </row>
    <row r="13177" spans="1:11">
      <c r="A13177" s="760"/>
      <c r="B13177" s="760"/>
      <c r="C13177" s="760"/>
      <c r="D13177" s="760"/>
      <c r="E13177" s="760"/>
      <c r="F13177" s="760"/>
      <c r="G13177" s="760"/>
      <c r="H13177" s="760"/>
      <c r="I13177" s="760"/>
      <c r="J13177" s="760"/>
      <c r="K13177" s="760"/>
    </row>
    <row r="13178" spans="1:11">
      <c r="A13178" s="760"/>
      <c r="B13178" s="760"/>
      <c r="C13178" s="760"/>
      <c r="D13178" s="760"/>
      <c r="E13178" s="760"/>
      <c r="F13178" s="760"/>
      <c r="G13178" s="760"/>
      <c r="H13178" s="760"/>
      <c r="I13178" s="760"/>
      <c r="J13178" s="760"/>
      <c r="K13178" s="760"/>
    </row>
    <row r="13179" spans="1:11">
      <c r="A13179" s="760"/>
      <c r="B13179" s="760"/>
      <c r="C13179" s="760"/>
      <c r="D13179" s="760"/>
      <c r="E13179" s="760"/>
      <c r="F13179" s="760"/>
      <c r="G13179" s="760"/>
      <c r="H13179" s="760"/>
      <c r="I13179" s="760"/>
      <c r="J13179" s="760"/>
      <c r="K13179" s="760"/>
    </row>
    <row r="13180" spans="1:11">
      <c r="A13180" s="760"/>
      <c r="B13180" s="760"/>
      <c r="C13180" s="760"/>
      <c r="D13180" s="760"/>
      <c r="E13180" s="760"/>
      <c r="F13180" s="760"/>
      <c r="G13180" s="760"/>
      <c r="H13180" s="760"/>
      <c r="I13180" s="760"/>
      <c r="J13180" s="760"/>
      <c r="K13180" s="760"/>
    </row>
    <row r="13181" spans="1:11">
      <c r="A13181" s="760"/>
      <c r="B13181" s="760"/>
      <c r="C13181" s="760"/>
      <c r="D13181" s="760"/>
      <c r="E13181" s="760"/>
      <c r="F13181" s="760"/>
      <c r="G13181" s="760"/>
      <c r="H13181" s="760"/>
      <c r="I13181" s="760"/>
      <c r="J13181" s="760"/>
      <c r="K13181" s="760"/>
    </row>
    <row r="13182" spans="1:11">
      <c r="A13182" s="760"/>
      <c r="B13182" s="760"/>
      <c r="C13182" s="760"/>
      <c r="D13182" s="760"/>
      <c r="E13182" s="760"/>
      <c r="F13182" s="760"/>
      <c r="G13182" s="760"/>
      <c r="H13182" s="760"/>
      <c r="I13182" s="760"/>
      <c r="J13182" s="760"/>
      <c r="K13182" s="760"/>
    </row>
    <row r="13183" spans="1:11">
      <c r="A13183" s="760"/>
      <c r="B13183" s="760"/>
      <c r="C13183" s="760"/>
      <c r="D13183" s="760"/>
      <c r="E13183" s="760"/>
      <c r="F13183" s="760"/>
      <c r="G13183" s="760"/>
      <c r="H13183" s="760"/>
      <c r="I13183" s="760"/>
      <c r="J13183" s="760"/>
      <c r="K13183" s="760"/>
    </row>
    <row r="13184" spans="1:11">
      <c r="A13184" s="760"/>
      <c r="B13184" s="760"/>
      <c r="C13184" s="760"/>
      <c r="D13184" s="760"/>
      <c r="E13184" s="760"/>
      <c r="F13184" s="760"/>
      <c r="G13184" s="760"/>
      <c r="H13184" s="760"/>
      <c r="I13184" s="760"/>
      <c r="J13184" s="760"/>
      <c r="K13184" s="760"/>
    </row>
    <row r="13185" spans="1:11">
      <c r="A13185" s="760"/>
      <c r="B13185" s="760"/>
      <c r="C13185" s="760"/>
      <c r="D13185" s="760"/>
      <c r="E13185" s="760"/>
      <c r="F13185" s="760"/>
      <c r="G13185" s="760"/>
      <c r="H13185" s="760"/>
      <c r="I13185" s="760"/>
      <c r="J13185" s="760"/>
      <c r="K13185" s="760"/>
    </row>
    <row r="13186" spans="1:11">
      <c r="A13186" s="760"/>
      <c r="B13186" s="760"/>
      <c r="C13186" s="760"/>
      <c r="D13186" s="760"/>
      <c r="E13186" s="760"/>
      <c r="F13186" s="760"/>
      <c r="G13186" s="760"/>
      <c r="H13186" s="760"/>
      <c r="I13186" s="760"/>
      <c r="J13186" s="760"/>
      <c r="K13186" s="760"/>
    </row>
    <row r="13187" spans="1:11">
      <c r="A13187" s="760"/>
      <c r="B13187" s="760"/>
      <c r="C13187" s="760"/>
      <c r="D13187" s="760"/>
      <c r="E13187" s="760"/>
      <c r="F13187" s="760"/>
      <c r="G13187" s="760"/>
      <c r="H13187" s="760"/>
      <c r="I13187" s="760"/>
      <c r="J13187" s="760"/>
      <c r="K13187" s="760"/>
    </row>
    <row r="13188" spans="1:11">
      <c r="A13188" s="760"/>
      <c r="B13188" s="760"/>
      <c r="C13188" s="760"/>
      <c r="D13188" s="760"/>
      <c r="E13188" s="760"/>
      <c r="F13188" s="760"/>
      <c r="G13188" s="760"/>
      <c r="H13188" s="760"/>
      <c r="I13188" s="760"/>
      <c r="J13188" s="760"/>
      <c r="K13188" s="760"/>
    </row>
    <row r="13189" spans="1:11">
      <c r="A13189" s="760"/>
      <c r="B13189" s="760"/>
      <c r="C13189" s="760"/>
      <c r="D13189" s="760"/>
      <c r="E13189" s="760"/>
      <c r="F13189" s="760"/>
      <c r="G13189" s="760"/>
      <c r="H13189" s="760"/>
      <c r="I13189" s="760"/>
      <c r="J13189" s="760"/>
      <c r="K13189" s="760"/>
    </row>
    <row r="13190" spans="1:11">
      <c r="A13190" s="760"/>
      <c r="B13190" s="760"/>
      <c r="C13190" s="760"/>
      <c r="D13190" s="760"/>
      <c r="E13190" s="760"/>
      <c r="F13190" s="760"/>
      <c r="G13190" s="760"/>
      <c r="H13190" s="760"/>
      <c r="I13190" s="760"/>
      <c r="J13190" s="760"/>
      <c r="K13190" s="760"/>
    </row>
    <row r="13191" spans="1:11">
      <c r="A13191" s="760"/>
      <c r="B13191" s="760"/>
      <c r="C13191" s="760"/>
      <c r="D13191" s="760"/>
      <c r="E13191" s="760"/>
      <c r="F13191" s="760"/>
      <c r="G13191" s="760"/>
      <c r="H13191" s="760"/>
      <c r="I13191" s="760"/>
      <c r="J13191" s="760"/>
      <c r="K13191" s="760"/>
    </row>
    <row r="13192" spans="1:11">
      <c r="A13192" s="760"/>
      <c r="B13192" s="760"/>
      <c r="C13192" s="760"/>
      <c r="D13192" s="760"/>
      <c r="E13192" s="760"/>
      <c r="F13192" s="760"/>
      <c r="G13192" s="760"/>
      <c r="H13192" s="760"/>
      <c r="I13192" s="760"/>
      <c r="J13192" s="760"/>
      <c r="K13192" s="760"/>
    </row>
    <row r="13193" spans="1:11">
      <c r="A13193" s="760"/>
      <c r="B13193" s="760"/>
      <c r="C13193" s="760"/>
      <c r="D13193" s="760"/>
      <c r="E13193" s="760"/>
      <c r="F13193" s="760"/>
      <c r="G13193" s="760"/>
      <c r="H13193" s="760"/>
      <c r="I13193" s="760"/>
      <c r="J13193" s="760"/>
      <c r="K13193" s="760"/>
    </row>
    <row r="13194" spans="1:11">
      <c r="A13194" s="760"/>
      <c r="B13194" s="760"/>
      <c r="C13194" s="760"/>
      <c r="D13194" s="760"/>
      <c r="E13194" s="760"/>
      <c r="F13194" s="760"/>
      <c r="G13194" s="760"/>
      <c r="H13194" s="760"/>
      <c r="I13194" s="760"/>
      <c r="J13194" s="760"/>
      <c r="K13194" s="760"/>
    </row>
    <row r="13195" spans="1:11">
      <c r="A13195" s="760"/>
      <c r="B13195" s="760"/>
      <c r="C13195" s="760"/>
      <c r="D13195" s="760"/>
      <c r="E13195" s="760"/>
      <c r="F13195" s="760"/>
      <c r="G13195" s="760"/>
      <c r="H13195" s="760"/>
      <c r="I13195" s="760"/>
      <c r="J13195" s="760"/>
      <c r="K13195" s="760"/>
    </row>
    <row r="13196" spans="1:11">
      <c r="A13196" s="760"/>
      <c r="B13196" s="760"/>
      <c r="C13196" s="760"/>
      <c r="D13196" s="760"/>
      <c r="E13196" s="760"/>
      <c r="F13196" s="760"/>
      <c r="G13196" s="760"/>
      <c r="H13196" s="760"/>
      <c r="I13196" s="760"/>
      <c r="J13196" s="760"/>
      <c r="K13196" s="760"/>
    </row>
    <row r="13197" spans="1:11">
      <c r="A13197" s="760"/>
      <c r="B13197" s="760"/>
      <c r="C13197" s="760"/>
      <c r="D13197" s="760"/>
      <c r="E13197" s="760"/>
      <c r="F13197" s="760"/>
      <c r="G13197" s="760"/>
      <c r="H13197" s="760"/>
      <c r="I13197" s="760"/>
      <c r="J13197" s="760"/>
      <c r="K13197" s="760"/>
    </row>
    <row r="13198" spans="1:11">
      <c r="A13198" s="760"/>
      <c r="B13198" s="760"/>
      <c r="C13198" s="760"/>
      <c r="D13198" s="760"/>
      <c r="E13198" s="760"/>
      <c r="F13198" s="760"/>
      <c r="G13198" s="760"/>
      <c r="H13198" s="760"/>
      <c r="I13198" s="760"/>
      <c r="J13198" s="760"/>
      <c r="K13198" s="760"/>
    </row>
    <row r="13199" spans="1:11">
      <c r="A13199" s="760"/>
      <c r="B13199" s="760"/>
      <c r="C13199" s="760"/>
      <c r="D13199" s="760"/>
      <c r="E13199" s="760"/>
      <c r="F13199" s="760"/>
      <c r="G13199" s="760"/>
      <c r="H13199" s="760"/>
      <c r="I13199" s="760"/>
      <c r="J13199" s="760"/>
      <c r="K13199" s="760"/>
    </row>
    <row r="13200" spans="1:11">
      <c r="A13200" s="760"/>
      <c r="B13200" s="760"/>
      <c r="C13200" s="760"/>
      <c r="D13200" s="760"/>
      <c r="E13200" s="760"/>
      <c r="F13200" s="760"/>
      <c r="G13200" s="760"/>
      <c r="H13200" s="760"/>
      <c r="I13200" s="760"/>
      <c r="J13200" s="760"/>
      <c r="K13200" s="760"/>
    </row>
    <row r="13201" spans="1:11">
      <c r="A13201" s="760"/>
      <c r="B13201" s="760"/>
      <c r="C13201" s="760"/>
      <c r="D13201" s="760"/>
      <c r="E13201" s="760"/>
      <c r="F13201" s="760"/>
      <c r="G13201" s="760"/>
      <c r="H13201" s="760"/>
      <c r="I13201" s="760"/>
      <c r="J13201" s="760"/>
      <c r="K13201" s="760"/>
    </row>
    <row r="13202" spans="1:11">
      <c r="A13202" s="760"/>
      <c r="B13202" s="760"/>
      <c r="C13202" s="760"/>
      <c r="D13202" s="760"/>
      <c r="E13202" s="760"/>
      <c r="F13202" s="760"/>
      <c r="G13202" s="760"/>
      <c r="H13202" s="760"/>
      <c r="I13202" s="760"/>
      <c r="J13202" s="760"/>
      <c r="K13202" s="760"/>
    </row>
    <row r="13203" spans="1:11">
      <c r="A13203" s="760"/>
      <c r="B13203" s="760"/>
      <c r="C13203" s="760"/>
      <c r="D13203" s="760"/>
      <c r="E13203" s="760"/>
      <c r="F13203" s="760"/>
      <c r="G13203" s="760"/>
      <c r="H13203" s="760"/>
      <c r="I13203" s="760"/>
      <c r="J13203" s="760"/>
      <c r="K13203" s="760"/>
    </row>
    <row r="13204" spans="1:11">
      <c r="A13204" s="760"/>
      <c r="B13204" s="760"/>
      <c r="C13204" s="760"/>
      <c r="D13204" s="760"/>
      <c r="E13204" s="760"/>
      <c r="F13204" s="760"/>
      <c r="G13204" s="760"/>
      <c r="H13204" s="760"/>
      <c r="I13204" s="760"/>
      <c r="J13204" s="760"/>
      <c r="K13204" s="760"/>
    </row>
    <row r="13205" spans="1:11">
      <c r="A13205" s="760"/>
      <c r="B13205" s="760"/>
      <c r="C13205" s="760"/>
      <c r="D13205" s="760"/>
      <c r="E13205" s="760"/>
      <c r="F13205" s="760"/>
      <c r="G13205" s="760"/>
      <c r="H13205" s="760"/>
      <c r="I13205" s="760"/>
      <c r="J13205" s="760"/>
      <c r="K13205" s="760"/>
    </row>
    <row r="13206" spans="1:11">
      <c r="A13206" s="760"/>
      <c r="B13206" s="760"/>
      <c r="C13206" s="760"/>
      <c r="D13206" s="760"/>
      <c r="E13206" s="760"/>
      <c r="F13206" s="760"/>
      <c r="G13206" s="760"/>
      <c r="H13206" s="760"/>
      <c r="I13206" s="760"/>
      <c r="J13206" s="760"/>
      <c r="K13206" s="760"/>
    </row>
    <row r="13207" spans="1:11">
      <c r="A13207" s="760"/>
      <c r="B13207" s="760"/>
      <c r="C13207" s="760"/>
      <c r="D13207" s="760"/>
      <c r="E13207" s="760"/>
      <c r="F13207" s="760"/>
      <c r="G13207" s="760"/>
      <c r="H13207" s="760"/>
      <c r="I13207" s="760"/>
      <c r="J13207" s="760"/>
      <c r="K13207" s="760"/>
    </row>
    <row r="13208" spans="1:11">
      <c r="A13208" s="760"/>
      <c r="B13208" s="760"/>
      <c r="C13208" s="760"/>
      <c r="D13208" s="760"/>
      <c r="E13208" s="760"/>
      <c r="F13208" s="760"/>
      <c r="G13208" s="760"/>
      <c r="H13208" s="760"/>
      <c r="I13208" s="760"/>
      <c r="J13208" s="760"/>
      <c r="K13208" s="760"/>
    </row>
    <row r="13209" spans="1:11">
      <c r="A13209" s="760"/>
      <c r="B13209" s="760"/>
      <c r="C13209" s="760"/>
      <c r="D13209" s="760"/>
      <c r="E13209" s="760"/>
      <c r="F13209" s="760"/>
      <c r="G13209" s="760"/>
      <c r="H13209" s="760"/>
      <c r="I13209" s="760"/>
      <c r="J13209" s="760"/>
      <c r="K13209" s="760"/>
    </row>
    <row r="13210" spans="1:11">
      <c r="A13210" s="760"/>
      <c r="B13210" s="760"/>
      <c r="C13210" s="760"/>
      <c r="D13210" s="760"/>
      <c r="E13210" s="760"/>
      <c r="F13210" s="760"/>
      <c r="G13210" s="760"/>
      <c r="H13210" s="760"/>
      <c r="I13210" s="760"/>
      <c r="J13210" s="760"/>
      <c r="K13210" s="760"/>
    </row>
    <row r="13211" spans="1:11">
      <c r="A13211" s="760"/>
      <c r="B13211" s="760"/>
      <c r="C13211" s="760"/>
      <c r="D13211" s="760"/>
      <c r="E13211" s="760"/>
      <c r="F13211" s="760"/>
      <c r="G13211" s="760"/>
      <c r="H13211" s="760"/>
      <c r="I13211" s="760"/>
      <c r="J13211" s="760"/>
      <c r="K13211" s="760"/>
    </row>
    <row r="13212" spans="1:11">
      <c r="A13212" s="760"/>
      <c r="B13212" s="760"/>
      <c r="C13212" s="760"/>
      <c r="D13212" s="760"/>
      <c r="E13212" s="760"/>
      <c r="F13212" s="760"/>
      <c r="G13212" s="760"/>
      <c r="H13212" s="760"/>
      <c r="I13212" s="760"/>
      <c r="J13212" s="760"/>
      <c r="K13212" s="760"/>
    </row>
    <row r="13213" spans="1:11">
      <c r="A13213" s="760"/>
      <c r="B13213" s="760"/>
      <c r="C13213" s="760"/>
      <c r="D13213" s="760"/>
      <c r="E13213" s="760"/>
      <c r="F13213" s="760"/>
      <c r="G13213" s="760"/>
      <c r="H13213" s="760"/>
      <c r="I13213" s="760"/>
      <c r="J13213" s="760"/>
      <c r="K13213" s="760"/>
    </row>
    <row r="13214" spans="1:11">
      <c r="A13214" s="760"/>
      <c r="B13214" s="760"/>
      <c r="C13214" s="760"/>
      <c r="D13214" s="760"/>
      <c r="E13214" s="760"/>
      <c r="F13214" s="760"/>
      <c r="G13214" s="760"/>
      <c r="H13214" s="760"/>
      <c r="I13214" s="760"/>
      <c r="J13214" s="760"/>
      <c r="K13214" s="760"/>
    </row>
    <row r="13215" spans="1:11">
      <c r="A13215" s="760"/>
      <c r="B13215" s="760"/>
      <c r="C13215" s="760"/>
      <c r="D13215" s="760"/>
      <c r="E13215" s="760"/>
      <c r="F13215" s="760"/>
      <c r="G13215" s="760"/>
      <c r="H13215" s="760"/>
      <c r="I13215" s="760"/>
      <c r="J13215" s="760"/>
      <c r="K13215" s="760"/>
    </row>
    <row r="13216" spans="1:11">
      <c r="A13216" s="760"/>
      <c r="B13216" s="760"/>
      <c r="C13216" s="760"/>
      <c r="D13216" s="760"/>
      <c r="E13216" s="760"/>
      <c r="F13216" s="760"/>
      <c r="G13216" s="760"/>
      <c r="H13216" s="760"/>
      <c r="I13216" s="760"/>
      <c r="J13216" s="760"/>
      <c r="K13216" s="760"/>
    </row>
    <row r="13217" spans="1:11">
      <c r="A13217" s="760"/>
      <c r="B13217" s="760"/>
      <c r="C13217" s="760"/>
      <c r="D13217" s="760"/>
      <c r="E13217" s="760"/>
      <c r="F13217" s="760"/>
      <c r="G13217" s="760"/>
      <c r="H13217" s="760"/>
      <c r="I13217" s="760"/>
      <c r="J13217" s="760"/>
      <c r="K13217" s="760"/>
    </row>
    <row r="13218" spans="1:11">
      <c r="A13218" s="760"/>
      <c r="B13218" s="760"/>
      <c r="C13218" s="760"/>
      <c r="D13218" s="760"/>
      <c r="E13218" s="760"/>
      <c r="F13218" s="760"/>
      <c r="G13218" s="760"/>
      <c r="H13218" s="760"/>
      <c r="I13218" s="760"/>
      <c r="J13218" s="760"/>
      <c r="K13218" s="760"/>
    </row>
    <row r="13219" spans="1:11">
      <c r="A13219" s="760"/>
      <c r="B13219" s="760"/>
      <c r="C13219" s="760"/>
      <c r="D13219" s="760"/>
      <c r="E13219" s="760"/>
      <c r="F13219" s="760"/>
      <c r="G13219" s="760"/>
      <c r="H13219" s="760"/>
      <c r="I13219" s="760"/>
      <c r="J13219" s="760"/>
      <c r="K13219" s="760"/>
    </row>
    <row r="13220" spans="1:11">
      <c r="A13220" s="760"/>
      <c r="B13220" s="760"/>
      <c r="C13220" s="760"/>
      <c r="D13220" s="760"/>
      <c r="E13220" s="760"/>
      <c r="F13220" s="760"/>
      <c r="G13220" s="760"/>
      <c r="H13220" s="760"/>
      <c r="I13220" s="760"/>
      <c r="J13220" s="760"/>
      <c r="K13220" s="760"/>
    </row>
    <row r="13221" spans="1:11">
      <c r="A13221" s="760"/>
      <c r="B13221" s="760"/>
      <c r="C13221" s="760"/>
      <c r="D13221" s="760"/>
      <c r="E13221" s="760"/>
      <c r="F13221" s="760"/>
      <c r="G13221" s="760"/>
      <c r="H13221" s="760"/>
      <c r="I13221" s="760"/>
      <c r="J13221" s="760"/>
      <c r="K13221" s="760"/>
    </row>
    <row r="13222" spans="1:11">
      <c r="A13222" s="760"/>
      <c r="B13222" s="760"/>
      <c r="C13222" s="760"/>
      <c r="D13222" s="760"/>
      <c r="E13222" s="760"/>
      <c r="F13222" s="760"/>
      <c r="G13222" s="760"/>
      <c r="H13222" s="760"/>
      <c r="I13222" s="760"/>
      <c r="J13222" s="760"/>
      <c r="K13222" s="760"/>
    </row>
    <row r="13223" spans="1:11">
      <c r="A13223" s="760"/>
      <c r="B13223" s="760"/>
      <c r="C13223" s="760"/>
      <c r="D13223" s="760"/>
      <c r="E13223" s="760"/>
      <c r="F13223" s="760"/>
      <c r="G13223" s="760"/>
      <c r="H13223" s="760"/>
      <c r="I13223" s="760"/>
      <c r="J13223" s="760"/>
      <c r="K13223" s="760"/>
    </row>
    <row r="13224" spans="1:11">
      <c r="A13224" s="760"/>
      <c r="B13224" s="760"/>
      <c r="C13224" s="760"/>
      <c r="D13224" s="760"/>
      <c r="E13224" s="760"/>
      <c r="F13224" s="760"/>
      <c r="G13224" s="760"/>
      <c r="H13224" s="760"/>
      <c r="I13224" s="760"/>
      <c r="J13224" s="760"/>
      <c r="K13224" s="760"/>
    </row>
    <row r="13225" spans="1:11">
      <c r="A13225" s="760"/>
      <c r="B13225" s="760"/>
      <c r="C13225" s="760"/>
      <c r="D13225" s="760"/>
      <c r="E13225" s="760"/>
      <c r="F13225" s="760"/>
      <c r="G13225" s="760"/>
      <c r="H13225" s="760"/>
      <c r="I13225" s="760"/>
      <c r="J13225" s="760"/>
      <c r="K13225" s="760"/>
    </row>
    <row r="13226" spans="1:11">
      <c r="A13226" s="760"/>
      <c r="B13226" s="760"/>
      <c r="C13226" s="760"/>
      <c r="D13226" s="760"/>
      <c r="E13226" s="760"/>
      <c r="F13226" s="760"/>
      <c r="G13226" s="760"/>
      <c r="H13226" s="760"/>
      <c r="I13226" s="760"/>
      <c r="J13226" s="760"/>
      <c r="K13226" s="760"/>
    </row>
    <row r="13227" spans="1:11">
      <c r="A13227" s="760"/>
      <c r="B13227" s="760"/>
      <c r="C13227" s="760"/>
      <c r="D13227" s="760"/>
      <c r="E13227" s="760"/>
      <c r="F13227" s="760"/>
      <c r="G13227" s="760"/>
      <c r="H13227" s="760"/>
      <c r="I13227" s="760"/>
      <c r="J13227" s="760"/>
      <c r="K13227" s="760"/>
    </row>
    <row r="13228" spans="1:11">
      <c r="A13228" s="760"/>
      <c r="B13228" s="760"/>
      <c r="C13228" s="760"/>
      <c r="D13228" s="760"/>
      <c r="E13228" s="760"/>
      <c r="F13228" s="760"/>
      <c r="G13228" s="760"/>
      <c r="H13228" s="760"/>
      <c r="I13228" s="760"/>
      <c r="J13228" s="760"/>
      <c r="K13228" s="760"/>
    </row>
    <row r="13229" spans="1:11">
      <c r="A13229" s="760"/>
      <c r="B13229" s="760"/>
      <c r="C13229" s="760"/>
      <c r="D13229" s="760"/>
      <c r="E13229" s="760"/>
      <c r="F13229" s="760"/>
      <c r="G13229" s="760"/>
      <c r="H13229" s="760"/>
      <c r="I13229" s="760"/>
      <c r="J13229" s="760"/>
      <c r="K13229" s="760"/>
    </row>
    <row r="13230" spans="1:11">
      <c r="A13230" s="760"/>
      <c r="B13230" s="760"/>
      <c r="C13230" s="760"/>
      <c r="D13230" s="760"/>
      <c r="E13230" s="760"/>
      <c r="F13230" s="760"/>
      <c r="G13230" s="760"/>
      <c r="H13230" s="760"/>
      <c r="I13230" s="760"/>
      <c r="J13230" s="760"/>
      <c r="K13230" s="760"/>
    </row>
    <row r="13231" spans="1:11">
      <c r="A13231" s="760"/>
      <c r="B13231" s="760"/>
      <c r="C13231" s="760"/>
      <c r="D13231" s="760"/>
      <c r="E13231" s="760"/>
      <c r="F13231" s="760"/>
      <c r="G13231" s="760"/>
      <c r="H13231" s="760"/>
      <c r="I13231" s="760"/>
      <c r="J13231" s="760"/>
      <c r="K13231" s="760"/>
    </row>
    <row r="13232" spans="1:11">
      <c r="A13232" s="760"/>
      <c r="B13232" s="760"/>
      <c r="C13232" s="760"/>
      <c r="D13232" s="760"/>
      <c r="E13232" s="760"/>
      <c r="F13232" s="760"/>
      <c r="G13232" s="760"/>
      <c r="H13232" s="760"/>
      <c r="I13232" s="760"/>
      <c r="J13232" s="760"/>
      <c r="K13232" s="760"/>
    </row>
    <row r="13233" spans="1:11">
      <c r="A13233" s="760"/>
      <c r="B13233" s="760"/>
      <c r="C13233" s="760"/>
      <c r="D13233" s="760"/>
      <c r="E13233" s="760"/>
      <c r="F13233" s="760"/>
      <c r="G13233" s="760"/>
      <c r="H13233" s="760"/>
      <c r="I13233" s="760"/>
      <c r="J13233" s="760"/>
      <c r="K13233" s="760"/>
    </row>
    <row r="13234" spans="1:11">
      <c r="A13234" s="760"/>
      <c r="B13234" s="760"/>
      <c r="C13234" s="760"/>
      <c r="D13234" s="760"/>
      <c r="E13234" s="760"/>
      <c r="F13234" s="760"/>
      <c r="G13234" s="760"/>
      <c r="H13234" s="760"/>
      <c r="I13234" s="760"/>
      <c r="J13234" s="760"/>
      <c r="K13234" s="760"/>
    </row>
    <row r="13235" spans="1:11">
      <c r="A13235" s="760"/>
      <c r="B13235" s="760"/>
      <c r="C13235" s="760"/>
      <c r="D13235" s="760"/>
      <c r="E13235" s="760"/>
      <c r="F13235" s="760"/>
      <c r="G13235" s="760"/>
      <c r="H13235" s="760"/>
      <c r="I13235" s="760"/>
      <c r="J13235" s="760"/>
      <c r="K13235" s="760"/>
    </row>
    <row r="13236" spans="1:11">
      <c r="A13236" s="760"/>
      <c r="B13236" s="760"/>
      <c r="C13236" s="760"/>
      <c r="D13236" s="760"/>
      <c r="E13236" s="760"/>
      <c r="F13236" s="760"/>
      <c r="G13236" s="760"/>
      <c r="H13236" s="760"/>
      <c r="I13236" s="760"/>
      <c r="J13236" s="760"/>
      <c r="K13236" s="760"/>
    </row>
    <row r="13237" spans="1:11">
      <c r="A13237" s="760"/>
      <c r="B13237" s="760"/>
      <c r="C13237" s="760"/>
      <c r="D13237" s="760"/>
      <c r="E13237" s="760"/>
      <c r="F13237" s="760"/>
      <c r="G13237" s="760"/>
      <c r="H13237" s="760"/>
      <c r="I13237" s="760"/>
      <c r="J13237" s="760"/>
      <c r="K13237" s="760"/>
    </row>
    <row r="13238" spans="1:11">
      <c r="A13238" s="760"/>
      <c r="B13238" s="760"/>
      <c r="C13238" s="760"/>
      <c r="D13238" s="760"/>
      <c r="E13238" s="760"/>
      <c r="F13238" s="760"/>
      <c r="G13238" s="760"/>
      <c r="H13238" s="760"/>
      <c r="I13238" s="760"/>
      <c r="J13238" s="760"/>
      <c r="K13238" s="760"/>
    </row>
    <row r="13239" spans="1:11">
      <c r="A13239" s="760"/>
      <c r="B13239" s="760"/>
      <c r="C13239" s="760"/>
      <c r="D13239" s="760"/>
      <c r="E13239" s="760"/>
      <c r="F13239" s="760"/>
      <c r="G13239" s="760"/>
      <c r="H13239" s="760"/>
      <c r="I13239" s="760"/>
      <c r="J13239" s="760"/>
      <c r="K13239" s="760"/>
    </row>
    <row r="13240" spans="1:11">
      <c r="A13240" s="760"/>
      <c r="B13240" s="760"/>
      <c r="C13240" s="760"/>
      <c r="D13240" s="760"/>
      <c r="E13240" s="760"/>
      <c r="F13240" s="760"/>
      <c r="G13240" s="760"/>
      <c r="H13240" s="760"/>
      <c r="I13240" s="760"/>
      <c r="J13240" s="760"/>
      <c r="K13240" s="760"/>
    </row>
    <row r="13241" spans="1:11">
      <c r="A13241" s="760"/>
      <c r="B13241" s="760"/>
      <c r="C13241" s="760"/>
      <c r="D13241" s="760"/>
      <c r="E13241" s="760"/>
      <c r="F13241" s="760"/>
      <c r="G13241" s="760"/>
      <c r="H13241" s="760"/>
      <c r="I13241" s="760"/>
      <c r="J13241" s="760"/>
      <c r="K13241" s="760"/>
    </row>
    <row r="13242" spans="1:11">
      <c r="A13242" s="760"/>
      <c r="B13242" s="760"/>
      <c r="C13242" s="760"/>
      <c r="D13242" s="760"/>
      <c r="E13242" s="760"/>
      <c r="F13242" s="760"/>
      <c r="G13242" s="760"/>
      <c r="H13242" s="760"/>
      <c r="I13242" s="760"/>
      <c r="J13242" s="760"/>
      <c r="K13242" s="760"/>
    </row>
    <row r="13243" spans="1:11">
      <c r="A13243" s="760"/>
      <c r="B13243" s="760"/>
      <c r="C13243" s="760"/>
      <c r="D13243" s="760"/>
      <c r="E13243" s="760"/>
      <c r="F13243" s="760"/>
      <c r="G13243" s="760"/>
      <c r="H13243" s="760"/>
      <c r="I13243" s="760"/>
      <c r="J13243" s="760"/>
      <c r="K13243" s="760"/>
    </row>
    <row r="13244" spans="1:11">
      <c r="A13244" s="760"/>
      <c r="B13244" s="760"/>
      <c r="C13244" s="760"/>
      <c r="D13244" s="760"/>
      <c r="E13244" s="760"/>
      <c r="F13244" s="760"/>
      <c r="G13244" s="760"/>
      <c r="H13244" s="760"/>
      <c r="I13244" s="760"/>
      <c r="J13244" s="760"/>
      <c r="K13244" s="760"/>
    </row>
    <row r="13245" spans="1:11">
      <c r="A13245" s="760"/>
      <c r="B13245" s="760"/>
      <c r="C13245" s="760"/>
      <c r="D13245" s="760"/>
      <c r="E13245" s="760"/>
      <c r="F13245" s="760"/>
      <c r="G13245" s="760"/>
      <c r="H13245" s="760"/>
      <c r="I13245" s="760"/>
      <c r="J13245" s="760"/>
      <c r="K13245" s="760"/>
    </row>
    <row r="13246" spans="1:11">
      <c r="A13246" s="760"/>
      <c r="B13246" s="760"/>
      <c r="C13246" s="760"/>
      <c r="D13246" s="760"/>
      <c r="E13246" s="760"/>
      <c r="F13246" s="760"/>
      <c r="G13246" s="760"/>
      <c r="H13246" s="760"/>
      <c r="I13246" s="760"/>
      <c r="J13246" s="760"/>
      <c r="K13246" s="760"/>
    </row>
    <row r="13247" spans="1:11">
      <c r="A13247" s="760"/>
      <c r="B13247" s="760"/>
      <c r="C13247" s="760"/>
      <c r="D13247" s="760"/>
      <c r="E13247" s="760"/>
      <c r="F13247" s="760"/>
      <c r="G13247" s="760"/>
      <c r="H13247" s="760"/>
      <c r="I13247" s="760"/>
      <c r="J13247" s="760"/>
      <c r="K13247" s="760"/>
    </row>
    <row r="13248" spans="1:11">
      <c r="A13248" s="760"/>
      <c r="B13248" s="760"/>
      <c r="C13248" s="760"/>
      <c r="D13248" s="760"/>
      <c r="E13248" s="760"/>
      <c r="F13248" s="760"/>
      <c r="G13248" s="760"/>
      <c r="H13248" s="760"/>
      <c r="I13248" s="760"/>
      <c r="J13248" s="760"/>
      <c r="K13248" s="760"/>
    </row>
    <row r="13249" spans="1:11">
      <c r="A13249" s="760"/>
      <c r="B13249" s="760"/>
      <c r="C13249" s="760"/>
      <c r="D13249" s="760"/>
      <c r="E13249" s="760"/>
      <c r="F13249" s="760"/>
      <c r="G13249" s="760"/>
      <c r="H13249" s="760"/>
      <c r="I13249" s="760"/>
      <c r="J13249" s="760"/>
      <c r="K13249" s="760"/>
    </row>
    <row r="13250" spans="1:11">
      <c r="A13250" s="760"/>
      <c r="B13250" s="760"/>
      <c r="C13250" s="760"/>
      <c r="D13250" s="760"/>
      <c r="E13250" s="760"/>
      <c r="F13250" s="760"/>
      <c r="G13250" s="760"/>
      <c r="H13250" s="760"/>
      <c r="I13250" s="760"/>
      <c r="J13250" s="760"/>
      <c r="K13250" s="760"/>
    </row>
    <row r="13251" spans="1:11">
      <c r="A13251" s="760"/>
      <c r="B13251" s="760"/>
      <c r="C13251" s="760"/>
      <c r="D13251" s="760"/>
      <c r="E13251" s="760"/>
      <c r="F13251" s="760"/>
      <c r="G13251" s="760"/>
      <c r="H13251" s="760"/>
      <c r="I13251" s="760"/>
      <c r="J13251" s="760"/>
      <c r="K13251" s="760"/>
    </row>
    <row r="13252" spans="1:11">
      <c r="A13252" s="760"/>
      <c r="B13252" s="760"/>
      <c r="C13252" s="760"/>
      <c r="D13252" s="760"/>
      <c r="E13252" s="760"/>
      <c r="F13252" s="760"/>
      <c r="G13252" s="760"/>
      <c r="H13252" s="760"/>
      <c r="I13252" s="760"/>
      <c r="J13252" s="760"/>
      <c r="K13252" s="760"/>
    </row>
    <row r="13253" spans="1:11">
      <c r="A13253" s="760"/>
      <c r="B13253" s="760"/>
      <c r="C13253" s="760"/>
      <c r="D13253" s="760"/>
      <c r="E13253" s="760"/>
      <c r="F13253" s="760"/>
      <c r="G13253" s="760"/>
      <c r="H13253" s="760"/>
      <c r="I13253" s="760"/>
      <c r="J13253" s="760"/>
      <c r="K13253" s="760"/>
    </row>
    <row r="13254" spans="1:11">
      <c r="A13254" s="760"/>
      <c r="B13254" s="760"/>
      <c r="C13254" s="760"/>
      <c r="D13254" s="760"/>
      <c r="E13254" s="760"/>
      <c r="F13254" s="760"/>
      <c r="G13254" s="760"/>
      <c r="H13254" s="760"/>
      <c r="I13254" s="760"/>
      <c r="J13254" s="760"/>
      <c r="K13254" s="760"/>
    </row>
    <row r="13255" spans="1:11">
      <c r="A13255" s="760"/>
      <c r="B13255" s="760"/>
      <c r="C13255" s="760"/>
      <c r="D13255" s="760"/>
      <c r="E13255" s="760"/>
      <c r="F13255" s="760"/>
      <c r="G13255" s="760"/>
      <c r="H13255" s="760"/>
      <c r="I13255" s="760"/>
      <c r="J13255" s="760"/>
      <c r="K13255" s="760"/>
    </row>
    <row r="13256" spans="1:11">
      <c r="A13256" s="760"/>
      <c r="B13256" s="760"/>
      <c r="C13256" s="760"/>
      <c r="D13256" s="760"/>
      <c r="E13256" s="760"/>
      <c r="F13256" s="760"/>
      <c r="G13256" s="760"/>
      <c r="H13256" s="760"/>
      <c r="I13256" s="760"/>
      <c r="J13256" s="760"/>
      <c r="K13256" s="760"/>
    </row>
    <row r="13257" spans="1:11">
      <c r="A13257" s="760"/>
      <c r="B13257" s="760"/>
      <c r="C13257" s="760"/>
      <c r="D13257" s="760"/>
      <c r="E13257" s="760"/>
      <c r="F13257" s="760"/>
      <c r="G13257" s="760"/>
      <c r="H13257" s="760"/>
      <c r="I13257" s="760"/>
      <c r="J13257" s="760"/>
      <c r="K13257" s="760"/>
    </row>
    <row r="13258" spans="1:11">
      <c r="A13258" s="760"/>
      <c r="B13258" s="760"/>
      <c r="C13258" s="760"/>
      <c r="D13258" s="760"/>
      <c r="E13258" s="760"/>
      <c r="F13258" s="760"/>
      <c r="G13258" s="760"/>
      <c r="H13258" s="760"/>
      <c r="I13258" s="760"/>
      <c r="J13258" s="760"/>
      <c r="K13258" s="760"/>
    </row>
    <row r="13259" spans="1:11">
      <c r="A13259" s="760"/>
      <c r="B13259" s="760"/>
      <c r="C13259" s="760"/>
      <c r="D13259" s="760"/>
      <c r="E13259" s="760"/>
      <c r="F13259" s="760"/>
      <c r="G13259" s="760"/>
      <c r="H13259" s="760"/>
      <c r="I13259" s="760"/>
      <c r="J13259" s="760"/>
      <c r="K13259" s="760"/>
    </row>
    <row r="13260" spans="1:11">
      <c r="A13260" s="760"/>
      <c r="B13260" s="760"/>
      <c r="C13260" s="760"/>
      <c r="D13260" s="760"/>
      <c r="E13260" s="760"/>
      <c r="F13260" s="760"/>
      <c r="G13260" s="760"/>
      <c r="H13260" s="760"/>
      <c r="I13260" s="760"/>
      <c r="J13260" s="760"/>
      <c r="K13260" s="760"/>
    </row>
    <row r="13261" spans="1:11">
      <c r="A13261" s="760"/>
      <c r="B13261" s="760"/>
      <c r="C13261" s="760"/>
      <c r="D13261" s="760"/>
      <c r="E13261" s="760"/>
      <c r="F13261" s="760"/>
      <c r="G13261" s="760"/>
      <c r="H13261" s="760"/>
      <c r="I13261" s="760"/>
      <c r="J13261" s="760"/>
      <c r="K13261" s="760"/>
    </row>
    <row r="13262" spans="1:11">
      <c r="A13262" s="760"/>
      <c r="B13262" s="760"/>
      <c r="C13262" s="760"/>
      <c r="D13262" s="760"/>
      <c r="E13262" s="760"/>
      <c r="F13262" s="760"/>
      <c r="G13262" s="760"/>
      <c r="H13262" s="760"/>
      <c r="I13262" s="760"/>
      <c r="J13262" s="760"/>
      <c r="K13262" s="760"/>
    </row>
    <row r="13263" spans="1:11">
      <c r="A13263" s="760"/>
      <c r="B13263" s="760"/>
      <c r="C13263" s="760"/>
      <c r="D13263" s="760"/>
      <c r="E13263" s="760"/>
      <c r="F13263" s="760"/>
      <c r="G13263" s="760"/>
      <c r="H13263" s="760"/>
      <c r="I13263" s="760"/>
      <c r="J13263" s="760"/>
      <c r="K13263" s="760"/>
    </row>
    <row r="13264" spans="1:11">
      <c r="A13264" s="760"/>
      <c r="B13264" s="760"/>
      <c r="C13264" s="760"/>
      <c r="D13264" s="760"/>
      <c r="E13264" s="760"/>
      <c r="F13264" s="760"/>
      <c r="G13264" s="760"/>
      <c r="H13264" s="760"/>
      <c r="I13264" s="760"/>
      <c r="J13264" s="760"/>
      <c r="K13264" s="760"/>
    </row>
    <row r="13265" spans="1:11">
      <c r="A13265" s="760"/>
      <c r="B13265" s="760"/>
      <c r="C13265" s="760"/>
      <c r="D13265" s="760"/>
      <c r="E13265" s="760"/>
      <c r="F13265" s="760"/>
      <c r="G13265" s="760"/>
      <c r="H13265" s="760"/>
      <c r="I13265" s="760"/>
      <c r="J13265" s="760"/>
      <c r="K13265" s="760"/>
    </row>
    <row r="13266" spans="1:11">
      <c r="A13266" s="760"/>
      <c r="B13266" s="760"/>
      <c r="C13266" s="760"/>
      <c r="D13266" s="760"/>
      <c r="E13266" s="760"/>
      <c r="F13266" s="760"/>
      <c r="G13266" s="760"/>
      <c r="H13266" s="760"/>
      <c r="I13266" s="760"/>
      <c r="J13266" s="760"/>
      <c r="K13266" s="760"/>
    </row>
    <row r="13267" spans="1:11">
      <c r="A13267" s="760"/>
      <c r="B13267" s="760"/>
      <c r="C13267" s="760"/>
      <c r="D13267" s="760"/>
      <c r="E13267" s="760"/>
      <c r="F13267" s="760"/>
      <c r="G13267" s="760"/>
      <c r="H13267" s="760"/>
      <c r="I13267" s="760"/>
      <c r="J13267" s="760"/>
      <c r="K13267" s="760"/>
    </row>
    <row r="13268" spans="1:11">
      <c r="A13268" s="760"/>
      <c r="B13268" s="760"/>
      <c r="C13268" s="760"/>
      <c r="D13268" s="760"/>
      <c r="E13268" s="760"/>
      <c r="F13268" s="760"/>
      <c r="G13268" s="760"/>
      <c r="H13268" s="760"/>
      <c r="I13268" s="760"/>
      <c r="J13268" s="760"/>
      <c r="K13268" s="760"/>
    </row>
    <row r="13269" spans="1:11">
      <c r="A13269" s="760"/>
      <c r="B13269" s="760"/>
      <c r="C13269" s="760"/>
      <c r="D13269" s="760"/>
      <c r="E13269" s="760"/>
      <c r="F13269" s="760"/>
      <c r="G13269" s="760"/>
      <c r="H13269" s="760"/>
      <c r="I13269" s="760"/>
      <c r="J13269" s="760"/>
      <c r="K13269" s="760"/>
    </row>
    <row r="13270" spans="1:11">
      <c r="A13270" s="760"/>
      <c r="B13270" s="760"/>
      <c r="C13270" s="760"/>
      <c r="D13270" s="760"/>
      <c r="E13270" s="760"/>
      <c r="F13270" s="760"/>
      <c r="G13270" s="760"/>
      <c r="H13270" s="760"/>
      <c r="I13270" s="760"/>
      <c r="J13270" s="760"/>
      <c r="K13270" s="760"/>
    </row>
    <row r="13271" spans="1:11">
      <c r="A13271" s="760"/>
      <c r="B13271" s="760"/>
      <c r="C13271" s="760"/>
      <c r="D13271" s="760"/>
      <c r="E13271" s="760"/>
      <c r="F13271" s="760"/>
      <c r="G13271" s="760"/>
      <c r="H13271" s="760"/>
      <c r="I13271" s="760"/>
      <c r="J13271" s="760"/>
      <c r="K13271" s="760"/>
    </row>
    <row r="13272" spans="1:11">
      <c r="A13272" s="760"/>
      <c r="B13272" s="760"/>
      <c r="C13272" s="760"/>
      <c r="D13272" s="760"/>
      <c r="E13272" s="760"/>
      <c r="F13272" s="760"/>
      <c r="G13272" s="760"/>
      <c r="H13272" s="760"/>
      <c r="I13272" s="760"/>
      <c r="J13272" s="760"/>
      <c r="K13272" s="760"/>
    </row>
    <row r="13273" spans="1:11">
      <c r="A13273" s="760"/>
      <c r="B13273" s="760"/>
      <c r="C13273" s="760"/>
      <c r="D13273" s="760"/>
      <c r="E13273" s="760"/>
      <c r="F13273" s="760"/>
      <c r="G13273" s="760"/>
      <c r="H13273" s="760"/>
      <c r="I13273" s="760"/>
      <c r="J13273" s="760"/>
      <c r="K13273" s="760"/>
    </row>
    <row r="13274" spans="1:11">
      <c r="A13274" s="760"/>
      <c r="B13274" s="760"/>
      <c r="C13274" s="760"/>
      <c r="D13274" s="760"/>
      <c r="E13274" s="760"/>
      <c r="F13274" s="760"/>
      <c r="G13274" s="760"/>
      <c r="H13274" s="760"/>
      <c r="I13274" s="760"/>
      <c r="J13274" s="760"/>
      <c r="K13274" s="760"/>
    </row>
    <row r="13275" spans="1:11">
      <c r="A13275" s="760"/>
      <c r="B13275" s="760"/>
      <c r="C13275" s="760"/>
      <c r="D13275" s="760"/>
      <c r="E13275" s="760"/>
      <c r="F13275" s="760"/>
      <c r="G13275" s="760"/>
      <c r="H13275" s="760"/>
      <c r="I13275" s="760"/>
      <c r="J13275" s="760"/>
      <c r="K13275" s="760"/>
    </row>
    <row r="13276" spans="1:11">
      <c r="A13276" s="760"/>
      <c r="B13276" s="760"/>
      <c r="C13276" s="760"/>
      <c r="D13276" s="760"/>
      <c r="E13276" s="760"/>
      <c r="F13276" s="760"/>
      <c r="G13276" s="760"/>
      <c r="H13276" s="760"/>
      <c r="I13276" s="760"/>
      <c r="J13276" s="760"/>
      <c r="K13276" s="760"/>
    </row>
    <row r="13277" spans="1:11">
      <c r="A13277" s="760"/>
      <c r="B13277" s="760"/>
      <c r="C13277" s="760"/>
      <c r="D13277" s="760"/>
      <c r="E13277" s="760"/>
      <c r="F13277" s="760"/>
      <c r="G13277" s="760"/>
      <c r="H13277" s="760"/>
      <c r="I13277" s="760"/>
      <c r="J13277" s="760"/>
      <c r="K13277" s="760"/>
    </row>
    <row r="13278" spans="1:11">
      <c r="A13278" s="760"/>
      <c r="B13278" s="760"/>
      <c r="C13278" s="760"/>
      <c r="D13278" s="760"/>
      <c r="E13278" s="760"/>
      <c r="F13278" s="760"/>
      <c r="G13278" s="760"/>
      <c r="H13278" s="760"/>
      <c r="I13278" s="760"/>
      <c r="J13278" s="760"/>
      <c r="K13278" s="760"/>
    </row>
    <row r="13279" spans="1:11">
      <c r="A13279" s="760"/>
      <c r="B13279" s="760"/>
      <c r="C13279" s="760"/>
      <c r="D13279" s="760"/>
      <c r="E13279" s="760"/>
      <c r="F13279" s="760"/>
      <c r="G13279" s="760"/>
      <c r="H13279" s="760"/>
      <c r="I13279" s="760"/>
      <c r="J13279" s="760"/>
      <c r="K13279" s="760"/>
    </row>
    <row r="13280" spans="1:11">
      <c r="A13280" s="760"/>
      <c r="B13280" s="760"/>
      <c r="C13280" s="760"/>
      <c r="D13280" s="760"/>
      <c r="E13280" s="760"/>
      <c r="F13280" s="760"/>
      <c r="G13280" s="760"/>
      <c r="H13280" s="760"/>
      <c r="I13280" s="760"/>
      <c r="J13280" s="760"/>
      <c r="K13280" s="760"/>
    </row>
    <row r="13281" spans="1:11">
      <c r="A13281" s="760"/>
      <c r="B13281" s="760"/>
      <c r="C13281" s="760"/>
      <c r="D13281" s="760"/>
      <c r="E13281" s="760"/>
      <c r="F13281" s="760"/>
      <c r="G13281" s="760"/>
      <c r="H13281" s="760"/>
      <c r="I13281" s="760"/>
      <c r="J13281" s="760"/>
      <c r="K13281" s="760"/>
    </row>
    <row r="13282" spans="1:11">
      <c r="A13282" s="760"/>
      <c r="B13282" s="760"/>
      <c r="C13282" s="760"/>
      <c r="D13282" s="760"/>
      <c r="E13282" s="760"/>
      <c r="F13282" s="760"/>
      <c r="G13282" s="760"/>
      <c r="H13282" s="760"/>
      <c r="I13282" s="760"/>
      <c r="J13282" s="760"/>
      <c r="K13282" s="760"/>
    </row>
    <row r="13283" spans="1:11">
      <c r="A13283" s="760"/>
      <c r="B13283" s="760"/>
      <c r="C13283" s="760"/>
      <c r="D13283" s="760"/>
      <c r="E13283" s="760"/>
      <c r="F13283" s="760"/>
      <c r="G13283" s="760"/>
      <c r="H13283" s="760"/>
      <c r="I13283" s="760"/>
      <c r="J13283" s="760"/>
      <c r="K13283" s="760"/>
    </row>
    <row r="13284" spans="1:11">
      <c r="A13284" s="760"/>
      <c r="B13284" s="760"/>
      <c r="C13284" s="760"/>
      <c r="D13284" s="760"/>
      <c r="E13284" s="760"/>
      <c r="F13284" s="760"/>
      <c r="G13284" s="760"/>
      <c r="H13284" s="760"/>
      <c r="I13284" s="760"/>
      <c r="J13284" s="760"/>
      <c r="K13284" s="760"/>
    </row>
    <row r="13285" spans="1:11">
      <c r="A13285" s="760"/>
      <c r="B13285" s="760"/>
      <c r="C13285" s="760"/>
      <c r="D13285" s="760"/>
      <c r="E13285" s="760"/>
      <c r="F13285" s="760"/>
      <c r="G13285" s="760"/>
      <c r="H13285" s="760"/>
      <c r="I13285" s="760"/>
      <c r="J13285" s="760"/>
      <c r="K13285" s="760"/>
    </row>
    <row r="13286" spans="1:11">
      <c r="A13286" s="760"/>
      <c r="B13286" s="760"/>
      <c r="C13286" s="760"/>
      <c r="D13286" s="760"/>
      <c r="E13286" s="760"/>
      <c r="F13286" s="760"/>
      <c r="G13286" s="760"/>
      <c r="H13286" s="760"/>
      <c r="I13286" s="760"/>
      <c r="J13286" s="760"/>
      <c r="K13286" s="760"/>
    </row>
    <row r="13287" spans="1:11">
      <c r="A13287" s="760"/>
      <c r="B13287" s="760"/>
      <c r="C13287" s="760"/>
      <c r="D13287" s="760"/>
      <c r="E13287" s="760"/>
      <c r="F13287" s="760"/>
      <c r="G13287" s="760"/>
      <c r="H13287" s="760"/>
      <c r="I13287" s="760"/>
      <c r="J13287" s="760"/>
      <c r="K13287" s="760"/>
    </row>
    <row r="13288" spans="1:11">
      <c r="A13288" s="760"/>
      <c r="B13288" s="760"/>
      <c r="C13288" s="760"/>
      <c r="D13288" s="760"/>
      <c r="E13288" s="760"/>
      <c r="F13288" s="760"/>
      <c r="G13288" s="760"/>
      <c r="H13288" s="760"/>
      <c r="I13288" s="760"/>
      <c r="J13288" s="760"/>
      <c r="K13288" s="760"/>
    </row>
    <row r="13289" spans="1:11">
      <c r="A13289" s="760"/>
      <c r="B13289" s="760"/>
      <c r="C13289" s="760"/>
      <c r="D13289" s="760"/>
      <c r="E13289" s="760"/>
      <c r="F13289" s="760"/>
      <c r="G13289" s="760"/>
      <c r="H13289" s="760"/>
      <c r="I13289" s="760"/>
      <c r="J13289" s="760"/>
      <c r="K13289" s="760"/>
    </row>
    <row r="13290" spans="1:11">
      <c r="A13290" s="760"/>
      <c r="B13290" s="760"/>
      <c r="C13290" s="760"/>
      <c r="D13290" s="760"/>
      <c r="E13290" s="760"/>
      <c r="F13290" s="760"/>
      <c r="G13290" s="760"/>
      <c r="H13290" s="760"/>
      <c r="I13290" s="760"/>
      <c r="J13290" s="760"/>
      <c r="K13290" s="760"/>
    </row>
    <row r="13291" spans="1:11">
      <c r="A13291" s="760"/>
      <c r="B13291" s="760"/>
      <c r="C13291" s="760"/>
      <c r="D13291" s="760"/>
      <c r="E13291" s="760"/>
      <c r="F13291" s="760"/>
      <c r="G13291" s="760"/>
      <c r="H13291" s="760"/>
      <c r="I13291" s="760"/>
      <c r="J13291" s="760"/>
      <c r="K13291" s="760"/>
    </row>
    <row r="13292" spans="1:11">
      <c r="A13292" s="760"/>
      <c r="B13292" s="760"/>
      <c r="C13292" s="760"/>
      <c r="D13292" s="760"/>
      <c r="E13292" s="760"/>
      <c r="F13292" s="760"/>
      <c r="G13292" s="760"/>
      <c r="H13292" s="760"/>
      <c r="I13292" s="760"/>
      <c r="J13292" s="760"/>
      <c r="K13292" s="760"/>
    </row>
    <row r="13293" spans="1:11">
      <c r="A13293" s="760"/>
      <c r="B13293" s="760"/>
      <c r="C13293" s="760"/>
      <c r="D13293" s="760"/>
      <c r="E13293" s="760"/>
      <c r="F13293" s="760"/>
      <c r="G13293" s="760"/>
      <c r="H13293" s="760"/>
      <c r="I13293" s="760"/>
      <c r="J13293" s="760"/>
      <c r="K13293" s="760"/>
    </row>
    <row r="13294" spans="1:11">
      <c r="A13294" s="760"/>
      <c r="B13294" s="760"/>
      <c r="C13294" s="760"/>
      <c r="D13294" s="760"/>
      <c r="E13294" s="760"/>
      <c r="F13294" s="760"/>
      <c r="G13294" s="760"/>
      <c r="H13294" s="760"/>
      <c r="I13294" s="760"/>
      <c r="J13294" s="760"/>
      <c r="K13294" s="760"/>
    </row>
    <row r="13295" spans="1:11">
      <c r="A13295" s="760"/>
      <c r="B13295" s="760"/>
      <c r="C13295" s="760"/>
      <c r="D13295" s="760"/>
      <c r="E13295" s="760"/>
      <c r="F13295" s="760"/>
      <c r="G13295" s="760"/>
      <c r="H13295" s="760"/>
      <c r="I13295" s="760"/>
      <c r="J13295" s="760"/>
      <c r="K13295" s="760"/>
    </row>
    <row r="13296" spans="1:11">
      <c r="A13296" s="760"/>
      <c r="B13296" s="760"/>
      <c r="C13296" s="760"/>
      <c r="D13296" s="760"/>
      <c r="E13296" s="760"/>
      <c r="F13296" s="760"/>
      <c r="G13296" s="760"/>
      <c r="H13296" s="760"/>
      <c r="I13296" s="760"/>
      <c r="J13296" s="760"/>
      <c r="K13296" s="760"/>
    </row>
    <row r="13297" spans="1:11">
      <c r="A13297" s="760"/>
      <c r="B13297" s="760"/>
      <c r="C13297" s="760"/>
      <c r="D13297" s="760"/>
      <c r="E13297" s="760"/>
      <c r="F13297" s="760"/>
      <c r="G13297" s="760"/>
      <c r="H13297" s="760"/>
      <c r="I13297" s="760"/>
      <c r="J13297" s="760"/>
      <c r="K13297" s="760"/>
    </row>
    <row r="13298" spans="1:11">
      <c r="A13298" s="760"/>
      <c r="B13298" s="760"/>
      <c r="C13298" s="760"/>
      <c r="D13298" s="760"/>
      <c r="E13298" s="760"/>
      <c r="F13298" s="760"/>
      <c r="G13298" s="760"/>
      <c r="H13298" s="760"/>
      <c r="I13298" s="760"/>
      <c r="J13298" s="760"/>
      <c r="K13298" s="760"/>
    </row>
    <row r="13299" spans="1:11">
      <c r="A13299" s="760"/>
      <c r="B13299" s="760"/>
      <c r="C13299" s="760"/>
      <c r="D13299" s="760"/>
      <c r="E13299" s="760"/>
      <c r="F13299" s="760"/>
      <c r="G13299" s="760"/>
      <c r="H13299" s="760"/>
      <c r="I13299" s="760"/>
      <c r="J13299" s="760"/>
      <c r="K13299" s="760"/>
    </row>
    <row r="13300" spans="1:11">
      <c r="A13300" s="760"/>
      <c r="B13300" s="760"/>
      <c r="C13300" s="760"/>
      <c r="D13300" s="760"/>
      <c r="E13300" s="760"/>
      <c r="F13300" s="760"/>
      <c r="G13300" s="760"/>
      <c r="H13300" s="760"/>
      <c r="I13300" s="760"/>
      <c r="J13300" s="760"/>
      <c r="K13300" s="760"/>
    </row>
    <row r="13301" spans="1:11">
      <c r="A13301" s="760"/>
      <c r="B13301" s="760"/>
      <c r="C13301" s="760"/>
      <c r="D13301" s="760"/>
      <c r="E13301" s="760"/>
      <c r="F13301" s="760"/>
      <c r="G13301" s="760"/>
      <c r="H13301" s="760"/>
      <c r="I13301" s="760"/>
      <c r="J13301" s="760"/>
      <c r="K13301" s="760"/>
    </row>
    <row r="13302" spans="1:11">
      <c r="A13302" s="760"/>
      <c r="B13302" s="760"/>
      <c r="C13302" s="760"/>
      <c r="D13302" s="760"/>
      <c r="E13302" s="760"/>
      <c r="F13302" s="760"/>
      <c r="G13302" s="760"/>
      <c r="H13302" s="760"/>
      <c r="I13302" s="760"/>
      <c r="J13302" s="760"/>
      <c r="K13302" s="760"/>
    </row>
    <row r="13303" spans="1:11">
      <c r="A13303" s="760"/>
      <c r="B13303" s="760"/>
      <c r="C13303" s="760"/>
      <c r="D13303" s="760"/>
      <c r="E13303" s="760"/>
      <c r="F13303" s="760"/>
      <c r="G13303" s="760"/>
      <c r="H13303" s="760"/>
      <c r="I13303" s="760"/>
      <c r="J13303" s="760"/>
      <c r="K13303" s="760"/>
    </row>
    <row r="13304" spans="1:11">
      <c r="A13304" s="760"/>
      <c r="B13304" s="760"/>
      <c r="C13304" s="760"/>
      <c r="D13304" s="760"/>
      <c r="E13304" s="760"/>
      <c r="F13304" s="760"/>
      <c r="G13304" s="760"/>
      <c r="H13304" s="760"/>
      <c r="I13304" s="760"/>
      <c r="J13304" s="760"/>
      <c r="K13304" s="760"/>
    </row>
    <row r="13305" spans="1:11">
      <c r="A13305" s="760"/>
      <c r="B13305" s="760"/>
      <c r="C13305" s="760"/>
      <c r="D13305" s="760"/>
      <c r="E13305" s="760"/>
      <c r="F13305" s="760"/>
      <c r="G13305" s="760"/>
      <c r="H13305" s="760"/>
      <c r="I13305" s="760"/>
      <c r="J13305" s="760"/>
      <c r="K13305" s="760"/>
    </row>
    <row r="13306" spans="1:11">
      <c r="A13306" s="760"/>
      <c r="B13306" s="760"/>
      <c r="C13306" s="760"/>
      <c r="D13306" s="760"/>
      <c r="E13306" s="760"/>
      <c r="F13306" s="760"/>
      <c r="G13306" s="760"/>
      <c r="H13306" s="760"/>
      <c r="I13306" s="760"/>
      <c r="J13306" s="760"/>
      <c r="K13306" s="760"/>
    </row>
    <row r="13307" spans="1:11">
      <c r="A13307" s="760"/>
      <c r="B13307" s="760"/>
      <c r="C13307" s="760"/>
      <c r="D13307" s="760"/>
      <c r="E13307" s="760"/>
      <c r="F13307" s="760"/>
      <c r="G13307" s="760"/>
      <c r="H13307" s="760"/>
      <c r="I13307" s="760"/>
      <c r="J13307" s="760"/>
      <c r="K13307" s="760"/>
    </row>
    <row r="13308" spans="1:11">
      <c r="A13308" s="760"/>
      <c r="B13308" s="760"/>
      <c r="C13308" s="760"/>
      <c r="D13308" s="760"/>
      <c r="E13308" s="760"/>
      <c r="F13308" s="760"/>
      <c r="G13308" s="760"/>
      <c r="H13308" s="760"/>
      <c r="I13308" s="760"/>
      <c r="J13308" s="760"/>
      <c r="K13308" s="760"/>
    </row>
    <row r="13309" spans="1:11">
      <c r="A13309" s="760"/>
      <c r="B13309" s="760"/>
      <c r="C13309" s="760"/>
      <c r="D13309" s="760"/>
      <c r="E13309" s="760"/>
      <c r="F13309" s="760"/>
      <c r="G13309" s="760"/>
      <c r="H13309" s="760"/>
      <c r="I13309" s="760"/>
      <c r="J13309" s="760"/>
      <c r="K13309" s="760"/>
    </row>
    <row r="13310" spans="1:11">
      <c r="A13310" s="760"/>
      <c r="B13310" s="760"/>
      <c r="C13310" s="760"/>
      <c r="D13310" s="760"/>
      <c r="E13310" s="760"/>
      <c r="F13310" s="760"/>
      <c r="G13310" s="760"/>
      <c r="H13310" s="760"/>
      <c r="I13310" s="760"/>
      <c r="J13310" s="760"/>
      <c r="K13310" s="760"/>
    </row>
    <row r="13311" spans="1:11">
      <c r="A13311" s="760"/>
      <c r="B13311" s="760"/>
      <c r="C13311" s="760"/>
      <c r="D13311" s="760"/>
      <c r="E13311" s="760"/>
      <c r="F13311" s="760"/>
      <c r="G13311" s="760"/>
      <c r="H13311" s="760"/>
      <c r="I13311" s="760"/>
      <c r="J13311" s="760"/>
      <c r="K13311" s="760"/>
    </row>
    <row r="13312" spans="1:11">
      <c r="A13312" s="760"/>
      <c r="B13312" s="760"/>
      <c r="C13312" s="760"/>
      <c r="D13312" s="760"/>
      <c r="E13312" s="760"/>
      <c r="F13312" s="760"/>
      <c r="G13312" s="760"/>
      <c r="H13312" s="760"/>
      <c r="I13312" s="760"/>
      <c r="J13312" s="760"/>
      <c r="K13312" s="760"/>
    </row>
    <row r="13313" spans="1:11">
      <c r="A13313" s="760"/>
      <c r="B13313" s="760"/>
      <c r="C13313" s="760"/>
      <c r="D13313" s="760"/>
      <c r="E13313" s="760"/>
      <c r="F13313" s="760"/>
      <c r="G13313" s="760"/>
      <c r="H13313" s="760"/>
      <c r="I13313" s="760"/>
      <c r="J13313" s="760"/>
      <c r="K13313" s="760"/>
    </row>
    <row r="13314" spans="1:11">
      <c r="A13314" s="760"/>
      <c r="B13314" s="760"/>
      <c r="C13314" s="760"/>
      <c r="D13314" s="760"/>
      <c r="E13314" s="760"/>
      <c r="F13314" s="760"/>
      <c r="G13314" s="760"/>
      <c r="H13314" s="760"/>
      <c r="I13314" s="760"/>
      <c r="J13314" s="760"/>
      <c r="K13314" s="760"/>
    </row>
    <row r="13315" spans="1:11">
      <c r="A13315" s="760"/>
      <c r="B13315" s="760"/>
      <c r="C13315" s="760"/>
      <c r="D13315" s="760"/>
      <c r="E13315" s="760"/>
      <c r="F13315" s="760"/>
      <c r="G13315" s="760"/>
      <c r="H13315" s="760"/>
      <c r="I13315" s="760"/>
      <c r="J13315" s="760"/>
      <c r="K13315" s="760"/>
    </row>
    <row r="13316" spans="1:11">
      <c r="A13316" s="760"/>
      <c r="B13316" s="760"/>
      <c r="C13316" s="760"/>
      <c r="D13316" s="760"/>
      <c r="E13316" s="760"/>
      <c r="F13316" s="760"/>
      <c r="G13316" s="760"/>
      <c r="H13316" s="760"/>
      <c r="I13316" s="760"/>
      <c r="J13316" s="760"/>
      <c r="K13316" s="760"/>
    </row>
    <row r="13317" spans="1:11">
      <c r="A13317" s="760"/>
      <c r="B13317" s="760"/>
      <c r="C13317" s="760"/>
      <c r="D13317" s="760"/>
      <c r="E13317" s="760"/>
      <c r="F13317" s="760"/>
      <c r="G13317" s="760"/>
      <c r="H13317" s="760"/>
      <c r="I13317" s="760"/>
      <c r="J13317" s="760"/>
      <c r="K13317" s="760"/>
    </row>
    <row r="13318" spans="1:11">
      <c r="A13318" s="760"/>
      <c r="B13318" s="760"/>
      <c r="C13318" s="760"/>
      <c r="D13318" s="760"/>
      <c r="E13318" s="760"/>
      <c r="F13318" s="760"/>
      <c r="G13318" s="760"/>
      <c r="H13318" s="760"/>
      <c r="I13318" s="760"/>
      <c r="J13318" s="760"/>
      <c r="K13318" s="760"/>
    </row>
    <row r="13319" spans="1:11">
      <c r="A13319" s="760"/>
      <c r="B13319" s="760"/>
      <c r="C13319" s="760"/>
      <c r="D13319" s="760"/>
      <c r="E13319" s="760"/>
      <c r="F13319" s="760"/>
      <c r="G13319" s="760"/>
      <c r="H13319" s="760"/>
      <c r="I13319" s="760"/>
      <c r="J13319" s="760"/>
      <c r="K13319" s="760"/>
    </row>
    <row r="13320" spans="1:11">
      <c r="A13320" s="760"/>
      <c r="B13320" s="760"/>
      <c r="C13320" s="760"/>
      <c r="D13320" s="760"/>
      <c r="E13320" s="760"/>
      <c r="F13320" s="760"/>
      <c r="G13320" s="760"/>
      <c r="H13320" s="760"/>
      <c r="I13320" s="760"/>
      <c r="J13320" s="760"/>
      <c r="K13320" s="760"/>
    </row>
    <row r="13321" spans="1:11">
      <c r="A13321" s="760"/>
      <c r="B13321" s="760"/>
      <c r="C13321" s="760"/>
      <c r="D13321" s="760"/>
      <c r="E13321" s="760"/>
      <c r="F13321" s="760"/>
      <c r="G13321" s="760"/>
      <c r="H13321" s="760"/>
      <c r="I13321" s="760"/>
      <c r="J13321" s="760"/>
      <c r="K13321" s="760"/>
    </row>
    <row r="13322" spans="1:11">
      <c r="A13322" s="760"/>
      <c r="B13322" s="760"/>
      <c r="C13322" s="760"/>
      <c r="D13322" s="760"/>
      <c r="E13322" s="760"/>
      <c r="F13322" s="760"/>
      <c r="G13322" s="760"/>
      <c r="H13322" s="760"/>
      <c r="I13322" s="760"/>
      <c r="J13322" s="760"/>
      <c r="K13322" s="760"/>
    </row>
    <row r="13323" spans="1:11">
      <c r="A13323" s="760"/>
      <c r="B13323" s="760"/>
      <c r="C13323" s="760"/>
      <c r="D13323" s="760"/>
      <c r="E13323" s="760"/>
      <c r="F13323" s="760"/>
      <c r="G13323" s="760"/>
      <c r="H13323" s="760"/>
      <c r="I13323" s="760"/>
      <c r="J13323" s="760"/>
      <c r="K13323" s="760"/>
    </row>
    <row r="13324" spans="1:11">
      <c r="A13324" s="760"/>
      <c r="B13324" s="760"/>
      <c r="C13324" s="760"/>
      <c r="D13324" s="760"/>
      <c r="E13324" s="760"/>
      <c r="F13324" s="760"/>
      <c r="G13324" s="760"/>
      <c r="H13324" s="760"/>
      <c r="I13324" s="760"/>
      <c r="J13324" s="760"/>
      <c r="K13324" s="760"/>
    </row>
    <row r="13325" spans="1:11">
      <c r="A13325" s="760"/>
      <c r="B13325" s="760"/>
      <c r="C13325" s="760"/>
      <c r="D13325" s="760"/>
      <c r="E13325" s="760"/>
      <c r="F13325" s="760"/>
      <c r="G13325" s="760"/>
      <c r="H13325" s="760"/>
      <c r="I13325" s="760"/>
      <c r="J13325" s="760"/>
      <c r="K13325" s="760"/>
    </row>
    <row r="13326" spans="1:11">
      <c r="A13326" s="760"/>
      <c r="B13326" s="760"/>
      <c r="C13326" s="760"/>
      <c r="D13326" s="760"/>
      <c r="E13326" s="760"/>
      <c r="F13326" s="760"/>
      <c r="G13326" s="760"/>
      <c r="H13326" s="760"/>
      <c r="I13326" s="760"/>
      <c r="J13326" s="760"/>
      <c r="K13326" s="760"/>
    </row>
    <row r="13327" spans="1:11">
      <c r="A13327" s="760"/>
      <c r="B13327" s="760"/>
      <c r="C13327" s="760"/>
      <c r="D13327" s="760"/>
      <c r="E13327" s="760"/>
      <c r="F13327" s="760"/>
      <c r="G13327" s="760"/>
      <c r="H13327" s="760"/>
      <c r="I13327" s="760"/>
      <c r="J13327" s="760"/>
      <c r="K13327" s="760"/>
    </row>
    <row r="13328" spans="1:11">
      <c r="A13328" s="760"/>
      <c r="B13328" s="760"/>
      <c r="C13328" s="760"/>
      <c r="D13328" s="760"/>
      <c r="E13328" s="760"/>
      <c r="F13328" s="760"/>
      <c r="G13328" s="760"/>
      <c r="H13328" s="760"/>
      <c r="I13328" s="760"/>
      <c r="J13328" s="760"/>
      <c r="K13328" s="760"/>
    </row>
    <row r="13329" spans="1:11">
      <c r="A13329" s="760"/>
      <c r="B13329" s="760"/>
      <c r="C13329" s="760"/>
      <c r="D13329" s="760"/>
      <c r="E13329" s="760"/>
      <c r="F13329" s="760"/>
      <c r="G13329" s="760"/>
      <c r="H13329" s="760"/>
      <c r="I13329" s="760"/>
      <c r="J13329" s="760"/>
      <c r="K13329" s="760"/>
    </row>
    <row r="13330" spans="1:11">
      <c r="A13330" s="760"/>
      <c r="B13330" s="760"/>
      <c r="C13330" s="760"/>
      <c r="D13330" s="760"/>
      <c r="E13330" s="760"/>
      <c r="F13330" s="760"/>
      <c r="G13330" s="760"/>
      <c r="H13330" s="760"/>
      <c r="I13330" s="760"/>
      <c r="J13330" s="760"/>
      <c r="K13330" s="760"/>
    </row>
    <row r="13331" spans="1:11">
      <c r="A13331" s="760"/>
      <c r="B13331" s="760"/>
      <c r="C13331" s="760"/>
      <c r="D13331" s="760"/>
      <c r="E13331" s="760"/>
      <c r="F13331" s="760"/>
      <c r="G13331" s="760"/>
      <c r="H13331" s="760"/>
      <c r="I13331" s="760"/>
      <c r="J13331" s="760"/>
      <c r="K13331" s="760"/>
    </row>
    <row r="13332" spans="1:11">
      <c r="A13332" s="760"/>
      <c r="B13332" s="760"/>
      <c r="C13332" s="760"/>
      <c r="D13332" s="760"/>
      <c r="E13332" s="760"/>
      <c r="F13332" s="760"/>
      <c r="G13332" s="760"/>
      <c r="H13332" s="760"/>
      <c r="I13332" s="760"/>
      <c r="J13332" s="760"/>
      <c r="K13332" s="760"/>
    </row>
    <row r="13333" spans="1:11">
      <c r="A13333" s="760"/>
      <c r="B13333" s="760"/>
      <c r="C13333" s="760"/>
      <c r="D13333" s="760"/>
      <c r="E13333" s="760"/>
      <c r="F13333" s="760"/>
      <c r="G13333" s="760"/>
      <c r="H13333" s="760"/>
      <c r="I13333" s="760"/>
      <c r="J13333" s="760"/>
      <c r="K13333" s="760"/>
    </row>
    <row r="13334" spans="1:11">
      <c r="A13334" s="760"/>
      <c r="B13334" s="760"/>
      <c r="C13334" s="760"/>
      <c r="D13334" s="760"/>
      <c r="E13334" s="760"/>
      <c r="F13334" s="760"/>
      <c r="G13334" s="760"/>
      <c r="H13334" s="760"/>
      <c r="I13334" s="760"/>
      <c r="J13334" s="760"/>
      <c r="K13334" s="760"/>
    </row>
    <row r="13335" spans="1:11">
      <c r="A13335" s="760"/>
      <c r="B13335" s="760"/>
      <c r="C13335" s="760"/>
      <c r="D13335" s="760"/>
      <c r="E13335" s="760"/>
      <c r="F13335" s="760"/>
      <c r="G13335" s="760"/>
      <c r="H13335" s="760"/>
      <c r="I13335" s="760"/>
      <c r="J13335" s="760"/>
      <c r="K13335" s="760"/>
    </row>
    <row r="13336" spans="1:11">
      <c r="A13336" s="760"/>
      <c r="B13336" s="760"/>
      <c r="C13336" s="760"/>
      <c r="D13336" s="760"/>
      <c r="E13336" s="760"/>
      <c r="F13336" s="760"/>
      <c r="G13336" s="760"/>
      <c r="H13336" s="760"/>
      <c r="I13336" s="760"/>
      <c r="J13336" s="760"/>
      <c r="K13336" s="760"/>
    </row>
    <row r="13337" spans="1:11">
      <c r="A13337" s="760"/>
      <c r="B13337" s="760"/>
      <c r="C13337" s="760"/>
      <c r="D13337" s="760"/>
      <c r="E13337" s="760"/>
      <c r="F13337" s="760"/>
      <c r="G13337" s="760"/>
      <c r="H13337" s="760"/>
      <c r="I13337" s="760"/>
      <c r="J13337" s="760"/>
      <c r="K13337" s="760"/>
    </row>
    <row r="13338" spans="1:11">
      <c r="A13338" s="760"/>
      <c r="B13338" s="760"/>
      <c r="C13338" s="760"/>
      <c r="D13338" s="760"/>
      <c r="E13338" s="760"/>
      <c r="F13338" s="760"/>
      <c r="G13338" s="760"/>
      <c r="H13338" s="760"/>
      <c r="I13338" s="760"/>
      <c r="J13338" s="760"/>
      <c r="K13338" s="760"/>
    </row>
    <row r="13339" spans="1:11">
      <c r="A13339" s="760"/>
      <c r="B13339" s="760"/>
      <c r="C13339" s="760"/>
      <c r="D13339" s="760"/>
      <c r="E13339" s="760"/>
      <c r="F13339" s="760"/>
      <c r="G13339" s="760"/>
      <c r="H13339" s="760"/>
      <c r="I13339" s="760"/>
      <c r="J13339" s="760"/>
      <c r="K13339" s="760"/>
    </row>
    <row r="13340" spans="1:11">
      <c r="A13340" s="760"/>
      <c r="B13340" s="760"/>
      <c r="C13340" s="760"/>
      <c r="D13340" s="760"/>
      <c r="E13340" s="760"/>
      <c r="F13340" s="760"/>
      <c r="G13340" s="760"/>
      <c r="H13340" s="760"/>
      <c r="I13340" s="760"/>
      <c r="J13340" s="760"/>
      <c r="K13340" s="760"/>
    </row>
    <row r="13341" spans="1:11">
      <c r="A13341" s="760"/>
      <c r="B13341" s="760"/>
      <c r="C13341" s="760"/>
      <c r="D13341" s="760"/>
      <c r="E13341" s="760"/>
      <c r="F13341" s="760"/>
      <c r="G13341" s="760"/>
      <c r="H13341" s="760"/>
      <c r="I13341" s="760"/>
      <c r="J13341" s="760"/>
      <c r="K13341" s="760"/>
    </row>
    <row r="13342" spans="1:11">
      <c r="A13342" s="760"/>
      <c r="B13342" s="760"/>
      <c r="C13342" s="760"/>
      <c r="D13342" s="760"/>
      <c r="E13342" s="760"/>
      <c r="F13342" s="760"/>
      <c r="G13342" s="760"/>
      <c r="H13342" s="760"/>
      <c r="I13342" s="760"/>
      <c r="J13342" s="760"/>
      <c r="K13342" s="760"/>
    </row>
    <row r="13343" spans="1:11">
      <c r="A13343" s="760"/>
      <c r="B13343" s="760"/>
      <c r="C13343" s="760"/>
      <c r="D13343" s="760"/>
      <c r="E13343" s="760"/>
      <c r="F13343" s="760"/>
      <c r="G13343" s="760"/>
      <c r="H13343" s="760"/>
      <c r="I13343" s="760"/>
      <c r="J13343" s="760"/>
      <c r="K13343" s="760"/>
    </row>
    <row r="13344" spans="1:11">
      <c r="A13344" s="760"/>
      <c r="B13344" s="760"/>
      <c r="C13344" s="760"/>
      <c r="D13344" s="760"/>
      <c r="E13344" s="760"/>
      <c r="F13344" s="760"/>
      <c r="G13344" s="760"/>
      <c r="H13344" s="760"/>
      <c r="I13344" s="760"/>
      <c r="J13344" s="760"/>
      <c r="K13344" s="760"/>
    </row>
    <row r="13345" spans="1:11">
      <c r="A13345" s="760"/>
      <c r="B13345" s="760"/>
      <c r="C13345" s="760"/>
      <c r="D13345" s="760"/>
      <c r="E13345" s="760"/>
      <c r="F13345" s="760"/>
      <c r="G13345" s="760"/>
      <c r="H13345" s="760"/>
      <c r="I13345" s="760"/>
      <c r="J13345" s="760"/>
      <c r="K13345" s="760"/>
    </row>
    <row r="13346" spans="1:11">
      <c r="A13346" s="760"/>
      <c r="B13346" s="760"/>
      <c r="C13346" s="760"/>
      <c r="D13346" s="760"/>
      <c r="E13346" s="760"/>
      <c r="F13346" s="760"/>
      <c r="G13346" s="760"/>
      <c r="H13346" s="760"/>
      <c r="I13346" s="760"/>
      <c r="J13346" s="760"/>
      <c r="K13346" s="760"/>
    </row>
    <row r="13347" spans="1:11">
      <c r="A13347" s="760"/>
      <c r="B13347" s="760"/>
      <c r="C13347" s="760"/>
      <c r="D13347" s="760"/>
      <c r="E13347" s="760"/>
      <c r="F13347" s="760"/>
      <c r="G13347" s="760"/>
      <c r="H13347" s="760"/>
      <c r="I13347" s="760"/>
      <c r="J13347" s="760"/>
      <c r="K13347" s="760"/>
    </row>
    <row r="13348" spans="1:11">
      <c r="A13348" s="760"/>
      <c r="B13348" s="760"/>
      <c r="C13348" s="760"/>
      <c r="D13348" s="760"/>
      <c r="E13348" s="760"/>
      <c r="F13348" s="760"/>
      <c r="G13348" s="760"/>
      <c r="H13348" s="760"/>
      <c r="I13348" s="760"/>
      <c r="J13348" s="760"/>
      <c r="K13348" s="760"/>
    </row>
    <row r="13349" spans="1:11">
      <c r="A13349" s="760"/>
      <c r="B13349" s="760"/>
      <c r="C13349" s="760"/>
      <c r="D13349" s="760"/>
      <c r="E13349" s="760"/>
      <c r="F13349" s="760"/>
      <c r="G13349" s="760"/>
      <c r="H13349" s="760"/>
      <c r="I13349" s="760"/>
      <c r="J13349" s="760"/>
      <c r="K13349" s="760"/>
    </row>
    <row r="13350" spans="1:11">
      <c r="A13350" s="760"/>
      <c r="B13350" s="760"/>
      <c r="C13350" s="760"/>
      <c r="D13350" s="760"/>
      <c r="E13350" s="760"/>
      <c r="F13350" s="760"/>
      <c r="G13350" s="760"/>
      <c r="H13350" s="760"/>
      <c r="I13350" s="760"/>
      <c r="J13350" s="760"/>
      <c r="K13350" s="760"/>
    </row>
    <row r="13351" spans="1:11">
      <c r="A13351" s="760"/>
      <c r="B13351" s="760"/>
      <c r="C13351" s="760"/>
      <c r="D13351" s="760"/>
      <c r="E13351" s="760"/>
      <c r="F13351" s="760"/>
      <c r="G13351" s="760"/>
      <c r="H13351" s="760"/>
      <c r="I13351" s="760"/>
      <c r="J13351" s="760"/>
      <c r="K13351" s="760"/>
    </row>
    <row r="13352" spans="1:11">
      <c r="A13352" s="760"/>
      <c r="B13352" s="760"/>
      <c r="C13352" s="760"/>
      <c r="D13352" s="760"/>
      <c r="E13352" s="760"/>
      <c r="F13352" s="760"/>
      <c r="G13352" s="760"/>
      <c r="H13352" s="760"/>
      <c r="I13352" s="760"/>
      <c r="J13352" s="760"/>
      <c r="K13352" s="760"/>
    </row>
    <row r="13353" spans="1:11">
      <c r="A13353" s="760"/>
      <c r="B13353" s="760"/>
      <c r="C13353" s="760"/>
      <c r="D13353" s="760"/>
      <c r="E13353" s="760"/>
      <c r="F13353" s="760"/>
      <c r="G13353" s="760"/>
      <c r="H13353" s="760"/>
      <c r="I13353" s="760"/>
      <c r="J13353" s="760"/>
      <c r="K13353" s="760"/>
    </row>
    <row r="13354" spans="1:11">
      <c r="A13354" s="760"/>
      <c r="B13354" s="760"/>
      <c r="C13354" s="760"/>
      <c r="D13354" s="760"/>
      <c r="E13354" s="760"/>
      <c r="F13354" s="760"/>
      <c r="G13354" s="760"/>
      <c r="H13354" s="760"/>
      <c r="I13354" s="760"/>
      <c r="J13354" s="760"/>
      <c r="K13354" s="760"/>
    </row>
    <row r="13355" spans="1:11">
      <c r="A13355" s="760"/>
      <c r="B13355" s="760"/>
      <c r="C13355" s="760"/>
      <c r="D13355" s="760"/>
      <c r="E13355" s="760"/>
      <c r="F13355" s="760"/>
      <c r="G13355" s="760"/>
      <c r="H13355" s="760"/>
      <c r="I13355" s="760"/>
      <c r="J13355" s="760"/>
      <c r="K13355" s="760"/>
    </row>
    <row r="13356" spans="1:11">
      <c r="A13356" s="760"/>
      <c r="B13356" s="760"/>
      <c r="C13356" s="760"/>
      <c r="D13356" s="760"/>
      <c r="E13356" s="760"/>
      <c r="F13356" s="760"/>
      <c r="G13356" s="760"/>
      <c r="H13356" s="760"/>
      <c r="I13356" s="760"/>
      <c r="J13356" s="760"/>
      <c r="K13356" s="760"/>
    </row>
    <row r="13357" spans="1:11">
      <c r="A13357" s="760"/>
      <c r="B13357" s="760"/>
      <c r="C13357" s="760"/>
      <c r="D13357" s="760"/>
      <c r="E13357" s="760"/>
      <c r="F13357" s="760"/>
      <c r="G13357" s="760"/>
      <c r="H13357" s="760"/>
      <c r="I13357" s="760"/>
      <c r="J13357" s="760"/>
      <c r="K13357" s="760"/>
    </row>
    <row r="13358" spans="1:11">
      <c r="A13358" s="760"/>
      <c r="B13358" s="760"/>
      <c r="C13358" s="760"/>
      <c r="D13358" s="760"/>
      <c r="E13358" s="760"/>
      <c r="F13358" s="760"/>
      <c r="G13358" s="760"/>
      <c r="H13358" s="760"/>
      <c r="I13358" s="760"/>
      <c r="J13358" s="760"/>
      <c r="K13358" s="760"/>
    </row>
    <row r="13359" spans="1:11">
      <c r="A13359" s="760"/>
      <c r="B13359" s="760"/>
      <c r="C13359" s="760"/>
      <c r="D13359" s="760"/>
      <c r="E13359" s="760"/>
      <c r="F13359" s="760"/>
      <c r="G13359" s="760"/>
      <c r="H13359" s="760"/>
      <c r="I13359" s="760"/>
      <c r="J13359" s="760"/>
      <c r="K13359" s="760"/>
    </row>
    <row r="13360" spans="1:11">
      <c r="A13360" s="760"/>
      <c r="B13360" s="760"/>
      <c r="C13360" s="760"/>
      <c r="D13360" s="760"/>
      <c r="E13360" s="760"/>
      <c r="F13360" s="760"/>
      <c r="G13360" s="760"/>
      <c r="H13360" s="760"/>
      <c r="I13360" s="760"/>
      <c r="J13360" s="760"/>
      <c r="K13360" s="760"/>
    </row>
    <row r="13361" spans="1:11">
      <c r="A13361" s="760"/>
      <c r="B13361" s="760"/>
      <c r="C13361" s="760"/>
      <c r="D13361" s="760"/>
      <c r="E13361" s="760"/>
      <c r="F13361" s="760"/>
      <c r="G13361" s="760"/>
      <c r="H13361" s="760"/>
      <c r="I13361" s="760"/>
      <c r="J13361" s="760"/>
      <c r="K13361" s="760"/>
    </row>
    <row r="13362" spans="1:11">
      <c r="A13362" s="760"/>
      <c r="B13362" s="760"/>
      <c r="C13362" s="760"/>
      <c r="D13362" s="760"/>
      <c r="E13362" s="760"/>
      <c r="F13362" s="760"/>
      <c r="G13362" s="760"/>
      <c r="H13362" s="760"/>
      <c r="I13362" s="760"/>
      <c r="J13362" s="760"/>
      <c r="K13362" s="760"/>
    </row>
    <row r="13363" spans="1:11">
      <c r="A13363" s="760"/>
      <c r="B13363" s="760"/>
      <c r="C13363" s="760"/>
      <c r="D13363" s="760"/>
      <c r="E13363" s="760"/>
      <c r="F13363" s="760"/>
      <c r="G13363" s="760"/>
      <c r="H13363" s="760"/>
      <c r="I13363" s="760"/>
      <c r="J13363" s="760"/>
      <c r="K13363" s="760"/>
    </row>
    <row r="13364" spans="1:11">
      <c r="A13364" s="760"/>
      <c r="B13364" s="760"/>
      <c r="C13364" s="760"/>
      <c r="D13364" s="760"/>
      <c r="E13364" s="760"/>
      <c r="F13364" s="760"/>
      <c r="G13364" s="760"/>
      <c r="H13364" s="760"/>
      <c r="I13364" s="760"/>
      <c r="J13364" s="760"/>
      <c r="K13364" s="760"/>
    </row>
    <row r="13365" spans="1:11">
      <c r="A13365" s="760"/>
      <c r="B13365" s="760"/>
      <c r="C13365" s="760"/>
      <c r="D13365" s="760"/>
      <c r="E13365" s="760"/>
      <c r="F13365" s="760"/>
      <c r="G13365" s="760"/>
      <c r="H13365" s="760"/>
      <c r="I13365" s="760"/>
      <c r="J13365" s="760"/>
      <c r="K13365" s="760"/>
    </row>
    <row r="13366" spans="1:11">
      <c r="A13366" s="760"/>
      <c r="B13366" s="760"/>
      <c r="C13366" s="760"/>
      <c r="D13366" s="760"/>
      <c r="E13366" s="760"/>
      <c r="F13366" s="760"/>
      <c r="G13366" s="760"/>
      <c r="H13366" s="760"/>
      <c r="I13366" s="760"/>
      <c r="J13366" s="760"/>
      <c r="K13366" s="760"/>
    </row>
    <row r="13367" spans="1:11">
      <c r="A13367" s="760"/>
      <c r="B13367" s="760"/>
      <c r="C13367" s="760"/>
      <c r="D13367" s="760"/>
      <c r="E13367" s="760"/>
      <c r="F13367" s="760"/>
      <c r="G13367" s="760"/>
      <c r="H13367" s="760"/>
      <c r="I13367" s="760"/>
      <c r="J13367" s="760"/>
      <c r="K13367" s="760"/>
    </row>
    <row r="13368" spans="1:11">
      <c r="A13368" s="760"/>
      <c r="B13368" s="760"/>
      <c r="C13368" s="760"/>
      <c r="D13368" s="760"/>
      <c r="E13368" s="760"/>
      <c r="F13368" s="760"/>
      <c r="G13368" s="760"/>
      <c r="H13368" s="760"/>
      <c r="I13368" s="760"/>
      <c r="J13368" s="760"/>
      <c r="K13368" s="760"/>
    </row>
    <row r="13369" spans="1:11">
      <c r="A13369" s="760"/>
      <c r="B13369" s="760"/>
      <c r="C13369" s="760"/>
      <c r="D13369" s="760"/>
      <c r="E13369" s="760"/>
      <c r="F13369" s="760"/>
      <c r="G13369" s="760"/>
      <c r="H13369" s="760"/>
      <c r="I13369" s="760"/>
      <c r="J13369" s="760"/>
      <c r="K13369" s="760"/>
    </row>
    <row r="13370" spans="1:11">
      <c r="A13370" s="760"/>
      <c r="B13370" s="760"/>
      <c r="C13370" s="760"/>
      <c r="D13370" s="760"/>
      <c r="E13370" s="760"/>
      <c r="F13370" s="760"/>
      <c r="G13370" s="760"/>
      <c r="H13370" s="760"/>
      <c r="I13370" s="760"/>
      <c r="J13370" s="760"/>
      <c r="K13370" s="760"/>
    </row>
    <row r="13371" spans="1:11">
      <c r="A13371" s="760"/>
      <c r="B13371" s="760"/>
      <c r="C13371" s="760"/>
      <c r="D13371" s="760"/>
      <c r="E13371" s="760"/>
      <c r="F13371" s="760"/>
      <c r="G13371" s="760"/>
      <c r="H13371" s="760"/>
      <c r="I13371" s="760"/>
      <c r="J13371" s="760"/>
      <c r="K13371" s="760"/>
    </row>
    <row r="13372" spans="1:11">
      <c r="A13372" s="760"/>
      <c r="B13372" s="760"/>
      <c r="C13372" s="760"/>
      <c r="D13372" s="760"/>
      <c r="E13372" s="760"/>
      <c r="F13372" s="760"/>
      <c r="G13372" s="760"/>
      <c r="H13372" s="760"/>
      <c r="I13372" s="760"/>
      <c r="J13372" s="760"/>
      <c r="K13372" s="760"/>
    </row>
    <row r="13373" spans="1:11">
      <c r="A13373" s="760"/>
      <c r="B13373" s="760"/>
      <c r="C13373" s="760"/>
      <c r="D13373" s="760"/>
      <c r="E13373" s="760"/>
      <c r="F13373" s="760"/>
      <c r="G13373" s="760"/>
      <c r="H13373" s="760"/>
      <c r="I13373" s="760"/>
      <c r="J13373" s="760"/>
      <c r="K13373" s="760"/>
    </row>
    <row r="13374" spans="1:11">
      <c r="A13374" s="760"/>
      <c r="B13374" s="760"/>
      <c r="C13374" s="760"/>
      <c r="D13374" s="760"/>
      <c r="E13374" s="760"/>
      <c r="F13374" s="760"/>
      <c r="G13374" s="760"/>
      <c r="H13374" s="760"/>
      <c r="I13374" s="760"/>
      <c r="J13374" s="760"/>
      <c r="K13374" s="760"/>
    </row>
    <row r="13375" spans="1:11">
      <c r="A13375" s="760"/>
      <c r="B13375" s="760"/>
      <c r="C13375" s="760"/>
      <c r="D13375" s="760"/>
      <c r="E13375" s="760"/>
      <c r="F13375" s="760"/>
      <c r="G13375" s="760"/>
      <c r="H13375" s="760"/>
      <c r="I13375" s="760"/>
      <c r="J13375" s="760"/>
      <c r="K13375" s="760"/>
    </row>
    <row r="13376" spans="1:11">
      <c r="A13376" s="760"/>
      <c r="B13376" s="760"/>
      <c r="C13376" s="760"/>
      <c r="D13376" s="760"/>
      <c r="E13376" s="760"/>
      <c r="F13376" s="760"/>
      <c r="G13376" s="760"/>
      <c r="H13376" s="760"/>
      <c r="I13376" s="760"/>
      <c r="J13376" s="760"/>
      <c r="K13376" s="760"/>
    </row>
    <row r="13377" spans="1:11">
      <c r="A13377" s="760"/>
      <c r="B13377" s="760"/>
      <c r="C13377" s="760"/>
      <c r="D13377" s="760"/>
      <c r="E13377" s="760"/>
      <c r="F13377" s="760"/>
      <c r="G13377" s="760"/>
      <c r="H13377" s="760"/>
      <c r="I13377" s="760"/>
      <c r="J13377" s="760"/>
      <c r="K13377" s="760"/>
    </row>
    <row r="13378" spans="1:11">
      <c r="A13378" s="760"/>
      <c r="B13378" s="760"/>
      <c r="C13378" s="760"/>
      <c r="D13378" s="760"/>
      <c r="E13378" s="760"/>
      <c r="F13378" s="760"/>
      <c r="G13378" s="760"/>
      <c r="H13378" s="760"/>
      <c r="I13378" s="760"/>
      <c r="J13378" s="760"/>
      <c r="K13378" s="760"/>
    </row>
    <row r="13379" spans="1:11">
      <c r="A13379" s="760"/>
      <c r="B13379" s="760"/>
      <c r="C13379" s="760"/>
      <c r="D13379" s="760"/>
      <c r="E13379" s="760"/>
      <c r="F13379" s="760"/>
      <c r="G13379" s="760"/>
      <c r="H13379" s="760"/>
      <c r="I13379" s="760"/>
      <c r="J13379" s="760"/>
      <c r="K13379" s="760"/>
    </row>
    <row r="13380" spans="1:11">
      <c r="A13380" s="760"/>
      <c r="B13380" s="760"/>
      <c r="C13380" s="760"/>
      <c r="D13380" s="760"/>
      <c r="E13380" s="760"/>
      <c r="F13380" s="760"/>
      <c r="G13380" s="760"/>
      <c r="H13380" s="760"/>
      <c r="I13380" s="760"/>
      <c r="J13380" s="760"/>
      <c r="K13380" s="760"/>
    </row>
    <row r="13381" spans="1:11">
      <c r="A13381" s="760"/>
      <c r="B13381" s="760"/>
      <c r="C13381" s="760"/>
      <c r="D13381" s="760"/>
      <c r="E13381" s="760"/>
      <c r="F13381" s="760"/>
      <c r="G13381" s="760"/>
      <c r="H13381" s="760"/>
      <c r="I13381" s="760"/>
      <c r="J13381" s="760"/>
      <c r="K13381" s="760"/>
    </row>
    <row r="13382" spans="1:11">
      <c r="A13382" s="760"/>
      <c r="B13382" s="760"/>
      <c r="C13382" s="760"/>
      <c r="D13382" s="760"/>
      <c r="E13382" s="760"/>
      <c r="F13382" s="760"/>
      <c r="G13382" s="760"/>
      <c r="H13382" s="760"/>
      <c r="I13382" s="760"/>
      <c r="J13382" s="760"/>
      <c r="K13382" s="760"/>
    </row>
    <row r="13383" spans="1:11">
      <c r="A13383" s="760"/>
      <c r="B13383" s="760"/>
      <c r="C13383" s="760"/>
      <c r="D13383" s="760"/>
      <c r="E13383" s="760"/>
      <c r="F13383" s="760"/>
      <c r="G13383" s="760"/>
      <c r="H13383" s="760"/>
      <c r="I13383" s="760"/>
      <c r="J13383" s="760"/>
      <c r="K13383" s="760"/>
    </row>
    <row r="13384" spans="1:11">
      <c r="A13384" s="760"/>
      <c r="B13384" s="760"/>
      <c r="C13384" s="760"/>
      <c r="D13384" s="760"/>
      <c r="E13384" s="760"/>
      <c r="F13384" s="760"/>
      <c r="G13384" s="760"/>
      <c r="H13384" s="760"/>
      <c r="I13384" s="760"/>
      <c r="J13384" s="760"/>
      <c r="K13384" s="760"/>
    </row>
    <row r="13385" spans="1:11">
      <c r="A13385" s="760"/>
      <c r="B13385" s="760"/>
      <c r="C13385" s="760"/>
      <c r="D13385" s="760"/>
      <c r="E13385" s="760"/>
      <c r="F13385" s="760"/>
      <c r="G13385" s="760"/>
      <c r="H13385" s="760"/>
      <c r="I13385" s="760"/>
      <c r="J13385" s="760"/>
      <c r="K13385" s="760"/>
    </row>
    <row r="13386" spans="1:11">
      <c r="A13386" s="760"/>
      <c r="B13386" s="760"/>
      <c r="C13386" s="760"/>
      <c r="D13386" s="760"/>
      <c r="E13386" s="760"/>
      <c r="F13386" s="760"/>
      <c r="G13386" s="760"/>
      <c r="H13386" s="760"/>
      <c r="I13386" s="760"/>
      <c r="J13386" s="760"/>
      <c r="K13386" s="760"/>
    </row>
    <row r="13387" spans="1:11">
      <c r="A13387" s="760"/>
      <c r="B13387" s="760"/>
      <c r="C13387" s="760"/>
      <c r="D13387" s="760"/>
      <c r="E13387" s="760"/>
      <c r="F13387" s="760"/>
      <c r="G13387" s="760"/>
      <c r="H13387" s="760"/>
      <c r="I13387" s="760"/>
      <c r="J13387" s="760"/>
      <c r="K13387" s="760"/>
    </row>
    <row r="13388" spans="1:11">
      <c r="A13388" s="760"/>
      <c r="B13388" s="760"/>
      <c r="C13388" s="760"/>
      <c r="D13388" s="760"/>
      <c r="E13388" s="760"/>
      <c r="F13388" s="760"/>
      <c r="G13388" s="760"/>
      <c r="H13388" s="760"/>
      <c r="I13388" s="760"/>
      <c r="J13388" s="760"/>
      <c r="K13388" s="760"/>
    </row>
    <row r="13389" spans="1:11">
      <c r="A13389" s="760"/>
      <c r="B13389" s="760"/>
      <c r="C13389" s="760"/>
      <c r="D13389" s="760"/>
      <c r="E13389" s="760"/>
      <c r="F13389" s="760"/>
      <c r="G13389" s="760"/>
      <c r="H13389" s="760"/>
      <c r="I13389" s="760"/>
      <c r="J13389" s="760"/>
      <c r="K13389" s="760"/>
    </row>
    <row r="13390" spans="1:11">
      <c r="A13390" s="760"/>
      <c r="B13390" s="760"/>
      <c r="C13390" s="760"/>
      <c r="D13390" s="760"/>
      <c r="E13390" s="760"/>
      <c r="F13390" s="760"/>
      <c r="G13390" s="760"/>
      <c r="H13390" s="760"/>
      <c r="I13390" s="760"/>
      <c r="J13390" s="760"/>
      <c r="K13390" s="760"/>
    </row>
    <row r="13391" spans="1:11">
      <c r="A13391" s="760"/>
      <c r="B13391" s="760"/>
      <c r="C13391" s="760"/>
      <c r="D13391" s="760"/>
      <c r="E13391" s="760"/>
      <c r="F13391" s="760"/>
      <c r="G13391" s="760"/>
      <c r="H13391" s="760"/>
      <c r="I13391" s="760"/>
      <c r="J13391" s="760"/>
      <c r="K13391" s="760"/>
    </row>
    <row r="13392" spans="1:11">
      <c r="A13392" s="760"/>
      <c r="B13392" s="760"/>
      <c r="C13392" s="760"/>
      <c r="D13392" s="760"/>
      <c r="E13392" s="760"/>
      <c r="F13392" s="760"/>
      <c r="G13392" s="760"/>
      <c r="H13392" s="760"/>
      <c r="I13392" s="760"/>
      <c r="J13392" s="760"/>
      <c r="K13392" s="760"/>
    </row>
    <row r="13393" spans="1:11">
      <c r="A13393" s="760"/>
      <c r="B13393" s="760"/>
      <c r="C13393" s="760"/>
      <c r="D13393" s="760"/>
      <c r="E13393" s="760"/>
      <c r="F13393" s="760"/>
      <c r="G13393" s="760"/>
      <c r="H13393" s="760"/>
      <c r="I13393" s="760"/>
      <c r="J13393" s="760"/>
      <c r="K13393" s="760"/>
    </row>
    <row r="13394" spans="1:11">
      <c r="A13394" s="760"/>
      <c r="B13394" s="760"/>
      <c r="C13394" s="760"/>
      <c r="D13394" s="760"/>
      <c r="E13394" s="760"/>
      <c r="F13394" s="760"/>
      <c r="G13394" s="760"/>
      <c r="H13394" s="760"/>
      <c r="I13394" s="760"/>
      <c r="J13394" s="760"/>
      <c r="K13394" s="760"/>
    </row>
    <row r="13395" spans="1:11">
      <c r="A13395" s="760"/>
      <c r="B13395" s="760"/>
      <c r="C13395" s="760"/>
      <c r="D13395" s="760"/>
      <c r="E13395" s="760"/>
      <c r="F13395" s="760"/>
      <c r="G13395" s="760"/>
      <c r="H13395" s="760"/>
      <c r="I13395" s="760"/>
      <c r="J13395" s="760"/>
      <c r="K13395" s="760"/>
    </row>
    <row r="13396" spans="1:11">
      <c r="A13396" s="760"/>
      <c r="B13396" s="760"/>
      <c r="C13396" s="760"/>
      <c r="D13396" s="760"/>
      <c r="E13396" s="760"/>
      <c r="F13396" s="760"/>
      <c r="G13396" s="760"/>
      <c r="H13396" s="760"/>
      <c r="I13396" s="760"/>
      <c r="J13396" s="760"/>
      <c r="K13396" s="760"/>
    </row>
    <row r="13397" spans="1:11">
      <c r="A13397" s="760"/>
      <c r="B13397" s="760"/>
      <c r="C13397" s="760"/>
      <c r="D13397" s="760"/>
      <c r="E13397" s="760"/>
      <c r="F13397" s="760"/>
      <c r="G13397" s="760"/>
      <c r="H13397" s="760"/>
      <c r="I13397" s="760"/>
      <c r="J13397" s="760"/>
      <c r="K13397" s="760"/>
    </row>
    <row r="13398" spans="1:11">
      <c r="A13398" s="760"/>
      <c r="B13398" s="760"/>
      <c r="C13398" s="760"/>
      <c r="D13398" s="760"/>
      <c r="E13398" s="760"/>
      <c r="F13398" s="760"/>
      <c r="G13398" s="760"/>
      <c r="H13398" s="760"/>
      <c r="I13398" s="760"/>
      <c r="J13398" s="760"/>
      <c r="K13398" s="760"/>
    </row>
    <row r="13399" spans="1:11">
      <c r="A13399" s="760"/>
      <c r="B13399" s="760"/>
      <c r="C13399" s="760"/>
      <c r="D13399" s="760"/>
      <c r="E13399" s="760"/>
      <c r="F13399" s="760"/>
      <c r="G13399" s="760"/>
      <c r="H13399" s="760"/>
      <c r="I13399" s="760"/>
      <c r="J13399" s="760"/>
      <c r="K13399" s="760"/>
    </row>
    <row r="13400" spans="1:11">
      <c r="A13400" s="760"/>
      <c r="B13400" s="760"/>
      <c r="C13400" s="760"/>
      <c r="D13400" s="760"/>
      <c r="E13400" s="760"/>
      <c r="F13400" s="760"/>
      <c r="G13400" s="760"/>
      <c r="H13400" s="760"/>
      <c r="I13400" s="760"/>
      <c r="J13400" s="760"/>
      <c r="K13400" s="760"/>
    </row>
    <row r="13401" spans="1:11">
      <c r="A13401" s="760"/>
      <c r="B13401" s="760"/>
      <c r="C13401" s="760"/>
      <c r="D13401" s="760"/>
      <c r="E13401" s="760"/>
      <c r="F13401" s="760"/>
      <c r="G13401" s="760"/>
      <c r="H13401" s="760"/>
      <c r="I13401" s="760"/>
      <c r="J13401" s="760"/>
      <c r="K13401" s="760"/>
    </row>
    <row r="13402" spans="1:11">
      <c r="A13402" s="760"/>
      <c r="B13402" s="760"/>
      <c r="C13402" s="760"/>
      <c r="D13402" s="760"/>
      <c r="E13402" s="760"/>
      <c r="F13402" s="760"/>
      <c r="G13402" s="760"/>
      <c r="H13402" s="760"/>
      <c r="I13402" s="760"/>
      <c r="J13402" s="760"/>
      <c r="K13402" s="760"/>
    </row>
    <row r="13403" spans="1:11">
      <c r="A13403" s="760"/>
      <c r="B13403" s="760"/>
      <c r="C13403" s="760"/>
      <c r="D13403" s="760"/>
      <c r="E13403" s="760"/>
      <c r="F13403" s="760"/>
      <c r="G13403" s="760"/>
      <c r="H13403" s="760"/>
      <c r="I13403" s="760"/>
      <c r="J13403" s="760"/>
      <c r="K13403" s="760"/>
    </row>
    <row r="13404" spans="1:11">
      <c r="A13404" s="760"/>
      <c r="B13404" s="760"/>
      <c r="C13404" s="760"/>
      <c r="D13404" s="760"/>
      <c r="E13404" s="760"/>
      <c r="F13404" s="760"/>
      <c r="G13404" s="760"/>
      <c r="H13404" s="760"/>
      <c r="I13404" s="760"/>
      <c r="J13404" s="760"/>
      <c r="K13404" s="760"/>
    </row>
    <row r="13405" spans="1:11">
      <c r="A13405" s="760"/>
      <c r="B13405" s="760"/>
      <c r="C13405" s="760"/>
      <c r="D13405" s="760"/>
      <c r="E13405" s="760"/>
      <c r="F13405" s="760"/>
      <c r="G13405" s="760"/>
      <c r="H13405" s="760"/>
      <c r="I13405" s="760"/>
      <c r="J13405" s="760"/>
      <c r="K13405" s="760"/>
    </row>
    <row r="13406" spans="1:11">
      <c r="A13406" s="760"/>
      <c r="B13406" s="760"/>
      <c r="C13406" s="760"/>
      <c r="D13406" s="760"/>
      <c r="E13406" s="760"/>
      <c r="F13406" s="760"/>
      <c r="G13406" s="760"/>
      <c r="H13406" s="760"/>
      <c r="I13406" s="760"/>
      <c r="J13406" s="760"/>
      <c r="K13406" s="760"/>
    </row>
    <row r="13407" spans="1:11">
      <c r="A13407" s="760"/>
      <c r="B13407" s="760"/>
      <c r="C13407" s="760"/>
      <c r="D13407" s="760"/>
      <c r="E13407" s="760"/>
      <c r="F13407" s="760"/>
      <c r="G13407" s="760"/>
      <c r="H13407" s="760"/>
      <c r="I13407" s="760"/>
      <c r="J13407" s="760"/>
      <c r="K13407" s="760"/>
    </row>
    <row r="13408" spans="1:11">
      <c r="A13408" s="760"/>
      <c r="B13408" s="760"/>
      <c r="C13408" s="760"/>
      <c r="D13408" s="760"/>
      <c r="E13408" s="760"/>
      <c r="F13408" s="760"/>
      <c r="G13408" s="760"/>
      <c r="H13408" s="760"/>
      <c r="I13408" s="760"/>
      <c r="J13408" s="760"/>
      <c r="K13408" s="760"/>
    </row>
    <row r="13409" spans="1:11">
      <c r="A13409" s="760"/>
      <c r="B13409" s="760"/>
      <c r="C13409" s="760"/>
      <c r="D13409" s="760"/>
      <c r="E13409" s="760"/>
      <c r="F13409" s="760"/>
      <c r="G13409" s="760"/>
      <c r="H13409" s="760"/>
      <c r="I13409" s="760"/>
      <c r="J13409" s="760"/>
      <c r="K13409" s="760"/>
    </row>
    <row r="13410" spans="1:11">
      <c r="A13410" s="760"/>
      <c r="B13410" s="760"/>
      <c r="C13410" s="760"/>
      <c r="D13410" s="760"/>
      <c r="E13410" s="760"/>
      <c r="F13410" s="760"/>
      <c r="G13410" s="760"/>
      <c r="H13410" s="760"/>
      <c r="I13410" s="760"/>
      <c r="J13410" s="760"/>
      <c r="K13410" s="760"/>
    </row>
    <row r="13411" spans="1:11">
      <c r="A13411" s="760"/>
      <c r="B13411" s="760"/>
      <c r="C13411" s="760"/>
      <c r="D13411" s="760"/>
      <c r="E13411" s="760"/>
      <c r="F13411" s="760"/>
      <c r="G13411" s="760"/>
      <c r="H13411" s="760"/>
      <c r="I13411" s="760"/>
      <c r="J13411" s="760"/>
      <c r="K13411" s="760"/>
    </row>
    <row r="13412" spans="1:11">
      <c r="A13412" s="760"/>
      <c r="B13412" s="760"/>
      <c r="C13412" s="760"/>
      <c r="D13412" s="760"/>
      <c r="E13412" s="760"/>
      <c r="F13412" s="760"/>
      <c r="G13412" s="760"/>
      <c r="H13412" s="760"/>
      <c r="I13412" s="760"/>
      <c r="J13412" s="760"/>
      <c r="K13412" s="760"/>
    </row>
    <row r="13413" spans="1:11">
      <c r="A13413" s="760"/>
      <c r="B13413" s="760"/>
      <c r="C13413" s="760"/>
      <c r="D13413" s="760"/>
      <c r="E13413" s="760"/>
      <c r="F13413" s="760"/>
      <c r="G13413" s="760"/>
      <c r="H13413" s="760"/>
      <c r="I13413" s="760"/>
      <c r="J13413" s="760"/>
      <c r="K13413" s="760"/>
    </row>
    <row r="13414" spans="1:11">
      <c r="A13414" s="760"/>
      <c r="B13414" s="760"/>
      <c r="C13414" s="760"/>
      <c r="D13414" s="760"/>
      <c r="E13414" s="760"/>
      <c r="F13414" s="760"/>
      <c r="G13414" s="760"/>
      <c r="H13414" s="760"/>
      <c r="I13414" s="760"/>
      <c r="J13414" s="760"/>
      <c r="K13414" s="760"/>
    </row>
    <row r="13415" spans="1:11">
      <c r="A13415" s="760"/>
      <c r="B13415" s="760"/>
      <c r="C13415" s="760"/>
      <c r="D13415" s="760"/>
      <c r="E13415" s="760"/>
      <c r="F13415" s="760"/>
      <c r="G13415" s="760"/>
      <c r="H13415" s="760"/>
      <c r="I13415" s="760"/>
      <c r="J13415" s="760"/>
      <c r="K13415" s="760"/>
    </row>
    <row r="13416" spans="1:11">
      <c r="A13416" s="760"/>
      <c r="B13416" s="760"/>
      <c r="C13416" s="760"/>
      <c r="D13416" s="760"/>
      <c r="E13416" s="760"/>
      <c r="F13416" s="760"/>
      <c r="G13416" s="760"/>
      <c r="H13416" s="760"/>
      <c r="I13416" s="760"/>
      <c r="J13416" s="760"/>
      <c r="K13416" s="760"/>
    </row>
    <row r="13417" spans="1:11">
      <c r="A13417" s="760"/>
      <c r="B13417" s="760"/>
      <c r="C13417" s="760"/>
      <c r="D13417" s="760"/>
      <c r="E13417" s="760"/>
      <c r="F13417" s="760"/>
      <c r="G13417" s="760"/>
      <c r="H13417" s="760"/>
      <c r="I13417" s="760"/>
      <c r="J13417" s="760"/>
      <c r="K13417" s="760"/>
    </row>
    <row r="13418" spans="1:11">
      <c r="A13418" s="760"/>
      <c r="B13418" s="760"/>
      <c r="C13418" s="760"/>
      <c r="D13418" s="760"/>
      <c r="E13418" s="760"/>
      <c r="F13418" s="760"/>
      <c r="G13418" s="760"/>
      <c r="H13418" s="760"/>
      <c r="I13418" s="760"/>
      <c r="J13418" s="760"/>
      <c r="K13418" s="760"/>
    </row>
    <row r="13419" spans="1:11">
      <c r="A13419" s="760"/>
      <c r="B13419" s="760"/>
      <c r="C13419" s="760"/>
      <c r="D13419" s="760"/>
      <c r="E13419" s="760"/>
      <c r="F13419" s="760"/>
      <c r="G13419" s="760"/>
      <c r="H13419" s="760"/>
      <c r="I13419" s="760"/>
      <c r="J13419" s="760"/>
      <c r="K13419" s="760"/>
    </row>
    <row r="13420" spans="1:11">
      <c r="A13420" s="760"/>
      <c r="B13420" s="760"/>
      <c r="C13420" s="760"/>
      <c r="D13420" s="760"/>
      <c r="E13420" s="760"/>
      <c r="F13420" s="760"/>
      <c r="G13420" s="760"/>
      <c r="H13420" s="760"/>
      <c r="I13420" s="760"/>
      <c r="J13420" s="760"/>
      <c r="K13420" s="760"/>
    </row>
    <row r="13421" spans="1:11">
      <c r="A13421" s="760"/>
      <c r="B13421" s="760"/>
      <c r="C13421" s="760"/>
      <c r="D13421" s="760"/>
      <c r="E13421" s="760"/>
      <c r="F13421" s="760"/>
      <c r="G13421" s="760"/>
      <c r="H13421" s="760"/>
      <c r="I13421" s="760"/>
      <c r="J13421" s="760"/>
      <c r="K13421" s="760"/>
    </row>
    <row r="13422" spans="1:11">
      <c r="A13422" s="760"/>
      <c r="B13422" s="760"/>
      <c r="C13422" s="760"/>
      <c r="D13422" s="760"/>
      <c r="E13422" s="760"/>
      <c r="F13422" s="760"/>
      <c r="G13422" s="760"/>
      <c r="H13422" s="760"/>
      <c r="I13422" s="760"/>
      <c r="J13422" s="760"/>
      <c r="K13422" s="760"/>
    </row>
    <row r="13423" spans="1:11">
      <c r="A13423" s="760"/>
      <c r="B13423" s="760"/>
      <c r="C13423" s="760"/>
      <c r="D13423" s="760"/>
      <c r="E13423" s="760"/>
      <c r="F13423" s="760"/>
      <c r="G13423" s="760"/>
      <c r="H13423" s="760"/>
      <c r="I13423" s="760"/>
      <c r="J13423" s="760"/>
      <c r="K13423" s="760"/>
    </row>
    <row r="13424" spans="1:11">
      <c r="A13424" s="760"/>
      <c r="B13424" s="760"/>
      <c r="C13424" s="760"/>
      <c r="D13424" s="760"/>
      <c r="E13424" s="760"/>
      <c r="F13424" s="760"/>
      <c r="G13424" s="760"/>
      <c r="H13424" s="760"/>
      <c r="I13424" s="760"/>
      <c r="J13424" s="760"/>
      <c r="K13424" s="760"/>
    </row>
    <row r="13425" spans="1:11">
      <c r="A13425" s="760"/>
      <c r="B13425" s="760"/>
      <c r="C13425" s="760"/>
      <c r="D13425" s="760"/>
      <c r="E13425" s="760"/>
      <c r="F13425" s="760"/>
      <c r="G13425" s="760"/>
      <c r="H13425" s="760"/>
      <c r="I13425" s="760"/>
      <c r="J13425" s="760"/>
      <c r="K13425" s="760"/>
    </row>
    <row r="13426" spans="1:11">
      <c r="A13426" s="760"/>
      <c r="B13426" s="760"/>
      <c r="C13426" s="760"/>
      <c r="D13426" s="760"/>
      <c r="E13426" s="760"/>
      <c r="F13426" s="760"/>
      <c r="G13426" s="760"/>
      <c r="H13426" s="760"/>
      <c r="I13426" s="760"/>
      <c r="J13426" s="760"/>
      <c r="K13426" s="760"/>
    </row>
    <row r="13427" spans="1:11">
      <c r="A13427" s="760"/>
      <c r="B13427" s="760"/>
      <c r="C13427" s="760"/>
      <c r="D13427" s="760"/>
      <c r="E13427" s="760"/>
      <c r="F13427" s="760"/>
      <c r="G13427" s="760"/>
      <c r="H13427" s="760"/>
      <c r="I13427" s="760"/>
      <c r="J13427" s="760"/>
      <c r="K13427" s="760"/>
    </row>
    <row r="13428" spans="1:11">
      <c r="A13428" s="760"/>
      <c r="B13428" s="760"/>
      <c r="C13428" s="760"/>
      <c r="D13428" s="760"/>
      <c r="E13428" s="760"/>
      <c r="F13428" s="760"/>
      <c r="G13428" s="760"/>
      <c r="H13428" s="760"/>
      <c r="I13428" s="760"/>
      <c r="J13428" s="760"/>
      <c r="K13428" s="760"/>
    </row>
    <row r="13429" spans="1:11">
      <c r="A13429" s="760"/>
      <c r="B13429" s="760"/>
      <c r="C13429" s="760"/>
      <c r="D13429" s="760"/>
      <c r="E13429" s="760"/>
      <c r="F13429" s="760"/>
      <c r="G13429" s="760"/>
      <c r="H13429" s="760"/>
      <c r="I13429" s="760"/>
      <c r="J13429" s="760"/>
      <c r="K13429" s="760"/>
    </row>
    <row r="13430" spans="1:11">
      <c r="A13430" s="760"/>
      <c r="B13430" s="760"/>
      <c r="C13430" s="760"/>
      <c r="D13430" s="760"/>
      <c r="E13430" s="760"/>
      <c r="F13430" s="760"/>
      <c r="G13430" s="760"/>
      <c r="H13430" s="760"/>
      <c r="I13430" s="760"/>
      <c r="J13430" s="760"/>
      <c r="K13430" s="760"/>
    </row>
    <row r="13431" spans="1:11">
      <c r="A13431" s="760"/>
      <c r="B13431" s="760"/>
      <c r="C13431" s="760"/>
      <c r="D13431" s="760"/>
      <c r="E13431" s="760"/>
      <c r="F13431" s="760"/>
      <c r="G13431" s="760"/>
      <c r="H13431" s="760"/>
      <c r="I13431" s="760"/>
      <c r="J13431" s="760"/>
      <c r="K13431" s="760"/>
    </row>
    <row r="13432" spans="1:11">
      <c r="A13432" s="760"/>
      <c r="B13432" s="760"/>
      <c r="C13432" s="760"/>
      <c r="D13432" s="760"/>
      <c r="E13432" s="760"/>
      <c r="F13432" s="760"/>
      <c r="G13432" s="760"/>
      <c r="H13432" s="760"/>
      <c r="I13432" s="760"/>
      <c r="J13432" s="760"/>
      <c r="K13432" s="760"/>
    </row>
    <row r="13433" spans="1:11">
      <c r="A13433" s="760"/>
      <c r="B13433" s="760"/>
      <c r="C13433" s="760"/>
      <c r="D13433" s="760"/>
      <c r="E13433" s="760"/>
      <c r="F13433" s="760"/>
      <c r="G13433" s="760"/>
      <c r="H13433" s="760"/>
      <c r="I13433" s="760"/>
      <c r="J13433" s="760"/>
      <c r="K13433" s="760"/>
    </row>
    <row r="13434" spans="1:11">
      <c r="A13434" s="760"/>
      <c r="B13434" s="760"/>
      <c r="C13434" s="760"/>
      <c r="D13434" s="760"/>
      <c r="E13434" s="760"/>
      <c r="F13434" s="760"/>
      <c r="G13434" s="760"/>
      <c r="H13434" s="760"/>
      <c r="I13434" s="760"/>
      <c r="J13434" s="760"/>
      <c r="K13434" s="760"/>
    </row>
    <row r="13435" spans="1:11">
      <c r="A13435" s="760"/>
      <c r="B13435" s="760"/>
      <c r="C13435" s="760"/>
      <c r="D13435" s="760"/>
      <c r="E13435" s="760"/>
      <c r="F13435" s="760"/>
      <c r="G13435" s="760"/>
      <c r="H13435" s="760"/>
      <c r="I13435" s="760"/>
      <c r="J13435" s="760"/>
      <c r="K13435" s="760"/>
    </row>
    <row r="13436" spans="1:11">
      <c r="A13436" s="760"/>
      <c r="B13436" s="760"/>
      <c r="C13436" s="760"/>
      <c r="D13436" s="760"/>
      <c r="E13436" s="760"/>
      <c r="F13436" s="760"/>
      <c r="G13436" s="760"/>
      <c r="H13436" s="760"/>
      <c r="I13436" s="760"/>
      <c r="J13436" s="760"/>
      <c r="K13436" s="760"/>
    </row>
    <row r="13437" spans="1:11">
      <c r="A13437" s="760"/>
      <c r="B13437" s="760"/>
      <c r="C13437" s="760"/>
      <c r="D13437" s="760"/>
      <c r="E13437" s="760"/>
      <c r="F13437" s="760"/>
      <c r="G13437" s="760"/>
      <c r="H13437" s="760"/>
      <c r="I13437" s="760"/>
      <c r="J13437" s="760"/>
      <c r="K13437" s="760"/>
    </row>
    <row r="13438" spans="1:11">
      <c r="A13438" s="760"/>
      <c r="B13438" s="760"/>
      <c r="C13438" s="760"/>
      <c r="D13438" s="760"/>
      <c r="E13438" s="760"/>
      <c r="F13438" s="760"/>
      <c r="G13438" s="760"/>
      <c r="H13438" s="760"/>
      <c r="I13438" s="760"/>
      <c r="J13438" s="760"/>
      <c r="K13438" s="760"/>
    </row>
    <row r="13439" spans="1:11">
      <c r="A13439" s="760"/>
      <c r="B13439" s="760"/>
      <c r="C13439" s="760"/>
      <c r="D13439" s="760"/>
      <c r="E13439" s="760"/>
      <c r="F13439" s="760"/>
      <c r="G13439" s="760"/>
      <c r="H13439" s="760"/>
      <c r="I13439" s="760"/>
      <c r="J13439" s="760"/>
      <c r="K13439" s="760"/>
    </row>
    <row r="13440" spans="1:11">
      <c r="A13440" s="760"/>
      <c r="B13440" s="760"/>
      <c r="C13440" s="760"/>
      <c r="D13440" s="760"/>
      <c r="E13440" s="760"/>
      <c r="F13440" s="760"/>
      <c r="G13440" s="760"/>
      <c r="H13440" s="760"/>
      <c r="I13440" s="760"/>
      <c r="J13440" s="760"/>
      <c r="K13440" s="760"/>
    </row>
    <row r="13441" spans="1:11">
      <c r="A13441" s="760"/>
      <c r="B13441" s="760"/>
      <c r="C13441" s="760"/>
      <c r="D13441" s="760"/>
      <c r="E13441" s="760"/>
      <c r="F13441" s="760"/>
      <c r="G13441" s="760"/>
      <c r="H13441" s="760"/>
      <c r="I13441" s="760"/>
      <c r="J13441" s="760"/>
      <c r="K13441" s="760"/>
    </row>
    <row r="13442" spans="1:11">
      <c r="A13442" s="760"/>
      <c r="B13442" s="760"/>
      <c r="C13442" s="760"/>
      <c r="D13442" s="760"/>
      <c r="E13442" s="760"/>
      <c r="F13442" s="760"/>
      <c r="G13442" s="760"/>
      <c r="H13442" s="760"/>
      <c r="I13442" s="760"/>
      <c r="J13442" s="760"/>
      <c r="K13442" s="760"/>
    </row>
    <row r="13443" spans="1:11">
      <c r="A13443" s="760"/>
      <c r="B13443" s="760"/>
      <c r="C13443" s="760"/>
      <c r="D13443" s="760"/>
      <c r="E13443" s="760"/>
      <c r="F13443" s="760"/>
      <c r="G13443" s="760"/>
      <c r="H13443" s="760"/>
      <c r="I13443" s="760"/>
      <c r="J13443" s="760"/>
      <c r="K13443" s="760"/>
    </row>
    <row r="13444" spans="1:11">
      <c r="A13444" s="760"/>
      <c r="B13444" s="760"/>
      <c r="C13444" s="760"/>
      <c r="D13444" s="760"/>
      <c r="E13444" s="760"/>
      <c r="F13444" s="760"/>
      <c r="G13444" s="760"/>
      <c r="H13444" s="760"/>
      <c r="I13444" s="760"/>
      <c r="J13444" s="760"/>
      <c r="K13444" s="760"/>
    </row>
    <row r="13445" spans="1:11">
      <c r="A13445" s="760"/>
      <c r="B13445" s="760"/>
      <c r="C13445" s="760"/>
      <c r="D13445" s="760"/>
      <c r="E13445" s="760"/>
      <c r="F13445" s="760"/>
      <c r="G13445" s="760"/>
      <c r="H13445" s="760"/>
      <c r="I13445" s="760"/>
      <c r="J13445" s="760"/>
      <c r="K13445" s="760"/>
    </row>
    <row r="13446" spans="1:11">
      <c r="A13446" s="760"/>
      <c r="B13446" s="760"/>
      <c r="C13446" s="760"/>
      <c r="D13446" s="760"/>
      <c r="E13446" s="760"/>
      <c r="F13446" s="760"/>
      <c r="G13446" s="760"/>
      <c r="H13446" s="760"/>
      <c r="I13446" s="760"/>
      <c r="J13446" s="760"/>
      <c r="K13446" s="760"/>
    </row>
    <row r="13447" spans="1:11">
      <c r="A13447" s="760"/>
      <c r="B13447" s="760"/>
      <c r="C13447" s="760"/>
      <c r="D13447" s="760"/>
      <c r="E13447" s="760"/>
      <c r="F13447" s="760"/>
      <c r="G13447" s="760"/>
      <c r="H13447" s="760"/>
      <c r="I13447" s="760"/>
      <c r="J13447" s="760"/>
      <c r="K13447" s="760"/>
    </row>
    <row r="13448" spans="1:11">
      <c r="A13448" s="760"/>
      <c r="B13448" s="760"/>
      <c r="C13448" s="760"/>
      <c r="D13448" s="760"/>
      <c r="E13448" s="760"/>
      <c r="F13448" s="760"/>
      <c r="G13448" s="760"/>
      <c r="H13448" s="760"/>
      <c r="I13448" s="760"/>
      <c r="J13448" s="760"/>
      <c r="K13448" s="760"/>
    </row>
    <row r="13449" spans="1:11">
      <c r="A13449" s="760"/>
      <c r="B13449" s="760"/>
      <c r="C13449" s="760"/>
      <c r="D13449" s="760"/>
      <c r="E13449" s="760"/>
      <c r="F13449" s="760"/>
      <c r="G13449" s="760"/>
      <c r="H13449" s="760"/>
      <c r="I13449" s="760"/>
      <c r="J13449" s="760"/>
      <c r="K13449" s="760"/>
    </row>
    <row r="13450" spans="1:11">
      <c r="A13450" s="760"/>
      <c r="B13450" s="760"/>
      <c r="C13450" s="760"/>
      <c r="D13450" s="760"/>
      <c r="E13450" s="760"/>
      <c r="F13450" s="760"/>
      <c r="G13450" s="760"/>
      <c r="H13450" s="760"/>
      <c r="I13450" s="760"/>
      <c r="J13450" s="760"/>
      <c r="K13450" s="760"/>
    </row>
    <row r="13451" spans="1:11">
      <c r="A13451" s="760"/>
      <c r="B13451" s="760"/>
      <c r="C13451" s="760"/>
      <c r="D13451" s="760"/>
      <c r="E13451" s="760"/>
      <c r="F13451" s="760"/>
      <c r="G13451" s="760"/>
      <c r="H13451" s="760"/>
      <c r="I13451" s="760"/>
      <c r="J13451" s="760"/>
      <c r="K13451" s="760"/>
    </row>
    <row r="13452" spans="1:11">
      <c r="A13452" s="760"/>
      <c r="B13452" s="760"/>
      <c r="C13452" s="760"/>
      <c r="D13452" s="760"/>
      <c r="E13452" s="760"/>
      <c r="F13452" s="760"/>
      <c r="G13452" s="760"/>
      <c r="H13452" s="760"/>
      <c r="I13452" s="760"/>
      <c r="J13452" s="760"/>
      <c r="K13452" s="760"/>
    </row>
    <row r="13453" spans="1:11">
      <c r="A13453" s="760"/>
      <c r="B13453" s="760"/>
      <c r="C13453" s="760"/>
      <c r="D13453" s="760"/>
      <c r="E13453" s="760"/>
      <c r="F13453" s="760"/>
      <c r="G13453" s="760"/>
      <c r="H13453" s="760"/>
      <c r="I13453" s="760"/>
      <c r="J13453" s="760"/>
      <c r="K13453" s="760"/>
    </row>
    <row r="13454" spans="1:11">
      <c r="A13454" s="760"/>
      <c r="B13454" s="760"/>
      <c r="C13454" s="760"/>
      <c r="D13454" s="760"/>
      <c r="E13454" s="760"/>
      <c r="F13454" s="760"/>
      <c r="G13454" s="760"/>
      <c r="H13454" s="760"/>
      <c r="I13454" s="760"/>
      <c r="J13454" s="760"/>
      <c r="K13454" s="760"/>
    </row>
    <row r="13455" spans="1:11">
      <c r="A13455" s="760"/>
      <c r="B13455" s="760"/>
      <c r="C13455" s="760"/>
      <c r="D13455" s="760"/>
      <c r="E13455" s="760"/>
      <c r="F13455" s="760"/>
      <c r="G13455" s="760"/>
      <c r="H13455" s="760"/>
      <c r="I13455" s="760"/>
      <c r="J13455" s="760"/>
      <c r="K13455" s="760"/>
    </row>
    <row r="13456" spans="1:11">
      <c r="A13456" s="760"/>
      <c r="B13456" s="760"/>
      <c r="C13456" s="760"/>
      <c r="D13456" s="760"/>
      <c r="E13456" s="760"/>
      <c r="F13456" s="760"/>
      <c r="G13456" s="760"/>
      <c r="H13456" s="760"/>
      <c r="I13456" s="760"/>
      <c r="J13456" s="760"/>
      <c r="K13456" s="760"/>
    </row>
    <row r="13457" spans="1:11">
      <c r="A13457" s="760"/>
      <c r="B13457" s="760"/>
      <c r="C13457" s="760"/>
      <c r="D13457" s="760"/>
      <c r="E13457" s="760"/>
      <c r="F13457" s="760"/>
      <c r="G13457" s="760"/>
      <c r="H13457" s="760"/>
      <c r="I13457" s="760"/>
      <c r="J13457" s="760"/>
      <c r="K13457" s="760"/>
    </row>
    <row r="13458" spans="1:11">
      <c r="A13458" s="760"/>
      <c r="B13458" s="760"/>
      <c r="C13458" s="760"/>
      <c r="D13458" s="760"/>
      <c r="E13458" s="760"/>
      <c r="F13458" s="760"/>
      <c r="G13458" s="760"/>
      <c r="H13458" s="760"/>
      <c r="I13458" s="760"/>
      <c r="J13458" s="760"/>
      <c r="K13458" s="760"/>
    </row>
    <row r="13459" spans="1:11">
      <c r="A13459" s="760"/>
      <c r="B13459" s="760"/>
      <c r="C13459" s="760"/>
      <c r="D13459" s="760"/>
      <c r="E13459" s="760"/>
      <c r="F13459" s="760"/>
      <c r="G13459" s="760"/>
      <c r="H13459" s="760"/>
      <c r="I13459" s="760"/>
      <c r="J13459" s="760"/>
      <c r="K13459" s="760"/>
    </row>
    <row r="13460" spans="1:11">
      <c r="A13460" s="760"/>
      <c r="B13460" s="760"/>
      <c r="C13460" s="760"/>
      <c r="D13460" s="760"/>
      <c r="E13460" s="760"/>
      <c r="F13460" s="760"/>
      <c r="G13460" s="760"/>
      <c r="H13460" s="760"/>
      <c r="I13460" s="760"/>
      <c r="J13460" s="760"/>
      <c r="K13460" s="760"/>
    </row>
    <row r="13461" spans="1:11">
      <c r="A13461" s="760"/>
      <c r="B13461" s="760"/>
      <c r="C13461" s="760"/>
      <c r="D13461" s="760"/>
      <c r="E13461" s="760"/>
      <c r="F13461" s="760"/>
      <c r="G13461" s="760"/>
      <c r="H13461" s="760"/>
      <c r="I13461" s="760"/>
      <c r="J13461" s="760"/>
      <c r="K13461" s="760"/>
    </row>
    <row r="13462" spans="1:11">
      <c r="A13462" s="760"/>
      <c r="B13462" s="760"/>
      <c r="C13462" s="760"/>
      <c r="D13462" s="760"/>
      <c r="E13462" s="760"/>
      <c r="F13462" s="760"/>
      <c r="G13462" s="760"/>
      <c r="H13462" s="760"/>
      <c r="I13462" s="760"/>
      <c r="J13462" s="760"/>
      <c r="K13462" s="760"/>
    </row>
    <row r="13463" spans="1:11">
      <c r="A13463" s="760"/>
      <c r="B13463" s="760"/>
      <c r="C13463" s="760"/>
      <c r="D13463" s="760"/>
      <c r="E13463" s="760"/>
      <c r="F13463" s="760"/>
      <c r="G13463" s="760"/>
      <c r="H13463" s="760"/>
      <c r="I13463" s="760"/>
      <c r="J13463" s="760"/>
      <c r="K13463" s="760"/>
    </row>
    <row r="13464" spans="1:11">
      <c r="A13464" s="760"/>
      <c r="B13464" s="760"/>
      <c r="C13464" s="760"/>
      <c r="D13464" s="760"/>
      <c r="E13464" s="760"/>
      <c r="F13464" s="760"/>
      <c r="G13464" s="760"/>
      <c r="H13464" s="760"/>
      <c r="I13464" s="760"/>
      <c r="J13464" s="760"/>
      <c r="K13464" s="760"/>
    </row>
    <row r="13465" spans="1:11">
      <c r="A13465" s="760"/>
      <c r="B13465" s="760"/>
      <c r="C13465" s="760"/>
      <c r="D13465" s="760"/>
      <c r="E13465" s="760"/>
      <c r="F13465" s="760"/>
      <c r="G13465" s="760"/>
      <c r="H13465" s="760"/>
      <c r="I13465" s="760"/>
      <c r="J13465" s="760"/>
      <c r="K13465" s="760"/>
    </row>
    <row r="13466" spans="1:11">
      <c r="A13466" s="760"/>
      <c r="B13466" s="760"/>
      <c r="C13466" s="760"/>
      <c r="D13466" s="760"/>
      <c r="E13466" s="760"/>
      <c r="F13466" s="760"/>
      <c r="G13466" s="760"/>
      <c r="H13466" s="760"/>
      <c r="I13466" s="760"/>
      <c r="J13466" s="760"/>
      <c r="K13466" s="760"/>
    </row>
    <row r="13467" spans="1:11">
      <c r="A13467" s="760"/>
      <c r="B13467" s="760"/>
      <c r="C13467" s="760"/>
      <c r="D13467" s="760"/>
      <c r="E13467" s="760"/>
      <c r="F13467" s="760"/>
      <c r="G13467" s="760"/>
      <c r="H13467" s="760"/>
      <c r="I13467" s="760"/>
      <c r="J13467" s="760"/>
      <c r="K13467" s="760"/>
    </row>
    <row r="13468" spans="1:11">
      <c r="A13468" s="760"/>
      <c r="B13468" s="760"/>
      <c r="C13468" s="760"/>
      <c r="D13468" s="760"/>
      <c r="E13468" s="760"/>
      <c r="F13468" s="760"/>
      <c r="G13468" s="760"/>
      <c r="H13468" s="760"/>
      <c r="I13468" s="760"/>
      <c r="J13468" s="760"/>
      <c r="K13468" s="760"/>
    </row>
    <row r="13469" spans="1:11">
      <c r="A13469" s="760"/>
      <c r="B13469" s="760"/>
      <c r="C13469" s="760"/>
      <c r="D13469" s="760"/>
      <c r="E13469" s="760"/>
      <c r="F13469" s="760"/>
      <c r="G13469" s="760"/>
      <c r="H13469" s="760"/>
      <c r="I13469" s="760"/>
      <c r="J13469" s="760"/>
      <c r="K13469" s="760"/>
    </row>
    <row r="13470" spans="1:11">
      <c r="A13470" s="760"/>
      <c r="B13470" s="760"/>
      <c r="C13470" s="760"/>
      <c r="D13470" s="760"/>
      <c r="E13470" s="760"/>
      <c r="F13470" s="760"/>
      <c r="G13470" s="760"/>
      <c r="H13470" s="760"/>
      <c r="I13470" s="760"/>
      <c r="J13470" s="760"/>
      <c r="K13470" s="760"/>
    </row>
    <row r="13471" spans="1:11">
      <c r="A13471" s="760"/>
      <c r="B13471" s="760"/>
      <c r="C13471" s="760"/>
      <c r="D13471" s="760"/>
      <c r="E13471" s="760"/>
      <c r="F13471" s="760"/>
      <c r="G13471" s="760"/>
      <c r="H13471" s="760"/>
      <c r="I13471" s="760"/>
      <c r="J13471" s="760"/>
      <c r="K13471" s="760"/>
    </row>
    <row r="13472" spans="1:11">
      <c r="A13472" s="760"/>
      <c r="B13472" s="760"/>
      <c r="C13472" s="760"/>
      <c r="D13472" s="760"/>
      <c r="E13472" s="760"/>
      <c r="F13472" s="760"/>
      <c r="G13472" s="760"/>
      <c r="H13472" s="760"/>
      <c r="I13472" s="760"/>
      <c r="J13472" s="760"/>
      <c r="K13472" s="760"/>
    </row>
    <row r="13473" spans="1:11">
      <c r="A13473" s="760"/>
      <c r="B13473" s="760"/>
      <c r="C13473" s="760"/>
      <c r="D13473" s="760"/>
      <c r="E13473" s="760"/>
      <c r="F13473" s="760"/>
      <c r="G13473" s="760"/>
      <c r="H13473" s="760"/>
      <c r="I13473" s="760"/>
      <c r="J13473" s="760"/>
      <c r="K13473" s="760"/>
    </row>
    <row r="13474" spans="1:11">
      <c r="A13474" s="760"/>
      <c r="B13474" s="760"/>
      <c r="C13474" s="760"/>
      <c r="D13474" s="760"/>
      <c r="E13474" s="760"/>
      <c r="F13474" s="760"/>
      <c r="G13474" s="760"/>
      <c r="H13474" s="760"/>
      <c r="I13474" s="760"/>
      <c r="J13474" s="760"/>
      <c r="K13474" s="760"/>
    </row>
    <row r="13475" spans="1:11">
      <c r="A13475" s="760"/>
      <c r="B13475" s="760"/>
      <c r="C13475" s="760"/>
      <c r="D13475" s="760"/>
      <c r="E13475" s="760"/>
      <c r="F13475" s="760"/>
      <c r="G13475" s="760"/>
      <c r="H13475" s="760"/>
      <c r="I13475" s="760"/>
      <c r="J13475" s="760"/>
      <c r="K13475" s="760"/>
    </row>
    <row r="13476" spans="1:11">
      <c r="A13476" s="760"/>
      <c r="B13476" s="760"/>
      <c r="C13476" s="760"/>
      <c r="D13476" s="760"/>
      <c r="E13476" s="760"/>
      <c r="F13476" s="760"/>
      <c r="G13476" s="760"/>
      <c r="H13476" s="760"/>
      <c r="I13476" s="760"/>
      <c r="J13476" s="760"/>
      <c r="K13476" s="760"/>
    </row>
    <row r="13477" spans="1:11">
      <c r="A13477" s="760"/>
      <c r="B13477" s="760"/>
      <c r="C13477" s="760"/>
      <c r="D13477" s="760"/>
      <c r="E13477" s="760"/>
      <c r="F13477" s="760"/>
      <c r="G13477" s="760"/>
      <c r="H13477" s="760"/>
      <c r="I13477" s="760"/>
      <c r="J13477" s="760"/>
      <c r="K13477" s="760"/>
    </row>
    <row r="13478" spans="1:11">
      <c r="A13478" s="760"/>
      <c r="B13478" s="760"/>
      <c r="C13478" s="760"/>
      <c r="D13478" s="760"/>
      <c r="E13478" s="760"/>
      <c r="F13478" s="760"/>
      <c r="G13478" s="760"/>
      <c r="H13478" s="760"/>
      <c r="I13478" s="760"/>
      <c r="J13478" s="760"/>
      <c r="K13478" s="760"/>
    </row>
    <row r="13479" spans="1:11">
      <c r="A13479" s="760"/>
      <c r="B13479" s="760"/>
      <c r="C13479" s="760"/>
      <c r="D13479" s="760"/>
      <c r="E13479" s="760"/>
      <c r="F13479" s="760"/>
      <c r="G13479" s="760"/>
      <c r="H13479" s="760"/>
      <c r="I13479" s="760"/>
      <c r="J13479" s="760"/>
      <c r="K13479" s="760"/>
    </row>
    <row r="13480" spans="1:11">
      <c r="A13480" s="760"/>
      <c r="B13480" s="760"/>
      <c r="C13480" s="760"/>
      <c r="D13480" s="760"/>
      <c r="E13480" s="760"/>
      <c r="F13480" s="760"/>
      <c r="G13480" s="760"/>
      <c r="H13480" s="760"/>
      <c r="I13480" s="760"/>
      <c r="J13480" s="760"/>
      <c r="K13480" s="760"/>
    </row>
    <row r="13481" spans="1:11">
      <c r="A13481" s="760"/>
      <c r="B13481" s="760"/>
      <c r="C13481" s="760"/>
      <c r="D13481" s="760"/>
      <c r="E13481" s="760"/>
      <c r="F13481" s="760"/>
      <c r="G13481" s="760"/>
      <c r="H13481" s="760"/>
      <c r="I13481" s="760"/>
      <c r="J13481" s="760"/>
      <c r="K13481" s="760"/>
    </row>
    <row r="13482" spans="1:11">
      <c r="A13482" s="760"/>
      <c r="B13482" s="760"/>
      <c r="C13482" s="760"/>
      <c r="D13482" s="760"/>
      <c r="E13482" s="760"/>
      <c r="F13482" s="760"/>
      <c r="G13482" s="760"/>
      <c r="H13482" s="760"/>
      <c r="I13482" s="760"/>
      <c r="J13482" s="760"/>
      <c r="K13482" s="760"/>
    </row>
    <row r="13483" spans="1:11">
      <c r="A13483" s="760"/>
      <c r="B13483" s="760"/>
      <c r="C13483" s="760"/>
      <c r="D13483" s="760"/>
      <c r="E13483" s="760"/>
      <c r="F13483" s="760"/>
      <c r="G13483" s="760"/>
      <c r="H13483" s="760"/>
      <c r="I13483" s="760"/>
      <c r="J13483" s="760"/>
      <c r="K13483" s="760"/>
    </row>
    <row r="13484" spans="1:11">
      <c r="A13484" s="760"/>
      <c r="B13484" s="760"/>
      <c r="C13484" s="760"/>
      <c r="D13484" s="760"/>
      <c r="E13484" s="760"/>
      <c r="F13484" s="760"/>
      <c r="G13484" s="760"/>
      <c r="H13484" s="760"/>
      <c r="I13484" s="760"/>
      <c r="J13484" s="760"/>
      <c r="K13484" s="760"/>
    </row>
    <row r="13485" spans="1:11">
      <c r="A13485" s="760"/>
      <c r="B13485" s="760"/>
      <c r="C13485" s="760"/>
      <c r="D13485" s="760"/>
      <c r="E13485" s="760"/>
      <c r="F13485" s="760"/>
      <c r="G13485" s="760"/>
      <c r="H13485" s="760"/>
      <c r="I13485" s="760"/>
      <c r="J13485" s="760"/>
      <c r="K13485" s="760"/>
    </row>
    <row r="13486" spans="1:11">
      <c r="A13486" s="760"/>
      <c r="B13486" s="760"/>
      <c r="C13486" s="760"/>
      <c r="D13486" s="760"/>
      <c r="E13486" s="760"/>
      <c r="F13486" s="760"/>
      <c r="G13486" s="760"/>
      <c r="H13486" s="760"/>
      <c r="I13486" s="760"/>
      <c r="J13486" s="760"/>
      <c r="K13486" s="760"/>
    </row>
    <row r="13487" spans="1:11">
      <c r="A13487" s="760"/>
      <c r="B13487" s="760"/>
      <c r="C13487" s="760"/>
      <c r="D13487" s="760"/>
      <c r="E13487" s="760"/>
      <c r="F13487" s="760"/>
      <c r="G13487" s="760"/>
      <c r="H13487" s="760"/>
      <c r="I13487" s="760"/>
      <c r="J13487" s="760"/>
      <c r="K13487" s="760"/>
    </row>
    <row r="13488" spans="1:11">
      <c r="A13488" s="760"/>
      <c r="B13488" s="760"/>
      <c r="C13488" s="760"/>
      <c r="D13488" s="760"/>
      <c r="E13488" s="760"/>
      <c r="F13488" s="760"/>
      <c r="G13488" s="760"/>
      <c r="H13488" s="760"/>
      <c r="I13488" s="760"/>
      <c r="J13488" s="760"/>
      <c r="K13488" s="760"/>
    </row>
    <row r="13489" spans="1:11">
      <c r="A13489" s="760"/>
      <c r="B13489" s="760"/>
      <c r="C13489" s="760"/>
      <c r="D13489" s="760"/>
      <c r="E13489" s="760"/>
      <c r="F13489" s="760"/>
      <c r="G13489" s="760"/>
      <c r="H13489" s="760"/>
      <c r="I13489" s="760"/>
      <c r="J13489" s="760"/>
      <c r="K13489" s="760"/>
    </row>
    <row r="13490" spans="1:11">
      <c r="A13490" s="760"/>
      <c r="B13490" s="760"/>
      <c r="C13490" s="760"/>
      <c r="D13490" s="760"/>
      <c r="E13490" s="760"/>
      <c r="F13490" s="760"/>
      <c r="G13490" s="760"/>
      <c r="H13490" s="760"/>
      <c r="I13490" s="760"/>
      <c r="J13490" s="760"/>
      <c r="K13490" s="760"/>
    </row>
    <row r="13491" spans="1:11">
      <c r="A13491" s="760"/>
      <c r="B13491" s="760"/>
      <c r="C13491" s="760"/>
      <c r="D13491" s="760"/>
      <c r="E13491" s="760"/>
      <c r="F13491" s="760"/>
      <c r="G13491" s="760"/>
      <c r="H13491" s="760"/>
      <c r="I13491" s="760"/>
      <c r="J13491" s="760"/>
      <c r="K13491" s="760"/>
    </row>
    <row r="13492" spans="1:11">
      <c r="A13492" s="760"/>
      <c r="B13492" s="760"/>
      <c r="C13492" s="760"/>
      <c r="D13492" s="760"/>
      <c r="E13492" s="760"/>
      <c r="F13492" s="760"/>
      <c r="G13492" s="760"/>
      <c r="H13492" s="760"/>
      <c r="I13492" s="760"/>
      <c r="J13492" s="760"/>
      <c r="K13492" s="760"/>
    </row>
    <row r="13493" spans="1:11">
      <c r="A13493" s="760"/>
      <c r="B13493" s="760"/>
      <c r="C13493" s="760"/>
      <c r="D13493" s="760"/>
      <c r="E13493" s="760"/>
      <c r="F13493" s="760"/>
      <c r="G13493" s="760"/>
      <c r="H13493" s="760"/>
      <c r="I13493" s="760"/>
      <c r="J13493" s="760"/>
      <c r="K13493" s="760"/>
    </row>
    <row r="13494" spans="1:11">
      <c r="A13494" s="760"/>
      <c r="B13494" s="760"/>
      <c r="C13494" s="760"/>
      <c r="D13494" s="760"/>
      <c r="E13494" s="760"/>
      <c r="F13494" s="760"/>
      <c r="G13494" s="760"/>
      <c r="H13494" s="760"/>
      <c r="I13494" s="760"/>
      <c r="J13494" s="760"/>
      <c r="K13494" s="760"/>
    </row>
    <row r="13495" spans="1:11">
      <c r="A13495" s="760"/>
      <c r="B13495" s="760"/>
      <c r="C13495" s="760"/>
      <c r="D13495" s="760"/>
      <c r="E13495" s="760"/>
      <c r="F13495" s="760"/>
      <c r="G13495" s="760"/>
      <c r="H13495" s="760"/>
      <c r="I13495" s="760"/>
      <c r="J13495" s="760"/>
      <c r="K13495" s="760"/>
    </row>
    <row r="13496" spans="1:11">
      <c r="A13496" s="760"/>
      <c r="B13496" s="760"/>
      <c r="C13496" s="760"/>
      <c r="D13496" s="760"/>
      <c r="E13496" s="760"/>
      <c r="F13496" s="760"/>
      <c r="G13496" s="760"/>
      <c r="H13496" s="760"/>
      <c r="I13496" s="760"/>
      <c r="J13496" s="760"/>
      <c r="K13496" s="760"/>
    </row>
    <row r="13497" spans="1:11">
      <c r="A13497" s="760"/>
      <c r="B13497" s="760"/>
      <c r="C13497" s="760"/>
      <c r="D13497" s="760"/>
      <c r="E13497" s="760"/>
      <c r="F13497" s="760"/>
      <c r="G13497" s="760"/>
      <c r="H13497" s="760"/>
      <c r="I13497" s="760"/>
      <c r="J13497" s="760"/>
      <c r="K13497" s="760"/>
    </row>
    <row r="13498" spans="1:11">
      <c r="A13498" s="760"/>
      <c r="B13498" s="760"/>
      <c r="C13498" s="760"/>
      <c r="D13498" s="760"/>
      <c r="E13498" s="760"/>
      <c r="F13498" s="760"/>
      <c r="G13498" s="760"/>
      <c r="H13498" s="760"/>
      <c r="I13498" s="760"/>
      <c r="J13498" s="760"/>
      <c r="K13498" s="760"/>
    </row>
    <row r="13499" spans="1:11">
      <c r="A13499" s="760"/>
      <c r="B13499" s="760"/>
      <c r="C13499" s="760"/>
      <c r="D13499" s="760"/>
      <c r="E13499" s="760"/>
      <c r="F13499" s="760"/>
      <c r="G13499" s="760"/>
      <c r="H13499" s="760"/>
      <c r="I13499" s="760"/>
      <c r="J13499" s="760"/>
      <c r="K13499" s="760"/>
    </row>
    <row r="13500" spans="1:11">
      <c r="A13500" s="760"/>
      <c r="B13500" s="760"/>
      <c r="C13500" s="760"/>
      <c r="D13500" s="760"/>
      <c r="E13500" s="760"/>
      <c r="F13500" s="760"/>
      <c r="G13500" s="760"/>
      <c r="H13500" s="760"/>
      <c r="I13500" s="760"/>
      <c r="J13500" s="760"/>
      <c r="K13500" s="760"/>
    </row>
    <row r="13501" spans="1:11">
      <c r="A13501" s="760"/>
      <c r="B13501" s="760"/>
      <c r="C13501" s="760"/>
      <c r="D13501" s="760"/>
      <c r="E13501" s="760"/>
      <c r="F13501" s="760"/>
      <c r="G13501" s="760"/>
      <c r="H13501" s="760"/>
      <c r="I13501" s="760"/>
      <c r="J13501" s="760"/>
      <c r="K13501" s="760"/>
    </row>
    <row r="13502" spans="1:11">
      <c r="A13502" s="760"/>
      <c r="B13502" s="760"/>
      <c r="C13502" s="760"/>
      <c r="D13502" s="760"/>
      <c r="E13502" s="760"/>
      <c r="F13502" s="760"/>
      <c r="G13502" s="760"/>
      <c r="H13502" s="760"/>
      <c r="I13502" s="760"/>
      <c r="J13502" s="760"/>
      <c r="K13502" s="760"/>
    </row>
    <row r="13503" spans="1:11">
      <c r="A13503" s="760"/>
      <c r="B13503" s="760"/>
      <c r="C13503" s="760"/>
      <c r="D13503" s="760"/>
      <c r="E13503" s="760"/>
      <c r="F13503" s="760"/>
      <c r="G13503" s="760"/>
      <c r="H13503" s="760"/>
      <c r="I13503" s="760"/>
      <c r="J13503" s="760"/>
      <c r="K13503" s="760"/>
    </row>
    <row r="13504" spans="1:11">
      <c r="A13504" s="760"/>
      <c r="B13504" s="760"/>
      <c r="C13504" s="760"/>
      <c r="D13504" s="760"/>
      <c r="E13504" s="760"/>
      <c r="F13504" s="760"/>
      <c r="G13504" s="760"/>
      <c r="H13504" s="760"/>
      <c r="I13504" s="760"/>
      <c r="J13504" s="760"/>
      <c r="K13504" s="760"/>
    </row>
    <row r="13505" spans="1:11">
      <c r="A13505" s="760"/>
      <c r="B13505" s="760"/>
      <c r="C13505" s="760"/>
      <c r="D13505" s="760"/>
      <c r="E13505" s="760"/>
      <c r="F13505" s="760"/>
      <c r="G13505" s="760"/>
      <c r="H13505" s="760"/>
      <c r="I13505" s="760"/>
      <c r="J13505" s="760"/>
      <c r="K13505" s="760"/>
    </row>
    <row r="13506" spans="1:11">
      <c r="A13506" s="760"/>
      <c r="B13506" s="760"/>
      <c r="C13506" s="760"/>
      <c r="D13506" s="760"/>
      <c r="E13506" s="760"/>
      <c r="F13506" s="760"/>
      <c r="G13506" s="760"/>
      <c r="H13506" s="760"/>
      <c r="I13506" s="760"/>
      <c r="J13506" s="760"/>
      <c r="K13506" s="760"/>
    </row>
    <row r="13507" spans="1:11">
      <c r="A13507" s="760"/>
      <c r="B13507" s="760"/>
      <c r="C13507" s="760"/>
      <c r="D13507" s="760"/>
      <c r="E13507" s="760"/>
      <c r="F13507" s="760"/>
      <c r="G13507" s="760"/>
      <c r="H13507" s="760"/>
      <c r="I13507" s="760"/>
      <c r="J13507" s="760"/>
      <c r="K13507" s="760"/>
    </row>
    <row r="13508" spans="1:11">
      <c r="A13508" s="760"/>
      <c r="B13508" s="760"/>
      <c r="C13508" s="760"/>
      <c r="D13508" s="760"/>
      <c r="E13508" s="760"/>
      <c r="F13508" s="760"/>
      <c r="G13508" s="760"/>
      <c r="H13508" s="760"/>
      <c r="I13508" s="760"/>
      <c r="J13508" s="760"/>
      <c r="K13508" s="760"/>
    </row>
    <row r="13509" spans="1:11">
      <c r="A13509" s="760"/>
      <c r="B13509" s="760"/>
      <c r="C13509" s="760"/>
      <c r="D13509" s="760"/>
      <c r="E13509" s="760"/>
      <c r="F13509" s="760"/>
      <c r="G13509" s="760"/>
      <c r="H13509" s="760"/>
      <c r="I13509" s="760"/>
      <c r="J13509" s="760"/>
      <c r="K13509" s="760"/>
    </row>
    <row r="13510" spans="1:11">
      <c r="A13510" s="760"/>
      <c r="B13510" s="760"/>
      <c r="C13510" s="760"/>
      <c r="D13510" s="760"/>
      <c r="E13510" s="760"/>
      <c r="F13510" s="760"/>
      <c r="G13510" s="760"/>
      <c r="H13510" s="760"/>
      <c r="I13510" s="760"/>
      <c r="J13510" s="760"/>
      <c r="K13510" s="760"/>
    </row>
    <row r="13511" spans="1:11">
      <c r="A13511" s="760"/>
      <c r="B13511" s="760"/>
      <c r="C13511" s="760"/>
      <c r="D13511" s="760"/>
      <c r="E13511" s="760"/>
      <c r="F13511" s="760"/>
      <c r="G13511" s="760"/>
      <c r="H13511" s="760"/>
      <c r="I13511" s="760"/>
      <c r="J13511" s="760"/>
      <c r="K13511" s="760"/>
    </row>
    <row r="13512" spans="1:11">
      <c r="A13512" s="760"/>
      <c r="B13512" s="760"/>
      <c r="C13512" s="760"/>
      <c r="D13512" s="760"/>
      <c r="E13512" s="760"/>
      <c r="F13512" s="760"/>
      <c r="G13512" s="760"/>
      <c r="H13512" s="760"/>
      <c r="I13512" s="760"/>
      <c r="J13512" s="760"/>
      <c r="K13512" s="760"/>
    </row>
    <row r="13513" spans="1:11">
      <c r="A13513" s="760"/>
      <c r="B13513" s="760"/>
      <c r="C13513" s="760"/>
      <c r="D13513" s="760"/>
      <c r="E13513" s="760"/>
      <c r="F13513" s="760"/>
      <c r="G13513" s="760"/>
      <c r="H13513" s="760"/>
      <c r="I13513" s="760"/>
      <c r="J13513" s="760"/>
      <c r="K13513" s="760"/>
    </row>
    <row r="13514" spans="1:11">
      <c r="A13514" s="760"/>
      <c r="B13514" s="760"/>
      <c r="C13514" s="760"/>
      <c r="D13514" s="760"/>
      <c r="E13514" s="760"/>
      <c r="F13514" s="760"/>
      <c r="G13514" s="760"/>
      <c r="H13514" s="760"/>
      <c r="I13514" s="760"/>
      <c r="J13514" s="760"/>
      <c r="K13514" s="760"/>
    </row>
    <row r="13515" spans="1:11">
      <c r="A13515" s="760"/>
      <c r="B13515" s="760"/>
      <c r="C13515" s="760"/>
      <c r="D13515" s="760"/>
      <c r="E13515" s="760"/>
      <c r="F13515" s="760"/>
      <c r="G13515" s="760"/>
      <c r="H13515" s="760"/>
      <c r="I13515" s="760"/>
      <c r="J13515" s="760"/>
      <c r="K13515" s="760"/>
    </row>
    <row r="13516" spans="1:11">
      <c r="A13516" s="760"/>
      <c r="B13516" s="760"/>
      <c r="C13516" s="760"/>
      <c r="D13516" s="760"/>
      <c r="E13516" s="760"/>
      <c r="F13516" s="760"/>
      <c r="G13516" s="760"/>
      <c r="H13516" s="760"/>
      <c r="I13516" s="760"/>
      <c r="J13516" s="760"/>
      <c r="K13516" s="760"/>
    </row>
    <row r="13517" spans="1:11">
      <c r="A13517" s="760"/>
      <c r="B13517" s="760"/>
      <c r="C13517" s="760"/>
      <c r="D13517" s="760"/>
      <c r="E13517" s="760"/>
      <c r="F13517" s="760"/>
      <c r="G13517" s="760"/>
      <c r="H13517" s="760"/>
      <c r="I13517" s="760"/>
      <c r="J13517" s="760"/>
      <c r="K13517" s="760"/>
    </row>
    <row r="13518" spans="1:11">
      <c r="A13518" s="760"/>
      <c r="B13518" s="760"/>
      <c r="C13518" s="760"/>
      <c r="D13518" s="760"/>
      <c r="E13518" s="760"/>
      <c r="F13518" s="760"/>
      <c r="G13518" s="760"/>
      <c r="H13518" s="760"/>
      <c r="I13518" s="760"/>
      <c r="J13518" s="760"/>
      <c r="K13518" s="760"/>
    </row>
    <row r="13519" spans="1:11">
      <c r="A13519" s="760"/>
      <c r="B13519" s="760"/>
      <c r="C13519" s="760"/>
      <c r="D13519" s="760"/>
      <c r="E13519" s="760"/>
      <c r="F13519" s="760"/>
      <c r="G13519" s="760"/>
      <c r="H13519" s="760"/>
      <c r="I13519" s="760"/>
      <c r="J13519" s="760"/>
      <c r="K13519" s="760"/>
    </row>
    <row r="13520" spans="1:11">
      <c r="A13520" s="760"/>
      <c r="B13520" s="760"/>
      <c r="C13520" s="760"/>
      <c r="D13520" s="760"/>
      <c r="E13520" s="760"/>
      <c r="F13520" s="760"/>
      <c r="G13520" s="760"/>
      <c r="H13520" s="760"/>
      <c r="I13520" s="760"/>
      <c r="J13520" s="760"/>
      <c r="K13520" s="760"/>
    </row>
    <row r="13521" spans="1:11">
      <c r="A13521" s="760"/>
      <c r="B13521" s="760"/>
      <c r="C13521" s="760"/>
      <c r="D13521" s="760"/>
      <c r="E13521" s="760"/>
      <c r="F13521" s="760"/>
      <c r="G13521" s="760"/>
      <c r="H13521" s="760"/>
      <c r="I13521" s="760"/>
      <c r="J13521" s="760"/>
      <c r="K13521" s="760"/>
    </row>
    <row r="13522" spans="1:11">
      <c r="A13522" s="760"/>
      <c r="B13522" s="760"/>
      <c r="C13522" s="760"/>
      <c r="D13522" s="760"/>
      <c r="E13522" s="760"/>
      <c r="F13522" s="760"/>
      <c r="G13522" s="760"/>
      <c r="H13522" s="760"/>
      <c r="I13522" s="760"/>
      <c r="J13522" s="760"/>
      <c r="K13522" s="760"/>
    </row>
    <row r="13523" spans="1:11">
      <c r="A13523" s="760"/>
      <c r="B13523" s="760"/>
      <c r="C13523" s="760"/>
      <c r="D13523" s="760"/>
      <c r="E13523" s="760"/>
      <c r="F13523" s="760"/>
      <c r="G13523" s="760"/>
      <c r="H13523" s="760"/>
      <c r="I13523" s="760"/>
      <c r="J13523" s="760"/>
      <c r="K13523" s="760"/>
    </row>
    <row r="13524" spans="1:11">
      <c r="A13524" s="760"/>
      <c r="B13524" s="760"/>
      <c r="C13524" s="760"/>
      <c r="D13524" s="760"/>
      <c r="E13524" s="760"/>
      <c r="F13524" s="760"/>
      <c r="G13524" s="760"/>
      <c r="H13524" s="760"/>
      <c r="I13524" s="760"/>
      <c r="J13524" s="760"/>
      <c r="K13524" s="760"/>
    </row>
    <row r="13525" spans="1:11">
      <c r="A13525" s="760"/>
      <c r="B13525" s="760"/>
      <c r="C13525" s="760"/>
      <c r="D13525" s="760"/>
      <c r="E13525" s="760"/>
      <c r="F13525" s="760"/>
      <c r="G13525" s="760"/>
      <c r="H13525" s="760"/>
      <c r="I13525" s="760"/>
      <c r="J13525" s="760"/>
      <c r="K13525" s="760"/>
    </row>
    <row r="13526" spans="1:11">
      <c r="A13526" s="760"/>
      <c r="B13526" s="760"/>
      <c r="C13526" s="760"/>
      <c r="D13526" s="760"/>
      <c r="E13526" s="760"/>
      <c r="F13526" s="760"/>
      <c r="G13526" s="760"/>
      <c r="H13526" s="760"/>
      <c r="I13526" s="760"/>
      <c r="J13526" s="760"/>
      <c r="K13526" s="760"/>
    </row>
    <row r="13527" spans="1:11">
      <c r="A13527" s="760"/>
      <c r="B13527" s="760"/>
      <c r="C13527" s="760"/>
      <c r="D13527" s="760"/>
      <c r="E13527" s="760"/>
      <c r="F13527" s="760"/>
      <c r="G13527" s="760"/>
      <c r="H13527" s="760"/>
      <c r="I13527" s="760"/>
      <c r="J13527" s="760"/>
      <c r="K13527" s="760"/>
    </row>
    <row r="13528" spans="1:11">
      <c r="A13528" s="760"/>
      <c r="B13528" s="760"/>
      <c r="C13528" s="760"/>
      <c r="D13528" s="760"/>
      <c r="E13528" s="760"/>
      <c r="F13528" s="760"/>
      <c r="G13528" s="760"/>
      <c r="H13528" s="760"/>
      <c r="I13528" s="760"/>
      <c r="J13528" s="760"/>
      <c r="K13528" s="760"/>
    </row>
    <row r="13529" spans="1:11">
      <c r="A13529" s="760"/>
      <c r="B13529" s="760"/>
      <c r="C13529" s="760"/>
      <c r="D13529" s="760"/>
      <c r="E13529" s="760"/>
      <c r="F13529" s="760"/>
      <c r="G13529" s="760"/>
      <c r="H13529" s="760"/>
      <c r="I13529" s="760"/>
      <c r="J13529" s="760"/>
      <c r="K13529" s="760"/>
    </row>
    <row r="13530" spans="1:11">
      <c r="A13530" s="760"/>
      <c r="B13530" s="760"/>
      <c r="C13530" s="760"/>
      <c r="D13530" s="760"/>
      <c r="E13530" s="760"/>
      <c r="F13530" s="760"/>
      <c r="G13530" s="760"/>
      <c r="H13530" s="760"/>
      <c r="I13530" s="760"/>
      <c r="J13530" s="760"/>
      <c r="K13530" s="760"/>
    </row>
    <row r="13531" spans="1:11">
      <c r="A13531" s="760"/>
      <c r="B13531" s="760"/>
      <c r="C13531" s="760"/>
      <c r="D13531" s="760"/>
      <c r="E13531" s="760"/>
      <c r="F13531" s="760"/>
      <c r="G13531" s="760"/>
      <c r="H13531" s="760"/>
      <c r="I13531" s="760"/>
      <c r="J13531" s="760"/>
      <c r="K13531" s="760"/>
    </row>
    <row r="13532" spans="1:11">
      <c r="A13532" s="760"/>
      <c r="B13532" s="760"/>
      <c r="C13532" s="760"/>
      <c r="D13532" s="760"/>
      <c r="E13532" s="760"/>
      <c r="F13532" s="760"/>
      <c r="G13532" s="760"/>
      <c r="H13532" s="760"/>
      <c r="I13532" s="760"/>
      <c r="J13532" s="760"/>
      <c r="K13532" s="760"/>
    </row>
    <row r="13533" spans="1:11">
      <c r="A13533" s="760"/>
      <c r="B13533" s="760"/>
      <c r="C13533" s="760"/>
      <c r="D13533" s="760"/>
      <c r="E13533" s="760"/>
      <c r="F13533" s="760"/>
      <c r="G13533" s="760"/>
      <c r="H13533" s="760"/>
      <c r="I13533" s="760"/>
      <c r="J13533" s="760"/>
      <c r="K13533" s="760"/>
    </row>
    <row r="13534" spans="1:11">
      <c r="A13534" s="760"/>
      <c r="B13534" s="760"/>
      <c r="C13534" s="760"/>
      <c r="D13534" s="760"/>
      <c r="E13534" s="760"/>
      <c r="F13534" s="760"/>
      <c r="G13534" s="760"/>
      <c r="H13534" s="760"/>
      <c r="I13534" s="760"/>
      <c r="J13534" s="760"/>
      <c r="K13534" s="760"/>
    </row>
    <row r="13535" spans="1:11">
      <c r="A13535" s="760"/>
      <c r="B13535" s="760"/>
      <c r="C13535" s="760"/>
      <c r="D13535" s="760"/>
      <c r="E13535" s="760"/>
      <c r="F13535" s="760"/>
      <c r="G13535" s="760"/>
      <c r="H13535" s="760"/>
      <c r="I13535" s="760"/>
      <c r="J13535" s="760"/>
      <c r="K13535" s="760"/>
    </row>
    <row r="13536" spans="1:11">
      <c r="A13536" s="760"/>
      <c r="B13536" s="760"/>
      <c r="C13536" s="760"/>
      <c r="D13536" s="760"/>
      <c r="E13536" s="760"/>
      <c r="F13536" s="760"/>
      <c r="G13536" s="760"/>
      <c r="H13536" s="760"/>
      <c r="I13536" s="760"/>
      <c r="J13536" s="760"/>
      <c r="K13536" s="760"/>
    </row>
    <row r="13537" spans="1:11">
      <c r="A13537" s="760"/>
      <c r="B13537" s="760"/>
      <c r="C13537" s="760"/>
      <c r="D13537" s="760"/>
      <c r="E13537" s="760"/>
      <c r="F13537" s="760"/>
      <c r="G13537" s="760"/>
      <c r="H13537" s="760"/>
      <c r="I13537" s="760"/>
      <c r="J13537" s="760"/>
      <c r="K13537" s="760"/>
    </row>
    <row r="13538" spans="1:11">
      <c r="A13538" s="760"/>
      <c r="B13538" s="760"/>
      <c r="C13538" s="760"/>
      <c r="D13538" s="760"/>
      <c r="E13538" s="760"/>
      <c r="F13538" s="760"/>
      <c r="G13538" s="760"/>
      <c r="H13538" s="760"/>
      <c r="I13538" s="760"/>
      <c r="J13538" s="760"/>
      <c r="K13538" s="760"/>
    </row>
    <row r="13539" spans="1:11">
      <c r="A13539" s="760"/>
      <c r="B13539" s="760"/>
      <c r="C13539" s="760"/>
      <c r="D13539" s="760"/>
      <c r="E13539" s="760"/>
      <c r="F13539" s="760"/>
      <c r="G13539" s="760"/>
      <c r="H13539" s="760"/>
      <c r="I13539" s="760"/>
      <c r="J13539" s="760"/>
      <c r="K13539" s="760"/>
    </row>
    <row r="13540" spans="1:11">
      <c r="A13540" s="760"/>
      <c r="B13540" s="760"/>
      <c r="C13540" s="760"/>
      <c r="D13540" s="760"/>
      <c r="E13540" s="760"/>
      <c r="F13540" s="760"/>
      <c r="G13540" s="760"/>
      <c r="H13540" s="760"/>
      <c r="I13540" s="760"/>
      <c r="J13540" s="760"/>
      <c r="K13540" s="760"/>
    </row>
    <row r="13541" spans="1:11">
      <c r="A13541" s="760"/>
      <c r="B13541" s="760"/>
      <c r="C13541" s="760"/>
      <c r="D13541" s="760"/>
      <c r="E13541" s="760"/>
      <c r="F13541" s="760"/>
      <c r="G13541" s="760"/>
      <c r="H13541" s="760"/>
      <c r="I13541" s="760"/>
      <c r="J13541" s="760"/>
      <c r="K13541" s="760"/>
    </row>
    <row r="13542" spans="1:11">
      <c r="A13542" s="760"/>
      <c r="B13542" s="760"/>
      <c r="C13542" s="760"/>
      <c r="D13542" s="760"/>
      <c r="E13542" s="760"/>
      <c r="F13542" s="760"/>
      <c r="G13542" s="760"/>
      <c r="H13542" s="760"/>
      <c r="I13542" s="760"/>
      <c r="J13542" s="760"/>
      <c r="K13542" s="760"/>
    </row>
    <row r="13543" spans="1:11">
      <c r="A13543" s="760"/>
      <c r="B13543" s="760"/>
      <c r="C13543" s="760"/>
      <c r="D13543" s="760"/>
      <c r="E13543" s="760"/>
      <c r="F13543" s="760"/>
      <c r="G13543" s="760"/>
      <c r="H13543" s="760"/>
      <c r="I13543" s="760"/>
      <c r="J13543" s="760"/>
      <c r="K13543" s="760"/>
    </row>
    <row r="13544" spans="1:11">
      <c r="A13544" s="760"/>
      <c r="B13544" s="760"/>
      <c r="C13544" s="760"/>
      <c r="D13544" s="760"/>
      <c r="E13544" s="760"/>
      <c r="F13544" s="760"/>
      <c r="G13544" s="760"/>
      <c r="H13544" s="760"/>
      <c r="I13544" s="760"/>
      <c r="J13544" s="760"/>
      <c r="K13544" s="760"/>
    </row>
    <row r="13545" spans="1:11">
      <c r="A13545" s="760"/>
      <c r="B13545" s="760"/>
      <c r="C13545" s="760"/>
      <c r="D13545" s="760"/>
      <c r="E13545" s="760"/>
      <c r="F13545" s="760"/>
      <c r="G13545" s="760"/>
      <c r="H13545" s="760"/>
      <c r="I13545" s="760"/>
      <c r="J13545" s="760"/>
      <c r="K13545" s="760"/>
    </row>
    <row r="13546" spans="1:11">
      <c r="A13546" s="760"/>
      <c r="B13546" s="760"/>
      <c r="C13546" s="760"/>
      <c r="D13546" s="760"/>
      <c r="E13546" s="760"/>
      <c r="F13546" s="760"/>
      <c r="G13546" s="760"/>
      <c r="H13546" s="760"/>
      <c r="I13546" s="760"/>
      <c r="J13546" s="760"/>
      <c r="K13546" s="760"/>
    </row>
    <row r="13547" spans="1:11">
      <c r="A13547" s="760"/>
      <c r="B13547" s="760"/>
      <c r="C13547" s="760"/>
      <c r="D13547" s="760"/>
      <c r="E13547" s="760"/>
      <c r="F13547" s="760"/>
      <c r="G13547" s="760"/>
      <c r="H13547" s="760"/>
      <c r="I13547" s="760"/>
      <c r="J13547" s="760"/>
      <c r="K13547" s="760"/>
    </row>
    <row r="13548" spans="1:11">
      <c r="A13548" s="760"/>
      <c r="B13548" s="760"/>
      <c r="C13548" s="760"/>
      <c r="D13548" s="760"/>
      <c r="E13548" s="760"/>
      <c r="F13548" s="760"/>
      <c r="G13548" s="760"/>
      <c r="H13548" s="760"/>
      <c r="I13548" s="760"/>
      <c r="J13548" s="760"/>
      <c r="K13548" s="760"/>
    </row>
    <row r="13549" spans="1:11">
      <c r="A13549" s="760"/>
      <c r="B13549" s="760"/>
      <c r="C13549" s="760"/>
      <c r="D13549" s="760"/>
      <c r="E13549" s="760"/>
      <c r="F13549" s="760"/>
      <c r="G13549" s="760"/>
      <c r="H13549" s="760"/>
      <c r="I13549" s="760"/>
      <c r="J13549" s="760"/>
      <c r="K13549" s="760"/>
    </row>
    <row r="13550" spans="1:11">
      <c r="A13550" s="760"/>
      <c r="B13550" s="760"/>
      <c r="C13550" s="760"/>
      <c r="D13550" s="760"/>
      <c r="E13550" s="760"/>
      <c r="F13550" s="760"/>
      <c r="G13550" s="760"/>
      <c r="H13550" s="760"/>
      <c r="I13550" s="760"/>
      <c r="J13550" s="760"/>
      <c r="K13550" s="760"/>
    </row>
    <row r="13551" spans="1:11">
      <c r="A13551" s="760"/>
      <c r="B13551" s="760"/>
      <c r="C13551" s="760"/>
      <c r="D13551" s="760"/>
      <c r="E13551" s="760"/>
      <c r="F13551" s="760"/>
      <c r="G13551" s="760"/>
      <c r="H13551" s="760"/>
      <c r="I13551" s="760"/>
      <c r="J13551" s="760"/>
      <c r="K13551" s="760"/>
    </row>
    <row r="13552" spans="1:11">
      <c r="A13552" s="760"/>
      <c r="B13552" s="760"/>
      <c r="C13552" s="760"/>
      <c r="D13552" s="760"/>
      <c r="E13552" s="760"/>
      <c r="F13552" s="760"/>
      <c r="G13552" s="760"/>
      <c r="H13552" s="760"/>
      <c r="I13552" s="760"/>
      <c r="J13552" s="760"/>
      <c r="K13552" s="760"/>
    </row>
    <row r="13553" spans="1:11">
      <c r="A13553" s="760"/>
      <c r="B13553" s="760"/>
      <c r="C13553" s="760"/>
      <c r="D13553" s="760"/>
      <c r="E13553" s="760"/>
      <c r="F13553" s="760"/>
      <c r="G13553" s="760"/>
      <c r="H13553" s="760"/>
      <c r="I13553" s="760"/>
      <c r="J13553" s="760"/>
      <c r="K13553" s="760"/>
    </row>
    <row r="13554" spans="1:11">
      <c r="A13554" s="760"/>
      <c r="B13554" s="760"/>
      <c r="C13554" s="760"/>
      <c r="D13554" s="760"/>
      <c r="E13554" s="760"/>
      <c r="F13554" s="760"/>
      <c r="G13554" s="760"/>
      <c r="H13554" s="760"/>
      <c r="I13554" s="760"/>
      <c r="J13554" s="760"/>
      <c r="K13554" s="760"/>
    </row>
    <row r="13555" spans="1:11">
      <c r="A13555" s="760"/>
      <c r="B13555" s="760"/>
      <c r="C13555" s="760"/>
      <c r="D13555" s="760"/>
      <c r="E13555" s="760"/>
      <c r="F13555" s="760"/>
      <c r="G13555" s="760"/>
      <c r="H13555" s="760"/>
      <c r="I13555" s="760"/>
      <c r="J13555" s="760"/>
      <c r="K13555" s="760"/>
    </row>
    <row r="13556" spans="1:11">
      <c r="A13556" s="760"/>
      <c r="B13556" s="760"/>
      <c r="C13556" s="760"/>
      <c r="D13556" s="760"/>
      <c r="E13556" s="760"/>
      <c r="F13556" s="760"/>
      <c r="G13556" s="760"/>
      <c r="H13556" s="760"/>
      <c r="I13556" s="760"/>
      <c r="J13556" s="760"/>
      <c r="K13556" s="760"/>
    </row>
    <row r="13557" spans="1:11">
      <c r="A13557" s="760"/>
      <c r="B13557" s="760"/>
      <c r="C13557" s="760"/>
      <c r="D13557" s="760"/>
      <c r="E13557" s="760"/>
      <c r="F13557" s="760"/>
      <c r="G13557" s="760"/>
      <c r="H13557" s="760"/>
      <c r="I13557" s="760"/>
      <c r="J13557" s="760"/>
      <c r="K13557" s="760"/>
    </row>
    <row r="13558" spans="1:11">
      <c r="A13558" s="760"/>
      <c r="B13558" s="760"/>
      <c r="C13558" s="760"/>
      <c r="D13558" s="760"/>
      <c r="E13558" s="760"/>
      <c r="F13558" s="760"/>
      <c r="G13558" s="760"/>
      <c r="H13558" s="760"/>
      <c r="I13558" s="760"/>
      <c r="J13558" s="760"/>
      <c r="K13558" s="760"/>
    </row>
    <row r="13559" spans="1:11">
      <c r="A13559" s="760"/>
      <c r="B13559" s="760"/>
      <c r="C13559" s="760"/>
      <c r="D13559" s="760"/>
      <c r="E13559" s="760"/>
      <c r="F13559" s="760"/>
      <c r="G13559" s="760"/>
      <c r="H13559" s="760"/>
      <c r="I13559" s="760"/>
      <c r="J13559" s="760"/>
      <c r="K13559" s="760"/>
    </row>
    <row r="13560" spans="1:11">
      <c r="A13560" s="760"/>
      <c r="B13560" s="760"/>
      <c r="C13560" s="760"/>
      <c r="D13560" s="760"/>
      <c r="E13560" s="760"/>
      <c r="F13560" s="760"/>
      <c r="G13560" s="760"/>
      <c r="H13560" s="760"/>
      <c r="I13560" s="760"/>
      <c r="J13560" s="760"/>
      <c r="K13560" s="760"/>
    </row>
    <row r="13561" spans="1:11">
      <c r="A13561" s="760"/>
      <c r="B13561" s="760"/>
      <c r="C13561" s="760"/>
      <c r="D13561" s="760"/>
      <c r="E13561" s="760"/>
      <c r="F13561" s="760"/>
      <c r="G13561" s="760"/>
      <c r="H13561" s="760"/>
      <c r="I13561" s="760"/>
      <c r="J13561" s="760"/>
      <c r="K13561" s="760"/>
    </row>
    <row r="13562" spans="1:11">
      <c r="A13562" s="760"/>
      <c r="B13562" s="760"/>
      <c r="C13562" s="760"/>
      <c r="D13562" s="760"/>
      <c r="E13562" s="760"/>
      <c r="F13562" s="760"/>
      <c r="G13562" s="760"/>
      <c r="H13562" s="760"/>
      <c r="I13562" s="760"/>
      <c r="J13562" s="760"/>
      <c r="K13562" s="760"/>
    </row>
    <row r="13563" spans="1:11">
      <c r="A13563" s="760"/>
      <c r="B13563" s="760"/>
      <c r="C13563" s="760"/>
      <c r="D13563" s="760"/>
      <c r="E13563" s="760"/>
      <c r="F13563" s="760"/>
      <c r="G13563" s="760"/>
      <c r="H13563" s="760"/>
      <c r="I13563" s="760"/>
      <c r="J13563" s="760"/>
      <c r="K13563" s="760"/>
    </row>
    <row r="13564" spans="1:11">
      <c r="A13564" s="760"/>
      <c r="B13564" s="760"/>
      <c r="C13564" s="760"/>
      <c r="D13564" s="760"/>
      <c r="E13564" s="760"/>
      <c r="F13564" s="760"/>
      <c r="G13564" s="760"/>
      <c r="H13564" s="760"/>
      <c r="I13564" s="760"/>
      <c r="J13564" s="760"/>
      <c r="K13564" s="760"/>
    </row>
    <row r="13565" spans="1:11">
      <c r="A13565" s="760"/>
      <c r="B13565" s="760"/>
      <c r="C13565" s="760"/>
      <c r="D13565" s="760"/>
      <c r="E13565" s="760"/>
      <c r="F13565" s="760"/>
      <c r="G13565" s="760"/>
      <c r="H13565" s="760"/>
      <c r="I13565" s="760"/>
      <c r="J13565" s="760"/>
      <c r="K13565" s="760"/>
    </row>
    <row r="13566" spans="1:11">
      <c r="A13566" s="760"/>
      <c r="B13566" s="760"/>
      <c r="C13566" s="760"/>
      <c r="D13566" s="760"/>
      <c r="E13566" s="760"/>
      <c r="F13566" s="760"/>
      <c r="G13566" s="760"/>
      <c r="H13566" s="760"/>
      <c r="I13566" s="760"/>
      <c r="J13566" s="760"/>
      <c r="K13566" s="760"/>
    </row>
    <row r="13567" spans="1:11">
      <c r="A13567" s="760"/>
      <c r="B13567" s="760"/>
      <c r="C13567" s="760"/>
      <c r="D13567" s="760"/>
      <c r="E13567" s="760"/>
      <c r="F13567" s="760"/>
      <c r="G13567" s="760"/>
      <c r="H13567" s="760"/>
      <c r="I13567" s="760"/>
      <c r="J13567" s="760"/>
      <c r="K13567" s="760"/>
    </row>
    <row r="13568" spans="1:11">
      <c r="A13568" s="760"/>
      <c r="B13568" s="760"/>
      <c r="C13568" s="760"/>
      <c r="D13568" s="760"/>
      <c r="E13568" s="760"/>
      <c r="F13568" s="760"/>
      <c r="G13568" s="760"/>
      <c r="H13568" s="760"/>
      <c r="I13568" s="760"/>
      <c r="J13568" s="760"/>
      <c r="K13568" s="760"/>
    </row>
    <row r="13569" spans="1:11">
      <c r="A13569" s="760"/>
      <c r="B13569" s="760"/>
      <c r="C13569" s="760"/>
      <c r="D13569" s="760"/>
      <c r="E13569" s="760"/>
      <c r="F13569" s="760"/>
      <c r="G13569" s="760"/>
      <c r="H13569" s="760"/>
      <c r="I13569" s="760"/>
      <c r="J13569" s="760"/>
      <c r="K13569" s="760"/>
    </row>
    <row r="13570" spans="1:11">
      <c r="A13570" s="760"/>
      <c r="B13570" s="760"/>
      <c r="C13570" s="760"/>
      <c r="D13570" s="760"/>
      <c r="E13570" s="760"/>
      <c r="F13570" s="760"/>
      <c r="G13570" s="760"/>
      <c r="H13570" s="760"/>
      <c r="I13570" s="760"/>
      <c r="J13570" s="760"/>
      <c r="K13570" s="760"/>
    </row>
    <row r="13571" spans="1:11">
      <c r="A13571" s="760"/>
      <c r="B13571" s="760"/>
      <c r="C13571" s="760"/>
      <c r="D13571" s="760"/>
      <c r="E13571" s="760"/>
      <c r="F13571" s="760"/>
      <c r="G13571" s="760"/>
      <c r="H13571" s="760"/>
      <c r="I13571" s="760"/>
      <c r="J13571" s="760"/>
      <c r="K13571" s="760"/>
    </row>
    <row r="13572" spans="1:11">
      <c r="A13572" s="760"/>
      <c r="B13572" s="760"/>
      <c r="C13572" s="760"/>
      <c r="D13572" s="760"/>
      <c r="E13572" s="760"/>
      <c r="F13572" s="760"/>
      <c r="G13572" s="760"/>
      <c r="H13572" s="760"/>
      <c r="I13572" s="760"/>
      <c r="J13572" s="760"/>
      <c r="K13572" s="760"/>
    </row>
    <row r="13573" spans="1:11">
      <c r="A13573" s="760"/>
      <c r="B13573" s="760"/>
      <c r="C13573" s="760"/>
      <c r="D13573" s="760"/>
      <c r="E13573" s="760"/>
      <c r="F13573" s="760"/>
      <c r="G13573" s="760"/>
      <c r="H13573" s="760"/>
      <c r="I13573" s="760"/>
      <c r="J13573" s="760"/>
      <c r="K13573" s="760"/>
    </row>
    <row r="13574" spans="1:11">
      <c r="A13574" s="760"/>
      <c r="B13574" s="760"/>
      <c r="C13574" s="760"/>
      <c r="D13574" s="760"/>
      <c r="E13574" s="760"/>
      <c r="F13574" s="760"/>
      <c r="G13574" s="760"/>
      <c r="H13574" s="760"/>
      <c r="I13574" s="760"/>
      <c r="J13574" s="760"/>
      <c r="K13574" s="760"/>
    </row>
    <row r="13575" spans="1:11">
      <c r="A13575" s="760"/>
      <c r="B13575" s="760"/>
      <c r="C13575" s="760"/>
      <c r="D13575" s="760"/>
      <c r="E13575" s="760"/>
      <c r="F13575" s="760"/>
      <c r="G13575" s="760"/>
      <c r="H13575" s="760"/>
      <c r="I13575" s="760"/>
      <c r="J13575" s="760"/>
      <c r="K13575" s="760"/>
    </row>
    <row r="13576" spans="1:11">
      <c r="A13576" s="760"/>
      <c r="B13576" s="760"/>
      <c r="C13576" s="760"/>
      <c r="D13576" s="760"/>
      <c r="E13576" s="760"/>
      <c r="F13576" s="760"/>
      <c r="G13576" s="760"/>
      <c r="H13576" s="760"/>
      <c r="I13576" s="760"/>
      <c r="J13576" s="760"/>
      <c r="K13576" s="760"/>
    </row>
    <row r="13577" spans="1:11">
      <c r="A13577" s="760"/>
      <c r="B13577" s="760"/>
      <c r="C13577" s="760"/>
      <c r="D13577" s="760"/>
      <c r="E13577" s="760"/>
      <c r="F13577" s="760"/>
      <c r="G13577" s="760"/>
      <c r="H13577" s="760"/>
      <c r="I13577" s="760"/>
      <c r="J13577" s="760"/>
      <c r="K13577" s="760"/>
    </row>
    <row r="13578" spans="1:11">
      <c r="A13578" s="760"/>
      <c r="B13578" s="760"/>
      <c r="C13578" s="760"/>
      <c r="D13578" s="760"/>
      <c r="E13578" s="760"/>
      <c r="F13578" s="760"/>
      <c r="G13578" s="760"/>
      <c r="H13578" s="760"/>
      <c r="I13578" s="760"/>
      <c r="J13578" s="760"/>
      <c r="K13578" s="760"/>
    </row>
    <row r="13579" spans="1:11">
      <c r="A13579" s="760"/>
      <c r="B13579" s="760"/>
      <c r="C13579" s="760"/>
      <c r="D13579" s="760"/>
      <c r="E13579" s="760"/>
      <c r="F13579" s="760"/>
      <c r="G13579" s="760"/>
      <c r="H13579" s="760"/>
      <c r="I13579" s="760"/>
      <c r="J13579" s="760"/>
      <c r="K13579" s="760"/>
    </row>
    <row r="13580" spans="1:11">
      <c r="A13580" s="760"/>
      <c r="B13580" s="760"/>
      <c r="C13580" s="760"/>
      <c r="D13580" s="760"/>
      <c r="E13580" s="760"/>
      <c r="F13580" s="760"/>
      <c r="G13580" s="760"/>
      <c r="H13580" s="760"/>
      <c r="I13580" s="760"/>
      <c r="J13580" s="760"/>
      <c r="K13580" s="760"/>
    </row>
    <row r="13581" spans="1:11">
      <c r="A13581" s="760"/>
      <c r="B13581" s="760"/>
      <c r="C13581" s="760"/>
      <c r="D13581" s="760"/>
      <c r="E13581" s="760"/>
      <c r="F13581" s="760"/>
      <c r="G13581" s="760"/>
      <c r="H13581" s="760"/>
      <c r="I13581" s="760"/>
      <c r="J13581" s="760"/>
      <c r="K13581" s="760"/>
    </row>
    <row r="13582" spans="1:11">
      <c r="A13582" s="760"/>
      <c r="B13582" s="760"/>
      <c r="C13582" s="760"/>
      <c r="D13582" s="760"/>
      <c r="E13582" s="760"/>
      <c r="F13582" s="760"/>
      <c r="G13582" s="760"/>
      <c r="H13582" s="760"/>
      <c r="I13582" s="760"/>
      <c r="J13582" s="760"/>
      <c r="K13582" s="760"/>
    </row>
    <row r="13583" spans="1:11">
      <c r="A13583" s="760"/>
      <c r="B13583" s="760"/>
      <c r="C13583" s="760"/>
      <c r="D13583" s="760"/>
      <c r="E13583" s="760"/>
      <c r="F13583" s="760"/>
      <c r="G13583" s="760"/>
      <c r="H13583" s="760"/>
      <c r="I13583" s="760"/>
      <c r="J13583" s="760"/>
      <c r="K13583" s="760"/>
    </row>
    <row r="13584" spans="1:11">
      <c r="A13584" s="760"/>
      <c r="B13584" s="760"/>
      <c r="C13584" s="760"/>
      <c r="D13584" s="760"/>
      <c r="E13584" s="760"/>
      <c r="F13584" s="760"/>
      <c r="G13584" s="760"/>
      <c r="H13584" s="760"/>
      <c r="I13584" s="760"/>
      <c r="J13584" s="760"/>
      <c r="K13584" s="760"/>
    </row>
    <row r="13585" spans="1:11">
      <c r="A13585" s="760"/>
      <c r="B13585" s="760"/>
      <c r="C13585" s="760"/>
      <c r="D13585" s="760"/>
      <c r="E13585" s="760"/>
      <c r="F13585" s="760"/>
      <c r="G13585" s="760"/>
      <c r="H13585" s="760"/>
      <c r="I13585" s="760"/>
      <c r="J13585" s="760"/>
      <c r="K13585" s="760"/>
    </row>
    <row r="13586" spans="1:11">
      <c r="A13586" s="760"/>
      <c r="B13586" s="760"/>
      <c r="C13586" s="760"/>
      <c r="D13586" s="760"/>
      <c r="E13586" s="760"/>
      <c r="F13586" s="760"/>
      <c r="G13586" s="760"/>
      <c r="H13586" s="760"/>
      <c r="I13586" s="760"/>
      <c r="J13586" s="760"/>
      <c r="K13586" s="760"/>
    </row>
    <row r="13587" spans="1:11">
      <c r="A13587" s="760"/>
      <c r="B13587" s="760"/>
      <c r="C13587" s="760"/>
      <c r="D13587" s="760"/>
      <c r="E13587" s="760"/>
      <c r="F13587" s="760"/>
      <c r="G13587" s="760"/>
      <c r="H13587" s="760"/>
      <c r="I13587" s="760"/>
      <c r="J13587" s="760"/>
      <c r="K13587" s="760"/>
    </row>
    <row r="13588" spans="1:11">
      <c r="A13588" s="760"/>
      <c r="B13588" s="760"/>
      <c r="C13588" s="760"/>
      <c r="D13588" s="760"/>
      <c r="E13588" s="760"/>
      <c r="F13588" s="760"/>
      <c r="G13588" s="760"/>
      <c r="H13588" s="760"/>
      <c r="I13588" s="760"/>
      <c r="J13588" s="760"/>
      <c r="K13588" s="760"/>
    </row>
    <row r="13589" spans="1:11">
      <c r="A13589" s="760"/>
      <c r="B13589" s="760"/>
      <c r="C13589" s="760"/>
      <c r="D13589" s="760"/>
      <c r="E13589" s="760"/>
      <c r="F13589" s="760"/>
      <c r="G13589" s="760"/>
      <c r="H13589" s="760"/>
      <c r="I13589" s="760"/>
      <c r="J13589" s="760"/>
      <c r="K13589" s="760"/>
    </row>
    <row r="13590" spans="1:11">
      <c r="A13590" s="760"/>
      <c r="B13590" s="760"/>
      <c r="C13590" s="760"/>
      <c r="D13590" s="760"/>
      <c r="E13590" s="760"/>
      <c r="F13590" s="760"/>
      <c r="G13590" s="760"/>
      <c r="H13590" s="760"/>
      <c r="I13590" s="760"/>
      <c r="J13590" s="760"/>
      <c r="K13590" s="760"/>
    </row>
    <row r="13591" spans="1:11">
      <c r="A13591" s="760"/>
      <c r="B13591" s="760"/>
      <c r="C13591" s="760"/>
      <c r="D13591" s="760"/>
      <c r="E13591" s="760"/>
      <c r="F13591" s="760"/>
      <c r="G13591" s="760"/>
      <c r="H13591" s="760"/>
      <c r="I13591" s="760"/>
      <c r="J13591" s="760"/>
      <c r="K13591" s="760"/>
    </row>
    <row r="13592" spans="1:11">
      <c r="A13592" s="760"/>
      <c r="B13592" s="760"/>
      <c r="C13592" s="760"/>
      <c r="D13592" s="760"/>
      <c r="E13592" s="760"/>
      <c r="F13592" s="760"/>
      <c r="G13592" s="760"/>
      <c r="H13592" s="760"/>
      <c r="I13592" s="760"/>
      <c r="J13592" s="760"/>
      <c r="K13592" s="760"/>
    </row>
    <row r="13593" spans="1:11">
      <c r="A13593" s="760"/>
      <c r="B13593" s="760"/>
      <c r="C13593" s="760"/>
      <c r="D13593" s="760"/>
      <c r="E13593" s="760"/>
      <c r="F13593" s="760"/>
      <c r="G13593" s="760"/>
      <c r="H13593" s="760"/>
      <c r="I13593" s="760"/>
      <c r="J13593" s="760"/>
      <c r="K13593" s="760"/>
    </row>
    <row r="13594" spans="1:11">
      <c r="A13594" s="760"/>
      <c r="B13594" s="760"/>
      <c r="C13594" s="760"/>
      <c r="D13594" s="760"/>
      <c r="E13594" s="760"/>
      <c r="F13594" s="760"/>
      <c r="G13594" s="760"/>
      <c r="H13594" s="760"/>
      <c r="I13594" s="760"/>
      <c r="J13594" s="760"/>
      <c r="K13594" s="760"/>
    </row>
    <row r="13595" spans="1:11">
      <c r="A13595" s="760"/>
      <c r="B13595" s="760"/>
      <c r="C13595" s="760"/>
      <c r="D13595" s="760"/>
      <c r="E13595" s="760"/>
      <c r="F13595" s="760"/>
      <c r="G13595" s="760"/>
      <c r="H13595" s="760"/>
      <c r="I13595" s="760"/>
      <c r="J13595" s="760"/>
      <c r="K13595" s="760"/>
    </row>
    <row r="13596" spans="1:11">
      <c r="A13596" s="760"/>
      <c r="B13596" s="760"/>
      <c r="C13596" s="760"/>
      <c r="D13596" s="760"/>
      <c r="E13596" s="760"/>
      <c r="F13596" s="760"/>
      <c r="G13596" s="760"/>
      <c r="H13596" s="760"/>
      <c r="I13596" s="760"/>
      <c r="J13596" s="760"/>
      <c r="K13596" s="760"/>
    </row>
    <row r="13597" spans="1:11">
      <c r="A13597" s="760"/>
      <c r="B13597" s="760"/>
      <c r="C13597" s="760"/>
      <c r="D13597" s="760"/>
      <c r="E13597" s="760"/>
      <c r="F13597" s="760"/>
      <c r="G13597" s="760"/>
      <c r="H13597" s="760"/>
      <c r="I13597" s="760"/>
      <c r="J13597" s="760"/>
      <c r="K13597" s="760"/>
    </row>
    <row r="13598" spans="1:11">
      <c r="A13598" s="760"/>
      <c r="B13598" s="760"/>
      <c r="C13598" s="760"/>
      <c r="D13598" s="760"/>
      <c r="E13598" s="760"/>
      <c r="F13598" s="760"/>
      <c r="G13598" s="760"/>
      <c r="H13598" s="760"/>
      <c r="I13598" s="760"/>
      <c r="J13598" s="760"/>
      <c r="K13598" s="760"/>
    </row>
    <row r="13599" spans="1:11">
      <c r="A13599" s="760"/>
      <c r="B13599" s="760"/>
      <c r="C13599" s="760"/>
      <c r="D13599" s="760"/>
      <c r="E13599" s="760"/>
      <c r="F13599" s="760"/>
      <c r="G13599" s="760"/>
      <c r="H13599" s="760"/>
      <c r="I13599" s="760"/>
      <c r="J13599" s="760"/>
      <c r="K13599" s="760"/>
    </row>
    <row r="13600" spans="1:11">
      <c r="A13600" s="760"/>
      <c r="B13600" s="760"/>
      <c r="C13600" s="760"/>
      <c r="D13600" s="760"/>
      <c r="E13600" s="760"/>
      <c r="F13600" s="760"/>
      <c r="G13600" s="760"/>
      <c r="H13600" s="760"/>
      <c r="I13600" s="760"/>
      <c r="J13600" s="760"/>
      <c r="K13600" s="760"/>
    </row>
    <row r="13601" spans="1:11">
      <c r="A13601" s="760"/>
      <c r="B13601" s="760"/>
      <c r="C13601" s="760"/>
      <c r="D13601" s="760"/>
      <c r="E13601" s="760"/>
      <c r="F13601" s="760"/>
      <c r="G13601" s="760"/>
      <c r="H13601" s="760"/>
      <c r="I13601" s="760"/>
      <c r="J13601" s="760"/>
      <c r="K13601" s="760"/>
    </row>
    <row r="13602" spans="1:11">
      <c r="A13602" s="760"/>
      <c r="B13602" s="760"/>
      <c r="C13602" s="760"/>
      <c r="D13602" s="760"/>
      <c r="E13602" s="760"/>
      <c r="F13602" s="760"/>
      <c r="G13602" s="760"/>
      <c r="H13602" s="760"/>
      <c r="I13602" s="760"/>
      <c r="J13602" s="760"/>
      <c r="K13602" s="760"/>
    </row>
    <row r="13603" spans="1:11">
      <c r="A13603" s="760"/>
      <c r="B13603" s="760"/>
      <c r="C13603" s="760"/>
      <c r="D13603" s="760"/>
      <c r="E13603" s="760"/>
      <c r="F13603" s="760"/>
      <c r="G13603" s="760"/>
      <c r="H13603" s="760"/>
      <c r="I13603" s="760"/>
      <c r="J13603" s="760"/>
      <c r="K13603" s="760"/>
    </row>
    <row r="13604" spans="1:11">
      <c r="A13604" s="760"/>
      <c r="B13604" s="760"/>
      <c r="C13604" s="760"/>
      <c r="D13604" s="760"/>
      <c r="E13604" s="760"/>
      <c r="F13604" s="760"/>
      <c r="G13604" s="760"/>
      <c r="H13604" s="760"/>
      <c r="I13604" s="760"/>
      <c r="J13604" s="760"/>
      <c r="K13604" s="760"/>
    </row>
    <row r="13605" spans="1:11">
      <c r="A13605" s="760"/>
      <c r="B13605" s="760"/>
      <c r="C13605" s="760"/>
      <c r="D13605" s="760"/>
      <c r="E13605" s="760"/>
      <c r="F13605" s="760"/>
      <c r="G13605" s="760"/>
      <c r="H13605" s="760"/>
      <c r="I13605" s="760"/>
      <c r="J13605" s="760"/>
      <c r="K13605" s="760"/>
    </row>
    <row r="13606" spans="1:11">
      <c r="A13606" s="760"/>
      <c r="B13606" s="760"/>
      <c r="C13606" s="760"/>
      <c r="D13606" s="760"/>
      <c r="E13606" s="760"/>
      <c r="F13606" s="760"/>
      <c r="G13606" s="760"/>
      <c r="H13606" s="760"/>
      <c r="I13606" s="760"/>
      <c r="J13606" s="760"/>
      <c r="K13606" s="760"/>
    </row>
    <row r="13607" spans="1:11">
      <c r="A13607" s="760"/>
      <c r="B13607" s="760"/>
      <c r="C13607" s="760"/>
      <c r="D13607" s="760"/>
      <c r="E13607" s="760"/>
      <c r="F13607" s="760"/>
      <c r="G13607" s="760"/>
      <c r="H13607" s="760"/>
      <c r="I13607" s="760"/>
      <c r="J13607" s="760"/>
      <c r="K13607" s="760"/>
    </row>
    <row r="13608" spans="1:11">
      <c r="A13608" s="760"/>
      <c r="B13608" s="760"/>
      <c r="C13608" s="760"/>
      <c r="D13608" s="760"/>
      <c r="E13608" s="760"/>
      <c r="F13608" s="760"/>
      <c r="G13608" s="760"/>
      <c r="H13608" s="760"/>
      <c r="I13608" s="760"/>
      <c r="J13608" s="760"/>
      <c r="K13608" s="760"/>
    </row>
    <row r="13609" spans="1:11">
      <c r="A13609" s="760"/>
      <c r="B13609" s="760"/>
      <c r="C13609" s="760"/>
      <c r="D13609" s="760"/>
      <c r="E13609" s="760"/>
      <c r="F13609" s="760"/>
      <c r="G13609" s="760"/>
      <c r="H13609" s="760"/>
      <c r="I13609" s="760"/>
      <c r="J13609" s="760"/>
      <c r="K13609" s="760"/>
    </row>
    <row r="13610" spans="1:11">
      <c r="A13610" s="760"/>
      <c r="B13610" s="760"/>
      <c r="C13610" s="760"/>
      <c r="D13610" s="760"/>
      <c r="E13610" s="760"/>
      <c r="F13610" s="760"/>
      <c r="G13610" s="760"/>
      <c r="H13610" s="760"/>
      <c r="I13610" s="760"/>
      <c r="J13610" s="760"/>
      <c r="K13610" s="760"/>
    </row>
    <row r="13611" spans="1:11">
      <c r="A13611" s="760"/>
      <c r="B13611" s="760"/>
      <c r="C13611" s="760"/>
      <c r="D13611" s="760"/>
      <c r="E13611" s="760"/>
      <c r="F13611" s="760"/>
      <c r="G13611" s="760"/>
      <c r="H13611" s="760"/>
      <c r="I13611" s="760"/>
      <c r="J13611" s="760"/>
      <c r="K13611" s="760"/>
    </row>
    <row r="13612" spans="1:11">
      <c r="A13612" s="760"/>
      <c r="B13612" s="760"/>
      <c r="C13612" s="760"/>
      <c r="D13612" s="760"/>
      <c r="E13612" s="760"/>
      <c r="F13612" s="760"/>
      <c r="G13612" s="760"/>
      <c r="H13612" s="760"/>
      <c r="I13612" s="760"/>
      <c r="J13612" s="760"/>
      <c r="K13612" s="760"/>
    </row>
    <row r="13613" spans="1:11">
      <c r="A13613" s="760"/>
      <c r="B13613" s="760"/>
      <c r="C13613" s="760"/>
      <c r="D13613" s="760"/>
      <c r="E13613" s="760"/>
      <c r="F13613" s="760"/>
      <c r="G13613" s="760"/>
      <c r="H13613" s="760"/>
      <c r="I13613" s="760"/>
      <c r="J13613" s="760"/>
      <c r="K13613" s="760"/>
    </row>
    <row r="13614" spans="1:11">
      <c r="A13614" s="760"/>
      <c r="B13614" s="760"/>
      <c r="C13614" s="760"/>
      <c r="D13614" s="760"/>
      <c r="E13614" s="760"/>
      <c r="F13614" s="760"/>
      <c r="G13614" s="760"/>
      <c r="H13614" s="760"/>
      <c r="I13614" s="760"/>
      <c r="J13614" s="760"/>
      <c r="K13614" s="760"/>
    </row>
    <row r="13615" spans="1:11">
      <c r="A13615" s="760"/>
      <c r="B13615" s="760"/>
      <c r="C13615" s="760"/>
      <c r="D13615" s="760"/>
      <c r="E13615" s="760"/>
      <c r="F13615" s="760"/>
      <c r="G13615" s="760"/>
      <c r="H13615" s="760"/>
      <c r="I13615" s="760"/>
      <c r="J13615" s="760"/>
      <c r="K13615" s="760"/>
    </row>
    <row r="13616" spans="1:11">
      <c r="A13616" s="760"/>
      <c r="B13616" s="760"/>
      <c r="C13616" s="760"/>
      <c r="D13616" s="760"/>
      <c r="E13616" s="760"/>
      <c r="F13616" s="760"/>
      <c r="G13616" s="760"/>
      <c r="H13616" s="760"/>
      <c r="I13616" s="760"/>
      <c r="J13616" s="760"/>
      <c r="K13616" s="760"/>
    </row>
    <row r="13617" spans="1:11">
      <c r="A13617" s="760"/>
      <c r="B13617" s="760"/>
      <c r="C13617" s="760"/>
      <c r="D13617" s="760"/>
      <c r="E13617" s="760"/>
      <c r="F13617" s="760"/>
      <c r="G13617" s="760"/>
      <c r="H13617" s="760"/>
      <c r="I13617" s="760"/>
      <c r="J13617" s="760"/>
      <c r="K13617" s="760"/>
    </row>
    <row r="13618" spans="1:11">
      <c r="A13618" s="760"/>
      <c r="B13618" s="760"/>
      <c r="C13618" s="760"/>
      <c r="D13618" s="760"/>
      <c r="E13618" s="760"/>
      <c r="F13618" s="760"/>
      <c r="G13618" s="760"/>
      <c r="H13618" s="760"/>
      <c r="I13618" s="760"/>
      <c r="J13618" s="760"/>
      <c r="K13618" s="760"/>
    </row>
    <row r="13619" spans="1:11">
      <c r="A13619" s="760"/>
      <c r="B13619" s="760"/>
      <c r="C13619" s="760"/>
      <c r="D13619" s="760"/>
      <c r="E13619" s="760"/>
      <c r="F13619" s="760"/>
      <c r="G13619" s="760"/>
      <c r="H13619" s="760"/>
      <c r="I13619" s="760"/>
      <c r="J13619" s="760"/>
      <c r="K13619" s="760"/>
    </row>
    <row r="13620" spans="1:11">
      <c r="A13620" s="760"/>
      <c r="B13620" s="760"/>
      <c r="C13620" s="760"/>
      <c r="D13620" s="760"/>
      <c r="E13620" s="760"/>
      <c r="F13620" s="760"/>
      <c r="G13620" s="760"/>
      <c r="H13620" s="760"/>
      <c r="I13620" s="760"/>
      <c r="J13620" s="760"/>
      <c r="K13620" s="760"/>
    </row>
    <row r="13621" spans="1:11">
      <c r="A13621" s="760"/>
      <c r="B13621" s="760"/>
      <c r="C13621" s="760"/>
      <c r="D13621" s="760"/>
      <c r="E13621" s="760"/>
      <c r="F13621" s="760"/>
      <c r="G13621" s="760"/>
      <c r="H13621" s="760"/>
      <c r="I13621" s="760"/>
      <c r="J13621" s="760"/>
      <c r="K13621" s="760"/>
    </row>
    <row r="13622" spans="1:11">
      <c r="A13622" s="760"/>
      <c r="B13622" s="760"/>
      <c r="C13622" s="760"/>
      <c r="D13622" s="760"/>
      <c r="E13622" s="760"/>
      <c r="F13622" s="760"/>
      <c r="G13622" s="760"/>
      <c r="H13622" s="760"/>
      <c r="I13622" s="760"/>
      <c r="J13622" s="760"/>
      <c r="K13622" s="760"/>
    </row>
    <row r="13623" spans="1:11">
      <c r="A13623" s="760"/>
      <c r="B13623" s="760"/>
      <c r="C13623" s="760"/>
      <c r="D13623" s="760"/>
      <c r="E13623" s="760"/>
      <c r="F13623" s="760"/>
      <c r="G13623" s="760"/>
      <c r="H13623" s="760"/>
      <c r="I13623" s="760"/>
      <c r="J13623" s="760"/>
      <c r="K13623" s="760"/>
    </row>
    <row r="13624" spans="1:11">
      <c r="A13624" s="760"/>
      <c r="B13624" s="760"/>
      <c r="C13624" s="760"/>
      <c r="D13624" s="760"/>
      <c r="E13624" s="760"/>
      <c r="F13624" s="760"/>
      <c r="G13624" s="760"/>
      <c r="H13624" s="760"/>
      <c r="I13624" s="760"/>
      <c r="J13624" s="760"/>
      <c r="K13624" s="760"/>
    </row>
    <row r="13625" spans="1:11">
      <c r="A13625" s="760"/>
      <c r="B13625" s="760"/>
      <c r="C13625" s="760"/>
      <c r="D13625" s="760"/>
      <c r="E13625" s="760"/>
      <c r="F13625" s="760"/>
      <c r="G13625" s="760"/>
      <c r="H13625" s="760"/>
      <c r="I13625" s="760"/>
      <c r="J13625" s="760"/>
      <c r="K13625" s="760"/>
    </row>
    <row r="13626" spans="1:11">
      <c r="A13626" s="760"/>
      <c r="B13626" s="760"/>
      <c r="C13626" s="760"/>
      <c r="D13626" s="760"/>
      <c r="E13626" s="760"/>
      <c r="F13626" s="760"/>
      <c r="G13626" s="760"/>
      <c r="H13626" s="760"/>
      <c r="I13626" s="760"/>
      <c r="J13626" s="760"/>
      <c r="K13626" s="760"/>
    </row>
    <row r="13627" spans="1:11">
      <c r="A13627" s="760"/>
      <c r="B13627" s="760"/>
      <c r="C13627" s="760"/>
      <c r="D13627" s="760"/>
      <c r="E13627" s="760"/>
      <c r="F13627" s="760"/>
      <c r="G13627" s="760"/>
      <c r="H13627" s="760"/>
      <c r="I13627" s="760"/>
      <c r="J13627" s="760"/>
      <c r="K13627" s="760"/>
    </row>
    <row r="13628" spans="1:11">
      <c r="A13628" s="760"/>
      <c r="B13628" s="760"/>
      <c r="C13628" s="760"/>
      <c r="D13628" s="760"/>
      <c r="E13628" s="760"/>
      <c r="F13628" s="760"/>
      <c r="G13628" s="760"/>
      <c r="H13628" s="760"/>
      <c r="I13628" s="760"/>
      <c r="J13628" s="760"/>
      <c r="K13628" s="760"/>
    </row>
    <row r="13629" spans="1:11">
      <c r="A13629" s="760"/>
      <c r="B13629" s="760"/>
      <c r="C13629" s="760"/>
      <c r="D13629" s="760"/>
      <c r="E13629" s="760"/>
      <c r="F13629" s="760"/>
      <c r="G13629" s="760"/>
      <c r="H13629" s="760"/>
      <c r="I13629" s="760"/>
      <c r="J13629" s="760"/>
      <c r="K13629" s="760"/>
    </row>
    <row r="13630" spans="1:11">
      <c r="A13630" s="760"/>
      <c r="B13630" s="760"/>
      <c r="C13630" s="760"/>
      <c r="D13630" s="760"/>
      <c r="E13630" s="760"/>
      <c r="F13630" s="760"/>
      <c r="G13630" s="760"/>
      <c r="H13630" s="760"/>
      <c r="I13630" s="760"/>
      <c r="J13630" s="760"/>
      <c r="K13630" s="760"/>
    </row>
    <row r="13631" spans="1:11">
      <c r="A13631" s="760"/>
      <c r="B13631" s="760"/>
      <c r="C13631" s="760"/>
      <c r="D13631" s="760"/>
      <c r="E13631" s="760"/>
      <c r="F13631" s="760"/>
      <c r="G13631" s="760"/>
      <c r="H13631" s="760"/>
      <c r="I13631" s="760"/>
      <c r="J13631" s="760"/>
      <c r="K13631" s="760"/>
    </row>
    <row r="13632" spans="1:11">
      <c r="A13632" s="760"/>
      <c r="B13632" s="760"/>
      <c r="C13632" s="760"/>
      <c r="D13632" s="760"/>
      <c r="E13632" s="760"/>
      <c r="F13632" s="760"/>
      <c r="G13632" s="760"/>
      <c r="H13632" s="760"/>
      <c r="I13632" s="760"/>
      <c r="J13632" s="760"/>
      <c r="K13632" s="760"/>
    </row>
    <row r="13633" spans="1:11">
      <c r="A13633" s="760"/>
      <c r="B13633" s="760"/>
      <c r="C13633" s="760"/>
      <c r="D13633" s="760"/>
      <c r="E13633" s="760"/>
      <c r="F13633" s="760"/>
      <c r="G13633" s="760"/>
      <c r="H13633" s="760"/>
      <c r="I13633" s="760"/>
      <c r="J13633" s="760"/>
      <c r="K13633" s="760"/>
    </row>
    <row r="13634" spans="1:11">
      <c r="A13634" s="760"/>
      <c r="B13634" s="760"/>
      <c r="C13634" s="760"/>
      <c r="D13634" s="760"/>
      <c r="E13634" s="760"/>
      <c r="F13634" s="760"/>
      <c r="G13634" s="760"/>
      <c r="H13634" s="760"/>
      <c r="I13634" s="760"/>
      <c r="J13634" s="760"/>
      <c r="K13634" s="760"/>
    </row>
    <row r="13635" spans="1:11">
      <c r="A13635" s="760"/>
      <c r="B13635" s="760"/>
      <c r="C13635" s="760"/>
      <c r="D13635" s="760"/>
      <c r="E13635" s="760"/>
      <c r="F13635" s="760"/>
      <c r="G13635" s="760"/>
      <c r="H13635" s="760"/>
      <c r="I13635" s="760"/>
      <c r="J13635" s="760"/>
      <c r="K13635" s="760"/>
    </row>
    <row r="13636" spans="1:11">
      <c r="A13636" s="760"/>
      <c r="B13636" s="760"/>
      <c r="C13636" s="760"/>
      <c r="D13636" s="760"/>
      <c r="E13636" s="760"/>
      <c r="F13636" s="760"/>
      <c r="G13636" s="760"/>
      <c r="H13636" s="760"/>
      <c r="I13636" s="760"/>
      <c r="J13636" s="760"/>
      <c r="K13636" s="760"/>
    </row>
    <row r="13637" spans="1:11">
      <c r="A13637" s="760"/>
      <c r="B13637" s="760"/>
      <c r="C13637" s="760"/>
      <c r="D13637" s="760"/>
      <c r="E13637" s="760"/>
      <c r="F13637" s="760"/>
      <c r="G13637" s="760"/>
      <c r="H13637" s="760"/>
      <c r="I13637" s="760"/>
      <c r="J13637" s="760"/>
      <c r="K13637" s="760"/>
    </row>
    <row r="13638" spans="1:11">
      <c r="A13638" s="760"/>
      <c r="B13638" s="760"/>
      <c r="C13638" s="760"/>
      <c r="D13638" s="760"/>
      <c r="E13638" s="760"/>
      <c r="F13638" s="760"/>
      <c r="G13638" s="760"/>
      <c r="H13638" s="760"/>
      <c r="I13638" s="760"/>
      <c r="J13638" s="760"/>
      <c r="K13638" s="760"/>
    </row>
    <row r="13639" spans="1:11">
      <c r="A13639" s="760"/>
      <c r="B13639" s="760"/>
      <c r="C13639" s="760"/>
      <c r="D13639" s="760"/>
      <c r="E13639" s="760"/>
      <c r="F13639" s="760"/>
      <c r="G13639" s="760"/>
      <c r="H13639" s="760"/>
      <c r="I13639" s="760"/>
      <c r="J13639" s="760"/>
      <c r="K13639" s="760"/>
    </row>
    <row r="13640" spans="1:11">
      <c r="A13640" s="760"/>
      <c r="B13640" s="760"/>
      <c r="C13640" s="760"/>
      <c r="D13640" s="760"/>
      <c r="E13640" s="760"/>
      <c r="F13640" s="760"/>
      <c r="G13640" s="760"/>
      <c r="H13640" s="760"/>
      <c r="I13640" s="760"/>
      <c r="J13640" s="760"/>
      <c r="K13640" s="760"/>
    </row>
    <row r="13641" spans="1:11">
      <c r="A13641" s="760"/>
      <c r="B13641" s="760"/>
      <c r="C13641" s="760"/>
      <c r="D13641" s="760"/>
      <c r="E13641" s="760"/>
      <c r="F13641" s="760"/>
      <c r="G13641" s="760"/>
      <c r="H13641" s="760"/>
      <c r="I13641" s="760"/>
      <c r="J13641" s="760"/>
      <c r="K13641" s="760"/>
    </row>
    <row r="13642" spans="1:11">
      <c r="A13642" s="760"/>
      <c r="B13642" s="760"/>
      <c r="C13642" s="760"/>
      <c r="D13642" s="760"/>
      <c r="E13642" s="760"/>
      <c r="F13642" s="760"/>
      <c r="G13642" s="760"/>
      <c r="H13642" s="760"/>
      <c r="I13642" s="760"/>
      <c r="J13642" s="760"/>
      <c r="K13642" s="760"/>
    </row>
    <row r="13643" spans="1:11">
      <c r="A13643" s="760"/>
      <c r="B13643" s="760"/>
      <c r="C13643" s="760"/>
      <c r="D13643" s="760"/>
      <c r="E13643" s="760"/>
      <c r="F13643" s="760"/>
      <c r="G13643" s="760"/>
      <c r="H13643" s="760"/>
      <c r="I13643" s="760"/>
      <c r="J13643" s="760"/>
      <c r="K13643" s="760"/>
    </row>
    <row r="13644" spans="1:11">
      <c r="A13644" s="760"/>
      <c r="B13644" s="760"/>
      <c r="C13644" s="760"/>
      <c r="D13644" s="760"/>
      <c r="E13644" s="760"/>
      <c r="F13644" s="760"/>
      <c r="G13644" s="760"/>
      <c r="H13644" s="760"/>
      <c r="I13644" s="760"/>
      <c r="J13644" s="760"/>
      <c r="K13644" s="760"/>
    </row>
    <row r="13645" spans="1:11">
      <c r="A13645" s="760"/>
      <c r="B13645" s="760"/>
      <c r="C13645" s="760"/>
      <c r="D13645" s="760"/>
      <c r="E13645" s="760"/>
      <c r="F13645" s="760"/>
      <c r="G13645" s="760"/>
      <c r="H13645" s="760"/>
      <c r="I13645" s="760"/>
      <c r="J13645" s="760"/>
      <c r="K13645" s="760"/>
    </row>
    <row r="13646" spans="1:11">
      <c r="A13646" s="760"/>
      <c r="B13646" s="760"/>
      <c r="C13646" s="760"/>
      <c r="D13646" s="760"/>
      <c r="E13646" s="760"/>
      <c r="F13646" s="760"/>
      <c r="G13646" s="760"/>
      <c r="H13646" s="760"/>
      <c r="I13646" s="760"/>
      <c r="J13646" s="760"/>
      <c r="K13646" s="760"/>
    </row>
    <row r="13647" spans="1:11">
      <c r="A13647" s="760"/>
      <c r="B13647" s="760"/>
      <c r="C13647" s="760"/>
      <c r="D13647" s="760"/>
      <c r="E13647" s="760"/>
      <c r="F13647" s="760"/>
      <c r="G13647" s="760"/>
      <c r="H13647" s="760"/>
      <c r="I13647" s="760"/>
      <c r="J13647" s="760"/>
      <c r="K13647" s="760"/>
    </row>
    <row r="13648" spans="1:11">
      <c r="A13648" s="760"/>
      <c r="B13648" s="760"/>
      <c r="C13648" s="760"/>
      <c r="D13648" s="760"/>
      <c r="E13648" s="760"/>
      <c r="F13648" s="760"/>
      <c r="G13648" s="760"/>
      <c r="H13648" s="760"/>
      <c r="I13648" s="760"/>
      <c r="J13648" s="760"/>
      <c r="K13648" s="760"/>
    </row>
    <row r="13649" spans="1:11">
      <c r="A13649" s="760"/>
      <c r="B13649" s="760"/>
      <c r="C13649" s="760"/>
      <c r="D13649" s="760"/>
      <c r="E13649" s="760"/>
      <c r="F13649" s="760"/>
      <c r="G13649" s="760"/>
      <c r="H13649" s="760"/>
      <c r="I13649" s="760"/>
      <c r="J13649" s="760"/>
      <c r="K13649" s="760"/>
    </row>
    <row r="13650" spans="1:11">
      <c r="A13650" s="760"/>
      <c r="B13650" s="760"/>
      <c r="C13650" s="760"/>
      <c r="D13650" s="760"/>
      <c r="E13650" s="760"/>
      <c r="F13650" s="760"/>
      <c r="G13650" s="760"/>
      <c r="H13650" s="760"/>
      <c r="I13650" s="760"/>
      <c r="J13650" s="760"/>
      <c r="K13650" s="760"/>
    </row>
    <row r="13651" spans="1:11">
      <c r="A13651" s="760"/>
      <c r="B13651" s="760"/>
      <c r="C13651" s="760"/>
      <c r="D13651" s="760"/>
      <c r="E13651" s="760"/>
      <c r="F13651" s="760"/>
      <c r="G13651" s="760"/>
      <c r="H13651" s="760"/>
      <c r="I13651" s="760"/>
      <c r="J13651" s="760"/>
      <c r="K13651" s="760"/>
    </row>
    <row r="13652" spans="1:11">
      <c r="A13652" s="760"/>
      <c r="B13652" s="760"/>
      <c r="C13652" s="760"/>
      <c r="D13652" s="760"/>
      <c r="E13652" s="760"/>
      <c r="F13652" s="760"/>
      <c r="G13652" s="760"/>
      <c r="H13652" s="760"/>
      <c r="I13652" s="760"/>
      <c r="J13652" s="760"/>
      <c r="K13652" s="760"/>
    </row>
    <row r="13653" spans="1:11">
      <c r="A13653" s="760"/>
      <c r="B13653" s="760"/>
      <c r="C13653" s="760"/>
      <c r="D13653" s="760"/>
      <c r="E13653" s="760"/>
      <c r="F13653" s="760"/>
      <c r="G13653" s="760"/>
      <c r="H13653" s="760"/>
      <c r="I13653" s="760"/>
      <c r="J13653" s="760"/>
      <c r="K13653" s="760"/>
    </row>
    <row r="13654" spans="1:11">
      <c r="A13654" s="760"/>
      <c r="B13654" s="760"/>
      <c r="C13654" s="760"/>
      <c r="D13654" s="760"/>
      <c r="E13654" s="760"/>
      <c r="F13654" s="760"/>
      <c r="G13654" s="760"/>
      <c r="H13654" s="760"/>
      <c r="I13654" s="760"/>
      <c r="J13654" s="760"/>
      <c r="K13654" s="760"/>
    </row>
    <row r="13655" spans="1:11">
      <c r="A13655" s="760"/>
      <c r="B13655" s="760"/>
      <c r="C13655" s="760"/>
      <c r="D13655" s="760"/>
      <c r="E13655" s="760"/>
      <c r="F13655" s="760"/>
      <c r="G13655" s="760"/>
      <c r="H13655" s="760"/>
      <c r="I13655" s="760"/>
      <c r="J13655" s="760"/>
      <c r="K13655" s="760"/>
    </row>
    <row r="13656" spans="1:11">
      <c r="A13656" s="760"/>
      <c r="B13656" s="760"/>
      <c r="C13656" s="760"/>
      <c r="D13656" s="760"/>
      <c r="E13656" s="760"/>
      <c r="F13656" s="760"/>
      <c r="G13656" s="760"/>
      <c r="H13656" s="760"/>
      <c r="I13656" s="760"/>
      <c r="J13656" s="760"/>
      <c r="K13656" s="760"/>
    </row>
    <row r="13657" spans="1:11">
      <c r="A13657" s="760"/>
      <c r="B13657" s="760"/>
      <c r="C13657" s="760"/>
      <c r="D13657" s="760"/>
      <c r="E13657" s="760"/>
      <c r="F13657" s="760"/>
      <c r="G13657" s="760"/>
      <c r="H13657" s="760"/>
      <c r="I13657" s="760"/>
      <c r="J13657" s="760"/>
      <c r="K13657" s="760"/>
    </row>
    <row r="13658" spans="1:11">
      <c r="A13658" s="760"/>
      <c r="B13658" s="760"/>
      <c r="C13658" s="760"/>
      <c r="D13658" s="760"/>
      <c r="E13658" s="760"/>
      <c r="F13658" s="760"/>
      <c r="G13658" s="760"/>
      <c r="H13658" s="760"/>
      <c r="I13658" s="760"/>
      <c r="J13658" s="760"/>
      <c r="K13658" s="760"/>
    </row>
    <row r="13659" spans="1:11">
      <c r="A13659" s="760"/>
      <c r="B13659" s="760"/>
      <c r="C13659" s="760"/>
      <c r="D13659" s="760"/>
      <c r="E13659" s="760"/>
      <c r="F13659" s="760"/>
      <c r="G13659" s="760"/>
      <c r="H13659" s="760"/>
      <c r="I13659" s="760"/>
      <c r="J13659" s="760"/>
      <c r="K13659" s="760"/>
    </row>
    <row r="13660" spans="1:11">
      <c r="A13660" s="760"/>
      <c r="B13660" s="760"/>
      <c r="C13660" s="760"/>
      <c r="D13660" s="760"/>
      <c r="E13660" s="760"/>
      <c r="F13660" s="760"/>
      <c r="G13660" s="760"/>
      <c r="H13660" s="760"/>
      <c r="I13660" s="760"/>
      <c r="J13660" s="760"/>
      <c r="K13660" s="760"/>
    </row>
    <row r="13661" spans="1:11">
      <c r="A13661" s="760"/>
      <c r="B13661" s="760"/>
      <c r="C13661" s="760"/>
      <c r="D13661" s="760"/>
      <c r="E13661" s="760"/>
      <c r="F13661" s="760"/>
      <c r="G13661" s="760"/>
      <c r="H13661" s="760"/>
      <c r="I13661" s="760"/>
      <c r="J13661" s="760"/>
      <c r="K13661" s="760"/>
    </row>
    <row r="13662" spans="1:11">
      <c r="A13662" s="760"/>
      <c r="B13662" s="760"/>
      <c r="C13662" s="760"/>
      <c r="D13662" s="760"/>
      <c r="E13662" s="760"/>
      <c r="F13662" s="760"/>
      <c r="G13662" s="760"/>
      <c r="H13662" s="760"/>
      <c r="I13662" s="760"/>
      <c r="J13662" s="760"/>
      <c r="K13662" s="760"/>
    </row>
    <row r="13663" spans="1:11">
      <c r="A13663" s="760"/>
      <c r="B13663" s="760"/>
      <c r="C13663" s="760"/>
      <c r="D13663" s="760"/>
      <c r="E13663" s="760"/>
      <c r="F13663" s="760"/>
      <c r="G13663" s="760"/>
      <c r="H13663" s="760"/>
      <c r="I13663" s="760"/>
      <c r="J13663" s="760"/>
      <c r="K13663" s="760"/>
    </row>
    <row r="13664" spans="1:11">
      <c r="A13664" s="760"/>
      <c r="B13664" s="760"/>
      <c r="C13664" s="760"/>
      <c r="D13664" s="760"/>
      <c r="E13664" s="760"/>
      <c r="F13664" s="760"/>
      <c r="G13664" s="760"/>
      <c r="H13664" s="760"/>
      <c r="I13664" s="760"/>
      <c r="J13664" s="760"/>
      <c r="K13664" s="760"/>
    </row>
    <row r="13665" spans="1:11">
      <c r="A13665" s="760"/>
      <c r="B13665" s="760"/>
      <c r="C13665" s="760"/>
      <c r="D13665" s="760"/>
      <c r="E13665" s="760"/>
      <c r="F13665" s="760"/>
      <c r="G13665" s="760"/>
      <c r="H13665" s="760"/>
      <c r="I13665" s="760"/>
      <c r="J13665" s="760"/>
      <c r="K13665" s="760"/>
    </row>
    <row r="13666" spans="1:11">
      <c r="A13666" s="760"/>
      <c r="B13666" s="760"/>
      <c r="C13666" s="760"/>
      <c r="D13666" s="760"/>
      <c r="E13666" s="760"/>
      <c r="F13666" s="760"/>
      <c r="G13666" s="760"/>
      <c r="H13666" s="760"/>
      <c r="I13666" s="760"/>
      <c r="J13666" s="760"/>
      <c r="K13666" s="760"/>
    </row>
    <row r="13667" spans="1:11">
      <c r="A13667" s="760"/>
      <c r="B13667" s="760"/>
      <c r="C13667" s="760"/>
      <c r="D13667" s="760"/>
      <c r="E13667" s="760"/>
      <c r="F13667" s="760"/>
      <c r="G13667" s="760"/>
      <c r="H13667" s="760"/>
      <c r="I13667" s="760"/>
      <c r="J13667" s="760"/>
      <c r="K13667" s="760"/>
    </row>
    <row r="13668" spans="1:11">
      <c r="A13668" s="760"/>
      <c r="B13668" s="760"/>
      <c r="C13668" s="760"/>
      <c r="D13668" s="760"/>
      <c r="E13668" s="760"/>
      <c r="F13668" s="760"/>
      <c r="G13668" s="760"/>
      <c r="H13668" s="760"/>
      <c r="I13668" s="760"/>
      <c r="J13668" s="760"/>
      <c r="K13668" s="760"/>
    </row>
    <row r="13669" spans="1:11">
      <c r="A13669" s="760"/>
      <c r="B13669" s="760"/>
      <c r="C13669" s="760"/>
      <c r="D13669" s="760"/>
      <c r="E13669" s="760"/>
      <c r="F13669" s="760"/>
      <c r="G13669" s="760"/>
      <c r="H13669" s="760"/>
      <c r="I13669" s="760"/>
      <c r="J13669" s="760"/>
      <c r="K13669" s="760"/>
    </row>
    <row r="13670" spans="1:11">
      <c r="A13670" s="760"/>
      <c r="B13670" s="760"/>
      <c r="C13670" s="760"/>
      <c r="D13670" s="760"/>
      <c r="E13670" s="760"/>
      <c r="F13670" s="760"/>
      <c r="G13670" s="760"/>
      <c r="H13670" s="760"/>
      <c r="I13670" s="760"/>
      <c r="J13670" s="760"/>
      <c r="K13670" s="760"/>
    </row>
    <row r="13671" spans="1:11">
      <c r="A13671" s="760"/>
      <c r="B13671" s="760"/>
      <c r="C13671" s="760"/>
      <c r="D13671" s="760"/>
      <c r="E13671" s="760"/>
      <c r="F13671" s="760"/>
      <c r="G13671" s="760"/>
      <c r="H13671" s="760"/>
      <c r="I13671" s="760"/>
      <c r="J13671" s="760"/>
      <c r="K13671" s="760"/>
    </row>
    <row r="13672" spans="1:11">
      <c r="A13672" s="760"/>
      <c r="B13672" s="760"/>
      <c r="C13672" s="760"/>
      <c r="D13672" s="760"/>
      <c r="E13672" s="760"/>
      <c r="F13672" s="760"/>
      <c r="G13672" s="760"/>
      <c r="H13672" s="760"/>
      <c r="I13672" s="760"/>
      <c r="J13672" s="760"/>
      <c r="K13672" s="760"/>
    </row>
    <row r="13673" spans="1:11">
      <c r="A13673" s="760"/>
      <c r="B13673" s="760"/>
      <c r="C13673" s="760"/>
      <c r="D13673" s="760"/>
      <c r="E13673" s="760"/>
      <c r="F13673" s="760"/>
      <c r="G13673" s="760"/>
      <c r="H13673" s="760"/>
      <c r="I13673" s="760"/>
      <c r="J13673" s="760"/>
      <c r="K13673" s="760"/>
    </row>
    <row r="13674" spans="1:11">
      <c r="A13674" s="760"/>
      <c r="B13674" s="760"/>
      <c r="C13674" s="760"/>
      <c r="D13674" s="760"/>
      <c r="E13674" s="760"/>
      <c r="F13674" s="760"/>
      <c r="G13674" s="760"/>
      <c r="H13674" s="760"/>
      <c r="I13674" s="760"/>
      <c r="J13674" s="760"/>
      <c r="K13674" s="760"/>
    </row>
    <row r="13675" spans="1:11">
      <c r="A13675" s="760"/>
      <c r="B13675" s="760"/>
      <c r="C13675" s="760"/>
      <c r="D13675" s="760"/>
      <c r="E13675" s="760"/>
      <c r="F13675" s="760"/>
      <c r="G13675" s="760"/>
      <c r="H13675" s="760"/>
      <c r="I13675" s="760"/>
      <c r="J13675" s="760"/>
      <c r="K13675" s="760"/>
    </row>
    <row r="13676" spans="1:11">
      <c r="A13676" s="760"/>
      <c r="B13676" s="760"/>
      <c r="C13676" s="760"/>
      <c r="D13676" s="760"/>
      <c r="E13676" s="760"/>
      <c r="F13676" s="760"/>
      <c r="G13676" s="760"/>
      <c r="H13676" s="760"/>
      <c r="I13676" s="760"/>
      <c r="J13676" s="760"/>
      <c r="K13676" s="760"/>
    </row>
    <row r="13677" spans="1:11">
      <c r="A13677" s="760"/>
      <c r="B13677" s="760"/>
      <c r="C13677" s="760"/>
      <c r="D13677" s="760"/>
      <c r="E13677" s="760"/>
      <c r="F13677" s="760"/>
      <c r="G13677" s="760"/>
      <c r="H13677" s="760"/>
      <c r="I13677" s="760"/>
      <c r="J13677" s="760"/>
      <c r="K13677" s="760"/>
    </row>
    <row r="13678" spans="1:11">
      <c r="A13678" s="760"/>
      <c r="B13678" s="760"/>
      <c r="C13678" s="760"/>
      <c r="D13678" s="760"/>
      <c r="E13678" s="760"/>
      <c r="F13678" s="760"/>
      <c r="G13678" s="760"/>
      <c r="H13678" s="760"/>
      <c r="I13678" s="760"/>
      <c r="J13678" s="760"/>
      <c r="K13678" s="760"/>
    </row>
    <row r="13679" spans="1:11">
      <c r="A13679" s="760"/>
      <c r="B13679" s="760"/>
      <c r="C13679" s="760"/>
      <c r="D13679" s="760"/>
      <c r="E13679" s="760"/>
      <c r="F13679" s="760"/>
      <c r="G13679" s="760"/>
      <c r="H13679" s="760"/>
      <c r="I13679" s="760"/>
      <c r="J13679" s="760"/>
      <c r="K13679" s="760"/>
    </row>
    <row r="13680" spans="1:11">
      <c r="A13680" s="760"/>
      <c r="B13680" s="760"/>
      <c r="C13680" s="760"/>
      <c r="D13680" s="760"/>
      <c r="E13680" s="760"/>
      <c r="F13680" s="760"/>
      <c r="G13680" s="760"/>
      <c r="H13680" s="760"/>
      <c r="I13680" s="760"/>
      <c r="J13680" s="760"/>
      <c r="K13680" s="760"/>
    </row>
    <row r="13681" spans="1:11">
      <c r="A13681" s="760"/>
      <c r="B13681" s="760"/>
      <c r="C13681" s="760"/>
      <c r="D13681" s="760"/>
      <c r="E13681" s="760"/>
      <c r="F13681" s="760"/>
      <c r="G13681" s="760"/>
      <c r="H13681" s="760"/>
      <c r="I13681" s="760"/>
      <c r="J13681" s="760"/>
      <c r="K13681" s="760"/>
    </row>
    <row r="13682" spans="1:11">
      <c r="A13682" s="760"/>
      <c r="B13682" s="760"/>
      <c r="C13682" s="760"/>
      <c r="D13682" s="760"/>
      <c r="E13682" s="760"/>
      <c r="F13682" s="760"/>
      <c r="G13682" s="760"/>
      <c r="H13682" s="760"/>
      <c r="I13682" s="760"/>
      <c r="J13682" s="760"/>
      <c r="K13682" s="760"/>
    </row>
    <row r="13683" spans="1:11">
      <c r="A13683" s="760"/>
      <c r="B13683" s="760"/>
      <c r="C13683" s="760"/>
      <c r="D13683" s="760"/>
      <c r="E13683" s="760"/>
      <c r="F13683" s="760"/>
      <c r="G13683" s="760"/>
      <c r="H13683" s="760"/>
      <c r="I13683" s="760"/>
      <c r="J13683" s="760"/>
      <c r="K13683" s="760"/>
    </row>
    <row r="13684" spans="1:11">
      <c r="A13684" s="760"/>
      <c r="B13684" s="760"/>
      <c r="C13684" s="760"/>
      <c r="D13684" s="760"/>
      <c r="E13684" s="760"/>
      <c r="F13684" s="760"/>
      <c r="G13684" s="760"/>
      <c r="H13684" s="760"/>
      <c r="I13684" s="760"/>
      <c r="J13684" s="760"/>
      <c r="K13684" s="760"/>
    </row>
    <row r="13685" spans="1:11">
      <c r="A13685" s="760"/>
      <c r="B13685" s="760"/>
      <c r="C13685" s="760"/>
      <c r="D13685" s="760"/>
      <c r="E13685" s="760"/>
      <c r="F13685" s="760"/>
      <c r="G13685" s="760"/>
      <c r="H13685" s="760"/>
      <c r="I13685" s="760"/>
      <c r="J13685" s="760"/>
      <c r="K13685" s="760"/>
    </row>
    <row r="13686" spans="1:11">
      <c r="A13686" s="760"/>
      <c r="B13686" s="760"/>
      <c r="C13686" s="760"/>
      <c r="D13686" s="760"/>
      <c r="E13686" s="760"/>
      <c r="F13686" s="760"/>
      <c r="G13686" s="760"/>
      <c r="H13686" s="760"/>
      <c r="I13686" s="760"/>
      <c r="J13686" s="760"/>
      <c r="K13686" s="760"/>
    </row>
    <row r="13687" spans="1:11">
      <c r="A13687" s="760"/>
      <c r="B13687" s="760"/>
      <c r="C13687" s="760"/>
      <c r="D13687" s="760"/>
      <c r="E13687" s="760"/>
      <c r="F13687" s="760"/>
      <c r="G13687" s="760"/>
      <c r="H13687" s="760"/>
      <c r="I13687" s="760"/>
      <c r="J13687" s="760"/>
      <c r="K13687" s="760"/>
    </row>
    <row r="13688" spans="1:11">
      <c r="A13688" s="760"/>
      <c r="B13688" s="760"/>
      <c r="C13688" s="760"/>
      <c r="D13688" s="760"/>
      <c r="E13688" s="760"/>
      <c r="F13688" s="760"/>
      <c r="G13688" s="760"/>
      <c r="H13688" s="760"/>
      <c r="I13688" s="760"/>
      <c r="J13688" s="760"/>
      <c r="K13688" s="760"/>
    </row>
    <row r="13689" spans="1:11">
      <c r="A13689" s="760"/>
      <c r="B13689" s="760"/>
      <c r="C13689" s="760"/>
      <c r="D13689" s="760"/>
      <c r="E13689" s="760"/>
      <c r="F13689" s="760"/>
      <c r="G13689" s="760"/>
      <c r="H13689" s="760"/>
      <c r="I13689" s="760"/>
      <c r="J13689" s="760"/>
      <c r="K13689" s="760"/>
    </row>
    <row r="13690" spans="1:11">
      <c r="A13690" s="760"/>
      <c r="B13690" s="760"/>
      <c r="C13690" s="760"/>
      <c r="D13690" s="760"/>
      <c r="E13690" s="760"/>
      <c r="F13690" s="760"/>
      <c r="G13690" s="760"/>
      <c r="H13690" s="760"/>
      <c r="I13690" s="760"/>
      <c r="J13690" s="760"/>
      <c r="K13690" s="760"/>
    </row>
    <row r="13691" spans="1:11">
      <c r="A13691" s="760"/>
      <c r="B13691" s="760"/>
      <c r="C13691" s="760"/>
      <c r="D13691" s="760"/>
      <c r="E13691" s="760"/>
      <c r="F13691" s="760"/>
      <c r="G13691" s="760"/>
      <c r="H13691" s="760"/>
      <c r="I13691" s="760"/>
      <c r="J13691" s="760"/>
      <c r="K13691" s="760"/>
    </row>
    <row r="13692" spans="1:11">
      <c r="A13692" s="760"/>
      <c r="B13692" s="760"/>
      <c r="C13692" s="760"/>
      <c r="D13692" s="760"/>
      <c r="E13692" s="760"/>
      <c r="F13692" s="760"/>
      <c r="G13692" s="760"/>
      <c r="H13692" s="760"/>
      <c r="I13692" s="760"/>
      <c r="J13692" s="760"/>
      <c r="K13692" s="760"/>
    </row>
    <row r="13693" spans="1:11">
      <c r="A13693" s="760"/>
      <c r="B13693" s="760"/>
      <c r="C13693" s="760"/>
      <c r="D13693" s="760"/>
      <c r="E13693" s="760"/>
      <c r="F13693" s="760"/>
      <c r="G13693" s="760"/>
      <c r="H13693" s="760"/>
      <c r="I13693" s="760"/>
      <c r="J13693" s="760"/>
      <c r="K13693" s="760"/>
    </row>
    <row r="13694" spans="1:11">
      <c r="A13694" s="760"/>
      <c r="B13694" s="760"/>
      <c r="C13694" s="760"/>
      <c r="D13694" s="760"/>
      <c r="E13694" s="760"/>
      <c r="F13694" s="760"/>
      <c r="G13694" s="760"/>
      <c r="H13694" s="760"/>
      <c r="I13694" s="760"/>
      <c r="J13694" s="760"/>
      <c r="K13694" s="760"/>
    </row>
    <row r="13695" spans="1:11">
      <c r="A13695" s="760"/>
      <c r="B13695" s="760"/>
      <c r="C13695" s="760"/>
      <c r="D13695" s="760"/>
      <c r="E13695" s="760"/>
      <c r="F13695" s="760"/>
      <c r="G13695" s="760"/>
      <c r="H13695" s="760"/>
      <c r="I13695" s="760"/>
      <c r="J13695" s="760"/>
      <c r="K13695" s="760"/>
    </row>
    <row r="13696" spans="1:11">
      <c r="A13696" s="760"/>
      <c r="B13696" s="760"/>
      <c r="C13696" s="760"/>
      <c r="D13696" s="760"/>
      <c r="E13696" s="760"/>
      <c r="F13696" s="760"/>
      <c r="G13696" s="760"/>
      <c r="H13696" s="760"/>
      <c r="I13696" s="760"/>
      <c r="J13696" s="760"/>
      <c r="K13696" s="760"/>
    </row>
    <row r="13697" spans="1:11">
      <c r="A13697" s="760"/>
      <c r="B13697" s="760"/>
      <c r="C13697" s="760"/>
      <c r="D13697" s="760"/>
      <c r="E13697" s="760"/>
      <c r="F13697" s="760"/>
      <c r="G13697" s="760"/>
      <c r="H13697" s="760"/>
      <c r="I13697" s="760"/>
      <c r="J13697" s="760"/>
      <c r="K13697" s="760"/>
    </row>
    <row r="13698" spans="1:11">
      <c r="A13698" s="760"/>
      <c r="B13698" s="760"/>
      <c r="C13698" s="760"/>
      <c r="D13698" s="760"/>
      <c r="E13698" s="760"/>
      <c r="F13698" s="760"/>
      <c r="G13698" s="760"/>
      <c r="H13698" s="760"/>
      <c r="I13698" s="760"/>
      <c r="J13698" s="760"/>
      <c r="K13698" s="760"/>
    </row>
    <row r="13699" spans="1:11">
      <c r="A13699" s="760"/>
      <c r="B13699" s="760"/>
      <c r="C13699" s="760"/>
      <c r="D13699" s="760"/>
      <c r="E13699" s="760"/>
      <c r="F13699" s="760"/>
      <c r="G13699" s="760"/>
      <c r="H13699" s="760"/>
      <c r="I13699" s="760"/>
      <c r="J13699" s="760"/>
      <c r="K13699" s="760"/>
    </row>
    <row r="13700" spans="1:11">
      <c r="A13700" s="760"/>
      <c r="B13700" s="760"/>
      <c r="C13700" s="760"/>
      <c r="D13700" s="760"/>
      <c r="E13700" s="760"/>
      <c r="F13700" s="760"/>
      <c r="G13700" s="760"/>
      <c r="H13700" s="760"/>
      <c r="I13700" s="760"/>
      <c r="J13700" s="760"/>
      <c r="K13700" s="760"/>
    </row>
    <row r="13701" spans="1:11">
      <c r="A13701" s="760"/>
      <c r="B13701" s="760"/>
      <c r="C13701" s="760"/>
      <c r="D13701" s="760"/>
      <c r="E13701" s="760"/>
      <c r="F13701" s="760"/>
      <c r="G13701" s="760"/>
      <c r="H13701" s="760"/>
      <c r="I13701" s="760"/>
      <c r="J13701" s="760"/>
      <c r="K13701" s="760"/>
    </row>
    <row r="13702" spans="1:11">
      <c r="A13702" s="760"/>
      <c r="B13702" s="760"/>
      <c r="C13702" s="760"/>
      <c r="D13702" s="760"/>
      <c r="E13702" s="760"/>
      <c r="F13702" s="760"/>
      <c r="G13702" s="760"/>
      <c r="H13702" s="760"/>
      <c r="I13702" s="760"/>
      <c r="J13702" s="760"/>
      <c r="K13702" s="760"/>
    </row>
    <row r="13703" spans="1:11">
      <c r="A13703" s="760"/>
      <c r="B13703" s="760"/>
      <c r="C13703" s="760"/>
      <c r="D13703" s="760"/>
      <c r="E13703" s="760"/>
      <c r="F13703" s="760"/>
      <c r="G13703" s="760"/>
      <c r="H13703" s="760"/>
      <c r="I13703" s="760"/>
      <c r="J13703" s="760"/>
      <c r="K13703" s="760"/>
    </row>
    <row r="13704" spans="1:11">
      <c r="A13704" s="760"/>
      <c r="B13704" s="760"/>
      <c r="C13704" s="760"/>
      <c r="D13704" s="760"/>
      <c r="E13704" s="760"/>
      <c r="F13704" s="760"/>
      <c r="G13704" s="760"/>
      <c r="H13704" s="760"/>
      <c r="I13704" s="760"/>
      <c r="J13704" s="760"/>
      <c r="K13704" s="760"/>
    </row>
    <row r="13705" spans="1:11">
      <c r="A13705" s="760"/>
      <c r="B13705" s="760"/>
      <c r="C13705" s="760"/>
      <c r="D13705" s="760"/>
      <c r="E13705" s="760"/>
      <c r="F13705" s="760"/>
      <c r="G13705" s="760"/>
      <c r="H13705" s="760"/>
      <c r="I13705" s="760"/>
      <c r="J13705" s="760"/>
      <c r="K13705" s="760"/>
    </row>
    <row r="13706" spans="1:11">
      <c r="A13706" s="760"/>
      <c r="B13706" s="760"/>
      <c r="C13706" s="760"/>
      <c r="D13706" s="760"/>
      <c r="E13706" s="760"/>
      <c r="F13706" s="760"/>
      <c r="G13706" s="760"/>
      <c r="H13706" s="760"/>
      <c r="I13706" s="760"/>
      <c r="J13706" s="760"/>
      <c r="K13706" s="760"/>
    </row>
    <row r="13707" spans="1:11">
      <c r="A13707" s="760"/>
      <c r="B13707" s="760"/>
      <c r="C13707" s="760"/>
      <c r="D13707" s="760"/>
      <c r="E13707" s="760"/>
      <c r="F13707" s="760"/>
      <c r="G13707" s="760"/>
      <c r="H13707" s="760"/>
      <c r="I13707" s="760"/>
      <c r="J13707" s="760"/>
      <c r="K13707" s="760"/>
    </row>
    <row r="13708" spans="1:11">
      <c r="A13708" s="760"/>
      <c r="B13708" s="760"/>
      <c r="C13708" s="760"/>
      <c r="D13708" s="760"/>
      <c r="E13708" s="760"/>
      <c r="F13708" s="760"/>
      <c r="G13708" s="760"/>
      <c r="H13708" s="760"/>
      <c r="I13708" s="760"/>
      <c r="J13708" s="760"/>
      <c r="K13708" s="760"/>
    </row>
    <row r="13709" spans="1:11">
      <c r="A13709" s="760"/>
      <c r="B13709" s="760"/>
      <c r="C13709" s="760"/>
      <c r="D13709" s="760"/>
      <c r="E13709" s="760"/>
      <c r="F13709" s="760"/>
      <c r="G13709" s="760"/>
      <c r="H13709" s="760"/>
      <c r="I13709" s="760"/>
      <c r="J13709" s="760"/>
      <c r="K13709" s="760"/>
    </row>
    <row r="13710" spans="1:11">
      <c r="A13710" s="760"/>
      <c r="B13710" s="760"/>
      <c r="C13710" s="760"/>
      <c r="D13710" s="760"/>
      <c r="E13710" s="760"/>
      <c r="F13710" s="760"/>
      <c r="G13710" s="760"/>
      <c r="H13710" s="760"/>
      <c r="I13710" s="760"/>
      <c r="J13710" s="760"/>
      <c r="K13710" s="760"/>
    </row>
    <row r="13711" spans="1:11">
      <c r="A13711" s="760"/>
      <c r="B13711" s="760"/>
      <c r="C13711" s="760"/>
      <c r="D13711" s="760"/>
      <c r="E13711" s="760"/>
      <c r="F13711" s="760"/>
      <c r="G13711" s="760"/>
      <c r="H13711" s="760"/>
      <c r="I13711" s="760"/>
      <c r="J13711" s="760"/>
      <c r="K13711" s="760"/>
    </row>
    <row r="13712" spans="1:11">
      <c r="A13712" s="760"/>
      <c r="B13712" s="760"/>
      <c r="C13712" s="760"/>
      <c r="D13712" s="760"/>
      <c r="E13712" s="760"/>
      <c r="F13712" s="760"/>
      <c r="G13712" s="760"/>
      <c r="H13712" s="760"/>
      <c r="I13712" s="760"/>
      <c r="J13712" s="760"/>
      <c r="K13712" s="760"/>
    </row>
    <row r="13713" spans="1:11">
      <c r="A13713" s="760"/>
      <c r="B13713" s="760"/>
      <c r="C13713" s="760"/>
      <c r="D13713" s="760"/>
      <c r="E13713" s="760"/>
      <c r="F13713" s="760"/>
      <c r="G13713" s="760"/>
      <c r="H13713" s="760"/>
      <c r="I13713" s="760"/>
      <c r="J13713" s="760"/>
      <c r="K13713" s="760"/>
    </row>
    <row r="13714" spans="1:11">
      <c r="A13714" s="760"/>
      <c r="B13714" s="760"/>
      <c r="C13714" s="760"/>
      <c r="D13714" s="760"/>
      <c r="E13714" s="760"/>
      <c r="F13714" s="760"/>
      <c r="G13714" s="760"/>
      <c r="H13714" s="760"/>
      <c r="I13714" s="760"/>
      <c r="J13714" s="760"/>
      <c r="K13714" s="760"/>
    </row>
    <row r="13715" spans="1:11">
      <c r="A13715" s="760"/>
      <c r="B13715" s="760"/>
      <c r="C13715" s="760"/>
      <c r="D13715" s="760"/>
      <c r="E13715" s="760"/>
      <c r="F13715" s="760"/>
      <c r="G13715" s="760"/>
      <c r="H13715" s="760"/>
      <c r="I13715" s="760"/>
      <c r="J13715" s="760"/>
      <c r="K13715" s="760"/>
    </row>
    <row r="13716" spans="1:11">
      <c r="A13716" s="760"/>
      <c r="B13716" s="760"/>
      <c r="C13716" s="760"/>
      <c r="D13716" s="760"/>
      <c r="E13716" s="760"/>
      <c r="F13716" s="760"/>
      <c r="G13716" s="760"/>
      <c r="H13716" s="760"/>
      <c r="I13716" s="760"/>
      <c r="J13716" s="760"/>
      <c r="K13716" s="760"/>
    </row>
    <row r="13717" spans="1:11">
      <c r="A13717" s="760"/>
      <c r="B13717" s="760"/>
      <c r="C13717" s="760"/>
      <c r="D13717" s="760"/>
      <c r="E13717" s="760"/>
      <c r="F13717" s="760"/>
      <c r="G13717" s="760"/>
      <c r="H13717" s="760"/>
      <c r="I13717" s="760"/>
      <c r="J13717" s="760"/>
      <c r="K13717" s="760"/>
    </row>
    <row r="13718" spans="1:11">
      <c r="A13718" s="760"/>
      <c r="B13718" s="760"/>
      <c r="C13718" s="760"/>
      <c r="D13718" s="760"/>
      <c r="E13718" s="760"/>
      <c r="F13718" s="760"/>
      <c r="G13718" s="760"/>
      <c r="H13718" s="760"/>
      <c r="I13718" s="760"/>
      <c r="J13718" s="760"/>
      <c r="K13718" s="760"/>
    </row>
    <row r="13719" spans="1:11">
      <c r="A13719" s="760"/>
      <c r="B13719" s="760"/>
      <c r="C13719" s="760"/>
      <c r="D13719" s="760"/>
      <c r="E13719" s="760"/>
      <c r="F13719" s="760"/>
      <c r="G13719" s="760"/>
      <c r="H13719" s="760"/>
      <c r="I13719" s="760"/>
      <c r="J13719" s="760"/>
      <c r="K13719" s="760"/>
    </row>
    <row r="13720" spans="1:11">
      <c r="A13720" s="760"/>
      <c r="B13720" s="760"/>
      <c r="C13720" s="760"/>
      <c r="D13720" s="760"/>
      <c r="E13720" s="760"/>
      <c r="F13720" s="760"/>
      <c r="G13720" s="760"/>
      <c r="H13720" s="760"/>
      <c r="I13720" s="760"/>
      <c r="J13720" s="760"/>
      <c r="K13720" s="760"/>
    </row>
    <row r="13721" spans="1:11">
      <c r="A13721" s="760"/>
      <c r="B13721" s="760"/>
      <c r="C13721" s="760"/>
      <c r="D13721" s="760"/>
      <c r="E13721" s="760"/>
      <c r="F13721" s="760"/>
      <c r="G13721" s="760"/>
      <c r="H13721" s="760"/>
      <c r="I13721" s="760"/>
      <c r="J13721" s="760"/>
      <c r="K13721" s="760"/>
    </row>
    <row r="13722" spans="1:11">
      <c r="A13722" s="760"/>
      <c r="B13722" s="760"/>
      <c r="C13722" s="760"/>
      <c r="D13722" s="760"/>
      <c r="E13722" s="760"/>
      <c r="F13722" s="760"/>
      <c r="G13722" s="760"/>
      <c r="H13722" s="760"/>
      <c r="I13722" s="760"/>
      <c r="J13722" s="760"/>
      <c r="K13722" s="760"/>
    </row>
    <row r="13723" spans="1:11">
      <c r="A13723" s="760"/>
      <c r="B13723" s="760"/>
      <c r="C13723" s="760"/>
      <c r="D13723" s="760"/>
      <c r="E13723" s="760"/>
      <c r="F13723" s="760"/>
      <c r="G13723" s="760"/>
      <c r="H13723" s="760"/>
      <c r="I13723" s="760"/>
      <c r="J13723" s="760"/>
      <c r="K13723" s="760"/>
    </row>
    <row r="13724" spans="1:11">
      <c r="A13724" s="760"/>
      <c r="B13724" s="760"/>
      <c r="C13724" s="760"/>
      <c r="D13724" s="760"/>
      <c r="E13724" s="760"/>
      <c r="F13724" s="760"/>
      <c r="G13724" s="760"/>
      <c r="H13724" s="760"/>
      <c r="I13724" s="760"/>
      <c r="J13724" s="760"/>
      <c r="K13724" s="760"/>
    </row>
    <row r="13725" spans="1:11">
      <c r="A13725" s="760"/>
      <c r="B13725" s="760"/>
      <c r="C13725" s="760"/>
      <c r="D13725" s="760"/>
      <c r="E13725" s="760"/>
      <c r="F13725" s="760"/>
      <c r="G13725" s="760"/>
      <c r="H13725" s="760"/>
      <c r="I13725" s="760"/>
      <c r="J13725" s="760"/>
      <c r="K13725" s="760"/>
    </row>
    <row r="13726" spans="1:11">
      <c r="A13726" s="760"/>
      <c r="B13726" s="760"/>
      <c r="C13726" s="760"/>
      <c r="D13726" s="760"/>
      <c r="E13726" s="760"/>
      <c r="F13726" s="760"/>
      <c r="G13726" s="760"/>
      <c r="H13726" s="760"/>
      <c r="I13726" s="760"/>
      <c r="J13726" s="760"/>
      <c r="K13726" s="760"/>
    </row>
    <row r="13727" spans="1:11">
      <c r="A13727" s="760"/>
      <c r="B13727" s="760"/>
      <c r="C13727" s="760"/>
      <c r="D13727" s="760"/>
      <c r="E13727" s="760"/>
      <c r="F13727" s="760"/>
      <c r="G13727" s="760"/>
      <c r="H13727" s="760"/>
      <c r="I13727" s="760"/>
      <c r="J13727" s="760"/>
      <c r="K13727" s="760"/>
    </row>
    <row r="13728" spans="1:11">
      <c r="A13728" s="760"/>
      <c r="B13728" s="760"/>
      <c r="C13728" s="760"/>
      <c r="D13728" s="760"/>
      <c r="E13728" s="760"/>
      <c r="F13728" s="760"/>
      <c r="G13728" s="760"/>
      <c r="H13728" s="760"/>
      <c r="I13728" s="760"/>
      <c r="J13728" s="760"/>
      <c r="K13728" s="760"/>
    </row>
    <row r="13729" spans="1:11">
      <c r="A13729" s="760"/>
      <c r="B13729" s="760"/>
      <c r="C13729" s="760"/>
      <c r="D13729" s="760"/>
      <c r="E13729" s="760"/>
      <c r="F13729" s="760"/>
      <c r="G13729" s="760"/>
      <c r="H13729" s="760"/>
      <c r="I13729" s="760"/>
      <c r="J13729" s="760"/>
      <c r="K13729" s="760"/>
    </row>
    <row r="13730" spans="1:11">
      <c r="A13730" s="760"/>
      <c r="B13730" s="760"/>
      <c r="C13730" s="760"/>
      <c r="D13730" s="760"/>
      <c r="E13730" s="760"/>
      <c r="F13730" s="760"/>
      <c r="G13730" s="760"/>
      <c r="H13730" s="760"/>
      <c r="I13730" s="760"/>
      <c r="J13730" s="760"/>
      <c r="K13730" s="760"/>
    </row>
    <row r="13731" spans="1:11">
      <c r="A13731" s="760"/>
      <c r="B13731" s="760"/>
      <c r="C13731" s="760"/>
      <c r="D13731" s="760"/>
      <c r="E13731" s="760"/>
      <c r="F13731" s="760"/>
      <c r="G13731" s="760"/>
      <c r="H13731" s="760"/>
      <c r="I13731" s="760"/>
      <c r="J13731" s="760"/>
      <c r="K13731" s="760"/>
    </row>
    <row r="13732" spans="1:11">
      <c r="A13732" s="760"/>
      <c r="B13732" s="760"/>
      <c r="C13732" s="760"/>
      <c r="D13732" s="760"/>
      <c r="E13732" s="760"/>
      <c r="F13732" s="760"/>
      <c r="G13732" s="760"/>
      <c r="H13732" s="760"/>
      <c r="I13732" s="760"/>
      <c r="J13732" s="760"/>
      <c r="K13732" s="760"/>
    </row>
    <row r="13733" spans="1:11">
      <c r="A13733" s="760"/>
      <c r="B13733" s="760"/>
      <c r="C13733" s="760"/>
      <c r="D13733" s="760"/>
      <c r="E13733" s="760"/>
      <c r="F13733" s="760"/>
      <c r="G13733" s="760"/>
      <c r="H13733" s="760"/>
      <c r="I13733" s="760"/>
      <c r="J13733" s="760"/>
      <c r="K13733" s="760"/>
    </row>
    <row r="13734" spans="1:11">
      <c r="A13734" s="760"/>
      <c r="B13734" s="760"/>
      <c r="C13734" s="760"/>
      <c r="D13734" s="760"/>
      <c r="E13734" s="760"/>
      <c r="F13734" s="760"/>
      <c r="G13734" s="760"/>
      <c r="H13734" s="760"/>
      <c r="I13734" s="760"/>
      <c r="J13734" s="760"/>
      <c r="K13734" s="760"/>
    </row>
    <row r="13735" spans="1:11">
      <c r="A13735" s="760"/>
      <c r="B13735" s="760"/>
      <c r="C13735" s="760"/>
      <c r="D13735" s="760"/>
      <c r="E13735" s="760"/>
      <c r="F13735" s="760"/>
      <c r="G13735" s="760"/>
      <c r="H13735" s="760"/>
      <c r="I13735" s="760"/>
      <c r="J13735" s="760"/>
      <c r="K13735" s="760"/>
    </row>
    <row r="13736" spans="1:11">
      <c r="A13736" s="760"/>
      <c r="B13736" s="760"/>
      <c r="C13736" s="760"/>
      <c r="D13736" s="760"/>
      <c r="E13736" s="760"/>
      <c r="F13736" s="760"/>
      <c r="G13736" s="760"/>
      <c r="H13736" s="760"/>
      <c r="I13736" s="760"/>
      <c r="J13736" s="760"/>
      <c r="K13736" s="760"/>
    </row>
    <row r="13737" spans="1:11">
      <c r="A13737" s="760"/>
      <c r="B13737" s="760"/>
      <c r="C13737" s="760"/>
      <c r="D13737" s="760"/>
      <c r="E13737" s="760"/>
      <c r="F13737" s="760"/>
      <c r="G13737" s="760"/>
      <c r="H13737" s="760"/>
      <c r="I13737" s="760"/>
      <c r="J13737" s="760"/>
      <c r="K13737" s="760"/>
    </row>
    <row r="13738" spans="1:11">
      <c r="A13738" s="760"/>
      <c r="B13738" s="760"/>
      <c r="C13738" s="760"/>
      <c r="D13738" s="760"/>
      <c r="E13738" s="760"/>
      <c r="F13738" s="760"/>
      <c r="G13738" s="760"/>
      <c r="H13738" s="760"/>
      <c r="I13738" s="760"/>
      <c r="J13738" s="760"/>
      <c r="K13738" s="760"/>
    </row>
    <row r="13739" spans="1:11">
      <c r="A13739" s="760"/>
      <c r="B13739" s="760"/>
      <c r="C13739" s="760"/>
      <c r="D13739" s="760"/>
      <c r="E13739" s="760"/>
      <c r="F13739" s="760"/>
      <c r="G13739" s="760"/>
      <c r="H13739" s="760"/>
      <c r="I13739" s="760"/>
      <c r="J13739" s="760"/>
      <c r="K13739" s="760"/>
    </row>
    <row r="13740" spans="1:11">
      <c r="A13740" s="760"/>
      <c r="B13740" s="760"/>
      <c r="C13740" s="760"/>
      <c r="D13740" s="760"/>
      <c r="E13740" s="760"/>
      <c r="F13740" s="760"/>
      <c r="G13740" s="760"/>
      <c r="H13740" s="760"/>
      <c r="I13740" s="760"/>
      <c r="J13740" s="760"/>
      <c r="K13740" s="760"/>
    </row>
    <row r="13741" spans="1:11">
      <c r="A13741" s="760"/>
      <c r="B13741" s="760"/>
      <c r="C13741" s="760"/>
      <c r="D13741" s="760"/>
      <c r="E13741" s="760"/>
      <c r="F13741" s="760"/>
      <c r="G13741" s="760"/>
      <c r="H13741" s="760"/>
      <c r="I13741" s="760"/>
      <c r="J13741" s="760"/>
      <c r="K13741" s="760"/>
    </row>
    <row r="13742" spans="1:11">
      <c r="A13742" s="760"/>
      <c r="B13742" s="760"/>
      <c r="C13742" s="760"/>
      <c r="D13742" s="760"/>
      <c r="E13742" s="760"/>
      <c r="F13742" s="760"/>
      <c r="G13742" s="760"/>
      <c r="H13742" s="760"/>
      <c r="I13742" s="760"/>
      <c r="J13742" s="760"/>
      <c r="K13742" s="760"/>
    </row>
    <row r="13743" spans="1:11">
      <c r="A13743" s="760"/>
      <c r="B13743" s="760"/>
      <c r="C13743" s="760"/>
      <c r="D13743" s="760"/>
      <c r="E13743" s="760"/>
      <c r="F13743" s="760"/>
      <c r="G13743" s="760"/>
      <c r="H13743" s="760"/>
      <c r="I13743" s="760"/>
      <c r="J13743" s="760"/>
      <c r="K13743" s="760"/>
    </row>
    <row r="13744" spans="1:11">
      <c r="A13744" s="760"/>
      <c r="B13744" s="760"/>
      <c r="C13744" s="760"/>
      <c r="D13744" s="760"/>
      <c r="E13744" s="760"/>
      <c r="F13744" s="760"/>
      <c r="G13744" s="760"/>
      <c r="H13744" s="760"/>
      <c r="I13744" s="760"/>
      <c r="J13744" s="760"/>
      <c r="K13744" s="760"/>
    </row>
    <row r="13745" spans="1:11">
      <c r="A13745" s="760"/>
      <c r="B13745" s="760"/>
      <c r="C13745" s="760"/>
      <c r="D13745" s="760"/>
      <c r="E13745" s="760"/>
      <c r="F13745" s="760"/>
      <c r="G13745" s="760"/>
      <c r="H13745" s="760"/>
      <c r="I13745" s="760"/>
      <c r="J13745" s="760"/>
      <c r="K13745" s="760"/>
    </row>
    <row r="13746" spans="1:11">
      <c r="A13746" s="760"/>
      <c r="B13746" s="760"/>
      <c r="C13746" s="760"/>
      <c r="D13746" s="760"/>
      <c r="E13746" s="760"/>
      <c r="F13746" s="760"/>
      <c r="G13746" s="760"/>
      <c r="H13746" s="760"/>
      <c r="I13746" s="760"/>
      <c r="J13746" s="760"/>
      <c r="K13746" s="760"/>
    </row>
    <row r="13747" spans="1:11">
      <c r="A13747" s="760"/>
      <c r="B13747" s="760"/>
      <c r="C13747" s="760"/>
      <c r="D13747" s="760"/>
      <c r="E13747" s="760"/>
      <c r="F13747" s="760"/>
      <c r="G13747" s="760"/>
      <c r="H13747" s="760"/>
      <c r="I13747" s="760"/>
      <c r="J13747" s="760"/>
      <c r="K13747" s="760"/>
    </row>
    <row r="13748" spans="1:11">
      <c r="A13748" s="760"/>
      <c r="B13748" s="760"/>
      <c r="C13748" s="760"/>
      <c r="D13748" s="760"/>
      <c r="E13748" s="760"/>
      <c r="F13748" s="760"/>
      <c r="G13748" s="760"/>
      <c r="H13748" s="760"/>
      <c r="I13748" s="760"/>
      <c r="J13748" s="760"/>
      <c r="K13748" s="760"/>
    </row>
    <row r="13749" spans="1:11">
      <c r="A13749" s="760"/>
      <c r="B13749" s="760"/>
      <c r="C13749" s="760"/>
      <c r="D13749" s="760"/>
      <c r="E13749" s="760"/>
      <c r="F13749" s="760"/>
      <c r="G13749" s="760"/>
      <c r="H13749" s="760"/>
      <c r="I13749" s="760"/>
      <c r="J13749" s="760"/>
      <c r="K13749" s="760"/>
    </row>
    <row r="13750" spans="1:11">
      <c r="A13750" s="760"/>
      <c r="B13750" s="760"/>
      <c r="C13750" s="760"/>
      <c r="D13750" s="760"/>
      <c r="E13750" s="760"/>
      <c r="F13750" s="760"/>
      <c r="G13750" s="760"/>
      <c r="H13750" s="760"/>
      <c r="I13750" s="760"/>
      <c r="J13750" s="760"/>
      <c r="K13750" s="760"/>
    </row>
    <row r="13751" spans="1:11">
      <c r="A13751" s="760"/>
      <c r="B13751" s="760"/>
      <c r="C13751" s="760"/>
      <c r="D13751" s="760"/>
      <c r="E13751" s="760"/>
      <c r="F13751" s="760"/>
      <c r="G13751" s="760"/>
      <c r="H13751" s="760"/>
      <c r="I13751" s="760"/>
      <c r="J13751" s="760"/>
      <c r="K13751" s="760"/>
    </row>
    <row r="13752" spans="1:11">
      <c r="A13752" s="760"/>
      <c r="B13752" s="760"/>
      <c r="C13752" s="760"/>
      <c r="D13752" s="760"/>
      <c r="E13752" s="760"/>
      <c r="F13752" s="760"/>
      <c r="G13752" s="760"/>
      <c r="H13752" s="760"/>
      <c r="I13752" s="760"/>
      <c r="J13752" s="760"/>
      <c r="K13752" s="760"/>
    </row>
    <row r="13753" spans="1:11">
      <c r="A13753" s="760"/>
      <c r="B13753" s="760"/>
      <c r="C13753" s="760"/>
      <c r="D13753" s="760"/>
      <c r="E13753" s="760"/>
      <c r="F13753" s="760"/>
      <c r="G13753" s="760"/>
      <c r="H13753" s="760"/>
      <c r="I13753" s="760"/>
      <c r="J13753" s="760"/>
      <c r="K13753" s="760"/>
    </row>
    <row r="13754" spans="1:11">
      <c r="A13754" s="760"/>
      <c r="B13754" s="760"/>
      <c r="C13754" s="760"/>
      <c r="D13754" s="760"/>
      <c r="E13754" s="760"/>
      <c r="F13754" s="760"/>
      <c r="G13754" s="760"/>
      <c r="H13754" s="760"/>
      <c r="I13754" s="760"/>
      <c r="J13754" s="760"/>
      <c r="K13754" s="760"/>
    </row>
    <row r="13755" spans="1:11">
      <c r="A13755" s="760"/>
      <c r="B13755" s="760"/>
      <c r="C13755" s="760"/>
      <c r="D13755" s="760"/>
      <c r="E13755" s="760"/>
      <c r="F13755" s="760"/>
      <c r="G13755" s="760"/>
      <c r="H13755" s="760"/>
      <c r="I13755" s="760"/>
      <c r="J13755" s="760"/>
      <c r="K13755" s="760"/>
    </row>
    <row r="13756" spans="1:11">
      <c r="A13756" s="760"/>
      <c r="B13756" s="760"/>
      <c r="C13756" s="760"/>
      <c r="D13756" s="760"/>
      <c r="E13756" s="760"/>
      <c r="F13756" s="760"/>
      <c r="G13756" s="760"/>
      <c r="H13756" s="760"/>
      <c r="I13756" s="760"/>
      <c r="J13756" s="760"/>
      <c r="K13756" s="760"/>
    </row>
    <row r="13757" spans="1:11">
      <c r="A13757" s="760"/>
      <c r="B13757" s="760"/>
      <c r="C13757" s="760"/>
      <c r="D13757" s="760"/>
      <c r="E13757" s="760"/>
      <c r="F13757" s="760"/>
      <c r="G13757" s="760"/>
      <c r="H13757" s="760"/>
      <c r="I13757" s="760"/>
      <c r="J13757" s="760"/>
      <c r="K13757" s="760"/>
    </row>
    <row r="13758" spans="1:11">
      <c r="A13758" s="760"/>
      <c r="B13758" s="760"/>
      <c r="C13758" s="760"/>
      <c r="D13758" s="760"/>
      <c r="E13758" s="760"/>
      <c r="F13758" s="760"/>
      <c r="G13758" s="760"/>
      <c r="H13758" s="760"/>
      <c r="I13758" s="760"/>
      <c r="J13758" s="760"/>
      <c r="K13758" s="760"/>
    </row>
    <row r="13759" spans="1:11">
      <c r="A13759" s="760"/>
      <c r="B13759" s="760"/>
      <c r="C13759" s="760"/>
      <c r="D13759" s="760"/>
      <c r="E13759" s="760"/>
      <c r="F13759" s="760"/>
      <c r="G13759" s="760"/>
      <c r="H13759" s="760"/>
      <c r="I13759" s="760"/>
      <c r="J13759" s="760"/>
      <c r="K13759" s="760"/>
    </row>
    <row r="13760" spans="1:11">
      <c r="A13760" s="760"/>
      <c r="B13760" s="760"/>
      <c r="C13760" s="760"/>
      <c r="D13760" s="760"/>
      <c r="E13760" s="760"/>
      <c r="F13760" s="760"/>
      <c r="G13760" s="760"/>
      <c r="H13760" s="760"/>
      <c r="I13760" s="760"/>
      <c r="J13760" s="760"/>
      <c r="K13760" s="760"/>
    </row>
    <row r="13761" spans="1:11">
      <c r="A13761" s="760"/>
      <c r="B13761" s="760"/>
      <c r="C13761" s="760"/>
      <c r="D13761" s="760"/>
      <c r="E13761" s="760"/>
      <c r="F13761" s="760"/>
      <c r="G13761" s="760"/>
      <c r="H13761" s="760"/>
      <c r="I13761" s="760"/>
      <c r="J13761" s="760"/>
      <c r="K13761" s="760"/>
    </row>
    <row r="13762" spans="1:11">
      <c r="A13762" s="760"/>
      <c r="B13762" s="760"/>
      <c r="C13762" s="760"/>
      <c r="D13762" s="760"/>
      <c r="E13762" s="760"/>
      <c r="F13762" s="760"/>
      <c r="G13762" s="760"/>
      <c r="H13762" s="760"/>
      <c r="I13762" s="760"/>
      <c r="J13762" s="760"/>
      <c r="K13762" s="760"/>
    </row>
    <row r="13763" spans="1:11">
      <c r="A13763" s="760"/>
      <c r="B13763" s="760"/>
      <c r="C13763" s="760"/>
      <c r="D13763" s="760"/>
      <c r="E13763" s="760"/>
      <c r="F13763" s="760"/>
      <c r="G13763" s="760"/>
      <c r="H13763" s="760"/>
      <c r="I13763" s="760"/>
      <c r="J13763" s="760"/>
      <c r="K13763" s="760"/>
    </row>
    <row r="13764" spans="1:11">
      <c r="A13764" s="760"/>
      <c r="B13764" s="760"/>
      <c r="C13764" s="760"/>
      <c r="D13764" s="760"/>
      <c r="E13764" s="760"/>
      <c r="F13764" s="760"/>
      <c r="G13764" s="760"/>
      <c r="H13764" s="760"/>
      <c r="I13764" s="760"/>
      <c r="J13764" s="760"/>
      <c r="K13764" s="760"/>
    </row>
    <row r="13765" spans="1:11">
      <c r="A13765" s="760"/>
      <c r="B13765" s="760"/>
      <c r="C13765" s="760"/>
      <c r="D13765" s="760"/>
      <c r="E13765" s="760"/>
      <c r="F13765" s="760"/>
      <c r="G13765" s="760"/>
      <c r="H13765" s="760"/>
      <c r="I13765" s="760"/>
      <c r="J13765" s="760"/>
      <c r="K13765" s="760"/>
    </row>
    <row r="13766" spans="1:11">
      <c r="A13766" s="760"/>
      <c r="B13766" s="760"/>
      <c r="C13766" s="760"/>
      <c r="D13766" s="760"/>
      <c r="E13766" s="760"/>
      <c r="F13766" s="760"/>
      <c r="G13766" s="760"/>
      <c r="H13766" s="760"/>
      <c r="I13766" s="760"/>
      <c r="J13766" s="760"/>
      <c r="K13766" s="760"/>
    </row>
    <row r="13767" spans="1:11">
      <c r="A13767" s="760"/>
      <c r="B13767" s="760"/>
      <c r="C13767" s="760"/>
      <c r="D13767" s="760"/>
      <c r="E13767" s="760"/>
      <c r="F13767" s="760"/>
      <c r="G13767" s="760"/>
      <c r="H13767" s="760"/>
      <c r="I13767" s="760"/>
      <c r="J13767" s="760"/>
      <c r="K13767" s="760"/>
    </row>
    <row r="13768" spans="1:11">
      <c r="A13768" s="760"/>
      <c r="B13768" s="760"/>
      <c r="C13768" s="760"/>
      <c r="D13768" s="760"/>
      <c r="E13768" s="760"/>
      <c r="F13768" s="760"/>
      <c r="G13768" s="760"/>
      <c r="H13768" s="760"/>
      <c r="I13768" s="760"/>
      <c r="J13768" s="760"/>
      <c r="K13768" s="760"/>
    </row>
    <row r="13769" spans="1:11">
      <c r="A13769" s="760"/>
      <c r="B13769" s="760"/>
      <c r="C13769" s="760"/>
      <c r="D13769" s="760"/>
      <c r="E13769" s="760"/>
      <c r="F13769" s="760"/>
      <c r="G13769" s="760"/>
      <c r="H13769" s="760"/>
      <c r="I13769" s="760"/>
      <c r="J13769" s="760"/>
      <c r="K13769" s="760"/>
    </row>
    <row r="13770" spans="1:11">
      <c r="A13770" s="760"/>
      <c r="B13770" s="760"/>
      <c r="C13770" s="760"/>
      <c r="D13770" s="760"/>
      <c r="E13770" s="760"/>
      <c r="F13770" s="760"/>
      <c r="G13770" s="760"/>
      <c r="H13770" s="760"/>
      <c r="I13770" s="760"/>
      <c r="J13770" s="760"/>
      <c r="K13770" s="760"/>
    </row>
    <row r="13771" spans="1:11">
      <c r="A13771" s="760"/>
      <c r="B13771" s="760"/>
      <c r="C13771" s="760"/>
      <c r="D13771" s="760"/>
      <c r="E13771" s="760"/>
      <c r="F13771" s="760"/>
      <c r="G13771" s="760"/>
      <c r="H13771" s="760"/>
      <c r="I13771" s="760"/>
      <c r="J13771" s="760"/>
      <c r="K13771" s="760"/>
    </row>
    <row r="13772" spans="1:11">
      <c r="A13772" s="760"/>
      <c r="B13772" s="760"/>
      <c r="C13772" s="760"/>
      <c r="D13772" s="760"/>
      <c r="E13772" s="760"/>
      <c r="F13772" s="760"/>
      <c r="G13772" s="760"/>
      <c r="H13772" s="760"/>
      <c r="I13772" s="760"/>
      <c r="J13772" s="760"/>
      <c r="K13772" s="760"/>
    </row>
    <row r="13773" spans="1:11">
      <c r="A13773" s="760"/>
      <c r="B13773" s="760"/>
      <c r="C13773" s="760"/>
      <c r="D13773" s="760"/>
      <c r="E13773" s="760"/>
      <c r="F13773" s="760"/>
      <c r="G13773" s="760"/>
      <c r="H13773" s="760"/>
      <c r="I13773" s="760"/>
      <c r="J13773" s="760"/>
      <c r="K13773" s="760"/>
    </row>
    <row r="13774" spans="1:11">
      <c r="A13774" s="760"/>
      <c r="B13774" s="760"/>
      <c r="C13774" s="760"/>
      <c r="D13774" s="760"/>
      <c r="E13774" s="760"/>
      <c r="F13774" s="760"/>
      <c r="G13774" s="760"/>
      <c r="H13774" s="760"/>
      <c r="I13774" s="760"/>
      <c r="J13774" s="760"/>
      <c r="K13774" s="760"/>
    </row>
    <row r="13775" spans="1:11">
      <c r="A13775" s="760"/>
      <c r="B13775" s="760"/>
      <c r="C13775" s="760"/>
      <c r="D13775" s="760"/>
      <c r="E13775" s="760"/>
      <c r="F13775" s="760"/>
      <c r="G13775" s="760"/>
      <c r="H13775" s="760"/>
      <c r="I13775" s="760"/>
      <c r="J13775" s="760"/>
      <c r="K13775" s="760"/>
    </row>
    <row r="13776" spans="1:11">
      <c r="A13776" s="760"/>
      <c r="B13776" s="760"/>
      <c r="C13776" s="760"/>
      <c r="D13776" s="760"/>
      <c r="E13776" s="760"/>
      <c r="F13776" s="760"/>
      <c r="G13776" s="760"/>
      <c r="H13776" s="760"/>
      <c r="I13776" s="760"/>
      <c r="J13776" s="760"/>
      <c r="K13776" s="760"/>
    </row>
    <row r="13777" spans="1:11">
      <c r="A13777" s="760"/>
      <c r="B13777" s="760"/>
      <c r="C13777" s="760"/>
      <c r="D13777" s="760"/>
      <c r="E13777" s="760"/>
      <c r="F13777" s="760"/>
      <c r="G13777" s="760"/>
      <c r="H13777" s="760"/>
      <c r="I13777" s="760"/>
      <c r="J13777" s="760"/>
      <c r="K13777" s="760"/>
    </row>
    <row r="13778" spans="1:11">
      <c r="A13778" s="760"/>
      <c r="B13778" s="760"/>
      <c r="C13778" s="760"/>
      <c r="D13778" s="760"/>
      <c r="E13778" s="760"/>
      <c r="F13778" s="760"/>
      <c r="G13778" s="760"/>
      <c r="H13778" s="760"/>
      <c r="I13778" s="760"/>
      <c r="J13778" s="760"/>
      <c r="K13778" s="760"/>
    </row>
    <row r="13779" spans="1:11">
      <c r="A13779" s="760"/>
      <c r="B13779" s="760"/>
      <c r="C13779" s="760"/>
      <c r="D13779" s="760"/>
      <c r="E13779" s="760"/>
      <c r="F13779" s="760"/>
      <c r="G13779" s="760"/>
      <c r="H13779" s="760"/>
      <c r="I13779" s="760"/>
      <c r="J13779" s="760"/>
      <c r="K13779" s="760"/>
    </row>
    <row r="13780" spans="1:11">
      <c r="A13780" s="760"/>
      <c r="B13780" s="760"/>
      <c r="C13780" s="760"/>
      <c r="D13780" s="760"/>
      <c r="E13780" s="760"/>
      <c r="F13780" s="760"/>
      <c r="G13780" s="760"/>
      <c r="H13780" s="760"/>
      <c r="I13780" s="760"/>
      <c r="J13780" s="760"/>
      <c r="K13780" s="760"/>
    </row>
    <row r="13781" spans="1:11">
      <c r="A13781" s="760"/>
      <c r="B13781" s="760"/>
      <c r="C13781" s="760"/>
      <c r="D13781" s="760"/>
      <c r="E13781" s="760"/>
      <c r="F13781" s="760"/>
      <c r="G13781" s="760"/>
      <c r="H13781" s="760"/>
      <c r="I13781" s="760"/>
      <c r="J13781" s="760"/>
      <c r="K13781" s="760"/>
    </row>
    <row r="13782" spans="1:11">
      <c r="A13782" s="760"/>
      <c r="B13782" s="760"/>
      <c r="C13782" s="760"/>
      <c r="D13782" s="760"/>
      <c r="E13782" s="760"/>
      <c r="F13782" s="760"/>
      <c r="G13782" s="760"/>
      <c r="H13782" s="760"/>
      <c r="I13782" s="760"/>
      <c r="J13782" s="760"/>
      <c r="K13782" s="760"/>
    </row>
    <row r="13783" spans="1:11">
      <c r="A13783" s="760"/>
      <c r="B13783" s="760"/>
      <c r="C13783" s="760"/>
      <c r="D13783" s="760"/>
      <c r="E13783" s="760"/>
      <c r="F13783" s="760"/>
      <c r="G13783" s="760"/>
      <c r="H13783" s="760"/>
      <c r="I13783" s="760"/>
      <c r="J13783" s="760"/>
      <c r="K13783" s="760"/>
    </row>
    <row r="13784" spans="1:11">
      <c r="A13784" s="760"/>
      <c r="B13784" s="760"/>
      <c r="C13784" s="760"/>
      <c r="D13784" s="760"/>
      <c r="E13784" s="760"/>
      <c r="F13784" s="760"/>
      <c r="G13784" s="760"/>
      <c r="H13784" s="760"/>
      <c r="I13784" s="760"/>
      <c r="J13784" s="760"/>
      <c r="K13784" s="760"/>
    </row>
    <row r="13785" spans="1:11">
      <c r="A13785" s="760"/>
      <c r="B13785" s="760"/>
      <c r="C13785" s="760"/>
      <c r="D13785" s="760"/>
      <c r="E13785" s="760"/>
      <c r="F13785" s="760"/>
      <c r="G13785" s="760"/>
      <c r="H13785" s="760"/>
      <c r="I13785" s="760"/>
      <c r="J13785" s="760"/>
      <c r="K13785" s="760"/>
    </row>
    <row r="13786" spans="1:11">
      <c r="A13786" s="760"/>
      <c r="B13786" s="760"/>
      <c r="C13786" s="760"/>
      <c r="D13786" s="760"/>
      <c r="E13786" s="760"/>
      <c r="F13786" s="760"/>
      <c r="G13786" s="760"/>
      <c r="H13786" s="760"/>
      <c r="I13786" s="760"/>
      <c r="J13786" s="760"/>
      <c r="K13786" s="760"/>
    </row>
    <row r="13787" spans="1:11">
      <c r="A13787" s="760"/>
      <c r="B13787" s="760"/>
      <c r="C13787" s="760"/>
      <c r="D13787" s="760"/>
      <c r="E13787" s="760"/>
      <c r="F13787" s="760"/>
      <c r="G13787" s="760"/>
      <c r="H13787" s="760"/>
      <c r="I13787" s="760"/>
      <c r="J13787" s="760"/>
      <c r="K13787" s="760"/>
    </row>
    <row r="13788" spans="1:11">
      <c r="A13788" s="760"/>
      <c r="B13788" s="760"/>
      <c r="C13788" s="760"/>
      <c r="D13788" s="760"/>
      <c r="E13788" s="760"/>
      <c r="F13788" s="760"/>
      <c r="G13788" s="760"/>
      <c r="H13788" s="760"/>
      <c r="I13788" s="760"/>
      <c r="J13788" s="760"/>
      <c r="K13788" s="760"/>
    </row>
    <row r="13789" spans="1:11">
      <c r="A13789" s="760"/>
      <c r="B13789" s="760"/>
      <c r="C13789" s="760"/>
      <c r="D13789" s="760"/>
      <c r="E13789" s="760"/>
      <c r="F13789" s="760"/>
      <c r="G13789" s="760"/>
      <c r="H13789" s="760"/>
      <c r="I13789" s="760"/>
      <c r="J13789" s="760"/>
      <c r="K13789" s="760"/>
    </row>
    <row r="13790" spans="1:11">
      <c r="A13790" s="760"/>
      <c r="B13790" s="760"/>
      <c r="C13790" s="760"/>
      <c r="D13790" s="760"/>
      <c r="E13790" s="760"/>
      <c r="F13790" s="760"/>
      <c r="G13790" s="760"/>
      <c r="H13790" s="760"/>
      <c r="I13790" s="760"/>
      <c r="J13790" s="760"/>
      <c r="K13790" s="760"/>
    </row>
    <row r="13791" spans="1:11">
      <c r="A13791" s="760"/>
      <c r="B13791" s="760"/>
      <c r="C13791" s="760"/>
      <c r="D13791" s="760"/>
      <c r="E13791" s="760"/>
      <c r="F13791" s="760"/>
      <c r="G13791" s="760"/>
      <c r="H13791" s="760"/>
      <c r="I13791" s="760"/>
      <c r="J13791" s="760"/>
      <c r="K13791" s="760"/>
    </row>
    <row r="13792" spans="1:11">
      <c r="A13792" s="760"/>
      <c r="B13792" s="760"/>
      <c r="C13792" s="760"/>
      <c r="D13792" s="760"/>
      <c r="E13792" s="760"/>
      <c r="F13792" s="760"/>
      <c r="G13792" s="760"/>
      <c r="H13792" s="760"/>
      <c r="I13792" s="760"/>
      <c r="J13792" s="760"/>
      <c r="K13792" s="760"/>
    </row>
    <row r="13793" spans="1:11">
      <c r="A13793" s="760"/>
      <c r="B13793" s="760"/>
      <c r="C13793" s="760"/>
      <c r="D13793" s="760"/>
      <c r="E13793" s="760"/>
      <c r="F13793" s="760"/>
      <c r="G13793" s="760"/>
      <c r="H13793" s="760"/>
      <c r="I13793" s="760"/>
      <c r="J13793" s="760"/>
      <c r="K13793" s="760"/>
    </row>
    <row r="13794" spans="1:11">
      <c r="A13794" s="760"/>
      <c r="B13794" s="760"/>
      <c r="C13794" s="760"/>
      <c r="D13794" s="760"/>
      <c r="E13794" s="760"/>
      <c r="F13794" s="760"/>
      <c r="G13794" s="760"/>
      <c r="H13794" s="760"/>
      <c r="I13794" s="760"/>
      <c r="J13794" s="760"/>
      <c r="K13794" s="760"/>
    </row>
    <row r="13795" spans="1:11">
      <c r="A13795" s="760"/>
      <c r="B13795" s="760"/>
      <c r="C13795" s="760"/>
      <c r="D13795" s="760"/>
      <c r="E13795" s="760"/>
      <c r="F13795" s="760"/>
      <c r="G13795" s="760"/>
      <c r="H13795" s="760"/>
      <c r="I13795" s="760"/>
      <c r="J13795" s="760"/>
      <c r="K13795" s="760"/>
    </row>
    <row r="13796" spans="1:11">
      <c r="A13796" s="760"/>
      <c r="B13796" s="760"/>
      <c r="C13796" s="760"/>
      <c r="D13796" s="760"/>
      <c r="E13796" s="760"/>
      <c r="F13796" s="760"/>
      <c r="G13796" s="760"/>
      <c r="H13796" s="760"/>
      <c r="I13796" s="760"/>
      <c r="J13796" s="760"/>
      <c r="K13796" s="760"/>
    </row>
    <row r="13797" spans="1:11">
      <c r="A13797" s="760"/>
      <c r="B13797" s="760"/>
      <c r="C13797" s="760"/>
      <c r="D13797" s="760"/>
      <c r="E13797" s="760"/>
      <c r="F13797" s="760"/>
      <c r="G13797" s="760"/>
      <c r="H13797" s="760"/>
      <c r="I13797" s="760"/>
      <c r="J13797" s="760"/>
      <c r="K13797" s="760"/>
    </row>
    <row r="13798" spans="1:11">
      <c r="A13798" s="760"/>
      <c r="B13798" s="760"/>
      <c r="C13798" s="760"/>
      <c r="D13798" s="760"/>
      <c r="E13798" s="760"/>
      <c r="F13798" s="760"/>
      <c r="G13798" s="760"/>
      <c r="H13798" s="760"/>
      <c r="I13798" s="760"/>
      <c r="J13798" s="760"/>
      <c r="K13798" s="760"/>
    </row>
    <row r="13799" spans="1:11">
      <c r="A13799" s="760"/>
      <c r="B13799" s="760"/>
      <c r="C13799" s="760"/>
      <c r="D13799" s="760"/>
      <c r="E13799" s="760"/>
      <c r="F13799" s="760"/>
      <c r="G13799" s="760"/>
      <c r="H13799" s="760"/>
      <c r="I13799" s="760"/>
      <c r="J13799" s="760"/>
      <c r="K13799" s="760"/>
    </row>
    <row r="13800" spans="1:11">
      <c r="A13800" s="760"/>
      <c r="B13800" s="760"/>
      <c r="C13800" s="760"/>
      <c r="D13800" s="760"/>
      <c r="E13800" s="760"/>
      <c r="F13800" s="760"/>
      <c r="G13800" s="760"/>
      <c r="H13800" s="760"/>
      <c r="I13800" s="760"/>
      <c r="J13800" s="760"/>
      <c r="K13800" s="760"/>
    </row>
    <row r="13801" spans="1:11">
      <c r="A13801" s="760"/>
      <c r="B13801" s="760"/>
      <c r="C13801" s="760"/>
      <c r="D13801" s="760"/>
      <c r="E13801" s="760"/>
      <c r="F13801" s="760"/>
      <c r="G13801" s="760"/>
      <c r="H13801" s="760"/>
      <c r="I13801" s="760"/>
      <c r="J13801" s="760"/>
      <c r="K13801" s="760"/>
    </row>
    <row r="13802" spans="1:11">
      <c r="A13802" s="760"/>
      <c r="B13802" s="760"/>
      <c r="C13802" s="760"/>
      <c r="D13802" s="760"/>
      <c r="E13802" s="760"/>
      <c r="F13802" s="760"/>
      <c r="G13802" s="760"/>
      <c r="H13802" s="760"/>
      <c r="I13802" s="760"/>
      <c r="J13802" s="760"/>
      <c r="K13802" s="760"/>
    </row>
    <row r="13803" spans="1:11">
      <c r="A13803" s="760"/>
      <c r="B13803" s="760"/>
      <c r="C13803" s="760"/>
      <c r="D13803" s="760"/>
      <c r="E13803" s="760"/>
      <c r="F13803" s="760"/>
      <c r="G13803" s="760"/>
      <c r="H13803" s="760"/>
      <c r="I13803" s="760"/>
      <c r="J13803" s="760"/>
      <c r="K13803" s="760"/>
    </row>
    <row r="13804" spans="1:11">
      <c r="A13804" s="760"/>
      <c r="B13804" s="760"/>
      <c r="C13804" s="760"/>
      <c r="D13804" s="760"/>
      <c r="E13804" s="760"/>
      <c r="F13804" s="760"/>
      <c r="G13804" s="760"/>
      <c r="H13804" s="760"/>
      <c r="I13804" s="760"/>
      <c r="J13804" s="760"/>
      <c r="K13804" s="760"/>
    </row>
    <row r="13805" spans="1:11">
      <c r="A13805" s="760"/>
      <c r="B13805" s="760"/>
      <c r="C13805" s="760"/>
      <c r="D13805" s="760"/>
      <c r="E13805" s="760"/>
      <c r="F13805" s="760"/>
      <c r="G13805" s="760"/>
      <c r="H13805" s="760"/>
      <c r="I13805" s="760"/>
      <c r="J13805" s="760"/>
      <c r="K13805" s="760"/>
    </row>
    <row r="13806" spans="1:11">
      <c r="A13806" s="760"/>
      <c r="B13806" s="760"/>
      <c r="C13806" s="760"/>
      <c r="D13806" s="760"/>
      <c r="E13806" s="760"/>
      <c r="F13806" s="760"/>
      <c r="G13806" s="760"/>
      <c r="H13806" s="760"/>
      <c r="I13806" s="760"/>
      <c r="J13806" s="760"/>
      <c r="K13806" s="760"/>
    </row>
    <row r="13807" spans="1:11">
      <c r="A13807" s="760"/>
      <c r="B13807" s="760"/>
      <c r="C13807" s="760"/>
      <c r="D13807" s="760"/>
      <c r="E13807" s="760"/>
      <c r="F13807" s="760"/>
      <c r="G13807" s="760"/>
      <c r="H13807" s="760"/>
      <c r="I13807" s="760"/>
      <c r="J13807" s="760"/>
      <c r="K13807" s="760"/>
    </row>
    <row r="13808" spans="1:11">
      <c r="A13808" s="760"/>
      <c r="B13808" s="760"/>
      <c r="C13808" s="760"/>
      <c r="D13808" s="760"/>
      <c r="E13808" s="760"/>
      <c r="F13808" s="760"/>
      <c r="G13808" s="760"/>
      <c r="H13808" s="760"/>
      <c r="I13808" s="760"/>
      <c r="J13808" s="760"/>
      <c r="K13808" s="760"/>
    </row>
    <row r="13809" spans="1:11">
      <c r="A13809" s="760"/>
      <c r="B13809" s="760"/>
      <c r="C13809" s="760"/>
      <c r="D13809" s="760"/>
      <c r="E13809" s="760"/>
      <c r="F13809" s="760"/>
      <c r="G13809" s="760"/>
      <c r="H13809" s="760"/>
      <c r="I13809" s="760"/>
      <c r="J13809" s="760"/>
      <c r="K13809" s="760"/>
    </row>
    <row r="13810" spans="1:11">
      <c r="A13810" s="760"/>
      <c r="B13810" s="760"/>
      <c r="C13810" s="760"/>
      <c r="D13810" s="760"/>
      <c r="E13810" s="760"/>
      <c r="F13810" s="760"/>
      <c r="G13810" s="760"/>
      <c r="H13810" s="760"/>
      <c r="I13810" s="760"/>
      <c r="J13810" s="760"/>
      <c r="K13810" s="760"/>
    </row>
    <row r="13811" spans="1:11">
      <c r="A13811" s="760"/>
      <c r="B13811" s="760"/>
      <c r="C13811" s="760"/>
      <c r="D13811" s="760"/>
      <c r="E13811" s="760"/>
      <c r="F13811" s="760"/>
      <c r="G13811" s="760"/>
      <c r="H13811" s="760"/>
      <c r="I13811" s="760"/>
      <c r="J13811" s="760"/>
      <c r="K13811" s="760"/>
    </row>
    <row r="13812" spans="1:11">
      <c r="A13812" s="760"/>
      <c r="B13812" s="760"/>
      <c r="C13812" s="760"/>
      <c r="D13812" s="760"/>
      <c r="E13812" s="760"/>
      <c r="F13812" s="760"/>
      <c r="G13812" s="760"/>
      <c r="H13812" s="760"/>
      <c r="I13812" s="760"/>
      <c r="J13812" s="760"/>
      <c r="K13812" s="760"/>
    </row>
    <row r="13813" spans="1:11">
      <c r="A13813" s="760"/>
      <c r="B13813" s="760"/>
      <c r="C13813" s="760"/>
      <c r="D13813" s="760"/>
      <c r="E13813" s="760"/>
      <c r="F13813" s="760"/>
      <c r="G13813" s="760"/>
      <c r="H13813" s="760"/>
      <c r="I13813" s="760"/>
      <c r="J13813" s="760"/>
      <c r="K13813" s="760"/>
    </row>
    <row r="13814" spans="1:11">
      <c r="A13814" s="760"/>
      <c r="B13814" s="760"/>
      <c r="C13814" s="760"/>
      <c r="D13814" s="760"/>
      <c r="E13814" s="760"/>
      <c r="F13814" s="760"/>
      <c r="G13814" s="760"/>
      <c r="H13814" s="760"/>
      <c r="I13814" s="760"/>
      <c r="J13814" s="760"/>
      <c r="K13814" s="760"/>
    </row>
    <row r="13815" spans="1:11">
      <c r="A13815" s="760"/>
      <c r="B13815" s="760"/>
      <c r="C13815" s="760"/>
      <c r="D13815" s="760"/>
      <c r="E13815" s="760"/>
      <c r="F13815" s="760"/>
      <c r="G13815" s="760"/>
      <c r="H13815" s="760"/>
      <c r="I13815" s="760"/>
      <c r="J13815" s="760"/>
      <c r="K13815" s="760"/>
    </row>
    <row r="13816" spans="1:11">
      <c r="A13816" s="760"/>
      <c r="B13816" s="760"/>
      <c r="C13816" s="760"/>
      <c r="D13816" s="760"/>
      <c r="E13816" s="760"/>
      <c r="F13816" s="760"/>
      <c r="G13816" s="760"/>
      <c r="H13816" s="760"/>
      <c r="I13816" s="760"/>
      <c r="J13816" s="760"/>
      <c r="K13816" s="760"/>
    </row>
    <row r="13817" spans="1:11">
      <c r="A13817" s="760"/>
      <c r="B13817" s="760"/>
      <c r="C13817" s="760"/>
      <c r="D13817" s="760"/>
      <c r="E13817" s="760"/>
      <c r="F13817" s="760"/>
      <c r="G13817" s="760"/>
      <c r="H13817" s="760"/>
      <c r="I13817" s="760"/>
      <c r="J13817" s="760"/>
      <c r="K13817" s="760"/>
    </row>
    <row r="13818" spans="1:11">
      <c r="A13818" s="760"/>
      <c r="B13818" s="760"/>
      <c r="C13818" s="760"/>
      <c r="D13818" s="760"/>
      <c r="E13818" s="760"/>
      <c r="F13818" s="760"/>
      <c r="G13818" s="760"/>
      <c r="H13818" s="760"/>
      <c r="I13818" s="760"/>
      <c r="J13818" s="760"/>
      <c r="K13818" s="760"/>
    </row>
    <row r="13819" spans="1:11">
      <c r="A13819" s="760"/>
      <c r="B13819" s="760"/>
      <c r="C13819" s="760"/>
      <c r="D13819" s="760"/>
      <c r="E13819" s="760"/>
      <c r="F13819" s="760"/>
      <c r="G13819" s="760"/>
      <c r="H13819" s="760"/>
      <c r="I13819" s="760"/>
      <c r="J13819" s="760"/>
      <c r="K13819" s="760"/>
    </row>
    <row r="13820" spans="1:11">
      <c r="A13820" s="760"/>
      <c r="B13820" s="760"/>
      <c r="C13820" s="760"/>
      <c r="D13820" s="760"/>
      <c r="E13820" s="760"/>
      <c r="F13820" s="760"/>
      <c r="G13820" s="760"/>
      <c r="H13820" s="760"/>
      <c r="I13820" s="760"/>
      <c r="J13820" s="760"/>
      <c r="K13820" s="760"/>
    </row>
    <row r="13821" spans="1:11">
      <c r="A13821" s="760"/>
      <c r="B13821" s="760"/>
      <c r="C13821" s="760"/>
      <c r="D13821" s="760"/>
      <c r="E13821" s="760"/>
      <c r="F13821" s="760"/>
      <c r="G13821" s="760"/>
      <c r="H13821" s="760"/>
      <c r="I13821" s="760"/>
      <c r="J13821" s="760"/>
      <c r="K13821" s="760"/>
    </row>
    <row r="13822" spans="1:11">
      <c r="A13822" s="760"/>
      <c r="B13822" s="760"/>
      <c r="C13822" s="760"/>
      <c r="D13822" s="760"/>
      <c r="E13822" s="760"/>
      <c r="F13822" s="760"/>
      <c r="G13822" s="760"/>
      <c r="H13822" s="760"/>
      <c r="I13822" s="760"/>
      <c r="J13822" s="760"/>
      <c r="K13822" s="760"/>
    </row>
    <row r="13823" spans="1:11">
      <c r="A13823" s="760"/>
      <c r="B13823" s="760"/>
      <c r="C13823" s="760"/>
      <c r="D13823" s="760"/>
      <c r="E13823" s="760"/>
      <c r="F13823" s="760"/>
      <c r="G13823" s="760"/>
      <c r="H13823" s="760"/>
      <c r="I13823" s="760"/>
      <c r="J13823" s="760"/>
      <c r="K13823" s="760"/>
    </row>
    <row r="13824" spans="1:11">
      <c r="A13824" s="760"/>
      <c r="B13824" s="760"/>
      <c r="C13824" s="760"/>
      <c r="D13824" s="760"/>
      <c r="E13824" s="760"/>
      <c r="F13824" s="760"/>
      <c r="G13824" s="760"/>
      <c r="H13824" s="760"/>
      <c r="I13824" s="760"/>
      <c r="J13824" s="760"/>
      <c r="K13824" s="760"/>
    </row>
    <row r="13825" spans="1:11">
      <c r="A13825" s="760"/>
      <c r="B13825" s="760"/>
      <c r="C13825" s="760"/>
      <c r="D13825" s="760"/>
      <c r="E13825" s="760"/>
      <c r="F13825" s="760"/>
      <c r="G13825" s="760"/>
      <c r="H13825" s="760"/>
      <c r="I13825" s="760"/>
      <c r="J13825" s="760"/>
      <c r="K13825" s="760"/>
    </row>
    <row r="13826" spans="1:11">
      <c r="A13826" s="760"/>
      <c r="B13826" s="760"/>
      <c r="C13826" s="760"/>
      <c r="D13826" s="760"/>
      <c r="E13826" s="760"/>
      <c r="F13826" s="760"/>
      <c r="G13826" s="760"/>
      <c r="H13826" s="760"/>
      <c r="I13826" s="760"/>
      <c r="J13826" s="760"/>
      <c r="K13826" s="760"/>
    </row>
    <row r="13827" spans="1:11">
      <c r="A13827" s="760"/>
      <c r="B13827" s="760"/>
      <c r="C13827" s="760"/>
      <c r="D13827" s="760"/>
      <c r="E13827" s="760"/>
      <c r="F13827" s="760"/>
      <c r="G13827" s="760"/>
      <c r="H13827" s="760"/>
      <c r="I13827" s="760"/>
      <c r="J13827" s="760"/>
      <c r="K13827" s="760"/>
    </row>
    <row r="13828" spans="1:11">
      <c r="A13828" s="760"/>
      <c r="B13828" s="760"/>
      <c r="C13828" s="760"/>
      <c r="D13828" s="760"/>
      <c r="E13828" s="760"/>
      <c r="F13828" s="760"/>
      <c r="G13828" s="760"/>
      <c r="H13828" s="760"/>
      <c r="I13828" s="760"/>
      <c r="J13828" s="760"/>
      <c r="K13828" s="760"/>
    </row>
    <row r="13829" spans="1:11">
      <c r="A13829" s="760"/>
      <c r="B13829" s="760"/>
      <c r="C13829" s="760"/>
      <c r="D13829" s="760"/>
      <c r="E13829" s="760"/>
      <c r="F13829" s="760"/>
      <c r="G13829" s="760"/>
      <c r="H13829" s="760"/>
      <c r="I13829" s="760"/>
      <c r="J13829" s="760"/>
      <c r="K13829" s="760"/>
    </row>
    <row r="13830" spans="1:11">
      <c r="A13830" s="760"/>
      <c r="B13830" s="760"/>
      <c r="C13830" s="760"/>
      <c r="D13830" s="760"/>
      <c r="E13830" s="760"/>
      <c r="F13830" s="760"/>
      <c r="G13830" s="760"/>
      <c r="H13830" s="760"/>
      <c r="I13830" s="760"/>
      <c r="J13830" s="760"/>
      <c r="K13830" s="760"/>
    </row>
    <row r="13831" spans="1:11">
      <c r="A13831" s="760"/>
      <c r="B13831" s="760"/>
      <c r="C13831" s="760"/>
      <c r="D13831" s="760"/>
      <c r="E13831" s="760"/>
      <c r="F13831" s="760"/>
      <c r="G13831" s="760"/>
      <c r="H13831" s="760"/>
      <c r="I13831" s="760"/>
      <c r="J13831" s="760"/>
      <c r="K13831" s="760"/>
    </row>
    <row r="13832" spans="1:11">
      <c r="A13832" s="760"/>
      <c r="B13832" s="760"/>
      <c r="C13832" s="760"/>
      <c r="D13832" s="760"/>
      <c r="E13832" s="760"/>
      <c r="F13832" s="760"/>
      <c r="G13832" s="760"/>
      <c r="H13832" s="760"/>
      <c r="I13832" s="760"/>
      <c r="J13832" s="760"/>
      <c r="K13832" s="760"/>
    </row>
    <row r="13833" spans="1:11">
      <c r="A13833" s="760"/>
      <c r="B13833" s="760"/>
      <c r="C13833" s="760"/>
      <c r="D13833" s="760"/>
      <c r="E13833" s="760"/>
      <c r="F13833" s="760"/>
      <c r="G13833" s="760"/>
      <c r="H13833" s="760"/>
      <c r="I13833" s="760"/>
      <c r="J13833" s="760"/>
      <c r="K13833" s="760"/>
    </row>
    <row r="13834" spans="1:11">
      <c r="A13834" s="760"/>
      <c r="B13834" s="760"/>
      <c r="C13834" s="760"/>
      <c r="D13834" s="760"/>
      <c r="E13834" s="760"/>
      <c r="F13834" s="760"/>
      <c r="G13834" s="760"/>
      <c r="H13834" s="760"/>
      <c r="I13834" s="760"/>
      <c r="J13834" s="760"/>
      <c r="K13834" s="760"/>
    </row>
    <row r="13835" spans="1:11">
      <c r="A13835" s="760"/>
      <c r="B13835" s="760"/>
      <c r="C13835" s="760"/>
      <c r="D13835" s="760"/>
      <c r="E13835" s="760"/>
      <c r="F13835" s="760"/>
      <c r="G13835" s="760"/>
      <c r="H13835" s="760"/>
      <c r="I13835" s="760"/>
      <c r="J13835" s="760"/>
      <c r="K13835" s="760"/>
    </row>
    <row r="13836" spans="1:11">
      <c r="A13836" s="760"/>
      <c r="B13836" s="760"/>
      <c r="C13836" s="760"/>
      <c r="D13836" s="760"/>
      <c r="E13836" s="760"/>
      <c r="F13836" s="760"/>
      <c r="G13836" s="760"/>
      <c r="H13836" s="760"/>
      <c r="I13836" s="760"/>
      <c r="J13836" s="760"/>
      <c r="K13836" s="760"/>
    </row>
    <row r="13837" spans="1:11">
      <c r="A13837" s="760"/>
      <c r="B13837" s="760"/>
      <c r="C13837" s="760"/>
      <c r="D13837" s="760"/>
      <c r="E13837" s="760"/>
      <c r="F13837" s="760"/>
      <c r="G13837" s="760"/>
      <c r="H13837" s="760"/>
      <c r="I13837" s="760"/>
      <c r="J13837" s="760"/>
      <c r="K13837" s="760"/>
    </row>
    <row r="13838" spans="1:11">
      <c r="A13838" s="760"/>
      <c r="B13838" s="760"/>
      <c r="C13838" s="760"/>
      <c r="D13838" s="760"/>
      <c r="E13838" s="760"/>
      <c r="F13838" s="760"/>
      <c r="G13838" s="760"/>
      <c r="H13838" s="760"/>
      <c r="I13838" s="760"/>
      <c r="J13838" s="760"/>
      <c r="K13838" s="760"/>
    </row>
    <row r="13839" spans="1:11">
      <c r="A13839" s="760"/>
      <c r="B13839" s="760"/>
      <c r="C13839" s="760"/>
      <c r="D13839" s="760"/>
      <c r="E13839" s="760"/>
      <c r="F13839" s="760"/>
      <c r="G13839" s="760"/>
      <c r="H13839" s="760"/>
      <c r="I13839" s="760"/>
      <c r="J13839" s="760"/>
      <c r="K13839" s="760"/>
    </row>
    <row r="13840" spans="1:11">
      <c r="A13840" s="760"/>
      <c r="B13840" s="760"/>
      <c r="C13840" s="760"/>
      <c r="D13840" s="760"/>
      <c r="E13840" s="760"/>
      <c r="F13840" s="760"/>
      <c r="G13840" s="760"/>
      <c r="H13840" s="760"/>
      <c r="I13840" s="760"/>
      <c r="J13840" s="760"/>
      <c r="K13840" s="760"/>
    </row>
    <row r="13841" spans="1:11">
      <c r="A13841" s="760"/>
      <c r="B13841" s="760"/>
      <c r="C13841" s="760"/>
      <c r="D13841" s="760"/>
      <c r="E13841" s="760"/>
      <c r="F13841" s="760"/>
      <c r="G13841" s="760"/>
      <c r="H13841" s="760"/>
      <c r="I13841" s="760"/>
      <c r="J13841" s="760"/>
      <c r="K13841" s="760"/>
    </row>
    <row r="13842" spans="1:11">
      <c r="A13842" s="760"/>
      <c r="B13842" s="760"/>
      <c r="C13842" s="760"/>
      <c r="D13842" s="760"/>
      <c r="E13842" s="760"/>
      <c r="F13842" s="760"/>
      <c r="G13842" s="760"/>
      <c r="H13842" s="760"/>
      <c r="I13842" s="760"/>
      <c r="J13842" s="760"/>
      <c r="K13842" s="760"/>
    </row>
    <row r="13843" spans="1:11">
      <c r="A13843" s="760"/>
      <c r="B13843" s="760"/>
      <c r="C13843" s="760"/>
      <c r="D13843" s="760"/>
      <c r="E13843" s="760"/>
      <c r="F13843" s="760"/>
      <c r="G13843" s="760"/>
      <c r="H13843" s="760"/>
      <c r="I13843" s="760"/>
      <c r="J13843" s="760"/>
      <c r="K13843" s="760"/>
    </row>
    <row r="13844" spans="1:11">
      <c r="A13844" s="760"/>
      <c r="B13844" s="760"/>
      <c r="C13844" s="760"/>
      <c r="D13844" s="760"/>
      <c r="E13844" s="760"/>
      <c r="F13844" s="760"/>
      <c r="G13844" s="760"/>
      <c r="H13844" s="760"/>
      <c r="I13844" s="760"/>
      <c r="J13844" s="760"/>
      <c r="K13844" s="760"/>
    </row>
    <row r="13845" spans="1:11">
      <c r="A13845" s="760"/>
      <c r="B13845" s="760"/>
      <c r="C13845" s="760"/>
      <c r="D13845" s="760"/>
      <c r="E13845" s="760"/>
      <c r="F13845" s="760"/>
      <c r="G13845" s="760"/>
      <c r="H13845" s="760"/>
      <c r="I13845" s="760"/>
      <c r="J13845" s="760"/>
      <c r="K13845" s="760"/>
    </row>
    <row r="13846" spans="1:11">
      <c r="A13846" s="760"/>
      <c r="B13846" s="760"/>
      <c r="C13846" s="760"/>
      <c r="D13846" s="760"/>
      <c r="E13846" s="760"/>
      <c r="F13846" s="760"/>
      <c r="G13846" s="760"/>
      <c r="H13846" s="760"/>
      <c r="I13846" s="760"/>
      <c r="J13846" s="760"/>
      <c r="K13846" s="760"/>
    </row>
    <row r="13847" spans="1:11">
      <c r="A13847" s="760"/>
      <c r="B13847" s="760"/>
      <c r="C13847" s="760"/>
      <c r="D13847" s="760"/>
      <c r="E13847" s="760"/>
      <c r="F13847" s="760"/>
      <c r="G13847" s="760"/>
      <c r="H13847" s="760"/>
      <c r="I13847" s="760"/>
      <c r="J13847" s="760"/>
      <c r="K13847" s="760"/>
    </row>
    <row r="13848" spans="1:11">
      <c r="A13848" s="760"/>
      <c r="B13848" s="760"/>
      <c r="C13848" s="760"/>
      <c r="D13848" s="760"/>
      <c r="E13848" s="760"/>
      <c r="F13848" s="760"/>
      <c r="G13848" s="760"/>
      <c r="H13848" s="760"/>
      <c r="I13848" s="760"/>
      <c r="J13848" s="760"/>
      <c r="K13848" s="760"/>
    </row>
    <row r="13849" spans="1:11">
      <c r="A13849" s="760"/>
      <c r="B13849" s="760"/>
      <c r="C13849" s="760"/>
      <c r="D13849" s="760"/>
      <c r="E13849" s="760"/>
      <c r="F13849" s="760"/>
      <c r="G13849" s="760"/>
      <c r="H13849" s="760"/>
      <c r="I13849" s="760"/>
      <c r="J13849" s="760"/>
      <c r="K13849" s="760"/>
    </row>
    <row r="13850" spans="1:11">
      <c r="A13850" s="760"/>
      <c r="B13850" s="760"/>
      <c r="C13850" s="760"/>
      <c r="D13850" s="760"/>
      <c r="E13850" s="760"/>
      <c r="F13850" s="760"/>
      <c r="G13850" s="760"/>
      <c r="H13850" s="760"/>
      <c r="I13850" s="760"/>
      <c r="J13850" s="760"/>
      <c r="K13850" s="760"/>
    </row>
    <row r="13851" spans="1:11">
      <c r="A13851" s="760"/>
      <c r="B13851" s="760"/>
      <c r="C13851" s="760"/>
      <c r="D13851" s="760"/>
      <c r="E13851" s="760"/>
      <c r="F13851" s="760"/>
      <c r="G13851" s="760"/>
      <c r="H13851" s="760"/>
      <c r="I13851" s="760"/>
      <c r="J13851" s="760"/>
      <c r="K13851" s="760"/>
    </row>
    <row r="13852" spans="1:11">
      <c r="A13852" s="760"/>
      <c r="B13852" s="760"/>
      <c r="C13852" s="760"/>
      <c r="D13852" s="760"/>
      <c r="E13852" s="760"/>
      <c r="F13852" s="760"/>
      <c r="G13852" s="760"/>
      <c r="H13852" s="760"/>
      <c r="I13852" s="760"/>
      <c r="J13852" s="760"/>
      <c r="K13852" s="760"/>
    </row>
    <row r="13853" spans="1:11">
      <c r="A13853" s="760"/>
      <c r="B13853" s="760"/>
      <c r="C13853" s="760"/>
      <c r="D13853" s="760"/>
      <c r="E13853" s="760"/>
      <c r="F13853" s="760"/>
      <c r="G13853" s="760"/>
      <c r="H13853" s="760"/>
      <c r="I13853" s="760"/>
      <c r="J13853" s="760"/>
      <c r="K13853" s="760"/>
    </row>
    <row r="13854" spans="1:11">
      <c r="A13854" s="760"/>
      <c r="B13854" s="760"/>
      <c r="C13854" s="760"/>
      <c r="D13854" s="760"/>
      <c r="E13854" s="760"/>
      <c r="F13854" s="760"/>
      <c r="G13854" s="760"/>
      <c r="H13854" s="760"/>
      <c r="I13854" s="760"/>
      <c r="J13854" s="760"/>
      <c r="K13854" s="760"/>
    </row>
    <row r="13855" spans="1:11">
      <c r="A13855" s="760"/>
      <c r="B13855" s="760"/>
      <c r="C13855" s="760"/>
      <c r="D13855" s="760"/>
      <c r="E13855" s="760"/>
      <c r="F13855" s="760"/>
      <c r="G13855" s="760"/>
      <c r="H13855" s="760"/>
      <c r="I13855" s="760"/>
      <c r="J13855" s="760"/>
      <c r="K13855" s="760"/>
    </row>
    <row r="13856" spans="1:11">
      <c r="A13856" s="760"/>
      <c r="B13856" s="760"/>
      <c r="C13856" s="760"/>
      <c r="D13856" s="760"/>
      <c r="E13856" s="760"/>
      <c r="F13856" s="760"/>
      <c r="G13856" s="760"/>
      <c r="H13856" s="760"/>
      <c r="I13856" s="760"/>
      <c r="J13856" s="760"/>
      <c r="K13856" s="760"/>
    </row>
    <row r="13857" spans="1:11">
      <c r="A13857" s="760"/>
      <c r="B13857" s="760"/>
      <c r="C13857" s="760"/>
      <c r="D13857" s="760"/>
      <c r="E13857" s="760"/>
      <c r="F13857" s="760"/>
      <c r="G13857" s="760"/>
      <c r="H13857" s="760"/>
      <c r="I13857" s="760"/>
      <c r="J13857" s="760"/>
      <c r="K13857" s="760"/>
    </row>
    <row r="13858" spans="1:11">
      <c r="A13858" s="760"/>
      <c r="B13858" s="760"/>
      <c r="C13858" s="760"/>
      <c r="D13858" s="760"/>
      <c r="E13858" s="760"/>
      <c r="F13858" s="760"/>
      <c r="G13858" s="760"/>
      <c r="H13858" s="760"/>
      <c r="I13858" s="760"/>
      <c r="J13858" s="760"/>
      <c r="K13858" s="760"/>
    </row>
    <row r="13859" spans="1:11">
      <c r="A13859" s="760"/>
      <c r="B13859" s="760"/>
      <c r="C13859" s="760"/>
      <c r="D13859" s="760"/>
      <c r="E13859" s="760"/>
      <c r="F13859" s="760"/>
      <c r="G13859" s="760"/>
      <c r="H13859" s="760"/>
      <c r="I13859" s="760"/>
      <c r="J13859" s="760"/>
      <c r="K13859" s="760"/>
    </row>
    <row r="13860" spans="1:11">
      <c r="A13860" s="760"/>
      <c r="B13860" s="760"/>
      <c r="C13860" s="760"/>
      <c r="D13860" s="760"/>
      <c r="E13860" s="760"/>
      <c r="F13860" s="760"/>
      <c r="G13860" s="760"/>
      <c r="H13860" s="760"/>
      <c r="I13860" s="760"/>
      <c r="J13860" s="760"/>
      <c r="K13860" s="760"/>
    </row>
    <row r="13861" spans="1:11">
      <c r="A13861" s="760"/>
      <c r="B13861" s="760"/>
      <c r="C13861" s="760"/>
      <c r="D13861" s="760"/>
      <c r="E13861" s="760"/>
      <c r="F13861" s="760"/>
      <c r="G13861" s="760"/>
      <c r="H13861" s="760"/>
      <c r="I13861" s="760"/>
      <c r="J13861" s="760"/>
      <c r="K13861" s="760"/>
    </row>
    <row r="13862" spans="1:11">
      <c r="A13862" s="760"/>
      <c r="B13862" s="760"/>
      <c r="C13862" s="760"/>
      <c r="D13862" s="760"/>
      <c r="E13862" s="760"/>
      <c r="F13862" s="760"/>
      <c r="G13862" s="760"/>
      <c r="H13862" s="760"/>
      <c r="I13862" s="760"/>
      <c r="J13862" s="760"/>
      <c r="K13862" s="760"/>
    </row>
    <row r="13863" spans="1:11">
      <c r="A13863" s="760"/>
      <c r="B13863" s="760"/>
      <c r="C13863" s="760"/>
      <c r="D13863" s="760"/>
      <c r="E13863" s="760"/>
      <c r="F13863" s="760"/>
      <c r="G13863" s="760"/>
      <c r="H13863" s="760"/>
      <c r="I13863" s="760"/>
      <c r="J13863" s="760"/>
      <c r="K13863" s="760"/>
    </row>
    <row r="13864" spans="1:11">
      <c r="A13864" s="760"/>
      <c r="B13864" s="760"/>
      <c r="C13864" s="760"/>
      <c r="D13864" s="760"/>
      <c r="E13864" s="760"/>
      <c r="F13864" s="760"/>
      <c r="G13864" s="760"/>
      <c r="H13864" s="760"/>
      <c r="I13864" s="760"/>
      <c r="J13864" s="760"/>
      <c r="K13864" s="760"/>
    </row>
    <row r="13865" spans="1:11">
      <c r="A13865" s="760"/>
      <c r="B13865" s="760"/>
      <c r="C13865" s="760"/>
      <c r="D13865" s="760"/>
      <c r="E13865" s="760"/>
      <c r="F13865" s="760"/>
      <c r="G13865" s="760"/>
      <c r="H13865" s="760"/>
      <c r="I13865" s="760"/>
      <c r="J13865" s="760"/>
      <c r="K13865" s="760"/>
    </row>
    <row r="13866" spans="1:11">
      <c r="A13866" s="760"/>
      <c r="B13866" s="760"/>
      <c r="C13866" s="760"/>
      <c r="D13866" s="760"/>
      <c r="E13866" s="760"/>
      <c r="F13866" s="760"/>
      <c r="G13866" s="760"/>
      <c r="H13866" s="760"/>
      <c r="I13866" s="760"/>
      <c r="J13866" s="760"/>
      <c r="K13866" s="760"/>
    </row>
    <row r="13867" spans="1:11">
      <c r="A13867" s="760"/>
      <c r="B13867" s="760"/>
      <c r="C13867" s="760"/>
      <c r="D13867" s="760"/>
      <c r="E13867" s="760"/>
      <c r="F13867" s="760"/>
      <c r="G13867" s="760"/>
      <c r="H13867" s="760"/>
      <c r="I13867" s="760"/>
      <c r="J13867" s="760"/>
      <c r="K13867" s="760"/>
    </row>
    <row r="13868" spans="1:11">
      <c r="A13868" s="760"/>
      <c r="B13868" s="760"/>
      <c r="C13868" s="760"/>
      <c r="D13868" s="760"/>
      <c r="E13868" s="760"/>
      <c r="F13868" s="760"/>
      <c r="G13868" s="760"/>
      <c r="H13868" s="760"/>
      <c r="I13868" s="760"/>
      <c r="J13868" s="760"/>
      <c r="K13868" s="760"/>
    </row>
    <row r="13869" spans="1:11">
      <c r="A13869" s="760"/>
      <c r="B13869" s="760"/>
      <c r="C13869" s="760"/>
      <c r="D13869" s="760"/>
      <c r="E13869" s="760"/>
      <c r="F13869" s="760"/>
      <c r="G13869" s="760"/>
      <c r="H13869" s="760"/>
      <c r="I13869" s="760"/>
      <c r="J13869" s="760"/>
      <c r="K13869" s="760"/>
    </row>
    <row r="13870" spans="1:11">
      <c r="A13870" s="760"/>
      <c r="B13870" s="760"/>
      <c r="C13870" s="760"/>
      <c r="D13870" s="760"/>
      <c r="E13870" s="760"/>
      <c r="F13870" s="760"/>
      <c r="G13870" s="760"/>
      <c r="H13870" s="760"/>
      <c r="I13870" s="760"/>
      <c r="J13870" s="760"/>
      <c r="K13870" s="760"/>
    </row>
    <row r="13871" spans="1:11">
      <c r="A13871" s="760"/>
      <c r="B13871" s="760"/>
      <c r="C13871" s="760"/>
      <c r="D13871" s="760"/>
      <c r="E13871" s="760"/>
      <c r="F13871" s="760"/>
      <c r="G13871" s="760"/>
      <c r="H13871" s="760"/>
      <c r="I13871" s="760"/>
      <c r="J13871" s="760"/>
      <c r="K13871" s="760"/>
    </row>
    <row r="13872" spans="1:11">
      <c r="A13872" s="760"/>
      <c r="B13872" s="760"/>
      <c r="C13872" s="760"/>
      <c r="D13872" s="760"/>
      <c r="E13872" s="760"/>
      <c r="F13872" s="760"/>
      <c r="G13872" s="760"/>
      <c r="H13872" s="760"/>
      <c r="I13872" s="760"/>
      <c r="J13872" s="760"/>
      <c r="K13872" s="760"/>
    </row>
    <row r="13873" spans="1:11">
      <c r="A13873" s="760"/>
      <c r="B13873" s="760"/>
      <c r="C13873" s="760"/>
      <c r="D13873" s="760"/>
      <c r="E13873" s="760"/>
      <c r="F13873" s="760"/>
      <c r="G13873" s="760"/>
      <c r="H13873" s="760"/>
      <c r="I13873" s="760"/>
      <c r="J13873" s="760"/>
      <c r="K13873" s="760"/>
    </row>
    <row r="13874" spans="1:11">
      <c r="A13874" s="760"/>
      <c r="B13874" s="760"/>
      <c r="C13874" s="760"/>
      <c r="D13874" s="760"/>
      <c r="E13874" s="760"/>
      <c r="F13874" s="760"/>
      <c r="G13874" s="760"/>
      <c r="H13874" s="760"/>
      <c r="I13874" s="760"/>
      <c r="J13874" s="760"/>
      <c r="K13874" s="760"/>
    </row>
    <row r="13875" spans="1:11">
      <c r="A13875" s="760"/>
      <c r="B13875" s="760"/>
      <c r="C13875" s="760"/>
      <c r="D13875" s="760"/>
      <c r="E13875" s="760"/>
      <c r="F13875" s="760"/>
      <c r="G13875" s="760"/>
      <c r="H13875" s="760"/>
      <c r="I13875" s="760"/>
      <c r="J13875" s="760"/>
      <c r="K13875" s="760"/>
    </row>
    <row r="13876" spans="1:11">
      <c r="A13876" s="760"/>
      <c r="B13876" s="760"/>
      <c r="C13876" s="760"/>
      <c r="D13876" s="760"/>
      <c r="E13876" s="760"/>
      <c r="F13876" s="760"/>
      <c r="G13876" s="760"/>
      <c r="H13876" s="760"/>
      <c r="I13876" s="760"/>
      <c r="J13876" s="760"/>
      <c r="K13876" s="760"/>
    </row>
    <row r="13877" spans="1:11">
      <c r="A13877" s="760"/>
      <c r="B13877" s="760"/>
      <c r="C13877" s="760"/>
      <c r="D13877" s="760"/>
      <c r="E13877" s="760"/>
      <c r="F13877" s="760"/>
      <c r="G13877" s="760"/>
      <c r="H13877" s="760"/>
      <c r="I13877" s="760"/>
      <c r="J13877" s="760"/>
      <c r="K13877" s="760"/>
    </row>
    <row r="13878" spans="1:11">
      <c r="A13878" s="760"/>
      <c r="B13878" s="760"/>
      <c r="C13878" s="760"/>
      <c r="D13878" s="760"/>
      <c r="E13878" s="760"/>
      <c r="F13878" s="760"/>
      <c r="G13878" s="760"/>
      <c r="H13878" s="760"/>
      <c r="I13878" s="760"/>
      <c r="J13878" s="760"/>
      <c r="K13878" s="760"/>
    </row>
    <row r="13879" spans="1:11">
      <c r="A13879" s="760"/>
      <c r="B13879" s="760"/>
      <c r="C13879" s="760"/>
      <c r="D13879" s="760"/>
      <c r="E13879" s="760"/>
      <c r="F13879" s="760"/>
      <c r="G13879" s="760"/>
      <c r="H13879" s="760"/>
      <c r="I13879" s="760"/>
      <c r="J13879" s="760"/>
      <c r="K13879" s="760"/>
    </row>
    <row r="13880" spans="1:11">
      <c r="A13880" s="760"/>
      <c r="B13880" s="760"/>
      <c r="C13880" s="760"/>
      <c r="D13880" s="760"/>
      <c r="E13880" s="760"/>
      <c r="F13880" s="760"/>
      <c r="G13880" s="760"/>
      <c r="H13880" s="760"/>
      <c r="I13880" s="760"/>
      <c r="J13880" s="760"/>
      <c r="K13880" s="760"/>
    </row>
    <row r="13881" spans="1:11">
      <c r="A13881" s="760"/>
      <c r="B13881" s="760"/>
      <c r="C13881" s="760"/>
      <c r="D13881" s="760"/>
      <c r="E13881" s="760"/>
      <c r="F13881" s="760"/>
      <c r="G13881" s="760"/>
      <c r="H13881" s="760"/>
      <c r="I13881" s="760"/>
      <c r="J13881" s="760"/>
      <c r="K13881" s="760"/>
    </row>
    <row r="13882" spans="1:11">
      <c r="A13882" s="760"/>
      <c r="B13882" s="760"/>
      <c r="C13882" s="760"/>
      <c r="D13882" s="760"/>
      <c r="E13882" s="760"/>
      <c r="F13882" s="760"/>
      <c r="G13882" s="760"/>
      <c r="H13882" s="760"/>
      <c r="I13882" s="760"/>
      <c r="J13882" s="760"/>
      <c r="K13882" s="760"/>
    </row>
    <row r="13883" spans="1:11">
      <c r="A13883" s="760"/>
      <c r="B13883" s="760"/>
      <c r="C13883" s="760"/>
      <c r="D13883" s="760"/>
      <c r="E13883" s="760"/>
      <c r="F13883" s="760"/>
      <c r="G13883" s="760"/>
      <c r="H13883" s="760"/>
      <c r="I13883" s="760"/>
      <c r="J13883" s="760"/>
      <c r="K13883" s="760"/>
    </row>
    <row r="13884" spans="1:11">
      <c r="A13884" s="760"/>
      <c r="B13884" s="760"/>
      <c r="C13884" s="760"/>
      <c r="D13884" s="760"/>
      <c r="E13884" s="760"/>
      <c r="F13884" s="760"/>
      <c r="G13884" s="760"/>
      <c r="H13884" s="760"/>
      <c r="I13884" s="760"/>
      <c r="J13884" s="760"/>
      <c r="K13884" s="760"/>
    </row>
    <row r="13885" spans="1:11">
      <c r="A13885" s="760"/>
      <c r="B13885" s="760"/>
      <c r="C13885" s="760"/>
      <c r="D13885" s="760"/>
      <c r="E13885" s="760"/>
      <c r="F13885" s="760"/>
      <c r="G13885" s="760"/>
      <c r="H13885" s="760"/>
      <c r="I13885" s="760"/>
      <c r="J13885" s="760"/>
      <c r="K13885" s="760"/>
    </row>
    <row r="13886" spans="1:11">
      <c r="A13886" s="760"/>
      <c r="B13886" s="760"/>
      <c r="C13886" s="760"/>
      <c r="D13886" s="760"/>
      <c r="E13886" s="760"/>
      <c r="F13886" s="760"/>
      <c r="G13886" s="760"/>
      <c r="H13886" s="760"/>
      <c r="I13886" s="760"/>
      <c r="J13886" s="760"/>
      <c r="K13886" s="760"/>
    </row>
    <row r="13887" spans="1:11">
      <c r="A13887" s="760"/>
      <c r="B13887" s="760"/>
      <c r="C13887" s="760"/>
      <c r="D13887" s="760"/>
      <c r="E13887" s="760"/>
      <c r="F13887" s="760"/>
      <c r="G13887" s="760"/>
      <c r="H13887" s="760"/>
      <c r="I13887" s="760"/>
      <c r="J13887" s="760"/>
      <c r="K13887" s="760"/>
    </row>
    <row r="13888" spans="1:11">
      <c r="A13888" s="760"/>
      <c r="B13888" s="760"/>
      <c r="C13888" s="760"/>
      <c r="D13888" s="760"/>
      <c r="E13888" s="760"/>
      <c r="F13888" s="760"/>
      <c r="G13888" s="760"/>
      <c r="H13888" s="760"/>
      <c r="I13888" s="760"/>
      <c r="J13888" s="760"/>
      <c r="K13888" s="760"/>
    </row>
    <row r="13889" spans="1:11">
      <c r="A13889" s="760"/>
      <c r="B13889" s="760"/>
      <c r="C13889" s="760"/>
      <c r="D13889" s="760"/>
      <c r="E13889" s="760"/>
      <c r="F13889" s="760"/>
      <c r="G13889" s="760"/>
      <c r="H13889" s="760"/>
      <c r="I13889" s="760"/>
      <c r="J13889" s="760"/>
      <c r="K13889" s="760"/>
    </row>
    <row r="13890" spans="1:11">
      <c r="A13890" s="760"/>
      <c r="B13890" s="760"/>
      <c r="C13890" s="760"/>
      <c r="D13890" s="760"/>
      <c r="E13890" s="760"/>
      <c r="F13890" s="760"/>
      <c r="G13890" s="760"/>
      <c r="H13890" s="760"/>
      <c r="I13890" s="760"/>
      <c r="J13890" s="760"/>
      <c r="K13890" s="760"/>
    </row>
    <row r="13891" spans="1:11">
      <c r="A13891" s="760"/>
      <c r="B13891" s="760"/>
      <c r="C13891" s="760"/>
      <c r="D13891" s="760"/>
      <c r="E13891" s="760"/>
      <c r="F13891" s="760"/>
      <c r="G13891" s="760"/>
      <c r="H13891" s="760"/>
      <c r="I13891" s="760"/>
      <c r="J13891" s="760"/>
      <c r="K13891" s="760"/>
    </row>
    <row r="13892" spans="1:11">
      <c r="A13892" s="760"/>
      <c r="B13892" s="760"/>
      <c r="C13892" s="760"/>
      <c r="D13892" s="760"/>
      <c r="E13892" s="760"/>
      <c r="F13892" s="760"/>
      <c r="G13892" s="760"/>
      <c r="H13892" s="760"/>
      <c r="I13892" s="760"/>
      <c r="J13892" s="760"/>
      <c r="K13892" s="760"/>
    </row>
    <row r="13893" spans="1:11">
      <c r="A13893" s="760"/>
      <c r="B13893" s="760"/>
      <c r="C13893" s="760"/>
      <c r="D13893" s="760"/>
      <c r="E13893" s="760"/>
      <c r="F13893" s="760"/>
      <c r="G13893" s="760"/>
      <c r="H13893" s="760"/>
      <c r="I13893" s="760"/>
      <c r="J13893" s="760"/>
      <c r="K13893" s="760"/>
    </row>
    <row r="13894" spans="1:11">
      <c r="A13894" s="760"/>
      <c r="B13894" s="760"/>
      <c r="C13894" s="760"/>
      <c r="D13894" s="760"/>
      <c r="E13894" s="760"/>
      <c r="F13894" s="760"/>
      <c r="G13894" s="760"/>
      <c r="H13894" s="760"/>
      <c r="I13894" s="760"/>
      <c r="J13894" s="760"/>
      <c r="K13894" s="760"/>
    </row>
    <row r="13895" spans="1:11">
      <c r="A13895" s="760"/>
      <c r="B13895" s="760"/>
      <c r="C13895" s="760"/>
      <c r="D13895" s="760"/>
      <c r="E13895" s="760"/>
      <c r="F13895" s="760"/>
      <c r="G13895" s="760"/>
      <c r="H13895" s="760"/>
      <c r="I13895" s="760"/>
      <c r="J13895" s="760"/>
      <c r="K13895" s="760"/>
    </row>
    <row r="13896" spans="1:11">
      <c r="A13896" s="760"/>
      <c r="B13896" s="760"/>
      <c r="C13896" s="760"/>
      <c r="D13896" s="760"/>
      <c r="E13896" s="760"/>
      <c r="F13896" s="760"/>
      <c r="G13896" s="760"/>
      <c r="H13896" s="760"/>
      <c r="I13896" s="760"/>
      <c r="J13896" s="760"/>
      <c r="K13896" s="760"/>
    </row>
    <row r="13897" spans="1:11">
      <c r="A13897" s="760"/>
      <c r="B13897" s="760"/>
      <c r="C13897" s="760"/>
      <c r="D13897" s="760"/>
      <c r="E13897" s="760"/>
      <c r="F13897" s="760"/>
      <c r="G13897" s="760"/>
      <c r="H13897" s="760"/>
      <c r="I13897" s="760"/>
      <c r="J13897" s="760"/>
      <c r="K13897" s="760"/>
    </row>
    <row r="13898" spans="1:11">
      <c r="A13898" s="760"/>
      <c r="B13898" s="760"/>
      <c r="C13898" s="760"/>
      <c r="D13898" s="760"/>
      <c r="E13898" s="760"/>
      <c r="F13898" s="760"/>
      <c r="G13898" s="760"/>
      <c r="H13898" s="760"/>
      <c r="I13898" s="760"/>
      <c r="J13898" s="760"/>
      <c r="K13898" s="760"/>
    </row>
    <row r="13899" spans="1:11">
      <c r="A13899" s="760"/>
      <c r="B13899" s="760"/>
      <c r="C13899" s="760"/>
      <c r="D13899" s="760"/>
      <c r="E13899" s="760"/>
      <c r="F13899" s="760"/>
      <c r="G13899" s="760"/>
      <c r="H13899" s="760"/>
      <c r="I13899" s="760"/>
      <c r="J13899" s="760"/>
      <c r="K13899" s="760"/>
    </row>
    <row r="13900" spans="1:11">
      <c r="A13900" s="760"/>
      <c r="B13900" s="760"/>
      <c r="C13900" s="760"/>
      <c r="D13900" s="760"/>
      <c r="E13900" s="760"/>
      <c r="F13900" s="760"/>
      <c r="G13900" s="760"/>
      <c r="H13900" s="760"/>
      <c r="I13900" s="760"/>
      <c r="J13900" s="760"/>
      <c r="K13900" s="760"/>
    </row>
    <row r="13901" spans="1:11">
      <c r="A13901" s="760"/>
      <c r="B13901" s="760"/>
      <c r="C13901" s="760"/>
      <c r="D13901" s="760"/>
      <c r="E13901" s="760"/>
      <c r="F13901" s="760"/>
      <c r="G13901" s="760"/>
      <c r="H13901" s="760"/>
      <c r="I13901" s="760"/>
      <c r="J13901" s="760"/>
      <c r="K13901" s="760"/>
    </row>
    <row r="13902" spans="1:11">
      <c r="A13902" s="760"/>
      <c r="B13902" s="760"/>
      <c r="C13902" s="760"/>
      <c r="D13902" s="760"/>
      <c r="E13902" s="760"/>
      <c r="F13902" s="760"/>
      <c r="G13902" s="760"/>
      <c r="H13902" s="760"/>
      <c r="I13902" s="760"/>
      <c r="J13902" s="760"/>
      <c r="K13902" s="760"/>
    </row>
    <row r="13903" spans="1:11">
      <c r="A13903" s="760"/>
      <c r="B13903" s="760"/>
      <c r="C13903" s="760"/>
      <c r="D13903" s="760"/>
      <c r="E13903" s="760"/>
      <c r="F13903" s="760"/>
      <c r="G13903" s="760"/>
      <c r="H13903" s="760"/>
      <c r="I13903" s="760"/>
      <c r="J13903" s="760"/>
      <c r="K13903" s="760"/>
    </row>
    <row r="13904" spans="1:11">
      <c r="A13904" s="760"/>
      <c r="B13904" s="760"/>
      <c r="C13904" s="760"/>
      <c r="D13904" s="760"/>
      <c r="E13904" s="760"/>
      <c r="F13904" s="760"/>
      <c r="G13904" s="760"/>
      <c r="H13904" s="760"/>
      <c r="I13904" s="760"/>
      <c r="J13904" s="760"/>
      <c r="K13904" s="760"/>
    </row>
    <row r="13905" spans="1:11">
      <c r="A13905" s="760"/>
      <c r="B13905" s="760"/>
      <c r="C13905" s="760"/>
      <c r="D13905" s="760"/>
      <c r="E13905" s="760"/>
      <c r="F13905" s="760"/>
      <c r="G13905" s="760"/>
      <c r="H13905" s="760"/>
      <c r="I13905" s="760"/>
      <c r="J13905" s="760"/>
      <c r="K13905" s="760"/>
    </row>
    <row r="13906" spans="1:11">
      <c r="A13906" s="760"/>
      <c r="B13906" s="760"/>
      <c r="C13906" s="760"/>
      <c r="D13906" s="760"/>
      <c r="E13906" s="760"/>
      <c r="F13906" s="760"/>
      <c r="G13906" s="760"/>
      <c r="H13906" s="760"/>
      <c r="I13906" s="760"/>
      <c r="J13906" s="760"/>
      <c r="K13906" s="760"/>
    </row>
    <row r="13907" spans="1:11">
      <c r="A13907" s="760"/>
      <c r="B13907" s="760"/>
      <c r="C13907" s="760"/>
      <c r="D13907" s="760"/>
      <c r="E13907" s="760"/>
      <c r="F13907" s="760"/>
      <c r="G13907" s="760"/>
      <c r="H13907" s="760"/>
      <c r="I13907" s="760"/>
      <c r="J13907" s="760"/>
      <c r="K13907" s="760"/>
    </row>
    <row r="13908" spans="1:11">
      <c r="A13908" s="760"/>
      <c r="B13908" s="760"/>
      <c r="C13908" s="760"/>
      <c r="D13908" s="760"/>
      <c r="E13908" s="760"/>
      <c r="F13908" s="760"/>
      <c r="G13908" s="760"/>
      <c r="H13908" s="760"/>
      <c r="I13908" s="760"/>
      <c r="J13908" s="760"/>
      <c r="K13908" s="760"/>
    </row>
    <row r="13909" spans="1:11">
      <c r="A13909" s="760"/>
      <c r="B13909" s="760"/>
      <c r="C13909" s="760"/>
      <c r="D13909" s="760"/>
      <c r="E13909" s="760"/>
      <c r="F13909" s="760"/>
      <c r="G13909" s="760"/>
      <c r="H13909" s="760"/>
      <c r="I13909" s="760"/>
      <c r="J13909" s="760"/>
      <c r="K13909" s="760"/>
    </row>
    <row r="13910" spans="1:11">
      <c r="A13910" s="760"/>
      <c r="B13910" s="760"/>
      <c r="C13910" s="760"/>
      <c r="D13910" s="760"/>
      <c r="E13910" s="760"/>
      <c r="F13910" s="760"/>
      <c r="G13910" s="760"/>
      <c r="H13910" s="760"/>
      <c r="I13910" s="760"/>
      <c r="J13910" s="760"/>
      <c r="K13910" s="760"/>
    </row>
    <row r="13911" spans="1:11">
      <c r="A13911" s="760"/>
      <c r="B13911" s="760"/>
      <c r="C13911" s="760"/>
      <c r="D13911" s="760"/>
      <c r="E13911" s="760"/>
      <c r="F13911" s="760"/>
      <c r="G13911" s="760"/>
      <c r="H13911" s="760"/>
      <c r="I13911" s="760"/>
      <c r="J13911" s="760"/>
      <c r="K13911" s="760"/>
    </row>
    <row r="13912" spans="1:11">
      <c r="A13912" s="760"/>
      <c r="B13912" s="760"/>
      <c r="C13912" s="760"/>
      <c r="D13912" s="760"/>
      <c r="E13912" s="760"/>
      <c r="F13912" s="760"/>
      <c r="G13912" s="760"/>
      <c r="H13912" s="760"/>
      <c r="I13912" s="760"/>
      <c r="J13912" s="760"/>
      <c r="K13912" s="760"/>
    </row>
    <row r="13913" spans="1:11">
      <c r="A13913" s="760"/>
      <c r="B13913" s="760"/>
      <c r="C13913" s="760"/>
      <c r="D13913" s="760"/>
      <c r="E13913" s="760"/>
      <c r="F13913" s="760"/>
      <c r="G13913" s="760"/>
      <c r="H13913" s="760"/>
      <c r="I13913" s="760"/>
      <c r="J13913" s="760"/>
      <c r="K13913" s="760"/>
    </row>
    <row r="13914" spans="1:11">
      <c r="A13914" s="760"/>
      <c r="B13914" s="760"/>
      <c r="C13914" s="760"/>
      <c r="D13914" s="760"/>
      <c r="E13914" s="760"/>
      <c r="F13914" s="760"/>
      <c r="G13914" s="760"/>
      <c r="H13914" s="760"/>
      <c r="I13914" s="760"/>
      <c r="J13914" s="760"/>
      <c r="K13914" s="760"/>
    </row>
    <row r="13915" spans="1:11">
      <c r="A13915" s="760"/>
      <c r="B13915" s="760"/>
      <c r="C13915" s="760"/>
      <c r="D13915" s="760"/>
      <c r="E13915" s="760"/>
      <c r="F13915" s="760"/>
      <c r="G13915" s="760"/>
      <c r="H13915" s="760"/>
      <c r="I13915" s="760"/>
      <c r="J13915" s="760"/>
      <c r="K13915" s="760"/>
    </row>
    <row r="13916" spans="1:11">
      <c r="A13916" s="760"/>
      <c r="B13916" s="760"/>
      <c r="C13916" s="760"/>
      <c r="D13916" s="760"/>
      <c r="E13916" s="760"/>
      <c r="F13916" s="760"/>
      <c r="G13916" s="760"/>
      <c r="H13916" s="760"/>
      <c r="I13916" s="760"/>
      <c r="J13916" s="760"/>
      <c r="K13916" s="760"/>
    </row>
    <row r="13917" spans="1:11">
      <c r="A13917" s="760"/>
      <c r="B13917" s="760"/>
      <c r="C13917" s="760"/>
      <c r="D13917" s="760"/>
      <c r="E13917" s="760"/>
      <c r="F13917" s="760"/>
      <c r="G13917" s="760"/>
      <c r="H13917" s="760"/>
      <c r="I13917" s="760"/>
      <c r="J13917" s="760"/>
      <c r="K13917" s="760"/>
    </row>
    <row r="13918" spans="1:11">
      <c r="A13918" s="760"/>
      <c r="B13918" s="760"/>
      <c r="C13918" s="760"/>
      <c r="D13918" s="760"/>
      <c r="E13918" s="760"/>
      <c r="F13918" s="760"/>
      <c r="G13918" s="760"/>
      <c r="H13918" s="760"/>
      <c r="I13918" s="760"/>
      <c r="J13918" s="760"/>
      <c r="K13918" s="760"/>
    </row>
    <row r="13919" spans="1:11">
      <c r="A13919" s="760"/>
      <c r="B13919" s="760"/>
      <c r="C13919" s="760"/>
      <c r="D13919" s="760"/>
      <c r="E13919" s="760"/>
      <c r="F13919" s="760"/>
      <c r="G13919" s="760"/>
      <c r="H13919" s="760"/>
      <c r="I13919" s="760"/>
      <c r="J13919" s="760"/>
      <c r="K13919" s="760"/>
    </row>
    <row r="13920" spans="1:11">
      <c r="A13920" s="760"/>
      <c r="B13920" s="760"/>
      <c r="C13920" s="760"/>
      <c r="D13920" s="760"/>
      <c r="E13920" s="760"/>
      <c r="F13920" s="760"/>
      <c r="G13920" s="760"/>
      <c r="H13920" s="760"/>
      <c r="I13920" s="760"/>
      <c r="J13920" s="760"/>
      <c r="K13920" s="760"/>
    </row>
    <row r="13921" spans="1:11">
      <c r="A13921" s="760"/>
      <c r="B13921" s="760"/>
      <c r="C13921" s="760"/>
      <c r="D13921" s="760"/>
      <c r="E13921" s="760"/>
      <c r="F13921" s="760"/>
      <c r="G13921" s="760"/>
      <c r="H13921" s="760"/>
      <c r="I13921" s="760"/>
      <c r="J13921" s="760"/>
      <c r="K13921" s="760"/>
    </row>
    <row r="13922" spans="1:11">
      <c r="A13922" s="760"/>
      <c r="B13922" s="760"/>
      <c r="C13922" s="760"/>
      <c r="D13922" s="760"/>
      <c r="E13922" s="760"/>
      <c r="F13922" s="760"/>
      <c r="G13922" s="760"/>
      <c r="H13922" s="760"/>
      <c r="I13922" s="760"/>
      <c r="J13922" s="760"/>
      <c r="K13922" s="760"/>
    </row>
    <row r="13923" spans="1:11">
      <c r="A13923" s="760"/>
      <c r="B13923" s="760"/>
      <c r="C13923" s="760"/>
      <c r="D13923" s="760"/>
      <c r="E13923" s="760"/>
      <c r="F13923" s="760"/>
      <c r="G13923" s="760"/>
      <c r="H13923" s="760"/>
      <c r="I13923" s="760"/>
      <c r="J13923" s="760"/>
      <c r="K13923" s="760"/>
    </row>
    <row r="13924" spans="1:11">
      <c r="A13924" s="760"/>
      <c r="B13924" s="760"/>
      <c r="C13924" s="760"/>
      <c r="D13924" s="760"/>
      <c r="E13924" s="760"/>
      <c r="F13924" s="760"/>
      <c r="G13924" s="760"/>
      <c r="H13924" s="760"/>
      <c r="I13924" s="760"/>
      <c r="J13924" s="760"/>
      <c r="K13924" s="760"/>
    </row>
    <row r="13925" spans="1:11">
      <c r="A13925" s="760"/>
      <c r="B13925" s="760"/>
      <c r="C13925" s="760"/>
      <c r="D13925" s="760"/>
      <c r="E13925" s="760"/>
      <c r="F13925" s="760"/>
      <c r="G13925" s="760"/>
      <c r="H13925" s="760"/>
      <c r="I13925" s="760"/>
      <c r="J13925" s="760"/>
      <c r="K13925" s="760"/>
    </row>
    <row r="13926" spans="1:11">
      <c r="A13926" s="760"/>
      <c r="B13926" s="760"/>
      <c r="C13926" s="760"/>
      <c r="D13926" s="760"/>
      <c r="E13926" s="760"/>
      <c r="F13926" s="760"/>
      <c r="G13926" s="760"/>
      <c r="H13926" s="760"/>
      <c r="I13926" s="760"/>
      <c r="J13926" s="760"/>
      <c r="K13926" s="760"/>
    </row>
    <row r="13927" spans="1:11">
      <c r="A13927" s="760"/>
      <c r="B13927" s="760"/>
      <c r="C13927" s="760"/>
      <c r="D13927" s="760"/>
      <c r="E13927" s="760"/>
      <c r="F13927" s="760"/>
      <c r="G13927" s="760"/>
      <c r="H13927" s="760"/>
      <c r="I13927" s="760"/>
      <c r="J13927" s="760"/>
      <c r="K13927" s="760"/>
    </row>
    <row r="13928" spans="1:11">
      <c r="A13928" s="760"/>
      <c r="B13928" s="760"/>
      <c r="C13928" s="760"/>
      <c r="D13928" s="760"/>
      <c r="E13928" s="760"/>
      <c r="F13928" s="760"/>
      <c r="G13928" s="760"/>
      <c r="H13928" s="760"/>
      <c r="I13928" s="760"/>
      <c r="J13928" s="760"/>
      <c r="K13928" s="760"/>
    </row>
    <row r="13929" spans="1:11">
      <c r="A13929" s="760"/>
      <c r="B13929" s="760"/>
      <c r="C13929" s="760"/>
      <c r="D13929" s="760"/>
      <c r="E13929" s="760"/>
      <c r="F13929" s="760"/>
      <c r="G13929" s="760"/>
      <c r="H13929" s="760"/>
      <c r="I13929" s="760"/>
      <c r="J13929" s="760"/>
      <c r="K13929" s="760"/>
    </row>
    <row r="13930" spans="1:11">
      <c r="A13930" s="760"/>
      <c r="B13930" s="760"/>
      <c r="C13930" s="760"/>
      <c r="D13930" s="760"/>
      <c r="E13930" s="760"/>
      <c r="F13930" s="760"/>
      <c r="G13930" s="760"/>
      <c r="H13930" s="760"/>
      <c r="I13930" s="760"/>
      <c r="J13930" s="760"/>
      <c r="K13930" s="760"/>
    </row>
    <row r="13931" spans="1:11">
      <c r="A13931" s="760"/>
      <c r="B13931" s="760"/>
      <c r="C13931" s="760"/>
      <c r="D13931" s="760"/>
      <c r="E13931" s="760"/>
      <c r="F13931" s="760"/>
      <c r="G13931" s="760"/>
      <c r="H13931" s="760"/>
      <c r="I13931" s="760"/>
      <c r="J13931" s="760"/>
      <c r="K13931" s="760"/>
    </row>
    <row r="13932" spans="1:11">
      <c r="A13932" s="760"/>
      <c r="B13932" s="760"/>
      <c r="C13932" s="760"/>
      <c r="D13932" s="760"/>
      <c r="E13932" s="760"/>
      <c r="F13932" s="760"/>
      <c r="G13932" s="760"/>
      <c r="H13932" s="760"/>
      <c r="I13932" s="760"/>
      <c r="J13932" s="760"/>
      <c r="K13932" s="760"/>
    </row>
    <row r="13933" spans="1:11">
      <c r="A13933" s="760"/>
      <c r="B13933" s="760"/>
      <c r="C13933" s="760"/>
      <c r="D13933" s="760"/>
      <c r="E13933" s="760"/>
      <c r="F13933" s="760"/>
      <c r="G13933" s="760"/>
      <c r="H13933" s="760"/>
      <c r="I13933" s="760"/>
      <c r="J13933" s="760"/>
      <c r="K13933" s="760"/>
    </row>
    <row r="13934" spans="1:11">
      <c r="A13934" s="760"/>
      <c r="B13934" s="760"/>
      <c r="C13934" s="760"/>
      <c r="D13934" s="760"/>
      <c r="E13934" s="760"/>
      <c r="F13934" s="760"/>
      <c r="G13934" s="760"/>
      <c r="H13934" s="760"/>
      <c r="I13934" s="760"/>
      <c r="J13934" s="760"/>
      <c r="K13934" s="760"/>
    </row>
    <row r="13935" spans="1:11">
      <c r="A13935" s="760"/>
      <c r="B13935" s="760"/>
      <c r="C13935" s="760"/>
      <c r="D13935" s="760"/>
      <c r="E13935" s="760"/>
      <c r="F13935" s="760"/>
      <c r="G13935" s="760"/>
      <c r="H13935" s="760"/>
      <c r="I13935" s="760"/>
      <c r="J13935" s="760"/>
      <c r="K13935" s="760"/>
    </row>
    <row r="13936" spans="1:11">
      <c r="A13936" s="760"/>
      <c r="B13936" s="760"/>
      <c r="C13936" s="760"/>
      <c r="D13936" s="760"/>
      <c r="E13936" s="760"/>
      <c r="F13936" s="760"/>
      <c r="G13936" s="760"/>
      <c r="H13936" s="760"/>
      <c r="I13936" s="760"/>
      <c r="J13936" s="760"/>
      <c r="K13936" s="760"/>
    </row>
    <row r="13937" spans="1:11">
      <c r="A13937" s="760"/>
      <c r="B13937" s="760"/>
      <c r="C13937" s="760"/>
      <c r="D13937" s="760"/>
      <c r="E13937" s="760"/>
      <c r="F13937" s="760"/>
      <c r="G13937" s="760"/>
      <c r="H13937" s="760"/>
      <c r="I13937" s="760"/>
      <c r="J13937" s="760"/>
      <c r="K13937" s="760"/>
    </row>
    <row r="13938" spans="1:11">
      <c r="A13938" s="760"/>
      <c r="B13938" s="760"/>
      <c r="C13938" s="760"/>
      <c r="D13938" s="760"/>
      <c r="E13938" s="760"/>
      <c r="F13938" s="760"/>
      <c r="G13938" s="760"/>
      <c r="H13938" s="760"/>
      <c r="I13938" s="760"/>
      <c r="J13938" s="760"/>
      <c r="K13938" s="760"/>
    </row>
    <row r="13939" spans="1:11">
      <c r="A13939" s="760"/>
      <c r="B13939" s="760"/>
      <c r="C13939" s="760"/>
      <c r="D13939" s="760"/>
      <c r="E13939" s="760"/>
      <c r="F13939" s="760"/>
      <c r="G13939" s="760"/>
      <c r="H13939" s="760"/>
      <c r="I13939" s="760"/>
      <c r="J13939" s="760"/>
      <c r="K13939" s="760"/>
    </row>
    <row r="13940" spans="1:11">
      <c r="A13940" s="760"/>
      <c r="B13940" s="760"/>
      <c r="C13940" s="760"/>
      <c r="D13940" s="760"/>
      <c r="E13940" s="760"/>
      <c r="F13940" s="760"/>
      <c r="G13940" s="760"/>
      <c r="H13940" s="760"/>
      <c r="I13940" s="760"/>
      <c r="J13940" s="760"/>
      <c r="K13940" s="760"/>
    </row>
    <row r="13941" spans="1:11">
      <c r="A13941" s="760"/>
      <c r="B13941" s="760"/>
      <c r="C13941" s="760"/>
      <c r="D13941" s="760"/>
      <c r="E13941" s="760"/>
      <c r="F13941" s="760"/>
      <c r="G13941" s="760"/>
      <c r="H13941" s="760"/>
      <c r="I13941" s="760"/>
      <c r="J13941" s="760"/>
      <c r="K13941" s="760"/>
    </row>
    <row r="13942" spans="1:11">
      <c r="A13942" s="760"/>
      <c r="B13942" s="760"/>
      <c r="C13942" s="760"/>
      <c r="D13942" s="760"/>
      <c r="E13942" s="760"/>
      <c r="F13942" s="760"/>
      <c r="G13942" s="760"/>
      <c r="H13942" s="760"/>
      <c r="I13942" s="760"/>
      <c r="J13942" s="760"/>
      <c r="K13942" s="760"/>
    </row>
    <row r="13943" spans="1:11">
      <c r="A13943" s="760"/>
      <c r="B13943" s="760"/>
      <c r="C13943" s="760"/>
      <c r="D13943" s="760"/>
      <c r="E13943" s="760"/>
      <c r="F13943" s="760"/>
      <c r="G13943" s="760"/>
      <c r="H13943" s="760"/>
      <c r="I13943" s="760"/>
      <c r="J13943" s="760"/>
      <c r="K13943" s="760"/>
    </row>
    <row r="13944" spans="1:11">
      <c r="A13944" s="760"/>
      <c r="B13944" s="760"/>
      <c r="C13944" s="760"/>
      <c r="D13944" s="760"/>
      <c r="E13944" s="760"/>
      <c r="F13944" s="760"/>
      <c r="G13944" s="760"/>
      <c r="H13944" s="760"/>
      <c r="I13944" s="760"/>
      <c r="J13944" s="760"/>
      <c r="K13944" s="760"/>
    </row>
    <row r="13945" spans="1:11">
      <c r="A13945" s="760"/>
      <c r="B13945" s="760"/>
      <c r="C13945" s="760"/>
      <c r="D13945" s="760"/>
      <c r="E13945" s="760"/>
      <c r="F13945" s="760"/>
      <c r="G13945" s="760"/>
      <c r="H13945" s="760"/>
      <c r="I13945" s="760"/>
      <c r="J13945" s="760"/>
      <c r="K13945" s="760"/>
    </row>
    <row r="13946" spans="1:11">
      <c r="A13946" s="760"/>
      <c r="B13946" s="760"/>
      <c r="C13946" s="760"/>
      <c r="D13946" s="760"/>
      <c r="E13946" s="760"/>
      <c r="F13946" s="760"/>
      <c r="G13946" s="760"/>
      <c r="H13946" s="760"/>
      <c r="I13946" s="760"/>
      <c r="J13946" s="760"/>
      <c r="K13946" s="760"/>
    </row>
    <row r="13947" spans="1:11">
      <c r="A13947" s="760"/>
      <c r="B13947" s="760"/>
      <c r="C13947" s="760"/>
      <c r="D13947" s="760"/>
      <c r="E13947" s="760"/>
      <c r="F13947" s="760"/>
      <c r="G13947" s="760"/>
      <c r="H13947" s="760"/>
      <c r="I13947" s="760"/>
      <c r="J13947" s="760"/>
      <c r="K13947" s="760"/>
    </row>
    <row r="13948" spans="1:11">
      <c r="A13948" s="760"/>
      <c r="B13948" s="760"/>
      <c r="C13948" s="760"/>
      <c r="D13948" s="760"/>
      <c r="E13948" s="760"/>
      <c r="F13948" s="760"/>
      <c r="G13948" s="760"/>
      <c r="H13948" s="760"/>
      <c r="I13948" s="760"/>
      <c r="J13948" s="760"/>
      <c r="K13948" s="760"/>
    </row>
    <row r="13949" spans="1:11">
      <c r="A13949" s="760"/>
      <c r="B13949" s="760"/>
      <c r="C13949" s="760"/>
      <c r="D13949" s="760"/>
      <c r="E13949" s="760"/>
      <c r="F13949" s="760"/>
      <c r="G13949" s="760"/>
      <c r="H13949" s="760"/>
      <c r="I13949" s="760"/>
      <c r="J13949" s="760"/>
      <c r="K13949" s="760"/>
    </row>
    <row r="13950" spans="1:11">
      <c r="A13950" s="760"/>
      <c r="B13950" s="760"/>
      <c r="C13950" s="760"/>
      <c r="D13950" s="760"/>
      <c r="E13950" s="760"/>
      <c r="F13950" s="760"/>
      <c r="G13950" s="760"/>
      <c r="H13950" s="760"/>
      <c r="I13950" s="760"/>
      <c r="J13950" s="760"/>
      <c r="K13950" s="760"/>
    </row>
    <row r="13951" spans="1:11">
      <c r="A13951" s="760"/>
      <c r="B13951" s="760"/>
      <c r="C13951" s="760"/>
      <c r="D13951" s="760"/>
      <c r="E13951" s="760"/>
      <c r="F13951" s="760"/>
      <c r="G13951" s="760"/>
      <c r="H13951" s="760"/>
      <c r="I13951" s="760"/>
      <c r="J13951" s="760"/>
      <c r="K13951" s="760"/>
    </row>
    <row r="13952" spans="1:11">
      <c r="A13952" s="760"/>
      <c r="B13952" s="760"/>
      <c r="C13952" s="760"/>
      <c r="D13952" s="760"/>
      <c r="E13952" s="760"/>
      <c r="F13952" s="760"/>
      <c r="G13952" s="760"/>
      <c r="H13952" s="760"/>
      <c r="I13952" s="760"/>
      <c r="J13952" s="760"/>
      <c r="K13952" s="760"/>
    </row>
    <row r="13953" spans="1:11">
      <c r="A13953" s="760"/>
      <c r="B13953" s="760"/>
      <c r="C13953" s="760"/>
      <c r="D13953" s="760"/>
      <c r="E13953" s="760"/>
      <c r="F13953" s="760"/>
      <c r="G13953" s="760"/>
      <c r="H13953" s="760"/>
      <c r="I13953" s="760"/>
      <c r="J13953" s="760"/>
      <c r="K13953" s="760"/>
    </row>
    <row r="13954" spans="1:11">
      <c r="A13954" s="760"/>
      <c r="B13954" s="760"/>
      <c r="C13954" s="760"/>
      <c r="D13954" s="760"/>
      <c r="E13954" s="760"/>
      <c r="F13954" s="760"/>
      <c r="G13954" s="760"/>
      <c r="H13954" s="760"/>
      <c r="I13954" s="760"/>
      <c r="J13954" s="760"/>
      <c r="K13954" s="760"/>
    </row>
    <row r="13955" spans="1:11">
      <c r="A13955" s="760"/>
      <c r="B13955" s="760"/>
      <c r="C13955" s="760"/>
      <c r="D13955" s="760"/>
      <c r="E13955" s="760"/>
      <c r="F13955" s="760"/>
      <c r="G13955" s="760"/>
      <c r="H13955" s="760"/>
      <c r="I13955" s="760"/>
      <c r="J13955" s="760"/>
      <c r="K13955" s="760"/>
    </row>
    <row r="13956" spans="1:11">
      <c r="A13956" s="760"/>
      <c r="B13956" s="760"/>
      <c r="C13956" s="760"/>
      <c r="D13956" s="760"/>
      <c r="E13956" s="760"/>
      <c r="F13956" s="760"/>
      <c r="G13956" s="760"/>
      <c r="H13956" s="760"/>
      <c r="I13956" s="760"/>
      <c r="J13956" s="760"/>
      <c r="K13956" s="760"/>
    </row>
    <row r="13957" spans="1:11">
      <c r="A13957" s="760"/>
      <c r="B13957" s="760"/>
      <c r="C13957" s="760"/>
      <c r="D13957" s="760"/>
      <c r="E13957" s="760"/>
      <c r="F13957" s="760"/>
      <c r="G13957" s="760"/>
      <c r="H13957" s="760"/>
      <c r="I13957" s="760"/>
      <c r="J13957" s="760"/>
      <c r="K13957" s="760"/>
    </row>
    <row r="13958" spans="1:11">
      <c r="A13958" s="760"/>
      <c r="B13958" s="760"/>
      <c r="C13958" s="760"/>
      <c r="D13958" s="760"/>
      <c r="E13958" s="760"/>
      <c r="F13958" s="760"/>
      <c r="G13958" s="760"/>
      <c r="H13958" s="760"/>
      <c r="I13958" s="760"/>
      <c r="J13958" s="760"/>
      <c r="K13958" s="760"/>
    </row>
    <row r="13959" spans="1:11">
      <c r="A13959" s="760"/>
      <c r="B13959" s="760"/>
      <c r="C13959" s="760"/>
      <c r="D13959" s="760"/>
      <c r="E13959" s="760"/>
      <c r="F13959" s="760"/>
      <c r="G13959" s="760"/>
      <c r="H13959" s="760"/>
      <c r="I13959" s="760"/>
      <c r="J13959" s="760"/>
      <c r="K13959" s="760"/>
    </row>
    <row r="13960" spans="1:11">
      <c r="A13960" s="760"/>
      <c r="B13960" s="760"/>
      <c r="C13960" s="760"/>
      <c r="D13960" s="760"/>
      <c r="E13960" s="760"/>
      <c r="F13960" s="760"/>
      <c r="G13960" s="760"/>
      <c r="H13960" s="760"/>
      <c r="I13960" s="760"/>
      <c r="J13960" s="760"/>
      <c r="K13960" s="760"/>
    </row>
    <row r="13961" spans="1:11">
      <c r="A13961" s="760"/>
      <c r="B13961" s="760"/>
      <c r="C13961" s="760"/>
      <c r="D13961" s="760"/>
      <c r="E13961" s="760"/>
      <c r="F13961" s="760"/>
      <c r="G13961" s="760"/>
      <c r="H13961" s="760"/>
      <c r="I13961" s="760"/>
      <c r="J13961" s="760"/>
      <c r="K13961" s="760"/>
    </row>
    <row r="13962" spans="1:11">
      <c r="A13962" s="760"/>
      <c r="B13962" s="760"/>
      <c r="C13962" s="760"/>
      <c r="D13962" s="760"/>
      <c r="E13962" s="760"/>
      <c r="F13962" s="760"/>
      <c r="G13962" s="760"/>
      <c r="H13962" s="760"/>
      <c r="I13962" s="760"/>
      <c r="J13962" s="760"/>
      <c r="K13962" s="760"/>
    </row>
    <row r="13963" spans="1:11">
      <c r="A13963" s="760"/>
      <c r="B13963" s="760"/>
      <c r="C13963" s="760"/>
      <c r="D13963" s="760"/>
      <c r="E13963" s="760"/>
      <c r="F13963" s="760"/>
      <c r="G13963" s="760"/>
      <c r="H13963" s="760"/>
      <c r="I13963" s="760"/>
      <c r="J13963" s="760"/>
      <c r="K13963" s="760"/>
    </row>
    <row r="13964" spans="1:11">
      <c r="A13964" s="760"/>
      <c r="B13964" s="760"/>
      <c r="C13964" s="760"/>
      <c r="D13964" s="760"/>
      <c r="E13964" s="760"/>
      <c r="F13964" s="760"/>
      <c r="G13964" s="760"/>
      <c r="H13964" s="760"/>
      <c r="I13964" s="760"/>
      <c r="J13964" s="760"/>
      <c r="K13964" s="760"/>
    </row>
    <row r="13965" spans="1:11">
      <c r="A13965" s="760"/>
      <c r="B13965" s="760"/>
      <c r="C13965" s="760"/>
      <c r="D13965" s="760"/>
      <c r="E13965" s="760"/>
      <c r="F13965" s="760"/>
      <c r="G13965" s="760"/>
      <c r="H13965" s="760"/>
      <c r="I13965" s="760"/>
      <c r="J13965" s="760"/>
      <c r="K13965" s="760"/>
    </row>
    <row r="13966" spans="1:11">
      <c r="A13966" s="760"/>
      <c r="B13966" s="760"/>
      <c r="C13966" s="760"/>
      <c r="D13966" s="760"/>
      <c r="E13966" s="760"/>
      <c r="F13966" s="760"/>
      <c r="G13966" s="760"/>
      <c r="H13966" s="760"/>
      <c r="I13966" s="760"/>
      <c r="J13966" s="760"/>
      <c r="K13966" s="760"/>
    </row>
    <row r="13967" spans="1:11">
      <c r="A13967" s="760"/>
      <c r="B13967" s="760"/>
      <c r="C13967" s="760"/>
      <c r="D13967" s="760"/>
      <c r="E13967" s="760"/>
      <c r="F13967" s="760"/>
      <c r="G13967" s="760"/>
      <c r="H13967" s="760"/>
      <c r="I13967" s="760"/>
      <c r="J13967" s="760"/>
      <c r="K13967" s="760"/>
    </row>
    <row r="13968" spans="1:11">
      <c r="A13968" s="760"/>
      <c r="B13968" s="760"/>
      <c r="C13968" s="760"/>
      <c r="D13968" s="760"/>
      <c r="E13968" s="760"/>
      <c r="F13968" s="760"/>
      <c r="G13968" s="760"/>
      <c r="H13968" s="760"/>
      <c r="I13968" s="760"/>
      <c r="J13968" s="760"/>
      <c r="K13968" s="760"/>
    </row>
    <row r="13969" spans="1:11">
      <c r="A13969" s="760"/>
      <c r="B13969" s="760"/>
      <c r="C13969" s="760"/>
      <c r="D13969" s="760"/>
      <c r="E13969" s="760"/>
      <c r="F13969" s="760"/>
      <c r="G13969" s="760"/>
      <c r="H13969" s="760"/>
      <c r="I13969" s="760"/>
      <c r="J13969" s="760"/>
      <c r="K13969" s="760"/>
    </row>
    <row r="13970" spans="1:11">
      <c r="A13970" s="760"/>
      <c r="B13970" s="760"/>
      <c r="C13970" s="760"/>
      <c r="D13970" s="760"/>
      <c r="E13970" s="760"/>
      <c r="F13970" s="760"/>
      <c r="G13970" s="760"/>
      <c r="H13970" s="760"/>
      <c r="I13970" s="760"/>
      <c r="J13970" s="760"/>
      <c r="K13970" s="760"/>
    </row>
    <row r="13971" spans="1:11">
      <c r="A13971" s="760"/>
      <c r="B13971" s="760"/>
      <c r="C13971" s="760"/>
      <c r="D13971" s="760"/>
      <c r="E13971" s="760"/>
      <c r="F13971" s="760"/>
      <c r="G13971" s="760"/>
      <c r="H13971" s="760"/>
      <c r="I13971" s="760"/>
      <c r="J13971" s="760"/>
      <c r="K13971" s="760"/>
    </row>
    <row r="13972" spans="1:11">
      <c r="A13972" s="760"/>
      <c r="B13972" s="760"/>
      <c r="C13972" s="760"/>
      <c r="D13972" s="760"/>
      <c r="E13972" s="760"/>
      <c r="F13972" s="760"/>
      <c r="G13972" s="760"/>
      <c r="H13972" s="760"/>
      <c r="I13972" s="760"/>
      <c r="J13972" s="760"/>
      <c r="K13972" s="760"/>
    </row>
    <row r="13973" spans="1:11">
      <c r="A13973" s="760"/>
      <c r="B13973" s="760"/>
      <c r="C13973" s="760"/>
      <c r="D13973" s="760"/>
      <c r="E13973" s="760"/>
      <c r="F13973" s="760"/>
      <c r="G13973" s="760"/>
      <c r="H13973" s="760"/>
      <c r="I13973" s="760"/>
      <c r="J13973" s="760"/>
      <c r="K13973" s="760"/>
    </row>
    <row r="13974" spans="1:11">
      <c r="A13974" s="760"/>
      <c r="B13974" s="760"/>
      <c r="C13974" s="760"/>
      <c r="D13974" s="760"/>
      <c r="E13974" s="760"/>
      <c r="F13974" s="760"/>
      <c r="G13974" s="760"/>
      <c r="H13974" s="760"/>
      <c r="I13974" s="760"/>
      <c r="J13974" s="760"/>
      <c r="K13974" s="760"/>
    </row>
    <row r="13975" spans="1:11">
      <c r="A13975" s="760"/>
      <c r="B13975" s="760"/>
      <c r="C13975" s="760"/>
      <c r="D13975" s="760"/>
      <c r="E13975" s="760"/>
      <c r="F13975" s="760"/>
      <c r="G13975" s="760"/>
      <c r="H13975" s="760"/>
      <c r="I13975" s="760"/>
      <c r="J13975" s="760"/>
      <c r="K13975" s="760"/>
    </row>
    <row r="13976" spans="1:11">
      <c r="A13976" s="760"/>
      <c r="B13976" s="760"/>
      <c r="C13976" s="760"/>
      <c r="D13976" s="760"/>
      <c r="E13976" s="760"/>
      <c r="F13976" s="760"/>
      <c r="G13976" s="760"/>
      <c r="H13976" s="760"/>
      <c r="I13976" s="760"/>
      <c r="J13976" s="760"/>
      <c r="K13976" s="760"/>
    </row>
    <row r="13977" spans="1:11">
      <c r="A13977" s="760"/>
      <c r="B13977" s="760"/>
      <c r="C13977" s="760"/>
      <c r="D13977" s="760"/>
      <c r="E13977" s="760"/>
      <c r="F13977" s="760"/>
      <c r="G13977" s="760"/>
      <c r="H13977" s="760"/>
      <c r="I13977" s="760"/>
      <c r="J13977" s="760"/>
      <c r="K13977" s="760"/>
    </row>
    <row r="13978" spans="1:11">
      <c r="A13978" s="760"/>
      <c r="B13978" s="760"/>
      <c r="C13978" s="760"/>
      <c r="D13978" s="760"/>
      <c r="E13978" s="760"/>
      <c r="F13978" s="760"/>
      <c r="G13978" s="760"/>
      <c r="H13978" s="760"/>
      <c r="I13978" s="760"/>
      <c r="J13978" s="760"/>
      <c r="K13978" s="760"/>
    </row>
    <row r="13979" spans="1:11">
      <c r="A13979" s="760"/>
      <c r="B13979" s="760"/>
      <c r="C13979" s="760"/>
      <c r="D13979" s="760"/>
      <c r="E13979" s="760"/>
      <c r="F13979" s="760"/>
      <c r="G13979" s="760"/>
      <c r="H13979" s="760"/>
      <c r="I13979" s="760"/>
      <c r="J13979" s="760"/>
      <c r="K13979" s="760"/>
    </row>
    <row r="13980" spans="1:11">
      <c r="A13980" s="760"/>
      <c r="B13980" s="760"/>
      <c r="C13980" s="760"/>
      <c r="D13980" s="760"/>
      <c r="E13980" s="760"/>
      <c r="F13980" s="760"/>
      <c r="G13980" s="760"/>
      <c r="H13980" s="760"/>
      <c r="I13980" s="760"/>
      <c r="J13980" s="760"/>
      <c r="K13980" s="760"/>
    </row>
    <row r="13981" spans="1:11">
      <c r="A13981" s="760"/>
      <c r="B13981" s="760"/>
      <c r="C13981" s="760"/>
      <c r="D13981" s="760"/>
      <c r="E13981" s="760"/>
      <c r="F13981" s="760"/>
      <c r="G13981" s="760"/>
      <c r="H13981" s="760"/>
      <c r="I13981" s="760"/>
      <c r="J13981" s="760"/>
      <c r="K13981" s="760"/>
    </row>
    <row r="13982" spans="1:11">
      <c r="A13982" s="760"/>
      <c r="B13982" s="760"/>
      <c r="C13982" s="760"/>
      <c r="D13982" s="760"/>
      <c r="E13982" s="760"/>
      <c r="F13982" s="760"/>
      <c r="G13982" s="760"/>
      <c r="H13982" s="760"/>
      <c r="I13982" s="760"/>
      <c r="J13982" s="760"/>
      <c r="K13982" s="760"/>
    </row>
    <row r="13983" spans="1:11">
      <c r="A13983" s="760"/>
      <c r="B13983" s="760"/>
      <c r="C13983" s="760"/>
      <c r="D13983" s="760"/>
      <c r="E13983" s="760"/>
      <c r="F13983" s="760"/>
      <c r="G13983" s="760"/>
      <c r="H13983" s="760"/>
      <c r="I13983" s="760"/>
      <c r="J13983" s="760"/>
      <c r="K13983" s="760"/>
    </row>
    <row r="13984" spans="1:11">
      <c r="A13984" s="760"/>
      <c r="B13984" s="760"/>
      <c r="C13984" s="760"/>
      <c r="D13984" s="760"/>
      <c r="E13984" s="760"/>
      <c r="F13984" s="760"/>
      <c r="G13984" s="760"/>
      <c r="H13984" s="760"/>
      <c r="I13984" s="760"/>
      <c r="J13984" s="760"/>
      <c r="K13984" s="760"/>
    </row>
    <row r="13985" spans="1:11">
      <c r="A13985" s="760"/>
      <c r="B13985" s="760"/>
      <c r="C13985" s="760"/>
      <c r="D13985" s="760"/>
      <c r="E13985" s="760"/>
      <c r="F13985" s="760"/>
      <c r="G13985" s="760"/>
      <c r="H13985" s="760"/>
      <c r="I13985" s="760"/>
      <c r="J13985" s="760"/>
      <c r="K13985" s="760"/>
    </row>
    <row r="13986" spans="1:11">
      <c r="A13986" s="760"/>
      <c r="B13986" s="760"/>
      <c r="C13986" s="760"/>
      <c r="D13986" s="760"/>
      <c r="E13986" s="760"/>
      <c r="F13986" s="760"/>
      <c r="G13986" s="760"/>
      <c r="H13986" s="760"/>
      <c r="I13986" s="760"/>
      <c r="J13986" s="760"/>
      <c r="K13986" s="760"/>
    </row>
    <row r="13987" spans="1:11">
      <c r="A13987" s="760"/>
      <c r="B13987" s="760"/>
      <c r="C13987" s="760"/>
      <c r="D13987" s="760"/>
      <c r="E13987" s="760"/>
      <c r="F13987" s="760"/>
      <c r="G13987" s="760"/>
      <c r="H13987" s="760"/>
      <c r="I13987" s="760"/>
      <c r="J13987" s="760"/>
      <c r="K13987" s="760"/>
    </row>
    <row r="13988" spans="1:11">
      <c r="A13988" s="760"/>
      <c r="B13988" s="760"/>
      <c r="C13988" s="760"/>
      <c r="D13988" s="760"/>
      <c r="E13988" s="760"/>
      <c r="F13988" s="760"/>
      <c r="G13988" s="760"/>
      <c r="H13988" s="760"/>
      <c r="I13988" s="760"/>
      <c r="J13988" s="760"/>
      <c r="K13988" s="760"/>
    </row>
    <row r="13989" spans="1:11">
      <c r="A13989" s="760"/>
      <c r="B13989" s="760"/>
      <c r="C13989" s="760"/>
      <c r="D13989" s="760"/>
      <c r="E13989" s="760"/>
      <c r="F13989" s="760"/>
      <c r="G13989" s="760"/>
      <c r="H13989" s="760"/>
      <c r="I13989" s="760"/>
      <c r="J13989" s="760"/>
      <c r="K13989" s="760"/>
    </row>
    <row r="13990" spans="1:11">
      <c r="A13990" s="760"/>
      <c r="B13990" s="760"/>
      <c r="C13990" s="760"/>
      <c r="D13990" s="760"/>
      <c r="E13990" s="760"/>
      <c r="F13990" s="760"/>
      <c r="G13990" s="760"/>
      <c r="H13990" s="760"/>
      <c r="I13990" s="760"/>
      <c r="J13990" s="760"/>
      <c r="K13990" s="760"/>
    </row>
    <row r="13991" spans="1:11">
      <c r="A13991" s="760"/>
      <c r="B13991" s="760"/>
      <c r="C13991" s="760"/>
      <c r="D13991" s="760"/>
      <c r="E13991" s="760"/>
      <c r="F13991" s="760"/>
      <c r="G13991" s="760"/>
      <c r="H13991" s="760"/>
      <c r="I13991" s="760"/>
      <c r="J13991" s="760"/>
      <c r="K13991" s="760"/>
    </row>
    <row r="13992" spans="1:11">
      <c r="A13992" s="760"/>
      <c r="B13992" s="760"/>
      <c r="C13992" s="760"/>
      <c r="D13992" s="760"/>
      <c r="E13992" s="760"/>
      <c r="F13992" s="760"/>
      <c r="G13992" s="760"/>
      <c r="H13992" s="760"/>
      <c r="I13992" s="760"/>
      <c r="J13992" s="760"/>
      <c r="K13992" s="760"/>
    </row>
    <row r="13993" spans="1:11">
      <c r="A13993" s="760"/>
      <c r="B13993" s="760"/>
      <c r="C13993" s="760"/>
      <c r="D13993" s="760"/>
      <c r="E13993" s="760"/>
      <c r="F13993" s="760"/>
      <c r="G13993" s="760"/>
      <c r="H13993" s="760"/>
      <c r="I13993" s="760"/>
      <c r="J13993" s="760"/>
      <c r="K13993" s="760"/>
    </row>
    <row r="13994" spans="1:11">
      <c r="A13994" s="760"/>
      <c r="B13994" s="760"/>
      <c r="C13994" s="760"/>
      <c r="D13994" s="760"/>
      <c r="E13994" s="760"/>
      <c r="F13994" s="760"/>
      <c r="G13994" s="760"/>
      <c r="H13994" s="760"/>
      <c r="I13994" s="760"/>
      <c r="J13994" s="760"/>
      <c r="K13994" s="760"/>
    </row>
    <row r="13995" spans="1:11">
      <c r="A13995" s="760"/>
      <c r="B13995" s="760"/>
      <c r="C13995" s="760"/>
      <c r="D13995" s="760"/>
      <c r="E13995" s="760"/>
      <c r="F13995" s="760"/>
      <c r="G13995" s="760"/>
      <c r="H13995" s="760"/>
      <c r="I13995" s="760"/>
      <c r="J13995" s="760"/>
      <c r="K13995" s="760"/>
    </row>
    <row r="13996" spans="1:11">
      <c r="A13996" s="760"/>
      <c r="B13996" s="760"/>
      <c r="C13996" s="760"/>
      <c r="D13996" s="760"/>
      <c r="E13996" s="760"/>
      <c r="F13996" s="760"/>
      <c r="G13996" s="760"/>
      <c r="H13996" s="760"/>
      <c r="I13996" s="760"/>
      <c r="J13996" s="760"/>
      <c r="K13996" s="760"/>
    </row>
    <row r="13997" spans="1:11">
      <c r="A13997" s="760"/>
      <c r="B13997" s="760"/>
      <c r="C13997" s="760"/>
      <c r="D13997" s="760"/>
      <c r="E13997" s="760"/>
      <c r="F13997" s="760"/>
      <c r="G13997" s="760"/>
      <c r="H13997" s="760"/>
      <c r="I13997" s="760"/>
      <c r="J13997" s="760"/>
      <c r="K13997" s="760"/>
    </row>
    <row r="13998" spans="1:11">
      <c r="A13998" s="760"/>
      <c r="B13998" s="760"/>
      <c r="C13998" s="760"/>
      <c r="D13998" s="760"/>
      <c r="E13998" s="760"/>
      <c r="F13998" s="760"/>
      <c r="G13998" s="760"/>
      <c r="H13998" s="760"/>
      <c r="I13998" s="760"/>
      <c r="J13998" s="760"/>
      <c r="K13998" s="760"/>
    </row>
    <row r="13999" spans="1:11">
      <c r="A13999" s="760"/>
      <c r="B13999" s="760"/>
      <c r="C13999" s="760"/>
      <c r="D13999" s="760"/>
      <c r="E13999" s="760"/>
      <c r="F13999" s="760"/>
      <c r="G13999" s="760"/>
      <c r="H13999" s="760"/>
      <c r="I13999" s="760"/>
      <c r="J13999" s="760"/>
      <c r="K13999" s="760"/>
    </row>
    <row r="14000" spans="1:11">
      <c r="A14000" s="760"/>
      <c r="B14000" s="760"/>
      <c r="C14000" s="760"/>
      <c r="D14000" s="760"/>
      <c r="E14000" s="760"/>
      <c r="F14000" s="760"/>
      <c r="G14000" s="760"/>
      <c r="H14000" s="760"/>
      <c r="I14000" s="760"/>
      <c r="J14000" s="760"/>
      <c r="K14000" s="760"/>
    </row>
    <row r="14001" spans="1:11">
      <c r="A14001" s="760"/>
      <c r="B14001" s="760"/>
      <c r="C14001" s="760"/>
      <c r="D14001" s="760"/>
      <c r="E14001" s="760"/>
      <c r="F14001" s="760"/>
      <c r="G14001" s="760"/>
      <c r="H14001" s="760"/>
      <c r="I14001" s="760"/>
      <c r="J14001" s="760"/>
      <c r="K14001" s="760"/>
    </row>
    <row r="14002" spans="1:11">
      <c r="A14002" s="760"/>
      <c r="B14002" s="760"/>
      <c r="C14002" s="760"/>
      <c r="D14002" s="760"/>
      <c r="E14002" s="760"/>
      <c r="F14002" s="760"/>
      <c r="G14002" s="760"/>
      <c r="H14002" s="760"/>
      <c r="I14002" s="760"/>
      <c r="J14002" s="760"/>
      <c r="K14002" s="760"/>
    </row>
    <row r="14003" spans="1:11">
      <c r="A14003" s="760"/>
      <c r="B14003" s="760"/>
      <c r="C14003" s="760"/>
      <c r="D14003" s="760"/>
      <c r="E14003" s="760"/>
      <c r="F14003" s="760"/>
      <c r="G14003" s="760"/>
      <c r="H14003" s="760"/>
      <c r="I14003" s="760"/>
      <c r="J14003" s="760"/>
      <c r="K14003" s="760"/>
    </row>
    <row r="14004" spans="1:11">
      <c r="A14004" s="760"/>
      <c r="B14004" s="760"/>
      <c r="C14004" s="760"/>
      <c r="D14004" s="760"/>
      <c r="E14004" s="760"/>
      <c r="F14004" s="760"/>
      <c r="G14004" s="760"/>
      <c r="H14004" s="760"/>
      <c r="I14004" s="760"/>
      <c r="J14004" s="760"/>
      <c r="K14004" s="760"/>
    </row>
    <row r="14005" spans="1:11">
      <c r="A14005" s="760"/>
      <c r="B14005" s="760"/>
      <c r="C14005" s="760"/>
      <c r="D14005" s="760"/>
      <c r="E14005" s="760"/>
      <c r="F14005" s="760"/>
      <c r="G14005" s="760"/>
      <c r="H14005" s="760"/>
      <c r="I14005" s="760"/>
      <c r="J14005" s="760"/>
      <c r="K14005" s="760"/>
    </row>
    <row r="14006" spans="1:11">
      <c r="A14006" s="760"/>
      <c r="B14006" s="760"/>
      <c r="C14006" s="760"/>
      <c r="D14006" s="760"/>
      <c r="E14006" s="760"/>
      <c r="F14006" s="760"/>
      <c r="G14006" s="760"/>
      <c r="H14006" s="760"/>
      <c r="I14006" s="760"/>
      <c r="J14006" s="760"/>
      <c r="K14006" s="760"/>
    </row>
    <row r="14007" spans="1:11">
      <c r="A14007" s="760"/>
      <c r="B14007" s="760"/>
      <c r="C14007" s="760"/>
      <c r="D14007" s="760"/>
      <c r="E14007" s="760"/>
      <c r="F14007" s="760"/>
      <c r="G14007" s="760"/>
      <c r="H14007" s="760"/>
      <c r="I14007" s="760"/>
      <c r="J14007" s="760"/>
      <c r="K14007" s="760"/>
    </row>
    <row r="14008" spans="1:11">
      <c r="A14008" s="760"/>
      <c r="B14008" s="760"/>
      <c r="C14008" s="760"/>
      <c r="D14008" s="760"/>
      <c r="E14008" s="760"/>
      <c r="F14008" s="760"/>
      <c r="G14008" s="760"/>
      <c r="H14008" s="760"/>
      <c r="I14008" s="760"/>
      <c r="J14008" s="760"/>
      <c r="K14008" s="760"/>
    </row>
    <row r="14009" spans="1:11">
      <c r="A14009" s="760"/>
      <c r="B14009" s="760"/>
      <c r="C14009" s="760"/>
      <c r="D14009" s="760"/>
      <c r="E14009" s="760"/>
      <c r="F14009" s="760"/>
      <c r="G14009" s="760"/>
      <c r="H14009" s="760"/>
      <c r="I14009" s="760"/>
      <c r="J14009" s="760"/>
      <c r="K14009" s="760"/>
    </row>
    <row r="14010" spans="1:11">
      <c r="A14010" s="760"/>
      <c r="B14010" s="760"/>
      <c r="C14010" s="760"/>
      <c r="D14010" s="760"/>
      <c r="E14010" s="760"/>
      <c r="F14010" s="760"/>
      <c r="G14010" s="760"/>
      <c r="H14010" s="760"/>
      <c r="I14010" s="760"/>
      <c r="J14010" s="760"/>
      <c r="K14010" s="760"/>
    </row>
    <row r="14011" spans="1:11">
      <c r="A14011" s="760"/>
      <c r="B14011" s="760"/>
      <c r="C14011" s="760"/>
      <c r="D14011" s="760"/>
      <c r="E14011" s="760"/>
      <c r="F14011" s="760"/>
      <c r="G14011" s="760"/>
      <c r="H14011" s="760"/>
      <c r="I14011" s="760"/>
      <c r="J14011" s="760"/>
      <c r="K14011" s="760"/>
    </row>
    <row r="14012" spans="1:11">
      <c r="A14012" s="760"/>
      <c r="B14012" s="760"/>
      <c r="C14012" s="760"/>
      <c r="D14012" s="760"/>
      <c r="E14012" s="760"/>
      <c r="F14012" s="760"/>
      <c r="G14012" s="760"/>
      <c r="H14012" s="760"/>
      <c r="I14012" s="760"/>
      <c r="J14012" s="760"/>
      <c r="K14012" s="760"/>
    </row>
    <row r="14013" spans="1:11">
      <c r="A14013" s="760"/>
      <c r="B14013" s="760"/>
      <c r="C14013" s="760"/>
      <c r="D14013" s="760"/>
      <c r="E14013" s="760"/>
      <c r="F14013" s="760"/>
      <c r="G14013" s="760"/>
      <c r="H14013" s="760"/>
      <c r="I14013" s="760"/>
      <c r="J14013" s="760"/>
      <c r="K14013" s="760"/>
    </row>
    <row r="14014" spans="1:11">
      <c r="A14014" s="760"/>
      <c r="B14014" s="760"/>
      <c r="C14014" s="760"/>
      <c r="D14014" s="760"/>
      <c r="E14014" s="760"/>
      <c r="F14014" s="760"/>
      <c r="G14014" s="760"/>
      <c r="H14014" s="760"/>
      <c r="I14014" s="760"/>
      <c r="J14014" s="760"/>
      <c r="K14014" s="760"/>
    </row>
    <row r="14015" spans="1:11">
      <c r="A14015" s="760"/>
      <c r="B14015" s="760"/>
      <c r="C14015" s="760"/>
      <c r="D14015" s="760"/>
      <c r="E14015" s="760"/>
      <c r="F14015" s="760"/>
      <c r="G14015" s="760"/>
      <c r="H14015" s="760"/>
      <c r="I14015" s="760"/>
      <c r="J14015" s="760"/>
      <c r="K14015" s="760"/>
    </row>
    <row r="14016" spans="1:11">
      <c r="A14016" s="760"/>
      <c r="B14016" s="760"/>
      <c r="C14016" s="760"/>
      <c r="D14016" s="760"/>
      <c r="E14016" s="760"/>
      <c r="F14016" s="760"/>
      <c r="G14016" s="760"/>
      <c r="H14016" s="760"/>
      <c r="I14016" s="760"/>
      <c r="J14016" s="760"/>
      <c r="K14016" s="760"/>
    </row>
    <row r="14017" spans="1:11">
      <c r="A14017" s="760"/>
      <c r="B14017" s="760"/>
      <c r="C14017" s="760"/>
      <c r="D14017" s="760"/>
      <c r="E14017" s="760"/>
      <c r="F14017" s="760"/>
      <c r="G14017" s="760"/>
      <c r="H14017" s="760"/>
      <c r="I14017" s="760"/>
      <c r="J14017" s="760"/>
      <c r="K14017" s="760"/>
    </row>
    <row r="14018" spans="1:11">
      <c r="A14018" s="760"/>
      <c r="B14018" s="760"/>
      <c r="C14018" s="760"/>
      <c r="D14018" s="760"/>
      <c r="E14018" s="760"/>
      <c r="F14018" s="760"/>
      <c r="G14018" s="760"/>
      <c r="H14018" s="760"/>
      <c r="I14018" s="760"/>
      <c r="J14018" s="760"/>
      <c r="K14018" s="760"/>
    </row>
    <row r="14019" spans="1:11">
      <c r="A14019" s="760"/>
      <c r="B14019" s="760"/>
      <c r="C14019" s="760"/>
      <c r="D14019" s="760"/>
      <c r="E14019" s="760"/>
      <c r="F14019" s="760"/>
      <c r="G14019" s="760"/>
      <c r="H14019" s="760"/>
      <c r="I14019" s="760"/>
      <c r="J14019" s="760"/>
      <c r="K14019" s="760"/>
    </row>
    <row r="14020" spans="1:11">
      <c r="A14020" s="760"/>
      <c r="B14020" s="760"/>
      <c r="C14020" s="760"/>
      <c r="D14020" s="760"/>
      <c r="E14020" s="760"/>
      <c r="F14020" s="760"/>
      <c r="G14020" s="760"/>
      <c r="H14020" s="760"/>
      <c r="I14020" s="760"/>
      <c r="J14020" s="760"/>
      <c r="K14020" s="760"/>
    </row>
    <row r="14021" spans="1:11">
      <c r="A14021" s="760"/>
      <c r="B14021" s="760"/>
      <c r="C14021" s="760"/>
      <c r="D14021" s="760"/>
      <c r="E14021" s="760"/>
      <c r="F14021" s="760"/>
      <c r="G14021" s="760"/>
      <c r="H14021" s="760"/>
      <c r="I14021" s="760"/>
      <c r="J14021" s="760"/>
      <c r="K14021" s="760"/>
    </row>
    <row r="14022" spans="1:11">
      <c r="A14022" s="760"/>
      <c r="B14022" s="760"/>
      <c r="C14022" s="760"/>
      <c r="D14022" s="760"/>
      <c r="E14022" s="760"/>
      <c r="F14022" s="760"/>
      <c r="G14022" s="760"/>
      <c r="H14022" s="760"/>
      <c r="I14022" s="760"/>
      <c r="J14022" s="760"/>
      <c r="K14022" s="760"/>
    </row>
    <row r="14023" spans="1:11">
      <c r="A14023" s="760"/>
      <c r="B14023" s="760"/>
      <c r="C14023" s="760"/>
      <c r="D14023" s="760"/>
      <c r="E14023" s="760"/>
      <c r="F14023" s="760"/>
      <c r="G14023" s="760"/>
      <c r="H14023" s="760"/>
      <c r="I14023" s="760"/>
      <c r="J14023" s="760"/>
      <c r="K14023" s="760"/>
    </row>
    <row r="14024" spans="1:11">
      <c r="A14024" s="760"/>
      <c r="B14024" s="760"/>
      <c r="C14024" s="760"/>
      <c r="D14024" s="760"/>
      <c r="E14024" s="760"/>
      <c r="F14024" s="760"/>
      <c r="G14024" s="760"/>
      <c r="H14024" s="760"/>
      <c r="I14024" s="760"/>
      <c r="J14024" s="760"/>
      <c r="K14024" s="760"/>
    </row>
    <row r="14025" spans="1:11">
      <c r="A14025" s="760"/>
      <c r="B14025" s="760"/>
      <c r="C14025" s="760"/>
      <c r="D14025" s="760"/>
      <c r="E14025" s="760"/>
      <c r="F14025" s="760"/>
      <c r="G14025" s="760"/>
      <c r="H14025" s="760"/>
      <c r="I14025" s="760"/>
      <c r="J14025" s="760"/>
      <c r="K14025" s="760"/>
    </row>
    <row r="14026" spans="1:11">
      <c r="A14026" s="760"/>
      <c r="B14026" s="760"/>
      <c r="C14026" s="760"/>
      <c r="D14026" s="760"/>
      <c r="E14026" s="760"/>
      <c r="F14026" s="760"/>
      <c r="G14026" s="760"/>
      <c r="H14026" s="760"/>
      <c r="I14026" s="760"/>
      <c r="J14026" s="760"/>
      <c r="K14026" s="760"/>
    </row>
    <row r="14027" spans="1:11">
      <c r="A14027" s="760"/>
      <c r="B14027" s="760"/>
      <c r="C14027" s="760"/>
      <c r="D14027" s="760"/>
      <c r="E14027" s="760"/>
      <c r="F14027" s="760"/>
      <c r="G14027" s="760"/>
      <c r="H14027" s="760"/>
      <c r="I14027" s="760"/>
      <c r="J14027" s="760"/>
      <c r="K14027" s="760"/>
    </row>
    <row r="14028" spans="1:11">
      <c r="A14028" s="760"/>
      <c r="B14028" s="760"/>
      <c r="C14028" s="760"/>
      <c r="D14028" s="760"/>
      <c r="E14028" s="760"/>
      <c r="F14028" s="760"/>
      <c r="G14028" s="760"/>
      <c r="H14028" s="760"/>
      <c r="I14028" s="760"/>
      <c r="J14028" s="760"/>
      <c r="K14028" s="760"/>
    </row>
    <row r="14029" spans="1:11">
      <c r="A14029" s="760"/>
      <c r="B14029" s="760"/>
      <c r="C14029" s="760"/>
      <c r="D14029" s="760"/>
      <c r="E14029" s="760"/>
      <c r="F14029" s="760"/>
      <c r="G14029" s="760"/>
      <c r="H14029" s="760"/>
      <c r="I14029" s="760"/>
      <c r="J14029" s="760"/>
      <c r="K14029" s="760"/>
    </row>
    <row r="14030" spans="1:11">
      <c r="A14030" s="760"/>
      <c r="B14030" s="760"/>
      <c r="C14030" s="760"/>
      <c r="D14030" s="760"/>
      <c r="E14030" s="760"/>
      <c r="F14030" s="760"/>
      <c r="G14030" s="760"/>
      <c r="H14030" s="760"/>
      <c r="I14030" s="760"/>
      <c r="J14030" s="760"/>
      <c r="K14030" s="760"/>
    </row>
    <row r="14031" spans="1:11">
      <c r="A14031" s="760"/>
      <c r="B14031" s="760"/>
      <c r="C14031" s="760"/>
      <c r="D14031" s="760"/>
      <c r="E14031" s="760"/>
      <c r="F14031" s="760"/>
      <c r="G14031" s="760"/>
      <c r="H14031" s="760"/>
      <c r="I14031" s="760"/>
      <c r="J14031" s="760"/>
      <c r="K14031" s="760"/>
    </row>
    <row r="14032" spans="1:11">
      <c r="A14032" s="760"/>
      <c r="B14032" s="760"/>
      <c r="C14032" s="760"/>
      <c r="D14032" s="760"/>
      <c r="E14032" s="760"/>
      <c r="F14032" s="760"/>
      <c r="G14032" s="760"/>
      <c r="H14032" s="760"/>
      <c r="I14032" s="760"/>
      <c r="J14032" s="760"/>
      <c r="K14032" s="760"/>
    </row>
    <row r="14033" spans="1:11">
      <c r="A14033" s="760"/>
      <c r="B14033" s="760"/>
      <c r="C14033" s="760"/>
      <c r="D14033" s="760"/>
      <c r="E14033" s="760"/>
      <c r="F14033" s="760"/>
      <c r="G14033" s="760"/>
      <c r="H14033" s="760"/>
      <c r="I14033" s="760"/>
      <c r="J14033" s="760"/>
      <c r="K14033" s="760"/>
    </row>
    <row r="14034" spans="1:11">
      <c r="A14034" s="760"/>
      <c r="B14034" s="760"/>
      <c r="C14034" s="760"/>
      <c r="D14034" s="760"/>
      <c r="E14034" s="760"/>
      <c r="F14034" s="760"/>
      <c r="G14034" s="760"/>
      <c r="H14034" s="760"/>
      <c r="I14034" s="760"/>
      <c r="J14034" s="760"/>
      <c r="K14034" s="760"/>
    </row>
    <row r="14035" spans="1:11">
      <c r="A14035" s="760"/>
      <c r="B14035" s="760"/>
      <c r="C14035" s="760"/>
      <c r="D14035" s="760"/>
      <c r="E14035" s="760"/>
      <c r="F14035" s="760"/>
      <c r="G14035" s="760"/>
      <c r="H14035" s="760"/>
      <c r="I14035" s="760"/>
      <c r="J14035" s="760"/>
      <c r="K14035" s="760"/>
    </row>
    <row r="14036" spans="1:11">
      <c r="A14036" s="760"/>
      <c r="B14036" s="760"/>
      <c r="C14036" s="760"/>
      <c r="D14036" s="760"/>
      <c r="E14036" s="760"/>
      <c r="F14036" s="760"/>
      <c r="G14036" s="760"/>
      <c r="H14036" s="760"/>
      <c r="I14036" s="760"/>
      <c r="J14036" s="760"/>
      <c r="K14036" s="760"/>
    </row>
    <row r="14037" spans="1:11">
      <c r="A14037" s="760"/>
      <c r="B14037" s="760"/>
      <c r="C14037" s="760"/>
      <c r="D14037" s="760"/>
      <c r="E14037" s="760"/>
      <c r="F14037" s="760"/>
      <c r="G14037" s="760"/>
      <c r="H14037" s="760"/>
      <c r="I14037" s="760"/>
      <c r="J14037" s="760"/>
      <c r="K14037" s="760"/>
    </row>
    <row r="14038" spans="1:11">
      <c r="A14038" s="760"/>
      <c r="B14038" s="760"/>
      <c r="C14038" s="760"/>
      <c r="D14038" s="760"/>
      <c r="E14038" s="760"/>
      <c r="F14038" s="760"/>
      <c r="G14038" s="760"/>
      <c r="H14038" s="760"/>
      <c r="I14038" s="760"/>
      <c r="J14038" s="760"/>
      <c r="K14038" s="760"/>
    </row>
    <row r="14039" spans="1:11">
      <c r="A14039" s="760"/>
      <c r="B14039" s="760"/>
      <c r="C14039" s="760"/>
      <c r="D14039" s="760"/>
      <c r="E14039" s="760"/>
      <c r="F14039" s="760"/>
      <c r="G14039" s="760"/>
      <c r="H14039" s="760"/>
      <c r="I14039" s="760"/>
      <c r="J14039" s="760"/>
      <c r="K14039" s="760"/>
    </row>
    <row r="14040" spans="1:11">
      <c r="A14040" s="760"/>
      <c r="B14040" s="760"/>
      <c r="C14040" s="760"/>
      <c r="D14040" s="760"/>
      <c r="E14040" s="760"/>
      <c r="F14040" s="760"/>
      <c r="G14040" s="760"/>
      <c r="H14040" s="760"/>
      <c r="I14040" s="760"/>
      <c r="J14040" s="760"/>
      <c r="K14040" s="760"/>
    </row>
    <row r="14041" spans="1:11">
      <c r="A14041" s="760"/>
      <c r="B14041" s="760"/>
      <c r="C14041" s="760"/>
      <c r="D14041" s="760"/>
      <c r="E14041" s="760"/>
      <c r="F14041" s="760"/>
      <c r="G14041" s="760"/>
      <c r="H14041" s="760"/>
      <c r="I14041" s="760"/>
      <c r="J14041" s="760"/>
      <c r="K14041" s="760"/>
    </row>
    <row r="14042" spans="1:11">
      <c r="A14042" s="760"/>
      <c r="B14042" s="760"/>
      <c r="C14042" s="760"/>
      <c r="D14042" s="760"/>
      <c r="E14042" s="760"/>
      <c r="F14042" s="760"/>
      <c r="G14042" s="760"/>
      <c r="H14042" s="760"/>
      <c r="I14042" s="760"/>
      <c r="J14042" s="760"/>
      <c r="K14042" s="760"/>
    </row>
    <row r="14043" spans="1:11">
      <c r="A14043" s="760"/>
      <c r="B14043" s="760"/>
      <c r="C14043" s="760"/>
      <c r="D14043" s="760"/>
      <c r="E14043" s="760"/>
      <c r="F14043" s="760"/>
      <c r="G14043" s="760"/>
      <c r="H14043" s="760"/>
      <c r="I14043" s="760"/>
      <c r="J14043" s="760"/>
      <c r="K14043" s="760"/>
    </row>
    <row r="14044" spans="1:11">
      <c r="A14044" s="760"/>
      <c r="B14044" s="760"/>
      <c r="C14044" s="760"/>
      <c r="D14044" s="760"/>
      <c r="E14044" s="760"/>
      <c r="F14044" s="760"/>
      <c r="G14044" s="760"/>
      <c r="H14044" s="760"/>
      <c r="I14044" s="760"/>
      <c r="J14044" s="760"/>
      <c r="K14044" s="760"/>
    </row>
    <row r="14045" spans="1:11">
      <c r="A14045" s="760"/>
      <c r="B14045" s="760"/>
      <c r="C14045" s="760"/>
      <c r="D14045" s="760"/>
      <c r="E14045" s="760"/>
      <c r="F14045" s="760"/>
      <c r="G14045" s="760"/>
      <c r="H14045" s="760"/>
      <c r="I14045" s="760"/>
      <c r="J14045" s="760"/>
      <c r="K14045" s="760"/>
    </row>
    <row r="14046" spans="1:11">
      <c r="A14046" s="760"/>
      <c r="B14046" s="760"/>
      <c r="C14046" s="760"/>
      <c r="D14046" s="760"/>
      <c r="E14046" s="760"/>
      <c r="F14046" s="760"/>
      <c r="G14046" s="760"/>
      <c r="H14046" s="760"/>
      <c r="I14046" s="760"/>
      <c r="J14046" s="760"/>
      <c r="K14046" s="760"/>
    </row>
    <row r="14047" spans="1:11">
      <c r="A14047" s="760"/>
      <c r="B14047" s="760"/>
      <c r="C14047" s="760"/>
      <c r="D14047" s="760"/>
      <c r="E14047" s="760"/>
      <c r="F14047" s="760"/>
      <c r="G14047" s="760"/>
      <c r="H14047" s="760"/>
      <c r="I14047" s="760"/>
      <c r="J14047" s="760"/>
      <c r="K14047" s="760"/>
    </row>
    <row r="14048" spans="1:11">
      <c r="A14048" s="760"/>
      <c r="B14048" s="760"/>
      <c r="C14048" s="760"/>
      <c r="D14048" s="760"/>
      <c r="E14048" s="760"/>
      <c r="F14048" s="760"/>
      <c r="G14048" s="760"/>
      <c r="H14048" s="760"/>
      <c r="I14048" s="760"/>
      <c r="J14048" s="760"/>
      <c r="K14048" s="760"/>
    </row>
    <row r="14049" spans="1:11">
      <c r="A14049" s="760"/>
      <c r="B14049" s="760"/>
      <c r="C14049" s="760"/>
      <c r="D14049" s="760"/>
      <c r="E14049" s="760"/>
      <c r="F14049" s="760"/>
      <c r="G14049" s="760"/>
      <c r="H14049" s="760"/>
      <c r="I14049" s="760"/>
      <c r="J14049" s="760"/>
      <c r="K14049" s="760"/>
    </row>
    <row r="14050" spans="1:11">
      <c r="A14050" s="760"/>
      <c r="B14050" s="760"/>
      <c r="C14050" s="760"/>
      <c r="D14050" s="760"/>
      <c r="E14050" s="760"/>
      <c r="F14050" s="760"/>
      <c r="G14050" s="760"/>
      <c r="H14050" s="760"/>
      <c r="I14050" s="760"/>
      <c r="J14050" s="760"/>
      <c r="K14050" s="760"/>
    </row>
    <row r="14051" spans="1:11">
      <c r="A14051" s="760"/>
      <c r="B14051" s="760"/>
      <c r="C14051" s="760"/>
      <c r="D14051" s="760"/>
      <c r="E14051" s="760"/>
      <c r="F14051" s="760"/>
      <c r="G14051" s="760"/>
      <c r="H14051" s="760"/>
      <c r="I14051" s="760"/>
      <c r="J14051" s="760"/>
      <c r="K14051" s="760"/>
    </row>
    <row r="14052" spans="1:11">
      <c r="A14052" s="760"/>
      <c r="B14052" s="760"/>
      <c r="C14052" s="760"/>
      <c r="D14052" s="760"/>
      <c r="E14052" s="760"/>
      <c r="F14052" s="760"/>
      <c r="G14052" s="760"/>
      <c r="H14052" s="760"/>
      <c r="I14052" s="760"/>
      <c r="J14052" s="760"/>
      <c r="K14052" s="760"/>
    </row>
    <row r="14053" spans="1:11">
      <c r="A14053" s="760"/>
      <c r="B14053" s="760"/>
      <c r="C14053" s="760"/>
      <c r="D14053" s="760"/>
      <c r="E14053" s="760"/>
      <c r="F14053" s="760"/>
      <c r="G14053" s="760"/>
      <c r="H14053" s="760"/>
      <c r="I14053" s="760"/>
      <c r="J14053" s="760"/>
      <c r="K14053" s="760"/>
    </row>
    <row r="14054" spans="1:11">
      <c r="A14054" s="760"/>
      <c r="B14054" s="760"/>
      <c r="C14054" s="760"/>
      <c r="D14054" s="760"/>
      <c r="E14054" s="760"/>
      <c r="F14054" s="760"/>
      <c r="G14054" s="760"/>
      <c r="H14054" s="760"/>
      <c r="I14054" s="760"/>
      <c r="J14054" s="760"/>
      <c r="K14054" s="760"/>
    </row>
    <row r="14055" spans="1:11">
      <c r="A14055" s="760"/>
      <c r="B14055" s="760"/>
      <c r="C14055" s="760"/>
      <c r="D14055" s="760"/>
      <c r="E14055" s="760"/>
      <c r="F14055" s="760"/>
      <c r="G14055" s="760"/>
      <c r="H14055" s="760"/>
      <c r="I14055" s="760"/>
      <c r="J14055" s="760"/>
      <c r="K14055" s="760"/>
    </row>
    <row r="14056" spans="1:11">
      <c r="A14056" s="760"/>
      <c r="B14056" s="760"/>
      <c r="C14056" s="760"/>
      <c r="D14056" s="760"/>
      <c r="E14056" s="760"/>
      <c r="F14056" s="760"/>
      <c r="G14056" s="760"/>
      <c r="H14056" s="760"/>
      <c r="I14056" s="760"/>
      <c r="J14056" s="760"/>
      <c r="K14056" s="760"/>
    </row>
    <row r="14057" spans="1:11">
      <c r="A14057" s="760"/>
      <c r="B14057" s="760"/>
      <c r="C14057" s="760"/>
      <c r="D14057" s="760"/>
      <c r="E14057" s="760"/>
      <c r="F14057" s="760"/>
      <c r="G14057" s="760"/>
      <c r="H14057" s="760"/>
      <c r="I14057" s="760"/>
      <c r="J14057" s="760"/>
      <c r="K14057" s="760"/>
    </row>
    <row r="14058" spans="1:11">
      <c r="A14058" s="760"/>
      <c r="B14058" s="760"/>
      <c r="C14058" s="760"/>
      <c r="D14058" s="760"/>
      <c r="E14058" s="760"/>
      <c r="F14058" s="760"/>
      <c r="G14058" s="760"/>
      <c r="H14058" s="760"/>
      <c r="I14058" s="760"/>
      <c r="J14058" s="760"/>
      <c r="K14058" s="760"/>
    </row>
    <row r="14059" spans="1:11">
      <c r="A14059" s="760"/>
      <c r="B14059" s="760"/>
      <c r="C14059" s="760"/>
      <c r="D14059" s="760"/>
      <c r="E14059" s="760"/>
      <c r="F14059" s="760"/>
      <c r="G14059" s="760"/>
      <c r="H14059" s="760"/>
      <c r="I14059" s="760"/>
      <c r="J14059" s="760"/>
      <c r="K14059" s="760"/>
    </row>
    <row r="14060" spans="1:11">
      <c r="A14060" s="760"/>
      <c r="B14060" s="760"/>
      <c r="C14060" s="760"/>
      <c r="D14060" s="760"/>
      <c r="E14060" s="760"/>
      <c r="F14060" s="760"/>
      <c r="G14060" s="760"/>
      <c r="H14060" s="760"/>
      <c r="I14060" s="760"/>
      <c r="J14060" s="760"/>
      <c r="K14060" s="760"/>
    </row>
    <row r="14061" spans="1:11">
      <c r="A14061" s="760"/>
      <c r="B14061" s="760"/>
      <c r="C14061" s="760"/>
      <c r="D14061" s="760"/>
      <c r="E14061" s="760"/>
      <c r="F14061" s="760"/>
      <c r="G14061" s="760"/>
      <c r="H14061" s="760"/>
      <c r="I14061" s="760"/>
      <c r="J14061" s="760"/>
      <c r="K14061" s="760"/>
    </row>
    <row r="14062" spans="1:11">
      <c r="A14062" s="760"/>
      <c r="B14062" s="760"/>
      <c r="C14062" s="760"/>
      <c r="D14062" s="760"/>
      <c r="E14062" s="760"/>
      <c r="F14062" s="760"/>
      <c r="G14062" s="760"/>
      <c r="H14062" s="760"/>
      <c r="I14062" s="760"/>
      <c r="J14062" s="760"/>
      <c r="K14062" s="760"/>
    </row>
    <row r="14063" spans="1:11">
      <c r="A14063" s="760"/>
      <c r="B14063" s="760"/>
      <c r="C14063" s="760"/>
      <c r="D14063" s="760"/>
      <c r="E14063" s="760"/>
      <c r="F14063" s="760"/>
      <c r="G14063" s="760"/>
      <c r="H14063" s="760"/>
      <c r="I14063" s="760"/>
      <c r="J14063" s="760"/>
      <c r="K14063" s="760"/>
    </row>
    <row r="14064" spans="1:11">
      <c r="A14064" s="760"/>
      <c r="B14064" s="760"/>
      <c r="C14064" s="760"/>
      <c r="D14064" s="760"/>
      <c r="E14064" s="760"/>
      <c r="F14064" s="760"/>
      <c r="G14064" s="760"/>
      <c r="H14064" s="760"/>
      <c r="I14064" s="760"/>
      <c r="J14064" s="760"/>
      <c r="K14064" s="760"/>
    </row>
    <row r="14065" spans="1:11">
      <c r="A14065" s="760"/>
      <c r="B14065" s="760"/>
      <c r="C14065" s="760"/>
      <c r="D14065" s="760"/>
      <c r="E14065" s="760"/>
      <c r="F14065" s="760"/>
      <c r="G14065" s="760"/>
      <c r="H14065" s="760"/>
      <c r="I14065" s="760"/>
      <c r="J14065" s="760"/>
      <c r="K14065" s="760"/>
    </row>
    <row r="14066" spans="1:11">
      <c r="A14066" s="760"/>
      <c r="B14066" s="760"/>
      <c r="C14066" s="760"/>
      <c r="D14066" s="760"/>
      <c r="E14066" s="760"/>
      <c r="F14066" s="760"/>
      <c r="G14066" s="760"/>
      <c r="H14066" s="760"/>
      <c r="I14066" s="760"/>
      <c r="J14066" s="760"/>
      <c r="K14066" s="760"/>
    </row>
    <row r="14067" spans="1:11">
      <c r="A14067" s="760"/>
      <c r="B14067" s="760"/>
      <c r="C14067" s="760"/>
      <c r="D14067" s="760"/>
      <c r="E14067" s="760"/>
      <c r="F14067" s="760"/>
      <c r="G14067" s="760"/>
      <c r="H14067" s="760"/>
      <c r="I14067" s="760"/>
      <c r="J14067" s="760"/>
      <c r="K14067" s="760"/>
    </row>
    <row r="14068" spans="1:11">
      <c r="A14068" s="760"/>
      <c r="B14068" s="760"/>
      <c r="C14068" s="760"/>
      <c r="D14068" s="760"/>
      <c r="E14068" s="760"/>
      <c r="F14068" s="760"/>
      <c r="G14068" s="760"/>
      <c r="H14068" s="760"/>
      <c r="I14068" s="760"/>
      <c r="J14068" s="760"/>
      <c r="K14068" s="760"/>
    </row>
    <row r="14069" spans="1:11">
      <c r="A14069" s="760"/>
      <c r="B14069" s="760"/>
      <c r="C14069" s="760"/>
      <c r="D14069" s="760"/>
      <c r="E14069" s="760"/>
      <c r="F14069" s="760"/>
      <c r="G14069" s="760"/>
      <c r="H14069" s="760"/>
      <c r="I14069" s="760"/>
      <c r="J14069" s="760"/>
      <c r="K14069" s="760"/>
    </row>
    <row r="14070" spans="1:11">
      <c r="A14070" s="760"/>
      <c r="B14070" s="760"/>
      <c r="C14070" s="760"/>
      <c r="D14070" s="760"/>
      <c r="E14070" s="760"/>
      <c r="F14070" s="760"/>
      <c r="G14070" s="760"/>
      <c r="H14070" s="760"/>
      <c r="I14070" s="760"/>
      <c r="J14070" s="760"/>
      <c r="K14070" s="760"/>
    </row>
    <row r="14071" spans="1:11">
      <c r="A14071" s="760"/>
      <c r="B14071" s="760"/>
      <c r="C14071" s="760"/>
      <c r="D14071" s="760"/>
      <c r="E14071" s="760"/>
      <c r="F14071" s="760"/>
      <c r="G14071" s="760"/>
      <c r="H14071" s="760"/>
      <c r="I14071" s="760"/>
      <c r="J14071" s="760"/>
      <c r="K14071" s="760"/>
    </row>
    <row r="14072" spans="1:11">
      <c r="A14072" s="760"/>
      <c r="B14072" s="760"/>
      <c r="C14072" s="760"/>
      <c r="D14072" s="760"/>
      <c r="E14072" s="760"/>
      <c r="F14072" s="760"/>
      <c r="G14072" s="760"/>
      <c r="H14072" s="760"/>
      <c r="I14072" s="760"/>
      <c r="J14072" s="760"/>
      <c r="K14072" s="760"/>
    </row>
    <row r="14073" spans="1:11">
      <c r="A14073" s="760"/>
      <c r="B14073" s="760"/>
      <c r="C14073" s="760"/>
      <c r="D14073" s="760"/>
      <c r="E14073" s="760"/>
      <c r="F14073" s="760"/>
      <c r="G14073" s="760"/>
      <c r="H14073" s="760"/>
      <c r="I14073" s="760"/>
      <c r="J14073" s="760"/>
      <c r="K14073" s="760"/>
    </row>
    <row r="14074" spans="1:11">
      <c r="A14074" s="760"/>
      <c r="B14074" s="760"/>
      <c r="C14074" s="760"/>
      <c r="D14074" s="760"/>
      <c r="E14074" s="760"/>
      <c r="F14074" s="760"/>
      <c r="G14074" s="760"/>
      <c r="H14074" s="760"/>
      <c r="I14074" s="760"/>
      <c r="J14074" s="760"/>
      <c r="K14074" s="760"/>
    </row>
    <row r="14075" spans="1:11">
      <c r="A14075" s="760"/>
      <c r="B14075" s="760"/>
      <c r="C14075" s="760"/>
      <c r="D14075" s="760"/>
      <c r="E14075" s="760"/>
      <c r="F14075" s="760"/>
      <c r="G14075" s="760"/>
      <c r="H14075" s="760"/>
      <c r="I14075" s="760"/>
      <c r="J14075" s="760"/>
      <c r="K14075" s="760"/>
    </row>
    <row r="14076" spans="1:11">
      <c r="A14076" s="760"/>
      <c r="B14076" s="760"/>
      <c r="C14076" s="760"/>
      <c r="D14076" s="760"/>
      <c r="E14076" s="760"/>
      <c r="F14076" s="760"/>
      <c r="G14076" s="760"/>
      <c r="H14076" s="760"/>
      <c r="I14076" s="760"/>
      <c r="J14076" s="760"/>
      <c r="K14076" s="760"/>
    </row>
    <row r="14077" spans="1:11">
      <c r="A14077" s="760"/>
      <c r="B14077" s="760"/>
      <c r="C14077" s="760"/>
      <c r="D14077" s="760"/>
      <c r="E14077" s="760"/>
      <c r="F14077" s="760"/>
      <c r="G14077" s="760"/>
      <c r="H14077" s="760"/>
      <c r="I14077" s="760"/>
      <c r="J14077" s="760"/>
      <c r="K14077" s="760"/>
    </row>
    <row r="14078" spans="1:11">
      <c r="A14078" s="760"/>
      <c r="B14078" s="760"/>
      <c r="C14078" s="760"/>
      <c r="D14078" s="760"/>
      <c r="E14078" s="760"/>
      <c r="F14078" s="760"/>
      <c r="G14078" s="760"/>
      <c r="H14078" s="760"/>
      <c r="I14078" s="760"/>
      <c r="J14078" s="760"/>
      <c r="K14078" s="760"/>
    </row>
    <row r="14079" spans="1:11">
      <c r="A14079" s="760"/>
      <c r="B14079" s="760"/>
      <c r="C14079" s="760"/>
      <c r="D14079" s="760"/>
      <c r="E14079" s="760"/>
      <c r="F14079" s="760"/>
      <c r="G14079" s="760"/>
      <c r="H14079" s="760"/>
      <c r="I14079" s="760"/>
      <c r="J14079" s="760"/>
      <c r="K14079" s="760"/>
    </row>
    <row r="14080" spans="1:11">
      <c r="A14080" s="760"/>
      <c r="B14080" s="760"/>
      <c r="C14080" s="760"/>
      <c r="D14080" s="760"/>
      <c r="E14080" s="760"/>
      <c r="F14080" s="760"/>
      <c r="G14080" s="760"/>
      <c r="H14080" s="760"/>
      <c r="I14080" s="760"/>
      <c r="J14080" s="760"/>
      <c r="K14080" s="760"/>
    </row>
    <row r="14081" spans="1:11">
      <c r="A14081" s="760"/>
      <c r="B14081" s="760"/>
      <c r="C14081" s="760"/>
      <c r="D14081" s="760"/>
      <c r="E14081" s="760"/>
      <c r="F14081" s="760"/>
      <c r="G14081" s="760"/>
      <c r="H14081" s="760"/>
      <c r="I14081" s="760"/>
      <c r="J14081" s="760"/>
      <c r="K14081" s="760"/>
    </row>
    <row r="14082" spans="1:11">
      <c r="A14082" s="760"/>
      <c r="B14082" s="760"/>
      <c r="C14082" s="760"/>
      <c r="D14082" s="760"/>
      <c r="E14082" s="760"/>
      <c r="F14082" s="760"/>
      <c r="G14082" s="760"/>
      <c r="H14082" s="760"/>
      <c r="I14082" s="760"/>
      <c r="J14082" s="760"/>
      <c r="K14082" s="760"/>
    </row>
    <row r="14083" spans="1:11">
      <c r="A14083" s="760"/>
      <c r="B14083" s="760"/>
      <c r="C14083" s="760"/>
      <c r="D14083" s="760"/>
      <c r="E14083" s="760"/>
      <c r="F14083" s="760"/>
      <c r="G14083" s="760"/>
      <c r="H14083" s="760"/>
      <c r="I14083" s="760"/>
      <c r="J14083" s="760"/>
      <c r="K14083" s="760"/>
    </row>
    <row r="14084" spans="1:11">
      <c r="A14084" s="760"/>
      <c r="B14084" s="760"/>
      <c r="C14084" s="760"/>
      <c r="D14084" s="760"/>
      <c r="E14084" s="760"/>
      <c r="F14084" s="760"/>
      <c r="G14084" s="760"/>
      <c r="H14084" s="760"/>
      <c r="I14084" s="760"/>
      <c r="J14084" s="760"/>
      <c r="K14084" s="760"/>
    </row>
    <row r="14085" spans="1:11">
      <c r="A14085" s="760"/>
      <c r="B14085" s="760"/>
      <c r="C14085" s="760"/>
      <c r="D14085" s="760"/>
      <c r="E14085" s="760"/>
      <c r="F14085" s="760"/>
      <c r="G14085" s="760"/>
      <c r="H14085" s="760"/>
      <c r="I14085" s="760"/>
      <c r="J14085" s="760"/>
      <c r="K14085" s="760"/>
    </row>
    <row r="14086" spans="1:11">
      <c r="A14086" s="760"/>
      <c r="B14086" s="760"/>
      <c r="C14086" s="760"/>
      <c r="D14086" s="760"/>
      <c r="E14086" s="760"/>
      <c r="F14086" s="760"/>
      <c r="G14086" s="760"/>
      <c r="H14086" s="760"/>
      <c r="I14086" s="760"/>
      <c r="J14086" s="760"/>
      <c r="K14086" s="760"/>
    </row>
    <row r="14087" spans="1:11">
      <c r="A14087" s="760"/>
      <c r="B14087" s="760"/>
      <c r="C14087" s="760"/>
      <c r="D14087" s="760"/>
      <c r="E14087" s="760"/>
      <c r="F14087" s="760"/>
      <c r="G14087" s="760"/>
      <c r="H14087" s="760"/>
      <c r="I14087" s="760"/>
      <c r="J14087" s="760"/>
      <c r="K14087" s="760"/>
    </row>
    <row r="14088" spans="1:11">
      <c r="A14088" s="760"/>
      <c r="B14088" s="760"/>
      <c r="C14088" s="760"/>
      <c r="D14088" s="760"/>
      <c r="E14088" s="760"/>
      <c r="F14088" s="760"/>
      <c r="G14088" s="760"/>
      <c r="H14088" s="760"/>
      <c r="I14088" s="760"/>
      <c r="J14088" s="760"/>
      <c r="K14088" s="760"/>
    </row>
    <row r="14089" spans="1:11">
      <c r="A14089" s="760"/>
      <c r="B14089" s="760"/>
      <c r="C14089" s="760"/>
      <c r="D14089" s="760"/>
      <c r="E14089" s="760"/>
      <c r="F14089" s="760"/>
      <c r="G14089" s="760"/>
      <c r="H14089" s="760"/>
      <c r="I14089" s="760"/>
      <c r="J14089" s="760"/>
      <c r="K14089" s="760"/>
    </row>
    <row r="14090" spans="1:11">
      <c r="A14090" s="760"/>
      <c r="B14090" s="760"/>
      <c r="C14090" s="760"/>
      <c r="D14090" s="760"/>
      <c r="E14090" s="760"/>
      <c r="F14090" s="760"/>
      <c r="G14090" s="760"/>
      <c r="H14090" s="760"/>
      <c r="I14090" s="760"/>
      <c r="J14090" s="760"/>
      <c r="K14090" s="760"/>
    </row>
    <row r="14091" spans="1:11">
      <c r="A14091" s="760"/>
      <c r="B14091" s="760"/>
      <c r="C14091" s="760"/>
      <c r="D14091" s="760"/>
      <c r="E14091" s="760"/>
      <c r="F14091" s="760"/>
      <c r="G14091" s="760"/>
      <c r="H14091" s="760"/>
      <c r="I14091" s="760"/>
      <c r="J14091" s="760"/>
      <c r="K14091" s="760"/>
    </row>
    <row r="14092" spans="1:11">
      <c r="A14092" s="760"/>
      <c r="B14092" s="760"/>
      <c r="C14092" s="760"/>
      <c r="D14092" s="760"/>
      <c r="E14092" s="760"/>
      <c r="F14092" s="760"/>
      <c r="G14092" s="760"/>
      <c r="H14092" s="760"/>
      <c r="I14092" s="760"/>
      <c r="J14092" s="760"/>
      <c r="K14092" s="760"/>
    </row>
    <row r="14093" spans="1:11">
      <c r="A14093" s="760"/>
      <c r="B14093" s="760"/>
      <c r="C14093" s="760"/>
      <c r="D14093" s="760"/>
      <c r="E14093" s="760"/>
      <c r="F14093" s="760"/>
      <c r="G14093" s="760"/>
      <c r="H14093" s="760"/>
      <c r="I14093" s="760"/>
      <c r="J14093" s="760"/>
      <c r="K14093" s="760"/>
    </row>
    <row r="14094" spans="1:11">
      <c r="A14094" s="760"/>
      <c r="B14094" s="760"/>
      <c r="C14094" s="760"/>
      <c r="D14094" s="760"/>
      <c r="E14094" s="760"/>
      <c r="F14094" s="760"/>
      <c r="G14094" s="760"/>
      <c r="H14094" s="760"/>
      <c r="I14094" s="760"/>
      <c r="J14094" s="760"/>
      <c r="K14094" s="760"/>
    </row>
    <row r="14095" spans="1:11">
      <c r="A14095" s="760"/>
      <c r="B14095" s="760"/>
      <c r="C14095" s="760"/>
      <c r="D14095" s="760"/>
      <c r="E14095" s="760"/>
      <c r="F14095" s="760"/>
      <c r="G14095" s="760"/>
      <c r="H14095" s="760"/>
      <c r="I14095" s="760"/>
      <c r="J14095" s="760"/>
      <c r="K14095" s="760"/>
    </row>
    <row r="14096" spans="1:11">
      <c r="A14096" s="760"/>
      <c r="B14096" s="760"/>
      <c r="C14096" s="760"/>
      <c r="D14096" s="760"/>
      <c r="E14096" s="760"/>
      <c r="F14096" s="760"/>
      <c r="G14096" s="760"/>
      <c r="H14096" s="760"/>
      <c r="I14096" s="760"/>
      <c r="J14096" s="760"/>
      <c r="K14096" s="760"/>
    </row>
    <row r="14097" spans="1:11">
      <c r="A14097" s="760"/>
      <c r="B14097" s="760"/>
      <c r="C14097" s="760"/>
      <c r="D14097" s="760"/>
      <c r="E14097" s="760"/>
      <c r="F14097" s="760"/>
      <c r="G14097" s="760"/>
      <c r="H14097" s="760"/>
      <c r="I14097" s="760"/>
      <c r="J14097" s="760"/>
      <c r="K14097" s="760"/>
    </row>
    <row r="14098" spans="1:11">
      <c r="A14098" s="760"/>
      <c r="B14098" s="760"/>
      <c r="C14098" s="760"/>
      <c r="D14098" s="760"/>
      <c r="E14098" s="760"/>
      <c r="F14098" s="760"/>
      <c r="G14098" s="760"/>
      <c r="H14098" s="760"/>
      <c r="I14098" s="760"/>
      <c r="J14098" s="760"/>
      <c r="K14098" s="760"/>
    </row>
    <row r="14099" spans="1:11">
      <c r="A14099" s="760"/>
      <c r="B14099" s="760"/>
      <c r="C14099" s="760"/>
      <c r="D14099" s="760"/>
      <c r="E14099" s="760"/>
      <c r="F14099" s="760"/>
      <c r="G14099" s="760"/>
      <c r="H14099" s="760"/>
      <c r="I14099" s="760"/>
      <c r="J14099" s="760"/>
      <c r="K14099" s="760"/>
    </row>
    <row r="14100" spans="1:11">
      <c r="A14100" s="760"/>
      <c r="B14100" s="760"/>
      <c r="C14100" s="760"/>
      <c r="D14100" s="760"/>
      <c r="E14100" s="760"/>
      <c r="F14100" s="760"/>
      <c r="G14100" s="760"/>
      <c r="H14100" s="760"/>
      <c r="I14100" s="760"/>
      <c r="J14100" s="760"/>
      <c r="K14100" s="760"/>
    </row>
    <row r="14101" spans="1:11">
      <c r="A14101" s="760"/>
      <c r="B14101" s="760"/>
      <c r="C14101" s="760"/>
      <c r="D14101" s="760"/>
      <c r="E14101" s="760"/>
      <c r="F14101" s="760"/>
      <c r="G14101" s="760"/>
      <c r="H14101" s="760"/>
      <c r="I14101" s="760"/>
      <c r="J14101" s="760"/>
      <c r="K14101" s="760"/>
    </row>
    <row r="14102" spans="1:11">
      <c r="A14102" s="760"/>
      <c r="B14102" s="760"/>
      <c r="C14102" s="760"/>
      <c r="D14102" s="760"/>
      <c r="E14102" s="760"/>
      <c r="F14102" s="760"/>
      <c r="G14102" s="760"/>
      <c r="H14102" s="760"/>
      <c r="I14102" s="760"/>
      <c r="J14102" s="760"/>
      <c r="K14102" s="760"/>
    </row>
    <row r="14103" spans="1:11">
      <c r="A14103" s="760"/>
      <c r="B14103" s="760"/>
      <c r="C14103" s="760"/>
      <c r="D14103" s="760"/>
      <c r="E14103" s="760"/>
      <c r="F14103" s="760"/>
      <c r="G14103" s="760"/>
      <c r="H14103" s="760"/>
      <c r="I14103" s="760"/>
      <c r="J14103" s="760"/>
      <c r="K14103" s="760"/>
    </row>
    <row r="14104" spans="1:11">
      <c r="A14104" s="760"/>
      <c r="B14104" s="760"/>
      <c r="C14104" s="760"/>
      <c r="D14104" s="760"/>
      <c r="E14104" s="760"/>
      <c r="F14104" s="760"/>
      <c r="G14104" s="760"/>
      <c r="H14104" s="760"/>
      <c r="I14104" s="760"/>
      <c r="J14104" s="760"/>
      <c r="K14104" s="760"/>
    </row>
    <row r="14105" spans="1:11">
      <c r="A14105" s="760"/>
      <c r="B14105" s="760"/>
      <c r="C14105" s="760"/>
      <c r="D14105" s="760"/>
      <c r="E14105" s="760"/>
      <c r="F14105" s="760"/>
      <c r="G14105" s="760"/>
      <c r="H14105" s="760"/>
      <c r="I14105" s="760"/>
      <c r="J14105" s="760"/>
      <c r="K14105" s="760"/>
    </row>
    <row r="14106" spans="1:11">
      <c r="A14106" s="760"/>
      <c r="B14106" s="760"/>
      <c r="C14106" s="760"/>
      <c r="D14106" s="760"/>
      <c r="E14106" s="760"/>
      <c r="F14106" s="760"/>
      <c r="G14106" s="760"/>
      <c r="H14106" s="760"/>
      <c r="I14106" s="760"/>
      <c r="J14106" s="760"/>
      <c r="K14106" s="760"/>
    </row>
    <row r="14107" spans="1:11">
      <c r="A14107" s="760"/>
      <c r="B14107" s="760"/>
      <c r="C14107" s="760"/>
      <c r="D14107" s="760"/>
      <c r="E14107" s="760"/>
      <c r="F14107" s="760"/>
      <c r="G14107" s="760"/>
      <c r="H14107" s="760"/>
      <c r="I14107" s="760"/>
      <c r="J14107" s="760"/>
      <c r="K14107" s="760"/>
    </row>
    <row r="14108" spans="1:11">
      <c r="A14108" s="760"/>
      <c r="B14108" s="760"/>
      <c r="C14108" s="760"/>
      <c r="D14108" s="760"/>
      <c r="E14108" s="760"/>
      <c r="F14108" s="760"/>
      <c r="G14108" s="760"/>
      <c r="H14108" s="760"/>
      <c r="I14108" s="760"/>
      <c r="J14108" s="760"/>
      <c r="K14108" s="760"/>
    </row>
    <row r="14109" spans="1:11">
      <c r="A14109" s="760"/>
      <c r="B14109" s="760"/>
      <c r="C14109" s="760"/>
      <c r="D14109" s="760"/>
      <c r="E14109" s="760"/>
      <c r="F14109" s="760"/>
      <c r="G14109" s="760"/>
      <c r="H14109" s="760"/>
      <c r="I14109" s="760"/>
      <c r="J14109" s="760"/>
      <c r="K14109" s="760"/>
    </row>
    <row r="14110" spans="1:11">
      <c r="A14110" s="760"/>
      <c r="B14110" s="760"/>
      <c r="C14110" s="760"/>
      <c r="D14110" s="760"/>
      <c r="E14110" s="760"/>
      <c r="F14110" s="760"/>
      <c r="G14110" s="760"/>
      <c r="H14110" s="760"/>
      <c r="I14110" s="760"/>
      <c r="J14110" s="760"/>
      <c r="K14110" s="760"/>
    </row>
    <row r="14111" spans="1:11">
      <c r="A14111" s="760"/>
      <c r="B14111" s="760"/>
      <c r="C14111" s="760"/>
      <c r="D14111" s="760"/>
      <c r="E14111" s="760"/>
      <c r="F14111" s="760"/>
      <c r="G14111" s="760"/>
      <c r="H14111" s="760"/>
      <c r="I14111" s="760"/>
      <c r="J14111" s="760"/>
      <c r="K14111" s="760"/>
    </row>
    <row r="14112" spans="1:11">
      <c r="A14112" s="760"/>
      <c r="B14112" s="760"/>
      <c r="C14112" s="760"/>
      <c r="D14112" s="760"/>
      <c r="E14112" s="760"/>
      <c r="F14112" s="760"/>
      <c r="G14112" s="760"/>
      <c r="H14112" s="760"/>
      <c r="I14112" s="760"/>
      <c r="J14112" s="760"/>
      <c r="K14112" s="760"/>
    </row>
    <row r="14113" spans="1:11">
      <c r="A14113" s="760"/>
      <c r="B14113" s="760"/>
      <c r="C14113" s="760"/>
      <c r="D14113" s="760"/>
      <c r="E14113" s="760"/>
      <c r="F14113" s="760"/>
      <c r="G14113" s="760"/>
      <c r="H14113" s="760"/>
      <c r="I14113" s="760"/>
      <c r="J14113" s="760"/>
      <c r="K14113" s="760"/>
    </row>
    <row r="14114" spans="1:11">
      <c r="A14114" s="760"/>
      <c r="B14114" s="760"/>
      <c r="C14114" s="760"/>
      <c r="D14114" s="760"/>
      <c r="E14114" s="760"/>
      <c r="F14114" s="760"/>
      <c r="G14114" s="760"/>
      <c r="H14114" s="760"/>
      <c r="I14114" s="760"/>
      <c r="J14114" s="760"/>
      <c r="K14114" s="760"/>
    </row>
    <row r="14115" spans="1:11">
      <c r="A14115" s="760"/>
      <c r="B14115" s="760"/>
      <c r="C14115" s="760"/>
      <c r="D14115" s="760"/>
      <c r="E14115" s="760"/>
      <c r="F14115" s="760"/>
      <c r="G14115" s="760"/>
      <c r="H14115" s="760"/>
      <c r="I14115" s="760"/>
      <c r="J14115" s="760"/>
      <c r="K14115" s="760"/>
    </row>
    <row r="14116" spans="1:11">
      <c r="A14116" s="760"/>
      <c r="B14116" s="760"/>
      <c r="C14116" s="760"/>
      <c r="D14116" s="760"/>
      <c r="E14116" s="760"/>
      <c r="F14116" s="760"/>
      <c r="G14116" s="760"/>
      <c r="H14116" s="760"/>
      <c r="I14116" s="760"/>
      <c r="J14116" s="760"/>
      <c r="K14116" s="760"/>
    </row>
    <row r="14117" spans="1:11">
      <c r="A14117" s="760"/>
      <c r="B14117" s="760"/>
      <c r="C14117" s="760"/>
      <c r="D14117" s="760"/>
      <c r="E14117" s="760"/>
      <c r="F14117" s="760"/>
      <c r="G14117" s="760"/>
      <c r="H14117" s="760"/>
      <c r="I14117" s="760"/>
      <c r="J14117" s="760"/>
      <c r="K14117" s="760"/>
    </row>
    <row r="14118" spans="1:11">
      <c r="A14118" s="760"/>
      <c r="B14118" s="760"/>
      <c r="C14118" s="760"/>
      <c r="D14118" s="760"/>
      <c r="E14118" s="760"/>
      <c r="F14118" s="760"/>
      <c r="G14118" s="760"/>
      <c r="H14118" s="760"/>
      <c r="I14118" s="760"/>
      <c r="J14118" s="760"/>
      <c r="K14118" s="760"/>
    </row>
    <row r="14119" spans="1:11">
      <c r="A14119" s="760"/>
      <c r="B14119" s="760"/>
      <c r="C14119" s="760"/>
      <c r="D14119" s="760"/>
      <c r="E14119" s="760"/>
      <c r="F14119" s="760"/>
      <c r="G14119" s="760"/>
      <c r="H14119" s="760"/>
      <c r="I14119" s="760"/>
      <c r="J14119" s="760"/>
      <c r="K14119" s="760"/>
    </row>
    <row r="14120" spans="1:11">
      <c r="A14120" s="760"/>
      <c r="B14120" s="760"/>
      <c r="C14120" s="760"/>
      <c r="D14120" s="760"/>
      <c r="E14120" s="760"/>
      <c r="F14120" s="760"/>
      <c r="G14120" s="760"/>
      <c r="H14120" s="760"/>
      <c r="I14120" s="760"/>
      <c r="J14120" s="760"/>
      <c r="K14120" s="760"/>
    </row>
    <row r="14121" spans="1:11">
      <c r="A14121" s="760"/>
      <c r="B14121" s="760"/>
      <c r="C14121" s="760"/>
      <c r="D14121" s="760"/>
      <c r="E14121" s="760"/>
      <c r="F14121" s="760"/>
      <c r="G14121" s="760"/>
      <c r="H14121" s="760"/>
      <c r="I14121" s="760"/>
      <c r="J14121" s="760"/>
      <c r="K14121" s="760"/>
    </row>
    <row r="14122" spans="1:11">
      <c r="A14122" s="760"/>
      <c r="B14122" s="760"/>
      <c r="C14122" s="760"/>
      <c r="D14122" s="760"/>
      <c r="E14122" s="760"/>
      <c r="F14122" s="760"/>
      <c r="G14122" s="760"/>
      <c r="H14122" s="760"/>
      <c r="I14122" s="760"/>
      <c r="J14122" s="760"/>
      <c r="K14122" s="760"/>
    </row>
    <row r="14123" spans="1:11">
      <c r="A14123" s="760"/>
      <c r="B14123" s="760"/>
      <c r="C14123" s="760"/>
      <c r="D14123" s="760"/>
      <c r="E14123" s="760"/>
      <c r="F14123" s="760"/>
      <c r="G14123" s="760"/>
      <c r="H14123" s="760"/>
      <c r="I14123" s="760"/>
      <c r="J14123" s="760"/>
      <c r="K14123" s="760"/>
    </row>
    <row r="14124" spans="1:11">
      <c r="A14124" s="760"/>
      <c r="B14124" s="760"/>
      <c r="C14124" s="760"/>
      <c r="D14124" s="760"/>
      <c r="E14124" s="760"/>
      <c r="F14124" s="760"/>
      <c r="G14124" s="760"/>
      <c r="H14124" s="760"/>
      <c r="I14124" s="760"/>
      <c r="J14124" s="760"/>
      <c r="K14124" s="760"/>
    </row>
    <row r="14125" spans="1:11">
      <c r="A14125" s="760"/>
      <c r="B14125" s="760"/>
      <c r="C14125" s="760"/>
      <c r="D14125" s="760"/>
      <c r="E14125" s="760"/>
      <c r="F14125" s="760"/>
      <c r="G14125" s="760"/>
      <c r="H14125" s="760"/>
      <c r="I14125" s="760"/>
      <c r="J14125" s="760"/>
      <c r="K14125" s="760"/>
    </row>
    <row r="14126" spans="1:11">
      <c r="A14126" s="760"/>
      <c r="B14126" s="760"/>
      <c r="C14126" s="760"/>
      <c r="D14126" s="760"/>
      <c r="E14126" s="760"/>
      <c r="F14126" s="760"/>
      <c r="G14126" s="760"/>
      <c r="H14126" s="760"/>
      <c r="I14126" s="760"/>
      <c r="J14126" s="760"/>
      <c r="K14126" s="760"/>
    </row>
    <row r="14127" spans="1:11">
      <c r="A14127" s="760"/>
      <c r="B14127" s="760"/>
      <c r="C14127" s="760"/>
      <c r="D14127" s="760"/>
      <c r="E14127" s="760"/>
      <c r="F14127" s="760"/>
      <c r="G14127" s="760"/>
      <c r="H14127" s="760"/>
      <c r="I14127" s="760"/>
      <c r="J14127" s="760"/>
      <c r="K14127" s="760"/>
    </row>
    <row r="14128" spans="1:11">
      <c r="A14128" s="760"/>
      <c r="B14128" s="760"/>
      <c r="C14128" s="760"/>
      <c r="D14128" s="760"/>
      <c r="E14128" s="760"/>
      <c r="F14128" s="760"/>
      <c r="G14128" s="760"/>
      <c r="H14128" s="760"/>
      <c r="I14128" s="760"/>
      <c r="J14128" s="760"/>
      <c r="K14128" s="760"/>
    </row>
    <row r="14129" spans="1:11">
      <c r="A14129" s="760"/>
      <c r="B14129" s="760"/>
      <c r="C14129" s="760"/>
      <c r="D14129" s="760"/>
      <c r="E14129" s="760"/>
      <c r="F14129" s="760"/>
      <c r="G14129" s="760"/>
      <c r="H14129" s="760"/>
      <c r="I14129" s="760"/>
      <c r="J14129" s="760"/>
      <c r="K14129" s="760"/>
    </row>
    <row r="14130" spans="1:11">
      <c r="A14130" s="760"/>
      <c r="B14130" s="760"/>
      <c r="C14130" s="760"/>
      <c r="D14130" s="760"/>
      <c r="E14130" s="760"/>
      <c r="F14130" s="760"/>
      <c r="G14130" s="760"/>
      <c r="H14130" s="760"/>
      <c r="I14130" s="760"/>
      <c r="J14130" s="760"/>
      <c r="K14130" s="760"/>
    </row>
    <row r="14131" spans="1:11">
      <c r="A14131" s="760"/>
      <c r="B14131" s="760"/>
      <c r="C14131" s="760"/>
      <c r="D14131" s="760"/>
      <c r="E14131" s="760"/>
      <c r="F14131" s="760"/>
      <c r="G14131" s="760"/>
      <c r="H14131" s="760"/>
      <c r="I14131" s="760"/>
      <c r="J14131" s="760"/>
      <c r="K14131" s="760"/>
    </row>
    <row r="14132" spans="1:11">
      <c r="A14132" s="760"/>
      <c r="B14132" s="760"/>
      <c r="C14132" s="760"/>
      <c r="D14132" s="760"/>
      <c r="E14132" s="760"/>
      <c r="F14132" s="760"/>
      <c r="G14132" s="760"/>
      <c r="H14132" s="760"/>
      <c r="I14132" s="760"/>
      <c r="J14132" s="760"/>
      <c r="K14132" s="760"/>
    </row>
    <row r="14133" spans="1:11">
      <c r="A14133" s="760"/>
      <c r="B14133" s="760"/>
      <c r="C14133" s="760"/>
      <c r="D14133" s="760"/>
      <c r="E14133" s="760"/>
      <c r="F14133" s="760"/>
      <c r="G14133" s="760"/>
      <c r="H14133" s="760"/>
      <c r="I14133" s="760"/>
      <c r="J14133" s="760"/>
      <c r="K14133" s="760"/>
    </row>
    <row r="14134" spans="1:11">
      <c r="A14134" s="760"/>
      <c r="B14134" s="760"/>
      <c r="C14134" s="760"/>
      <c r="D14134" s="760"/>
      <c r="E14134" s="760"/>
      <c r="F14134" s="760"/>
      <c r="G14134" s="760"/>
      <c r="H14134" s="760"/>
      <c r="I14134" s="760"/>
      <c r="J14134" s="760"/>
      <c r="K14134" s="760"/>
    </row>
    <row r="14135" spans="1:11">
      <c r="A14135" s="760"/>
      <c r="B14135" s="760"/>
      <c r="C14135" s="760"/>
      <c r="D14135" s="760"/>
      <c r="E14135" s="760"/>
      <c r="F14135" s="760"/>
      <c r="G14135" s="760"/>
      <c r="H14135" s="760"/>
      <c r="I14135" s="760"/>
      <c r="J14135" s="760"/>
      <c r="K14135" s="760"/>
    </row>
    <row r="14136" spans="1:11">
      <c r="A14136" s="760"/>
      <c r="B14136" s="760"/>
      <c r="C14136" s="760"/>
      <c r="D14136" s="760"/>
      <c r="E14136" s="760"/>
      <c r="F14136" s="760"/>
      <c r="G14136" s="760"/>
      <c r="H14136" s="760"/>
      <c r="I14136" s="760"/>
      <c r="J14136" s="760"/>
      <c r="K14136" s="760"/>
    </row>
    <row r="14137" spans="1:11">
      <c r="A14137" s="760"/>
      <c r="B14137" s="760"/>
      <c r="C14137" s="760"/>
      <c r="D14137" s="760"/>
      <c r="E14137" s="760"/>
      <c r="F14137" s="760"/>
      <c r="G14137" s="760"/>
      <c r="H14137" s="760"/>
      <c r="I14137" s="760"/>
      <c r="J14137" s="760"/>
      <c r="K14137" s="760"/>
    </row>
    <row r="14138" spans="1:11">
      <c r="A14138" s="760"/>
      <c r="B14138" s="760"/>
      <c r="C14138" s="760"/>
      <c r="D14138" s="760"/>
      <c r="E14138" s="760"/>
      <c r="F14138" s="760"/>
      <c r="G14138" s="760"/>
      <c r="H14138" s="760"/>
      <c r="I14138" s="760"/>
      <c r="J14138" s="760"/>
      <c r="K14138" s="760"/>
    </row>
    <row r="14139" spans="1:11">
      <c r="A14139" s="760"/>
      <c r="B14139" s="760"/>
      <c r="C14139" s="760"/>
      <c r="D14139" s="760"/>
      <c r="E14139" s="760"/>
      <c r="F14139" s="760"/>
      <c r="G14139" s="760"/>
      <c r="H14139" s="760"/>
      <c r="I14139" s="760"/>
      <c r="J14139" s="760"/>
      <c r="K14139" s="760"/>
    </row>
    <row r="14140" spans="1:11">
      <c r="A14140" s="760"/>
      <c r="B14140" s="760"/>
      <c r="C14140" s="760"/>
      <c r="D14140" s="760"/>
      <c r="E14140" s="760"/>
      <c r="F14140" s="760"/>
      <c r="G14140" s="760"/>
      <c r="H14140" s="760"/>
      <c r="I14140" s="760"/>
      <c r="J14140" s="760"/>
      <c r="K14140" s="760"/>
    </row>
    <row r="14141" spans="1:11">
      <c r="A14141" s="760"/>
      <c r="B14141" s="760"/>
      <c r="C14141" s="760"/>
      <c r="D14141" s="760"/>
      <c r="E14141" s="760"/>
      <c r="F14141" s="760"/>
      <c r="G14141" s="760"/>
      <c r="H14141" s="760"/>
      <c r="I14141" s="760"/>
      <c r="J14141" s="760"/>
      <c r="K14141" s="760"/>
    </row>
    <row r="14142" spans="1:11">
      <c r="A14142" s="760"/>
      <c r="B14142" s="760"/>
      <c r="C14142" s="760"/>
      <c r="D14142" s="760"/>
      <c r="E14142" s="760"/>
      <c r="F14142" s="760"/>
      <c r="G14142" s="760"/>
      <c r="H14142" s="760"/>
      <c r="I14142" s="760"/>
      <c r="J14142" s="760"/>
      <c r="K14142" s="760"/>
    </row>
    <row r="14143" spans="1:11">
      <c r="A14143" s="760"/>
      <c r="B14143" s="760"/>
      <c r="C14143" s="760"/>
      <c r="D14143" s="760"/>
      <c r="E14143" s="760"/>
      <c r="F14143" s="760"/>
      <c r="G14143" s="760"/>
      <c r="H14143" s="760"/>
      <c r="I14143" s="760"/>
      <c r="J14143" s="760"/>
      <c r="K14143" s="760"/>
    </row>
    <row r="14144" spans="1:11">
      <c r="A14144" s="760"/>
      <c r="B14144" s="760"/>
      <c r="C14144" s="760"/>
      <c r="D14144" s="760"/>
      <c r="E14144" s="760"/>
      <c r="F14144" s="760"/>
      <c r="G14144" s="760"/>
      <c r="H14144" s="760"/>
      <c r="I14144" s="760"/>
      <c r="J14144" s="760"/>
      <c r="K14144" s="760"/>
    </row>
    <row r="14145" spans="1:11">
      <c r="A14145" s="760"/>
      <c r="B14145" s="760"/>
      <c r="C14145" s="760"/>
      <c r="D14145" s="760"/>
      <c r="E14145" s="760"/>
      <c r="F14145" s="760"/>
      <c r="G14145" s="760"/>
      <c r="H14145" s="760"/>
      <c r="I14145" s="760"/>
      <c r="J14145" s="760"/>
      <c r="K14145" s="760"/>
    </row>
    <row r="14146" spans="1:11">
      <c r="A14146" s="760"/>
      <c r="B14146" s="760"/>
      <c r="C14146" s="760"/>
      <c r="D14146" s="760"/>
      <c r="E14146" s="760"/>
      <c r="F14146" s="760"/>
      <c r="G14146" s="760"/>
      <c r="H14146" s="760"/>
      <c r="I14146" s="760"/>
      <c r="J14146" s="760"/>
      <c r="K14146" s="760"/>
    </row>
    <row r="14147" spans="1:11">
      <c r="A14147" s="760"/>
      <c r="B14147" s="760"/>
      <c r="C14147" s="760"/>
      <c r="D14147" s="760"/>
      <c r="E14147" s="760"/>
      <c r="F14147" s="760"/>
      <c r="G14147" s="760"/>
      <c r="H14147" s="760"/>
      <c r="I14147" s="760"/>
      <c r="J14147" s="760"/>
      <c r="K14147" s="760"/>
    </row>
    <row r="14148" spans="1:11">
      <c r="A14148" s="760"/>
      <c r="B14148" s="760"/>
      <c r="C14148" s="760"/>
      <c r="D14148" s="760"/>
      <c r="E14148" s="760"/>
      <c r="F14148" s="760"/>
      <c r="G14148" s="760"/>
      <c r="H14148" s="760"/>
      <c r="I14148" s="760"/>
      <c r="J14148" s="760"/>
      <c r="K14148" s="760"/>
    </row>
    <row r="14149" spans="1:11">
      <c r="A14149" s="760"/>
      <c r="B14149" s="760"/>
      <c r="C14149" s="760"/>
      <c r="D14149" s="760"/>
      <c r="E14149" s="760"/>
      <c r="F14149" s="760"/>
      <c r="G14149" s="760"/>
      <c r="H14149" s="760"/>
      <c r="I14149" s="760"/>
      <c r="J14149" s="760"/>
      <c r="K14149" s="760"/>
    </row>
    <row r="14150" spans="1:11">
      <c r="A14150" s="760"/>
      <c r="B14150" s="760"/>
      <c r="C14150" s="760"/>
      <c r="D14150" s="760"/>
      <c r="E14150" s="760"/>
      <c r="F14150" s="760"/>
      <c r="G14150" s="760"/>
      <c r="H14150" s="760"/>
      <c r="I14150" s="760"/>
      <c r="J14150" s="760"/>
      <c r="K14150" s="760"/>
    </row>
    <row r="14151" spans="1:11">
      <c r="A14151" s="760"/>
      <c r="B14151" s="760"/>
      <c r="C14151" s="760"/>
      <c r="D14151" s="760"/>
      <c r="E14151" s="760"/>
      <c r="F14151" s="760"/>
      <c r="G14151" s="760"/>
      <c r="H14151" s="760"/>
      <c r="I14151" s="760"/>
      <c r="J14151" s="760"/>
      <c r="K14151" s="760"/>
    </row>
    <row r="14152" spans="1:11">
      <c r="A14152" s="760"/>
      <c r="B14152" s="760"/>
      <c r="C14152" s="760"/>
      <c r="D14152" s="760"/>
      <c r="E14152" s="760"/>
      <c r="F14152" s="760"/>
      <c r="G14152" s="760"/>
      <c r="H14152" s="760"/>
      <c r="I14152" s="760"/>
      <c r="J14152" s="760"/>
      <c r="K14152" s="760"/>
    </row>
    <row r="14153" spans="1:11">
      <c r="A14153" s="760"/>
      <c r="B14153" s="760"/>
      <c r="C14153" s="760"/>
      <c r="D14153" s="760"/>
      <c r="E14153" s="760"/>
      <c r="F14153" s="760"/>
      <c r="G14153" s="760"/>
      <c r="H14153" s="760"/>
      <c r="I14153" s="760"/>
      <c r="J14153" s="760"/>
      <c r="K14153" s="760"/>
    </row>
    <row r="14154" spans="1:11">
      <c r="A14154" s="760"/>
      <c r="B14154" s="760"/>
      <c r="C14154" s="760"/>
      <c r="D14154" s="760"/>
      <c r="E14154" s="760"/>
      <c r="F14154" s="760"/>
      <c r="G14154" s="760"/>
      <c r="H14154" s="760"/>
      <c r="I14154" s="760"/>
      <c r="J14154" s="760"/>
      <c r="K14154" s="760"/>
    </row>
    <row r="14155" spans="1:11">
      <c r="A14155" s="760"/>
      <c r="B14155" s="760"/>
      <c r="C14155" s="760"/>
      <c r="D14155" s="760"/>
      <c r="E14155" s="760"/>
      <c r="F14155" s="760"/>
      <c r="G14155" s="760"/>
      <c r="H14155" s="760"/>
      <c r="I14155" s="760"/>
      <c r="J14155" s="760"/>
      <c r="K14155" s="760"/>
    </row>
    <row r="14156" spans="1:11">
      <c r="A14156" s="760"/>
      <c r="B14156" s="760"/>
      <c r="C14156" s="760"/>
      <c r="D14156" s="760"/>
      <c r="E14156" s="760"/>
      <c r="F14156" s="760"/>
      <c r="G14156" s="760"/>
      <c r="H14156" s="760"/>
      <c r="I14156" s="760"/>
      <c r="J14156" s="760"/>
      <c r="K14156" s="760"/>
    </row>
    <row r="14157" spans="1:11">
      <c r="A14157" s="760"/>
      <c r="B14157" s="760"/>
      <c r="C14157" s="760"/>
      <c r="D14157" s="760"/>
      <c r="E14157" s="760"/>
      <c r="F14157" s="760"/>
      <c r="G14157" s="760"/>
      <c r="H14157" s="760"/>
      <c r="I14157" s="760"/>
      <c r="J14157" s="760"/>
      <c r="K14157" s="760"/>
    </row>
    <row r="14158" spans="1:11">
      <c r="A14158" s="760"/>
      <c r="B14158" s="760"/>
      <c r="C14158" s="760"/>
      <c r="D14158" s="760"/>
      <c r="E14158" s="760"/>
      <c r="F14158" s="760"/>
      <c r="G14158" s="760"/>
      <c r="H14158" s="760"/>
      <c r="I14158" s="760"/>
      <c r="J14158" s="760"/>
      <c r="K14158" s="760"/>
    </row>
    <row r="14159" spans="1:11">
      <c r="A14159" s="760"/>
      <c r="B14159" s="760"/>
      <c r="C14159" s="760"/>
      <c r="D14159" s="760"/>
      <c r="E14159" s="760"/>
      <c r="F14159" s="760"/>
      <c r="G14159" s="760"/>
      <c r="H14159" s="760"/>
      <c r="I14159" s="760"/>
      <c r="J14159" s="760"/>
      <c r="K14159" s="760"/>
    </row>
    <row r="14160" spans="1:11">
      <c r="A14160" s="760"/>
      <c r="B14160" s="760"/>
      <c r="C14160" s="760"/>
      <c r="D14160" s="760"/>
      <c r="E14160" s="760"/>
      <c r="F14160" s="760"/>
      <c r="G14160" s="760"/>
      <c r="H14160" s="760"/>
      <c r="I14160" s="760"/>
      <c r="J14160" s="760"/>
      <c r="K14160" s="760"/>
    </row>
    <row r="14161" spans="1:11">
      <c r="A14161" s="760"/>
      <c r="B14161" s="760"/>
      <c r="C14161" s="760"/>
      <c r="D14161" s="760"/>
      <c r="E14161" s="760"/>
      <c r="F14161" s="760"/>
      <c r="G14161" s="760"/>
      <c r="H14161" s="760"/>
      <c r="I14161" s="760"/>
      <c r="J14161" s="760"/>
      <c r="K14161" s="760"/>
    </row>
    <row r="14162" spans="1:11">
      <c r="A14162" s="760"/>
      <c r="B14162" s="760"/>
      <c r="C14162" s="760"/>
      <c r="D14162" s="760"/>
      <c r="E14162" s="760"/>
      <c r="F14162" s="760"/>
      <c r="G14162" s="760"/>
      <c r="H14162" s="760"/>
      <c r="I14162" s="760"/>
      <c r="J14162" s="760"/>
      <c r="K14162" s="760"/>
    </row>
    <row r="14163" spans="1:11">
      <c r="A14163" s="760"/>
      <c r="B14163" s="760"/>
      <c r="C14163" s="760"/>
      <c r="D14163" s="760"/>
      <c r="E14163" s="760"/>
      <c r="F14163" s="760"/>
      <c r="G14163" s="760"/>
      <c r="H14163" s="760"/>
      <c r="I14163" s="760"/>
      <c r="J14163" s="760"/>
      <c r="K14163" s="760"/>
    </row>
    <row r="14164" spans="1:11">
      <c r="A14164" s="760"/>
      <c r="B14164" s="760"/>
      <c r="C14164" s="760"/>
      <c r="D14164" s="760"/>
      <c r="E14164" s="760"/>
      <c r="F14164" s="760"/>
      <c r="G14164" s="760"/>
      <c r="H14164" s="760"/>
      <c r="I14164" s="760"/>
      <c r="J14164" s="760"/>
      <c r="K14164" s="760"/>
    </row>
    <row r="14165" spans="1:11">
      <c r="A14165" s="760"/>
      <c r="B14165" s="760"/>
      <c r="C14165" s="760"/>
      <c r="D14165" s="760"/>
      <c r="E14165" s="760"/>
      <c r="F14165" s="760"/>
      <c r="G14165" s="760"/>
      <c r="H14165" s="760"/>
      <c r="I14165" s="760"/>
      <c r="J14165" s="760"/>
      <c r="K14165" s="760"/>
    </row>
    <row r="14166" spans="1:11">
      <c r="A14166" s="760"/>
      <c r="B14166" s="760"/>
      <c r="C14166" s="760"/>
      <c r="D14166" s="760"/>
      <c r="E14166" s="760"/>
      <c r="F14166" s="760"/>
      <c r="G14166" s="760"/>
      <c r="H14166" s="760"/>
      <c r="I14166" s="760"/>
      <c r="J14166" s="760"/>
      <c r="K14166" s="760"/>
    </row>
    <row r="14167" spans="1:11">
      <c r="A14167" s="760"/>
      <c r="B14167" s="760"/>
      <c r="C14167" s="760"/>
      <c r="D14167" s="760"/>
      <c r="E14167" s="760"/>
      <c r="F14167" s="760"/>
      <c r="G14167" s="760"/>
      <c r="H14167" s="760"/>
      <c r="I14167" s="760"/>
      <c r="J14167" s="760"/>
      <c r="K14167" s="760"/>
    </row>
    <row r="14168" spans="1:11">
      <c r="A14168" s="760"/>
      <c r="B14168" s="760"/>
      <c r="C14168" s="760"/>
      <c r="D14168" s="760"/>
      <c r="E14168" s="760"/>
      <c r="F14168" s="760"/>
      <c r="G14168" s="760"/>
      <c r="H14168" s="760"/>
      <c r="I14168" s="760"/>
      <c r="J14168" s="760"/>
      <c r="K14168" s="760"/>
    </row>
    <row r="14169" spans="1:11">
      <c r="A14169" s="760"/>
      <c r="B14169" s="760"/>
      <c r="C14169" s="760"/>
      <c r="D14169" s="760"/>
      <c r="E14169" s="760"/>
      <c r="F14169" s="760"/>
      <c r="G14169" s="760"/>
      <c r="H14169" s="760"/>
      <c r="I14169" s="760"/>
      <c r="J14169" s="760"/>
      <c r="K14169" s="760"/>
    </row>
    <row r="14170" spans="1:11">
      <c r="A14170" s="760"/>
      <c r="B14170" s="760"/>
      <c r="C14170" s="760"/>
      <c r="D14170" s="760"/>
      <c r="E14170" s="760"/>
      <c r="F14170" s="760"/>
      <c r="G14170" s="760"/>
      <c r="H14170" s="760"/>
      <c r="I14170" s="760"/>
      <c r="J14170" s="760"/>
      <c r="K14170" s="760"/>
    </row>
    <row r="14171" spans="1:11">
      <c r="A14171" s="760"/>
      <c r="B14171" s="760"/>
      <c r="C14171" s="760"/>
      <c r="D14171" s="760"/>
      <c r="E14171" s="760"/>
      <c r="F14171" s="760"/>
      <c r="G14171" s="760"/>
      <c r="H14171" s="760"/>
      <c r="I14171" s="760"/>
      <c r="J14171" s="760"/>
      <c r="K14171" s="760"/>
    </row>
    <row r="14172" spans="1:11">
      <c r="A14172" s="760"/>
      <c r="B14172" s="760"/>
      <c r="C14172" s="760"/>
      <c r="D14172" s="760"/>
      <c r="E14172" s="760"/>
      <c r="F14172" s="760"/>
      <c r="G14172" s="760"/>
      <c r="H14172" s="760"/>
      <c r="I14172" s="760"/>
      <c r="J14172" s="760"/>
      <c r="K14172" s="760"/>
    </row>
    <row r="14173" spans="1:11">
      <c r="A14173" s="760"/>
      <c r="B14173" s="760"/>
      <c r="C14173" s="760"/>
      <c r="D14173" s="760"/>
      <c r="E14173" s="760"/>
      <c r="F14173" s="760"/>
      <c r="G14173" s="760"/>
      <c r="H14173" s="760"/>
      <c r="I14173" s="760"/>
      <c r="J14173" s="760"/>
      <c r="K14173" s="760"/>
    </row>
    <row r="14174" spans="1:11">
      <c r="A14174" s="760"/>
      <c r="B14174" s="760"/>
      <c r="C14174" s="760"/>
      <c r="D14174" s="760"/>
      <c r="E14174" s="760"/>
      <c r="F14174" s="760"/>
      <c r="G14174" s="760"/>
      <c r="H14174" s="760"/>
      <c r="I14174" s="760"/>
      <c r="J14174" s="760"/>
      <c r="K14174" s="760"/>
    </row>
    <row r="14175" spans="1:11">
      <c r="A14175" s="760"/>
      <c r="B14175" s="760"/>
      <c r="C14175" s="760"/>
      <c r="D14175" s="760"/>
      <c r="E14175" s="760"/>
      <c r="F14175" s="760"/>
      <c r="G14175" s="760"/>
      <c r="H14175" s="760"/>
      <c r="I14175" s="760"/>
      <c r="J14175" s="760"/>
      <c r="K14175" s="760"/>
    </row>
    <row r="14176" spans="1:11">
      <c r="A14176" s="760"/>
      <c r="B14176" s="760"/>
      <c r="C14176" s="760"/>
      <c r="D14176" s="760"/>
      <c r="E14176" s="760"/>
      <c r="F14176" s="760"/>
      <c r="G14176" s="760"/>
      <c r="H14176" s="760"/>
      <c r="I14176" s="760"/>
      <c r="J14176" s="760"/>
      <c r="K14176" s="760"/>
    </row>
    <row r="14177" spans="1:11">
      <c r="A14177" s="760"/>
      <c r="B14177" s="760"/>
      <c r="C14177" s="760"/>
      <c r="D14177" s="760"/>
      <c r="E14177" s="760"/>
      <c r="F14177" s="760"/>
      <c r="G14177" s="760"/>
      <c r="H14177" s="760"/>
      <c r="I14177" s="760"/>
      <c r="J14177" s="760"/>
      <c r="K14177" s="760"/>
    </row>
    <row r="14178" spans="1:11">
      <c r="A14178" s="760"/>
      <c r="B14178" s="760"/>
      <c r="C14178" s="760"/>
      <c r="D14178" s="760"/>
      <c r="E14178" s="760"/>
      <c r="F14178" s="760"/>
      <c r="G14178" s="760"/>
      <c r="H14178" s="760"/>
      <c r="I14178" s="760"/>
      <c r="J14178" s="760"/>
      <c r="K14178" s="760"/>
    </row>
    <row r="14179" spans="1:11">
      <c r="A14179" s="760"/>
      <c r="B14179" s="760"/>
      <c r="C14179" s="760"/>
      <c r="D14179" s="760"/>
      <c r="E14179" s="760"/>
      <c r="F14179" s="760"/>
      <c r="G14179" s="760"/>
      <c r="H14179" s="760"/>
      <c r="I14179" s="760"/>
      <c r="J14179" s="760"/>
      <c r="K14179" s="760"/>
    </row>
    <row r="14180" spans="1:11">
      <c r="A14180" s="760"/>
      <c r="B14180" s="760"/>
      <c r="C14180" s="760"/>
      <c r="D14180" s="760"/>
      <c r="E14180" s="760"/>
      <c r="F14180" s="760"/>
      <c r="G14180" s="760"/>
      <c r="H14180" s="760"/>
      <c r="I14180" s="760"/>
      <c r="J14180" s="760"/>
      <c r="K14180" s="760"/>
    </row>
    <row r="14181" spans="1:11">
      <c r="A14181" s="760"/>
      <c r="B14181" s="760"/>
      <c r="C14181" s="760"/>
      <c r="D14181" s="760"/>
      <c r="E14181" s="760"/>
      <c r="F14181" s="760"/>
      <c r="G14181" s="760"/>
      <c r="H14181" s="760"/>
      <c r="I14181" s="760"/>
      <c r="J14181" s="760"/>
      <c r="K14181" s="760"/>
    </row>
    <row r="14182" spans="1:11">
      <c r="A14182" s="760"/>
      <c r="B14182" s="760"/>
      <c r="C14182" s="760"/>
      <c r="D14182" s="760"/>
      <c r="E14182" s="760"/>
      <c r="F14182" s="760"/>
      <c r="G14182" s="760"/>
      <c r="H14182" s="760"/>
      <c r="I14182" s="760"/>
      <c r="J14182" s="760"/>
      <c r="K14182" s="760"/>
    </row>
    <row r="14183" spans="1:11">
      <c r="A14183" s="760"/>
      <c r="B14183" s="760"/>
      <c r="C14183" s="760"/>
      <c r="D14183" s="760"/>
      <c r="E14183" s="760"/>
      <c r="F14183" s="760"/>
      <c r="G14183" s="760"/>
      <c r="H14183" s="760"/>
      <c r="I14183" s="760"/>
      <c r="J14183" s="760"/>
      <c r="K14183" s="760"/>
    </row>
    <row r="14184" spans="1:11">
      <c r="A14184" s="760"/>
      <c r="B14184" s="760"/>
      <c r="C14184" s="760"/>
      <c r="D14184" s="760"/>
      <c r="E14184" s="760"/>
      <c r="F14184" s="760"/>
      <c r="G14184" s="760"/>
      <c r="H14184" s="760"/>
      <c r="I14184" s="760"/>
      <c r="J14184" s="760"/>
      <c r="K14184" s="760"/>
    </row>
    <row r="14185" spans="1:11">
      <c r="A14185" s="760"/>
      <c r="B14185" s="760"/>
      <c r="C14185" s="760"/>
      <c r="D14185" s="760"/>
      <c r="E14185" s="760"/>
      <c r="F14185" s="760"/>
      <c r="G14185" s="760"/>
      <c r="H14185" s="760"/>
      <c r="I14185" s="760"/>
      <c r="J14185" s="760"/>
      <c r="K14185" s="760"/>
    </row>
    <row r="14186" spans="1:11">
      <c r="A14186" s="760"/>
      <c r="B14186" s="760"/>
      <c r="C14186" s="760"/>
      <c r="D14186" s="760"/>
      <c r="E14186" s="760"/>
      <c r="F14186" s="760"/>
      <c r="G14186" s="760"/>
      <c r="H14186" s="760"/>
      <c r="I14186" s="760"/>
      <c r="J14186" s="760"/>
      <c r="K14186" s="760"/>
    </row>
    <row r="14187" spans="1:11">
      <c r="A14187" s="760"/>
      <c r="B14187" s="760"/>
      <c r="C14187" s="760"/>
      <c r="D14187" s="760"/>
      <c r="E14187" s="760"/>
      <c r="F14187" s="760"/>
      <c r="G14187" s="760"/>
      <c r="H14187" s="760"/>
      <c r="I14187" s="760"/>
      <c r="J14187" s="760"/>
      <c r="K14187" s="760"/>
    </row>
    <row r="14188" spans="1:11">
      <c r="A14188" s="760"/>
      <c r="B14188" s="760"/>
      <c r="C14188" s="760"/>
      <c r="D14188" s="760"/>
      <c r="E14188" s="760"/>
      <c r="F14188" s="760"/>
      <c r="G14188" s="760"/>
      <c r="H14188" s="760"/>
      <c r="I14188" s="760"/>
      <c r="J14188" s="760"/>
      <c r="K14188" s="760"/>
    </row>
    <row r="14189" spans="1:11">
      <c r="A14189" s="760"/>
      <c r="B14189" s="760"/>
      <c r="C14189" s="760"/>
      <c r="D14189" s="760"/>
      <c r="E14189" s="760"/>
      <c r="F14189" s="760"/>
      <c r="G14189" s="760"/>
      <c r="H14189" s="760"/>
      <c r="I14189" s="760"/>
      <c r="J14189" s="760"/>
      <c r="K14189" s="760"/>
    </row>
    <row r="14190" spans="1:11">
      <c r="A14190" s="760"/>
      <c r="B14190" s="760"/>
      <c r="C14190" s="760"/>
      <c r="D14190" s="760"/>
      <c r="E14190" s="760"/>
      <c r="F14190" s="760"/>
      <c r="G14190" s="760"/>
      <c r="H14190" s="760"/>
      <c r="I14190" s="760"/>
      <c r="J14190" s="760"/>
      <c r="K14190" s="760"/>
    </row>
    <row r="14191" spans="1:11">
      <c r="A14191" s="760"/>
      <c r="B14191" s="760"/>
      <c r="C14191" s="760"/>
      <c r="D14191" s="760"/>
      <c r="E14191" s="760"/>
      <c r="F14191" s="760"/>
      <c r="G14191" s="760"/>
      <c r="H14191" s="760"/>
      <c r="I14191" s="760"/>
      <c r="J14191" s="760"/>
      <c r="K14191" s="760"/>
    </row>
    <row r="14192" spans="1:11">
      <c r="A14192" s="760"/>
      <c r="B14192" s="760"/>
      <c r="C14192" s="760"/>
      <c r="D14192" s="760"/>
      <c r="E14192" s="760"/>
      <c r="F14192" s="760"/>
      <c r="G14192" s="760"/>
      <c r="H14192" s="760"/>
      <c r="I14192" s="760"/>
      <c r="J14192" s="760"/>
      <c r="K14192" s="760"/>
    </row>
    <row r="14193" spans="1:11">
      <c r="A14193" s="760"/>
      <c r="B14193" s="760"/>
      <c r="C14193" s="760"/>
      <c r="D14193" s="760"/>
      <c r="E14193" s="760"/>
      <c r="F14193" s="760"/>
      <c r="G14193" s="760"/>
      <c r="H14193" s="760"/>
      <c r="I14193" s="760"/>
      <c r="J14193" s="760"/>
      <c r="K14193" s="760"/>
    </row>
    <row r="14194" spans="1:11">
      <c r="A14194" s="760"/>
      <c r="B14194" s="760"/>
      <c r="C14194" s="760"/>
      <c r="D14194" s="760"/>
      <c r="E14194" s="760"/>
      <c r="F14194" s="760"/>
      <c r="G14194" s="760"/>
      <c r="H14194" s="760"/>
      <c r="I14194" s="760"/>
      <c r="J14194" s="760"/>
      <c r="K14194" s="760"/>
    </row>
    <row r="14195" spans="1:11">
      <c r="A14195" s="760"/>
      <c r="B14195" s="760"/>
      <c r="C14195" s="760"/>
      <c r="D14195" s="760"/>
      <c r="E14195" s="760"/>
      <c r="F14195" s="760"/>
      <c r="G14195" s="760"/>
      <c r="H14195" s="760"/>
      <c r="I14195" s="760"/>
      <c r="J14195" s="760"/>
      <c r="K14195" s="760"/>
    </row>
    <row r="14196" spans="1:11">
      <c r="A14196" s="760"/>
      <c r="B14196" s="760"/>
      <c r="C14196" s="760"/>
      <c r="D14196" s="760"/>
      <c r="E14196" s="760"/>
      <c r="F14196" s="760"/>
      <c r="G14196" s="760"/>
      <c r="H14196" s="760"/>
      <c r="I14196" s="760"/>
      <c r="J14196" s="760"/>
      <c r="K14196" s="760"/>
    </row>
    <row r="14197" spans="1:11">
      <c r="A14197" s="760"/>
      <c r="B14197" s="760"/>
      <c r="C14197" s="760"/>
      <c r="D14197" s="760"/>
      <c r="E14197" s="760"/>
      <c r="F14197" s="760"/>
      <c r="G14197" s="760"/>
      <c r="H14197" s="760"/>
      <c r="I14197" s="760"/>
      <c r="J14197" s="760"/>
      <c r="K14197" s="760"/>
    </row>
    <row r="14198" spans="1:11">
      <c r="A14198" s="760"/>
      <c r="B14198" s="760"/>
      <c r="C14198" s="760"/>
      <c r="D14198" s="760"/>
      <c r="E14198" s="760"/>
      <c r="F14198" s="760"/>
      <c r="G14198" s="760"/>
      <c r="H14198" s="760"/>
      <c r="I14198" s="760"/>
      <c r="J14198" s="760"/>
      <c r="K14198" s="760"/>
    </row>
    <row r="14199" spans="1:11">
      <c r="A14199" s="760"/>
      <c r="B14199" s="760"/>
      <c r="C14199" s="760"/>
      <c r="D14199" s="760"/>
      <c r="E14199" s="760"/>
      <c r="F14199" s="760"/>
      <c r="G14199" s="760"/>
      <c r="H14199" s="760"/>
      <c r="I14199" s="760"/>
      <c r="J14199" s="760"/>
      <c r="K14199" s="760"/>
    </row>
    <row r="14200" spans="1:11">
      <c r="A14200" s="760"/>
      <c r="B14200" s="760"/>
      <c r="C14200" s="760"/>
      <c r="D14200" s="760"/>
      <c r="E14200" s="760"/>
      <c r="F14200" s="760"/>
      <c r="G14200" s="760"/>
      <c r="H14200" s="760"/>
      <c r="I14200" s="760"/>
      <c r="J14200" s="760"/>
      <c r="K14200" s="760"/>
    </row>
    <row r="14201" spans="1:11">
      <c r="A14201" s="760"/>
      <c r="B14201" s="760"/>
      <c r="C14201" s="760"/>
      <c r="D14201" s="760"/>
      <c r="E14201" s="760"/>
      <c r="F14201" s="760"/>
      <c r="G14201" s="760"/>
      <c r="H14201" s="760"/>
      <c r="I14201" s="760"/>
      <c r="J14201" s="760"/>
      <c r="K14201" s="760"/>
    </row>
    <row r="14202" spans="1:11">
      <c r="A14202" s="760"/>
      <c r="B14202" s="760"/>
      <c r="C14202" s="760"/>
      <c r="D14202" s="760"/>
      <c r="E14202" s="760"/>
      <c r="F14202" s="760"/>
      <c r="G14202" s="760"/>
      <c r="H14202" s="760"/>
      <c r="I14202" s="760"/>
      <c r="J14202" s="760"/>
      <c r="K14202" s="760"/>
    </row>
    <row r="14203" spans="1:11">
      <c r="A14203" s="760"/>
      <c r="B14203" s="760"/>
      <c r="C14203" s="760"/>
      <c r="D14203" s="760"/>
      <c r="E14203" s="760"/>
      <c r="F14203" s="760"/>
      <c r="G14203" s="760"/>
      <c r="H14203" s="760"/>
      <c r="I14203" s="760"/>
      <c r="J14203" s="760"/>
      <c r="K14203" s="760"/>
    </row>
    <row r="14204" spans="1:11">
      <c r="A14204" s="760"/>
      <c r="B14204" s="760"/>
      <c r="C14204" s="760"/>
      <c r="D14204" s="760"/>
      <c r="E14204" s="760"/>
      <c r="F14204" s="760"/>
      <c r="G14204" s="760"/>
      <c r="H14204" s="760"/>
      <c r="I14204" s="760"/>
      <c r="J14204" s="760"/>
      <c r="K14204" s="760"/>
    </row>
    <row r="14205" spans="1:11">
      <c r="A14205" s="760"/>
      <c r="B14205" s="760"/>
      <c r="C14205" s="760"/>
      <c r="D14205" s="760"/>
      <c r="E14205" s="760"/>
      <c r="F14205" s="760"/>
      <c r="G14205" s="760"/>
      <c r="H14205" s="760"/>
      <c r="I14205" s="760"/>
      <c r="J14205" s="760"/>
      <c r="K14205" s="760"/>
    </row>
    <row r="14206" spans="1:11">
      <c r="A14206" s="760"/>
      <c r="B14206" s="760"/>
      <c r="C14206" s="760"/>
      <c r="D14206" s="760"/>
      <c r="E14206" s="760"/>
      <c r="F14206" s="760"/>
      <c r="G14206" s="760"/>
      <c r="H14206" s="760"/>
      <c r="I14206" s="760"/>
      <c r="J14206" s="760"/>
      <c r="K14206" s="760"/>
    </row>
    <row r="14207" spans="1:11">
      <c r="A14207" s="760"/>
      <c r="B14207" s="760"/>
      <c r="C14207" s="760"/>
      <c r="D14207" s="760"/>
      <c r="E14207" s="760"/>
      <c r="F14207" s="760"/>
      <c r="G14207" s="760"/>
      <c r="H14207" s="760"/>
      <c r="I14207" s="760"/>
      <c r="J14207" s="760"/>
      <c r="K14207" s="760"/>
    </row>
    <row r="14208" spans="1:11">
      <c r="A14208" s="760"/>
      <c r="B14208" s="760"/>
      <c r="C14208" s="760"/>
      <c r="D14208" s="760"/>
      <c r="E14208" s="760"/>
      <c r="F14208" s="760"/>
      <c r="G14208" s="760"/>
      <c r="H14208" s="760"/>
      <c r="I14208" s="760"/>
      <c r="J14208" s="760"/>
      <c r="K14208" s="760"/>
    </row>
    <row r="14209" spans="1:11">
      <c r="A14209" s="760"/>
      <c r="B14209" s="760"/>
      <c r="C14209" s="760"/>
      <c r="D14209" s="760"/>
      <c r="E14209" s="760"/>
      <c r="F14209" s="760"/>
      <c r="G14209" s="760"/>
      <c r="H14209" s="760"/>
      <c r="I14209" s="760"/>
      <c r="J14209" s="760"/>
      <c r="K14209" s="760"/>
    </row>
    <row r="14210" spans="1:11">
      <c r="A14210" s="760"/>
      <c r="B14210" s="760"/>
      <c r="C14210" s="760"/>
      <c r="D14210" s="760"/>
      <c r="E14210" s="760"/>
      <c r="F14210" s="760"/>
      <c r="G14210" s="760"/>
      <c r="H14210" s="760"/>
      <c r="I14210" s="760"/>
      <c r="J14210" s="760"/>
      <c r="K14210" s="760"/>
    </row>
    <row r="14211" spans="1:11">
      <c r="A14211" s="760"/>
      <c r="B14211" s="760"/>
      <c r="C14211" s="760"/>
      <c r="D14211" s="760"/>
      <c r="E14211" s="760"/>
      <c r="F14211" s="760"/>
      <c r="G14211" s="760"/>
      <c r="H14211" s="760"/>
      <c r="I14211" s="760"/>
      <c r="J14211" s="760"/>
      <c r="K14211" s="760"/>
    </row>
    <row r="14212" spans="1:11">
      <c r="A14212" s="760"/>
      <c r="B14212" s="760"/>
      <c r="C14212" s="760"/>
      <c r="D14212" s="760"/>
      <c r="E14212" s="760"/>
      <c r="F14212" s="760"/>
      <c r="G14212" s="760"/>
      <c r="H14212" s="760"/>
      <c r="I14212" s="760"/>
      <c r="J14212" s="760"/>
      <c r="K14212" s="760"/>
    </row>
    <row r="14213" spans="1:11">
      <c r="A14213" s="760"/>
      <c r="B14213" s="760"/>
      <c r="C14213" s="760"/>
      <c r="D14213" s="760"/>
      <c r="E14213" s="760"/>
      <c r="F14213" s="760"/>
      <c r="G14213" s="760"/>
      <c r="H14213" s="760"/>
      <c r="I14213" s="760"/>
      <c r="J14213" s="760"/>
      <c r="K14213" s="760"/>
    </row>
    <row r="14214" spans="1:11">
      <c r="A14214" s="760"/>
      <c r="B14214" s="760"/>
      <c r="C14214" s="760"/>
      <c r="D14214" s="760"/>
      <c r="E14214" s="760"/>
      <c r="F14214" s="760"/>
      <c r="G14214" s="760"/>
      <c r="H14214" s="760"/>
      <c r="I14214" s="760"/>
      <c r="J14214" s="760"/>
      <c r="K14214" s="760"/>
    </row>
    <row r="14215" spans="1:11">
      <c r="A14215" s="760"/>
      <c r="B14215" s="760"/>
      <c r="C14215" s="760"/>
      <c r="D14215" s="760"/>
      <c r="E14215" s="760"/>
      <c r="F14215" s="760"/>
      <c r="G14215" s="760"/>
      <c r="H14215" s="760"/>
      <c r="I14215" s="760"/>
      <c r="J14215" s="760"/>
      <c r="K14215" s="760"/>
    </row>
    <row r="14216" spans="1:11">
      <c r="A14216" s="760"/>
      <c r="B14216" s="760"/>
      <c r="C14216" s="760"/>
      <c r="D14216" s="760"/>
      <c r="E14216" s="760"/>
      <c r="F14216" s="760"/>
      <c r="G14216" s="760"/>
      <c r="H14216" s="760"/>
      <c r="I14216" s="760"/>
      <c r="J14216" s="760"/>
      <c r="K14216" s="760"/>
    </row>
    <row r="14217" spans="1:11">
      <c r="A14217" s="760"/>
      <c r="B14217" s="760"/>
      <c r="C14217" s="760"/>
      <c r="D14217" s="760"/>
      <c r="E14217" s="760"/>
      <c r="F14217" s="760"/>
      <c r="G14217" s="760"/>
      <c r="H14217" s="760"/>
      <c r="I14217" s="760"/>
      <c r="J14217" s="760"/>
      <c r="K14217" s="760"/>
    </row>
    <row r="14218" spans="1:11">
      <c r="A14218" s="760"/>
      <c r="B14218" s="760"/>
      <c r="C14218" s="760"/>
      <c r="D14218" s="760"/>
      <c r="E14218" s="760"/>
      <c r="F14218" s="760"/>
      <c r="G14218" s="760"/>
      <c r="H14218" s="760"/>
      <c r="I14218" s="760"/>
      <c r="J14218" s="760"/>
      <c r="K14218" s="760"/>
    </row>
    <row r="14219" spans="1:11">
      <c r="A14219" s="760"/>
      <c r="B14219" s="760"/>
      <c r="C14219" s="760"/>
      <c r="D14219" s="760"/>
      <c r="E14219" s="760"/>
      <c r="F14219" s="760"/>
      <c r="G14219" s="760"/>
      <c r="H14219" s="760"/>
      <c r="I14219" s="760"/>
      <c r="J14219" s="760"/>
      <c r="K14219" s="760"/>
    </row>
    <row r="14220" spans="1:11">
      <c r="A14220" s="760"/>
      <c r="B14220" s="760"/>
      <c r="C14220" s="760"/>
      <c r="D14220" s="760"/>
      <c r="E14220" s="760"/>
      <c r="F14220" s="760"/>
      <c r="G14220" s="760"/>
      <c r="H14220" s="760"/>
      <c r="I14220" s="760"/>
      <c r="J14220" s="760"/>
      <c r="K14220" s="760"/>
    </row>
    <row r="14221" spans="1:11">
      <c r="A14221" s="760"/>
      <c r="B14221" s="760"/>
      <c r="C14221" s="760"/>
      <c r="D14221" s="760"/>
      <c r="E14221" s="760"/>
      <c r="F14221" s="760"/>
      <c r="G14221" s="760"/>
      <c r="H14221" s="760"/>
      <c r="I14221" s="760"/>
      <c r="J14221" s="760"/>
      <c r="K14221" s="760"/>
    </row>
    <row r="14222" spans="1:11">
      <c r="A14222" s="760"/>
      <c r="B14222" s="760"/>
      <c r="C14222" s="760"/>
      <c r="D14222" s="760"/>
      <c r="E14222" s="760"/>
      <c r="F14222" s="760"/>
      <c r="G14222" s="760"/>
      <c r="H14222" s="760"/>
      <c r="I14222" s="760"/>
      <c r="J14222" s="760"/>
      <c r="K14222" s="760"/>
    </row>
    <row r="14223" spans="1:11">
      <c r="A14223" s="760"/>
      <c r="B14223" s="760"/>
      <c r="C14223" s="760"/>
      <c r="D14223" s="760"/>
      <c r="E14223" s="760"/>
      <c r="F14223" s="760"/>
      <c r="G14223" s="760"/>
      <c r="H14223" s="760"/>
      <c r="I14223" s="760"/>
      <c r="J14223" s="760"/>
      <c r="K14223" s="760"/>
    </row>
    <row r="14224" spans="1:11">
      <c r="A14224" s="760"/>
      <c r="B14224" s="760"/>
      <c r="C14224" s="760"/>
      <c r="D14224" s="760"/>
      <c r="E14224" s="760"/>
      <c r="F14224" s="760"/>
      <c r="G14224" s="760"/>
      <c r="H14224" s="760"/>
      <c r="I14224" s="760"/>
      <c r="J14224" s="760"/>
      <c r="K14224" s="760"/>
    </row>
    <row r="14225" spans="1:11">
      <c r="A14225" s="760"/>
      <c r="B14225" s="760"/>
      <c r="C14225" s="760"/>
      <c r="D14225" s="760"/>
      <c r="E14225" s="760"/>
      <c r="F14225" s="760"/>
      <c r="G14225" s="760"/>
      <c r="H14225" s="760"/>
      <c r="I14225" s="760"/>
      <c r="J14225" s="760"/>
      <c r="K14225" s="760"/>
    </row>
    <row r="14226" spans="1:11">
      <c r="A14226" s="760"/>
      <c r="B14226" s="760"/>
      <c r="C14226" s="760"/>
      <c r="D14226" s="760"/>
      <c r="E14226" s="760"/>
      <c r="F14226" s="760"/>
      <c r="G14226" s="760"/>
      <c r="H14226" s="760"/>
      <c r="I14226" s="760"/>
      <c r="J14226" s="760"/>
      <c r="K14226" s="760"/>
    </row>
    <row r="14227" spans="1:11">
      <c r="A14227" s="760"/>
      <c r="B14227" s="760"/>
      <c r="C14227" s="760"/>
      <c r="D14227" s="760"/>
      <c r="E14227" s="760"/>
      <c r="F14227" s="760"/>
      <c r="G14227" s="760"/>
      <c r="H14227" s="760"/>
      <c r="I14227" s="760"/>
      <c r="J14227" s="760"/>
      <c r="K14227" s="760"/>
    </row>
    <row r="14228" spans="1:11">
      <c r="A14228" s="760"/>
      <c r="B14228" s="760"/>
      <c r="C14228" s="760"/>
      <c r="D14228" s="760"/>
      <c r="E14228" s="760"/>
      <c r="F14228" s="760"/>
      <c r="G14228" s="760"/>
      <c r="H14228" s="760"/>
      <c r="I14228" s="760"/>
      <c r="J14228" s="760"/>
      <c r="K14228" s="760"/>
    </row>
    <row r="14229" spans="1:11">
      <c r="A14229" s="760"/>
      <c r="B14229" s="760"/>
      <c r="C14229" s="760"/>
      <c r="D14229" s="760"/>
      <c r="E14229" s="760"/>
      <c r="F14229" s="760"/>
      <c r="G14229" s="760"/>
      <c r="H14229" s="760"/>
      <c r="I14229" s="760"/>
      <c r="J14229" s="760"/>
      <c r="K14229" s="760"/>
    </row>
    <row r="14230" spans="1:11">
      <c r="A14230" s="760"/>
      <c r="B14230" s="760"/>
      <c r="C14230" s="760"/>
      <c r="D14230" s="760"/>
      <c r="E14230" s="760"/>
      <c r="F14230" s="760"/>
      <c r="G14230" s="760"/>
      <c r="H14230" s="760"/>
      <c r="I14230" s="760"/>
      <c r="J14230" s="760"/>
      <c r="K14230" s="760"/>
    </row>
    <row r="14231" spans="1:11">
      <c r="A14231" s="760"/>
      <c r="B14231" s="760"/>
      <c r="C14231" s="760"/>
      <c r="D14231" s="760"/>
      <c r="E14231" s="760"/>
      <c r="F14231" s="760"/>
      <c r="G14231" s="760"/>
      <c r="H14231" s="760"/>
      <c r="I14231" s="760"/>
      <c r="J14231" s="760"/>
      <c r="K14231" s="760"/>
    </row>
    <row r="14232" spans="1:11">
      <c r="A14232" s="760"/>
      <c r="B14232" s="760"/>
      <c r="C14232" s="760"/>
      <c r="D14232" s="760"/>
      <c r="E14232" s="760"/>
      <c r="F14232" s="760"/>
      <c r="G14232" s="760"/>
      <c r="H14232" s="760"/>
      <c r="I14232" s="760"/>
      <c r="J14232" s="760"/>
      <c r="K14232" s="760"/>
    </row>
    <row r="14233" spans="1:11">
      <c r="A14233" s="760"/>
      <c r="B14233" s="760"/>
      <c r="C14233" s="760"/>
      <c r="D14233" s="760"/>
      <c r="E14233" s="760"/>
      <c r="F14233" s="760"/>
      <c r="G14233" s="760"/>
      <c r="H14233" s="760"/>
      <c r="I14233" s="760"/>
      <c r="J14233" s="760"/>
      <c r="K14233" s="760"/>
    </row>
    <row r="14234" spans="1:11">
      <c r="A14234" s="760"/>
      <c r="B14234" s="760"/>
      <c r="C14234" s="760"/>
      <c r="D14234" s="760"/>
      <c r="E14234" s="760"/>
      <c r="F14234" s="760"/>
      <c r="G14234" s="760"/>
      <c r="H14234" s="760"/>
      <c r="I14234" s="760"/>
      <c r="J14234" s="760"/>
      <c r="K14234" s="760"/>
    </row>
    <row r="14235" spans="1:11">
      <c r="A14235" s="760"/>
      <c r="B14235" s="760"/>
      <c r="C14235" s="760"/>
      <c r="D14235" s="760"/>
      <c r="E14235" s="760"/>
      <c r="F14235" s="760"/>
      <c r="G14235" s="760"/>
      <c r="H14235" s="760"/>
      <c r="I14235" s="760"/>
      <c r="J14235" s="760"/>
      <c r="K14235" s="760"/>
    </row>
    <row r="14236" spans="1:11">
      <c r="A14236" s="760"/>
      <c r="B14236" s="760"/>
      <c r="C14236" s="760"/>
      <c r="D14236" s="760"/>
      <c r="E14236" s="760"/>
      <c r="F14236" s="760"/>
      <c r="G14236" s="760"/>
      <c r="H14236" s="760"/>
      <c r="I14236" s="760"/>
      <c r="J14236" s="760"/>
      <c r="K14236" s="760"/>
    </row>
    <row r="14237" spans="1:11">
      <c r="A14237" s="760"/>
      <c r="B14237" s="760"/>
      <c r="C14237" s="760"/>
      <c r="D14237" s="760"/>
      <c r="E14237" s="760"/>
      <c r="F14237" s="760"/>
      <c r="G14237" s="760"/>
      <c r="H14237" s="760"/>
      <c r="I14237" s="760"/>
      <c r="J14237" s="760"/>
      <c r="K14237" s="760"/>
    </row>
    <row r="14238" spans="1:11">
      <c r="A14238" s="760"/>
      <c r="B14238" s="760"/>
      <c r="C14238" s="760"/>
      <c r="D14238" s="760"/>
      <c r="E14238" s="760"/>
      <c r="F14238" s="760"/>
      <c r="G14238" s="760"/>
      <c r="H14238" s="760"/>
      <c r="I14238" s="760"/>
      <c r="J14238" s="760"/>
      <c r="K14238" s="760"/>
    </row>
    <row r="14239" spans="1:11">
      <c r="A14239" s="760"/>
      <c r="B14239" s="760"/>
      <c r="C14239" s="760"/>
      <c r="D14239" s="760"/>
      <c r="E14239" s="760"/>
      <c r="F14239" s="760"/>
      <c r="G14239" s="760"/>
      <c r="H14239" s="760"/>
      <c r="I14239" s="760"/>
      <c r="J14239" s="760"/>
      <c r="K14239" s="760"/>
    </row>
    <row r="14240" spans="1:11">
      <c r="A14240" s="760"/>
      <c r="B14240" s="760"/>
      <c r="C14240" s="760"/>
      <c r="D14240" s="760"/>
      <c r="E14240" s="760"/>
      <c r="F14240" s="760"/>
      <c r="G14240" s="760"/>
      <c r="H14240" s="760"/>
      <c r="I14240" s="760"/>
      <c r="J14240" s="760"/>
      <c r="K14240" s="760"/>
    </row>
    <row r="14241" spans="1:11">
      <c r="A14241" s="760"/>
      <c r="B14241" s="760"/>
      <c r="C14241" s="760"/>
      <c r="D14241" s="760"/>
      <c r="E14241" s="760"/>
      <c r="F14241" s="760"/>
      <c r="G14241" s="760"/>
      <c r="H14241" s="760"/>
      <c r="I14241" s="760"/>
      <c r="J14241" s="760"/>
      <c r="K14241" s="760"/>
    </row>
    <row r="14242" spans="1:11">
      <c r="A14242" s="760"/>
      <c r="B14242" s="760"/>
      <c r="C14242" s="760"/>
      <c r="D14242" s="760"/>
      <c r="E14242" s="760"/>
      <c r="F14242" s="760"/>
      <c r="G14242" s="760"/>
      <c r="H14242" s="760"/>
      <c r="I14242" s="760"/>
      <c r="J14242" s="760"/>
      <c r="K14242" s="760"/>
    </row>
    <row r="14243" spans="1:11">
      <c r="A14243" s="760"/>
      <c r="B14243" s="760"/>
      <c r="C14243" s="760"/>
      <c r="D14243" s="760"/>
      <c r="E14243" s="760"/>
      <c r="F14243" s="760"/>
      <c r="G14243" s="760"/>
      <c r="H14243" s="760"/>
      <c r="I14243" s="760"/>
      <c r="J14243" s="760"/>
      <c r="K14243" s="760"/>
    </row>
    <row r="14244" spans="1:11">
      <c r="A14244" s="760"/>
      <c r="B14244" s="760"/>
      <c r="C14244" s="760"/>
      <c r="D14244" s="760"/>
      <c r="E14244" s="760"/>
      <c r="F14244" s="760"/>
      <c r="G14244" s="760"/>
      <c r="H14244" s="760"/>
      <c r="I14244" s="760"/>
      <c r="J14244" s="760"/>
      <c r="K14244" s="760"/>
    </row>
    <row r="14245" spans="1:11">
      <c r="A14245" s="760"/>
      <c r="B14245" s="760"/>
      <c r="C14245" s="760"/>
      <c r="D14245" s="760"/>
      <c r="E14245" s="760"/>
      <c r="F14245" s="760"/>
      <c r="G14245" s="760"/>
      <c r="H14245" s="760"/>
      <c r="I14245" s="760"/>
      <c r="J14245" s="760"/>
      <c r="K14245" s="760"/>
    </row>
    <row r="14246" spans="1:11">
      <c r="A14246" s="760"/>
      <c r="B14246" s="760"/>
      <c r="C14246" s="760"/>
      <c r="D14246" s="760"/>
      <c r="E14246" s="760"/>
      <c r="F14246" s="760"/>
      <c r="G14246" s="760"/>
      <c r="H14246" s="760"/>
      <c r="I14246" s="760"/>
      <c r="J14246" s="760"/>
      <c r="K14246" s="760"/>
    </row>
    <row r="14247" spans="1:11">
      <c r="A14247" s="760"/>
      <c r="B14247" s="760"/>
      <c r="C14247" s="760"/>
      <c r="D14247" s="760"/>
      <c r="E14247" s="760"/>
      <c r="F14247" s="760"/>
      <c r="G14247" s="760"/>
      <c r="H14247" s="760"/>
      <c r="I14247" s="760"/>
      <c r="J14247" s="760"/>
      <c r="K14247" s="760"/>
    </row>
    <row r="14248" spans="1:11">
      <c r="A14248" s="760"/>
      <c r="B14248" s="760"/>
      <c r="C14248" s="760"/>
      <c r="D14248" s="760"/>
      <c r="E14248" s="760"/>
      <c r="F14248" s="760"/>
      <c r="G14248" s="760"/>
      <c r="H14248" s="760"/>
      <c r="I14248" s="760"/>
      <c r="J14248" s="760"/>
      <c r="K14248" s="760"/>
    </row>
    <row r="14249" spans="1:11">
      <c r="A14249" s="760"/>
      <c r="B14249" s="760"/>
      <c r="C14249" s="760"/>
      <c r="D14249" s="760"/>
      <c r="E14249" s="760"/>
      <c r="F14249" s="760"/>
      <c r="G14249" s="760"/>
      <c r="H14249" s="760"/>
      <c r="I14249" s="760"/>
      <c r="J14249" s="760"/>
      <c r="K14249" s="760"/>
    </row>
    <row r="14250" spans="1:11">
      <c r="A14250" s="760"/>
      <c r="B14250" s="760"/>
      <c r="C14250" s="760"/>
      <c r="D14250" s="760"/>
      <c r="E14250" s="760"/>
      <c r="F14250" s="760"/>
      <c r="G14250" s="760"/>
      <c r="H14250" s="760"/>
      <c r="I14250" s="760"/>
      <c r="J14250" s="760"/>
      <c r="K14250" s="760"/>
    </row>
    <row r="14251" spans="1:11">
      <c r="A14251" s="760"/>
      <c r="B14251" s="760"/>
      <c r="C14251" s="760"/>
      <c r="D14251" s="760"/>
      <c r="E14251" s="760"/>
      <c r="F14251" s="760"/>
      <c r="G14251" s="760"/>
      <c r="H14251" s="760"/>
      <c r="I14251" s="760"/>
      <c r="J14251" s="760"/>
      <c r="K14251" s="760"/>
    </row>
    <row r="14252" spans="1:11">
      <c r="A14252" s="760"/>
      <c r="B14252" s="760"/>
      <c r="C14252" s="760"/>
      <c r="D14252" s="760"/>
      <c r="E14252" s="760"/>
      <c r="F14252" s="760"/>
      <c r="G14252" s="760"/>
      <c r="H14252" s="760"/>
      <c r="I14252" s="760"/>
      <c r="J14252" s="760"/>
      <c r="K14252" s="760"/>
    </row>
    <row r="14253" spans="1:11">
      <c r="A14253" s="760"/>
      <c r="B14253" s="760"/>
      <c r="C14253" s="760"/>
      <c r="D14253" s="760"/>
      <c r="E14253" s="760"/>
      <c r="F14253" s="760"/>
      <c r="G14253" s="760"/>
      <c r="H14253" s="760"/>
      <c r="I14253" s="760"/>
      <c r="J14253" s="760"/>
      <c r="K14253" s="760"/>
    </row>
    <row r="14254" spans="1:11">
      <c r="A14254" s="760"/>
      <c r="B14254" s="760"/>
      <c r="C14254" s="760"/>
      <c r="D14254" s="760"/>
      <c r="E14254" s="760"/>
      <c r="F14254" s="760"/>
      <c r="G14254" s="760"/>
      <c r="H14254" s="760"/>
      <c r="I14254" s="760"/>
      <c r="J14254" s="760"/>
      <c r="K14254" s="760"/>
    </row>
    <row r="14255" spans="1:11">
      <c r="A14255" s="760"/>
      <c r="B14255" s="760"/>
      <c r="C14255" s="760"/>
      <c r="D14255" s="760"/>
      <c r="E14255" s="760"/>
      <c r="F14255" s="760"/>
      <c r="G14255" s="760"/>
      <c r="H14255" s="760"/>
      <c r="I14255" s="760"/>
      <c r="J14255" s="760"/>
      <c r="K14255" s="760"/>
    </row>
    <row r="14256" spans="1:11">
      <c r="A14256" s="760"/>
      <c r="B14256" s="760"/>
      <c r="C14256" s="760"/>
      <c r="D14256" s="760"/>
      <c r="E14256" s="760"/>
      <c r="F14256" s="760"/>
      <c r="G14256" s="760"/>
      <c r="H14256" s="760"/>
      <c r="I14256" s="760"/>
      <c r="J14256" s="760"/>
      <c r="K14256" s="760"/>
    </row>
    <row r="14257" spans="1:11">
      <c r="A14257" s="760"/>
      <c r="B14257" s="760"/>
      <c r="C14257" s="760"/>
      <c r="D14257" s="760"/>
      <c r="E14257" s="760"/>
      <c r="F14257" s="760"/>
      <c r="G14257" s="760"/>
      <c r="H14257" s="760"/>
      <c r="I14257" s="760"/>
      <c r="J14257" s="760"/>
      <c r="K14257" s="760"/>
    </row>
    <row r="14258" spans="1:11">
      <c r="A14258" s="760"/>
      <c r="B14258" s="760"/>
      <c r="C14258" s="760"/>
      <c r="D14258" s="760"/>
      <c r="E14258" s="760"/>
      <c r="F14258" s="760"/>
      <c r="G14258" s="760"/>
      <c r="H14258" s="760"/>
      <c r="I14258" s="760"/>
      <c r="J14258" s="760"/>
      <c r="K14258" s="760"/>
    </row>
    <row r="14259" spans="1:11">
      <c r="A14259" s="760"/>
      <c r="B14259" s="760"/>
      <c r="C14259" s="760"/>
      <c r="D14259" s="760"/>
      <c r="E14259" s="760"/>
      <c r="F14259" s="760"/>
      <c r="G14259" s="760"/>
      <c r="H14259" s="760"/>
      <c r="I14259" s="760"/>
      <c r="J14259" s="760"/>
      <c r="K14259" s="760"/>
    </row>
    <row r="14260" spans="1:11">
      <c r="A14260" s="760"/>
      <c r="B14260" s="760"/>
      <c r="C14260" s="760"/>
      <c r="D14260" s="760"/>
      <c r="E14260" s="760"/>
      <c r="F14260" s="760"/>
      <c r="G14260" s="760"/>
      <c r="H14260" s="760"/>
      <c r="I14260" s="760"/>
      <c r="J14260" s="760"/>
      <c r="K14260" s="760"/>
    </row>
    <row r="14261" spans="1:11">
      <c r="A14261" s="760"/>
      <c r="B14261" s="760"/>
      <c r="C14261" s="760"/>
      <c r="D14261" s="760"/>
      <c r="E14261" s="760"/>
      <c r="F14261" s="760"/>
      <c r="G14261" s="760"/>
      <c r="H14261" s="760"/>
      <c r="I14261" s="760"/>
      <c r="J14261" s="760"/>
      <c r="K14261" s="760"/>
    </row>
    <row r="14262" spans="1:11">
      <c r="A14262" s="760"/>
      <c r="B14262" s="760"/>
      <c r="C14262" s="760"/>
      <c r="D14262" s="760"/>
      <c r="E14262" s="760"/>
      <c r="F14262" s="760"/>
      <c r="G14262" s="760"/>
      <c r="H14262" s="760"/>
      <c r="I14262" s="760"/>
      <c r="J14262" s="760"/>
      <c r="K14262" s="760"/>
    </row>
    <row r="14263" spans="1:11">
      <c r="A14263" s="760"/>
      <c r="B14263" s="760"/>
      <c r="C14263" s="760"/>
      <c r="D14263" s="760"/>
      <c r="E14263" s="760"/>
      <c r="F14263" s="760"/>
      <c r="G14263" s="760"/>
      <c r="H14263" s="760"/>
      <c r="I14263" s="760"/>
      <c r="J14263" s="760"/>
      <c r="K14263" s="760"/>
    </row>
    <row r="14264" spans="1:11">
      <c r="A14264" s="760"/>
      <c r="B14264" s="760"/>
      <c r="C14264" s="760"/>
      <c r="D14264" s="760"/>
      <c r="E14264" s="760"/>
      <c r="F14264" s="760"/>
      <c r="G14264" s="760"/>
      <c r="H14264" s="760"/>
      <c r="I14264" s="760"/>
      <c r="J14264" s="760"/>
      <c r="K14264" s="760"/>
    </row>
    <row r="14265" spans="1:11">
      <c r="A14265" s="760"/>
      <c r="B14265" s="760"/>
      <c r="C14265" s="760"/>
      <c r="D14265" s="760"/>
      <c r="E14265" s="760"/>
      <c r="F14265" s="760"/>
      <c r="G14265" s="760"/>
      <c r="H14265" s="760"/>
      <c r="I14265" s="760"/>
      <c r="J14265" s="760"/>
      <c r="K14265" s="760"/>
    </row>
    <row r="14266" spans="1:11">
      <c r="A14266" s="760"/>
      <c r="B14266" s="760"/>
      <c r="C14266" s="760"/>
      <c r="D14266" s="760"/>
      <c r="E14266" s="760"/>
      <c r="F14266" s="760"/>
      <c r="G14266" s="760"/>
      <c r="H14266" s="760"/>
      <c r="I14266" s="760"/>
      <c r="J14266" s="760"/>
      <c r="K14266" s="760"/>
    </row>
    <row r="14267" spans="1:11">
      <c r="A14267" s="760"/>
      <c r="B14267" s="760"/>
      <c r="C14267" s="760"/>
      <c r="D14267" s="760"/>
      <c r="E14267" s="760"/>
      <c r="F14267" s="760"/>
      <c r="G14267" s="760"/>
      <c r="H14267" s="760"/>
      <c r="I14267" s="760"/>
      <c r="J14267" s="760"/>
      <c r="K14267" s="760"/>
    </row>
    <row r="14268" spans="1:11">
      <c r="A14268" s="760"/>
      <c r="B14268" s="760"/>
      <c r="C14268" s="760"/>
      <c r="D14268" s="760"/>
      <c r="E14268" s="760"/>
      <c r="F14268" s="760"/>
      <c r="G14268" s="760"/>
      <c r="H14268" s="760"/>
      <c r="I14268" s="760"/>
      <c r="J14268" s="760"/>
      <c r="K14268" s="760"/>
    </row>
    <row r="14269" spans="1:11">
      <c r="A14269" s="760"/>
      <c r="B14269" s="760"/>
      <c r="C14269" s="760"/>
      <c r="D14269" s="760"/>
      <c r="E14269" s="760"/>
      <c r="F14269" s="760"/>
      <c r="G14269" s="760"/>
      <c r="H14269" s="760"/>
      <c r="I14269" s="760"/>
      <c r="J14269" s="760"/>
      <c r="K14269" s="760"/>
    </row>
    <row r="14270" spans="1:11">
      <c r="A14270" s="760"/>
      <c r="B14270" s="760"/>
      <c r="C14270" s="760"/>
      <c r="D14270" s="760"/>
      <c r="E14270" s="760"/>
      <c r="F14270" s="760"/>
      <c r="G14270" s="760"/>
      <c r="H14270" s="760"/>
      <c r="I14270" s="760"/>
      <c r="J14270" s="760"/>
      <c r="K14270" s="760"/>
    </row>
    <row r="14271" spans="1:11">
      <c r="A14271" s="760"/>
      <c r="B14271" s="760"/>
      <c r="C14271" s="760"/>
      <c r="D14271" s="760"/>
      <c r="E14271" s="760"/>
      <c r="F14271" s="760"/>
      <c r="G14271" s="760"/>
      <c r="H14271" s="760"/>
      <c r="I14271" s="760"/>
      <c r="J14271" s="760"/>
      <c r="K14271" s="760"/>
    </row>
    <row r="14272" spans="1:11">
      <c r="A14272" s="760"/>
      <c r="B14272" s="760"/>
      <c r="C14272" s="760"/>
      <c r="D14272" s="760"/>
      <c r="E14272" s="760"/>
      <c r="F14272" s="760"/>
      <c r="G14272" s="760"/>
      <c r="H14272" s="760"/>
      <c r="I14272" s="760"/>
      <c r="J14272" s="760"/>
      <c r="K14272" s="760"/>
    </row>
    <row r="14273" spans="1:11">
      <c r="A14273" s="760"/>
      <c r="B14273" s="760"/>
      <c r="C14273" s="760"/>
      <c r="D14273" s="760"/>
      <c r="E14273" s="760"/>
      <c r="F14273" s="760"/>
      <c r="G14273" s="760"/>
      <c r="H14273" s="760"/>
      <c r="I14273" s="760"/>
      <c r="J14273" s="760"/>
      <c r="K14273" s="760"/>
    </row>
    <row r="14274" spans="1:11">
      <c r="A14274" s="760"/>
      <c r="B14274" s="760"/>
      <c r="C14274" s="760"/>
      <c r="D14274" s="760"/>
      <c r="E14274" s="760"/>
      <c r="F14274" s="760"/>
      <c r="G14274" s="760"/>
      <c r="H14274" s="760"/>
      <c r="I14274" s="760"/>
      <c r="J14274" s="760"/>
      <c r="K14274" s="760"/>
    </row>
    <row r="14275" spans="1:11">
      <c r="A14275" s="760"/>
      <c r="B14275" s="760"/>
      <c r="C14275" s="760"/>
      <c r="D14275" s="760"/>
      <c r="E14275" s="760"/>
      <c r="F14275" s="760"/>
      <c r="G14275" s="760"/>
      <c r="H14275" s="760"/>
      <c r="I14275" s="760"/>
      <c r="J14275" s="760"/>
      <c r="K14275" s="760"/>
    </row>
    <row r="14276" spans="1:11">
      <c r="A14276" s="760"/>
      <c r="B14276" s="760"/>
      <c r="C14276" s="760"/>
      <c r="D14276" s="760"/>
      <c r="E14276" s="760"/>
      <c r="F14276" s="760"/>
      <c r="G14276" s="760"/>
      <c r="H14276" s="760"/>
      <c r="I14276" s="760"/>
      <c r="J14276" s="760"/>
      <c r="K14276" s="760"/>
    </row>
    <row r="14277" spans="1:11">
      <c r="A14277" s="760"/>
      <c r="B14277" s="760"/>
      <c r="C14277" s="760"/>
      <c r="D14277" s="760"/>
      <c r="E14277" s="760"/>
      <c r="F14277" s="760"/>
      <c r="G14277" s="760"/>
      <c r="H14277" s="760"/>
      <c r="I14277" s="760"/>
      <c r="J14277" s="760"/>
      <c r="K14277" s="760"/>
    </row>
    <row r="14278" spans="1:11">
      <c r="A14278" s="760"/>
      <c r="B14278" s="760"/>
      <c r="C14278" s="760"/>
      <c r="D14278" s="760"/>
      <c r="E14278" s="760"/>
      <c r="F14278" s="760"/>
      <c r="G14278" s="760"/>
      <c r="H14278" s="760"/>
      <c r="I14278" s="760"/>
      <c r="J14278" s="760"/>
      <c r="K14278" s="760"/>
    </row>
    <row r="14279" spans="1:11">
      <c r="A14279" s="760"/>
      <c r="B14279" s="760"/>
      <c r="C14279" s="760"/>
      <c r="D14279" s="760"/>
      <c r="E14279" s="760"/>
      <c r="F14279" s="760"/>
      <c r="G14279" s="760"/>
      <c r="H14279" s="760"/>
      <c r="I14279" s="760"/>
      <c r="J14279" s="760"/>
      <c r="K14279" s="760"/>
    </row>
    <row r="14280" spans="1:11">
      <c r="A14280" s="760"/>
      <c r="B14280" s="760"/>
      <c r="C14280" s="760"/>
      <c r="D14280" s="760"/>
      <c r="E14280" s="760"/>
      <c r="F14280" s="760"/>
      <c r="G14280" s="760"/>
      <c r="H14280" s="760"/>
      <c r="I14280" s="760"/>
      <c r="J14280" s="760"/>
      <c r="K14280" s="760"/>
    </row>
    <row r="14281" spans="1:11">
      <c r="A14281" s="760"/>
      <c r="B14281" s="760"/>
      <c r="C14281" s="760"/>
      <c r="D14281" s="760"/>
      <c r="E14281" s="760"/>
      <c r="F14281" s="760"/>
      <c r="G14281" s="760"/>
      <c r="H14281" s="760"/>
      <c r="I14281" s="760"/>
      <c r="J14281" s="760"/>
      <c r="K14281" s="760"/>
    </row>
    <row r="14282" spans="1:11">
      <c r="A14282" s="760"/>
      <c r="B14282" s="760"/>
      <c r="C14282" s="760"/>
      <c r="D14282" s="760"/>
      <c r="E14282" s="760"/>
      <c r="F14282" s="760"/>
      <c r="G14282" s="760"/>
      <c r="H14282" s="760"/>
      <c r="I14282" s="760"/>
      <c r="J14282" s="760"/>
      <c r="K14282" s="760"/>
    </row>
    <row r="14283" spans="1:11">
      <c r="A14283" s="760"/>
      <c r="B14283" s="760"/>
      <c r="C14283" s="760"/>
      <c r="D14283" s="760"/>
      <c r="E14283" s="760"/>
      <c r="F14283" s="760"/>
      <c r="G14283" s="760"/>
      <c r="H14283" s="760"/>
      <c r="I14283" s="760"/>
      <c r="J14283" s="760"/>
      <c r="K14283" s="760"/>
    </row>
    <row r="14284" spans="1:11">
      <c r="A14284" s="760"/>
      <c r="B14284" s="760"/>
      <c r="C14284" s="760"/>
      <c r="D14284" s="760"/>
      <c r="E14284" s="760"/>
      <c r="F14284" s="760"/>
      <c r="G14284" s="760"/>
      <c r="H14284" s="760"/>
      <c r="I14284" s="760"/>
      <c r="J14284" s="760"/>
      <c r="K14284" s="760"/>
    </row>
    <row r="14285" spans="1:11">
      <c r="A14285" s="760"/>
      <c r="B14285" s="760"/>
      <c r="C14285" s="760"/>
      <c r="D14285" s="760"/>
      <c r="E14285" s="760"/>
      <c r="F14285" s="760"/>
      <c r="G14285" s="760"/>
      <c r="H14285" s="760"/>
      <c r="I14285" s="760"/>
      <c r="J14285" s="760"/>
      <c r="K14285" s="760"/>
    </row>
    <row r="14286" spans="1:11">
      <c r="A14286" s="760"/>
      <c r="B14286" s="760"/>
      <c r="C14286" s="760"/>
      <c r="D14286" s="760"/>
      <c r="E14286" s="760"/>
      <c r="F14286" s="760"/>
      <c r="G14286" s="760"/>
      <c r="H14286" s="760"/>
      <c r="I14286" s="760"/>
      <c r="J14286" s="760"/>
      <c r="K14286" s="760"/>
    </row>
    <row r="14287" spans="1:11">
      <c r="A14287" s="760"/>
      <c r="B14287" s="760"/>
      <c r="C14287" s="760"/>
      <c r="D14287" s="760"/>
      <c r="E14287" s="760"/>
      <c r="F14287" s="760"/>
      <c r="G14287" s="760"/>
      <c r="H14287" s="760"/>
      <c r="I14287" s="760"/>
      <c r="J14287" s="760"/>
      <c r="K14287" s="760"/>
    </row>
    <row r="14288" spans="1:11">
      <c r="A14288" s="760"/>
      <c r="B14288" s="760"/>
      <c r="C14288" s="760"/>
      <c r="D14288" s="760"/>
      <c r="E14288" s="760"/>
      <c r="F14288" s="760"/>
      <c r="G14288" s="760"/>
      <c r="H14288" s="760"/>
      <c r="I14288" s="760"/>
      <c r="J14288" s="760"/>
      <c r="K14288" s="760"/>
    </row>
    <row r="14289" spans="1:11">
      <c r="A14289" s="760"/>
      <c r="B14289" s="760"/>
      <c r="C14289" s="760"/>
      <c r="D14289" s="760"/>
      <c r="E14289" s="760"/>
      <c r="F14289" s="760"/>
      <c r="G14289" s="760"/>
      <c r="H14289" s="760"/>
      <c r="I14289" s="760"/>
      <c r="J14289" s="760"/>
      <c r="K14289" s="760"/>
    </row>
    <row r="14290" spans="1:11">
      <c r="A14290" s="760"/>
      <c r="B14290" s="760"/>
      <c r="C14290" s="760"/>
      <c r="D14290" s="760"/>
      <c r="E14290" s="760"/>
      <c r="F14290" s="760"/>
      <c r="G14290" s="760"/>
      <c r="H14290" s="760"/>
      <c r="I14290" s="760"/>
      <c r="J14290" s="760"/>
      <c r="K14290" s="760"/>
    </row>
    <row r="14291" spans="1:11">
      <c r="A14291" s="760"/>
      <c r="B14291" s="760"/>
      <c r="C14291" s="760"/>
      <c r="D14291" s="760"/>
      <c r="E14291" s="760"/>
      <c r="F14291" s="760"/>
      <c r="G14291" s="760"/>
      <c r="H14291" s="760"/>
      <c r="I14291" s="760"/>
      <c r="J14291" s="760"/>
      <c r="K14291" s="760"/>
    </row>
    <row r="14292" spans="1:11">
      <c r="A14292" s="760"/>
      <c r="B14292" s="760"/>
      <c r="C14292" s="760"/>
      <c r="D14292" s="760"/>
      <c r="E14292" s="760"/>
      <c r="F14292" s="760"/>
      <c r="G14292" s="760"/>
      <c r="H14292" s="760"/>
      <c r="I14292" s="760"/>
      <c r="J14292" s="760"/>
      <c r="K14292" s="760"/>
    </row>
    <row r="14293" spans="1:11">
      <c r="A14293" s="760"/>
      <c r="B14293" s="760"/>
      <c r="C14293" s="760"/>
      <c r="D14293" s="760"/>
      <c r="E14293" s="760"/>
      <c r="F14293" s="760"/>
      <c r="G14293" s="760"/>
      <c r="H14293" s="760"/>
      <c r="I14293" s="760"/>
      <c r="J14293" s="760"/>
      <c r="K14293" s="760"/>
    </row>
    <row r="14294" spans="1:11">
      <c r="A14294" s="760"/>
      <c r="B14294" s="760"/>
      <c r="C14294" s="760"/>
      <c r="D14294" s="760"/>
      <c r="E14294" s="760"/>
      <c r="F14294" s="760"/>
      <c r="G14294" s="760"/>
      <c r="H14294" s="760"/>
      <c r="I14294" s="760"/>
      <c r="J14294" s="760"/>
      <c r="K14294" s="760"/>
    </row>
    <row r="14295" spans="1:11">
      <c r="A14295" s="760"/>
      <c r="B14295" s="760"/>
      <c r="C14295" s="760"/>
      <c r="D14295" s="760"/>
      <c r="E14295" s="760"/>
      <c r="F14295" s="760"/>
      <c r="G14295" s="760"/>
      <c r="H14295" s="760"/>
      <c r="I14295" s="760"/>
      <c r="J14295" s="760"/>
      <c r="K14295" s="760"/>
    </row>
    <row r="14296" spans="1:11">
      <c r="A14296" s="760"/>
      <c r="B14296" s="760"/>
      <c r="C14296" s="760"/>
      <c r="D14296" s="760"/>
      <c r="E14296" s="760"/>
      <c r="F14296" s="760"/>
      <c r="G14296" s="760"/>
      <c r="H14296" s="760"/>
      <c r="I14296" s="760"/>
      <c r="J14296" s="760"/>
      <c r="K14296" s="760"/>
    </row>
    <row r="14297" spans="1:11">
      <c r="A14297" s="760"/>
      <c r="B14297" s="760"/>
      <c r="C14297" s="760"/>
      <c r="D14297" s="760"/>
      <c r="E14297" s="760"/>
      <c r="F14297" s="760"/>
      <c r="G14297" s="760"/>
      <c r="H14297" s="760"/>
      <c r="I14297" s="760"/>
      <c r="J14297" s="760"/>
      <c r="K14297" s="760"/>
    </row>
    <row r="14298" spans="1:11">
      <c r="A14298" s="760"/>
      <c r="B14298" s="760"/>
      <c r="C14298" s="760"/>
      <c r="D14298" s="760"/>
      <c r="E14298" s="760"/>
      <c r="F14298" s="760"/>
      <c r="G14298" s="760"/>
      <c r="H14298" s="760"/>
      <c r="I14298" s="760"/>
      <c r="J14298" s="760"/>
      <c r="K14298" s="760"/>
    </row>
    <row r="14299" spans="1:11">
      <c r="A14299" s="760"/>
      <c r="B14299" s="760"/>
      <c r="C14299" s="760"/>
      <c r="D14299" s="760"/>
      <c r="E14299" s="760"/>
      <c r="F14299" s="760"/>
      <c r="G14299" s="760"/>
      <c r="H14299" s="760"/>
      <c r="I14299" s="760"/>
      <c r="J14299" s="760"/>
      <c r="K14299" s="760"/>
    </row>
    <row r="14300" spans="1:11">
      <c r="A14300" s="760"/>
      <c r="B14300" s="760"/>
      <c r="C14300" s="760"/>
      <c r="D14300" s="760"/>
      <c r="E14300" s="760"/>
      <c r="F14300" s="760"/>
      <c r="G14300" s="760"/>
      <c r="H14300" s="760"/>
      <c r="I14300" s="760"/>
      <c r="J14300" s="760"/>
      <c r="K14300" s="760"/>
    </row>
    <row r="14301" spans="1:11">
      <c r="A14301" s="760"/>
      <c r="B14301" s="760"/>
      <c r="C14301" s="760"/>
      <c r="D14301" s="760"/>
      <c r="E14301" s="760"/>
      <c r="F14301" s="760"/>
      <c r="G14301" s="760"/>
      <c r="H14301" s="760"/>
      <c r="I14301" s="760"/>
      <c r="J14301" s="760"/>
      <c r="K14301" s="760"/>
    </row>
    <row r="14302" spans="1:11">
      <c r="A14302" s="760"/>
      <c r="B14302" s="760"/>
      <c r="C14302" s="760"/>
      <c r="D14302" s="760"/>
      <c r="E14302" s="760"/>
      <c r="F14302" s="760"/>
      <c r="G14302" s="760"/>
      <c r="H14302" s="760"/>
      <c r="I14302" s="760"/>
      <c r="J14302" s="760"/>
      <c r="K14302" s="760"/>
    </row>
    <row r="14303" spans="1:11">
      <c r="A14303" s="760"/>
      <c r="B14303" s="760"/>
      <c r="C14303" s="760"/>
      <c r="D14303" s="760"/>
      <c r="E14303" s="760"/>
      <c r="F14303" s="760"/>
      <c r="G14303" s="760"/>
      <c r="H14303" s="760"/>
      <c r="I14303" s="760"/>
      <c r="J14303" s="760"/>
      <c r="K14303" s="760"/>
    </row>
    <row r="14304" spans="1:11">
      <c r="A14304" s="760"/>
      <c r="B14304" s="760"/>
      <c r="C14304" s="760"/>
      <c r="D14304" s="760"/>
      <c r="E14304" s="760"/>
      <c r="F14304" s="760"/>
      <c r="G14304" s="760"/>
      <c r="H14304" s="760"/>
      <c r="I14304" s="760"/>
      <c r="J14304" s="760"/>
      <c r="K14304" s="760"/>
    </row>
    <row r="14305" spans="1:11">
      <c r="A14305" s="760"/>
      <c r="B14305" s="760"/>
      <c r="C14305" s="760"/>
      <c r="D14305" s="760"/>
      <c r="E14305" s="760"/>
      <c r="F14305" s="760"/>
      <c r="G14305" s="760"/>
      <c r="H14305" s="760"/>
      <c r="I14305" s="760"/>
      <c r="J14305" s="760"/>
      <c r="K14305" s="760"/>
    </row>
    <row r="14306" spans="1:11">
      <c r="A14306" s="760"/>
      <c r="B14306" s="760"/>
      <c r="C14306" s="760"/>
      <c r="D14306" s="760"/>
      <c r="E14306" s="760"/>
      <c r="F14306" s="760"/>
      <c r="G14306" s="760"/>
      <c r="H14306" s="760"/>
      <c r="I14306" s="760"/>
      <c r="J14306" s="760"/>
      <c r="K14306" s="760"/>
    </row>
    <row r="14307" spans="1:11">
      <c r="A14307" s="760"/>
      <c r="B14307" s="760"/>
      <c r="C14307" s="760"/>
      <c r="D14307" s="760"/>
      <c r="E14307" s="760"/>
      <c r="F14307" s="760"/>
      <c r="G14307" s="760"/>
      <c r="H14307" s="760"/>
      <c r="I14307" s="760"/>
      <c r="J14307" s="760"/>
      <c r="K14307" s="760"/>
    </row>
    <row r="14308" spans="1:11">
      <c r="A14308" s="760"/>
      <c r="B14308" s="760"/>
      <c r="C14308" s="760"/>
      <c r="D14308" s="760"/>
      <c r="E14308" s="760"/>
      <c r="F14308" s="760"/>
      <c r="G14308" s="760"/>
      <c r="H14308" s="760"/>
      <c r="I14308" s="760"/>
      <c r="J14308" s="760"/>
      <c r="K14308" s="760"/>
    </row>
    <row r="14309" spans="1:11">
      <c r="A14309" s="760"/>
      <c r="B14309" s="760"/>
      <c r="C14309" s="760"/>
      <c r="D14309" s="760"/>
      <c r="E14309" s="760"/>
      <c r="F14309" s="760"/>
      <c r="G14309" s="760"/>
      <c r="H14309" s="760"/>
      <c r="I14309" s="760"/>
      <c r="J14309" s="760"/>
      <c r="K14309" s="760"/>
    </row>
    <row r="14310" spans="1:11">
      <c r="A14310" s="760"/>
      <c r="B14310" s="760"/>
      <c r="C14310" s="760"/>
      <c r="D14310" s="760"/>
      <c r="E14310" s="760"/>
      <c r="F14310" s="760"/>
      <c r="G14310" s="760"/>
      <c r="H14310" s="760"/>
      <c r="I14310" s="760"/>
      <c r="J14310" s="760"/>
      <c r="K14310" s="760"/>
    </row>
    <row r="14311" spans="1:11">
      <c r="A14311" s="760"/>
      <c r="B14311" s="760"/>
      <c r="C14311" s="760"/>
      <c r="D14311" s="760"/>
      <c r="E14311" s="760"/>
      <c r="F14311" s="760"/>
      <c r="G14311" s="760"/>
      <c r="H14311" s="760"/>
      <c r="I14311" s="760"/>
      <c r="J14311" s="760"/>
      <c r="K14311" s="760"/>
    </row>
    <row r="14312" spans="1:11">
      <c r="A14312" s="760"/>
      <c r="B14312" s="760"/>
      <c r="C14312" s="760"/>
      <c r="D14312" s="760"/>
      <c r="E14312" s="760"/>
      <c r="F14312" s="760"/>
      <c r="G14312" s="760"/>
      <c r="H14312" s="760"/>
      <c r="I14312" s="760"/>
      <c r="J14312" s="760"/>
      <c r="K14312" s="760"/>
    </row>
    <row r="14313" spans="1:11">
      <c r="A14313" s="760"/>
      <c r="B14313" s="760"/>
      <c r="C14313" s="760"/>
      <c r="D14313" s="760"/>
      <c r="E14313" s="760"/>
      <c r="F14313" s="760"/>
      <c r="G14313" s="760"/>
      <c r="H14313" s="760"/>
      <c r="I14313" s="760"/>
      <c r="J14313" s="760"/>
      <c r="K14313" s="760"/>
    </row>
    <row r="14314" spans="1:11">
      <c r="A14314" s="760"/>
      <c r="B14314" s="760"/>
      <c r="C14314" s="760"/>
      <c r="D14314" s="760"/>
      <c r="E14314" s="760"/>
      <c r="F14314" s="760"/>
      <c r="G14314" s="760"/>
      <c r="H14314" s="760"/>
      <c r="I14314" s="760"/>
      <c r="J14314" s="760"/>
      <c r="K14314" s="760"/>
    </row>
    <row r="14315" spans="1:11">
      <c r="A14315" s="760"/>
      <c r="B14315" s="760"/>
      <c r="C14315" s="760"/>
      <c r="D14315" s="760"/>
      <c r="E14315" s="760"/>
      <c r="F14315" s="760"/>
      <c r="G14315" s="760"/>
      <c r="H14315" s="760"/>
      <c r="I14315" s="760"/>
      <c r="J14315" s="760"/>
      <c r="K14315" s="760"/>
    </row>
    <row r="14316" spans="1:11">
      <c r="A14316" s="760"/>
      <c r="B14316" s="760"/>
      <c r="C14316" s="760"/>
      <c r="D14316" s="760"/>
      <c r="E14316" s="760"/>
      <c r="F14316" s="760"/>
      <c r="G14316" s="760"/>
      <c r="H14316" s="760"/>
      <c r="I14316" s="760"/>
      <c r="J14316" s="760"/>
      <c r="K14316" s="760"/>
    </row>
    <row r="14317" spans="1:11">
      <c r="A14317" s="760"/>
      <c r="B14317" s="760"/>
      <c r="C14317" s="760"/>
      <c r="D14317" s="760"/>
      <c r="E14317" s="760"/>
      <c r="F14317" s="760"/>
      <c r="G14317" s="760"/>
      <c r="H14317" s="760"/>
      <c r="I14317" s="760"/>
      <c r="J14317" s="760"/>
      <c r="K14317" s="760"/>
    </row>
    <row r="14318" spans="1:11">
      <c r="A14318" s="760"/>
      <c r="B14318" s="760"/>
      <c r="C14318" s="760"/>
      <c r="D14318" s="760"/>
      <c r="E14318" s="760"/>
      <c r="F14318" s="760"/>
      <c r="G14318" s="760"/>
      <c r="H14318" s="760"/>
      <c r="I14318" s="760"/>
      <c r="J14318" s="760"/>
      <c r="K14318" s="760"/>
    </row>
    <row r="14319" spans="1:11">
      <c r="A14319" s="760"/>
      <c r="B14319" s="760"/>
      <c r="C14319" s="760"/>
      <c r="D14319" s="760"/>
      <c r="E14319" s="760"/>
      <c r="F14319" s="760"/>
      <c r="G14319" s="760"/>
      <c r="H14319" s="760"/>
      <c r="I14319" s="760"/>
      <c r="J14319" s="760"/>
      <c r="K14319" s="760"/>
    </row>
    <row r="14320" spans="1:11">
      <c r="A14320" s="760"/>
      <c r="B14320" s="760"/>
      <c r="C14320" s="760"/>
      <c r="D14320" s="760"/>
      <c r="E14320" s="760"/>
      <c r="F14320" s="760"/>
      <c r="G14320" s="760"/>
      <c r="H14320" s="760"/>
      <c r="I14320" s="760"/>
      <c r="J14320" s="760"/>
      <c r="K14320" s="760"/>
    </row>
    <row r="14321" spans="1:11">
      <c r="A14321" s="760"/>
      <c r="B14321" s="760"/>
      <c r="C14321" s="760"/>
      <c r="D14321" s="760"/>
      <c r="E14321" s="760"/>
      <c r="F14321" s="760"/>
      <c r="G14321" s="760"/>
      <c r="H14321" s="760"/>
      <c r="I14321" s="760"/>
      <c r="J14321" s="760"/>
      <c r="K14321" s="760"/>
    </row>
    <row r="14322" spans="1:11">
      <c r="A14322" s="760"/>
      <c r="B14322" s="760"/>
      <c r="C14322" s="760"/>
      <c r="D14322" s="760"/>
      <c r="E14322" s="760"/>
      <c r="F14322" s="760"/>
      <c r="G14322" s="760"/>
      <c r="H14322" s="760"/>
      <c r="I14322" s="760"/>
      <c r="J14322" s="760"/>
      <c r="K14322" s="760"/>
    </row>
    <row r="14323" spans="1:11">
      <c r="A14323" s="760"/>
      <c r="B14323" s="760"/>
      <c r="C14323" s="760"/>
      <c r="D14323" s="760"/>
      <c r="E14323" s="760"/>
      <c r="F14323" s="760"/>
      <c r="G14323" s="760"/>
      <c r="H14323" s="760"/>
      <c r="I14323" s="760"/>
      <c r="J14323" s="760"/>
      <c r="K14323" s="760"/>
    </row>
    <row r="14324" spans="1:11">
      <c r="A14324" s="760"/>
      <c r="B14324" s="760"/>
      <c r="C14324" s="760"/>
      <c r="D14324" s="760"/>
      <c r="E14324" s="760"/>
      <c r="F14324" s="760"/>
      <c r="G14324" s="760"/>
      <c r="H14324" s="760"/>
      <c r="I14324" s="760"/>
      <c r="J14324" s="760"/>
      <c r="K14324" s="760"/>
    </row>
    <row r="14325" spans="1:11">
      <c r="A14325" s="760"/>
      <c r="B14325" s="760"/>
      <c r="C14325" s="760"/>
      <c r="D14325" s="760"/>
      <c r="E14325" s="760"/>
      <c r="F14325" s="760"/>
      <c r="G14325" s="760"/>
      <c r="H14325" s="760"/>
      <c r="I14325" s="760"/>
      <c r="J14325" s="760"/>
      <c r="K14325" s="760"/>
    </row>
    <row r="14326" spans="1:11">
      <c r="A14326" s="760"/>
      <c r="B14326" s="760"/>
      <c r="C14326" s="760"/>
      <c r="D14326" s="760"/>
      <c r="E14326" s="760"/>
      <c r="F14326" s="760"/>
      <c r="G14326" s="760"/>
      <c r="H14326" s="760"/>
      <c r="I14326" s="760"/>
      <c r="J14326" s="760"/>
      <c r="K14326" s="760"/>
    </row>
    <row r="14327" spans="1:11">
      <c r="A14327" s="760"/>
      <c r="B14327" s="760"/>
      <c r="C14327" s="760"/>
      <c r="D14327" s="760"/>
      <c r="E14327" s="760"/>
      <c r="F14327" s="760"/>
      <c r="G14327" s="760"/>
      <c r="H14327" s="760"/>
      <c r="I14327" s="760"/>
      <c r="J14327" s="760"/>
      <c r="K14327" s="760"/>
    </row>
    <row r="14328" spans="1:11">
      <c r="A14328" s="760"/>
      <c r="B14328" s="760"/>
      <c r="C14328" s="760"/>
      <c r="D14328" s="760"/>
      <c r="E14328" s="760"/>
      <c r="F14328" s="760"/>
      <c r="G14328" s="760"/>
      <c r="H14328" s="760"/>
      <c r="I14328" s="760"/>
      <c r="J14328" s="760"/>
      <c r="K14328" s="760"/>
    </row>
    <row r="14329" spans="1:11">
      <c r="A14329" s="760"/>
      <c r="B14329" s="760"/>
      <c r="C14329" s="760"/>
      <c r="D14329" s="760"/>
      <c r="E14329" s="760"/>
      <c r="F14329" s="760"/>
      <c r="G14329" s="760"/>
      <c r="H14329" s="760"/>
      <c r="I14329" s="760"/>
      <c r="J14329" s="760"/>
      <c r="K14329" s="760"/>
    </row>
    <row r="14330" spans="1:11">
      <c r="A14330" s="760"/>
      <c r="B14330" s="760"/>
      <c r="C14330" s="760"/>
      <c r="D14330" s="760"/>
      <c r="E14330" s="760"/>
      <c r="F14330" s="760"/>
      <c r="G14330" s="760"/>
      <c r="H14330" s="760"/>
      <c r="I14330" s="760"/>
      <c r="J14330" s="760"/>
      <c r="K14330" s="760"/>
    </row>
    <row r="14331" spans="1:11">
      <c r="A14331" s="760"/>
      <c r="B14331" s="760"/>
      <c r="C14331" s="760"/>
      <c r="D14331" s="760"/>
      <c r="E14331" s="760"/>
      <c r="F14331" s="760"/>
      <c r="G14331" s="760"/>
      <c r="H14331" s="760"/>
      <c r="I14331" s="760"/>
      <c r="J14331" s="760"/>
      <c r="K14331" s="760"/>
    </row>
    <row r="14332" spans="1:11">
      <c r="A14332" s="760"/>
      <c r="B14332" s="760"/>
      <c r="C14332" s="760"/>
      <c r="D14332" s="760"/>
      <c r="E14332" s="760"/>
      <c r="F14332" s="760"/>
      <c r="G14332" s="760"/>
      <c r="H14332" s="760"/>
      <c r="I14332" s="760"/>
      <c r="J14332" s="760"/>
      <c r="K14332" s="760"/>
    </row>
    <row r="14333" spans="1:11">
      <c r="A14333" s="760"/>
      <c r="B14333" s="760"/>
      <c r="C14333" s="760"/>
      <c r="D14333" s="760"/>
      <c r="E14333" s="760"/>
      <c r="F14333" s="760"/>
      <c r="G14333" s="760"/>
      <c r="H14333" s="760"/>
      <c r="I14333" s="760"/>
      <c r="J14333" s="760"/>
      <c r="K14333" s="760"/>
    </row>
    <row r="14334" spans="1:11">
      <c r="A14334" s="760"/>
      <c r="B14334" s="760"/>
      <c r="C14334" s="760"/>
      <c r="D14334" s="760"/>
      <c r="E14334" s="760"/>
      <c r="F14334" s="760"/>
      <c r="G14334" s="760"/>
      <c r="H14334" s="760"/>
      <c r="I14334" s="760"/>
      <c r="J14334" s="760"/>
      <c r="K14334" s="760"/>
    </row>
    <row r="14335" spans="1:11">
      <c r="A14335" s="760"/>
      <c r="B14335" s="760"/>
      <c r="C14335" s="760"/>
      <c r="D14335" s="760"/>
      <c r="E14335" s="760"/>
      <c r="F14335" s="760"/>
      <c r="G14335" s="760"/>
      <c r="H14335" s="760"/>
      <c r="I14335" s="760"/>
      <c r="J14335" s="760"/>
      <c r="K14335" s="760"/>
    </row>
    <row r="14336" spans="1:11">
      <c r="A14336" s="760"/>
      <c r="B14336" s="760"/>
      <c r="C14336" s="760"/>
      <c r="D14336" s="760"/>
      <c r="E14336" s="760"/>
      <c r="F14336" s="760"/>
      <c r="G14336" s="760"/>
      <c r="H14336" s="760"/>
      <c r="I14336" s="760"/>
      <c r="J14336" s="760"/>
      <c r="K14336" s="760"/>
    </row>
    <row r="14337" spans="1:11">
      <c r="A14337" s="760"/>
      <c r="B14337" s="760"/>
      <c r="C14337" s="760"/>
      <c r="D14337" s="760"/>
      <c r="E14337" s="760"/>
      <c r="F14337" s="760"/>
      <c r="G14337" s="760"/>
      <c r="H14337" s="760"/>
      <c r="I14337" s="760"/>
      <c r="J14337" s="760"/>
      <c r="K14337" s="760"/>
    </row>
    <row r="14338" spans="1:11">
      <c r="A14338" s="760"/>
      <c r="B14338" s="760"/>
      <c r="C14338" s="760"/>
      <c r="D14338" s="760"/>
      <c r="E14338" s="760"/>
      <c r="F14338" s="760"/>
      <c r="G14338" s="760"/>
      <c r="H14338" s="760"/>
      <c r="I14338" s="760"/>
      <c r="J14338" s="760"/>
      <c r="K14338" s="760"/>
    </row>
    <row r="14339" spans="1:11">
      <c r="A14339" s="760"/>
      <c r="B14339" s="760"/>
      <c r="C14339" s="760"/>
      <c r="D14339" s="760"/>
      <c r="E14339" s="760"/>
      <c r="F14339" s="760"/>
      <c r="G14339" s="760"/>
      <c r="H14339" s="760"/>
      <c r="I14339" s="760"/>
      <c r="J14339" s="760"/>
      <c r="K14339" s="760"/>
    </row>
    <row r="14340" spans="1:11">
      <c r="A14340" s="760"/>
      <c r="B14340" s="760"/>
      <c r="C14340" s="760"/>
      <c r="D14340" s="760"/>
      <c r="E14340" s="760"/>
      <c r="F14340" s="760"/>
      <c r="G14340" s="760"/>
      <c r="H14340" s="760"/>
      <c r="I14340" s="760"/>
      <c r="J14340" s="760"/>
      <c r="K14340" s="760"/>
    </row>
    <row r="14341" spans="1:11">
      <c r="A14341" s="760"/>
      <c r="B14341" s="760"/>
      <c r="C14341" s="760"/>
      <c r="D14341" s="760"/>
      <c r="E14341" s="760"/>
      <c r="F14341" s="760"/>
      <c r="G14341" s="760"/>
      <c r="H14341" s="760"/>
      <c r="I14341" s="760"/>
      <c r="J14341" s="760"/>
      <c r="K14341" s="760"/>
    </row>
    <row r="14342" spans="1:11">
      <c r="A14342" s="760"/>
      <c r="B14342" s="760"/>
      <c r="C14342" s="760"/>
      <c r="D14342" s="760"/>
      <c r="E14342" s="760"/>
      <c r="F14342" s="760"/>
      <c r="G14342" s="760"/>
      <c r="H14342" s="760"/>
      <c r="I14342" s="760"/>
      <c r="J14342" s="760"/>
      <c r="K14342" s="760"/>
    </row>
    <row r="14343" spans="1:11">
      <c r="A14343" s="760"/>
      <c r="B14343" s="760"/>
      <c r="C14343" s="760"/>
      <c r="D14343" s="760"/>
      <c r="E14343" s="760"/>
      <c r="F14343" s="760"/>
      <c r="G14343" s="760"/>
      <c r="H14343" s="760"/>
      <c r="I14343" s="760"/>
      <c r="J14343" s="760"/>
      <c r="K14343" s="760"/>
    </row>
    <row r="14344" spans="1:11">
      <c r="A14344" s="760"/>
      <c r="B14344" s="760"/>
      <c r="C14344" s="760"/>
      <c r="D14344" s="760"/>
      <c r="E14344" s="760"/>
      <c r="F14344" s="760"/>
      <c r="G14344" s="760"/>
      <c r="H14344" s="760"/>
      <c r="I14344" s="760"/>
      <c r="J14344" s="760"/>
      <c r="K14344" s="760"/>
    </row>
    <row r="14345" spans="1:11">
      <c r="A14345" s="760"/>
      <c r="B14345" s="760"/>
      <c r="C14345" s="760"/>
      <c r="D14345" s="760"/>
      <c r="E14345" s="760"/>
      <c r="F14345" s="760"/>
      <c r="G14345" s="760"/>
      <c r="H14345" s="760"/>
      <c r="I14345" s="760"/>
      <c r="J14345" s="760"/>
      <c r="K14345" s="760"/>
    </row>
    <row r="14346" spans="1:11">
      <c r="A14346" s="760"/>
      <c r="B14346" s="760"/>
      <c r="C14346" s="760"/>
      <c r="D14346" s="760"/>
      <c r="E14346" s="760"/>
      <c r="F14346" s="760"/>
      <c r="G14346" s="760"/>
      <c r="H14346" s="760"/>
      <c r="I14346" s="760"/>
      <c r="J14346" s="760"/>
      <c r="K14346" s="760"/>
    </row>
    <row r="14347" spans="1:11">
      <c r="A14347" s="760"/>
      <c r="B14347" s="760"/>
      <c r="C14347" s="760"/>
      <c r="D14347" s="760"/>
      <c r="E14347" s="760"/>
      <c r="F14347" s="760"/>
      <c r="G14347" s="760"/>
      <c r="H14347" s="760"/>
      <c r="I14347" s="760"/>
      <c r="J14347" s="760"/>
      <c r="K14347" s="760"/>
    </row>
    <row r="14348" spans="1:11">
      <c r="A14348" s="760"/>
      <c r="B14348" s="760"/>
      <c r="C14348" s="760"/>
      <c r="D14348" s="760"/>
      <c r="E14348" s="760"/>
      <c r="F14348" s="760"/>
      <c r="G14348" s="760"/>
      <c r="H14348" s="760"/>
      <c r="I14348" s="760"/>
      <c r="J14348" s="760"/>
      <c r="K14348" s="760"/>
    </row>
    <row r="14349" spans="1:11">
      <c r="A14349" s="760"/>
      <c r="B14349" s="760"/>
      <c r="C14349" s="760"/>
      <c r="D14349" s="760"/>
      <c r="E14349" s="760"/>
      <c r="F14349" s="760"/>
      <c r="G14349" s="760"/>
      <c r="H14349" s="760"/>
      <c r="I14349" s="760"/>
      <c r="J14349" s="760"/>
      <c r="K14349" s="760"/>
    </row>
    <row r="14350" spans="1:11">
      <c r="A14350" s="760"/>
      <c r="B14350" s="760"/>
      <c r="C14350" s="760"/>
      <c r="D14350" s="760"/>
      <c r="E14350" s="760"/>
      <c r="F14350" s="760"/>
      <c r="G14350" s="760"/>
      <c r="H14350" s="760"/>
      <c r="I14350" s="760"/>
      <c r="J14350" s="760"/>
      <c r="K14350" s="760"/>
    </row>
    <row r="14351" spans="1:11">
      <c r="A14351" s="760"/>
      <c r="B14351" s="760"/>
      <c r="C14351" s="760"/>
      <c r="D14351" s="760"/>
      <c r="E14351" s="760"/>
      <c r="F14351" s="760"/>
      <c r="G14351" s="760"/>
      <c r="H14351" s="760"/>
      <c r="I14351" s="760"/>
      <c r="J14351" s="760"/>
      <c r="K14351" s="760"/>
    </row>
    <row r="14352" spans="1:11">
      <c r="A14352" s="760"/>
      <c r="B14352" s="760"/>
      <c r="C14352" s="760"/>
      <c r="D14352" s="760"/>
      <c r="E14352" s="760"/>
      <c r="F14352" s="760"/>
      <c r="G14352" s="760"/>
      <c r="H14352" s="760"/>
      <c r="I14352" s="760"/>
      <c r="J14352" s="760"/>
      <c r="K14352" s="760"/>
    </row>
    <row r="14353" spans="1:11">
      <c r="A14353" s="760"/>
      <c r="B14353" s="760"/>
      <c r="C14353" s="760"/>
      <c r="D14353" s="760"/>
      <c r="E14353" s="760"/>
      <c r="F14353" s="760"/>
      <c r="G14353" s="760"/>
      <c r="H14353" s="760"/>
      <c r="I14353" s="760"/>
      <c r="J14353" s="760"/>
      <c r="K14353" s="760"/>
    </row>
    <row r="14354" spans="1:11">
      <c r="A14354" s="760"/>
      <c r="B14354" s="760"/>
      <c r="C14354" s="760"/>
      <c r="D14354" s="760"/>
      <c r="E14354" s="760"/>
      <c r="F14354" s="760"/>
      <c r="G14354" s="760"/>
      <c r="H14354" s="760"/>
      <c r="I14354" s="760"/>
      <c r="J14354" s="760"/>
      <c r="K14354" s="760"/>
    </row>
    <row r="14355" spans="1:11">
      <c r="A14355" s="760"/>
      <c r="B14355" s="760"/>
      <c r="C14355" s="760"/>
      <c r="D14355" s="760"/>
      <c r="E14355" s="760"/>
      <c r="F14355" s="760"/>
      <c r="G14355" s="760"/>
      <c r="H14355" s="760"/>
      <c r="I14355" s="760"/>
      <c r="J14355" s="760"/>
      <c r="K14355" s="760"/>
    </row>
    <row r="14356" spans="1:11">
      <c r="A14356" s="760"/>
      <c r="B14356" s="760"/>
      <c r="C14356" s="760"/>
      <c r="D14356" s="760"/>
      <c r="E14356" s="760"/>
      <c r="F14356" s="760"/>
      <c r="G14356" s="760"/>
      <c r="H14356" s="760"/>
      <c r="I14356" s="760"/>
      <c r="J14356" s="760"/>
      <c r="K14356" s="760"/>
    </row>
    <row r="14357" spans="1:11">
      <c r="A14357" s="760"/>
      <c r="B14357" s="760"/>
      <c r="C14357" s="760"/>
      <c r="D14357" s="760"/>
      <c r="E14357" s="760"/>
      <c r="F14357" s="760"/>
      <c r="G14357" s="760"/>
      <c r="H14357" s="760"/>
      <c r="I14357" s="760"/>
      <c r="J14357" s="760"/>
      <c r="K14357" s="760"/>
    </row>
    <row r="14358" spans="1:11">
      <c r="A14358" s="760"/>
      <c r="B14358" s="760"/>
      <c r="C14358" s="760"/>
      <c r="D14358" s="760"/>
      <c r="E14358" s="760"/>
      <c r="F14358" s="760"/>
      <c r="G14358" s="760"/>
      <c r="H14358" s="760"/>
      <c r="I14358" s="760"/>
      <c r="J14358" s="760"/>
      <c r="K14358" s="760"/>
    </row>
    <row r="14359" spans="1:11">
      <c r="A14359" s="760"/>
      <c r="B14359" s="760"/>
      <c r="C14359" s="760"/>
      <c r="D14359" s="760"/>
      <c r="E14359" s="760"/>
      <c r="F14359" s="760"/>
      <c r="G14359" s="760"/>
      <c r="H14359" s="760"/>
      <c r="I14359" s="760"/>
      <c r="J14359" s="760"/>
      <c r="K14359" s="760"/>
    </row>
    <row r="14360" spans="1:11">
      <c r="A14360" s="760"/>
      <c r="B14360" s="760"/>
      <c r="C14360" s="760"/>
      <c r="D14360" s="760"/>
      <c r="E14360" s="760"/>
      <c r="F14360" s="760"/>
      <c r="G14360" s="760"/>
      <c r="H14360" s="760"/>
      <c r="I14360" s="760"/>
      <c r="J14360" s="760"/>
      <c r="K14360" s="760"/>
    </row>
    <row r="14361" spans="1:11">
      <c r="A14361" s="760"/>
      <c r="B14361" s="760"/>
      <c r="C14361" s="760"/>
      <c r="D14361" s="760"/>
      <c r="E14361" s="760"/>
      <c r="F14361" s="760"/>
      <c r="G14361" s="760"/>
      <c r="H14361" s="760"/>
      <c r="I14361" s="760"/>
      <c r="J14361" s="760"/>
      <c r="K14361" s="760"/>
    </row>
    <row r="14362" spans="1:11">
      <c r="A14362" s="760"/>
      <c r="B14362" s="760"/>
      <c r="C14362" s="760"/>
      <c r="D14362" s="760"/>
      <c r="E14362" s="760"/>
      <c r="F14362" s="760"/>
      <c r="G14362" s="760"/>
      <c r="H14362" s="760"/>
      <c r="I14362" s="760"/>
      <c r="J14362" s="760"/>
      <c r="K14362" s="760"/>
    </row>
    <row r="14363" spans="1:11">
      <c r="A14363" s="760"/>
      <c r="B14363" s="760"/>
      <c r="C14363" s="760"/>
      <c r="D14363" s="760"/>
      <c r="E14363" s="760"/>
      <c r="F14363" s="760"/>
      <c r="G14363" s="760"/>
      <c r="H14363" s="760"/>
      <c r="I14363" s="760"/>
      <c r="J14363" s="760"/>
      <c r="K14363" s="760"/>
    </row>
    <row r="14364" spans="1:11">
      <c r="A14364" s="760"/>
      <c r="B14364" s="760"/>
      <c r="C14364" s="760"/>
      <c r="D14364" s="760"/>
      <c r="E14364" s="760"/>
      <c r="F14364" s="760"/>
      <c r="G14364" s="760"/>
      <c r="H14364" s="760"/>
      <c r="I14364" s="760"/>
      <c r="J14364" s="760"/>
      <c r="K14364" s="760"/>
    </row>
    <row r="14365" spans="1:11">
      <c r="A14365" s="760"/>
      <c r="B14365" s="760"/>
      <c r="C14365" s="760"/>
      <c r="D14365" s="760"/>
      <c r="E14365" s="760"/>
      <c r="F14365" s="760"/>
      <c r="G14365" s="760"/>
      <c r="H14365" s="760"/>
      <c r="I14365" s="760"/>
      <c r="J14365" s="760"/>
      <c r="K14365" s="760"/>
    </row>
    <row r="14366" spans="1:11">
      <c r="A14366" s="760"/>
      <c r="B14366" s="760"/>
      <c r="C14366" s="760"/>
      <c r="D14366" s="760"/>
      <c r="E14366" s="760"/>
      <c r="F14366" s="760"/>
      <c r="G14366" s="760"/>
      <c r="H14366" s="760"/>
      <c r="I14366" s="760"/>
      <c r="J14366" s="760"/>
      <c r="K14366" s="760"/>
    </row>
    <row r="14367" spans="1:11">
      <c r="A14367" s="760"/>
      <c r="B14367" s="760"/>
      <c r="C14367" s="760"/>
      <c r="D14367" s="760"/>
      <c r="E14367" s="760"/>
      <c r="F14367" s="760"/>
      <c r="G14367" s="760"/>
      <c r="H14367" s="760"/>
      <c r="I14367" s="760"/>
      <c r="J14367" s="760"/>
      <c r="K14367" s="760"/>
    </row>
    <row r="14368" spans="1:11">
      <c r="A14368" s="760"/>
      <c r="B14368" s="760"/>
      <c r="C14368" s="760"/>
      <c r="D14368" s="760"/>
      <c r="E14368" s="760"/>
      <c r="F14368" s="760"/>
      <c r="G14368" s="760"/>
      <c r="H14368" s="760"/>
      <c r="I14368" s="760"/>
      <c r="J14368" s="760"/>
      <c r="K14368" s="760"/>
    </row>
    <row r="14369" spans="1:11">
      <c r="A14369" s="760"/>
      <c r="B14369" s="760"/>
      <c r="C14369" s="760"/>
      <c r="D14369" s="760"/>
      <c r="E14369" s="760"/>
      <c r="F14369" s="760"/>
      <c r="G14369" s="760"/>
      <c r="H14369" s="760"/>
      <c r="I14369" s="760"/>
      <c r="J14369" s="760"/>
      <c r="K14369" s="760"/>
    </row>
    <row r="14370" spans="1:11">
      <c r="A14370" s="760"/>
      <c r="B14370" s="760"/>
      <c r="C14370" s="760"/>
      <c r="D14370" s="760"/>
      <c r="E14370" s="760"/>
      <c r="F14370" s="760"/>
      <c r="G14370" s="760"/>
      <c r="H14370" s="760"/>
      <c r="I14370" s="760"/>
      <c r="J14370" s="760"/>
      <c r="K14370" s="760"/>
    </row>
    <row r="14371" spans="1:11">
      <c r="A14371" s="760"/>
      <c r="B14371" s="760"/>
      <c r="C14371" s="760"/>
      <c r="D14371" s="760"/>
      <c r="E14371" s="760"/>
      <c r="F14371" s="760"/>
      <c r="G14371" s="760"/>
      <c r="H14371" s="760"/>
      <c r="I14371" s="760"/>
      <c r="J14371" s="760"/>
      <c r="K14371" s="760"/>
    </row>
    <row r="14372" spans="1:11">
      <c r="A14372" s="760"/>
      <c r="B14372" s="760"/>
      <c r="C14372" s="760"/>
      <c r="D14372" s="760"/>
      <c r="E14372" s="760"/>
      <c r="F14372" s="760"/>
      <c r="G14372" s="760"/>
      <c r="H14372" s="760"/>
      <c r="I14372" s="760"/>
      <c r="J14372" s="760"/>
      <c r="K14372" s="760"/>
    </row>
    <row r="14373" spans="1:11">
      <c r="A14373" s="760"/>
      <c r="B14373" s="760"/>
      <c r="C14373" s="760"/>
      <c r="D14373" s="760"/>
      <c r="E14373" s="760"/>
      <c r="F14373" s="760"/>
      <c r="G14373" s="760"/>
      <c r="H14373" s="760"/>
      <c r="I14373" s="760"/>
      <c r="J14373" s="760"/>
      <c r="K14373" s="760"/>
    </row>
    <row r="14374" spans="1:11">
      <c r="A14374" s="760"/>
      <c r="B14374" s="760"/>
      <c r="C14374" s="760"/>
      <c r="D14374" s="760"/>
      <c r="E14374" s="760"/>
      <c r="F14374" s="760"/>
      <c r="G14374" s="760"/>
      <c r="H14374" s="760"/>
      <c r="I14374" s="760"/>
      <c r="J14374" s="760"/>
      <c r="K14374" s="760"/>
    </row>
    <row r="14375" spans="1:11">
      <c r="A14375" s="760"/>
      <c r="B14375" s="760"/>
      <c r="C14375" s="760"/>
      <c r="D14375" s="760"/>
      <c r="E14375" s="760"/>
      <c r="F14375" s="760"/>
      <c r="G14375" s="760"/>
      <c r="H14375" s="760"/>
      <c r="I14375" s="760"/>
      <c r="J14375" s="760"/>
      <c r="K14375" s="760"/>
    </row>
    <row r="14376" spans="1:11">
      <c r="A14376" s="760"/>
      <c r="B14376" s="760"/>
      <c r="C14376" s="760"/>
      <c r="D14376" s="760"/>
      <c r="E14376" s="760"/>
      <c r="F14376" s="760"/>
      <c r="G14376" s="760"/>
      <c r="H14376" s="760"/>
      <c r="I14376" s="760"/>
      <c r="J14376" s="760"/>
      <c r="K14376" s="760"/>
    </row>
    <row r="14377" spans="1:11">
      <c r="A14377" s="760"/>
      <c r="B14377" s="760"/>
      <c r="C14377" s="760"/>
      <c r="D14377" s="760"/>
      <c r="E14377" s="760"/>
      <c r="F14377" s="760"/>
      <c r="G14377" s="760"/>
      <c r="H14377" s="760"/>
      <c r="I14377" s="760"/>
      <c r="J14377" s="760"/>
      <c r="K14377" s="760"/>
    </row>
    <row r="14378" spans="1:11">
      <c r="A14378" s="760"/>
      <c r="B14378" s="760"/>
      <c r="C14378" s="760"/>
      <c r="D14378" s="760"/>
      <c r="E14378" s="760"/>
      <c r="F14378" s="760"/>
      <c r="G14378" s="760"/>
      <c r="H14378" s="760"/>
      <c r="I14378" s="760"/>
      <c r="J14378" s="760"/>
      <c r="K14378" s="760"/>
    </row>
    <row r="14379" spans="1:11">
      <c r="A14379" s="760"/>
      <c r="B14379" s="760"/>
      <c r="C14379" s="760"/>
      <c r="D14379" s="760"/>
      <c r="E14379" s="760"/>
      <c r="F14379" s="760"/>
      <c r="G14379" s="760"/>
      <c r="H14379" s="760"/>
      <c r="I14379" s="760"/>
      <c r="J14379" s="760"/>
      <c r="K14379" s="760"/>
    </row>
    <row r="14380" spans="1:11">
      <c r="A14380" s="760"/>
      <c r="B14380" s="760"/>
      <c r="C14380" s="760"/>
      <c r="D14380" s="760"/>
      <c r="E14380" s="760"/>
      <c r="F14380" s="760"/>
      <c r="G14380" s="760"/>
      <c r="H14380" s="760"/>
      <c r="I14380" s="760"/>
      <c r="J14380" s="760"/>
      <c r="K14380" s="760"/>
    </row>
    <row r="14381" spans="1:11">
      <c r="A14381" s="760"/>
      <c r="B14381" s="760"/>
      <c r="C14381" s="760"/>
      <c r="D14381" s="760"/>
      <c r="E14381" s="760"/>
      <c r="F14381" s="760"/>
      <c r="G14381" s="760"/>
      <c r="H14381" s="760"/>
      <c r="I14381" s="760"/>
      <c r="J14381" s="760"/>
      <c r="K14381" s="760"/>
    </row>
    <row r="14382" spans="1:11">
      <c r="A14382" s="760"/>
      <c r="B14382" s="760"/>
      <c r="C14382" s="760"/>
      <c r="D14382" s="760"/>
      <c r="E14382" s="760"/>
      <c r="F14382" s="760"/>
      <c r="G14382" s="760"/>
      <c r="H14382" s="760"/>
      <c r="I14382" s="760"/>
      <c r="J14382" s="760"/>
      <c r="K14382" s="760"/>
    </row>
    <row r="14383" spans="1:11">
      <c r="A14383" s="760"/>
      <c r="B14383" s="760"/>
      <c r="C14383" s="760"/>
      <c r="D14383" s="760"/>
      <c r="E14383" s="760"/>
      <c r="F14383" s="760"/>
      <c r="G14383" s="760"/>
      <c r="H14383" s="760"/>
      <c r="I14383" s="760"/>
      <c r="J14383" s="760"/>
      <c r="K14383" s="760"/>
    </row>
    <row r="14384" spans="1:11">
      <c r="A14384" s="760"/>
      <c r="B14384" s="760"/>
      <c r="C14384" s="760"/>
      <c r="D14384" s="760"/>
      <c r="E14384" s="760"/>
      <c r="F14384" s="760"/>
      <c r="G14384" s="760"/>
      <c r="H14384" s="760"/>
      <c r="I14384" s="760"/>
      <c r="J14384" s="760"/>
      <c r="K14384" s="760"/>
    </row>
    <row r="14385" spans="1:11">
      <c r="A14385" s="760"/>
      <c r="B14385" s="760"/>
      <c r="C14385" s="760"/>
      <c r="D14385" s="760"/>
      <c r="E14385" s="760"/>
      <c r="F14385" s="760"/>
      <c r="G14385" s="760"/>
      <c r="H14385" s="760"/>
      <c r="I14385" s="760"/>
      <c r="J14385" s="760"/>
      <c r="K14385" s="760"/>
    </row>
    <row r="14386" spans="1:11">
      <c r="A14386" s="760"/>
      <c r="B14386" s="760"/>
      <c r="C14386" s="760"/>
      <c r="D14386" s="760"/>
      <c r="E14386" s="760"/>
      <c r="F14386" s="760"/>
      <c r="G14386" s="760"/>
      <c r="H14386" s="760"/>
      <c r="I14386" s="760"/>
      <c r="J14386" s="760"/>
      <c r="K14386" s="760"/>
    </row>
    <row r="14387" spans="1:11">
      <c r="A14387" s="760"/>
      <c r="B14387" s="760"/>
      <c r="C14387" s="760"/>
      <c r="D14387" s="760"/>
      <c r="E14387" s="760"/>
      <c r="F14387" s="760"/>
      <c r="G14387" s="760"/>
      <c r="H14387" s="760"/>
      <c r="I14387" s="760"/>
      <c r="J14387" s="760"/>
      <c r="K14387" s="760"/>
    </row>
    <row r="14388" spans="1:11">
      <c r="A14388" s="760"/>
      <c r="B14388" s="760"/>
      <c r="C14388" s="760"/>
      <c r="D14388" s="760"/>
      <c r="E14388" s="760"/>
      <c r="F14388" s="760"/>
      <c r="G14388" s="760"/>
      <c r="H14388" s="760"/>
      <c r="I14388" s="760"/>
      <c r="J14388" s="760"/>
      <c r="K14388" s="760"/>
    </row>
    <row r="14389" spans="1:11">
      <c r="A14389" s="760"/>
      <c r="B14389" s="760"/>
      <c r="C14389" s="760"/>
      <c r="D14389" s="760"/>
      <c r="E14389" s="760"/>
      <c r="F14389" s="760"/>
      <c r="G14389" s="760"/>
      <c r="H14389" s="760"/>
      <c r="I14389" s="760"/>
      <c r="J14389" s="760"/>
      <c r="K14389" s="760"/>
    </row>
    <row r="14390" spans="1:11">
      <c r="A14390" s="760"/>
      <c r="B14390" s="760"/>
      <c r="C14390" s="760"/>
      <c r="D14390" s="760"/>
      <c r="E14390" s="760"/>
      <c r="F14390" s="760"/>
      <c r="G14390" s="760"/>
      <c r="H14390" s="760"/>
      <c r="I14390" s="760"/>
      <c r="J14390" s="760"/>
      <c r="K14390" s="760"/>
    </row>
    <row r="14391" spans="1:11">
      <c r="A14391" s="760"/>
      <c r="B14391" s="760"/>
      <c r="C14391" s="760"/>
      <c r="D14391" s="760"/>
      <c r="E14391" s="760"/>
      <c r="F14391" s="760"/>
      <c r="G14391" s="760"/>
      <c r="H14391" s="760"/>
      <c r="I14391" s="760"/>
      <c r="J14391" s="760"/>
      <c r="K14391" s="760"/>
    </row>
    <row r="14392" spans="1:11">
      <c r="A14392" s="760"/>
      <c r="B14392" s="760"/>
      <c r="C14392" s="760"/>
      <c r="D14392" s="760"/>
      <c r="E14392" s="760"/>
      <c r="F14392" s="760"/>
      <c r="G14392" s="760"/>
      <c r="H14392" s="760"/>
      <c r="I14392" s="760"/>
      <c r="J14392" s="760"/>
      <c r="K14392" s="760"/>
    </row>
    <row r="14393" spans="1:11">
      <c r="A14393" s="760"/>
      <c r="B14393" s="760"/>
      <c r="C14393" s="760"/>
      <c r="D14393" s="760"/>
      <c r="E14393" s="760"/>
      <c r="F14393" s="760"/>
      <c r="G14393" s="760"/>
      <c r="H14393" s="760"/>
      <c r="I14393" s="760"/>
      <c r="J14393" s="760"/>
      <c r="K14393" s="760"/>
    </row>
    <row r="14394" spans="1:11">
      <c r="A14394" s="760"/>
      <c r="B14394" s="760"/>
      <c r="C14394" s="760"/>
      <c r="D14394" s="760"/>
      <c r="E14394" s="760"/>
      <c r="F14394" s="760"/>
      <c r="G14394" s="760"/>
      <c r="H14394" s="760"/>
      <c r="I14394" s="760"/>
      <c r="J14394" s="760"/>
      <c r="K14394" s="760"/>
    </row>
    <row r="14395" spans="1:11">
      <c r="A14395" s="760"/>
      <c r="B14395" s="760"/>
      <c r="C14395" s="760"/>
      <c r="D14395" s="760"/>
      <c r="E14395" s="760"/>
      <c r="F14395" s="760"/>
      <c r="G14395" s="760"/>
      <c r="H14395" s="760"/>
      <c r="I14395" s="760"/>
      <c r="J14395" s="760"/>
      <c r="K14395" s="760"/>
    </row>
    <row r="14396" spans="1:11">
      <c r="A14396" s="760"/>
      <c r="B14396" s="760"/>
      <c r="C14396" s="760"/>
      <c r="D14396" s="760"/>
      <c r="E14396" s="760"/>
      <c r="F14396" s="760"/>
      <c r="G14396" s="760"/>
      <c r="H14396" s="760"/>
      <c r="I14396" s="760"/>
      <c r="J14396" s="760"/>
      <c r="K14396" s="760"/>
    </row>
    <row r="14397" spans="1:11">
      <c r="A14397" s="760"/>
      <c r="B14397" s="760"/>
      <c r="C14397" s="760"/>
      <c r="D14397" s="760"/>
      <c r="E14397" s="760"/>
      <c r="F14397" s="760"/>
      <c r="G14397" s="760"/>
      <c r="H14397" s="760"/>
      <c r="I14397" s="760"/>
      <c r="J14397" s="760"/>
      <c r="K14397" s="760"/>
    </row>
    <row r="14398" spans="1:11">
      <c r="A14398" s="760"/>
      <c r="B14398" s="760"/>
      <c r="C14398" s="760"/>
      <c r="D14398" s="760"/>
      <c r="E14398" s="760"/>
      <c r="F14398" s="760"/>
      <c r="G14398" s="760"/>
      <c r="H14398" s="760"/>
      <c r="I14398" s="760"/>
      <c r="J14398" s="760"/>
      <c r="K14398" s="760"/>
    </row>
    <row r="14399" spans="1:11">
      <c r="A14399" s="760"/>
      <c r="B14399" s="760"/>
      <c r="C14399" s="760"/>
      <c r="D14399" s="760"/>
      <c r="E14399" s="760"/>
      <c r="F14399" s="760"/>
      <c r="G14399" s="760"/>
      <c r="H14399" s="760"/>
      <c r="I14399" s="760"/>
      <c r="J14399" s="760"/>
      <c r="K14399" s="760"/>
    </row>
    <row r="14400" spans="1:11">
      <c r="A14400" s="760"/>
      <c r="B14400" s="760"/>
      <c r="C14400" s="760"/>
      <c r="D14400" s="760"/>
      <c r="E14400" s="760"/>
      <c r="F14400" s="760"/>
      <c r="G14400" s="760"/>
      <c r="H14400" s="760"/>
      <c r="I14400" s="760"/>
      <c r="J14400" s="760"/>
      <c r="K14400" s="760"/>
    </row>
    <row r="14401" spans="1:11">
      <c r="A14401" s="760"/>
      <c r="B14401" s="760"/>
      <c r="C14401" s="760"/>
      <c r="D14401" s="760"/>
      <c r="E14401" s="760"/>
      <c r="F14401" s="760"/>
      <c r="G14401" s="760"/>
      <c r="H14401" s="760"/>
      <c r="I14401" s="760"/>
      <c r="J14401" s="760"/>
      <c r="K14401" s="760"/>
    </row>
    <row r="14402" spans="1:11">
      <c r="A14402" s="760"/>
      <c r="B14402" s="760"/>
      <c r="C14402" s="760"/>
      <c r="D14402" s="760"/>
      <c r="E14402" s="760"/>
      <c r="F14402" s="760"/>
      <c r="G14402" s="760"/>
      <c r="H14402" s="760"/>
      <c r="I14402" s="760"/>
      <c r="J14402" s="760"/>
      <c r="K14402" s="760"/>
    </row>
    <row r="14403" spans="1:11">
      <c r="A14403" s="760"/>
      <c r="B14403" s="760"/>
      <c r="C14403" s="760"/>
      <c r="D14403" s="760"/>
      <c r="E14403" s="760"/>
      <c r="F14403" s="760"/>
      <c r="G14403" s="760"/>
      <c r="H14403" s="760"/>
      <c r="I14403" s="760"/>
      <c r="J14403" s="760"/>
      <c r="K14403" s="760"/>
    </row>
    <row r="14404" spans="1:11">
      <c r="A14404" s="760"/>
      <c r="B14404" s="760"/>
      <c r="C14404" s="760"/>
      <c r="D14404" s="760"/>
      <c r="E14404" s="760"/>
      <c r="F14404" s="760"/>
      <c r="G14404" s="760"/>
      <c r="H14404" s="760"/>
      <c r="I14404" s="760"/>
      <c r="J14404" s="760"/>
      <c r="K14404" s="760"/>
    </row>
    <row r="14405" spans="1:11">
      <c r="A14405" s="760"/>
      <c r="B14405" s="760"/>
      <c r="C14405" s="760"/>
      <c r="D14405" s="760"/>
      <c r="E14405" s="760"/>
      <c r="F14405" s="760"/>
      <c r="G14405" s="760"/>
      <c r="H14405" s="760"/>
      <c r="I14405" s="760"/>
      <c r="J14405" s="760"/>
      <c r="K14405" s="760"/>
    </row>
    <row r="14406" spans="1:11">
      <c r="A14406" s="760"/>
      <c r="B14406" s="760"/>
      <c r="C14406" s="760"/>
      <c r="D14406" s="760"/>
      <c r="E14406" s="760"/>
      <c r="F14406" s="760"/>
      <c r="G14406" s="760"/>
      <c r="H14406" s="760"/>
      <c r="I14406" s="760"/>
      <c r="J14406" s="760"/>
      <c r="K14406" s="760"/>
    </row>
    <row r="14407" spans="1:11">
      <c r="A14407" s="760"/>
      <c r="B14407" s="760"/>
      <c r="C14407" s="760"/>
      <c r="D14407" s="760"/>
      <c r="E14407" s="760"/>
      <c r="F14407" s="760"/>
      <c r="G14407" s="760"/>
      <c r="H14407" s="760"/>
      <c r="I14407" s="760"/>
      <c r="J14407" s="760"/>
      <c r="K14407" s="760"/>
    </row>
    <row r="14408" spans="1:11">
      <c r="A14408" s="760"/>
      <c r="B14408" s="760"/>
      <c r="C14408" s="760"/>
      <c r="D14408" s="760"/>
      <c r="E14408" s="760"/>
      <c r="F14408" s="760"/>
      <c r="G14408" s="760"/>
      <c r="H14408" s="760"/>
      <c r="I14408" s="760"/>
      <c r="J14408" s="760"/>
      <c r="K14408" s="760"/>
    </row>
    <row r="14409" spans="1:11">
      <c r="A14409" s="760"/>
      <c r="B14409" s="760"/>
      <c r="C14409" s="760"/>
      <c r="D14409" s="760"/>
      <c r="E14409" s="760"/>
      <c r="F14409" s="760"/>
      <c r="G14409" s="760"/>
      <c r="H14409" s="760"/>
      <c r="I14409" s="760"/>
      <c r="J14409" s="760"/>
      <c r="K14409" s="760"/>
    </row>
    <row r="14410" spans="1:11">
      <c r="A14410" s="760"/>
      <c r="B14410" s="760"/>
      <c r="C14410" s="760"/>
      <c r="D14410" s="760"/>
      <c r="E14410" s="760"/>
      <c r="F14410" s="760"/>
      <c r="G14410" s="760"/>
      <c r="H14410" s="760"/>
      <c r="I14410" s="760"/>
      <c r="J14410" s="760"/>
      <c r="K14410" s="760"/>
    </row>
    <row r="14411" spans="1:11">
      <c r="A14411" s="760"/>
      <c r="B14411" s="760"/>
      <c r="C14411" s="760"/>
      <c r="D14411" s="760"/>
      <c r="E14411" s="760"/>
      <c r="F14411" s="760"/>
      <c r="G14411" s="760"/>
      <c r="H14411" s="760"/>
      <c r="I14411" s="760"/>
      <c r="J14411" s="760"/>
      <c r="K14411" s="760"/>
    </row>
    <row r="14412" spans="1:11">
      <c r="A14412" s="760"/>
      <c r="B14412" s="760"/>
      <c r="C14412" s="760"/>
      <c r="D14412" s="760"/>
      <c r="E14412" s="760"/>
      <c r="F14412" s="760"/>
      <c r="G14412" s="760"/>
      <c r="H14412" s="760"/>
      <c r="I14412" s="760"/>
      <c r="J14412" s="760"/>
      <c r="K14412" s="760"/>
    </row>
    <row r="14413" spans="1:11">
      <c r="A14413" s="760"/>
      <c r="B14413" s="760"/>
      <c r="C14413" s="760"/>
      <c r="D14413" s="760"/>
      <c r="E14413" s="760"/>
      <c r="F14413" s="760"/>
      <c r="G14413" s="760"/>
      <c r="H14413" s="760"/>
      <c r="I14413" s="760"/>
      <c r="J14413" s="760"/>
      <c r="K14413" s="760"/>
    </row>
    <row r="14414" spans="1:11">
      <c r="A14414" s="760"/>
      <c r="B14414" s="760"/>
      <c r="C14414" s="760"/>
      <c r="D14414" s="760"/>
      <c r="E14414" s="760"/>
      <c r="F14414" s="760"/>
      <c r="G14414" s="760"/>
      <c r="H14414" s="760"/>
      <c r="I14414" s="760"/>
      <c r="J14414" s="760"/>
      <c r="K14414" s="760"/>
    </row>
    <row r="14415" spans="1:11">
      <c r="A14415" s="760"/>
      <c r="B14415" s="760"/>
      <c r="C14415" s="760"/>
      <c r="D14415" s="760"/>
      <c r="E14415" s="760"/>
      <c r="F14415" s="760"/>
      <c r="G14415" s="760"/>
      <c r="H14415" s="760"/>
      <c r="I14415" s="760"/>
      <c r="J14415" s="760"/>
      <c r="K14415" s="760"/>
    </row>
    <row r="14416" spans="1:11">
      <c r="A14416" s="760"/>
      <c r="B14416" s="760"/>
      <c r="C14416" s="760"/>
      <c r="D14416" s="760"/>
      <c r="E14416" s="760"/>
      <c r="F14416" s="760"/>
      <c r="G14416" s="760"/>
      <c r="H14416" s="760"/>
      <c r="I14416" s="760"/>
      <c r="J14416" s="760"/>
      <c r="K14416" s="760"/>
    </row>
    <row r="14417" spans="1:11">
      <c r="A14417" s="760"/>
      <c r="B14417" s="760"/>
      <c r="C14417" s="760"/>
      <c r="D14417" s="760"/>
      <c r="E14417" s="760"/>
      <c r="F14417" s="760"/>
      <c r="G14417" s="760"/>
      <c r="H14417" s="760"/>
      <c r="I14417" s="760"/>
      <c r="J14417" s="760"/>
      <c r="K14417" s="760"/>
    </row>
    <row r="14418" spans="1:11">
      <c r="A14418" s="760"/>
      <c r="B14418" s="760"/>
      <c r="C14418" s="760"/>
      <c r="D14418" s="760"/>
      <c r="E14418" s="760"/>
      <c r="F14418" s="760"/>
      <c r="G14418" s="760"/>
      <c r="H14418" s="760"/>
      <c r="I14418" s="760"/>
      <c r="J14418" s="760"/>
      <c r="K14418" s="760"/>
    </row>
    <row r="14419" spans="1:11">
      <c r="A14419" s="760"/>
      <c r="B14419" s="760"/>
      <c r="C14419" s="760"/>
      <c r="D14419" s="760"/>
      <c r="E14419" s="760"/>
      <c r="F14419" s="760"/>
      <c r="G14419" s="760"/>
      <c r="H14419" s="760"/>
      <c r="I14419" s="760"/>
      <c r="J14419" s="760"/>
      <c r="K14419" s="760"/>
    </row>
    <row r="14420" spans="1:11">
      <c r="A14420" s="760"/>
      <c r="B14420" s="760"/>
      <c r="C14420" s="760"/>
      <c r="D14420" s="760"/>
      <c r="E14420" s="760"/>
      <c r="F14420" s="760"/>
      <c r="G14420" s="760"/>
      <c r="H14420" s="760"/>
      <c r="I14420" s="760"/>
      <c r="J14420" s="760"/>
      <c r="K14420" s="760"/>
    </row>
    <row r="14421" spans="1:11">
      <c r="A14421" s="760"/>
      <c r="B14421" s="760"/>
      <c r="C14421" s="760"/>
      <c r="D14421" s="760"/>
      <c r="E14421" s="760"/>
      <c r="F14421" s="760"/>
      <c r="G14421" s="760"/>
      <c r="H14421" s="760"/>
      <c r="I14421" s="760"/>
      <c r="J14421" s="760"/>
      <c r="K14421" s="760"/>
    </row>
    <row r="14422" spans="1:11">
      <c r="A14422" s="760"/>
      <c r="B14422" s="760"/>
      <c r="C14422" s="760"/>
      <c r="D14422" s="760"/>
      <c r="E14422" s="760"/>
      <c r="F14422" s="760"/>
      <c r="G14422" s="760"/>
      <c r="H14422" s="760"/>
      <c r="I14422" s="760"/>
      <c r="J14422" s="760"/>
      <c r="K14422" s="760"/>
    </row>
    <row r="14423" spans="1:11">
      <c r="A14423" s="760"/>
      <c r="B14423" s="760"/>
      <c r="C14423" s="760"/>
      <c r="D14423" s="760"/>
      <c r="E14423" s="760"/>
      <c r="F14423" s="760"/>
      <c r="G14423" s="760"/>
      <c r="H14423" s="760"/>
      <c r="I14423" s="760"/>
      <c r="J14423" s="760"/>
      <c r="K14423" s="760"/>
    </row>
    <row r="14424" spans="1:11">
      <c r="A14424" s="760"/>
      <c r="B14424" s="760"/>
      <c r="C14424" s="760"/>
      <c r="D14424" s="760"/>
      <c r="E14424" s="760"/>
      <c r="F14424" s="760"/>
      <c r="G14424" s="760"/>
      <c r="H14424" s="760"/>
      <c r="I14424" s="760"/>
      <c r="J14424" s="760"/>
      <c r="K14424" s="760"/>
    </row>
    <row r="14425" spans="1:11">
      <c r="A14425" s="760"/>
      <c r="B14425" s="760"/>
      <c r="C14425" s="760"/>
      <c r="D14425" s="760"/>
      <c r="E14425" s="760"/>
      <c r="F14425" s="760"/>
      <c r="G14425" s="760"/>
      <c r="H14425" s="760"/>
      <c r="I14425" s="760"/>
      <c r="J14425" s="760"/>
      <c r="K14425" s="760"/>
    </row>
    <row r="14426" spans="1:11">
      <c r="A14426" s="760"/>
      <c r="B14426" s="760"/>
      <c r="C14426" s="760"/>
      <c r="D14426" s="760"/>
      <c r="E14426" s="760"/>
      <c r="F14426" s="760"/>
      <c r="G14426" s="760"/>
      <c r="H14426" s="760"/>
      <c r="I14426" s="760"/>
      <c r="J14426" s="760"/>
      <c r="K14426" s="760"/>
    </row>
    <row r="14427" spans="1:11">
      <c r="A14427" s="760"/>
      <c r="B14427" s="760"/>
      <c r="C14427" s="760"/>
      <c r="D14427" s="760"/>
      <c r="E14427" s="760"/>
      <c r="F14427" s="760"/>
      <c r="G14427" s="760"/>
      <c r="H14427" s="760"/>
      <c r="I14427" s="760"/>
      <c r="J14427" s="760"/>
      <c r="K14427" s="760"/>
    </row>
    <row r="14428" spans="1:11">
      <c r="A14428" s="760"/>
      <c r="B14428" s="760"/>
      <c r="C14428" s="760"/>
      <c r="D14428" s="760"/>
      <c r="E14428" s="760"/>
      <c r="F14428" s="760"/>
      <c r="G14428" s="760"/>
      <c r="H14428" s="760"/>
      <c r="I14428" s="760"/>
      <c r="J14428" s="760"/>
      <c r="K14428" s="760"/>
    </row>
    <row r="14429" spans="1:11">
      <c r="A14429" s="760"/>
      <c r="B14429" s="760"/>
      <c r="C14429" s="760"/>
      <c r="D14429" s="760"/>
      <c r="E14429" s="760"/>
      <c r="F14429" s="760"/>
      <c r="G14429" s="760"/>
      <c r="H14429" s="760"/>
      <c r="I14429" s="760"/>
      <c r="J14429" s="760"/>
      <c r="K14429" s="760"/>
    </row>
    <row r="14430" spans="1:11">
      <c r="A14430" s="760"/>
      <c r="B14430" s="760"/>
      <c r="C14430" s="760"/>
      <c r="D14430" s="760"/>
      <c r="E14430" s="760"/>
      <c r="F14430" s="760"/>
      <c r="G14430" s="760"/>
      <c r="H14430" s="760"/>
      <c r="I14430" s="760"/>
      <c r="J14430" s="760"/>
      <c r="K14430" s="760"/>
    </row>
    <row r="14431" spans="1:11">
      <c r="A14431" s="760"/>
      <c r="B14431" s="760"/>
      <c r="C14431" s="760"/>
      <c r="D14431" s="760"/>
      <c r="E14431" s="760"/>
      <c r="F14431" s="760"/>
      <c r="G14431" s="760"/>
      <c r="H14431" s="760"/>
      <c r="I14431" s="760"/>
      <c r="J14431" s="760"/>
      <c r="K14431" s="760"/>
    </row>
    <row r="14432" spans="1:11">
      <c r="A14432" s="760"/>
      <c r="B14432" s="760"/>
      <c r="C14432" s="760"/>
      <c r="D14432" s="760"/>
      <c r="E14432" s="760"/>
      <c r="F14432" s="760"/>
      <c r="G14432" s="760"/>
      <c r="H14432" s="760"/>
      <c r="I14432" s="760"/>
      <c r="J14432" s="760"/>
      <c r="K14432" s="760"/>
    </row>
    <row r="14433" spans="1:11">
      <c r="A14433" s="760"/>
      <c r="B14433" s="760"/>
      <c r="C14433" s="760"/>
      <c r="D14433" s="760"/>
      <c r="E14433" s="760"/>
      <c r="F14433" s="760"/>
      <c r="G14433" s="760"/>
      <c r="H14433" s="760"/>
      <c r="I14433" s="760"/>
      <c r="J14433" s="760"/>
      <c r="K14433" s="760"/>
    </row>
    <row r="14434" spans="1:11">
      <c r="A14434" s="760"/>
      <c r="B14434" s="760"/>
      <c r="C14434" s="760"/>
      <c r="D14434" s="760"/>
      <c r="E14434" s="760"/>
      <c r="F14434" s="760"/>
      <c r="G14434" s="760"/>
      <c r="H14434" s="760"/>
      <c r="I14434" s="760"/>
      <c r="J14434" s="760"/>
      <c r="K14434" s="760"/>
    </row>
    <row r="14435" spans="1:11">
      <c r="A14435" s="760"/>
      <c r="B14435" s="760"/>
      <c r="C14435" s="760"/>
      <c r="D14435" s="760"/>
      <c r="E14435" s="760"/>
      <c r="F14435" s="760"/>
      <c r="G14435" s="760"/>
      <c r="H14435" s="760"/>
      <c r="I14435" s="760"/>
      <c r="J14435" s="760"/>
      <c r="K14435" s="760"/>
    </row>
    <row r="14436" spans="1:11">
      <c r="A14436" s="760"/>
      <c r="B14436" s="760"/>
      <c r="C14436" s="760"/>
      <c r="D14436" s="760"/>
      <c r="E14436" s="760"/>
      <c r="F14436" s="760"/>
      <c r="G14436" s="760"/>
      <c r="H14436" s="760"/>
      <c r="I14436" s="760"/>
      <c r="J14436" s="760"/>
      <c r="K14436" s="760"/>
    </row>
    <row r="14437" spans="1:11">
      <c r="A14437" s="760"/>
      <c r="B14437" s="760"/>
      <c r="C14437" s="760"/>
      <c r="D14437" s="760"/>
      <c r="E14437" s="760"/>
      <c r="F14437" s="760"/>
      <c r="G14437" s="760"/>
      <c r="H14437" s="760"/>
      <c r="I14437" s="760"/>
      <c r="J14437" s="760"/>
      <c r="K14437" s="760"/>
    </row>
    <row r="14438" spans="1:11">
      <c r="A14438" s="760"/>
      <c r="B14438" s="760"/>
      <c r="C14438" s="760"/>
      <c r="D14438" s="760"/>
      <c r="E14438" s="760"/>
      <c r="F14438" s="760"/>
      <c r="G14438" s="760"/>
      <c r="H14438" s="760"/>
      <c r="I14438" s="760"/>
      <c r="J14438" s="760"/>
      <c r="K14438" s="760"/>
    </row>
    <row r="14439" spans="1:11">
      <c r="A14439" s="760"/>
      <c r="B14439" s="760"/>
      <c r="C14439" s="760"/>
      <c r="D14439" s="760"/>
      <c r="E14439" s="760"/>
      <c r="F14439" s="760"/>
      <c r="G14439" s="760"/>
      <c r="H14439" s="760"/>
      <c r="I14439" s="760"/>
      <c r="J14439" s="760"/>
      <c r="K14439" s="760"/>
    </row>
    <row r="14440" spans="1:11">
      <c r="A14440" s="760"/>
      <c r="B14440" s="760"/>
      <c r="C14440" s="760"/>
      <c r="D14440" s="760"/>
      <c r="E14440" s="760"/>
      <c r="F14440" s="760"/>
      <c r="G14440" s="760"/>
      <c r="H14440" s="760"/>
      <c r="I14440" s="760"/>
      <c r="J14440" s="760"/>
      <c r="K14440" s="760"/>
    </row>
    <row r="14441" spans="1:11">
      <c r="A14441" s="760"/>
      <c r="B14441" s="760"/>
      <c r="C14441" s="760"/>
      <c r="D14441" s="760"/>
      <c r="E14441" s="760"/>
      <c r="F14441" s="760"/>
      <c r="G14441" s="760"/>
      <c r="H14441" s="760"/>
      <c r="I14441" s="760"/>
      <c r="J14441" s="760"/>
      <c r="K14441" s="760"/>
    </row>
    <row r="14442" spans="1:11">
      <c r="A14442" s="760"/>
      <c r="B14442" s="760"/>
      <c r="C14442" s="760"/>
      <c r="D14442" s="760"/>
      <c r="E14442" s="760"/>
      <c r="F14442" s="760"/>
      <c r="G14442" s="760"/>
      <c r="H14442" s="760"/>
      <c r="I14442" s="760"/>
      <c r="J14442" s="760"/>
      <c r="K14442" s="760"/>
    </row>
    <row r="14443" spans="1:11">
      <c r="A14443" s="760"/>
      <c r="B14443" s="760"/>
      <c r="C14443" s="760"/>
      <c r="D14443" s="760"/>
      <c r="E14443" s="760"/>
      <c r="F14443" s="760"/>
      <c r="G14443" s="760"/>
      <c r="H14443" s="760"/>
      <c r="I14443" s="760"/>
      <c r="J14443" s="760"/>
      <c r="K14443" s="760"/>
    </row>
    <row r="14444" spans="1:11">
      <c r="A14444" s="760"/>
      <c r="B14444" s="760"/>
      <c r="C14444" s="760"/>
      <c r="D14444" s="760"/>
      <c r="E14444" s="760"/>
      <c r="F14444" s="760"/>
      <c r="G14444" s="760"/>
      <c r="H14444" s="760"/>
      <c r="I14444" s="760"/>
      <c r="J14444" s="760"/>
      <c r="K14444" s="760"/>
    </row>
    <row r="14445" spans="1:11">
      <c r="A14445" s="760"/>
      <c r="B14445" s="760"/>
      <c r="C14445" s="760"/>
      <c r="D14445" s="760"/>
      <c r="E14445" s="760"/>
      <c r="F14445" s="760"/>
      <c r="G14445" s="760"/>
      <c r="H14445" s="760"/>
      <c r="I14445" s="760"/>
      <c r="J14445" s="760"/>
      <c r="K14445" s="760"/>
    </row>
    <row r="14446" spans="1:11">
      <c r="A14446" s="760"/>
      <c r="B14446" s="760"/>
      <c r="C14446" s="760"/>
      <c r="D14446" s="760"/>
      <c r="E14446" s="760"/>
      <c r="F14446" s="760"/>
      <c r="G14446" s="760"/>
      <c r="H14446" s="760"/>
      <c r="I14446" s="760"/>
      <c r="J14446" s="760"/>
      <c r="K14446" s="760"/>
    </row>
    <row r="14447" spans="1:11">
      <c r="A14447" s="760"/>
      <c r="B14447" s="760"/>
      <c r="C14447" s="760"/>
      <c r="D14447" s="760"/>
      <c r="E14447" s="760"/>
      <c r="F14447" s="760"/>
      <c r="G14447" s="760"/>
      <c r="H14447" s="760"/>
      <c r="I14447" s="760"/>
      <c r="J14447" s="760"/>
      <c r="K14447" s="760"/>
    </row>
    <row r="14448" spans="1:11">
      <c r="A14448" s="760"/>
      <c r="B14448" s="760"/>
      <c r="C14448" s="760"/>
      <c r="D14448" s="760"/>
      <c r="E14448" s="760"/>
      <c r="F14448" s="760"/>
      <c r="G14448" s="760"/>
      <c r="H14448" s="760"/>
      <c r="I14448" s="760"/>
      <c r="J14448" s="760"/>
      <c r="K14448" s="760"/>
    </row>
    <row r="14449" spans="1:11">
      <c r="A14449" s="760"/>
      <c r="B14449" s="760"/>
      <c r="C14449" s="760"/>
      <c r="D14449" s="760"/>
      <c r="E14449" s="760"/>
      <c r="F14449" s="760"/>
      <c r="G14449" s="760"/>
      <c r="H14449" s="760"/>
      <c r="I14449" s="760"/>
      <c r="J14449" s="760"/>
      <c r="K14449" s="760"/>
    </row>
    <row r="14450" spans="1:11">
      <c r="A14450" s="760"/>
      <c r="B14450" s="760"/>
      <c r="C14450" s="760"/>
      <c r="D14450" s="760"/>
      <c r="E14450" s="760"/>
      <c r="F14450" s="760"/>
      <c r="G14450" s="760"/>
      <c r="H14450" s="760"/>
      <c r="I14450" s="760"/>
      <c r="J14450" s="760"/>
      <c r="K14450" s="760"/>
    </row>
    <row r="14451" spans="1:11">
      <c r="A14451" s="760"/>
      <c r="B14451" s="760"/>
      <c r="C14451" s="760"/>
      <c r="D14451" s="760"/>
      <c r="E14451" s="760"/>
      <c r="F14451" s="760"/>
      <c r="G14451" s="760"/>
      <c r="H14451" s="760"/>
      <c r="I14451" s="760"/>
      <c r="J14451" s="760"/>
      <c r="K14451" s="760"/>
    </row>
    <row r="14452" spans="1:11">
      <c r="A14452" s="760"/>
      <c r="B14452" s="760"/>
      <c r="C14452" s="760"/>
      <c r="D14452" s="760"/>
      <c r="E14452" s="760"/>
      <c r="F14452" s="760"/>
      <c r="G14452" s="760"/>
      <c r="H14452" s="760"/>
      <c r="I14452" s="760"/>
      <c r="J14452" s="760"/>
      <c r="K14452" s="760"/>
    </row>
    <row r="14453" spans="1:11">
      <c r="A14453" s="760"/>
      <c r="B14453" s="760"/>
      <c r="C14453" s="760"/>
      <c r="D14453" s="760"/>
      <c r="E14453" s="760"/>
      <c r="F14453" s="760"/>
      <c r="G14453" s="760"/>
      <c r="H14453" s="760"/>
      <c r="I14453" s="760"/>
      <c r="J14453" s="760"/>
      <c r="K14453" s="760"/>
    </row>
    <row r="14454" spans="1:11">
      <c r="A14454" s="760"/>
      <c r="B14454" s="760"/>
      <c r="C14454" s="760"/>
      <c r="D14454" s="760"/>
      <c r="E14454" s="760"/>
      <c r="F14454" s="760"/>
      <c r="G14454" s="760"/>
      <c r="H14454" s="760"/>
      <c r="I14454" s="760"/>
      <c r="J14454" s="760"/>
      <c r="K14454" s="760"/>
    </row>
    <row r="14455" spans="1:11">
      <c r="A14455" s="760"/>
      <c r="B14455" s="760"/>
      <c r="C14455" s="760"/>
      <c r="D14455" s="760"/>
      <c r="E14455" s="760"/>
      <c r="F14455" s="760"/>
      <c r="G14455" s="760"/>
      <c r="H14455" s="760"/>
      <c r="I14455" s="760"/>
      <c r="J14455" s="760"/>
      <c r="K14455" s="760"/>
    </row>
    <row r="14456" spans="1:11">
      <c r="A14456" s="760"/>
      <c r="B14456" s="760"/>
      <c r="C14456" s="760"/>
      <c r="D14456" s="760"/>
      <c r="E14456" s="760"/>
      <c r="F14456" s="760"/>
      <c r="G14456" s="760"/>
      <c r="H14456" s="760"/>
      <c r="I14456" s="760"/>
      <c r="J14456" s="760"/>
      <c r="K14456" s="760"/>
    </row>
    <row r="14457" spans="1:11">
      <c r="A14457" s="760"/>
      <c r="B14457" s="760"/>
      <c r="C14457" s="760"/>
      <c r="D14457" s="760"/>
      <c r="E14457" s="760"/>
      <c r="F14457" s="760"/>
      <c r="G14457" s="760"/>
      <c r="H14457" s="760"/>
      <c r="I14457" s="760"/>
      <c r="J14457" s="760"/>
      <c r="K14457" s="760"/>
    </row>
    <row r="14458" spans="1:11">
      <c r="A14458" s="760"/>
      <c r="B14458" s="760"/>
      <c r="C14458" s="760"/>
      <c r="D14458" s="760"/>
      <c r="E14458" s="760"/>
      <c r="F14458" s="760"/>
      <c r="G14458" s="760"/>
      <c r="H14458" s="760"/>
      <c r="I14458" s="760"/>
      <c r="J14458" s="760"/>
      <c r="K14458" s="760"/>
    </row>
    <row r="14459" spans="1:11">
      <c r="A14459" s="760"/>
      <c r="B14459" s="760"/>
      <c r="C14459" s="760"/>
      <c r="D14459" s="760"/>
      <c r="E14459" s="760"/>
      <c r="F14459" s="760"/>
      <c r="G14459" s="760"/>
      <c r="H14459" s="760"/>
      <c r="I14459" s="760"/>
      <c r="J14459" s="760"/>
      <c r="K14459" s="760"/>
    </row>
    <row r="14460" spans="1:11">
      <c r="A14460" s="760"/>
      <c r="B14460" s="760"/>
      <c r="C14460" s="760"/>
      <c r="D14460" s="760"/>
      <c r="E14460" s="760"/>
      <c r="F14460" s="760"/>
      <c r="G14460" s="760"/>
      <c r="H14460" s="760"/>
      <c r="I14460" s="760"/>
      <c r="J14460" s="760"/>
      <c r="K14460" s="760"/>
    </row>
    <row r="14461" spans="1:11">
      <c r="A14461" s="760"/>
      <c r="B14461" s="760"/>
      <c r="C14461" s="760"/>
      <c r="D14461" s="760"/>
      <c r="E14461" s="760"/>
      <c r="F14461" s="760"/>
      <c r="G14461" s="760"/>
      <c r="H14461" s="760"/>
      <c r="I14461" s="760"/>
      <c r="J14461" s="760"/>
      <c r="K14461" s="760"/>
    </row>
    <row r="14462" spans="1:11">
      <c r="A14462" s="760"/>
      <c r="B14462" s="760"/>
      <c r="C14462" s="760"/>
      <c r="D14462" s="760"/>
      <c r="E14462" s="760"/>
      <c r="F14462" s="760"/>
      <c r="G14462" s="760"/>
      <c r="H14462" s="760"/>
      <c r="I14462" s="760"/>
      <c r="J14462" s="760"/>
      <c r="K14462" s="760"/>
    </row>
    <row r="14463" spans="1:11">
      <c r="A14463" s="760"/>
      <c r="B14463" s="760"/>
      <c r="C14463" s="760"/>
      <c r="D14463" s="760"/>
      <c r="E14463" s="760"/>
      <c r="F14463" s="760"/>
      <c r="G14463" s="760"/>
      <c r="H14463" s="760"/>
      <c r="I14463" s="760"/>
      <c r="J14463" s="760"/>
      <c r="K14463" s="760"/>
    </row>
    <row r="14464" spans="1:11">
      <c r="A14464" s="760"/>
      <c r="B14464" s="760"/>
      <c r="C14464" s="760"/>
      <c r="D14464" s="760"/>
      <c r="E14464" s="760"/>
      <c r="F14464" s="760"/>
      <c r="G14464" s="760"/>
      <c r="H14464" s="760"/>
      <c r="I14464" s="760"/>
      <c r="J14464" s="760"/>
      <c r="K14464" s="760"/>
    </row>
    <row r="14465" spans="1:11">
      <c r="A14465" s="760"/>
      <c r="B14465" s="760"/>
      <c r="C14465" s="760"/>
      <c r="D14465" s="760"/>
      <c r="E14465" s="760"/>
      <c r="F14465" s="760"/>
      <c r="G14465" s="760"/>
      <c r="H14465" s="760"/>
      <c r="I14465" s="760"/>
      <c r="J14465" s="760"/>
      <c r="K14465" s="760"/>
    </row>
    <row r="14466" spans="1:11">
      <c r="A14466" s="760"/>
      <c r="B14466" s="760"/>
      <c r="C14466" s="760"/>
      <c r="D14466" s="760"/>
      <c r="E14466" s="760"/>
      <c r="F14466" s="760"/>
      <c r="G14466" s="760"/>
      <c r="H14466" s="760"/>
      <c r="I14466" s="760"/>
      <c r="J14466" s="760"/>
      <c r="K14466" s="760"/>
    </row>
    <row r="14467" spans="1:11">
      <c r="A14467" s="760"/>
      <c r="B14467" s="760"/>
      <c r="C14467" s="760"/>
      <c r="D14467" s="760"/>
      <c r="E14467" s="760"/>
      <c r="F14467" s="760"/>
      <c r="G14467" s="760"/>
      <c r="H14467" s="760"/>
      <c r="I14467" s="760"/>
      <c r="J14467" s="760"/>
      <c r="K14467" s="760"/>
    </row>
    <row r="14468" spans="1:11">
      <c r="A14468" s="760"/>
      <c r="B14468" s="760"/>
      <c r="C14468" s="760"/>
      <c r="D14468" s="760"/>
      <c r="E14468" s="760"/>
      <c r="F14468" s="760"/>
      <c r="G14468" s="760"/>
      <c r="H14468" s="760"/>
      <c r="I14468" s="760"/>
      <c r="J14468" s="760"/>
      <c r="K14468" s="760"/>
    </row>
    <row r="14469" spans="1:11">
      <c r="A14469" s="760"/>
      <c r="B14469" s="760"/>
      <c r="C14469" s="760"/>
      <c r="D14469" s="760"/>
      <c r="E14469" s="760"/>
      <c r="F14469" s="760"/>
      <c r="G14469" s="760"/>
      <c r="H14469" s="760"/>
      <c r="I14469" s="760"/>
      <c r="J14469" s="760"/>
      <c r="K14469" s="760"/>
    </row>
    <row r="14470" spans="1:11">
      <c r="A14470" s="760"/>
      <c r="B14470" s="760"/>
      <c r="C14470" s="760"/>
      <c r="D14470" s="760"/>
      <c r="E14470" s="760"/>
      <c r="F14470" s="760"/>
      <c r="G14470" s="760"/>
      <c r="H14470" s="760"/>
      <c r="I14470" s="760"/>
      <c r="J14470" s="760"/>
      <c r="K14470" s="760"/>
    </row>
    <row r="14471" spans="1:11">
      <c r="A14471" s="760"/>
      <c r="B14471" s="760"/>
      <c r="C14471" s="760"/>
      <c r="D14471" s="760"/>
      <c r="E14471" s="760"/>
      <c r="F14471" s="760"/>
      <c r="G14471" s="760"/>
      <c r="H14471" s="760"/>
      <c r="I14471" s="760"/>
      <c r="J14471" s="760"/>
      <c r="K14471" s="760"/>
    </row>
    <row r="14472" spans="1:11">
      <c r="A14472" s="760"/>
      <c r="B14472" s="760"/>
      <c r="C14472" s="760"/>
      <c r="D14472" s="760"/>
      <c r="E14472" s="760"/>
      <c r="F14472" s="760"/>
      <c r="G14472" s="760"/>
      <c r="H14472" s="760"/>
      <c r="I14472" s="760"/>
      <c r="J14472" s="760"/>
      <c r="K14472" s="760"/>
    </row>
    <row r="14473" spans="1:11">
      <c r="A14473" s="760"/>
      <c r="B14473" s="760"/>
      <c r="C14473" s="760"/>
      <c r="D14473" s="760"/>
      <c r="E14473" s="760"/>
      <c r="F14473" s="760"/>
      <c r="G14473" s="760"/>
      <c r="H14473" s="760"/>
      <c r="I14473" s="760"/>
      <c r="J14473" s="760"/>
      <c r="K14473" s="760"/>
    </row>
    <row r="14474" spans="1:11">
      <c r="A14474" s="760"/>
      <c r="B14474" s="760"/>
      <c r="C14474" s="760"/>
      <c r="D14474" s="760"/>
      <c r="E14474" s="760"/>
      <c r="F14474" s="760"/>
      <c r="G14474" s="760"/>
      <c r="H14474" s="760"/>
      <c r="I14474" s="760"/>
      <c r="J14474" s="760"/>
      <c r="K14474" s="760"/>
    </row>
    <row r="14475" spans="1:11">
      <c r="A14475" s="760"/>
      <c r="B14475" s="760"/>
      <c r="C14475" s="760"/>
      <c r="D14475" s="760"/>
      <c r="E14475" s="760"/>
      <c r="F14475" s="760"/>
      <c r="G14475" s="760"/>
      <c r="H14475" s="760"/>
      <c r="I14475" s="760"/>
      <c r="J14475" s="760"/>
      <c r="K14475" s="760"/>
    </row>
    <row r="14476" spans="1:11">
      <c r="A14476" s="760"/>
      <c r="B14476" s="760"/>
      <c r="C14476" s="760"/>
      <c r="D14476" s="760"/>
      <c r="E14476" s="760"/>
      <c r="F14476" s="760"/>
      <c r="G14476" s="760"/>
      <c r="H14476" s="760"/>
      <c r="I14476" s="760"/>
      <c r="J14476" s="760"/>
      <c r="K14476" s="760"/>
    </row>
    <row r="14477" spans="1:11">
      <c r="A14477" s="760"/>
      <c r="B14477" s="760"/>
      <c r="C14477" s="760"/>
      <c r="D14477" s="760"/>
      <c r="E14477" s="760"/>
      <c r="F14477" s="760"/>
      <c r="G14477" s="760"/>
      <c r="H14477" s="760"/>
      <c r="I14477" s="760"/>
      <c r="J14477" s="760"/>
      <c r="K14477" s="760"/>
    </row>
    <row r="14478" spans="1:11">
      <c r="A14478" s="760"/>
      <c r="B14478" s="760"/>
      <c r="C14478" s="760"/>
      <c r="D14478" s="760"/>
      <c r="E14478" s="760"/>
      <c r="F14478" s="760"/>
      <c r="G14478" s="760"/>
      <c r="H14478" s="760"/>
      <c r="I14478" s="760"/>
      <c r="J14478" s="760"/>
      <c r="K14478" s="760"/>
    </row>
    <row r="14479" spans="1:11">
      <c r="A14479" s="760"/>
      <c r="B14479" s="760"/>
      <c r="C14479" s="760"/>
      <c r="D14479" s="760"/>
      <c r="E14479" s="760"/>
      <c r="F14479" s="760"/>
      <c r="G14479" s="760"/>
      <c r="H14479" s="760"/>
      <c r="I14479" s="760"/>
      <c r="J14479" s="760"/>
      <c r="K14479" s="760"/>
    </row>
    <row r="14480" spans="1:11">
      <c r="A14480" s="760"/>
      <c r="B14480" s="760"/>
      <c r="C14480" s="760"/>
      <c r="D14480" s="760"/>
      <c r="E14480" s="760"/>
      <c r="F14480" s="760"/>
      <c r="G14480" s="760"/>
      <c r="H14480" s="760"/>
      <c r="I14480" s="760"/>
      <c r="J14480" s="760"/>
      <c r="K14480" s="760"/>
    </row>
    <row r="14481" spans="1:11">
      <c r="A14481" s="760"/>
      <c r="B14481" s="760"/>
      <c r="C14481" s="760"/>
      <c r="D14481" s="760"/>
      <c r="E14481" s="760"/>
      <c r="F14481" s="760"/>
      <c r="G14481" s="760"/>
      <c r="H14481" s="760"/>
      <c r="I14481" s="760"/>
      <c r="J14481" s="760"/>
      <c r="K14481" s="760"/>
    </row>
    <row r="14482" spans="1:11">
      <c r="A14482" s="760"/>
      <c r="B14482" s="760"/>
      <c r="C14482" s="760"/>
      <c r="D14482" s="760"/>
      <c r="E14482" s="760"/>
      <c r="F14482" s="760"/>
      <c r="G14482" s="760"/>
      <c r="H14482" s="760"/>
      <c r="I14482" s="760"/>
      <c r="J14482" s="760"/>
      <c r="K14482" s="760"/>
    </row>
    <row r="14483" spans="1:11">
      <c r="A14483" s="760"/>
      <c r="B14483" s="760"/>
      <c r="C14483" s="760"/>
      <c r="D14483" s="760"/>
      <c r="E14483" s="760"/>
      <c r="F14483" s="760"/>
      <c r="G14483" s="760"/>
      <c r="H14483" s="760"/>
      <c r="I14483" s="760"/>
      <c r="J14483" s="760"/>
      <c r="K14483" s="760"/>
    </row>
    <row r="14484" spans="1:11">
      <c r="A14484" s="760"/>
      <c r="B14484" s="760"/>
      <c r="C14484" s="760"/>
      <c r="D14484" s="760"/>
      <c r="E14484" s="760"/>
      <c r="F14484" s="760"/>
      <c r="G14484" s="760"/>
      <c r="H14484" s="760"/>
      <c r="I14484" s="760"/>
      <c r="J14484" s="760"/>
      <c r="K14484" s="760"/>
    </row>
    <row r="14485" spans="1:11">
      <c r="A14485" s="760"/>
      <c r="B14485" s="760"/>
      <c r="C14485" s="760"/>
      <c r="D14485" s="760"/>
      <c r="E14485" s="760"/>
      <c r="F14485" s="760"/>
      <c r="G14485" s="760"/>
      <c r="H14485" s="760"/>
      <c r="I14485" s="760"/>
      <c r="J14485" s="760"/>
      <c r="K14485" s="760"/>
    </row>
    <row r="14486" spans="1:11">
      <c r="A14486" s="760"/>
      <c r="B14486" s="760"/>
      <c r="C14486" s="760"/>
      <c r="D14486" s="760"/>
      <c r="E14486" s="760"/>
      <c r="F14486" s="760"/>
      <c r="G14486" s="760"/>
      <c r="H14486" s="760"/>
      <c r="I14486" s="760"/>
      <c r="J14486" s="760"/>
      <c r="K14486" s="760"/>
    </row>
    <row r="14487" spans="1:11">
      <c r="A14487" s="760"/>
      <c r="B14487" s="760"/>
      <c r="C14487" s="760"/>
      <c r="D14487" s="760"/>
      <c r="E14487" s="760"/>
      <c r="F14487" s="760"/>
      <c r="G14487" s="760"/>
      <c r="H14487" s="760"/>
      <c r="I14487" s="760"/>
      <c r="J14487" s="760"/>
      <c r="K14487" s="760"/>
    </row>
    <row r="14488" spans="1:11">
      <c r="A14488" s="760"/>
      <c r="B14488" s="760"/>
      <c r="C14488" s="760"/>
      <c r="D14488" s="760"/>
      <c r="E14488" s="760"/>
      <c r="F14488" s="760"/>
      <c r="G14488" s="760"/>
      <c r="H14488" s="760"/>
      <c r="I14488" s="760"/>
      <c r="J14488" s="760"/>
      <c r="K14488" s="760"/>
    </row>
    <row r="14489" spans="1:11">
      <c r="A14489" s="760"/>
      <c r="B14489" s="760"/>
      <c r="C14489" s="760"/>
      <c r="D14489" s="760"/>
      <c r="E14489" s="760"/>
      <c r="F14489" s="760"/>
      <c r="G14489" s="760"/>
      <c r="H14489" s="760"/>
      <c r="I14489" s="760"/>
      <c r="J14489" s="760"/>
      <c r="K14489" s="760"/>
    </row>
    <row r="14490" spans="1:11">
      <c r="A14490" s="760"/>
      <c r="B14490" s="760"/>
      <c r="C14490" s="760"/>
      <c r="D14490" s="760"/>
      <c r="E14490" s="760"/>
      <c r="F14490" s="760"/>
      <c r="G14490" s="760"/>
      <c r="H14490" s="760"/>
      <c r="I14490" s="760"/>
      <c r="J14490" s="760"/>
      <c r="K14490" s="760"/>
    </row>
    <row r="14491" spans="1:11">
      <c r="A14491" s="760"/>
      <c r="B14491" s="760"/>
      <c r="C14491" s="760"/>
      <c r="D14491" s="760"/>
      <c r="E14491" s="760"/>
      <c r="F14491" s="760"/>
      <c r="G14491" s="760"/>
      <c r="H14491" s="760"/>
      <c r="I14491" s="760"/>
      <c r="J14491" s="760"/>
      <c r="K14491" s="760"/>
    </row>
    <row r="14492" spans="1:11">
      <c r="A14492" s="760"/>
      <c r="B14492" s="760"/>
      <c r="C14492" s="760"/>
      <c r="D14492" s="760"/>
      <c r="E14492" s="760"/>
      <c r="F14492" s="760"/>
      <c r="G14492" s="760"/>
      <c r="H14492" s="760"/>
      <c r="I14492" s="760"/>
      <c r="J14492" s="760"/>
      <c r="K14492" s="760"/>
    </row>
    <row r="14493" spans="1:11">
      <c r="A14493" s="760"/>
      <c r="B14493" s="760"/>
      <c r="C14493" s="760"/>
      <c r="D14493" s="760"/>
      <c r="E14493" s="760"/>
      <c r="F14493" s="760"/>
      <c r="G14493" s="760"/>
      <c r="H14493" s="760"/>
      <c r="I14493" s="760"/>
      <c r="J14493" s="760"/>
      <c r="K14493" s="760"/>
    </row>
    <row r="14494" spans="1:11">
      <c r="A14494" s="760"/>
      <c r="B14494" s="760"/>
      <c r="C14494" s="760"/>
      <c r="D14494" s="760"/>
      <c r="E14494" s="760"/>
      <c r="F14494" s="760"/>
      <c r="G14494" s="760"/>
      <c r="H14494" s="760"/>
      <c r="I14494" s="760"/>
      <c r="J14494" s="760"/>
      <c r="K14494" s="760"/>
    </row>
    <row r="14495" spans="1:11">
      <c r="A14495" s="760"/>
      <c r="B14495" s="760"/>
      <c r="C14495" s="760"/>
      <c r="D14495" s="760"/>
      <c r="E14495" s="760"/>
      <c r="F14495" s="760"/>
      <c r="G14495" s="760"/>
      <c r="H14495" s="760"/>
      <c r="I14495" s="760"/>
      <c r="J14495" s="760"/>
      <c r="K14495" s="760"/>
    </row>
    <row r="14496" spans="1:11">
      <c r="A14496" s="760"/>
      <c r="B14496" s="760"/>
      <c r="C14496" s="760"/>
      <c r="D14496" s="760"/>
      <c r="E14496" s="760"/>
      <c r="F14496" s="760"/>
      <c r="G14496" s="760"/>
      <c r="H14496" s="760"/>
      <c r="I14496" s="760"/>
      <c r="J14496" s="760"/>
      <c r="K14496" s="760"/>
    </row>
    <row r="14497" spans="1:11">
      <c r="A14497" s="760"/>
      <c r="B14497" s="760"/>
      <c r="C14497" s="760"/>
      <c r="D14497" s="760"/>
      <c r="E14497" s="760"/>
      <c r="F14497" s="760"/>
      <c r="G14497" s="760"/>
      <c r="H14497" s="760"/>
      <c r="I14497" s="760"/>
      <c r="J14497" s="760"/>
      <c r="K14497" s="760"/>
    </row>
    <row r="14498" spans="1:11">
      <c r="A14498" s="760"/>
      <c r="B14498" s="760"/>
      <c r="C14498" s="760"/>
      <c r="D14498" s="760"/>
      <c r="E14498" s="760"/>
      <c r="F14498" s="760"/>
      <c r="G14498" s="760"/>
      <c r="H14498" s="760"/>
      <c r="I14498" s="760"/>
      <c r="J14498" s="760"/>
      <c r="K14498" s="760"/>
    </row>
    <row r="14499" spans="1:11">
      <c r="A14499" s="760"/>
      <c r="B14499" s="760"/>
      <c r="C14499" s="760"/>
      <c r="D14499" s="760"/>
      <c r="E14499" s="760"/>
      <c r="F14499" s="760"/>
      <c r="G14499" s="760"/>
      <c r="H14499" s="760"/>
      <c r="I14499" s="760"/>
      <c r="J14499" s="760"/>
      <c r="K14499" s="760"/>
    </row>
    <row r="14500" spans="1:11">
      <c r="A14500" s="760"/>
      <c r="B14500" s="760"/>
      <c r="C14500" s="760"/>
      <c r="D14500" s="760"/>
      <c r="E14500" s="760"/>
      <c r="F14500" s="760"/>
      <c r="G14500" s="760"/>
      <c r="H14500" s="760"/>
      <c r="I14500" s="760"/>
      <c r="J14500" s="760"/>
      <c r="K14500" s="760"/>
    </row>
    <row r="14501" spans="1:11">
      <c r="A14501" s="760"/>
      <c r="B14501" s="760"/>
      <c r="C14501" s="760"/>
      <c r="D14501" s="760"/>
      <c r="E14501" s="760"/>
      <c r="F14501" s="760"/>
      <c r="G14501" s="760"/>
      <c r="H14501" s="760"/>
      <c r="I14501" s="760"/>
      <c r="J14501" s="760"/>
      <c r="K14501" s="760"/>
    </row>
    <row r="14502" spans="1:11">
      <c r="A14502" s="760"/>
      <c r="B14502" s="760"/>
      <c r="C14502" s="760"/>
      <c r="D14502" s="760"/>
      <c r="E14502" s="760"/>
      <c r="F14502" s="760"/>
      <c r="G14502" s="760"/>
      <c r="H14502" s="760"/>
      <c r="I14502" s="760"/>
      <c r="J14502" s="760"/>
      <c r="K14502" s="760"/>
    </row>
    <row r="14503" spans="1:11">
      <c r="A14503" s="760"/>
      <c r="B14503" s="760"/>
      <c r="C14503" s="760"/>
      <c r="D14503" s="760"/>
      <c r="E14503" s="760"/>
      <c r="F14503" s="760"/>
      <c r="G14503" s="760"/>
      <c r="H14503" s="760"/>
      <c r="I14503" s="760"/>
      <c r="J14503" s="760"/>
      <c r="K14503" s="760"/>
    </row>
    <row r="14504" spans="1:11">
      <c r="A14504" s="760"/>
      <c r="B14504" s="760"/>
      <c r="C14504" s="760"/>
      <c r="D14504" s="760"/>
      <c r="E14504" s="760"/>
      <c r="F14504" s="760"/>
      <c r="G14504" s="760"/>
      <c r="H14504" s="760"/>
      <c r="I14504" s="760"/>
      <c r="J14504" s="760"/>
      <c r="K14504" s="760"/>
    </row>
    <row r="14505" spans="1:11">
      <c r="A14505" s="760"/>
      <c r="B14505" s="760"/>
      <c r="C14505" s="760"/>
      <c r="D14505" s="760"/>
      <c r="E14505" s="760"/>
      <c r="F14505" s="760"/>
      <c r="G14505" s="760"/>
      <c r="H14505" s="760"/>
      <c r="I14505" s="760"/>
      <c r="J14505" s="760"/>
      <c r="K14505" s="760"/>
    </row>
    <row r="14506" spans="1:11">
      <c r="A14506" s="760"/>
      <c r="B14506" s="760"/>
      <c r="C14506" s="760"/>
      <c r="D14506" s="760"/>
      <c r="E14506" s="760"/>
      <c r="F14506" s="760"/>
      <c r="G14506" s="760"/>
      <c r="H14506" s="760"/>
      <c r="I14506" s="760"/>
      <c r="J14506" s="760"/>
      <c r="K14506" s="760"/>
    </row>
    <row r="14507" spans="1:11">
      <c r="A14507" s="760"/>
      <c r="B14507" s="760"/>
      <c r="C14507" s="760"/>
      <c r="D14507" s="760"/>
      <c r="E14507" s="760"/>
      <c r="F14507" s="760"/>
      <c r="G14507" s="760"/>
      <c r="H14507" s="760"/>
      <c r="I14507" s="760"/>
      <c r="J14507" s="760"/>
      <c r="K14507" s="760"/>
    </row>
    <row r="14508" spans="1:11">
      <c r="A14508" s="760"/>
      <c r="B14508" s="760"/>
      <c r="C14508" s="760"/>
      <c r="D14508" s="760"/>
      <c r="E14508" s="760"/>
      <c r="F14508" s="760"/>
      <c r="G14508" s="760"/>
      <c r="H14508" s="760"/>
      <c r="I14508" s="760"/>
      <c r="J14508" s="760"/>
      <c r="K14508" s="760"/>
    </row>
    <row r="14509" spans="1:11">
      <c r="A14509" s="760"/>
      <c r="B14509" s="760"/>
      <c r="C14509" s="760"/>
      <c r="D14509" s="760"/>
      <c r="E14509" s="760"/>
      <c r="F14509" s="760"/>
      <c r="G14509" s="760"/>
      <c r="H14509" s="760"/>
      <c r="I14509" s="760"/>
      <c r="J14509" s="760"/>
      <c r="K14509" s="760"/>
    </row>
    <row r="14510" spans="1:11">
      <c r="A14510" s="760"/>
      <c r="B14510" s="760"/>
      <c r="C14510" s="760"/>
      <c r="D14510" s="760"/>
      <c r="E14510" s="760"/>
      <c r="F14510" s="760"/>
      <c r="G14510" s="760"/>
      <c r="H14510" s="760"/>
      <c r="I14510" s="760"/>
      <c r="J14510" s="760"/>
      <c r="K14510" s="760"/>
    </row>
    <row r="14511" spans="1:11">
      <c r="A14511" s="760"/>
      <c r="B14511" s="760"/>
      <c r="C14511" s="760"/>
      <c r="D14511" s="760"/>
      <c r="E14511" s="760"/>
      <c r="F14511" s="760"/>
      <c r="G14511" s="760"/>
      <c r="H14511" s="760"/>
      <c r="I14511" s="760"/>
      <c r="J14511" s="760"/>
      <c r="K14511" s="760"/>
    </row>
    <row r="14512" spans="1:11">
      <c r="A14512" s="760"/>
      <c r="B14512" s="760"/>
      <c r="C14512" s="760"/>
      <c r="D14512" s="760"/>
      <c r="E14512" s="760"/>
      <c r="F14512" s="760"/>
      <c r="G14512" s="760"/>
      <c r="H14512" s="760"/>
      <c r="I14512" s="760"/>
      <c r="J14512" s="760"/>
      <c r="K14512" s="760"/>
    </row>
    <row r="14513" spans="1:11">
      <c r="A14513" s="760"/>
      <c r="B14513" s="760"/>
      <c r="C14513" s="760"/>
      <c r="D14513" s="760"/>
      <c r="E14513" s="760"/>
      <c r="F14513" s="760"/>
      <c r="G14513" s="760"/>
      <c r="H14513" s="760"/>
      <c r="I14513" s="760"/>
      <c r="J14513" s="760"/>
      <c r="K14513" s="760"/>
    </row>
    <row r="14514" spans="1:11">
      <c r="A14514" s="760"/>
      <c r="B14514" s="760"/>
      <c r="C14514" s="760"/>
      <c r="D14514" s="760"/>
      <c r="E14514" s="760"/>
      <c r="F14514" s="760"/>
      <c r="G14514" s="760"/>
      <c r="H14514" s="760"/>
      <c r="I14514" s="760"/>
      <c r="J14514" s="760"/>
      <c r="K14514" s="760"/>
    </row>
    <row r="14515" spans="1:11">
      <c r="A14515" s="760"/>
      <c r="B14515" s="760"/>
      <c r="C14515" s="760"/>
      <c r="D14515" s="760"/>
      <c r="E14515" s="760"/>
      <c r="F14515" s="760"/>
      <c r="G14515" s="760"/>
      <c r="H14515" s="760"/>
      <c r="I14515" s="760"/>
      <c r="J14515" s="760"/>
      <c r="K14515" s="760"/>
    </row>
    <row r="14516" spans="1:11">
      <c r="A14516" s="760"/>
      <c r="B14516" s="760"/>
      <c r="C14516" s="760"/>
      <c r="D14516" s="760"/>
      <c r="E14516" s="760"/>
      <c r="F14516" s="760"/>
      <c r="G14516" s="760"/>
      <c r="H14516" s="760"/>
      <c r="I14516" s="760"/>
      <c r="J14516" s="760"/>
      <c r="K14516" s="760"/>
    </row>
    <row r="14517" spans="1:11">
      <c r="A14517" s="760"/>
      <c r="B14517" s="760"/>
      <c r="C14517" s="760"/>
      <c r="D14517" s="760"/>
      <c r="E14517" s="760"/>
      <c r="F14517" s="760"/>
      <c r="G14517" s="760"/>
      <c r="H14517" s="760"/>
      <c r="I14517" s="760"/>
      <c r="J14517" s="760"/>
      <c r="K14517" s="760"/>
    </row>
    <row r="14518" spans="1:11">
      <c r="A14518" s="760"/>
      <c r="B14518" s="760"/>
      <c r="C14518" s="760"/>
      <c r="D14518" s="760"/>
      <c r="E14518" s="760"/>
      <c r="F14518" s="760"/>
      <c r="G14518" s="760"/>
      <c r="H14518" s="760"/>
      <c r="I14518" s="760"/>
      <c r="J14518" s="760"/>
      <c r="K14518" s="760"/>
    </row>
    <row r="14519" spans="1:11">
      <c r="A14519" s="760"/>
      <c r="B14519" s="760"/>
      <c r="C14519" s="760"/>
      <c r="D14519" s="760"/>
      <c r="E14519" s="760"/>
      <c r="F14519" s="760"/>
      <c r="G14519" s="760"/>
      <c r="H14519" s="760"/>
      <c r="I14519" s="760"/>
      <c r="J14519" s="760"/>
      <c r="K14519" s="760"/>
    </row>
    <row r="14520" spans="1:11">
      <c r="A14520" s="760"/>
      <c r="B14520" s="760"/>
      <c r="C14520" s="760"/>
      <c r="D14520" s="760"/>
      <c r="E14520" s="760"/>
      <c r="F14520" s="760"/>
      <c r="G14520" s="760"/>
      <c r="H14520" s="760"/>
      <c r="I14520" s="760"/>
      <c r="J14520" s="760"/>
      <c r="K14520" s="760"/>
    </row>
    <row r="14521" spans="1:11">
      <c r="A14521" s="760"/>
      <c r="B14521" s="760"/>
      <c r="C14521" s="760"/>
      <c r="D14521" s="760"/>
      <c r="E14521" s="760"/>
      <c r="F14521" s="760"/>
      <c r="G14521" s="760"/>
      <c r="H14521" s="760"/>
      <c r="I14521" s="760"/>
      <c r="J14521" s="760"/>
      <c r="K14521" s="760"/>
    </row>
    <row r="14522" spans="1:11">
      <c r="A14522" s="760"/>
      <c r="B14522" s="760"/>
      <c r="C14522" s="760"/>
      <c r="D14522" s="760"/>
      <c r="E14522" s="760"/>
      <c r="F14522" s="760"/>
      <c r="G14522" s="760"/>
      <c r="H14522" s="760"/>
      <c r="I14522" s="760"/>
      <c r="J14522" s="760"/>
      <c r="K14522" s="760"/>
    </row>
    <row r="14523" spans="1:11">
      <c r="A14523" s="760"/>
      <c r="B14523" s="760"/>
      <c r="C14523" s="760"/>
      <c r="D14523" s="760"/>
      <c r="E14523" s="760"/>
      <c r="F14523" s="760"/>
      <c r="G14523" s="760"/>
      <c r="H14523" s="760"/>
      <c r="I14523" s="760"/>
      <c r="J14523" s="760"/>
      <c r="K14523" s="760"/>
    </row>
    <row r="14524" spans="1:11">
      <c r="A14524" s="760"/>
      <c r="B14524" s="760"/>
      <c r="C14524" s="760"/>
      <c r="D14524" s="760"/>
      <c r="E14524" s="760"/>
      <c r="F14524" s="760"/>
      <c r="G14524" s="760"/>
      <c r="H14524" s="760"/>
      <c r="I14524" s="760"/>
      <c r="J14524" s="760"/>
      <c r="K14524" s="760"/>
    </row>
    <row r="14525" spans="1:11">
      <c r="A14525" s="760"/>
      <c r="B14525" s="760"/>
      <c r="C14525" s="760"/>
      <c r="D14525" s="760"/>
      <c r="E14525" s="760"/>
      <c r="F14525" s="760"/>
      <c r="G14525" s="760"/>
      <c r="H14525" s="760"/>
      <c r="I14525" s="760"/>
      <c r="J14525" s="760"/>
      <c r="K14525" s="760"/>
    </row>
    <row r="14526" spans="1:11">
      <c r="A14526" s="760"/>
      <c r="B14526" s="760"/>
      <c r="C14526" s="760"/>
      <c r="D14526" s="760"/>
      <c r="E14526" s="760"/>
      <c r="F14526" s="760"/>
      <c r="G14526" s="760"/>
      <c r="H14526" s="760"/>
      <c r="I14526" s="760"/>
      <c r="J14526" s="760"/>
      <c r="K14526" s="760"/>
    </row>
    <row r="14527" spans="1:11">
      <c r="A14527" s="760"/>
      <c r="B14527" s="760"/>
      <c r="C14527" s="760"/>
      <c r="D14527" s="760"/>
      <c r="E14527" s="760"/>
      <c r="F14527" s="760"/>
      <c r="G14527" s="760"/>
      <c r="H14527" s="760"/>
      <c r="I14527" s="760"/>
      <c r="J14527" s="760"/>
      <c r="K14527" s="760"/>
    </row>
    <row r="14528" spans="1:11">
      <c r="A14528" s="760"/>
      <c r="B14528" s="760"/>
      <c r="C14528" s="760"/>
      <c r="D14528" s="760"/>
      <c r="E14528" s="760"/>
      <c r="F14528" s="760"/>
      <c r="G14528" s="760"/>
      <c r="H14528" s="760"/>
      <c r="I14528" s="760"/>
      <c r="J14528" s="760"/>
      <c r="K14528" s="760"/>
    </row>
    <row r="14529" spans="1:11">
      <c r="A14529" s="760"/>
      <c r="B14529" s="760"/>
      <c r="C14529" s="760"/>
      <c r="D14529" s="760"/>
      <c r="E14529" s="760"/>
      <c r="F14529" s="760"/>
      <c r="G14529" s="760"/>
      <c r="H14529" s="760"/>
      <c r="I14529" s="760"/>
      <c r="J14529" s="760"/>
      <c r="K14529" s="760"/>
    </row>
    <row r="14530" spans="1:11">
      <c r="A14530" s="760"/>
      <c r="B14530" s="760"/>
      <c r="C14530" s="760"/>
      <c r="D14530" s="760"/>
      <c r="E14530" s="760"/>
      <c r="F14530" s="760"/>
      <c r="G14530" s="760"/>
      <c r="H14530" s="760"/>
      <c r="I14530" s="760"/>
      <c r="J14530" s="760"/>
      <c r="K14530" s="760"/>
    </row>
    <row r="14531" spans="1:11">
      <c r="A14531" s="760"/>
      <c r="B14531" s="760"/>
      <c r="C14531" s="760"/>
      <c r="D14531" s="760"/>
      <c r="E14531" s="760"/>
      <c r="F14531" s="760"/>
      <c r="G14531" s="760"/>
      <c r="H14531" s="760"/>
      <c r="I14531" s="760"/>
      <c r="J14531" s="760"/>
      <c r="K14531" s="760"/>
    </row>
    <row r="14532" spans="1:11">
      <c r="A14532" s="760"/>
      <c r="B14532" s="760"/>
      <c r="C14532" s="760"/>
      <c r="D14532" s="760"/>
      <c r="E14532" s="760"/>
      <c r="F14532" s="760"/>
      <c r="G14532" s="760"/>
      <c r="H14532" s="760"/>
      <c r="I14532" s="760"/>
      <c r="J14532" s="760"/>
      <c r="K14532" s="760"/>
    </row>
    <row r="14533" spans="1:11">
      <c r="A14533" s="760"/>
      <c r="B14533" s="760"/>
      <c r="C14533" s="760"/>
      <c r="D14533" s="760"/>
      <c r="E14533" s="760"/>
      <c r="F14533" s="760"/>
      <c r="G14533" s="760"/>
      <c r="H14533" s="760"/>
      <c r="I14533" s="760"/>
      <c r="J14533" s="760"/>
      <c r="K14533" s="760"/>
    </row>
    <row r="14534" spans="1:11">
      <c r="A14534" s="760"/>
      <c r="B14534" s="760"/>
      <c r="C14534" s="760"/>
      <c r="D14534" s="760"/>
      <c r="E14534" s="760"/>
      <c r="F14534" s="760"/>
      <c r="G14534" s="760"/>
      <c r="H14534" s="760"/>
      <c r="I14534" s="760"/>
      <c r="J14534" s="760"/>
      <c r="K14534" s="760"/>
    </row>
    <row r="14535" spans="1:11">
      <c r="A14535" s="760"/>
      <c r="B14535" s="760"/>
      <c r="C14535" s="760"/>
      <c r="D14535" s="760"/>
      <c r="E14535" s="760"/>
      <c r="F14535" s="760"/>
      <c r="G14535" s="760"/>
      <c r="H14535" s="760"/>
      <c r="I14535" s="760"/>
      <c r="J14535" s="760"/>
      <c r="K14535" s="760"/>
    </row>
    <row r="14536" spans="1:11">
      <c r="A14536" s="760"/>
      <c r="B14536" s="760"/>
      <c r="C14536" s="760"/>
      <c r="D14536" s="760"/>
      <c r="E14536" s="760"/>
      <c r="F14536" s="760"/>
      <c r="G14536" s="760"/>
      <c r="H14536" s="760"/>
      <c r="I14536" s="760"/>
      <c r="J14536" s="760"/>
      <c r="K14536" s="760"/>
    </row>
    <row r="14537" spans="1:11">
      <c r="A14537" s="760"/>
      <c r="B14537" s="760"/>
      <c r="C14537" s="760"/>
      <c r="D14537" s="760"/>
      <c r="E14537" s="760"/>
      <c r="F14537" s="760"/>
      <c r="G14537" s="760"/>
      <c r="H14537" s="760"/>
      <c r="I14537" s="760"/>
      <c r="J14537" s="760"/>
      <c r="K14537" s="760"/>
    </row>
    <row r="14538" spans="1:11">
      <c r="A14538" s="760"/>
      <c r="B14538" s="760"/>
      <c r="C14538" s="760"/>
      <c r="D14538" s="760"/>
      <c r="E14538" s="760"/>
      <c r="F14538" s="760"/>
      <c r="G14538" s="760"/>
      <c r="H14538" s="760"/>
      <c r="I14538" s="760"/>
      <c r="J14538" s="760"/>
      <c r="K14538" s="760"/>
    </row>
    <row r="14539" spans="1:11">
      <c r="A14539" s="760"/>
      <c r="B14539" s="760"/>
      <c r="C14539" s="760"/>
      <c r="D14539" s="760"/>
      <c r="E14539" s="760"/>
      <c r="F14539" s="760"/>
      <c r="G14539" s="760"/>
      <c r="H14539" s="760"/>
      <c r="I14539" s="760"/>
      <c r="J14539" s="760"/>
      <c r="K14539" s="760"/>
    </row>
    <row r="14540" spans="1:11">
      <c r="A14540" s="760"/>
      <c r="B14540" s="760"/>
      <c r="C14540" s="760"/>
      <c r="D14540" s="760"/>
      <c r="E14540" s="760"/>
      <c r="F14540" s="760"/>
      <c r="G14540" s="760"/>
      <c r="H14540" s="760"/>
      <c r="I14540" s="760"/>
      <c r="J14540" s="760"/>
      <c r="K14540" s="760"/>
    </row>
    <row r="14541" spans="1:11">
      <c r="A14541" s="760"/>
      <c r="B14541" s="760"/>
      <c r="C14541" s="760"/>
      <c r="D14541" s="760"/>
      <c r="E14541" s="760"/>
      <c r="F14541" s="760"/>
      <c r="G14541" s="760"/>
      <c r="H14541" s="760"/>
      <c r="I14541" s="760"/>
      <c r="J14541" s="760"/>
      <c r="K14541" s="760"/>
    </row>
    <row r="14542" spans="1:11">
      <c r="A14542" s="760"/>
      <c r="B14542" s="760"/>
      <c r="C14542" s="760"/>
      <c r="D14542" s="760"/>
      <c r="E14542" s="760"/>
      <c r="F14542" s="760"/>
      <c r="G14542" s="760"/>
      <c r="H14542" s="760"/>
      <c r="I14542" s="760"/>
      <c r="J14542" s="760"/>
      <c r="K14542" s="760"/>
    </row>
    <row r="14543" spans="1:11">
      <c r="A14543" s="760"/>
      <c r="B14543" s="760"/>
      <c r="C14543" s="760"/>
      <c r="D14543" s="760"/>
      <c r="E14543" s="760"/>
      <c r="F14543" s="760"/>
      <c r="G14543" s="760"/>
      <c r="H14543" s="760"/>
      <c r="I14543" s="760"/>
      <c r="J14543" s="760"/>
      <c r="K14543" s="760"/>
    </row>
    <row r="14544" spans="1:11">
      <c r="A14544" s="760"/>
      <c r="B14544" s="760"/>
      <c r="C14544" s="760"/>
      <c r="D14544" s="760"/>
      <c r="E14544" s="760"/>
      <c r="F14544" s="760"/>
      <c r="G14544" s="760"/>
      <c r="H14544" s="760"/>
      <c r="I14544" s="760"/>
      <c r="J14544" s="760"/>
      <c r="K14544" s="760"/>
    </row>
    <row r="14545" spans="1:11">
      <c r="A14545" s="760"/>
      <c r="B14545" s="760"/>
      <c r="C14545" s="760"/>
      <c r="D14545" s="760"/>
      <c r="E14545" s="760"/>
      <c r="F14545" s="760"/>
      <c r="G14545" s="760"/>
      <c r="H14545" s="760"/>
      <c r="I14545" s="760"/>
      <c r="J14545" s="760"/>
      <c r="K14545" s="760"/>
    </row>
    <row r="14546" spans="1:11">
      <c r="A14546" s="760"/>
      <c r="B14546" s="760"/>
      <c r="C14546" s="760"/>
      <c r="D14546" s="760"/>
      <c r="E14546" s="760"/>
      <c r="F14546" s="760"/>
      <c r="G14546" s="760"/>
      <c r="H14546" s="760"/>
      <c r="I14546" s="760"/>
      <c r="J14546" s="760"/>
      <c r="K14546" s="760"/>
    </row>
    <row r="14547" spans="1:11">
      <c r="A14547" s="760"/>
      <c r="B14547" s="760"/>
      <c r="C14547" s="760"/>
      <c r="D14547" s="760"/>
      <c r="E14547" s="760"/>
      <c r="F14547" s="760"/>
      <c r="G14547" s="760"/>
      <c r="H14547" s="760"/>
      <c r="I14547" s="760"/>
      <c r="J14547" s="760"/>
      <c r="K14547" s="760"/>
    </row>
    <row r="14548" spans="1:11">
      <c r="A14548" s="760"/>
      <c r="B14548" s="760"/>
      <c r="C14548" s="760"/>
      <c r="D14548" s="760"/>
      <c r="E14548" s="760"/>
      <c r="F14548" s="760"/>
      <c r="G14548" s="760"/>
      <c r="H14548" s="760"/>
      <c r="I14548" s="760"/>
      <c r="J14548" s="760"/>
      <c r="K14548" s="760"/>
    </row>
    <row r="14549" spans="1:11">
      <c r="A14549" s="760"/>
      <c r="B14549" s="760"/>
      <c r="C14549" s="760"/>
      <c r="D14549" s="760"/>
      <c r="E14549" s="760"/>
      <c r="F14549" s="760"/>
      <c r="G14549" s="760"/>
      <c r="H14549" s="760"/>
      <c r="I14549" s="760"/>
      <c r="J14549" s="760"/>
      <c r="K14549" s="760"/>
    </row>
    <row r="14550" spans="1:11">
      <c r="A14550" s="760"/>
      <c r="B14550" s="760"/>
      <c r="C14550" s="760"/>
      <c r="D14550" s="760"/>
      <c r="E14550" s="760"/>
      <c r="F14550" s="760"/>
      <c r="G14550" s="760"/>
      <c r="H14550" s="760"/>
      <c r="I14550" s="760"/>
      <c r="J14550" s="760"/>
      <c r="K14550" s="760"/>
    </row>
    <row r="14551" spans="1:11">
      <c r="A14551" s="760"/>
      <c r="B14551" s="760"/>
      <c r="C14551" s="760"/>
      <c r="D14551" s="760"/>
      <c r="E14551" s="760"/>
      <c r="F14551" s="760"/>
      <c r="G14551" s="760"/>
      <c r="H14551" s="760"/>
      <c r="I14551" s="760"/>
      <c r="J14551" s="760"/>
      <c r="K14551" s="760"/>
    </row>
    <row r="14552" spans="1:11">
      <c r="A14552" s="760"/>
      <c r="B14552" s="760"/>
      <c r="C14552" s="760"/>
      <c r="D14552" s="760"/>
      <c r="E14552" s="760"/>
      <c r="F14552" s="760"/>
      <c r="G14552" s="760"/>
      <c r="H14552" s="760"/>
      <c r="I14552" s="760"/>
      <c r="J14552" s="760"/>
      <c r="K14552" s="760"/>
    </row>
    <row r="14553" spans="1:11">
      <c r="A14553" s="760"/>
      <c r="B14553" s="760"/>
      <c r="C14553" s="760"/>
      <c r="D14553" s="760"/>
      <c r="E14553" s="760"/>
      <c r="F14553" s="760"/>
      <c r="G14553" s="760"/>
      <c r="H14553" s="760"/>
      <c r="I14553" s="760"/>
      <c r="J14553" s="760"/>
      <c r="K14553" s="760"/>
    </row>
    <row r="14554" spans="1:11">
      <c r="A14554" s="760"/>
      <c r="B14554" s="760"/>
      <c r="C14554" s="760"/>
      <c r="D14554" s="760"/>
      <c r="E14554" s="760"/>
      <c r="F14554" s="760"/>
      <c r="G14554" s="760"/>
      <c r="H14554" s="760"/>
      <c r="I14554" s="760"/>
      <c r="J14554" s="760"/>
      <c r="K14554" s="760"/>
    </row>
    <row r="14555" spans="1:11">
      <c r="A14555" s="760"/>
      <c r="B14555" s="760"/>
      <c r="C14555" s="760"/>
      <c r="D14555" s="760"/>
      <c r="E14555" s="760"/>
      <c r="F14555" s="760"/>
      <c r="G14555" s="760"/>
      <c r="H14555" s="760"/>
      <c r="I14555" s="760"/>
      <c r="J14555" s="760"/>
      <c r="K14555" s="760"/>
    </row>
    <row r="14556" spans="1:11">
      <c r="A14556" s="760"/>
      <c r="B14556" s="760"/>
      <c r="C14556" s="760"/>
      <c r="D14556" s="760"/>
      <c r="E14556" s="760"/>
      <c r="F14556" s="760"/>
      <c r="G14556" s="760"/>
      <c r="H14556" s="760"/>
      <c r="I14556" s="760"/>
      <c r="J14556" s="760"/>
      <c r="K14556" s="760"/>
    </row>
    <row r="14557" spans="1:11">
      <c r="A14557" s="760"/>
      <c r="B14557" s="760"/>
      <c r="C14557" s="760"/>
      <c r="D14557" s="760"/>
      <c r="E14557" s="760"/>
      <c r="F14557" s="760"/>
      <c r="G14557" s="760"/>
      <c r="H14557" s="760"/>
      <c r="I14557" s="760"/>
      <c r="J14557" s="760"/>
      <c r="K14557" s="760"/>
    </row>
    <row r="14558" spans="1:11">
      <c r="A14558" s="760"/>
      <c r="B14558" s="760"/>
      <c r="C14558" s="760"/>
      <c r="D14558" s="760"/>
      <c r="E14558" s="760"/>
      <c r="F14558" s="760"/>
      <c r="G14558" s="760"/>
      <c r="H14558" s="760"/>
      <c r="I14558" s="760"/>
      <c r="J14558" s="760"/>
      <c r="K14558" s="760"/>
    </row>
    <row r="14559" spans="1:11">
      <c r="A14559" s="760"/>
      <c r="B14559" s="760"/>
      <c r="C14559" s="760"/>
      <c r="D14559" s="760"/>
      <c r="E14559" s="760"/>
      <c r="F14559" s="760"/>
      <c r="G14559" s="760"/>
      <c r="H14559" s="760"/>
      <c r="I14559" s="760"/>
      <c r="J14559" s="760"/>
      <c r="K14559" s="760"/>
    </row>
    <row r="14560" spans="1:11">
      <c r="A14560" s="760"/>
      <c r="B14560" s="760"/>
      <c r="C14560" s="760"/>
      <c r="D14560" s="760"/>
      <c r="E14560" s="760"/>
      <c r="F14560" s="760"/>
      <c r="G14560" s="760"/>
      <c r="H14560" s="760"/>
      <c r="I14560" s="760"/>
      <c r="J14560" s="760"/>
      <c r="K14560" s="760"/>
    </row>
    <row r="14561" spans="1:11">
      <c r="A14561" s="760"/>
      <c r="B14561" s="760"/>
      <c r="C14561" s="760"/>
      <c r="D14561" s="760"/>
      <c r="E14561" s="760"/>
      <c r="F14561" s="760"/>
      <c r="G14561" s="760"/>
      <c r="H14561" s="760"/>
      <c r="I14561" s="760"/>
      <c r="J14561" s="760"/>
      <c r="K14561" s="760"/>
    </row>
    <row r="14562" spans="1:11">
      <c r="A14562" s="760"/>
      <c r="B14562" s="760"/>
      <c r="C14562" s="760"/>
      <c r="D14562" s="760"/>
      <c r="E14562" s="760"/>
      <c r="F14562" s="760"/>
      <c r="G14562" s="760"/>
      <c r="H14562" s="760"/>
      <c r="I14562" s="760"/>
      <c r="J14562" s="760"/>
      <c r="K14562" s="760"/>
    </row>
    <row r="14563" spans="1:11">
      <c r="A14563" s="760"/>
      <c r="B14563" s="760"/>
      <c r="C14563" s="760"/>
      <c r="D14563" s="760"/>
      <c r="E14563" s="760"/>
      <c r="F14563" s="760"/>
      <c r="G14563" s="760"/>
      <c r="H14563" s="760"/>
      <c r="I14563" s="760"/>
      <c r="J14563" s="760"/>
      <c r="K14563" s="760"/>
    </row>
    <row r="14564" spans="1:11">
      <c r="A14564" s="760"/>
      <c r="B14564" s="760"/>
      <c r="C14564" s="760"/>
      <c r="D14564" s="760"/>
      <c r="E14564" s="760"/>
      <c r="F14564" s="760"/>
      <c r="G14564" s="760"/>
      <c r="H14564" s="760"/>
      <c r="I14564" s="760"/>
      <c r="J14564" s="760"/>
      <c r="K14564" s="760"/>
    </row>
    <row r="14565" spans="1:11">
      <c r="A14565" s="760"/>
      <c r="B14565" s="760"/>
      <c r="C14565" s="760"/>
      <c r="D14565" s="760"/>
      <c r="E14565" s="760"/>
      <c r="F14565" s="760"/>
      <c r="G14565" s="760"/>
      <c r="H14565" s="760"/>
      <c r="I14565" s="760"/>
      <c r="J14565" s="760"/>
      <c r="K14565" s="760"/>
    </row>
    <row r="14566" spans="1:11">
      <c r="A14566" s="760"/>
      <c r="B14566" s="760"/>
      <c r="C14566" s="760"/>
      <c r="D14566" s="760"/>
      <c r="E14566" s="760"/>
      <c r="F14566" s="760"/>
      <c r="G14566" s="760"/>
      <c r="H14566" s="760"/>
      <c r="I14566" s="760"/>
      <c r="J14566" s="760"/>
      <c r="K14566" s="760"/>
    </row>
    <row r="14567" spans="1:11">
      <c r="A14567" s="760"/>
      <c r="B14567" s="760"/>
      <c r="C14567" s="760"/>
      <c r="D14567" s="760"/>
      <c r="E14567" s="760"/>
      <c r="F14567" s="760"/>
      <c r="G14567" s="760"/>
      <c r="H14567" s="760"/>
      <c r="I14567" s="760"/>
      <c r="J14567" s="760"/>
      <c r="K14567" s="760"/>
    </row>
    <row r="14568" spans="1:11">
      <c r="A14568" s="760"/>
      <c r="B14568" s="760"/>
      <c r="C14568" s="760"/>
      <c r="D14568" s="760"/>
      <c r="E14568" s="760"/>
      <c r="F14568" s="760"/>
      <c r="G14568" s="760"/>
      <c r="H14568" s="760"/>
      <c r="I14568" s="760"/>
      <c r="J14568" s="760"/>
      <c r="K14568" s="760"/>
    </row>
    <row r="14569" spans="1:11">
      <c r="A14569" s="760"/>
      <c r="B14569" s="760"/>
      <c r="C14569" s="760"/>
      <c r="D14569" s="760"/>
      <c r="E14569" s="760"/>
      <c r="F14569" s="760"/>
      <c r="G14569" s="760"/>
      <c r="H14569" s="760"/>
      <c r="I14569" s="760"/>
      <c r="J14569" s="760"/>
      <c r="K14569" s="760"/>
    </row>
    <row r="14570" spans="1:11">
      <c r="A14570" s="760"/>
      <c r="B14570" s="760"/>
      <c r="C14570" s="760"/>
      <c r="D14570" s="760"/>
      <c r="E14570" s="760"/>
      <c r="F14570" s="760"/>
      <c r="G14570" s="760"/>
      <c r="H14570" s="760"/>
      <c r="I14570" s="760"/>
      <c r="J14570" s="760"/>
      <c r="K14570" s="760"/>
    </row>
    <row r="14571" spans="1:11">
      <c r="A14571" s="760"/>
      <c r="B14571" s="760"/>
      <c r="C14571" s="760"/>
      <c r="D14571" s="760"/>
      <c r="E14571" s="760"/>
      <c r="F14571" s="760"/>
      <c r="G14571" s="760"/>
      <c r="H14571" s="760"/>
      <c r="I14571" s="760"/>
      <c r="J14571" s="760"/>
      <c r="K14571" s="760"/>
    </row>
    <row r="14572" spans="1:11">
      <c r="A14572" s="760"/>
      <c r="B14572" s="760"/>
      <c r="C14572" s="760"/>
      <c r="D14572" s="760"/>
      <c r="E14572" s="760"/>
      <c r="F14572" s="760"/>
      <c r="G14572" s="760"/>
      <c r="H14572" s="760"/>
      <c r="I14572" s="760"/>
      <c r="J14572" s="760"/>
      <c r="K14572" s="760"/>
    </row>
    <row r="14573" spans="1:11">
      <c r="A14573" s="760"/>
      <c r="B14573" s="760"/>
      <c r="C14573" s="760"/>
      <c r="D14573" s="760"/>
      <c r="E14573" s="760"/>
      <c r="F14573" s="760"/>
      <c r="G14573" s="760"/>
      <c r="H14573" s="760"/>
      <c r="I14573" s="760"/>
      <c r="J14573" s="760"/>
      <c r="K14573" s="760"/>
    </row>
    <row r="14574" spans="1:11">
      <c r="A14574" s="760"/>
      <c r="B14574" s="760"/>
      <c r="C14574" s="760"/>
      <c r="D14574" s="760"/>
      <c r="E14574" s="760"/>
      <c r="F14574" s="760"/>
      <c r="G14574" s="760"/>
      <c r="H14574" s="760"/>
      <c r="I14574" s="760"/>
      <c r="J14574" s="760"/>
      <c r="K14574" s="760"/>
    </row>
    <row r="14575" spans="1:11">
      <c r="A14575" s="760"/>
      <c r="B14575" s="760"/>
      <c r="C14575" s="760"/>
      <c r="D14575" s="760"/>
      <c r="E14575" s="760"/>
      <c r="F14575" s="760"/>
      <c r="G14575" s="760"/>
      <c r="H14575" s="760"/>
      <c r="I14575" s="760"/>
      <c r="J14575" s="760"/>
      <c r="K14575" s="760"/>
    </row>
    <row r="14576" spans="1:11">
      <c r="A14576" s="760"/>
      <c r="B14576" s="760"/>
      <c r="C14576" s="760"/>
      <c r="D14576" s="760"/>
      <c r="E14576" s="760"/>
      <c r="F14576" s="760"/>
      <c r="G14576" s="760"/>
      <c r="H14576" s="760"/>
      <c r="I14576" s="760"/>
      <c r="J14576" s="760"/>
      <c r="K14576" s="760"/>
    </row>
    <row r="14577" spans="1:11">
      <c r="A14577" s="760"/>
      <c r="B14577" s="760"/>
      <c r="C14577" s="760"/>
      <c r="D14577" s="760"/>
      <c r="E14577" s="760"/>
      <c r="F14577" s="760"/>
      <c r="G14577" s="760"/>
      <c r="H14577" s="760"/>
      <c r="I14577" s="760"/>
      <c r="J14577" s="760"/>
      <c r="K14577" s="760"/>
    </row>
    <row r="14578" spans="1:11">
      <c r="A14578" s="760"/>
      <c r="B14578" s="760"/>
      <c r="C14578" s="760"/>
      <c r="D14578" s="760"/>
      <c r="E14578" s="760"/>
      <c r="F14578" s="760"/>
      <c r="G14578" s="760"/>
      <c r="H14578" s="760"/>
      <c r="I14578" s="760"/>
      <c r="J14578" s="760"/>
      <c r="K14578" s="760"/>
    </row>
    <row r="14579" spans="1:11">
      <c r="A14579" s="760"/>
      <c r="B14579" s="760"/>
      <c r="C14579" s="760"/>
      <c r="D14579" s="760"/>
      <c r="E14579" s="760"/>
      <c r="F14579" s="760"/>
      <c r="G14579" s="760"/>
      <c r="H14579" s="760"/>
      <c r="I14579" s="760"/>
      <c r="J14579" s="760"/>
      <c r="K14579" s="760"/>
    </row>
    <row r="14580" spans="1:11">
      <c r="A14580" s="760"/>
      <c r="B14580" s="760"/>
      <c r="C14580" s="760"/>
      <c r="D14580" s="760"/>
      <c r="E14580" s="760"/>
      <c r="F14580" s="760"/>
      <c r="G14580" s="760"/>
      <c r="H14580" s="760"/>
      <c r="I14580" s="760"/>
      <c r="J14580" s="760"/>
      <c r="K14580" s="760"/>
    </row>
    <row r="14581" spans="1:11">
      <c r="A14581" s="760"/>
      <c r="B14581" s="760"/>
      <c r="C14581" s="760"/>
      <c r="D14581" s="760"/>
      <c r="E14581" s="760"/>
      <c r="F14581" s="760"/>
      <c r="G14581" s="760"/>
      <c r="H14581" s="760"/>
      <c r="I14581" s="760"/>
      <c r="J14581" s="760"/>
      <c r="K14581" s="760"/>
    </row>
    <row r="14582" spans="1:11">
      <c r="A14582" s="760"/>
      <c r="B14582" s="760"/>
      <c r="C14582" s="760"/>
      <c r="D14582" s="760"/>
      <c r="E14582" s="760"/>
      <c r="F14582" s="760"/>
      <c r="G14582" s="760"/>
      <c r="H14582" s="760"/>
      <c r="I14582" s="760"/>
      <c r="J14582" s="760"/>
      <c r="K14582" s="760"/>
    </row>
    <row r="14583" spans="1:11">
      <c r="A14583" s="760"/>
      <c r="B14583" s="760"/>
      <c r="C14583" s="760"/>
      <c r="D14583" s="760"/>
      <c r="E14583" s="760"/>
      <c r="F14583" s="760"/>
      <c r="G14583" s="760"/>
      <c r="H14583" s="760"/>
      <c r="I14583" s="760"/>
      <c r="J14583" s="760"/>
      <c r="K14583" s="760"/>
    </row>
    <row r="14584" spans="1:11">
      <c r="A14584" s="760"/>
      <c r="B14584" s="760"/>
      <c r="C14584" s="760"/>
      <c r="D14584" s="760"/>
      <c r="E14584" s="760"/>
      <c r="F14584" s="760"/>
      <c r="G14584" s="760"/>
      <c r="H14584" s="760"/>
      <c r="I14584" s="760"/>
      <c r="J14584" s="760"/>
      <c r="K14584" s="760"/>
    </row>
    <row r="14585" spans="1:11">
      <c r="A14585" s="760"/>
      <c r="B14585" s="760"/>
      <c r="C14585" s="760"/>
      <c r="D14585" s="760"/>
      <c r="E14585" s="760"/>
      <c r="F14585" s="760"/>
      <c r="G14585" s="760"/>
      <c r="H14585" s="760"/>
      <c r="I14585" s="760"/>
      <c r="J14585" s="760"/>
      <c r="K14585" s="760"/>
    </row>
    <row r="14586" spans="1:11">
      <c r="A14586" s="760"/>
      <c r="B14586" s="760"/>
      <c r="C14586" s="760"/>
      <c r="D14586" s="760"/>
      <c r="E14586" s="760"/>
      <c r="F14586" s="760"/>
      <c r="G14586" s="760"/>
      <c r="H14586" s="760"/>
      <c r="I14586" s="760"/>
      <c r="J14586" s="760"/>
      <c r="K14586" s="760"/>
    </row>
    <row r="14587" spans="1:11">
      <c r="A14587" s="760"/>
      <c r="B14587" s="760"/>
      <c r="C14587" s="760"/>
      <c r="D14587" s="760"/>
      <c r="E14587" s="760"/>
      <c r="F14587" s="760"/>
      <c r="G14587" s="760"/>
      <c r="H14587" s="760"/>
      <c r="I14587" s="760"/>
      <c r="J14587" s="760"/>
      <c r="K14587" s="760"/>
    </row>
    <row r="14588" spans="1:11">
      <c r="A14588" s="760"/>
      <c r="B14588" s="760"/>
      <c r="C14588" s="760"/>
      <c r="D14588" s="760"/>
      <c r="E14588" s="760"/>
      <c r="F14588" s="760"/>
      <c r="G14588" s="760"/>
      <c r="H14588" s="760"/>
      <c r="I14588" s="760"/>
      <c r="J14588" s="760"/>
      <c r="K14588" s="760"/>
    </row>
    <row r="14589" spans="1:11">
      <c r="A14589" s="760"/>
      <c r="B14589" s="760"/>
      <c r="C14589" s="760"/>
      <c r="D14589" s="760"/>
      <c r="E14589" s="760"/>
      <c r="F14589" s="760"/>
      <c r="G14589" s="760"/>
      <c r="H14589" s="760"/>
      <c r="I14589" s="760"/>
      <c r="J14589" s="760"/>
      <c r="K14589" s="760"/>
    </row>
    <row r="14590" spans="1:11">
      <c r="A14590" s="760"/>
      <c r="B14590" s="760"/>
      <c r="C14590" s="760"/>
      <c r="D14590" s="760"/>
      <c r="E14590" s="760"/>
      <c r="F14590" s="760"/>
      <c r="G14590" s="760"/>
      <c r="H14590" s="760"/>
      <c r="I14590" s="760"/>
      <c r="J14590" s="760"/>
      <c r="K14590" s="760"/>
    </row>
    <row r="14591" spans="1:11">
      <c r="A14591" s="760"/>
      <c r="B14591" s="760"/>
      <c r="C14591" s="760"/>
      <c r="D14591" s="760"/>
      <c r="E14591" s="760"/>
      <c r="F14591" s="760"/>
      <c r="G14591" s="760"/>
      <c r="H14591" s="760"/>
      <c r="I14591" s="760"/>
      <c r="J14591" s="760"/>
      <c r="K14591" s="760"/>
    </row>
    <row r="14592" spans="1:11">
      <c r="A14592" s="760"/>
      <c r="B14592" s="760"/>
      <c r="C14592" s="760"/>
      <c r="D14592" s="760"/>
      <c r="E14592" s="760"/>
      <c r="F14592" s="760"/>
      <c r="G14592" s="760"/>
      <c r="H14592" s="760"/>
      <c r="I14592" s="760"/>
      <c r="J14592" s="760"/>
      <c r="K14592" s="760"/>
    </row>
    <row r="14593" spans="1:11">
      <c r="A14593" s="760"/>
      <c r="B14593" s="760"/>
      <c r="C14593" s="760"/>
      <c r="D14593" s="760"/>
      <c r="E14593" s="760"/>
      <c r="F14593" s="760"/>
      <c r="G14593" s="760"/>
      <c r="H14593" s="760"/>
      <c r="I14593" s="760"/>
      <c r="J14593" s="760"/>
      <c r="K14593" s="760"/>
    </row>
    <row r="14594" spans="1:11">
      <c r="A14594" s="760"/>
      <c r="B14594" s="760"/>
      <c r="C14594" s="760"/>
      <c r="D14594" s="760"/>
      <c r="E14594" s="760"/>
      <c r="F14594" s="760"/>
      <c r="G14594" s="760"/>
      <c r="H14594" s="760"/>
      <c r="I14594" s="760"/>
      <c r="J14594" s="760"/>
      <c r="K14594" s="760"/>
    </row>
    <row r="14595" spans="1:11">
      <c r="A14595" s="760"/>
      <c r="B14595" s="760"/>
      <c r="C14595" s="760"/>
      <c r="D14595" s="760"/>
      <c r="E14595" s="760"/>
      <c r="F14595" s="760"/>
      <c r="G14595" s="760"/>
      <c r="H14595" s="760"/>
      <c r="I14595" s="760"/>
      <c r="J14595" s="760"/>
      <c r="K14595" s="760"/>
    </row>
    <row r="14596" spans="1:11">
      <c r="A14596" s="760"/>
      <c r="B14596" s="760"/>
      <c r="C14596" s="760"/>
      <c r="D14596" s="760"/>
      <c r="E14596" s="760"/>
      <c r="F14596" s="760"/>
      <c r="G14596" s="760"/>
      <c r="H14596" s="760"/>
      <c r="I14596" s="760"/>
      <c r="J14596" s="760"/>
      <c r="K14596" s="760"/>
    </row>
    <row r="14597" spans="1:11">
      <c r="A14597" s="760"/>
      <c r="B14597" s="760"/>
      <c r="C14597" s="760"/>
      <c r="D14597" s="760"/>
      <c r="E14597" s="760"/>
      <c r="F14597" s="760"/>
      <c r="G14597" s="760"/>
      <c r="H14597" s="760"/>
      <c r="I14597" s="760"/>
      <c r="J14597" s="760"/>
      <c r="K14597" s="760"/>
    </row>
    <row r="14598" spans="1:11">
      <c r="A14598" s="760"/>
      <c r="B14598" s="760"/>
      <c r="C14598" s="760"/>
      <c r="D14598" s="760"/>
      <c r="E14598" s="760"/>
      <c r="F14598" s="760"/>
      <c r="G14598" s="760"/>
      <c r="H14598" s="760"/>
      <c r="I14598" s="760"/>
      <c r="J14598" s="760"/>
      <c r="K14598" s="760"/>
    </row>
    <row r="14599" spans="1:11">
      <c r="A14599" s="760"/>
      <c r="B14599" s="760"/>
      <c r="C14599" s="760"/>
      <c r="D14599" s="760"/>
      <c r="E14599" s="760"/>
      <c r="F14599" s="760"/>
      <c r="G14599" s="760"/>
      <c r="H14599" s="760"/>
      <c r="I14599" s="760"/>
      <c r="J14599" s="760"/>
      <c r="K14599" s="760"/>
    </row>
    <row r="14600" spans="1:11">
      <c r="A14600" s="760"/>
      <c r="B14600" s="760"/>
      <c r="C14600" s="760"/>
      <c r="D14600" s="760"/>
      <c r="E14600" s="760"/>
      <c r="F14600" s="760"/>
      <c r="G14600" s="760"/>
      <c r="H14600" s="760"/>
      <c r="I14600" s="760"/>
      <c r="J14600" s="760"/>
      <c r="K14600" s="760"/>
    </row>
    <row r="14601" spans="1:11">
      <c r="A14601" s="760"/>
      <c r="B14601" s="760"/>
      <c r="C14601" s="760"/>
      <c r="D14601" s="760"/>
      <c r="E14601" s="760"/>
      <c r="F14601" s="760"/>
      <c r="G14601" s="760"/>
      <c r="H14601" s="760"/>
      <c r="I14601" s="760"/>
      <c r="J14601" s="760"/>
      <c r="K14601" s="760"/>
    </row>
    <row r="14602" spans="1:11">
      <c r="A14602" s="760"/>
      <c r="B14602" s="760"/>
      <c r="C14602" s="760"/>
      <c r="D14602" s="760"/>
      <c r="E14602" s="760"/>
      <c r="F14602" s="760"/>
      <c r="G14602" s="760"/>
      <c r="H14602" s="760"/>
      <c r="I14602" s="760"/>
      <c r="J14602" s="760"/>
      <c r="K14602" s="760"/>
    </row>
    <row r="14603" spans="1:11">
      <c r="A14603" s="760"/>
      <c r="B14603" s="760"/>
      <c r="C14603" s="760"/>
      <c r="D14603" s="760"/>
      <c r="E14603" s="760"/>
      <c r="F14603" s="760"/>
      <c r="G14603" s="760"/>
      <c r="H14603" s="760"/>
      <c r="I14603" s="760"/>
      <c r="J14603" s="760"/>
      <c r="K14603" s="760"/>
    </row>
    <row r="14604" spans="1:11">
      <c r="A14604" s="760"/>
      <c r="B14604" s="760"/>
      <c r="C14604" s="760"/>
      <c r="D14604" s="760"/>
      <c r="E14604" s="760"/>
      <c r="F14604" s="760"/>
      <c r="G14604" s="760"/>
      <c r="H14604" s="760"/>
      <c r="I14604" s="760"/>
      <c r="J14604" s="760"/>
      <c r="K14604" s="760"/>
    </row>
    <row r="14605" spans="1:11">
      <c r="A14605" s="760"/>
      <c r="B14605" s="760"/>
      <c r="C14605" s="760"/>
      <c r="D14605" s="760"/>
      <c r="E14605" s="760"/>
      <c r="F14605" s="760"/>
      <c r="G14605" s="760"/>
      <c r="H14605" s="760"/>
      <c r="I14605" s="760"/>
      <c r="J14605" s="760"/>
      <c r="K14605" s="760"/>
    </row>
    <row r="14606" spans="1:11">
      <c r="A14606" s="760"/>
      <c r="B14606" s="760"/>
      <c r="C14606" s="760"/>
      <c r="D14606" s="760"/>
      <c r="E14606" s="760"/>
      <c r="F14606" s="760"/>
      <c r="G14606" s="760"/>
      <c r="H14606" s="760"/>
      <c r="I14606" s="760"/>
      <c r="J14606" s="760"/>
      <c r="K14606" s="760"/>
    </row>
    <row r="14607" spans="1:11">
      <c r="A14607" s="760"/>
      <c r="B14607" s="760"/>
      <c r="C14607" s="760"/>
      <c r="D14607" s="760"/>
      <c r="E14607" s="760"/>
      <c r="F14607" s="760"/>
      <c r="G14607" s="760"/>
      <c r="H14607" s="760"/>
      <c r="I14607" s="760"/>
      <c r="J14607" s="760"/>
      <c r="K14607" s="760"/>
    </row>
    <row r="14608" spans="1:11">
      <c r="A14608" s="760"/>
      <c r="B14608" s="760"/>
      <c r="C14608" s="760"/>
      <c r="D14608" s="760"/>
      <c r="E14608" s="760"/>
      <c r="F14608" s="760"/>
      <c r="G14608" s="760"/>
      <c r="H14608" s="760"/>
      <c r="I14608" s="760"/>
      <c r="J14608" s="760"/>
      <c r="K14608" s="760"/>
    </row>
    <row r="14609" spans="1:11">
      <c r="A14609" s="760"/>
      <c r="B14609" s="760"/>
      <c r="C14609" s="760"/>
      <c r="D14609" s="760"/>
      <c r="E14609" s="760"/>
      <c r="F14609" s="760"/>
      <c r="G14609" s="760"/>
      <c r="H14609" s="760"/>
      <c r="I14609" s="760"/>
      <c r="J14609" s="760"/>
      <c r="K14609" s="760"/>
    </row>
    <row r="14610" spans="1:11">
      <c r="A14610" s="760"/>
      <c r="B14610" s="760"/>
      <c r="C14610" s="760"/>
      <c r="D14610" s="760"/>
      <c r="E14610" s="760"/>
      <c r="F14610" s="760"/>
      <c r="G14610" s="760"/>
      <c r="H14610" s="760"/>
      <c r="I14610" s="760"/>
      <c r="J14610" s="760"/>
      <c r="K14610" s="760"/>
    </row>
    <row r="14611" spans="1:11">
      <c r="A14611" s="760"/>
      <c r="B14611" s="760"/>
      <c r="C14611" s="760"/>
      <c r="D14611" s="760"/>
      <c r="E14611" s="760"/>
      <c r="F14611" s="760"/>
      <c r="G14611" s="760"/>
      <c r="H14611" s="760"/>
      <c r="I14611" s="760"/>
      <c r="J14611" s="760"/>
      <c r="K14611" s="760"/>
    </row>
    <row r="14612" spans="1:11">
      <c r="A14612" s="760"/>
      <c r="B14612" s="760"/>
      <c r="C14612" s="760"/>
      <c r="D14612" s="760"/>
      <c r="E14612" s="760"/>
      <c r="F14612" s="760"/>
      <c r="G14612" s="760"/>
      <c r="H14612" s="760"/>
      <c r="I14612" s="760"/>
      <c r="J14612" s="760"/>
      <c r="K14612" s="760"/>
    </row>
    <row r="14613" spans="1:11">
      <c r="A14613" s="760"/>
      <c r="B14613" s="760"/>
      <c r="C14613" s="760"/>
      <c r="D14613" s="760"/>
      <c r="E14613" s="760"/>
      <c r="F14613" s="760"/>
      <c r="G14613" s="760"/>
      <c r="H14613" s="760"/>
      <c r="I14613" s="760"/>
      <c r="J14613" s="760"/>
      <c r="K14613" s="760"/>
    </row>
    <row r="14614" spans="1:11">
      <c r="A14614" s="760"/>
      <c r="B14614" s="760"/>
      <c r="C14614" s="760"/>
      <c r="D14614" s="760"/>
      <c r="E14614" s="760"/>
      <c r="F14614" s="760"/>
      <c r="G14614" s="760"/>
      <c r="H14614" s="760"/>
      <c r="I14614" s="760"/>
      <c r="J14614" s="760"/>
      <c r="K14614" s="760"/>
    </row>
    <row r="14615" spans="1:11">
      <c r="A14615" s="760"/>
      <c r="B14615" s="760"/>
      <c r="C14615" s="760"/>
      <c r="D14615" s="760"/>
      <c r="E14615" s="760"/>
      <c r="F14615" s="760"/>
      <c r="G14615" s="760"/>
      <c r="H14615" s="760"/>
      <c r="I14615" s="760"/>
      <c r="J14615" s="760"/>
      <c r="K14615" s="760"/>
    </row>
    <row r="14616" spans="1:11">
      <c r="A14616" s="760"/>
      <c r="B14616" s="760"/>
      <c r="C14616" s="760"/>
      <c r="D14616" s="760"/>
      <c r="E14616" s="760"/>
      <c r="F14616" s="760"/>
      <c r="G14616" s="760"/>
      <c r="H14616" s="760"/>
      <c r="I14616" s="760"/>
      <c r="J14616" s="760"/>
      <c r="K14616" s="760"/>
    </row>
    <row r="14617" spans="1:11">
      <c r="A14617" s="760"/>
      <c r="B14617" s="760"/>
      <c r="C14617" s="760"/>
      <c r="D14617" s="760"/>
      <c r="E14617" s="760"/>
      <c r="F14617" s="760"/>
      <c r="G14617" s="760"/>
      <c r="H14617" s="760"/>
      <c r="I14617" s="760"/>
      <c r="J14617" s="760"/>
      <c r="K14617" s="760"/>
    </row>
    <row r="14618" spans="1:11">
      <c r="A14618" s="760"/>
      <c r="B14618" s="760"/>
      <c r="C14618" s="760"/>
      <c r="D14618" s="760"/>
      <c r="E14618" s="760"/>
      <c r="F14618" s="760"/>
      <c r="G14618" s="760"/>
      <c r="H14618" s="760"/>
      <c r="I14618" s="760"/>
      <c r="J14618" s="760"/>
      <c r="K14618" s="760"/>
    </row>
    <row r="14619" spans="1:11">
      <c r="A14619" s="760"/>
      <c r="B14619" s="760"/>
      <c r="C14619" s="760"/>
      <c r="D14619" s="760"/>
      <c r="E14619" s="760"/>
      <c r="F14619" s="760"/>
      <c r="G14619" s="760"/>
      <c r="H14619" s="760"/>
      <c r="I14619" s="760"/>
      <c r="J14619" s="760"/>
      <c r="K14619" s="760"/>
    </row>
    <row r="14620" spans="1:11">
      <c r="A14620" s="760"/>
      <c r="B14620" s="760"/>
      <c r="C14620" s="760"/>
      <c r="D14620" s="760"/>
      <c r="E14620" s="760"/>
      <c r="F14620" s="760"/>
      <c r="G14620" s="760"/>
      <c r="H14620" s="760"/>
      <c r="I14620" s="760"/>
      <c r="J14620" s="760"/>
      <c r="K14620" s="760"/>
    </row>
    <row r="14621" spans="1:11">
      <c r="A14621" s="760"/>
      <c r="B14621" s="760"/>
      <c r="C14621" s="760"/>
      <c r="D14621" s="760"/>
      <c r="E14621" s="760"/>
      <c r="F14621" s="760"/>
      <c r="G14621" s="760"/>
      <c r="H14621" s="760"/>
      <c r="I14621" s="760"/>
      <c r="J14621" s="760"/>
      <c r="K14621" s="760"/>
    </row>
    <row r="14622" spans="1:11">
      <c r="A14622" s="760"/>
      <c r="B14622" s="760"/>
      <c r="C14622" s="760"/>
      <c r="D14622" s="760"/>
      <c r="E14622" s="760"/>
      <c r="F14622" s="760"/>
      <c r="G14622" s="760"/>
      <c r="H14622" s="760"/>
      <c r="I14622" s="760"/>
      <c r="J14622" s="760"/>
      <c r="K14622" s="760"/>
    </row>
    <row r="14623" spans="1:11">
      <c r="A14623" s="760"/>
      <c r="B14623" s="760"/>
      <c r="C14623" s="760"/>
      <c r="D14623" s="760"/>
      <c r="E14623" s="760"/>
      <c r="F14623" s="760"/>
      <c r="G14623" s="760"/>
      <c r="H14623" s="760"/>
      <c r="I14623" s="760"/>
      <c r="J14623" s="760"/>
      <c r="K14623" s="760"/>
    </row>
    <row r="14624" spans="1:11">
      <c r="A14624" s="760"/>
      <c r="B14624" s="760"/>
      <c r="C14624" s="760"/>
      <c r="D14624" s="760"/>
      <c r="E14624" s="760"/>
      <c r="F14624" s="760"/>
      <c r="G14624" s="760"/>
      <c r="H14624" s="760"/>
      <c r="I14624" s="760"/>
      <c r="J14624" s="760"/>
      <c r="K14624" s="760"/>
    </row>
    <row r="14625" spans="1:11">
      <c r="A14625" s="760"/>
      <c r="B14625" s="760"/>
      <c r="C14625" s="760"/>
      <c r="D14625" s="760"/>
      <c r="E14625" s="760"/>
      <c r="F14625" s="760"/>
      <c r="G14625" s="760"/>
      <c r="H14625" s="760"/>
      <c r="I14625" s="760"/>
      <c r="J14625" s="760"/>
      <c r="K14625" s="760"/>
    </row>
    <row r="14626" spans="1:11">
      <c r="A14626" s="760"/>
      <c r="B14626" s="760"/>
      <c r="C14626" s="760"/>
      <c r="D14626" s="760"/>
      <c r="E14626" s="760"/>
      <c r="F14626" s="760"/>
      <c r="G14626" s="760"/>
      <c r="H14626" s="760"/>
      <c r="I14626" s="760"/>
      <c r="J14626" s="760"/>
      <c r="K14626" s="760"/>
    </row>
    <row r="14627" spans="1:11">
      <c r="A14627" s="760"/>
      <c r="B14627" s="760"/>
      <c r="C14627" s="760"/>
      <c r="D14627" s="760"/>
      <c r="E14627" s="760"/>
      <c r="F14627" s="760"/>
      <c r="G14627" s="760"/>
      <c r="H14627" s="760"/>
      <c r="I14627" s="760"/>
      <c r="J14627" s="760"/>
      <c r="K14627" s="760"/>
    </row>
    <row r="14628" spans="1:11">
      <c r="A14628" s="760"/>
      <c r="B14628" s="760"/>
      <c r="C14628" s="760"/>
      <c r="D14628" s="760"/>
      <c r="E14628" s="760"/>
      <c r="F14628" s="760"/>
      <c r="G14628" s="760"/>
      <c r="H14628" s="760"/>
      <c r="I14628" s="760"/>
      <c r="J14628" s="760"/>
      <c r="K14628" s="760"/>
    </row>
    <row r="14629" spans="1:11">
      <c r="A14629" s="760"/>
      <c r="B14629" s="760"/>
      <c r="C14629" s="760"/>
      <c r="D14629" s="760"/>
      <c r="E14629" s="760"/>
      <c r="F14629" s="760"/>
      <c r="G14629" s="760"/>
      <c r="H14629" s="760"/>
      <c r="I14629" s="760"/>
      <c r="J14629" s="760"/>
      <c r="K14629" s="760"/>
    </row>
    <row r="14630" spans="1:11">
      <c r="A14630" s="760"/>
      <c r="B14630" s="760"/>
      <c r="C14630" s="760"/>
      <c r="D14630" s="760"/>
      <c r="E14630" s="760"/>
      <c r="F14630" s="760"/>
      <c r="G14630" s="760"/>
      <c r="H14630" s="760"/>
      <c r="I14630" s="760"/>
      <c r="J14630" s="760"/>
      <c r="K14630" s="760"/>
    </row>
    <row r="14631" spans="1:11">
      <c r="A14631" s="760"/>
      <c r="B14631" s="760"/>
      <c r="C14631" s="760"/>
      <c r="D14631" s="760"/>
      <c r="E14631" s="760"/>
      <c r="F14631" s="760"/>
      <c r="G14631" s="760"/>
      <c r="H14631" s="760"/>
      <c r="I14631" s="760"/>
      <c r="J14631" s="760"/>
      <c r="K14631" s="760"/>
    </row>
    <row r="14632" spans="1:11">
      <c r="A14632" s="760"/>
      <c r="B14632" s="760"/>
      <c r="C14632" s="760"/>
      <c r="D14632" s="760"/>
      <c r="E14632" s="760"/>
      <c r="F14632" s="760"/>
      <c r="G14632" s="760"/>
      <c r="H14632" s="760"/>
      <c r="I14632" s="760"/>
      <c r="J14632" s="760"/>
      <c r="K14632" s="760"/>
    </row>
    <row r="14633" spans="1:11">
      <c r="A14633" s="760"/>
      <c r="B14633" s="760"/>
      <c r="C14633" s="760"/>
      <c r="D14633" s="760"/>
      <c r="E14633" s="760"/>
      <c r="F14633" s="760"/>
      <c r="G14633" s="760"/>
      <c r="H14633" s="760"/>
      <c r="I14633" s="760"/>
      <c r="J14633" s="760"/>
      <c r="K14633" s="760"/>
    </row>
    <row r="14634" spans="1:11">
      <c r="A14634" s="760"/>
      <c r="B14634" s="760"/>
      <c r="C14634" s="760"/>
      <c r="D14634" s="760"/>
      <c r="E14634" s="760"/>
      <c r="F14634" s="760"/>
      <c r="G14634" s="760"/>
      <c r="H14634" s="760"/>
      <c r="I14634" s="760"/>
      <c r="J14634" s="760"/>
      <c r="K14634" s="760"/>
    </row>
    <row r="14635" spans="1:11">
      <c r="A14635" s="760"/>
      <c r="B14635" s="760"/>
      <c r="C14635" s="760"/>
      <c r="D14635" s="760"/>
      <c r="E14635" s="760"/>
      <c r="F14635" s="760"/>
      <c r="G14635" s="760"/>
      <c r="H14635" s="760"/>
      <c r="I14635" s="760"/>
      <c r="J14635" s="760"/>
      <c r="K14635" s="760"/>
    </row>
    <row r="14636" spans="1:11">
      <c r="A14636" s="760"/>
      <c r="B14636" s="760"/>
      <c r="C14636" s="760"/>
      <c r="D14636" s="760"/>
      <c r="E14636" s="760"/>
      <c r="F14636" s="760"/>
      <c r="G14636" s="760"/>
      <c r="H14636" s="760"/>
      <c r="I14636" s="760"/>
      <c r="J14636" s="760"/>
      <c r="K14636" s="760"/>
    </row>
    <row r="14637" spans="1:11">
      <c r="A14637" s="760"/>
      <c r="B14637" s="760"/>
      <c r="C14637" s="760"/>
      <c r="D14637" s="760"/>
      <c r="E14637" s="760"/>
      <c r="F14637" s="760"/>
      <c r="G14637" s="760"/>
      <c r="H14637" s="760"/>
      <c r="I14637" s="760"/>
      <c r="J14637" s="760"/>
      <c r="K14637" s="760"/>
    </row>
    <row r="14638" spans="1:11">
      <c r="A14638" s="760"/>
      <c r="B14638" s="760"/>
      <c r="C14638" s="760"/>
      <c r="D14638" s="760"/>
      <c r="E14638" s="760"/>
      <c r="F14638" s="760"/>
      <c r="G14638" s="760"/>
      <c r="H14638" s="760"/>
      <c r="I14638" s="760"/>
      <c r="J14638" s="760"/>
      <c r="K14638" s="760"/>
    </row>
    <row r="14639" spans="1:11">
      <c r="A14639" s="760"/>
      <c r="B14639" s="760"/>
      <c r="C14639" s="760"/>
      <c r="D14639" s="760"/>
      <c r="E14639" s="760"/>
      <c r="F14639" s="760"/>
      <c r="G14639" s="760"/>
      <c r="H14639" s="760"/>
      <c r="I14639" s="760"/>
      <c r="J14639" s="760"/>
      <c r="K14639" s="760"/>
    </row>
    <row r="14640" spans="1:11">
      <c r="A14640" s="760"/>
      <c r="B14640" s="760"/>
      <c r="C14640" s="760"/>
      <c r="D14640" s="760"/>
      <c r="E14640" s="760"/>
      <c r="F14640" s="760"/>
      <c r="G14640" s="760"/>
      <c r="H14640" s="760"/>
      <c r="I14640" s="760"/>
      <c r="J14640" s="760"/>
      <c r="K14640" s="760"/>
    </row>
    <row r="14641" spans="1:11">
      <c r="A14641" s="760"/>
      <c r="B14641" s="760"/>
      <c r="C14641" s="760"/>
      <c r="D14641" s="760"/>
      <c r="E14641" s="760"/>
      <c r="F14641" s="760"/>
      <c r="G14641" s="760"/>
      <c r="H14641" s="760"/>
      <c r="I14641" s="760"/>
      <c r="J14641" s="760"/>
      <c r="K14641" s="760"/>
    </row>
    <row r="14642" spans="1:11">
      <c r="A14642" s="760"/>
      <c r="B14642" s="760"/>
      <c r="C14642" s="760"/>
      <c r="D14642" s="760"/>
      <c r="E14642" s="760"/>
      <c r="F14642" s="760"/>
      <c r="G14642" s="760"/>
      <c r="H14642" s="760"/>
      <c r="I14642" s="760"/>
      <c r="J14642" s="760"/>
      <c r="K14642" s="760"/>
    </row>
    <row r="14643" spans="1:11">
      <c r="A14643" s="760"/>
      <c r="B14643" s="760"/>
      <c r="C14643" s="760"/>
      <c r="D14643" s="760"/>
      <c r="E14643" s="760"/>
      <c r="F14643" s="760"/>
      <c r="G14643" s="760"/>
      <c r="H14643" s="760"/>
      <c r="I14643" s="760"/>
      <c r="J14643" s="760"/>
      <c r="K14643" s="760"/>
    </row>
    <row r="14644" spans="1:11">
      <c r="A14644" s="760"/>
      <c r="B14644" s="760"/>
      <c r="C14644" s="760"/>
      <c r="D14644" s="760"/>
      <c r="E14644" s="760"/>
      <c r="F14644" s="760"/>
      <c r="G14644" s="760"/>
      <c r="H14644" s="760"/>
      <c r="I14644" s="760"/>
      <c r="J14644" s="760"/>
      <c r="K14644" s="760"/>
    </row>
    <row r="14645" spans="1:11">
      <c r="A14645" s="760"/>
      <c r="B14645" s="760"/>
      <c r="C14645" s="760"/>
      <c r="D14645" s="760"/>
      <c r="E14645" s="760"/>
      <c r="F14645" s="760"/>
      <c r="G14645" s="760"/>
      <c r="H14645" s="760"/>
      <c r="I14645" s="760"/>
      <c r="J14645" s="760"/>
      <c r="K14645" s="760"/>
    </row>
    <row r="14646" spans="1:11">
      <c r="A14646" s="760"/>
      <c r="B14646" s="760"/>
      <c r="C14646" s="760"/>
      <c r="D14646" s="760"/>
      <c r="E14646" s="760"/>
      <c r="F14646" s="760"/>
      <c r="G14646" s="760"/>
      <c r="H14646" s="760"/>
      <c r="I14646" s="760"/>
      <c r="J14646" s="760"/>
      <c r="K14646" s="760"/>
    </row>
    <row r="14647" spans="1:11">
      <c r="A14647" s="760"/>
      <c r="B14647" s="760"/>
      <c r="C14647" s="760"/>
      <c r="D14647" s="760"/>
      <c r="E14647" s="760"/>
      <c r="F14647" s="760"/>
      <c r="G14647" s="760"/>
      <c r="H14647" s="760"/>
      <c r="I14647" s="760"/>
      <c r="J14647" s="760"/>
      <c r="K14647" s="760"/>
    </row>
    <row r="14648" spans="1:11">
      <c r="A14648" s="760"/>
      <c r="B14648" s="760"/>
      <c r="C14648" s="760"/>
      <c r="D14648" s="760"/>
      <c r="E14648" s="760"/>
      <c r="F14648" s="760"/>
      <c r="G14648" s="760"/>
      <c r="H14648" s="760"/>
      <c r="I14648" s="760"/>
      <c r="J14648" s="760"/>
      <c r="K14648" s="760"/>
    </row>
    <row r="14649" spans="1:11">
      <c r="A14649" s="760"/>
      <c r="B14649" s="760"/>
      <c r="C14649" s="760"/>
      <c r="D14649" s="760"/>
      <c r="E14649" s="760"/>
      <c r="F14649" s="760"/>
      <c r="G14649" s="760"/>
      <c r="H14649" s="760"/>
      <c r="I14649" s="760"/>
      <c r="J14649" s="760"/>
      <c r="K14649" s="760"/>
    </row>
    <row r="14650" spans="1:11">
      <c r="A14650" s="760"/>
      <c r="B14650" s="760"/>
      <c r="C14650" s="760"/>
      <c r="D14650" s="760"/>
      <c r="E14650" s="760"/>
      <c r="F14650" s="760"/>
      <c r="G14650" s="760"/>
      <c r="H14650" s="760"/>
      <c r="I14650" s="760"/>
      <c r="J14650" s="760"/>
      <c r="K14650" s="760"/>
    </row>
    <row r="14651" spans="1:11">
      <c r="A14651" s="760"/>
      <c r="B14651" s="760"/>
      <c r="C14651" s="760"/>
      <c r="D14651" s="760"/>
      <c r="E14651" s="760"/>
      <c r="F14651" s="760"/>
      <c r="G14651" s="760"/>
      <c r="H14651" s="760"/>
      <c r="I14651" s="760"/>
      <c r="J14651" s="760"/>
      <c r="K14651" s="760"/>
    </row>
    <row r="14652" spans="1:11">
      <c r="A14652" s="760"/>
      <c r="B14652" s="760"/>
      <c r="C14652" s="760"/>
      <c r="D14652" s="760"/>
      <c r="E14652" s="760"/>
      <c r="F14652" s="760"/>
      <c r="G14652" s="760"/>
      <c r="H14652" s="760"/>
      <c r="I14652" s="760"/>
      <c r="J14652" s="760"/>
      <c r="K14652" s="760"/>
    </row>
    <row r="14653" spans="1:11">
      <c r="A14653" s="760"/>
      <c r="B14653" s="760"/>
      <c r="C14653" s="760"/>
      <c r="D14653" s="760"/>
      <c r="E14653" s="760"/>
      <c r="F14653" s="760"/>
      <c r="G14653" s="760"/>
      <c r="H14653" s="760"/>
      <c r="I14653" s="760"/>
      <c r="J14653" s="760"/>
      <c r="K14653" s="760"/>
    </row>
    <row r="14654" spans="1:11">
      <c r="A14654" s="760"/>
      <c r="B14654" s="760"/>
      <c r="C14654" s="760"/>
      <c r="D14654" s="760"/>
      <c r="E14654" s="760"/>
      <c r="F14654" s="760"/>
      <c r="G14654" s="760"/>
      <c r="H14654" s="760"/>
      <c r="I14654" s="760"/>
      <c r="J14654" s="760"/>
      <c r="K14654" s="760"/>
    </row>
    <row r="14655" spans="1:11">
      <c r="A14655" s="760"/>
      <c r="B14655" s="760"/>
      <c r="C14655" s="760"/>
      <c r="D14655" s="760"/>
      <c r="E14655" s="760"/>
      <c r="F14655" s="760"/>
      <c r="G14655" s="760"/>
      <c r="H14655" s="760"/>
      <c r="I14655" s="760"/>
      <c r="J14655" s="760"/>
      <c r="K14655" s="760"/>
    </row>
    <row r="14656" spans="1:11">
      <c r="A14656" s="760"/>
      <c r="B14656" s="760"/>
      <c r="C14656" s="760"/>
      <c r="D14656" s="760"/>
      <c r="E14656" s="760"/>
      <c r="F14656" s="760"/>
      <c r="G14656" s="760"/>
      <c r="H14656" s="760"/>
      <c r="I14656" s="760"/>
      <c r="J14656" s="760"/>
      <c r="K14656" s="760"/>
    </row>
    <row r="14657" spans="1:11">
      <c r="A14657" s="760"/>
      <c r="B14657" s="760"/>
      <c r="C14657" s="760"/>
      <c r="D14657" s="760"/>
      <c r="E14657" s="760"/>
      <c r="F14657" s="760"/>
      <c r="G14657" s="760"/>
      <c r="H14657" s="760"/>
      <c r="I14657" s="760"/>
      <c r="J14657" s="760"/>
      <c r="K14657" s="760"/>
    </row>
    <row r="14658" spans="1:11">
      <c r="A14658" s="760"/>
      <c r="B14658" s="760"/>
      <c r="C14658" s="760"/>
      <c r="D14658" s="760"/>
      <c r="E14658" s="760"/>
      <c r="F14658" s="760"/>
      <c r="G14658" s="760"/>
      <c r="H14658" s="760"/>
      <c r="I14658" s="760"/>
      <c r="J14658" s="760"/>
      <c r="K14658" s="760"/>
    </row>
    <row r="14659" spans="1:11">
      <c r="A14659" s="760"/>
      <c r="B14659" s="760"/>
      <c r="C14659" s="760"/>
      <c r="D14659" s="760"/>
      <c r="E14659" s="760"/>
      <c r="F14659" s="760"/>
      <c r="G14659" s="760"/>
      <c r="H14659" s="760"/>
      <c r="I14659" s="760"/>
      <c r="J14659" s="760"/>
      <c r="K14659" s="760"/>
    </row>
    <row r="14660" spans="1:11">
      <c r="A14660" s="760"/>
      <c r="B14660" s="760"/>
      <c r="C14660" s="760"/>
      <c r="D14660" s="760"/>
      <c r="E14660" s="760"/>
      <c r="F14660" s="760"/>
      <c r="G14660" s="760"/>
      <c r="H14660" s="760"/>
      <c r="I14660" s="760"/>
      <c r="J14660" s="760"/>
      <c r="K14660" s="760"/>
    </row>
    <row r="14661" spans="1:11">
      <c r="A14661" s="760"/>
      <c r="B14661" s="760"/>
      <c r="C14661" s="760"/>
      <c r="D14661" s="760"/>
      <c r="E14661" s="760"/>
      <c r="F14661" s="760"/>
      <c r="G14661" s="760"/>
      <c r="H14661" s="760"/>
      <c r="I14661" s="760"/>
      <c r="J14661" s="760"/>
      <c r="K14661" s="760"/>
    </row>
    <row r="14662" spans="1:11">
      <c r="A14662" s="760"/>
      <c r="B14662" s="760"/>
      <c r="C14662" s="760"/>
      <c r="D14662" s="760"/>
      <c r="E14662" s="760"/>
      <c r="F14662" s="760"/>
      <c r="G14662" s="760"/>
      <c r="H14662" s="760"/>
      <c r="I14662" s="760"/>
      <c r="J14662" s="760"/>
      <c r="K14662" s="760"/>
    </row>
    <row r="14663" spans="1:11">
      <c r="A14663" s="760"/>
      <c r="B14663" s="760"/>
      <c r="C14663" s="760"/>
      <c r="D14663" s="760"/>
      <c r="E14663" s="760"/>
      <c r="F14663" s="760"/>
      <c r="G14663" s="760"/>
      <c r="H14663" s="760"/>
      <c r="I14663" s="760"/>
      <c r="J14663" s="760"/>
      <c r="K14663" s="760"/>
    </row>
    <row r="14664" spans="1:11">
      <c r="A14664" s="760"/>
      <c r="B14664" s="760"/>
      <c r="C14664" s="760"/>
      <c r="D14664" s="760"/>
      <c r="E14664" s="760"/>
      <c r="F14664" s="760"/>
      <c r="G14664" s="760"/>
      <c r="H14664" s="760"/>
      <c r="I14664" s="760"/>
      <c r="J14664" s="760"/>
      <c r="K14664" s="760"/>
    </row>
    <row r="14665" spans="1:11">
      <c r="A14665" s="760"/>
      <c r="B14665" s="760"/>
      <c r="C14665" s="760"/>
      <c r="D14665" s="760"/>
      <c r="E14665" s="760"/>
      <c r="F14665" s="760"/>
      <c r="G14665" s="760"/>
      <c r="H14665" s="760"/>
      <c r="I14665" s="760"/>
      <c r="J14665" s="760"/>
      <c r="K14665" s="760"/>
    </row>
    <row r="14666" spans="1:11">
      <c r="A14666" s="760"/>
      <c r="B14666" s="760"/>
      <c r="C14666" s="760"/>
      <c r="D14666" s="760"/>
      <c r="E14666" s="760"/>
      <c r="F14666" s="760"/>
      <c r="G14666" s="760"/>
      <c r="H14666" s="760"/>
      <c r="I14666" s="760"/>
      <c r="J14666" s="760"/>
      <c r="K14666" s="760"/>
    </row>
    <row r="14667" spans="1:11">
      <c r="A14667" s="760"/>
      <c r="B14667" s="760"/>
      <c r="C14667" s="760"/>
      <c r="D14667" s="760"/>
      <c r="E14667" s="760"/>
      <c r="F14667" s="760"/>
      <c r="G14667" s="760"/>
      <c r="H14667" s="760"/>
      <c r="I14667" s="760"/>
      <c r="J14667" s="760"/>
      <c r="K14667" s="760"/>
    </row>
    <row r="14668" spans="1:11">
      <c r="A14668" s="760"/>
      <c r="B14668" s="760"/>
      <c r="C14668" s="760"/>
      <c r="D14668" s="760"/>
      <c r="E14668" s="760"/>
      <c r="F14668" s="760"/>
      <c r="G14668" s="760"/>
      <c r="H14668" s="760"/>
      <c r="I14668" s="760"/>
      <c r="J14668" s="760"/>
      <c r="K14668" s="760"/>
    </row>
    <row r="14669" spans="1:11">
      <c r="A14669" s="760"/>
      <c r="B14669" s="760"/>
      <c r="C14669" s="760"/>
      <c r="D14669" s="760"/>
      <c r="E14669" s="760"/>
      <c r="F14669" s="760"/>
      <c r="G14669" s="760"/>
      <c r="H14669" s="760"/>
      <c r="I14669" s="760"/>
      <c r="J14669" s="760"/>
      <c r="K14669" s="760"/>
    </row>
    <row r="14670" spans="1:11">
      <c r="A14670" s="760"/>
      <c r="B14670" s="760"/>
      <c r="C14670" s="760"/>
      <c r="D14670" s="760"/>
      <c r="E14670" s="760"/>
      <c r="F14670" s="760"/>
      <c r="G14670" s="760"/>
      <c r="H14670" s="760"/>
      <c r="I14670" s="760"/>
      <c r="J14670" s="760"/>
      <c r="K14670" s="760"/>
    </row>
    <row r="14671" spans="1:11">
      <c r="A14671" s="760"/>
      <c r="B14671" s="760"/>
      <c r="C14671" s="760"/>
      <c r="D14671" s="760"/>
      <c r="E14671" s="760"/>
      <c r="F14671" s="760"/>
      <c r="G14671" s="760"/>
      <c r="H14671" s="760"/>
      <c r="I14671" s="760"/>
      <c r="J14671" s="760"/>
      <c r="K14671" s="760"/>
    </row>
    <row r="14672" spans="1:11">
      <c r="A14672" s="760"/>
      <c r="B14672" s="760"/>
      <c r="C14672" s="760"/>
      <c r="D14672" s="760"/>
      <c r="E14672" s="760"/>
      <c r="F14672" s="760"/>
      <c r="G14672" s="760"/>
      <c r="H14672" s="760"/>
      <c r="I14672" s="760"/>
      <c r="J14672" s="760"/>
      <c r="K14672" s="760"/>
    </row>
    <row r="14673" spans="1:11">
      <c r="A14673" s="760"/>
      <c r="B14673" s="760"/>
      <c r="C14673" s="760"/>
      <c r="D14673" s="760"/>
      <c r="E14673" s="760"/>
      <c r="F14673" s="760"/>
      <c r="G14673" s="760"/>
      <c r="H14673" s="760"/>
      <c r="I14673" s="760"/>
      <c r="J14673" s="760"/>
      <c r="K14673" s="760"/>
    </row>
    <row r="14674" spans="1:11">
      <c r="A14674" s="760"/>
      <c r="B14674" s="760"/>
      <c r="C14674" s="760"/>
      <c r="D14674" s="760"/>
      <c r="E14674" s="760"/>
      <c r="F14674" s="760"/>
      <c r="G14674" s="760"/>
      <c r="H14674" s="760"/>
      <c r="I14674" s="760"/>
      <c r="J14674" s="760"/>
      <c r="K14674" s="760"/>
    </row>
    <row r="14675" spans="1:11">
      <c r="A14675" s="760"/>
      <c r="B14675" s="760"/>
      <c r="C14675" s="760"/>
      <c r="D14675" s="760"/>
      <c r="E14675" s="760"/>
      <c r="F14675" s="760"/>
      <c r="G14675" s="760"/>
      <c r="H14675" s="760"/>
      <c r="I14675" s="760"/>
      <c r="J14675" s="760"/>
      <c r="K14675" s="760"/>
    </row>
    <row r="14676" spans="1:11">
      <c r="A14676" s="760"/>
      <c r="B14676" s="760"/>
      <c r="C14676" s="760"/>
      <c r="D14676" s="760"/>
      <c r="E14676" s="760"/>
      <c r="F14676" s="760"/>
      <c r="G14676" s="760"/>
      <c r="H14676" s="760"/>
      <c r="I14676" s="760"/>
      <c r="J14676" s="760"/>
      <c r="K14676" s="760"/>
    </row>
    <row r="14677" spans="1:11">
      <c r="A14677" s="760"/>
      <c r="B14677" s="760"/>
      <c r="C14677" s="760"/>
      <c r="D14677" s="760"/>
      <c r="E14677" s="760"/>
      <c r="F14677" s="760"/>
      <c r="G14677" s="760"/>
      <c r="H14677" s="760"/>
      <c r="I14677" s="760"/>
      <c r="J14677" s="760"/>
      <c r="K14677" s="760"/>
    </row>
    <row r="14678" spans="1:11">
      <c r="A14678" s="760"/>
      <c r="B14678" s="760"/>
      <c r="C14678" s="760"/>
      <c r="D14678" s="760"/>
      <c r="E14678" s="760"/>
      <c r="F14678" s="760"/>
      <c r="G14678" s="760"/>
      <c r="H14678" s="760"/>
      <c r="I14678" s="760"/>
      <c r="J14678" s="760"/>
      <c r="K14678" s="760"/>
    </row>
    <row r="14679" spans="1:11">
      <c r="A14679" s="760"/>
      <c r="B14679" s="760"/>
      <c r="C14679" s="760"/>
      <c r="D14679" s="760"/>
      <c r="E14679" s="760"/>
      <c r="F14679" s="760"/>
      <c r="G14679" s="760"/>
      <c r="H14679" s="760"/>
      <c r="I14679" s="760"/>
      <c r="J14679" s="760"/>
      <c r="K14679" s="760"/>
    </row>
    <row r="14680" spans="1:11">
      <c r="A14680" s="760"/>
      <c r="B14680" s="760"/>
      <c r="C14680" s="760"/>
      <c r="D14680" s="760"/>
      <c r="E14680" s="760"/>
      <c r="F14680" s="760"/>
      <c r="G14680" s="760"/>
      <c r="H14680" s="760"/>
      <c r="I14680" s="760"/>
      <c r="J14680" s="760"/>
      <c r="K14680" s="760"/>
    </row>
    <row r="14681" spans="1:11">
      <c r="A14681" s="760"/>
      <c r="B14681" s="760"/>
      <c r="C14681" s="760"/>
      <c r="D14681" s="760"/>
      <c r="E14681" s="760"/>
      <c r="F14681" s="760"/>
      <c r="G14681" s="760"/>
      <c r="H14681" s="760"/>
      <c r="I14681" s="760"/>
      <c r="J14681" s="760"/>
      <c r="K14681" s="760"/>
    </row>
    <row r="14682" spans="1:11">
      <c r="A14682" s="760"/>
      <c r="B14682" s="760"/>
      <c r="C14682" s="760"/>
      <c r="D14682" s="760"/>
      <c r="E14682" s="760"/>
      <c r="F14682" s="760"/>
      <c r="G14682" s="760"/>
      <c r="H14682" s="760"/>
      <c r="I14682" s="760"/>
      <c r="J14682" s="760"/>
      <c r="K14682" s="760"/>
    </row>
    <row r="14683" spans="1:11">
      <c r="A14683" s="760"/>
      <c r="B14683" s="760"/>
      <c r="C14683" s="760"/>
      <c r="D14683" s="760"/>
      <c r="E14683" s="760"/>
      <c r="F14683" s="760"/>
      <c r="G14683" s="760"/>
      <c r="H14683" s="760"/>
      <c r="I14683" s="760"/>
      <c r="J14683" s="760"/>
      <c r="K14683" s="760"/>
    </row>
    <row r="14684" spans="1:11">
      <c r="A14684" s="760"/>
      <c r="B14684" s="760"/>
      <c r="C14684" s="760"/>
      <c r="D14684" s="760"/>
      <c r="E14684" s="760"/>
      <c r="F14684" s="760"/>
      <c r="G14684" s="760"/>
      <c r="H14684" s="760"/>
      <c r="I14684" s="760"/>
      <c r="J14684" s="760"/>
      <c r="K14684" s="760"/>
    </row>
    <row r="14685" spans="1:11">
      <c r="A14685" s="760"/>
      <c r="B14685" s="760"/>
      <c r="C14685" s="760"/>
      <c r="D14685" s="760"/>
      <c r="E14685" s="760"/>
      <c r="F14685" s="760"/>
      <c r="G14685" s="760"/>
      <c r="H14685" s="760"/>
      <c r="I14685" s="760"/>
      <c r="J14685" s="760"/>
      <c r="K14685" s="760"/>
    </row>
    <row r="14686" spans="1:11">
      <c r="A14686" s="760"/>
      <c r="B14686" s="760"/>
      <c r="C14686" s="760"/>
      <c r="D14686" s="760"/>
      <c r="E14686" s="760"/>
      <c r="F14686" s="760"/>
      <c r="G14686" s="760"/>
      <c r="H14686" s="760"/>
      <c r="I14686" s="760"/>
      <c r="J14686" s="760"/>
      <c r="K14686" s="760"/>
    </row>
    <row r="14687" spans="1:11">
      <c r="A14687" s="760"/>
      <c r="B14687" s="760"/>
      <c r="C14687" s="760"/>
      <c r="D14687" s="760"/>
      <c r="E14687" s="760"/>
      <c r="F14687" s="760"/>
      <c r="G14687" s="760"/>
      <c r="H14687" s="760"/>
      <c r="I14687" s="760"/>
      <c r="J14687" s="760"/>
      <c r="K14687" s="760"/>
    </row>
    <row r="14688" spans="1:11">
      <c r="A14688" s="760"/>
      <c r="B14688" s="760"/>
      <c r="C14688" s="760"/>
      <c r="D14688" s="760"/>
      <c r="E14688" s="760"/>
      <c r="F14688" s="760"/>
      <c r="G14688" s="760"/>
      <c r="H14688" s="760"/>
      <c r="I14688" s="760"/>
      <c r="J14688" s="760"/>
      <c r="K14688" s="760"/>
    </row>
    <row r="14689" spans="1:11">
      <c r="A14689" s="760"/>
      <c r="B14689" s="760"/>
      <c r="C14689" s="760"/>
      <c r="D14689" s="760"/>
      <c r="E14689" s="760"/>
      <c r="F14689" s="760"/>
      <c r="G14689" s="760"/>
      <c r="H14689" s="760"/>
      <c r="I14689" s="760"/>
      <c r="J14689" s="760"/>
      <c r="K14689" s="760"/>
    </row>
    <row r="14690" spans="1:11">
      <c r="A14690" s="760"/>
      <c r="B14690" s="760"/>
      <c r="C14690" s="760"/>
      <c r="D14690" s="760"/>
      <c r="E14690" s="760"/>
      <c r="F14690" s="760"/>
      <c r="G14690" s="760"/>
      <c r="H14690" s="760"/>
      <c r="I14690" s="760"/>
      <c r="J14690" s="760"/>
      <c r="K14690" s="760"/>
    </row>
    <row r="14691" spans="1:11">
      <c r="A14691" s="760"/>
      <c r="B14691" s="760"/>
      <c r="C14691" s="760"/>
      <c r="D14691" s="760"/>
      <c r="E14691" s="760"/>
      <c r="F14691" s="760"/>
      <c r="G14691" s="760"/>
      <c r="H14691" s="760"/>
      <c r="I14691" s="760"/>
      <c r="J14691" s="760"/>
      <c r="K14691" s="760"/>
    </row>
    <row r="14692" spans="1:11">
      <c r="A14692" s="760"/>
      <c r="B14692" s="760"/>
      <c r="C14692" s="760"/>
      <c r="D14692" s="760"/>
      <c r="E14692" s="760"/>
      <c r="F14692" s="760"/>
      <c r="G14692" s="760"/>
      <c r="H14692" s="760"/>
      <c r="I14692" s="760"/>
      <c r="J14692" s="760"/>
      <c r="K14692" s="760"/>
    </row>
    <row r="14693" spans="1:11">
      <c r="A14693" s="760"/>
      <c r="B14693" s="760"/>
      <c r="C14693" s="760"/>
      <c r="D14693" s="760"/>
      <c r="E14693" s="760"/>
      <c r="F14693" s="760"/>
      <c r="G14693" s="760"/>
      <c r="H14693" s="760"/>
      <c r="I14693" s="760"/>
      <c r="J14693" s="760"/>
      <c r="K14693" s="760"/>
    </row>
    <row r="14694" spans="1:11">
      <c r="A14694" s="760"/>
      <c r="B14694" s="760"/>
      <c r="C14694" s="760"/>
      <c r="D14694" s="760"/>
      <c r="E14694" s="760"/>
      <c r="F14694" s="760"/>
      <c r="G14694" s="760"/>
      <c r="H14694" s="760"/>
      <c r="I14694" s="760"/>
      <c r="J14694" s="760"/>
      <c r="K14694" s="760"/>
    </row>
    <row r="14695" spans="1:11">
      <c r="A14695" s="760"/>
      <c r="B14695" s="760"/>
      <c r="C14695" s="760"/>
      <c r="D14695" s="760"/>
      <c r="E14695" s="760"/>
      <c r="F14695" s="760"/>
      <c r="G14695" s="760"/>
      <c r="H14695" s="760"/>
      <c r="I14695" s="760"/>
      <c r="J14695" s="760"/>
      <c r="K14695" s="760"/>
    </row>
    <row r="14696" spans="1:11">
      <c r="A14696" s="760"/>
      <c r="B14696" s="760"/>
      <c r="C14696" s="760"/>
      <c r="D14696" s="760"/>
      <c r="E14696" s="760"/>
      <c r="F14696" s="760"/>
      <c r="G14696" s="760"/>
      <c r="H14696" s="760"/>
      <c r="I14696" s="760"/>
      <c r="J14696" s="760"/>
      <c r="K14696" s="760"/>
    </row>
    <row r="14697" spans="1:11">
      <c r="A14697" s="760"/>
      <c r="B14697" s="760"/>
      <c r="C14697" s="760"/>
      <c r="D14697" s="760"/>
      <c r="E14697" s="760"/>
      <c r="F14697" s="760"/>
      <c r="G14697" s="760"/>
      <c r="H14697" s="760"/>
      <c r="I14697" s="760"/>
      <c r="J14697" s="760"/>
      <c r="K14697" s="760"/>
    </row>
    <row r="14698" spans="1:11">
      <c r="A14698" s="760"/>
      <c r="B14698" s="760"/>
      <c r="C14698" s="760"/>
      <c r="D14698" s="760"/>
      <c r="E14698" s="760"/>
      <c r="F14698" s="760"/>
      <c r="G14698" s="760"/>
      <c r="H14698" s="760"/>
      <c r="I14698" s="760"/>
      <c r="J14698" s="760"/>
      <c r="K14698" s="760"/>
    </row>
    <row r="14699" spans="1:11">
      <c r="A14699" s="760"/>
      <c r="B14699" s="760"/>
      <c r="C14699" s="760"/>
      <c r="D14699" s="760"/>
      <c r="E14699" s="760"/>
      <c r="F14699" s="760"/>
      <c r="G14699" s="760"/>
      <c r="H14699" s="760"/>
      <c r="I14699" s="760"/>
      <c r="J14699" s="760"/>
      <c r="K14699" s="760"/>
    </row>
    <row r="14700" spans="1:11">
      <c r="A14700" s="760"/>
      <c r="B14700" s="760"/>
      <c r="C14700" s="760"/>
      <c r="D14700" s="760"/>
      <c r="E14700" s="760"/>
      <c r="F14700" s="760"/>
      <c r="G14700" s="760"/>
      <c r="H14700" s="760"/>
      <c r="I14700" s="760"/>
      <c r="J14700" s="760"/>
      <c r="K14700" s="760"/>
    </row>
    <row r="14701" spans="1:11">
      <c r="A14701" s="760"/>
      <c r="B14701" s="760"/>
      <c r="C14701" s="760"/>
      <c r="D14701" s="760"/>
      <c r="E14701" s="760"/>
      <c r="F14701" s="760"/>
      <c r="G14701" s="760"/>
      <c r="H14701" s="760"/>
      <c r="I14701" s="760"/>
      <c r="J14701" s="760"/>
      <c r="K14701" s="760"/>
    </row>
    <row r="14702" spans="1:11">
      <c r="A14702" s="760"/>
      <c r="B14702" s="760"/>
      <c r="C14702" s="760"/>
      <c r="D14702" s="760"/>
      <c r="E14702" s="760"/>
      <c r="F14702" s="760"/>
      <c r="G14702" s="760"/>
      <c r="H14702" s="760"/>
      <c r="I14702" s="760"/>
      <c r="J14702" s="760"/>
      <c r="K14702" s="760"/>
    </row>
    <row r="14703" spans="1:11">
      <c r="A14703" s="760"/>
      <c r="B14703" s="760"/>
      <c r="C14703" s="760"/>
      <c r="D14703" s="760"/>
      <c r="E14703" s="760"/>
      <c r="F14703" s="760"/>
      <c r="G14703" s="760"/>
      <c r="H14703" s="760"/>
      <c r="I14703" s="760"/>
      <c r="J14703" s="760"/>
      <c r="K14703" s="760"/>
    </row>
    <row r="14704" spans="1:11">
      <c r="A14704" s="760"/>
      <c r="B14704" s="760"/>
      <c r="C14704" s="760"/>
      <c r="D14704" s="760"/>
      <c r="E14704" s="760"/>
      <c r="F14704" s="760"/>
      <c r="G14704" s="760"/>
      <c r="H14704" s="760"/>
      <c r="I14704" s="760"/>
      <c r="J14704" s="760"/>
      <c r="K14704" s="760"/>
    </row>
    <row r="14705" spans="1:11">
      <c r="A14705" s="760"/>
      <c r="B14705" s="760"/>
      <c r="C14705" s="760"/>
      <c r="D14705" s="760"/>
      <c r="E14705" s="760"/>
      <c r="F14705" s="760"/>
      <c r="G14705" s="760"/>
      <c r="H14705" s="760"/>
      <c r="I14705" s="760"/>
      <c r="J14705" s="760"/>
      <c r="K14705" s="760"/>
    </row>
    <row r="14706" spans="1:11">
      <c r="A14706" s="760"/>
      <c r="B14706" s="760"/>
      <c r="C14706" s="760"/>
      <c r="D14706" s="760"/>
      <c r="E14706" s="760"/>
      <c r="F14706" s="760"/>
      <c r="G14706" s="760"/>
      <c r="H14706" s="760"/>
      <c r="I14706" s="760"/>
      <c r="J14706" s="760"/>
      <c r="K14706" s="760"/>
    </row>
    <row r="14707" spans="1:11">
      <c r="A14707" s="760"/>
      <c r="B14707" s="760"/>
      <c r="C14707" s="760"/>
      <c r="D14707" s="760"/>
      <c r="E14707" s="760"/>
      <c r="F14707" s="760"/>
      <c r="G14707" s="760"/>
      <c r="H14707" s="760"/>
      <c r="I14707" s="760"/>
      <c r="J14707" s="760"/>
      <c r="K14707" s="760"/>
    </row>
    <row r="14708" spans="1:11">
      <c r="A14708" s="760"/>
      <c r="B14708" s="760"/>
      <c r="C14708" s="760"/>
      <c r="D14708" s="760"/>
      <c r="E14708" s="760"/>
      <c r="F14708" s="760"/>
      <c r="G14708" s="760"/>
      <c r="H14708" s="760"/>
      <c r="I14708" s="760"/>
      <c r="J14708" s="760"/>
      <c r="K14708" s="760"/>
    </row>
    <row r="14709" spans="1:11">
      <c r="A14709" s="760"/>
      <c r="B14709" s="760"/>
      <c r="C14709" s="760"/>
      <c r="D14709" s="760"/>
      <c r="E14709" s="760"/>
      <c r="F14709" s="760"/>
      <c r="G14709" s="760"/>
      <c r="H14709" s="760"/>
      <c r="I14709" s="760"/>
      <c r="J14709" s="760"/>
      <c r="K14709" s="760"/>
    </row>
    <row r="14710" spans="1:11">
      <c r="A14710" s="760"/>
      <c r="B14710" s="760"/>
      <c r="C14710" s="760"/>
      <c r="D14710" s="760"/>
      <c r="E14710" s="760"/>
      <c r="F14710" s="760"/>
      <c r="G14710" s="760"/>
      <c r="H14710" s="760"/>
      <c r="I14710" s="760"/>
      <c r="J14710" s="760"/>
      <c r="K14710" s="760"/>
    </row>
    <row r="14711" spans="1:11">
      <c r="A14711" s="760"/>
      <c r="B14711" s="760"/>
      <c r="C14711" s="760"/>
      <c r="D14711" s="760"/>
      <c r="E14711" s="760"/>
      <c r="F14711" s="760"/>
      <c r="G14711" s="760"/>
      <c r="H14711" s="760"/>
      <c r="I14711" s="760"/>
      <c r="J14711" s="760"/>
      <c r="K14711" s="760"/>
    </row>
    <row r="14712" spans="1:11">
      <c r="A14712" s="760"/>
      <c r="B14712" s="760"/>
      <c r="C14712" s="760"/>
      <c r="D14712" s="760"/>
      <c r="E14712" s="760"/>
      <c r="F14712" s="760"/>
      <c r="G14712" s="760"/>
      <c r="H14712" s="760"/>
      <c r="I14712" s="760"/>
      <c r="J14712" s="760"/>
      <c r="K14712" s="760"/>
    </row>
    <row r="14713" spans="1:11">
      <c r="A14713" s="760"/>
      <c r="B14713" s="760"/>
      <c r="C14713" s="760"/>
      <c r="D14713" s="760"/>
      <c r="E14713" s="760"/>
      <c r="F14713" s="760"/>
      <c r="G14713" s="760"/>
      <c r="H14713" s="760"/>
      <c r="I14713" s="760"/>
      <c r="J14713" s="760"/>
      <c r="K14713" s="760"/>
    </row>
    <row r="14714" spans="1:11">
      <c r="A14714" s="760"/>
      <c r="B14714" s="760"/>
      <c r="C14714" s="760"/>
      <c r="D14714" s="760"/>
      <c r="E14714" s="760"/>
      <c r="F14714" s="760"/>
      <c r="G14714" s="760"/>
      <c r="H14714" s="760"/>
      <c r="I14714" s="760"/>
      <c r="J14714" s="760"/>
      <c r="K14714" s="760"/>
    </row>
    <row r="14715" spans="1:11">
      <c r="A14715" s="760"/>
      <c r="B14715" s="760"/>
      <c r="C14715" s="760"/>
      <c r="D14715" s="760"/>
      <c r="E14715" s="760"/>
      <c r="F14715" s="760"/>
      <c r="G14715" s="760"/>
      <c r="H14715" s="760"/>
      <c r="I14715" s="760"/>
      <c r="J14715" s="760"/>
      <c r="K14715" s="760"/>
    </row>
    <row r="14716" spans="1:11">
      <c r="A14716" s="760"/>
      <c r="B14716" s="760"/>
      <c r="C14716" s="760"/>
      <c r="D14716" s="760"/>
      <c r="E14716" s="760"/>
      <c r="F14716" s="760"/>
      <c r="G14716" s="760"/>
      <c r="H14716" s="760"/>
      <c r="I14716" s="760"/>
      <c r="J14716" s="760"/>
      <c r="K14716" s="760"/>
    </row>
    <row r="14717" spans="1:11">
      <c r="A14717" s="760"/>
      <c r="B14717" s="760"/>
      <c r="C14717" s="760"/>
      <c r="D14717" s="760"/>
      <c r="E14717" s="760"/>
      <c r="F14717" s="760"/>
      <c r="G14717" s="760"/>
      <c r="H14717" s="760"/>
      <c r="I14717" s="760"/>
      <c r="J14717" s="760"/>
      <c r="K14717" s="760"/>
    </row>
    <row r="14718" spans="1:11">
      <c r="A14718" s="760"/>
      <c r="B14718" s="760"/>
      <c r="C14718" s="760"/>
      <c r="D14718" s="760"/>
      <c r="E14718" s="760"/>
      <c r="F14718" s="760"/>
      <c r="G14718" s="760"/>
      <c r="H14718" s="760"/>
      <c r="I14718" s="760"/>
      <c r="J14718" s="760"/>
      <c r="K14718" s="760"/>
    </row>
    <row r="14719" spans="1:11">
      <c r="A14719" s="760"/>
      <c r="B14719" s="760"/>
      <c r="C14719" s="760"/>
      <c r="D14719" s="760"/>
      <c r="E14719" s="760"/>
      <c r="F14719" s="760"/>
      <c r="G14719" s="760"/>
      <c r="H14719" s="760"/>
      <c r="I14719" s="760"/>
      <c r="J14719" s="760"/>
      <c r="K14719" s="760"/>
    </row>
    <row r="14720" spans="1:11">
      <c r="A14720" s="760"/>
      <c r="B14720" s="760"/>
      <c r="C14720" s="760"/>
      <c r="D14720" s="760"/>
      <c r="E14720" s="760"/>
      <c r="F14720" s="760"/>
      <c r="G14720" s="760"/>
      <c r="H14720" s="760"/>
      <c r="I14720" s="760"/>
      <c r="J14720" s="760"/>
      <c r="K14720" s="760"/>
    </row>
    <row r="14721" spans="1:11">
      <c r="A14721" s="760"/>
      <c r="B14721" s="760"/>
      <c r="C14721" s="760"/>
      <c r="D14721" s="760"/>
      <c r="E14721" s="760"/>
      <c r="F14721" s="760"/>
      <c r="G14721" s="760"/>
      <c r="H14721" s="760"/>
      <c r="I14721" s="760"/>
      <c r="J14721" s="760"/>
      <c r="K14721" s="760"/>
    </row>
    <row r="14722" spans="1:11">
      <c r="A14722" s="760"/>
      <c r="B14722" s="760"/>
      <c r="C14722" s="760"/>
      <c r="D14722" s="760"/>
      <c r="E14722" s="760"/>
      <c r="F14722" s="760"/>
      <c r="G14722" s="760"/>
      <c r="H14722" s="760"/>
      <c r="I14722" s="760"/>
      <c r="J14722" s="760"/>
      <c r="K14722" s="760"/>
    </row>
    <row r="14723" spans="1:11">
      <c r="A14723" s="760"/>
      <c r="B14723" s="760"/>
      <c r="C14723" s="760"/>
      <c r="D14723" s="760"/>
      <c r="E14723" s="760"/>
      <c r="F14723" s="760"/>
      <c r="G14723" s="760"/>
      <c r="H14723" s="760"/>
      <c r="I14723" s="760"/>
      <c r="J14723" s="760"/>
      <c r="K14723" s="760"/>
    </row>
    <row r="14724" spans="1:11">
      <c r="A14724" s="760"/>
      <c r="B14724" s="760"/>
      <c r="C14724" s="760"/>
      <c r="D14724" s="760"/>
      <c r="E14724" s="760"/>
      <c r="F14724" s="760"/>
      <c r="G14724" s="760"/>
      <c r="H14724" s="760"/>
      <c r="I14724" s="760"/>
      <c r="J14724" s="760"/>
      <c r="K14724" s="760"/>
    </row>
    <row r="14725" spans="1:11">
      <c r="A14725" s="760"/>
      <c r="B14725" s="760"/>
      <c r="C14725" s="760"/>
      <c r="D14725" s="760"/>
      <c r="E14725" s="760"/>
      <c r="F14725" s="760"/>
      <c r="G14725" s="760"/>
      <c r="H14725" s="760"/>
      <c r="I14725" s="760"/>
      <c r="J14725" s="760"/>
      <c r="K14725" s="760"/>
    </row>
    <row r="14726" spans="1:11">
      <c r="A14726" s="760"/>
      <c r="B14726" s="760"/>
      <c r="C14726" s="760"/>
      <c r="D14726" s="760"/>
      <c r="E14726" s="760"/>
      <c r="F14726" s="760"/>
      <c r="G14726" s="760"/>
      <c r="H14726" s="760"/>
      <c r="I14726" s="760"/>
      <c r="J14726" s="760"/>
      <c r="K14726" s="760"/>
    </row>
    <row r="14727" spans="1:11">
      <c r="A14727" s="760"/>
      <c r="B14727" s="760"/>
      <c r="C14727" s="760"/>
      <c r="D14727" s="760"/>
      <c r="E14727" s="760"/>
      <c r="F14727" s="760"/>
      <c r="G14727" s="760"/>
      <c r="H14727" s="760"/>
      <c r="I14727" s="760"/>
      <c r="J14727" s="760"/>
      <c r="K14727" s="760"/>
    </row>
    <row r="14728" spans="1:11">
      <c r="A14728" s="760"/>
      <c r="B14728" s="760"/>
      <c r="C14728" s="760"/>
      <c r="D14728" s="760"/>
      <c r="E14728" s="760"/>
      <c r="F14728" s="760"/>
      <c r="G14728" s="760"/>
      <c r="H14728" s="760"/>
      <c r="I14728" s="760"/>
      <c r="J14728" s="760"/>
      <c r="K14728" s="760"/>
    </row>
    <row r="14729" spans="1:11">
      <c r="A14729" s="760"/>
      <c r="B14729" s="760"/>
      <c r="C14729" s="760"/>
      <c r="D14729" s="760"/>
      <c r="E14729" s="760"/>
      <c r="F14729" s="760"/>
      <c r="G14729" s="760"/>
      <c r="H14729" s="760"/>
      <c r="I14729" s="760"/>
      <c r="J14729" s="760"/>
      <c r="K14729" s="760"/>
    </row>
    <row r="14730" spans="1:11">
      <c r="A14730" s="760"/>
      <c r="B14730" s="760"/>
      <c r="C14730" s="760"/>
      <c r="D14730" s="760"/>
      <c r="E14730" s="760"/>
      <c r="F14730" s="760"/>
      <c r="G14730" s="760"/>
      <c r="H14730" s="760"/>
      <c r="I14730" s="760"/>
      <c r="J14730" s="760"/>
      <c r="K14730" s="760"/>
    </row>
    <row r="14731" spans="1:11">
      <c r="A14731" s="760"/>
      <c r="B14731" s="760"/>
      <c r="C14731" s="760"/>
      <c r="D14731" s="760"/>
      <c r="E14731" s="760"/>
      <c r="F14731" s="760"/>
      <c r="G14731" s="760"/>
      <c r="H14731" s="760"/>
      <c r="I14731" s="760"/>
      <c r="J14731" s="760"/>
      <c r="K14731" s="760"/>
    </row>
    <row r="14732" spans="1:11">
      <c r="A14732" s="760"/>
      <c r="B14732" s="760"/>
      <c r="C14732" s="760"/>
      <c r="D14732" s="760"/>
      <c r="E14732" s="760"/>
      <c r="F14732" s="760"/>
      <c r="G14732" s="760"/>
      <c r="H14732" s="760"/>
      <c r="I14732" s="760"/>
      <c r="J14732" s="760"/>
      <c r="K14732" s="760"/>
    </row>
    <row r="14733" spans="1:11">
      <c r="A14733" s="760"/>
      <c r="B14733" s="760"/>
      <c r="C14733" s="760"/>
      <c r="D14733" s="760"/>
      <c r="E14733" s="760"/>
      <c r="F14733" s="760"/>
      <c r="G14733" s="760"/>
      <c r="H14733" s="760"/>
      <c r="I14733" s="760"/>
      <c r="J14733" s="760"/>
      <c r="K14733" s="760"/>
    </row>
    <row r="14734" spans="1:11">
      <c r="A14734" s="760"/>
      <c r="B14734" s="760"/>
      <c r="C14734" s="760"/>
      <c r="D14734" s="760"/>
      <c r="E14734" s="760"/>
      <c r="F14734" s="760"/>
      <c r="G14734" s="760"/>
      <c r="H14734" s="760"/>
      <c r="I14734" s="760"/>
      <c r="J14734" s="760"/>
      <c r="K14734" s="760"/>
    </row>
    <row r="14735" spans="1:11">
      <c r="A14735" s="760"/>
      <c r="B14735" s="760"/>
      <c r="C14735" s="760"/>
      <c r="D14735" s="760"/>
      <c r="E14735" s="760"/>
      <c r="F14735" s="760"/>
      <c r="G14735" s="760"/>
      <c r="H14735" s="760"/>
      <c r="I14735" s="760"/>
      <c r="J14735" s="760"/>
      <c r="K14735" s="760"/>
    </row>
    <row r="14736" spans="1:11">
      <c r="A14736" s="760"/>
      <c r="B14736" s="760"/>
      <c r="C14736" s="760"/>
      <c r="D14736" s="760"/>
      <c r="E14736" s="760"/>
      <c r="F14736" s="760"/>
      <c r="G14736" s="760"/>
      <c r="H14736" s="760"/>
      <c r="I14736" s="760"/>
      <c r="J14736" s="760"/>
      <c r="K14736" s="760"/>
    </row>
    <row r="14737" spans="1:11">
      <c r="A14737" s="760"/>
      <c r="B14737" s="760"/>
      <c r="C14737" s="760"/>
      <c r="D14737" s="760"/>
      <c r="E14737" s="760"/>
      <c r="F14737" s="760"/>
      <c r="G14737" s="760"/>
      <c r="H14737" s="760"/>
      <c r="I14737" s="760"/>
      <c r="J14737" s="760"/>
      <c r="K14737" s="760"/>
    </row>
    <row r="14738" spans="1:11">
      <c r="A14738" s="760"/>
      <c r="B14738" s="760"/>
      <c r="C14738" s="760"/>
      <c r="D14738" s="760"/>
      <c r="E14738" s="760"/>
      <c r="F14738" s="760"/>
      <c r="G14738" s="760"/>
      <c r="H14738" s="760"/>
      <c r="I14738" s="760"/>
      <c r="J14738" s="760"/>
      <c r="K14738" s="760"/>
    </row>
    <row r="14739" spans="1:11">
      <c r="A14739" s="760"/>
      <c r="B14739" s="760"/>
      <c r="C14739" s="760"/>
      <c r="D14739" s="760"/>
      <c r="E14739" s="760"/>
      <c r="F14739" s="760"/>
      <c r="G14739" s="760"/>
      <c r="H14739" s="760"/>
      <c r="I14739" s="760"/>
      <c r="J14739" s="760"/>
      <c r="K14739" s="760"/>
    </row>
    <row r="14740" spans="1:11">
      <c r="A14740" s="760"/>
      <c r="B14740" s="760"/>
      <c r="C14740" s="760"/>
      <c r="D14740" s="760"/>
      <c r="E14740" s="760"/>
      <c r="F14740" s="760"/>
      <c r="G14740" s="760"/>
      <c r="H14740" s="760"/>
      <c r="I14740" s="760"/>
      <c r="J14740" s="760"/>
      <c r="K14740" s="760"/>
    </row>
    <row r="14741" spans="1:11">
      <c r="A14741" s="760"/>
      <c r="B14741" s="760"/>
      <c r="C14741" s="760"/>
      <c r="D14741" s="760"/>
      <c r="E14741" s="760"/>
      <c r="F14741" s="760"/>
      <c r="G14741" s="760"/>
      <c r="H14741" s="760"/>
      <c r="I14741" s="760"/>
      <c r="J14741" s="760"/>
      <c r="K14741" s="760"/>
    </row>
    <row r="14742" spans="1:11">
      <c r="A14742" s="760"/>
      <c r="B14742" s="760"/>
      <c r="C14742" s="760"/>
      <c r="D14742" s="760"/>
      <c r="E14742" s="760"/>
      <c r="F14742" s="760"/>
      <c r="G14742" s="760"/>
      <c r="H14742" s="760"/>
      <c r="I14742" s="760"/>
      <c r="J14742" s="760"/>
      <c r="K14742" s="760"/>
    </row>
    <row r="14743" spans="1:11">
      <c r="A14743" s="760"/>
      <c r="B14743" s="760"/>
      <c r="C14743" s="760"/>
      <c r="D14743" s="760"/>
      <c r="E14743" s="760"/>
      <c r="F14743" s="760"/>
      <c r="G14743" s="760"/>
      <c r="H14743" s="760"/>
      <c r="I14743" s="760"/>
      <c r="J14743" s="760"/>
      <c r="K14743" s="760"/>
    </row>
    <row r="14744" spans="1:11">
      <c r="A14744" s="760"/>
      <c r="B14744" s="760"/>
      <c r="C14744" s="760"/>
      <c r="D14744" s="760"/>
      <c r="E14744" s="760"/>
      <c r="F14744" s="760"/>
      <c r="G14744" s="760"/>
      <c r="H14744" s="760"/>
      <c r="I14744" s="760"/>
      <c r="J14744" s="760"/>
      <c r="K14744" s="760"/>
    </row>
    <row r="14745" spans="1:11">
      <c r="A14745" s="760"/>
      <c r="B14745" s="760"/>
      <c r="C14745" s="760"/>
      <c r="D14745" s="760"/>
      <c r="E14745" s="760"/>
      <c r="F14745" s="760"/>
      <c r="G14745" s="760"/>
      <c r="H14745" s="760"/>
      <c r="I14745" s="760"/>
      <c r="J14745" s="760"/>
      <c r="K14745" s="760"/>
    </row>
    <row r="14746" spans="1:11">
      <c r="A14746" s="760"/>
      <c r="B14746" s="760"/>
      <c r="C14746" s="760"/>
      <c r="D14746" s="760"/>
      <c r="E14746" s="760"/>
      <c r="F14746" s="760"/>
      <c r="G14746" s="760"/>
      <c r="H14746" s="760"/>
      <c r="I14746" s="760"/>
      <c r="J14746" s="760"/>
      <c r="K14746" s="760"/>
    </row>
    <row r="14747" spans="1:11">
      <c r="A14747" s="760"/>
      <c r="B14747" s="760"/>
      <c r="C14747" s="760"/>
      <c r="D14747" s="760"/>
      <c r="E14747" s="760"/>
      <c r="F14747" s="760"/>
      <c r="G14747" s="760"/>
      <c r="H14747" s="760"/>
      <c r="I14747" s="760"/>
      <c r="J14747" s="760"/>
      <c r="K14747" s="760"/>
    </row>
    <row r="14748" spans="1:11">
      <c r="A14748" s="760"/>
      <c r="B14748" s="760"/>
      <c r="C14748" s="760"/>
      <c r="D14748" s="760"/>
      <c r="E14748" s="760"/>
      <c r="F14748" s="760"/>
      <c r="G14748" s="760"/>
      <c r="H14748" s="760"/>
      <c r="I14748" s="760"/>
      <c r="J14748" s="760"/>
      <c r="K14748" s="760"/>
    </row>
    <row r="14749" spans="1:11">
      <c r="A14749" s="760"/>
      <c r="B14749" s="760"/>
      <c r="C14749" s="760"/>
      <c r="D14749" s="760"/>
      <c r="E14749" s="760"/>
      <c r="F14749" s="760"/>
      <c r="G14749" s="760"/>
      <c r="H14749" s="760"/>
      <c r="I14749" s="760"/>
      <c r="J14749" s="760"/>
      <c r="K14749" s="760"/>
    </row>
    <row r="14750" spans="1:11">
      <c r="A14750" s="760"/>
      <c r="B14750" s="760"/>
      <c r="C14750" s="760"/>
      <c r="D14750" s="760"/>
      <c r="E14750" s="760"/>
      <c r="F14750" s="760"/>
      <c r="G14750" s="760"/>
      <c r="H14750" s="760"/>
      <c r="I14750" s="760"/>
      <c r="J14750" s="760"/>
      <c r="K14750" s="760"/>
    </row>
    <row r="14751" spans="1:11">
      <c r="A14751" s="760"/>
      <c r="B14751" s="760"/>
      <c r="C14751" s="760"/>
      <c r="D14751" s="760"/>
      <c r="E14751" s="760"/>
      <c r="F14751" s="760"/>
      <c r="G14751" s="760"/>
      <c r="H14751" s="760"/>
      <c r="I14751" s="760"/>
      <c r="J14751" s="760"/>
      <c r="K14751" s="760"/>
    </row>
    <row r="14752" spans="1:11">
      <c r="A14752" s="760"/>
      <c r="B14752" s="760"/>
      <c r="C14752" s="760"/>
      <c r="D14752" s="760"/>
      <c r="E14752" s="760"/>
      <c r="F14752" s="760"/>
      <c r="G14752" s="760"/>
      <c r="H14752" s="760"/>
      <c r="I14752" s="760"/>
      <c r="J14752" s="760"/>
      <c r="K14752" s="760"/>
    </row>
    <row r="14753" spans="1:11">
      <c r="A14753" s="760"/>
      <c r="B14753" s="760"/>
      <c r="C14753" s="760"/>
      <c r="D14753" s="760"/>
      <c r="E14753" s="760"/>
      <c r="F14753" s="760"/>
      <c r="G14753" s="760"/>
      <c r="H14753" s="760"/>
      <c r="I14753" s="760"/>
      <c r="J14753" s="760"/>
      <c r="K14753" s="760"/>
    </row>
    <row r="14754" spans="1:11">
      <c r="A14754" s="760"/>
      <c r="B14754" s="760"/>
      <c r="C14754" s="760"/>
      <c r="D14754" s="760"/>
      <c r="E14754" s="760"/>
      <c r="F14754" s="760"/>
      <c r="G14754" s="760"/>
      <c r="H14754" s="760"/>
      <c r="I14754" s="760"/>
      <c r="J14754" s="760"/>
      <c r="K14754" s="760"/>
    </row>
    <row r="14755" spans="1:11">
      <c r="A14755" s="760"/>
      <c r="B14755" s="760"/>
      <c r="C14755" s="760"/>
      <c r="D14755" s="760"/>
      <c r="E14755" s="760"/>
      <c r="F14755" s="760"/>
      <c r="G14755" s="760"/>
      <c r="H14755" s="760"/>
      <c r="I14755" s="760"/>
      <c r="J14755" s="760"/>
      <c r="K14755" s="760"/>
    </row>
    <row r="14756" spans="1:11">
      <c r="A14756" s="760"/>
      <c r="B14756" s="760"/>
      <c r="C14756" s="760"/>
      <c r="D14756" s="760"/>
      <c r="E14756" s="760"/>
      <c r="F14756" s="760"/>
      <c r="G14756" s="760"/>
      <c r="H14756" s="760"/>
      <c r="I14756" s="760"/>
      <c r="J14756" s="760"/>
      <c r="K14756" s="760"/>
    </row>
    <row r="14757" spans="1:11">
      <c r="A14757" s="760"/>
      <c r="B14757" s="760"/>
      <c r="C14757" s="760"/>
      <c r="D14757" s="760"/>
      <c r="E14757" s="760"/>
      <c r="F14757" s="760"/>
      <c r="G14757" s="760"/>
      <c r="H14757" s="760"/>
      <c r="I14757" s="760"/>
      <c r="J14757" s="760"/>
      <c r="K14757" s="760"/>
    </row>
    <row r="14758" spans="1:11">
      <c r="A14758" s="760"/>
      <c r="B14758" s="760"/>
      <c r="C14758" s="760"/>
      <c r="D14758" s="760"/>
      <c r="E14758" s="760"/>
      <c r="F14758" s="760"/>
      <c r="G14758" s="760"/>
      <c r="H14758" s="760"/>
      <c r="I14758" s="760"/>
      <c r="J14758" s="760"/>
      <c r="K14758" s="760"/>
    </row>
    <row r="14759" spans="1:11">
      <c r="A14759" s="760"/>
      <c r="B14759" s="760"/>
      <c r="C14759" s="760"/>
      <c r="D14759" s="760"/>
      <c r="E14759" s="760"/>
      <c r="F14759" s="760"/>
      <c r="G14759" s="760"/>
      <c r="H14759" s="760"/>
      <c r="I14759" s="760"/>
      <c r="J14759" s="760"/>
      <c r="K14759" s="760"/>
    </row>
    <row r="14760" spans="1:11">
      <c r="A14760" s="760"/>
      <c r="B14760" s="760"/>
      <c r="C14760" s="760"/>
      <c r="D14760" s="760"/>
      <c r="E14760" s="760"/>
      <c r="F14760" s="760"/>
      <c r="G14760" s="760"/>
      <c r="H14760" s="760"/>
      <c r="I14760" s="760"/>
      <c r="J14760" s="760"/>
      <c r="K14760" s="760"/>
    </row>
    <row r="14761" spans="1:11">
      <c r="A14761" s="760"/>
      <c r="B14761" s="760"/>
      <c r="C14761" s="760"/>
      <c r="D14761" s="760"/>
      <c r="E14761" s="760"/>
      <c r="F14761" s="760"/>
      <c r="G14761" s="760"/>
      <c r="H14761" s="760"/>
      <c r="I14761" s="760"/>
      <c r="J14761" s="760"/>
      <c r="K14761" s="760"/>
    </row>
    <row r="14762" spans="1:11">
      <c r="A14762" s="760"/>
      <c r="B14762" s="760"/>
      <c r="C14762" s="760"/>
      <c r="D14762" s="760"/>
      <c r="E14762" s="760"/>
      <c r="F14762" s="760"/>
      <c r="G14762" s="760"/>
      <c r="H14762" s="760"/>
      <c r="I14762" s="760"/>
      <c r="J14762" s="760"/>
      <c r="K14762" s="760"/>
    </row>
    <row r="14763" spans="1:11">
      <c r="A14763" s="760"/>
      <c r="B14763" s="760"/>
      <c r="C14763" s="760"/>
      <c r="D14763" s="760"/>
      <c r="E14763" s="760"/>
      <c r="F14763" s="760"/>
      <c r="G14763" s="760"/>
      <c r="H14763" s="760"/>
      <c r="I14763" s="760"/>
      <c r="J14763" s="760"/>
      <c r="K14763" s="760"/>
    </row>
    <row r="14764" spans="1:11">
      <c r="A14764" s="760"/>
      <c r="B14764" s="760"/>
      <c r="C14764" s="760"/>
      <c r="D14764" s="760"/>
      <c r="E14764" s="760"/>
      <c r="F14764" s="760"/>
      <c r="G14764" s="760"/>
      <c r="H14764" s="760"/>
      <c r="I14764" s="760"/>
      <c r="J14764" s="760"/>
      <c r="K14764" s="760"/>
    </row>
    <row r="14765" spans="1:11">
      <c r="A14765" s="760"/>
      <c r="B14765" s="760"/>
      <c r="C14765" s="760"/>
      <c r="D14765" s="760"/>
      <c r="E14765" s="760"/>
      <c r="F14765" s="760"/>
      <c r="G14765" s="760"/>
      <c r="H14765" s="760"/>
      <c r="I14765" s="760"/>
      <c r="J14765" s="760"/>
      <c r="K14765" s="760"/>
    </row>
    <row r="14766" spans="1:11">
      <c r="A14766" s="760"/>
      <c r="B14766" s="760"/>
      <c r="C14766" s="760"/>
      <c r="D14766" s="760"/>
      <c r="E14766" s="760"/>
      <c r="F14766" s="760"/>
      <c r="G14766" s="760"/>
      <c r="H14766" s="760"/>
      <c r="I14766" s="760"/>
      <c r="J14766" s="760"/>
      <c r="K14766" s="760"/>
    </row>
    <row r="14767" spans="1:11">
      <c r="A14767" s="760"/>
      <c r="B14767" s="760"/>
      <c r="C14767" s="760"/>
      <c r="D14767" s="760"/>
      <c r="E14767" s="760"/>
      <c r="F14767" s="760"/>
      <c r="G14767" s="760"/>
      <c r="H14767" s="760"/>
      <c r="I14767" s="760"/>
      <c r="J14767" s="760"/>
      <c r="K14767" s="760"/>
    </row>
    <row r="14768" spans="1:11">
      <c r="A14768" s="760"/>
      <c r="B14768" s="760"/>
      <c r="C14768" s="760"/>
      <c r="D14768" s="760"/>
      <c r="E14768" s="760"/>
      <c r="F14768" s="760"/>
      <c r="G14768" s="760"/>
      <c r="H14768" s="760"/>
      <c r="I14768" s="760"/>
      <c r="J14768" s="760"/>
      <c r="K14768" s="760"/>
    </row>
    <row r="14769" spans="1:11">
      <c r="A14769" s="760"/>
      <c r="B14769" s="760"/>
      <c r="C14769" s="760"/>
      <c r="D14769" s="760"/>
      <c r="E14769" s="760"/>
      <c r="F14769" s="760"/>
      <c r="G14769" s="760"/>
      <c r="H14769" s="760"/>
      <c r="I14769" s="760"/>
      <c r="J14769" s="760"/>
      <c r="K14769" s="760"/>
    </row>
    <row r="14770" spans="1:11">
      <c r="A14770" s="760"/>
      <c r="B14770" s="760"/>
      <c r="C14770" s="760"/>
      <c r="D14770" s="760"/>
      <c r="E14770" s="760"/>
      <c r="F14770" s="760"/>
      <c r="G14770" s="760"/>
      <c r="H14770" s="760"/>
      <c r="I14770" s="760"/>
      <c r="J14770" s="760"/>
      <c r="K14770" s="760"/>
    </row>
    <row r="14771" spans="1:11">
      <c r="A14771" s="760"/>
      <c r="B14771" s="760"/>
      <c r="C14771" s="760"/>
      <c r="D14771" s="760"/>
      <c r="E14771" s="760"/>
      <c r="F14771" s="760"/>
      <c r="G14771" s="760"/>
      <c r="H14771" s="760"/>
      <c r="I14771" s="760"/>
      <c r="J14771" s="760"/>
      <c r="K14771" s="760"/>
    </row>
    <row r="14772" spans="1:11">
      <c r="A14772" s="760"/>
      <c r="B14772" s="760"/>
      <c r="C14772" s="760"/>
      <c r="D14772" s="760"/>
      <c r="E14772" s="760"/>
      <c r="F14772" s="760"/>
      <c r="G14772" s="760"/>
      <c r="H14772" s="760"/>
      <c r="I14772" s="760"/>
      <c r="J14772" s="760"/>
      <c r="K14772" s="760"/>
    </row>
    <row r="14773" spans="1:11">
      <c r="A14773" s="760"/>
      <c r="B14773" s="760"/>
      <c r="C14773" s="760"/>
      <c r="D14773" s="760"/>
      <c r="E14773" s="760"/>
      <c r="F14773" s="760"/>
      <c r="G14773" s="760"/>
      <c r="H14773" s="760"/>
      <c r="I14773" s="760"/>
      <c r="J14773" s="760"/>
      <c r="K14773" s="760"/>
    </row>
    <row r="14774" spans="1:11">
      <c r="A14774" s="760"/>
      <c r="B14774" s="760"/>
      <c r="C14774" s="760"/>
      <c r="D14774" s="760"/>
      <c r="E14774" s="760"/>
      <c r="F14774" s="760"/>
      <c r="G14774" s="760"/>
      <c r="H14774" s="760"/>
      <c r="I14774" s="760"/>
      <c r="J14774" s="760"/>
      <c r="K14774" s="760"/>
    </row>
    <row r="14775" spans="1:11">
      <c r="A14775" s="760"/>
      <c r="B14775" s="760"/>
      <c r="C14775" s="760"/>
      <c r="D14775" s="760"/>
      <c r="E14775" s="760"/>
      <c r="F14775" s="760"/>
      <c r="G14775" s="760"/>
      <c r="H14775" s="760"/>
      <c r="I14775" s="760"/>
      <c r="J14775" s="760"/>
      <c r="K14775" s="760"/>
    </row>
    <row r="14776" spans="1:11">
      <c r="A14776" s="760"/>
      <c r="B14776" s="760"/>
      <c r="C14776" s="760"/>
      <c r="D14776" s="760"/>
      <c r="E14776" s="760"/>
      <c r="F14776" s="760"/>
      <c r="G14776" s="760"/>
      <c r="H14776" s="760"/>
      <c r="I14776" s="760"/>
      <c r="J14776" s="760"/>
      <c r="K14776" s="760"/>
    </row>
    <row r="14777" spans="1:11">
      <c r="A14777" s="760"/>
      <c r="B14777" s="760"/>
      <c r="C14777" s="760"/>
      <c r="D14777" s="760"/>
      <c r="E14777" s="760"/>
      <c r="F14777" s="760"/>
      <c r="G14777" s="760"/>
      <c r="H14777" s="760"/>
      <c r="I14777" s="760"/>
      <c r="J14777" s="760"/>
      <c r="K14777" s="760"/>
    </row>
    <row r="14778" spans="1:11">
      <c r="A14778" s="760"/>
      <c r="B14778" s="760"/>
      <c r="C14778" s="760"/>
      <c r="D14778" s="760"/>
      <c r="E14778" s="760"/>
      <c r="F14778" s="760"/>
      <c r="G14778" s="760"/>
      <c r="H14778" s="760"/>
      <c r="I14778" s="760"/>
      <c r="J14778" s="760"/>
      <c r="K14778" s="760"/>
    </row>
    <row r="14779" spans="1:11">
      <c r="A14779" s="760"/>
      <c r="B14779" s="760"/>
      <c r="C14779" s="760"/>
      <c r="D14779" s="760"/>
      <c r="E14779" s="760"/>
      <c r="F14779" s="760"/>
      <c r="G14779" s="760"/>
      <c r="H14779" s="760"/>
      <c r="I14779" s="760"/>
      <c r="J14779" s="760"/>
      <c r="K14779" s="760"/>
    </row>
    <row r="14780" spans="1:11">
      <c r="A14780" s="760"/>
      <c r="B14780" s="760"/>
      <c r="C14780" s="760"/>
      <c r="D14780" s="760"/>
      <c r="E14780" s="760"/>
      <c r="F14780" s="760"/>
      <c r="G14780" s="760"/>
      <c r="H14780" s="760"/>
      <c r="I14780" s="760"/>
      <c r="J14780" s="760"/>
      <c r="K14780" s="760"/>
    </row>
    <row r="14781" spans="1:11">
      <c r="A14781" s="760"/>
      <c r="B14781" s="760"/>
      <c r="C14781" s="760"/>
      <c r="D14781" s="760"/>
      <c r="E14781" s="760"/>
      <c r="F14781" s="760"/>
      <c r="G14781" s="760"/>
      <c r="H14781" s="760"/>
      <c r="I14781" s="760"/>
      <c r="J14781" s="760"/>
      <c r="K14781" s="760"/>
    </row>
    <row r="14782" spans="1:11">
      <c r="A14782" s="760"/>
      <c r="B14782" s="760"/>
      <c r="C14782" s="760"/>
      <c r="D14782" s="760"/>
      <c r="E14782" s="760"/>
      <c r="F14782" s="760"/>
      <c r="G14782" s="760"/>
      <c r="H14782" s="760"/>
      <c r="I14782" s="760"/>
      <c r="J14782" s="760"/>
      <c r="K14782" s="760"/>
    </row>
    <row r="14783" spans="1:11">
      <c r="A14783" s="760"/>
      <c r="B14783" s="760"/>
      <c r="C14783" s="760"/>
      <c r="D14783" s="760"/>
      <c r="E14783" s="760"/>
      <c r="F14783" s="760"/>
      <c r="G14783" s="760"/>
      <c r="H14783" s="760"/>
      <c r="I14783" s="760"/>
      <c r="J14783" s="760"/>
      <c r="K14783" s="760"/>
    </row>
    <row r="14784" spans="1:11">
      <c r="A14784" s="760"/>
      <c r="B14784" s="760"/>
      <c r="C14784" s="760"/>
      <c r="D14784" s="760"/>
      <c r="E14784" s="760"/>
      <c r="F14784" s="760"/>
      <c r="G14784" s="760"/>
      <c r="H14784" s="760"/>
      <c r="I14784" s="760"/>
      <c r="J14784" s="760"/>
      <c r="K14784" s="760"/>
    </row>
    <row r="14785" spans="1:11">
      <c r="A14785" s="760"/>
      <c r="B14785" s="760"/>
      <c r="C14785" s="760"/>
      <c r="D14785" s="760"/>
      <c r="E14785" s="760"/>
      <c r="F14785" s="760"/>
      <c r="G14785" s="760"/>
      <c r="H14785" s="760"/>
      <c r="I14785" s="760"/>
      <c r="J14785" s="760"/>
      <c r="K14785" s="760"/>
    </row>
    <row r="14786" spans="1:11">
      <c r="A14786" s="760"/>
      <c r="B14786" s="760"/>
      <c r="C14786" s="760"/>
      <c r="D14786" s="760"/>
      <c r="E14786" s="760"/>
      <c r="F14786" s="760"/>
      <c r="G14786" s="760"/>
      <c r="H14786" s="760"/>
      <c r="I14786" s="760"/>
      <c r="J14786" s="760"/>
      <c r="K14786" s="760"/>
    </row>
    <row r="14787" spans="1:11">
      <c r="A14787" s="760"/>
      <c r="B14787" s="760"/>
      <c r="C14787" s="760"/>
      <c r="D14787" s="760"/>
      <c r="E14787" s="760"/>
      <c r="F14787" s="760"/>
      <c r="G14787" s="760"/>
      <c r="H14787" s="760"/>
      <c r="I14787" s="760"/>
      <c r="J14787" s="760"/>
      <c r="K14787" s="760"/>
    </row>
    <row r="14788" spans="1:11">
      <c r="A14788" s="760"/>
      <c r="B14788" s="760"/>
      <c r="C14788" s="760"/>
      <c r="D14788" s="760"/>
      <c r="E14788" s="760"/>
      <c r="F14788" s="760"/>
      <c r="G14788" s="760"/>
      <c r="H14788" s="760"/>
      <c r="I14788" s="760"/>
      <c r="J14788" s="760"/>
      <c r="K14788" s="760"/>
    </row>
    <row r="14789" spans="1:11">
      <c r="A14789" s="760"/>
      <c r="B14789" s="760"/>
      <c r="C14789" s="760"/>
      <c r="D14789" s="760"/>
      <c r="E14789" s="760"/>
      <c r="F14789" s="760"/>
      <c r="G14789" s="760"/>
      <c r="H14789" s="760"/>
      <c r="I14789" s="760"/>
      <c r="J14789" s="760"/>
      <c r="K14789" s="760"/>
    </row>
    <row r="14790" spans="1:11">
      <c r="A14790" s="760"/>
      <c r="B14790" s="760"/>
      <c r="C14790" s="760"/>
      <c r="D14790" s="760"/>
      <c r="E14790" s="760"/>
      <c r="F14790" s="760"/>
      <c r="G14790" s="760"/>
      <c r="H14790" s="760"/>
      <c r="I14790" s="760"/>
      <c r="J14790" s="760"/>
      <c r="K14790" s="760"/>
    </row>
    <row r="14791" spans="1:11">
      <c r="A14791" s="760"/>
      <c r="B14791" s="760"/>
      <c r="C14791" s="760"/>
      <c r="D14791" s="760"/>
      <c r="E14791" s="760"/>
      <c r="F14791" s="760"/>
      <c r="G14791" s="760"/>
      <c r="H14791" s="760"/>
      <c r="I14791" s="760"/>
      <c r="J14791" s="760"/>
      <c r="K14791" s="760"/>
    </row>
    <row r="14792" spans="1:11">
      <c r="A14792" s="760"/>
      <c r="B14792" s="760"/>
      <c r="C14792" s="760"/>
      <c r="D14792" s="760"/>
      <c r="E14792" s="760"/>
      <c r="F14792" s="760"/>
      <c r="G14792" s="760"/>
      <c r="H14792" s="760"/>
      <c r="I14792" s="760"/>
      <c r="J14792" s="760"/>
      <c r="K14792" s="760"/>
    </row>
    <row r="14793" spans="1:11">
      <c r="A14793" s="760"/>
      <c r="B14793" s="760"/>
      <c r="C14793" s="760"/>
      <c r="D14793" s="760"/>
      <c r="E14793" s="760"/>
      <c r="F14793" s="760"/>
      <c r="G14793" s="760"/>
      <c r="H14793" s="760"/>
      <c r="I14793" s="760"/>
      <c r="J14793" s="760"/>
      <c r="K14793" s="760"/>
    </row>
    <row r="14794" spans="1:11">
      <c r="A14794" s="760"/>
      <c r="B14794" s="760"/>
      <c r="C14794" s="760"/>
      <c r="D14794" s="760"/>
      <c r="E14794" s="760"/>
      <c r="F14794" s="760"/>
      <c r="G14794" s="760"/>
      <c r="H14794" s="760"/>
      <c r="I14794" s="760"/>
      <c r="J14794" s="760"/>
      <c r="K14794" s="760"/>
    </row>
    <row r="14795" spans="1:11">
      <c r="A14795" s="760"/>
      <c r="B14795" s="760"/>
      <c r="C14795" s="760"/>
      <c r="D14795" s="760"/>
      <c r="E14795" s="760"/>
      <c r="F14795" s="760"/>
      <c r="G14795" s="760"/>
      <c r="H14795" s="760"/>
      <c r="I14795" s="760"/>
      <c r="J14795" s="760"/>
      <c r="K14795" s="760"/>
    </row>
    <row r="14796" spans="1:11">
      <c r="A14796" s="760"/>
      <c r="B14796" s="760"/>
      <c r="C14796" s="760"/>
      <c r="D14796" s="760"/>
      <c r="E14796" s="760"/>
      <c r="F14796" s="760"/>
      <c r="G14796" s="760"/>
      <c r="H14796" s="760"/>
      <c r="I14796" s="760"/>
      <c r="J14796" s="760"/>
      <c r="K14796" s="760"/>
    </row>
    <row r="14797" spans="1:11">
      <c r="A14797" s="760"/>
      <c r="B14797" s="760"/>
      <c r="C14797" s="760"/>
      <c r="D14797" s="760"/>
      <c r="E14797" s="760"/>
      <c r="F14797" s="760"/>
      <c r="G14797" s="760"/>
      <c r="H14797" s="760"/>
      <c r="I14797" s="760"/>
      <c r="J14797" s="760"/>
      <c r="K14797" s="760"/>
    </row>
    <row r="14798" spans="1:11">
      <c r="A14798" s="760"/>
      <c r="B14798" s="760"/>
      <c r="C14798" s="760"/>
      <c r="D14798" s="760"/>
      <c r="E14798" s="760"/>
      <c r="F14798" s="760"/>
      <c r="G14798" s="760"/>
      <c r="H14798" s="760"/>
      <c r="I14798" s="760"/>
      <c r="J14798" s="760"/>
      <c r="K14798" s="760"/>
    </row>
    <row r="14799" spans="1:11">
      <c r="A14799" s="760"/>
      <c r="B14799" s="760"/>
      <c r="C14799" s="760"/>
      <c r="D14799" s="760"/>
      <c r="E14799" s="760"/>
      <c r="F14799" s="760"/>
      <c r="G14799" s="760"/>
      <c r="H14799" s="760"/>
      <c r="I14799" s="760"/>
      <c r="J14799" s="760"/>
      <c r="K14799" s="760"/>
    </row>
    <row r="14800" spans="1:11">
      <c r="A14800" s="760"/>
      <c r="B14800" s="760"/>
      <c r="C14800" s="760"/>
      <c r="D14800" s="760"/>
      <c r="E14800" s="760"/>
      <c r="F14800" s="760"/>
      <c r="G14800" s="760"/>
      <c r="H14800" s="760"/>
      <c r="I14800" s="760"/>
      <c r="J14800" s="760"/>
      <c r="K14800" s="760"/>
    </row>
    <row r="14801" spans="1:11">
      <c r="A14801" s="760"/>
      <c r="B14801" s="760"/>
      <c r="C14801" s="760"/>
      <c r="D14801" s="760"/>
      <c r="E14801" s="760"/>
      <c r="F14801" s="760"/>
      <c r="G14801" s="760"/>
      <c r="H14801" s="760"/>
      <c r="I14801" s="760"/>
      <c r="J14801" s="760"/>
      <c r="K14801" s="760"/>
    </row>
    <row r="14802" spans="1:11">
      <c r="A14802" s="760"/>
      <c r="B14802" s="760"/>
      <c r="C14802" s="760"/>
      <c r="D14802" s="760"/>
      <c r="E14802" s="760"/>
      <c r="F14802" s="760"/>
      <c r="G14802" s="760"/>
      <c r="H14802" s="760"/>
      <c r="I14802" s="760"/>
      <c r="J14802" s="760"/>
      <c r="K14802" s="760"/>
    </row>
    <row r="14803" spans="1:11">
      <c r="A14803" s="760"/>
      <c r="B14803" s="760"/>
      <c r="C14803" s="760"/>
      <c r="D14803" s="760"/>
      <c r="E14803" s="760"/>
      <c r="F14803" s="760"/>
      <c r="G14803" s="760"/>
      <c r="H14803" s="760"/>
      <c r="I14803" s="760"/>
      <c r="J14803" s="760"/>
      <c r="K14803" s="760"/>
    </row>
    <row r="14804" spans="1:11">
      <c r="A14804" s="760"/>
      <c r="B14804" s="760"/>
      <c r="C14804" s="760"/>
      <c r="D14804" s="760"/>
      <c r="E14804" s="760"/>
      <c r="F14804" s="760"/>
      <c r="G14804" s="760"/>
      <c r="H14804" s="760"/>
      <c r="I14804" s="760"/>
      <c r="J14804" s="760"/>
      <c r="K14804" s="760"/>
    </row>
    <row r="14805" spans="1:11">
      <c r="A14805" s="760"/>
      <c r="B14805" s="760"/>
      <c r="C14805" s="760"/>
      <c r="D14805" s="760"/>
      <c r="E14805" s="760"/>
      <c r="F14805" s="760"/>
      <c r="G14805" s="760"/>
      <c r="H14805" s="760"/>
      <c r="I14805" s="760"/>
      <c r="J14805" s="760"/>
      <c r="K14805" s="760"/>
    </row>
    <row r="14806" spans="1:11">
      <c r="A14806" s="760"/>
      <c r="B14806" s="760"/>
      <c r="C14806" s="760"/>
      <c r="D14806" s="760"/>
      <c r="E14806" s="760"/>
      <c r="F14806" s="760"/>
      <c r="G14806" s="760"/>
      <c r="H14806" s="760"/>
      <c r="I14806" s="760"/>
      <c r="J14806" s="760"/>
      <c r="K14806" s="760"/>
    </row>
    <row r="14807" spans="1:11">
      <c r="A14807" s="760"/>
      <c r="B14807" s="760"/>
      <c r="C14807" s="760"/>
      <c r="D14807" s="760"/>
      <c r="E14807" s="760"/>
      <c r="F14807" s="760"/>
      <c r="G14807" s="760"/>
      <c r="H14807" s="760"/>
      <c r="I14807" s="760"/>
      <c r="J14807" s="760"/>
      <c r="K14807" s="760"/>
    </row>
    <row r="14808" spans="1:11">
      <c r="A14808" s="760"/>
      <c r="B14808" s="760"/>
      <c r="C14808" s="760"/>
      <c r="D14808" s="760"/>
      <c r="E14808" s="760"/>
      <c r="F14808" s="760"/>
      <c r="G14808" s="760"/>
      <c r="H14808" s="760"/>
      <c r="I14808" s="760"/>
      <c r="J14808" s="760"/>
      <c r="K14808" s="760"/>
    </row>
    <row r="14809" spans="1:11">
      <c r="A14809" s="760"/>
      <c r="B14809" s="760"/>
      <c r="C14809" s="760"/>
      <c r="D14809" s="760"/>
      <c r="E14809" s="760"/>
      <c r="F14809" s="760"/>
      <c r="G14809" s="760"/>
      <c r="H14809" s="760"/>
      <c r="I14809" s="760"/>
      <c r="J14809" s="760"/>
      <c r="K14809" s="760"/>
    </row>
    <row r="14810" spans="1:11">
      <c r="A14810" s="760"/>
      <c r="B14810" s="760"/>
      <c r="C14810" s="760"/>
      <c r="D14810" s="760"/>
      <c r="E14810" s="760"/>
      <c r="F14810" s="760"/>
      <c r="G14810" s="760"/>
      <c r="H14810" s="760"/>
      <c r="I14810" s="760"/>
      <c r="J14810" s="760"/>
      <c r="K14810" s="760"/>
    </row>
    <row r="14811" spans="1:11">
      <c r="A14811" s="760"/>
      <c r="B14811" s="760"/>
      <c r="C14811" s="760"/>
      <c r="D14811" s="760"/>
      <c r="E14811" s="760"/>
      <c r="F14811" s="760"/>
      <c r="G14811" s="760"/>
      <c r="H14811" s="760"/>
      <c r="I14811" s="760"/>
      <c r="J14811" s="760"/>
      <c r="K14811" s="760"/>
    </row>
    <row r="14812" spans="1:11">
      <c r="A14812" s="760"/>
      <c r="B14812" s="760"/>
      <c r="C14812" s="760"/>
      <c r="D14812" s="760"/>
      <c r="E14812" s="760"/>
      <c r="F14812" s="760"/>
      <c r="G14812" s="760"/>
      <c r="H14812" s="760"/>
      <c r="I14812" s="760"/>
      <c r="J14812" s="760"/>
      <c r="K14812" s="760"/>
    </row>
    <row r="14813" spans="1:11">
      <c r="A14813" s="760"/>
      <c r="B14813" s="760"/>
      <c r="C14813" s="760"/>
      <c r="D14813" s="760"/>
      <c r="E14813" s="760"/>
      <c r="F14813" s="760"/>
      <c r="G14813" s="760"/>
      <c r="H14813" s="760"/>
      <c r="I14813" s="760"/>
      <c r="J14813" s="760"/>
      <c r="K14813" s="760"/>
    </row>
    <row r="14814" spans="1:11">
      <c r="A14814" s="760"/>
      <c r="B14814" s="760"/>
      <c r="C14814" s="760"/>
      <c r="D14814" s="760"/>
      <c r="E14814" s="760"/>
      <c r="F14814" s="760"/>
      <c r="G14814" s="760"/>
      <c r="H14814" s="760"/>
      <c r="I14814" s="760"/>
      <c r="J14814" s="760"/>
      <c r="K14814" s="760"/>
    </row>
    <row r="14815" spans="1:11">
      <c r="A14815" s="760"/>
      <c r="B14815" s="760"/>
      <c r="C14815" s="760"/>
      <c r="D14815" s="760"/>
      <c r="E14815" s="760"/>
      <c r="F14815" s="760"/>
      <c r="G14815" s="760"/>
      <c r="H14815" s="760"/>
      <c r="I14815" s="760"/>
      <c r="J14815" s="760"/>
      <c r="K14815" s="760"/>
    </row>
    <row r="14816" spans="1:11">
      <c r="A14816" s="760"/>
      <c r="B14816" s="760"/>
      <c r="C14816" s="760"/>
      <c r="D14816" s="760"/>
      <c r="E14816" s="760"/>
      <c r="F14816" s="760"/>
      <c r="G14816" s="760"/>
      <c r="H14816" s="760"/>
      <c r="I14816" s="760"/>
      <c r="J14816" s="760"/>
      <c r="K14816" s="760"/>
    </row>
    <row r="14817" spans="1:11">
      <c r="A14817" s="760"/>
      <c r="B14817" s="760"/>
      <c r="C14817" s="760"/>
      <c r="D14817" s="760"/>
      <c r="E14817" s="760"/>
      <c r="F14817" s="760"/>
      <c r="G14817" s="760"/>
      <c r="H14817" s="760"/>
      <c r="I14817" s="760"/>
      <c r="J14817" s="760"/>
      <c r="K14817" s="760"/>
    </row>
    <row r="14818" spans="1:11">
      <c r="A14818" s="760"/>
      <c r="B14818" s="760"/>
      <c r="C14818" s="760"/>
      <c r="D14818" s="760"/>
      <c r="E14818" s="760"/>
      <c r="F14818" s="760"/>
      <c r="G14818" s="760"/>
      <c r="H14818" s="760"/>
      <c r="I14818" s="760"/>
      <c r="J14818" s="760"/>
      <c r="K14818" s="760"/>
    </row>
    <row r="14819" spans="1:11">
      <c r="A14819" s="760"/>
      <c r="B14819" s="760"/>
      <c r="C14819" s="760"/>
      <c r="D14819" s="760"/>
      <c r="E14819" s="760"/>
      <c r="F14819" s="760"/>
      <c r="G14819" s="760"/>
      <c r="H14819" s="760"/>
      <c r="I14819" s="760"/>
      <c r="J14819" s="760"/>
      <c r="K14819" s="760"/>
    </row>
    <row r="14820" spans="1:11">
      <c r="A14820" s="760"/>
      <c r="B14820" s="760"/>
      <c r="C14820" s="760"/>
      <c r="D14820" s="760"/>
      <c r="E14820" s="760"/>
      <c r="F14820" s="760"/>
      <c r="G14820" s="760"/>
      <c r="H14820" s="760"/>
      <c r="I14820" s="760"/>
      <c r="J14820" s="760"/>
      <c r="K14820" s="760"/>
    </row>
    <row r="14821" spans="1:11">
      <c r="A14821" s="760"/>
      <c r="B14821" s="760"/>
      <c r="C14821" s="760"/>
      <c r="D14821" s="760"/>
      <c r="E14821" s="760"/>
      <c r="F14821" s="760"/>
      <c r="G14821" s="760"/>
      <c r="H14821" s="760"/>
      <c r="I14821" s="760"/>
      <c r="J14821" s="760"/>
      <c r="K14821" s="760"/>
    </row>
    <row r="14822" spans="1:11">
      <c r="A14822" s="760"/>
      <c r="B14822" s="760"/>
      <c r="C14822" s="760"/>
      <c r="D14822" s="760"/>
      <c r="E14822" s="760"/>
      <c r="F14822" s="760"/>
      <c r="G14822" s="760"/>
      <c r="H14822" s="760"/>
      <c r="I14822" s="760"/>
      <c r="J14822" s="760"/>
      <c r="K14822" s="760"/>
    </row>
    <row r="14823" spans="1:11">
      <c r="A14823" s="760"/>
      <c r="B14823" s="760"/>
      <c r="C14823" s="760"/>
      <c r="D14823" s="760"/>
      <c r="E14823" s="760"/>
      <c r="F14823" s="760"/>
      <c r="G14823" s="760"/>
      <c r="H14823" s="760"/>
      <c r="I14823" s="760"/>
      <c r="J14823" s="760"/>
      <c r="K14823" s="760"/>
    </row>
    <row r="14824" spans="1:11">
      <c r="A14824" s="760"/>
      <c r="B14824" s="760"/>
      <c r="C14824" s="760"/>
      <c r="D14824" s="760"/>
      <c r="E14824" s="760"/>
      <c r="F14824" s="760"/>
      <c r="G14824" s="760"/>
      <c r="H14824" s="760"/>
      <c r="I14824" s="760"/>
      <c r="J14824" s="760"/>
      <c r="K14824" s="760"/>
    </row>
    <row r="14825" spans="1:11">
      <c r="A14825" s="760"/>
      <c r="B14825" s="760"/>
      <c r="C14825" s="760"/>
      <c r="D14825" s="760"/>
      <c r="E14825" s="760"/>
      <c r="F14825" s="760"/>
      <c r="G14825" s="760"/>
      <c r="H14825" s="760"/>
      <c r="I14825" s="760"/>
      <c r="J14825" s="760"/>
      <c r="K14825" s="760"/>
    </row>
    <row r="14826" spans="1:11">
      <c r="A14826" s="760"/>
      <c r="B14826" s="760"/>
      <c r="C14826" s="760"/>
      <c r="D14826" s="760"/>
      <c r="E14826" s="760"/>
      <c r="F14826" s="760"/>
      <c r="G14826" s="760"/>
      <c r="H14826" s="760"/>
      <c r="I14826" s="760"/>
      <c r="J14826" s="760"/>
      <c r="K14826" s="760"/>
    </row>
    <row r="14827" spans="1:11">
      <c r="A14827" s="760"/>
      <c r="B14827" s="760"/>
      <c r="C14827" s="760"/>
      <c r="D14827" s="760"/>
      <c r="E14827" s="760"/>
      <c r="F14827" s="760"/>
      <c r="G14827" s="760"/>
      <c r="H14827" s="760"/>
      <c r="I14827" s="760"/>
      <c r="J14827" s="760"/>
      <c r="K14827" s="760"/>
    </row>
    <row r="14828" spans="1:11">
      <c r="A14828" s="760"/>
      <c r="B14828" s="760"/>
      <c r="C14828" s="760"/>
      <c r="D14828" s="760"/>
      <c r="E14828" s="760"/>
      <c r="F14828" s="760"/>
      <c r="G14828" s="760"/>
      <c r="H14828" s="760"/>
      <c r="I14828" s="760"/>
      <c r="J14828" s="760"/>
      <c r="K14828" s="760"/>
    </row>
    <row r="14829" spans="1:11">
      <c r="A14829" s="760"/>
      <c r="B14829" s="760"/>
      <c r="C14829" s="760"/>
      <c r="D14829" s="760"/>
      <c r="E14829" s="760"/>
      <c r="F14829" s="760"/>
      <c r="G14829" s="760"/>
      <c r="H14829" s="760"/>
      <c r="I14829" s="760"/>
      <c r="J14829" s="760"/>
      <c r="K14829" s="760"/>
    </row>
    <row r="14830" spans="1:11">
      <c r="A14830" s="760"/>
      <c r="B14830" s="760"/>
      <c r="C14830" s="760"/>
      <c r="D14830" s="760"/>
      <c r="E14830" s="760"/>
      <c r="F14830" s="760"/>
      <c r="G14830" s="760"/>
      <c r="H14830" s="760"/>
      <c r="I14830" s="760"/>
      <c r="J14830" s="760"/>
      <c r="K14830" s="760"/>
    </row>
    <row r="14831" spans="1:11">
      <c r="A14831" s="760"/>
      <c r="B14831" s="760"/>
      <c r="C14831" s="760"/>
      <c r="D14831" s="760"/>
      <c r="E14831" s="760"/>
      <c r="F14831" s="760"/>
      <c r="G14831" s="760"/>
      <c r="H14831" s="760"/>
      <c r="I14831" s="760"/>
      <c r="J14831" s="760"/>
      <c r="K14831" s="760"/>
    </row>
    <row r="14832" spans="1:11">
      <c r="A14832" s="760"/>
      <c r="B14832" s="760"/>
      <c r="C14832" s="760"/>
      <c r="D14832" s="760"/>
      <c r="E14832" s="760"/>
      <c r="F14832" s="760"/>
      <c r="G14832" s="760"/>
      <c r="H14832" s="760"/>
      <c r="I14832" s="760"/>
      <c r="J14832" s="760"/>
      <c r="K14832" s="760"/>
    </row>
    <row r="14833" spans="1:11">
      <c r="A14833" s="760"/>
      <c r="B14833" s="760"/>
      <c r="C14833" s="760"/>
      <c r="D14833" s="760"/>
      <c r="E14833" s="760"/>
      <c r="F14833" s="760"/>
      <c r="G14833" s="760"/>
      <c r="H14833" s="760"/>
      <c r="I14833" s="760"/>
      <c r="J14833" s="760"/>
      <c r="K14833" s="760"/>
    </row>
    <row r="14834" spans="1:11">
      <c r="A14834" s="760"/>
      <c r="B14834" s="760"/>
      <c r="C14834" s="760"/>
      <c r="D14834" s="760"/>
      <c r="E14834" s="760"/>
      <c r="F14834" s="760"/>
      <c r="G14834" s="760"/>
      <c r="H14834" s="760"/>
      <c r="I14834" s="760"/>
      <c r="J14834" s="760"/>
      <c r="K14834" s="760"/>
    </row>
    <row r="14835" spans="1:11">
      <c r="A14835" s="760"/>
      <c r="B14835" s="760"/>
      <c r="C14835" s="760"/>
      <c r="D14835" s="760"/>
      <c r="E14835" s="760"/>
      <c r="F14835" s="760"/>
      <c r="G14835" s="760"/>
      <c r="H14835" s="760"/>
      <c r="I14835" s="760"/>
      <c r="J14835" s="760"/>
      <c r="K14835" s="760"/>
    </row>
    <row r="14836" spans="1:11">
      <c r="A14836" s="760"/>
      <c r="B14836" s="760"/>
      <c r="C14836" s="760"/>
      <c r="D14836" s="760"/>
      <c r="E14836" s="760"/>
      <c r="F14836" s="760"/>
      <c r="G14836" s="760"/>
      <c r="H14836" s="760"/>
      <c r="I14836" s="760"/>
      <c r="J14836" s="760"/>
      <c r="K14836" s="760"/>
    </row>
    <row r="14837" spans="1:11">
      <c r="A14837" s="760"/>
      <c r="B14837" s="760"/>
      <c r="C14837" s="760"/>
      <c r="D14837" s="760"/>
      <c r="E14837" s="760"/>
      <c r="F14837" s="760"/>
      <c r="G14837" s="760"/>
      <c r="H14837" s="760"/>
      <c r="I14837" s="760"/>
      <c r="J14837" s="760"/>
      <c r="K14837" s="760"/>
    </row>
    <row r="14838" spans="1:11">
      <c r="A14838" s="760"/>
      <c r="B14838" s="760"/>
      <c r="C14838" s="760"/>
      <c r="D14838" s="760"/>
      <c r="E14838" s="760"/>
      <c r="F14838" s="760"/>
      <c r="G14838" s="760"/>
      <c r="H14838" s="760"/>
      <c r="I14838" s="760"/>
      <c r="J14838" s="760"/>
      <c r="K14838" s="760"/>
    </row>
    <row r="14839" spans="1:11">
      <c r="A14839" s="760"/>
      <c r="B14839" s="760"/>
      <c r="C14839" s="760"/>
      <c r="D14839" s="760"/>
      <c r="E14839" s="760"/>
      <c r="F14839" s="760"/>
      <c r="G14839" s="760"/>
      <c r="H14839" s="760"/>
      <c r="I14839" s="760"/>
      <c r="J14839" s="760"/>
      <c r="K14839" s="760"/>
    </row>
    <row r="14840" spans="1:11">
      <c r="A14840" s="760"/>
      <c r="B14840" s="760"/>
      <c r="C14840" s="760"/>
      <c r="D14840" s="760"/>
      <c r="E14840" s="760"/>
      <c r="F14840" s="760"/>
      <c r="G14840" s="760"/>
      <c r="H14840" s="760"/>
      <c r="I14840" s="760"/>
      <c r="J14840" s="760"/>
      <c r="K14840" s="760"/>
    </row>
    <row r="14841" spans="1:11">
      <c r="A14841" s="760"/>
      <c r="B14841" s="760"/>
      <c r="C14841" s="760"/>
      <c r="D14841" s="760"/>
      <c r="E14841" s="760"/>
      <c r="F14841" s="760"/>
      <c r="G14841" s="760"/>
      <c r="H14841" s="760"/>
      <c r="I14841" s="760"/>
      <c r="J14841" s="760"/>
      <c r="K14841" s="760"/>
    </row>
    <row r="14842" spans="1:11">
      <c r="A14842" s="760"/>
      <c r="B14842" s="760"/>
      <c r="C14842" s="760"/>
      <c r="D14842" s="760"/>
      <c r="E14842" s="760"/>
      <c r="F14842" s="760"/>
      <c r="G14842" s="760"/>
      <c r="H14842" s="760"/>
      <c r="I14842" s="760"/>
      <c r="J14842" s="760"/>
      <c r="K14842" s="760"/>
    </row>
    <row r="14843" spans="1:11">
      <c r="A14843" s="760"/>
      <c r="B14843" s="760"/>
      <c r="C14843" s="760"/>
      <c r="D14843" s="760"/>
      <c r="E14843" s="760"/>
      <c r="F14843" s="760"/>
      <c r="G14843" s="760"/>
      <c r="H14843" s="760"/>
      <c r="I14843" s="760"/>
      <c r="J14843" s="760"/>
      <c r="K14843" s="760"/>
    </row>
    <row r="14844" spans="1:11">
      <c r="A14844" s="760"/>
      <c r="B14844" s="760"/>
      <c r="C14844" s="760"/>
      <c r="D14844" s="760"/>
      <c r="E14844" s="760"/>
      <c r="F14844" s="760"/>
      <c r="G14844" s="760"/>
      <c r="H14844" s="760"/>
      <c r="I14844" s="760"/>
      <c r="J14844" s="760"/>
      <c r="K14844" s="760"/>
    </row>
    <row r="14845" spans="1:11">
      <c r="A14845" s="760"/>
      <c r="B14845" s="760"/>
      <c r="C14845" s="760"/>
      <c r="D14845" s="760"/>
      <c r="E14845" s="760"/>
      <c r="F14845" s="760"/>
      <c r="G14845" s="760"/>
      <c r="H14845" s="760"/>
      <c r="I14845" s="760"/>
      <c r="J14845" s="760"/>
      <c r="K14845" s="760"/>
    </row>
    <row r="14846" spans="1:11">
      <c r="A14846" s="760"/>
      <c r="B14846" s="760"/>
      <c r="C14846" s="760"/>
      <c r="D14846" s="760"/>
      <c r="E14846" s="760"/>
      <c r="F14846" s="760"/>
      <c r="G14846" s="760"/>
      <c r="H14846" s="760"/>
      <c r="I14846" s="760"/>
      <c r="J14846" s="760"/>
      <c r="K14846" s="760"/>
    </row>
    <row r="14847" spans="1:11">
      <c r="A14847" s="760"/>
      <c r="B14847" s="760"/>
      <c r="C14847" s="760"/>
      <c r="D14847" s="760"/>
      <c r="E14847" s="760"/>
      <c r="F14847" s="760"/>
      <c r="G14847" s="760"/>
      <c r="H14847" s="760"/>
      <c r="I14847" s="760"/>
      <c r="J14847" s="760"/>
      <c r="K14847" s="760"/>
    </row>
    <row r="14848" spans="1:11">
      <c r="A14848" s="760"/>
      <c r="B14848" s="760"/>
      <c r="C14848" s="760"/>
      <c r="D14848" s="760"/>
      <c r="E14848" s="760"/>
      <c r="F14848" s="760"/>
      <c r="G14848" s="760"/>
      <c r="H14848" s="760"/>
      <c r="I14848" s="760"/>
      <c r="J14848" s="760"/>
      <c r="K14848" s="760"/>
    </row>
    <row r="14849" spans="1:11">
      <c r="A14849" s="760"/>
      <c r="B14849" s="760"/>
      <c r="C14849" s="760"/>
      <c r="D14849" s="760"/>
      <c r="E14849" s="760"/>
      <c r="F14849" s="760"/>
      <c r="G14849" s="760"/>
      <c r="H14849" s="760"/>
      <c r="I14849" s="760"/>
      <c r="J14849" s="760"/>
      <c r="K14849" s="760"/>
    </row>
    <row r="14850" spans="1:11">
      <c r="A14850" s="760"/>
      <c r="B14850" s="760"/>
      <c r="C14850" s="760"/>
      <c r="D14850" s="760"/>
      <c r="E14850" s="760"/>
      <c r="F14850" s="760"/>
      <c r="G14850" s="760"/>
      <c r="H14850" s="760"/>
      <c r="I14850" s="760"/>
      <c r="J14850" s="760"/>
      <c r="K14850" s="760"/>
    </row>
    <row r="14851" spans="1:11">
      <c r="A14851" s="760"/>
      <c r="B14851" s="760"/>
      <c r="C14851" s="760"/>
      <c r="D14851" s="760"/>
      <c r="E14851" s="760"/>
      <c r="F14851" s="760"/>
      <c r="G14851" s="760"/>
      <c r="H14851" s="760"/>
      <c r="I14851" s="760"/>
      <c r="J14851" s="760"/>
      <c r="K14851" s="760"/>
    </row>
    <row r="14852" spans="1:11">
      <c r="A14852" s="760"/>
      <c r="B14852" s="760"/>
      <c r="C14852" s="760"/>
      <c r="D14852" s="760"/>
      <c r="E14852" s="760"/>
      <c r="F14852" s="760"/>
      <c r="G14852" s="760"/>
      <c r="H14852" s="760"/>
      <c r="I14852" s="760"/>
      <c r="J14852" s="760"/>
      <c r="K14852" s="760"/>
    </row>
    <row r="14853" spans="1:11">
      <c r="A14853" s="760"/>
      <c r="B14853" s="760"/>
      <c r="C14853" s="760"/>
      <c r="D14853" s="760"/>
      <c r="E14853" s="760"/>
      <c r="F14853" s="760"/>
      <c r="G14853" s="760"/>
      <c r="H14853" s="760"/>
      <c r="I14853" s="760"/>
      <c r="J14853" s="760"/>
      <c r="K14853" s="760"/>
    </row>
    <row r="14854" spans="1:11">
      <c r="A14854" s="760"/>
      <c r="B14854" s="760"/>
      <c r="C14854" s="760"/>
      <c r="D14854" s="760"/>
      <c r="E14854" s="760"/>
      <c r="F14854" s="760"/>
      <c r="G14854" s="760"/>
      <c r="H14854" s="760"/>
      <c r="I14854" s="760"/>
      <c r="J14854" s="760"/>
      <c r="K14854" s="760"/>
    </row>
    <row r="14855" spans="1:11">
      <c r="A14855" s="760"/>
      <c r="B14855" s="760"/>
      <c r="C14855" s="760"/>
      <c r="D14855" s="760"/>
      <c r="E14855" s="760"/>
      <c r="F14855" s="760"/>
      <c r="G14855" s="760"/>
      <c r="H14855" s="760"/>
      <c r="I14855" s="760"/>
      <c r="J14855" s="760"/>
      <c r="K14855" s="760"/>
    </row>
    <row r="14856" spans="1:11">
      <c r="A14856" s="760"/>
      <c r="B14856" s="760"/>
      <c r="C14856" s="760"/>
      <c r="D14856" s="760"/>
      <c r="E14856" s="760"/>
      <c r="F14856" s="760"/>
      <c r="G14856" s="760"/>
      <c r="H14856" s="760"/>
      <c r="I14856" s="760"/>
      <c r="J14856" s="760"/>
      <c r="K14856" s="760"/>
    </row>
    <row r="14857" spans="1:11">
      <c r="A14857" s="760"/>
      <c r="B14857" s="760"/>
      <c r="C14857" s="760"/>
      <c r="D14857" s="760"/>
      <c r="E14857" s="760"/>
      <c r="F14857" s="760"/>
      <c r="G14857" s="760"/>
      <c r="H14857" s="760"/>
      <c r="I14857" s="760"/>
      <c r="J14857" s="760"/>
      <c r="K14857" s="760"/>
    </row>
    <row r="14858" spans="1:11">
      <c r="A14858" s="760"/>
      <c r="B14858" s="760"/>
      <c r="C14858" s="760"/>
      <c r="D14858" s="760"/>
      <c r="E14858" s="760"/>
      <c r="F14858" s="760"/>
      <c r="G14858" s="760"/>
      <c r="H14858" s="760"/>
      <c r="I14858" s="760"/>
      <c r="J14858" s="760"/>
      <c r="K14858" s="760"/>
    </row>
    <row r="14859" spans="1:11">
      <c r="A14859" s="760"/>
      <c r="B14859" s="760"/>
      <c r="C14859" s="760"/>
      <c r="D14859" s="760"/>
      <c r="E14859" s="760"/>
      <c r="F14859" s="760"/>
      <c r="G14859" s="760"/>
      <c r="H14859" s="760"/>
      <c r="I14859" s="760"/>
      <c r="J14859" s="760"/>
      <c r="K14859" s="760"/>
    </row>
    <row r="14860" spans="1:11">
      <c r="A14860" s="760"/>
      <c r="B14860" s="760"/>
      <c r="C14860" s="760"/>
      <c r="D14860" s="760"/>
      <c r="E14860" s="760"/>
      <c r="F14860" s="760"/>
      <c r="G14860" s="760"/>
      <c r="H14860" s="760"/>
      <c r="I14860" s="760"/>
      <c r="J14860" s="760"/>
      <c r="K14860" s="760"/>
    </row>
    <row r="14861" spans="1:11">
      <c r="A14861" s="760"/>
      <c r="B14861" s="760"/>
      <c r="C14861" s="760"/>
      <c r="D14861" s="760"/>
      <c r="E14861" s="760"/>
      <c r="F14861" s="760"/>
      <c r="G14861" s="760"/>
      <c r="H14861" s="760"/>
      <c r="I14861" s="760"/>
      <c r="J14861" s="760"/>
      <c r="K14861" s="760"/>
    </row>
    <row r="14862" spans="1:11">
      <c r="A14862" s="760"/>
      <c r="B14862" s="760"/>
      <c r="C14862" s="760"/>
      <c r="D14862" s="760"/>
      <c r="E14862" s="760"/>
      <c r="F14862" s="760"/>
      <c r="G14862" s="760"/>
      <c r="H14862" s="760"/>
      <c r="I14862" s="760"/>
      <c r="J14862" s="760"/>
      <c r="K14862" s="760"/>
    </row>
    <row r="14863" spans="1:11">
      <c r="A14863" s="760"/>
      <c r="B14863" s="760"/>
      <c r="C14863" s="760"/>
      <c r="D14863" s="760"/>
      <c r="E14863" s="760"/>
      <c r="F14863" s="760"/>
      <c r="G14863" s="760"/>
      <c r="H14863" s="760"/>
      <c r="I14863" s="760"/>
      <c r="J14863" s="760"/>
      <c r="K14863" s="760"/>
    </row>
    <row r="14864" spans="1:11">
      <c r="A14864" s="760"/>
      <c r="B14864" s="760"/>
      <c r="C14864" s="760"/>
      <c r="D14864" s="760"/>
      <c r="E14864" s="760"/>
      <c r="F14864" s="760"/>
      <c r="G14864" s="760"/>
      <c r="H14864" s="760"/>
      <c r="I14864" s="760"/>
      <c r="J14864" s="760"/>
      <c r="K14864" s="760"/>
    </row>
    <row r="14865" spans="1:11">
      <c r="A14865" s="760"/>
      <c r="B14865" s="760"/>
      <c r="C14865" s="760"/>
      <c r="D14865" s="760"/>
      <c r="E14865" s="760"/>
      <c r="F14865" s="760"/>
      <c r="G14865" s="760"/>
      <c r="H14865" s="760"/>
      <c r="I14865" s="760"/>
      <c r="J14865" s="760"/>
      <c r="K14865" s="760"/>
    </row>
    <row r="14866" spans="1:11">
      <c r="A14866" s="760"/>
      <c r="B14866" s="760"/>
      <c r="C14866" s="760"/>
      <c r="D14866" s="760"/>
      <c r="E14866" s="760"/>
      <c r="F14866" s="760"/>
      <c r="G14866" s="760"/>
      <c r="H14866" s="760"/>
      <c r="I14866" s="760"/>
      <c r="J14866" s="760"/>
      <c r="K14866" s="760"/>
    </row>
    <row r="14867" spans="1:11">
      <c r="A14867" s="760"/>
      <c r="B14867" s="760"/>
      <c r="C14867" s="760"/>
      <c r="D14867" s="760"/>
      <c r="E14867" s="760"/>
      <c r="F14867" s="760"/>
      <c r="G14867" s="760"/>
      <c r="H14867" s="760"/>
      <c r="I14867" s="760"/>
      <c r="J14867" s="760"/>
      <c r="K14867" s="760"/>
    </row>
    <row r="14868" spans="1:11">
      <c r="A14868" s="760"/>
      <c r="B14868" s="760"/>
      <c r="C14868" s="760"/>
      <c r="D14868" s="760"/>
      <c r="E14868" s="760"/>
      <c r="F14868" s="760"/>
      <c r="G14868" s="760"/>
      <c r="H14868" s="760"/>
      <c r="I14868" s="760"/>
      <c r="J14868" s="760"/>
      <c r="K14868" s="760"/>
    </row>
    <row r="14869" spans="1:11">
      <c r="A14869" s="760"/>
      <c r="B14869" s="760"/>
      <c r="C14869" s="760"/>
      <c r="D14869" s="760"/>
      <c r="E14869" s="760"/>
      <c r="F14869" s="760"/>
      <c r="G14869" s="760"/>
      <c r="H14869" s="760"/>
      <c r="I14869" s="760"/>
      <c r="J14869" s="760"/>
      <c r="K14869" s="760"/>
    </row>
    <row r="14870" spans="1:11">
      <c r="A14870" s="760"/>
      <c r="B14870" s="760"/>
      <c r="C14870" s="760"/>
      <c r="D14870" s="760"/>
      <c r="E14870" s="760"/>
      <c r="F14870" s="760"/>
      <c r="G14870" s="760"/>
      <c r="H14870" s="760"/>
      <c r="I14870" s="760"/>
      <c r="J14870" s="760"/>
      <c r="K14870" s="760"/>
    </row>
    <row r="14871" spans="1:11">
      <c r="A14871" s="760"/>
      <c r="B14871" s="760"/>
      <c r="C14871" s="760"/>
      <c r="D14871" s="760"/>
      <c r="E14871" s="760"/>
      <c r="F14871" s="760"/>
      <c r="G14871" s="760"/>
      <c r="H14871" s="760"/>
      <c r="I14871" s="760"/>
      <c r="J14871" s="760"/>
      <c r="K14871" s="760"/>
    </row>
    <row r="14872" spans="1:11">
      <c r="A14872" s="760"/>
      <c r="B14872" s="760"/>
      <c r="C14872" s="760"/>
      <c r="D14872" s="760"/>
      <c r="E14872" s="760"/>
      <c r="F14872" s="760"/>
      <c r="G14872" s="760"/>
      <c r="H14872" s="760"/>
      <c r="I14872" s="760"/>
      <c r="J14872" s="760"/>
      <c r="K14872" s="760"/>
    </row>
    <row r="14873" spans="1:11">
      <c r="A14873" s="760"/>
      <c r="B14873" s="760"/>
      <c r="C14873" s="760"/>
      <c r="D14873" s="760"/>
      <c r="E14873" s="760"/>
      <c r="F14873" s="760"/>
      <c r="G14873" s="760"/>
      <c r="H14873" s="760"/>
      <c r="I14873" s="760"/>
      <c r="J14873" s="760"/>
      <c r="K14873" s="760"/>
    </row>
    <row r="14874" spans="1:11">
      <c r="A14874" s="760"/>
      <c r="B14874" s="760"/>
      <c r="C14874" s="760"/>
      <c r="D14874" s="760"/>
      <c r="E14874" s="760"/>
      <c r="F14874" s="760"/>
      <c r="G14874" s="760"/>
      <c r="H14874" s="760"/>
      <c r="I14874" s="760"/>
      <c r="J14874" s="760"/>
      <c r="K14874" s="760"/>
    </row>
    <row r="14875" spans="1:11">
      <c r="A14875" s="760"/>
      <c r="B14875" s="760"/>
      <c r="C14875" s="760"/>
      <c r="D14875" s="760"/>
      <c r="E14875" s="760"/>
      <c r="F14875" s="760"/>
      <c r="G14875" s="760"/>
      <c r="H14875" s="760"/>
      <c r="I14875" s="760"/>
      <c r="J14875" s="760"/>
      <c r="K14875" s="760"/>
    </row>
    <row r="14876" spans="1:11">
      <c r="A14876" s="760"/>
      <c r="B14876" s="760"/>
      <c r="C14876" s="760"/>
      <c r="D14876" s="760"/>
      <c r="E14876" s="760"/>
      <c r="F14876" s="760"/>
      <c r="G14876" s="760"/>
      <c r="H14876" s="760"/>
      <c r="I14876" s="760"/>
      <c r="J14876" s="760"/>
      <c r="K14876" s="760"/>
    </row>
    <row r="14877" spans="1:11">
      <c r="A14877" s="760"/>
      <c r="B14877" s="760"/>
      <c r="C14877" s="760"/>
      <c r="D14877" s="760"/>
      <c r="E14877" s="760"/>
      <c r="F14877" s="760"/>
      <c r="G14877" s="760"/>
      <c r="H14877" s="760"/>
      <c r="I14877" s="760"/>
      <c r="J14877" s="760"/>
      <c r="K14877" s="760"/>
    </row>
    <row r="14878" spans="1:11">
      <c r="A14878" s="760"/>
      <c r="B14878" s="760"/>
      <c r="C14878" s="760"/>
      <c r="D14878" s="760"/>
      <c r="E14878" s="760"/>
      <c r="F14878" s="760"/>
      <c r="G14878" s="760"/>
      <c r="H14878" s="760"/>
      <c r="I14878" s="760"/>
      <c r="J14878" s="760"/>
      <c r="K14878" s="760"/>
    </row>
    <row r="14879" spans="1:11">
      <c r="A14879" s="760"/>
      <c r="B14879" s="760"/>
      <c r="C14879" s="760"/>
      <c r="D14879" s="760"/>
      <c r="E14879" s="760"/>
      <c r="F14879" s="760"/>
      <c r="G14879" s="760"/>
      <c r="H14879" s="760"/>
      <c r="I14879" s="760"/>
      <c r="J14879" s="760"/>
      <c r="K14879" s="760"/>
    </row>
    <row r="14880" spans="1:11">
      <c r="A14880" s="760"/>
      <c r="B14880" s="760"/>
      <c r="C14880" s="760"/>
      <c r="D14880" s="760"/>
      <c r="E14880" s="760"/>
      <c r="F14880" s="760"/>
      <c r="G14880" s="760"/>
      <c r="H14880" s="760"/>
      <c r="I14880" s="760"/>
      <c r="J14880" s="760"/>
      <c r="K14880" s="760"/>
    </row>
    <row r="14881" spans="1:11">
      <c r="A14881" s="760"/>
      <c r="B14881" s="760"/>
      <c r="C14881" s="760"/>
      <c r="D14881" s="760"/>
      <c r="E14881" s="760"/>
      <c r="F14881" s="760"/>
      <c r="G14881" s="760"/>
      <c r="H14881" s="760"/>
      <c r="I14881" s="760"/>
      <c r="J14881" s="760"/>
      <c r="K14881" s="760"/>
    </row>
    <row r="14882" spans="1:11">
      <c r="A14882" s="760"/>
      <c r="B14882" s="760"/>
      <c r="C14882" s="760"/>
      <c r="D14882" s="760"/>
      <c r="E14882" s="760"/>
      <c r="F14882" s="760"/>
      <c r="G14882" s="760"/>
      <c r="H14882" s="760"/>
      <c r="I14882" s="760"/>
      <c r="J14882" s="760"/>
      <c r="K14882" s="760"/>
    </row>
    <row r="14883" spans="1:11">
      <c r="A14883" s="760"/>
      <c r="B14883" s="760"/>
      <c r="C14883" s="760"/>
      <c r="D14883" s="760"/>
      <c r="E14883" s="760"/>
      <c r="F14883" s="760"/>
      <c r="G14883" s="760"/>
      <c r="H14883" s="760"/>
      <c r="I14883" s="760"/>
      <c r="J14883" s="760"/>
      <c r="K14883" s="760"/>
    </row>
    <row r="14884" spans="1:11">
      <c r="A14884" s="760"/>
      <c r="B14884" s="760"/>
      <c r="C14884" s="760"/>
      <c r="D14884" s="760"/>
      <c r="E14884" s="760"/>
      <c r="F14884" s="760"/>
      <c r="G14884" s="760"/>
      <c r="H14884" s="760"/>
      <c r="I14884" s="760"/>
      <c r="J14884" s="760"/>
      <c r="K14884" s="760"/>
    </row>
    <row r="14885" spans="1:11">
      <c r="A14885" s="760"/>
      <c r="B14885" s="760"/>
      <c r="C14885" s="760"/>
      <c r="D14885" s="760"/>
      <c r="E14885" s="760"/>
      <c r="F14885" s="760"/>
      <c r="G14885" s="760"/>
      <c r="H14885" s="760"/>
      <c r="I14885" s="760"/>
      <c r="J14885" s="760"/>
      <c r="K14885" s="760"/>
    </row>
    <row r="14886" spans="1:11">
      <c r="A14886" s="760"/>
      <c r="B14886" s="760"/>
      <c r="C14886" s="760"/>
      <c r="D14886" s="760"/>
      <c r="E14886" s="760"/>
      <c r="F14886" s="760"/>
      <c r="G14886" s="760"/>
      <c r="H14886" s="760"/>
      <c r="I14886" s="760"/>
      <c r="J14886" s="760"/>
      <c r="K14886" s="760"/>
    </row>
    <row r="14887" spans="1:11">
      <c r="A14887" s="760"/>
      <c r="B14887" s="760"/>
      <c r="C14887" s="760"/>
      <c r="D14887" s="760"/>
      <c r="E14887" s="760"/>
      <c r="F14887" s="760"/>
      <c r="G14887" s="760"/>
      <c r="H14887" s="760"/>
      <c r="I14887" s="760"/>
      <c r="J14887" s="760"/>
      <c r="K14887" s="760"/>
    </row>
    <row r="14888" spans="1:11">
      <c r="A14888" s="760"/>
      <c r="B14888" s="760"/>
      <c r="C14888" s="760"/>
      <c r="D14888" s="760"/>
      <c r="E14888" s="760"/>
      <c r="F14888" s="760"/>
      <c r="G14888" s="760"/>
      <c r="H14888" s="760"/>
      <c r="I14888" s="760"/>
      <c r="J14888" s="760"/>
      <c r="K14888" s="760"/>
    </row>
    <row r="14889" spans="1:11">
      <c r="A14889" s="760"/>
      <c r="B14889" s="760"/>
      <c r="C14889" s="760"/>
      <c r="D14889" s="760"/>
      <c r="E14889" s="760"/>
      <c r="F14889" s="760"/>
      <c r="G14889" s="760"/>
      <c r="H14889" s="760"/>
      <c r="I14889" s="760"/>
      <c r="J14889" s="760"/>
      <c r="K14889" s="760"/>
    </row>
    <row r="14890" spans="1:11">
      <c r="A14890" s="760"/>
      <c r="B14890" s="760"/>
      <c r="C14890" s="760"/>
      <c r="D14890" s="760"/>
      <c r="E14890" s="760"/>
      <c r="F14890" s="760"/>
      <c r="G14890" s="760"/>
      <c r="H14890" s="760"/>
      <c r="I14890" s="760"/>
      <c r="J14890" s="760"/>
      <c r="K14890" s="760"/>
    </row>
    <row r="14891" spans="1:11">
      <c r="A14891" s="760"/>
      <c r="B14891" s="760"/>
      <c r="C14891" s="760"/>
      <c r="D14891" s="760"/>
      <c r="E14891" s="760"/>
      <c r="F14891" s="760"/>
      <c r="G14891" s="760"/>
      <c r="H14891" s="760"/>
      <c r="I14891" s="760"/>
      <c r="J14891" s="760"/>
      <c r="K14891" s="760"/>
    </row>
    <row r="14892" spans="1:11">
      <c r="A14892" s="760"/>
      <c r="B14892" s="760"/>
      <c r="C14892" s="760"/>
      <c r="D14892" s="760"/>
      <c r="E14892" s="760"/>
      <c r="F14892" s="760"/>
      <c r="G14892" s="760"/>
      <c r="H14892" s="760"/>
      <c r="I14892" s="760"/>
      <c r="J14892" s="760"/>
      <c r="K14892" s="760"/>
    </row>
    <row r="14893" spans="1:11">
      <c r="A14893" s="760"/>
      <c r="B14893" s="760"/>
      <c r="C14893" s="760"/>
      <c r="D14893" s="760"/>
      <c r="E14893" s="760"/>
      <c r="F14893" s="760"/>
      <c r="G14893" s="760"/>
      <c r="H14893" s="760"/>
      <c r="I14893" s="760"/>
      <c r="J14893" s="760"/>
      <c r="K14893" s="760"/>
    </row>
    <row r="14894" spans="1:11">
      <c r="A14894" s="760"/>
      <c r="B14894" s="760"/>
      <c r="C14894" s="760"/>
      <c r="D14894" s="760"/>
      <c r="E14894" s="760"/>
      <c r="F14894" s="760"/>
      <c r="G14894" s="760"/>
      <c r="H14894" s="760"/>
      <c r="I14894" s="760"/>
      <c r="J14894" s="760"/>
      <c r="K14894" s="760"/>
    </row>
    <row r="14895" spans="1:11">
      <c r="A14895" s="760"/>
      <c r="B14895" s="760"/>
      <c r="C14895" s="760"/>
      <c r="D14895" s="760"/>
      <c r="E14895" s="760"/>
      <c r="F14895" s="760"/>
      <c r="G14895" s="760"/>
      <c r="H14895" s="760"/>
      <c r="I14895" s="760"/>
      <c r="J14895" s="760"/>
      <c r="K14895" s="760"/>
    </row>
    <row r="14896" spans="1:11">
      <c r="A14896" s="760"/>
      <c r="B14896" s="760"/>
      <c r="C14896" s="760"/>
      <c r="D14896" s="760"/>
      <c r="E14896" s="760"/>
      <c r="F14896" s="760"/>
      <c r="G14896" s="760"/>
      <c r="H14896" s="760"/>
      <c r="I14896" s="760"/>
      <c r="J14896" s="760"/>
      <c r="K14896" s="760"/>
    </row>
    <row r="14897" spans="1:11">
      <c r="A14897" s="760"/>
      <c r="B14897" s="760"/>
      <c r="C14897" s="760"/>
      <c r="D14897" s="760"/>
      <c r="E14897" s="760"/>
      <c r="F14897" s="760"/>
      <c r="G14897" s="760"/>
      <c r="H14897" s="760"/>
      <c r="I14897" s="760"/>
      <c r="J14897" s="760"/>
      <c r="K14897" s="760"/>
    </row>
    <row r="14898" spans="1:11">
      <c r="A14898" s="760"/>
      <c r="B14898" s="760"/>
      <c r="C14898" s="760"/>
      <c r="D14898" s="760"/>
      <c r="E14898" s="760"/>
      <c r="F14898" s="760"/>
      <c r="G14898" s="760"/>
      <c r="H14898" s="760"/>
      <c r="I14898" s="760"/>
      <c r="J14898" s="760"/>
      <c r="K14898" s="760"/>
    </row>
    <row r="14899" spans="1:11">
      <c r="A14899" s="760"/>
      <c r="B14899" s="760"/>
      <c r="C14899" s="760"/>
      <c r="D14899" s="760"/>
      <c r="E14899" s="760"/>
      <c r="F14899" s="760"/>
      <c r="G14899" s="760"/>
      <c r="H14899" s="760"/>
      <c r="I14899" s="760"/>
      <c r="J14899" s="760"/>
      <c r="K14899" s="760"/>
    </row>
    <row r="14900" spans="1:11">
      <c r="A14900" s="760"/>
      <c r="B14900" s="760"/>
      <c r="C14900" s="760"/>
      <c r="D14900" s="760"/>
      <c r="E14900" s="760"/>
      <c r="F14900" s="760"/>
      <c r="G14900" s="760"/>
      <c r="H14900" s="760"/>
      <c r="I14900" s="760"/>
      <c r="J14900" s="760"/>
      <c r="K14900" s="760"/>
    </row>
    <row r="14901" spans="1:11">
      <c r="A14901" s="760"/>
      <c r="B14901" s="760"/>
      <c r="C14901" s="760"/>
      <c r="D14901" s="760"/>
      <c r="E14901" s="760"/>
      <c r="F14901" s="760"/>
      <c r="G14901" s="760"/>
      <c r="H14901" s="760"/>
      <c r="I14901" s="760"/>
      <c r="J14901" s="760"/>
      <c r="K14901" s="760"/>
    </row>
    <row r="14902" spans="1:11">
      <c r="A14902" s="760"/>
      <c r="B14902" s="760"/>
      <c r="C14902" s="760"/>
      <c r="D14902" s="760"/>
      <c r="E14902" s="760"/>
      <c r="F14902" s="760"/>
      <c r="G14902" s="760"/>
      <c r="H14902" s="760"/>
      <c r="I14902" s="760"/>
      <c r="J14902" s="760"/>
      <c r="K14902" s="760"/>
    </row>
    <row r="14903" spans="1:11">
      <c r="A14903" s="760"/>
      <c r="B14903" s="760"/>
      <c r="C14903" s="760"/>
      <c r="D14903" s="760"/>
      <c r="E14903" s="760"/>
      <c r="F14903" s="760"/>
      <c r="G14903" s="760"/>
      <c r="H14903" s="760"/>
      <c r="I14903" s="760"/>
      <c r="J14903" s="760"/>
      <c r="K14903" s="760"/>
    </row>
    <row r="14904" spans="1:11">
      <c r="A14904" s="760"/>
      <c r="B14904" s="760"/>
      <c r="C14904" s="760"/>
      <c r="D14904" s="760"/>
      <c r="E14904" s="760"/>
      <c r="F14904" s="760"/>
      <c r="G14904" s="760"/>
      <c r="H14904" s="760"/>
      <c r="I14904" s="760"/>
      <c r="J14904" s="760"/>
      <c r="K14904" s="760"/>
    </row>
    <row r="14905" spans="1:11">
      <c r="A14905" s="760"/>
      <c r="B14905" s="760"/>
      <c r="C14905" s="760"/>
      <c r="D14905" s="760"/>
      <c r="E14905" s="760"/>
      <c r="F14905" s="760"/>
      <c r="G14905" s="760"/>
      <c r="H14905" s="760"/>
      <c r="I14905" s="760"/>
      <c r="J14905" s="760"/>
      <c r="K14905" s="760"/>
    </row>
    <row r="14906" spans="1:11">
      <c r="A14906" s="760"/>
      <c r="B14906" s="760"/>
      <c r="C14906" s="760"/>
      <c r="D14906" s="760"/>
      <c r="E14906" s="760"/>
      <c r="F14906" s="760"/>
      <c r="G14906" s="760"/>
      <c r="H14906" s="760"/>
      <c r="I14906" s="760"/>
      <c r="J14906" s="760"/>
      <c r="K14906" s="760"/>
    </row>
    <row r="14907" spans="1:11">
      <c r="A14907" s="760"/>
      <c r="B14907" s="760"/>
      <c r="C14907" s="760"/>
      <c r="D14907" s="760"/>
      <c r="E14907" s="760"/>
      <c r="F14907" s="760"/>
      <c r="G14907" s="760"/>
      <c r="H14907" s="760"/>
      <c r="I14907" s="760"/>
      <c r="J14907" s="760"/>
      <c r="K14907" s="760"/>
    </row>
    <row r="14908" spans="1:11">
      <c r="A14908" s="760"/>
      <c r="B14908" s="760"/>
      <c r="C14908" s="760"/>
      <c r="D14908" s="760"/>
      <c r="E14908" s="760"/>
      <c r="F14908" s="760"/>
      <c r="G14908" s="760"/>
      <c r="H14908" s="760"/>
      <c r="I14908" s="760"/>
      <c r="J14908" s="760"/>
      <c r="K14908" s="760"/>
    </row>
    <row r="14909" spans="1:11">
      <c r="A14909" s="760"/>
      <c r="B14909" s="760"/>
      <c r="C14909" s="760"/>
      <c r="D14909" s="760"/>
      <c r="E14909" s="760"/>
      <c r="F14909" s="760"/>
      <c r="G14909" s="760"/>
      <c r="H14909" s="760"/>
      <c r="I14909" s="760"/>
      <c r="J14909" s="760"/>
      <c r="K14909" s="760"/>
    </row>
    <row r="14910" spans="1:11">
      <c r="A14910" s="760"/>
      <c r="B14910" s="760"/>
      <c r="C14910" s="760"/>
      <c r="D14910" s="760"/>
      <c r="E14910" s="760"/>
      <c r="F14910" s="760"/>
      <c r="G14910" s="760"/>
      <c r="H14910" s="760"/>
      <c r="I14910" s="760"/>
      <c r="J14910" s="760"/>
      <c r="K14910" s="760"/>
    </row>
    <row r="14911" spans="1:11">
      <c r="A14911" s="760"/>
      <c r="B14911" s="760"/>
      <c r="C14911" s="760"/>
      <c r="D14911" s="760"/>
      <c r="E14911" s="760"/>
      <c r="F14911" s="760"/>
      <c r="G14911" s="760"/>
      <c r="H14911" s="760"/>
      <c r="I14911" s="760"/>
      <c r="J14911" s="760"/>
      <c r="K14911" s="760"/>
    </row>
    <row r="14912" spans="1:11">
      <c r="A14912" s="760"/>
      <c r="B14912" s="760"/>
      <c r="C14912" s="760"/>
      <c r="D14912" s="760"/>
      <c r="E14912" s="760"/>
      <c r="F14912" s="760"/>
      <c r="G14912" s="760"/>
      <c r="H14912" s="760"/>
      <c r="I14912" s="760"/>
      <c r="J14912" s="760"/>
      <c r="K14912" s="760"/>
    </row>
    <row r="14913" spans="1:11">
      <c r="A14913" s="760"/>
      <c r="B14913" s="760"/>
      <c r="C14913" s="760"/>
      <c r="D14913" s="760"/>
      <c r="E14913" s="760"/>
      <c r="F14913" s="760"/>
      <c r="G14913" s="760"/>
      <c r="H14913" s="760"/>
      <c r="I14913" s="760"/>
      <c r="J14913" s="760"/>
      <c r="K14913" s="760"/>
    </row>
    <row r="14914" spans="1:11">
      <c r="A14914" s="760"/>
      <c r="B14914" s="760"/>
      <c r="C14914" s="760"/>
      <c r="D14914" s="760"/>
      <c r="E14914" s="760"/>
      <c r="F14914" s="760"/>
      <c r="G14914" s="760"/>
      <c r="H14914" s="760"/>
      <c r="I14914" s="760"/>
      <c r="J14914" s="760"/>
      <c r="K14914" s="760"/>
    </row>
    <row r="14915" spans="1:11">
      <c r="A14915" s="760"/>
      <c r="B14915" s="760"/>
      <c r="C14915" s="760"/>
      <c r="D14915" s="760"/>
      <c r="E14915" s="760"/>
      <c r="F14915" s="760"/>
      <c r="G14915" s="760"/>
      <c r="H14915" s="760"/>
      <c r="I14915" s="760"/>
      <c r="J14915" s="760"/>
      <c r="K14915" s="760"/>
    </row>
    <row r="14916" spans="1:11">
      <c r="A14916" s="760"/>
      <c r="B14916" s="760"/>
      <c r="C14916" s="760"/>
      <c r="D14916" s="760"/>
      <c r="E14916" s="760"/>
      <c r="F14916" s="760"/>
      <c r="G14916" s="760"/>
      <c r="H14916" s="760"/>
      <c r="I14916" s="760"/>
      <c r="J14916" s="760"/>
      <c r="K14916" s="760"/>
    </row>
    <row r="14917" spans="1:11">
      <c r="A14917" s="760"/>
      <c r="B14917" s="760"/>
      <c r="C14917" s="760"/>
      <c r="D14917" s="760"/>
      <c r="E14917" s="760"/>
      <c r="F14917" s="760"/>
      <c r="G14917" s="760"/>
      <c r="H14917" s="760"/>
      <c r="I14917" s="760"/>
      <c r="J14917" s="760"/>
      <c r="K14917" s="760"/>
    </row>
    <row r="14918" spans="1:11">
      <c r="A14918" s="760"/>
      <c r="B14918" s="760"/>
      <c r="C14918" s="760"/>
      <c r="D14918" s="760"/>
      <c r="E14918" s="760"/>
      <c r="F14918" s="760"/>
      <c r="G14918" s="760"/>
      <c r="H14918" s="760"/>
      <c r="I14918" s="760"/>
      <c r="J14918" s="760"/>
      <c r="K14918" s="760"/>
    </row>
    <row r="14919" spans="1:11">
      <c r="A14919" s="760"/>
      <c r="B14919" s="760"/>
      <c r="C14919" s="760"/>
      <c r="D14919" s="760"/>
      <c r="E14919" s="760"/>
      <c r="F14919" s="760"/>
      <c r="G14919" s="760"/>
      <c r="H14919" s="760"/>
      <c r="I14919" s="760"/>
      <c r="J14919" s="760"/>
      <c r="K14919" s="760"/>
    </row>
    <row r="14920" spans="1:11">
      <c r="A14920" s="760"/>
      <c r="B14920" s="760"/>
      <c r="C14920" s="760"/>
      <c r="D14920" s="760"/>
      <c r="E14920" s="760"/>
      <c r="F14920" s="760"/>
      <c r="G14920" s="760"/>
      <c r="H14920" s="760"/>
      <c r="I14920" s="760"/>
      <c r="J14920" s="760"/>
      <c r="K14920" s="760"/>
    </row>
    <row r="14921" spans="1:11">
      <c r="A14921" s="760"/>
      <c r="B14921" s="760"/>
      <c r="C14921" s="760"/>
      <c r="D14921" s="760"/>
      <c r="E14921" s="760"/>
      <c r="F14921" s="760"/>
      <c r="G14921" s="760"/>
      <c r="H14921" s="760"/>
      <c r="I14921" s="760"/>
      <c r="J14921" s="760"/>
      <c r="K14921" s="760"/>
    </row>
    <row r="14922" spans="1:11">
      <c r="A14922" s="760"/>
      <c r="B14922" s="760"/>
      <c r="C14922" s="760"/>
      <c r="D14922" s="760"/>
      <c r="E14922" s="760"/>
      <c r="F14922" s="760"/>
      <c r="G14922" s="760"/>
      <c r="H14922" s="760"/>
      <c r="I14922" s="760"/>
      <c r="J14922" s="760"/>
      <c r="K14922" s="760"/>
    </row>
    <row r="14923" spans="1:11">
      <c r="A14923" s="760"/>
      <c r="B14923" s="760"/>
      <c r="C14923" s="760"/>
      <c r="D14923" s="760"/>
      <c r="E14923" s="760"/>
      <c r="F14923" s="760"/>
      <c r="G14923" s="760"/>
      <c r="H14923" s="760"/>
      <c r="I14923" s="760"/>
      <c r="J14923" s="760"/>
      <c r="K14923" s="760"/>
    </row>
    <row r="14924" spans="1:11">
      <c r="A14924" s="760"/>
      <c r="B14924" s="760"/>
      <c r="C14924" s="760"/>
      <c r="D14924" s="760"/>
      <c r="E14924" s="760"/>
      <c r="F14924" s="760"/>
      <c r="G14924" s="760"/>
      <c r="H14924" s="760"/>
      <c r="I14924" s="760"/>
      <c r="J14924" s="760"/>
      <c r="K14924" s="760"/>
    </row>
    <row r="14925" spans="1:11">
      <c r="A14925" s="760"/>
      <c r="B14925" s="760"/>
      <c r="C14925" s="760"/>
      <c r="D14925" s="760"/>
      <c r="E14925" s="760"/>
      <c r="F14925" s="760"/>
      <c r="G14925" s="760"/>
      <c r="H14925" s="760"/>
      <c r="I14925" s="760"/>
      <c r="J14925" s="760"/>
      <c r="K14925" s="760"/>
    </row>
    <row r="14926" spans="1:11">
      <c r="A14926" s="760"/>
      <c r="B14926" s="760"/>
      <c r="C14926" s="760"/>
      <c r="D14926" s="760"/>
      <c r="E14926" s="760"/>
      <c r="F14926" s="760"/>
      <c r="G14926" s="760"/>
      <c r="H14926" s="760"/>
      <c r="I14926" s="760"/>
      <c r="J14926" s="760"/>
      <c r="K14926" s="760"/>
    </row>
    <row r="14927" spans="1:11">
      <c r="A14927" s="760"/>
      <c r="B14927" s="760"/>
      <c r="C14927" s="760"/>
      <c r="D14927" s="760"/>
      <c r="E14927" s="760"/>
      <c r="F14927" s="760"/>
      <c r="G14927" s="760"/>
      <c r="H14927" s="760"/>
      <c r="I14927" s="760"/>
      <c r="J14927" s="760"/>
      <c r="K14927" s="760"/>
    </row>
    <row r="14928" spans="1:11">
      <c r="A14928" s="760"/>
      <c r="B14928" s="760"/>
      <c r="C14928" s="760"/>
      <c r="D14928" s="760"/>
      <c r="E14928" s="760"/>
      <c r="F14928" s="760"/>
      <c r="G14928" s="760"/>
      <c r="H14928" s="760"/>
      <c r="I14928" s="760"/>
      <c r="J14928" s="760"/>
      <c r="K14928" s="760"/>
    </row>
    <row r="14929" spans="1:11">
      <c r="A14929" s="760"/>
      <c r="B14929" s="760"/>
      <c r="C14929" s="760"/>
      <c r="D14929" s="760"/>
      <c r="E14929" s="760"/>
      <c r="F14929" s="760"/>
      <c r="G14929" s="760"/>
      <c r="H14929" s="760"/>
      <c r="I14929" s="760"/>
      <c r="J14929" s="760"/>
      <c r="K14929" s="760"/>
    </row>
    <row r="14930" spans="1:11">
      <c r="A14930" s="760"/>
      <c r="B14930" s="760"/>
      <c r="C14930" s="760"/>
      <c r="D14930" s="760"/>
      <c r="E14930" s="760"/>
      <c r="F14930" s="760"/>
      <c r="G14930" s="760"/>
      <c r="H14930" s="760"/>
      <c r="I14930" s="760"/>
      <c r="J14930" s="760"/>
      <c r="K14930" s="760"/>
    </row>
    <row r="14931" spans="1:11">
      <c r="A14931" s="760"/>
      <c r="B14931" s="760"/>
      <c r="C14931" s="760"/>
      <c r="D14931" s="760"/>
      <c r="E14931" s="760"/>
      <c r="F14931" s="760"/>
      <c r="G14931" s="760"/>
      <c r="H14931" s="760"/>
      <c r="I14931" s="760"/>
      <c r="J14931" s="760"/>
      <c r="K14931" s="760"/>
    </row>
    <row r="14932" spans="1:11">
      <c r="A14932" s="760"/>
      <c r="B14932" s="760"/>
      <c r="C14932" s="760"/>
      <c r="D14932" s="760"/>
      <c r="E14932" s="760"/>
      <c r="F14932" s="760"/>
      <c r="G14932" s="760"/>
      <c r="H14932" s="760"/>
      <c r="I14932" s="760"/>
      <c r="J14932" s="760"/>
      <c r="K14932" s="760"/>
    </row>
    <row r="14933" spans="1:11">
      <c r="A14933" s="760"/>
      <c r="B14933" s="760"/>
      <c r="C14933" s="760"/>
      <c r="D14933" s="760"/>
      <c r="E14933" s="760"/>
      <c r="F14933" s="760"/>
      <c r="G14933" s="760"/>
      <c r="H14933" s="760"/>
      <c r="I14933" s="760"/>
      <c r="J14933" s="760"/>
      <c r="K14933" s="760"/>
    </row>
    <row r="14934" spans="1:11">
      <c r="A14934" s="760"/>
      <c r="B14934" s="760"/>
      <c r="C14934" s="760"/>
      <c r="D14934" s="760"/>
      <c r="E14934" s="760"/>
      <c r="F14934" s="760"/>
      <c r="G14934" s="760"/>
      <c r="H14934" s="760"/>
      <c r="I14934" s="760"/>
      <c r="J14934" s="760"/>
      <c r="K14934" s="760"/>
    </row>
    <row r="14935" spans="1:11">
      <c r="A14935" s="760"/>
      <c r="B14935" s="760"/>
      <c r="C14935" s="760"/>
      <c r="D14935" s="760"/>
      <c r="E14935" s="760"/>
      <c r="F14935" s="760"/>
      <c r="G14935" s="760"/>
      <c r="H14935" s="760"/>
      <c r="I14935" s="760"/>
      <c r="J14935" s="760"/>
      <c r="K14935" s="760"/>
    </row>
    <row r="14936" spans="1:11">
      <c r="A14936" s="760"/>
      <c r="B14936" s="760"/>
      <c r="C14936" s="760"/>
      <c r="D14936" s="760"/>
      <c r="E14936" s="760"/>
      <c r="F14936" s="760"/>
      <c r="G14936" s="760"/>
      <c r="H14936" s="760"/>
      <c r="I14936" s="760"/>
      <c r="J14936" s="760"/>
      <c r="K14936" s="760"/>
    </row>
    <row r="14937" spans="1:11">
      <c r="A14937" s="760"/>
      <c r="B14937" s="760"/>
      <c r="C14937" s="760"/>
      <c r="D14937" s="760"/>
      <c r="E14937" s="760"/>
      <c r="F14937" s="760"/>
      <c r="G14937" s="760"/>
      <c r="H14937" s="760"/>
      <c r="I14937" s="760"/>
      <c r="J14937" s="760"/>
      <c r="K14937" s="760"/>
    </row>
    <row r="14938" spans="1:11">
      <c r="A14938" s="760"/>
      <c r="B14938" s="760"/>
      <c r="C14938" s="760"/>
      <c r="D14938" s="760"/>
      <c r="E14938" s="760"/>
      <c r="F14938" s="760"/>
      <c r="G14938" s="760"/>
      <c r="H14938" s="760"/>
      <c r="I14938" s="760"/>
      <c r="J14938" s="760"/>
      <c r="K14938" s="760"/>
    </row>
    <row r="14939" spans="1:11">
      <c r="A14939" s="760"/>
      <c r="B14939" s="760"/>
      <c r="C14939" s="760"/>
      <c r="D14939" s="760"/>
      <c r="E14939" s="760"/>
      <c r="F14939" s="760"/>
      <c r="G14939" s="760"/>
      <c r="H14939" s="760"/>
      <c r="I14939" s="760"/>
      <c r="J14939" s="760"/>
      <c r="K14939" s="760"/>
    </row>
    <row r="14940" spans="1:11">
      <c r="A14940" s="760"/>
      <c r="B14940" s="760"/>
      <c r="C14940" s="760"/>
      <c r="D14940" s="760"/>
      <c r="E14940" s="760"/>
      <c r="F14940" s="760"/>
      <c r="G14940" s="760"/>
      <c r="H14940" s="760"/>
      <c r="I14940" s="760"/>
      <c r="J14940" s="760"/>
      <c r="K14940" s="760"/>
    </row>
    <row r="14941" spans="1:11">
      <c r="A14941" s="760"/>
      <c r="B14941" s="760"/>
      <c r="C14941" s="760"/>
      <c r="D14941" s="760"/>
      <c r="E14941" s="760"/>
      <c r="F14941" s="760"/>
      <c r="G14941" s="760"/>
      <c r="H14941" s="760"/>
      <c r="I14941" s="760"/>
      <c r="J14941" s="760"/>
      <c r="K14941" s="760"/>
    </row>
    <row r="14942" spans="1:11">
      <c r="A14942" s="760"/>
      <c r="B14942" s="760"/>
      <c r="C14942" s="760"/>
      <c r="D14942" s="760"/>
      <c r="E14942" s="760"/>
      <c r="F14942" s="760"/>
      <c r="G14942" s="760"/>
      <c r="H14942" s="760"/>
      <c r="I14942" s="760"/>
      <c r="J14942" s="760"/>
      <c r="K14942" s="760"/>
    </row>
    <row r="14943" spans="1:11">
      <c r="A14943" s="760"/>
      <c r="B14943" s="760"/>
      <c r="C14943" s="760"/>
      <c r="D14943" s="760"/>
      <c r="E14943" s="760"/>
      <c r="F14943" s="760"/>
      <c r="G14943" s="760"/>
      <c r="H14943" s="760"/>
      <c r="I14943" s="760"/>
      <c r="J14943" s="760"/>
      <c r="K14943" s="760"/>
    </row>
    <row r="14944" spans="1:11">
      <c r="A14944" s="760"/>
      <c r="B14944" s="760"/>
      <c r="C14944" s="760"/>
      <c r="D14944" s="760"/>
      <c r="E14944" s="760"/>
      <c r="F14944" s="760"/>
      <c r="G14944" s="760"/>
      <c r="H14944" s="760"/>
      <c r="I14944" s="760"/>
      <c r="J14944" s="760"/>
      <c r="K14944" s="760"/>
    </row>
    <row r="14945" spans="1:11">
      <c r="A14945" s="760"/>
      <c r="B14945" s="760"/>
      <c r="C14945" s="760"/>
      <c r="D14945" s="760"/>
      <c r="E14945" s="760"/>
      <c r="F14945" s="760"/>
      <c r="G14945" s="760"/>
      <c r="H14945" s="760"/>
      <c r="I14945" s="760"/>
      <c r="J14945" s="760"/>
      <c r="K14945" s="760"/>
    </row>
    <row r="14946" spans="1:11">
      <c r="A14946" s="760"/>
      <c r="B14946" s="760"/>
      <c r="C14946" s="760"/>
      <c r="D14946" s="760"/>
      <c r="E14946" s="760"/>
      <c r="F14946" s="760"/>
      <c r="G14946" s="760"/>
      <c r="H14946" s="760"/>
      <c r="I14946" s="760"/>
      <c r="J14946" s="760"/>
      <c r="K14946" s="760"/>
    </row>
    <row r="14947" spans="1:11">
      <c r="A14947" s="760"/>
      <c r="B14947" s="760"/>
      <c r="C14947" s="760"/>
      <c r="D14947" s="760"/>
      <c r="E14947" s="760"/>
      <c r="F14947" s="760"/>
      <c r="G14947" s="760"/>
      <c r="H14947" s="760"/>
      <c r="I14947" s="760"/>
      <c r="J14947" s="760"/>
      <c r="K14947" s="760"/>
    </row>
    <row r="14948" spans="1:11">
      <c r="A14948" s="760"/>
      <c r="B14948" s="760"/>
      <c r="C14948" s="760"/>
      <c r="D14948" s="760"/>
      <c r="E14948" s="760"/>
      <c r="F14948" s="760"/>
      <c r="G14948" s="760"/>
      <c r="H14948" s="760"/>
      <c r="I14948" s="760"/>
      <c r="J14948" s="760"/>
      <c r="K14948" s="760"/>
    </row>
    <row r="14949" spans="1:11">
      <c r="A14949" s="760"/>
      <c r="B14949" s="760"/>
      <c r="C14949" s="760"/>
      <c r="D14949" s="760"/>
      <c r="E14949" s="760"/>
      <c r="F14949" s="760"/>
      <c r="G14949" s="760"/>
      <c r="H14949" s="760"/>
      <c r="I14949" s="760"/>
      <c r="J14949" s="760"/>
      <c r="K14949" s="760"/>
    </row>
    <row r="14950" spans="1:11">
      <c r="A14950" s="760"/>
      <c r="B14950" s="760"/>
      <c r="C14950" s="760"/>
      <c r="D14950" s="760"/>
      <c r="E14950" s="760"/>
      <c r="F14950" s="760"/>
      <c r="G14950" s="760"/>
      <c r="H14950" s="760"/>
      <c r="I14950" s="760"/>
      <c r="J14950" s="760"/>
      <c r="K14950" s="760"/>
    </row>
    <row r="14951" spans="1:11">
      <c r="A14951" s="760"/>
      <c r="B14951" s="760"/>
      <c r="C14951" s="760"/>
      <c r="D14951" s="760"/>
      <c r="E14951" s="760"/>
      <c r="F14951" s="760"/>
      <c r="G14951" s="760"/>
      <c r="H14951" s="760"/>
      <c r="I14951" s="760"/>
      <c r="J14951" s="760"/>
      <c r="K14951" s="760"/>
    </row>
    <row r="14952" spans="1:11">
      <c r="A14952" s="760"/>
      <c r="B14952" s="760"/>
      <c r="C14952" s="760"/>
      <c r="D14952" s="760"/>
      <c r="E14952" s="760"/>
      <c r="F14952" s="760"/>
      <c r="G14952" s="760"/>
      <c r="H14952" s="760"/>
      <c r="I14952" s="760"/>
      <c r="J14952" s="760"/>
      <c r="K14952" s="760"/>
    </row>
    <row r="14953" spans="1:11">
      <c r="A14953" s="760"/>
      <c r="B14953" s="760"/>
      <c r="C14953" s="760"/>
      <c r="D14953" s="760"/>
      <c r="E14953" s="760"/>
      <c r="F14953" s="760"/>
      <c r="G14953" s="760"/>
      <c r="H14953" s="760"/>
      <c r="I14953" s="760"/>
      <c r="J14953" s="760"/>
      <c r="K14953" s="760"/>
    </row>
    <row r="14954" spans="1:11">
      <c r="A14954" s="760"/>
      <c r="B14954" s="760"/>
      <c r="C14954" s="760"/>
      <c r="D14954" s="760"/>
      <c r="E14954" s="760"/>
      <c r="F14954" s="760"/>
      <c r="G14954" s="760"/>
      <c r="H14954" s="760"/>
      <c r="I14954" s="760"/>
      <c r="J14954" s="760"/>
      <c r="K14954" s="760"/>
    </row>
    <row r="14955" spans="1:11">
      <c r="A14955" s="760"/>
      <c r="B14955" s="760"/>
      <c r="C14955" s="760"/>
      <c r="D14955" s="760"/>
      <c r="E14955" s="760"/>
      <c r="F14955" s="760"/>
      <c r="G14955" s="760"/>
      <c r="H14955" s="760"/>
      <c r="I14955" s="760"/>
      <c r="J14955" s="760"/>
      <c r="K14955" s="760"/>
    </row>
    <row r="14956" spans="1:11">
      <c r="A14956" s="760"/>
      <c r="B14956" s="760"/>
      <c r="C14956" s="760"/>
      <c r="D14956" s="760"/>
      <c r="E14956" s="760"/>
      <c r="F14956" s="760"/>
      <c r="G14956" s="760"/>
      <c r="H14956" s="760"/>
      <c r="I14956" s="760"/>
      <c r="J14956" s="760"/>
      <c r="K14956" s="760"/>
    </row>
    <row r="14957" spans="1:11">
      <c r="A14957" s="760"/>
      <c r="B14957" s="760"/>
      <c r="C14957" s="760"/>
      <c r="D14957" s="760"/>
      <c r="E14957" s="760"/>
      <c r="F14957" s="760"/>
      <c r="G14957" s="760"/>
      <c r="H14957" s="760"/>
      <c r="I14957" s="760"/>
      <c r="J14957" s="760"/>
      <c r="K14957" s="760"/>
    </row>
    <row r="14958" spans="1:11">
      <c r="A14958" s="760"/>
      <c r="B14958" s="760"/>
      <c r="C14958" s="760"/>
      <c r="D14958" s="760"/>
      <c r="E14958" s="760"/>
      <c r="F14958" s="760"/>
      <c r="G14958" s="760"/>
      <c r="H14958" s="760"/>
      <c r="I14958" s="760"/>
      <c r="J14958" s="760"/>
      <c r="K14958" s="760"/>
    </row>
    <row r="14959" spans="1:11">
      <c r="A14959" s="760"/>
      <c r="B14959" s="760"/>
      <c r="C14959" s="760"/>
      <c r="D14959" s="760"/>
      <c r="E14959" s="760"/>
      <c r="F14959" s="760"/>
      <c r="G14959" s="760"/>
      <c r="H14959" s="760"/>
      <c r="I14959" s="760"/>
      <c r="J14959" s="760"/>
      <c r="K14959" s="760"/>
    </row>
    <row r="14960" spans="1:11">
      <c r="A14960" s="760"/>
      <c r="B14960" s="760"/>
      <c r="C14960" s="760"/>
      <c r="D14960" s="760"/>
      <c r="E14960" s="760"/>
      <c r="F14960" s="760"/>
      <c r="G14960" s="760"/>
      <c r="H14960" s="760"/>
      <c r="I14960" s="760"/>
      <c r="J14960" s="760"/>
      <c r="K14960" s="760"/>
    </row>
    <row r="14961" spans="1:11">
      <c r="A14961" s="760"/>
      <c r="B14961" s="760"/>
      <c r="C14961" s="760"/>
      <c r="D14961" s="760"/>
      <c r="E14961" s="760"/>
      <c r="F14961" s="760"/>
      <c r="G14961" s="760"/>
      <c r="H14961" s="760"/>
      <c r="I14961" s="760"/>
      <c r="J14961" s="760"/>
      <c r="K14961" s="760"/>
    </row>
    <row r="14962" spans="1:11">
      <c r="A14962" s="760"/>
      <c r="B14962" s="760"/>
      <c r="C14962" s="760"/>
      <c r="D14962" s="760"/>
      <c r="E14962" s="760"/>
      <c r="F14962" s="760"/>
      <c r="G14962" s="760"/>
      <c r="H14962" s="760"/>
      <c r="I14962" s="760"/>
      <c r="J14962" s="760"/>
      <c r="K14962" s="760"/>
    </row>
    <row r="14963" spans="1:11">
      <c r="A14963" s="760"/>
      <c r="B14963" s="760"/>
      <c r="C14963" s="760"/>
      <c r="D14963" s="760"/>
      <c r="E14963" s="760"/>
      <c r="F14963" s="760"/>
      <c r="G14963" s="760"/>
      <c r="H14963" s="760"/>
      <c r="I14963" s="760"/>
      <c r="J14963" s="760"/>
      <c r="K14963" s="760"/>
    </row>
    <row r="14964" spans="1:11">
      <c r="A14964" s="760"/>
      <c r="B14964" s="760"/>
      <c r="C14964" s="760"/>
      <c r="D14964" s="760"/>
      <c r="E14964" s="760"/>
      <c r="F14964" s="760"/>
      <c r="G14964" s="760"/>
      <c r="H14964" s="760"/>
      <c r="I14964" s="760"/>
      <c r="J14964" s="760"/>
      <c r="K14964" s="760"/>
    </row>
    <row r="14965" spans="1:11">
      <c r="A14965" s="760"/>
      <c r="B14965" s="760"/>
      <c r="C14965" s="760"/>
      <c r="D14965" s="760"/>
      <c r="E14965" s="760"/>
      <c r="F14965" s="760"/>
      <c r="G14965" s="760"/>
      <c r="H14965" s="760"/>
      <c r="I14965" s="760"/>
      <c r="J14965" s="760"/>
      <c r="K14965" s="760"/>
    </row>
    <row r="14966" spans="1:11">
      <c r="A14966" s="760"/>
      <c r="B14966" s="760"/>
      <c r="C14966" s="760"/>
      <c r="D14966" s="760"/>
      <c r="E14966" s="760"/>
      <c r="F14966" s="760"/>
      <c r="G14966" s="760"/>
      <c r="H14966" s="760"/>
      <c r="I14966" s="760"/>
      <c r="J14966" s="760"/>
      <c r="K14966" s="760"/>
    </row>
    <row r="14967" spans="1:11">
      <c r="A14967" s="760"/>
      <c r="B14967" s="760"/>
      <c r="C14967" s="760"/>
      <c r="D14967" s="760"/>
      <c r="E14967" s="760"/>
      <c r="F14967" s="760"/>
      <c r="G14967" s="760"/>
      <c r="H14967" s="760"/>
      <c r="I14967" s="760"/>
      <c r="J14967" s="760"/>
      <c r="K14967" s="760"/>
    </row>
    <row r="14968" spans="1:11">
      <c r="A14968" s="760"/>
      <c r="B14968" s="760"/>
      <c r="C14968" s="760"/>
      <c r="D14968" s="760"/>
      <c r="E14968" s="760"/>
      <c r="F14968" s="760"/>
      <c r="G14968" s="760"/>
      <c r="H14968" s="760"/>
      <c r="I14968" s="760"/>
      <c r="J14968" s="760"/>
      <c r="K14968" s="760"/>
    </row>
    <row r="14969" spans="1:11">
      <c r="A14969" s="760"/>
      <c r="B14969" s="760"/>
      <c r="C14969" s="760"/>
      <c r="D14969" s="760"/>
      <c r="E14969" s="760"/>
      <c r="F14969" s="760"/>
      <c r="G14969" s="760"/>
      <c r="H14969" s="760"/>
      <c r="I14969" s="760"/>
      <c r="J14969" s="760"/>
      <c r="K14969" s="760"/>
    </row>
    <row r="14970" spans="1:11">
      <c r="A14970" s="760"/>
      <c r="B14970" s="760"/>
      <c r="C14970" s="760"/>
      <c r="D14970" s="760"/>
      <c r="E14970" s="760"/>
      <c r="F14970" s="760"/>
      <c r="G14970" s="760"/>
      <c r="H14970" s="760"/>
      <c r="I14970" s="760"/>
      <c r="J14970" s="760"/>
      <c r="K14970" s="760"/>
    </row>
    <row r="14971" spans="1:11">
      <c r="A14971" s="760"/>
      <c r="B14971" s="760"/>
      <c r="C14971" s="760"/>
      <c r="D14971" s="760"/>
      <c r="E14971" s="760"/>
      <c r="F14971" s="760"/>
      <c r="G14971" s="760"/>
      <c r="H14971" s="760"/>
      <c r="I14971" s="760"/>
      <c r="J14971" s="760"/>
      <c r="K14971" s="760"/>
    </row>
    <row r="14972" spans="1:11">
      <c r="A14972" s="760"/>
      <c r="B14972" s="760"/>
      <c r="C14972" s="760"/>
      <c r="D14972" s="760"/>
      <c r="E14972" s="760"/>
      <c r="F14972" s="760"/>
      <c r="G14972" s="760"/>
      <c r="H14972" s="760"/>
      <c r="I14972" s="760"/>
      <c r="J14972" s="760"/>
      <c r="K14972" s="760"/>
    </row>
    <row r="14973" spans="1:11">
      <c r="A14973" s="760"/>
      <c r="B14973" s="760"/>
      <c r="C14973" s="760"/>
      <c r="D14973" s="760"/>
      <c r="E14973" s="760"/>
      <c r="F14973" s="760"/>
      <c r="G14973" s="760"/>
      <c r="H14973" s="760"/>
      <c r="I14973" s="760"/>
      <c r="J14973" s="760"/>
      <c r="K14973" s="760"/>
    </row>
    <row r="14974" spans="1:11">
      <c r="A14974" s="760"/>
      <c r="B14974" s="760"/>
      <c r="C14974" s="760"/>
      <c r="D14974" s="760"/>
      <c r="E14974" s="760"/>
      <c r="F14974" s="760"/>
      <c r="G14974" s="760"/>
      <c r="H14974" s="760"/>
      <c r="I14974" s="760"/>
      <c r="J14974" s="760"/>
      <c r="K14974" s="760"/>
    </row>
    <row r="14975" spans="1:11">
      <c r="A14975" s="760"/>
      <c r="B14975" s="760"/>
      <c r="C14975" s="760"/>
      <c r="D14975" s="760"/>
      <c r="E14975" s="760"/>
      <c r="F14975" s="760"/>
      <c r="G14975" s="760"/>
      <c r="H14975" s="760"/>
      <c r="I14975" s="760"/>
      <c r="J14975" s="760"/>
      <c r="K14975" s="760"/>
    </row>
    <row r="14976" spans="1:11">
      <c r="A14976" s="760"/>
      <c r="B14976" s="760"/>
      <c r="C14976" s="760"/>
      <c r="D14976" s="760"/>
      <c r="E14976" s="760"/>
      <c r="F14976" s="760"/>
      <c r="G14976" s="760"/>
      <c r="H14976" s="760"/>
      <c r="I14976" s="760"/>
      <c r="J14976" s="760"/>
      <c r="K14976" s="760"/>
    </row>
    <row r="14977" spans="1:11">
      <c r="A14977" s="760"/>
      <c r="B14977" s="760"/>
      <c r="C14977" s="760"/>
      <c r="D14977" s="760"/>
      <c r="E14977" s="760"/>
      <c r="F14977" s="760"/>
      <c r="G14977" s="760"/>
      <c r="H14977" s="760"/>
      <c r="I14977" s="760"/>
      <c r="J14977" s="760"/>
      <c r="K14977" s="760"/>
    </row>
    <row r="14978" spans="1:11">
      <c r="A14978" s="760"/>
      <c r="B14978" s="760"/>
      <c r="C14978" s="760"/>
      <c r="D14978" s="760"/>
      <c r="E14978" s="760"/>
      <c r="F14978" s="760"/>
      <c r="G14978" s="760"/>
      <c r="H14978" s="760"/>
      <c r="I14978" s="760"/>
      <c r="J14978" s="760"/>
      <c r="K14978" s="760"/>
    </row>
    <row r="14979" spans="1:11">
      <c r="A14979" s="760"/>
      <c r="B14979" s="760"/>
      <c r="C14979" s="760"/>
      <c r="D14979" s="760"/>
      <c r="E14979" s="760"/>
      <c r="F14979" s="760"/>
      <c r="G14979" s="760"/>
      <c r="H14979" s="760"/>
      <c r="I14979" s="760"/>
      <c r="J14979" s="760"/>
      <c r="K14979" s="760"/>
    </row>
    <row r="14980" spans="1:11">
      <c r="A14980" s="760"/>
      <c r="B14980" s="760"/>
      <c r="C14980" s="760"/>
      <c r="D14980" s="760"/>
      <c r="E14980" s="760"/>
      <c r="F14980" s="760"/>
      <c r="G14980" s="760"/>
      <c r="H14980" s="760"/>
      <c r="I14980" s="760"/>
      <c r="J14980" s="760"/>
      <c r="K14980" s="760"/>
    </row>
    <row r="14981" spans="1:11">
      <c r="A14981" s="760"/>
      <c r="B14981" s="760"/>
      <c r="C14981" s="760"/>
      <c r="D14981" s="760"/>
      <c r="E14981" s="760"/>
      <c r="F14981" s="760"/>
      <c r="G14981" s="760"/>
      <c r="H14981" s="760"/>
      <c r="I14981" s="760"/>
      <c r="J14981" s="760"/>
      <c r="K14981" s="760"/>
    </row>
    <row r="14982" spans="1:11">
      <c r="A14982" s="760"/>
      <c r="B14982" s="760"/>
      <c r="C14982" s="760"/>
      <c r="D14982" s="760"/>
      <c r="E14982" s="760"/>
      <c r="F14982" s="760"/>
      <c r="G14982" s="760"/>
      <c r="H14982" s="760"/>
      <c r="I14982" s="760"/>
      <c r="J14982" s="760"/>
      <c r="K14982" s="760"/>
    </row>
    <row r="14983" spans="1:11">
      <c r="A14983" s="760"/>
      <c r="B14983" s="760"/>
      <c r="C14983" s="760"/>
      <c r="D14983" s="760"/>
      <c r="E14983" s="760"/>
      <c r="F14983" s="760"/>
      <c r="G14983" s="760"/>
      <c r="H14983" s="760"/>
      <c r="I14983" s="760"/>
      <c r="J14983" s="760"/>
      <c r="K14983" s="760"/>
    </row>
    <row r="14984" spans="1:11">
      <c r="A14984" s="760"/>
      <c r="B14984" s="760"/>
      <c r="C14984" s="760"/>
      <c r="D14984" s="760"/>
      <c r="E14984" s="760"/>
      <c r="F14984" s="760"/>
      <c r="G14984" s="760"/>
      <c r="H14984" s="760"/>
      <c r="I14984" s="760"/>
      <c r="J14984" s="760"/>
      <c r="K14984" s="760"/>
    </row>
    <row r="14985" spans="1:11">
      <c r="A14985" s="760"/>
      <c r="B14985" s="760"/>
      <c r="C14985" s="760"/>
      <c r="D14985" s="760"/>
      <c r="E14985" s="760"/>
      <c r="F14985" s="760"/>
      <c r="G14985" s="760"/>
      <c r="H14985" s="760"/>
      <c r="I14985" s="760"/>
      <c r="J14985" s="760"/>
      <c r="K14985" s="760"/>
    </row>
    <row r="14986" spans="1:11">
      <c r="A14986" s="760"/>
      <c r="B14986" s="760"/>
      <c r="C14986" s="760"/>
      <c r="D14986" s="760"/>
      <c r="E14986" s="760"/>
      <c r="F14986" s="760"/>
      <c r="G14986" s="760"/>
      <c r="H14986" s="760"/>
      <c r="I14986" s="760"/>
      <c r="J14986" s="760"/>
      <c r="K14986" s="760"/>
    </row>
    <row r="14987" spans="1:11">
      <c r="A14987" s="760"/>
      <c r="B14987" s="760"/>
      <c r="C14987" s="760"/>
      <c r="D14987" s="760"/>
      <c r="E14987" s="760"/>
      <c r="F14987" s="760"/>
      <c r="G14987" s="760"/>
      <c r="H14987" s="760"/>
      <c r="I14987" s="760"/>
      <c r="J14987" s="760"/>
      <c r="K14987" s="760"/>
    </row>
    <row r="14988" spans="1:11">
      <c r="A14988" s="760"/>
      <c r="B14988" s="760"/>
      <c r="C14988" s="760"/>
      <c r="D14988" s="760"/>
      <c r="E14988" s="760"/>
      <c r="F14988" s="760"/>
      <c r="G14988" s="760"/>
      <c r="H14988" s="760"/>
      <c r="I14988" s="760"/>
      <c r="J14988" s="760"/>
      <c r="K14988" s="760"/>
    </row>
    <row r="14989" spans="1:11">
      <c r="A14989" s="760"/>
      <c r="B14989" s="760"/>
      <c r="C14989" s="760"/>
      <c r="D14989" s="760"/>
      <c r="E14989" s="760"/>
      <c r="F14989" s="760"/>
      <c r="G14989" s="760"/>
      <c r="H14989" s="760"/>
      <c r="I14989" s="760"/>
      <c r="J14989" s="760"/>
      <c r="K14989" s="760"/>
    </row>
    <row r="14990" spans="1:11">
      <c r="A14990" s="760"/>
      <c r="B14990" s="760"/>
      <c r="C14990" s="760"/>
      <c r="D14990" s="760"/>
      <c r="E14990" s="760"/>
      <c r="F14990" s="760"/>
      <c r="G14990" s="760"/>
      <c r="H14990" s="760"/>
      <c r="I14990" s="760"/>
      <c r="J14990" s="760"/>
      <c r="K14990" s="760"/>
    </row>
    <row r="14991" spans="1:11">
      <c r="A14991" s="760"/>
      <c r="B14991" s="760"/>
      <c r="C14991" s="760"/>
      <c r="D14991" s="760"/>
      <c r="E14991" s="760"/>
      <c r="F14991" s="760"/>
      <c r="G14991" s="760"/>
      <c r="H14991" s="760"/>
      <c r="I14991" s="760"/>
      <c r="J14991" s="760"/>
      <c r="K14991" s="760"/>
    </row>
    <row r="14992" spans="1:11">
      <c r="A14992" s="760"/>
      <c r="B14992" s="760"/>
      <c r="C14992" s="760"/>
      <c r="D14992" s="760"/>
      <c r="E14992" s="760"/>
      <c r="F14992" s="760"/>
      <c r="G14992" s="760"/>
      <c r="H14992" s="760"/>
      <c r="I14992" s="760"/>
      <c r="J14992" s="760"/>
      <c r="K14992" s="760"/>
    </row>
    <row r="14993" spans="1:11">
      <c r="A14993" s="760"/>
      <c r="B14993" s="760"/>
      <c r="C14993" s="760"/>
      <c r="D14993" s="760"/>
      <c r="E14993" s="760"/>
      <c r="F14993" s="760"/>
      <c r="G14993" s="760"/>
      <c r="H14993" s="760"/>
      <c r="I14993" s="760"/>
      <c r="J14993" s="760"/>
      <c r="K14993" s="760"/>
    </row>
    <row r="14994" spans="1:11">
      <c r="A14994" s="760"/>
      <c r="B14994" s="760"/>
      <c r="C14994" s="760"/>
      <c r="D14994" s="760"/>
      <c r="E14994" s="760"/>
      <c r="F14994" s="760"/>
      <c r="G14994" s="760"/>
      <c r="H14994" s="760"/>
      <c r="I14994" s="760"/>
      <c r="J14994" s="760"/>
      <c r="K14994" s="760"/>
    </row>
    <row r="14995" spans="1:11">
      <c r="A14995" s="760"/>
      <c r="B14995" s="760"/>
      <c r="C14995" s="760"/>
      <c r="D14995" s="760"/>
      <c r="E14995" s="760"/>
      <c r="F14995" s="760"/>
      <c r="G14995" s="760"/>
      <c r="H14995" s="760"/>
      <c r="I14995" s="760"/>
      <c r="J14995" s="760"/>
      <c r="K14995" s="760"/>
    </row>
    <row r="14996" spans="1:11">
      <c r="A14996" s="760"/>
      <c r="B14996" s="760"/>
      <c r="C14996" s="760"/>
      <c r="D14996" s="760"/>
      <c r="E14996" s="760"/>
      <c r="F14996" s="760"/>
      <c r="G14996" s="760"/>
      <c r="H14996" s="760"/>
      <c r="I14996" s="760"/>
      <c r="J14996" s="760"/>
      <c r="K14996" s="760"/>
    </row>
    <row r="14997" spans="1:11">
      <c r="A14997" s="760"/>
      <c r="B14997" s="760"/>
      <c r="C14997" s="760"/>
      <c r="D14997" s="760"/>
      <c r="E14997" s="760"/>
      <c r="F14997" s="760"/>
      <c r="G14997" s="760"/>
      <c r="H14997" s="760"/>
      <c r="I14997" s="760"/>
      <c r="J14997" s="760"/>
      <c r="K14997" s="760"/>
    </row>
    <row r="14998" spans="1:11">
      <c r="A14998" s="760"/>
      <c r="B14998" s="760"/>
      <c r="C14998" s="760"/>
      <c r="D14998" s="760"/>
      <c r="E14998" s="760"/>
      <c r="F14998" s="760"/>
      <c r="G14998" s="760"/>
      <c r="H14998" s="760"/>
      <c r="I14998" s="760"/>
      <c r="J14998" s="760"/>
      <c r="K14998" s="760"/>
    </row>
    <row r="14999" spans="1:11">
      <c r="A14999" s="760"/>
      <c r="B14999" s="760"/>
      <c r="C14999" s="760"/>
      <c r="D14999" s="760"/>
      <c r="E14999" s="760"/>
      <c r="F14999" s="760"/>
      <c r="G14999" s="760"/>
      <c r="H14999" s="760"/>
      <c r="I14999" s="760"/>
      <c r="J14999" s="760"/>
      <c r="K14999" s="760"/>
    </row>
    <row r="15000" spans="1:11">
      <c r="A15000" s="760"/>
      <c r="B15000" s="760"/>
      <c r="C15000" s="760"/>
      <c r="D15000" s="760"/>
      <c r="E15000" s="760"/>
      <c r="F15000" s="760"/>
      <c r="G15000" s="760"/>
      <c r="H15000" s="760"/>
      <c r="I15000" s="760"/>
      <c r="J15000" s="760"/>
      <c r="K15000" s="760"/>
    </row>
    <row r="15001" spans="1:11">
      <c r="A15001" s="760"/>
      <c r="B15001" s="760"/>
      <c r="C15001" s="760"/>
      <c r="D15001" s="760"/>
      <c r="E15001" s="760"/>
      <c r="F15001" s="760"/>
      <c r="G15001" s="760"/>
      <c r="H15001" s="760"/>
      <c r="I15001" s="760"/>
      <c r="J15001" s="760"/>
      <c r="K15001" s="760"/>
    </row>
    <row r="15002" spans="1:11">
      <c r="A15002" s="760"/>
      <c r="B15002" s="760"/>
      <c r="C15002" s="760"/>
      <c r="D15002" s="760"/>
      <c r="E15002" s="760"/>
      <c r="F15002" s="760"/>
      <c r="G15002" s="760"/>
      <c r="H15002" s="760"/>
      <c r="I15002" s="760"/>
      <c r="J15002" s="760"/>
      <c r="K15002" s="760"/>
    </row>
    <row r="15003" spans="1:11">
      <c r="A15003" s="760"/>
      <c r="B15003" s="760"/>
      <c r="C15003" s="760"/>
      <c r="D15003" s="760"/>
      <c r="E15003" s="760"/>
      <c r="F15003" s="760"/>
      <c r="G15003" s="760"/>
      <c r="H15003" s="760"/>
      <c r="I15003" s="760"/>
      <c r="J15003" s="760"/>
      <c r="K15003" s="760"/>
    </row>
    <row r="15004" spans="1:11">
      <c r="A15004" s="760"/>
      <c r="B15004" s="760"/>
      <c r="C15004" s="760"/>
      <c r="D15004" s="760"/>
      <c r="E15004" s="760"/>
      <c r="F15004" s="760"/>
      <c r="G15004" s="760"/>
      <c r="H15004" s="760"/>
      <c r="I15004" s="760"/>
      <c r="J15004" s="760"/>
      <c r="K15004" s="760"/>
    </row>
    <row r="15005" spans="1:11">
      <c r="A15005" s="760"/>
      <c r="B15005" s="760"/>
      <c r="C15005" s="760"/>
      <c r="D15005" s="760"/>
      <c r="E15005" s="760"/>
      <c r="F15005" s="760"/>
      <c r="G15005" s="760"/>
      <c r="H15005" s="760"/>
      <c r="I15005" s="760"/>
      <c r="J15005" s="760"/>
      <c r="K15005" s="760"/>
    </row>
    <row r="15006" spans="1:11">
      <c r="A15006" s="760"/>
      <c r="B15006" s="760"/>
      <c r="C15006" s="760"/>
      <c r="D15006" s="760"/>
      <c r="E15006" s="760"/>
      <c r="F15006" s="760"/>
      <c r="G15006" s="760"/>
      <c r="H15006" s="760"/>
      <c r="I15006" s="760"/>
      <c r="J15006" s="760"/>
      <c r="K15006" s="760"/>
    </row>
    <row r="15007" spans="1:11">
      <c r="A15007" s="760"/>
      <c r="B15007" s="760"/>
      <c r="C15007" s="760"/>
      <c r="D15007" s="760"/>
      <c r="E15007" s="760"/>
      <c r="F15007" s="760"/>
      <c r="G15007" s="760"/>
      <c r="H15007" s="760"/>
      <c r="I15007" s="760"/>
      <c r="J15007" s="760"/>
      <c r="K15007" s="760"/>
    </row>
    <row r="15008" spans="1:11">
      <c r="A15008" s="760"/>
      <c r="B15008" s="760"/>
      <c r="C15008" s="760"/>
      <c r="D15008" s="760"/>
      <c r="E15008" s="760"/>
      <c r="F15008" s="760"/>
      <c r="G15008" s="760"/>
      <c r="H15008" s="760"/>
      <c r="I15008" s="760"/>
      <c r="J15008" s="760"/>
      <c r="K15008" s="760"/>
    </row>
    <row r="15009" spans="1:11">
      <c r="A15009" s="760"/>
      <c r="B15009" s="760"/>
      <c r="C15009" s="760"/>
      <c r="D15009" s="760"/>
      <c r="E15009" s="760"/>
      <c r="F15009" s="760"/>
      <c r="G15009" s="760"/>
      <c r="H15009" s="760"/>
      <c r="I15009" s="760"/>
      <c r="J15009" s="760"/>
      <c r="K15009" s="760"/>
    </row>
    <row r="15010" spans="1:11">
      <c r="A15010" s="760"/>
      <c r="B15010" s="760"/>
      <c r="C15010" s="760"/>
      <c r="D15010" s="760"/>
      <c r="E15010" s="760"/>
      <c r="F15010" s="760"/>
      <c r="G15010" s="760"/>
      <c r="H15010" s="760"/>
      <c r="I15010" s="760"/>
      <c r="J15010" s="760"/>
      <c r="K15010" s="760"/>
    </row>
    <row r="15011" spans="1:11">
      <c r="A15011" s="760"/>
      <c r="B15011" s="760"/>
      <c r="C15011" s="760"/>
      <c r="D15011" s="760"/>
      <c r="E15011" s="760"/>
      <c r="F15011" s="760"/>
      <c r="G15011" s="760"/>
      <c r="H15011" s="760"/>
      <c r="I15011" s="760"/>
      <c r="J15011" s="760"/>
      <c r="K15011" s="760"/>
    </row>
    <row r="15012" spans="1:11">
      <c r="A15012" s="760"/>
      <c r="B15012" s="760"/>
      <c r="C15012" s="760"/>
      <c r="D15012" s="760"/>
      <c r="E15012" s="760"/>
      <c r="F15012" s="760"/>
      <c r="G15012" s="760"/>
      <c r="H15012" s="760"/>
      <c r="I15012" s="760"/>
      <c r="J15012" s="760"/>
      <c r="K15012" s="760"/>
    </row>
    <row r="15013" spans="1:11">
      <c r="A15013" s="760"/>
      <c r="B15013" s="760"/>
      <c r="C15013" s="760"/>
      <c r="D15013" s="760"/>
      <c r="E15013" s="760"/>
      <c r="F15013" s="760"/>
      <c r="G15013" s="760"/>
      <c r="H15013" s="760"/>
      <c r="I15013" s="760"/>
      <c r="J15013" s="760"/>
      <c r="K15013" s="760"/>
    </row>
    <row r="15014" spans="1:11">
      <c r="A15014" s="760"/>
      <c r="B15014" s="760"/>
      <c r="C15014" s="760"/>
      <c r="D15014" s="760"/>
      <c r="E15014" s="760"/>
      <c r="F15014" s="760"/>
      <c r="G15014" s="760"/>
      <c r="H15014" s="760"/>
      <c r="I15014" s="760"/>
      <c r="J15014" s="760"/>
      <c r="K15014" s="760"/>
    </row>
    <row r="15015" spans="1:11">
      <c r="A15015" s="760"/>
      <c r="B15015" s="760"/>
      <c r="C15015" s="760"/>
      <c r="D15015" s="760"/>
      <c r="E15015" s="760"/>
      <c r="F15015" s="760"/>
      <c r="G15015" s="760"/>
      <c r="H15015" s="760"/>
      <c r="I15015" s="760"/>
      <c r="J15015" s="760"/>
      <c r="K15015" s="760"/>
    </row>
    <row r="15016" spans="1:11">
      <c r="A15016" s="760"/>
      <c r="B15016" s="760"/>
      <c r="C15016" s="760"/>
      <c r="D15016" s="760"/>
      <c r="E15016" s="760"/>
      <c r="F15016" s="760"/>
      <c r="G15016" s="760"/>
      <c r="H15016" s="760"/>
      <c r="I15016" s="760"/>
      <c r="J15016" s="760"/>
      <c r="K15016" s="760"/>
    </row>
    <row r="15017" spans="1:11">
      <c r="A15017" s="760"/>
      <c r="B15017" s="760"/>
      <c r="C15017" s="760"/>
      <c r="D15017" s="760"/>
      <c r="E15017" s="760"/>
      <c r="F15017" s="760"/>
      <c r="G15017" s="760"/>
      <c r="H15017" s="760"/>
      <c r="I15017" s="760"/>
      <c r="J15017" s="760"/>
      <c r="K15017" s="760"/>
    </row>
    <row r="15018" spans="1:11">
      <c r="A15018" s="760"/>
      <c r="B15018" s="760"/>
      <c r="C15018" s="760"/>
      <c r="D15018" s="760"/>
      <c r="E15018" s="760"/>
      <c r="F15018" s="760"/>
      <c r="G15018" s="760"/>
      <c r="H15018" s="760"/>
      <c r="I15018" s="760"/>
      <c r="J15018" s="760"/>
      <c r="K15018" s="760"/>
    </row>
    <row r="15019" spans="1:11">
      <c r="A15019" s="760"/>
      <c r="B15019" s="760"/>
      <c r="C15019" s="760"/>
      <c r="D15019" s="760"/>
      <c r="E15019" s="760"/>
      <c r="F15019" s="760"/>
      <c r="G15019" s="760"/>
      <c r="H15019" s="760"/>
      <c r="I15019" s="760"/>
      <c r="J15019" s="760"/>
      <c r="K15019" s="760"/>
    </row>
    <row r="15020" spans="1:11">
      <c r="A15020" s="760"/>
      <c r="B15020" s="760"/>
      <c r="C15020" s="760"/>
      <c r="D15020" s="760"/>
      <c r="E15020" s="760"/>
      <c r="F15020" s="760"/>
      <c r="G15020" s="760"/>
      <c r="H15020" s="760"/>
      <c r="I15020" s="760"/>
      <c r="J15020" s="760"/>
      <c r="K15020" s="760"/>
    </row>
    <row r="15021" spans="1:11">
      <c r="A15021" s="760"/>
      <c r="B15021" s="760"/>
      <c r="C15021" s="760"/>
      <c r="D15021" s="760"/>
      <c r="E15021" s="760"/>
      <c r="F15021" s="760"/>
      <c r="G15021" s="760"/>
      <c r="H15021" s="760"/>
      <c r="I15021" s="760"/>
      <c r="J15021" s="760"/>
      <c r="K15021" s="760"/>
    </row>
    <row r="15022" spans="1:11">
      <c r="A15022" s="760"/>
      <c r="B15022" s="760"/>
      <c r="C15022" s="760"/>
      <c r="D15022" s="760"/>
      <c r="E15022" s="760"/>
      <c r="F15022" s="760"/>
      <c r="G15022" s="760"/>
      <c r="H15022" s="760"/>
      <c r="I15022" s="760"/>
      <c r="J15022" s="760"/>
      <c r="K15022" s="760"/>
    </row>
    <row r="15023" spans="1:11">
      <c r="A15023" s="760"/>
      <c r="B15023" s="760"/>
      <c r="C15023" s="760"/>
      <c r="D15023" s="760"/>
      <c r="E15023" s="760"/>
      <c r="F15023" s="760"/>
      <c r="G15023" s="760"/>
      <c r="H15023" s="760"/>
      <c r="I15023" s="760"/>
      <c r="J15023" s="760"/>
      <c r="K15023" s="760"/>
    </row>
    <row r="15024" spans="1:11">
      <c r="A15024" s="760"/>
      <c r="B15024" s="760"/>
      <c r="C15024" s="760"/>
      <c r="D15024" s="760"/>
      <c r="E15024" s="760"/>
      <c r="F15024" s="760"/>
      <c r="G15024" s="760"/>
      <c r="H15024" s="760"/>
      <c r="I15024" s="760"/>
      <c r="J15024" s="760"/>
      <c r="K15024" s="760"/>
    </row>
    <row r="15025" spans="1:11">
      <c r="A15025" s="760"/>
      <c r="B15025" s="760"/>
      <c r="C15025" s="760"/>
      <c r="D15025" s="760"/>
      <c r="E15025" s="760"/>
      <c r="F15025" s="760"/>
      <c r="G15025" s="760"/>
      <c r="H15025" s="760"/>
      <c r="I15025" s="760"/>
      <c r="J15025" s="760"/>
      <c r="K15025" s="760"/>
    </row>
    <row r="15026" spans="1:11">
      <c r="A15026" s="760"/>
      <c r="B15026" s="760"/>
      <c r="C15026" s="760"/>
      <c r="D15026" s="760"/>
      <c r="E15026" s="760"/>
      <c r="F15026" s="760"/>
      <c r="G15026" s="760"/>
      <c r="H15026" s="760"/>
      <c r="I15026" s="760"/>
      <c r="J15026" s="760"/>
      <c r="K15026" s="760"/>
    </row>
    <row r="15027" spans="1:11">
      <c r="A15027" s="760"/>
      <c r="B15027" s="760"/>
      <c r="C15027" s="760"/>
      <c r="D15027" s="760"/>
      <c r="E15027" s="760"/>
      <c r="F15027" s="760"/>
      <c r="G15027" s="760"/>
      <c r="H15027" s="760"/>
      <c r="I15027" s="760"/>
      <c r="J15027" s="760"/>
      <c r="K15027" s="760"/>
    </row>
    <row r="15028" spans="1:11">
      <c r="A15028" s="760"/>
      <c r="B15028" s="760"/>
      <c r="C15028" s="760"/>
      <c r="D15028" s="760"/>
      <c r="E15028" s="760"/>
      <c r="F15028" s="760"/>
      <c r="G15028" s="760"/>
      <c r="H15028" s="760"/>
      <c r="I15028" s="760"/>
      <c r="J15028" s="760"/>
      <c r="K15028" s="760"/>
    </row>
    <row r="15029" spans="1:11">
      <c r="A15029" s="760"/>
      <c r="B15029" s="760"/>
      <c r="C15029" s="760"/>
      <c r="D15029" s="760"/>
      <c r="E15029" s="760"/>
      <c r="F15029" s="760"/>
      <c r="G15029" s="760"/>
      <c r="H15029" s="760"/>
      <c r="I15029" s="760"/>
      <c r="J15029" s="760"/>
      <c r="K15029" s="760"/>
    </row>
    <row r="15030" spans="1:11">
      <c r="A15030" s="760"/>
      <c r="B15030" s="760"/>
      <c r="C15030" s="760"/>
      <c r="D15030" s="760"/>
      <c r="E15030" s="760"/>
      <c r="F15030" s="760"/>
      <c r="G15030" s="760"/>
      <c r="H15030" s="760"/>
      <c r="I15030" s="760"/>
      <c r="J15030" s="760"/>
      <c r="K15030" s="760"/>
    </row>
    <row r="15031" spans="1:11">
      <c r="A15031" s="760"/>
      <c r="B15031" s="760"/>
      <c r="C15031" s="760"/>
      <c r="D15031" s="760"/>
      <c r="E15031" s="760"/>
      <c r="F15031" s="760"/>
      <c r="G15031" s="760"/>
      <c r="H15031" s="760"/>
      <c r="I15031" s="760"/>
      <c r="J15031" s="760"/>
      <c r="K15031" s="760"/>
    </row>
    <row r="15032" spans="1:11">
      <c r="A15032" s="760"/>
      <c r="B15032" s="760"/>
      <c r="C15032" s="760"/>
      <c r="D15032" s="760"/>
      <c r="E15032" s="760"/>
      <c r="F15032" s="760"/>
      <c r="G15032" s="760"/>
      <c r="H15032" s="760"/>
      <c r="I15032" s="760"/>
      <c r="J15032" s="760"/>
      <c r="K15032" s="760"/>
    </row>
    <row r="15033" spans="1:11">
      <c r="A15033" s="760"/>
      <c r="B15033" s="760"/>
      <c r="C15033" s="760"/>
      <c r="D15033" s="760"/>
      <c r="E15033" s="760"/>
      <c r="F15033" s="760"/>
      <c r="G15033" s="760"/>
      <c r="H15033" s="760"/>
      <c r="I15033" s="760"/>
      <c r="J15033" s="760"/>
      <c r="K15033" s="760"/>
    </row>
    <row r="15034" spans="1:11">
      <c r="A15034" s="760"/>
      <c r="B15034" s="760"/>
      <c r="C15034" s="760"/>
      <c r="D15034" s="760"/>
      <c r="E15034" s="760"/>
      <c r="F15034" s="760"/>
      <c r="G15034" s="760"/>
      <c r="H15034" s="760"/>
      <c r="I15034" s="760"/>
      <c r="J15034" s="760"/>
      <c r="K15034" s="760"/>
    </row>
    <row r="15035" spans="1:11">
      <c r="A15035" s="760"/>
      <c r="B15035" s="760"/>
      <c r="C15035" s="760"/>
      <c r="D15035" s="760"/>
      <c r="E15035" s="760"/>
      <c r="F15035" s="760"/>
      <c r="G15035" s="760"/>
      <c r="H15035" s="760"/>
      <c r="I15035" s="760"/>
      <c r="J15035" s="760"/>
      <c r="K15035" s="760"/>
    </row>
    <row r="15036" spans="1:11">
      <c r="A15036" s="760"/>
      <c r="B15036" s="760"/>
      <c r="C15036" s="760"/>
      <c r="D15036" s="760"/>
      <c r="E15036" s="760"/>
      <c r="F15036" s="760"/>
      <c r="G15036" s="760"/>
      <c r="H15036" s="760"/>
      <c r="I15036" s="760"/>
      <c r="J15036" s="760"/>
      <c r="K15036" s="760"/>
    </row>
    <row r="15037" spans="1:11">
      <c r="A15037" s="760"/>
      <c r="B15037" s="760"/>
      <c r="C15037" s="760"/>
      <c r="D15037" s="760"/>
      <c r="E15037" s="760"/>
      <c r="F15037" s="760"/>
      <c r="G15037" s="760"/>
      <c r="H15037" s="760"/>
      <c r="I15037" s="760"/>
      <c r="J15037" s="760"/>
      <c r="K15037" s="760"/>
    </row>
    <row r="15038" spans="1:11">
      <c r="A15038" s="760"/>
      <c r="B15038" s="760"/>
      <c r="C15038" s="760"/>
      <c r="D15038" s="760"/>
      <c r="E15038" s="760"/>
      <c r="F15038" s="760"/>
      <c r="G15038" s="760"/>
      <c r="H15038" s="760"/>
      <c r="I15038" s="760"/>
      <c r="J15038" s="760"/>
      <c r="K15038" s="760"/>
    </row>
    <row r="15039" spans="1:11">
      <c r="A15039" s="760"/>
      <c r="B15039" s="760"/>
      <c r="C15039" s="760"/>
      <c r="D15039" s="760"/>
      <c r="E15039" s="760"/>
      <c r="F15039" s="760"/>
      <c r="G15039" s="760"/>
      <c r="H15039" s="760"/>
      <c r="I15039" s="760"/>
      <c r="J15039" s="760"/>
      <c r="K15039" s="760"/>
    </row>
    <row r="15040" spans="1:11">
      <c r="A15040" s="760"/>
      <c r="B15040" s="760"/>
      <c r="C15040" s="760"/>
      <c r="D15040" s="760"/>
      <c r="E15040" s="760"/>
      <c r="F15040" s="760"/>
      <c r="G15040" s="760"/>
      <c r="H15040" s="760"/>
      <c r="I15040" s="760"/>
      <c r="J15040" s="760"/>
      <c r="K15040" s="760"/>
    </row>
    <row r="15041" spans="1:11">
      <c r="A15041" s="760"/>
      <c r="B15041" s="760"/>
      <c r="C15041" s="760"/>
      <c r="D15041" s="760"/>
      <c r="E15041" s="760"/>
      <c r="F15041" s="760"/>
      <c r="G15041" s="760"/>
      <c r="H15041" s="760"/>
      <c r="I15041" s="760"/>
      <c r="J15041" s="760"/>
      <c r="K15041" s="760"/>
    </row>
    <row r="15042" spans="1:11">
      <c r="A15042" s="760"/>
      <c r="B15042" s="760"/>
      <c r="C15042" s="760"/>
      <c r="D15042" s="760"/>
      <c r="E15042" s="760"/>
      <c r="F15042" s="760"/>
      <c r="G15042" s="760"/>
      <c r="H15042" s="760"/>
      <c r="I15042" s="760"/>
      <c r="J15042" s="760"/>
      <c r="K15042" s="760"/>
    </row>
    <row r="15043" spans="1:11">
      <c r="A15043" s="760"/>
      <c r="B15043" s="760"/>
      <c r="C15043" s="760"/>
      <c r="D15043" s="760"/>
      <c r="E15043" s="760"/>
      <c r="F15043" s="760"/>
      <c r="G15043" s="760"/>
      <c r="H15043" s="760"/>
      <c r="I15043" s="760"/>
      <c r="J15043" s="760"/>
      <c r="K15043" s="760"/>
    </row>
    <row r="15044" spans="1:11">
      <c r="A15044" s="760"/>
      <c r="B15044" s="760"/>
      <c r="C15044" s="760"/>
      <c r="D15044" s="760"/>
      <c r="E15044" s="760"/>
      <c r="F15044" s="760"/>
      <c r="G15044" s="760"/>
      <c r="H15044" s="760"/>
      <c r="I15044" s="760"/>
      <c r="J15044" s="760"/>
      <c r="K15044" s="760"/>
    </row>
    <row r="15045" spans="1:11">
      <c r="A15045" s="760"/>
      <c r="B15045" s="760"/>
      <c r="C15045" s="760"/>
      <c r="D15045" s="760"/>
      <c r="E15045" s="760"/>
      <c r="F15045" s="760"/>
      <c r="G15045" s="760"/>
      <c r="H15045" s="760"/>
      <c r="I15045" s="760"/>
      <c r="J15045" s="760"/>
      <c r="K15045" s="760"/>
    </row>
    <row r="15046" spans="1:11">
      <c r="A15046" s="760"/>
      <c r="B15046" s="760"/>
      <c r="C15046" s="760"/>
      <c r="D15046" s="760"/>
      <c r="E15046" s="760"/>
      <c r="F15046" s="760"/>
      <c r="G15046" s="760"/>
      <c r="H15046" s="760"/>
      <c r="I15046" s="760"/>
      <c r="J15046" s="760"/>
      <c r="K15046" s="760"/>
    </row>
    <row r="15047" spans="1:11">
      <c r="A15047" s="760"/>
      <c r="B15047" s="760"/>
      <c r="C15047" s="760"/>
      <c r="D15047" s="760"/>
      <c r="E15047" s="760"/>
      <c r="F15047" s="760"/>
      <c r="G15047" s="760"/>
      <c r="H15047" s="760"/>
      <c r="I15047" s="760"/>
      <c r="J15047" s="760"/>
      <c r="K15047" s="760"/>
    </row>
    <row r="15048" spans="1:11">
      <c r="A15048" s="760"/>
      <c r="B15048" s="760"/>
      <c r="C15048" s="760"/>
      <c r="D15048" s="760"/>
      <c r="E15048" s="760"/>
      <c r="F15048" s="760"/>
      <c r="G15048" s="760"/>
      <c r="H15048" s="760"/>
      <c r="I15048" s="760"/>
      <c r="J15048" s="760"/>
      <c r="K15048" s="760"/>
    </row>
    <row r="15049" spans="1:11">
      <c r="A15049" s="760"/>
      <c r="B15049" s="760"/>
      <c r="C15049" s="760"/>
      <c r="D15049" s="760"/>
      <c r="E15049" s="760"/>
      <c r="F15049" s="760"/>
      <c r="G15049" s="760"/>
      <c r="H15049" s="760"/>
      <c r="I15049" s="760"/>
      <c r="J15049" s="760"/>
      <c r="K15049" s="760"/>
    </row>
    <row r="15050" spans="1:11">
      <c r="A15050" s="760"/>
      <c r="B15050" s="760"/>
      <c r="C15050" s="760"/>
      <c r="D15050" s="760"/>
      <c r="E15050" s="760"/>
      <c r="F15050" s="760"/>
      <c r="G15050" s="760"/>
      <c r="H15050" s="760"/>
      <c r="I15050" s="760"/>
      <c r="J15050" s="760"/>
      <c r="K15050" s="760"/>
    </row>
    <row r="15051" spans="1:11">
      <c r="A15051" s="760"/>
      <c r="B15051" s="760"/>
      <c r="C15051" s="760"/>
      <c r="D15051" s="760"/>
      <c r="E15051" s="760"/>
      <c r="F15051" s="760"/>
      <c r="G15051" s="760"/>
      <c r="H15051" s="760"/>
      <c r="I15051" s="760"/>
      <c r="J15051" s="760"/>
      <c r="K15051" s="760"/>
    </row>
    <row r="15052" spans="1:11">
      <c r="A15052" s="760"/>
      <c r="B15052" s="760"/>
      <c r="C15052" s="760"/>
      <c r="D15052" s="760"/>
      <c r="E15052" s="760"/>
      <c r="F15052" s="760"/>
      <c r="G15052" s="760"/>
      <c r="H15052" s="760"/>
      <c r="I15052" s="760"/>
      <c r="J15052" s="760"/>
      <c r="K15052" s="760"/>
    </row>
    <row r="15053" spans="1:11">
      <c r="A15053" s="760"/>
      <c r="B15053" s="760"/>
      <c r="C15053" s="760"/>
      <c r="D15053" s="760"/>
      <c r="E15053" s="760"/>
      <c r="F15053" s="760"/>
      <c r="G15053" s="760"/>
      <c r="H15053" s="760"/>
      <c r="I15053" s="760"/>
      <c r="J15053" s="760"/>
      <c r="K15053" s="760"/>
    </row>
    <row r="15054" spans="1:11">
      <c r="A15054" s="760"/>
      <c r="B15054" s="760"/>
      <c r="C15054" s="760"/>
      <c r="D15054" s="760"/>
      <c r="E15054" s="760"/>
      <c r="F15054" s="760"/>
      <c r="G15054" s="760"/>
      <c r="H15054" s="760"/>
      <c r="I15054" s="760"/>
      <c r="J15054" s="760"/>
      <c r="K15054" s="760"/>
    </row>
    <row r="15055" spans="1:11">
      <c r="A15055" s="760"/>
      <c r="B15055" s="760"/>
      <c r="C15055" s="760"/>
      <c r="D15055" s="760"/>
      <c r="E15055" s="760"/>
      <c r="F15055" s="760"/>
      <c r="G15055" s="760"/>
      <c r="H15055" s="760"/>
      <c r="I15055" s="760"/>
      <c r="J15055" s="760"/>
      <c r="K15055" s="760"/>
    </row>
    <row r="15056" spans="1:11">
      <c r="A15056" s="760"/>
      <c r="B15056" s="760"/>
      <c r="C15056" s="760"/>
      <c r="D15056" s="760"/>
      <c r="E15056" s="760"/>
      <c r="F15056" s="760"/>
      <c r="G15056" s="760"/>
      <c r="H15056" s="760"/>
      <c r="I15056" s="760"/>
      <c r="J15056" s="760"/>
      <c r="K15056" s="760"/>
    </row>
    <row r="15057" spans="1:11">
      <c r="A15057" s="760"/>
      <c r="B15057" s="760"/>
      <c r="C15057" s="760"/>
      <c r="D15057" s="760"/>
      <c r="E15057" s="760"/>
      <c r="F15057" s="760"/>
      <c r="G15057" s="760"/>
      <c r="H15057" s="760"/>
      <c r="I15057" s="760"/>
      <c r="J15057" s="760"/>
      <c r="K15057" s="760"/>
    </row>
    <row r="15058" spans="1:11">
      <c r="A15058" s="760"/>
      <c r="B15058" s="760"/>
      <c r="C15058" s="760"/>
      <c r="D15058" s="760"/>
      <c r="E15058" s="760"/>
      <c r="F15058" s="760"/>
      <c r="G15058" s="760"/>
      <c r="H15058" s="760"/>
      <c r="I15058" s="760"/>
      <c r="J15058" s="760"/>
      <c r="K15058" s="760"/>
    </row>
    <row r="15059" spans="1:11">
      <c r="A15059" s="760"/>
      <c r="B15059" s="760"/>
      <c r="C15059" s="760"/>
      <c r="D15059" s="760"/>
      <c r="E15059" s="760"/>
      <c r="F15059" s="760"/>
      <c r="G15059" s="760"/>
      <c r="H15059" s="760"/>
      <c r="I15059" s="760"/>
      <c r="J15059" s="760"/>
      <c r="K15059" s="760"/>
    </row>
    <row r="15060" spans="1:11">
      <c r="A15060" s="760"/>
      <c r="B15060" s="760"/>
      <c r="C15060" s="760"/>
      <c r="D15060" s="760"/>
      <c r="E15060" s="760"/>
      <c r="F15060" s="760"/>
      <c r="G15060" s="760"/>
      <c r="H15060" s="760"/>
      <c r="I15060" s="760"/>
      <c r="J15060" s="760"/>
      <c r="K15060" s="760"/>
    </row>
    <row r="15061" spans="1:11">
      <c r="A15061" s="760"/>
      <c r="B15061" s="760"/>
      <c r="C15061" s="760"/>
      <c r="D15061" s="760"/>
      <c r="E15061" s="760"/>
      <c r="F15061" s="760"/>
      <c r="G15061" s="760"/>
      <c r="H15061" s="760"/>
      <c r="I15061" s="760"/>
      <c r="J15061" s="760"/>
      <c r="K15061" s="760"/>
    </row>
    <row r="15062" spans="1:11">
      <c r="A15062" s="760"/>
      <c r="B15062" s="760"/>
      <c r="C15062" s="760"/>
      <c r="D15062" s="760"/>
      <c r="E15062" s="760"/>
      <c r="F15062" s="760"/>
      <c r="G15062" s="760"/>
      <c r="H15062" s="760"/>
      <c r="I15062" s="760"/>
      <c r="J15062" s="760"/>
      <c r="K15062" s="760"/>
    </row>
    <row r="15063" spans="1:11">
      <c r="A15063" s="760"/>
      <c r="B15063" s="760"/>
      <c r="C15063" s="760"/>
      <c r="D15063" s="760"/>
      <c r="E15063" s="760"/>
      <c r="F15063" s="760"/>
      <c r="G15063" s="760"/>
      <c r="H15063" s="760"/>
      <c r="I15063" s="760"/>
      <c r="J15063" s="760"/>
      <c r="K15063" s="760"/>
    </row>
    <row r="15064" spans="1:11">
      <c r="A15064" s="760"/>
      <c r="B15064" s="760"/>
      <c r="C15064" s="760"/>
      <c r="D15064" s="760"/>
      <c r="E15064" s="760"/>
      <c r="F15064" s="760"/>
      <c r="G15064" s="760"/>
      <c r="H15064" s="760"/>
      <c r="I15064" s="760"/>
      <c r="J15064" s="760"/>
      <c r="K15064" s="760"/>
    </row>
    <row r="15065" spans="1:11">
      <c r="A15065" s="760"/>
      <c r="B15065" s="760"/>
      <c r="C15065" s="760"/>
      <c r="D15065" s="760"/>
      <c r="E15065" s="760"/>
      <c r="F15065" s="760"/>
      <c r="G15065" s="760"/>
      <c r="H15065" s="760"/>
      <c r="I15065" s="760"/>
      <c r="J15065" s="760"/>
      <c r="K15065" s="760"/>
    </row>
    <row r="15066" spans="1:11">
      <c r="A15066" s="760"/>
      <c r="B15066" s="760"/>
      <c r="C15066" s="760"/>
      <c r="D15066" s="760"/>
      <c r="E15066" s="760"/>
      <c r="F15066" s="760"/>
      <c r="G15066" s="760"/>
      <c r="H15066" s="760"/>
      <c r="I15066" s="760"/>
      <c r="J15066" s="760"/>
      <c r="K15066" s="760"/>
    </row>
    <row r="15067" spans="1:11">
      <c r="A15067" s="760"/>
      <c r="B15067" s="760"/>
      <c r="C15067" s="760"/>
      <c r="D15067" s="760"/>
      <c r="E15067" s="760"/>
      <c r="F15067" s="760"/>
      <c r="G15067" s="760"/>
      <c r="H15067" s="760"/>
      <c r="I15067" s="760"/>
      <c r="J15067" s="760"/>
      <c r="K15067" s="760"/>
    </row>
    <row r="15068" spans="1:11">
      <c r="A15068" s="760"/>
      <c r="B15068" s="760"/>
      <c r="C15068" s="760"/>
      <c r="D15068" s="760"/>
      <c r="E15068" s="760"/>
      <c r="F15068" s="760"/>
      <c r="G15068" s="760"/>
      <c r="H15068" s="760"/>
      <c r="I15068" s="760"/>
      <c r="J15068" s="760"/>
      <c r="K15068" s="760"/>
    </row>
    <row r="15069" spans="1:11">
      <c r="A15069" s="760"/>
      <c r="B15069" s="760"/>
      <c r="C15069" s="760"/>
      <c r="D15069" s="760"/>
      <c r="E15069" s="760"/>
      <c r="F15069" s="760"/>
      <c r="G15069" s="760"/>
      <c r="H15069" s="760"/>
      <c r="I15069" s="760"/>
      <c r="J15069" s="760"/>
      <c r="K15069" s="760"/>
    </row>
    <row r="15070" spans="1:11">
      <c r="A15070" s="760"/>
      <c r="B15070" s="760"/>
      <c r="C15070" s="760"/>
      <c r="D15070" s="760"/>
      <c r="E15070" s="760"/>
      <c r="F15070" s="760"/>
      <c r="G15070" s="760"/>
      <c r="H15070" s="760"/>
      <c r="I15070" s="760"/>
      <c r="J15070" s="760"/>
      <c r="K15070" s="760"/>
    </row>
    <row r="15071" spans="1:11">
      <c r="A15071" s="760"/>
      <c r="B15071" s="760"/>
      <c r="C15071" s="760"/>
      <c r="D15071" s="760"/>
      <c r="E15071" s="760"/>
      <c r="F15071" s="760"/>
      <c r="G15071" s="760"/>
      <c r="H15071" s="760"/>
      <c r="I15071" s="760"/>
      <c r="J15071" s="760"/>
      <c r="K15071" s="760"/>
    </row>
    <row r="15072" spans="1:11">
      <c r="A15072" s="760"/>
      <c r="B15072" s="760"/>
      <c r="C15072" s="760"/>
      <c r="D15072" s="760"/>
      <c r="E15072" s="760"/>
      <c r="F15072" s="760"/>
      <c r="G15072" s="760"/>
      <c r="H15072" s="760"/>
      <c r="I15072" s="760"/>
      <c r="J15072" s="760"/>
      <c r="K15072" s="760"/>
    </row>
    <row r="15073" spans="1:11">
      <c r="A15073" s="760"/>
      <c r="B15073" s="760"/>
      <c r="C15073" s="760"/>
      <c r="D15073" s="760"/>
      <c r="E15073" s="760"/>
      <c r="F15073" s="760"/>
      <c r="G15073" s="760"/>
      <c r="H15073" s="760"/>
      <c r="I15073" s="760"/>
      <c r="J15073" s="760"/>
      <c r="K15073" s="760"/>
    </row>
    <row r="15074" spans="1:11">
      <c r="A15074" s="760"/>
      <c r="B15074" s="760"/>
      <c r="C15074" s="760"/>
      <c r="D15074" s="760"/>
      <c r="E15074" s="760"/>
      <c r="F15074" s="760"/>
      <c r="G15074" s="760"/>
      <c r="H15074" s="760"/>
      <c r="I15074" s="760"/>
      <c r="J15074" s="760"/>
      <c r="K15074" s="760"/>
    </row>
    <row r="15075" spans="1:11">
      <c r="A15075" s="760"/>
      <c r="B15075" s="760"/>
      <c r="C15075" s="760"/>
      <c r="D15075" s="760"/>
      <c r="E15075" s="760"/>
      <c r="F15075" s="760"/>
      <c r="G15075" s="760"/>
      <c r="H15075" s="760"/>
      <c r="I15075" s="760"/>
      <c r="J15075" s="760"/>
      <c r="K15075" s="760"/>
    </row>
    <row r="15076" spans="1:11">
      <c r="A15076" s="760"/>
      <c r="B15076" s="760"/>
      <c r="C15076" s="760"/>
      <c r="D15076" s="760"/>
      <c r="E15076" s="760"/>
      <c r="F15076" s="760"/>
      <c r="G15076" s="760"/>
      <c r="H15076" s="760"/>
      <c r="I15076" s="760"/>
      <c r="J15076" s="760"/>
      <c r="K15076" s="760"/>
    </row>
    <row r="15077" spans="1:11">
      <c r="A15077" s="760"/>
      <c r="B15077" s="760"/>
      <c r="C15077" s="760"/>
      <c r="D15077" s="760"/>
      <c r="E15077" s="760"/>
      <c r="F15077" s="760"/>
      <c r="G15077" s="760"/>
      <c r="H15077" s="760"/>
      <c r="I15077" s="760"/>
      <c r="J15077" s="760"/>
      <c r="K15077" s="760"/>
    </row>
    <row r="15078" spans="1:11">
      <c r="A15078" s="760"/>
      <c r="B15078" s="760"/>
      <c r="C15078" s="760"/>
      <c r="D15078" s="760"/>
      <c r="E15078" s="760"/>
      <c r="F15078" s="760"/>
      <c r="G15078" s="760"/>
      <c r="H15078" s="760"/>
      <c r="I15078" s="760"/>
      <c r="J15078" s="760"/>
      <c r="K15078" s="760"/>
    </row>
    <row r="15079" spans="1:11">
      <c r="A15079" s="760"/>
      <c r="B15079" s="760"/>
      <c r="C15079" s="760"/>
      <c r="D15079" s="760"/>
      <c r="E15079" s="760"/>
      <c r="F15079" s="760"/>
      <c r="G15079" s="760"/>
      <c r="H15079" s="760"/>
      <c r="I15079" s="760"/>
      <c r="J15079" s="760"/>
      <c r="K15079" s="760"/>
    </row>
    <row r="15080" spans="1:11">
      <c r="A15080" s="760"/>
      <c r="B15080" s="760"/>
      <c r="C15080" s="760"/>
      <c r="D15080" s="760"/>
      <c r="E15080" s="760"/>
      <c r="F15080" s="760"/>
      <c r="G15080" s="760"/>
      <c r="H15080" s="760"/>
      <c r="I15080" s="760"/>
      <c r="J15080" s="760"/>
      <c r="K15080" s="760"/>
    </row>
    <row r="15081" spans="1:11">
      <c r="A15081" s="760"/>
      <c r="B15081" s="760"/>
      <c r="C15081" s="760"/>
      <c r="D15081" s="760"/>
      <c r="E15081" s="760"/>
      <c r="F15081" s="760"/>
      <c r="G15081" s="760"/>
      <c r="H15081" s="760"/>
      <c r="I15081" s="760"/>
      <c r="J15081" s="760"/>
      <c r="K15081" s="760"/>
    </row>
    <row r="15082" spans="1:11">
      <c r="A15082" s="760"/>
      <c r="B15082" s="760"/>
      <c r="C15082" s="760"/>
      <c r="D15082" s="760"/>
      <c r="E15082" s="760"/>
      <c r="F15082" s="760"/>
      <c r="G15082" s="760"/>
      <c r="H15082" s="760"/>
      <c r="I15082" s="760"/>
      <c r="J15082" s="760"/>
      <c r="K15082" s="760"/>
    </row>
    <row r="15083" spans="1:11">
      <c r="A15083" s="760"/>
      <c r="B15083" s="760"/>
      <c r="C15083" s="760"/>
      <c r="D15083" s="760"/>
      <c r="E15083" s="760"/>
      <c r="F15083" s="760"/>
      <c r="G15083" s="760"/>
      <c r="H15083" s="760"/>
      <c r="I15083" s="760"/>
      <c r="J15083" s="760"/>
      <c r="K15083" s="760"/>
    </row>
    <row r="15084" spans="1:11">
      <c r="A15084" s="760"/>
      <c r="B15084" s="760"/>
      <c r="C15084" s="760"/>
      <c r="D15084" s="760"/>
      <c r="E15084" s="760"/>
      <c r="F15084" s="760"/>
      <c r="G15084" s="760"/>
      <c r="H15084" s="760"/>
      <c r="I15084" s="760"/>
      <c r="J15084" s="760"/>
      <c r="K15084" s="760"/>
    </row>
    <row r="15085" spans="1:11">
      <c r="A15085" s="760"/>
      <c r="B15085" s="760"/>
      <c r="C15085" s="760"/>
      <c r="D15085" s="760"/>
      <c r="E15085" s="760"/>
      <c r="F15085" s="760"/>
      <c r="G15085" s="760"/>
      <c r="H15085" s="760"/>
      <c r="I15085" s="760"/>
      <c r="J15085" s="760"/>
      <c r="K15085" s="760"/>
    </row>
    <row r="15086" spans="1:11">
      <c r="A15086" s="760"/>
      <c r="B15086" s="760"/>
      <c r="C15086" s="760"/>
      <c r="D15086" s="760"/>
      <c r="E15086" s="760"/>
      <c r="F15086" s="760"/>
      <c r="G15086" s="760"/>
      <c r="H15086" s="760"/>
      <c r="I15086" s="760"/>
      <c r="J15086" s="760"/>
      <c r="K15086" s="760"/>
    </row>
    <row r="15087" spans="1:11">
      <c r="A15087" s="760"/>
      <c r="B15087" s="760"/>
      <c r="C15087" s="760"/>
      <c r="D15087" s="760"/>
      <c r="E15087" s="760"/>
      <c r="F15087" s="760"/>
      <c r="G15087" s="760"/>
      <c r="H15087" s="760"/>
      <c r="I15087" s="760"/>
      <c r="J15087" s="760"/>
      <c r="K15087" s="760"/>
    </row>
    <row r="15088" spans="1:11">
      <c r="A15088" s="760"/>
      <c r="B15088" s="760"/>
      <c r="C15088" s="760"/>
      <c r="D15088" s="760"/>
      <c r="E15088" s="760"/>
      <c r="F15088" s="760"/>
      <c r="G15088" s="760"/>
      <c r="H15088" s="760"/>
      <c r="I15088" s="760"/>
      <c r="J15088" s="760"/>
      <c r="K15088" s="760"/>
    </row>
    <row r="15089" spans="1:11">
      <c r="A15089" s="760"/>
      <c r="B15089" s="760"/>
      <c r="C15089" s="760"/>
      <c r="D15089" s="760"/>
      <c r="E15089" s="760"/>
      <c r="F15089" s="760"/>
      <c r="G15089" s="760"/>
      <c r="H15089" s="760"/>
      <c r="I15089" s="760"/>
      <c r="J15089" s="760"/>
      <c r="K15089" s="760"/>
    </row>
    <row r="15090" spans="1:11">
      <c r="A15090" s="760"/>
      <c r="B15090" s="760"/>
      <c r="C15090" s="760"/>
      <c r="D15090" s="760"/>
      <c r="E15090" s="760"/>
      <c r="F15090" s="760"/>
      <c r="G15090" s="760"/>
      <c r="H15090" s="760"/>
      <c r="I15090" s="760"/>
      <c r="J15090" s="760"/>
      <c r="K15090" s="760"/>
    </row>
    <row r="15091" spans="1:11">
      <c r="A15091" s="760"/>
      <c r="B15091" s="760"/>
      <c r="C15091" s="760"/>
      <c r="D15091" s="760"/>
      <c r="E15091" s="760"/>
      <c r="F15091" s="760"/>
      <c r="G15091" s="760"/>
      <c r="H15091" s="760"/>
      <c r="I15091" s="760"/>
      <c r="J15091" s="760"/>
      <c r="K15091" s="760"/>
    </row>
    <row r="15092" spans="1:11">
      <c r="A15092" s="760"/>
      <c r="B15092" s="760"/>
      <c r="C15092" s="760"/>
      <c r="D15092" s="760"/>
      <c r="E15092" s="760"/>
      <c r="F15092" s="760"/>
      <c r="G15092" s="760"/>
      <c r="H15092" s="760"/>
      <c r="I15092" s="760"/>
      <c r="J15092" s="760"/>
      <c r="K15092" s="760"/>
    </row>
    <row r="15093" spans="1:11">
      <c r="A15093" s="760"/>
      <c r="B15093" s="760"/>
      <c r="C15093" s="760"/>
      <c r="D15093" s="760"/>
      <c r="E15093" s="760"/>
      <c r="F15093" s="760"/>
      <c r="G15093" s="760"/>
      <c r="H15093" s="760"/>
      <c r="I15093" s="760"/>
      <c r="J15093" s="760"/>
      <c r="K15093" s="760"/>
    </row>
    <row r="15094" spans="1:11">
      <c r="A15094" s="760"/>
      <c r="B15094" s="760"/>
      <c r="C15094" s="760"/>
      <c r="D15094" s="760"/>
      <c r="E15094" s="760"/>
      <c r="F15094" s="760"/>
      <c r="G15094" s="760"/>
      <c r="H15094" s="760"/>
      <c r="I15094" s="760"/>
      <c r="J15094" s="760"/>
      <c r="K15094" s="760"/>
    </row>
    <row r="15095" spans="1:11">
      <c r="A15095" s="760"/>
      <c r="B15095" s="760"/>
      <c r="C15095" s="760"/>
      <c r="D15095" s="760"/>
      <c r="E15095" s="760"/>
      <c r="F15095" s="760"/>
      <c r="G15095" s="760"/>
      <c r="H15095" s="760"/>
      <c r="I15095" s="760"/>
      <c r="J15095" s="760"/>
      <c r="K15095" s="760"/>
    </row>
    <row r="15096" spans="1:11">
      <c r="A15096" s="760"/>
      <c r="B15096" s="760"/>
      <c r="C15096" s="760"/>
      <c r="D15096" s="760"/>
      <c r="E15096" s="760"/>
      <c r="F15096" s="760"/>
      <c r="G15096" s="760"/>
      <c r="H15096" s="760"/>
      <c r="I15096" s="760"/>
      <c r="J15096" s="760"/>
      <c r="K15096" s="760"/>
    </row>
    <row r="15097" spans="1:11">
      <c r="A15097" s="760"/>
      <c r="B15097" s="760"/>
      <c r="C15097" s="760"/>
      <c r="D15097" s="760"/>
      <c r="E15097" s="760"/>
      <c r="F15097" s="760"/>
      <c r="G15097" s="760"/>
      <c r="H15097" s="760"/>
      <c r="I15097" s="760"/>
      <c r="J15097" s="760"/>
      <c r="K15097" s="760"/>
    </row>
    <row r="15098" spans="1:11">
      <c r="A15098" s="760"/>
      <c r="B15098" s="760"/>
      <c r="C15098" s="760"/>
      <c r="D15098" s="760"/>
      <c r="E15098" s="760"/>
      <c r="F15098" s="760"/>
      <c r="G15098" s="760"/>
      <c r="H15098" s="760"/>
      <c r="I15098" s="760"/>
      <c r="J15098" s="760"/>
      <c r="K15098" s="760"/>
    </row>
    <row r="15099" spans="1:11">
      <c r="A15099" s="760"/>
      <c r="B15099" s="760"/>
      <c r="C15099" s="760"/>
      <c r="D15099" s="760"/>
      <c r="E15099" s="760"/>
      <c r="F15099" s="760"/>
      <c r="G15099" s="760"/>
      <c r="H15099" s="760"/>
      <c r="I15099" s="760"/>
      <c r="J15099" s="760"/>
      <c r="K15099" s="760"/>
    </row>
    <row r="15100" spans="1:11">
      <c r="A15100" s="760"/>
      <c r="B15100" s="760"/>
      <c r="C15100" s="760"/>
      <c r="D15100" s="760"/>
      <c r="E15100" s="760"/>
      <c r="F15100" s="760"/>
      <c r="G15100" s="760"/>
      <c r="H15100" s="760"/>
      <c r="I15100" s="760"/>
      <c r="J15100" s="760"/>
      <c r="K15100" s="760"/>
    </row>
    <row r="15101" spans="1:11">
      <c r="A15101" s="760"/>
      <c r="B15101" s="760"/>
      <c r="C15101" s="760"/>
      <c r="D15101" s="760"/>
      <c r="E15101" s="760"/>
      <c r="F15101" s="760"/>
      <c r="G15101" s="760"/>
      <c r="H15101" s="760"/>
      <c r="I15101" s="760"/>
      <c r="J15101" s="760"/>
      <c r="K15101" s="760"/>
    </row>
    <row r="15102" spans="1:11">
      <c r="A15102" s="760"/>
      <c r="B15102" s="760"/>
      <c r="C15102" s="760"/>
      <c r="D15102" s="760"/>
      <c r="E15102" s="760"/>
      <c r="F15102" s="760"/>
      <c r="G15102" s="760"/>
      <c r="H15102" s="760"/>
      <c r="I15102" s="760"/>
      <c r="J15102" s="760"/>
      <c r="K15102" s="760"/>
    </row>
    <row r="15103" spans="1:11">
      <c r="A15103" s="760"/>
      <c r="B15103" s="760"/>
      <c r="C15103" s="760"/>
      <c r="D15103" s="760"/>
      <c r="E15103" s="760"/>
      <c r="F15103" s="760"/>
      <c r="G15103" s="760"/>
      <c r="H15103" s="760"/>
      <c r="I15103" s="760"/>
      <c r="J15103" s="760"/>
      <c r="K15103" s="760"/>
    </row>
    <row r="15104" spans="1:11">
      <c r="A15104" s="760"/>
      <c r="B15104" s="760"/>
      <c r="C15104" s="760"/>
      <c r="D15104" s="760"/>
      <c r="E15104" s="760"/>
      <c r="F15104" s="760"/>
      <c r="G15104" s="760"/>
      <c r="H15104" s="760"/>
      <c r="I15104" s="760"/>
      <c r="J15104" s="760"/>
      <c r="K15104" s="760"/>
    </row>
    <row r="15105" spans="1:11">
      <c r="A15105" s="760"/>
      <c r="B15105" s="760"/>
      <c r="C15105" s="760"/>
      <c r="D15105" s="760"/>
      <c r="E15105" s="760"/>
      <c r="F15105" s="760"/>
      <c r="G15105" s="760"/>
      <c r="H15105" s="760"/>
      <c r="I15105" s="760"/>
      <c r="J15105" s="760"/>
      <c r="K15105" s="760"/>
    </row>
    <row r="15106" spans="1:11">
      <c r="A15106" s="760"/>
      <c r="B15106" s="760"/>
      <c r="C15106" s="760"/>
      <c r="D15106" s="760"/>
      <c r="E15106" s="760"/>
      <c r="F15106" s="760"/>
      <c r="G15106" s="760"/>
      <c r="H15106" s="760"/>
      <c r="I15106" s="760"/>
      <c r="J15106" s="760"/>
      <c r="K15106" s="760"/>
    </row>
    <row r="15107" spans="1:11">
      <c r="A15107" s="760"/>
      <c r="B15107" s="760"/>
      <c r="C15107" s="760"/>
      <c r="D15107" s="760"/>
      <c r="E15107" s="760"/>
      <c r="F15107" s="760"/>
      <c r="G15107" s="760"/>
      <c r="H15107" s="760"/>
      <c r="I15107" s="760"/>
      <c r="J15107" s="760"/>
      <c r="K15107" s="760"/>
    </row>
    <row r="15108" spans="1:11">
      <c r="A15108" s="760"/>
      <c r="B15108" s="760"/>
      <c r="C15108" s="760"/>
      <c r="D15108" s="760"/>
      <c r="E15108" s="760"/>
      <c r="F15108" s="760"/>
      <c r="G15108" s="760"/>
      <c r="H15108" s="760"/>
      <c r="I15108" s="760"/>
      <c r="J15108" s="760"/>
      <c r="K15108" s="760"/>
    </row>
    <row r="15109" spans="1:11">
      <c r="A15109" s="760"/>
      <c r="B15109" s="760"/>
      <c r="C15109" s="760"/>
      <c r="D15109" s="760"/>
      <c r="E15109" s="760"/>
      <c r="F15109" s="760"/>
      <c r="G15109" s="760"/>
      <c r="H15109" s="760"/>
      <c r="I15109" s="760"/>
      <c r="J15109" s="760"/>
      <c r="K15109" s="760"/>
    </row>
    <row r="15110" spans="1:11">
      <c r="A15110" s="760"/>
      <c r="B15110" s="760"/>
      <c r="C15110" s="760"/>
      <c r="D15110" s="760"/>
      <c r="E15110" s="760"/>
      <c r="F15110" s="760"/>
      <c r="G15110" s="760"/>
      <c r="H15110" s="760"/>
      <c r="I15110" s="760"/>
      <c r="J15110" s="760"/>
      <c r="K15110" s="760"/>
    </row>
    <row r="15111" spans="1:11">
      <c r="A15111" s="760"/>
      <c r="B15111" s="760"/>
      <c r="C15111" s="760"/>
      <c r="D15111" s="760"/>
      <c r="E15111" s="760"/>
      <c r="F15111" s="760"/>
      <c r="G15111" s="760"/>
      <c r="H15111" s="760"/>
      <c r="I15111" s="760"/>
      <c r="J15111" s="760"/>
      <c r="K15111" s="760"/>
    </row>
    <row r="15112" spans="1:11">
      <c r="A15112" s="760"/>
      <c r="B15112" s="760"/>
      <c r="C15112" s="760"/>
      <c r="D15112" s="760"/>
      <c r="E15112" s="760"/>
      <c r="F15112" s="760"/>
      <c r="G15112" s="760"/>
      <c r="H15112" s="760"/>
      <c r="I15112" s="760"/>
      <c r="J15112" s="760"/>
      <c r="K15112" s="760"/>
    </row>
    <row r="15113" spans="1:11">
      <c r="A15113" s="760"/>
      <c r="B15113" s="760"/>
      <c r="C15113" s="760"/>
      <c r="D15113" s="760"/>
      <c r="E15113" s="760"/>
      <c r="F15113" s="760"/>
      <c r="G15113" s="760"/>
      <c r="H15113" s="760"/>
      <c r="I15113" s="760"/>
      <c r="J15113" s="760"/>
      <c r="K15113" s="760"/>
    </row>
    <row r="15114" spans="1:11">
      <c r="A15114" s="760"/>
      <c r="B15114" s="760"/>
      <c r="C15114" s="760"/>
      <c r="D15114" s="760"/>
      <c r="E15114" s="760"/>
      <c r="F15114" s="760"/>
      <c r="G15114" s="760"/>
      <c r="H15114" s="760"/>
      <c r="I15114" s="760"/>
      <c r="J15114" s="760"/>
      <c r="K15114" s="760"/>
    </row>
    <row r="15115" spans="1:11">
      <c r="A15115" s="760"/>
      <c r="B15115" s="760"/>
      <c r="C15115" s="760"/>
      <c r="D15115" s="760"/>
      <c r="E15115" s="760"/>
      <c r="F15115" s="760"/>
      <c r="G15115" s="760"/>
      <c r="H15115" s="760"/>
      <c r="I15115" s="760"/>
      <c r="J15115" s="760"/>
      <c r="K15115" s="760"/>
    </row>
    <row r="15116" spans="1:11">
      <c r="A15116" s="760"/>
      <c r="B15116" s="760"/>
      <c r="C15116" s="760"/>
      <c r="D15116" s="760"/>
      <c r="E15116" s="760"/>
      <c r="F15116" s="760"/>
      <c r="G15116" s="760"/>
      <c r="H15116" s="760"/>
      <c r="I15116" s="760"/>
      <c r="J15116" s="760"/>
      <c r="K15116" s="760"/>
    </row>
    <row r="15117" spans="1:11">
      <c r="A15117" s="760"/>
      <c r="B15117" s="760"/>
      <c r="C15117" s="760"/>
      <c r="D15117" s="760"/>
      <c r="E15117" s="760"/>
      <c r="F15117" s="760"/>
      <c r="G15117" s="760"/>
      <c r="H15117" s="760"/>
      <c r="I15117" s="760"/>
      <c r="J15117" s="760"/>
      <c r="K15117" s="760"/>
    </row>
    <row r="15118" spans="1:11">
      <c r="A15118" s="760"/>
      <c r="B15118" s="760"/>
      <c r="C15118" s="760"/>
      <c r="D15118" s="760"/>
      <c r="E15118" s="760"/>
      <c r="F15118" s="760"/>
      <c r="G15118" s="760"/>
      <c r="H15118" s="760"/>
      <c r="I15118" s="760"/>
      <c r="J15118" s="760"/>
      <c r="K15118" s="760"/>
    </row>
    <row r="15119" spans="1:11">
      <c r="A15119" s="760"/>
      <c r="B15119" s="760"/>
      <c r="C15119" s="760"/>
      <c r="D15119" s="760"/>
      <c r="E15119" s="760"/>
      <c r="F15119" s="760"/>
      <c r="G15119" s="760"/>
      <c r="H15119" s="760"/>
      <c r="I15119" s="760"/>
      <c r="J15119" s="760"/>
      <c r="K15119" s="760"/>
    </row>
    <row r="15120" spans="1:11">
      <c r="A15120" s="760"/>
      <c r="B15120" s="760"/>
      <c r="C15120" s="760"/>
      <c r="D15120" s="760"/>
      <c r="E15120" s="760"/>
      <c r="F15120" s="760"/>
      <c r="G15120" s="760"/>
      <c r="H15120" s="760"/>
      <c r="I15120" s="760"/>
      <c r="J15120" s="760"/>
      <c r="K15120" s="760"/>
    </row>
    <row r="15121" spans="1:11">
      <c r="A15121" s="760"/>
      <c r="B15121" s="760"/>
      <c r="C15121" s="760"/>
      <c r="D15121" s="760"/>
      <c r="E15121" s="760"/>
      <c r="F15121" s="760"/>
      <c r="G15121" s="760"/>
      <c r="H15121" s="760"/>
      <c r="I15121" s="760"/>
      <c r="J15121" s="760"/>
      <c r="K15121" s="760"/>
    </row>
    <row r="15122" spans="1:11">
      <c r="A15122" s="760"/>
      <c r="B15122" s="760"/>
      <c r="C15122" s="760"/>
      <c r="D15122" s="760"/>
      <c r="E15122" s="760"/>
      <c r="F15122" s="760"/>
      <c r="G15122" s="760"/>
      <c r="H15122" s="760"/>
      <c r="I15122" s="760"/>
      <c r="J15122" s="760"/>
      <c r="K15122" s="760"/>
    </row>
    <row r="15123" spans="1:11">
      <c r="A15123" s="760"/>
      <c r="B15123" s="760"/>
      <c r="C15123" s="760"/>
      <c r="D15123" s="760"/>
      <c r="E15123" s="760"/>
      <c r="F15123" s="760"/>
      <c r="G15123" s="760"/>
      <c r="H15123" s="760"/>
      <c r="I15123" s="760"/>
      <c r="J15123" s="760"/>
      <c r="K15123" s="760"/>
    </row>
    <row r="15124" spans="1:11">
      <c r="A15124" s="760"/>
      <c r="B15124" s="760"/>
      <c r="C15124" s="760"/>
      <c r="D15124" s="760"/>
      <c r="E15124" s="760"/>
      <c r="F15124" s="760"/>
      <c r="G15124" s="760"/>
      <c r="H15124" s="760"/>
      <c r="I15124" s="760"/>
      <c r="J15124" s="760"/>
      <c r="K15124" s="760"/>
    </row>
    <row r="15125" spans="1:11">
      <c r="A15125" s="760"/>
      <c r="B15125" s="760"/>
      <c r="C15125" s="760"/>
      <c r="D15125" s="760"/>
      <c r="E15125" s="760"/>
      <c r="F15125" s="760"/>
      <c r="G15125" s="760"/>
      <c r="H15125" s="760"/>
      <c r="I15125" s="760"/>
      <c r="J15125" s="760"/>
      <c r="K15125" s="760"/>
    </row>
    <row r="15126" spans="1:11">
      <c r="A15126" s="760"/>
      <c r="B15126" s="760"/>
      <c r="C15126" s="760"/>
      <c r="D15126" s="760"/>
      <c r="E15126" s="760"/>
      <c r="F15126" s="760"/>
      <c r="G15126" s="760"/>
      <c r="H15126" s="760"/>
      <c r="I15126" s="760"/>
      <c r="J15126" s="760"/>
      <c r="K15126" s="760"/>
    </row>
    <row r="15127" spans="1:11">
      <c r="A15127" s="760"/>
      <c r="B15127" s="760"/>
      <c r="C15127" s="760"/>
      <c r="D15127" s="760"/>
      <c r="E15127" s="760"/>
      <c r="F15127" s="760"/>
      <c r="G15127" s="760"/>
      <c r="H15127" s="760"/>
      <c r="I15127" s="760"/>
      <c r="J15127" s="760"/>
      <c r="K15127" s="760"/>
    </row>
    <row r="15128" spans="1:11">
      <c r="A15128" s="760"/>
      <c r="B15128" s="760"/>
      <c r="C15128" s="760"/>
      <c r="D15128" s="760"/>
      <c r="E15128" s="760"/>
      <c r="F15128" s="760"/>
      <c r="G15128" s="760"/>
      <c r="H15128" s="760"/>
      <c r="I15128" s="760"/>
      <c r="J15128" s="760"/>
      <c r="K15128" s="760"/>
    </row>
    <row r="15129" spans="1:11">
      <c r="A15129" s="760"/>
      <c r="B15129" s="760"/>
      <c r="C15129" s="760"/>
      <c r="D15129" s="760"/>
      <c r="E15129" s="760"/>
      <c r="F15129" s="760"/>
      <c r="G15129" s="760"/>
      <c r="H15129" s="760"/>
      <c r="I15129" s="760"/>
      <c r="J15129" s="760"/>
      <c r="K15129" s="760"/>
    </row>
    <row r="15130" spans="1:11">
      <c r="A15130" s="760"/>
      <c r="B15130" s="760"/>
      <c r="C15130" s="760"/>
      <c r="D15130" s="760"/>
      <c r="E15130" s="760"/>
      <c r="F15130" s="760"/>
      <c r="G15130" s="760"/>
      <c r="H15130" s="760"/>
      <c r="I15130" s="760"/>
      <c r="J15130" s="760"/>
      <c r="K15130" s="760"/>
    </row>
    <row r="15131" spans="1:11">
      <c r="A15131" s="760"/>
      <c r="B15131" s="760"/>
      <c r="C15131" s="760"/>
      <c r="D15131" s="760"/>
      <c r="E15131" s="760"/>
      <c r="F15131" s="760"/>
      <c r="G15131" s="760"/>
      <c r="H15131" s="760"/>
      <c r="I15131" s="760"/>
      <c r="J15131" s="760"/>
      <c r="K15131" s="760"/>
    </row>
    <row r="15132" spans="1:11">
      <c r="A15132" s="760"/>
      <c r="B15132" s="760"/>
      <c r="C15132" s="760"/>
      <c r="D15132" s="760"/>
      <c r="E15132" s="760"/>
      <c r="F15132" s="760"/>
      <c r="G15132" s="760"/>
      <c r="H15132" s="760"/>
      <c r="I15132" s="760"/>
      <c r="J15132" s="760"/>
      <c r="K15132" s="760"/>
    </row>
    <row r="15133" spans="1:11">
      <c r="A15133" s="760"/>
      <c r="B15133" s="760"/>
      <c r="C15133" s="760"/>
      <c r="D15133" s="760"/>
      <c r="E15133" s="760"/>
      <c r="F15133" s="760"/>
      <c r="G15133" s="760"/>
      <c r="H15133" s="760"/>
      <c r="I15133" s="760"/>
      <c r="J15133" s="760"/>
      <c r="K15133" s="760"/>
    </row>
    <row r="15134" spans="1:11">
      <c r="A15134" s="760"/>
      <c r="B15134" s="760"/>
      <c r="C15134" s="760"/>
      <c r="D15134" s="760"/>
      <c r="E15134" s="760"/>
      <c r="F15134" s="760"/>
      <c r="G15134" s="760"/>
      <c r="H15134" s="760"/>
      <c r="I15134" s="760"/>
      <c r="J15134" s="760"/>
      <c r="K15134" s="760"/>
    </row>
    <row r="15135" spans="1:11">
      <c r="A15135" s="760"/>
      <c r="B15135" s="760"/>
      <c r="C15135" s="760"/>
      <c r="D15135" s="760"/>
      <c r="E15135" s="760"/>
      <c r="F15135" s="760"/>
      <c r="G15135" s="760"/>
      <c r="H15135" s="760"/>
      <c r="I15135" s="760"/>
      <c r="J15135" s="760"/>
      <c r="K15135" s="760"/>
    </row>
    <row r="15136" spans="1:11">
      <c r="A15136" s="760"/>
      <c r="B15136" s="760"/>
      <c r="C15136" s="760"/>
      <c r="D15136" s="760"/>
      <c r="E15136" s="760"/>
      <c r="F15136" s="760"/>
      <c r="G15136" s="760"/>
      <c r="H15136" s="760"/>
      <c r="I15136" s="760"/>
      <c r="J15136" s="760"/>
      <c r="K15136" s="760"/>
    </row>
    <row r="15137" spans="1:11">
      <c r="A15137" s="760"/>
      <c r="B15137" s="760"/>
      <c r="C15137" s="760"/>
      <c r="D15137" s="760"/>
      <c r="E15137" s="760"/>
      <c r="F15137" s="760"/>
      <c r="G15137" s="760"/>
      <c r="H15137" s="760"/>
      <c r="I15137" s="760"/>
      <c r="J15137" s="760"/>
      <c r="K15137" s="760"/>
    </row>
    <row r="15138" spans="1:11">
      <c r="A15138" s="760"/>
      <c r="B15138" s="760"/>
      <c r="C15138" s="760"/>
      <c r="D15138" s="760"/>
      <c r="E15138" s="760"/>
      <c r="F15138" s="760"/>
      <c r="G15138" s="760"/>
      <c r="H15138" s="760"/>
      <c r="I15138" s="760"/>
      <c r="J15138" s="760"/>
      <c r="K15138" s="760"/>
    </row>
    <row r="15139" spans="1:11">
      <c r="A15139" s="760"/>
      <c r="B15139" s="760"/>
      <c r="C15139" s="760"/>
      <c r="D15139" s="760"/>
      <c r="E15139" s="760"/>
      <c r="F15139" s="760"/>
      <c r="G15139" s="760"/>
      <c r="H15139" s="760"/>
      <c r="I15139" s="760"/>
      <c r="J15139" s="760"/>
      <c r="K15139" s="760"/>
    </row>
    <row r="15140" spans="1:11">
      <c r="A15140" s="760"/>
      <c r="B15140" s="760"/>
      <c r="C15140" s="760"/>
      <c r="D15140" s="760"/>
      <c r="E15140" s="760"/>
      <c r="F15140" s="760"/>
      <c r="G15140" s="760"/>
      <c r="H15140" s="760"/>
      <c r="I15140" s="760"/>
      <c r="J15140" s="760"/>
      <c r="K15140" s="760"/>
    </row>
    <row r="15141" spans="1:11">
      <c r="A15141" s="760"/>
      <c r="B15141" s="760"/>
      <c r="C15141" s="760"/>
      <c r="D15141" s="760"/>
      <c r="E15141" s="760"/>
      <c r="F15141" s="760"/>
      <c r="G15141" s="760"/>
      <c r="H15141" s="760"/>
      <c r="I15141" s="760"/>
      <c r="J15141" s="760"/>
      <c r="K15141" s="760"/>
    </row>
    <row r="15142" spans="1:11">
      <c r="A15142" s="760"/>
      <c r="B15142" s="760"/>
      <c r="C15142" s="760"/>
      <c r="D15142" s="760"/>
      <c r="E15142" s="760"/>
      <c r="F15142" s="760"/>
      <c r="G15142" s="760"/>
      <c r="H15142" s="760"/>
      <c r="I15142" s="760"/>
      <c r="J15142" s="760"/>
      <c r="K15142" s="760"/>
    </row>
    <row r="15143" spans="1:11">
      <c r="A15143" s="760"/>
      <c r="B15143" s="760"/>
      <c r="C15143" s="760"/>
      <c r="D15143" s="760"/>
      <c r="E15143" s="760"/>
      <c r="F15143" s="760"/>
      <c r="G15143" s="760"/>
      <c r="H15143" s="760"/>
      <c r="I15143" s="760"/>
      <c r="J15143" s="760"/>
      <c r="K15143" s="760"/>
    </row>
    <row r="15144" spans="1:11">
      <c r="A15144" s="760"/>
      <c r="B15144" s="760"/>
      <c r="C15144" s="760"/>
      <c r="D15144" s="760"/>
      <c r="E15144" s="760"/>
      <c r="F15144" s="760"/>
      <c r="G15144" s="760"/>
      <c r="H15144" s="760"/>
      <c r="I15144" s="760"/>
      <c r="J15144" s="760"/>
      <c r="K15144" s="760"/>
    </row>
    <row r="15145" spans="1:11">
      <c r="A15145" s="760"/>
      <c r="B15145" s="760"/>
      <c r="C15145" s="760"/>
      <c r="D15145" s="760"/>
      <c r="E15145" s="760"/>
      <c r="F15145" s="760"/>
      <c r="G15145" s="760"/>
      <c r="H15145" s="760"/>
      <c r="I15145" s="760"/>
      <c r="J15145" s="760"/>
      <c r="K15145" s="760"/>
    </row>
    <row r="15146" spans="1:11">
      <c r="A15146" s="760"/>
      <c r="B15146" s="760"/>
      <c r="C15146" s="760"/>
      <c r="D15146" s="760"/>
      <c r="E15146" s="760"/>
      <c r="F15146" s="760"/>
      <c r="G15146" s="760"/>
      <c r="H15146" s="760"/>
      <c r="I15146" s="760"/>
      <c r="J15146" s="760"/>
      <c r="K15146" s="760"/>
    </row>
    <row r="15147" spans="1:11">
      <c r="A15147" s="760"/>
      <c r="B15147" s="760"/>
      <c r="C15147" s="760"/>
      <c r="D15147" s="760"/>
      <c r="E15147" s="760"/>
      <c r="F15147" s="760"/>
      <c r="G15147" s="760"/>
      <c r="H15147" s="760"/>
      <c r="I15147" s="760"/>
      <c r="J15147" s="760"/>
      <c r="K15147" s="760"/>
    </row>
    <row r="15148" spans="1:11">
      <c r="A15148" s="760"/>
      <c r="B15148" s="760"/>
      <c r="C15148" s="760"/>
      <c r="D15148" s="760"/>
      <c r="E15148" s="760"/>
      <c r="F15148" s="760"/>
      <c r="G15148" s="760"/>
      <c r="H15148" s="760"/>
      <c r="I15148" s="760"/>
      <c r="J15148" s="760"/>
      <c r="K15148" s="760"/>
    </row>
    <row r="15149" spans="1:11">
      <c r="A15149" s="760"/>
      <c r="B15149" s="760"/>
      <c r="C15149" s="760"/>
      <c r="D15149" s="760"/>
      <c r="E15149" s="760"/>
      <c r="F15149" s="760"/>
      <c r="G15149" s="760"/>
      <c r="H15149" s="760"/>
      <c r="I15149" s="760"/>
      <c r="J15149" s="760"/>
      <c r="K15149" s="760"/>
    </row>
    <row r="15150" spans="1:11">
      <c r="A15150" s="760"/>
      <c r="B15150" s="760"/>
      <c r="C15150" s="760"/>
      <c r="D15150" s="760"/>
      <c r="E15150" s="760"/>
      <c r="F15150" s="760"/>
      <c r="G15150" s="760"/>
      <c r="H15150" s="760"/>
      <c r="I15150" s="760"/>
      <c r="J15150" s="760"/>
      <c r="K15150" s="760"/>
    </row>
    <row r="15151" spans="1:11">
      <c r="A15151" s="760"/>
      <c r="B15151" s="760"/>
      <c r="C15151" s="760"/>
      <c r="D15151" s="760"/>
      <c r="E15151" s="760"/>
      <c r="F15151" s="760"/>
      <c r="G15151" s="760"/>
      <c r="H15151" s="760"/>
      <c r="I15151" s="760"/>
      <c r="J15151" s="760"/>
      <c r="K15151" s="760"/>
    </row>
    <row r="15152" spans="1:11">
      <c r="A15152" s="760"/>
      <c r="B15152" s="760"/>
      <c r="C15152" s="760"/>
      <c r="D15152" s="760"/>
      <c r="E15152" s="760"/>
      <c r="F15152" s="760"/>
      <c r="G15152" s="760"/>
      <c r="H15152" s="760"/>
      <c r="I15152" s="760"/>
      <c r="J15152" s="760"/>
      <c r="K15152" s="760"/>
    </row>
    <row r="15153" spans="1:11">
      <c r="A15153" s="760"/>
      <c r="B15153" s="760"/>
      <c r="C15153" s="760"/>
      <c r="D15153" s="760"/>
      <c r="E15153" s="760"/>
      <c r="F15153" s="760"/>
      <c r="G15153" s="760"/>
      <c r="H15153" s="760"/>
      <c r="I15153" s="760"/>
      <c r="J15153" s="760"/>
      <c r="K15153" s="760"/>
    </row>
    <row r="15154" spans="1:11">
      <c r="A15154" s="760"/>
      <c r="B15154" s="760"/>
      <c r="C15154" s="760"/>
      <c r="D15154" s="760"/>
      <c r="E15154" s="760"/>
      <c r="F15154" s="760"/>
      <c r="G15154" s="760"/>
      <c r="H15154" s="760"/>
      <c r="I15154" s="760"/>
      <c r="J15154" s="760"/>
      <c r="K15154" s="760"/>
    </row>
    <row r="15155" spans="1:11">
      <c r="A15155" s="760"/>
      <c r="B15155" s="760"/>
      <c r="C15155" s="760"/>
      <c r="D15155" s="760"/>
      <c r="E15155" s="760"/>
      <c r="F15155" s="760"/>
      <c r="G15155" s="760"/>
      <c r="H15155" s="760"/>
      <c r="I15155" s="760"/>
      <c r="J15155" s="760"/>
      <c r="K15155" s="760"/>
    </row>
    <row r="15156" spans="1:11">
      <c r="A15156" s="760"/>
      <c r="B15156" s="760"/>
      <c r="C15156" s="760"/>
      <c r="D15156" s="760"/>
      <c r="E15156" s="760"/>
      <c r="F15156" s="760"/>
      <c r="G15156" s="760"/>
      <c r="H15156" s="760"/>
      <c r="I15156" s="760"/>
      <c r="J15156" s="760"/>
      <c r="K15156" s="760"/>
    </row>
    <row r="15157" spans="1:11">
      <c r="A15157" s="760"/>
      <c r="B15157" s="760"/>
      <c r="C15157" s="760"/>
      <c r="D15157" s="760"/>
      <c r="E15157" s="760"/>
      <c r="F15157" s="760"/>
      <c r="G15157" s="760"/>
      <c r="H15157" s="760"/>
      <c r="I15157" s="760"/>
      <c r="J15157" s="760"/>
      <c r="K15157" s="760"/>
    </row>
    <row r="15158" spans="1:11">
      <c r="A15158" s="760"/>
      <c r="B15158" s="760"/>
      <c r="C15158" s="760"/>
      <c r="D15158" s="760"/>
      <c r="E15158" s="760"/>
      <c r="F15158" s="760"/>
      <c r="G15158" s="760"/>
      <c r="H15158" s="760"/>
      <c r="I15158" s="760"/>
      <c r="J15158" s="760"/>
      <c r="K15158" s="760"/>
    </row>
    <row r="15159" spans="1:11">
      <c r="A15159" s="760"/>
      <c r="B15159" s="760"/>
      <c r="C15159" s="760"/>
      <c r="D15159" s="760"/>
      <c r="E15159" s="760"/>
      <c r="F15159" s="760"/>
      <c r="G15159" s="760"/>
      <c r="H15159" s="760"/>
      <c r="I15159" s="760"/>
      <c r="J15159" s="760"/>
      <c r="K15159" s="760"/>
    </row>
    <row r="15160" spans="1:11">
      <c r="A15160" s="760"/>
      <c r="B15160" s="760"/>
      <c r="C15160" s="760"/>
      <c r="D15160" s="760"/>
      <c r="E15160" s="760"/>
      <c r="F15160" s="760"/>
      <c r="G15160" s="760"/>
      <c r="H15160" s="760"/>
      <c r="I15160" s="760"/>
      <c r="J15160" s="760"/>
      <c r="K15160" s="760"/>
    </row>
    <row r="15161" spans="1:11">
      <c r="A15161" s="760"/>
      <c r="B15161" s="760"/>
      <c r="C15161" s="760"/>
      <c r="D15161" s="760"/>
      <c r="E15161" s="760"/>
      <c r="F15161" s="760"/>
      <c r="G15161" s="760"/>
      <c r="H15161" s="760"/>
      <c r="I15161" s="760"/>
      <c r="J15161" s="760"/>
      <c r="K15161" s="760"/>
    </row>
    <row r="15162" spans="1:11">
      <c r="A15162" s="760"/>
      <c r="B15162" s="760"/>
      <c r="C15162" s="760"/>
      <c r="D15162" s="760"/>
      <c r="E15162" s="760"/>
      <c r="F15162" s="760"/>
      <c r="G15162" s="760"/>
      <c r="H15162" s="760"/>
      <c r="I15162" s="760"/>
      <c r="J15162" s="760"/>
      <c r="K15162" s="760"/>
    </row>
    <row r="15163" spans="1:11">
      <c r="A15163" s="760"/>
      <c r="B15163" s="760"/>
      <c r="C15163" s="760"/>
      <c r="D15163" s="760"/>
      <c r="E15163" s="760"/>
      <c r="F15163" s="760"/>
      <c r="G15163" s="760"/>
      <c r="H15163" s="760"/>
      <c r="I15163" s="760"/>
      <c r="J15163" s="760"/>
      <c r="K15163" s="760"/>
    </row>
    <row r="15164" spans="1:11">
      <c r="A15164" s="760"/>
      <c r="B15164" s="760"/>
      <c r="C15164" s="760"/>
      <c r="D15164" s="760"/>
      <c r="E15164" s="760"/>
      <c r="F15164" s="760"/>
      <c r="G15164" s="760"/>
      <c r="H15164" s="760"/>
      <c r="I15164" s="760"/>
      <c r="J15164" s="760"/>
      <c r="K15164" s="760"/>
    </row>
    <row r="15165" spans="1:11">
      <c r="A15165" s="760"/>
      <c r="B15165" s="760"/>
      <c r="C15165" s="760"/>
      <c r="D15165" s="760"/>
      <c r="E15165" s="760"/>
      <c r="F15165" s="760"/>
      <c r="G15165" s="760"/>
      <c r="H15165" s="760"/>
      <c r="I15165" s="760"/>
      <c r="J15165" s="760"/>
      <c r="K15165" s="760"/>
    </row>
    <row r="15166" spans="1:11">
      <c r="A15166" s="760"/>
      <c r="B15166" s="760"/>
      <c r="C15166" s="760"/>
      <c r="D15166" s="760"/>
      <c r="E15166" s="760"/>
      <c r="F15166" s="760"/>
      <c r="G15166" s="760"/>
      <c r="H15166" s="760"/>
      <c r="I15166" s="760"/>
      <c r="J15166" s="760"/>
      <c r="K15166" s="760"/>
    </row>
    <row r="15167" spans="1:11">
      <c r="A15167" s="760"/>
      <c r="B15167" s="760"/>
      <c r="C15167" s="760"/>
      <c r="D15167" s="760"/>
      <c r="E15167" s="760"/>
      <c r="F15167" s="760"/>
      <c r="G15167" s="760"/>
      <c r="H15167" s="760"/>
      <c r="I15167" s="760"/>
      <c r="J15167" s="760"/>
      <c r="K15167" s="760"/>
    </row>
    <row r="15168" spans="1:11">
      <c r="A15168" s="760"/>
      <c r="B15168" s="760"/>
      <c r="C15168" s="760"/>
      <c r="D15168" s="760"/>
      <c r="E15168" s="760"/>
      <c r="F15168" s="760"/>
      <c r="G15168" s="760"/>
      <c r="H15168" s="760"/>
      <c r="I15168" s="760"/>
      <c r="J15168" s="760"/>
      <c r="K15168" s="760"/>
    </row>
    <row r="15169" spans="1:11">
      <c r="A15169" s="760"/>
      <c r="B15169" s="760"/>
      <c r="C15169" s="760"/>
      <c r="D15169" s="760"/>
      <c r="E15169" s="760"/>
      <c r="F15169" s="760"/>
      <c r="G15169" s="760"/>
      <c r="H15169" s="760"/>
      <c r="I15169" s="760"/>
      <c r="J15169" s="760"/>
      <c r="K15169" s="760"/>
    </row>
    <row r="15170" spans="1:11">
      <c r="A15170" s="760"/>
      <c r="B15170" s="760"/>
      <c r="C15170" s="760"/>
      <c r="D15170" s="760"/>
      <c r="E15170" s="760"/>
      <c r="F15170" s="760"/>
      <c r="G15170" s="760"/>
      <c r="H15170" s="760"/>
      <c r="I15170" s="760"/>
      <c r="J15170" s="760"/>
      <c r="K15170" s="760"/>
    </row>
    <row r="15171" spans="1:11">
      <c r="A15171" s="760"/>
      <c r="B15171" s="760"/>
      <c r="C15171" s="760"/>
      <c r="D15171" s="760"/>
      <c r="E15171" s="760"/>
      <c r="F15171" s="760"/>
      <c r="G15171" s="760"/>
      <c r="H15171" s="760"/>
      <c r="I15171" s="760"/>
      <c r="J15171" s="760"/>
      <c r="K15171" s="760"/>
    </row>
    <row r="15172" spans="1:11">
      <c r="A15172" s="760"/>
      <c r="B15172" s="760"/>
      <c r="C15172" s="760"/>
      <c r="D15172" s="760"/>
      <c r="E15172" s="760"/>
      <c r="F15172" s="760"/>
      <c r="G15172" s="760"/>
      <c r="H15172" s="760"/>
      <c r="I15172" s="760"/>
      <c r="J15172" s="760"/>
      <c r="K15172" s="760"/>
    </row>
    <row r="15173" spans="1:11">
      <c r="A15173" s="760"/>
      <c r="B15173" s="760"/>
      <c r="C15173" s="760"/>
      <c r="D15173" s="760"/>
      <c r="E15173" s="760"/>
      <c r="F15173" s="760"/>
      <c r="G15173" s="760"/>
      <c r="H15173" s="760"/>
      <c r="I15173" s="760"/>
      <c r="J15173" s="760"/>
      <c r="K15173" s="760"/>
    </row>
    <row r="15174" spans="1:11">
      <c r="A15174" s="760"/>
      <c r="B15174" s="760"/>
      <c r="C15174" s="760"/>
      <c r="D15174" s="760"/>
      <c r="E15174" s="760"/>
      <c r="F15174" s="760"/>
      <c r="G15174" s="760"/>
      <c r="H15174" s="760"/>
      <c r="I15174" s="760"/>
      <c r="J15174" s="760"/>
      <c r="K15174" s="760"/>
    </row>
    <row r="15175" spans="1:11">
      <c r="A15175" s="760"/>
      <c r="B15175" s="760"/>
      <c r="C15175" s="760"/>
      <c r="D15175" s="760"/>
      <c r="E15175" s="760"/>
      <c r="F15175" s="760"/>
      <c r="G15175" s="760"/>
      <c r="H15175" s="760"/>
      <c r="I15175" s="760"/>
      <c r="J15175" s="760"/>
      <c r="K15175" s="760"/>
    </row>
    <row r="15176" spans="1:11">
      <c r="A15176" s="760"/>
      <c r="B15176" s="760"/>
      <c r="C15176" s="760"/>
      <c r="D15176" s="760"/>
      <c r="E15176" s="760"/>
      <c r="F15176" s="760"/>
      <c r="G15176" s="760"/>
      <c r="H15176" s="760"/>
      <c r="I15176" s="760"/>
      <c r="J15176" s="760"/>
      <c r="K15176" s="760"/>
    </row>
    <row r="15177" spans="1:11">
      <c r="A15177" s="760"/>
      <c r="B15177" s="760"/>
      <c r="C15177" s="760"/>
      <c r="D15177" s="760"/>
      <c r="E15177" s="760"/>
      <c r="F15177" s="760"/>
      <c r="G15177" s="760"/>
      <c r="H15177" s="760"/>
      <c r="I15177" s="760"/>
      <c r="J15177" s="760"/>
      <c r="K15177" s="760"/>
    </row>
    <row r="15178" spans="1:11">
      <c r="A15178" s="760"/>
      <c r="B15178" s="760"/>
      <c r="C15178" s="760"/>
      <c r="D15178" s="760"/>
      <c r="E15178" s="760"/>
      <c r="F15178" s="760"/>
      <c r="G15178" s="760"/>
      <c r="H15178" s="760"/>
      <c r="I15178" s="760"/>
      <c r="J15178" s="760"/>
      <c r="K15178" s="760"/>
    </row>
    <row r="15179" spans="1:11">
      <c r="A15179" s="760"/>
      <c r="B15179" s="760"/>
      <c r="C15179" s="760"/>
      <c r="D15179" s="760"/>
      <c r="E15179" s="760"/>
      <c r="F15179" s="760"/>
      <c r="G15179" s="760"/>
      <c r="H15179" s="760"/>
      <c r="I15179" s="760"/>
      <c r="J15179" s="760"/>
      <c r="K15179" s="760"/>
    </row>
    <row r="15180" spans="1:11">
      <c r="A15180" s="760"/>
      <c r="B15180" s="760"/>
      <c r="C15180" s="760"/>
      <c r="D15180" s="760"/>
      <c r="E15180" s="760"/>
      <c r="F15180" s="760"/>
      <c r="G15180" s="760"/>
      <c r="H15180" s="760"/>
      <c r="I15180" s="760"/>
      <c r="J15180" s="760"/>
      <c r="K15180" s="760"/>
    </row>
    <row r="15181" spans="1:11">
      <c r="A15181" s="760"/>
      <c r="B15181" s="760"/>
      <c r="C15181" s="760"/>
      <c r="D15181" s="760"/>
      <c r="E15181" s="760"/>
      <c r="F15181" s="760"/>
      <c r="G15181" s="760"/>
      <c r="H15181" s="760"/>
      <c r="I15181" s="760"/>
      <c r="J15181" s="760"/>
      <c r="K15181" s="760"/>
    </row>
    <row r="15182" spans="1:11">
      <c r="A15182" s="760"/>
      <c r="B15182" s="760"/>
      <c r="C15182" s="760"/>
      <c r="D15182" s="760"/>
      <c r="E15182" s="760"/>
      <c r="F15182" s="760"/>
      <c r="G15182" s="760"/>
      <c r="H15182" s="760"/>
      <c r="I15182" s="760"/>
      <c r="J15182" s="760"/>
      <c r="K15182" s="760"/>
    </row>
    <row r="15183" spans="1:11">
      <c r="A15183" s="760"/>
      <c r="B15183" s="760"/>
      <c r="C15183" s="760"/>
      <c r="D15183" s="760"/>
      <c r="E15183" s="760"/>
      <c r="F15183" s="760"/>
      <c r="G15183" s="760"/>
      <c r="H15183" s="760"/>
      <c r="I15183" s="760"/>
      <c r="J15183" s="760"/>
      <c r="K15183" s="760"/>
    </row>
    <row r="15184" spans="1:11">
      <c r="A15184" s="760"/>
      <c r="B15184" s="760"/>
      <c r="C15184" s="760"/>
      <c r="D15184" s="760"/>
      <c r="E15184" s="760"/>
      <c r="F15184" s="760"/>
      <c r="G15184" s="760"/>
      <c r="H15184" s="760"/>
      <c r="I15184" s="760"/>
      <c r="J15184" s="760"/>
      <c r="K15184" s="760"/>
    </row>
    <row r="15185" spans="1:11">
      <c r="A15185" s="760"/>
      <c r="B15185" s="760"/>
      <c r="C15185" s="760"/>
      <c r="D15185" s="760"/>
      <c r="E15185" s="760"/>
      <c r="F15185" s="760"/>
      <c r="G15185" s="760"/>
      <c r="H15185" s="760"/>
      <c r="I15185" s="760"/>
      <c r="J15185" s="760"/>
      <c r="K15185" s="760"/>
    </row>
    <row r="15186" spans="1:11">
      <c r="A15186" s="760"/>
      <c r="B15186" s="760"/>
      <c r="C15186" s="760"/>
      <c r="D15186" s="760"/>
      <c r="E15186" s="760"/>
      <c r="F15186" s="760"/>
      <c r="G15186" s="760"/>
      <c r="H15186" s="760"/>
      <c r="I15186" s="760"/>
      <c r="J15186" s="760"/>
      <c r="K15186" s="760"/>
    </row>
    <row r="15187" spans="1:11">
      <c r="A15187" s="760"/>
      <c r="B15187" s="760"/>
      <c r="C15187" s="760"/>
      <c r="D15187" s="760"/>
      <c r="E15187" s="760"/>
      <c r="F15187" s="760"/>
      <c r="G15187" s="760"/>
      <c r="H15187" s="760"/>
      <c r="I15187" s="760"/>
      <c r="J15187" s="760"/>
      <c r="K15187" s="760"/>
    </row>
    <row r="15188" spans="1:11">
      <c r="A15188" s="760"/>
      <c r="B15188" s="760"/>
      <c r="C15188" s="760"/>
      <c r="D15188" s="760"/>
      <c r="E15188" s="760"/>
      <c r="F15188" s="760"/>
      <c r="G15188" s="760"/>
      <c r="H15188" s="760"/>
      <c r="I15188" s="760"/>
      <c r="J15188" s="760"/>
      <c r="K15188" s="760"/>
    </row>
    <row r="15189" spans="1:11">
      <c r="A15189" s="760"/>
      <c r="B15189" s="760"/>
      <c r="C15189" s="760"/>
      <c r="D15189" s="760"/>
      <c r="E15189" s="760"/>
      <c r="F15189" s="760"/>
      <c r="G15189" s="760"/>
      <c r="H15189" s="760"/>
      <c r="I15189" s="760"/>
      <c r="J15189" s="760"/>
      <c r="K15189" s="760"/>
    </row>
    <row r="15190" spans="1:11">
      <c r="A15190" s="760"/>
      <c r="B15190" s="760"/>
      <c r="C15190" s="760"/>
      <c r="D15190" s="760"/>
      <c r="E15190" s="760"/>
      <c r="F15190" s="760"/>
      <c r="G15190" s="760"/>
      <c r="H15190" s="760"/>
      <c r="I15190" s="760"/>
      <c r="J15190" s="760"/>
      <c r="K15190" s="760"/>
    </row>
    <row r="15191" spans="1:11">
      <c r="A15191" s="760"/>
      <c r="B15191" s="760"/>
      <c r="C15191" s="760"/>
      <c r="D15191" s="760"/>
      <c r="E15191" s="760"/>
      <c r="F15191" s="760"/>
      <c r="G15191" s="760"/>
      <c r="H15191" s="760"/>
      <c r="I15191" s="760"/>
      <c r="J15191" s="760"/>
      <c r="K15191" s="760"/>
    </row>
    <row r="15192" spans="1:11">
      <c r="A15192" s="760"/>
      <c r="B15192" s="760"/>
      <c r="C15192" s="760"/>
      <c r="D15192" s="760"/>
      <c r="E15192" s="760"/>
      <c r="F15192" s="760"/>
      <c r="G15192" s="760"/>
      <c r="H15192" s="760"/>
      <c r="I15192" s="760"/>
      <c r="J15192" s="760"/>
      <c r="K15192" s="760"/>
    </row>
    <row r="15193" spans="1:11">
      <c r="A15193" s="760"/>
      <c r="B15193" s="760"/>
      <c r="C15193" s="760"/>
      <c r="D15193" s="760"/>
      <c r="E15193" s="760"/>
      <c r="F15193" s="760"/>
      <c r="G15193" s="760"/>
      <c r="H15193" s="760"/>
      <c r="I15193" s="760"/>
      <c r="J15193" s="760"/>
      <c r="K15193" s="760"/>
    </row>
    <row r="15194" spans="1:11">
      <c r="A15194" s="760"/>
      <c r="B15194" s="760"/>
      <c r="C15194" s="760"/>
      <c r="D15194" s="760"/>
      <c r="E15194" s="760"/>
      <c r="F15194" s="760"/>
      <c r="G15194" s="760"/>
      <c r="H15194" s="760"/>
      <c r="I15194" s="760"/>
      <c r="J15194" s="760"/>
      <c r="K15194" s="760"/>
    </row>
    <row r="15195" spans="1:11">
      <c r="A15195" s="760"/>
      <c r="B15195" s="760"/>
      <c r="C15195" s="760"/>
      <c r="D15195" s="760"/>
      <c r="E15195" s="760"/>
      <c r="F15195" s="760"/>
      <c r="G15195" s="760"/>
      <c r="H15195" s="760"/>
      <c r="I15195" s="760"/>
      <c r="J15195" s="760"/>
      <c r="K15195" s="760"/>
    </row>
    <row r="15196" spans="1:11">
      <c r="A15196" s="760"/>
      <c r="B15196" s="760"/>
      <c r="C15196" s="760"/>
      <c r="D15196" s="760"/>
      <c r="E15196" s="760"/>
      <c r="F15196" s="760"/>
      <c r="G15196" s="760"/>
      <c r="H15196" s="760"/>
      <c r="I15196" s="760"/>
      <c r="J15196" s="760"/>
      <c r="K15196" s="760"/>
    </row>
    <row r="15197" spans="1:11">
      <c r="A15197" s="760"/>
      <c r="B15197" s="760"/>
      <c r="C15197" s="760"/>
      <c r="D15197" s="760"/>
      <c r="E15197" s="760"/>
      <c r="F15197" s="760"/>
      <c r="G15197" s="760"/>
      <c r="H15197" s="760"/>
      <c r="I15197" s="760"/>
      <c r="J15197" s="760"/>
      <c r="K15197" s="760"/>
    </row>
    <row r="15198" spans="1:11">
      <c r="A15198" s="760"/>
      <c r="B15198" s="760"/>
      <c r="C15198" s="760"/>
      <c r="D15198" s="760"/>
      <c r="E15198" s="760"/>
      <c r="F15198" s="760"/>
      <c r="G15198" s="760"/>
      <c r="H15198" s="760"/>
      <c r="I15198" s="760"/>
      <c r="J15198" s="760"/>
      <c r="K15198" s="760"/>
    </row>
    <row r="15199" spans="1:11">
      <c r="A15199" s="760"/>
      <c r="B15199" s="760"/>
      <c r="C15199" s="760"/>
      <c r="D15199" s="760"/>
      <c r="E15199" s="760"/>
      <c r="F15199" s="760"/>
      <c r="G15199" s="760"/>
      <c r="H15199" s="760"/>
      <c r="I15199" s="760"/>
      <c r="J15199" s="760"/>
      <c r="K15199" s="760"/>
    </row>
    <row r="15200" spans="1:11">
      <c r="A15200" s="760"/>
      <c r="B15200" s="760"/>
      <c r="C15200" s="760"/>
      <c r="D15200" s="760"/>
      <c r="E15200" s="760"/>
      <c r="F15200" s="760"/>
      <c r="G15200" s="760"/>
      <c r="H15200" s="760"/>
      <c r="I15200" s="760"/>
      <c r="J15200" s="760"/>
      <c r="K15200" s="760"/>
    </row>
    <row r="15201" spans="1:11">
      <c r="A15201" s="760"/>
      <c r="B15201" s="760"/>
      <c r="C15201" s="760"/>
      <c r="D15201" s="760"/>
      <c r="E15201" s="760"/>
      <c r="F15201" s="760"/>
      <c r="G15201" s="760"/>
      <c r="H15201" s="760"/>
      <c r="I15201" s="760"/>
      <c r="J15201" s="760"/>
      <c r="K15201" s="760"/>
    </row>
    <row r="15202" spans="1:11">
      <c r="A15202" s="760"/>
      <c r="B15202" s="760"/>
      <c r="C15202" s="760"/>
      <c r="D15202" s="760"/>
      <c r="E15202" s="760"/>
      <c r="F15202" s="760"/>
      <c r="G15202" s="760"/>
      <c r="H15202" s="760"/>
      <c r="I15202" s="760"/>
      <c r="J15202" s="760"/>
      <c r="K15202" s="760"/>
    </row>
    <row r="15203" spans="1:11">
      <c r="A15203" s="760"/>
      <c r="B15203" s="760"/>
      <c r="C15203" s="760"/>
      <c r="D15203" s="760"/>
      <c r="E15203" s="760"/>
      <c r="F15203" s="760"/>
      <c r="G15203" s="760"/>
      <c r="H15203" s="760"/>
      <c r="I15203" s="760"/>
      <c r="J15203" s="760"/>
      <c r="K15203" s="760"/>
    </row>
    <row r="15204" spans="1:11">
      <c r="A15204" s="760"/>
      <c r="B15204" s="760"/>
      <c r="C15204" s="760"/>
      <c r="D15204" s="760"/>
      <c r="E15204" s="760"/>
      <c r="F15204" s="760"/>
      <c r="G15204" s="760"/>
      <c r="H15204" s="760"/>
      <c r="I15204" s="760"/>
      <c r="J15204" s="760"/>
      <c r="K15204" s="760"/>
    </row>
    <row r="15205" spans="1:11">
      <c r="A15205" s="760"/>
      <c r="B15205" s="760"/>
      <c r="C15205" s="760"/>
      <c r="D15205" s="760"/>
      <c r="E15205" s="760"/>
      <c r="F15205" s="760"/>
      <c r="G15205" s="760"/>
      <c r="H15205" s="760"/>
      <c r="I15205" s="760"/>
      <c r="J15205" s="760"/>
      <c r="K15205" s="760"/>
    </row>
    <row r="15206" spans="1:11">
      <c r="A15206" s="760"/>
      <c r="B15206" s="760"/>
      <c r="C15206" s="760"/>
      <c r="D15206" s="760"/>
      <c r="E15206" s="760"/>
      <c r="F15206" s="760"/>
      <c r="G15206" s="760"/>
      <c r="H15206" s="760"/>
      <c r="I15206" s="760"/>
      <c r="J15206" s="760"/>
      <c r="K15206" s="760"/>
    </row>
    <row r="15207" spans="1:11">
      <c r="A15207" s="760"/>
      <c r="B15207" s="760"/>
      <c r="C15207" s="760"/>
      <c r="D15207" s="760"/>
      <c r="E15207" s="760"/>
      <c r="F15207" s="760"/>
      <c r="G15207" s="760"/>
      <c r="H15207" s="760"/>
      <c r="I15207" s="760"/>
      <c r="J15207" s="760"/>
      <c r="K15207" s="760"/>
    </row>
    <row r="15208" spans="1:11">
      <c r="A15208" s="760"/>
      <c r="B15208" s="760"/>
      <c r="C15208" s="760"/>
      <c r="D15208" s="760"/>
      <c r="E15208" s="760"/>
      <c r="F15208" s="760"/>
      <c r="G15208" s="760"/>
      <c r="H15208" s="760"/>
      <c r="I15208" s="760"/>
      <c r="J15208" s="760"/>
      <c r="K15208" s="760"/>
    </row>
    <row r="15209" spans="1:11">
      <c r="A15209" s="760"/>
      <c r="B15209" s="760"/>
      <c r="C15209" s="760"/>
      <c r="D15209" s="760"/>
      <c r="E15209" s="760"/>
      <c r="F15209" s="760"/>
      <c r="G15209" s="760"/>
      <c r="H15209" s="760"/>
      <c r="I15209" s="760"/>
      <c r="J15209" s="760"/>
      <c r="K15209" s="760"/>
    </row>
    <row r="15210" spans="1:11">
      <c r="A15210" s="760"/>
      <c r="B15210" s="760"/>
      <c r="C15210" s="760"/>
      <c r="D15210" s="760"/>
      <c r="E15210" s="760"/>
      <c r="F15210" s="760"/>
      <c r="G15210" s="760"/>
      <c r="H15210" s="760"/>
      <c r="I15210" s="760"/>
      <c r="J15210" s="760"/>
      <c r="K15210" s="760"/>
    </row>
    <row r="15211" spans="1:11">
      <c r="A15211" s="760"/>
      <c r="B15211" s="760"/>
      <c r="C15211" s="760"/>
      <c r="D15211" s="760"/>
      <c r="E15211" s="760"/>
      <c r="F15211" s="760"/>
      <c r="G15211" s="760"/>
      <c r="H15211" s="760"/>
      <c r="I15211" s="760"/>
      <c r="J15211" s="760"/>
      <c r="K15211" s="760"/>
    </row>
    <row r="15212" spans="1:11">
      <c r="A15212" s="760"/>
      <c r="B15212" s="760"/>
      <c r="C15212" s="760"/>
      <c r="D15212" s="760"/>
      <c r="E15212" s="760"/>
      <c r="F15212" s="760"/>
      <c r="G15212" s="760"/>
      <c r="H15212" s="760"/>
      <c r="I15212" s="760"/>
      <c r="J15212" s="760"/>
      <c r="K15212" s="760"/>
    </row>
    <row r="15213" spans="1:11">
      <c r="A15213" s="760"/>
      <c r="B15213" s="760"/>
      <c r="C15213" s="760"/>
      <c r="D15213" s="760"/>
      <c r="E15213" s="760"/>
      <c r="F15213" s="760"/>
      <c r="G15213" s="760"/>
      <c r="H15213" s="760"/>
      <c r="I15213" s="760"/>
      <c r="J15213" s="760"/>
      <c r="K15213" s="760"/>
    </row>
    <row r="15214" spans="1:11">
      <c r="A15214" s="760"/>
      <c r="B15214" s="760"/>
      <c r="C15214" s="760"/>
      <c r="D15214" s="760"/>
      <c r="E15214" s="760"/>
      <c r="F15214" s="760"/>
      <c r="G15214" s="760"/>
      <c r="H15214" s="760"/>
      <c r="I15214" s="760"/>
      <c r="J15214" s="760"/>
      <c r="K15214" s="760"/>
    </row>
    <row r="15215" spans="1:11">
      <c r="A15215" s="760"/>
      <c r="B15215" s="760"/>
      <c r="C15215" s="760"/>
      <c r="D15215" s="760"/>
      <c r="E15215" s="760"/>
      <c r="F15215" s="760"/>
      <c r="G15215" s="760"/>
      <c r="H15215" s="760"/>
      <c r="I15215" s="760"/>
      <c r="J15215" s="760"/>
      <c r="K15215" s="760"/>
    </row>
    <row r="15216" spans="1:11">
      <c r="A15216" s="760"/>
      <c r="B15216" s="760"/>
      <c r="C15216" s="760"/>
      <c r="D15216" s="760"/>
      <c r="E15216" s="760"/>
      <c r="F15216" s="760"/>
      <c r="G15216" s="760"/>
      <c r="H15216" s="760"/>
      <c r="I15216" s="760"/>
      <c r="J15216" s="760"/>
      <c r="K15216" s="760"/>
    </row>
    <row r="15217" spans="1:11">
      <c r="A15217" s="760"/>
      <c r="B15217" s="760"/>
      <c r="C15217" s="760"/>
      <c r="D15217" s="760"/>
      <c r="E15217" s="760"/>
      <c r="F15217" s="760"/>
      <c r="G15217" s="760"/>
      <c r="H15217" s="760"/>
      <c r="I15217" s="760"/>
      <c r="J15217" s="760"/>
      <c r="K15217" s="760"/>
    </row>
    <row r="15218" spans="1:11">
      <c r="A15218" s="760"/>
      <c r="B15218" s="760"/>
      <c r="C15218" s="760"/>
      <c r="D15218" s="760"/>
      <c r="E15218" s="760"/>
      <c r="F15218" s="760"/>
      <c r="G15218" s="760"/>
      <c r="H15218" s="760"/>
      <c r="I15218" s="760"/>
      <c r="J15218" s="760"/>
      <c r="K15218" s="760"/>
    </row>
    <row r="15219" spans="1:11">
      <c r="A15219" s="760"/>
      <c r="B15219" s="760"/>
      <c r="C15219" s="760"/>
      <c r="D15219" s="760"/>
      <c r="E15219" s="760"/>
      <c r="F15219" s="760"/>
      <c r="G15219" s="760"/>
      <c r="H15219" s="760"/>
      <c r="I15219" s="760"/>
      <c r="J15219" s="760"/>
      <c r="K15219" s="760"/>
    </row>
    <row r="15220" spans="1:11">
      <c r="A15220" s="760"/>
      <c r="B15220" s="760"/>
      <c r="C15220" s="760"/>
      <c r="D15220" s="760"/>
      <c r="E15220" s="760"/>
      <c r="F15220" s="760"/>
      <c r="G15220" s="760"/>
      <c r="H15220" s="760"/>
      <c r="I15220" s="760"/>
      <c r="J15220" s="760"/>
      <c r="K15220" s="760"/>
    </row>
    <row r="15221" spans="1:11">
      <c r="A15221" s="760"/>
      <c r="B15221" s="760"/>
      <c r="C15221" s="760"/>
      <c r="D15221" s="760"/>
      <c r="E15221" s="760"/>
      <c r="F15221" s="760"/>
      <c r="G15221" s="760"/>
      <c r="H15221" s="760"/>
      <c r="I15221" s="760"/>
      <c r="J15221" s="760"/>
      <c r="K15221" s="760"/>
    </row>
    <row r="15222" spans="1:11">
      <c r="A15222" s="760"/>
      <c r="B15222" s="760"/>
      <c r="C15222" s="760"/>
      <c r="D15222" s="760"/>
      <c r="E15222" s="760"/>
      <c r="F15222" s="760"/>
      <c r="G15222" s="760"/>
      <c r="H15222" s="760"/>
      <c r="I15222" s="760"/>
      <c r="J15222" s="760"/>
      <c r="K15222" s="760"/>
    </row>
    <row r="15223" spans="1:11">
      <c r="A15223" s="760"/>
      <c r="B15223" s="760"/>
      <c r="C15223" s="760"/>
      <c r="D15223" s="760"/>
      <c r="E15223" s="760"/>
      <c r="F15223" s="760"/>
      <c r="G15223" s="760"/>
      <c r="H15223" s="760"/>
      <c r="I15223" s="760"/>
      <c r="J15223" s="760"/>
      <c r="K15223" s="760"/>
    </row>
    <row r="15224" spans="1:11">
      <c r="A15224" s="760"/>
      <c r="B15224" s="760"/>
      <c r="C15224" s="760"/>
      <c r="D15224" s="760"/>
      <c r="E15224" s="760"/>
      <c r="F15224" s="760"/>
      <c r="G15224" s="760"/>
      <c r="H15224" s="760"/>
      <c r="I15224" s="760"/>
      <c r="J15224" s="760"/>
      <c r="K15224" s="760"/>
    </row>
    <row r="15225" spans="1:11">
      <c r="A15225" s="760"/>
      <c r="B15225" s="760"/>
      <c r="C15225" s="760"/>
      <c r="D15225" s="760"/>
      <c r="E15225" s="760"/>
      <c r="F15225" s="760"/>
      <c r="G15225" s="760"/>
      <c r="H15225" s="760"/>
      <c r="I15225" s="760"/>
      <c r="J15225" s="760"/>
      <c r="K15225" s="760"/>
    </row>
    <row r="15226" spans="1:11">
      <c r="A15226" s="760"/>
      <c r="B15226" s="760"/>
      <c r="C15226" s="760"/>
      <c r="D15226" s="760"/>
      <c r="E15226" s="760"/>
      <c r="F15226" s="760"/>
      <c r="G15226" s="760"/>
      <c r="H15226" s="760"/>
      <c r="I15226" s="760"/>
      <c r="J15226" s="760"/>
      <c r="K15226" s="760"/>
    </row>
    <row r="15227" spans="1:11">
      <c r="A15227" s="760"/>
      <c r="B15227" s="760"/>
      <c r="C15227" s="760"/>
      <c r="D15227" s="760"/>
      <c r="E15227" s="760"/>
      <c r="F15227" s="760"/>
      <c r="G15227" s="760"/>
      <c r="H15227" s="760"/>
      <c r="I15227" s="760"/>
      <c r="J15227" s="760"/>
      <c r="K15227" s="760"/>
    </row>
    <row r="15228" spans="1:11">
      <c r="A15228" s="760"/>
      <c r="B15228" s="760"/>
      <c r="C15228" s="760"/>
      <c r="D15228" s="760"/>
      <c r="E15228" s="760"/>
      <c r="F15228" s="760"/>
      <c r="G15228" s="760"/>
      <c r="H15228" s="760"/>
      <c r="I15228" s="760"/>
      <c r="J15228" s="760"/>
      <c r="K15228" s="760"/>
    </row>
    <row r="15229" spans="1:11">
      <c r="A15229" s="760"/>
      <c r="B15229" s="760"/>
      <c r="C15229" s="760"/>
      <c r="D15229" s="760"/>
      <c r="E15229" s="760"/>
      <c r="F15229" s="760"/>
      <c r="G15229" s="760"/>
      <c r="H15229" s="760"/>
      <c r="I15229" s="760"/>
      <c r="J15229" s="760"/>
      <c r="K15229" s="760"/>
    </row>
    <row r="15230" spans="1:11">
      <c r="A15230" s="760"/>
      <c r="B15230" s="760"/>
      <c r="C15230" s="760"/>
      <c r="D15230" s="760"/>
      <c r="E15230" s="760"/>
      <c r="F15230" s="760"/>
      <c r="G15230" s="760"/>
      <c r="H15230" s="760"/>
      <c r="I15230" s="760"/>
      <c r="J15230" s="760"/>
      <c r="K15230" s="760"/>
    </row>
    <row r="15231" spans="1:11">
      <c r="A15231" s="760"/>
      <c r="B15231" s="760"/>
      <c r="C15231" s="760"/>
      <c r="D15231" s="760"/>
      <c r="E15231" s="760"/>
      <c r="F15231" s="760"/>
      <c r="G15231" s="760"/>
      <c r="H15231" s="760"/>
      <c r="I15231" s="760"/>
      <c r="J15231" s="760"/>
      <c r="K15231" s="760"/>
    </row>
    <row r="15232" spans="1:11">
      <c r="A15232" s="760"/>
      <c r="B15232" s="760"/>
      <c r="C15232" s="760"/>
      <c r="D15232" s="760"/>
      <c r="E15232" s="760"/>
      <c r="F15232" s="760"/>
      <c r="G15232" s="760"/>
      <c r="H15232" s="760"/>
      <c r="I15232" s="760"/>
      <c r="J15232" s="760"/>
      <c r="K15232" s="760"/>
    </row>
    <row r="15233" spans="1:11">
      <c r="A15233" s="760"/>
      <c r="B15233" s="760"/>
      <c r="C15233" s="760"/>
      <c r="D15233" s="760"/>
      <c r="E15233" s="760"/>
      <c r="F15233" s="760"/>
      <c r="G15233" s="760"/>
      <c r="H15233" s="760"/>
      <c r="I15233" s="760"/>
      <c r="J15233" s="760"/>
      <c r="K15233" s="760"/>
    </row>
    <row r="15234" spans="1:11">
      <c r="A15234" s="760"/>
      <c r="B15234" s="760"/>
      <c r="C15234" s="760"/>
      <c r="D15234" s="760"/>
      <c r="E15234" s="760"/>
      <c r="F15234" s="760"/>
      <c r="G15234" s="760"/>
      <c r="H15234" s="760"/>
      <c r="I15234" s="760"/>
      <c r="J15234" s="760"/>
      <c r="K15234" s="760"/>
    </row>
    <row r="15235" spans="1:11">
      <c r="A15235" s="760"/>
      <c r="B15235" s="760"/>
      <c r="C15235" s="760"/>
      <c r="D15235" s="760"/>
      <c r="E15235" s="760"/>
      <c r="F15235" s="760"/>
      <c r="G15235" s="760"/>
      <c r="H15235" s="760"/>
      <c r="I15235" s="760"/>
      <c r="J15235" s="760"/>
      <c r="K15235" s="760"/>
    </row>
    <row r="15236" spans="1:11">
      <c r="A15236" s="760"/>
      <c r="B15236" s="760"/>
      <c r="C15236" s="760"/>
      <c r="D15236" s="760"/>
      <c r="E15236" s="760"/>
      <c r="F15236" s="760"/>
      <c r="G15236" s="760"/>
      <c r="H15236" s="760"/>
      <c r="I15236" s="760"/>
      <c r="J15236" s="760"/>
      <c r="K15236" s="760"/>
    </row>
    <row r="15237" spans="1:11">
      <c r="A15237" s="760"/>
      <c r="B15237" s="760"/>
      <c r="C15237" s="760"/>
      <c r="D15237" s="760"/>
      <c r="E15237" s="760"/>
      <c r="F15237" s="760"/>
      <c r="G15237" s="760"/>
      <c r="H15237" s="760"/>
      <c r="I15237" s="760"/>
      <c r="J15237" s="760"/>
      <c r="K15237" s="760"/>
    </row>
    <row r="15238" spans="1:11">
      <c r="A15238" s="760"/>
      <c r="B15238" s="760"/>
      <c r="C15238" s="760"/>
      <c r="D15238" s="760"/>
      <c r="E15238" s="760"/>
      <c r="F15238" s="760"/>
      <c r="G15238" s="760"/>
      <c r="H15238" s="760"/>
      <c r="I15238" s="760"/>
      <c r="J15238" s="760"/>
      <c r="K15238" s="760"/>
    </row>
    <row r="15239" spans="1:11">
      <c r="A15239" s="760"/>
      <c r="B15239" s="760"/>
      <c r="C15239" s="760"/>
      <c r="D15239" s="760"/>
      <c r="E15239" s="760"/>
      <c r="F15239" s="760"/>
      <c r="G15239" s="760"/>
      <c r="H15239" s="760"/>
      <c r="I15239" s="760"/>
      <c r="J15239" s="760"/>
      <c r="K15239" s="760"/>
    </row>
    <row r="15240" spans="1:11">
      <c r="A15240" s="760"/>
      <c r="B15240" s="760"/>
      <c r="C15240" s="760"/>
      <c r="D15240" s="760"/>
      <c r="E15240" s="760"/>
      <c r="F15240" s="760"/>
      <c r="G15240" s="760"/>
      <c r="H15240" s="760"/>
      <c r="I15240" s="760"/>
      <c r="J15240" s="760"/>
      <c r="K15240" s="760"/>
    </row>
    <row r="15241" spans="1:11">
      <c r="A15241" s="760"/>
      <c r="B15241" s="760"/>
      <c r="C15241" s="760"/>
      <c r="D15241" s="760"/>
      <c r="E15241" s="760"/>
      <c r="F15241" s="760"/>
      <c r="G15241" s="760"/>
      <c r="H15241" s="760"/>
      <c r="I15241" s="760"/>
      <c r="J15241" s="760"/>
      <c r="K15241" s="760"/>
    </row>
    <row r="15242" spans="1:11">
      <c r="A15242" s="760"/>
      <c r="B15242" s="760"/>
      <c r="C15242" s="760"/>
      <c r="D15242" s="760"/>
      <c r="E15242" s="760"/>
      <c r="F15242" s="760"/>
      <c r="G15242" s="760"/>
      <c r="H15242" s="760"/>
      <c r="I15242" s="760"/>
      <c r="J15242" s="760"/>
      <c r="K15242" s="760"/>
    </row>
    <row r="15243" spans="1:11">
      <c r="A15243" s="760"/>
      <c r="B15243" s="760"/>
      <c r="C15243" s="760"/>
      <c r="D15243" s="760"/>
      <c r="E15243" s="760"/>
      <c r="F15243" s="760"/>
      <c r="G15243" s="760"/>
      <c r="H15243" s="760"/>
      <c r="I15243" s="760"/>
      <c r="J15243" s="760"/>
      <c r="K15243" s="760"/>
    </row>
    <row r="15244" spans="1:11">
      <c r="A15244" s="760"/>
      <c r="B15244" s="760"/>
      <c r="C15244" s="760"/>
      <c r="D15244" s="760"/>
      <c r="E15244" s="760"/>
      <c r="F15244" s="760"/>
      <c r="G15244" s="760"/>
      <c r="H15244" s="760"/>
      <c r="I15244" s="760"/>
      <c r="J15244" s="760"/>
      <c r="K15244" s="760"/>
    </row>
    <row r="15245" spans="1:11">
      <c r="A15245" s="760"/>
      <c r="B15245" s="760"/>
      <c r="C15245" s="760"/>
      <c r="D15245" s="760"/>
      <c r="E15245" s="760"/>
      <c r="F15245" s="760"/>
      <c r="G15245" s="760"/>
      <c r="H15245" s="760"/>
      <c r="I15245" s="760"/>
      <c r="J15245" s="760"/>
      <c r="K15245" s="760"/>
    </row>
    <row r="15246" spans="1:11">
      <c r="A15246" s="760"/>
      <c r="B15246" s="760"/>
      <c r="C15246" s="760"/>
      <c r="D15246" s="760"/>
      <c r="E15246" s="760"/>
      <c r="F15246" s="760"/>
      <c r="G15246" s="760"/>
      <c r="H15246" s="760"/>
      <c r="I15246" s="760"/>
      <c r="J15246" s="760"/>
      <c r="K15246" s="760"/>
    </row>
    <row r="15247" spans="1:11">
      <c r="A15247" s="760"/>
      <c r="B15247" s="760"/>
      <c r="C15247" s="760"/>
      <c r="D15247" s="760"/>
      <c r="E15247" s="760"/>
      <c r="F15247" s="760"/>
      <c r="G15247" s="760"/>
      <c r="H15247" s="760"/>
      <c r="I15247" s="760"/>
      <c r="J15247" s="760"/>
      <c r="K15247" s="760"/>
    </row>
    <row r="15248" spans="1:11">
      <c r="A15248" s="760"/>
      <c r="B15248" s="760"/>
      <c r="C15248" s="760"/>
      <c r="D15248" s="760"/>
      <c r="E15248" s="760"/>
      <c r="F15248" s="760"/>
      <c r="G15248" s="760"/>
      <c r="H15248" s="760"/>
      <c r="I15248" s="760"/>
      <c r="J15248" s="760"/>
      <c r="K15248" s="760"/>
    </row>
    <row r="15249" spans="1:11">
      <c r="A15249" s="760"/>
      <c r="B15249" s="760"/>
      <c r="C15249" s="760"/>
      <c r="D15249" s="760"/>
      <c r="E15249" s="760"/>
      <c r="F15249" s="760"/>
      <c r="G15249" s="760"/>
      <c r="H15249" s="760"/>
      <c r="I15249" s="760"/>
      <c r="J15249" s="760"/>
      <c r="K15249" s="760"/>
    </row>
    <row r="15250" spans="1:11">
      <c r="A15250" s="760"/>
      <c r="B15250" s="760"/>
      <c r="C15250" s="760"/>
      <c r="D15250" s="760"/>
      <c r="E15250" s="760"/>
      <c r="F15250" s="760"/>
      <c r="G15250" s="760"/>
      <c r="H15250" s="760"/>
      <c r="I15250" s="760"/>
      <c r="J15250" s="760"/>
      <c r="K15250" s="760"/>
    </row>
    <row r="15251" spans="1:11">
      <c r="A15251" s="760"/>
      <c r="B15251" s="760"/>
      <c r="C15251" s="760"/>
      <c r="D15251" s="760"/>
      <c r="E15251" s="760"/>
      <c r="F15251" s="760"/>
      <c r="G15251" s="760"/>
      <c r="H15251" s="760"/>
      <c r="I15251" s="760"/>
      <c r="J15251" s="760"/>
      <c r="K15251" s="760"/>
    </row>
    <row r="15252" spans="1:11">
      <c r="A15252" s="760"/>
      <c r="B15252" s="760"/>
      <c r="C15252" s="760"/>
      <c r="D15252" s="760"/>
      <c r="E15252" s="760"/>
      <c r="F15252" s="760"/>
      <c r="G15252" s="760"/>
      <c r="H15252" s="760"/>
      <c r="I15252" s="760"/>
      <c r="J15252" s="760"/>
      <c r="K15252" s="760"/>
    </row>
    <row r="15253" spans="1:11">
      <c r="A15253" s="760"/>
      <c r="B15253" s="760"/>
      <c r="C15253" s="760"/>
      <c r="D15253" s="760"/>
      <c r="E15253" s="760"/>
      <c r="F15253" s="760"/>
      <c r="G15253" s="760"/>
      <c r="H15253" s="760"/>
      <c r="I15253" s="760"/>
      <c r="J15253" s="760"/>
      <c r="K15253" s="760"/>
    </row>
    <row r="15254" spans="1:11">
      <c r="A15254" s="760"/>
      <c r="B15254" s="760"/>
      <c r="C15254" s="760"/>
      <c r="D15254" s="760"/>
      <c r="E15254" s="760"/>
      <c r="F15254" s="760"/>
      <c r="G15254" s="760"/>
      <c r="H15254" s="760"/>
      <c r="I15254" s="760"/>
      <c r="J15254" s="760"/>
      <c r="K15254" s="760"/>
    </row>
    <row r="15255" spans="1:11">
      <c r="A15255" s="760"/>
      <c r="B15255" s="760"/>
      <c r="C15255" s="760"/>
      <c r="D15255" s="760"/>
      <c r="E15255" s="760"/>
      <c r="F15255" s="760"/>
      <c r="G15255" s="760"/>
      <c r="H15255" s="760"/>
      <c r="I15255" s="760"/>
      <c r="J15255" s="760"/>
      <c r="K15255" s="760"/>
    </row>
    <row r="15256" spans="1:11">
      <c r="A15256" s="760"/>
      <c r="B15256" s="760"/>
      <c r="C15256" s="760"/>
      <c r="D15256" s="760"/>
      <c r="E15256" s="760"/>
      <c r="F15256" s="760"/>
      <c r="G15256" s="760"/>
      <c r="H15256" s="760"/>
      <c r="I15256" s="760"/>
      <c r="J15256" s="760"/>
      <c r="K15256" s="760"/>
    </row>
    <row r="15257" spans="1:11">
      <c r="A15257" s="760"/>
      <c r="B15257" s="760"/>
      <c r="C15257" s="760"/>
      <c r="D15257" s="760"/>
      <c r="E15257" s="760"/>
      <c r="F15257" s="760"/>
      <c r="G15257" s="760"/>
      <c r="H15257" s="760"/>
      <c r="I15257" s="760"/>
      <c r="J15257" s="760"/>
      <c r="K15257" s="760"/>
    </row>
    <row r="15258" spans="1:11">
      <c r="A15258" s="760"/>
      <c r="B15258" s="760"/>
      <c r="C15258" s="760"/>
      <c r="D15258" s="760"/>
      <c r="E15258" s="760"/>
      <c r="F15258" s="760"/>
      <c r="G15258" s="760"/>
      <c r="H15258" s="760"/>
      <c r="I15258" s="760"/>
      <c r="J15258" s="760"/>
      <c r="K15258" s="760"/>
    </row>
    <row r="15259" spans="1:11">
      <c r="A15259" s="760"/>
      <c r="B15259" s="760"/>
      <c r="C15259" s="760"/>
      <c r="D15259" s="760"/>
      <c r="E15259" s="760"/>
      <c r="F15259" s="760"/>
      <c r="G15259" s="760"/>
      <c r="H15259" s="760"/>
      <c r="I15259" s="760"/>
      <c r="J15259" s="760"/>
      <c r="K15259" s="760"/>
    </row>
    <row r="15260" spans="1:11">
      <c r="A15260" s="760"/>
      <c r="B15260" s="760"/>
      <c r="C15260" s="760"/>
      <c r="D15260" s="760"/>
      <c r="E15260" s="760"/>
      <c r="F15260" s="760"/>
      <c r="G15260" s="760"/>
      <c r="H15260" s="760"/>
      <c r="I15260" s="760"/>
      <c r="J15260" s="760"/>
      <c r="K15260" s="760"/>
    </row>
    <row r="15261" spans="1:11">
      <c r="A15261" s="760"/>
      <c r="B15261" s="760"/>
      <c r="C15261" s="760"/>
      <c r="D15261" s="760"/>
      <c r="E15261" s="760"/>
      <c r="F15261" s="760"/>
      <c r="G15261" s="760"/>
      <c r="H15261" s="760"/>
      <c r="I15261" s="760"/>
      <c r="J15261" s="760"/>
      <c r="K15261" s="760"/>
    </row>
    <row r="15262" spans="1:11">
      <c r="A15262" s="760"/>
      <c r="B15262" s="760"/>
      <c r="C15262" s="760"/>
      <c r="D15262" s="760"/>
      <c r="E15262" s="760"/>
      <c r="F15262" s="760"/>
      <c r="G15262" s="760"/>
      <c r="H15262" s="760"/>
      <c r="I15262" s="760"/>
      <c r="J15262" s="760"/>
      <c r="K15262" s="760"/>
    </row>
    <row r="15263" spans="1:11">
      <c r="A15263" s="760"/>
      <c r="B15263" s="760"/>
      <c r="C15263" s="760"/>
      <c r="D15263" s="760"/>
      <c r="E15263" s="760"/>
      <c r="F15263" s="760"/>
      <c r="G15263" s="760"/>
      <c r="H15263" s="760"/>
      <c r="I15263" s="760"/>
      <c r="J15263" s="760"/>
      <c r="K15263" s="760"/>
    </row>
    <row r="15264" spans="1:11">
      <c r="A15264" s="760"/>
      <c r="B15264" s="760"/>
      <c r="C15264" s="760"/>
      <c r="D15264" s="760"/>
      <c r="E15264" s="760"/>
      <c r="F15264" s="760"/>
      <c r="G15264" s="760"/>
      <c r="H15264" s="760"/>
      <c r="I15264" s="760"/>
      <c r="J15264" s="760"/>
      <c r="K15264" s="760"/>
    </row>
    <row r="15265" spans="1:11">
      <c r="A15265" s="760"/>
      <c r="B15265" s="760"/>
      <c r="C15265" s="760"/>
      <c r="D15265" s="760"/>
      <c r="E15265" s="760"/>
      <c r="F15265" s="760"/>
      <c r="G15265" s="760"/>
      <c r="H15265" s="760"/>
      <c r="I15265" s="760"/>
      <c r="J15265" s="760"/>
      <c r="K15265" s="760"/>
    </row>
    <row r="15266" spans="1:11">
      <c r="A15266" s="760"/>
      <c r="B15266" s="760"/>
      <c r="C15266" s="760"/>
      <c r="D15266" s="760"/>
      <c r="E15266" s="760"/>
      <c r="F15266" s="760"/>
      <c r="G15266" s="760"/>
      <c r="H15266" s="760"/>
      <c r="I15266" s="760"/>
      <c r="J15266" s="760"/>
      <c r="K15266" s="760"/>
    </row>
    <row r="15267" spans="1:11">
      <c r="A15267" s="760"/>
      <c r="B15267" s="760"/>
      <c r="C15267" s="760"/>
      <c r="D15267" s="760"/>
      <c r="E15267" s="760"/>
      <c r="F15267" s="760"/>
      <c r="G15267" s="760"/>
      <c r="H15267" s="760"/>
      <c r="I15267" s="760"/>
      <c r="J15267" s="760"/>
      <c r="K15267" s="760"/>
    </row>
    <row r="15268" spans="1:11">
      <c r="A15268" s="760"/>
      <c r="B15268" s="760"/>
      <c r="C15268" s="760"/>
      <c r="D15268" s="760"/>
      <c r="E15268" s="760"/>
      <c r="F15268" s="760"/>
      <c r="G15268" s="760"/>
      <c r="H15268" s="760"/>
      <c r="I15268" s="760"/>
      <c r="J15268" s="760"/>
      <c r="K15268" s="760"/>
    </row>
    <row r="15269" spans="1:11">
      <c r="A15269" s="760"/>
      <c r="B15269" s="760"/>
      <c r="C15269" s="760"/>
      <c r="D15269" s="760"/>
      <c r="E15269" s="760"/>
      <c r="F15269" s="760"/>
      <c r="G15269" s="760"/>
      <c r="H15269" s="760"/>
      <c r="I15269" s="760"/>
      <c r="J15269" s="760"/>
      <c r="K15269" s="760"/>
    </row>
    <row r="15270" spans="1:11">
      <c r="A15270" s="760"/>
      <c r="B15270" s="760"/>
      <c r="C15270" s="760"/>
      <c r="D15270" s="760"/>
      <c r="E15270" s="760"/>
      <c r="F15270" s="760"/>
      <c r="G15270" s="760"/>
      <c r="H15270" s="760"/>
      <c r="I15270" s="760"/>
      <c r="J15270" s="760"/>
      <c r="K15270" s="760"/>
    </row>
    <row r="15271" spans="1:11">
      <c r="A15271" s="760"/>
      <c r="B15271" s="760"/>
      <c r="C15271" s="760"/>
      <c r="D15271" s="760"/>
      <c r="E15271" s="760"/>
      <c r="F15271" s="760"/>
      <c r="G15271" s="760"/>
      <c r="H15271" s="760"/>
      <c r="I15271" s="760"/>
      <c r="J15271" s="760"/>
      <c r="K15271" s="760"/>
    </row>
    <row r="15272" spans="1:11">
      <c r="A15272" s="760"/>
      <c r="B15272" s="760"/>
      <c r="C15272" s="760"/>
      <c r="D15272" s="760"/>
      <c r="E15272" s="760"/>
      <c r="F15272" s="760"/>
      <c r="G15272" s="760"/>
      <c r="H15272" s="760"/>
      <c r="I15272" s="760"/>
      <c r="J15272" s="760"/>
      <c r="K15272" s="760"/>
    </row>
    <row r="15273" spans="1:11">
      <c r="A15273" s="760"/>
      <c r="B15273" s="760"/>
      <c r="C15273" s="760"/>
      <c r="D15273" s="760"/>
      <c r="E15273" s="760"/>
      <c r="F15273" s="760"/>
      <c r="G15273" s="760"/>
      <c r="H15273" s="760"/>
      <c r="I15273" s="760"/>
      <c r="J15273" s="760"/>
      <c r="K15273" s="760"/>
    </row>
    <row r="15274" spans="1:11">
      <c r="A15274" s="760"/>
      <c r="B15274" s="760"/>
      <c r="C15274" s="760"/>
      <c r="D15274" s="760"/>
      <c r="E15274" s="760"/>
      <c r="F15274" s="760"/>
      <c r="G15274" s="760"/>
      <c r="H15274" s="760"/>
      <c r="I15274" s="760"/>
      <c r="J15274" s="760"/>
      <c r="K15274" s="760"/>
    </row>
    <row r="15275" spans="1:11">
      <c r="A15275" s="760"/>
      <c r="B15275" s="760"/>
      <c r="C15275" s="760"/>
      <c r="D15275" s="760"/>
      <c r="E15275" s="760"/>
      <c r="F15275" s="760"/>
      <c r="G15275" s="760"/>
      <c r="H15275" s="760"/>
      <c r="I15275" s="760"/>
      <c r="J15275" s="760"/>
      <c r="K15275" s="760"/>
    </row>
    <row r="15276" spans="1:11">
      <c r="A15276" s="760"/>
      <c r="B15276" s="760"/>
      <c r="C15276" s="760"/>
      <c r="D15276" s="760"/>
      <c r="E15276" s="760"/>
      <c r="F15276" s="760"/>
      <c r="G15276" s="760"/>
      <c r="H15276" s="760"/>
      <c r="I15276" s="760"/>
      <c r="J15276" s="760"/>
      <c r="K15276" s="760"/>
    </row>
    <row r="15277" spans="1:11">
      <c r="A15277" s="760"/>
      <c r="B15277" s="760"/>
      <c r="C15277" s="760"/>
      <c r="D15277" s="760"/>
      <c r="E15277" s="760"/>
      <c r="F15277" s="760"/>
      <c r="G15277" s="760"/>
      <c r="H15277" s="760"/>
      <c r="I15277" s="760"/>
      <c r="J15277" s="760"/>
      <c r="K15277" s="760"/>
    </row>
    <row r="15278" spans="1:11">
      <c r="A15278" s="760"/>
      <c r="B15278" s="760"/>
      <c r="C15278" s="760"/>
      <c r="D15278" s="760"/>
      <c r="E15278" s="760"/>
      <c r="F15278" s="760"/>
      <c r="G15278" s="760"/>
      <c r="H15278" s="760"/>
      <c r="I15278" s="760"/>
      <c r="J15278" s="760"/>
      <c r="K15278" s="760"/>
    </row>
    <row r="15279" spans="1:11">
      <c r="A15279" s="760"/>
      <c r="B15279" s="760"/>
      <c r="C15279" s="760"/>
      <c r="D15279" s="760"/>
      <c r="E15279" s="760"/>
      <c r="F15279" s="760"/>
      <c r="G15279" s="760"/>
      <c r="H15279" s="760"/>
      <c r="I15279" s="760"/>
      <c r="J15279" s="760"/>
      <c r="K15279" s="760"/>
    </row>
    <row r="15280" spans="1:11">
      <c r="A15280" s="760"/>
      <c r="B15280" s="760"/>
      <c r="C15280" s="760"/>
      <c r="D15280" s="760"/>
      <c r="E15280" s="760"/>
      <c r="F15280" s="760"/>
      <c r="G15280" s="760"/>
      <c r="H15280" s="760"/>
      <c r="I15280" s="760"/>
      <c r="J15280" s="760"/>
      <c r="K15280" s="760"/>
    </row>
    <row r="15281" spans="1:11">
      <c r="A15281" s="760"/>
      <c r="B15281" s="760"/>
      <c r="C15281" s="760"/>
      <c r="D15281" s="760"/>
      <c r="E15281" s="760"/>
      <c r="F15281" s="760"/>
      <c r="G15281" s="760"/>
      <c r="H15281" s="760"/>
      <c r="I15281" s="760"/>
      <c r="J15281" s="760"/>
      <c r="K15281" s="760"/>
    </row>
    <row r="15282" spans="1:11">
      <c r="A15282" s="760"/>
      <c r="B15282" s="760"/>
      <c r="C15282" s="760"/>
      <c r="D15282" s="760"/>
      <c r="E15282" s="760"/>
      <c r="F15282" s="760"/>
      <c r="G15282" s="760"/>
      <c r="H15282" s="760"/>
      <c r="I15282" s="760"/>
      <c r="J15282" s="760"/>
      <c r="K15282" s="760"/>
    </row>
    <row r="15283" spans="1:11">
      <c r="A15283" s="760"/>
      <c r="B15283" s="760"/>
      <c r="C15283" s="760"/>
      <c r="D15283" s="760"/>
      <c r="E15283" s="760"/>
      <c r="F15283" s="760"/>
      <c r="G15283" s="760"/>
      <c r="H15283" s="760"/>
      <c r="I15283" s="760"/>
      <c r="J15283" s="760"/>
      <c r="K15283" s="760"/>
    </row>
    <row r="15284" spans="1:11">
      <c r="A15284" s="760"/>
      <c r="B15284" s="760"/>
      <c r="C15284" s="760"/>
      <c r="D15284" s="760"/>
      <c r="E15284" s="760"/>
      <c r="F15284" s="760"/>
      <c r="G15284" s="760"/>
      <c r="H15284" s="760"/>
      <c r="I15284" s="760"/>
      <c r="J15284" s="760"/>
      <c r="K15284" s="760"/>
    </row>
    <row r="15285" spans="1:11">
      <c r="A15285" s="760"/>
      <c r="B15285" s="760"/>
      <c r="C15285" s="760"/>
      <c r="D15285" s="760"/>
      <c r="E15285" s="760"/>
      <c r="F15285" s="760"/>
      <c r="G15285" s="760"/>
      <c r="H15285" s="760"/>
      <c r="I15285" s="760"/>
      <c r="J15285" s="760"/>
      <c r="K15285" s="760"/>
    </row>
    <row r="15286" spans="1:11">
      <c r="A15286" s="760"/>
      <c r="B15286" s="760"/>
      <c r="C15286" s="760"/>
      <c r="D15286" s="760"/>
      <c r="E15286" s="760"/>
      <c r="F15286" s="760"/>
      <c r="G15286" s="760"/>
      <c r="H15286" s="760"/>
      <c r="I15286" s="760"/>
      <c r="J15286" s="760"/>
      <c r="K15286" s="760"/>
    </row>
    <row r="15287" spans="1:11">
      <c r="A15287" s="760"/>
      <c r="B15287" s="760"/>
      <c r="C15287" s="760"/>
      <c r="D15287" s="760"/>
      <c r="E15287" s="760"/>
      <c r="F15287" s="760"/>
      <c r="G15287" s="760"/>
      <c r="H15287" s="760"/>
      <c r="I15287" s="760"/>
      <c r="J15287" s="760"/>
      <c r="K15287" s="760"/>
    </row>
    <row r="15288" spans="1:11">
      <c r="A15288" s="760"/>
      <c r="B15288" s="760"/>
      <c r="C15288" s="760"/>
      <c r="D15288" s="760"/>
      <c r="E15288" s="760"/>
      <c r="F15288" s="760"/>
      <c r="G15288" s="760"/>
      <c r="H15288" s="760"/>
      <c r="I15288" s="760"/>
      <c r="J15288" s="760"/>
      <c r="K15288" s="760"/>
    </row>
    <row r="15289" spans="1:11">
      <c r="A15289" s="760"/>
      <c r="B15289" s="760"/>
      <c r="C15289" s="760"/>
      <c r="D15289" s="760"/>
      <c r="E15289" s="760"/>
      <c r="F15289" s="760"/>
      <c r="G15289" s="760"/>
      <c r="H15289" s="760"/>
      <c r="I15289" s="760"/>
      <c r="J15289" s="760"/>
      <c r="K15289" s="760"/>
    </row>
    <row r="15290" spans="1:11">
      <c r="A15290" s="760"/>
      <c r="B15290" s="760"/>
      <c r="C15290" s="760"/>
      <c r="D15290" s="760"/>
      <c r="E15290" s="760"/>
      <c r="F15290" s="760"/>
      <c r="G15290" s="760"/>
      <c r="H15290" s="760"/>
      <c r="I15290" s="760"/>
      <c r="J15290" s="760"/>
      <c r="K15290" s="760"/>
    </row>
    <row r="15291" spans="1:11">
      <c r="A15291" s="760"/>
      <c r="B15291" s="760"/>
      <c r="C15291" s="760"/>
      <c r="D15291" s="760"/>
      <c r="E15291" s="760"/>
      <c r="F15291" s="760"/>
      <c r="G15291" s="760"/>
      <c r="H15291" s="760"/>
      <c r="I15291" s="760"/>
      <c r="J15291" s="760"/>
      <c r="K15291" s="760"/>
    </row>
    <row r="15292" spans="1:11">
      <c r="A15292" s="760"/>
      <c r="B15292" s="760"/>
      <c r="C15292" s="760"/>
      <c r="D15292" s="760"/>
      <c r="E15292" s="760"/>
      <c r="F15292" s="760"/>
      <c r="G15292" s="760"/>
      <c r="H15292" s="760"/>
      <c r="I15292" s="760"/>
      <c r="J15292" s="760"/>
      <c r="K15292" s="760"/>
    </row>
    <row r="15293" spans="1:11">
      <c r="A15293" s="760"/>
      <c r="B15293" s="760"/>
      <c r="C15293" s="760"/>
      <c r="D15293" s="760"/>
      <c r="E15293" s="760"/>
      <c r="F15293" s="760"/>
      <c r="G15293" s="760"/>
      <c r="H15293" s="760"/>
      <c r="I15293" s="760"/>
      <c r="J15293" s="760"/>
      <c r="K15293" s="760"/>
    </row>
    <row r="15294" spans="1:11">
      <c r="A15294" s="760"/>
      <c r="B15294" s="760"/>
      <c r="C15294" s="760"/>
      <c r="D15294" s="760"/>
      <c r="E15294" s="760"/>
      <c r="F15294" s="760"/>
      <c r="G15294" s="760"/>
      <c r="H15294" s="760"/>
      <c r="I15294" s="760"/>
      <c r="J15294" s="760"/>
      <c r="K15294" s="760"/>
    </row>
    <row r="15295" spans="1:11">
      <c r="A15295" s="760"/>
      <c r="B15295" s="760"/>
      <c r="C15295" s="760"/>
      <c r="D15295" s="760"/>
      <c r="E15295" s="760"/>
      <c r="F15295" s="760"/>
      <c r="G15295" s="760"/>
      <c r="H15295" s="760"/>
      <c r="I15295" s="760"/>
      <c r="J15295" s="760"/>
      <c r="K15295" s="760"/>
    </row>
    <row r="15296" spans="1:11">
      <c r="A15296" s="760"/>
      <c r="B15296" s="760"/>
      <c r="C15296" s="760"/>
      <c r="D15296" s="760"/>
      <c r="E15296" s="760"/>
      <c r="F15296" s="760"/>
      <c r="G15296" s="760"/>
      <c r="H15296" s="760"/>
      <c r="I15296" s="760"/>
      <c r="J15296" s="760"/>
      <c r="K15296" s="760"/>
    </row>
    <row r="15297" spans="1:11">
      <c r="A15297" s="760"/>
      <c r="B15297" s="760"/>
      <c r="C15297" s="760"/>
      <c r="D15297" s="760"/>
      <c r="E15297" s="760"/>
      <c r="F15297" s="760"/>
      <c r="G15297" s="760"/>
      <c r="H15297" s="760"/>
      <c r="I15297" s="760"/>
      <c r="J15297" s="760"/>
      <c r="K15297" s="760"/>
    </row>
    <row r="15298" spans="1:11">
      <c r="A15298" s="760"/>
      <c r="B15298" s="760"/>
      <c r="C15298" s="760"/>
      <c r="D15298" s="760"/>
      <c r="E15298" s="760"/>
      <c r="F15298" s="760"/>
      <c r="G15298" s="760"/>
      <c r="H15298" s="760"/>
      <c r="I15298" s="760"/>
      <c r="J15298" s="760"/>
      <c r="K15298" s="760"/>
    </row>
    <row r="15299" spans="1:11">
      <c r="A15299" s="760"/>
      <c r="B15299" s="760"/>
      <c r="C15299" s="760"/>
      <c r="D15299" s="760"/>
      <c r="E15299" s="760"/>
      <c r="F15299" s="760"/>
      <c r="G15299" s="760"/>
      <c r="H15299" s="760"/>
      <c r="I15299" s="760"/>
      <c r="J15299" s="760"/>
      <c r="K15299" s="760"/>
    </row>
    <row r="15300" spans="1:11">
      <c r="A15300" s="760"/>
      <c r="B15300" s="760"/>
      <c r="C15300" s="760"/>
      <c r="D15300" s="760"/>
      <c r="E15300" s="760"/>
      <c r="F15300" s="760"/>
      <c r="G15300" s="760"/>
      <c r="H15300" s="760"/>
      <c r="I15300" s="760"/>
      <c r="J15300" s="760"/>
      <c r="K15300" s="760"/>
    </row>
    <row r="15301" spans="1:11">
      <c r="A15301" s="760"/>
      <c r="B15301" s="760"/>
      <c r="C15301" s="760"/>
      <c r="D15301" s="760"/>
      <c r="E15301" s="760"/>
      <c r="F15301" s="760"/>
      <c r="G15301" s="760"/>
      <c r="H15301" s="760"/>
      <c r="I15301" s="760"/>
      <c r="J15301" s="760"/>
      <c r="K15301" s="760"/>
    </row>
    <row r="15302" spans="1:11">
      <c r="A15302" s="760"/>
      <c r="B15302" s="760"/>
      <c r="C15302" s="760"/>
      <c r="D15302" s="760"/>
      <c r="E15302" s="760"/>
      <c r="F15302" s="760"/>
      <c r="G15302" s="760"/>
      <c r="H15302" s="760"/>
      <c r="I15302" s="760"/>
      <c r="J15302" s="760"/>
      <c r="K15302" s="760"/>
    </row>
    <row r="15303" spans="1:11">
      <c r="A15303" s="760"/>
      <c r="B15303" s="760"/>
      <c r="C15303" s="760"/>
      <c r="D15303" s="760"/>
      <c r="E15303" s="760"/>
      <c r="F15303" s="760"/>
      <c r="G15303" s="760"/>
      <c r="H15303" s="760"/>
      <c r="I15303" s="760"/>
      <c r="J15303" s="760"/>
      <c r="K15303" s="760"/>
    </row>
    <row r="15304" spans="1:11">
      <c r="A15304" s="760"/>
      <c r="B15304" s="760"/>
      <c r="C15304" s="760"/>
      <c r="D15304" s="760"/>
      <c r="E15304" s="760"/>
      <c r="F15304" s="760"/>
      <c r="G15304" s="760"/>
      <c r="H15304" s="760"/>
      <c r="I15304" s="760"/>
      <c r="J15304" s="760"/>
      <c r="K15304" s="760"/>
    </row>
    <row r="15305" spans="1:11">
      <c r="A15305" s="760"/>
      <c r="B15305" s="760"/>
      <c r="C15305" s="760"/>
      <c r="D15305" s="760"/>
      <c r="E15305" s="760"/>
      <c r="F15305" s="760"/>
      <c r="G15305" s="760"/>
      <c r="H15305" s="760"/>
      <c r="I15305" s="760"/>
      <c r="J15305" s="760"/>
      <c r="K15305" s="760"/>
    </row>
    <row r="15306" spans="1:11">
      <c r="A15306" s="760"/>
      <c r="B15306" s="760"/>
      <c r="C15306" s="760"/>
      <c r="D15306" s="760"/>
      <c r="E15306" s="760"/>
      <c r="F15306" s="760"/>
      <c r="G15306" s="760"/>
      <c r="H15306" s="760"/>
      <c r="I15306" s="760"/>
      <c r="J15306" s="760"/>
      <c r="K15306" s="760"/>
    </row>
    <row r="15307" spans="1:11">
      <c r="A15307" s="760"/>
      <c r="B15307" s="760"/>
      <c r="C15307" s="760"/>
      <c r="D15307" s="760"/>
      <c r="E15307" s="760"/>
      <c r="F15307" s="760"/>
      <c r="G15307" s="760"/>
      <c r="H15307" s="760"/>
      <c r="I15307" s="760"/>
      <c r="J15307" s="760"/>
      <c r="K15307" s="760"/>
    </row>
    <row r="15308" spans="1:11">
      <c r="A15308" s="760"/>
      <c r="B15308" s="760"/>
      <c r="C15308" s="760"/>
      <c r="D15308" s="760"/>
      <c r="E15308" s="760"/>
      <c r="F15308" s="760"/>
      <c r="G15308" s="760"/>
      <c r="H15308" s="760"/>
      <c r="I15308" s="760"/>
      <c r="J15308" s="760"/>
      <c r="K15308" s="760"/>
    </row>
    <row r="15309" spans="1:11">
      <c r="A15309" s="760"/>
      <c r="B15309" s="760"/>
      <c r="C15309" s="760"/>
      <c r="D15309" s="760"/>
      <c r="E15309" s="760"/>
      <c r="F15309" s="760"/>
      <c r="G15309" s="760"/>
      <c r="H15309" s="760"/>
      <c r="I15309" s="760"/>
      <c r="J15309" s="760"/>
      <c r="K15309" s="760"/>
    </row>
    <row r="15310" spans="1:11">
      <c r="A15310" s="760"/>
      <c r="B15310" s="760"/>
      <c r="C15310" s="760"/>
      <c r="D15310" s="760"/>
      <c r="E15310" s="760"/>
      <c r="F15310" s="760"/>
      <c r="G15310" s="760"/>
      <c r="H15310" s="760"/>
      <c r="I15310" s="760"/>
      <c r="J15310" s="760"/>
      <c r="K15310" s="760"/>
    </row>
    <row r="15311" spans="1:11">
      <c r="A15311" s="760"/>
      <c r="B15311" s="760"/>
      <c r="C15311" s="760"/>
      <c r="D15311" s="760"/>
      <c r="E15311" s="760"/>
      <c r="F15311" s="760"/>
      <c r="G15311" s="760"/>
      <c r="H15311" s="760"/>
      <c r="I15311" s="760"/>
      <c r="J15311" s="760"/>
      <c r="K15311" s="760"/>
    </row>
    <row r="15312" spans="1:11">
      <c r="A15312" s="760"/>
      <c r="B15312" s="760"/>
      <c r="C15312" s="760"/>
      <c r="D15312" s="760"/>
      <c r="E15312" s="760"/>
      <c r="F15312" s="760"/>
      <c r="G15312" s="760"/>
      <c r="H15312" s="760"/>
      <c r="I15312" s="760"/>
      <c r="J15312" s="760"/>
      <c r="K15312" s="760"/>
    </row>
    <row r="15313" spans="1:11">
      <c r="A15313" s="760"/>
      <c r="B15313" s="760"/>
      <c r="C15313" s="760"/>
      <c r="D15313" s="760"/>
      <c r="E15313" s="760"/>
      <c r="F15313" s="760"/>
      <c r="G15313" s="760"/>
      <c r="H15313" s="760"/>
      <c r="I15313" s="760"/>
      <c r="J15313" s="760"/>
      <c r="K15313" s="760"/>
    </row>
    <row r="15314" spans="1:11">
      <c r="A15314" s="760"/>
      <c r="B15314" s="760"/>
      <c r="C15314" s="760"/>
      <c r="D15314" s="760"/>
      <c r="E15314" s="760"/>
      <c r="F15314" s="760"/>
      <c r="G15314" s="760"/>
      <c r="H15314" s="760"/>
      <c r="I15314" s="760"/>
      <c r="J15314" s="760"/>
      <c r="K15314" s="760"/>
    </row>
    <row r="15315" spans="1:11">
      <c r="A15315" s="760"/>
      <c r="B15315" s="760"/>
      <c r="C15315" s="760"/>
      <c r="D15315" s="760"/>
      <c r="E15315" s="760"/>
      <c r="F15315" s="760"/>
      <c r="G15315" s="760"/>
      <c r="H15315" s="760"/>
      <c r="I15315" s="760"/>
      <c r="J15315" s="760"/>
      <c r="K15315" s="760"/>
    </row>
    <row r="15316" spans="1:11">
      <c r="A15316" s="760"/>
      <c r="B15316" s="760"/>
      <c r="C15316" s="760"/>
      <c r="D15316" s="760"/>
      <c r="E15316" s="760"/>
      <c r="F15316" s="760"/>
      <c r="G15316" s="760"/>
      <c r="H15316" s="760"/>
      <c r="I15316" s="760"/>
      <c r="J15316" s="760"/>
      <c r="K15316" s="760"/>
    </row>
    <row r="15317" spans="1:11">
      <c r="A15317" s="760"/>
      <c r="B15317" s="760"/>
      <c r="C15317" s="760"/>
      <c r="D15317" s="760"/>
      <c r="E15317" s="760"/>
      <c r="F15317" s="760"/>
      <c r="G15317" s="760"/>
      <c r="H15317" s="760"/>
      <c r="I15317" s="760"/>
      <c r="J15317" s="760"/>
      <c r="K15317" s="760"/>
    </row>
    <row r="15318" spans="1:11">
      <c r="A15318" s="760"/>
      <c r="B15318" s="760"/>
      <c r="C15318" s="760"/>
      <c r="D15318" s="760"/>
      <c r="E15318" s="760"/>
      <c r="F15318" s="760"/>
      <c r="G15318" s="760"/>
      <c r="H15318" s="760"/>
      <c r="I15318" s="760"/>
      <c r="J15318" s="760"/>
      <c r="K15318" s="760"/>
    </row>
    <row r="15319" spans="1:11">
      <c r="A15319" s="760"/>
      <c r="B15319" s="760"/>
      <c r="C15319" s="760"/>
      <c r="D15319" s="760"/>
      <c r="E15319" s="760"/>
      <c r="F15319" s="760"/>
      <c r="G15319" s="760"/>
      <c r="H15319" s="760"/>
      <c r="I15319" s="760"/>
      <c r="J15319" s="760"/>
      <c r="K15319" s="760"/>
    </row>
    <row r="15320" spans="1:11">
      <c r="A15320" s="760"/>
      <c r="B15320" s="760"/>
      <c r="C15320" s="760"/>
      <c r="D15320" s="760"/>
      <c r="E15320" s="760"/>
      <c r="F15320" s="760"/>
      <c r="G15320" s="760"/>
      <c r="H15320" s="760"/>
      <c r="I15320" s="760"/>
      <c r="J15320" s="760"/>
      <c r="K15320" s="760"/>
    </row>
    <row r="15321" spans="1:11">
      <c r="A15321" s="760"/>
      <c r="B15321" s="760"/>
      <c r="C15321" s="760"/>
      <c r="D15321" s="760"/>
      <c r="E15321" s="760"/>
      <c r="F15321" s="760"/>
      <c r="G15321" s="760"/>
      <c r="H15321" s="760"/>
      <c r="I15321" s="760"/>
      <c r="J15321" s="760"/>
      <c r="K15321" s="760"/>
    </row>
    <row r="15322" spans="1:11">
      <c r="A15322" s="760"/>
      <c r="B15322" s="760"/>
      <c r="C15322" s="760"/>
      <c r="D15322" s="760"/>
      <c r="E15322" s="760"/>
      <c r="F15322" s="760"/>
      <c r="G15322" s="760"/>
      <c r="H15322" s="760"/>
      <c r="I15322" s="760"/>
      <c r="J15322" s="760"/>
      <c r="K15322" s="760"/>
    </row>
    <row r="15323" spans="1:11">
      <c r="A15323" s="760"/>
      <c r="B15323" s="760"/>
      <c r="C15323" s="760"/>
      <c r="D15323" s="760"/>
      <c r="E15323" s="760"/>
      <c r="F15323" s="760"/>
      <c r="G15323" s="760"/>
      <c r="H15323" s="760"/>
      <c r="I15323" s="760"/>
      <c r="J15323" s="760"/>
      <c r="K15323" s="760"/>
    </row>
    <row r="15324" spans="1:11">
      <c r="A15324" s="760"/>
      <c r="B15324" s="760"/>
      <c r="C15324" s="760"/>
      <c r="D15324" s="760"/>
      <c r="E15324" s="760"/>
      <c r="F15324" s="760"/>
      <c r="G15324" s="760"/>
      <c r="H15324" s="760"/>
      <c r="I15324" s="760"/>
      <c r="J15324" s="760"/>
      <c r="K15324" s="760"/>
    </row>
    <row r="15325" spans="1:11">
      <c r="A15325" s="760"/>
      <c r="B15325" s="760"/>
      <c r="C15325" s="760"/>
      <c r="D15325" s="760"/>
      <c r="E15325" s="760"/>
      <c r="F15325" s="760"/>
      <c r="G15325" s="760"/>
      <c r="H15325" s="760"/>
      <c r="I15325" s="760"/>
      <c r="J15325" s="760"/>
      <c r="K15325" s="760"/>
    </row>
    <row r="15326" spans="1:11">
      <c r="A15326" s="760"/>
      <c r="B15326" s="760"/>
      <c r="C15326" s="760"/>
      <c r="D15326" s="760"/>
      <c r="E15326" s="760"/>
      <c r="F15326" s="760"/>
      <c r="G15326" s="760"/>
      <c r="H15326" s="760"/>
      <c r="I15326" s="760"/>
      <c r="J15326" s="760"/>
      <c r="K15326" s="760"/>
    </row>
    <row r="15327" spans="1:11">
      <c r="A15327" s="760"/>
      <c r="B15327" s="760"/>
      <c r="C15327" s="760"/>
      <c r="D15327" s="760"/>
      <c r="E15327" s="760"/>
      <c r="F15327" s="760"/>
      <c r="G15327" s="760"/>
      <c r="H15327" s="760"/>
      <c r="I15327" s="760"/>
      <c r="J15327" s="760"/>
      <c r="K15327" s="760"/>
    </row>
    <row r="15328" spans="1:11">
      <c r="A15328" s="760"/>
      <c r="B15328" s="760"/>
      <c r="C15328" s="760"/>
      <c r="D15328" s="760"/>
      <c r="E15328" s="760"/>
      <c r="F15328" s="760"/>
      <c r="G15328" s="760"/>
      <c r="H15328" s="760"/>
      <c r="I15328" s="760"/>
      <c r="J15328" s="760"/>
      <c r="K15328" s="760"/>
    </row>
    <row r="15329" spans="1:11">
      <c r="A15329" s="760"/>
      <c r="B15329" s="760"/>
      <c r="C15329" s="760"/>
      <c r="D15329" s="760"/>
      <c r="E15329" s="760"/>
      <c r="F15329" s="760"/>
      <c r="G15329" s="760"/>
      <c r="H15329" s="760"/>
      <c r="I15329" s="760"/>
      <c r="J15329" s="760"/>
      <c r="K15329" s="760"/>
    </row>
    <row r="15330" spans="1:11">
      <c r="A15330" s="760"/>
      <c r="B15330" s="760"/>
      <c r="C15330" s="760"/>
      <c r="D15330" s="760"/>
      <c r="E15330" s="760"/>
      <c r="F15330" s="760"/>
      <c r="G15330" s="760"/>
      <c r="H15330" s="760"/>
      <c r="I15330" s="760"/>
      <c r="J15330" s="760"/>
      <c r="K15330" s="760"/>
    </row>
    <row r="15331" spans="1:11">
      <c r="A15331" s="760"/>
      <c r="B15331" s="760"/>
      <c r="C15331" s="760"/>
      <c r="D15331" s="760"/>
      <c r="E15331" s="760"/>
      <c r="F15331" s="760"/>
      <c r="G15331" s="760"/>
      <c r="H15331" s="760"/>
      <c r="I15331" s="760"/>
      <c r="J15331" s="760"/>
      <c r="K15331" s="760"/>
    </row>
    <row r="15332" spans="1:11">
      <c r="A15332" s="760"/>
      <c r="B15332" s="760"/>
      <c r="C15332" s="760"/>
      <c r="D15332" s="760"/>
      <c r="E15332" s="760"/>
      <c r="F15332" s="760"/>
      <c r="G15332" s="760"/>
      <c r="H15332" s="760"/>
      <c r="I15332" s="760"/>
      <c r="J15332" s="760"/>
      <c r="K15332" s="760"/>
    </row>
    <row r="15333" spans="1:11">
      <c r="A15333" s="760"/>
      <c r="B15333" s="760"/>
      <c r="C15333" s="760"/>
      <c r="D15333" s="760"/>
      <c r="E15333" s="760"/>
      <c r="F15333" s="760"/>
      <c r="G15333" s="760"/>
      <c r="H15333" s="760"/>
      <c r="I15333" s="760"/>
      <c r="J15333" s="760"/>
      <c r="K15333" s="760"/>
    </row>
    <row r="15334" spans="1:11">
      <c r="A15334" s="760"/>
      <c r="B15334" s="760"/>
      <c r="C15334" s="760"/>
      <c r="D15334" s="760"/>
      <c r="E15334" s="760"/>
      <c r="F15334" s="760"/>
      <c r="G15334" s="760"/>
      <c r="H15334" s="760"/>
      <c r="I15334" s="760"/>
      <c r="J15334" s="760"/>
      <c r="K15334" s="760"/>
    </row>
    <row r="15335" spans="1:11">
      <c r="A15335" s="760"/>
      <c r="B15335" s="760"/>
      <c r="C15335" s="760"/>
      <c r="D15335" s="760"/>
      <c r="E15335" s="760"/>
      <c r="F15335" s="760"/>
      <c r="G15335" s="760"/>
      <c r="H15335" s="760"/>
      <c r="I15335" s="760"/>
      <c r="J15335" s="760"/>
      <c r="K15335" s="760"/>
    </row>
    <row r="15336" spans="1:11">
      <c r="A15336" s="760"/>
      <c r="B15336" s="760"/>
      <c r="C15336" s="760"/>
      <c r="D15336" s="760"/>
      <c r="E15336" s="760"/>
      <c r="F15336" s="760"/>
      <c r="G15336" s="760"/>
      <c r="H15336" s="760"/>
      <c r="I15336" s="760"/>
      <c r="J15336" s="760"/>
      <c r="K15336" s="760"/>
    </row>
    <row r="15337" spans="1:11">
      <c r="A15337" s="760"/>
      <c r="B15337" s="760"/>
      <c r="C15337" s="760"/>
      <c r="D15337" s="760"/>
      <c r="E15337" s="760"/>
      <c r="F15337" s="760"/>
      <c r="G15337" s="760"/>
      <c r="H15337" s="760"/>
      <c r="I15337" s="760"/>
      <c r="J15337" s="760"/>
      <c r="K15337" s="760"/>
    </row>
    <row r="15338" spans="1:11">
      <c r="A15338" s="760"/>
      <c r="B15338" s="760"/>
      <c r="C15338" s="760"/>
      <c r="D15338" s="760"/>
      <c r="E15338" s="760"/>
      <c r="F15338" s="760"/>
      <c r="G15338" s="760"/>
      <c r="H15338" s="760"/>
      <c r="I15338" s="760"/>
      <c r="J15338" s="760"/>
      <c r="K15338" s="760"/>
    </row>
    <row r="15339" spans="1:11">
      <c r="A15339" s="760"/>
      <c r="B15339" s="760"/>
      <c r="C15339" s="760"/>
      <c r="D15339" s="760"/>
      <c r="E15339" s="760"/>
      <c r="F15339" s="760"/>
      <c r="G15339" s="760"/>
      <c r="H15339" s="760"/>
      <c r="I15339" s="760"/>
      <c r="J15339" s="760"/>
      <c r="K15339" s="760"/>
    </row>
    <row r="15340" spans="1:11">
      <c r="A15340" s="760"/>
      <c r="B15340" s="760"/>
      <c r="C15340" s="760"/>
      <c r="D15340" s="760"/>
      <c r="E15340" s="760"/>
      <c r="F15340" s="760"/>
      <c r="G15340" s="760"/>
      <c r="H15340" s="760"/>
      <c r="I15340" s="760"/>
      <c r="J15340" s="760"/>
      <c r="K15340" s="760"/>
    </row>
    <row r="15341" spans="1:11">
      <c r="A15341" s="760"/>
      <c r="B15341" s="760"/>
      <c r="C15341" s="760"/>
      <c r="D15341" s="760"/>
      <c r="E15341" s="760"/>
      <c r="F15341" s="760"/>
      <c r="G15341" s="760"/>
      <c r="H15341" s="760"/>
      <c r="I15341" s="760"/>
      <c r="J15341" s="760"/>
      <c r="K15341" s="760"/>
    </row>
    <row r="15342" spans="1:11">
      <c r="A15342" s="760"/>
      <c r="B15342" s="760"/>
      <c r="C15342" s="760"/>
      <c r="D15342" s="760"/>
      <c r="E15342" s="760"/>
      <c r="F15342" s="760"/>
      <c r="G15342" s="760"/>
      <c r="H15342" s="760"/>
      <c r="I15342" s="760"/>
      <c r="J15342" s="760"/>
      <c r="K15342" s="760"/>
    </row>
    <row r="15343" spans="1:11">
      <c r="A15343" s="760"/>
      <c r="B15343" s="760"/>
      <c r="C15343" s="760"/>
      <c r="D15343" s="760"/>
      <c r="E15343" s="760"/>
      <c r="F15343" s="760"/>
      <c r="G15343" s="760"/>
      <c r="H15343" s="760"/>
      <c r="I15343" s="760"/>
      <c r="J15343" s="760"/>
      <c r="K15343" s="760"/>
    </row>
    <row r="15344" spans="1:11">
      <c r="A15344" s="760"/>
      <c r="B15344" s="760"/>
      <c r="C15344" s="760"/>
      <c r="D15344" s="760"/>
      <c r="E15344" s="760"/>
      <c r="F15344" s="760"/>
      <c r="G15344" s="760"/>
      <c r="H15344" s="760"/>
      <c r="I15344" s="760"/>
      <c r="J15344" s="760"/>
      <c r="K15344" s="760"/>
    </row>
    <row r="15345" spans="1:11">
      <c r="A15345" s="760"/>
      <c r="B15345" s="760"/>
      <c r="C15345" s="760"/>
      <c r="D15345" s="760"/>
      <c r="E15345" s="760"/>
      <c r="F15345" s="760"/>
      <c r="G15345" s="760"/>
      <c r="H15345" s="760"/>
      <c r="I15345" s="760"/>
      <c r="J15345" s="760"/>
      <c r="K15345" s="760"/>
    </row>
    <row r="15346" spans="1:11">
      <c r="A15346" s="760"/>
      <c r="B15346" s="760"/>
      <c r="C15346" s="760"/>
      <c r="D15346" s="760"/>
      <c r="E15346" s="760"/>
      <c r="F15346" s="760"/>
      <c r="G15346" s="760"/>
      <c r="H15346" s="760"/>
      <c r="I15346" s="760"/>
      <c r="J15346" s="760"/>
      <c r="K15346" s="760"/>
    </row>
    <row r="15347" spans="1:11">
      <c r="A15347" s="760"/>
      <c r="B15347" s="760"/>
      <c r="C15347" s="760"/>
      <c r="D15347" s="760"/>
      <c r="E15347" s="760"/>
      <c r="F15347" s="760"/>
      <c r="G15347" s="760"/>
      <c r="H15347" s="760"/>
      <c r="I15347" s="760"/>
      <c r="J15347" s="760"/>
      <c r="K15347" s="760"/>
    </row>
    <row r="15348" spans="1:11">
      <c r="A15348" s="760"/>
      <c r="B15348" s="760"/>
      <c r="C15348" s="760"/>
      <c r="D15348" s="760"/>
      <c r="E15348" s="760"/>
      <c r="F15348" s="760"/>
      <c r="G15348" s="760"/>
      <c r="H15348" s="760"/>
      <c r="I15348" s="760"/>
      <c r="J15348" s="760"/>
      <c r="K15348" s="760"/>
    </row>
    <row r="15349" spans="1:11">
      <c r="A15349" s="760"/>
      <c r="B15349" s="760"/>
      <c r="C15349" s="760"/>
      <c r="D15349" s="760"/>
      <c r="E15349" s="760"/>
      <c r="F15349" s="760"/>
      <c r="G15349" s="760"/>
      <c r="H15349" s="760"/>
      <c r="I15349" s="760"/>
      <c r="J15349" s="760"/>
      <c r="K15349" s="760"/>
    </row>
    <row r="15350" spans="1:11">
      <c r="A15350" s="760"/>
      <c r="B15350" s="760"/>
      <c r="C15350" s="760"/>
      <c r="D15350" s="760"/>
      <c r="E15350" s="760"/>
      <c r="F15350" s="760"/>
      <c r="G15350" s="760"/>
      <c r="H15350" s="760"/>
      <c r="I15350" s="760"/>
      <c r="J15350" s="760"/>
      <c r="K15350" s="760"/>
    </row>
    <row r="15351" spans="1:11">
      <c r="A15351" s="760"/>
      <c r="B15351" s="760"/>
      <c r="C15351" s="760"/>
      <c r="D15351" s="760"/>
      <c r="E15351" s="760"/>
      <c r="F15351" s="760"/>
      <c r="G15351" s="760"/>
      <c r="H15351" s="760"/>
      <c r="I15351" s="760"/>
      <c r="J15351" s="760"/>
      <c r="K15351" s="760"/>
    </row>
    <row r="15352" spans="1:11">
      <c r="A15352" s="760"/>
      <c r="B15352" s="760"/>
      <c r="C15352" s="760"/>
      <c r="D15352" s="760"/>
      <c r="E15352" s="760"/>
      <c r="F15352" s="760"/>
      <c r="G15352" s="760"/>
      <c r="H15352" s="760"/>
      <c r="I15352" s="760"/>
      <c r="J15352" s="760"/>
      <c r="K15352" s="760"/>
    </row>
    <row r="15353" spans="1:11">
      <c r="A15353" s="760"/>
      <c r="B15353" s="760"/>
      <c r="C15353" s="760"/>
      <c r="D15353" s="760"/>
      <c r="E15353" s="760"/>
      <c r="F15353" s="760"/>
      <c r="G15353" s="760"/>
      <c r="H15353" s="760"/>
      <c r="I15353" s="760"/>
      <c r="J15353" s="760"/>
      <c r="K15353" s="760"/>
    </row>
    <row r="15354" spans="1:11">
      <c r="A15354" s="760"/>
      <c r="B15354" s="760"/>
      <c r="C15354" s="760"/>
      <c r="D15354" s="760"/>
      <c r="E15354" s="760"/>
      <c r="F15354" s="760"/>
      <c r="G15354" s="760"/>
      <c r="H15354" s="760"/>
      <c r="I15354" s="760"/>
      <c r="J15354" s="760"/>
      <c r="K15354" s="760"/>
    </row>
    <row r="15355" spans="1:11">
      <c r="A15355" s="760"/>
      <c r="B15355" s="760"/>
      <c r="C15355" s="760"/>
      <c r="D15355" s="760"/>
      <c r="E15355" s="760"/>
      <c r="F15355" s="760"/>
      <c r="G15355" s="760"/>
      <c r="H15355" s="760"/>
      <c r="I15355" s="760"/>
      <c r="J15355" s="760"/>
      <c r="K15355" s="760"/>
    </row>
    <row r="15356" spans="1:11">
      <c r="A15356" s="760"/>
      <c r="B15356" s="760"/>
      <c r="C15356" s="760"/>
      <c r="D15356" s="760"/>
      <c r="E15356" s="760"/>
      <c r="F15356" s="760"/>
      <c r="G15356" s="760"/>
      <c r="H15356" s="760"/>
      <c r="I15356" s="760"/>
      <c r="J15356" s="760"/>
      <c r="K15356" s="760"/>
    </row>
    <row r="15357" spans="1:11">
      <c r="A15357" s="760"/>
      <c r="B15357" s="760"/>
      <c r="C15357" s="760"/>
      <c r="D15357" s="760"/>
      <c r="E15357" s="760"/>
      <c r="F15357" s="760"/>
      <c r="G15357" s="760"/>
      <c r="H15357" s="760"/>
      <c r="I15357" s="760"/>
      <c r="J15357" s="760"/>
      <c r="K15357" s="760"/>
    </row>
    <row r="15358" spans="1:11">
      <c r="A15358" s="760"/>
      <c r="B15358" s="760"/>
      <c r="C15358" s="760"/>
      <c r="D15358" s="760"/>
      <c r="E15358" s="760"/>
      <c r="F15358" s="760"/>
      <c r="G15358" s="760"/>
      <c r="H15358" s="760"/>
      <c r="I15358" s="760"/>
      <c r="J15358" s="760"/>
      <c r="K15358" s="760"/>
    </row>
    <row r="15359" spans="1:11">
      <c r="A15359" s="760"/>
      <c r="B15359" s="760"/>
      <c r="C15359" s="760"/>
      <c r="D15359" s="760"/>
      <c r="E15359" s="760"/>
      <c r="F15359" s="760"/>
      <c r="G15359" s="760"/>
      <c r="H15359" s="760"/>
      <c r="I15359" s="760"/>
      <c r="J15359" s="760"/>
      <c r="K15359" s="760"/>
    </row>
    <row r="15360" spans="1:11">
      <c r="A15360" s="760"/>
      <c r="B15360" s="760"/>
      <c r="C15360" s="760"/>
      <c r="D15360" s="760"/>
      <c r="E15360" s="760"/>
      <c r="F15360" s="760"/>
      <c r="G15360" s="760"/>
      <c r="H15360" s="760"/>
      <c r="I15360" s="760"/>
      <c r="J15360" s="760"/>
      <c r="K15360" s="760"/>
    </row>
    <row r="15361" spans="1:11">
      <c r="A15361" s="760"/>
      <c r="B15361" s="760"/>
      <c r="C15361" s="760"/>
      <c r="D15361" s="760"/>
      <c r="E15361" s="760"/>
      <c r="F15361" s="760"/>
      <c r="G15361" s="760"/>
      <c r="H15361" s="760"/>
      <c r="I15361" s="760"/>
      <c r="J15361" s="760"/>
      <c r="K15361" s="760"/>
    </row>
    <row r="15362" spans="1:11">
      <c r="A15362" s="760"/>
      <c r="B15362" s="760"/>
      <c r="C15362" s="760"/>
      <c r="D15362" s="760"/>
      <c r="E15362" s="760"/>
      <c r="F15362" s="760"/>
      <c r="G15362" s="760"/>
      <c r="H15362" s="760"/>
      <c r="I15362" s="760"/>
      <c r="J15362" s="760"/>
      <c r="K15362" s="760"/>
    </row>
    <row r="15363" spans="1:11">
      <c r="A15363" s="760"/>
      <c r="B15363" s="760"/>
      <c r="C15363" s="760"/>
      <c r="D15363" s="760"/>
      <c r="E15363" s="760"/>
      <c r="F15363" s="760"/>
      <c r="G15363" s="760"/>
      <c r="H15363" s="760"/>
      <c r="I15363" s="760"/>
      <c r="J15363" s="760"/>
      <c r="K15363" s="760"/>
    </row>
    <row r="15364" spans="1:11">
      <c r="A15364" s="760"/>
      <c r="B15364" s="760"/>
      <c r="C15364" s="760"/>
      <c r="D15364" s="760"/>
      <c r="E15364" s="760"/>
      <c r="F15364" s="760"/>
      <c r="G15364" s="760"/>
      <c r="H15364" s="760"/>
      <c r="I15364" s="760"/>
      <c r="J15364" s="760"/>
      <c r="K15364" s="760"/>
    </row>
    <row r="15365" spans="1:11">
      <c r="A15365" s="760"/>
      <c r="B15365" s="760"/>
      <c r="C15365" s="760"/>
      <c r="D15365" s="760"/>
      <c r="E15365" s="760"/>
      <c r="F15365" s="760"/>
      <c r="G15365" s="760"/>
      <c r="H15365" s="760"/>
      <c r="I15365" s="760"/>
      <c r="J15365" s="760"/>
      <c r="K15365" s="760"/>
    </row>
    <row r="15366" spans="1:11">
      <c r="A15366" s="760"/>
      <c r="B15366" s="760"/>
      <c r="C15366" s="760"/>
      <c r="D15366" s="760"/>
      <c r="E15366" s="760"/>
      <c r="F15366" s="760"/>
      <c r="G15366" s="760"/>
      <c r="H15366" s="760"/>
      <c r="I15366" s="760"/>
      <c r="J15366" s="760"/>
      <c r="K15366" s="760"/>
    </row>
    <row r="15367" spans="1:11">
      <c r="A15367" s="760"/>
      <c r="B15367" s="760"/>
      <c r="C15367" s="760"/>
      <c r="D15367" s="760"/>
      <c r="E15367" s="760"/>
      <c r="F15367" s="760"/>
      <c r="G15367" s="760"/>
      <c r="H15367" s="760"/>
      <c r="I15367" s="760"/>
      <c r="J15367" s="760"/>
      <c r="K15367" s="760"/>
    </row>
    <row r="15368" spans="1:11">
      <c r="A15368" s="760"/>
      <c r="B15368" s="760"/>
      <c r="C15368" s="760"/>
      <c r="D15368" s="760"/>
      <c r="E15368" s="760"/>
      <c r="F15368" s="760"/>
      <c r="G15368" s="760"/>
      <c r="H15368" s="760"/>
      <c r="I15368" s="760"/>
      <c r="J15368" s="760"/>
      <c r="K15368" s="760"/>
    </row>
    <row r="15369" spans="1:11">
      <c r="A15369" s="760"/>
      <c r="B15369" s="760"/>
      <c r="C15369" s="760"/>
      <c r="D15369" s="760"/>
      <c r="E15369" s="760"/>
      <c r="F15369" s="760"/>
      <c r="G15369" s="760"/>
      <c r="H15369" s="760"/>
      <c r="I15369" s="760"/>
      <c r="J15369" s="760"/>
      <c r="K15369" s="760"/>
    </row>
    <row r="15370" spans="1:11">
      <c r="A15370" s="760"/>
      <c r="B15370" s="760"/>
      <c r="C15370" s="760"/>
      <c r="D15370" s="760"/>
      <c r="E15370" s="760"/>
      <c r="F15370" s="760"/>
      <c r="G15370" s="760"/>
      <c r="H15370" s="760"/>
      <c r="I15370" s="760"/>
      <c r="J15370" s="760"/>
      <c r="K15370" s="760"/>
    </row>
    <row r="15371" spans="1:11">
      <c r="A15371" s="760"/>
      <c r="B15371" s="760"/>
      <c r="C15371" s="760"/>
      <c r="D15371" s="760"/>
      <c r="E15371" s="760"/>
      <c r="F15371" s="760"/>
      <c r="G15371" s="760"/>
      <c r="H15371" s="760"/>
      <c r="I15371" s="760"/>
      <c r="J15371" s="760"/>
      <c r="K15371" s="760"/>
    </row>
    <row r="15372" spans="1:11">
      <c r="A15372" s="760"/>
      <c r="B15372" s="760"/>
      <c r="C15372" s="760"/>
      <c r="D15372" s="760"/>
      <c r="E15372" s="760"/>
      <c r="F15372" s="760"/>
      <c r="G15372" s="760"/>
      <c r="H15372" s="760"/>
      <c r="I15372" s="760"/>
      <c r="J15372" s="760"/>
      <c r="K15372" s="760"/>
    </row>
    <row r="15373" spans="1:11">
      <c r="A15373" s="760"/>
      <c r="B15373" s="760"/>
      <c r="C15373" s="760"/>
      <c r="D15373" s="760"/>
      <c r="E15373" s="760"/>
      <c r="F15373" s="760"/>
      <c r="G15373" s="760"/>
      <c r="H15373" s="760"/>
      <c r="I15373" s="760"/>
      <c r="J15373" s="760"/>
      <c r="K15373" s="760"/>
    </row>
    <row r="15374" spans="1:11">
      <c r="A15374" s="760"/>
      <c r="B15374" s="760"/>
      <c r="C15374" s="760"/>
      <c r="D15374" s="760"/>
      <c r="E15374" s="760"/>
      <c r="F15374" s="760"/>
      <c r="G15374" s="760"/>
      <c r="H15374" s="760"/>
      <c r="I15374" s="760"/>
      <c r="J15374" s="760"/>
      <c r="K15374" s="760"/>
    </row>
    <row r="15375" spans="1:11">
      <c r="A15375" s="760"/>
      <c r="B15375" s="760"/>
      <c r="C15375" s="760"/>
      <c r="D15375" s="760"/>
      <c r="E15375" s="760"/>
      <c r="F15375" s="760"/>
      <c r="G15375" s="760"/>
      <c r="H15375" s="760"/>
      <c r="I15375" s="760"/>
      <c r="J15375" s="760"/>
      <c r="K15375" s="760"/>
    </row>
    <row r="15376" spans="1:11">
      <c r="A15376" s="760"/>
      <c r="B15376" s="760"/>
      <c r="C15376" s="760"/>
      <c r="D15376" s="760"/>
      <c r="E15376" s="760"/>
      <c r="F15376" s="760"/>
      <c r="G15376" s="760"/>
      <c r="H15376" s="760"/>
      <c r="I15376" s="760"/>
      <c r="J15376" s="760"/>
      <c r="K15376" s="760"/>
    </row>
    <row r="15377" spans="1:11">
      <c r="A15377" s="760"/>
      <c r="B15377" s="760"/>
      <c r="C15377" s="760"/>
      <c r="D15377" s="760"/>
      <c r="E15377" s="760"/>
      <c r="F15377" s="760"/>
      <c r="G15377" s="760"/>
      <c r="H15377" s="760"/>
      <c r="I15377" s="760"/>
      <c r="J15377" s="760"/>
      <c r="K15377" s="760"/>
    </row>
    <row r="15378" spans="1:11">
      <c r="A15378" s="760"/>
      <c r="B15378" s="760"/>
      <c r="C15378" s="760"/>
      <c r="D15378" s="760"/>
      <c r="E15378" s="760"/>
      <c r="F15378" s="760"/>
      <c r="G15378" s="760"/>
      <c r="H15378" s="760"/>
      <c r="I15378" s="760"/>
      <c r="J15378" s="760"/>
      <c r="K15378" s="760"/>
    </row>
    <row r="15379" spans="1:11">
      <c r="A15379" s="760"/>
      <c r="B15379" s="760"/>
      <c r="C15379" s="760"/>
      <c r="D15379" s="760"/>
      <c r="E15379" s="760"/>
      <c r="F15379" s="760"/>
      <c r="G15379" s="760"/>
      <c r="H15379" s="760"/>
      <c r="I15379" s="760"/>
      <c r="J15379" s="760"/>
      <c r="K15379" s="760"/>
    </row>
    <row r="15380" spans="1:11">
      <c r="A15380" s="760"/>
      <c r="B15380" s="760"/>
      <c r="C15380" s="760"/>
      <c r="D15380" s="760"/>
      <c r="E15380" s="760"/>
      <c r="F15380" s="760"/>
      <c r="G15380" s="760"/>
      <c r="H15380" s="760"/>
      <c r="I15380" s="760"/>
      <c r="J15380" s="760"/>
      <c r="K15380" s="760"/>
    </row>
    <row r="15381" spans="1:11">
      <c r="A15381" s="760"/>
      <c r="B15381" s="760"/>
      <c r="C15381" s="760"/>
      <c r="D15381" s="760"/>
      <c r="E15381" s="760"/>
      <c r="F15381" s="760"/>
      <c r="G15381" s="760"/>
      <c r="H15381" s="760"/>
      <c r="I15381" s="760"/>
      <c r="J15381" s="760"/>
      <c r="K15381" s="760"/>
    </row>
    <row r="15382" spans="1:11">
      <c r="A15382" s="760"/>
      <c r="B15382" s="760"/>
      <c r="C15382" s="760"/>
      <c r="D15382" s="760"/>
      <c r="E15382" s="760"/>
      <c r="F15382" s="760"/>
      <c r="G15382" s="760"/>
      <c r="H15382" s="760"/>
      <c r="I15382" s="760"/>
      <c r="J15382" s="760"/>
      <c r="K15382" s="760"/>
    </row>
    <row r="15383" spans="1:11">
      <c r="A15383" s="760"/>
      <c r="B15383" s="760"/>
      <c r="C15383" s="760"/>
      <c r="D15383" s="760"/>
      <c r="E15383" s="760"/>
      <c r="F15383" s="760"/>
      <c r="G15383" s="760"/>
      <c r="H15383" s="760"/>
      <c r="I15383" s="760"/>
      <c r="J15383" s="760"/>
      <c r="K15383" s="760"/>
    </row>
    <row r="15384" spans="1:11">
      <c r="A15384" s="760"/>
      <c r="B15384" s="760"/>
      <c r="C15384" s="760"/>
      <c r="D15384" s="760"/>
      <c r="E15384" s="760"/>
      <c r="F15384" s="760"/>
      <c r="G15384" s="760"/>
      <c r="H15384" s="760"/>
      <c r="I15384" s="760"/>
      <c r="J15384" s="760"/>
      <c r="K15384" s="760"/>
    </row>
    <row r="15385" spans="1:11">
      <c r="A15385" s="760"/>
      <c r="B15385" s="760"/>
      <c r="C15385" s="760"/>
      <c r="D15385" s="760"/>
      <c r="E15385" s="760"/>
      <c r="F15385" s="760"/>
      <c r="G15385" s="760"/>
      <c r="H15385" s="760"/>
      <c r="I15385" s="760"/>
      <c r="J15385" s="760"/>
      <c r="K15385" s="760"/>
    </row>
    <row r="15386" spans="1:11">
      <c r="A15386" s="760"/>
      <c r="B15386" s="760"/>
      <c r="C15386" s="760"/>
      <c r="D15386" s="760"/>
      <c r="E15386" s="760"/>
      <c r="F15386" s="760"/>
      <c r="G15386" s="760"/>
      <c r="H15386" s="760"/>
      <c r="I15386" s="760"/>
      <c r="J15386" s="760"/>
      <c r="K15386" s="760"/>
    </row>
    <row r="15387" spans="1:11">
      <c r="A15387" s="760"/>
      <c r="B15387" s="760"/>
      <c r="C15387" s="760"/>
      <c r="D15387" s="760"/>
      <c r="E15387" s="760"/>
      <c r="F15387" s="760"/>
      <c r="G15387" s="760"/>
      <c r="H15387" s="760"/>
      <c r="I15387" s="760"/>
      <c r="J15387" s="760"/>
      <c r="K15387" s="760"/>
    </row>
    <row r="15388" spans="1:11">
      <c r="A15388" s="760"/>
      <c r="B15388" s="760"/>
      <c r="C15388" s="760"/>
      <c r="D15388" s="760"/>
      <c r="E15388" s="760"/>
      <c r="F15388" s="760"/>
      <c r="G15388" s="760"/>
      <c r="H15388" s="760"/>
      <c r="I15388" s="760"/>
      <c r="J15388" s="760"/>
      <c r="K15388" s="760"/>
    </row>
    <row r="15389" spans="1:11">
      <c r="A15389" s="760"/>
      <c r="B15389" s="760"/>
      <c r="C15389" s="760"/>
      <c r="D15389" s="760"/>
      <c r="E15389" s="760"/>
      <c r="F15389" s="760"/>
      <c r="G15389" s="760"/>
      <c r="H15389" s="760"/>
      <c r="I15389" s="760"/>
      <c r="J15389" s="760"/>
      <c r="K15389" s="760"/>
    </row>
    <row r="15390" spans="1:11">
      <c r="A15390" s="760"/>
      <c r="B15390" s="760"/>
      <c r="C15390" s="760"/>
      <c r="D15390" s="760"/>
      <c r="E15390" s="760"/>
      <c r="F15390" s="760"/>
      <c r="G15390" s="760"/>
      <c r="H15390" s="760"/>
      <c r="I15390" s="760"/>
      <c r="J15390" s="760"/>
      <c r="K15390" s="760"/>
    </row>
    <row r="15391" spans="1:11">
      <c r="A15391" s="760"/>
      <c r="B15391" s="760"/>
      <c r="C15391" s="760"/>
      <c r="D15391" s="760"/>
      <c r="E15391" s="760"/>
      <c r="F15391" s="760"/>
      <c r="G15391" s="760"/>
      <c r="H15391" s="760"/>
      <c r="I15391" s="760"/>
      <c r="J15391" s="760"/>
      <c r="K15391" s="760"/>
    </row>
    <row r="15392" spans="1:11">
      <c r="A15392" s="760"/>
      <c r="B15392" s="760"/>
      <c r="C15392" s="760"/>
      <c r="D15392" s="760"/>
      <c r="E15392" s="760"/>
      <c r="F15392" s="760"/>
      <c r="G15392" s="760"/>
      <c r="H15392" s="760"/>
      <c r="I15392" s="760"/>
      <c r="J15392" s="760"/>
      <c r="K15392" s="760"/>
    </row>
    <row r="15393" spans="1:11">
      <c r="A15393" s="760"/>
      <c r="B15393" s="760"/>
      <c r="C15393" s="760"/>
      <c r="D15393" s="760"/>
      <c r="E15393" s="760"/>
      <c r="F15393" s="760"/>
      <c r="G15393" s="760"/>
      <c r="H15393" s="760"/>
      <c r="I15393" s="760"/>
      <c r="J15393" s="760"/>
      <c r="K15393" s="760"/>
    </row>
    <row r="15394" spans="1:11">
      <c r="A15394" s="760"/>
      <c r="B15394" s="760"/>
      <c r="C15394" s="760"/>
      <c r="D15394" s="760"/>
      <c r="E15394" s="760"/>
      <c r="F15394" s="760"/>
      <c r="G15394" s="760"/>
      <c r="H15394" s="760"/>
      <c r="I15394" s="760"/>
      <c r="J15394" s="760"/>
      <c r="K15394" s="760"/>
    </row>
    <row r="15395" spans="1:11">
      <c r="A15395" s="760"/>
      <c r="B15395" s="760"/>
      <c r="C15395" s="760"/>
      <c r="D15395" s="760"/>
      <c r="E15395" s="760"/>
      <c r="F15395" s="760"/>
      <c r="G15395" s="760"/>
      <c r="H15395" s="760"/>
      <c r="I15395" s="760"/>
      <c r="J15395" s="760"/>
      <c r="K15395" s="760"/>
    </row>
    <row r="15396" spans="1:11">
      <c r="A15396" s="760"/>
      <c r="B15396" s="760"/>
      <c r="C15396" s="760"/>
      <c r="D15396" s="760"/>
      <c r="E15396" s="760"/>
      <c r="F15396" s="760"/>
      <c r="G15396" s="760"/>
      <c r="H15396" s="760"/>
      <c r="I15396" s="760"/>
      <c r="J15396" s="760"/>
      <c r="K15396" s="760"/>
    </row>
    <row r="15397" spans="1:11">
      <c r="A15397" s="760"/>
      <c r="B15397" s="760"/>
      <c r="C15397" s="760"/>
      <c r="D15397" s="760"/>
      <c r="E15397" s="760"/>
      <c r="F15397" s="760"/>
      <c r="G15397" s="760"/>
      <c r="H15397" s="760"/>
      <c r="I15397" s="760"/>
      <c r="J15397" s="760"/>
      <c r="K15397" s="760"/>
    </row>
    <row r="15398" spans="1:11">
      <c r="A15398" s="760"/>
      <c r="B15398" s="760"/>
      <c r="C15398" s="760"/>
      <c r="D15398" s="760"/>
      <c r="E15398" s="760"/>
      <c r="F15398" s="760"/>
      <c r="G15398" s="760"/>
      <c r="H15398" s="760"/>
      <c r="I15398" s="760"/>
      <c r="J15398" s="760"/>
      <c r="K15398" s="760"/>
    </row>
    <row r="15399" spans="1:11">
      <c r="A15399" s="760"/>
      <c r="B15399" s="760"/>
      <c r="C15399" s="760"/>
      <c r="D15399" s="760"/>
      <c r="E15399" s="760"/>
      <c r="F15399" s="760"/>
      <c r="G15399" s="760"/>
      <c r="H15399" s="760"/>
      <c r="I15399" s="760"/>
      <c r="J15399" s="760"/>
      <c r="K15399" s="760"/>
    </row>
    <row r="15400" spans="1:11">
      <c r="A15400" s="760"/>
      <c r="B15400" s="760"/>
      <c r="C15400" s="760"/>
      <c r="D15400" s="760"/>
      <c r="E15400" s="760"/>
      <c r="F15400" s="760"/>
      <c r="G15400" s="760"/>
      <c r="H15400" s="760"/>
      <c r="I15400" s="760"/>
      <c r="J15400" s="760"/>
      <c r="K15400" s="760"/>
    </row>
    <row r="15401" spans="1:11">
      <c r="A15401" s="760"/>
      <c r="B15401" s="760"/>
      <c r="C15401" s="760"/>
      <c r="D15401" s="760"/>
      <c r="E15401" s="760"/>
      <c r="F15401" s="760"/>
      <c r="G15401" s="760"/>
      <c r="H15401" s="760"/>
      <c r="I15401" s="760"/>
      <c r="J15401" s="760"/>
      <c r="K15401" s="760"/>
    </row>
    <row r="15402" spans="1:11">
      <c r="A15402" s="760"/>
      <c r="B15402" s="760"/>
      <c r="C15402" s="760"/>
      <c r="D15402" s="760"/>
      <c r="E15402" s="760"/>
      <c r="F15402" s="760"/>
      <c r="G15402" s="760"/>
      <c r="H15402" s="760"/>
      <c r="I15402" s="760"/>
      <c r="J15402" s="760"/>
      <c r="K15402" s="760"/>
    </row>
    <row r="15403" spans="1:11">
      <c r="A15403" s="760"/>
      <c r="B15403" s="760"/>
      <c r="C15403" s="760"/>
      <c r="D15403" s="760"/>
      <c r="E15403" s="760"/>
      <c r="F15403" s="760"/>
      <c r="G15403" s="760"/>
      <c r="H15403" s="760"/>
      <c r="I15403" s="760"/>
      <c r="J15403" s="760"/>
      <c r="K15403" s="760"/>
    </row>
    <row r="15404" spans="1:11">
      <c r="A15404" s="760"/>
      <c r="B15404" s="760"/>
      <c r="C15404" s="760"/>
      <c r="D15404" s="760"/>
      <c r="E15404" s="760"/>
      <c r="F15404" s="760"/>
      <c r="G15404" s="760"/>
      <c r="H15404" s="760"/>
      <c r="I15404" s="760"/>
      <c r="J15404" s="760"/>
      <c r="K15404" s="760"/>
    </row>
    <row r="15405" spans="1:11">
      <c r="A15405" s="760"/>
      <c r="B15405" s="760"/>
      <c r="C15405" s="760"/>
      <c r="D15405" s="760"/>
      <c r="E15405" s="760"/>
      <c r="F15405" s="760"/>
      <c r="G15405" s="760"/>
      <c r="H15405" s="760"/>
      <c r="I15405" s="760"/>
      <c r="J15405" s="760"/>
      <c r="K15405" s="760"/>
    </row>
    <row r="15406" spans="1:11">
      <c r="A15406" s="760"/>
      <c r="B15406" s="760"/>
      <c r="C15406" s="760"/>
      <c r="D15406" s="760"/>
      <c r="E15406" s="760"/>
      <c r="F15406" s="760"/>
      <c r="G15406" s="760"/>
      <c r="H15406" s="760"/>
      <c r="I15406" s="760"/>
      <c r="J15406" s="760"/>
      <c r="K15406" s="760"/>
    </row>
    <row r="15407" spans="1:11">
      <c r="A15407" s="760"/>
      <c r="B15407" s="760"/>
      <c r="C15407" s="760"/>
      <c r="D15407" s="760"/>
      <c r="E15407" s="760"/>
      <c r="F15407" s="760"/>
      <c r="G15407" s="760"/>
      <c r="H15407" s="760"/>
      <c r="I15407" s="760"/>
      <c r="J15407" s="760"/>
      <c r="K15407" s="760"/>
    </row>
    <row r="15408" spans="1:11">
      <c r="A15408" s="760"/>
      <c r="B15408" s="760"/>
      <c r="C15408" s="760"/>
      <c r="D15408" s="760"/>
      <c r="E15408" s="760"/>
      <c r="F15408" s="760"/>
      <c r="G15408" s="760"/>
      <c r="H15408" s="760"/>
      <c r="I15408" s="760"/>
      <c r="J15408" s="760"/>
      <c r="K15408" s="760"/>
    </row>
    <row r="15409" spans="1:11">
      <c r="A15409" s="760"/>
      <c r="B15409" s="760"/>
      <c r="C15409" s="760"/>
      <c r="D15409" s="760"/>
      <c r="E15409" s="760"/>
      <c r="F15409" s="760"/>
      <c r="G15409" s="760"/>
      <c r="H15409" s="760"/>
      <c r="I15409" s="760"/>
      <c r="J15409" s="760"/>
      <c r="K15409" s="760"/>
    </row>
    <row r="15410" spans="1:11">
      <c r="A15410" s="760"/>
      <c r="B15410" s="760"/>
      <c r="C15410" s="760"/>
      <c r="D15410" s="760"/>
      <c r="E15410" s="760"/>
      <c r="F15410" s="760"/>
      <c r="G15410" s="760"/>
      <c r="H15410" s="760"/>
      <c r="I15410" s="760"/>
      <c r="J15410" s="760"/>
      <c r="K15410" s="760"/>
    </row>
    <row r="15411" spans="1:11">
      <c r="A15411" s="760"/>
      <c r="B15411" s="760"/>
      <c r="C15411" s="760"/>
      <c r="D15411" s="760"/>
      <c r="E15411" s="760"/>
      <c r="F15411" s="760"/>
      <c r="G15411" s="760"/>
      <c r="H15411" s="760"/>
      <c r="I15411" s="760"/>
      <c r="J15411" s="760"/>
      <c r="K15411" s="760"/>
    </row>
    <row r="15412" spans="1:11">
      <c r="A15412" s="760"/>
      <c r="B15412" s="760"/>
      <c r="C15412" s="760"/>
      <c r="D15412" s="760"/>
      <c r="E15412" s="760"/>
      <c r="F15412" s="760"/>
      <c r="G15412" s="760"/>
      <c r="H15412" s="760"/>
      <c r="I15412" s="760"/>
      <c r="J15412" s="760"/>
      <c r="K15412" s="760"/>
    </row>
    <row r="15413" spans="1:11">
      <c r="A15413" s="760"/>
      <c r="B15413" s="760"/>
      <c r="C15413" s="760"/>
      <c r="D15413" s="760"/>
      <c r="E15413" s="760"/>
      <c r="F15413" s="760"/>
      <c r="G15413" s="760"/>
      <c r="H15413" s="760"/>
      <c r="I15413" s="760"/>
      <c r="J15413" s="760"/>
      <c r="K15413" s="760"/>
    </row>
    <row r="15414" spans="1:11">
      <c r="A15414" s="760"/>
      <c r="B15414" s="760"/>
      <c r="C15414" s="760"/>
      <c r="D15414" s="760"/>
      <c r="E15414" s="760"/>
      <c r="F15414" s="760"/>
      <c r="G15414" s="760"/>
      <c r="H15414" s="760"/>
      <c r="I15414" s="760"/>
      <c r="J15414" s="760"/>
      <c r="K15414" s="760"/>
    </row>
    <row r="15415" spans="1:11">
      <c r="A15415" s="760"/>
      <c r="B15415" s="760"/>
      <c r="C15415" s="760"/>
      <c r="D15415" s="760"/>
      <c r="E15415" s="760"/>
      <c r="F15415" s="760"/>
      <c r="G15415" s="760"/>
      <c r="H15415" s="760"/>
      <c r="I15415" s="760"/>
      <c r="J15415" s="760"/>
      <c r="K15415" s="760"/>
    </row>
    <row r="15416" spans="1:11">
      <c r="A15416" s="760"/>
      <c r="B15416" s="760"/>
      <c r="C15416" s="760"/>
      <c r="D15416" s="760"/>
      <c r="E15416" s="760"/>
      <c r="F15416" s="760"/>
      <c r="G15416" s="760"/>
      <c r="H15416" s="760"/>
      <c r="I15416" s="760"/>
      <c r="J15416" s="760"/>
      <c r="K15416" s="760"/>
    </row>
    <row r="15417" spans="1:11">
      <c r="A15417" s="760"/>
      <c r="B15417" s="760"/>
      <c r="C15417" s="760"/>
      <c r="D15417" s="760"/>
      <c r="E15417" s="760"/>
      <c r="F15417" s="760"/>
      <c r="G15417" s="760"/>
      <c r="H15417" s="760"/>
      <c r="I15417" s="760"/>
      <c r="J15417" s="760"/>
      <c r="K15417" s="760"/>
    </row>
    <row r="15418" spans="1:11">
      <c r="A15418" s="760"/>
      <c r="B15418" s="760"/>
      <c r="C15418" s="760"/>
      <c r="D15418" s="760"/>
      <c r="E15418" s="760"/>
      <c r="F15418" s="760"/>
      <c r="G15418" s="760"/>
      <c r="H15418" s="760"/>
      <c r="I15418" s="760"/>
      <c r="J15418" s="760"/>
      <c r="K15418" s="760"/>
    </row>
    <row r="15419" spans="1:11">
      <c r="A15419" s="760"/>
      <c r="B15419" s="760"/>
      <c r="C15419" s="760"/>
      <c r="D15419" s="760"/>
      <c r="E15419" s="760"/>
      <c r="F15419" s="760"/>
      <c r="G15419" s="760"/>
      <c r="H15419" s="760"/>
      <c r="I15419" s="760"/>
      <c r="J15419" s="760"/>
      <c r="K15419" s="760"/>
    </row>
    <row r="15420" spans="1:11">
      <c r="A15420" s="760"/>
      <c r="B15420" s="760"/>
      <c r="C15420" s="760"/>
      <c r="D15420" s="760"/>
      <c r="E15420" s="760"/>
      <c r="F15420" s="760"/>
      <c r="G15420" s="760"/>
      <c r="H15420" s="760"/>
      <c r="I15420" s="760"/>
      <c r="J15420" s="760"/>
      <c r="K15420" s="760"/>
    </row>
    <row r="15421" spans="1:11">
      <c r="A15421" s="760"/>
      <c r="B15421" s="760"/>
      <c r="C15421" s="760"/>
      <c r="D15421" s="760"/>
      <c r="E15421" s="760"/>
      <c r="F15421" s="760"/>
      <c r="G15421" s="760"/>
      <c r="H15421" s="760"/>
      <c r="I15421" s="760"/>
      <c r="J15421" s="760"/>
      <c r="K15421" s="760"/>
    </row>
    <row r="15422" spans="1:11">
      <c r="A15422" s="760"/>
      <c r="B15422" s="760"/>
      <c r="C15422" s="760"/>
      <c r="D15422" s="760"/>
      <c r="E15422" s="760"/>
      <c r="F15422" s="760"/>
      <c r="G15422" s="760"/>
      <c r="H15422" s="760"/>
      <c r="I15422" s="760"/>
      <c r="J15422" s="760"/>
      <c r="K15422" s="760"/>
    </row>
    <row r="15423" spans="1:11">
      <c r="A15423" s="760"/>
      <c r="B15423" s="760"/>
      <c r="C15423" s="760"/>
      <c r="D15423" s="760"/>
      <c r="E15423" s="760"/>
      <c r="F15423" s="760"/>
      <c r="G15423" s="760"/>
      <c r="H15423" s="760"/>
      <c r="I15423" s="760"/>
      <c r="J15423" s="760"/>
      <c r="K15423" s="760"/>
    </row>
    <row r="15424" spans="1:11">
      <c r="A15424" s="760"/>
      <c r="B15424" s="760"/>
      <c r="C15424" s="760"/>
      <c r="D15424" s="760"/>
      <c r="E15424" s="760"/>
      <c r="F15424" s="760"/>
      <c r="G15424" s="760"/>
      <c r="H15424" s="760"/>
      <c r="I15424" s="760"/>
      <c r="J15424" s="760"/>
      <c r="K15424" s="760"/>
    </row>
    <row r="15425" spans="1:11">
      <c r="A15425" s="760"/>
      <c r="B15425" s="760"/>
      <c r="C15425" s="760"/>
      <c r="D15425" s="760"/>
      <c r="E15425" s="760"/>
      <c r="F15425" s="760"/>
      <c r="G15425" s="760"/>
      <c r="H15425" s="760"/>
      <c r="I15425" s="760"/>
      <c r="J15425" s="760"/>
      <c r="K15425" s="760"/>
    </row>
    <row r="15426" spans="1:11">
      <c r="A15426" s="760"/>
      <c r="B15426" s="760"/>
      <c r="C15426" s="760"/>
      <c r="D15426" s="760"/>
      <c r="E15426" s="760"/>
      <c r="F15426" s="760"/>
      <c r="G15426" s="760"/>
      <c r="H15426" s="760"/>
      <c r="I15426" s="760"/>
      <c r="J15426" s="760"/>
      <c r="K15426" s="760"/>
    </row>
    <row r="15427" spans="1:11">
      <c r="A15427" s="760"/>
      <c r="B15427" s="760"/>
      <c r="C15427" s="760"/>
      <c r="D15427" s="760"/>
      <c r="E15427" s="760"/>
      <c r="F15427" s="760"/>
      <c r="G15427" s="760"/>
      <c r="H15427" s="760"/>
      <c r="I15427" s="760"/>
      <c r="J15427" s="760"/>
      <c r="K15427" s="760"/>
    </row>
    <row r="15428" spans="1:11">
      <c r="A15428" s="760"/>
      <c r="B15428" s="760"/>
      <c r="C15428" s="760"/>
      <c r="D15428" s="760"/>
      <c r="E15428" s="760"/>
      <c r="F15428" s="760"/>
      <c r="G15428" s="760"/>
      <c r="H15428" s="760"/>
      <c r="I15428" s="760"/>
      <c r="J15428" s="760"/>
      <c r="K15428" s="760"/>
    </row>
    <row r="15429" spans="1:11">
      <c r="A15429" s="760"/>
      <c r="B15429" s="760"/>
      <c r="C15429" s="760"/>
      <c r="D15429" s="760"/>
      <c r="E15429" s="760"/>
      <c r="F15429" s="760"/>
      <c r="G15429" s="760"/>
      <c r="H15429" s="760"/>
      <c r="I15429" s="760"/>
      <c r="J15429" s="760"/>
      <c r="K15429" s="760"/>
    </row>
    <row r="15430" spans="1:11">
      <c r="A15430" s="760"/>
      <c r="B15430" s="760"/>
      <c r="C15430" s="760"/>
      <c r="D15430" s="760"/>
      <c r="E15430" s="760"/>
      <c r="F15430" s="760"/>
      <c r="G15430" s="760"/>
      <c r="H15430" s="760"/>
      <c r="I15430" s="760"/>
      <c r="J15430" s="760"/>
      <c r="K15430" s="760"/>
    </row>
    <row r="15431" spans="1:11">
      <c r="A15431" s="760"/>
      <c r="B15431" s="760"/>
      <c r="C15431" s="760"/>
      <c r="D15431" s="760"/>
      <c r="E15431" s="760"/>
      <c r="F15431" s="760"/>
      <c r="G15431" s="760"/>
      <c r="H15431" s="760"/>
      <c r="I15431" s="760"/>
      <c r="J15431" s="760"/>
      <c r="K15431" s="760"/>
    </row>
    <row r="15432" spans="1:11">
      <c r="A15432" s="760"/>
      <c r="B15432" s="760"/>
      <c r="C15432" s="760"/>
      <c r="D15432" s="760"/>
      <c r="E15432" s="760"/>
      <c r="F15432" s="760"/>
      <c r="G15432" s="760"/>
      <c r="H15432" s="760"/>
      <c r="I15432" s="760"/>
      <c r="J15432" s="760"/>
      <c r="K15432" s="760"/>
    </row>
    <row r="15433" spans="1:11">
      <c r="A15433" s="760"/>
      <c r="B15433" s="760"/>
      <c r="C15433" s="760"/>
      <c r="D15433" s="760"/>
      <c r="E15433" s="760"/>
      <c r="F15433" s="760"/>
      <c r="G15433" s="760"/>
      <c r="H15433" s="760"/>
      <c r="I15433" s="760"/>
      <c r="J15433" s="760"/>
      <c r="K15433" s="760"/>
    </row>
    <row r="15434" spans="1:11">
      <c r="A15434" s="760"/>
      <c r="B15434" s="760"/>
      <c r="C15434" s="760"/>
      <c r="D15434" s="760"/>
      <c r="E15434" s="760"/>
      <c r="F15434" s="760"/>
      <c r="G15434" s="760"/>
      <c r="H15434" s="760"/>
      <c r="I15434" s="760"/>
      <c r="J15434" s="760"/>
      <c r="K15434" s="760"/>
    </row>
    <row r="15435" spans="1:11">
      <c r="A15435" s="760"/>
      <c r="B15435" s="760"/>
      <c r="C15435" s="760"/>
      <c r="D15435" s="760"/>
      <c r="E15435" s="760"/>
      <c r="F15435" s="760"/>
      <c r="G15435" s="760"/>
      <c r="H15435" s="760"/>
      <c r="I15435" s="760"/>
      <c r="J15435" s="760"/>
      <c r="K15435" s="760"/>
    </row>
    <row r="15436" spans="1:11">
      <c r="A15436" s="760"/>
      <c r="B15436" s="760"/>
      <c r="C15436" s="760"/>
      <c r="D15436" s="760"/>
      <c r="E15436" s="760"/>
      <c r="F15436" s="760"/>
      <c r="G15436" s="760"/>
      <c r="H15436" s="760"/>
      <c r="I15436" s="760"/>
      <c r="J15436" s="760"/>
      <c r="K15436" s="760"/>
    </row>
    <row r="15437" spans="1:11">
      <c r="A15437" s="760"/>
      <c r="B15437" s="760"/>
      <c r="C15437" s="760"/>
      <c r="D15437" s="760"/>
      <c r="E15437" s="760"/>
      <c r="F15437" s="760"/>
      <c r="G15437" s="760"/>
      <c r="H15437" s="760"/>
      <c r="I15437" s="760"/>
      <c r="J15437" s="760"/>
      <c r="K15437" s="760"/>
    </row>
    <row r="15438" spans="1:11">
      <c r="A15438" s="760"/>
      <c r="B15438" s="760"/>
      <c r="C15438" s="760"/>
      <c r="D15438" s="760"/>
      <c r="E15438" s="760"/>
      <c r="F15438" s="760"/>
      <c r="G15438" s="760"/>
      <c r="H15438" s="760"/>
      <c r="I15438" s="760"/>
      <c r="J15438" s="760"/>
      <c r="K15438" s="760"/>
    </row>
    <row r="15439" spans="1:11">
      <c r="A15439" s="760"/>
      <c r="B15439" s="760"/>
      <c r="C15439" s="760"/>
      <c r="D15439" s="760"/>
      <c r="E15439" s="760"/>
      <c r="F15439" s="760"/>
      <c r="G15439" s="760"/>
      <c r="H15439" s="760"/>
      <c r="I15439" s="760"/>
      <c r="J15439" s="760"/>
      <c r="K15439" s="760"/>
    </row>
    <row r="15440" spans="1:11">
      <c r="A15440" s="760"/>
      <c r="B15440" s="760"/>
      <c r="C15440" s="760"/>
      <c r="D15440" s="760"/>
      <c r="E15440" s="760"/>
      <c r="F15440" s="760"/>
      <c r="G15440" s="760"/>
      <c r="H15440" s="760"/>
      <c r="I15440" s="760"/>
      <c r="J15440" s="760"/>
      <c r="K15440" s="760"/>
    </row>
    <row r="15441" spans="1:11">
      <c r="A15441" s="760"/>
      <c r="B15441" s="760"/>
      <c r="C15441" s="760"/>
      <c r="D15441" s="760"/>
      <c r="E15441" s="760"/>
      <c r="F15441" s="760"/>
      <c r="G15441" s="760"/>
      <c r="H15441" s="760"/>
      <c r="I15441" s="760"/>
      <c r="J15441" s="760"/>
      <c r="K15441" s="760"/>
    </row>
    <row r="15442" spans="1:11">
      <c r="A15442" s="760"/>
      <c r="B15442" s="760"/>
      <c r="C15442" s="760"/>
      <c r="D15442" s="760"/>
      <c r="E15442" s="760"/>
      <c r="F15442" s="760"/>
      <c r="G15442" s="760"/>
      <c r="H15442" s="760"/>
      <c r="I15442" s="760"/>
      <c r="J15442" s="760"/>
      <c r="K15442" s="760"/>
    </row>
    <row r="15443" spans="1:11">
      <c r="A15443" s="760"/>
      <c r="B15443" s="760"/>
      <c r="C15443" s="760"/>
      <c r="D15443" s="760"/>
      <c r="E15443" s="760"/>
      <c r="F15443" s="760"/>
      <c r="G15443" s="760"/>
      <c r="H15443" s="760"/>
      <c r="I15443" s="760"/>
      <c r="J15443" s="760"/>
      <c r="K15443" s="760"/>
    </row>
    <row r="15444" spans="1:11">
      <c r="A15444" s="760"/>
      <c r="B15444" s="760"/>
      <c r="C15444" s="760"/>
      <c r="D15444" s="760"/>
      <c r="E15444" s="760"/>
      <c r="F15444" s="760"/>
      <c r="G15444" s="760"/>
      <c r="H15444" s="760"/>
      <c r="I15444" s="760"/>
      <c r="J15444" s="760"/>
      <c r="K15444" s="760"/>
    </row>
    <row r="15445" spans="1:11">
      <c r="A15445" s="760"/>
      <c r="B15445" s="760"/>
      <c r="C15445" s="760"/>
      <c r="D15445" s="760"/>
      <c r="E15445" s="760"/>
      <c r="F15445" s="760"/>
      <c r="G15445" s="760"/>
      <c r="H15445" s="760"/>
      <c r="I15445" s="760"/>
      <c r="J15445" s="760"/>
      <c r="K15445" s="760"/>
    </row>
    <row r="15446" spans="1:11">
      <c r="A15446" s="760"/>
      <c r="B15446" s="760"/>
      <c r="C15446" s="760"/>
      <c r="D15446" s="760"/>
      <c r="E15446" s="760"/>
      <c r="F15446" s="760"/>
      <c r="G15446" s="760"/>
      <c r="H15446" s="760"/>
      <c r="I15446" s="760"/>
      <c r="J15446" s="760"/>
      <c r="K15446" s="760"/>
    </row>
    <row r="15447" spans="1:11">
      <c r="A15447" s="760"/>
      <c r="B15447" s="760"/>
      <c r="C15447" s="760"/>
      <c r="D15447" s="760"/>
      <c r="E15447" s="760"/>
      <c r="F15447" s="760"/>
      <c r="G15447" s="760"/>
      <c r="H15447" s="760"/>
      <c r="I15447" s="760"/>
      <c r="J15447" s="760"/>
      <c r="K15447" s="760"/>
    </row>
    <row r="15448" spans="1:11">
      <c r="A15448" s="760"/>
      <c r="B15448" s="760"/>
      <c r="C15448" s="760"/>
      <c r="D15448" s="760"/>
      <c r="E15448" s="760"/>
      <c r="F15448" s="760"/>
      <c r="G15448" s="760"/>
      <c r="H15448" s="760"/>
      <c r="I15448" s="760"/>
      <c r="J15448" s="760"/>
      <c r="K15448" s="760"/>
    </row>
    <row r="15449" spans="1:11">
      <c r="A15449" s="760"/>
      <c r="B15449" s="760"/>
      <c r="C15449" s="760"/>
      <c r="D15449" s="760"/>
      <c r="E15449" s="760"/>
      <c r="F15449" s="760"/>
      <c r="G15449" s="760"/>
      <c r="H15449" s="760"/>
      <c r="I15449" s="760"/>
      <c r="J15449" s="760"/>
      <c r="K15449" s="760"/>
    </row>
    <row r="15450" spans="1:11">
      <c r="A15450" s="760"/>
      <c r="B15450" s="760"/>
      <c r="C15450" s="760"/>
      <c r="D15450" s="760"/>
      <c r="E15450" s="760"/>
      <c r="F15450" s="760"/>
      <c r="G15450" s="760"/>
      <c r="H15450" s="760"/>
      <c r="I15450" s="760"/>
      <c r="J15450" s="760"/>
      <c r="K15450" s="760"/>
    </row>
    <row r="15451" spans="1:11">
      <c r="A15451" s="760"/>
      <c r="B15451" s="760"/>
      <c r="C15451" s="760"/>
      <c r="D15451" s="760"/>
      <c r="E15451" s="760"/>
      <c r="F15451" s="760"/>
      <c r="G15451" s="760"/>
      <c r="H15451" s="760"/>
      <c r="I15451" s="760"/>
      <c r="J15451" s="760"/>
      <c r="K15451" s="760"/>
    </row>
    <row r="15452" spans="1:11">
      <c r="A15452" s="760"/>
      <c r="B15452" s="760"/>
      <c r="C15452" s="760"/>
      <c r="D15452" s="760"/>
      <c r="E15452" s="760"/>
      <c r="F15452" s="760"/>
      <c r="G15452" s="760"/>
      <c r="H15452" s="760"/>
      <c r="I15452" s="760"/>
      <c r="J15452" s="760"/>
      <c r="K15452" s="760"/>
    </row>
    <row r="15453" spans="1:11">
      <c r="A15453" s="760"/>
      <c r="B15453" s="760"/>
      <c r="C15453" s="760"/>
      <c r="D15453" s="760"/>
      <c r="E15453" s="760"/>
      <c r="F15453" s="760"/>
      <c r="G15453" s="760"/>
      <c r="H15453" s="760"/>
      <c r="I15453" s="760"/>
      <c r="J15453" s="760"/>
      <c r="K15453" s="760"/>
    </row>
    <row r="15454" spans="1:11">
      <c r="A15454" s="760"/>
      <c r="B15454" s="760"/>
      <c r="C15454" s="760"/>
      <c r="D15454" s="760"/>
      <c r="E15454" s="760"/>
      <c r="F15454" s="760"/>
      <c r="G15454" s="760"/>
      <c r="H15454" s="760"/>
      <c r="I15454" s="760"/>
      <c r="J15454" s="760"/>
      <c r="K15454" s="760"/>
    </row>
    <row r="15455" spans="1:11">
      <c r="A15455" s="760"/>
      <c r="B15455" s="760"/>
      <c r="C15455" s="760"/>
      <c r="D15455" s="760"/>
      <c r="E15455" s="760"/>
      <c r="F15455" s="760"/>
      <c r="G15455" s="760"/>
      <c r="H15455" s="760"/>
      <c r="I15455" s="760"/>
      <c r="J15455" s="760"/>
      <c r="K15455" s="760"/>
    </row>
    <row r="15456" spans="1:11">
      <c r="A15456" s="760"/>
      <c r="B15456" s="760"/>
      <c r="C15456" s="760"/>
      <c r="D15456" s="760"/>
      <c r="E15456" s="760"/>
      <c r="F15456" s="760"/>
      <c r="G15456" s="760"/>
      <c r="H15456" s="760"/>
      <c r="I15456" s="760"/>
      <c r="J15456" s="760"/>
      <c r="K15456" s="760"/>
    </row>
    <row r="15457" spans="1:11">
      <c r="A15457" s="760"/>
      <c r="B15457" s="760"/>
      <c r="C15457" s="760"/>
      <c r="D15457" s="760"/>
      <c r="E15457" s="760"/>
      <c r="F15457" s="760"/>
      <c r="G15457" s="760"/>
      <c r="H15457" s="760"/>
      <c r="I15457" s="760"/>
      <c r="J15457" s="760"/>
      <c r="K15457" s="760"/>
    </row>
    <row r="15458" spans="1:11">
      <c r="A15458" s="760"/>
      <c r="B15458" s="760"/>
      <c r="C15458" s="760"/>
      <c r="D15458" s="760"/>
      <c r="E15458" s="760"/>
      <c r="F15458" s="760"/>
      <c r="G15458" s="760"/>
      <c r="H15458" s="760"/>
      <c r="I15458" s="760"/>
      <c r="J15458" s="760"/>
      <c r="K15458" s="760"/>
    </row>
    <row r="15459" spans="1:11">
      <c r="A15459" s="760"/>
      <c r="B15459" s="760"/>
      <c r="C15459" s="760"/>
      <c r="D15459" s="760"/>
      <c r="E15459" s="760"/>
      <c r="F15459" s="760"/>
      <c r="G15459" s="760"/>
      <c r="H15459" s="760"/>
      <c r="I15459" s="760"/>
      <c r="J15459" s="760"/>
      <c r="K15459" s="760"/>
    </row>
    <row r="15460" spans="1:11">
      <c r="A15460" s="760"/>
      <c r="B15460" s="760"/>
      <c r="C15460" s="760"/>
      <c r="D15460" s="760"/>
      <c r="E15460" s="760"/>
      <c r="F15460" s="760"/>
      <c r="G15460" s="760"/>
      <c r="H15460" s="760"/>
      <c r="I15460" s="760"/>
      <c r="J15460" s="760"/>
      <c r="K15460" s="760"/>
    </row>
    <row r="15461" spans="1:11">
      <c r="A15461" s="760"/>
      <c r="B15461" s="760"/>
      <c r="C15461" s="760"/>
      <c r="D15461" s="760"/>
      <c r="E15461" s="760"/>
      <c r="F15461" s="760"/>
      <c r="G15461" s="760"/>
      <c r="H15461" s="760"/>
      <c r="I15461" s="760"/>
      <c r="J15461" s="760"/>
      <c r="K15461" s="760"/>
    </row>
    <row r="15462" spans="1:11">
      <c r="A15462" s="760"/>
      <c r="B15462" s="760"/>
      <c r="C15462" s="760"/>
      <c r="D15462" s="760"/>
      <c r="E15462" s="760"/>
      <c r="F15462" s="760"/>
      <c r="G15462" s="760"/>
      <c r="H15462" s="760"/>
      <c r="I15462" s="760"/>
      <c r="J15462" s="760"/>
      <c r="K15462" s="760"/>
    </row>
    <row r="15463" spans="1:11">
      <c r="A15463" s="760"/>
      <c r="B15463" s="760"/>
      <c r="C15463" s="760"/>
      <c r="D15463" s="760"/>
      <c r="E15463" s="760"/>
      <c r="F15463" s="760"/>
      <c r="G15463" s="760"/>
      <c r="H15463" s="760"/>
      <c r="I15463" s="760"/>
      <c r="J15463" s="760"/>
      <c r="K15463" s="760"/>
    </row>
    <row r="15464" spans="1:11">
      <c r="A15464" s="760"/>
      <c r="B15464" s="760"/>
      <c r="C15464" s="760"/>
      <c r="D15464" s="760"/>
      <c r="E15464" s="760"/>
      <c r="F15464" s="760"/>
      <c r="G15464" s="760"/>
      <c r="H15464" s="760"/>
      <c r="I15464" s="760"/>
      <c r="J15464" s="760"/>
      <c r="K15464" s="760"/>
    </row>
    <row r="15465" spans="1:11">
      <c r="A15465" s="760"/>
      <c r="B15465" s="760"/>
      <c r="C15465" s="760"/>
      <c r="D15465" s="760"/>
      <c r="E15465" s="760"/>
      <c r="F15465" s="760"/>
      <c r="G15465" s="760"/>
      <c r="H15465" s="760"/>
      <c r="I15465" s="760"/>
      <c r="J15465" s="760"/>
      <c r="K15465" s="760"/>
    </row>
    <row r="15466" spans="1:11">
      <c r="A15466" s="760"/>
      <c r="B15466" s="760"/>
      <c r="C15466" s="760"/>
      <c r="D15466" s="760"/>
      <c r="E15466" s="760"/>
      <c r="F15466" s="760"/>
      <c r="G15466" s="760"/>
      <c r="H15466" s="760"/>
      <c r="I15466" s="760"/>
      <c r="J15466" s="760"/>
      <c r="K15466" s="760"/>
    </row>
    <row r="15467" spans="1:11">
      <c r="A15467" s="760"/>
      <c r="B15467" s="760"/>
      <c r="C15467" s="760"/>
      <c r="D15467" s="760"/>
      <c r="E15467" s="760"/>
      <c r="F15467" s="760"/>
      <c r="G15467" s="760"/>
      <c r="H15467" s="760"/>
      <c r="I15467" s="760"/>
      <c r="J15467" s="760"/>
      <c r="K15467" s="760"/>
    </row>
    <row r="15468" spans="1:11">
      <c r="A15468" s="760"/>
      <c r="B15468" s="760"/>
      <c r="C15468" s="760"/>
      <c r="D15468" s="760"/>
      <c r="E15468" s="760"/>
      <c r="F15468" s="760"/>
      <c r="G15468" s="760"/>
      <c r="H15468" s="760"/>
      <c r="I15468" s="760"/>
      <c r="J15468" s="760"/>
      <c r="K15468" s="760"/>
    </row>
    <row r="15469" spans="1:11">
      <c r="A15469" s="760"/>
      <c r="B15469" s="760"/>
      <c r="C15469" s="760"/>
      <c r="D15469" s="760"/>
      <c r="E15469" s="760"/>
      <c r="F15469" s="760"/>
      <c r="G15469" s="760"/>
      <c r="H15469" s="760"/>
      <c r="I15469" s="760"/>
      <c r="J15469" s="760"/>
      <c r="K15469" s="760"/>
    </row>
    <row r="15470" spans="1:11">
      <c r="A15470" s="760"/>
      <c r="B15470" s="760"/>
      <c r="C15470" s="760"/>
      <c r="D15470" s="760"/>
      <c r="E15470" s="760"/>
      <c r="F15470" s="760"/>
      <c r="G15470" s="760"/>
      <c r="H15470" s="760"/>
      <c r="I15470" s="760"/>
      <c r="J15470" s="760"/>
      <c r="K15470" s="760"/>
    </row>
    <row r="15471" spans="1:11">
      <c r="A15471" s="760"/>
      <c r="B15471" s="760"/>
      <c r="C15471" s="760"/>
      <c r="D15471" s="760"/>
      <c r="E15471" s="760"/>
      <c r="F15471" s="760"/>
      <c r="G15471" s="760"/>
      <c r="H15471" s="760"/>
      <c r="I15471" s="760"/>
      <c r="J15471" s="760"/>
      <c r="K15471" s="760"/>
    </row>
    <row r="15472" spans="1:11">
      <c r="A15472" s="760"/>
      <c r="B15472" s="760"/>
      <c r="C15472" s="760"/>
      <c r="D15472" s="760"/>
      <c r="E15472" s="760"/>
      <c r="F15472" s="760"/>
      <c r="G15472" s="760"/>
      <c r="H15472" s="760"/>
      <c r="I15472" s="760"/>
      <c r="J15472" s="760"/>
      <c r="K15472" s="760"/>
    </row>
    <row r="15473" spans="1:11">
      <c r="A15473" s="760"/>
      <c r="B15473" s="760"/>
      <c r="C15473" s="760"/>
      <c r="D15473" s="760"/>
      <c r="E15473" s="760"/>
      <c r="F15473" s="760"/>
      <c r="G15473" s="760"/>
      <c r="H15473" s="760"/>
      <c r="I15473" s="760"/>
      <c r="J15473" s="760"/>
      <c r="K15473" s="760"/>
    </row>
    <row r="15474" spans="1:11">
      <c r="A15474" s="760"/>
      <c r="B15474" s="760"/>
      <c r="C15474" s="760"/>
      <c r="D15474" s="760"/>
      <c r="E15474" s="760"/>
      <c r="F15474" s="760"/>
      <c r="G15474" s="760"/>
      <c r="H15474" s="760"/>
      <c r="I15474" s="760"/>
      <c r="J15474" s="760"/>
      <c r="K15474" s="760"/>
    </row>
    <row r="15475" spans="1:11">
      <c r="A15475" s="760"/>
      <c r="B15475" s="760"/>
      <c r="C15475" s="760"/>
      <c r="D15475" s="760"/>
      <c r="E15475" s="760"/>
      <c r="F15475" s="760"/>
      <c r="G15475" s="760"/>
      <c r="H15475" s="760"/>
      <c r="I15475" s="760"/>
      <c r="J15475" s="760"/>
      <c r="K15475" s="760"/>
    </row>
    <row r="15476" spans="1:11">
      <c r="A15476" s="760"/>
      <c r="B15476" s="760"/>
      <c r="C15476" s="760"/>
      <c r="D15476" s="760"/>
      <c r="E15476" s="760"/>
      <c r="F15476" s="760"/>
      <c r="G15476" s="760"/>
      <c r="H15476" s="760"/>
      <c r="I15476" s="760"/>
      <c r="J15476" s="760"/>
      <c r="K15476" s="760"/>
    </row>
    <row r="15477" spans="1:11">
      <c r="A15477" s="760"/>
      <c r="B15477" s="760"/>
      <c r="C15477" s="760"/>
      <c r="D15477" s="760"/>
      <c r="E15477" s="760"/>
      <c r="F15477" s="760"/>
      <c r="G15477" s="760"/>
      <c r="H15477" s="760"/>
      <c r="I15477" s="760"/>
      <c r="J15477" s="760"/>
      <c r="K15477" s="760"/>
    </row>
    <row r="15478" spans="1:11">
      <c r="A15478" s="760"/>
      <c r="B15478" s="760"/>
      <c r="C15478" s="760"/>
      <c r="D15478" s="760"/>
      <c r="E15478" s="760"/>
      <c r="F15478" s="760"/>
      <c r="G15478" s="760"/>
      <c r="H15478" s="760"/>
      <c r="I15478" s="760"/>
      <c r="J15478" s="760"/>
      <c r="K15478" s="760"/>
    </row>
    <row r="15479" spans="1:11">
      <c r="A15479" s="760"/>
      <c r="B15479" s="760"/>
      <c r="C15479" s="760"/>
      <c r="D15479" s="760"/>
      <c r="E15479" s="760"/>
      <c r="F15479" s="760"/>
      <c r="G15479" s="760"/>
      <c r="H15479" s="760"/>
      <c r="I15479" s="760"/>
      <c r="J15479" s="760"/>
      <c r="K15479" s="760"/>
    </row>
    <row r="15480" spans="1:11">
      <c r="A15480" s="760"/>
      <c r="B15480" s="760"/>
      <c r="C15480" s="760"/>
      <c r="D15480" s="760"/>
      <c r="E15480" s="760"/>
      <c r="F15480" s="760"/>
      <c r="G15480" s="760"/>
      <c r="H15480" s="760"/>
      <c r="I15480" s="760"/>
      <c r="J15480" s="760"/>
      <c r="K15480" s="760"/>
    </row>
    <row r="15481" spans="1:11">
      <c r="A15481" s="760"/>
      <c r="B15481" s="760"/>
      <c r="C15481" s="760"/>
      <c r="D15481" s="760"/>
      <c r="E15481" s="760"/>
      <c r="F15481" s="760"/>
      <c r="G15481" s="760"/>
      <c r="H15481" s="760"/>
      <c r="I15481" s="760"/>
      <c r="J15481" s="760"/>
      <c r="K15481" s="760"/>
    </row>
    <row r="15482" spans="1:11">
      <c r="A15482" s="760"/>
      <c r="B15482" s="760"/>
      <c r="C15482" s="760"/>
      <c r="D15482" s="760"/>
      <c r="E15482" s="760"/>
      <c r="F15482" s="760"/>
      <c r="G15482" s="760"/>
      <c r="H15482" s="760"/>
      <c r="I15482" s="760"/>
      <c r="J15482" s="760"/>
      <c r="K15482" s="760"/>
    </row>
    <row r="15483" spans="1:11">
      <c r="A15483" s="760"/>
      <c r="B15483" s="760"/>
      <c r="C15483" s="760"/>
      <c r="D15483" s="760"/>
      <c r="E15483" s="760"/>
      <c r="F15483" s="760"/>
      <c r="G15483" s="760"/>
      <c r="H15483" s="760"/>
      <c r="I15483" s="760"/>
      <c r="J15483" s="760"/>
      <c r="K15483" s="760"/>
    </row>
    <row r="15484" spans="1:11">
      <c r="A15484" s="760"/>
      <c r="B15484" s="760"/>
      <c r="C15484" s="760"/>
      <c r="D15484" s="760"/>
      <c r="E15484" s="760"/>
      <c r="F15484" s="760"/>
      <c r="G15484" s="760"/>
      <c r="H15484" s="760"/>
      <c r="I15484" s="760"/>
      <c r="J15484" s="760"/>
      <c r="K15484" s="760"/>
    </row>
    <row r="15485" spans="1:11">
      <c r="A15485" s="760"/>
      <c r="B15485" s="760"/>
      <c r="C15485" s="760"/>
      <c r="D15485" s="760"/>
      <c r="E15485" s="760"/>
      <c r="F15485" s="760"/>
      <c r="G15485" s="760"/>
      <c r="H15485" s="760"/>
      <c r="I15485" s="760"/>
      <c r="J15485" s="760"/>
      <c r="K15485" s="760"/>
    </row>
    <row r="15486" spans="1:11">
      <c r="A15486" s="760"/>
      <c r="B15486" s="760"/>
      <c r="C15486" s="760"/>
      <c r="D15486" s="760"/>
      <c r="E15486" s="760"/>
      <c r="F15486" s="760"/>
      <c r="G15486" s="760"/>
      <c r="H15486" s="760"/>
      <c r="I15486" s="760"/>
      <c r="J15486" s="760"/>
      <c r="K15486" s="760"/>
    </row>
    <row r="15487" spans="1:11">
      <c r="A15487" s="760"/>
      <c r="B15487" s="760"/>
      <c r="C15487" s="760"/>
      <c r="D15487" s="760"/>
      <c r="E15487" s="760"/>
      <c r="F15487" s="760"/>
      <c r="G15487" s="760"/>
      <c r="H15487" s="760"/>
      <c r="I15487" s="760"/>
      <c r="J15487" s="760"/>
      <c r="K15487" s="760"/>
    </row>
    <row r="15488" spans="1:11">
      <c r="A15488" s="760"/>
      <c r="B15488" s="760"/>
      <c r="C15488" s="760"/>
      <c r="D15488" s="760"/>
      <c r="E15488" s="760"/>
      <c r="F15488" s="760"/>
      <c r="G15488" s="760"/>
      <c r="H15488" s="760"/>
      <c r="I15488" s="760"/>
      <c r="J15488" s="760"/>
      <c r="K15488" s="760"/>
    </row>
    <row r="15489" spans="1:11">
      <c r="A15489" s="760"/>
      <c r="B15489" s="760"/>
      <c r="C15489" s="760"/>
      <c r="D15489" s="760"/>
      <c r="E15489" s="760"/>
      <c r="F15489" s="760"/>
      <c r="G15489" s="760"/>
      <c r="H15489" s="760"/>
      <c r="I15489" s="760"/>
      <c r="J15489" s="760"/>
      <c r="K15489" s="760"/>
    </row>
    <row r="15490" spans="1:11">
      <c r="A15490" s="760"/>
      <c r="B15490" s="760"/>
      <c r="C15490" s="760"/>
      <c r="D15490" s="760"/>
      <c r="E15490" s="760"/>
      <c r="F15490" s="760"/>
      <c r="G15490" s="760"/>
      <c r="H15490" s="760"/>
      <c r="I15490" s="760"/>
      <c r="J15490" s="760"/>
      <c r="K15490" s="760"/>
    </row>
    <row r="15491" spans="1:11">
      <c r="A15491" s="760"/>
      <c r="B15491" s="760"/>
      <c r="C15491" s="760"/>
      <c r="D15491" s="760"/>
      <c r="E15491" s="760"/>
      <c r="F15491" s="760"/>
      <c r="G15491" s="760"/>
      <c r="H15491" s="760"/>
      <c r="I15491" s="760"/>
      <c r="J15491" s="760"/>
      <c r="K15491" s="760"/>
    </row>
    <row r="15492" spans="1:11">
      <c r="A15492" s="760"/>
      <c r="B15492" s="760"/>
      <c r="C15492" s="760"/>
      <c r="D15492" s="760"/>
      <c r="E15492" s="760"/>
      <c r="F15492" s="760"/>
      <c r="G15492" s="760"/>
      <c r="H15492" s="760"/>
      <c r="I15492" s="760"/>
      <c r="J15492" s="760"/>
      <c r="K15492" s="760"/>
    </row>
    <row r="15493" spans="1:11">
      <c r="A15493" s="760"/>
      <c r="B15493" s="760"/>
      <c r="C15493" s="760"/>
      <c r="D15493" s="760"/>
      <c r="E15493" s="760"/>
      <c r="F15493" s="760"/>
      <c r="G15493" s="760"/>
      <c r="H15493" s="760"/>
      <c r="I15493" s="760"/>
      <c r="J15493" s="760"/>
      <c r="K15493" s="760"/>
    </row>
    <row r="15494" spans="1:11">
      <c r="A15494" s="760"/>
      <c r="B15494" s="760"/>
      <c r="C15494" s="760"/>
      <c r="D15494" s="760"/>
      <c r="E15494" s="760"/>
      <c r="F15494" s="760"/>
      <c r="G15494" s="760"/>
      <c r="H15494" s="760"/>
      <c r="I15494" s="760"/>
      <c r="J15494" s="760"/>
      <c r="K15494" s="760"/>
    </row>
    <row r="15495" spans="1:11">
      <c r="A15495" s="760"/>
      <c r="B15495" s="760"/>
      <c r="C15495" s="760"/>
      <c r="D15495" s="760"/>
      <c r="E15495" s="760"/>
      <c r="F15495" s="760"/>
      <c r="G15495" s="760"/>
      <c r="H15495" s="760"/>
      <c r="I15495" s="760"/>
      <c r="J15495" s="760"/>
      <c r="K15495" s="760"/>
    </row>
    <row r="15496" spans="1:11">
      <c r="A15496" s="760"/>
      <c r="B15496" s="760"/>
      <c r="C15496" s="760"/>
      <c r="D15496" s="760"/>
      <c r="E15496" s="760"/>
      <c r="F15496" s="760"/>
      <c r="G15496" s="760"/>
      <c r="H15496" s="760"/>
      <c r="I15496" s="760"/>
      <c r="J15496" s="760"/>
      <c r="K15496" s="760"/>
    </row>
    <row r="15497" spans="1:11">
      <c r="A15497" s="760"/>
      <c r="B15497" s="760"/>
      <c r="C15497" s="760"/>
      <c r="D15497" s="760"/>
      <c r="E15497" s="760"/>
      <c r="F15497" s="760"/>
      <c r="G15497" s="760"/>
      <c r="H15497" s="760"/>
      <c r="I15497" s="760"/>
      <c r="J15497" s="760"/>
      <c r="K15497" s="760"/>
    </row>
    <row r="15498" spans="1:11">
      <c r="A15498" s="760"/>
      <c r="B15498" s="760"/>
      <c r="C15498" s="760"/>
      <c r="D15498" s="760"/>
      <c r="E15498" s="760"/>
      <c r="F15498" s="760"/>
      <c r="G15498" s="760"/>
      <c r="H15498" s="760"/>
      <c r="I15498" s="760"/>
      <c r="J15498" s="760"/>
      <c r="K15498" s="760"/>
    </row>
    <row r="15499" spans="1:11">
      <c r="A15499" s="760"/>
      <c r="B15499" s="760"/>
      <c r="C15499" s="760"/>
      <c r="D15499" s="760"/>
      <c r="E15499" s="760"/>
      <c r="F15499" s="760"/>
      <c r="G15499" s="760"/>
      <c r="H15499" s="760"/>
      <c r="I15499" s="760"/>
      <c r="J15499" s="760"/>
      <c r="K15499" s="760"/>
    </row>
    <row r="15500" spans="1:11">
      <c r="A15500" s="760"/>
      <c r="B15500" s="760"/>
      <c r="C15500" s="760"/>
      <c r="D15500" s="760"/>
      <c r="E15500" s="760"/>
      <c r="F15500" s="760"/>
      <c r="G15500" s="760"/>
      <c r="H15500" s="760"/>
      <c r="I15500" s="760"/>
      <c r="J15500" s="760"/>
      <c r="K15500" s="760"/>
    </row>
    <row r="15501" spans="1:11">
      <c r="A15501" s="760"/>
      <c r="B15501" s="760"/>
      <c r="C15501" s="760"/>
      <c r="D15501" s="760"/>
      <c r="E15501" s="760"/>
      <c r="F15501" s="760"/>
      <c r="G15501" s="760"/>
      <c r="H15501" s="760"/>
      <c r="I15501" s="760"/>
      <c r="J15501" s="760"/>
      <c r="K15501" s="760"/>
    </row>
    <row r="15502" spans="1:11">
      <c r="A15502" s="760"/>
      <c r="B15502" s="760"/>
      <c r="C15502" s="760"/>
      <c r="D15502" s="760"/>
      <c r="E15502" s="760"/>
      <c r="F15502" s="760"/>
      <c r="G15502" s="760"/>
      <c r="H15502" s="760"/>
      <c r="I15502" s="760"/>
      <c r="J15502" s="760"/>
      <c r="K15502" s="760"/>
    </row>
    <row r="15503" spans="1:11">
      <c r="A15503" s="760"/>
      <c r="B15503" s="760"/>
      <c r="C15503" s="760"/>
      <c r="D15503" s="760"/>
      <c r="E15503" s="760"/>
      <c r="F15503" s="760"/>
      <c r="G15503" s="760"/>
      <c r="H15503" s="760"/>
      <c r="I15503" s="760"/>
      <c r="J15503" s="760"/>
      <c r="K15503" s="760"/>
    </row>
    <row r="15504" spans="1:11">
      <c r="A15504" s="760"/>
      <c r="B15504" s="760"/>
      <c r="C15504" s="760"/>
      <c r="D15504" s="760"/>
      <c r="E15504" s="760"/>
      <c r="F15504" s="760"/>
      <c r="G15504" s="760"/>
      <c r="H15504" s="760"/>
      <c r="I15504" s="760"/>
      <c r="J15504" s="760"/>
      <c r="K15504" s="760"/>
    </row>
    <row r="15505" spans="1:11">
      <c r="A15505" s="760"/>
      <c r="B15505" s="760"/>
      <c r="C15505" s="760"/>
      <c r="D15505" s="760"/>
      <c r="E15505" s="760"/>
      <c r="F15505" s="760"/>
      <c r="G15505" s="760"/>
      <c r="H15505" s="760"/>
      <c r="I15505" s="760"/>
      <c r="J15505" s="760"/>
      <c r="K15505" s="760"/>
    </row>
    <row r="15506" spans="1:11">
      <c r="A15506" s="760"/>
      <c r="B15506" s="760"/>
      <c r="C15506" s="760"/>
      <c r="D15506" s="760"/>
      <c r="E15506" s="760"/>
      <c r="F15506" s="760"/>
      <c r="G15506" s="760"/>
      <c r="H15506" s="760"/>
      <c r="I15506" s="760"/>
      <c r="J15506" s="760"/>
      <c r="K15506" s="760"/>
    </row>
    <row r="15507" spans="1:11">
      <c r="A15507" s="760"/>
      <c r="B15507" s="760"/>
      <c r="C15507" s="760"/>
      <c r="D15507" s="760"/>
      <c r="E15507" s="760"/>
      <c r="F15507" s="760"/>
      <c r="G15507" s="760"/>
      <c r="H15507" s="760"/>
      <c r="I15507" s="760"/>
      <c r="J15507" s="760"/>
      <c r="K15507" s="760"/>
    </row>
    <row r="15508" spans="1:11">
      <c r="A15508" s="760"/>
      <c r="B15508" s="760"/>
      <c r="C15508" s="760"/>
      <c r="D15508" s="760"/>
      <c r="E15508" s="760"/>
      <c r="F15508" s="760"/>
      <c r="G15508" s="760"/>
      <c r="H15508" s="760"/>
      <c r="I15508" s="760"/>
      <c r="J15508" s="760"/>
      <c r="K15508" s="760"/>
    </row>
    <row r="15509" spans="1:11">
      <c r="A15509" s="760"/>
      <c r="B15509" s="760"/>
      <c r="C15509" s="760"/>
      <c r="D15509" s="760"/>
      <c r="E15509" s="760"/>
      <c r="F15509" s="760"/>
      <c r="G15509" s="760"/>
      <c r="H15509" s="760"/>
      <c r="I15509" s="760"/>
      <c r="J15509" s="760"/>
      <c r="K15509" s="760"/>
    </row>
    <row r="15510" spans="1:11">
      <c r="A15510" s="760"/>
      <c r="B15510" s="760"/>
      <c r="C15510" s="760"/>
      <c r="D15510" s="760"/>
      <c r="E15510" s="760"/>
      <c r="F15510" s="760"/>
      <c r="G15510" s="760"/>
      <c r="H15510" s="760"/>
      <c r="I15510" s="760"/>
      <c r="J15510" s="760"/>
      <c r="K15510" s="760"/>
    </row>
    <row r="15511" spans="1:11">
      <c r="A15511" s="760"/>
      <c r="B15511" s="760"/>
      <c r="C15511" s="760"/>
      <c r="D15511" s="760"/>
      <c r="E15511" s="760"/>
      <c r="F15511" s="760"/>
      <c r="G15511" s="760"/>
      <c r="H15511" s="760"/>
      <c r="I15511" s="760"/>
      <c r="J15511" s="760"/>
      <c r="K15511" s="760"/>
    </row>
    <row r="15512" spans="1:11">
      <c r="A15512" s="760"/>
      <c r="B15512" s="760"/>
      <c r="C15512" s="760"/>
      <c r="D15512" s="760"/>
      <c r="E15512" s="760"/>
      <c r="F15512" s="760"/>
      <c r="G15512" s="760"/>
      <c r="H15512" s="760"/>
      <c r="I15512" s="760"/>
      <c r="J15512" s="760"/>
      <c r="K15512" s="760"/>
    </row>
    <row r="15513" spans="1:11">
      <c r="A15513" s="760"/>
      <c r="B15513" s="760"/>
      <c r="C15513" s="760"/>
      <c r="D15513" s="760"/>
      <c r="E15513" s="760"/>
      <c r="F15513" s="760"/>
      <c r="G15513" s="760"/>
      <c r="H15513" s="760"/>
      <c r="I15513" s="760"/>
      <c r="J15513" s="760"/>
      <c r="K15513" s="760"/>
    </row>
    <row r="15514" spans="1:11">
      <c r="A15514" s="760"/>
      <c r="B15514" s="760"/>
      <c r="C15514" s="760"/>
      <c r="D15514" s="760"/>
      <c r="E15514" s="760"/>
      <c r="F15514" s="760"/>
      <c r="G15514" s="760"/>
      <c r="H15514" s="760"/>
      <c r="I15514" s="760"/>
      <c r="J15514" s="760"/>
      <c r="K15514" s="760"/>
    </row>
    <row r="15515" spans="1:11">
      <c r="A15515" s="760"/>
      <c r="B15515" s="760"/>
      <c r="C15515" s="760"/>
      <c r="D15515" s="760"/>
      <c r="E15515" s="760"/>
      <c r="F15515" s="760"/>
      <c r="G15515" s="760"/>
      <c r="H15515" s="760"/>
      <c r="I15515" s="760"/>
      <c r="J15515" s="760"/>
      <c r="K15515" s="760"/>
    </row>
    <row r="15516" spans="1:11">
      <c r="A15516" s="760"/>
      <c r="B15516" s="760"/>
      <c r="C15516" s="760"/>
      <c r="D15516" s="760"/>
      <c r="E15516" s="760"/>
      <c r="F15516" s="760"/>
      <c r="G15516" s="760"/>
      <c r="H15516" s="760"/>
      <c r="I15516" s="760"/>
      <c r="J15516" s="760"/>
      <c r="K15516" s="760"/>
    </row>
    <row r="15517" spans="1:11">
      <c r="A15517" s="760"/>
      <c r="B15517" s="760"/>
      <c r="C15517" s="760"/>
      <c r="D15517" s="760"/>
      <c r="E15517" s="760"/>
      <c r="F15517" s="760"/>
      <c r="G15517" s="760"/>
      <c r="H15517" s="760"/>
      <c r="I15517" s="760"/>
      <c r="J15517" s="760"/>
      <c r="K15517" s="760"/>
    </row>
    <row r="15518" spans="1:11">
      <c r="A15518" s="760"/>
      <c r="B15518" s="760"/>
      <c r="C15518" s="760"/>
      <c r="D15518" s="760"/>
      <c r="E15518" s="760"/>
      <c r="F15518" s="760"/>
      <c r="G15518" s="760"/>
      <c r="H15518" s="760"/>
      <c r="I15518" s="760"/>
      <c r="J15518" s="760"/>
      <c r="K15518" s="760"/>
    </row>
    <row r="15519" spans="1:11">
      <c r="A15519" s="760"/>
      <c r="B15519" s="760"/>
      <c r="C15519" s="760"/>
      <c r="D15519" s="760"/>
      <c r="E15519" s="760"/>
      <c r="F15519" s="760"/>
      <c r="G15519" s="760"/>
      <c r="H15519" s="760"/>
      <c r="I15519" s="760"/>
      <c r="J15519" s="760"/>
      <c r="K15519" s="760"/>
    </row>
    <row r="15520" spans="1:11">
      <c r="A15520" s="760"/>
      <c r="B15520" s="760"/>
      <c r="C15520" s="760"/>
      <c r="D15520" s="760"/>
      <c r="E15520" s="760"/>
      <c r="F15520" s="760"/>
      <c r="G15520" s="760"/>
      <c r="H15520" s="760"/>
      <c r="I15520" s="760"/>
      <c r="J15520" s="760"/>
      <c r="K15520" s="760"/>
    </row>
    <row r="15521" spans="1:11">
      <c r="A15521" s="760"/>
      <c r="B15521" s="760"/>
      <c r="C15521" s="760"/>
      <c r="D15521" s="760"/>
      <c r="E15521" s="760"/>
      <c r="F15521" s="760"/>
      <c r="G15521" s="760"/>
      <c r="H15521" s="760"/>
      <c r="I15521" s="760"/>
      <c r="J15521" s="760"/>
      <c r="K15521" s="760"/>
    </row>
    <row r="15522" spans="1:11">
      <c r="A15522" s="760"/>
      <c r="B15522" s="760"/>
      <c r="C15522" s="760"/>
      <c r="D15522" s="760"/>
      <c r="E15522" s="760"/>
      <c r="F15522" s="760"/>
      <c r="G15522" s="760"/>
      <c r="H15522" s="760"/>
      <c r="I15522" s="760"/>
      <c r="J15522" s="760"/>
      <c r="K15522" s="760"/>
    </row>
    <row r="15523" spans="1:11">
      <c r="A15523" s="760"/>
      <c r="B15523" s="760"/>
      <c r="C15523" s="760"/>
      <c r="D15523" s="760"/>
      <c r="E15523" s="760"/>
      <c r="F15523" s="760"/>
      <c r="G15523" s="760"/>
      <c r="H15523" s="760"/>
      <c r="I15523" s="760"/>
      <c r="J15523" s="760"/>
      <c r="K15523" s="760"/>
    </row>
    <row r="15524" spans="1:11">
      <c r="A15524" s="760"/>
      <c r="B15524" s="760"/>
      <c r="C15524" s="760"/>
      <c r="D15524" s="760"/>
      <c r="E15524" s="760"/>
      <c r="F15524" s="760"/>
      <c r="G15524" s="760"/>
      <c r="H15524" s="760"/>
      <c r="I15524" s="760"/>
      <c r="J15524" s="760"/>
      <c r="K15524" s="760"/>
    </row>
    <row r="15525" spans="1:11">
      <c r="A15525" s="760"/>
      <c r="B15525" s="760"/>
      <c r="C15525" s="760"/>
      <c r="D15525" s="760"/>
      <c r="E15525" s="760"/>
      <c r="F15525" s="760"/>
      <c r="G15525" s="760"/>
      <c r="H15525" s="760"/>
      <c r="I15525" s="760"/>
      <c r="J15525" s="760"/>
      <c r="K15525" s="760"/>
    </row>
    <row r="15526" spans="1:11">
      <c r="A15526" s="760"/>
      <c r="B15526" s="760"/>
      <c r="C15526" s="760"/>
      <c r="D15526" s="760"/>
      <c r="E15526" s="760"/>
      <c r="F15526" s="760"/>
      <c r="G15526" s="760"/>
      <c r="H15526" s="760"/>
      <c r="I15526" s="760"/>
      <c r="J15526" s="760"/>
      <c r="K15526" s="760"/>
    </row>
    <row r="15527" spans="1:11">
      <c r="A15527" s="760"/>
      <c r="B15527" s="760"/>
      <c r="C15527" s="760"/>
      <c r="D15527" s="760"/>
      <c r="E15527" s="760"/>
      <c r="F15527" s="760"/>
      <c r="G15527" s="760"/>
      <c r="H15527" s="760"/>
      <c r="I15527" s="760"/>
      <c r="J15527" s="760"/>
      <c r="K15527" s="760"/>
    </row>
    <row r="15528" spans="1:11">
      <c r="A15528" s="760"/>
      <c r="B15528" s="760"/>
      <c r="C15528" s="760"/>
      <c r="D15528" s="760"/>
      <c r="E15528" s="760"/>
      <c r="F15528" s="760"/>
      <c r="G15528" s="760"/>
      <c r="H15528" s="760"/>
      <c r="I15528" s="760"/>
      <c r="J15528" s="760"/>
      <c r="K15528" s="760"/>
    </row>
    <row r="15529" spans="1:11">
      <c r="A15529" s="760"/>
      <c r="B15529" s="760"/>
      <c r="C15529" s="760"/>
      <c r="D15529" s="760"/>
      <c r="E15529" s="760"/>
      <c r="F15529" s="760"/>
      <c r="G15529" s="760"/>
      <c r="H15529" s="760"/>
      <c r="I15529" s="760"/>
      <c r="J15529" s="760"/>
      <c r="K15529" s="760"/>
    </row>
    <row r="15530" spans="1:11">
      <c r="A15530" s="760"/>
      <c r="B15530" s="760"/>
      <c r="C15530" s="760"/>
      <c r="D15530" s="760"/>
      <c r="E15530" s="760"/>
      <c r="F15530" s="760"/>
      <c r="G15530" s="760"/>
      <c r="H15530" s="760"/>
      <c r="I15530" s="760"/>
      <c r="J15530" s="760"/>
      <c r="K15530" s="760"/>
    </row>
    <row r="15531" spans="1:11">
      <c r="A15531" s="760"/>
      <c r="B15531" s="760"/>
      <c r="C15531" s="760"/>
      <c r="D15531" s="760"/>
      <c r="E15531" s="760"/>
      <c r="F15531" s="760"/>
      <c r="G15531" s="760"/>
      <c r="H15531" s="760"/>
      <c r="I15531" s="760"/>
      <c r="J15531" s="760"/>
      <c r="K15531" s="760"/>
    </row>
    <row r="15532" spans="1:11">
      <c r="A15532" s="760"/>
      <c r="B15532" s="760"/>
      <c r="C15532" s="760"/>
      <c r="D15532" s="760"/>
      <c r="E15532" s="760"/>
      <c r="F15532" s="760"/>
      <c r="G15532" s="760"/>
      <c r="H15532" s="760"/>
      <c r="I15532" s="760"/>
      <c r="J15532" s="760"/>
      <c r="K15532" s="760"/>
    </row>
    <row r="15533" spans="1:11">
      <c r="A15533" s="760"/>
      <c r="B15533" s="760"/>
      <c r="C15533" s="760"/>
      <c r="D15533" s="760"/>
      <c r="E15533" s="760"/>
      <c r="F15533" s="760"/>
      <c r="G15533" s="760"/>
      <c r="H15533" s="760"/>
      <c r="I15533" s="760"/>
      <c r="J15533" s="760"/>
      <c r="K15533" s="760"/>
    </row>
    <row r="15534" spans="1:11">
      <c r="A15534" s="760"/>
      <c r="B15534" s="760"/>
      <c r="C15534" s="760"/>
      <c r="D15534" s="760"/>
      <c r="E15534" s="760"/>
      <c r="F15534" s="760"/>
      <c r="G15534" s="760"/>
      <c r="H15534" s="760"/>
      <c r="I15534" s="760"/>
      <c r="J15534" s="760"/>
      <c r="K15534" s="760"/>
    </row>
    <row r="15535" spans="1:11">
      <c r="A15535" s="760"/>
      <c r="B15535" s="760"/>
      <c r="C15535" s="760"/>
      <c r="D15535" s="760"/>
      <c r="E15535" s="760"/>
      <c r="F15535" s="760"/>
      <c r="G15535" s="760"/>
      <c r="H15535" s="760"/>
      <c r="I15535" s="760"/>
      <c r="J15535" s="760"/>
      <c r="K15535" s="760"/>
    </row>
    <row r="15536" spans="1:11">
      <c r="A15536" s="760"/>
      <c r="B15536" s="760"/>
      <c r="C15536" s="760"/>
      <c r="D15536" s="760"/>
      <c r="E15536" s="760"/>
      <c r="F15536" s="760"/>
      <c r="G15536" s="760"/>
      <c r="H15536" s="760"/>
      <c r="I15536" s="760"/>
      <c r="J15536" s="760"/>
      <c r="K15536" s="760"/>
    </row>
    <row r="15537" spans="1:11">
      <c r="A15537" s="760"/>
      <c r="B15537" s="760"/>
      <c r="C15537" s="760"/>
      <c r="D15537" s="760"/>
      <c r="E15537" s="760"/>
      <c r="F15537" s="760"/>
      <c r="G15537" s="760"/>
      <c r="H15537" s="760"/>
      <c r="I15537" s="760"/>
      <c r="J15537" s="760"/>
      <c r="K15537" s="760"/>
    </row>
    <row r="15538" spans="1:11">
      <c r="A15538" s="760"/>
      <c r="B15538" s="760"/>
      <c r="C15538" s="760"/>
      <c r="D15538" s="760"/>
      <c r="E15538" s="760"/>
      <c r="F15538" s="760"/>
      <c r="G15538" s="760"/>
      <c r="H15538" s="760"/>
      <c r="I15538" s="760"/>
      <c r="J15538" s="760"/>
      <c r="K15538" s="760"/>
    </row>
    <row r="15539" spans="1:11">
      <c r="A15539" s="760"/>
      <c r="B15539" s="760"/>
      <c r="C15539" s="760"/>
      <c r="D15539" s="760"/>
      <c r="E15539" s="760"/>
      <c r="F15539" s="760"/>
      <c r="G15539" s="760"/>
      <c r="H15539" s="760"/>
      <c r="I15539" s="760"/>
      <c r="J15539" s="760"/>
      <c r="K15539" s="760"/>
    </row>
    <row r="15540" spans="1:11">
      <c r="A15540" s="760"/>
      <c r="B15540" s="760"/>
      <c r="C15540" s="760"/>
      <c r="D15540" s="760"/>
      <c r="E15540" s="760"/>
      <c r="F15540" s="760"/>
      <c r="G15540" s="760"/>
      <c r="H15540" s="760"/>
      <c r="I15540" s="760"/>
      <c r="J15540" s="760"/>
      <c r="K15540" s="760"/>
    </row>
    <row r="15541" spans="1:11">
      <c r="A15541" s="760"/>
      <c r="B15541" s="760"/>
      <c r="C15541" s="760"/>
      <c r="D15541" s="760"/>
      <c r="E15541" s="760"/>
      <c r="F15541" s="760"/>
      <c r="G15541" s="760"/>
      <c r="H15541" s="760"/>
      <c r="I15541" s="760"/>
      <c r="J15541" s="760"/>
      <c r="K15541" s="760"/>
    </row>
    <row r="15542" spans="1:11">
      <c r="A15542" s="760"/>
      <c r="B15542" s="760"/>
      <c r="C15542" s="760"/>
      <c r="D15542" s="760"/>
      <c r="E15542" s="760"/>
      <c r="F15542" s="760"/>
      <c r="G15542" s="760"/>
      <c r="H15542" s="760"/>
      <c r="I15542" s="760"/>
      <c r="J15542" s="760"/>
      <c r="K15542" s="760"/>
    </row>
    <row r="15543" spans="1:11">
      <c r="A15543" s="760"/>
      <c r="B15543" s="760"/>
      <c r="C15543" s="760"/>
      <c r="D15543" s="760"/>
      <c r="E15543" s="760"/>
      <c r="F15543" s="760"/>
      <c r="G15543" s="760"/>
      <c r="H15543" s="760"/>
      <c r="I15543" s="760"/>
      <c r="J15543" s="760"/>
      <c r="K15543" s="760"/>
    </row>
    <row r="15544" spans="1:11">
      <c r="A15544" s="760"/>
      <c r="B15544" s="760"/>
      <c r="C15544" s="760"/>
      <c r="D15544" s="760"/>
      <c r="E15544" s="760"/>
      <c r="F15544" s="760"/>
      <c r="G15544" s="760"/>
      <c r="H15544" s="760"/>
      <c r="I15544" s="760"/>
      <c r="J15544" s="760"/>
      <c r="K15544" s="760"/>
    </row>
    <row r="15545" spans="1:11">
      <c r="A15545" s="760"/>
      <c r="B15545" s="760"/>
      <c r="C15545" s="760"/>
      <c r="D15545" s="760"/>
      <c r="E15545" s="760"/>
      <c r="F15545" s="760"/>
      <c r="G15545" s="760"/>
      <c r="H15545" s="760"/>
      <c r="I15545" s="760"/>
      <c r="J15545" s="760"/>
      <c r="K15545" s="760"/>
    </row>
    <row r="15546" spans="1:11">
      <c r="A15546" s="760"/>
      <c r="B15546" s="760"/>
      <c r="C15546" s="760"/>
      <c r="D15546" s="760"/>
      <c r="E15546" s="760"/>
      <c r="F15546" s="760"/>
      <c r="G15546" s="760"/>
      <c r="H15546" s="760"/>
      <c r="I15546" s="760"/>
      <c r="J15546" s="760"/>
      <c r="K15546" s="760"/>
    </row>
    <row r="15547" spans="1:11">
      <c r="A15547" s="760"/>
      <c r="B15547" s="760"/>
      <c r="C15547" s="760"/>
      <c r="D15547" s="760"/>
      <c r="E15547" s="760"/>
      <c r="F15547" s="760"/>
      <c r="G15547" s="760"/>
      <c r="H15547" s="760"/>
      <c r="I15547" s="760"/>
      <c r="J15547" s="760"/>
      <c r="K15547" s="760"/>
    </row>
    <row r="15548" spans="1:11">
      <c r="A15548" s="760"/>
      <c r="B15548" s="760"/>
      <c r="C15548" s="760"/>
      <c r="D15548" s="760"/>
      <c r="E15548" s="760"/>
      <c r="F15548" s="760"/>
      <c r="G15548" s="760"/>
      <c r="H15548" s="760"/>
      <c r="I15548" s="760"/>
      <c r="J15548" s="760"/>
      <c r="K15548" s="760"/>
    </row>
    <row r="15549" spans="1:11">
      <c r="A15549" s="760"/>
      <c r="B15549" s="760"/>
      <c r="C15549" s="760"/>
      <c r="D15549" s="760"/>
      <c r="E15549" s="760"/>
      <c r="F15549" s="760"/>
      <c r="G15549" s="760"/>
      <c r="H15549" s="760"/>
      <c r="I15549" s="760"/>
      <c r="J15549" s="760"/>
      <c r="K15549" s="760"/>
    </row>
    <row r="15550" spans="1:11">
      <c r="A15550" s="760"/>
      <c r="B15550" s="760"/>
      <c r="C15550" s="760"/>
      <c r="D15550" s="760"/>
      <c r="E15550" s="760"/>
      <c r="F15550" s="760"/>
      <c r="G15550" s="760"/>
      <c r="H15550" s="760"/>
      <c r="I15550" s="760"/>
      <c r="J15550" s="760"/>
      <c r="K15550" s="760"/>
    </row>
    <row r="15551" spans="1:11">
      <c r="A15551" s="760"/>
      <c r="B15551" s="760"/>
      <c r="C15551" s="760"/>
      <c r="D15551" s="760"/>
      <c r="E15551" s="760"/>
      <c r="F15551" s="760"/>
      <c r="G15551" s="760"/>
      <c r="H15551" s="760"/>
      <c r="I15551" s="760"/>
      <c r="J15551" s="760"/>
      <c r="K15551" s="760"/>
    </row>
    <row r="15552" spans="1:11">
      <c r="A15552" s="760"/>
      <c r="B15552" s="760"/>
      <c r="C15552" s="760"/>
      <c r="D15552" s="760"/>
      <c r="E15552" s="760"/>
      <c r="F15552" s="760"/>
      <c r="G15552" s="760"/>
      <c r="H15552" s="760"/>
      <c r="I15552" s="760"/>
      <c r="J15552" s="760"/>
      <c r="K15552" s="760"/>
    </row>
    <row r="15553" spans="1:11">
      <c r="A15553" s="760"/>
      <c r="B15553" s="760"/>
      <c r="C15553" s="760"/>
      <c r="D15553" s="760"/>
      <c r="E15553" s="760"/>
      <c r="F15553" s="760"/>
      <c r="G15553" s="760"/>
      <c r="H15553" s="760"/>
      <c r="I15553" s="760"/>
      <c r="J15553" s="760"/>
      <c r="K15553" s="760"/>
    </row>
    <row r="15554" spans="1:11">
      <c r="A15554" s="760"/>
      <c r="B15554" s="760"/>
      <c r="C15554" s="760"/>
      <c r="D15554" s="760"/>
      <c r="E15554" s="760"/>
      <c r="F15554" s="760"/>
      <c r="G15554" s="760"/>
      <c r="H15554" s="760"/>
      <c r="I15554" s="760"/>
      <c r="J15554" s="760"/>
      <c r="K15554" s="760"/>
    </row>
    <row r="15555" spans="1:11">
      <c r="A15555" s="760"/>
      <c r="B15555" s="760"/>
      <c r="C15555" s="760"/>
      <c r="D15555" s="760"/>
      <c r="E15555" s="760"/>
      <c r="F15555" s="760"/>
      <c r="G15555" s="760"/>
      <c r="H15555" s="760"/>
      <c r="I15555" s="760"/>
      <c r="J15555" s="760"/>
      <c r="K15555" s="760"/>
    </row>
    <row r="15556" spans="1:11">
      <c r="A15556" s="760"/>
      <c r="B15556" s="760"/>
      <c r="C15556" s="760"/>
      <c r="D15556" s="760"/>
      <c r="E15556" s="760"/>
      <c r="F15556" s="760"/>
      <c r="G15556" s="760"/>
      <c r="H15556" s="760"/>
      <c r="I15556" s="760"/>
      <c r="J15556" s="760"/>
      <c r="K15556" s="760"/>
    </row>
    <row r="15557" spans="1:11">
      <c r="A15557" s="760"/>
      <c r="B15557" s="760"/>
      <c r="C15557" s="760"/>
      <c r="D15557" s="760"/>
      <c r="E15557" s="760"/>
      <c r="F15557" s="760"/>
      <c r="G15557" s="760"/>
      <c r="H15557" s="760"/>
      <c r="I15557" s="760"/>
      <c r="J15557" s="760"/>
      <c r="K15557" s="760"/>
    </row>
    <row r="15558" spans="1:11">
      <c r="A15558" s="760"/>
      <c r="B15558" s="760"/>
      <c r="C15558" s="760"/>
      <c r="D15558" s="760"/>
      <c r="E15558" s="760"/>
      <c r="F15558" s="760"/>
      <c r="G15558" s="760"/>
      <c r="H15558" s="760"/>
      <c r="I15558" s="760"/>
      <c r="J15558" s="760"/>
      <c r="K15558" s="760"/>
    </row>
    <row r="15559" spans="1:11">
      <c r="A15559" s="760"/>
      <c r="B15559" s="760"/>
      <c r="C15559" s="760"/>
      <c r="D15559" s="760"/>
      <c r="E15559" s="760"/>
      <c r="F15559" s="760"/>
      <c r="G15559" s="760"/>
      <c r="H15559" s="760"/>
      <c r="I15559" s="760"/>
      <c r="J15559" s="760"/>
      <c r="K15559" s="760"/>
    </row>
    <row r="15560" spans="1:11">
      <c r="A15560" s="760"/>
      <c r="B15560" s="760"/>
      <c r="C15560" s="760"/>
      <c r="D15560" s="760"/>
      <c r="E15560" s="760"/>
      <c r="F15560" s="760"/>
      <c r="G15560" s="760"/>
      <c r="H15560" s="760"/>
      <c r="I15560" s="760"/>
      <c r="J15560" s="760"/>
      <c r="K15560" s="760"/>
    </row>
    <row r="15561" spans="1:11">
      <c r="A15561" s="760"/>
      <c r="B15561" s="760"/>
      <c r="C15561" s="760"/>
      <c r="D15561" s="760"/>
      <c r="E15561" s="760"/>
      <c r="F15561" s="760"/>
      <c r="G15561" s="760"/>
      <c r="H15561" s="760"/>
      <c r="I15561" s="760"/>
      <c r="J15561" s="760"/>
      <c r="K15561" s="760"/>
    </row>
    <row r="15562" spans="1:11">
      <c r="A15562" s="760"/>
      <c r="B15562" s="760"/>
      <c r="C15562" s="760"/>
      <c r="D15562" s="760"/>
      <c r="E15562" s="760"/>
      <c r="F15562" s="760"/>
      <c r="G15562" s="760"/>
      <c r="H15562" s="760"/>
      <c r="I15562" s="760"/>
      <c r="J15562" s="760"/>
      <c r="K15562" s="760"/>
    </row>
    <row r="15563" spans="1:11">
      <c r="A15563" s="760"/>
      <c r="B15563" s="760"/>
      <c r="C15563" s="760"/>
      <c r="D15563" s="760"/>
      <c r="E15563" s="760"/>
      <c r="F15563" s="760"/>
      <c r="G15563" s="760"/>
      <c r="H15563" s="760"/>
      <c r="I15563" s="760"/>
      <c r="J15563" s="760"/>
      <c r="K15563" s="760"/>
    </row>
    <row r="15564" spans="1:11">
      <c r="A15564" s="760"/>
      <c r="B15564" s="760"/>
      <c r="C15564" s="760"/>
      <c r="D15564" s="760"/>
      <c r="E15564" s="760"/>
      <c r="F15564" s="760"/>
      <c r="G15564" s="760"/>
      <c r="H15564" s="760"/>
      <c r="I15564" s="760"/>
      <c r="J15564" s="760"/>
      <c r="K15564" s="760"/>
    </row>
    <row r="15565" spans="1:11">
      <c r="A15565" s="760"/>
      <c r="B15565" s="760"/>
      <c r="C15565" s="760"/>
      <c r="D15565" s="760"/>
      <c r="E15565" s="760"/>
      <c r="F15565" s="760"/>
      <c r="G15565" s="760"/>
      <c r="H15565" s="760"/>
      <c r="I15565" s="760"/>
      <c r="J15565" s="760"/>
      <c r="K15565" s="760"/>
    </row>
    <row r="15566" spans="1:11">
      <c r="A15566" s="760"/>
      <c r="B15566" s="760"/>
      <c r="C15566" s="760"/>
      <c r="D15566" s="760"/>
      <c r="E15566" s="760"/>
      <c r="F15566" s="760"/>
      <c r="G15566" s="760"/>
      <c r="H15566" s="760"/>
      <c r="I15566" s="760"/>
      <c r="J15566" s="760"/>
      <c r="K15566" s="760"/>
    </row>
    <row r="15567" spans="1:11">
      <c r="A15567" s="760"/>
      <c r="B15567" s="760"/>
      <c r="C15567" s="760"/>
      <c r="D15567" s="760"/>
      <c r="E15567" s="760"/>
      <c r="F15567" s="760"/>
      <c r="G15567" s="760"/>
      <c r="H15567" s="760"/>
      <c r="I15567" s="760"/>
      <c r="J15567" s="760"/>
      <c r="K15567" s="760"/>
    </row>
    <row r="15568" spans="1:11">
      <c r="A15568" s="760"/>
      <c r="B15568" s="760"/>
      <c r="C15568" s="760"/>
      <c r="D15568" s="760"/>
      <c r="E15568" s="760"/>
      <c r="F15568" s="760"/>
      <c r="G15568" s="760"/>
      <c r="H15568" s="760"/>
      <c r="I15568" s="760"/>
      <c r="J15568" s="760"/>
      <c r="K15568" s="760"/>
    </row>
    <row r="15569" spans="1:11">
      <c r="A15569" s="760"/>
      <c r="B15569" s="760"/>
      <c r="C15569" s="760"/>
      <c r="D15569" s="760"/>
      <c r="E15569" s="760"/>
      <c r="F15569" s="760"/>
      <c r="G15569" s="760"/>
      <c r="H15569" s="760"/>
      <c r="I15569" s="760"/>
      <c r="J15569" s="760"/>
      <c r="K15569" s="760"/>
    </row>
    <row r="15570" spans="1:11">
      <c r="A15570" s="760"/>
      <c r="B15570" s="760"/>
      <c r="C15570" s="760"/>
      <c r="D15570" s="760"/>
      <c r="E15570" s="760"/>
      <c r="F15570" s="760"/>
      <c r="G15570" s="760"/>
      <c r="H15570" s="760"/>
      <c r="I15570" s="760"/>
      <c r="J15570" s="760"/>
      <c r="K15570" s="760"/>
    </row>
    <row r="15571" spans="1:11">
      <c r="A15571" s="760"/>
      <c r="B15571" s="760"/>
      <c r="C15571" s="760"/>
      <c r="D15571" s="760"/>
      <c r="E15571" s="760"/>
      <c r="F15571" s="760"/>
      <c r="G15571" s="760"/>
      <c r="H15571" s="760"/>
      <c r="I15571" s="760"/>
      <c r="J15571" s="760"/>
      <c r="K15571" s="760"/>
    </row>
    <row r="15572" spans="1:11">
      <c r="A15572" s="760"/>
      <c r="B15572" s="760"/>
      <c r="C15572" s="760"/>
      <c r="D15572" s="760"/>
      <c r="E15572" s="760"/>
      <c r="F15572" s="760"/>
      <c r="G15572" s="760"/>
      <c r="H15572" s="760"/>
      <c r="I15572" s="760"/>
      <c r="J15572" s="760"/>
      <c r="K15572" s="760"/>
    </row>
    <row r="15573" spans="1:11">
      <c r="A15573" s="760"/>
      <c r="B15573" s="760"/>
      <c r="C15573" s="760"/>
      <c r="D15573" s="760"/>
      <c r="E15573" s="760"/>
      <c r="F15573" s="760"/>
      <c r="G15573" s="760"/>
      <c r="H15573" s="760"/>
      <c r="I15573" s="760"/>
      <c r="J15573" s="760"/>
      <c r="K15573" s="760"/>
    </row>
    <row r="15574" spans="1:11">
      <c r="A15574" s="760"/>
      <c r="B15574" s="760"/>
      <c r="C15574" s="760"/>
      <c r="D15574" s="760"/>
      <c r="E15574" s="760"/>
      <c r="F15574" s="760"/>
      <c r="G15574" s="760"/>
      <c r="H15574" s="760"/>
      <c r="I15574" s="760"/>
      <c r="J15574" s="760"/>
      <c r="K15574" s="760"/>
    </row>
    <row r="15575" spans="1:11">
      <c r="A15575" s="760"/>
      <c r="B15575" s="760"/>
      <c r="C15575" s="760"/>
      <c r="D15575" s="760"/>
      <c r="E15575" s="760"/>
      <c r="F15575" s="760"/>
      <c r="G15575" s="760"/>
      <c r="H15575" s="760"/>
      <c r="I15575" s="760"/>
      <c r="J15575" s="760"/>
      <c r="K15575" s="760"/>
    </row>
    <row r="15576" spans="1:11">
      <c r="A15576" s="760"/>
      <c r="B15576" s="760"/>
      <c r="C15576" s="760"/>
      <c r="D15576" s="760"/>
      <c r="E15576" s="760"/>
      <c r="F15576" s="760"/>
      <c r="G15576" s="760"/>
      <c r="H15576" s="760"/>
      <c r="I15576" s="760"/>
      <c r="J15576" s="760"/>
      <c r="K15576" s="760"/>
    </row>
    <row r="15577" spans="1:11">
      <c r="A15577" s="760"/>
      <c r="B15577" s="760"/>
      <c r="C15577" s="760"/>
      <c r="D15577" s="760"/>
      <c r="E15577" s="760"/>
      <c r="F15577" s="760"/>
      <c r="G15577" s="760"/>
      <c r="H15577" s="760"/>
      <c r="I15577" s="760"/>
      <c r="J15577" s="760"/>
      <c r="K15577" s="760"/>
    </row>
    <row r="15578" spans="1:11">
      <c r="A15578" s="760"/>
      <c r="B15578" s="760"/>
      <c r="C15578" s="760"/>
      <c r="D15578" s="760"/>
      <c r="E15578" s="760"/>
      <c r="F15578" s="760"/>
      <c r="G15578" s="760"/>
      <c r="H15578" s="760"/>
      <c r="I15578" s="760"/>
      <c r="J15578" s="760"/>
      <c r="K15578" s="760"/>
    </row>
    <row r="15579" spans="1:11">
      <c r="A15579" s="760"/>
      <c r="B15579" s="760"/>
      <c r="C15579" s="760"/>
      <c r="D15579" s="760"/>
      <c r="E15579" s="760"/>
      <c r="F15579" s="760"/>
      <c r="G15579" s="760"/>
      <c r="H15579" s="760"/>
      <c r="I15579" s="760"/>
      <c r="J15579" s="760"/>
      <c r="K15579" s="760"/>
    </row>
    <row r="15580" spans="1:11">
      <c r="A15580" s="760"/>
      <c r="B15580" s="760"/>
      <c r="C15580" s="760"/>
      <c r="D15580" s="760"/>
      <c r="E15580" s="760"/>
      <c r="F15580" s="760"/>
      <c r="G15580" s="760"/>
      <c r="H15580" s="760"/>
      <c r="I15580" s="760"/>
      <c r="J15580" s="760"/>
      <c r="K15580" s="760"/>
    </row>
    <row r="15581" spans="1:11">
      <c r="A15581" s="760"/>
      <c r="B15581" s="760"/>
      <c r="C15581" s="760"/>
      <c r="D15581" s="760"/>
      <c r="E15581" s="760"/>
      <c r="F15581" s="760"/>
      <c r="G15581" s="760"/>
      <c r="H15581" s="760"/>
      <c r="I15581" s="760"/>
      <c r="J15581" s="760"/>
      <c r="K15581" s="760"/>
    </row>
    <row r="15582" spans="1:11">
      <c r="A15582" s="760"/>
      <c r="B15582" s="760"/>
      <c r="C15582" s="760"/>
      <c r="D15582" s="760"/>
      <c r="E15582" s="760"/>
      <c r="F15582" s="760"/>
      <c r="G15582" s="760"/>
      <c r="H15582" s="760"/>
      <c r="I15582" s="760"/>
      <c r="J15582" s="760"/>
      <c r="K15582" s="760"/>
    </row>
    <row r="15583" spans="1:11">
      <c r="A15583" s="760"/>
      <c r="B15583" s="760"/>
      <c r="C15583" s="760"/>
      <c r="D15583" s="760"/>
      <c r="E15583" s="760"/>
      <c r="F15583" s="760"/>
      <c r="G15583" s="760"/>
      <c r="H15583" s="760"/>
      <c r="I15583" s="760"/>
      <c r="J15583" s="760"/>
      <c r="K15583" s="760"/>
    </row>
    <row r="15584" spans="1:11">
      <c r="A15584" s="760"/>
      <c r="B15584" s="760"/>
      <c r="C15584" s="760"/>
      <c r="D15584" s="760"/>
      <c r="E15584" s="760"/>
      <c r="F15584" s="760"/>
      <c r="G15584" s="760"/>
      <c r="H15584" s="760"/>
      <c r="I15584" s="760"/>
      <c r="J15584" s="760"/>
      <c r="K15584" s="760"/>
    </row>
    <row r="15585" spans="1:11">
      <c r="A15585" s="760"/>
      <c r="B15585" s="760"/>
      <c r="C15585" s="760"/>
      <c r="D15585" s="760"/>
      <c r="E15585" s="760"/>
      <c r="F15585" s="760"/>
      <c r="G15585" s="760"/>
      <c r="H15585" s="760"/>
      <c r="I15585" s="760"/>
      <c r="J15585" s="760"/>
      <c r="K15585" s="760"/>
    </row>
    <row r="15586" spans="1:11">
      <c r="A15586" s="760"/>
      <c r="B15586" s="760"/>
      <c r="C15586" s="760"/>
      <c r="D15586" s="760"/>
      <c r="E15586" s="760"/>
      <c r="F15586" s="760"/>
      <c r="G15586" s="760"/>
      <c r="H15586" s="760"/>
      <c r="I15586" s="760"/>
      <c r="J15586" s="760"/>
      <c r="K15586" s="760"/>
    </row>
    <row r="15587" spans="1:11">
      <c r="A15587" s="760"/>
      <c r="B15587" s="760"/>
      <c r="C15587" s="760"/>
      <c r="D15587" s="760"/>
      <c r="E15587" s="760"/>
      <c r="F15587" s="760"/>
      <c r="G15587" s="760"/>
      <c r="H15587" s="760"/>
      <c r="I15587" s="760"/>
      <c r="J15587" s="760"/>
      <c r="K15587" s="760"/>
    </row>
    <row r="15588" spans="1:11">
      <c r="A15588" s="760"/>
      <c r="B15588" s="760"/>
      <c r="C15588" s="760"/>
      <c r="D15588" s="760"/>
      <c r="E15588" s="760"/>
      <c r="F15588" s="760"/>
      <c r="G15588" s="760"/>
      <c r="H15588" s="760"/>
      <c r="I15588" s="760"/>
      <c r="J15588" s="760"/>
      <c r="K15588" s="760"/>
    </row>
    <row r="15589" spans="1:11">
      <c r="A15589" s="760"/>
      <c r="B15589" s="760"/>
      <c r="C15589" s="760"/>
      <c r="D15589" s="760"/>
      <c r="E15589" s="760"/>
      <c r="F15589" s="760"/>
      <c r="G15589" s="760"/>
      <c r="H15589" s="760"/>
      <c r="I15589" s="760"/>
      <c r="J15589" s="760"/>
      <c r="K15589" s="760"/>
    </row>
    <row r="15590" spans="1:11">
      <c r="A15590" s="760"/>
      <c r="B15590" s="760"/>
      <c r="C15590" s="760"/>
      <c r="D15590" s="760"/>
      <c r="E15590" s="760"/>
      <c r="F15590" s="760"/>
      <c r="G15590" s="760"/>
      <c r="H15590" s="760"/>
      <c r="I15590" s="760"/>
      <c r="J15590" s="760"/>
      <c r="K15590" s="760"/>
    </row>
    <row r="15591" spans="1:11">
      <c r="A15591" s="760"/>
      <c r="B15591" s="760"/>
      <c r="C15591" s="760"/>
      <c r="D15591" s="760"/>
      <c r="E15591" s="760"/>
      <c r="F15591" s="760"/>
      <c r="G15591" s="760"/>
      <c r="H15591" s="760"/>
      <c r="I15591" s="760"/>
      <c r="J15591" s="760"/>
      <c r="K15591" s="760"/>
    </row>
    <row r="15592" spans="1:11">
      <c r="A15592" s="760"/>
      <c r="B15592" s="760"/>
      <c r="C15592" s="760"/>
      <c r="D15592" s="760"/>
      <c r="E15592" s="760"/>
      <c r="F15592" s="760"/>
      <c r="G15592" s="760"/>
      <c r="H15592" s="760"/>
      <c r="I15592" s="760"/>
      <c r="J15592" s="760"/>
      <c r="K15592" s="760"/>
    </row>
    <row r="15593" spans="1:11">
      <c r="A15593" s="760"/>
      <c r="B15593" s="760"/>
      <c r="C15593" s="760"/>
      <c r="D15593" s="760"/>
      <c r="E15593" s="760"/>
      <c r="F15593" s="760"/>
      <c r="G15593" s="760"/>
      <c r="H15593" s="760"/>
      <c r="I15593" s="760"/>
      <c r="J15593" s="760"/>
      <c r="K15593" s="760"/>
    </row>
    <row r="15594" spans="1:11">
      <c r="A15594" s="760"/>
      <c r="B15594" s="760"/>
      <c r="C15594" s="760"/>
      <c r="D15594" s="760"/>
      <c r="E15594" s="760"/>
      <c r="F15594" s="760"/>
      <c r="G15594" s="760"/>
      <c r="H15594" s="760"/>
      <c r="I15594" s="760"/>
      <c r="J15594" s="760"/>
      <c r="K15594" s="760"/>
    </row>
    <row r="15595" spans="1:11">
      <c r="A15595" s="760"/>
      <c r="B15595" s="760"/>
      <c r="C15595" s="760"/>
      <c r="D15595" s="760"/>
      <c r="E15595" s="760"/>
      <c r="F15595" s="760"/>
      <c r="G15595" s="760"/>
      <c r="H15595" s="760"/>
      <c r="I15595" s="760"/>
      <c r="J15595" s="760"/>
      <c r="K15595" s="760"/>
    </row>
    <row r="15596" spans="1:11">
      <c r="A15596" s="760"/>
      <c r="B15596" s="760"/>
      <c r="C15596" s="760"/>
      <c r="D15596" s="760"/>
      <c r="E15596" s="760"/>
      <c r="F15596" s="760"/>
      <c r="G15596" s="760"/>
      <c r="H15596" s="760"/>
      <c r="I15596" s="760"/>
      <c r="J15596" s="760"/>
      <c r="K15596" s="760"/>
    </row>
    <row r="15597" spans="1:11">
      <c r="A15597" s="760"/>
      <c r="B15597" s="760"/>
      <c r="C15597" s="760"/>
      <c r="D15597" s="760"/>
      <c r="E15597" s="760"/>
      <c r="F15597" s="760"/>
      <c r="G15597" s="760"/>
      <c r="H15597" s="760"/>
      <c r="I15597" s="760"/>
      <c r="J15597" s="760"/>
      <c r="K15597" s="760"/>
    </row>
    <row r="15598" spans="1:11">
      <c r="A15598" s="760"/>
      <c r="B15598" s="760"/>
      <c r="C15598" s="760"/>
      <c r="D15598" s="760"/>
      <c r="E15598" s="760"/>
      <c r="F15598" s="760"/>
      <c r="G15598" s="760"/>
      <c r="H15598" s="760"/>
      <c r="I15598" s="760"/>
      <c r="J15598" s="760"/>
      <c r="K15598" s="760"/>
    </row>
    <row r="15599" spans="1:11">
      <c r="A15599" s="760"/>
      <c r="B15599" s="760"/>
      <c r="C15599" s="760"/>
      <c r="D15599" s="760"/>
      <c r="E15599" s="760"/>
      <c r="F15599" s="760"/>
      <c r="G15599" s="760"/>
      <c r="H15599" s="760"/>
      <c r="I15599" s="760"/>
      <c r="J15599" s="760"/>
      <c r="K15599" s="760"/>
    </row>
    <row r="15600" spans="1:11">
      <c r="A15600" s="760"/>
      <c r="B15600" s="760"/>
      <c r="C15600" s="760"/>
      <c r="D15600" s="760"/>
      <c r="E15600" s="760"/>
      <c r="F15600" s="760"/>
      <c r="G15600" s="760"/>
      <c r="H15600" s="760"/>
      <c r="I15600" s="760"/>
      <c r="J15600" s="760"/>
      <c r="K15600" s="760"/>
    </row>
    <row r="15601" spans="1:11">
      <c r="A15601" s="760"/>
      <c r="B15601" s="760"/>
      <c r="C15601" s="760"/>
      <c r="D15601" s="760"/>
      <c r="E15601" s="760"/>
      <c r="F15601" s="760"/>
      <c r="G15601" s="760"/>
      <c r="H15601" s="760"/>
      <c r="I15601" s="760"/>
      <c r="J15601" s="760"/>
      <c r="K15601" s="760"/>
    </row>
    <row r="15602" spans="1:11">
      <c r="A15602" s="760"/>
      <c r="B15602" s="760"/>
      <c r="C15602" s="760"/>
      <c r="D15602" s="760"/>
      <c r="E15602" s="760"/>
      <c r="F15602" s="760"/>
      <c r="G15602" s="760"/>
      <c r="H15602" s="760"/>
      <c r="I15602" s="760"/>
      <c r="J15602" s="760"/>
      <c r="K15602" s="760"/>
    </row>
    <row r="15603" spans="1:11">
      <c r="A15603" s="760"/>
      <c r="B15603" s="760"/>
      <c r="C15603" s="760"/>
      <c r="D15603" s="760"/>
      <c r="E15603" s="760"/>
      <c r="F15603" s="760"/>
      <c r="G15603" s="760"/>
      <c r="H15603" s="760"/>
      <c r="I15603" s="760"/>
      <c r="J15603" s="760"/>
      <c r="K15603" s="760"/>
    </row>
    <row r="15604" spans="1:11">
      <c r="A15604" s="760"/>
      <c r="B15604" s="760"/>
      <c r="C15604" s="760"/>
      <c r="D15604" s="760"/>
      <c r="E15604" s="760"/>
      <c r="F15604" s="760"/>
      <c r="G15604" s="760"/>
      <c r="H15604" s="760"/>
      <c r="I15604" s="760"/>
      <c r="J15604" s="760"/>
      <c r="K15604" s="760"/>
    </row>
    <row r="15605" spans="1:11">
      <c r="A15605" s="760"/>
      <c r="B15605" s="760"/>
      <c r="C15605" s="760"/>
      <c r="D15605" s="760"/>
      <c r="E15605" s="760"/>
      <c r="F15605" s="760"/>
      <c r="G15605" s="760"/>
      <c r="H15605" s="760"/>
      <c r="I15605" s="760"/>
      <c r="J15605" s="760"/>
      <c r="K15605" s="760"/>
    </row>
    <row r="15606" spans="1:11">
      <c r="A15606" s="760"/>
      <c r="B15606" s="760"/>
      <c r="C15606" s="760"/>
      <c r="D15606" s="760"/>
      <c r="E15606" s="760"/>
      <c r="F15606" s="760"/>
      <c r="G15606" s="760"/>
      <c r="H15606" s="760"/>
      <c r="I15606" s="760"/>
      <c r="J15606" s="760"/>
      <c r="K15606" s="760"/>
    </row>
    <row r="15607" spans="1:11">
      <c r="A15607" s="760"/>
      <c r="B15607" s="760"/>
      <c r="C15607" s="760"/>
      <c r="D15607" s="760"/>
      <c r="E15607" s="760"/>
      <c r="F15607" s="760"/>
      <c r="G15607" s="760"/>
      <c r="H15607" s="760"/>
      <c r="I15607" s="760"/>
      <c r="J15607" s="760"/>
      <c r="K15607" s="760"/>
    </row>
    <row r="15608" spans="1:11">
      <c r="A15608" s="760"/>
      <c r="B15608" s="760"/>
      <c r="C15608" s="760"/>
      <c r="D15608" s="760"/>
      <c r="E15608" s="760"/>
      <c r="F15608" s="760"/>
      <c r="G15608" s="760"/>
      <c r="H15608" s="760"/>
      <c r="I15608" s="760"/>
      <c r="J15608" s="760"/>
      <c r="K15608" s="760"/>
    </row>
    <row r="15609" spans="1:11">
      <c r="A15609" s="760"/>
      <c r="B15609" s="760"/>
      <c r="C15609" s="760"/>
      <c r="D15609" s="760"/>
      <c r="E15609" s="760"/>
      <c r="F15609" s="760"/>
      <c r="G15609" s="760"/>
      <c r="H15609" s="760"/>
      <c r="I15609" s="760"/>
      <c r="J15609" s="760"/>
      <c r="K15609" s="760"/>
    </row>
    <row r="15610" spans="1:11">
      <c r="A15610" s="760"/>
      <c r="B15610" s="760"/>
      <c r="C15610" s="760"/>
      <c r="D15610" s="760"/>
      <c r="E15610" s="760"/>
      <c r="F15610" s="760"/>
      <c r="G15610" s="760"/>
      <c r="H15610" s="760"/>
      <c r="I15610" s="760"/>
      <c r="J15610" s="760"/>
      <c r="K15610" s="760"/>
    </row>
    <row r="15611" spans="1:11">
      <c r="A15611" s="760"/>
      <c r="B15611" s="760"/>
      <c r="C15611" s="760"/>
      <c r="D15611" s="760"/>
      <c r="E15611" s="760"/>
      <c r="F15611" s="760"/>
      <c r="G15611" s="760"/>
      <c r="H15611" s="760"/>
      <c r="I15611" s="760"/>
      <c r="J15611" s="760"/>
      <c r="K15611" s="760"/>
    </row>
    <row r="15612" spans="1:11">
      <c r="A15612" s="760"/>
      <c r="B15612" s="760"/>
      <c r="C15612" s="760"/>
      <c r="D15612" s="760"/>
      <c r="E15612" s="760"/>
      <c r="F15612" s="760"/>
      <c r="G15612" s="760"/>
      <c r="H15612" s="760"/>
      <c r="I15612" s="760"/>
      <c r="J15612" s="760"/>
      <c r="K15612" s="760"/>
    </row>
    <row r="15613" spans="1:11">
      <c r="A15613" s="760"/>
      <c r="B15613" s="760"/>
      <c r="C15613" s="760"/>
      <c r="D15613" s="760"/>
      <c r="E15613" s="760"/>
      <c r="F15613" s="760"/>
      <c r="G15613" s="760"/>
      <c r="H15613" s="760"/>
      <c r="I15613" s="760"/>
      <c r="J15613" s="760"/>
      <c r="K15613" s="760"/>
    </row>
    <row r="15614" spans="1:11">
      <c r="A15614" s="760"/>
      <c r="B15614" s="760"/>
      <c r="C15614" s="760"/>
      <c r="D15614" s="760"/>
      <c r="E15614" s="760"/>
      <c r="F15614" s="760"/>
      <c r="G15614" s="760"/>
      <c r="H15614" s="760"/>
      <c r="I15614" s="760"/>
      <c r="J15614" s="760"/>
      <c r="K15614" s="760"/>
    </row>
    <row r="15615" spans="1:11">
      <c r="A15615" s="760"/>
      <c r="B15615" s="760"/>
      <c r="C15615" s="760"/>
      <c r="D15615" s="760"/>
      <c r="E15615" s="760"/>
      <c r="F15615" s="760"/>
      <c r="G15615" s="760"/>
      <c r="H15615" s="760"/>
      <c r="I15615" s="760"/>
      <c r="J15615" s="760"/>
      <c r="K15615" s="760"/>
    </row>
    <row r="15616" spans="1:11">
      <c r="A15616" s="760"/>
      <c r="B15616" s="760"/>
      <c r="C15616" s="760"/>
      <c r="D15616" s="760"/>
      <c r="E15616" s="760"/>
      <c r="F15616" s="760"/>
      <c r="G15616" s="760"/>
      <c r="H15616" s="760"/>
      <c r="I15616" s="760"/>
      <c r="J15616" s="760"/>
      <c r="K15616" s="760"/>
    </row>
    <row r="15617" spans="1:11">
      <c r="A15617" s="760"/>
      <c r="B15617" s="760"/>
      <c r="C15617" s="760"/>
      <c r="D15617" s="760"/>
      <c r="E15617" s="760"/>
      <c r="F15617" s="760"/>
      <c r="G15617" s="760"/>
      <c r="H15617" s="760"/>
      <c r="I15617" s="760"/>
      <c r="J15617" s="760"/>
      <c r="K15617" s="760"/>
    </row>
    <row r="15618" spans="1:11">
      <c r="A15618" s="760"/>
      <c r="B15618" s="760"/>
      <c r="C15618" s="760"/>
      <c r="D15618" s="760"/>
      <c r="E15618" s="760"/>
      <c r="F15618" s="760"/>
      <c r="G15618" s="760"/>
      <c r="H15618" s="760"/>
      <c r="I15618" s="760"/>
      <c r="J15618" s="760"/>
      <c r="K15618" s="760"/>
    </row>
    <row r="15619" spans="1:11">
      <c r="A15619" s="760"/>
      <c r="B15619" s="760"/>
      <c r="C15619" s="760"/>
      <c r="D15619" s="760"/>
      <c r="E15619" s="760"/>
      <c r="F15619" s="760"/>
      <c r="G15619" s="760"/>
      <c r="H15619" s="760"/>
      <c r="I15619" s="760"/>
      <c r="J15619" s="760"/>
      <c r="K15619" s="760"/>
    </row>
    <row r="15620" spans="1:11">
      <c r="A15620" s="760"/>
      <c r="B15620" s="760"/>
      <c r="C15620" s="760"/>
      <c r="D15620" s="760"/>
      <c r="E15620" s="760"/>
      <c r="F15620" s="760"/>
      <c r="G15620" s="760"/>
      <c r="H15620" s="760"/>
      <c r="I15620" s="760"/>
      <c r="J15620" s="760"/>
      <c r="K15620" s="760"/>
    </row>
    <row r="15621" spans="1:11">
      <c r="A15621" s="760"/>
      <c r="B15621" s="760"/>
      <c r="C15621" s="760"/>
      <c r="D15621" s="760"/>
      <c r="E15621" s="760"/>
      <c r="F15621" s="760"/>
      <c r="G15621" s="760"/>
      <c r="H15621" s="760"/>
      <c r="I15621" s="760"/>
      <c r="J15621" s="760"/>
      <c r="K15621" s="760"/>
    </row>
    <row r="15622" spans="1:11">
      <c r="A15622" s="760"/>
      <c r="B15622" s="760"/>
      <c r="C15622" s="760"/>
      <c r="D15622" s="760"/>
      <c r="E15622" s="760"/>
      <c r="F15622" s="760"/>
      <c r="G15622" s="760"/>
      <c r="H15622" s="760"/>
      <c r="I15622" s="760"/>
      <c r="J15622" s="760"/>
      <c r="K15622" s="760"/>
    </row>
    <row r="15623" spans="1:11">
      <c r="A15623" s="760"/>
      <c r="B15623" s="760"/>
      <c r="C15623" s="760"/>
      <c r="D15623" s="760"/>
      <c r="E15623" s="760"/>
      <c r="F15623" s="760"/>
      <c r="G15623" s="760"/>
      <c r="H15623" s="760"/>
      <c r="I15623" s="760"/>
      <c r="J15623" s="760"/>
      <c r="K15623" s="760"/>
    </row>
    <row r="15624" spans="1:11">
      <c r="A15624" s="760"/>
      <c r="B15624" s="760"/>
      <c r="C15624" s="760"/>
      <c r="D15624" s="760"/>
      <c r="E15624" s="760"/>
      <c r="F15624" s="760"/>
      <c r="G15624" s="760"/>
      <c r="H15624" s="760"/>
      <c r="I15624" s="760"/>
      <c r="J15624" s="760"/>
      <c r="K15624" s="760"/>
    </row>
    <row r="15625" spans="1:11">
      <c r="A15625" s="760"/>
      <c r="B15625" s="760"/>
      <c r="C15625" s="760"/>
      <c r="D15625" s="760"/>
      <c r="E15625" s="760"/>
      <c r="F15625" s="760"/>
      <c r="G15625" s="760"/>
      <c r="H15625" s="760"/>
      <c r="I15625" s="760"/>
      <c r="J15625" s="760"/>
      <c r="K15625" s="760"/>
    </row>
    <row r="15626" spans="1:11">
      <c r="A15626" s="760"/>
      <c r="B15626" s="760"/>
      <c r="C15626" s="760"/>
      <c r="D15626" s="760"/>
      <c r="E15626" s="760"/>
      <c r="F15626" s="760"/>
      <c r="G15626" s="760"/>
      <c r="H15626" s="760"/>
      <c r="I15626" s="760"/>
      <c r="J15626" s="760"/>
      <c r="K15626" s="760"/>
    </row>
    <row r="15627" spans="1:11">
      <c r="A15627" s="760"/>
      <c r="B15627" s="760"/>
      <c r="C15627" s="760"/>
      <c r="D15627" s="760"/>
      <c r="E15627" s="760"/>
      <c r="F15627" s="760"/>
      <c r="G15627" s="760"/>
      <c r="H15627" s="760"/>
      <c r="I15627" s="760"/>
      <c r="J15627" s="760"/>
      <c r="K15627" s="760"/>
    </row>
    <row r="15628" spans="1:11">
      <c r="A15628" s="760"/>
      <c r="B15628" s="760"/>
      <c r="C15628" s="760"/>
      <c r="D15628" s="760"/>
      <c r="E15628" s="760"/>
      <c r="F15628" s="760"/>
      <c r="G15628" s="760"/>
      <c r="H15628" s="760"/>
      <c r="I15628" s="760"/>
      <c r="J15628" s="760"/>
      <c r="K15628" s="760"/>
    </row>
    <row r="15629" spans="1:11">
      <c r="A15629" s="760"/>
      <c r="B15629" s="760"/>
      <c r="C15629" s="760"/>
      <c r="D15629" s="760"/>
      <c r="E15629" s="760"/>
      <c r="F15629" s="760"/>
      <c r="G15629" s="760"/>
      <c r="H15629" s="760"/>
      <c r="I15629" s="760"/>
      <c r="J15629" s="760"/>
      <c r="K15629" s="760"/>
    </row>
    <row r="15630" spans="1:11">
      <c r="A15630" s="760"/>
      <c r="B15630" s="760"/>
      <c r="C15630" s="760"/>
      <c r="D15630" s="760"/>
      <c r="E15630" s="760"/>
      <c r="F15630" s="760"/>
      <c r="G15630" s="760"/>
      <c r="H15630" s="760"/>
      <c r="I15630" s="760"/>
      <c r="J15630" s="760"/>
      <c r="K15630" s="760"/>
    </row>
    <row r="15631" spans="1:11">
      <c r="A15631" s="760"/>
      <c r="B15631" s="760"/>
      <c r="C15631" s="760"/>
      <c r="D15631" s="760"/>
      <c r="E15631" s="760"/>
      <c r="F15631" s="760"/>
      <c r="G15631" s="760"/>
      <c r="H15631" s="760"/>
      <c r="I15631" s="760"/>
      <c r="J15631" s="760"/>
      <c r="K15631" s="760"/>
    </row>
    <row r="15632" spans="1:11">
      <c r="A15632" s="760"/>
      <c r="B15632" s="760"/>
      <c r="C15632" s="760"/>
      <c r="D15632" s="760"/>
      <c r="E15632" s="760"/>
      <c r="F15632" s="760"/>
      <c r="G15632" s="760"/>
      <c r="H15632" s="760"/>
      <c r="I15632" s="760"/>
      <c r="J15632" s="760"/>
      <c r="K15632" s="760"/>
    </row>
    <row r="15633" spans="1:11">
      <c r="A15633" s="760"/>
      <c r="B15633" s="760"/>
      <c r="C15633" s="760"/>
      <c r="D15633" s="760"/>
      <c r="E15633" s="760"/>
      <c r="F15633" s="760"/>
      <c r="G15633" s="760"/>
      <c r="H15633" s="760"/>
      <c r="I15633" s="760"/>
      <c r="J15633" s="760"/>
      <c r="K15633" s="760"/>
    </row>
    <row r="15634" spans="1:11">
      <c r="A15634" s="760"/>
      <c r="B15634" s="760"/>
      <c r="C15634" s="760"/>
      <c r="D15634" s="760"/>
      <c r="E15634" s="760"/>
      <c r="F15634" s="760"/>
      <c r="G15634" s="760"/>
      <c r="H15634" s="760"/>
      <c r="I15634" s="760"/>
      <c r="J15634" s="760"/>
      <c r="K15634" s="760"/>
    </row>
    <row r="15635" spans="1:11">
      <c r="A15635" s="760"/>
      <c r="B15635" s="760"/>
      <c r="C15635" s="760"/>
      <c r="D15635" s="760"/>
      <c r="E15635" s="760"/>
      <c r="F15635" s="760"/>
      <c r="G15635" s="760"/>
      <c r="H15635" s="760"/>
      <c r="I15635" s="760"/>
      <c r="J15635" s="760"/>
      <c r="K15635" s="760"/>
    </row>
    <row r="15636" spans="1:11">
      <c r="A15636" s="760"/>
      <c r="B15636" s="760"/>
      <c r="C15636" s="760"/>
      <c r="D15636" s="760"/>
      <c r="E15636" s="760"/>
      <c r="F15636" s="760"/>
      <c r="G15636" s="760"/>
      <c r="H15636" s="760"/>
      <c r="I15636" s="760"/>
      <c r="J15636" s="760"/>
      <c r="K15636" s="760"/>
    </row>
    <row r="15637" spans="1:11">
      <c r="A15637" s="760"/>
      <c r="B15637" s="760"/>
      <c r="C15637" s="760"/>
      <c r="D15637" s="760"/>
      <c r="E15637" s="760"/>
      <c r="F15637" s="760"/>
      <c r="G15637" s="760"/>
      <c r="H15637" s="760"/>
      <c r="I15637" s="760"/>
      <c r="J15637" s="760"/>
      <c r="K15637" s="760"/>
    </row>
    <row r="15638" spans="1:11">
      <c r="A15638" s="760"/>
      <c r="B15638" s="760"/>
      <c r="C15638" s="760"/>
      <c r="D15638" s="760"/>
      <c r="E15638" s="760"/>
      <c r="F15638" s="760"/>
      <c r="G15638" s="760"/>
      <c r="H15638" s="760"/>
      <c r="I15638" s="760"/>
      <c r="J15638" s="760"/>
      <c r="K15638" s="760"/>
    </row>
    <row r="15639" spans="1:11">
      <c r="A15639" s="760"/>
      <c r="B15639" s="760"/>
      <c r="C15639" s="760"/>
      <c r="D15639" s="760"/>
      <c r="E15639" s="760"/>
      <c r="F15639" s="760"/>
      <c r="G15639" s="760"/>
      <c r="H15639" s="760"/>
      <c r="I15639" s="760"/>
      <c r="J15639" s="760"/>
      <c r="K15639" s="760"/>
    </row>
    <row r="15640" spans="1:11">
      <c r="A15640" s="760"/>
      <c r="B15640" s="760"/>
      <c r="C15640" s="760"/>
      <c r="D15640" s="760"/>
      <c r="E15640" s="760"/>
      <c r="F15640" s="760"/>
      <c r="G15640" s="760"/>
      <c r="H15640" s="760"/>
      <c r="I15640" s="760"/>
      <c r="J15640" s="760"/>
      <c r="K15640" s="760"/>
    </row>
    <row r="15641" spans="1:11">
      <c r="A15641" s="760"/>
      <c r="B15641" s="760"/>
      <c r="C15641" s="760"/>
      <c r="D15641" s="760"/>
      <c r="E15641" s="760"/>
      <c r="F15641" s="760"/>
      <c r="G15641" s="760"/>
      <c r="H15641" s="760"/>
      <c r="I15641" s="760"/>
      <c r="J15641" s="760"/>
      <c r="K15641" s="760"/>
    </row>
    <row r="15642" spans="1:11">
      <c r="A15642" s="760"/>
      <c r="B15642" s="760"/>
      <c r="C15642" s="760"/>
      <c r="D15642" s="760"/>
      <c r="E15642" s="760"/>
      <c r="F15642" s="760"/>
      <c r="G15642" s="760"/>
      <c r="H15642" s="760"/>
      <c r="I15642" s="760"/>
      <c r="J15642" s="760"/>
      <c r="K15642" s="760"/>
    </row>
    <row r="15643" spans="1:11">
      <c r="A15643" s="760"/>
      <c r="B15643" s="760"/>
      <c r="C15643" s="760"/>
      <c r="D15643" s="760"/>
      <c r="E15643" s="760"/>
      <c r="F15643" s="760"/>
      <c r="G15643" s="760"/>
      <c r="H15643" s="760"/>
      <c r="I15643" s="760"/>
      <c r="J15643" s="760"/>
      <c r="K15643" s="760"/>
    </row>
    <row r="15644" spans="1:11">
      <c r="A15644" s="760"/>
      <c r="B15644" s="760"/>
      <c r="C15644" s="760"/>
      <c r="D15644" s="760"/>
      <c r="E15644" s="760"/>
      <c r="F15644" s="760"/>
      <c r="G15644" s="760"/>
      <c r="H15644" s="760"/>
      <c r="I15644" s="760"/>
      <c r="J15644" s="760"/>
      <c r="K15644" s="760"/>
    </row>
    <row r="15645" spans="1:11">
      <c r="A15645" s="760"/>
      <c r="B15645" s="760"/>
      <c r="C15645" s="760"/>
      <c r="D15645" s="760"/>
      <c r="E15645" s="760"/>
      <c r="F15645" s="760"/>
      <c r="G15645" s="760"/>
      <c r="H15645" s="760"/>
      <c r="I15645" s="760"/>
      <c r="J15645" s="760"/>
      <c r="K15645" s="760"/>
    </row>
    <row r="15646" spans="1:11">
      <c r="A15646" s="760"/>
      <c r="B15646" s="760"/>
      <c r="C15646" s="760"/>
      <c r="D15646" s="760"/>
      <c r="E15646" s="760"/>
      <c r="F15646" s="760"/>
      <c r="G15646" s="760"/>
      <c r="H15646" s="760"/>
      <c r="I15646" s="760"/>
      <c r="J15646" s="760"/>
      <c r="K15646" s="760"/>
    </row>
    <row r="15647" spans="1:11">
      <c r="A15647" s="760"/>
      <c r="B15647" s="760"/>
      <c r="C15647" s="760"/>
      <c r="D15647" s="760"/>
      <c r="E15647" s="760"/>
      <c r="F15647" s="760"/>
      <c r="G15647" s="760"/>
      <c r="H15647" s="760"/>
      <c r="I15647" s="760"/>
      <c r="J15647" s="760"/>
      <c r="K15647" s="760"/>
    </row>
    <row r="15648" spans="1:11">
      <c r="A15648" s="760"/>
      <c r="B15648" s="760"/>
      <c r="C15648" s="760"/>
      <c r="D15648" s="760"/>
      <c r="E15648" s="760"/>
      <c r="F15648" s="760"/>
      <c r="G15648" s="760"/>
      <c r="H15648" s="760"/>
      <c r="I15648" s="760"/>
      <c r="J15648" s="760"/>
      <c r="K15648" s="760"/>
    </row>
    <row r="15649" spans="1:11">
      <c r="A15649" s="760"/>
      <c r="B15649" s="760"/>
      <c r="C15649" s="760"/>
      <c r="D15649" s="760"/>
      <c r="E15649" s="760"/>
      <c r="F15649" s="760"/>
      <c r="G15649" s="760"/>
      <c r="H15649" s="760"/>
      <c r="I15649" s="760"/>
      <c r="J15649" s="760"/>
      <c r="K15649" s="760"/>
    </row>
    <row r="15650" spans="1:11">
      <c r="A15650" s="760"/>
      <c r="B15650" s="760"/>
      <c r="C15650" s="760"/>
      <c r="D15650" s="760"/>
      <c r="E15650" s="760"/>
      <c r="F15650" s="760"/>
      <c r="G15650" s="760"/>
      <c r="H15650" s="760"/>
      <c r="I15650" s="760"/>
      <c r="J15650" s="760"/>
      <c r="K15650" s="760"/>
    </row>
    <row r="15651" spans="1:11">
      <c r="A15651" s="760"/>
      <c r="B15651" s="760"/>
      <c r="C15651" s="760"/>
      <c r="D15651" s="760"/>
      <c r="E15651" s="760"/>
      <c r="F15651" s="760"/>
      <c r="G15651" s="760"/>
      <c r="H15651" s="760"/>
      <c r="I15651" s="760"/>
      <c r="J15651" s="760"/>
      <c r="K15651" s="760"/>
    </row>
    <row r="15652" spans="1:11">
      <c r="A15652" s="760"/>
      <c r="B15652" s="760"/>
      <c r="C15652" s="760"/>
      <c r="D15652" s="760"/>
      <c r="E15652" s="760"/>
      <c r="F15652" s="760"/>
      <c r="G15652" s="760"/>
      <c r="H15652" s="760"/>
      <c r="I15652" s="760"/>
      <c r="J15652" s="760"/>
      <c r="K15652" s="760"/>
    </row>
    <row r="15653" spans="1:11">
      <c r="A15653" s="760"/>
      <c r="B15653" s="760"/>
      <c r="C15653" s="760"/>
      <c r="D15653" s="760"/>
      <c r="E15653" s="760"/>
      <c r="F15653" s="760"/>
      <c r="G15653" s="760"/>
      <c r="H15653" s="760"/>
      <c r="I15653" s="760"/>
      <c r="J15653" s="760"/>
      <c r="K15653" s="760"/>
    </row>
    <row r="15654" spans="1:11">
      <c r="A15654" s="760"/>
      <c r="B15654" s="760"/>
      <c r="C15654" s="760"/>
      <c r="D15654" s="760"/>
      <c r="E15654" s="760"/>
      <c r="F15654" s="760"/>
      <c r="G15654" s="760"/>
      <c r="H15654" s="760"/>
      <c r="I15654" s="760"/>
      <c r="J15654" s="760"/>
      <c r="K15654" s="760"/>
    </row>
    <row r="15655" spans="1:11">
      <c r="A15655" s="760"/>
      <c r="B15655" s="760"/>
      <c r="C15655" s="760"/>
      <c r="D15655" s="760"/>
      <c r="E15655" s="760"/>
      <c r="F15655" s="760"/>
      <c r="G15655" s="760"/>
      <c r="H15655" s="760"/>
      <c r="I15655" s="760"/>
      <c r="J15655" s="760"/>
      <c r="K15655" s="760"/>
    </row>
    <row r="15656" spans="1:11">
      <c r="A15656" s="760"/>
      <c r="B15656" s="760"/>
      <c r="C15656" s="760"/>
      <c r="D15656" s="760"/>
      <c r="E15656" s="760"/>
      <c r="F15656" s="760"/>
      <c r="G15656" s="760"/>
      <c r="H15656" s="760"/>
      <c r="I15656" s="760"/>
      <c r="J15656" s="760"/>
      <c r="K15656" s="760"/>
    </row>
    <row r="15657" spans="1:11">
      <c r="A15657" s="760"/>
      <c r="B15657" s="760"/>
      <c r="C15657" s="760"/>
      <c r="D15657" s="760"/>
      <c r="E15657" s="760"/>
      <c r="F15657" s="760"/>
      <c r="G15657" s="760"/>
      <c r="H15657" s="760"/>
      <c r="I15657" s="760"/>
      <c r="J15657" s="760"/>
      <c r="K15657" s="760"/>
    </row>
    <row r="15658" spans="1:11">
      <c r="A15658" s="760"/>
      <c r="B15658" s="760"/>
      <c r="C15658" s="760"/>
      <c r="D15658" s="760"/>
      <c r="E15658" s="760"/>
      <c r="F15658" s="760"/>
      <c r="G15658" s="760"/>
      <c r="H15658" s="760"/>
      <c r="I15658" s="760"/>
      <c r="J15658" s="760"/>
      <c r="K15658" s="760"/>
    </row>
    <row r="15659" spans="1:11">
      <c r="A15659" s="760"/>
      <c r="B15659" s="760"/>
      <c r="C15659" s="760"/>
      <c r="D15659" s="760"/>
      <c r="E15659" s="760"/>
      <c r="F15659" s="760"/>
      <c r="G15659" s="760"/>
      <c r="H15659" s="760"/>
      <c r="I15659" s="760"/>
      <c r="J15659" s="760"/>
      <c r="K15659" s="760"/>
    </row>
    <row r="15660" spans="1:11">
      <c r="A15660" s="760"/>
      <c r="B15660" s="760"/>
      <c r="C15660" s="760"/>
      <c r="D15660" s="760"/>
      <c r="E15660" s="760"/>
      <c r="F15660" s="760"/>
      <c r="G15660" s="760"/>
      <c r="H15660" s="760"/>
      <c r="I15660" s="760"/>
      <c r="J15660" s="760"/>
      <c r="K15660" s="760"/>
    </row>
    <row r="15661" spans="1:11">
      <c r="A15661" s="760"/>
      <c r="B15661" s="760"/>
      <c r="C15661" s="760"/>
      <c r="D15661" s="760"/>
      <c r="E15661" s="760"/>
      <c r="F15661" s="760"/>
      <c r="G15661" s="760"/>
      <c r="H15661" s="760"/>
      <c r="I15661" s="760"/>
      <c r="J15661" s="760"/>
      <c r="K15661" s="760"/>
    </row>
    <row r="15662" spans="1:11">
      <c r="A15662" s="760"/>
      <c r="B15662" s="760"/>
      <c r="C15662" s="760"/>
      <c r="D15662" s="760"/>
      <c r="E15662" s="760"/>
      <c r="F15662" s="760"/>
      <c r="G15662" s="760"/>
      <c r="H15662" s="760"/>
      <c r="I15662" s="760"/>
      <c r="J15662" s="760"/>
      <c r="K15662" s="760"/>
    </row>
    <row r="15663" spans="1:11">
      <c r="A15663" s="760"/>
      <c r="B15663" s="760"/>
      <c r="C15663" s="760"/>
      <c r="D15663" s="760"/>
      <c r="E15663" s="760"/>
      <c r="F15663" s="760"/>
      <c r="G15663" s="760"/>
      <c r="H15663" s="760"/>
      <c r="I15663" s="760"/>
      <c r="J15663" s="760"/>
      <c r="K15663" s="760"/>
    </row>
    <row r="15664" spans="1:11">
      <c r="A15664" s="760"/>
      <c r="B15664" s="760"/>
      <c r="C15664" s="760"/>
      <c r="D15664" s="760"/>
      <c r="E15664" s="760"/>
      <c r="F15664" s="760"/>
      <c r="G15664" s="760"/>
      <c r="H15664" s="760"/>
      <c r="I15664" s="760"/>
      <c r="J15664" s="760"/>
      <c r="K15664" s="760"/>
    </row>
    <row r="15665" spans="1:11">
      <c r="A15665" s="760"/>
      <c r="B15665" s="760"/>
      <c r="C15665" s="760"/>
      <c r="D15665" s="760"/>
      <c r="E15665" s="760"/>
      <c r="F15665" s="760"/>
      <c r="G15665" s="760"/>
      <c r="H15665" s="760"/>
      <c r="I15665" s="760"/>
      <c r="J15665" s="760"/>
      <c r="K15665" s="760"/>
    </row>
    <row r="15666" spans="1:11">
      <c r="A15666" s="760"/>
      <c r="B15666" s="760"/>
      <c r="C15666" s="760"/>
      <c r="D15666" s="760"/>
      <c r="E15666" s="760"/>
      <c r="F15666" s="760"/>
      <c r="G15666" s="760"/>
      <c r="H15666" s="760"/>
      <c r="I15666" s="760"/>
      <c r="J15666" s="760"/>
      <c r="K15666" s="760"/>
    </row>
    <row r="15667" spans="1:11">
      <c r="A15667" s="760"/>
      <c r="B15667" s="760"/>
      <c r="C15667" s="760"/>
      <c r="D15667" s="760"/>
      <c r="E15667" s="760"/>
      <c r="F15667" s="760"/>
      <c r="G15667" s="760"/>
      <c r="H15667" s="760"/>
      <c r="I15667" s="760"/>
      <c r="J15667" s="760"/>
      <c r="K15667" s="760"/>
    </row>
    <row r="15668" spans="1:11">
      <c r="A15668" s="760"/>
      <c r="B15668" s="760"/>
      <c r="C15668" s="760"/>
      <c r="D15668" s="760"/>
      <c r="E15668" s="760"/>
      <c r="F15668" s="760"/>
      <c r="G15668" s="760"/>
      <c r="H15668" s="760"/>
      <c r="I15668" s="760"/>
      <c r="J15668" s="760"/>
      <c r="K15668" s="760"/>
    </row>
    <row r="15669" spans="1:11">
      <c r="A15669" s="760"/>
      <c r="B15669" s="760"/>
      <c r="C15669" s="760"/>
      <c r="D15669" s="760"/>
      <c r="E15669" s="760"/>
      <c r="F15669" s="760"/>
      <c r="G15669" s="760"/>
      <c r="H15669" s="760"/>
      <c r="I15669" s="760"/>
      <c r="J15669" s="760"/>
      <c r="K15669" s="760"/>
    </row>
    <row r="15670" spans="1:11">
      <c r="A15670" s="760"/>
      <c r="B15670" s="760"/>
      <c r="C15670" s="760"/>
      <c r="D15670" s="760"/>
      <c r="E15670" s="760"/>
      <c r="F15670" s="760"/>
      <c r="G15670" s="760"/>
      <c r="H15670" s="760"/>
      <c r="I15670" s="760"/>
      <c r="J15670" s="760"/>
      <c r="K15670" s="760"/>
    </row>
    <row r="15671" spans="1:11">
      <c r="A15671" s="760"/>
      <c r="B15671" s="760"/>
      <c r="C15671" s="760"/>
      <c r="D15671" s="760"/>
      <c r="E15671" s="760"/>
      <c r="F15671" s="760"/>
      <c r="G15671" s="760"/>
      <c r="H15671" s="760"/>
      <c r="I15671" s="760"/>
      <c r="J15671" s="760"/>
      <c r="K15671" s="760"/>
    </row>
    <row r="15672" spans="1:11">
      <c r="A15672" s="760"/>
      <c r="B15672" s="760"/>
      <c r="C15672" s="760"/>
      <c r="D15672" s="760"/>
      <c r="E15672" s="760"/>
      <c r="F15672" s="760"/>
      <c r="G15672" s="760"/>
      <c r="H15672" s="760"/>
      <c r="I15672" s="760"/>
      <c r="J15672" s="760"/>
      <c r="K15672" s="760"/>
    </row>
    <row r="15673" spans="1:11">
      <c r="A15673" s="760"/>
      <c r="B15673" s="760"/>
      <c r="C15673" s="760"/>
      <c r="D15673" s="760"/>
      <c r="E15673" s="760"/>
      <c r="F15673" s="760"/>
      <c r="G15673" s="760"/>
      <c r="H15673" s="760"/>
      <c r="I15673" s="760"/>
      <c r="J15673" s="760"/>
      <c r="K15673" s="760"/>
    </row>
    <row r="15674" spans="1:11">
      <c r="A15674" s="760"/>
      <c r="B15674" s="760"/>
      <c r="C15674" s="760"/>
      <c r="D15674" s="760"/>
      <c r="E15674" s="760"/>
      <c r="F15674" s="760"/>
      <c r="G15674" s="760"/>
      <c r="H15674" s="760"/>
      <c r="I15674" s="760"/>
      <c r="J15674" s="760"/>
      <c r="K15674" s="760"/>
    </row>
    <row r="15675" spans="1:11">
      <c r="A15675" s="760"/>
      <c r="B15675" s="760"/>
      <c r="C15675" s="760"/>
      <c r="D15675" s="760"/>
      <c r="E15675" s="760"/>
      <c r="F15675" s="760"/>
      <c r="G15675" s="760"/>
      <c r="H15675" s="760"/>
      <c r="I15675" s="760"/>
      <c r="J15675" s="760"/>
      <c r="K15675" s="760"/>
    </row>
    <row r="15676" spans="1:11">
      <c r="A15676" s="760"/>
      <c r="B15676" s="760"/>
      <c r="C15676" s="760"/>
      <c r="D15676" s="760"/>
      <c r="E15676" s="760"/>
      <c r="F15676" s="760"/>
      <c r="G15676" s="760"/>
      <c r="H15676" s="760"/>
      <c r="I15676" s="760"/>
      <c r="J15676" s="760"/>
      <c r="K15676" s="760"/>
    </row>
    <row r="15677" spans="1:11">
      <c r="A15677" s="760"/>
      <c r="B15677" s="760"/>
      <c r="C15677" s="760"/>
      <c r="D15677" s="760"/>
      <c r="E15677" s="760"/>
      <c r="F15677" s="760"/>
      <c r="G15677" s="760"/>
      <c r="H15677" s="760"/>
      <c r="I15677" s="760"/>
      <c r="J15677" s="760"/>
      <c r="K15677" s="760"/>
    </row>
    <row r="15678" spans="1:11">
      <c r="A15678" s="760"/>
      <c r="B15678" s="760"/>
      <c r="C15678" s="760"/>
      <c r="D15678" s="760"/>
      <c r="E15678" s="760"/>
      <c r="F15678" s="760"/>
      <c r="G15678" s="760"/>
      <c r="H15678" s="760"/>
      <c r="I15678" s="760"/>
      <c r="J15678" s="760"/>
      <c r="K15678" s="760"/>
    </row>
    <row r="15679" spans="1:11">
      <c r="A15679" s="760"/>
      <c r="B15679" s="760"/>
      <c r="C15679" s="760"/>
      <c r="D15679" s="760"/>
      <c r="E15679" s="760"/>
      <c r="F15679" s="760"/>
      <c r="G15679" s="760"/>
      <c r="H15679" s="760"/>
      <c r="I15679" s="760"/>
      <c r="J15679" s="760"/>
      <c r="K15679" s="760"/>
    </row>
    <row r="15680" spans="1:11">
      <c r="A15680" s="760"/>
      <c r="B15680" s="760"/>
      <c r="C15680" s="760"/>
      <c r="D15680" s="760"/>
      <c r="E15680" s="760"/>
      <c r="F15680" s="760"/>
      <c r="G15680" s="760"/>
      <c r="H15680" s="760"/>
      <c r="I15680" s="760"/>
      <c r="J15680" s="760"/>
      <c r="K15680" s="760"/>
    </row>
    <row r="15681" spans="1:11">
      <c r="A15681" s="760"/>
      <c r="B15681" s="760"/>
      <c r="C15681" s="760"/>
      <c r="D15681" s="760"/>
      <c r="E15681" s="760"/>
      <c r="F15681" s="760"/>
      <c r="G15681" s="760"/>
      <c r="H15681" s="760"/>
      <c r="I15681" s="760"/>
      <c r="J15681" s="760"/>
      <c r="K15681" s="760"/>
    </row>
    <row r="15682" spans="1:11">
      <c r="A15682" s="760"/>
      <c r="B15682" s="760"/>
      <c r="C15682" s="760"/>
      <c r="D15682" s="760"/>
      <c r="E15682" s="760"/>
      <c r="F15682" s="760"/>
      <c r="G15682" s="760"/>
      <c r="H15682" s="760"/>
      <c r="I15682" s="760"/>
      <c r="J15682" s="760"/>
      <c r="K15682" s="760"/>
    </row>
    <row r="15683" spans="1:11">
      <c r="A15683" s="760"/>
      <c r="B15683" s="760"/>
      <c r="C15683" s="760"/>
      <c r="D15683" s="760"/>
      <c r="E15683" s="760"/>
      <c r="F15683" s="760"/>
      <c r="G15683" s="760"/>
      <c r="H15683" s="760"/>
      <c r="I15683" s="760"/>
      <c r="J15683" s="760"/>
      <c r="K15683" s="760"/>
    </row>
    <row r="15684" spans="1:11">
      <c r="A15684" s="760"/>
      <c r="B15684" s="760"/>
      <c r="C15684" s="760"/>
      <c r="D15684" s="760"/>
      <c r="E15684" s="760"/>
      <c r="F15684" s="760"/>
      <c r="G15684" s="760"/>
      <c r="H15684" s="760"/>
      <c r="I15684" s="760"/>
      <c r="J15684" s="760"/>
      <c r="K15684" s="760"/>
    </row>
    <row r="15685" spans="1:11">
      <c r="A15685" s="760"/>
      <c r="B15685" s="760"/>
      <c r="C15685" s="760"/>
      <c r="D15685" s="760"/>
      <c r="E15685" s="760"/>
      <c r="F15685" s="760"/>
      <c r="G15685" s="760"/>
      <c r="H15685" s="760"/>
      <c r="I15685" s="760"/>
      <c r="J15685" s="760"/>
      <c r="K15685" s="760"/>
    </row>
    <row r="15686" spans="1:11">
      <c r="A15686" s="760"/>
      <c r="B15686" s="760"/>
      <c r="C15686" s="760"/>
      <c r="D15686" s="760"/>
      <c r="E15686" s="760"/>
      <c r="F15686" s="760"/>
      <c r="G15686" s="760"/>
      <c r="H15686" s="760"/>
      <c r="I15686" s="760"/>
      <c r="J15686" s="760"/>
      <c r="K15686" s="760"/>
    </row>
    <row r="15687" spans="1:11">
      <c r="A15687" s="760"/>
      <c r="B15687" s="760"/>
      <c r="C15687" s="760"/>
      <c r="D15687" s="760"/>
      <c r="E15687" s="760"/>
      <c r="F15687" s="760"/>
      <c r="G15687" s="760"/>
      <c r="H15687" s="760"/>
      <c r="I15687" s="760"/>
      <c r="J15687" s="760"/>
      <c r="K15687" s="760"/>
    </row>
    <row r="15688" spans="1:11">
      <c r="A15688" s="760"/>
      <c r="B15688" s="760"/>
      <c r="C15688" s="760"/>
      <c r="D15688" s="760"/>
      <c r="E15688" s="760"/>
      <c r="F15688" s="760"/>
      <c r="G15688" s="760"/>
      <c r="H15688" s="760"/>
      <c r="I15688" s="760"/>
      <c r="J15688" s="760"/>
      <c r="K15688" s="760"/>
    </row>
    <row r="15689" spans="1:11">
      <c r="A15689" s="760"/>
      <c r="B15689" s="760"/>
      <c r="C15689" s="760"/>
      <c r="D15689" s="760"/>
      <c r="E15689" s="760"/>
      <c r="F15689" s="760"/>
      <c r="G15689" s="760"/>
      <c r="H15689" s="760"/>
      <c r="I15689" s="760"/>
      <c r="J15689" s="760"/>
      <c r="K15689" s="760"/>
    </row>
    <row r="15690" spans="1:11">
      <c r="A15690" s="760"/>
      <c r="B15690" s="760"/>
      <c r="C15690" s="760"/>
      <c r="D15690" s="760"/>
      <c r="E15690" s="760"/>
      <c r="F15690" s="760"/>
      <c r="G15690" s="760"/>
      <c r="H15690" s="760"/>
      <c r="I15690" s="760"/>
      <c r="J15690" s="760"/>
      <c r="K15690" s="760"/>
    </row>
    <row r="15691" spans="1:11">
      <c r="A15691" s="760"/>
      <c r="B15691" s="760"/>
      <c r="C15691" s="760"/>
      <c r="D15691" s="760"/>
      <c r="E15691" s="760"/>
      <c r="F15691" s="760"/>
      <c r="G15691" s="760"/>
      <c r="H15691" s="760"/>
      <c r="I15691" s="760"/>
      <c r="J15691" s="760"/>
      <c r="K15691" s="760"/>
    </row>
    <row r="15692" spans="1:11">
      <c r="A15692" s="760"/>
      <c r="B15692" s="760"/>
      <c r="C15692" s="760"/>
      <c r="D15692" s="760"/>
      <c r="E15692" s="760"/>
      <c r="F15692" s="760"/>
      <c r="G15692" s="760"/>
      <c r="H15692" s="760"/>
      <c r="I15692" s="760"/>
      <c r="J15692" s="760"/>
      <c r="K15692" s="760"/>
    </row>
    <row r="15693" spans="1:11">
      <c r="A15693" s="760"/>
      <c r="B15693" s="760"/>
      <c r="C15693" s="760"/>
      <c r="D15693" s="760"/>
      <c r="E15693" s="760"/>
      <c r="F15693" s="760"/>
      <c r="G15693" s="760"/>
      <c r="H15693" s="760"/>
      <c r="I15693" s="760"/>
      <c r="J15693" s="760"/>
      <c r="K15693" s="760"/>
    </row>
    <row r="15694" spans="1:11">
      <c r="A15694" s="760"/>
      <c r="B15694" s="760"/>
      <c r="C15694" s="760"/>
      <c r="D15694" s="760"/>
      <c r="E15694" s="760"/>
      <c r="F15694" s="760"/>
      <c r="G15694" s="760"/>
      <c r="H15694" s="760"/>
      <c r="I15694" s="760"/>
      <c r="J15694" s="760"/>
      <c r="K15694" s="760"/>
    </row>
    <row r="15695" spans="1:11">
      <c r="A15695" s="760"/>
      <c r="B15695" s="760"/>
      <c r="C15695" s="760"/>
      <c r="D15695" s="760"/>
      <c r="E15695" s="760"/>
      <c r="F15695" s="760"/>
      <c r="G15695" s="760"/>
      <c r="H15695" s="760"/>
      <c r="I15695" s="760"/>
      <c r="J15695" s="760"/>
      <c r="K15695" s="760"/>
    </row>
    <row r="15696" spans="1:11">
      <c r="A15696" s="760"/>
      <c r="B15696" s="760"/>
      <c r="C15696" s="760"/>
      <c r="D15696" s="760"/>
      <c r="E15696" s="760"/>
      <c r="F15696" s="760"/>
      <c r="G15696" s="760"/>
      <c r="H15696" s="760"/>
      <c r="I15696" s="760"/>
      <c r="J15696" s="760"/>
      <c r="K15696" s="760"/>
    </row>
    <row r="15697" spans="1:11">
      <c r="A15697" s="760"/>
      <c r="B15697" s="760"/>
      <c r="C15697" s="760"/>
      <c r="D15697" s="760"/>
      <c r="E15697" s="760"/>
      <c r="F15697" s="760"/>
      <c r="G15697" s="760"/>
      <c r="H15697" s="760"/>
      <c r="I15697" s="760"/>
      <c r="J15697" s="760"/>
      <c r="K15697" s="760"/>
    </row>
    <row r="15698" spans="1:11">
      <c r="A15698" s="760"/>
      <c r="B15698" s="760"/>
      <c r="C15698" s="760"/>
      <c r="D15698" s="760"/>
      <c r="E15698" s="760"/>
      <c r="F15698" s="760"/>
      <c r="G15698" s="760"/>
      <c r="H15698" s="760"/>
      <c r="I15698" s="760"/>
      <c r="J15698" s="760"/>
      <c r="K15698" s="760"/>
    </row>
    <row r="15699" spans="1:11">
      <c r="A15699" s="760"/>
      <c r="B15699" s="760"/>
      <c r="C15699" s="760"/>
      <c r="D15699" s="760"/>
      <c r="E15699" s="760"/>
      <c r="F15699" s="760"/>
      <c r="G15699" s="760"/>
      <c r="H15699" s="760"/>
      <c r="I15699" s="760"/>
      <c r="J15699" s="760"/>
      <c r="K15699" s="760"/>
    </row>
    <row r="15700" spans="1:11">
      <c r="A15700" s="760"/>
      <c r="B15700" s="760"/>
      <c r="C15700" s="760"/>
      <c r="D15700" s="760"/>
      <c r="E15700" s="760"/>
      <c r="F15700" s="760"/>
      <c r="G15700" s="760"/>
      <c r="H15700" s="760"/>
      <c r="I15700" s="760"/>
      <c r="J15700" s="760"/>
      <c r="K15700" s="760"/>
    </row>
    <row r="15701" spans="1:11">
      <c r="A15701" s="760"/>
      <c r="B15701" s="760"/>
      <c r="C15701" s="760"/>
      <c r="D15701" s="760"/>
      <c r="E15701" s="760"/>
      <c r="F15701" s="760"/>
      <c r="G15701" s="760"/>
      <c r="H15701" s="760"/>
      <c r="I15701" s="760"/>
      <c r="J15701" s="760"/>
      <c r="K15701" s="760"/>
    </row>
    <row r="15702" spans="1:11">
      <c r="A15702" s="760"/>
      <c r="B15702" s="760"/>
      <c r="C15702" s="760"/>
      <c r="D15702" s="760"/>
      <c r="E15702" s="760"/>
      <c r="F15702" s="760"/>
      <c r="G15702" s="760"/>
      <c r="H15702" s="760"/>
      <c r="I15702" s="760"/>
      <c r="J15702" s="760"/>
      <c r="K15702" s="760"/>
    </row>
    <row r="15703" spans="1:11">
      <c r="A15703" s="760"/>
      <c r="B15703" s="760"/>
      <c r="C15703" s="760"/>
      <c r="D15703" s="760"/>
      <c r="E15703" s="760"/>
      <c r="F15703" s="760"/>
      <c r="G15703" s="760"/>
      <c r="H15703" s="760"/>
      <c r="I15703" s="760"/>
      <c r="J15703" s="760"/>
      <c r="K15703" s="760"/>
    </row>
    <row r="15704" spans="1:11">
      <c r="A15704" s="760"/>
      <c r="B15704" s="760"/>
      <c r="C15704" s="760"/>
      <c r="D15704" s="760"/>
      <c r="E15704" s="760"/>
      <c r="F15704" s="760"/>
      <c r="G15704" s="760"/>
      <c r="H15704" s="760"/>
      <c r="I15704" s="760"/>
      <c r="J15704" s="760"/>
      <c r="K15704" s="760"/>
    </row>
    <row r="15705" spans="1:11">
      <c r="A15705" s="760"/>
      <c r="B15705" s="760"/>
      <c r="C15705" s="760"/>
      <c r="D15705" s="760"/>
      <c r="E15705" s="760"/>
      <c r="F15705" s="760"/>
      <c r="G15705" s="760"/>
      <c r="H15705" s="760"/>
      <c r="I15705" s="760"/>
      <c r="J15705" s="760"/>
      <c r="K15705" s="760"/>
    </row>
    <row r="15706" spans="1:11">
      <c r="A15706" s="760"/>
      <c r="B15706" s="760"/>
      <c r="C15706" s="760"/>
      <c r="D15706" s="760"/>
      <c r="E15706" s="760"/>
      <c r="F15706" s="760"/>
      <c r="G15706" s="760"/>
      <c r="H15706" s="760"/>
      <c r="I15706" s="760"/>
      <c r="J15706" s="760"/>
      <c r="K15706" s="760"/>
    </row>
    <row r="15707" spans="1:11">
      <c r="A15707" s="760"/>
      <c r="B15707" s="760"/>
      <c r="C15707" s="760"/>
      <c r="D15707" s="760"/>
      <c r="E15707" s="760"/>
      <c r="F15707" s="760"/>
      <c r="G15707" s="760"/>
      <c r="H15707" s="760"/>
      <c r="I15707" s="760"/>
      <c r="J15707" s="760"/>
      <c r="K15707" s="760"/>
    </row>
    <row r="15708" spans="1:11">
      <c r="A15708" s="760"/>
      <c r="B15708" s="760"/>
      <c r="C15708" s="760"/>
      <c r="D15708" s="760"/>
      <c r="E15708" s="760"/>
      <c r="F15708" s="760"/>
      <c r="G15708" s="760"/>
      <c r="H15708" s="760"/>
      <c r="I15708" s="760"/>
      <c r="J15708" s="760"/>
      <c r="K15708" s="760"/>
    </row>
    <row r="15709" spans="1:11">
      <c r="A15709" s="760"/>
      <c r="B15709" s="760"/>
      <c r="C15709" s="760"/>
      <c r="D15709" s="760"/>
      <c r="E15709" s="760"/>
      <c r="F15709" s="760"/>
      <c r="G15709" s="760"/>
      <c r="H15709" s="760"/>
      <c r="I15709" s="760"/>
      <c r="J15709" s="760"/>
      <c r="K15709" s="760"/>
    </row>
    <row r="15710" spans="1:11">
      <c r="A15710" s="760"/>
      <c r="B15710" s="760"/>
      <c r="C15710" s="760"/>
      <c r="D15710" s="760"/>
      <c r="E15710" s="760"/>
      <c r="F15710" s="760"/>
      <c r="G15710" s="760"/>
      <c r="H15710" s="760"/>
      <c r="I15710" s="760"/>
      <c r="J15710" s="760"/>
      <c r="K15710" s="760"/>
    </row>
    <row r="15711" spans="1:11">
      <c r="A15711" s="760"/>
      <c r="B15711" s="760"/>
      <c r="C15711" s="760"/>
      <c r="D15711" s="760"/>
      <c r="E15711" s="760"/>
      <c r="F15711" s="760"/>
      <c r="G15711" s="760"/>
      <c r="H15711" s="760"/>
      <c r="I15711" s="760"/>
      <c r="J15711" s="760"/>
      <c r="K15711" s="760"/>
    </row>
    <row r="15712" spans="1:11">
      <c r="A15712" s="760"/>
      <c r="B15712" s="760"/>
      <c r="C15712" s="760"/>
      <c r="D15712" s="760"/>
      <c r="E15712" s="760"/>
      <c r="F15712" s="760"/>
      <c r="G15712" s="760"/>
      <c r="H15712" s="760"/>
      <c r="I15712" s="760"/>
      <c r="J15712" s="760"/>
      <c r="K15712" s="760"/>
    </row>
    <row r="15713" spans="1:11">
      <c r="A15713" s="760"/>
      <c r="B15713" s="760"/>
      <c r="C15713" s="760"/>
      <c r="D15713" s="760"/>
      <c r="E15713" s="760"/>
      <c r="F15713" s="760"/>
      <c r="G15713" s="760"/>
      <c r="H15713" s="760"/>
      <c r="I15713" s="760"/>
      <c r="J15713" s="760"/>
      <c r="K15713" s="760"/>
    </row>
    <row r="15714" spans="1:11">
      <c r="A15714" s="760"/>
      <c r="B15714" s="760"/>
      <c r="C15714" s="760"/>
      <c r="D15714" s="760"/>
      <c r="E15714" s="760"/>
      <c r="F15714" s="760"/>
      <c r="G15714" s="760"/>
      <c r="H15714" s="760"/>
      <c r="I15714" s="760"/>
      <c r="J15714" s="760"/>
      <c r="K15714" s="760"/>
    </row>
    <row r="15715" spans="1:11">
      <c r="A15715" s="760"/>
      <c r="B15715" s="760"/>
      <c r="C15715" s="760"/>
      <c r="D15715" s="760"/>
      <c r="E15715" s="760"/>
      <c r="F15715" s="760"/>
      <c r="G15715" s="760"/>
      <c r="H15715" s="760"/>
      <c r="I15715" s="760"/>
      <c r="J15715" s="760"/>
      <c r="K15715" s="760"/>
    </row>
    <row r="15716" spans="1:11">
      <c r="A15716" s="760"/>
      <c r="B15716" s="760"/>
      <c r="C15716" s="760"/>
      <c r="D15716" s="760"/>
      <c r="E15716" s="760"/>
      <c r="F15716" s="760"/>
      <c r="G15716" s="760"/>
      <c r="H15716" s="760"/>
      <c r="I15716" s="760"/>
      <c r="J15716" s="760"/>
      <c r="K15716" s="760"/>
    </row>
    <row r="15717" spans="1:11">
      <c r="A15717" s="760"/>
      <c r="B15717" s="760"/>
      <c r="C15717" s="760"/>
      <c r="D15717" s="760"/>
      <c r="E15717" s="760"/>
      <c r="F15717" s="760"/>
      <c r="G15717" s="760"/>
      <c r="H15717" s="760"/>
      <c r="I15717" s="760"/>
      <c r="J15717" s="760"/>
      <c r="K15717" s="760"/>
    </row>
    <row r="15718" spans="1:11">
      <c r="A15718" s="760"/>
      <c r="B15718" s="760"/>
      <c r="C15718" s="760"/>
      <c r="D15718" s="760"/>
      <c r="E15718" s="760"/>
      <c r="F15718" s="760"/>
      <c r="G15718" s="760"/>
      <c r="H15718" s="760"/>
      <c r="I15718" s="760"/>
      <c r="J15718" s="760"/>
      <c r="K15718" s="760"/>
    </row>
    <row r="15719" spans="1:11">
      <c r="A15719" s="760"/>
      <c r="B15719" s="760"/>
      <c r="C15719" s="760"/>
      <c r="D15719" s="760"/>
      <c r="E15719" s="760"/>
      <c r="F15719" s="760"/>
      <c r="G15719" s="760"/>
      <c r="H15719" s="760"/>
      <c r="I15719" s="760"/>
      <c r="J15719" s="760"/>
      <c r="K15719" s="760"/>
    </row>
    <row r="15720" spans="1:11">
      <c r="A15720" s="760"/>
      <c r="B15720" s="760"/>
      <c r="C15720" s="760"/>
      <c r="D15720" s="760"/>
      <c r="E15720" s="760"/>
      <c r="F15720" s="760"/>
      <c r="G15720" s="760"/>
      <c r="H15720" s="760"/>
      <c r="I15720" s="760"/>
      <c r="J15720" s="760"/>
      <c r="K15720" s="760"/>
    </row>
    <row r="15721" spans="1:11">
      <c r="A15721" s="760"/>
      <c r="B15721" s="760"/>
      <c r="C15721" s="760"/>
      <c r="D15721" s="760"/>
      <c r="E15721" s="760"/>
      <c r="F15721" s="760"/>
      <c r="G15721" s="760"/>
      <c r="H15721" s="760"/>
      <c r="I15721" s="760"/>
      <c r="J15721" s="760"/>
      <c r="K15721" s="760"/>
    </row>
    <row r="15722" spans="1:11">
      <c r="A15722" s="760"/>
      <c r="B15722" s="760"/>
      <c r="C15722" s="760"/>
      <c r="D15722" s="760"/>
      <c r="E15722" s="760"/>
      <c r="F15722" s="760"/>
      <c r="G15722" s="760"/>
      <c r="H15722" s="760"/>
      <c r="I15722" s="760"/>
      <c r="J15722" s="760"/>
      <c r="K15722" s="760"/>
    </row>
    <row r="15723" spans="1:11">
      <c r="A15723" s="760"/>
      <c r="B15723" s="760"/>
      <c r="C15723" s="760"/>
      <c r="D15723" s="760"/>
      <c r="E15723" s="760"/>
      <c r="F15723" s="760"/>
      <c r="G15723" s="760"/>
      <c r="H15723" s="760"/>
      <c r="I15723" s="760"/>
      <c r="J15723" s="760"/>
      <c r="K15723" s="760"/>
    </row>
    <row r="15724" spans="1:11">
      <c r="A15724" s="760"/>
      <c r="B15724" s="760"/>
      <c r="C15724" s="760"/>
      <c r="D15724" s="760"/>
      <c r="E15724" s="760"/>
      <c r="F15724" s="760"/>
      <c r="G15724" s="760"/>
      <c r="H15724" s="760"/>
      <c r="I15724" s="760"/>
      <c r="J15724" s="760"/>
      <c r="K15724" s="760"/>
    </row>
    <row r="15725" spans="1:11">
      <c r="A15725" s="760"/>
      <c r="B15725" s="760"/>
      <c r="C15725" s="760"/>
      <c r="D15725" s="760"/>
      <c r="E15725" s="760"/>
      <c r="F15725" s="760"/>
      <c r="G15725" s="760"/>
      <c r="H15725" s="760"/>
      <c r="I15725" s="760"/>
      <c r="J15725" s="760"/>
      <c r="K15725" s="760"/>
    </row>
    <row r="15726" spans="1:11">
      <c r="A15726" s="760"/>
      <c r="B15726" s="760"/>
      <c r="C15726" s="760"/>
      <c r="D15726" s="760"/>
      <c r="E15726" s="760"/>
      <c r="F15726" s="760"/>
      <c r="G15726" s="760"/>
      <c r="H15726" s="760"/>
      <c r="I15726" s="760"/>
      <c r="J15726" s="760"/>
      <c r="K15726" s="760"/>
    </row>
    <row r="15727" spans="1:11">
      <c r="A15727" s="760"/>
      <c r="B15727" s="760"/>
      <c r="C15727" s="760"/>
      <c r="D15727" s="760"/>
      <c r="E15727" s="760"/>
      <c r="F15727" s="760"/>
      <c r="G15727" s="760"/>
      <c r="H15727" s="760"/>
      <c r="I15727" s="760"/>
      <c r="J15727" s="760"/>
      <c r="K15727" s="760"/>
    </row>
    <row r="15728" spans="1:11">
      <c r="A15728" s="760"/>
      <c r="B15728" s="760"/>
      <c r="C15728" s="760"/>
      <c r="D15728" s="760"/>
      <c r="E15728" s="760"/>
      <c r="F15728" s="760"/>
      <c r="G15728" s="760"/>
      <c r="H15728" s="760"/>
      <c r="I15728" s="760"/>
      <c r="J15728" s="760"/>
      <c r="K15728" s="760"/>
    </row>
    <row r="15729" spans="1:11">
      <c r="A15729" s="760"/>
      <c r="B15729" s="760"/>
      <c r="C15729" s="760"/>
      <c r="D15729" s="760"/>
      <c r="E15729" s="760"/>
      <c r="F15729" s="760"/>
      <c r="G15729" s="760"/>
      <c r="H15729" s="760"/>
      <c r="I15729" s="760"/>
      <c r="J15729" s="760"/>
      <c r="K15729" s="760"/>
    </row>
    <row r="15730" spans="1:11">
      <c r="A15730" s="760"/>
      <c r="B15730" s="760"/>
      <c r="C15730" s="760"/>
      <c r="D15730" s="760"/>
      <c r="E15730" s="760"/>
      <c r="F15730" s="760"/>
      <c r="G15730" s="760"/>
      <c r="H15730" s="760"/>
      <c r="I15730" s="760"/>
      <c r="J15730" s="760"/>
      <c r="K15730" s="760"/>
    </row>
    <row r="15731" spans="1:11">
      <c r="A15731" s="760"/>
      <c r="B15731" s="760"/>
      <c r="C15731" s="760"/>
      <c r="D15731" s="760"/>
      <c r="E15731" s="760"/>
      <c r="F15731" s="760"/>
      <c r="G15731" s="760"/>
      <c r="H15731" s="760"/>
      <c r="I15731" s="760"/>
      <c r="J15731" s="760"/>
      <c r="K15731" s="760"/>
    </row>
    <row r="15732" spans="1:11">
      <c r="A15732" s="760"/>
      <c r="B15732" s="760"/>
      <c r="C15732" s="760"/>
      <c r="D15732" s="760"/>
      <c r="E15732" s="760"/>
      <c r="F15732" s="760"/>
      <c r="G15732" s="760"/>
      <c r="H15732" s="760"/>
      <c r="I15732" s="760"/>
      <c r="J15732" s="760"/>
      <c r="K15732" s="760"/>
    </row>
    <row r="15733" spans="1:11">
      <c r="A15733" s="760"/>
      <c r="B15733" s="760"/>
      <c r="C15733" s="760"/>
      <c r="D15733" s="760"/>
      <c r="E15733" s="760"/>
      <c r="F15733" s="760"/>
      <c r="G15733" s="760"/>
      <c r="H15733" s="760"/>
      <c r="I15733" s="760"/>
      <c r="J15733" s="760"/>
      <c r="K15733" s="760"/>
    </row>
    <row r="15734" spans="1:11">
      <c r="A15734" s="760"/>
      <c r="B15734" s="760"/>
      <c r="C15734" s="760"/>
      <c r="D15734" s="760"/>
      <c r="E15734" s="760"/>
      <c r="F15734" s="760"/>
      <c r="G15734" s="760"/>
      <c r="H15734" s="760"/>
      <c r="I15734" s="760"/>
      <c r="J15734" s="760"/>
      <c r="K15734" s="760"/>
    </row>
    <row r="15735" spans="1:11">
      <c r="A15735" s="760"/>
      <c r="B15735" s="760"/>
      <c r="C15735" s="760"/>
      <c r="D15735" s="760"/>
      <c r="E15735" s="760"/>
      <c r="F15735" s="760"/>
      <c r="G15735" s="760"/>
      <c r="H15735" s="760"/>
      <c r="I15735" s="760"/>
      <c r="J15735" s="760"/>
      <c r="K15735" s="760"/>
    </row>
    <row r="15736" spans="1:11">
      <c r="A15736" s="760"/>
      <c r="B15736" s="760"/>
      <c r="C15736" s="760"/>
      <c r="D15736" s="760"/>
      <c r="E15736" s="760"/>
      <c r="F15736" s="760"/>
      <c r="G15736" s="760"/>
      <c r="H15736" s="760"/>
      <c r="I15736" s="760"/>
      <c r="J15736" s="760"/>
      <c r="K15736" s="760"/>
    </row>
    <row r="15737" spans="1:11">
      <c r="A15737" s="760"/>
      <c r="B15737" s="760"/>
      <c r="C15737" s="760"/>
      <c r="D15737" s="760"/>
      <c r="E15737" s="760"/>
      <c r="F15737" s="760"/>
      <c r="G15737" s="760"/>
      <c r="H15737" s="760"/>
      <c r="I15737" s="760"/>
      <c r="J15737" s="760"/>
      <c r="K15737" s="760"/>
    </row>
    <row r="15738" spans="1:11">
      <c r="A15738" s="760"/>
      <c r="B15738" s="760"/>
      <c r="C15738" s="760"/>
      <c r="D15738" s="760"/>
      <c r="E15738" s="760"/>
      <c r="F15738" s="760"/>
      <c r="G15738" s="760"/>
      <c r="H15738" s="760"/>
      <c r="I15738" s="760"/>
      <c r="J15738" s="760"/>
      <c r="K15738" s="760"/>
    </row>
    <row r="15739" spans="1:11">
      <c r="A15739" s="760"/>
      <c r="B15739" s="760"/>
      <c r="C15739" s="760"/>
      <c r="D15739" s="760"/>
      <c r="E15739" s="760"/>
      <c r="F15739" s="760"/>
      <c r="G15739" s="760"/>
      <c r="H15739" s="760"/>
      <c r="I15739" s="760"/>
      <c r="J15739" s="760"/>
      <c r="K15739" s="760"/>
    </row>
    <row r="15740" spans="1:11">
      <c r="A15740" s="760"/>
      <c r="B15740" s="760"/>
      <c r="C15740" s="760"/>
      <c r="D15740" s="760"/>
      <c r="E15740" s="760"/>
      <c r="F15740" s="760"/>
      <c r="G15740" s="760"/>
      <c r="H15740" s="760"/>
      <c r="I15740" s="760"/>
      <c r="J15740" s="760"/>
      <c r="K15740" s="760"/>
    </row>
    <row r="15741" spans="1:11">
      <c r="A15741" s="760"/>
      <c r="B15741" s="760"/>
      <c r="C15741" s="760"/>
      <c r="D15741" s="760"/>
      <c r="E15741" s="760"/>
      <c r="F15741" s="760"/>
      <c r="G15741" s="760"/>
      <c r="H15741" s="760"/>
      <c r="I15741" s="760"/>
      <c r="J15741" s="760"/>
      <c r="K15741" s="760"/>
    </row>
    <row r="15742" spans="1:11">
      <c r="A15742" s="760"/>
      <c r="B15742" s="760"/>
      <c r="C15742" s="760"/>
      <c r="D15742" s="760"/>
      <c r="E15742" s="760"/>
      <c r="F15742" s="760"/>
      <c r="G15742" s="760"/>
      <c r="H15742" s="760"/>
      <c r="I15742" s="760"/>
      <c r="J15742" s="760"/>
      <c r="K15742" s="760"/>
    </row>
    <row r="15743" spans="1:11">
      <c r="A15743" s="760"/>
      <c r="B15743" s="760"/>
      <c r="C15743" s="760"/>
      <c r="D15743" s="760"/>
      <c r="E15743" s="760"/>
      <c r="F15743" s="760"/>
      <c r="G15743" s="760"/>
      <c r="H15743" s="760"/>
      <c r="I15743" s="760"/>
      <c r="J15743" s="760"/>
      <c r="K15743" s="760"/>
    </row>
    <row r="15744" spans="1:11">
      <c r="A15744" s="760"/>
      <c r="B15744" s="760"/>
      <c r="C15744" s="760"/>
      <c r="D15744" s="760"/>
      <c r="E15744" s="760"/>
      <c r="F15744" s="760"/>
      <c r="G15744" s="760"/>
      <c r="H15744" s="760"/>
      <c r="I15744" s="760"/>
      <c r="J15744" s="760"/>
      <c r="K15744" s="760"/>
    </row>
    <row r="15745" spans="1:11">
      <c r="A15745" s="760"/>
      <c r="B15745" s="760"/>
      <c r="C15745" s="760"/>
      <c r="D15745" s="760"/>
      <c r="E15745" s="760"/>
      <c r="F15745" s="760"/>
      <c r="G15745" s="760"/>
      <c r="H15745" s="760"/>
      <c r="I15745" s="760"/>
      <c r="J15745" s="760"/>
      <c r="K15745" s="760"/>
    </row>
    <row r="15746" spans="1:11">
      <c r="A15746" s="760"/>
      <c r="B15746" s="760"/>
      <c r="C15746" s="760"/>
      <c r="D15746" s="760"/>
      <c r="E15746" s="760"/>
      <c r="F15746" s="760"/>
      <c r="G15746" s="760"/>
      <c r="H15746" s="760"/>
      <c r="I15746" s="760"/>
      <c r="J15746" s="760"/>
      <c r="K15746" s="760"/>
    </row>
    <row r="15747" spans="1:11">
      <c r="A15747" s="760"/>
      <c r="B15747" s="760"/>
      <c r="C15747" s="760"/>
      <c r="D15747" s="760"/>
      <c r="E15747" s="760"/>
      <c r="F15747" s="760"/>
      <c r="G15747" s="760"/>
      <c r="H15747" s="760"/>
      <c r="I15747" s="760"/>
      <c r="J15747" s="760"/>
      <c r="K15747" s="760"/>
    </row>
    <row r="15748" spans="1:11">
      <c r="A15748" s="760"/>
      <c r="B15748" s="760"/>
      <c r="C15748" s="760"/>
      <c r="D15748" s="760"/>
      <c r="E15748" s="760"/>
      <c r="F15748" s="760"/>
      <c r="G15748" s="760"/>
      <c r="H15748" s="760"/>
      <c r="I15748" s="760"/>
      <c r="J15748" s="760"/>
      <c r="K15748" s="760"/>
    </row>
    <row r="15749" spans="1:11">
      <c r="A15749" s="760"/>
      <c r="B15749" s="760"/>
      <c r="C15749" s="760"/>
      <c r="D15749" s="760"/>
      <c r="E15749" s="760"/>
      <c r="F15749" s="760"/>
      <c r="G15749" s="760"/>
      <c r="H15749" s="760"/>
      <c r="I15749" s="760"/>
      <c r="J15749" s="760"/>
      <c r="K15749" s="760"/>
    </row>
    <row r="15750" spans="1:11">
      <c r="A15750" s="760"/>
      <c r="B15750" s="760"/>
      <c r="C15750" s="760"/>
      <c r="D15750" s="760"/>
      <c r="E15750" s="760"/>
      <c r="F15750" s="760"/>
      <c r="G15750" s="760"/>
      <c r="H15750" s="760"/>
      <c r="I15750" s="760"/>
      <c r="J15750" s="760"/>
      <c r="K15750" s="760"/>
    </row>
    <row r="15751" spans="1:11">
      <c r="A15751" s="760"/>
      <c r="B15751" s="760"/>
      <c r="C15751" s="760"/>
      <c r="D15751" s="760"/>
      <c r="E15751" s="760"/>
      <c r="F15751" s="760"/>
      <c r="G15751" s="760"/>
      <c r="H15751" s="760"/>
      <c r="I15751" s="760"/>
      <c r="J15751" s="760"/>
      <c r="K15751" s="760"/>
    </row>
    <row r="15752" spans="1:11">
      <c r="A15752" s="760"/>
      <c r="B15752" s="760"/>
      <c r="C15752" s="760"/>
      <c r="D15752" s="760"/>
      <c r="E15752" s="760"/>
      <c r="F15752" s="760"/>
      <c r="G15752" s="760"/>
      <c r="H15752" s="760"/>
      <c r="I15752" s="760"/>
      <c r="J15752" s="760"/>
      <c r="K15752" s="760"/>
    </row>
    <row r="15753" spans="1:11">
      <c r="A15753" s="760"/>
      <c r="B15753" s="760"/>
      <c r="C15753" s="760"/>
      <c r="D15753" s="760"/>
      <c r="E15753" s="760"/>
      <c r="F15753" s="760"/>
      <c r="G15753" s="760"/>
      <c r="H15753" s="760"/>
      <c r="I15753" s="760"/>
      <c r="J15753" s="760"/>
      <c r="K15753" s="760"/>
    </row>
    <row r="15754" spans="1:11">
      <c r="A15754" s="760"/>
      <c r="B15754" s="760"/>
      <c r="C15754" s="760"/>
      <c r="D15754" s="760"/>
      <c r="E15754" s="760"/>
      <c r="F15754" s="760"/>
      <c r="G15754" s="760"/>
      <c r="H15754" s="760"/>
      <c r="I15754" s="760"/>
      <c r="J15754" s="760"/>
      <c r="K15754" s="760"/>
    </row>
    <row r="15755" spans="1:11">
      <c r="A15755" s="760"/>
      <c r="B15755" s="760"/>
      <c r="C15755" s="760"/>
      <c r="D15755" s="760"/>
      <c r="E15755" s="760"/>
      <c r="F15755" s="760"/>
      <c r="G15755" s="760"/>
      <c r="H15755" s="760"/>
      <c r="I15755" s="760"/>
      <c r="J15755" s="760"/>
      <c r="K15755" s="760"/>
    </row>
    <row r="15756" spans="1:11">
      <c r="A15756" s="760"/>
      <c r="B15756" s="760"/>
      <c r="C15756" s="760"/>
      <c r="D15756" s="760"/>
      <c r="E15756" s="760"/>
      <c r="F15756" s="760"/>
      <c r="G15756" s="760"/>
      <c r="H15756" s="760"/>
      <c r="I15756" s="760"/>
      <c r="J15756" s="760"/>
      <c r="K15756" s="760"/>
    </row>
    <row r="15757" spans="1:11">
      <c r="A15757" s="760"/>
      <c r="B15757" s="760"/>
      <c r="C15757" s="760"/>
      <c r="D15757" s="760"/>
      <c r="E15757" s="760"/>
      <c r="F15757" s="760"/>
      <c r="G15757" s="760"/>
      <c r="H15757" s="760"/>
      <c r="I15757" s="760"/>
      <c r="J15757" s="760"/>
      <c r="K15757" s="760"/>
    </row>
    <row r="15758" spans="1:11">
      <c r="A15758" s="760"/>
      <c r="B15758" s="760"/>
      <c r="C15758" s="760"/>
      <c r="D15758" s="760"/>
      <c r="E15758" s="760"/>
      <c r="F15758" s="760"/>
      <c r="G15758" s="760"/>
      <c r="H15758" s="760"/>
      <c r="I15758" s="760"/>
      <c r="J15758" s="760"/>
      <c r="K15758" s="760"/>
    </row>
    <row r="15759" spans="1:11">
      <c r="A15759" s="760"/>
      <c r="B15759" s="760"/>
      <c r="C15759" s="760"/>
      <c r="D15759" s="760"/>
      <c r="E15759" s="760"/>
      <c r="F15759" s="760"/>
      <c r="G15759" s="760"/>
      <c r="H15759" s="760"/>
      <c r="I15759" s="760"/>
      <c r="J15759" s="760"/>
      <c r="K15759" s="760"/>
    </row>
    <row r="15760" spans="1:11">
      <c r="A15760" s="760"/>
      <c r="B15760" s="760"/>
      <c r="C15760" s="760"/>
      <c r="D15760" s="760"/>
      <c r="E15760" s="760"/>
      <c r="F15760" s="760"/>
      <c r="G15760" s="760"/>
      <c r="H15760" s="760"/>
      <c r="I15760" s="760"/>
      <c r="J15760" s="760"/>
      <c r="K15760" s="760"/>
    </row>
    <row r="15761" spans="1:11">
      <c r="A15761" s="760"/>
      <c r="B15761" s="760"/>
      <c r="C15761" s="760"/>
      <c r="D15761" s="760"/>
      <c r="E15761" s="760"/>
      <c r="F15761" s="760"/>
      <c r="G15761" s="760"/>
      <c r="H15761" s="760"/>
      <c r="I15761" s="760"/>
      <c r="J15761" s="760"/>
      <c r="K15761" s="760"/>
    </row>
    <row r="15762" spans="1:11">
      <c r="A15762" s="760"/>
      <c r="B15762" s="760"/>
      <c r="C15762" s="760"/>
      <c r="D15762" s="760"/>
      <c r="E15762" s="760"/>
      <c r="F15762" s="760"/>
      <c r="G15762" s="760"/>
      <c r="H15762" s="760"/>
      <c r="I15762" s="760"/>
      <c r="J15762" s="760"/>
      <c r="K15762" s="760"/>
    </row>
    <row r="15763" spans="1:11">
      <c r="A15763" s="760"/>
      <c r="B15763" s="760"/>
      <c r="C15763" s="760"/>
      <c r="D15763" s="760"/>
      <c r="E15763" s="760"/>
      <c r="F15763" s="760"/>
      <c r="G15763" s="760"/>
      <c r="H15763" s="760"/>
      <c r="I15763" s="760"/>
      <c r="J15763" s="760"/>
      <c r="K15763" s="760"/>
    </row>
    <row r="15764" spans="1:11">
      <c r="A15764" s="760"/>
      <c r="B15764" s="760"/>
      <c r="C15764" s="760"/>
      <c r="D15764" s="760"/>
      <c r="E15764" s="760"/>
      <c r="F15764" s="760"/>
      <c r="G15764" s="760"/>
      <c r="H15764" s="760"/>
      <c r="I15764" s="760"/>
      <c r="J15764" s="760"/>
      <c r="K15764" s="760"/>
    </row>
    <row r="15765" spans="1:11">
      <c r="A15765" s="760"/>
      <c r="B15765" s="760"/>
      <c r="C15765" s="760"/>
      <c r="D15765" s="760"/>
      <c r="E15765" s="760"/>
      <c r="F15765" s="760"/>
      <c r="G15765" s="760"/>
      <c r="H15765" s="760"/>
      <c r="I15765" s="760"/>
      <c r="J15765" s="760"/>
      <c r="K15765" s="760"/>
    </row>
    <row r="15766" spans="1:11">
      <c r="A15766" s="760"/>
      <c r="B15766" s="760"/>
      <c r="C15766" s="760"/>
      <c r="D15766" s="760"/>
      <c r="E15766" s="760"/>
      <c r="F15766" s="760"/>
      <c r="G15766" s="760"/>
      <c r="H15766" s="760"/>
      <c r="I15766" s="760"/>
      <c r="J15766" s="760"/>
      <c r="K15766" s="760"/>
    </row>
    <row r="15767" spans="1:11">
      <c r="A15767" s="760"/>
      <c r="B15767" s="760"/>
      <c r="C15767" s="760"/>
      <c r="D15767" s="760"/>
      <c r="E15767" s="760"/>
      <c r="F15767" s="760"/>
      <c r="G15767" s="760"/>
      <c r="H15767" s="760"/>
      <c r="I15767" s="760"/>
      <c r="J15767" s="760"/>
      <c r="K15767" s="760"/>
    </row>
    <row r="15768" spans="1:11">
      <c r="A15768" s="760"/>
      <c r="B15768" s="760"/>
      <c r="C15768" s="760"/>
      <c r="D15768" s="760"/>
      <c r="E15768" s="760"/>
      <c r="F15768" s="760"/>
      <c r="G15768" s="760"/>
      <c r="H15768" s="760"/>
      <c r="I15768" s="760"/>
      <c r="J15768" s="760"/>
      <c r="K15768" s="760"/>
    </row>
    <row r="15769" spans="1:11">
      <c r="A15769" s="760"/>
      <c r="B15769" s="760"/>
      <c r="C15769" s="760"/>
      <c r="D15769" s="760"/>
      <c r="E15769" s="760"/>
      <c r="F15769" s="760"/>
      <c r="G15769" s="760"/>
      <c r="H15769" s="760"/>
      <c r="I15769" s="760"/>
      <c r="J15769" s="760"/>
      <c r="K15769" s="760"/>
    </row>
    <row r="15770" spans="1:11">
      <c r="A15770" s="760"/>
      <c r="B15770" s="760"/>
      <c r="C15770" s="760"/>
      <c r="D15770" s="760"/>
      <c r="E15770" s="760"/>
      <c r="F15770" s="760"/>
      <c r="G15770" s="760"/>
      <c r="H15770" s="760"/>
      <c r="I15770" s="760"/>
      <c r="J15770" s="760"/>
      <c r="K15770" s="760"/>
    </row>
    <row r="15771" spans="1:11">
      <c r="A15771" s="760"/>
      <c r="B15771" s="760"/>
      <c r="C15771" s="760"/>
      <c r="D15771" s="760"/>
      <c r="E15771" s="760"/>
      <c r="F15771" s="760"/>
      <c r="G15771" s="760"/>
      <c r="H15771" s="760"/>
      <c r="I15771" s="760"/>
      <c r="J15771" s="760"/>
      <c r="K15771" s="760"/>
    </row>
    <row r="15772" spans="1:11">
      <c r="A15772" s="760"/>
      <c r="B15772" s="760"/>
      <c r="C15772" s="760"/>
      <c r="D15772" s="760"/>
      <c r="E15772" s="760"/>
      <c r="F15772" s="760"/>
      <c r="G15772" s="760"/>
      <c r="H15772" s="760"/>
      <c r="I15772" s="760"/>
      <c r="J15772" s="760"/>
      <c r="K15772" s="760"/>
    </row>
    <row r="15773" spans="1:11">
      <c r="A15773" s="760"/>
      <c r="B15773" s="760"/>
      <c r="C15773" s="760"/>
      <c r="D15773" s="760"/>
      <c r="E15773" s="760"/>
      <c r="F15773" s="760"/>
      <c r="G15773" s="760"/>
      <c r="H15773" s="760"/>
      <c r="I15773" s="760"/>
      <c r="J15773" s="760"/>
      <c r="K15773" s="760"/>
    </row>
    <row r="15774" spans="1:11">
      <c r="A15774" s="760"/>
      <c r="B15774" s="760"/>
      <c r="C15774" s="760"/>
      <c r="D15774" s="760"/>
      <c r="E15774" s="760"/>
      <c r="F15774" s="760"/>
      <c r="G15774" s="760"/>
      <c r="H15774" s="760"/>
      <c r="I15774" s="760"/>
      <c r="J15774" s="760"/>
      <c r="K15774" s="760"/>
    </row>
    <row r="15775" spans="1:11">
      <c r="A15775" s="760"/>
      <c r="B15775" s="760"/>
      <c r="C15775" s="760"/>
      <c r="D15775" s="760"/>
      <c r="E15775" s="760"/>
      <c r="F15775" s="760"/>
      <c r="G15775" s="760"/>
      <c r="H15775" s="760"/>
      <c r="I15775" s="760"/>
      <c r="J15775" s="760"/>
      <c r="K15775" s="760"/>
    </row>
    <row r="15776" spans="1:11">
      <c r="A15776" s="760"/>
      <c r="B15776" s="760"/>
      <c r="C15776" s="760"/>
      <c r="D15776" s="760"/>
      <c r="E15776" s="760"/>
      <c r="F15776" s="760"/>
      <c r="G15776" s="760"/>
      <c r="H15776" s="760"/>
      <c r="I15776" s="760"/>
      <c r="J15776" s="760"/>
      <c r="K15776" s="760"/>
    </row>
    <row r="15777" spans="1:11">
      <c r="A15777" s="760"/>
      <c r="B15777" s="760"/>
      <c r="C15777" s="760"/>
      <c r="D15777" s="760"/>
      <c r="E15777" s="760"/>
      <c r="F15777" s="760"/>
      <c r="G15777" s="760"/>
      <c r="H15777" s="760"/>
      <c r="I15777" s="760"/>
      <c r="J15777" s="760"/>
      <c r="K15777" s="760"/>
    </row>
    <row r="15778" spans="1:11">
      <c r="A15778" s="760"/>
      <c r="B15778" s="760"/>
      <c r="C15778" s="760"/>
      <c r="D15778" s="760"/>
      <c r="E15778" s="760"/>
      <c r="F15778" s="760"/>
      <c r="G15778" s="760"/>
      <c r="H15778" s="760"/>
      <c r="I15778" s="760"/>
      <c r="J15778" s="760"/>
      <c r="K15778" s="760"/>
    </row>
    <row r="15779" spans="1:11">
      <c r="A15779" s="760"/>
      <c r="B15779" s="760"/>
      <c r="C15779" s="760"/>
      <c r="D15779" s="760"/>
      <c r="E15779" s="760"/>
      <c r="F15779" s="760"/>
      <c r="G15779" s="760"/>
      <c r="H15779" s="760"/>
      <c r="I15779" s="760"/>
      <c r="J15779" s="760"/>
      <c r="K15779" s="760"/>
    </row>
    <row r="15780" spans="1:11">
      <c r="A15780" s="760"/>
      <c r="B15780" s="760"/>
      <c r="C15780" s="760"/>
      <c r="D15780" s="760"/>
      <c r="E15780" s="760"/>
      <c r="F15780" s="760"/>
      <c r="G15780" s="760"/>
      <c r="H15780" s="760"/>
      <c r="I15780" s="760"/>
      <c r="J15780" s="760"/>
      <c r="K15780" s="760"/>
    </row>
    <row r="15781" spans="1:11">
      <c r="A15781" s="760"/>
      <c r="B15781" s="760"/>
      <c r="C15781" s="760"/>
      <c r="D15781" s="760"/>
      <c r="E15781" s="760"/>
      <c r="F15781" s="760"/>
      <c r="G15781" s="760"/>
      <c r="H15781" s="760"/>
      <c r="I15781" s="760"/>
      <c r="J15781" s="760"/>
      <c r="K15781" s="760"/>
    </row>
    <row r="15782" spans="1:11">
      <c r="A15782" s="760"/>
      <c r="B15782" s="760"/>
      <c r="C15782" s="760"/>
      <c r="D15782" s="760"/>
      <c r="E15782" s="760"/>
      <c r="F15782" s="760"/>
      <c r="G15782" s="760"/>
      <c r="H15782" s="760"/>
      <c r="I15782" s="760"/>
      <c r="J15782" s="760"/>
      <c r="K15782" s="760"/>
    </row>
    <row r="15783" spans="1:11">
      <c r="A15783" s="760"/>
      <c r="B15783" s="760"/>
      <c r="C15783" s="760"/>
      <c r="D15783" s="760"/>
      <c r="E15783" s="760"/>
      <c r="F15783" s="760"/>
      <c r="G15783" s="760"/>
      <c r="H15783" s="760"/>
      <c r="I15783" s="760"/>
      <c r="J15783" s="760"/>
      <c r="K15783" s="760"/>
    </row>
    <row r="15784" spans="1:11">
      <c r="A15784" s="760"/>
      <c r="B15784" s="760"/>
      <c r="C15784" s="760"/>
      <c r="D15784" s="760"/>
      <c r="E15784" s="760"/>
      <c r="F15784" s="760"/>
      <c r="G15784" s="760"/>
      <c r="H15784" s="760"/>
      <c r="I15784" s="760"/>
      <c r="J15784" s="760"/>
      <c r="K15784" s="760"/>
    </row>
    <row r="15785" spans="1:11">
      <c r="A15785" s="760"/>
      <c r="B15785" s="760"/>
      <c r="C15785" s="760"/>
      <c r="D15785" s="760"/>
      <c r="E15785" s="760"/>
      <c r="F15785" s="760"/>
      <c r="G15785" s="760"/>
      <c r="H15785" s="760"/>
      <c r="I15785" s="760"/>
      <c r="J15785" s="760"/>
      <c r="K15785" s="760"/>
    </row>
    <row r="15786" spans="1:11">
      <c r="A15786" s="760"/>
      <c r="B15786" s="760"/>
      <c r="C15786" s="760"/>
      <c r="D15786" s="760"/>
      <c r="E15786" s="760"/>
      <c r="F15786" s="760"/>
      <c r="G15786" s="760"/>
      <c r="H15786" s="760"/>
      <c r="I15786" s="760"/>
      <c r="J15786" s="760"/>
      <c r="K15786" s="760"/>
    </row>
    <row r="15787" spans="1:11">
      <c r="A15787" s="760"/>
      <c r="B15787" s="760"/>
      <c r="C15787" s="760"/>
      <c r="D15787" s="760"/>
      <c r="E15787" s="760"/>
      <c r="F15787" s="760"/>
      <c r="G15787" s="760"/>
      <c r="H15787" s="760"/>
      <c r="I15787" s="760"/>
      <c r="J15787" s="760"/>
      <c r="K15787" s="760"/>
    </row>
    <row r="15788" spans="1:11">
      <c r="A15788" s="760"/>
      <c r="B15788" s="760"/>
      <c r="C15788" s="760"/>
      <c r="D15788" s="760"/>
      <c r="E15788" s="760"/>
      <c r="F15788" s="760"/>
      <c r="G15788" s="760"/>
      <c r="H15788" s="760"/>
      <c r="I15788" s="760"/>
      <c r="J15788" s="760"/>
      <c r="K15788" s="760"/>
    </row>
    <row r="15789" spans="1:11">
      <c r="A15789" s="760"/>
      <c r="B15789" s="760"/>
      <c r="C15789" s="760"/>
      <c r="D15789" s="760"/>
      <c r="E15789" s="760"/>
      <c r="F15789" s="760"/>
      <c r="G15789" s="760"/>
      <c r="H15789" s="760"/>
      <c r="I15789" s="760"/>
      <c r="J15789" s="760"/>
      <c r="K15789" s="760"/>
    </row>
    <row r="15790" spans="1:11">
      <c r="A15790" s="760"/>
      <c r="B15790" s="760"/>
      <c r="C15790" s="760"/>
      <c r="D15790" s="760"/>
      <c r="E15790" s="760"/>
      <c r="F15790" s="760"/>
      <c r="G15790" s="760"/>
      <c r="H15790" s="760"/>
      <c r="I15790" s="760"/>
      <c r="J15790" s="760"/>
      <c r="K15790" s="760"/>
    </row>
    <row r="15791" spans="1:11">
      <c r="A15791" s="760"/>
      <c r="B15791" s="760"/>
      <c r="C15791" s="760"/>
      <c r="D15791" s="760"/>
      <c r="E15791" s="760"/>
      <c r="F15791" s="760"/>
      <c r="G15791" s="760"/>
      <c r="H15791" s="760"/>
      <c r="I15791" s="760"/>
      <c r="J15791" s="760"/>
      <c r="K15791" s="760"/>
    </row>
    <row r="15792" spans="1:11">
      <c r="A15792" s="760"/>
      <c r="B15792" s="760"/>
      <c r="C15792" s="760"/>
      <c r="D15792" s="760"/>
      <c r="E15792" s="760"/>
      <c r="F15792" s="760"/>
      <c r="G15792" s="760"/>
      <c r="H15792" s="760"/>
      <c r="I15792" s="760"/>
      <c r="J15792" s="760"/>
      <c r="K15792" s="760"/>
    </row>
    <row r="15793" spans="1:11">
      <c r="A15793" s="760"/>
      <c r="B15793" s="760"/>
      <c r="C15793" s="760"/>
      <c r="D15793" s="760"/>
      <c r="E15793" s="760"/>
      <c r="F15793" s="760"/>
      <c r="G15793" s="760"/>
      <c r="H15793" s="760"/>
      <c r="I15793" s="760"/>
      <c r="J15793" s="760"/>
      <c r="K15793" s="760"/>
    </row>
    <row r="15794" spans="1:11">
      <c r="A15794" s="760"/>
      <c r="B15794" s="760"/>
      <c r="C15794" s="760"/>
      <c r="D15794" s="760"/>
      <c r="E15794" s="760"/>
      <c r="F15794" s="760"/>
      <c r="G15794" s="760"/>
      <c r="H15794" s="760"/>
      <c r="I15794" s="760"/>
      <c r="J15794" s="760"/>
      <c r="K15794" s="760"/>
    </row>
    <row r="15795" spans="1:11">
      <c r="A15795" s="760"/>
      <c r="B15795" s="760"/>
      <c r="C15795" s="760"/>
      <c r="D15795" s="760"/>
      <c r="E15795" s="760"/>
      <c r="F15795" s="760"/>
      <c r="G15795" s="760"/>
      <c r="H15795" s="760"/>
      <c r="I15795" s="760"/>
      <c r="J15795" s="760"/>
      <c r="K15795" s="760"/>
    </row>
    <row r="15796" spans="1:11">
      <c r="A15796" s="760"/>
      <c r="B15796" s="760"/>
      <c r="C15796" s="760"/>
      <c r="D15796" s="760"/>
      <c r="E15796" s="760"/>
      <c r="F15796" s="760"/>
      <c r="G15796" s="760"/>
      <c r="H15796" s="760"/>
      <c r="I15796" s="760"/>
      <c r="J15796" s="760"/>
      <c r="K15796" s="760"/>
    </row>
    <row r="15797" spans="1:11">
      <c r="A15797" s="760"/>
      <c r="B15797" s="760"/>
      <c r="C15797" s="760"/>
      <c r="D15797" s="760"/>
      <c r="E15797" s="760"/>
      <c r="F15797" s="760"/>
      <c r="G15797" s="760"/>
      <c r="H15797" s="760"/>
      <c r="I15797" s="760"/>
      <c r="J15797" s="760"/>
      <c r="K15797" s="760"/>
    </row>
    <row r="15798" spans="1:11">
      <c r="A15798" s="760"/>
      <c r="B15798" s="760"/>
      <c r="C15798" s="760"/>
      <c r="D15798" s="760"/>
      <c r="E15798" s="760"/>
      <c r="F15798" s="760"/>
      <c r="G15798" s="760"/>
      <c r="H15798" s="760"/>
      <c r="I15798" s="760"/>
      <c r="J15798" s="760"/>
      <c r="K15798" s="760"/>
    </row>
    <row r="15799" spans="1:11">
      <c r="A15799" s="760"/>
      <c r="B15799" s="760"/>
      <c r="C15799" s="760"/>
      <c r="D15799" s="760"/>
      <c r="E15799" s="760"/>
      <c r="F15799" s="760"/>
      <c r="G15799" s="760"/>
      <c r="H15799" s="760"/>
      <c r="I15799" s="760"/>
      <c r="J15799" s="760"/>
      <c r="K15799" s="760"/>
    </row>
    <row r="15800" spans="1:11">
      <c r="A15800" s="760"/>
      <c r="B15800" s="760"/>
      <c r="C15800" s="760"/>
      <c r="D15800" s="760"/>
      <c r="E15800" s="760"/>
      <c r="F15800" s="760"/>
      <c r="G15800" s="760"/>
      <c r="H15800" s="760"/>
      <c r="I15800" s="760"/>
      <c r="J15800" s="760"/>
      <c r="K15800" s="760"/>
    </row>
    <row r="15801" spans="1:11">
      <c r="A15801" s="760"/>
      <c r="B15801" s="760"/>
      <c r="C15801" s="760"/>
      <c r="D15801" s="760"/>
      <c r="E15801" s="760"/>
      <c r="F15801" s="760"/>
      <c r="G15801" s="760"/>
      <c r="H15801" s="760"/>
      <c r="I15801" s="760"/>
      <c r="J15801" s="760"/>
      <c r="K15801" s="760"/>
    </row>
    <row r="15802" spans="1:11">
      <c r="A15802" s="760"/>
      <c r="B15802" s="760"/>
      <c r="C15802" s="760"/>
      <c r="D15802" s="760"/>
      <c r="E15802" s="760"/>
      <c r="F15802" s="760"/>
      <c r="G15802" s="760"/>
      <c r="H15802" s="760"/>
      <c r="I15802" s="760"/>
      <c r="J15802" s="760"/>
      <c r="K15802" s="760"/>
    </row>
    <row r="15803" spans="1:11">
      <c r="A15803" s="760"/>
      <c r="B15803" s="760"/>
      <c r="C15803" s="760"/>
      <c r="D15803" s="760"/>
      <c r="E15803" s="760"/>
      <c r="F15803" s="760"/>
      <c r="G15803" s="760"/>
      <c r="H15803" s="760"/>
      <c r="I15803" s="760"/>
      <c r="J15803" s="760"/>
      <c r="K15803" s="760"/>
    </row>
    <row r="15804" spans="1:11">
      <c r="A15804" s="760"/>
      <c r="B15804" s="760"/>
      <c r="C15804" s="760"/>
      <c r="D15804" s="760"/>
      <c r="E15804" s="760"/>
      <c r="F15804" s="760"/>
      <c r="G15804" s="760"/>
      <c r="H15804" s="760"/>
      <c r="I15804" s="760"/>
      <c r="J15804" s="760"/>
      <c r="K15804" s="760"/>
    </row>
    <row r="15805" spans="1:11">
      <c r="A15805" s="760"/>
      <c r="B15805" s="760"/>
      <c r="C15805" s="760"/>
      <c r="D15805" s="760"/>
      <c r="E15805" s="760"/>
      <c r="F15805" s="760"/>
      <c r="G15805" s="760"/>
      <c r="H15805" s="760"/>
      <c r="I15805" s="760"/>
      <c r="J15805" s="760"/>
      <c r="K15805" s="760"/>
    </row>
    <row r="15806" spans="1:11">
      <c r="A15806" s="760"/>
      <c r="B15806" s="760"/>
      <c r="C15806" s="760"/>
      <c r="D15806" s="760"/>
      <c r="E15806" s="760"/>
      <c r="F15806" s="760"/>
      <c r="G15806" s="760"/>
      <c r="H15806" s="760"/>
      <c r="I15806" s="760"/>
      <c r="J15806" s="760"/>
      <c r="K15806" s="760"/>
    </row>
    <row r="15807" spans="1:11">
      <c r="A15807" s="760"/>
      <c r="B15807" s="760"/>
      <c r="C15807" s="760"/>
      <c r="D15807" s="760"/>
      <c r="E15807" s="760"/>
      <c r="F15807" s="760"/>
      <c r="G15807" s="760"/>
      <c r="H15807" s="760"/>
      <c r="I15807" s="760"/>
      <c r="J15807" s="760"/>
      <c r="K15807" s="760"/>
    </row>
    <row r="15808" spans="1:11">
      <c r="A15808" s="760"/>
      <c r="B15808" s="760"/>
      <c r="C15808" s="760"/>
      <c r="D15808" s="760"/>
      <c r="E15808" s="760"/>
      <c r="F15808" s="760"/>
      <c r="G15808" s="760"/>
      <c r="H15808" s="760"/>
      <c r="I15808" s="760"/>
      <c r="J15808" s="760"/>
      <c r="K15808" s="760"/>
    </row>
    <row r="15809" spans="1:11">
      <c r="A15809" s="760"/>
      <c r="B15809" s="760"/>
      <c r="C15809" s="760"/>
      <c r="D15809" s="760"/>
      <c r="E15809" s="760"/>
      <c r="F15809" s="760"/>
      <c r="G15809" s="760"/>
      <c r="H15809" s="760"/>
      <c r="I15809" s="760"/>
      <c r="J15809" s="760"/>
      <c r="K15809" s="760"/>
    </row>
    <row r="15810" spans="1:11">
      <c r="A15810" s="760"/>
      <c r="B15810" s="760"/>
      <c r="C15810" s="760"/>
      <c r="D15810" s="760"/>
      <c r="E15810" s="760"/>
      <c r="F15810" s="760"/>
      <c r="G15810" s="760"/>
      <c r="H15810" s="760"/>
      <c r="I15810" s="760"/>
      <c r="J15810" s="760"/>
      <c r="K15810" s="760"/>
    </row>
    <row r="15811" spans="1:11">
      <c r="A15811" s="760"/>
      <c r="B15811" s="760"/>
      <c r="C15811" s="760"/>
      <c r="D15811" s="760"/>
      <c r="E15811" s="760"/>
      <c r="F15811" s="760"/>
      <c r="G15811" s="760"/>
      <c r="H15811" s="760"/>
      <c r="I15811" s="760"/>
      <c r="J15811" s="760"/>
      <c r="K15811" s="760"/>
    </row>
    <row r="15812" spans="1:11">
      <c r="A15812" s="760"/>
      <c r="B15812" s="760"/>
      <c r="C15812" s="760"/>
      <c r="D15812" s="760"/>
      <c r="E15812" s="760"/>
      <c r="F15812" s="760"/>
      <c r="G15812" s="760"/>
      <c r="H15812" s="760"/>
      <c r="I15812" s="760"/>
      <c r="J15812" s="760"/>
      <c r="K15812" s="760"/>
    </row>
    <row r="15813" spans="1:11">
      <c r="A15813" s="760"/>
      <c r="B15813" s="760"/>
      <c r="C15813" s="760"/>
      <c r="D15813" s="760"/>
      <c r="E15813" s="760"/>
      <c r="F15813" s="760"/>
      <c r="G15813" s="760"/>
      <c r="H15813" s="760"/>
      <c r="I15813" s="760"/>
      <c r="J15813" s="760"/>
      <c r="K15813" s="760"/>
    </row>
    <row r="15814" spans="1:11">
      <c r="A15814" s="760"/>
      <c r="B15814" s="760"/>
      <c r="C15814" s="760"/>
      <c r="D15814" s="760"/>
      <c r="E15814" s="760"/>
      <c r="F15814" s="760"/>
      <c r="G15814" s="760"/>
      <c r="H15814" s="760"/>
      <c r="I15814" s="760"/>
      <c r="J15814" s="760"/>
      <c r="K15814" s="760"/>
    </row>
    <row r="15815" spans="1:11">
      <c r="A15815" s="760"/>
      <c r="B15815" s="760"/>
      <c r="C15815" s="760"/>
      <c r="D15815" s="760"/>
      <c r="E15815" s="760"/>
      <c r="F15815" s="760"/>
      <c r="G15815" s="760"/>
      <c r="H15815" s="760"/>
      <c r="I15815" s="760"/>
      <c r="J15815" s="760"/>
      <c r="K15815" s="760"/>
    </row>
    <row r="15816" spans="1:11">
      <c r="A15816" s="760"/>
      <c r="B15816" s="760"/>
      <c r="C15816" s="760"/>
      <c r="D15816" s="760"/>
      <c r="E15816" s="760"/>
      <c r="F15816" s="760"/>
      <c r="G15816" s="760"/>
      <c r="H15816" s="760"/>
      <c r="I15816" s="760"/>
      <c r="J15816" s="760"/>
      <c r="K15816" s="760"/>
    </row>
    <row r="15817" spans="1:11">
      <c r="A15817" s="760"/>
      <c r="B15817" s="760"/>
      <c r="C15817" s="760"/>
      <c r="D15817" s="760"/>
      <c r="E15817" s="760"/>
      <c r="F15817" s="760"/>
      <c r="G15817" s="760"/>
      <c r="H15817" s="760"/>
      <c r="I15817" s="760"/>
      <c r="J15817" s="760"/>
      <c r="K15817" s="760"/>
    </row>
    <row r="15818" spans="1:11">
      <c r="A15818" s="760"/>
      <c r="B15818" s="760"/>
      <c r="C15818" s="760"/>
      <c r="D15818" s="760"/>
      <c r="E15818" s="760"/>
      <c r="F15818" s="760"/>
      <c r="G15818" s="760"/>
      <c r="H15818" s="760"/>
      <c r="I15818" s="760"/>
      <c r="J15818" s="760"/>
      <c r="K15818" s="760"/>
    </row>
    <row r="15819" spans="1:11">
      <c r="A15819" s="760"/>
      <c r="B15819" s="760"/>
      <c r="C15819" s="760"/>
      <c r="D15819" s="760"/>
      <c r="E15819" s="760"/>
      <c r="F15819" s="760"/>
      <c r="G15819" s="760"/>
      <c r="H15819" s="760"/>
      <c r="I15819" s="760"/>
      <c r="J15819" s="760"/>
      <c r="K15819" s="760"/>
    </row>
    <row r="15820" spans="1:11">
      <c r="A15820" s="760"/>
      <c r="B15820" s="760"/>
      <c r="C15820" s="760"/>
      <c r="D15820" s="760"/>
      <c r="E15820" s="760"/>
      <c r="F15820" s="760"/>
      <c r="G15820" s="760"/>
      <c r="H15820" s="760"/>
      <c r="I15820" s="760"/>
      <c r="J15820" s="760"/>
      <c r="K15820" s="760"/>
    </row>
    <row r="15821" spans="1:11">
      <c r="A15821" s="760"/>
      <c r="B15821" s="760"/>
      <c r="C15821" s="760"/>
      <c r="D15821" s="760"/>
      <c r="E15821" s="760"/>
      <c r="F15821" s="760"/>
      <c r="G15821" s="760"/>
      <c r="H15821" s="760"/>
      <c r="I15821" s="760"/>
      <c r="J15821" s="760"/>
      <c r="K15821" s="760"/>
    </row>
    <row r="15822" spans="1:11">
      <c r="A15822" s="760"/>
      <c r="B15822" s="760"/>
      <c r="C15822" s="760"/>
      <c r="D15822" s="760"/>
      <c r="E15822" s="760"/>
      <c r="F15822" s="760"/>
      <c r="G15822" s="760"/>
      <c r="H15822" s="760"/>
      <c r="I15822" s="760"/>
      <c r="J15822" s="760"/>
      <c r="K15822" s="760"/>
    </row>
    <row r="15823" spans="1:11">
      <c r="A15823" s="760"/>
      <c r="B15823" s="760"/>
      <c r="C15823" s="760"/>
      <c r="D15823" s="760"/>
      <c r="E15823" s="760"/>
      <c r="F15823" s="760"/>
      <c r="G15823" s="760"/>
      <c r="H15823" s="760"/>
      <c r="I15823" s="760"/>
      <c r="J15823" s="760"/>
      <c r="K15823" s="760"/>
    </row>
    <row r="15824" spans="1:11">
      <c r="A15824" s="760"/>
      <c r="B15824" s="760"/>
      <c r="C15824" s="760"/>
      <c r="D15824" s="760"/>
      <c r="E15824" s="760"/>
      <c r="F15824" s="760"/>
      <c r="G15824" s="760"/>
      <c r="H15824" s="760"/>
      <c r="I15824" s="760"/>
      <c r="J15824" s="760"/>
      <c r="K15824" s="760"/>
    </row>
    <row r="15825" spans="1:11">
      <c r="A15825" s="760"/>
      <c r="B15825" s="760"/>
      <c r="C15825" s="760"/>
      <c r="D15825" s="760"/>
      <c r="E15825" s="760"/>
      <c r="F15825" s="760"/>
      <c r="G15825" s="760"/>
      <c r="H15825" s="760"/>
      <c r="I15825" s="760"/>
      <c r="J15825" s="760"/>
      <c r="K15825" s="760"/>
    </row>
    <row r="15826" spans="1:11">
      <c r="A15826" s="760"/>
      <c r="B15826" s="760"/>
      <c r="C15826" s="760"/>
      <c r="D15826" s="760"/>
      <c r="E15826" s="760"/>
      <c r="F15826" s="760"/>
      <c r="G15826" s="760"/>
      <c r="H15826" s="760"/>
      <c r="I15826" s="760"/>
      <c r="J15826" s="760"/>
      <c r="K15826" s="760"/>
    </row>
    <row r="15827" spans="1:11">
      <c r="A15827" s="760"/>
      <c r="B15827" s="760"/>
      <c r="C15827" s="760"/>
      <c r="D15827" s="760"/>
      <c r="E15827" s="760"/>
      <c r="F15827" s="760"/>
      <c r="G15827" s="760"/>
      <c r="H15827" s="760"/>
      <c r="I15827" s="760"/>
      <c r="J15827" s="760"/>
      <c r="K15827" s="760"/>
    </row>
    <row r="15828" spans="1:11">
      <c r="A15828" s="760"/>
      <c r="B15828" s="760"/>
      <c r="C15828" s="760"/>
      <c r="D15828" s="760"/>
      <c r="E15828" s="760"/>
      <c r="F15828" s="760"/>
      <c r="G15828" s="760"/>
      <c r="H15828" s="760"/>
      <c r="I15828" s="760"/>
      <c r="J15828" s="760"/>
      <c r="K15828" s="760"/>
    </row>
    <row r="15829" spans="1:11">
      <c r="A15829" s="760"/>
      <c r="B15829" s="760"/>
      <c r="C15829" s="760"/>
      <c r="D15829" s="760"/>
      <c r="E15829" s="760"/>
      <c r="F15829" s="760"/>
      <c r="G15829" s="760"/>
      <c r="H15829" s="760"/>
      <c r="I15829" s="760"/>
      <c r="J15829" s="760"/>
      <c r="K15829" s="760"/>
    </row>
    <row r="15830" spans="1:11">
      <c r="A15830" s="760"/>
      <c r="B15830" s="760"/>
      <c r="C15830" s="760"/>
      <c r="D15830" s="760"/>
      <c r="E15830" s="760"/>
      <c r="F15830" s="760"/>
      <c r="G15830" s="760"/>
      <c r="H15830" s="760"/>
      <c r="I15830" s="760"/>
      <c r="J15830" s="760"/>
      <c r="K15830" s="760"/>
    </row>
    <row r="15831" spans="1:11">
      <c r="A15831" s="760"/>
      <c r="B15831" s="760"/>
      <c r="C15831" s="760"/>
      <c r="D15831" s="760"/>
      <c r="E15831" s="760"/>
      <c r="F15831" s="760"/>
      <c r="G15831" s="760"/>
      <c r="H15831" s="760"/>
      <c r="I15831" s="760"/>
      <c r="J15831" s="760"/>
      <c r="K15831" s="760"/>
    </row>
    <row r="15832" spans="1:11">
      <c r="A15832" s="760"/>
      <c r="B15832" s="760"/>
      <c r="C15832" s="760"/>
      <c r="D15832" s="760"/>
      <c r="E15832" s="760"/>
      <c r="F15832" s="760"/>
      <c r="G15832" s="760"/>
      <c r="H15832" s="760"/>
      <c r="I15832" s="760"/>
      <c r="J15832" s="760"/>
      <c r="K15832" s="760"/>
    </row>
    <row r="15833" spans="1:11">
      <c r="A15833" s="760"/>
      <c r="B15833" s="760"/>
      <c r="C15833" s="760"/>
      <c r="D15833" s="760"/>
      <c r="E15833" s="760"/>
      <c r="F15833" s="760"/>
      <c r="G15833" s="760"/>
      <c r="H15833" s="760"/>
      <c r="I15833" s="760"/>
      <c r="J15833" s="760"/>
      <c r="K15833" s="760"/>
    </row>
    <row r="15834" spans="1:11">
      <c r="A15834" s="760"/>
      <c r="B15834" s="760"/>
      <c r="C15834" s="760"/>
      <c r="D15834" s="760"/>
      <c r="E15834" s="760"/>
      <c r="F15834" s="760"/>
      <c r="G15834" s="760"/>
      <c r="H15834" s="760"/>
      <c r="I15834" s="760"/>
      <c r="J15834" s="760"/>
      <c r="K15834" s="760"/>
    </row>
    <row r="15835" spans="1:11">
      <c r="A15835" s="760"/>
      <c r="B15835" s="760"/>
      <c r="C15835" s="760"/>
      <c r="D15835" s="760"/>
      <c r="E15835" s="760"/>
      <c r="F15835" s="760"/>
      <c r="G15835" s="760"/>
      <c r="H15835" s="760"/>
      <c r="I15835" s="760"/>
      <c r="J15835" s="760"/>
      <c r="K15835" s="760"/>
    </row>
    <row r="15836" spans="1:11">
      <c r="A15836" s="760"/>
      <c r="B15836" s="760"/>
      <c r="C15836" s="760"/>
      <c r="D15836" s="760"/>
      <c r="E15836" s="760"/>
      <c r="F15836" s="760"/>
      <c r="G15836" s="760"/>
      <c r="H15836" s="760"/>
      <c r="I15836" s="760"/>
      <c r="J15836" s="760"/>
      <c r="K15836" s="760"/>
    </row>
    <row r="15837" spans="1:11">
      <c r="A15837" s="760"/>
      <c r="B15837" s="760"/>
      <c r="C15837" s="760"/>
      <c r="D15837" s="760"/>
      <c r="E15837" s="760"/>
      <c r="F15837" s="760"/>
      <c r="G15837" s="760"/>
      <c r="H15837" s="760"/>
      <c r="I15837" s="760"/>
      <c r="J15837" s="760"/>
      <c r="K15837" s="760"/>
    </row>
    <row r="15838" spans="1:11">
      <c r="A15838" s="760"/>
      <c r="B15838" s="760"/>
      <c r="C15838" s="760"/>
      <c r="D15838" s="760"/>
      <c r="E15838" s="760"/>
      <c r="F15838" s="760"/>
      <c r="G15838" s="760"/>
      <c r="H15838" s="760"/>
      <c r="I15838" s="760"/>
      <c r="J15838" s="760"/>
      <c r="K15838" s="760"/>
    </row>
    <row r="15839" spans="1:11">
      <c r="A15839" s="760"/>
      <c r="B15839" s="760"/>
      <c r="C15839" s="760"/>
      <c r="D15839" s="760"/>
      <c r="E15839" s="760"/>
      <c r="F15839" s="760"/>
      <c r="G15839" s="760"/>
      <c r="H15839" s="760"/>
      <c r="I15839" s="760"/>
      <c r="J15839" s="760"/>
      <c r="K15839" s="760"/>
    </row>
    <row r="15840" spans="1:11">
      <c r="A15840" s="760"/>
      <c r="B15840" s="760"/>
      <c r="C15840" s="760"/>
      <c r="D15840" s="760"/>
      <c r="E15840" s="760"/>
      <c r="F15840" s="760"/>
      <c r="G15840" s="760"/>
      <c r="H15840" s="760"/>
      <c r="I15840" s="760"/>
      <c r="J15840" s="760"/>
      <c r="K15840" s="760"/>
    </row>
    <row r="15841" spans="1:11">
      <c r="A15841" s="760"/>
      <c r="B15841" s="760"/>
      <c r="C15841" s="760"/>
      <c r="D15841" s="760"/>
      <c r="E15841" s="760"/>
      <c r="F15841" s="760"/>
      <c r="G15841" s="760"/>
      <c r="H15841" s="760"/>
      <c r="I15841" s="760"/>
      <c r="J15841" s="760"/>
      <c r="K15841" s="760"/>
    </row>
    <row r="15842" spans="1:11">
      <c r="A15842" s="760"/>
      <c r="B15842" s="760"/>
      <c r="C15842" s="760"/>
      <c r="D15842" s="760"/>
      <c r="E15842" s="760"/>
      <c r="F15842" s="760"/>
      <c r="G15842" s="760"/>
      <c r="H15842" s="760"/>
      <c r="I15842" s="760"/>
      <c r="J15842" s="760"/>
      <c r="K15842" s="760"/>
    </row>
    <row r="15843" spans="1:11">
      <c r="A15843" s="760"/>
      <c r="B15843" s="760"/>
      <c r="C15843" s="760"/>
      <c r="D15843" s="760"/>
      <c r="E15843" s="760"/>
      <c r="F15843" s="760"/>
      <c r="G15843" s="760"/>
      <c r="H15843" s="760"/>
      <c r="I15843" s="760"/>
      <c r="J15843" s="760"/>
      <c r="K15843" s="760"/>
    </row>
    <row r="15844" spans="1:11">
      <c r="A15844" s="760"/>
      <c r="B15844" s="760"/>
      <c r="C15844" s="760"/>
      <c r="D15844" s="760"/>
      <c r="E15844" s="760"/>
      <c r="F15844" s="760"/>
      <c r="G15844" s="760"/>
      <c r="H15844" s="760"/>
      <c r="I15844" s="760"/>
      <c r="J15844" s="760"/>
      <c r="K15844" s="760"/>
    </row>
    <row r="15845" spans="1:11">
      <c r="A15845" s="760"/>
      <c r="B15845" s="760"/>
      <c r="C15845" s="760"/>
      <c r="D15845" s="760"/>
      <c r="E15845" s="760"/>
      <c r="F15845" s="760"/>
      <c r="G15845" s="760"/>
      <c r="H15845" s="760"/>
      <c r="I15845" s="760"/>
      <c r="J15845" s="760"/>
      <c r="K15845" s="760"/>
    </row>
    <row r="15846" spans="1:11">
      <c r="A15846" s="760"/>
      <c r="B15846" s="760"/>
      <c r="C15846" s="760"/>
      <c r="D15846" s="760"/>
      <c r="E15846" s="760"/>
      <c r="F15846" s="760"/>
      <c r="G15846" s="760"/>
      <c r="H15846" s="760"/>
      <c r="I15846" s="760"/>
      <c r="J15846" s="760"/>
      <c r="K15846" s="760"/>
    </row>
    <row r="15847" spans="1:11">
      <c r="A15847" s="760"/>
      <c r="B15847" s="760"/>
      <c r="C15847" s="760"/>
      <c r="D15847" s="760"/>
      <c r="E15847" s="760"/>
      <c r="F15847" s="760"/>
      <c r="G15847" s="760"/>
      <c r="H15847" s="760"/>
      <c r="I15847" s="760"/>
      <c r="J15847" s="760"/>
      <c r="K15847" s="760"/>
    </row>
    <row r="15848" spans="1:11">
      <c r="A15848" s="760"/>
      <c r="B15848" s="760"/>
      <c r="C15848" s="760"/>
      <c r="D15848" s="760"/>
      <c r="E15848" s="760"/>
      <c r="F15848" s="760"/>
      <c r="G15848" s="760"/>
      <c r="H15848" s="760"/>
      <c r="I15848" s="760"/>
      <c r="J15848" s="760"/>
      <c r="K15848" s="760"/>
    </row>
    <row r="15849" spans="1:11">
      <c r="A15849" s="760"/>
      <c r="B15849" s="760"/>
      <c r="C15849" s="760"/>
      <c r="D15849" s="760"/>
      <c r="E15849" s="760"/>
      <c r="F15849" s="760"/>
      <c r="G15849" s="760"/>
      <c r="H15849" s="760"/>
      <c r="I15849" s="760"/>
      <c r="J15849" s="760"/>
      <c r="K15849" s="760"/>
    </row>
    <row r="15850" spans="1:11">
      <c r="A15850" s="760"/>
      <c r="B15850" s="760"/>
      <c r="C15850" s="760"/>
      <c r="D15850" s="760"/>
      <c r="E15850" s="760"/>
      <c r="F15850" s="760"/>
      <c r="G15850" s="760"/>
      <c r="H15850" s="760"/>
      <c r="I15850" s="760"/>
      <c r="J15850" s="760"/>
      <c r="K15850" s="760"/>
    </row>
    <row r="15851" spans="1:11">
      <c r="A15851" s="760"/>
      <c r="B15851" s="760"/>
      <c r="C15851" s="760"/>
      <c r="D15851" s="760"/>
      <c r="E15851" s="760"/>
      <c r="F15851" s="760"/>
      <c r="G15851" s="760"/>
      <c r="H15851" s="760"/>
      <c r="I15851" s="760"/>
      <c r="J15851" s="760"/>
      <c r="K15851" s="760"/>
    </row>
    <row r="15852" spans="1:11">
      <c r="A15852" s="760"/>
      <c r="B15852" s="760"/>
      <c r="C15852" s="760"/>
      <c r="D15852" s="760"/>
      <c r="E15852" s="760"/>
      <c r="F15852" s="760"/>
      <c r="G15852" s="760"/>
      <c r="H15852" s="760"/>
      <c r="I15852" s="760"/>
      <c r="J15852" s="760"/>
      <c r="K15852" s="760"/>
    </row>
    <row r="15853" spans="1:11">
      <c r="A15853" s="760"/>
      <c r="B15853" s="760"/>
      <c r="C15853" s="760"/>
      <c r="D15853" s="760"/>
      <c r="E15853" s="760"/>
      <c r="F15853" s="760"/>
      <c r="G15853" s="760"/>
      <c r="H15853" s="760"/>
      <c r="I15853" s="760"/>
      <c r="J15853" s="760"/>
      <c r="K15853" s="760"/>
    </row>
    <row r="15854" spans="1:11">
      <c r="A15854" s="760"/>
      <c r="B15854" s="760"/>
      <c r="C15854" s="760"/>
      <c r="D15854" s="760"/>
      <c r="E15854" s="760"/>
      <c r="F15854" s="760"/>
      <c r="G15854" s="760"/>
      <c r="H15854" s="760"/>
      <c r="I15854" s="760"/>
      <c r="J15854" s="760"/>
      <c r="K15854" s="760"/>
    </row>
    <row r="15855" spans="1:11">
      <c r="A15855" s="760"/>
      <c r="B15855" s="760"/>
      <c r="C15855" s="760"/>
      <c r="D15855" s="760"/>
      <c r="E15855" s="760"/>
      <c r="F15855" s="760"/>
      <c r="G15855" s="760"/>
      <c r="H15855" s="760"/>
      <c r="I15855" s="760"/>
      <c r="J15855" s="760"/>
      <c r="K15855" s="760"/>
    </row>
    <row r="15856" spans="1:11">
      <c r="A15856" s="760"/>
      <c r="B15856" s="760"/>
      <c r="C15856" s="760"/>
      <c r="D15856" s="760"/>
      <c r="E15856" s="760"/>
      <c r="F15856" s="760"/>
      <c r="G15856" s="760"/>
      <c r="H15856" s="760"/>
      <c r="I15856" s="760"/>
      <c r="J15856" s="760"/>
      <c r="K15856" s="760"/>
    </row>
    <row r="15857" spans="1:11">
      <c r="A15857" s="760"/>
      <c r="B15857" s="760"/>
      <c r="C15857" s="760"/>
      <c r="D15857" s="760"/>
      <c r="E15857" s="760"/>
      <c r="F15857" s="760"/>
      <c r="G15857" s="760"/>
      <c r="H15857" s="760"/>
      <c r="I15857" s="760"/>
      <c r="J15857" s="760"/>
      <c r="K15857" s="760"/>
    </row>
    <row r="15858" spans="1:11">
      <c r="A15858" s="760"/>
      <c r="B15858" s="760"/>
      <c r="C15858" s="760"/>
      <c r="D15858" s="760"/>
      <c r="E15858" s="760"/>
      <c r="F15858" s="760"/>
      <c r="G15858" s="760"/>
      <c r="H15858" s="760"/>
      <c r="I15858" s="760"/>
      <c r="J15858" s="760"/>
      <c r="K15858" s="760"/>
    </row>
    <row r="15859" spans="1:11">
      <c r="A15859" s="760"/>
      <c r="B15859" s="760"/>
      <c r="C15859" s="760"/>
      <c r="D15859" s="760"/>
      <c r="E15859" s="760"/>
      <c r="F15859" s="760"/>
      <c r="G15859" s="760"/>
      <c r="H15859" s="760"/>
      <c r="I15859" s="760"/>
      <c r="J15859" s="760"/>
      <c r="K15859" s="760"/>
    </row>
    <row r="15860" spans="1:11">
      <c r="A15860" s="760"/>
      <c r="B15860" s="760"/>
      <c r="C15860" s="760"/>
      <c r="D15860" s="760"/>
      <c r="E15860" s="760"/>
      <c r="F15860" s="760"/>
      <c r="G15860" s="760"/>
      <c r="H15860" s="760"/>
      <c r="I15860" s="760"/>
      <c r="J15860" s="760"/>
      <c r="K15860" s="760"/>
    </row>
    <row r="15861" spans="1:11">
      <c r="A15861" s="760"/>
      <c r="B15861" s="760"/>
      <c r="C15861" s="760"/>
      <c r="D15861" s="760"/>
      <c r="E15861" s="760"/>
      <c r="F15861" s="760"/>
      <c r="G15861" s="760"/>
      <c r="H15861" s="760"/>
      <c r="I15861" s="760"/>
      <c r="J15861" s="760"/>
      <c r="K15861" s="760"/>
    </row>
    <row r="15862" spans="1:11">
      <c r="A15862" s="760"/>
      <c r="B15862" s="760"/>
      <c r="C15862" s="760"/>
      <c r="D15862" s="760"/>
      <c r="E15862" s="760"/>
      <c r="F15862" s="760"/>
      <c r="G15862" s="760"/>
      <c r="H15862" s="760"/>
      <c r="I15862" s="760"/>
      <c r="J15862" s="760"/>
      <c r="K15862" s="760"/>
    </row>
    <row r="15863" spans="1:11">
      <c r="A15863" s="760"/>
      <c r="B15863" s="760"/>
      <c r="C15863" s="760"/>
      <c r="D15863" s="760"/>
      <c r="E15863" s="760"/>
      <c r="F15863" s="760"/>
      <c r="G15863" s="760"/>
      <c r="H15863" s="760"/>
      <c r="I15863" s="760"/>
      <c r="J15863" s="760"/>
      <c r="K15863" s="760"/>
    </row>
    <row r="15864" spans="1:11">
      <c r="A15864" s="760"/>
      <c r="B15864" s="760"/>
      <c r="C15864" s="760"/>
      <c r="D15864" s="760"/>
      <c r="E15864" s="760"/>
      <c r="F15864" s="760"/>
      <c r="G15864" s="760"/>
      <c r="H15864" s="760"/>
      <c r="I15864" s="760"/>
      <c r="J15864" s="760"/>
      <c r="K15864" s="760"/>
    </row>
    <row r="15865" spans="1:11">
      <c r="A15865" s="760"/>
      <c r="B15865" s="760"/>
      <c r="C15865" s="760"/>
      <c r="D15865" s="760"/>
      <c r="E15865" s="760"/>
      <c r="F15865" s="760"/>
      <c r="G15865" s="760"/>
      <c r="H15865" s="760"/>
      <c r="I15865" s="760"/>
      <c r="J15865" s="760"/>
      <c r="K15865" s="760"/>
    </row>
    <row r="15866" spans="1:11">
      <c r="A15866" s="760"/>
      <c r="B15866" s="760"/>
      <c r="C15866" s="760"/>
      <c r="D15866" s="760"/>
      <c r="E15866" s="760"/>
      <c r="F15866" s="760"/>
      <c r="G15866" s="760"/>
      <c r="H15866" s="760"/>
      <c r="I15866" s="760"/>
      <c r="J15866" s="760"/>
      <c r="K15866" s="760"/>
    </row>
    <row r="15867" spans="1:11">
      <c r="A15867" s="760"/>
      <c r="B15867" s="760"/>
      <c r="C15867" s="760"/>
      <c r="D15867" s="760"/>
      <c r="E15867" s="760"/>
      <c r="F15867" s="760"/>
      <c r="G15867" s="760"/>
      <c r="H15867" s="760"/>
      <c r="I15867" s="760"/>
      <c r="J15867" s="760"/>
      <c r="K15867" s="760"/>
    </row>
    <row r="15868" spans="1:11">
      <c r="A15868" s="760"/>
      <c r="B15868" s="760"/>
      <c r="C15868" s="760"/>
      <c r="D15868" s="760"/>
      <c r="E15868" s="760"/>
      <c r="F15868" s="760"/>
      <c r="G15868" s="760"/>
      <c r="H15868" s="760"/>
      <c r="I15868" s="760"/>
      <c r="J15868" s="760"/>
      <c r="K15868" s="760"/>
    </row>
    <row r="15869" spans="1:11">
      <c r="A15869" s="760"/>
      <c r="B15869" s="760"/>
      <c r="C15869" s="760"/>
      <c r="D15869" s="760"/>
      <c r="E15869" s="760"/>
      <c r="F15869" s="760"/>
      <c r="G15869" s="760"/>
      <c r="H15869" s="760"/>
      <c r="I15869" s="760"/>
      <c r="J15869" s="760"/>
      <c r="K15869" s="760"/>
    </row>
    <row r="15870" spans="1:11">
      <c r="A15870" s="760"/>
      <c r="B15870" s="760"/>
      <c r="C15870" s="760"/>
      <c r="D15870" s="760"/>
      <c r="E15870" s="760"/>
      <c r="F15870" s="760"/>
      <c r="G15870" s="760"/>
      <c r="H15870" s="760"/>
      <c r="I15870" s="760"/>
      <c r="J15870" s="760"/>
      <c r="K15870" s="760"/>
    </row>
    <row r="15871" spans="1:11">
      <c r="A15871" s="760"/>
      <c r="B15871" s="760"/>
      <c r="C15871" s="760"/>
      <c r="D15871" s="760"/>
      <c r="E15871" s="760"/>
      <c r="F15871" s="760"/>
      <c r="G15871" s="760"/>
      <c r="H15871" s="760"/>
      <c r="I15871" s="760"/>
      <c r="J15871" s="760"/>
      <c r="K15871" s="760"/>
    </row>
    <row r="15872" spans="1:11">
      <c r="A15872" s="760"/>
      <c r="B15872" s="760"/>
      <c r="C15872" s="760"/>
      <c r="D15872" s="760"/>
      <c r="E15872" s="760"/>
      <c r="F15872" s="760"/>
      <c r="G15872" s="760"/>
      <c r="H15872" s="760"/>
      <c r="I15872" s="760"/>
      <c r="J15872" s="760"/>
      <c r="K15872" s="760"/>
    </row>
    <row r="15873" spans="1:11">
      <c r="A15873" s="760"/>
      <c r="B15873" s="760"/>
      <c r="C15873" s="760"/>
      <c r="D15873" s="760"/>
      <c r="E15873" s="760"/>
      <c r="F15873" s="760"/>
      <c r="G15873" s="760"/>
      <c r="H15873" s="760"/>
      <c r="I15873" s="760"/>
      <c r="J15873" s="760"/>
      <c r="K15873" s="760"/>
    </row>
    <row r="15874" spans="1:11">
      <c r="A15874" s="760"/>
      <c r="B15874" s="760"/>
      <c r="C15874" s="760"/>
      <c r="D15874" s="760"/>
      <c r="E15874" s="760"/>
      <c r="F15874" s="760"/>
      <c r="G15874" s="760"/>
      <c r="H15874" s="760"/>
      <c r="I15874" s="760"/>
      <c r="J15874" s="760"/>
      <c r="K15874" s="760"/>
    </row>
    <row r="15875" spans="1:11">
      <c r="A15875" s="760"/>
      <c r="B15875" s="760"/>
      <c r="C15875" s="760"/>
      <c r="D15875" s="760"/>
      <c r="E15875" s="760"/>
      <c r="F15875" s="760"/>
      <c r="G15875" s="760"/>
      <c r="H15875" s="760"/>
      <c r="I15875" s="760"/>
      <c r="J15875" s="760"/>
      <c r="K15875" s="760"/>
    </row>
    <row r="15876" spans="1:11">
      <c r="A15876" s="760"/>
      <c r="B15876" s="760"/>
      <c r="C15876" s="760"/>
      <c r="D15876" s="760"/>
      <c r="E15876" s="760"/>
      <c r="F15876" s="760"/>
      <c r="G15876" s="760"/>
      <c r="H15876" s="760"/>
      <c r="I15876" s="760"/>
      <c r="J15876" s="760"/>
      <c r="K15876" s="760"/>
    </row>
    <row r="15877" spans="1:11">
      <c r="A15877" s="760"/>
      <c r="B15877" s="760"/>
      <c r="C15877" s="760"/>
      <c r="D15877" s="760"/>
      <c r="E15877" s="760"/>
      <c r="F15877" s="760"/>
      <c r="G15877" s="760"/>
      <c r="H15877" s="760"/>
      <c r="I15877" s="760"/>
      <c r="J15877" s="760"/>
      <c r="K15877" s="760"/>
    </row>
    <row r="15878" spans="1:11">
      <c r="A15878" s="760"/>
      <c r="B15878" s="760"/>
      <c r="C15878" s="760"/>
      <c r="D15878" s="760"/>
      <c r="E15878" s="760"/>
      <c r="F15878" s="760"/>
      <c r="G15878" s="760"/>
      <c r="H15878" s="760"/>
      <c r="I15878" s="760"/>
      <c r="J15878" s="760"/>
      <c r="K15878" s="760"/>
    </row>
    <row r="15879" spans="1:11">
      <c r="A15879" s="760"/>
      <c r="B15879" s="760"/>
      <c r="C15879" s="760"/>
      <c r="D15879" s="760"/>
      <c r="E15879" s="760"/>
      <c r="F15879" s="760"/>
      <c r="G15879" s="760"/>
      <c r="H15879" s="760"/>
      <c r="I15879" s="760"/>
      <c r="J15879" s="760"/>
      <c r="K15879" s="760"/>
    </row>
    <row r="15880" spans="1:11">
      <c r="A15880" s="760"/>
      <c r="B15880" s="760"/>
      <c r="C15880" s="760"/>
      <c r="D15880" s="760"/>
      <c r="E15880" s="760"/>
      <c r="F15880" s="760"/>
      <c r="G15880" s="760"/>
      <c r="H15880" s="760"/>
      <c r="I15880" s="760"/>
      <c r="J15880" s="760"/>
      <c r="K15880" s="760"/>
    </row>
    <row r="15881" spans="1:11">
      <c r="A15881" s="760"/>
      <c r="B15881" s="760"/>
      <c r="C15881" s="760"/>
      <c r="D15881" s="760"/>
      <c r="E15881" s="760"/>
      <c r="F15881" s="760"/>
      <c r="G15881" s="760"/>
      <c r="H15881" s="760"/>
      <c r="I15881" s="760"/>
      <c r="J15881" s="760"/>
      <c r="K15881" s="760"/>
    </row>
    <row r="15882" spans="1:11">
      <c r="A15882" s="760"/>
      <c r="B15882" s="760"/>
      <c r="C15882" s="760"/>
      <c r="D15882" s="760"/>
      <c r="E15882" s="760"/>
      <c r="F15882" s="760"/>
      <c r="G15882" s="760"/>
      <c r="H15882" s="760"/>
      <c r="I15882" s="760"/>
      <c r="J15882" s="760"/>
      <c r="K15882" s="760"/>
    </row>
    <row r="15883" spans="1:11">
      <c r="A15883" s="760"/>
      <c r="B15883" s="760"/>
      <c r="C15883" s="760"/>
      <c r="D15883" s="760"/>
      <c r="E15883" s="760"/>
      <c r="F15883" s="760"/>
      <c r="G15883" s="760"/>
      <c r="H15883" s="760"/>
      <c r="I15883" s="760"/>
      <c r="J15883" s="760"/>
      <c r="K15883" s="760"/>
    </row>
    <row r="15884" spans="1:11">
      <c r="A15884" s="760"/>
      <c r="B15884" s="760"/>
      <c r="C15884" s="760"/>
      <c r="D15884" s="760"/>
      <c r="E15884" s="760"/>
      <c r="F15884" s="760"/>
      <c r="G15884" s="760"/>
      <c r="H15884" s="760"/>
      <c r="I15884" s="760"/>
      <c r="J15884" s="760"/>
      <c r="K15884" s="760"/>
    </row>
    <row r="15885" spans="1:11">
      <c r="A15885" s="760"/>
      <c r="B15885" s="760"/>
      <c r="C15885" s="760"/>
      <c r="D15885" s="760"/>
      <c r="E15885" s="760"/>
      <c r="F15885" s="760"/>
      <c r="G15885" s="760"/>
      <c r="H15885" s="760"/>
      <c r="I15885" s="760"/>
      <c r="J15885" s="760"/>
      <c r="K15885" s="760"/>
    </row>
    <row r="15886" spans="1:11">
      <c r="A15886" s="760"/>
      <c r="B15886" s="760"/>
      <c r="C15886" s="760"/>
      <c r="D15886" s="760"/>
      <c r="E15886" s="760"/>
      <c r="F15886" s="760"/>
      <c r="G15886" s="760"/>
      <c r="H15886" s="760"/>
      <c r="I15886" s="760"/>
      <c r="J15886" s="760"/>
      <c r="K15886" s="760"/>
    </row>
    <row r="15887" spans="1:11">
      <c r="A15887" s="760"/>
      <c r="B15887" s="760"/>
      <c r="C15887" s="760"/>
      <c r="D15887" s="760"/>
      <c r="E15887" s="760"/>
      <c r="F15887" s="760"/>
      <c r="G15887" s="760"/>
      <c r="H15887" s="760"/>
      <c r="I15887" s="760"/>
      <c r="J15887" s="760"/>
      <c r="K15887" s="760"/>
    </row>
    <row r="15888" spans="1:11">
      <c r="A15888" s="760"/>
      <c r="B15888" s="760"/>
      <c r="C15888" s="760"/>
      <c r="D15888" s="760"/>
      <c r="E15888" s="760"/>
      <c r="F15888" s="760"/>
      <c r="G15888" s="760"/>
      <c r="H15888" s="760"/>
      <c r="I15888" s="760"/>
      <c r="J15888" s="760"/>
      <c r="K15888" s="760"/>
    </row>
    <row r="15889" spans="1:11">
      <c r="A15889" s="760"/>
      <c r="B15889" s="760"/>
      <c r="C15889" s="760"/>
      <c r="D15889" s="760"/>
      <c r="E15889" s="760"/>
      <c r="F15889" s="760"/>
      <c r="G15889" s="760"/>
      <c r="H15889" s="760"/>
      <c r="I15889" s="760"/>
      <c r="J15889" s="760"/>
      <c r="K15889" s="760"/>
    </row>
    <row r="15890" spans="1:11">
      <c r="A15890" s="760"/>
      <c r="B15890" s="760"/>
      <c r="C15890" s="760"/>
      <c r="D15890" s="760"/>
      <c r="E15890" s="760"/>
      <c r="F15890" s="760"/>
      <c r="G15890" s="760"/>
      <c r="H15890" s="760"/>
      <c r="I15890" s="760"/>
      <c r="J15890" s="760"/>
      <c r="K15890" s="760"/>
    </row>
    <row r="15891" spans="1:11">
      <c r="A15891" s="760"/>
      <c r="B15891" s="760"/>
      <c r="C15891" s="760"/>
      <c r="D15891" s="760"/>
      <c r="E15891" s="760"/>
      <c r="F15891" s="760"/>
      <c r="G15891" s="760"/>
      <c r="H15891" s="760"/>
      <c r="I15891" s="760"/>
      <c r="J15891" s="760"/>
      <c r="K15891" s="760"/>
    </row>
    <row r="15892" spans="1:11">
      <c r="A15892" s="760"/>
      <c r="B15892" s="760"/>
      <c r="C15892" s="760"/>
      <c r="D15892" s="760"/>
      <c r="E15892" s="760"/>
      <c r="F15892" s="760"/>
      <c r="G15892" s="760"/>
      <c r="H15892" s="760"/>
      <c r="I15892" s="760"/>
      <c r="J15892" s="760"/>
      <c r="K15892" s="760"/>
    </row>
    <row r="15893" spans="1:11">
      <c r="A15893" s="760"/>
      <c r="B15893" s="760"/>
      <c r="C15893" s="760"/>
      <c r="D15893" s="760"/>
      <c r="E15893" s="760"/>
      <c r="F15893" s="760"/>
      <c r="G15893" s="760"/>
      <c r="H15893" s="760"/>
      <c r="I15893" s="760"/>
      <c r="J15893" s="760"/>
      <c r="K15893" s="760"/>
    </row>
    <row r="15894" spans="1:11">
      <c r="A15894" s="760"/>
      <c r="B15894" s="760"/>
      <c r="C15894" s="760"/>
      <c r="D15894" s="760"/>
      <c r="E15894" s="760"/>
      <c r="F15894" s="760"/>
      <c r="G15894" s="760"/>
      <c r="H15894" s="760"/>
      <c r="I15894" s="760"/>
      <c r="J15894" s="760"/>
      <c r="K15894" s="760"/>
    </row>
    <row r="15895" spans="1:11">
      <c r="A15895" s="760"/>
      <c r="B15895" s="760"/>
      <c r="C15895" s="760"/>
      <c r="D15895" s="760"/>
      <c r="E15895" s="760"/>
      <c r="F15895" s="760"/>
      <c r="G15895" s="760"/>
      <c r="H15895" s="760"/>
      <c r="I15895" s="760"/>
      <c r="J15895" s="760"/>
      <c r="K15895" s="760"/>
    </row>
    <row r="15896" spans="1:11">
      <c r="A15896" s="760"/>
      <c r="B15896" s="760"/>
      <c r="C15896" s="760"/>
      <c r="D15896" s="760"/>
      <c r="E15896" s="760"/>
      <c r="F15896" s="760"/>
      <c r="G15896" s="760"/>
      <c r="H15896" s="760"/>
      <c r="I15896" s="760"/>
      <c r="J15896" s="760"/>
      <c r="K15896" s="760"/>
    </row>
    <row r="15897" spans="1:11">
      <c r="A15897" s="760"/>
      <c r="B15897" s="760"/>
      <c r="C15897" s="760"/>
      <c r="D15897" s="760"/>
      <c r="E15897" s="760"/>
      <c r="F15897" s="760"/>
      <c r="G15897" s="760"/>
      <c r="H15897" s="760"/>
      <c r="I15897" s="760"/>
      <c r="J15897" s="760"/>
      <c r="K15897" s="760"/>
    </row>
    <row r="15898" spans="1:11">
      <c r="A15898" s="760"/>
      <c r="B15898" s="760"/>
      <c r="C15898" s="760"/>
      <c r="D15898" s="760"/>
      <c r="E15898" s="760"/>
      <c r="F15898" s="760"/>
      <c r="G15898" s="760"/>
      <c r="H15898" s="760"/>
      <c r="I15898" s="760"/>
      <c r="J15898" s="760"/>
      <c r="K15898" s="760"/>
    </row>
    <row r="15899" spans="1:11">
      <c r="A15899" s="760"/>
      <c r="B15899" s="760"/>
      <c r="C15899" s="760"/>
      <c r="D15899" s="760"/>
      <c r="E15899" s="760"/>
      <c r="F15899" s="760"/>
      <c r="G15899" s="760"/>
      <c r="H15899" s="760"/>
      <c r="I15899" s="760"/>
      <c r="J15899" s="760"/>
      <c r="K15899" s="760"/>
    </row>
    <row r="15900" spans="1:11">
      <c r="A15900" s="760"/>
      <c r="B15900" s="760"/>
      <c r="C15900" s="760"/>
      <c r="D15900" s="760"/>
      <c r="E15900" s="760"/>
      <c r="F15900" s="760"/>
      <c r="G15900" s="760"/>
      <c r="H15900" s="760"/>
      <c r="I15900" s="760"/>
      <c r="J15900" s="760"/>
      <c r="K15900" s="760"/>
    </row>
    <row r="15901" spans="1:11">
      <c r="A15901" s="760"/>
      <c r="B15901" s="760"/>
      <c r="C15901" s="760"/>
      <c r="D15901" s="760"/>
      <c r="E15901" s="760"/>
      <c r="F15901" s="760"/>
      <c r="G15901" s="760"/>
      <c r="H15901" s="760"/>
      <c r="I15901" s="760"/>
      <c r="J15901" s="760"/>
      <c r="K15901" s="760"/>
    </row>
    <row r="15902" spans="1:11">
      <c r="A15902" s="760"/>
      <c r="B15902" s="760"/>
      <c r="C15902" s="760"/>
      <c r="D15902" s="760"/>
      <c r="E15902" s="760"/>
      <c r="F15902" s="760"/>
      <c r="G15902" s="760"/>
      <c r="H15902" s="760"/>
      <c r="I15902" s="760"/>
      <c r="J15902" s="760"/>
      <c r="K15902" s="760"/>
    </row>
    <row r="15903" spans="1:11">
      <c r="A15903" s="760"/>
      <c r="B15903" s="760"/>
      <c r="C15903" s="760"/>
      <c r="D15903" s="760"/>
      <c r="E15903" s="760"/>
      <c r="F15903" s="760"/>
      <c r="G15903" s="760"/>
      <c r="H15903" s="760"/>
      <c r="I15903" s="760"/>
      <c r="J15903" s="760"/>
      <c r="K15903" s="760"/>
    </row>
    <row r="15904" spans="1:11">
      <c r="A15904" s="760"/>
      <c r="B15904" s="760"/>
      <c r="C15904" s="760"/>
      <c r="D15904" s="760"/>
      <c r="E15904" s="760"/>
      <c r="F15904" s="760"/>
      <c r="G15904" s="760"/>
      <c r="H15904" s="760"/>
      <c r="I15904" s="760"/>
      <c r="J15904" s="760"/>
      <c r="K15904" s="760"/>
    </row>
    <row r="15905" spans="1:11">
      <c r="A15905" s="760"/>
      <c r="B15905" s="760"/>
      <c r="C15905" s="760"/>
      <c r="D15905" s="760"/>
      <c r="E15905" s="760"/>
      <c r="F15905" s="760"/>
      <c r="G15905" s="760"/>
      <c r="H15905" s="760"/>
      <c r="I15905" s="760"/>
      <c r="J15905" s="760"/>
      <c r="K15905" s="760"/>
    </row>
    <row r="15906" spans="1:11">
      <c r="A15906" s="760"/>
      <c r="B15906" s="760"/>
      <c r="C15906" s="760"/>
      <c r="D15906" s="760"/>
      <c r="E15906" s="760"/>
      <c r="F15906" s="760"/>
      <c r="G15906" s="760"/>
      <c r="H15906" s="760"/>
      <c r="I15906" s="760"/>
      <c r="J15906" s="760"/>
      <c r="K15906" s="760"/>
    </row>
    <row r="15907" spans="1:11">
      <c r="A15907" s="760"/>
      <c r="B15907" s="760"/>
      <c r="C15907" s="760"/>
      <c r="D15907" s="760"/>
      <c r="E15907" s="760"/>
      <c r="F15907" s="760"/>
      <c r="G15907" s="760"/>
      <c r="H15907" s="760"/>
      <c r="I15907" s="760"/>
      <c r="J15907" s="760"/>
      <c r="K15907" s="760"/>
    </row>
    <row r="15908" spans="1:11">
      <c r="A15908" s="760"/>
      <c r="B15908" s="760"/>
      <c r="C15908" s="760"/>
      <c r="D15908" s="760"/>
      <c r="E15908" s="760"/>
      <c r="F15908" s="760"/>
      <c r="G15908" s="760"/>
      <c r="H15908" s="760"/>
      <c r="I15908" s="760"/>
      <c r="J15908" s="760"/>
      <c r="K15908" s="760"/>
    </row>
    <row r="15909" spans="1:11">
      <c r="A15909" s="760"/>
      <c r="B15909" s="760"/>
      <c r="C15909" s="760"/>
      <c r="D15909" s="760"/>
      <c r="E15909" s="760"/>
      <c r="F15909" s="760"/>
      <c r="G15909" s="760"/>
      <c r="H15909" s="760"/>
      <c r="I15909" s="760"/>
      <c r="J15909" s="760"/>
      <c r="K15909" s="760"/>
    </row>
    <row r="15910" spans="1:11">
      <c r="A15910" s="760"/>
      <c r="B15910" s="760"/>
      <c r="C15910" s="760"/>
      <c r="D15910" s="760"/>
      <c r="E15910" s="760"/>
      <c r="F15910" s="760"/>
      <c r="G15910" s="760"/>
      <c r="H15910" s="760"/>
      <c r="I15910" s="760"/>
      <c r="J15910" s="760"/>
      <c r="K15910" s="760"/>
    </row>
    <row r="15911" spans="1:11">
      <c r="A15911" s="760"/>
      <c r="B15911" s="760"/>
      <c r="C15911" s="760"/>
      <c r="D15911" s="760"/>
      <c r="E15911" s="760"/>
      <c r="F15911" s="760"/>
      <c r="G15911" s="760"/>
      <c r="H15911" s="760"/>
      <c r="I15911" s="760"/>
      <c r="J15911" s="760"/>
      <c r="K15911" s="760"/>
    </row>
    <row r="15912" spans="1:11">
      <c r="A15912" s="760"/>
      <c r="B15912" s="760"/>
      <c r="C15912" s="760"/>
      <c r="D15912" s="760"/>
      <c r="E15912" s="760"/>
      <c r="F15912" s="760"/>
      <c r="G15912" s="760"/>
      <c r="H15912" s="760"/>
      <c r="I15912" s="760"/>
      <c r="J15912" s="760"/>
      <c r="K15912" s="760"/>
    </row>
    <row r="15913" spans="1:11">
      <c r="A15913" s="760"/>
      <c r="B15913" s="760"/>
      <c r="C15913" s="760"/>
      <c r="D15913" s="760"/>
      <c r="E15913" s="760"/>
      <c r="F15913" s="760"/>
      <c r="G15913" s="760"/>
      <c r="H15913" s="760"/>
      <c r="I15913" s="760"/>
      <c r="J15913" s="760"/>
      <c r="K15913" s="760"/>
    </row>
    <row r="15914" spans="1:11">
      <c r="A15914" s="760"/>
      <c r="B15914" s="760"/>
      <c r="C15914" s="760"/>
      <c r="D15914" s="760"/>
      <c r="E15914" s="760"/>
      <c r="F15914" s="760"/>
      <c r="G15914" s="760"/>
      <c r="H15914" s="760"/>
      <c r="I15914" s="760"/>
      <c r="J15914" s="760"/>
      <c r="K15914" s="760"/>
    </row>
    <row r="15915" spans="1:11">
      <c r="A15915" s="760"/>
      <c r="B15915" s="760"/>
      <c r="C15915" s="760"/>
      <c r="D15915" s="760"/>
      <c r="E15915" s="760"/>
      <c r="F15915" s="760"/>
      <c r="G15915" s="760"/>
      <c r="H15915" s="760"/>
      <c r="I15915" s="760"/>
      <c r="J15915" s="760"/>
      <c r="K15915" s="760"/>
    </row>
    <row r="15916" spans="1:11">
      <c r="A15916" s="760"/>
      <c r="B15916" s="760"/>
      <c r="C15916" s="760"/>
      <c r="D15916" s="760"/>
      <c r="E15916" s="760"/>
      <c r="F15916" s="760"/>
      <c r="G15916" s="760"/>
      <c r="H15916" s="760"/>
      <c r="I15916" s="760"/>
      <c r="J15916" s="760"/>
      <c r="K15916" s="760"/>
    </row>
    <row r="15917" spans="1:11">
      <c r="A15917" s="760"/>
      <c r="B15917" s="760"/>
      <c r="C15917" s="760"/>
      <c r="D15917" s="760"/>
      <c r="E15917" s="760"/>
      <c r="F15917" s="760"/>
      <c r="G15917" s="760"/>
      <c r="H15917" s="760"/>
      <c r="I15917" s="760"/>
      <c r="J15917" s="760"/>
      <c r="K15917" s="760"/>
    </row>
    <row r="15918" spans="1:11">
      <c r="A15918" s="760"/>
      <c r="B15918" s="760"/>
      <c r="C15918" s="760"/>
      <c r="D15918" s="760"/>
      <c r="E15918" s="760"/>
      <c r="F15918" s="760"/>
      <c r="G15918" s="760"/>
      <c r="H15918" s="760"/>
      <c r="I15918" s="760"/>
      <c r="J15918" s="760"/>
      <c r="K15918" s="760"/>
    </row>
    <row r="15919" spans="1:11">
      <c r="A15919" s="760"/>
      <c r="B15919" s="760"/>
      <c r="C15919" s="760"/>
      <c r="D15919" s="760"/>
      <c r="E15919" s="760"/>
      <c r="F15919" s="760"/>
      <c r="G15919" s="760"/>
      <c r="H15919" s="760"/>
      <c r="I15919" s="760"/>
      <c r="J15919" s="760"/>
      <c r="K15919" s="760"/>
    </row>
    <row r="15920" spans="1:11">
      <c r="A15920" s="760"/>
      <c r="B15920" s="760"/>
      <c r="C15920" s="760"/>
      <c r="D15920" s="760"/>
      <c r="E15920" s="760"/>
      <c r="F15920" s="760"/>
      <c r="G15920" s="760"/>
      <c r="H15920" s="760"/>
      <c r="I15920" s="760"/>
      <c r="J15920" s="760"/>
      <c r="K15920" s="760"/>
    </row>
    <row r="15921" spans="1:11">
      <c r="A15921" s="760"/>
      <c r="B15921" s="760"/>
      <c r="C15921" s="760"/>
      <c r="D15921" s="760"/>
      <c r="E15921" s="760"/>
      <c r="F15921" s="760"/>
      <c r="G15921" s="760"/>
      <c r="H15921" s="760"/>
      <c r="I15921" s="760"/>
      <c r="J15921" s="760"/>
      <c r="K15921" s="760"/>
    </row>
    <row r="15922" spans="1:11">
      <c r="A15922" s="760"/>
      <c r="B15922" s="760"/>
      <c r="C15922" s="760"/>
      <c r="D15922" s="760"/>
      <c r="E15922" s="760"/>
      <c r="F15922" s="760"/>
      <c r="G15922" s="760"/>
      <c r="H15922" s="760"/>
      <c r="I15922" s="760"/>
      <c r="J15922" s="760"/>
      <c r="K15922" s="760"/>
    </row>
    <row r="15923" spans="1:11">
      <c r="A15923" s="760"/>
      <c r="B15923" s="760"/>
      <c r="C15923" s="760"/>
      <c r="D15923" s="760"/>
      <c r="E15923" s="760"/>
      <c r="F15923" s="760"/>
      <c r="G15923" s="760"/>
      <c r="H15923" s="760"/>
      <c r="I15923" s="760"/>
      <c r="J15923" s="760"/>
      <c r="K15923" s="760"/>
    </row>
    <row r="15924" spans="1:11">
      <c r="A15924" s="760"/>
      <c r="B15924" s="760"/>
      <c r="C15924" s="760"/>
      <c r="D15924" s="760"/>
      <c r="E15924" s="760"/>
      <c r="F15924" s="760"/>
      <c r="G15924" s="760"/>
      <c r="H15924" s="760"/>
      <c r="I15924" s="760"/>
      <c r="J15924" s="760"/>
      <c r="K15924" s="760"/>
    </row>
    <row r="15925" spans="1:11">
      <c r="A15925" s="760"/>
      <c r="B15925" s="760"/>
      <c r="C15925" s="760"/>
      <c r="D15925" s="760"/>
      <c r="E15925" s="760"/>
      <c r="F15925" s="760"/>
      <c r="G15925" s="760"/>
      <c r="H15925" s="760"/>
      <c r="I15925" s="760"/>
      <c r="J15925" s="760"/>
      <c r="K15925" s="760"/>
    </row>
    <row r="15926" spans="1:11">
      <c r="A15926" s="760"/>
      <c r="B15926" s="760"/>
      <c r="C15926" s="760"/>
      <c r="D15926" s="760"/>
      <c r="E15926" s="760"/>
      <c r="F15926" s="760"/>
      <c r="G15926" s="760"/>
      <c r="H15926" s="760"/>
      <c r="I15926" s="760"/>
      <c r="J15926" s="760"/>
      <c r="K15926" s="760"/>
    </row>
    <row r="15927" spans="1:11">
      <c r="A15927" s="760"/>
      <c r="B15927" s="760"/>
      <c r="C15927" s="760"/>
      <c r="D15927" s="760"/>
      <c r="E15927" s="760"/>
      <c r="F15927" s="760"/>
      <c r="G15927" s="760"/>
      <c r="H15927" s="760"/>
      <c r="I15927" s="760"/>
      <c r="J15927" s="760"/>
      <c r="K15927" s="760"/>
    </row>
    <row r="15928" spans="1:11">
      <c r="A15928" s="760"/>
      <c r="B15928" s="760"/>
      <c r="C15928" s="760"/>
      <c r="D15928" s="760"/>
      <c r="E15928" s="760"/>
      <c r="F15928" s="760"/>
      <c r="G15928" s="760"/>
      <c r="H15928" s="760"/>
      <c r="I15928" s="760"/>
      <c r="J15928" s="760"/>
      <c r="K15928" s="760"/>
    </row>
    <row r="15929" spans="1:11">
      <c r="A15929" s="760"/>
      <c r="B15929" s="760"/>
      <c r="C15929" s="760"/>
      <c r="D15929" s="760"/>
      <c r="E15929" s="760"/>
      <c r="F15929" s="760"/>
      <c r="G15929" s="760"/>
      <c r="H15929" s="760"/>
      <c r="I15929" s="760"/>
      <c r="J15929" s="760"/>
      <c r="K15929" s="760"/>
    </row>
    <row r="15930" spans="1:11">
      <c r="A15930" s="760"/>
      <c r="B15930" s="760"/>
      <c r="C15930" s="760"/>
      <c r="D15930" s="760"/>
      <c r="E15930" s="760"/>
      <c r="F15930" s="760"/>
      <c r="G15930" s="760"/>
      <c r="H15930" s="760"/>
      <c r="I15930" s="760"/>
      <c r="J15930" s="760"/>
      <c r="K15930" s="760"/>
    </row>
    <row r="15931" spans="1:11">
      <c r="A15931" s="760"/>
      <c r="B15931" s="760"/>
      <c r="C15931" s="760"/>
      <c r="D15931" s="760"/>
      <c r="E15931" s="760"/>
      <c r="F15931" s="760"/>
      <c r="G15931" s="760"/>
      <c r="H15931" s="760"/>
      <c r="I15931" s="760"/>
      <c r="J15931" s="760"/>
      <c r="K15931" s="760"/>
    </row>
    <row r="15932" spans="1:11">
      <c r="A15932" s="760"/>
      <c r="B15932" s="760"/>
      <c r="C15932" s="760"/>
      <c r="D15932" s="760"/>
      <c r="E15932" s="760"/>
      <c r="F15932" s="760"/>
      <c r="G15932" s="760"/>
      <c r="H15932" s="760"/>
      <c r="I15932" s="760"/>
      <c r="J15932" s="760"/>
      <c r="K15932" s="760"/>
    </row>
    <row r="15933" spans="1:11">
      <c r="A15933" s="760"/>
      <c r="B15933" s="760"/>
      <c r="C15933" s="760"/>
      <c r="D15933" s="760"/>
      <c r="E15933" s="760"/>
      <c r="F15933" s="760"/>
      <c r="G15933" s="760"/>
      <c r="H15933" s="760"/>
      <c r="I15933" s="760"/>
      <c r="J15933" s="760"/>
      <c r="K15933" s="760"/>
    </row>
    <row r="15934" spans="1:11">
      <c r="A15934" s="760"/>
      <c r="B15934" s="760"/>
      <c r="C15934" s="760"/>
      <c r="D15934" s="760"/>
      <c r="E15934" s="760"/>
      <c r="F15934" s="760"/>
      <c r="G15934" s="760"/>
      <c r="H15934" s="760"/>
      <c r="I15934" s="760"/>
      <c r="J15934" s="760"/>
      <c r="K15934" s="760"/>
    </row>
    <row r="15935" spans="1:11">
      <c r="A15935" s="760"/>
      <c r="B15935" s="760"/>
      <c r="C15935" s="760"/>
      <c r="D15935" s="760"/>
      <c r="E15935" s="760"/>
      <c r="F15935" s="760"/>
      <c r="G15935" s="760"/>
      <c r="H15935" s="760"/>
      <c r="I15935" s="760"/>
      <c r="J15935" s="760"/>
      <c r="K15935" s="760"/>
    </row>
    <row r="15936" spans="1:11">
      <c r="A15936" s="760"/>
      <c r="B15936" s="760"/>
      <c r="C15936" s="760"/>
      <c r="D15936" s="760"/>
      <c r="E15936" s="760"/>
      <c r="F15936" s="760"/>
      <c r="G15936" s="760"/>
      <c r="H15936" s="760"/>
      <c r="I15936" s="760"/>
      <c r="J15936" s="760"/>
      <c r="K15936" s="760"/>
    </row>
    <row r="15937" spans="1:11">
      <c r="A15937" s="760"/>
      <c r="B15937" s="760"/>
      <c r="C15937" s="760"/>
      <c r="D15937" s="760"/>
      <c r="E15937" s="760"/>
      <c r="F15937" s="760"/>
      <c r="G15937" s="760"/>
      <c r="H15937" s="760"/>
      <c r="I15937" s="760"/>
      <c r="J15937" s="760"/>
      <c r="K15937" s="760"/>
    </row>
    <row r="15938" spans="1:11">
      <c r="A15938" s="760"/>
      <c r="B15938" s="760"/>
      <c r="C15938" s="760"/>
      <c r="D15938" s="760"/>
      <c r="E15938" s="760"/>
      <c r="F15938" s="760"/>
      <c r="G15938" s="760"/>
      <c r="H15938" s="760"/>
      <c r="I15938" s="760"/>
      <c r="J15938" s="760"/>
      <c r="K15938" s="760"/>
    </row>
    <row r="15939" spans="1:11">
      <c r="A15939" s="760"/>
      <c r="B15939" s="760"/>
      <c r="C15939" s="760"/>
      <c r="D15939" s="760"/>
      <c r="E15939" s="760"/>
      <c r="F15939" s="760"/>
      <c r="G15939" s="760"/>
      <c r="H15939" s="760"/>
      <c r="I15939" s="760"/>
      <c r="J15939" s="760"/>
      <c r="K15939" s="760"/>
    </row>
    <row r="15940" spans="1:11">
      <c r="A15940" s="760"/>
      <c r="B15940" s="760"/>
      <c r="C15940" s="760"/>
      <c r="D15940" s="760"/>
      <c r="E15940" s="760"/>
      <c r="F15940" s="760"/>
      <c r="G15940" s="760"/>
      <c r="H15940" s="760"/>
      <c r="I15940" s="760"/>
      <c r="J15940" s="760"/>
      <c r="K15940" s="760"/>
    </row>
    <row r="15941" spans="1:11">
      <c r="A15941" s="760"/>
      <c r="B15941" s="760"/>
      <c r="C15941" s="760"/>
      <c r="D15941" s="760"/>
      <c r="E15941" s="760"/>
      <c r="F15941" s="760"/>
      <c r="G15941" s="760"/>
      <c r="H15941" s="760"/>
      <c r="I15941" s="760"/>
      <c r="J15941" s="760"/>
      <c r="K15941" s="760"/>
    </row>
    <row r="15942" spans="1:11">
      <c r="A15942" s="760"/>
      <c r="B15942" s="760"/>
      <c r="C15942" s="760"/>
      <c r="D15942" s="760"/>
      <c r="E15942" s="760"/>
      <c r="F15942" s="760"/>
      <c r="G15942" s="760"/>
      <c r="H15942" s="760"/>
      <c r="I15942" s="760"/>
      <c r="J15942" s="760"/>
      <c r="K15942" s="760"/>
    </row>
    <row r="15943" spans="1:11">
      <c r="A15943" s="760"/>
      <c r="B15943" s="760"/>
      <c r="C15943" s="760"/>
      <c r="D15943" s="760"/>
      <c r="E15943" s="760"/>
      <c r="F15943" s="760"/>
      <c r="G15943" s="760"/>
      <c r="H15943" s="760"/>
      <c r="I15943" s="760"/>
      <c r="J15943" s="760"/>
      <c r="K15943" s="760"/>
    </row>
    <row r="15944" spans="1:11">
      <c r="A15944" s="760"/>
      <c r="B15944" s="760"/>
      <c r="C15944" s="760"/>
      <c r="D15944" s="760"/>
      <c r="E15944" s="760"/>
      <c r="F15944" s="760"/>
      <c r="G15944" s="760"/>
      <c r="H15944" s="760"/>
      <c r="I15944" s="760"/>
      <c r="J15944" s="760"/>
      <c r="K15944" s="760"/>
    </row>
    <row r="15945" spans="1:11">
      <c r="A15945" s="760"/>
      <c r="B15945" s="760"/>
      <c r="C15945" s="760"/>
      <c r="D15945" s="760"/>
      <c r="E15945" s="760"/>
      <c r="F15945" s="760"/>
      <c r="G15945" s="760"/>
      <c r="H15945" s="760"/>
      <c r="I15945" s="760"/>
      <c r="J15945" s="760"/>
      <c r="K15945" s="760"/>
    </row>
    <row r="15946" spans="1:11">
      <c r="A15946" s="760"/>
      <c r="B15946" s="760"/>
      <c r="C15946" s="760"/>
      <c r="D15946" s="760"/>
      <c r="E15946" s="760"/>
      <c r="F15946" s="760"/>
      <c r="G15946" s="760"/>
      <c r="H15946" s="760"/>
      <c r="I15946" s="760"/>
      <c r="J15946" s="760"/>
      <c r="K15946" s="760"/>
    </row>
    <row r="15947" spans="1:11">
      <c r="A15947" s="760"/>
      <c r="B15947" s="760"/>
      <c r="C15947" s="760"/>
      <c r="D15947" s="760"/>
      <c r="E15947" s="760"/>
      <c r="F15947" s="760"/>
      <c r="G15947" s="760"/>
      <c r="H15947" s="760"/>
      <c r="I15947" s="760"/>
      <c r="J15947" s="760"/>
      <c r="K15947" s="760"/>
    </row>
    <row r="15948" spans="1:11">
      <c r="A15948" s="760"/>
      <c r="B15948" s="760"/>
      <c r="C15948" s="760"/>
      <c r="D15948" s="760"/>
      <c r="E15948" s="760"/>
      <c r="F15948" s="760"/>
      <c r="G15948" s="760"/>
      <c r="H15948" s="760"/>
      <c r="I15948" s="760"/>
      <c r="J15948" s="760"/>
      <c r="K15948" s="760"/>
    </row>
    <row r="15949" spans="1:11">
      <c r="A15949" s="760"/>
      <c r="B15949" s="760"/>
      <c r="C15949" s="760"/>
      <c r="D15949" s="760"/>
      <c r="E15949" s="760"/>
      <c r="F15949" s="760"/>
      <c r="G15949" s="760"/>
      <c r="H15949" s="760"/>
      <c r="I15949" s="760"/>
      <c r="J15949" s="760"/>
      <c r="K15949" s="760"/>
    </row>
    <row r="15950" spans="1:11">
      <c r="A15950" s="760"/>
      <c r="B15950" s="760"/>
      <c r="C15950" s="760"/>
      <c r="D15950" s="760"/>
      <c r="E15950" s="760"/>
      <c r="F15950" s="760"/>
      <c r="G15950" s="760"/>
      <c r="H15950" s="760"/>
      <c r="I15950" s="760"/>
      <c r="J15950" s="760"/>
      <c r="K15950" s="760"/>
    </row>
    <row r="15951" spans="1:11">
      <c r="A15951" s="760"/>
      <c r="B15951" s="760"/>
      <c r="C15951" s="760"/>
      <c r="D15951" s="760"/>
      <c r="E15951" s="760"/>
      <c r="F15951" s="760"/>
      <c r="G15951" s="760"/>
      <c r="H15951" s="760"/>
      <c r="I15951" s="760"/>
      <c r="J15951" s="760"/>
      <c r="K15951" s="760"/>
    </row>
    <row r="15952" spans="1:11">
      <c r="A15952" s="760"/>
      <c r="B15952" s="760"/>
      <c r="C15952" s="760"/>
      <c r="D15952" s="760"/>
      <c r="E15952" s="760"/>
      <c r="F15952" s="760"/>
      <c r="G15952" s="760"/>
      <c r="H15952" s="760"/>
      <c r="I15952" s="760"/>
      <c r="J15952" s="760"/>
      <c r="K15952" s="760"/>
    </row>
    <row r="15953" spans="1:11">
      <c r="A15953" s="760"/>
      <c r="B15953" s="760"/>
      <c r="C15953" s="760"/>
      <c r="D15953" s="760"/>
      <c r="E15953" s="760"/>
      <c r="F15953" s="760"/>
      <c r="G15953" s="760"/>
      <c r="H15953" s="760"/>
      <c r="I15953" s="760"/>
      <c r="J15953" s="760"/>
      <c r="K15953" s="760"/>
    </row>
    <row r="15954" spans="1:11">
      <c r="A15954" s="760"/>
      <c r="B15954" s="760"/>
      <c r="C15954" s="760"/>
      <c r="D15954" s="760"/>
      <c r="E15954" s="760"/>
      <c r="F15954" s="760"/>
      <c r="G15954" s="760"/>
      <c r="H15954" s="760"/>
      <c r="I15954" s="760"/>
      <c r="J15954" s="760"/>
      <c r="K15954" s="760"/>
    </row>
    <row r="15955" spans="1:11">
      <c r="A15955" s="760"/>
      <c r="B15955" s="760"/>
      <c r="C15955" s="760"/>
      <c r="D15955" s="760"/>
      <c r="E15955" s="760"/>
      <c r="F15955" s="760"/>
      <c r="G15955" s="760"/>
      <c r="H15955" s="760"/>
      <c r="I15955" s="760"/>
      <c r="J15955" s="760"/>
      <c r="K15955" s="760"/>
    </row>
    <row r="15956" spans="1:11">
      <c r="A15956" s="760"/>
      <c r="B15956" s="760"/>
      <c r="C15956" s="760"/>
      <c r="D15956" s="760"/>
      <c r="E15956" s="760"/>
      <c r="F15956" s="760"/>
      <c r="G15956" s="760"/>
      <c r="H15956" s="760"/>
      <c r="I15956" s="760"/>
      <c r="J15956" s="760"/>
      <c r="K15956" s="760"/>
    </row>
    <row r="15957" spans="1:11">
      <c r="A15957" s="760"/>
      <c r="B15957" s="760"/>
      <c r="C15957" s="760"/>
      <c r="D15957" s="760"/>
      <c r="E15957" s="760"/>
      <c r="F15957" s="760"/>
      <c r="G15957" s="760"/>
      <c r="H15957" s="760"/>
      <c r="I15957" s="760"/>
      <c r="J15957" s="760"/>
      <c r="K15957" s="760"/>
    </row>
    <row r="15958" spans="1:11">
      <c r="A15958" s="760"/>
      <c r="B15958" s="760"/>
      <c r="C15958" s="760"/>
      <c r="D15958" s="760"/>
      <c r="E15958" s="760"/>
      <c r="F15958" s="760"/>
      <c r="G15958" s="760"/>
      <c r="H15958" s="760"/>
      <c r="I15958" s="760"/>
      <c r="J15958" s="760"/>
      <c r="K15958" s="760"/>
    </row>
    <row r="15959" spans="1:11">
      <c r="A15959" s="760"/>
      <c r="B15959" s="760"/>
      <c r="C15959" s="760"/>
      <c r="D15959" s="760"/>
      <c r="E15959" s="760"/>
      <c r="F15959" s="760"/>
      <c r="G15959" s="760"/>
      <c r="H15959" s="760"/>
      <c r="I15959" s="760"/>
      <c r="J15959" s="760"/>
      <c r="K15959" s="760"/>
    </row>
    <row r="15960" spans="1:11">
      <c r="A15960" s="760"/>
      <c r="B15960" s="760"/>
      <c r="C15960" s="760"/>
      <c r="D15960" s="760"/>
      <c r="E15960" s="760"/>
      <c r="F15960" s="760"/>
      <c r="G15960" s="760"/>
      <c r="H15960" s="760"/>
      <c r="I15960" s="760"/>
      <c r="J15960" s="760"/>
      <c r="K15960" s="760"/>
    </row>
    <row r="15961" spans="1:11">
      <c r="A15961" s="760"/>
      <c r="B15961" s="760"/>
      <c r="C15961" s="760"/>
      <c r="D15961" s="760"/>
      <c r="E15961" s="760"/>
      <c r="F15961" s="760"/>
      <c r="G15961" s="760"/>
      <c r="H15961" s="760"/>
      <c r="I15961" s="760"/>
      <c r="J15961" s="760"/>
      <c r="K15961" s="760"/>
    </row>
    <row r="15962" spans="1:11">
      <c r="A15962" s="760"/>
      <c r="B15962" s="760"/>
      <c r="C15962" s="760"/>
      <c r="D15962" s="760"/>
      <c r="E15962" s="760"/>
      <c r="F15962" s="760"/>
      <c r="G15962" s="760"/>
      <c r="H15962" s="760"/>
      <c r="I15962" s="760"/>
      <c r="J15962" s="760"/>
      <c r="K15962" s="760"/>
    </row>
    <row r="15963" spans="1:11">
      <c r="A15963" s="760"/>
      <c r="B15963" s="760"/>
      <c r="C15963" s="760"/>
      <c r="D15963" s="760"/>
      <c r="E15963" s="760"/>
      <c r="F15963" s="760"/>
      <c r="G15963" s="760"/>
      <c r="H15963" s="760"/>
      <c r="I15963" s="760"/>
      <c r="J15963" s="760"/>
      <c r="K15963" s="760"/>
    </row>
    <row r="15964" spans="1:11">
      <c r="A15964" s="760"/>
      <c r="B15964" s="760"/>
      <c r="C15964" s="760"/>
      <c r="D15964" s="760"/>
      <c r="E15964" s="760"/>
      <c r="F15964" s="760"/>
      <c r="G15964" s="760"/>
      <c r="H15964" s="760"/>
      <c r="I15964" s="760"/>
      <c r="J15964" s="760"/>
      <c r="K15964" s="760"/>
    </row>
    <row r="15965" spans="1:11">
      <c r="A15965" s="760"/>
      <c r="B15965" s="760"/>
      <c r="C15965" s="760"/>
      <c r="D15965" s="760"/>
      <c r="E15965" s="760"/>
      <c r="F15965" s="760"/>
      <c r="G15965" s="760"/>
      <c r="H15965" s="760"/>
      <c r="I15965" s="760"/>
      <c r="J15965" s="760"/>
      <c r="K15965" s="760"/>
    </row>
    <row r="15966" spans="1:11">
      <c r="A15966" s="760"/>
      <c r="B15966" s="760"/>
      <c r="C15966" s="760"/>
      <c r="D15966" s="760"/>
      <c r="E15966" s="760"/>
      <c r="F15966" s="760"/>
      <c r="G15966" s="760"/>
      <c r="H15966" s="760"/>
      <c r="I15966" s="760"/>
      <c r="J15966" s="760"/>
      <c r="K15966" s="760"/>
    </row>
    <row r="15967" spans="1:11">
      <c r="A15967" s="760"/>
      <c r="B15967" s="760"/>
      <c r="C15967" s="760"/>
      <c r="D15967" s="760"/>
      <c r="E15967" s="760"/>
      <c r="F15967" s="760"/>
      <c r="G15967" s="760"/>
      <c r="H15967" s="760"/>
      <c r="I15967" s="760"/>
      <c r="J15967" s="760"/>
      <c r="K15967" s="760"/>
    </row>
    <row r="15968" spans="1:11">
      <c r="A15968" s="760"/>
      <c r="B15968" s="760"/>
      <c r="C15968" s="760"/>
      <c r="D15968" s="760"/>
      <c r="E15968" s="760"/>
      <c r="F15968" s="760"/>
      <c r="G15968" s="760"/>
      <c r="H15968" s="760"/>
      <c r="I15968" s="760"/>
      <c r="J15968" s="760"/>
      <c r="K15968" s="760"/>
    </row>
    <row r="15969" spans="1:11">
      <c r="A15969" s="760"/>
      <c r="B15969" s="760"/>
      <c r="C15969" s="760"/>
      <c r="D15969" s="760"/>
      <c r="E15969" s="760"/>
      <c r="F15969" s="760"/>
      <c r="G15969" s="760"/>
      <c r="H15969" s="760"/>
      <c r="I15969" s="760"/>
      <c r="J15969" s="760"/>
      <c r="K15969" s="760"/>
    </row>
    <row r="15970" spans="1:11">
      <c r="A15970" s="760"/>
      <c r="B15970" s="760"/>
      <c r="C15970" s="760"/>
      <c r="D15970" s="760"/>
      <c r="E15970" s="760"/>
      <c r="F15970" s="760"/>
      <c r="G15970" s="760"/>
      <c r="H15970" s="760"/>
      <c r="I15970" s="760"/>
      <c r="J15970" s="760"/>
      <c r="K15970" s="760"/>
    </row>
    <row r="15971" spans="1:11">
      <c r="A15971" s="760"/>
      <c r="B15971" s="760"/>
      <c r="C15971" s="760"/>
      <c r="D15971" s="760"/>
      <c r="E15971" s="760"/>
      <c r="F15971" s="760"/>
      <c r="G15971" s="760"/>
      <c r="H15971" s="760"/>
      <c r="I15971" s="760"/>
      <c r="J15971" s="760"/>
      <c r="K15971" s="760"/>
    </row>
    <row r="15972" spans="1:11">
      <c r="A15972" s="760"/>
      <c r="B15972" s="760"/>
      <c r="C15972" s="760"/>
      <c r="D15972" s="760"/>
      <c r="E15972" s="760"/>
      <c r="F15972" s="760"/>
      <c r="G15972" s="760"/>
      <c r="H15972" s="760"/>
      <c r="I15972" s="760"/>
      <c r="J15972" s="760"/>
      <c r="K15972" s="760"/>
    </row>
    <row r="15973" spans="1:11">
      <c r="A15973" s="760"/>
      <c r="B15973" s="760"/>
      <c r="C15973" s="760"/>
      <c r="D15973" s="760"/>
      <c r="E15973" s="760"/>
      <c r="F15973" s="760"/>
      <c r="G15973" s="760"/>
      <c r="H15973" s="760"/>
      <c r="I15973" s="760"/>
      <c r="J15973" s="760"/>
      <c r="K15973" s="760"/>
    </row>
    <row r="15974" spans="1:11">
      <c r="A15974" s="760"/>
      <c r="B15974" s="760"/>
      <c r="C15974" s="760"/>
      <c r="D15974" s="760"/>
      <c r="E15974" s="760"/>
      <c r="F15974" s="760"/>
      <c r="G15974" s="760"/>
      <c r="H15974" s="760"/>
      <c r="I15974" s="760"/>
      <c r="J15974" s="760"/>
      <c r="K15974" s="760"/>
    </row>
    <row r="15975" spans="1:11">
      <c r="A15975" s="760"/>
      <c r="B15975" s="760"/>
      <c r="C15975" s="760"/>
      <c r="D15975" s="760"/>
      <c r="E15975" s="760"/>
      <c r="F15975" s="760"/>
      <c r="G15975" s="760"/>
      <c r="H15975" s="760"/>
      <c r="I15975" s="760"/>
      <c r="J15975" s="760"/>
      <c r="K15975" s="760"/>
    </row>
    <row r="15976" spans="1:11">
      <c r="A15976" s="760"/>
      <c r="B15976" s="760"/>
      <c r="C15976" s="760"/>
      <c r="D15976" s="760"/>
      <c r="E15976" s="760"/>
      <c r="F15976" s="760"/>
      <c r="G15976" s="760"/>
      <c r="H15976" s="760"/>
      <c r="I15976" s="760"/>
      <c r="J15976" s="760"/>
      <c r="K15976" s="760"/>
    </row>
    <row r="15977" spans="1:11">
      <c r="A15977" s="760"/>
      <c r="B15977" s="760"/>
      <c r="C15977" s="760"/>
      <c r="D15977" s="760"/>
      <c r="E15977" s="760"/>
      <c r="F15977" s="760"/>
      <c r="G15977" s="760"/>
      <c r="H15977" s="760"/>
      <c r="I15977" s="760"/>
      <c r="J15977" s="760"/>
      <c r="K15977" s="760"/>
    </row>
    <row r="15978" spans="1:11">
      <c r="A15978" s="760"/>
      <c r="B15978" s="760"/>
      <c r="C15978" s="760"/>
      <c r="D15978" s="760"/>
      <c r="E15978" s="760"/>
      <c r="F15978" s="760"/>
      <c r="G15978" s="760"/>
      <c r="H15978" s="760"/>
      <c r="I15978" s="760"/>
      <c r="J15978" s="760"/>
      <c r="K15978" s="760"/>
    </row>
    <row r="15979" spans="1:11">
      <c r="A15979" s="760"/>
      <c r="B15979" s="760"/>
      <c r="C15979" s="760"/>
      <c r="D15979" s="760"/>
      <c r="E15979" s="760"/>
      <c r="F15979" s="760"/>
      <c r="G15979" s="760"/>
      <c r="H15979" s="760"/>
      <c r="I15979" s="760"/>
      <c r="J15979" s="760"/>
      <c r="K15979" s="760"/>
    </row>
    <row r="15980" spans="1:11">
      <c r="A15980" s="760"/>
      <c r="B15980" s="760"/>
      <c r="C15980" s="760"/>
      <c r="D15980" s="760"/>
      <c r="E15980" s="760"/>
      <c r="F15980" s="760"/>
      <c r="G15980" s="760"/>
      <c r="H15980" s="760"/>
      <c r="I15980" s="760"/>
      <c r="J15980" s="760"/>
      <c r="K15980" s="760"/>
    </row>
    <row r="15981" spans="1:11">
      <c r="A15981" s="760"/>
      <c r="B15981" s="760"/>
      <c r="C15981" s="760"/>
      <c r="D15981" s="760"/>
      <c r="E15981" s="760"/>
      <c r="F15981" s="760"/>
      <c r="G15981" s="760"/>
      <c r="H15981" s="760"/>
      <c r="I15981" s="760"/>
      <c r="J15981" s="760"/>
      <c r="K15981" s="760"/>
    </row>
    <row r="15982" spans="1:11">
      <c r="A15982" s="760"/>
      <c r="B15982" s="760"/>
      <c r="C15982" s="760"/>
      <c r="D15982" s="760"/>
      <c r="E15982" s="760"/>
      <c r="F15982" s="760"/>
      <c r="G15982" s="760"/>
      <c r="H15982" s="760"/>
      <c r="I15982" s="760"/>
      <c r="J15982" s="760"/>
      <c r="K15982" s="760"/>
    </row>
    <row r="15983" spans="1:11">
      <c r="A15983" s="760"/>
      <c r="B15983" s="760"/>
      <c r="C15983" s="760"/>
      <c r="D15983" s="760"/>
      <c r="E15983" s="760"/>
      <c r="F15983" s="760"/>
      <c r="G15983" s="760"/>
      <c r="H15983" s="760"/>
      <c r="I15983" s="760"/>
      <c r="J15983" s="760"/>
      <c r="K15983" s="760"/>
    </row>
    <row r="15984" spans="1:11">
      <c r="A15984" s="760"/>
      <c r="B15984" s="760"/>
      <c r="C15984" s="760"/>
      <c r="D15984" s="760"/>
      <c r="E15984" s="760"/>
      <c r="F15984" s="760"/>
      <c r="G15984" s="760"/>
      <c r="H15984" s="760"/>
      <c r="I15984" s="760"/>
      <c r="J15984" s="760"/>
      <c r="K15984" s="760"/>
    </row>
    <row r="15985" spans="1:11">
      <c r="A15985" s="760"/>
      <c r="B15985" s="760"/>
      <c r="C15985" s="760"/>
      <c r="D15985" s="760"/>
      <c r="E15985" s="760"/>
      <c r="F15985" s="760"/>
      <c r="G15985" s="760"/>
      <c r="H15985" s="760"/>
      <c r="I15985" s="760"/>
      <c r="J15985" s="760"/>
      <c r="K15985" s="760"/>
    </row>
    <row r="15986" spans="1:11">
      <c r="A15986" s="760"/>
      <c r="B15986" s="760"/>
      <c r="C15986" s="760"/>
      <c r="D15986" s="760"/>
      <c r="E15986" s="760"/>
      <c r="F15986" s="760"/>
      <c r="G15986" s="760"/>
      <c r="H15986" s="760"/>
      <c r="I15986" s="760"/>
      <c r="J15986" s="760"/>
      <c r="K15986" s="760"/>
    </row>
    <row r="15987" spans="1:11">
      <c r="A15987" s="760"/>
      <c r="B15987" s="760"/>
      <c r="C15987" s="760"/>
      <c r="D15987" s="760"/>
      <c r="E15987" s="760"/>
      <c r="F15987" s="760"/>
      <c r="G15987" s="760"/>
      <c r="H15987" s="760"/>
      <c r="I15987" s="760"/>
      <c r="J15987" s="760"/>
      <c r="K15987" s="760"/>
    </row>
    <row r="15988" spans="1:11">
      <c r="A15988" s="760"/>
      <c r="B15988" s="760"/>
      <c r="C15988" s="760"/>
      <c r="D15988" s="760"/>
      <c r="E15988" s="760"/>
      <c r="F15988" s="760"/>
      <c r="G15988" s="760"/>
      <c r="H15988" s="760"/>
      <c r="I15988" s="760"/>
      <c r="J15988" s="760"/>
      <c r="K15988" s="760"/>
    </row>
    <row r="15989" spans="1:11">
      <c r="A15989" s="760"/>
      <c r="B15989" s="760"/>
      <c r="C15989" s="760"/>
      <c r="D15989" s="760"/>
      <c r="E15989" s="760"/>
      <c r="F15989" s="760"/>
      <c r="G15989" s="760"/>
      <c r="H15989" s="760"/>
      <c r="I15989" s="760"/>
      <c r="J15989" s="760"/>
      <c r="K15989" s="760"/>
    </row>
    <row r="15990" spans="1:11">
      <c r="A15990" s="760"/>
      <c r="B15990" s="760"/>
      <c r="C15990" s="760"/>
      <c r="D15990" s="760"/>
      <c r="E15990" s="760"/>
      <c r="F15990" s="760"/>
      <c r="G15990" s="760"/>
      <c r="H15990" s="760"/>
      <c r="I15990" s="760"/>
      <c r="J15990" s="760"/>
      <c r="K15990" s="760"/>
    </row>
    <row r="15991" spans="1:11">
      <c r="A15991" s="760"/>
      <c r="B15991" s="760"/>
      <c r="C15991" s="760"/>
      <c r="D15991" s="760"/>
      <c r="E15991" s="760"/>
      <c r="F15991" s="760"/>
      <c r="G15991" s="760"/>
      <c r="H15991" s="760"/>
      <c r="I15991" s="760"/>
      <c r="J15991" s="760"/>
      <c r="K15991" s="760"/>
    </row>
    <row r="15992" spans="1:11">
      <c r="A15992" s="760"/>
      <c r="B15992" s="760"/>
      <c r="C15992" s="760"/>
      <c r="D15992" s="760"/>
      <c r="E15992" s="760"/>
      <c r="F15992" s="760"/>
      <c r="G15992" s="760"/>
      <c r="H15992" s="760"/>
      <c r="I15992" s="760"/>
      <c r="J15992" s="760"/>
      <c r="K15992" s="760"/>
    </row>
    <row r="15993" spans="1:11">
      <c r="A15993" s="760"/>
      <c r="B15993" s="760"/>
      <c r="C15993" s="760"/>
      <c r="D15993" s="760"/>
      <c r="E15993" s="760"/>
      <c r="F15993" s="760"/>
      <c r="G15993" s="760"/>
      <c r="H15993" s="760"/>
      <c r="I15993" s="760"/>
      <c r="J15993" s="760"/>
      <c r="K15993" s="760"/>
    </row>
    <row r="15994" spans="1:11">
      <c r="A15994" s="760"/>
      <c r="B15994" s="760"/>
      <c r="C15994" s="760"/>
      <c r="D15994" s="760"/>
      <c r="E15994" s="760"/>
      <c r="F15994" s="760"/>
      <c r="G15994" s="760"/>
      <c r="H15994" s="760"/>
      <c r="I15994" s="760"/>
      <c r="J15994" s="760"/>
      <c r="K15994" s="760"/>
    </row>
    <row r="15995" spans="1:11">
      <c r="A15995" s="760"/>
      <c r="B15995" s="760"/>
      <c r="C15995" s="760"/>
      <c r="D15995" s="760"/>
      <c r="E15995" s="760"/>
      <c r="F15995" s="760"/>
      <c r="G15995" s="760"/>
      <c r="H15995" s="760"/>
      <c r="I15995" s="760"/>
      <c r="J15995" s="760"/>
      <c r="K15995" s="760"/>
    </row>
    <row r="15996" spans="1:11">
      <c r="A15996" s="760"/>
      <c r="B15996" s="760"/>
      <c r="C15996" s="760"/>
      <c r="D15996" s="760"/>
      <c r="E15996" s="760"/>
      <c r="F15996" s="760"/>
      <c r="G15996" s="760"/>
      <c r="H15996" s="760"/>
      <c r="I15996" s="760"/>
      <c r="J15996" s="760"/>
      <c r="K15996" s="760"/>
    </row>
    <row r="15997" spans="1:11">
      <c r="A15997" s="760"/>
      <c r="B15997" s="760"/>
      <c r="C15997" s="760"/>
      <c r="D15997" s="760"/>
      <c r="E15997" s="760"/>
      <c r="F15997" s="760"/>
      <c r="G15997" s="760"/>
      <c r="H15997" s="760"/>
      <c r="I15997" s="760"/>
      <c r="J15997" s="760"/>
      <c r="K15997" s="760"/>
    </row>
    <row r="15998" spans="1:11">
      <c r="A15998" s="760"/>
      <c r="B15998" s="760"/>
      <c r="C15998" s="760"/>
      <c r="D15998" s="760"/>
      <c r="E15998" s="760"/>
      <c r="F15998" s="760"/>
      <c r="G15998" s="760"/>
      <c r="H15998" s="760"/>
      <c r="I15998" s="760"/>
      <c r="J15998" s="760"/>
      <c r="K15998" s="760"/>
    </row>
    <row r="15999" spans="1:11">
      <c r="A15999" s="760"/>
      <c r="B15999" s="760"/>
      <c r="C15999" s="760"/>
      <c r="D15999" s="760"/>
      <c r="E15999" s="760"/>
      <c r="F15999" s="760"/>
      <c r="G15999" s="760"/>
      <c r="H15999" s="760"/>
      <c r="I15999" s="760"/>
      <c r="J15999" s="760"/>
      <c r="K15999" s="760"/>
    </row>
    <row r="16000" spans="1:11">
      <c r="A16000" s="760"/>
      <c r="B16000" s="760"/>
      <c r="C16000" s="760"/>
      <c r="D16000" s="760"/>
      <c r="E16000" s="760"/>
      <c r="F16000" s="760"/>
      <c r="G16000" s="760"/>
      <c r="H16000" s="760"/>
      <c r="I16000" s="760"/>
      <c r="J16000" s="760"/>
      <c r="K16000" s="760"/>
    </row>
    <row r="16001" spans="1:11">
      <c r="A16001" s="760"/>
      <c r="B16001" s="760"/>
      <c r="C16001" s="760"/>
      <c r="D16001" s="760"/>
      <c r="E16001" s="760"/>
      <c r="F16001" s="760"/>
      <c r="G16001" s="760"/>
      <c r="H16001" s="760"/>
      <c r="I16001" s="760"/>
      <c r="J16001" s="760"/>
      <c r="K16001" s="760"/>
    </row>
    <row r="16002" spans="1:11">
      <c r="A16002" s="760"/>
      <c r="B16002" s="760"/>
      <c r="C16002" s="760"/>
      <c r="D16002" s="760"/>
      <c r="E16002" s="760"/>
      <c r="F16002" s="760"/>
      <c r="G16002" s="760"/>
      <c r="H16002" s="760"/>
      <c r="I16002" s="760"/>
      <c r="J16002" s="760"/>
      <c r="K16002" s="760"/>
    </row>
    <row r="16003" spans="1:11">
      <c r="A16003" s="760"/>
      <c r="B16003" s="760"/>
      <c r="C16003" s="760"/>
      <c r="D16003" s="760"/>
      <c r="E16003" s="760"/>
      <c r="F16003" s="760"/>
      <c r="G16003" s="760"/>
      <c r="H16003" s="760"/>
      <c r="I16003" s="760"/>
      <c r="J16003" s="760"/>
      <c r="K16003" s="760"/>
    </row>
    <row r="16004" spans="1:11">
      <c r="A16004" s="760"/>
      <c r="B16004" s="760"/>
      <c r="C16004" s="760"/>
      <c r="D16004" s="760"/>
      <c r="E16004" s="760"/>
      <c r="F16004" s="760"/>
      <c r="G16004" s="760"/>
      <c r="H16004" s="760"/>
      <c r="I16004" s="760"/>
      <c r="J16004" s="760"/>
      <c r="K16004" s="760"/>
    </row>
    <row r="16005" spans="1:11">
      <c r="A16005" s="760"/>
      <c r="B16005" s="760"/>
      <c r="C16005" s="760"/>
      <c r="D16005" s="760"/>
      <c r="E16005" s="760"/>
      <c r="F16005" s="760"/>
      <c r="G16005" s="760"/>
      <c r="H16005" s="760"/>
      <c r="I16005" s="760"/>
      <c r="J16005" s="760"/>
      <c r="K16005" s="760"/>
    </row>
    <row r="16006" spans="1:11">
      <c r="A16006" s="760"/>
      <c r="B16006" s="760"/>
      <c r="C16006" s="760"/>
      <c r="D16006" s="760"/>
      <c r="E16006" s="760"/>
      <c r="F16006" s="760"/>
      <c r="G16006" s="760"/>
      <c r="H16006" s="760"/>
      <c r="I16006" s="760"/>
      <c r="J16006" s="760"/>
      <c r="K16006" s="760"/>
    </row>
    <row r="16007" spans="1:11">
      <c r="A16007" s="760"/>
      <c r="B16007" s="760"/>
      <c r="C16007" s="760"/>
      <c r="D16007" s="760"/>
      <c r="E16007" s="760"/>
      <c r="F16007" s="760"/>
      <c r="G16007" s="760"/>
      <c r="H16007" s="760"/>
      <c r="I16007" s="760"/>
      <c r="J16007" s="760"/>
      <c r="K16007" s="760"/>
    </row>
    <row r="16008" spans="1:11">
      <c r="A16008" s="760"/>
      <c r="B16008" s="760"/>
      <c r="C16008" s="760"/>
      <c r="D16008" s="760"/>
      <c r="E16008" s="760"/>
      <c r="F16008" s="760"/>
      <c r="G16008" s="760"/>
      <c r="H16008" s="760"/>
      <c r="I16008" s="760"/>
      <c r="J16008" s="760"/>
      <c r="K16008" s="760"/>
    </row>
    <row r="16009" spans="1:11">
      <c r="A16009" s="760"/>
      <c r="B16009" s="760"/>
      <c r="C16009" s="760"/>
      <c r="D16009" s="760"/>
      <c r="E16009" s="760"/>
      <c r="F16009" s="760"/>
      <c r="G16009" s="760"/>
      <c r="H16009" s="760"/>
      <c r="I16009" s="760"/>
      <c r="J16009" s="760"/>
      <c r="K16009" s="760"/>
    </row>
    <row r="16010" spans="1:11">
      <c r="A16010" s="760"/>
      <c r="B16010" s="760"/>
      <c r="C16010" s="760"/>
      <c r="D16010" s="760"/>
      <c r="E16010" s="760"/>
      <c r="F16010" s="760"/>
      <c r="G16010" s="760"/>
      <c r="H16010" s="760"/>
      <c r="I16010" s="760"/>
      <c r="J16010" s="760"/>
      <c r="K16010" s="760"/>
    </row>
    <row r="16011" spans="1:11">
      <c r="A16011" s="760"/>
      <c r="B16011" s="760"/>
      <c r="C16011" s="760"/>
      <c r="D16011" s="760"/>
      <c r="E16011" s="760"/>
      <c r="F16011" s="760"/>
      <c r="G16011" s="760"/>
      <c r="H16011" s="760"/>
      <c r="I16011" s="760"/>
      <c r="J16011" s="760"/>
      <c r="K16011" s="760"/>
    </row>
    <row r="16012" spans="1:11">
      <c r="A16012" s="760"/>
      <c r="B16012" s="760"/>
      <c r="C16012" s="760"/>
      <c r="D16012" s="760"/>
      <c r="E16012" s="760"/>
      <c r="F16012" s="760"/>
      <c r="G16012" s="760"/>
      <c r="H16012" s="760"/>
      <c r="I16012" s="760"/>
      <c r="J16012" s="760"/>
      <c r="K16012" s="760"/>
    </row>
    <row r="16013" spans="1:11">
      <c r="A16013" s="760"/>
      <c r="B16013" s="760"/>
      <c r="C16013" s="760"/>
      <c r="D16013" s="760"/>
      <c r="E16013" s="760"/>
      <c r="F16013" s="760"/>
      <c r="G16013" s="760"/>
      <c r="H16013" s="760"/>
      <c r="I16013" s="760"/>
      <c r="J16013" s="760"/>
      <c r="K16013" s="760"/>
    </row>
    <row r="16014" spans="1:11">
      <c r="A16014" s="760"/>
      <c r="B16014" s="760"/>
      <c r="C16014" s="760"/>
      <c r="D16014" s="760"/>
      <c r="E16014" s="760"/>
      <c r="F16014" s="760"/>
      <c r="G16014" s="760"/>
      <c r="H16014" s="760"/>
      <c r="I16014" s="760"/>
      <c r="J16014" s="760"/>
      <c r="K16014" s="760"/>
    </row>
    <row r="16015" spans="1:11">
      <c r="A16015" s="760"/>
      <c r="B16015" s="760"/>
      <c r="C16015" s="760"/>
      <c r="D16015" s="760"/>
      <c r="E16015" s="760"/>
      <c r="F16015" s="760"/>
      <c r="G16015" s="760"/>
      <c r="H16015" s="760"/>
      <c r="I16015" s="760"/>
      <c r="J16015" s="760"/>
      <c r="K16015" s="760"/>
    </row>
    <row r="16016" spans="1:11">
      <c r="A16016" s="760"/>
      <c r="B16016" s="760"/>
      <c r="C16016" s="760"/>
      <c r="D16016" s="760"/>
      <c r="E16016" s="760"/>
      <c r="F16016" s="760"/>
      <c r="G16016" s="760"/>
      <c r="H16016" s="760"/>
      <c r="I16016" s="760"/>
      <c r="J16016" s="760"/>
      <c r="K16016" s="760"/>
    </row>
    <row r="16017" spans="1:11">
      <c r="A16017" s="760"/>
      <c r="B16017" s="760"/>
      <c r="C16017" s="760"/>
      <c r="D16017" s="760"/>
      <c r="E16017" s="760"/>
      <c r="F16017" s="760"/>
      <c r="G16017" s="760"/>
      <c r="H16017" s="760"/>
      <c r="I16017" s="760"/>
      <c r="J16017" s="760"/>
      <c r="K16017" s="760"/>
    </row>
    <row r="16018" spans="1:11">
      <c r="A16018" s="760"/>
      <c r="B16018" s="760"/>
      <c r="C16018" s="760"/>
      <c r="D16018" s="760"/>
      <c r="E16018" s="760"/>
      <c r="F16018" s="760"/>
      <c r="G16018" s="760"/>
      <c r="H16018" s="760"/>
      <c r="I16018" s="760"/>
      <c r="J16018" s="760"/>
      <c r="K16018" s="760"/>
    </row>
    <row r="16019" spans="1:11">
      <c r="A16019" s="760"/>
      <c r="B16019" s="760"/>
      <c r="C16019" s="760"/>
      <c r="D16019" s="760"/>
      <c r="E16019" s="760"/>
      <c r="F16019" s="760"/>
      <c r="G16019" s="760"/>
      <c r="H16019" s="760"/>
      <c r="I16019" s="760"/>
      <c r="J16019" s="760"/>
      <c r="K16019" s="760"/>
    </row>
    <row r="16020" spans="1:11">
      <c r="A16020" s="760"/>
      <c r="B16020" s="760"/>
      <c r="C16020" s="760"/>
      <c r="D16020" s="760"/>
      <c r="E16020" s="760"/>
      <c r="F16020" s="760"/>
      <c r="G16020" s="760"/>
      <c r="H16020" s="760"/>
      <c r="I16020" s="760"/>
      <c r="J16020" s="760"/>
      <c r="K16020" s="760"/>
    </row>
    <row r="16021" spans="1:11">
      <c r="A16021" s="760"/>
      <c r="B16021" s="760"/>
      <c r="C16021" s="760"/>
      <c r="D16021" s="760"/>
      <c r="E16021" s="760"/>
      <c r="F16021" s="760"/>
      <c r="G16021" s="760"/>
      <c r="H16021" s="760"/>
      <c r="I16021" s="760"/>
      <c r="J16021" s="760"/>
      <c r="K16021" s="760"/>
    </row>
    <row r="16022" spans="1:11">
      <c r="A16022" s="760"/>
      <c r="B16022" s="760"/>
      <c r="C16022" s="760"/>
      <c r="D16022" s="760"/>
      <c r="E16022" s="760"/>
      <c r="F16022" s="760"/>
      <c r="G16022" s="760"/>
      <c r="H16022" s="760"/>
      <c r="I16022" s="760"/>
      <c r="J16022" s="760"/>
      <c r="K16022" s="760"/>
    </row>
    <row r="16023" spans="1:11">
      <c r="A16023" s="760"/>
      <c r="B16023" s="760"/>
      <c r="C16023" s="760"/>
      <c r="D16023" s="760"/>
      <c r="E16023" s="760"/>
      <c r="F16023" s="760"/>
      <c r="G16023" s="760"/>
      <c r="H16023" s="760"/>
      <c r="I16023" s="760"/>
      <c r="J16023" s="760"/>
      <c r="K16023" s="760"/>
    </row>
    <row r="16024" spans="1:11">
      <c r="A16024" s="760"/>
      <c r="B16024" s="760"/>
      <c r="C16024" s="760"/>
      <c r="D16024" s="760"/>
      <c r="E16024" s="760"/>
      <c r="F16024" s="760"/>
      <c r="G16024" s="760"/>
      <c r="H16024" s="760"/>
      <c r="I16024" s="760"/>
      <c r="J16024" s="760"/>
      <c r="K16024" s="760"/>
    </row>
    <row r="16025" spans="1:11">
      <c r="A16025" s="760"/>
      <c r="B16025" s="760"/>
      <c r="C16025" s="760"/>
      <c r="D16025" s="760"/>
      <c r="E16025" s="760"/>
      <c r="F16025" s="760"/>
      <c r="G16025" s="760"/>
      <c r="H16025" s="760"/>
      <c r="I16025" s="760"/>
      <c r="J16025" s="760"/>
      <c r="K16025" s="760"/>
    </row>
    <row r="16026" spans="1:11">
      <c r="A16026" s="760"/>
      <c r="B16026" s="760"/>
      <c r="C16026" s="760"/>
      <c r="D16026" s="760"/>
      <c r="E16026" s="760"/>
      <c r="F16026" s="760"/>
      <c r="G16026" s="760"/>
      <c r="H16026" s="760"/>
      <c r="I16026" s="760"/>
      <c r="J16026" s="760"/>
      <c r="K16026" s="760"/>
    </row>
    <row r="16027" spans="1:11">
      <c r="A16027" s="760"/>
      <c r="B16027" s="760"/>
      <c r="C16027" s="760"/>
      <c r="D16027" s="760"/>
      <c r="E16027" s="760"/>
      <c r="F16027" s="760"/>
      <c r="G16027" s="760"/>
      <c r="H16027" s="760"/>
      <c r="I16027" s="760"/>
      <c r="J16027" s="760"/>
      <c r="K16027" s="760"/>
    </row>
    <row r="16028" spans="1:11">
      <c r="A16028" s="760"/>
      <c r="B16028" s="760"/>
      <c r="C16028" s="760"/>
      <c r="D16028" s="760"/>
      <c r="E16028" s="760"/>
      <c r="F16028" s="760"/>
      <c r="G16028" s="760"/>
      <c r="H16028" s="760"/>
      <c r="I16028" s="760"/>
      <c r="J16028" s="760"/>
      <c r="K16028" s="760"/>
    </row>
    <row r="16029" spans="1:11">
      <c r="A16029" s="760"/>
      <c r="B16029" s="760"/>
      <c r="C16029" s="760"/>
      <c r="D16029" s="760"/>
      <c r="E16029" s="760"/>
      <c r="F16029" s="760"/>
      <c r="G16029" s="760"/>
      <c r="H16029" s="760"/>
      <c r="I16029" s="760"/>
      <c r="J16029" s="760"/>
      <c r="K16029" s="760"/>
    </row>
    <row r="16030" spans="1:11">
      <c r="A16030" s="760"/>
      <c r="B16030" s="760"/>
      <c r="C16030" s="760"/>
      <c r="D16030" s="760"/>
      <c r="E16030" s="760"/>
      <c r="F16030" s="760"/>
      <c r="G16030" s="760"/>
      <c r="H16030" s="760"/>
      <c r="I16030" s="760"/>
      <c r="J16030" s="760"/>
      <c r="K16030" s="760"/>
    </row>
    <row r="16031" spans="1:11">
      <c r="A16031" s="760"/>
      <c r="B16031" s="760"/>
      <c r="C16031" s="760"/>
      <c r="D16031" s="760"/>
      <c r="E16031" s="760"/>
      <c r="F16031" s="760"/>
      <c r="G16031" s="760"/>
      <c r="H16031" s="760"/>
      <c r="I16031" s="760"/>
      <c r="J16031" s="760"/>
      <c r="K16031" s="760"/>
    </row>
    <row r="16032" spans="1:11">
      <c r="A16032" s="760"/>
      <c r="B16032" s="760"/>
      <c r="C16032" s="760"/>
      <c r="D16032" s="760"/>
      <c r="E16032" s="760"/>
      <c r="F16032" s="760"/>
      <c r="G16032" s="760"/>
      <c r="H16032" s="760"/>
      <c r="I16032" s="760"/>
      <c r="J16032" s="760"/>
      <c r="K16032" s="760"/>
    </row>
    <row r="16033" spans="1:11">
      <c r="A16033" s="760"/>
      <c r="B16033" s="760"/>
      <c r="C16033" s="760"/>
      <c r="D16033" s="760"/>
      <c r="E16033" s="760"/>
      <c r="F16033" s="760"/>
      <c r="G16033" s="760"/>
      <c r="H16033" s="760"/>
      <c r="I16033" s="760"/>
      <c r="J16033" s="760"/>
      <c r="K16033" s="760"/>
    </row>
    <row r="16034" spans="1:11">
      <c r="A16034" s="760"/>
      <c r="B16034" s="760"/>
      <c r="C16034" s="760"/>
      <c r="D16034" s="760"/>
      <c r="E16034" s="760"/>
      <c r="F16034" s="760"/>
      <c r="G16034" s="760"/>
      <c r="H16034" s="760"/>
      <c r="I16034" s="760"/>
      <c r="J16034" s="760"/>
      <c r="K16034" s="760"/>
    </row>
    <row r="16035" spans="1:11">
      <c r="A16035" s="760"/>
      <c r="B16035" s="760"/>
      <c r="C16035" s="760"/>
      <c r="D16035" s="760"/>
      <c r="E16035" s="760"/>
      <c r="F16035" s="760"/>
      <c r="G16035" s="760"/>
      <c r="H16035" s="760"/>
      <c r="I16035" s="760"/>
      <c r="J16035" s="760"/>
      <c r="K16035" s="760"/>
    </row>
    <row r="16036" spans="1:11">
      <c r="A16036" s="760"/>
      <c r="B16036" s="760"/>
      <c r="C16036" s="760"/>
      <c r="D16036" s="760"/>
      <c r="E16036" s="760"/>
      <c r="F16036" s="760"/>
      <c r="G16036" s="760"/>
      <c r="H16036" s="760"/>
      <c r="I16036" s="760"/>
      <c r="J16036" s="760"/>
      <c r="K16036" s="760"/>
    </row>
    <row r="16037" spans="1:11">
      <c r="A16037" s="760"/>
      <c r="B16037" s="760"/>
      <c r="C16037" s="760"/>
      <c r="D16037" s="760"/>
      <c r="E16037" s="760"/>
      <c r="F16037" s="760"/>
      <c r="G16037" s="760"/>
      <c r="H16037" s="760"/>
      <c r="I16037" s="760"/>
      <c r="J16037" s="760"/>
      <c r="K16037" s="760"/>
    </row>
    <row r="16038" spans="1:11">
      <c r="A16038" s="760"/>
      <c r="B16038" s="760"/>
      <c r="C16038" s="760"/>
      <c r="D16038" s="760"/>
      <c r="E16038" s="760"/>
      <c r="F16038" s="760"/>
      <c r="G16038" s="760"/>
      <c r="H16038" s="760"/>
      <c r="I16038" s="760"/>
      <c r="J16038" s="760"/>
      <c r="K16038" s="760"/>
    </row>
    <row r="16039" spans="1:11">
      <c r="A16039" s="760"/>
      <c r="B16039" s="760"/>
      <c r="C16039" s="760"/>
      <c r="D16039" s="760"/>
      <c r="E16039" s="760"/>
      <c r="F16039" s="760"/>
      <c r="G16039" s="760"/>
      <c r="H16039" s="760"/>
      <c r="I16039" s="760"/>
      <c r="J16039" s="760"/>
      <c r="K16039" s="760"/>
    </row>
    <row r="16040" spans="1:11">
      <c r="A16040" s="760"/>
      <c r="B16040" s="760"/>
      <c r="C16040" s="760"/>
      <c r="D16040" s="760"/>
      <c r="E16040" s="760"/>
      <c r="F16040" s="760"/>
      <c r="G16040" s="760"/>
      <c r="H16040" s="760"/>
      <c r="I16040" s="760"/>
      <c r="J16040" s="760"/>
      <c r="K16040" s="760"/>
    </row>
    <row r="16041" spans="1:11">
      <c r="A16041" s="760"/>
      <c r="B16041" s="760"/>
      <c r="C16041" s="760"/>
      <c r="D16041" s="760"/>
      <c r="E16041" s="760"/>
      <c r="F16041" s="760"/>
      <c r="G16041" s="760"/>
      <c r="H16041" s="760"/>
      <c r="I16041" s="760"/>
      <c r="J16041" s="760"/>
      <c r="K16041" s="760"/>
    </row>
    <row r="16042" spans="1:11">
      <c r="A16042" s="760"/>
      <c r="B16042" s="760"/>
      <c r="C16042" s="760"/>
      <c r="D16042" s="760"/>
      <c r="E16042" s="760"/>
      <c r="F16042" s="760"/>
      <c r="G16042" s="760"/>
      <c r="H16042" s="760"/>
      <c r="I16042" s="760"/>
      <c r="J16042" s="760"/>
      <c r="K16042" s="760"/>
    </row>
    <row r="16043" spans="1:11">
      <c r="A16043" s="760"/>
      <c r="B16043" s="760"/>
      <c r="C16043" s="760"/>
      <c r="D16043" s="760"/>
      <c r="E16043" s="760"/>
      <c r="F16043" s="760"/>
      <c r="G16043" s="760"/>
      <c r="H16043" s="760"/>
      <c r="I16043" s="760"/>
      <c r="J16043" s="760"/>
      <c r="K16043" s="760"/>
    </row>
    <row r="16044" spans="1:11">
      <c r="A16044" s="760"/>
      <c r="B16044" s="760"/>
      <c r="C16044" s="760"/>
      <c r="D16044" s="760"/>
      <c r="E16044" s="760"/>
      <c r="F16044" s="760"/>
      <c r="G16044" s="760"/>
      <c r="H16044" s="760"/>
      <c r="I16044" s="760"/>
      <c r="J16044" s="760"/>
      <c r="K16044" s="760"/>
    </row>
    <row r="16045" spans="1:11">
      <c r="A16045" s="760"/>
      <c r="B16045" s="760"/>
      <c r="C16045" s="760"/>
      <c r="D16045" s="760"/>
      <c r="E16045" s="760"/>
      <c r="F16045" s="760"/>
      <c r="G16045" s="760"/>
      <c r="H16045" s="760"/>
      <c r="I16045" s="760"/>
      <c r="J16045" s="760"/>
      <c r="K16045" s="760"/>
    </row>
    <row r="16046" spans="1:11">
      <c r="A16046" s="760"/>
      <c r="B16046" s="760"/>
      <c r="C16046" s="760"/>
      <c r="D16046" s="760"/>
      <c r="E16046" s="760"/>
      <c r="F16046" s="760"/>
      <c r="G16046" s="760"/>
      <c r="H16046" s="760"/>
      <c r="I16046" s="760"/>
      <c r="J16046" s="760"/>
      <c r="K16046" s="760"/>
    </row>
    <row r="16047" spans="1:11">
      <c r="A16047" s="760"/>
      <c r="B16047" s="760"/>
      <c r="C16047" s="760"/>
      <c r="D16047" s="760"/>
      <c r="E16047" s="760"/>
      <c r="F16047" s="760"/>
      <c r="G16047" s="760"/>
      <c r="H16047" s="760"/>
      <c r="I16047" s="760"/>
      <c r="J16047" s="760"/>
      <c r="K16047" s="760"/>
    </row>
    <row r="16048" spans="1:11">
      <c r="A16048" s="760"/>
      <c r="B16048" s="760"/>
      <c r="C16048" s="760"/>
      <c r="D16048" s="760"/>
      <c r="E16048" s="760"/>
      <c r="F16048" s="760"/>
      <c r="G16048" s="760"/>
      <c r="H16048" s="760"/>
      <c r="I16048" s="760"/>
      <c r="J16048" s="760"/>
      <c r="K16048" s="760"/>
    </row>
    <row r="16049" spans="1:11">
      <c r="A16049" s="760"/>
      <c r="B16049" s="760"/>
      <c r="C16049" s="760"/>
      <c r="D16049" s="760"/>
      <c r="E16049" s="760"/>
      <c r="F16049" s="760"/>
      <c r="G16049" s="760"/>
      <c r="H16049" s="760"/>
      <c r="I16049" s="760"/>
      <c r="J16049" s="760"/>
      <c r="K16049" s="760"/>
    </row>
    <row r="16050" spans="1:11">
      <c r="A16050" s="760"/>
      <c r="B16050" s="760"/>
      <c r="C16050" s="760"/>
      <c r="D16050" s="760"/>
      <c r="E16050" s="760"/>
      <c r="F16050" s="760"/>
      <c r="G16050" s="760"/>
      <c r="H16050" s="760"/>
      <c r="I16050" s="760"/>
      <c r="J16050" s="760"/>
      <c r="K16050" s="760"/>
    </row>
    <row r="16051" spans="1:11">
      <c r="A16051" s="760"/>
      <c r="B16051" s="760"/>
      <c r="C16051" s="760"/>
      <c r="D16051" s="760"/>
      <c r="E16051" s="760"/>
      <c r="F16051" s="760"/>
      <c r="G16051" s="760"/>
      <c r="H16051" s="760"/>
      <c r="I16051" s="760"/>
      <c r="J16051" s="760"/>
      <c r="K16051" s="760"/>
    </row>
    <row r="16052" spans="1:11">
      <c r="A16052" s="760"/>
      <c r="B16052" s="760"/>
      <c r="C16052" s="760"/>
      <c r="D16052" s="760"/>
      <c r="E16052" s="760"/>
      <c r="F16052" s="760"/>
      <c r="G16052" s="760"/>
      <c r="H16052" s="760"/>
      <c r="I16052" s="760"/>
      <c r="J16052" s="760"/>
      <c r="K16052" s="760"/>
    </row>
    <row r="16053" spans="1:11">
      <c r="A16053" s="760"/>
      <c r="B16053" s="760"/>
      <c r="C16053" s="760"/>
      <c r="D16053" s="760"/>
      <c r="E16053" s="760"/>
      <c r="F16053" s="760"/>
      <c r="G16053" s="760"/>
      <c r="H16053" s="760"/>
      <c r="I16053" s="760"/>
      <c r="J16053" s="760"/>
      <c r="K16053" s="760"/>
    </row>
    <row r="16054" spans="1:11">
      <c r="A16054" s="760"/>
      <c r="B16054" s="760"/>
      <c r="C16054" s="760"/>
      <c r="D16054" s="760"/>
      <c r="E16054" s="760"/>
      <c r="F16054" s="760"/>
      <c r="G16054" s="760"/>
      <c r="H16054" s="760"/>
      <c r="I16054" s="760"/>
      <c r="J16054" s="760"/>
      <c r="K16054" s="760"/>
    </row>
    <row r="16055" spans="1:11">
      <c r="A16055" s="760"/>
      <c r="B16055" s="760"/>
      <c r="C16055" s="760"/>
      <c r="D16055" s="760"/>
      <c r="E16055" s="760"/>
      <c r="F16055" s="760"/>
      <c r="G16055" s="760"/>
      <c r="H16055" s="760"/>
      <c r="I16055" s="760"/>
      <c r="J16055" s="760"/>
      <c r="K16055" s="760"/>
    </row>
    <row r="16056" spans="1:11">
      <c r="A16056" s="760"/>
      <c r="B16056" s="760"/>
      <c r="C16056" s="760"/>
      <c r="D16056" s="760"/>
      <c r="E16056" s="760"/>
      <c r="F16056" s="760"/>
      <c r="G16056" s="760"/>
      <c r="H16056" s="760"/>
      <c r="I16056" s="760"/>
      <c r="J16056" s="760"/>
      <c r="K16056" s="760"/>
    </row>
    <row r="16057" spans="1:11">
      <c r="A16057" s="760"/>
      <c r="B16057" s="760"/>
      <c r="C16057" s="760"/>
      <c r="D16057" s="760"/>
      <c r="E16057" s="760"/>
      <c r="F16057" s="760"/>
      <c r="G16057" s="760"/>
      <c r="H16057" s="760"/>
      <c r="I16057" s="760"/>
      <c r="J16057" s="760"/>
      <c r="K16057" s="760"/>
    </row>
    <row r="16058" spans="1:11">
      <c r="A16058" s="760"/>
      <c r="B16058" s="760"/>
      <c r="C16058" s="760"/>
      <c r="D16058" s="760"/>
      <c r="E16058" s="760"/>
      <c r="F16058" s="760"/>
      <c r="G16058" s="760"/>
      <c r="H16058" s="760"/>
      <c r="I16058" s="760"/>
      <c r="J16058" s="760"/>
      <c r="K16058" s="760"/>
    </row>
    <row r="16059" spans="1:11">
      <c r="A16059" s="760"/>
      <c r="B16059" s="760"/>
      <c r="C16059" s="760"/>
      <c r="D16059" s="760"/>
      <c r="E16059" s="760"/>
      <c r="F16059" s="760"/>
      <c r="G16059" s="760"/>
      <c r="H16059" s="760"/>
      <c r="I16059" s="760"/>
      <c r="J16059" s="760"/>
      <c r="K16059" s="760"/>
    </row>
    <row r="16060" spans="1:11">
      <c r="A16060" s="760"/>
      <c r="B16060" s="760"/>
      <c r="C16060" s="760"/>
      <c r="D16060" s="760"/>
      <c r="E16060" s="760"/>
      <c r="F16060" s="760"/>
      <c r="G16060" s="760"/>
      <c r="H16060" s="760"/>
      <c r="I16060" s="760"/>
      <c r="J16060" s="760"/>
      <c r="K16060" s="760"/>
    </row>
    <row r="16061" spans="1:11">
      <c r="A16061" s="760"/>
      <c r="B16061" s="760"/>
      <c r="C16061" s="760"/>
      <c r="D16061" s="760"/>
      <c r="E16061" s="760"/>
      <c r="F16061" s="760"/>
      <c r="G16061" s="760"/>
      <c r="H16061" s="760"/>
      <c r="I16061" s="760"/>
      <c r="J16061" s="760"/>
      <c r="K16061" s="760"/>
    </row>
    <row r="16062" spans="1:11">
      <c r="A16062" s="760"/>
      <c r="B16062" s="760"/>
      <c r="C16062" s="760"/>
      <c r="D16062" s="760"/>
      <c r="E16062" s="760"/>
      <c r="F16062" s="760"/>
      <c r="G16062" s="760"/>
      <c r="H16062" s="760"/>
      <c r="I16062" s="760"/>
      <c r="J16062" s="760"/>
      <c r="K16062" s="760"/>
    </row>
    <row r="16063" spans="1:11">
      <c r="A16063" s="760"/>
      <c r="B16063" s="760"/>
      <c r="C16063" s="760"/>
      <c r="D16063" s="760"/>
      <c r="E16063" s="760"/>
      <c r="F16063" s="760"/>
      <c r="G16063" s="760"/>
      <c r="H16063" s="760"/>
      <c r="I16063" s="760"/>
      <c r="J16063" s="760"/>
      <c r="K16063" s="760"/>
    </row>
    <row r="16064" spans="1:11">
      <c r="A16064" s="760"/>
      <c r="B16064" s="760"/>
      <c r="C16064" s="760"/>
      <c r="D16064" s="760"/>
      <c r="E16064" s="760"/>
      <c r="F16064" s="760"/>
      <c r="G16064" s="760"/>
      <c r="H16064" s="760"/>
      <c r="I16064" s="760"/>
      <c r="J16064" s="760"/>
      <c r="K16064" s="760"/>
    </row>
    <row r="16065" spans="1:11">
      <c r="A16065" s="760"/>
      <c r="B16065" s="760"/>
      <c r="C16065" s="760"/>
      <c r="D16065" s="760"/>
      <c r="E16065" s="760"/>
      <c r="F16065" s="760"/>
      <c r="G16065" s="760"/>
      <c r="H16065" s="760"/>
      <c r="I16065" s="760"/>
      <c r="J16065" s="760"/>
      <c r="K16065" s="760"/>
    </row>
    <row r="16066" spans="1:11">
      <c r="A16066" s="760"/>
      <c r="B16066" s="760"/>
      <c r="C16066" s="760"/>
      <c r="D16066" s="760"/>
      <c r="E16066" s="760"/>
      <c r="F16066" s="760"/>
      <c r="G16066" s="760"/>
      <c r="H16066" s="760"/>
      <c r="I16066" s="760"/>
      <c r="J16066" s="760"/>
      <c r="K16066" s="760"/>
    </row>
    <row r="16067" spans="1:11">
      <c r="A16067" s="760"/>
      <c r="B16067" s="760"/>
      <c r="C16067" s="760"/>
      <c r="D16067" s="760"/>
      <c r="E16067" s="760"/>
      <c r="F16067" s="760"/>
      <c r="G16067" s="760"/>
      <c r="H16067" s="760"/>
      <c r="I16067" s="760"/>
      <c r="J16067" s="760"/>
      <c r="K16067" s="760"/>
    </row>
    <row r="16068" spans="1:11">
      <c r="A16068" s="760"/>
      <c r="B16068" s="760"/>
      <c r="C16068" s="760"/>
      <c r="D16068" s="760"/>
      <c r="E16068" s="760"/>
      <c r="F16068" s="760"/>
      <c r="G16068" s="760"/>
      <c r="H16068" s="760"/>
      <c r="I16068" s="760"/>
      <c r="J16068" s="760"/>
      <c r="K16068" s="760"/>
    </row>
    <row r="16069" spans="1:11">
      <c r="A16069" s="760"/>
      <c r="B16069" s="760"/>
      <c r="C16069" s="760"/>
      <c r="D16069" s="760"/>
      <c r="E16069" s="760"/>
      <c r="F16069" s="760"/>
      <c r="G16069" s="760"/>
      <c r="H16069" s="760"/>
      <c r="I16069" s="760"/>
      <c r="J16069" s="760"/>
      <c r="K16069" s="760"/>
    </row>
    <row r="16070" spans="1:11">
      <c r="A16070" s="760"/>
      <c r="B16070" s="760"/>
      <c r="C16070" s="760"/>
      <c r="D16070" s="760"/>
      <c r="E16070" s="760"/>
      <c r="F16070" s="760"/>
      <c r="G16070" s="760"/>
      <c r="H16070" s="760"/>
      <c r="I16070" s="760"/>
      <c r="J16070" s="760"/>
      <c r="K16070" s="760"/>
    </row>
    <row r="16071" spans="1:11">
      <c r="A16071" s="760"/>
      <c r="B16071" s="760"/>
      <c r="C16071" s="760"/>
      <c r="D16071" s="760"/>
      <c r="E16071" s="760"/>
      <c r="F16071" s="760"/>
      <c r="G16071" s="760"/>
      <c r="H16071" s="760"/>
      <c r="I16071" s="760"/>
      <c r="J16071" s="760"/>
      <c r="K16071" s="760"/>
    </row>
    <row r="16072" spans="1:11">
      <c r="A16072" s="760"/>
      <c r="B16072" s="760"/>
      <c r="C16072" s="760"/>
      <c r="D16072" s="760"/>
      <c r="E16072" s="760"/>
      <c r="F16072" s="760"/>
      <c r="G16072" s="760"/>
      <c r="H16072" s="760"/>
      <c r="I16072" s="760"/>
      <c r="J16072" s="760"/>
      <c r="K16072" s="760"/>
    </row>
    <row r="16073" spans="1:11">
      <c r="A16073" s="760"/>
      <c r="B16073" s="760"/>
      <c r="C16073" s="760"/>
      <c r="D16073" s="760"/>
      <c r="E16073" s="760"/>
      <c r="F16073" s="760"/>
      <c r="G16073" s="760"/>
      <c r="H16073" s="760"/>
      <c r="I16073" s="760"/>
      <c r="J16073" s="760"/>
      <c r="K16073" s="760"/>
    </row>
    <row r="16074" spans="1:11">
      <c r="A16074" s="760"/>
      <c r="B16074" s="760"/>
      <c r="C16074" s="760"/>
      <c r="D16074" s="760"/>
      <c r="E16074" s="760"/>
      <c r="F16074" s="760"/>
      <c r="G16074" s="760"/>
      <c r="H16074" s="760"/>
      <c r="I16074" s="760"/>
      <c r="J16074" s="760"/>
      <c r="K16074" s="760"/>
    </row>
    <row r="16075" spans="1:11">
      <c r="A16075" s="760"/>
      <c r="B16075" s="760"/>
      <c r="C16075" s="760"/>
      <c r="D16075" s="760"/>
      <c r="E16075" s="760"/>
      <c r="F16075" s="760"/>
      <c r="G16075" s="760"/>
      <c r="H16075" s="760"/>
      <c r="I16075" s="760"/>
      <c r="J16075" s="760"/>
      <c r="K16075" s="760"/>
    </row>
    <row r="16076" spans="1:11">
      <c r="A16076" s="760"/>
      <c r="B16076" s="760"/>
      <c r="C16076" s="760"/>
      <c r="D16076" s="760"/>
      <c r="E16076" s="760"/>
      <c r="F16076" s="760"/>
      <c r="G16076" s="760"/>
      <c r="H16076" s="760"/>
      <c r="I16076" s="760"/>
      <c r="J16076" s="760"/>
      <c r="K16076" s="760"/>
    </row>
    <row r="16077" spans="1:11">
      <c r="A16077" s="760"/>
      <c r="B16077" s="760"/>
      <c r="C16077" s="760"/>
      <c r="D16077" s="760"/>
      <c r="E16077" s="760"/>
      <c r="F16077" s="760"/>
      <c r="G16077" s="760"/>
      <c r="H16077" s="760"/>
      <c r="I16077" s="760"/>
      <c r="J16077" s="760"/>
      <c r="K16077" s="760"/>
    </row>
    <row r="16078" spans="1:11">
      <c r="A16078" s="760"/>
      <c r="B16078" s="760"/>
      <c r="C16078" s="760"/>
      <c r="D16078" s="760"/>
      <c r="E16078" s="760"/>
      <c r="F16078" s="760"/>
      <c r="G16078" s="760"/>
      <c r="H16078" s="760"/>
      <c r="I16078" s="760"/>
      <c r="J16078" s="760"/>
      <c r="K16078" s="760"/>
    </row>
    <row r="16079" spans="1:11">
      <c r="A16079" s="760"/>
      <c r="B16079" s="760"/>
      <c r="C16079" s="760"/>
      <c r="D16079" s="760"/>
      <c r="E16079" s="760"/>
      <c r="F16079" s="760"/>
      <c r="G16079" s="760"/>
      <c r="H16079" s="760"/>
      <c r="I16079" s="760"/>
      <c r="J16079" s="760"/>
      <c r="K16079" s="760"/>
    </row>
    <row r="16080" spans="1:11">
      <c r="A16080" s="760"/>
      <c r="B16080" s="760"/>
      <c r="C16080" s="760"/>
      <c r="D16080" s="760"/>
      <c r="E16080" s="760"/>
      <c r="F16080" s="760"/>
      <c r="G16080" s="760"/>
      <c r="H16080" s="760"/>
      <c r="I16080" s="760"/>
      <c r="J16080" s="760"/>
      <c r="K16080" s="760"/>
    </row>
    <row r="16081" spans="1:11">
      <c r="A16081" s="760"/>
      <c r="B16081" s="760"/>
      <c r="C16081" s="760"/>
      <c r="D16081" s="760"/>
      <c r="E16081" s="760"/>
      <c r="F16081" s="760"/>
      <c r="G16081" s="760"/>
      <c r="H16081" s="760"/>
      <c r="I16081" s="760"/>
      <c r="J16081" s="760"/>
      <c r="K16081" s="760"/>
    </row>
    <row r="16082" spans="1:11">
      <c r="A16082" s="760"/>
      <c r="B16082" s="760"/>
      <c r="C16082" s="760"/>
      <c r="D16082" s="760"/>
      <c r="E16082" s="760"/>
      <c r="F16082" s="760"/>
      <c r="G16082" s="760"/>
      <c r="H16082" s="760"/>
      <c r="I16082" s="760"/>
      <c r="J16082" s="760"/>
      <c r="K16082" s="760"/>
    </row>
    <row r="16083" spans="1:11">
      <c r="A16083" s="760"/>
      <c r="B16083" s="760"/>
      <c r="C16083" s="760"/>
      <c r="D16083" s="760"/>
      <c r="E16083" s="760"/>
      <c r="F16083" s="760"/>
      <c r="G16083" s="760"/>
      <c r="H16083" s="760"/>
      <c r="I16083" s="760"/>
      <c r="J16083" s="760"/>
      <c r="K16083" s="760"/>
    </row>
    <row r="16084" spans="1:11">
      <c r="A16084" s="760"/>
      <c r="B16084" s="760"/>
      <c r="C16084" s="760"/>
      <c r="D16084" s="760"/>
      <c r="E16084" s="760"/>
      <c r="F16084" s="760"/>
      <c r="G16084" s="760"/>
      <c r="H16084" s="760"/>
      <c r="I16084" s="760"/>
      <c r="J16084" s="760"/>
      <c r="K16084" s="760"/>
    </row>
    <row r="16085" spans="1:11">
      <c r="A16085" s="760"/>
      <c r="B16085" s="760"/>
      <c r="C16085" s="760"/>
      <c r="D16085" s="760"/>
      <c r="E16085" s="760"/>
      <c r="F16085" s="760"/>
      <c r="G16085" s="760"/>
      <c r="H16085" s="760"/>
      <c r="I16085" s="760"/>
      <c r="J16085" s="760"/>
      <c r="K16085" s="760"/>
    </row>
    <row r="16086" spans="1:11">
      <c r="A16086" s="760"/>
      <c r="B16086" s="760"/>
      <c r="C16086" s="760"/>
      <c r="D16086" s="760"/>
      <c r="E16086" s="760"/>
      <c r="F16086" s="760"/>
      <c r="G16086" s="760"/>
      <c r="H16086" s="760"/>
      <c r="I16086" s="760"/>
      <c r="J16086" s="760"/>
      <c r="K16086" s="760"/>
    </row>
    <row r="16087" spans="1:11">
      <c r="A16087" s="760"/>
      <c r="B16087" s="760"/>
      <c r="C16087" s="760"/>
      <c r="D16087" s="760"/>
      <c r="E16087" s="760"/>
      <c r="F16087" s="760"/>
      <c r="G16087" s="760"/>
      <c r="H16087" s="760"/>
      <c r="I16087" s="760"/>
      <c r="J16087" s="760"/>
      <c r="K16087" s="760"/>
    </row>
    <row r="16088" spans="1:11">
      <c r="A16088" s="760"/>
      <c r="B16088" s="760"/>
      <c r="C16088" s="760"/>
      <c r="D16088" s="760"/>
      <c r="E16088" s="760"/>
      <c r="F16088" s="760"/>
      <c r="G16088" s="760"/>
      <c r="H16088" s="760"/>
      <c r="I16088" s="760"/>
      <c r="J16088" s="760"/>
      <c r="K16088" s="760"/>
    </row>
    <row r="16089" spans="1:11">
      <c r="A16089" s="760"/>
      <c r="B16089" s="760"/>
      <c r="C16089" s="760"/>
      <c r="D16089" s="760"/>
      <c r="E16089" s="760"/>
      <c r="F16089" s="760"/>
      <c r="G16089" s="760"/>
      <c r="H16089" s="760"/>
      <c r="I16089" s="760"/>
      <c r="J16089" s="760"/>
      <c r="K16089" s="760"/>
    </row>
    <row r="16090" spans="1:11">
      <c r="A16090" s="760"/>
      <c r="B16090" s="760"/>
      <c r="C16090" s="760"/>
      <c r="D16090" s="760"/>
      <c r="E16090" s="760"/>
      <c r="F16090" s="760"/>
      <c r="G16090" s="760"/>
      <c r="H16090" s="760"/>
      <c r="I16090" s="760"/>
      <c r="J16090" s="760"/>
      <c r="K16090" s="760"/>
    </row>
    <row r="16091" spans="1:11">
      <c r="A16091" s="760"/>
      <c r="B16091" s="760"/>
      <c r="C16091" s="760"/>
      <c r="D16091" s="760"/>
      <c r="E16091" s="760"/>
      <c r="F16091" s="760"/>
      <c r="G16091" s="760"/>
      <c r="H16091" s="760"/>
      <c r="I16091" s="760"/>
      <c r="J16091" s="760"/>
      <c r="K16091" s="760"/>
    </row>
    <row r="16092" spans="1:11">
      <c r="A16092" s="760"/>
      <c r="B16092" s="760"/>
      <c r="C16092" s="760"/>
      <c r="D16092" s="760"/>
      <c r="E16092" s="760"/>
      <c r="F16092" s="760"/>
      <c r="G16092" s="760"/>
      <c r="H16092" s="760"/>
      <c r="I16092" s="760"/>
      <c r="J16092" s="760"/>
      <c r="K16092" s="760"/>
    </row>
    <row r="16093" spans="1:11">
      <c r="A16093" s="760"/>
      <c r="B16093" s="760"/>
      <c r="C16093" s="760"/>
      <c r="D16093" s="760"/>
      <c r="E16093" s="760"/>
      <c r="F16093" s="760"/>
      <c r="G16093" s="760"/>
      <c r="H16093" s="760"/>
      <c r="I16093" s="760"/>
      <c r="J16093" s="760"/>
      <c r="K16093" s="760"/>
    </row>
    <row r="16094" spans="1:11">
      <c r="A16094" s="760"/>
      <c r="B16094" s="760"/>
      <c r="C16094" s="760"/>
      <c r="D16094" s="760"/>
      <c r="E16094" s="760"/>
      <c r="F16094" s="760"/>
      <c r="G16094" s="760"/>
      <c r="H16094" s="760"/>
      <c r="I16094" s="760"/>
      <c r="J16094" s="760"/>
      <c r="K16094" s="760"/>
    </row>
    <row r="16095" spans="1:11">
      <c r="A16095" s="760"/>
      <c r="B16095" s="760"/>
      <c r="C16095" s="760"/>
      <c r="D16095" s="760"/>
      <c r="E16095" s="760"/>
      <c r="F16095" s="760"/>
      <c r="G16095" s="760"/>
      <c r="H16095" s="760"/>
      <c r="I16095" s="760"/>
      <c r="J16095" s="760"/>
      <c r="K16095" s="760"/>
    </row>
    <row r="16096" spans="1:11">
      <c r="A16096" s="760"/>
      <c r="B16096" s="760"/>
      <c r="C16096" s="760"/>
      <c r="D16096" s="760"/>
      <c r="E16096" s="760"/>
      <c r="F16096" s="760"/>
      <c r="G16096" s="760"/>
      <c r="H16096" s="760"/>
      <c r="I16096" s="760"/>
      <c r="J16096" s="760"/>
      <c r="K16096" s="760"/>
    </row>
    <row r="16097" spans="1:11">
      <c r="A16097" s="760"/>
      <c r="B16097" s="760"/>
      <c r="C16097" s="760"/>
      <c r="D16097" s="760"/>
      <c r="E16097" s="760"/>
      <c r="F16097" s="760"/>
      <c r="G16097" s="760"/>
      <c r="H16097" s="760"/>
      <c r="I16097" s="760"/>
      <c r="J16097" s="760"/>
      <c r="K16097" s="760"/>
    </row>
    <row r="16098" spans="1:11">
      <c r="A16098" s="760"/>
      <c r="B16098" s="760"/>
      <c r="C16098" s="760"/>
      <c r="D16098" s="760"/>
      <c r="E16098" s="760"/>
      <c r="F16098" s="760"/>
      <c r="G16098" s="760"/>
      <c r="H16098" s="760"/>
      <c r="I16098" s="760"/>
      <c r="J16098" s="760"/>
      <c r="K16098" s="760"/>
    </row>
    <row r="16099" spans="1:11">
      <c r="A16099" s="760"/>
      <c r="B16099" s="760"/>
      <c r="C16099" s="760"/>
      <c r="D16099" s="760"/>
      <c r="E16099" s="760"/>
      <c r="F16099" s="760"/>
      <c r="G16099" s="760"/>
      <c r="H16099" s="760"/>
      <c r="I16099" s="760"/>
      <c r="J16099" s="760"/>
      <c r="K16099" s="760"/>
    </row>
    <row r="16100" spans="1:11">
      <c r="A16100" s="760"/>
      <c r="B16100" s="760"/>
      <c r="C16100" s="760"/>
      <c r="D16100" s="760"/>
      <c r="E16100" s="760"/>
      <c r="F16100" s="760"/>
      <c r="G16100" s="760"/>
      <c r="H16100" s="760"/>
      <c r="I16100" s="760"/>
      <c r="J16100" s="760"/>
      <c r="K16100" s="760"/>
    </row>
    <row r="16101" spans="1:11">
      <c r="A16101" s="760"/>
      <c r="B16101" s="760"/>
      <c r="C16101" s="760"/>
      <c r="D16101" s="760"/>
      <c r="E16101" s="760"/>
      <c r="F16101" s="760"/>
      <c r="G16101" s="760"/>
      <c r="H16101" s="760"/>
      <c r="I16101" s="760"/>
      <c r="J16101" s="760"/>
      <c r="K16101" s="760"/>
    </row>
    <row r="16102" spans="1:11">
      <c r="A16102" s="760"/>
      <c r="B16102" s="760"/>
      <c r="C16102" s="760"/>
      <c r="D16102" s="760"/>
      <c r="E16102" s="760"/>
      <c r="F16102" s="760"/>
      <c r="G16102" s="760"/>
      <c r="H16102" s="760"/>
      <c r="I16102" s="760"/>
      <c r="J16102" s="760"/>
      <c r="K16102" s="760"/>
    </row>
    <row r="16103" spans="1:11">
      <c r="A16103" s="760"/>
      <c r="B16103" s="760"/>
      <c r="C16103" s="760"/>
      <c r="D16103" s="760"/>
      <c r="E16103" s="760"/>
      <c r="F16103" s="760"/>
      <c r="G16103" s="760"/>
      <c r="H16103" s="760"/>
      <c r="I16103" s="760"/>
      <c r="J16103" s="760"/>
      <c r="K16103" s="760"/>
    </row>
    <row r="16104" spans="1:11">
      <c r="A16104" s="760"/>
      <c r="B16104" s="760"/>
      <c r="C16104" s="760"/>
      <c r="D16104" s="760"/>
      <c r="E16104" s="760"/>
      <c r="F16104" s="760"/>
      <c r="G16104" s="760"/>
      <c r="H16104" s="760"/>
      <c r="I16104" s="760"/>
      <c r="J16104" s="760"/>
      <c r="K16104" s="760"/>
    </row>
    <row r="16105" spans="1:11">
      <c r="A16105" s="760"/>
      <c r="B16105" s="760"/>
      <c r="C16105" s="760"/>
      <c r="D16105" s="760"/>
      <c r="E16105" s="760"/>
      <c r="F16105" s="760"/>
      <c r="G16105" s="760"/>
      <c r="H16105" s="760"/>
      <c r="I16105" s="760"/>
      <c r="J16105" s="760"/>
      <c r="K16105" s="760"/>
    </row>
    <row r="16106" spans="1:11">
      <c r="A16106" s="760"/>
      <c r="B16106" s="760"/>
      <c r="C16106" s="760"/>
      <c r="D16106" s="760"/>
      <c r="E16106" s="760"/>
      <c r="F16106" s="760"/>
      <c r="G16106" s="760"/>
      <c r="H16106" s="760"/>
      <c r="I16106" s="760"/>
      <c r="J16106" s="760"/>
      <c r="K16106" s="760"/>
    </row>
    <row r="16107" spans="1:11">
      <c r="A16107" s="760"/>
      <c r="B16107" s="760"/>
      <c r="C16107" s="760"/>
      <c r="D16107" s="760"/>
      <c r="E16107" s="760"/>
      <c r="F16107" s="760"/>
      <c r="G16107" s="760"/>
      <c r="H16107" s="760"/>
      <c r="I16107" s="760"/>
      <c r="J16107" s="760"/>
      <c r="K16107" s="760"/>
    </row>
    <row r="16108" spans="1:11">
      <c r="A16108" s="760"/>
      <c r="B16108" s="760"/>
      <c r="C16108" s="760"/>
      <c r="D16108" s="760"/>
      <c r="E16108" s="760"/>
      <c r="F16108" s="760"/>
      <c r="G16108" s="760"/>
      <c r="H16108" s="760"/>
      <c r="I16108" s="760"/>
      <c r="J16108" s="760"/>
      <c r="K16108" s="760"/>
    </row>
    <row r="16109" spans="1:11">
      <c r="A16109" s="760"/>
      <c r="B16109" s="760"/>
      <c r="C16109" s="760"/>
      <c r="D16109" s="760"/>
      <c r="E16109" s="760"/>
      <c r="F16109" s="760"/>
      <c r="G16109" s="760"/>
      <c r="H16109" s="760"/>
      <c r="I16109" s="760"/>
      <c r="J16109" s="760"/>
      <c r="K16109" s="760"/>
    </row>
    <row r="16110" spans="1:11">
      <c r="A16110" s="760"/>
      <c r="B16110" s="760"/>
      <c r="C16110" s="760"/>
      <c r="D16110" s="760"/>
      <c r="E16110" s="760"/>
      <c r="F16110" s="760"/>
      <c r="G16110" s="760"/>
      <c r="H16110" s="760"/>
      <c r="I16110" s="760"/>
      <c r="J16110" s="760"/>
      <c r="K16110" s="760"/>
    </row>
    <row r="16111" spans="1:11">
      <c r="A16111" s="760"/>
      <c r="B16111" s="760"/>
      <c r="C16111" s="760"/>
      <c r="D16111" s="760"/>
      <c r="E16111" s="760"/>
      <c r="F16111" s="760"/>
      <c r="G16111" s="760"/>
      <c r="H16111" s="760"/>
      <c r="I16111" s="760"/>
      <c r="J16111" s="760"/>
      <c r="K16111" s="760"/>
    </row>
    <row r="16112" spans="1:11">
      <c r="A16112" s="760"/>
      <c r="B16112" s="760"/>
      <c r="C16112" s="760"/>
      <c r="D16112" s="760"/>
      <c r="E16112" s="760"/>
      <c r="F16112" s="760"/>
      <c r="G16112" s="760"/>
      <c r="H16112" s="760"/>
      <c r="I16112" s="760"/>
      <c r="J16112" s="760"/>
      <c r="K16112" s="760"/>
    </row>
    <row r="16113" spans="1:11">
      <c r="A16113" s="760"/>
      <c r="B16113" s="760"/>
      <c r="C16113" s="760"/>
      <c r="D16113" s="760"/>
      <c r="E16113" s="760"/>
      <c r="F16113" s="760"/>
      <c r="G16113" s="760"/>
      <c r="H16113" s="760"/>
      <c r="I16113" s="760"/>
      <c r="J16113" s="760"/>
      <c r="K16113" s="760"/>
    </row>
    <row r="16114" spans="1:11">
      <c r="A16114" s="760"/>
      <c r="B16114" s="760"/>
      <c r="C16114" s="760"/>
      <c r="D16114" s="760"/>
      <c r="E16114" s="760"/>
      <c r="F16114" s="760"/>
      <c r="G16114" s="760"/>
      <c r="H16114" s="760"/>
      <c r="I16114" s="760"/>
      <c r="J16114" s="760"/>
      <c r="K16114" s="760"/>
    </row>
    <row r="16115" spans="1:11">
      <c r="A16115" s="760"/>
      <c r="B16115" s="760"/>
      <c r="C16115" s="760"/>
      <c r="D16115" s="760"/>
      <c r="E16115" s="760"/>
      <c r="F16115" s="760"/>
      <c r="G16115" s="760"/>
      <c r="H16115" s="760"/>
      <c r="I16115" s="760"/>
      <c r="J16115" s="760"/>
      <c r="K16115" s="760"/>
    </row>
    <row r="16116" spans="1:11">
      <c r="A16116" s="760"/>
      <c r="B16116" s="760"/>
      <c r="C16116" s="760"/>
      <c r="D16116" s="760"/>
      <c r="E16116" s="760"/>
      <c r="F16116" s="760"/>
      <c r="G16116" s="760"/>
      <c r="H16116" s="760"/>
      <c r="I16116" s="760"/>
      <c r="J16116" s="760"/>
      <c r="K16116" s="760"/>
    </row>
    <row r="16117" spans="1:11">
      <c r="A16117" s="760"/>
      <c r="B16117" s="760"/>
      <c r="C16117" s="760"/>
      <c r="D16117" s="760"/>
      <c r="E16117" s="760"/>
      <c r="F16117" s="760"/>
      <c r="G16117" s="760"/>
      <c r="H16117" s="760"/>
      <c r="I16117" s="760"/>
      <c r="J16117" s="760"/>
      <c r="K16117" s="760"/>
    </row>
    <row r="16118" spans="1:11">
      <c r="A16118" s="760"/>
      <c r="B16118" s="760"/>
      <c r="C16118" s="760"/>
      <c r="D16118" s="760"/>
      <c r="E16118" s="760"/>
      <c r="F16118" s="760"/>
      <c r="G16118" s="760"/>
      <c r="H16118" s="760"/>
      <c r="I16118" s="760"/>
      <c r="J16118" s="760"/>
      <c r="K16118" s="760"/>
    </row>
    <row r="16119" spans="1:11">
      <c r="A16119" s="760"/>
      <c r="B16119" s="760"/>
      <c r="C16119" s="760"/>
      <c r="D16119" s="760"/>
      <c r="E16119" s="760"/>
      <c r="F16119" s="760"/>
      <c r="G16119" s="760"/>
      <c r="H16119" s="760"/>
      <c r="I16119" s="760"/>
      <c r="J16119" s="760"/>
      <c r="K16119" s="760"/>
    </row>
    <row r="16120" spans="1:11">
      <c r="A16120" s="760"/>
      <c r="B16120" s="760"/>
      <c r="C16120" s="760"/>
      <c r="D16120" s="760"/>
      <c r="E16120" s="760"/>
      <c r="F16120" s="760"/>
      <c r="G16120" s="760"/>
      <c r="H16120" s="760"/>
      <c r="I16120" s="760"/>
      <c r="J16120" s="760"/>
      <c r="K16120" s="760"/>
    </row>
    <row r="16121" spans="1:11">
      <c r="A16121" s="760"/>
      <c r="B16121" s="760"/>
      <c r="C16121" s="760"/>
      <c r="D16121" s="760"/>
      <c r="E16121" s="760"/>
      <c r="F16121" s="760"/>
      <c r="G16121" s="760"/>
      <c r="H16121" s="760"/>
      <c r="I16121" s="760"/>
      <c r="J16121" s="760"/>
      <c r="K16121" s="760"/>
    </row>
    <row r="16122" spans="1:11">
      <c r="A16122" s="760"/>
      <c r="B16122" s="760"/>
      <c r="C16122" s="760"/>
      <c r="D16122" s="760"/>
      <c r="E16122" s="760"/>
      <c r="F16122" s="760"/>
      <c r="G16122" s="760"/>
      <c r="H16122" s="760"/>
      <c r="I16122" s="760"/>
      <c r="J16122" s="760"/>
      <c r="K16122" s="760"/>
    </row>
    <row r="16123" spans="1:11">
      <c r="A16123" s="760"/>
      <c r="B16123" s="760"/>
      <c r="C16123" s="760"/>
      <c r="D16123" s="760"/>
      <c r="E16123" s="760"/>
      <c r="F16123" s="760"/>
      <c r="G16123" s="760"/>
      <c r="H16123" s="760"/>
      <c r="I16123" s="760"/>
      <c r="J16123" s="760"/>
      <c r="K16123" s="760"/>
    </row>
    <row r="16124" spans="1:11">
      <c r="A16124" s="760"/>
      <c r="B16124" s="760"/>
      <c r="C16124" s="760"/>
      <c r="D16124" s="760"/>
      <c r="E16124" s="760"/>
      <c r="F16124" s="760"/>
      <c r="G16124" s="760"/>
      <c r="H16124" s="760"/>
      <c r="I16124" s="760"/>
      <c r="J16124" s="760"/>
      <c r="K16124" s="760"/>
    </row>
    <row r="16125" spans="1:11">
      <c r="A16125" s="760"/>
      <c r="B16125" s="760"/>
      <c r="C16125" s="760"/>
      <c r="D16125" s="760"/>
      <c r="E16125" s="760"/>
      <c r="F16125" s="760"/>
      <c r="G16125" s="760"/>
      <c r="H16125" s="760"/>
      <c r="I16125" s="760"/>
      <c r="J16125" s="760"/>
      <c r="K16125" s="760"/>
    </row>
    <row r="16126" spans="1:11">
      <c r="A16126" s="760"/>
      <c r="B16126" s="760"/>
      <c r="C16126" s="760"/>
      <c r="D16126" s="760"/>
      <c r="E16126" s="760"/>
      <c r="F16126" s="760"/>
      <c r="G16126" s="760"/>
      <c r="H16126" s="760"/>
      <c r="I16126" s="760"/>
      <c r="J16126" s="760"/>
      <c r="K16126" s="760"/>
    </row>
    <row r="16127" spans="1:11">
      <c r="A16127" s="760"/>
      <c r="B16127" s="760"/>
      <c r="C16127" s="760"/>
      <c r="D16127" s="760"/>
      <c r="E16127" s="760"/>
      <c r="F16127" s="760"/>
      <c r="G16127" s="760"/>
      <c r="H16127" s="760"/>
      <c r="I16127" s="760"/>
      <c r="J16127" s="760"/>
      <c r="K16127" s="760"/>
    </row>
    <row r="16128" spans="1:11">
      <c r="A16128" s="760"/>
      <c r="B16128" s="760"/>
      <c r="C16128" s="760"/>
      <c r="D16128" s="760"/>
      <c r="E16128" s="760"/>
      <c r="F16128" s="760"/>
      <c r="G16128" s="760"/>
      <c r="H16128" s="760"/>
      <c r="I16128" s="760"/>
      <c r="J16128" s="760"/>
      <c r="K16128" s="760"/>
    </row>
    <row r="16129" spans="1:11">
      <c r="A16129" s="760"/>
      <c r="B16129" s="760"/>
      <c r="C16129" s="760"/>
      <c r="D16129" s="760"/>
      <c r="E16129" s="760"/>
      <c r="F16129" s="760"/>
      <c r="G16129" s="760"/>
      <c r="H16129" s="760"/>
      <c r="I16129" s="760"/>
      <c r="J16129" s="760"/>
      <c r="K16129" s="760"/>
    </row>
    <row r="16130" spans="1:11">
      <c r="A16130" s="760"/>
      <c r="B16130" s="760"/>
      <c r="C16130" s="760"/>
      <c r="D16130" s="760"/>
      <c r="E16130" s="760"/>
      <c r="F16130" s="760"/>
      <c r="G16130" s="760"/>
      <c r="H16130" s="760"/>
      <c r="I16130" s="760"/>
      <c r="J16130" s="760"/>
      <c r="K16130" s="760"/>
    </row>
    <row r="16131" spans="1:11">
      <c r="A16131" s="760"/>
      <c r="B16131" s="760"/>
      <c r="C16131" s="760"/>
      <c r="D16131" s="760"/>
      <c r="E16131" s="760"/>
      <c r="F16131" s="760"/>
      <c r="G16131" s="760"/>
      <c r="H16131" s="760"/>
      <c r="I16131" s="760"/>
      <c r="J16131" s="760"/>
      <c r="K16131" s="760"/>
    </row>
    <row r="16132" spans="1:11">
      <c r="A16132" s="760"/>
      <c r="B16132" s="760"/>
      <c r="C16132" s="760"/>
      <c r="D16132" s="760"/>
      <c r="E16132" s="760"/>
      <c r="F16132" s="760"/>
      <c r="G16132" s="760"/>
      <c r="H16132" s="760"/>
      <c r="I16132" s="760"/>
      <c r="J16132" s="760"/>
      <c r="K16132" s="760"/>
    </row>
    <row r="16133" spans="1:11">
      <c r="A16133" s="760"/>
      <c r="B16133" s="760"/>
      <c r="C16133" s="760"/>
      <c r="D16133" s="760"/>
      <c r="E16133" s="760"/>
      <c r="F16133" s="760"/>
      <c r="G16133" s="760"/>
      <c r="H16133" s="760"/>
      <c r="I16133" s="760"/>
      <c r="J16133" s="760"/>
      <c r="K16133" s="760"/>
    </row>
    <row r="16134" spans="1:11">
      <c r="A16134" s="760"/>
      <c r="B16134" s="760"/>
      <c r="C16134" s="760"/>
      <c r="D16134" s="760"/>
      <c r="E16134" s="760"/>
      <c r="F16134" s="760"/>
      <c r="G16134" s="760"/>
      <c r="H16134" s="760"/>
      <c r="I16134" s="760"/>
      <c r="J16134" s="760"/>
      <c r="K16134" s="760"/>
    </row>
    <row r="16135" spans="1:11">
      <c r="A16135" s="760"/>
      <c r="B16135" s="760"/>
      <c r="C16135" s="760"/>
      <c r="D16135" s="760"/>
      <c r="E16135" s="760"/>
      <c r="F16135" s="760"/>
      <c r="G16135" s="760"/>
      <c r="H16135" s="760"/>
      <c r="I16135" s="760"/>
      <c r="J16135" s="760"/>
      <c r="K16135" s="760"/>
    </row>
    <row r="16136" spans="1:11">
      <c r="A16136" s="760"/>
      <c r="B16136" s="760"/>
      <c r="C16136" s="760"/>
      <c r="D16136" s="760"/>
      <c r="E16136" s="760"/>
      <c r="F16136" s="760"/>
      <c r="G16136" s="760"/>
      <c r="H16136" s="760"/>
      <c r="I16136" s="760"/>
      <c r="J16136" s="760"/>
      <c r="K16136" s="760"/>
    </row>
    <row r="16137" spans="1:11">
      <c r="A16137" s="760"/>
      <c r="B16137" s="760"/>
      <c r="C16137" s="760"/>
      <c r="D16137" s="760"/>
      <c r="E16137" s="760"/>
      <c r="F16137" s="760"/>
      <c r="G16137" s="760"/>
      <c r="H16137" s="760"/>
      <c r="I16137" s="760"/>
      <c r="J16137" s="760"/>
      <c r="K16137" s="760"/>
    </row>
    <row r="16138" spans="1:11">
      <c r="A16138" s="760"/>
      <c r="B16138" s="760"/>
      <c r="C16138" s="760"/>
      <c r="D16138" s="760"/>
      <c r="E16138" s="760"/>
      <c r="F16138" s="760"/>
      <c r="G16138" s="760"/>
      <c r="H16138" s="760"/>
      <c r="I16138" s="760"/>
      <c r="J16138" s="760"/>
      <c r="K16138" s="760"/>
    </row>
    <row r="16139" spans="1:11">
      <c r="A16139" s="760"/>
      <c r="B16139" s="760"/>
      <c r="C16139" s="760"/>
      <c r="D16139" s="760"/>
      <c r="E16139" s="760"/>
      <c r="F16139" s="760"/>
      <c r="G16139" s="760"/>
      <c r="H16139" s="760"/>
      <c r="I16139" s="760"/>
      <c r="J16139" s="760"/>
      <c r="K16139" s="760"/>
    </row>
    <row r="16140" spans="1:11">
      <c r="A16140" s="760"/>
      <c r="B16140" s="760"/>
      <c r="C16140" s="760"/>
      <c r="D16140" s="760"/>
      <c r="E16140" s="760"/>
      <c r="F16140" s="760"/>
      <c r="G16140" s="760"/>
      <c r="H16140" s="760"/>
      <c r="I16140" s="760"/>
      <c r="J16140" s="760"/>
      <c r="K16140" s="760"/>
    </row>
    <row r="16141" spans="1:11">
      <c r="A16141" s="760"/>
      <c r="B16141" s="760"/>
      <c r="C16141" s="760"/>
      <c r="D16141" s="760"/>
      <c r="E16141" s="760"/>
      <c r="F16141" s="760"/>
      <c r="G16141" s="760"/>
      <c r="H16141" s="760"/>
      <c r="I16141" s="760"/>
      <c r="J16141" s="760"/>
      <c r="K16141" s="760"/>
    </row>
    <row r="16142" spans="1:11">
      <c r="A16142" s="760"/>
      <c r="B16142" s="760"/>
      <c r="C16142" s="760"/>
      <c r="D16142" s="760"/>
      <c r="E16142" s="760"/>
      <c r="F16142" s="760"/>
      <c r="G16142" s="760"/>
      <c r="H16142" s="760"/>
      <c r="I16142" s="760"/>
      <c r="J16142" s="760"/>
      <c r="K16142" s="760"/>
    </row>
    <row r="16143" spans="1:11">
      <c r="A16143" s="760"/>
      <c r="B16143" s="760"/>
      <c r="C16143" s="760"/>
      <c r="D16143" s="760"/>
      <c r="E16143" s="760"/>
      <c r="F16143" s="760"/>
      <c r="G16143" s="760"/>
      <c r="H16143" s="760"/>
      <c r="I16143" s="760"/>
      <c r="J16143" s="760"/>
      <c r="K16143" s="760"/>
    </row>
    <row r="16144" spans="1:11">
      <c r="A16144" s="760"/>
      <c r="B16144" s="760"/>
      <c r="C16144" s="760"/>
      <c r="D16144" s="760"/>
      <c r="E16144" s="760"/>
      <c r="F16144" s="760"/>
      <c r="G16144" s="760"/>
      <c r="H16144" s="760"/>
      <c r="I16144" s="760"/>
      <c r="J16144" s="760"/>
      <c r="K16144" s="760"/>
    </row>
    <row r="16145" spans="1:11">
      <c r="A16145" s="760"/>
      <c r="B16145" s="760"/>
      <c r="C16145" s="760"/>
      <c r="D16145" s="760"/>
      <c r="E16145" s="760"/>
      <c r="F16145" s="760"/>
      <c r="G16145" s="760"/>
      <c r="H16145" s="760"/>
      <c r="I16145" s="760"/>
      <c r="J16145" s="760"/>
      <c r="K16145" s="760"/>
    </row>
    <row r="16146" spans="1:11">
      <c r="A16146" s="760"/>
      <c r="B16146" s="760"/>
      <c r="C16146" s="760"/>
      <c r="D16146" s="760"/>
      <c r="E16146" s="760"/>
      <c r="F16146" s="760"/>
      <c r="G16146" s="760"/>
      <c r="H16146" s="760"/>
      <c r="I16146" s="760"/>
      <c r="J16146" s="760"/>
      <c r="K16146" s="760"/>
    </row>
    <row r="16147" spans="1:11">
      <c r="A16147" s="760"/>
      <c r="B16147" s="760"/>
      <c r="C16147" s="760"/>
      <c r="D16147" s="760"/>
      <c r="E16147" s="760"/>
      <c r="F16147" s="760"/>
      <c r="G16147" s="760"/>
      <c r="H16147" s="760"/>
      <c r="I16147" s="760"/>
      <c r="J16147" s="760"/>
      <c r="K16147" s="760"/>
    </row>
    <row r="16148" spans="1:11">
      <c r="A16148" s="760"/>
      <c r="B16148" s="760"/>
      <c r="C16148" s="760"/>
      <c r="D16148" s="760"/>
      <c r="E16148" s="760"/>
      <c r="F16148" s="760"/>
      <c r="G16148" s="760"/>
      <c r="H16148" s="760"/>
      <c r="I16148" s="760"/>
      <c r="J16148" s="760"/>
      <c r="K16148" s="760"/>
    </row>
    <row r="16149" spans="1:11">
      <c r="A16149" s="760"/>
      <c r="B16149" s="760"/>
      <c r="C16149" s="760"/>
      <c r="D16149" s="760"/>
      <c r="E16149" s="760"/>
      <c r="F16149" s="760"/>
      <c r="G16149" s="760"/>
      <c r="H16149" s="760"/>
      <c r="I16149" s="760"/>
      <c r="J16149" s="760"/>
      <c r="K16149" s="760"/>
    </row>
    <row r="16150" spans="1:11">
      <c r="A16150" s="760"/>
      <c r="B16150" s="760"/>
      <c r="C16150" s="760"/>
      <c r="D16150" s="760"/>
      <c r="E16150" s="760"/>
      <c r="F16150" s="760"/>
      <c r="G16150" s="760"/>
      <c r="H16150" s="760"/>
      <c r="I16150" s="760"/>
      <c r="J16150" s="760"/>
      <c r="K16150" s="760"/>
    </row>
    <row r="16151" spans="1:11">
      <c r="A16151" s="760"/>
      <c r="B16151" s="760"/>
      <c r="C16151" s="760"/>
      <c r="D16151" s="760"/>
      <c r="E16151" s="760"/>
      <c r="F16151" s="760"/>
      <c r="G16151" s="760"/>
      <c r="H16151" s="760"/>
      <c r="I16151" s="760"/>
      <c r="J16151" s="760"/>
      <c r="K16151" s="760"/>
    </row>
    <row r="16152" spans="1:11">
      <c r="A16152" s="760"/>
      <c r="B16152" s="760"/>
      <c r="C16152" s="760"/>
      <c r="D16152" s="760"/>
      <c r="E16152" s="760"/>
      <c r="F16152" s="760"/>
      <c r="G16152" s="760"/>
      <c r="H16152" s="760"/>
      <c r="I16152" s="760"/>
      <c r="J16152" s="760"/>
      <c r="K16152" s="760"/>
    </row>
    <row r="16153" spans="1:11">
      <c r="A16153" s="760"/>
      <c r="B16153" s="760"/>
      <c r="C16153" s="760"/>
      <c r="D16153" s="760"/>
      <c r="E16153" s="760"/>
      <c r="F16153" s="760"/>
      <c r="G16153" s="760"/>
      <c r="H16153" s="760"/>
      <c r="I16153" s="760"/>
      <c r="J16153" s="760"/>
      <c r="K16153" s="760"/>
    </row>
    <row r="16154" spans="1:11">
      <c r="A16154" s="760"/>
      <c r="B16154" s="760"/>
      <c r="C16154" s="760"/>
      <c r="D16154" s="760"/>
      <c r="E16154" s="760"/>
      <c r="F16154" s="760"/>
      <c r="G16154" s="760"/>
      <c r="H16154" s="760"/>
      <c r="I16154" s="760"/>
      <c r="J16154" s="760"/>
      <c r="K16154" s="760"/>
    </row>
    <row r="16155" spans="1:11">
      <c r="A16155" s="760"/>
      <c r="B16155" s="760"/>
      <c r="C16155" s="760"/>
      <c r="D16155" s="760"/>
      <c r="E16155" s="760"/>
      <c r="F16155" s="760"/>
      <c r="G16155" s="760"/>
      <c r="H16155" s="760"/>
      <c r="I16155" s="760"/>
      <c r="J16155" s="760"/>
      <c r="K16155" s="760"/>
    </row>
    <row r="16156" spans="1:11">
      <c r="A16156" s="760"/>
      <c r="B16156" s="760"/>
      <c r="C16156" s="760"/>
      <c r="D16156" s="760"/>
      <c r="E16156" s="760"/>
      <c r="F16156" s="760"/>
      <c r="G16156" s="760"/>
      <c r="H16156" s="760"/>
      <c r="I16156" s="760"/>
      <c r="J16156" s="760"/>
      <c r="K16156" s="760"/>
    </row>
    <row r="16157" spans="1:11">
      <c r="A16157" s="760"/>
      <c r="B16157" s="760"/>
      <c r="C16157" s="760"/>
      <c r="D16157" s="760"/>
      <c r="E16157" s="760"/>
      <c r="F16157" s="760"/>
      <c r="G16157" s="760"/>
      <c r="H16157" s="760"/>
      <c r="I16157" s="760"/>
      <c r="J16157" s="760"/>
      <c r="K16157" s="760"/>
    </row>
    <row r="16158" spans="1:11">
      <c r="A16158" s="760"/>
      <c r="B16158" s="760"/>
      <c r="C16158" s="760"/>
      <c r="D16158" s="760"/>
      <c r="E16158" s="760"/>
      <c r="F16158" s="760"/>
      <c r="G16158" s="760"/>
      <c r="H16158" s="760"/>
      <c r="I16158" s="760"/>
      <c r="J16158" s="760"/>
      <c r="K16158" s="760"/>
    </row>
    <row r="16159" spans="1:11">
      <c r="A16159" s="760"/>
      <c r="B16159" s="760"/>
      <c r="C16159" s="760"/>
      <c r="D16159" s="760"/>
      <c r="E16159" s="760"/>
      <c r="F16159" s="760"/>
      <c r="G16159" s="760"/>
      <c r="H16159" s="760"/>
      <c r="I16159" s="760"/>
      <c r="J16159" s="760"/>
      <c r="K16159" s="760"/>
    </row>
    <row r="16160" spans="1:11">
      <c r="A16160" s="760"/>
      <c r="B16160" s="760"/>
      <c r="C16160" s="760"/>
      <c r="D16160" s="760"/>
      <c r="E16160" s="760"/>
      <c r="F16160" s="760"/>
      <c r="G16160" s="760"/>
      <c r="H16160" s="760"/>
      <c r="I16160" s="760"/>
      <c r="J16160" s="760"/>
      <c r="K16160" s="760"/>
    </row>
    <row r="16161" spans="1:11">
      <c r="A16161" s="760"/>
      <c r="B16161" s="760"/>
      <c r="C16161" s="760"/>
      <c r="D16161" s="760"/>
      <c r="E16161" s="760"/>
      <c r="F16161" s="760"/>
      <c r="G16161" s="760"/>
      <c r="H16161" s="760"/>
      <c r="I16161" s="760"/>
      <c r="J16161" s="760"/>
      <c r="K16161" s="760"/>
    </row>
    <row r="16162" spans="1:11">
      <c r="A16162" s="760"/>
      <c r="B16162" s="760"/>
      <c r="C16162" s="760"/>
      <c r="D16162" s="760"/>
      <c r="E16162" s="760"/>
      <c r="F16162" s="760"/>
      <c r="G16162" s="760"/>
      <c r="H16162" s="760"/>
      <c r="I16162" s="760"/>
      <c r="J16162" s="760"/>
      <c r="K16162" s="760"/>
    </row>
    <row r="16163" spans="1:11">
      <c r="A16163" s="760"/>
      <c r="B16163" s="760"/>
      <c r="C16163" s="760"/>
      <c r="D16163" s="760"/>
      <c r="E16163" s="760"/>
      <c r="F16163" s="760"/>
      <c r="G16163" s="760"/>
      <c r="H16163" s="760"/>
      <c r="I16163" s="760"/>
      <c r="J16163" s="760"/>
      <c r="K16163" s="760"/>
    </row>
    <row r="16164" spans="1:11">
      <c r="A16164" s="760"/>
      <c r="B16164" s="760"/>
      <c r="C16164" s="760"/>
      <c r="D16164" s="760"/>
      <c r="E16164" s="760"/>
      <c r="F16164" s="760"/>
      <c r="G16164" s="760"/>
      <c r="H16164" s="760"/>
      <c r="I16164" s="760"/>
      <c r="J16164" s="760"/>
      <c r="K16164" s="760"/>
    </row>
    <row r="16165" spans="1:11">
      <c r="A16165" s="760"/>
      <c r="B16165" s="760"/>
      <c r="C16165" s="760"/>
      <c r="D16165" s="760"/>
      <c r="E16165" s="760"/>
      <c r="F16165" s="760"/>
      <c r="G16165" s="760"/>
      <c r="H16165" s="760"/>
      <c r="I16165" s="760"/>
      <c r="J16165" s="760"/>
      <c r="K16165" s="760"/>
    </row>
    <row r="16166" spans="1:11">
      <c r="A16166" s="760"/>
      <c r="B16166" s="760"/>
      <c r="C16166" s="760"/>
      <c r="D16166" s="760"/>
      <c r="E16166" s="760"/>
      <c r="F16166" s="760"/>
      <c r="G16166" s="760"/>
      <c r="H16166" s="760"/>
      <c r="I16166" s="760"/>
      <c r="J16166" s="760"/>
      <c r="K16166" s="760"/>
    </row>
    <row r="16167" spans="1:11">
      <c r="A16167" s="760"/>
      <c r="B16167" s="760"/>
      <c r="C16167" s="760"/>
      <c r="D16167" s="760"/>
      <c r="E16167" s="760"/>
      <c r="F16167" s="760"/>
      <c r="G16167" s="760"/>
      <c r="H16167" s="760"/>
      <c r="I16167" s="760"/>
      <c r="J16167" s="760"/>
      <c r="K16167" s="760"/>
    </row>
    <row r="16168" spans="1:11">
      <c r="A16168" s="760"/>
      <c r="B16168" s="760"/>
      <c r="C16168" s="760"/>
      <c r="D16168" s="760"/>
      <c r="E16168" s="760"/>
      <c r="F16168" s="760"/>
      <c r="G16168" s="760"/>
      <c r="H16168" s="760"/>
      <c r="I16168" s="760"/>
      <c r="J16168" s="760"/>
      <c r="K16168" s="760"/>
    </row>
    <row r="16169" spans="1:11">
      <c r="A16169" s="760"/>
      <c r="B16169" s="760"/>
      <c r="C16169" s="760"/>
      <c r="D16169" s="760"/>
      <c r="E16169" s="760"/>
      <c r="F16169" s="760"/>
      <c r="G16169" s="760"/>
      <c r="H16169" s="760"/>
      <c r="I16169" s="760"/>
      <c r="J16169" s="760"/>
      <c r="K16169" s="760"/>
    </row>
    <row r="16170" spans="1:11">
      <c r="A16170" s="760"/>
      <c r="B16170" s="760"/>
      <c r="C16170" s="760"/>
      <c r="D16170" s="760"/>
      <c r="E16170" s="760"/>
      <c r="F16170" s="760"/>
      <c r="G16170" s="760"/>
      <c r="H16170" s="760"/>
      <c r="I16170" s="760"/>
      <c r="J16170" s="760"/>
      <c r="K16170" s="760"/>
    </row>
    <row r="16171" spans="1:11">
      <c r="A16171" s="760"/>
      <c r="B16171" s="760"/>
      <c r="C16171" s="760"/>
      <c r="D16171" s="760"/>
      <c r="E16171" s="760"/>
      <c r="F16171" s="760"/>
      <c r="G16171" s="760"/>
      <c r="H16171" s="760"/>
      <c r="I16171" s="760"/>
      <c r="J16171" s="760"/>
      <c r="K16171" s="760"/>
    </row>
    <row r="16172" spans="1:11">
      <c r="A16172" s="760"/>
      <c r="B16172" s="760"/>
      <c r="C16172" s="760"/>
      <c r="D16172" s="760"/>
      <c r="E16172" s="760"/>
      <c r="F16172" s="760"/>
      <c r="G16172" s="760"/>
      <c r="H16172" s="760"/>
      <c r="I16172" s="760"/>
      <c r="J16172" s="760"/>
      <c r="K16172" s="760"/>
    </row>
    <row r="16173" spans="1:11">
      <c r="A16173" s="760"/>
      <c r="B16173" s="760"/>
      <c r="C16173" s="760"/>
      <c r="D16173" s="760"/>
      <c r="E16173" s="760"/>
      <c r="F16173" s="760"/>
      <c r="G16173" s="760"/>
      <c r="H16173" s="760"/>
      <c r="I16173" s="760"/>
      <c r="J16173" s="760"/>
      <c r="K16173" s="760"/>
    </row>
    <row r="16174" spans="1:11">
      <c r="A16174" s="760"/>
      <c r="B16174" s="760"/>
      <c r="C16174" s="760"/>
      <c r="D16174" s="760"/>
      <c r="E16174" s="760"/>
      <c r="F16174" s="760"/>
      <c r="G16174" s="760"/>
      <c r="H16174" s="760"/>
      <c r="I16174" s="760"/>
      <c r="J16174" s="760"/>
      <c r="K16174" s="760"/>
    </row>
    <row r="16175" spans="1:11">
      <c r="A16175" s="760"/>
      <c r="B16175" s="760"/>
      <c r="C16175" s="760"/>
      <c r="D16175" s="760"/>
      <c r="E16175" s="760"/>
      <c r="F16175" s="760"/>
      <c r="G16175" s="760"/>
      <c r="H16175" s="760"/>
      <c r="I16175" s="760"/>
      <c r="J16175" s="760"/>
      <c r="K16175" s="760"/>
    </row>
    <row r="16176" spans="1:11">
      <c r="A16176" s="760"/>
      <c r="B16176" s="760"/>
      <c r="C16176" s="760"/>
      <c r="D16176" s="760"/>
      <c r="E16176" s="760"/>
      <c r="F16176" s="760"/>
      <c r="G16176" s="760"/>
      <c r="H16176" s="760"/>
      <c r="I16176" s="760"/>
      <c r="J16176" s="760"/>
      <c r="K16176" s="760"/>
    </row>
    <row r="16177" spans="1:11">
      <c r="A16177" s="760"/>
      <c r="B16177" s="760"/>
      <c r="C16177" s="760"/>
      <c r="D16177" s="760"/>
      <c r="E16177" s="760"/>
      <c r="F16177" s="760"/>
      <c r="G16177" s="760"/>
      <c r="H16177" s="760"/>
      <c r="I16177" s="760"/>
      <c r="J16177" s="760"/>
      <c r="K16177" s="760"/>
    </row>
    <row r="16178" spans="1:11">
      <c r="A16178" s="760"/>
      <c r="B16178" s="760"/>
      <c r="C16178" s="760"/>
      <c r="D16178" s="760"/>
      <c r="E16178" s="760"/>
      <c r="F16178" s="760"/>
      <c r="G16178" s="760"/>
      <c r="H16178" s="760"/>
      <c r="I16178" s="760"/>
      <c r="J16178" s="760"/>
      <c r="K16178" s="760"/>
    </row>
    <row r="16179" spans="1:11">
      <c r="A16179" s="760"/>
      <c r="B16179" s="760"/>
      <c r="C16179" s="760"/>
      <c r="D16179" s="760"/>
      <c r="E16179" s="760"/>
      <c r="F16179" s="760"/>
      <c r="G16179" s="760"/>
      <c r="H16179" s="760"/>
      <c r="I16179" s="760"/>
      <c r="J16179" s="760"/>
      <c r="K16179" s="760"/>
    </row>
    <row r="16180" spans="1:11">
      <c r="A16180" s="760"/>
      <c r="B16180" s="760"/>
      <c r="C16180" s="760"/>
      <c r="D16180" s="760"/>
      <c r="E16180" s="760"/>
      <c r="F16180" s="760"/>
      <c r="G16180" s="760"/>
      <c r="H16180" s="760"/>
      <c r="I16180" s="760"/>
      <c r="J16180" s="760"/>
      <c r="K16180" s="760"/>
    </row>
    <row r="16181" spans="1:11">
      <c r="A16181" s="760"/>
      <c r="B16181" s="760"/>
      <c r="C16181" s="760"/>
      <c r="D16181" s="760"/>
      <c r="E16181" s="760"/>
      <c r="F16181" s="760"/>
      <c r="G16181" s="760"/>
      <c r="H16181" s="760"/>
      <c r="I16181" s="760"/>
      <c r="J16181" s="760"/>
      <c r="K16181" s="760"/>
    </row>
    <row r="16182" spans="1:11">
      <c r="A16182" s="760"/>
      <c r="B16182" s="760"/>
      <c r="C16182" s="760"/>
      <c r="D16182" s="760"/>
      <c r="E16182" s="760"/>
      <c r="F16182" s="760"/>
      <c r="G16182" s="760"/>
      <c r="H16182" s="760"/>
      <c r="I16182" s="760"/>
      <c r="J16182" s="760"/>
      <c r="K16182" s="760"/>
    </row>
    <row r="16183" spans="1:11">
      <c r="A16183" s="760"/>
      <c r="B16183" s="760"/>
      <c r="C16183" s="760"/>
      <c r="D16183" s="760"/>
      <c r="E16183" s="760"/>
      <c r="F16183" s="760"/>
      <c r="G16183" s="760"/>
      <c r="H16183" s="760"/>
      <c r="I16183" s="760"/>
      <c r="J16183" s="760"/>
      <c r="K16183" s="760"/>
    </row>
    <row r="16184" spans="1:11">
      <c r="A16184" s="760"/>
      <c r="B16184" s="760"/>
      <c r="C16184" s="760"/>
      <c r="D16184" s="760"/>
      <c r="E16184" s="760"/>
      <c r="F16184" s="760"/>
      <c r="G16184" s="760"/>
      <c r="H16184" s="760"/>
      <c r="I16184" s="760"/>
      <c r="J16184" s="760"/>
      <c r="K16184" s="760"/>
    </row>
    <row r="16185" spans="1:11">
      <c r="A16185" s="760"/>
      <c r="B16185" s="760"/>
      <c r="C16185" s="760"/>
      <c r="D16185" s="760"/>
      <c r="E16185" s="760"/>
      <c r="F16185" s="760"/>
      <c r="G16185" s="760"/>
      <c r="H16185" s="760"/>
      <c r="I16185" s="760"/>
      <c r="J16185" s="760"/>
      <c r="K16185" s="760"/>
    </row>
    <row r="16186" spans="1:11">
      <c r="A16186" s="760"/>
      <c r="B16186" s="760"/>
      <c r="C16186" s="760"/>
      <c r="D16186" s="760"/>
      <c r="E16186" s="760"/>
      <c r="F16186" s="760"/>
      <c r="G16186" s="760"/>
      <c r="H16186" s="760"/>
      <c r="I16186" s="760"/>
      <c r="J16186" s="760"/>
      <c r="K16186" s="760"/>
    </row>
    <row r="16187" spans="1:11">
      <c r="A16187" s="760"/>
      <c r="B16187" s="760"/>
      <c r="C16187" s="760"/>
      <c r="D16187" s="760"/>
      <c r="E16187" s="760"/>
      <c r="F16187" s="760"/>
      <c r="G16187" s="760"/>
      <c r="H16187" s="760"/>
      <c r="I16187" s="760"/>
      <c r="J16187" s="760"/>
      <c r="K16187" s="760"/>
    </row>
    <row r="16188" spans="1:11">
      <c r="A16188" s="760"/>
      <c r="B16188" s="760"/>
      <c r="C16188" s="760"/>
      <c r="D16188" s="760"/>
      <c r="E16188" s="760"/>
      <c r="F16188" s="760"/>
      <c r="G16188" s="760"/>
      <c r="H16188" s="760"/>
      <c r="I16188" s="760"/>
      <c r="J16188" s="760"/>
      <c r="K16188" s="760"/>
    </row>
    <row r="16189" spans="1:11">
      <c r="A16189" s="760"/>
      <c r="B16189" s="760"/>
      <c r="C16189" s="760"/>
      <c r="D16189" s="760"/>
      <c r="E16189" s="760"/>
      <c r="F16189" s="760"/>
      <c r="G16189" s="760"/>
      <c r="H16189" s="760"/>
      <c r="I16189" s="760"/>
      <c r="J16189" s="760"/>
      <c r="K16189" s="760"/>
    </row>
    <row r="16190" spans="1:11">
      <c r="A16190" s="760"/>
      <c r="B16190" s="760"/>
      <c r="C16190" s="760"/>
      <c r="D16190" s="760"/>
      <c r="E16190" s="760"/>
      <c r="F16190" s="760"/>
      <c r="G16190" s="760"/>
      <c r="H16190" s="760"/>
      <c r="I16190" s="760"/>
      <c r="J16190" s="760"/>
      <c r="K16190" s="760"/>
    </row>
    <row r="16191" spans="1:11">
      <c r="A16191" s="760"/>
      <c r="B16191" s="760"/>
      <c r="C16191" s="760"/>
      <c r="D16191" s="760"/>
      <c r="E16191" s="760"/>
      <c r="F16191" s="760"/>
      <c r="G16191" s="760"/>
      <c r="H16191" s="760"/>
      <c r="I16191" s="760"/>
      <c r="J16191" s="760"/>
      <c r="K16191" s="760"/>
    </row>
    <row r="16192" spans="1:11">
      <c r="A16192" s="760"/>
      <c r="B16192" s="760"/>
      <c r="C16192" s="760"/>
      <c r="D16192" s="760"/>
      <c r="E16192" s="760"/>
      <c r="F16192" s="760"/>
      <c r="G16192" s="760"/>
      <c r="H16192" s="760"/>
      <c r="I16192" s="760"/>
      <c r="J16192" s="760"/>
      <c r="K16192" s="760"/>
    </row>
    <row r="16193" spans="1:11">
      <c r="A16193" s="760"/>
      <c r="B16193" s="760"/>
      <c r="C16193" s="760"/>
      <c r="D16193" s="760"/>
      <c r="E16193" s="760"/>
      <c r="F16193" s="760"/>
      <c r="G16193" s="760"/>
      <c r="H16193" s="760"/>
      <c r="I16193" s="760"/>
      <c r="J16193" s="760"/>
      <c r="K16193" s="760"/>
    </row>
    <row r="16194" spans="1:11">
      <c r="A16194" s="760"/>
      <c r="B16194" s="760"/>
      <c r="C16194" s="760"/>
      <c r="D16194" s="760"/>
      <c r="E16194" s="760"/>
      <c r="F16194" s="760"/>
      <c r="G16194" s="760"/>
      <c r="H16194" s="760"/>
      <c r="I16194" s="760"/>
      <c r="J16194" s="760"/>
      <c r="K16194" s="760"/>
    </row>
    <row r="16195" spans="1:11">
      <c r="A16195" s="760"/>
      <c r="B16195" s="760"/>
      <c r="C16195" s="760"/>
      <c r="D16195" s="760"/>
      <c r="E16195" s="760"/>
      <c r="F16195" s="760"/>
      <c r="G16195" s="760"/>
      <c r="H16195" s="760"/>
      <c r="I16195" s="760"/>
      <c r="J16195" s="760"/>
      <c r="K16195" s="760"/>
    </row>
    <row r="16196" spans="1:11">
      <c r="A16196" s="760"/>
      <c r="B16196" s="760"/>
      <c r="C16196" s="760"/>
      <c r="D16196" s="760"/>
      <c r="E16196" s="760"/>
      <c r="F16196" s="760"/>
      <c r="G16196" s="760"/>
      <c r="H16196" s="760"/>
      <c r="I16196" s="760"/>
      <c r="J16196" s="760"/>
      <c r="K16196" s="760"/>
    </row>
    <row r="16197" spans="1:11">
      <c r="A16197" s="760"/>
      <c r="B16197" s="760"/>
      <c r="C16197" s="760"/>
      <c r="D16197" s="760"/>
      <c r="E16197" s="760"/>
      <c r="F16197" s="760"/>
      <c r="G16197" s="760"/>
      <c r="H16197" s="760"/>
      <c r="I16197" s="760"/>
      <c r="J16197" s="760"/>
      <c r="K16197" s="760"/>
    </row>
    <row r="16198" spans="1:11">
      <c r="A16198" s="760"/>
      <c r="B16198" s="760"/>
      <c r="C16198" s="760"/>
      <c r="D16198" s="760"/>
      <c r="E16198" s="760"/>
      <c r="F16198" s="760"/>
      <c r="G16198" s="760"/>
      <c r="H16198" s="760"/>
      <c r="I16198" s="760"/>
      <c r="J16198" s="760"/>
      <c r="K16198" s="760"/>
    </row>
    <row r="16199" spans="1:11">
      <c r="A16199" s="760"/>
      <c r="B16199" s="760"/>
      <c r="C16199" s="760"/>
      <c r="D16199" s="760"/>
      <c r="E16199" s="760"/>
      <c r="F16199" s="760"/>
      <c r="G16199" s="760"/>
      <c r="H16199" s="760"/>
      <c r="I16199" s="760"/>
      <c r="J16199" s="760"/>
      <c r="K16199" s="760"/>
    </row>
    <row r="16200" spans="1:11">
      <c r="A16200" s="760"/>
      <c r="B16200" s="760"/>
      <c r="C16200" s="760"/>
      <c r="D16200" s="760"/>
      <c r="E16200" s="760"/>
      <c r="F16200" s="760"/>
      <c r="G16200" s="760"/>
      <c r="H16200" s="760"/>
      <c r="I16200" s="760"/>
      <c r="J16200" s="760"/>
      <c r="K16200" s="760"/>
    </row>
    <row r="16201" spans="1:11">
      <c r="A16201" s="760"/>
      <c r="B16201" s="760"/>
      <c r="C16201" s="760"/>
      <c r="D16201" s="760"/>
      <c r="E16201" s="760"/>
      <c r="F16201" s="760"/>
      <c r="G16201" s="760"/>
      <c r="H16201" s="760"/>
      <c r="I16201" s="760"/>
      <c r="J16201" s="760"/>
      <c r="K16201" s="760"/>
    </row>
    <row r="16202" spans="1:11">
      <c r="A16202" s="760"/>
      <c r="B16202" s="760"/>
      <c r="C16202" s="760"/>
      <c r="D16202" s="760"/>
      <c r="E16202" s="760"/>
      <c r="F16202" s="760"/>
      <c r="G16202" s="760"/>
      <c r="H16202" s="760"/>
      <c r="I16202" s="760"/>
      <c r="J16202" s="760"/>
      <c r="K16202" s="760"/>
    </row>
    <row r="16203" spans="1:11">
      <c r="A16203" s="760"/>
      <c r="B16203" s="760"/>
      <c r="C16203" s="760"/>
      <c r="D16203" s="760"/>
      <c r="E16203" s="760"/>
      <c r="F16203" s="760"/>
      <c r="G16203" s="760"/>
      <c r="H16203" s="760"/>
      <c r="I16203" s="760"/>
      <c r="J16203" s="760"/>
      <c r="K16203" s="760"/>
    </row>
    <row r="16204" spans="1:11">
      <c r="A16204" s="760"/>
      <c r="B16204" s="760"/>
      <c r="C16204" s="760"/>
      <c r="D16204" s="760"/>
      <c r="E16204" s="760"/>
      <c r="F16204" s="760"/>
      <c r="G16204" s="760"/>
      <c r="H16204" s="760"/>
      <c r="I16204" s="760"/>
      <c r="J16204" s="760"/>
      <c r="K16204" s="760"/>
    </row>
    <row r="16205" spans="1:11">
      <c r="A16205" s="760"/>
      <c r="B16205" s="760"/>
      <c r="C16205" s="760"/>
      <c r="D16205" s="760"/>
      <c r="E16205" s="760"/>
      <c r="F16205" s="760"/>
      <c r="G16205" s="760"/>
      <c r="H16205" s="760"/>
      <c r="I16205" s="760"/>
      <c r="J16205" s="760"/>
      <c r="K16205" s="760"/>
    </row>
    <row r="16206" spans="1:11">
      <c r="A16206" s="760"/>
      <c r="B16206" s="760"/>
      <c r="C16206" s="760"/>
      <c r="D16206" s="760"/>
      <c r="E16206" s="760"/>
      <c r="F16206" s="760"/>
      <c r="G16206" s="760"/>
      <c r="H16206" s="760"/>
      <c r="I16206" s="760"/>
      <c r="J16206" s="760"/>
      <c r="K16206" s="760"/>
    </row>
    <row r="16207" spans="1:11">
      <c r="A16207" s="760"/>
      <c r="B16207" s="760"/>
      <c r="C16207" s="760"/>
      <c r="D16207" s="760"/>
      <c r="E16207" s="760"/>
      <c r="F16207" s="760"/>
      <c r="G16207" s="760"/>
      <c r="H16207" s="760"/>
      <c r="I16207" s="760"/>
      <c r="J16207" s="760"/>
      <c r="K16207" s="760"/>
    </row>
    <row r="16208" spans="1:11">
      <c r="A16208" s="760"/>
      <c r="B16208" s="760"/>
      <c r="C16208" s="760"/>
      <c r="D16208" s="760"/>
      <c r="E16208" s="760"/>
      <c r="F16208" s="760"/>
      <c r="G16208" s="760"/>
      <c r="H16208" s="760"/>
      <c r="I16208" s="760"/>
      <c r="J16208" s="760"/>
      <c r="K16208" s="760"/>
    </row>
    <row r="16209" spans="1:11">
      <c r="A16209" s="760"/>
      <c r="B16209" s="760"/>
      <c r="C16209" s="760"/>
      <c r="D16209" s="760"/>
      <c r="E16209" s="760"/>
      <c r="F16209" s="760"/>
      <c r="G16209" s="760"/>
      <c r="H16209" s="760"/>
      <c r="I16209" s="760"/>
      <c r="J16209" s="760"/>
      <c r="K16209" s="760"/>
    </row>
    <row r="16210" spans="1:11">
      <c r="A16210" s="760"/>
      <c r="B16210" s="760"/>
      <c r="C16210" s="760"/>
      <c r="D16210" s="760"/>
      <c r="E16210" s="760"/>
      <c r="F16210" s="760"/>
      <c r="G16210" s="760"/>
      <c r="H16210" s="760"/>
      <c r="I16210" s="760"/>
      <c r="J16210" s="760"/>
      <c r="K16210" s="760"/>
    </row>
    <row r="16211" spans="1:11">
      <c r="A16211" s="760"/>
      <c r="B16211" s="760"/>
      <c r="C16211" s="760"/>
      <c r="D16211" s="760"/>
      <c r="E16211" s="760"/>
      <c r="F16211" s="760"/>
      <c r="G16211" s="760"/>
      <c r="H16211" s="760"/>
      <c r="I16211" s="760"/>
      <c r="J16211" s="760"/>
      <c r="K16211" s="760"/>
    </row>
    <row r="16212" spans="1:11">
      <c r="A16212" s="760"/>
      <c r="B16212" s="760"/>
      <c r="C16212" s="760"/>
      <c r="D16212" s="760"/>
      <c r="E16212" s="760"/>
      <c r="F16212" s="760"/>
      <c r="G16212" s="760"/>
      <c r="H16212" s="760"/>
      <c r="I16212" s="760"/>
      <c r="J16212" s="760"/>
      <c r="K16212" s="760"/>
    </row>
    <row r="16213" spans="1:11">
      <c r="A16213" s="760"/>
      <c r="B16213" s="760"/>
      <c r="C16213" s="760"/>
      <c r="D16213" s="760"/>
      <c r="E16213" s="760"/>
      <c r="F16213" s="760"/>
      <c r="G16213" s="760"/>
      <c r="H16213" s="760"/>
      <c r="I16213" s="760"/>
      <c r="J16213" s="760"/>
      <c r="K16213" s="760"/>
    </row>
    <row r="16214" spans="1:11">
      <c r="A16214" s="760"/>
      <c r="B16214" s="760"/>
      <c r="C16214" s="760"/>
      <c r="D16214" s="760"/>
      <c r="E16214" s="760"/>
      <c r="F16214" s="760"/>
      <c r="G16214" s="760"/>
      <c r="H16214" s="760"/>
      <c r="I16214" s="760"/>
      <c r="J16214" s="760"/>
      <c r="K16214" s="760"/>
    </row>
    <row r="16215" spans="1:11">
      <c r="A16215" s="760"/>
      <c r="B16215" s="760"/>
      <c r="C16215" s="760"/>
      <c r="D16215" s="760"/>
      <c r="E16215" s="760"/>
      <c r="F16215" s="760"/>
      <c r="G16215" s="760"/>
      <c r="H16215" s="760"/>
      <c r="I16215" s="760"/>
      <c r="J16215" s="760"/>
      <c r="K16215" s="760"/>
    </row>
    <row r="16216" spans="1:11">
      <c r="A16216" s="760"/>
      <c r="B16216" s="760"/>
      <c r="C16216" s="760"/>
      <c r="D16216" s="760"/>
      <c r="E16216" s="760"/>
      <c r="F16216" s="760"/>
      <c r="G16216" s="760"/>
      <c r="H16216" s="760"/>
      <c r="I16216" s="760"/>
      <c r="J16216" s="760"/>
      <c r="K16216" s="760"/>
    </row>
    <row r="16217" spans="1:11">
      <c r="A16217" s="760"/>
      <c r="B16217" s="760"/>
      <c r="C16217" s="760"/>
      <c r="D16217" s="760"/>
      <c r="E16217" s="760"/>
      <c r="F16217" s="760"/>
      <c r="G16217" s="760"/>
      <c r="H16217" s="760"/>
      <c r="I16217" s="760"/>
      <c r="J16217" s="760"/>
      <c r="K16217" s="760"/>
    </row>
    <row r="16218" spans="1:11">
      <c r="A16218" s="760"/>
      <c r="B16218" s="760"/>
      <c r="C16218" s="760"/>
      <c r="D16218" s="760"/>
      <c r="E16218" s="760"/>
      <c r="F16218" s="760"/>
      <c r="G16218" s="760"/>
      <c r="H16218" s="760"/>
      <c r="I16218" s="760"/>
      <c r="J16218" s="760"/>
      <c r="K16218" s="760"/>
    </row>
    <row r="16219" spans="1:11">
      <c r="A16219" s="760"/>
      <c r="B16219" s="760"/>
      <c r="C16219" s="760"/>
      <c r="D16219" s="760"/>
      <c r="E16219" s="760"/>
      <c r="F16219" s="760"/>
      <c r="G16219" s="760"/>
      <c r="H16219" s="760"/>
      <c r="I16219" s="760"/>
      <c r="J16219" s="760"/>
      <c r="K16219" s="760"/>
    </row>
    <row r="16220" spans="1:11">
      <c r="A16220" s="760"/>
      <c r="B16220" s="760"/>
      <c r="C16220" s="760"/>
      <c r="D16220" s="760"/>
      <c r="E16220" s="760"/>
      <c r="F16220" s="760"/>
      <c r="G16220" s="760"/>
      <c r="H16220" s="760"/>
      <c r="I16220" s="760"/>
      <c r="J16220" s="760"/>
      <c r="K16220" s="760"/>
    </row>
    <row r="16221" spans="1:11">
      <c r="A16221" s="760"/>
      <c r="B16221" s="760"/>
      <c r="C16221" s="760"/>
      <c r="D16221" s="760"/>
      <c r="E16221" s="760"/>
      <c r="F16221" s="760"/>
      <c r="G16221" s="760"/>
      <c r="H16221" s="760"/>
      <c r="I16221" s="760"/>
      <c r="J16221" s="760"/>
      <c r="K16221" s="760"/>
    </row>
    <row r="16222" spans="1:11">
      <c r="A16222" s="760"/>
      <c r="B16222" s="760"/>
      <c r="C16222" s="760"/>
      <c r="D16222" s="760"/>
      <c r="E16222" s="760"/>
      <c r="F16222" s="760"/>
      <c r="G16222" s="760"/>
      <c r="H16222" s="760"/>
      <c r="I16222" s="760"/>
      <c r="J16222" s="760"/>
      <c r="K16222" s="760"/>
    </row>
    <row r="16223" spans="1:11">
      <c r="A16223" s="760"/>
      <c r="B16223" s="760"/>
      <c r="C16223" s="760"/>
      <c r="D16223" s="760"/>
      <c r="E16223" s="760"/>
      <c r="F16223" s="760"/>
      <c r="G16223" s="760"/>
      <c r="H16223" s="760"/>
      <c r="I16223" s="760"/>
      <c r="J16223" s="760"/>
      <c r="K16223" s="760"/>
    </row>
    <row r="16224" spans="1:11">
      <c r="A16224" s="760"/>
      <c r="B16224" s="760"/>
      <c r="C16224" s="760"/>
      <c r="D16224" s="760"/>
      <c r="E16224" s="760"/>
      <c r="F16224" s="760"/>
      <c r="G16224" s="760"/>
      <c r="H16224" s="760"/>
      <c r="I16224" s="760"/>
      <c r="J16224" s="760"/>
      <c r="K16224" s="760"/>
    </row>
    <row r="16225" spans="1:11">
      <c r="A16225" s="760"/>
      <c r="B16225" s="760"/>
      <c r="C16225" s="760"/>
      <c r="D16225" s="760"/>
      <c r="E16225" s="760"/>
      <c r="F16225" s="760"/>
      <c r="G16225" s="760"/>
      <c r="H16225" s="760"/>
      <c r="I16225" s="760"/>
      <c r="J16225" s="760"/>
      <c r="K16225" s="760"/>
    </row>
    <row r="16226" spans="1:11">
      <c r="A16226" s="760"/>
      <c r="B16226" s="760"/>
      <c r="C16226" s="760"/>
      <c r="D16226" s="760"/>
      <c r="E16226" s="760"/>
      <c r="F16226" s="760"/>
      <c r="G16226" s="760"/>
      <c r="H16226" s="760"/>
      <c r="I16226" s="760"/>
      <c r="J16226" s="760"/>
      <c r="K16226" s="760"/>
    </row>
    <row r="16227" spans="1:11">
      <c r="A16227" s="760"/>
      <c r="B16227" s="760"/>
      <c r="C16227" s="760"/>
      <c r="D16227" s="760"/>
      <c r="E16227" s="760"/>
      <c r="F16227" s="760"/>
      <c r="G16227" s="760"/>
      <c r="H16227" s="760"/>
      <c r="I16227" s="760"/>
      <c r="J16227" s="760"/>
      <c r="K16227" s="760"/>
    </row>
    <row r="16228" spans="1:11">
      <c r="A16228" s="760"/>
      <c r="B16228" s="760"/>
      <c r="C16228" s="760"/>
      <c r="D16228" s="760"/>
      <c r="E16228" s="760"/>
      <c r="F16228" s="760"/>
      <c r="G16228" s="760"/>
      <c r="H16228" s="760"/>
      <c r="I16228" s="760"/>
      <c r="J16228" s="760"/>
      <c r="K16228" s="760"/>
    </row>
    <row r="16229" spans="1:11">
      <c r="A16229" s="760"/>
      <c r="B16229" s="760"/>
      <c r="C16229" s="760"/>
      <c r="D16229" s="760"/>
      <c r="E16229" s="760"/>
      <c r="F16229" s="760"/>
      <c r="G16229" s="760"/>
      <c r="H16229" s="760"/>
      <c r="I16229" s="760"/>
      <c r="J16229" s="760"/>
      <c r="K16229" s="760"/>
    </row>
    <row r="16230" spans="1:11">
      <c r="A16230" s="760"/>
      <c r="B16230" s="760"/>
      <c r="C16230" s="760"/>
      <c r="D16230" s="760"/>
      <c r="E16230" s="760"/>
      <c r="F16230" s="760"/>
      <c r="G16230" s="760"/>
      <c r="H16230" s="760"/>
      <c r="I16230" s="760"/>
      <c r="J16230" s="760"/>
      <c r="K16230" s="760"/>
    </row>
    <row r="16231" spans="1:11">
      <c r="A16231" s="760"/>
      <c r="B16231" s="760"/>
      <c r="C16231" s="760"/>
      <c r="D16231" s="760"/>
      <c r="E16231" s="760"/>
      <c r="F16231" s="760"/>
      <c r="G16231" s="760"/>
      <c r="H16231" s="760"/>
      <c r="I16231" s="760"/>
      <c r="J16231" s="760"/>
      <c r="K16231" s="760"/>
    </row>
    <row r="16232" spans="1:11">
      <c r="A16232" s="760"/>
      <c r="B16232" s="760"/>
      <c r="C16232" s="760"/>
      <c r="D16232" s="760"/>
      <c r="E16232" s="760"/>
      <c r="F16232" s="760"/>
      <c r="G16232" s="760"/>
      <c r="H16232" s="760"/>
      <c r="I16232" s="760"/>
      <c r="J16232" s="760"/>
      <c r="K16232" s="760"/>
    </row>
    <row r="16233" spans="1:11">
      <c r="A16233" s="760"/>
      <c r="B16233" s="760"/>
      <c r="C16233" s="760"/>
      <c r="D16233" s="760"/>
      <c r="E16233" s="760"/>
      <c r="F16233" s="760"/>
      <c r="G16233" s="760"/>
      <c r="H16233" s="760"/>
      <c r="I16233" s="760"/>
      <c r="J16233" s="760"/>
      <c r="K16233" s="760"/>
    </row>
    <row r="16234" spans="1:11">
      <c r="A16234" s="760"/>
      <c r="B16234" s="760"/>
      <c r="C16234" s="760"/>
      <c r="D16234" s="760"/>
      <c r="E16234" s="760"/>
      <c r="F16234" s="760"/>
      <c r="G16234" s="760"/>
      <c r="H16234" s="760"/>
      <c r="I16234" s="760"/>
      <c r="J16234" s="760"/>
      <c r="K16234" s="760"/>
    </row>
    <row r="16235" spans="1:11">
      <c r="A16235" s="760"/>
      <c r="B16235" s="760"/>
      <c r="C16235" s="760"/>
      <c r="D16235" s="760"/>
      <c r="E16235" s="760"/>
      <c r="F16235" s="760"/>
      <c r="G16235" s="760"/>
      <c r="H16235" s="760"/>
      <c r="I16235" s="760"/>
      <c r="J16235" s="760"/>
      <c r="K16235" s="760"/>
    </row>
    <row r="16236" spans="1:11">
      <c r="A16236" s="760"/>
      <c r="B16236" s="760"/>
      <c r="C16236" s="760"/>
      <c r="D16236" s="760"/>
      <c r="E16236" s="760"/>
      <c r="F16236" s="760"/>
      <c r="G16236" s="760"/>
      <c r="H16236" s="760"/>
      <c r="I16236" s="760"/>
      <c r="J16236" s="760"/>
      <c r="K16236" s="760"/>
    </row>
    <row r="16237" spans="1:11">
      <c r="A16237" s="760"/>
      <c r="B16237" s="760"/>
      <c r="C16237" s="760"/>
      <c r="D16237" s="760"/>
      <c r="E16237" s="760"/>
      <c r="F16237" s="760"/>
      <c r="G16237" s="760"/>
      <c r="H16237" s="760"/>
      <c r="I16237" s="760"/>
      <c r="J16237" s="760"/>
      <c r="K16237" s="760"/>
    </row>
    <row r="16238" spans="1:11">
      <c r="A16238" s="760"/>
      <c r="B16238" s="760"/>
      <c r="C16238" s="760"/>
      <c r="D16238" s="760"/>
      <c r="E16238" s="760"/>
      <c r="F16238" s="760"/>
      <c r="G16238" s="760"/>
      <c r="H16238" s="760"/>
      <c r="I16238" s="760"/>
      <c r="J16238" s="760"/>
      <c r="K16238" s="760"/>
    </row>
    <row r="16239" spans="1:11">
      <c r="A16239" s="760"/>
      <c r="B16239" s="760"/>
      <c r="C16239" s="760"/>
      <c r="D16239" s="760"/>
      <c r="E16239" s="760"/>
      <c r="F16239" s="760"/>
      <c r="G16239" s="760"/>
      <c r="H16239" s="760"/>
      <c r="I16239" s="760"/>
      <c r="J16239" s="760"/>
      <c r="K16239" s="760"/>
    </row>
    <row r="16240" spans="1:11">
      <c r="A16240" s="760"/>
      <c r="B16240" s="760"/>
      <c r="C16240" s="760"/>
      <c r="D16240" s="760"/>
      <c r="E16240" s="760"/>
      <c r="F16240" s="760"/>
      <c r="G16240" s="760"/>
      <c r="H16240" s="760"/>
      <c r="I16240" s="760"/>
      <c r="J16240" s="760"/>
      <c r="K16240" s="760"/>
    </row>
    <row r="16241" spans="1:11">
      <c r="A16241" s="760"/>
      <c r="B16241" s="760"/>
      <c r="C16241" s="760"/>
      <c r="D16241" s="760"/>
      <c r="E16241" s="760"/>
      <c r="F16241" s="760"/>
      <c r="G16241" s="760"/>
      <c r="H16241" s="760"/>
      <c r="I16241" s="760"/>
      <c r="J16241" s="760"/>
      <c r="K16241" s="760"/>
    </row>
    <row r="16242" spans="1:11">
      <c r="A16242" s="760"/>
      <c r="B16242" s="760"/>
      <c r="C16242" s="760"/>
      <c r="D16242" s="760"/>
      <c r="E16242" s="760"/>
      <c r="F16242" s="760"/>
      <c r="G16242" s="760"/>
      <c r="H16242" s="760"/>
      <c r="I16242" s="760"/>
      <c r="J16242" s="760"/>
      <c r="K16242" s="760"/>
    </row>
    <row r="16243" spans="1:11">
      <c r="A16243" s="760"/>
      <c r="B16243" s="760"/>
      <c r="C16243" s="760"/>
      <c r="D16243" s="760"/>
      <c r="E16243" s="760"/>
      <c r="F16243" s="760"/>
      <c r="G16243" s="760"/>
      <c r="H16243" s="760"/>
      <c r="I16243" s="760"/>
      <c r="J16243" s="760"/>
      <c r="K16243" s="760"/>
    </row>
    <row r="16244" spans="1:11">
      <c r="A16244" s="760"/>
      <c r="B16244" s="760"/>
      <c r="C16244" s="760"/>
      <c r="D16244" s="760"/>
      <c r="E16244" s="760"/>
      <c r="F16244" s="760"/>
      <c r="G16244" s="760"/>
      <c r="H16244" s="760"/>
      <c r="I16244" s="760"/>
      <c r="J16244" s="760"/>
      <c r="K16244" s="760"/>
    </row>
    <row r="16245" spans="1:11">
      <c r="A16245" s="760"/>
      <c r="B16245" s="760"/>
      <c r="C16245" s="760"/>
      <c r="D16245" s="760"/>
      <c r="E16245" s="760"/>
      <c r="F16245" s="760"/>
      <c r="G16245" s="760"/>
      <c r="H16245" s="760"/>
      <c r="I16245" s="760"/>
      <c r="J16245" s="760"/>
      <c r="K16245" s="760"/>
    </row>
    <row r="16246" spans="1:11">
      <c r="A16246" s="760"/>
      <c r="B16246" s="760"/>
      <c r="C16246" s="760"/>
      <c r="D16246" s="760"/>
      <c r="E16246" s="760"/>
      <c r="F16246" s="760"/>
      <c r="G16246" s="760"/>
      <c r="H16246" s="760"/>
      <c r="I16246" s="760"/>
      <c r="J16246" s="760"/>
      <c r="K16246" s="760"/>
    </row>
    <row r="16247" spans="1:11">
      <c r="A16247" s="760"/>
      <c r="B16247" s="760"/>
      <c r="C16247" s="760"/>
      <c r="D16247" s="760"/>
      <c r="E16247" s="760"/>
      <c r="F16247" s="760"/>
      <c r="G16247" s="760"/>
      <c r="H16247" s="760"/>
      <c r="I16247" s="760"/>
      <c r="J16247" s="760"/>
      <c r="K16247" s="760"/>
    </row>
    <row r="16248" spans="1:11">
      <c r="A16248" s="760"/>
      <c r="B16248" s="760"/>
      <c r="C16248" s="760"/>
      <c r="D16248" s="760"/>
      <c r="E16248" s="760"/>
      <c r="F16248" s="760"/>
      <c r="G16248" s="760"/>
      <c r="H16248" s="760"/>
      <c r="I16248" s="760"/>
      <c r="J16248" s="760"/>
      <c r="K16248" s="760"/>
    </row>
    <row r="16249" spans="1:11">
      <c r="A16249" s="760"/>
      <c r="B16249" s="760"/>
      <c r="C16249" s="760"/>
      <c r="D16249" s="760"/>
      <c r="E16249" s="760"/>
      <c r="F16249" s="760"/>
      <c r="G16249" s="760"/>
      <c r="H16249" s="760"/>
      <c r="I16249" s="760"/>
      <c r="J16249" s="760"/>
      <c r="K16249" s="760"/>
    </row>
    <row r="16250" spans="1:11">
      <c r="A16250" s="760"/>
      <c r="B16250" s="760"/>
      <c r="C16250" s="760"/>
      <c r="D16250" s="760"/>
      <c r="E16250" s="760"/>
      <c r="F16250" s="760"/>
      <c r="G16250" s="760"/>
      <c r="H16250" s="760"/>
      <c r="I16250" s="760"/>
      <c r="J16250" s="760"/>
      <c r="K16250" s="760"/>
    </row>
    <row r="16251" spans="1:11">
      <c r="A16251" s="760"/>
      <c r="B16251" s="760"/>
      <c r="C16251" s="760"/>
      <c r="D16251" s="760"/>
      <c r="E16251" s="760"/>
      <c r="F16251" s="760"/>
      <c r="G16251" s="760"/>
      <c r="H16251" s="760"/>
      <c r="I16251" s="760"/>
      <c r="J16251" s="760"/>
      <c r="K16251" s="760"/>
    </row>
    <row r="16252" spans="1:11">
      <c r="A16252" s="760"/>
      <c r="B16252" s="760"/>
      <c r="C16252" s="760"/>
      <c r="D16252" s="760"/>
      <c r="E16252" s="760"/>
      <c r="F16252" s="760"/>
      <c r="G16252" s="760"/>
      <c r="H16252" s="760"/>
      <c r="I16252" s="760"/>
      <c r="J16252" s="760"/>
      <c r="K16252" s="760"/>
    </row>
    <row r="16253" spans="1:11">
      <c r="A16253" s="760"/>
      <c r="B16253" s="760"/>
      <c r="C16253" s="760"/>
      <c r="D16253" s="760"/>
      <c r="E16253" s="760"/>
      <c r="F16253" s="760"/>
      <c r="G16253" s="760"/>
      <c r="H16253" s="760"/>
      <c r="I16253" s="760"/>
      <c r="J16253" s="760"/>
      <c r="K16253" s="760"/>
    </row>
    <row r="16254" spans="1:11">
      <c r="A16254" s="760"/>
      <c r="B16254" s="760"/>
      <c r="C16254" s="760"/>
      <c r="D16254" s="760"/>
      <c r="E16254" s="760"/>
      <c r="F16254" s="760"/>
      <c r="G16254" s="760"/>
      <c r="H16254" s="760"/>
      <c r="I16254" s="760"/>
      <c r="J16254" s="760"/>
      <c r="K16254" s="760"/>
    </row>
    <row r="16255" spans="1:11">
      <c r="A16255" s="760"/>
      <c r="B16255" s="760"/>
      <c r="C16255" s="760"/>
      <c r="D16255" s="760"/>
      <c r="E16255" s="760"/>
      <c r="F16255" s="760"/>
      <c r="G16255" s="760"/>
      <c r="H16255" s="760"/>
      <c r="I16255" s="760"/>
      <c r="J16255" s="760"/>
      <c r="K16255" s="760"/>
    </row>
    <row r="16256" spans="1:11">
      <c r="A16256" s="760"/>
      <c r="B16256" s="760"/>
      <c r="C16256" s="760"/>
      <c r="D16256" s="760"/>
      <c r="E16256" s="760"/>
      <c r="F16256" s="760"/>
      <c r="G16256" s="760"/>
      <c r="H16256" s="760"/>
      <c r="I16256" s="760"/>
      <c r="J16256" s="760"/>
      <c r="K16256" s="760"/>
    </row>
    <row r="16257" spans="1:11">
      <c r="A16257" s="760"/>
      <c r="B16257" s="760"/>
      <c r="C16257" s="760"/>
      <c r="D16257" s="760"/>
      <c r="E16257" s="760"/>
      <c r="F16257" s="760"/>
      <c r="G16257" s="760"/>
      <c r="H16257" s="760"/>
      <c r="I16257" s="760"/>
      <c r="J16257" s="760"/>
      <c r="K16257" s="760"/>
    </row>
    <row r="16258" spans="1:11">
      <c r="A16258" s="760"/>
      <c r="B16258" s="760"/>
      <c r="C16258" s="760"/>
      <c r="D16258" s="760"/>
      <c r="E16258" s="760"/>
      <c r="F16258" s="760"/>
      <c r="G16258" s="760"/>
      <c r="H16258" s="760"/>
      <c r="I16258" s="760"/>
      <c r="J16258" s="760"/>
      <c r="K16258" s="760"/>
    </row>
    <row r="16259" spans="1:11">
      <c r="A16259" s="760"/>
      <c r="B16259" s="760"/>
      <c r="C16259" s="760"/>
      <c r="D16259" s="760"/>
      <c r="E16259" s="760"/>
      <c r="F16259" s="760"/>
      <c r="G16259" s="760"/>
      <c r="H16259" s="760"/>
      <c r="I16259" s="760"/>
      <c r="J16259" s="760"/>
      <c r="K16259" s="760"/>
    </row>
    <row r="16260" spans="1:11">
      <c r="A16260" s="760"/>
      <c r="B16260" s="760"/>
      <c r="C16260" s="760"/>
      <c r="D16260" s="760"/>
      <c r="E16260" s="760"/>
      <c r="F16260" s="760"/>
      <c r="G16260" s="760"/>
      <c r="H16260" s="760"/>
      <c r="I16260" s="760"/>
      <c r="J16260" s="760"/>
      <c r="K16260" s="760"/>
    </row>
    <row r="16261" spans="1:11">
      <c r="A16261" s="760"/>
      <c r="B16261" s="760"/>
      <c r="C16261" s="760"/>
      <c r="D16261" s="760"/>
      <c r="E16261" s="760"/>
      <c r="F16261" s="760"/>
      <c r="G16261" s="760"/>
      <c r="H16261" s="760"/>
      <c r="I16261" s="760"/>
      <c r="J16261" s="760"/>
      <c r="K16261" s="760"/>
    </row>
    <row r="16262" spans="1:11">
      <c r="A16262" s="760"/>
      <c r="B16262" s="760"/>
      <c r="C16262" s="760"/>
      <c r="D16262" s="760"/>
      <c r="E16262" s="760"/>
      <c r="F16262" s="760"/>
      <c r="G16262" s="760"/>
      <c r="H16262" s="760"/>
      <c r="I16262" s="760"/>
      <c r="J16262" s="760"/>
      <c r="K16262" s="760"/>
    </row>
    <row r="16263" spans="1:11">
      <c r="A16263" s="760"/>
      <c r="B16263" s="760"/>
      <c r="C16263" s="760"/>
      <c r="D16263" s="760"/>
      <c r="E16263" s="760"/>
      <c r="F16263" s="760"/>
      <c r="G16263" s="760"/>
      <c r="H16263" s="760"/>
      <c r="I16263" s="760"/>
      <c r="J16263" s="760"/>
      <c r="K16263" s="760"/>
    </row>
    <row r="16264" spans="1:11">
      <c r="A16264" s="760"/>
      <c r="B16264" s="760"/>
      <c r="C16264" s="760"/>
      <c r="D16264" s="760"/>
      <c r="E16264" s="760"/>
      <c r="F16264" s="760"/>
      <c r="G16264" s="760"/>
      <c r="H16264" s="760"/>
      <c r="I16264" s="760"/>
      <c r="J16264" s="760"/>
      <c r="K16264" s="760"/>
    </row>
    <row r="16265" spans="1:11">
      <c r="A16265" s="760"/>
      <c r="B16265" s="760"/>
      <c r="C16265" s="760"/>
      <c r="D16265" s="760"/>
      <c r="E16265" s="760"/>
      <c r="F16265" s="760"/>
      <c r="G16265" s="760"/>
      <c r="H16265" s="760"/>
      <c r="I16265" s="760"/>
      <c r="J16265" s="760"/>
      <c r="K16265" s="760"/>
    </row>
    <row r="16266" spans="1:11">
      <c r="A16266" s="760"/>
      <c r="B16266" s="760"/>
      <c r="C16266" s="760"/>
      <c r="D16266" s="760"/>
      <c r="E16266" s="760"/>
      <c r="F16266" s="760"/>
      <c r="G16266" s="760"/>
      <c r="H16266" s="760"/>
      <c r="I16266" s="760"/>
      <c r="J16266" s="760"/>
      <c r="K16266" s="760"/>
    </row>
    <row r="16267" spans="1:11">
      <c r="A16267" s="760"/>
      <c r="B16267" s="760"/>
      <c r="C16267" s="760"/>
      <c r="D16267" s="760"/>
      <c r="E16267" s="760"/>
      <c r="F16267" s="760"/>
      <c r="G16267" s="760"/>
      <c r="H16267" s="760"/>
      <c r="I16267" s="760"/>
      <c r="J16267" s="760"/>
      <c r="K16267" s="760"/>
    </row>
    <row r="16268" spans="1:11">
      <c r="A16268" s="760"/>
      <c r="B16268" s="760"/>
      <c r="C16268" s="760"/>
      <c r="D16268" s="760"/>
      <c r="E16268" s="760"/>
      <c r="F16268" s="760"/>
      <c r="G16268" s="760"/>
      <c r="H16268" s="760"/>
      <c r="I16268" s="760"/>
      <c r="J16268" s="760"/>
      <c r="K16268" s="760"/>
    </row>
    <row r="16269" spans="1:11">
      <c r="A16269" s="760"/>
      <c r="B16269" s="760"/>
      <c r="C16269" s="760"/>
      <c r="D16269" s="760"/>
      <c r="E16269" s="760"/>
      <c r="F16269" s="760"/>
      <c r="G16269" s="760"/>
      <c r="H16269" s="760"/>
      <c r="I16269" s="760"/>
      <c r="J16269" s="760"/>
      <c r="K16269" s="760"/>
    </row>
    <row r="16270" spans="1:11">
      <c r="A16270" s="760"/>
      <c r="B16270" s="760"/>
      <c r="C16270" s="760"/>
      <c r="D16270" s="760"/>
      <c r="E16270" s="760"/>
      <c r="F16270" s="760"/>
      <c r="G16270" s="760"/>
      <c r="H16270" s="760"/>
      <c r="I16270" s="760"/>
      <c r="J16270" s="760"/>
      <c r="K16270" s="760"/>
    </row>
    <row r="16271" spans="1:11">
      <c r="A16271" s="760"/>
      <c r="B16271" s="760"/>
      <c r="C16271" s="760"/>
      <c r="D16271" s="760"/>
      <c r="E16271" s="760"/>
      <c r="F16271" s="760"/>
      <c r="G16271" s="760"/>
      <c r="H16271" s="760"/>
      <c r="I16271" s="760"/>
      <c r="J16271" s="760"/>
      <c r="K16271" s="760"/>
    </row>
    <row r="16272" spans="1:11">
      <c r="A16272" s="760"/>
      <c r="B16272" s="760"/>
      <c r="C16272" s="760"/>
      <c r="D16272" s="760"/>
      <c r="E16272" s="760"/>
      <c r="F16272" s="760"/>
      <c r="G16272" s="760"/>
      <c r="H16272" s="760"/>
      <c r="I16272" s="760"/>
      <c r="J16272" s="760"/>
      <c r="K16272" s="760"/>
    </row>
    <row r="16273" spans="1:11">
      <c r="A16273" s="760"/>
      <c r="B16273" s="760"/>
      <c r="C16273" s="760"/>
      <c r="D16273" s="760"/>
      <c r="E16273" s="760"/>
      <c r="F16273" s="760"/>
      <c r="G16273" s="760"/>
      <c r="H16273" s="760"/>
      <c r="I16273" s="760"/>
      <c r="J16273" s="760"/>
      <c r="K16273" s="760"/>
    </row>
    <row r="16274" spans="1:11">
      <c r="A16274" s="760"/>
      <c r="B16274" s="760"/>
      <c r="C16274" s="760"/>
      <c r="D16274" s="760"/>
      <c r="E16274" s="760"/>
      <c r="F16274" s="760"/>
      <c r="G16274" s="760"/>
      <c r="H16274" s="760"/>
      <c r="I16274" s="760"/>
      <c r="J16274" s="760"/>
      <c r="K16274" s="760"/>
    </row>
    <row r="16275" spans="1:11">
      <c r="A16275" s="760"/>
      <c r="B16275" s="760"/>
      <c r="C16275" s="760"/>
      <c r="D16275" s="760"/>
      <c r="E16275" s="760"/>
      <c r="F16275" s="760"/>
      <c r="G16275" s="760"/>
      <c r="H16275" s="760"/>
      <c r="I16275" s="760"/>
      <c r="J16275" s="760"/>
      <c r="K16275" s="760"/>
    </row>
    <row r="16276" spans="1:11">
      <c r="A16276" s="760"/>
      <c r="B16276" s="760"/>
      <c r="C16276" s="760"/>
      <c r="D16276" s="760"/>
      <c r="E16276" s="760"/>
      <c r="F16276" s="760"/>
      <c r="G16276" s="760"/>
      <c r="H16276" s="760"/>
      <c r="I16276" s="760"/>
      <c r="J16276" s="760"/>
      <c r="K16276" s="760"/>
    </row>
    <row r="16277" spans="1:11">
      <c r="A16277" s="760"/>
      <c r="B16277" s="760"/>
      <c r="C16277" s="760"/>
      <c r="D16277" s="760"/>
      <c r="E16277" s="760"/>
      <c r="F16277" s="760"/>
      <c r="G16277" s="760"/>
      <c r="H16277" s="760"/>
      <c r="I16277" s="760"/>
      <c r="J16277" s="760"/>
      <c r="K16277" s="760"/>
    </row>
    <row r="16278" spans="1:11">
      <c r="A16278" s="760"/>
      <c r="B16278" s="760"/>
      <c r="C16278" s="760"/>
      <c r="D16278" s="760"/>
      <c r="E16278" s="760"/>
      <c r="F16278" s="760"/>
      <c r="G16278" s="760"/>
      <c r="H16278" s="760"/>
      <c r="I16278" s="760"/>
      <c r="J16278" s="760"/>
      <c r="K16278" s="760"/>
    </row>
    <row r="16279" spans="1:11">
      <c r="A16279" s="760"/>
      <c r="B16279" s="760"/>
      <c r="C16279" s="760"/>
      <c r="D16279" s="760"/>
      <c r="E16279" s="760"/>
      <c r="F16279" s="760"/>
      <c r="G16279" s="760"/>
      <c r="H16279" s="760"/>
      <c r="I16279" s="760"/>
      <c r="J16279" s="760"/>
      <c r="K16279" s="760"/>
    </row>
    <row r="16280" spans="1:11">
      <c r="A16280" s="760"/>
      <c r="B16280" s="760"/>
      <c r="C16280" s="760"/>
      <c r="D16280" s="760"/>
      <c r="E16280" s="760"/>
      <c r="F16280" s="760"/>
      <c r="G16280" s="760"/>
      <c r="H16280" s="760"/>
      <c r="I16280" s="760"/>
      <c r="J16280" s="760"/>
      <c r="K16280" s="760"/>
    </row>
    <row r="16281" spans="1:11">
      <c r="A16281" s="760"/>
      <c r="B16281" s="760"/>
      <c r="C16281" s="760"/>
      <c r="D16281" s="760"/>
      <c r="E16281" s="760"/>
      <c r="F16281" s="760"/>
      <c r="G16281" s="760"/>
      <c r="H16281" s="760"/>
      <c r="I16281" s="760"/>
      <c r="J16281" s="760"/>
      <c r="K16281" s="760"/>
    </row>
    <row r="16282" spans="1:11">
      <c r="A16282" s="760"/>
      <c r="B16282" s="760"/>
      <c r="C16282" s="760"/>
      <c r="D16282" s="760"/>
      <c r="E16282" s="760"/>
      <c r="F16282" s="760"/>
      <c r="G16282" s="760"/>
      <c r="H16282" s="760"/>
      <c r="I16282" s="760"/>
      <c r="J16282" s="760"/>
      <c r="K16282" s="760"/>
    </row>
    <row r="16283" spans="1:11">
      <c r="A16283" s="760"/>
      <c r="B16283" s="760"/>
      <c r="C16283" s="760"/>
      <c r="D16283" s="760"/>
      <c r="E16283" s="760"/>
      <c r="F16283" s="760"/>
      <c r="G16283" s="760"/>
      <c r="H16283" s="760"/>
      <c r="I16283" s="760"/>
      <c r="J16283" s="760"/>
      <c r="K16283" s="760"/>
    </row>
    <row r="16284" spans="1:11">
      <c r="A16284" s="760"/>
      <c r="B16284" s="760"/>
      <c r="C16284" s="760"/>
      <c r="D16284" s="760"/>
      <c r="E16284" s="760"/>
      <c r="F16284" s="760"/>
      <c r="G16284" s="760"/>
      <c r="H16284" s="760"/>
      <c r="I16284" s="760"/>
      <c r="J16284" s="760"/>
      <c r="K16284" s="760"/>
    </row>
    <row r="16285" spans="1:11">
      <c r="A16285" s="760"/>
      <c r="B16285" s="760"/>
      <c r="C16285" s="760"/>
      <c r="D16285" s="760"/>
      <c r="E16285" s="760"/>
      <c r="F16285" s="760"/>
      <c r="G16285" s="760"/>
      <c r="H16285" s="760"/>
      <c r="I16285" s="760"/>
      <c r="J16285" s="760"/>
      <c r="K16285" s="760"/>
    </row>
    <row r="16286" spans="1:11">
      <c r="A16286" s="760"/>
      <c r="B16286" s="760"/>
      <c r="C16286" s="760"/>
      <c r="D16286" s="760"/>
      <c r="E16286" s="760"/>
      <c r="F16286" s="760"/>
      <c r="G16286" s="760"/>
      <c r="H16286" s="760"/>
      <c r="I16286" s="760"/>
      <c r="J16286" s="760"/>
      <c r="K16286" s="760"/>
    </row>
    <row r="16287" spans="1:11">
      <c r="A16287" s="760"/>
      <c r="B16287" s="760"/>
      <c r="C16287" s="760"/>
      <c r="D16287" s="760"/>
      <c r="E16287" s="760"/>
      <c r="F16287" s="760"/>
      <c r="G16287" s="760"/>
      <c r="H16287" s="760"/>
      <c r="I16287" s="760"/>
      <c r="J16287" s="760"/>
      <c r="K16287" s="760"/>
    </row>
    <row r="16288" spans="1:11">
      <c r="A16288" s="760"/>
      <c r="B16288" s="760"/>
      <c r="C16288" s="760"/>
      <c r="D16288" s="760"/>
      <c r="E16288" s="760"/>
      <c r="F16288" s="760"/>
      <c r="G16288" s="760"/>
      <c r="H16288" s="760"/>
      <c r="I16288" s="760"/>
      <c r="J16288" s="760"/>
      <c r="K16288" s="760"/>
    </row>
    <row r="16289" spans="1:11">
      <c r="A16289" s="760"/>
      <c r="B16289" s="760"/>
      <c r="C16289" s="760"/>
      <c r="D16289" s="760"/>
      <c r="E16289" s="760"/>
      <c r="F16289" s="760"/>
      <c r="G16289" s="760"/>
      <c r="H16289" s="760"/>
      <c r="I16289" s="760"/>
      <c r="J16289" s="760"/>
      <c r="K16289" s="760"/>
    </row>
    <row r="16290" spans="1:11">
      <c r="A16290" s="760"/>
      <c r="B16290" s="760"/>
      <c r="C16290" s="760"/>
      <c r="D16290" s="760"/>
      <c r="E16290" s="760"/>
      <c r="F16290" s="760"/>
      <c r="G16290" s="760"/>
      <c r="H16290" s="760"/>
      <c r="I16290" s="760"/>
      <c r="J16290" s="760"/>
      <c r="K16290" s="760"/>
    </row>
    <row r="16291" spans="1:11">
      <c r="A16291" s="760"/>
      <c r="B16291" s="760"/>
      <c r="C16291" s="760"/>
      <c r="D16291" s="760"/>
      <c r="E16291" s="760"/>
      <c r="F16291" s="760"/>
      <c r="G16291" s="760"/>
      <c r="H16291" s="760"/>
      <c r="I16291" s="760"/>
      <c r="J16291" s="760"/>
      <c r="K16291" s="760"/>
    </row>
    <row r="16292" spans="1:11">
      <c r="A16292" s="760"/>
      <c r="B16292" s="760"/>
      <c r="C16292" s="760"/>
      <c r="D16292" s="760"/>
      <c r="E16292" s="760"/>
      <c r="F16292" s="760"/>
      <c r="G16292" s="760"/>
      <c r="H16292" s="760"/>
      <c r="I16292" s="760"/>
      <c r="J16292" s="760"/>
      <c r="K16292" s="760"/>
    </row>
    <row r="16293" spans="1:11">
      <c r="A16293" s="760"/>
      <c r="B16293" s="760"/>
      <c r="C16293" s="760"/>
      <c r="D16293" s="760"/>
      <c r="E16293" s="760"/>
      <c r="F16293" s="760"/>
      <c r="G16293" s="760"/>
      <c r="H16293" s="760"/>
      <c r="I16293" s="760"/>
      <c r="J16293" s="760"/>
      <c r="K16293" s="760"/>
    </row>
    <row r="16294" spans="1:11">
      <c r="A16294" s="760"/>
      <c r="B16294" s="760"/>
      <c r="C16294" s="760"/>
      <c r="D16294" s="760"/>
      <c r="E16294" s="760"/>
      <c r="F16294" s="760"/>
      <c r="G16294" s="760"/>
      <c r="H16294" s="760"/>
      <c r="I16294" s="760"/>
      <c r="J16294" s="760"/>
      <c r="K16294" s="760"/>
    </row>
    <row r="16295" spans="1:11">
      <c r="A16295" s="760"/>
      <c r="B16295" s="760"/>
      <c r="C16295" s="760"/>
      <c r="D16295" s="760"/>
      <c r="E16295" s="760"/>
      <c r="F16295" s="760"/>
      <c r="G16295" s="760"/>
      <c r="H16295" s="760"/>
      <c r="I16295" s="760"/>
      <c r="J16295" s="760"/>
      <c r="K16295" s="760"/>
    </row>
    <row r="16296" spans="1:11">
      <c r="A16296" s="760"/>
      <c r="B16296" s="760"/>
      <c r="C16296" s="760"/>
      <c r="D16296" s="760"/>
      <c r="E16296" s="760"/>
      <c r="F16296" s="760"/>
      <c r="G16296" s="760"/>
      <c r="H16296" s="760"/>
      <c r="I16296" s="760"/>
      <c r="J16296" s="760"/>
      <c r="K16296" s="760"/>
    </row>
    <row r="16297" spans="1:11">
      <c r="A16297" s="760"/>
      <c r="B16297" s="760"/>
      <c r="C16297" s="760"/>
      <c r="D16297" s="760"/>
      <c r="E16297" s="760"/>
      <c r="F16297" s="760"/>
      <c r="G16297" s="760"/>
      <c r="H16297" s="760"/>
      <c r="I16297" s="760"/>
      <c r="J16297" s="760"/>
      <c r="K16297" s="760"/>
    </row>
    <row r="16298" spans="1:11">
      <c r="A16298" s="760"/>
      <c r="B16298" s="760"/>
      <c r="C16298" s="760"/>
      <c r="D16298" s="760"/>
      <c r="E16298" s="760"/>
      <c r="F16298" s="760"/>
      <c r="G16298" s="760"/>
      <c r="H16298" s="760"/>
      <c r="I16298" s="760"/>
      <c r="J16298" s="760"/>
      <c r="K16298" s="760"/>
    </row>
    <row r="16299" spans="1:11">
      <c r="A16299" s="760"/>
      <c r="B16299" s="760"/>
      <c r="C16299" s="760"/>
      <c r="D16299" s="760"/>
      <c r="E16299" s="760"/>
      <c r="F16299" s="760"/>
      <c r="G16299" s="760"/>
      <c r="H16299" s="760"/>
      <c r="I16299" s="760"/>
      <c r="J16299" s="760"/>
      <c r="K16299" s="760"/>
    </row>
    <row r="16300" spans="1:11">
      <c r="A16300" s="760"/>
      <c r="B16300" s="760"/>
      <c r="C16300" s="760"/>
      <c r="D16300" s="760"/>
      <c r="E16300" s="760"/>
      <c r="F16300" s="760"/>
      <c r="G16300" s="760"/>
      <c r="H16300" s="760"/>
      <c r="I16300" s="760"/>
      <c r="J16300" s="760"/>
      <c r="K16300" s="760"/>
    </row>
    <row r="16301" spans="1:11">
      <c r="A16301" s="760"/>
      <c r="B16301" s="760"/>
      <c r="C16301" s="760"/>
      <c r="D16301" s="760"/>
      <c r="E16301" s="760"/>
      <c r="F16301" s="760"/>
      <c r="G16301" s="760"/>
      <c r="H16301" s="760"/>
      <c r="I16301" s="760"/>
      <c r="J16301" s="760"/>
      <c r="K16301" s="760"/>
    </row>
    <row r="16302" spans="1:11">
      <c r="A16302" s="760"/>
      <c r="B16302" s="760"/>
      <c r="C16302" s="760"/>
      <c r="D16302" s="760"/>
      <c r="E16302" s="760"/>
      <c r="F16302" s="760"/>
      <c r="G16302" s="760"/>
      <c r="H16302" s="760"/>
      <c r="I16302" s="760"/>
      <c r="J16302" s="760"/>
      <c r="K16302" s="760"/>
    </row>
    <row r="16303" spans="1:11">
      <c r="A16303" s="760"/>
      <c r="B16303" s="760"/>
      <c r="C16303" s="760"/>
      <c r="D16303" s="760"/>
      <c r="E16303" s="760"/>
      <c r="F16303" s="760"/>
      <c r="G16303" s="760"/>
      <c r="H16303" s="760"/>
      <c r="I16303" s="760"/>
      <c r="J16303" s="760"/>
      <c r="K16303" s="760"/>
    </row>
    <row r="16304" spans="1:11">
      <c r="A16304" s="760"/>
      <c r="B16304" s="760"/>
      <c r="C16304" s="760"/>
      <c r="D16304" s="760"/>
      <c r="E16304" s="760"/>
      <c r="F16304" s="760"/>
      <c r="G16304" s="760"/>
      <c r="H16304" s="760"/>
      <c r="I16304" s="760"/>
      <c r="J16304" s="760"/>
      <c r="K16304" s="760"/>
    </row>
    <row r="16305" spans="1:11">
      <c r="A16305" s="760"/>
      <c r="B16305" s="760"/>
      <c r="C16305" s="760"/>
      <c r="D16305" s="760"/>
      <c r="E16305" s="760"/>
      <c r="F16305" s="760"/>
      <c r="G16305" s="760"/>
      <c r="H16305" s="760"/>
      <c r="I16305" s="760"/>
      <c r="J16305" s="760"/>
      <c r="K16305" s="760"/>
    </row>
    <row r="16306" spans="1:11">
      <c r="A16306" s="760"/>
      <c r="B16306" s="760"/>
      <c r="C16306" s="760"/>
      <c r="D16306" s="760"/>
      <c r="E16306" s="760"/>
      <c r="F16306" s="760"/>
      <c r="G16306" s="760"/>
      <c r="H16306" s="760"/>
      <c r="I16306" s="760"/>
      <c r="J16306" s="760"/>
      <c r="K16306" s="760"/>
    </row>
    <row r="16307" spans="1:11">
      <c r="A16307" s="760"/>
      <c r="B16307" s="760"/>
      <c r="C16307" s="760"/>
      <c r="D16307" s="760"/>
      <c r="E16307" s="760"/>
      <c r="F16307" s="760"/>
      <c r="G16307" s="760"/>
      <c r="H16307" s="760"/>
      <c r="I16307" s="760"/>
      <c r="J16307" s="760"/>
      <c r="K16307" s="760"/>
    </row>
    <row r="16308" spans="1:11">
      <c r="A16308" s="760"/>
      <c r="B16308" s="760"/>
      <c r="C16308" s="760"/>
      <c r="D16308" s="760"/>
      <c r="E16308" s="760"/>
      <c r="F16308" s="760"/>
      <c r="G16308" s="760"/>
      <c r="H16308" s="760"/>
      <c r="I16308" s="760"/>
      <c r="J16308" s="760"/>
      <c r="K16308" s="760"/>
    </row>
    <row r="16309" spans="1:11">
      <c r="A16309" s="760"/>
      <c r="B16309" s="760"/>
      <c r="C16309" s="760"/>
      <c r="D16309" s="760"/>
      <c r="E16309" s="760"/>
      <c r="F16309" s="760"/>
      <c r="G16309" s="760"/>
      <c r="H16309" s="760"/>
      <c r="I16309" s="760"/>
      <c r="J16309" s="760"/>
      <c r="K16309" s="760"/>
    </row>
    <row r="16310" spans="1:11">
      <c r="A16310" s="760"/>
      <c r="B16310" s="760"/>
      <c r="C16310" s="760"/>
      <c r="D16310" s="760"/>
      <c r="E16310" s="760"/>
      <c r="F16310" s="760"/>
      <c r="G16310" s="760"/>
      <c r="H16310" s="760"/>
      <c r="I16310" s="760"/>
      <c r="J16310" s="760"/>
      <c r="K16310" s="760"/>
    </row>
    <row r="16311" spans="1:11">
      <c r="A16311" s="760"/>
      <c r="B16311" s="760"/>
      <c r="C16311" s="760"/>
      <c r="D16311" s="760"/>
      <c r="E16311" s="760"/>
      <c r="F16311" s="760"/>
      <c r="G16311" s="760"/>
      <c r="H16311" s="760"/>
      <c r="I16311" s="760"/>
      <c r="J16311" s="760"/>
      <c r="K16311" s="760"/>
    </row>
    <row r="16312" spans="1:11">
      <c r="A16312" s="760"/>
      <c r="B16312" s="760"/>
      <c r="C16312" s="760"/>
      <c r="D16312" s="760"/>
      <c r="E16312" s="760"/>
      <c r="F16312" s="760"/>
      <c r="G16312" s="760"/>
      <c r="H16312" s="760"/>
      <c r="I16312" s="760"/>
      <c r="J16312" s="760"/>
      <c r="K16312" s="760"/>
    </row>
    <row r="16313" spans="1:11">
      <c r="A16313" s="760"/>
      <c r="B16313" s="760"/>
      <c r="C16313" s="760"/>
      <c r="D16313" s="760"/>
      <c r="E16313" s="760"/>
      <c r="F16313" s="760"/>
      <c r="G16313" s="760"/>
      <c r="H16313" s="760"/>
      <c r="I16313" s="760"/>
      <c r="J16313" s="760"/>
      <c r="K16313" s="760"/>
    </row>
    <row r="16314" spans="1:11">
      <c r="A16314" s="760"/>
      <c r="B16314" s="760"/>
      <c r="C16314" s="760"/>
      <c r="D16314" s="760"/>
      <c r="E16314" s="760"/>
      <c r="F16314" s="760"/>
      <c r="G16314" s="760"/>
      <c r="H16314" s="760"/>
      <c r="I16314" s="760"/>
      <c r="J16314" s="760"/>
      <c r="K16314" s="760"/>
    </row>
    <row r="16315" spans="1:11">
      <c r="A16315" s="760"/>
      <c r="B16315" s="760"/>
      <c r="C16315" s="760"/>
      <c r="D16315" s="760"/>
      <c r="E16315" s="760"/>
      <c r="F16315" s="760"/>
      <c r="G16315" s="760"/>
      <c r="H16315" s="760"/>
      <c r="I16315" s="760"/>
      <c r="J16315" s="760"/>
      <c r="K16315" s="760"/>
    </row>
    <row r="16316" spans="1:11">
      <c r="A16316" s="760"/>
      <c r="B16316" s="760"/>
      <c r="C16316" s="760"/>
      <c r="D16316" s="760"/>
      <c r="E16316" s="760"/>
      <c r="F16316" s="760"/>
      <c r="G16316" s="760"/>
      <c r="H16316" s="760"/>
      <c r="I16316" s="760"/>
      <c r="J16316" s="760"/>
      <c r="K16316" s="760"/>
    </row>
    <row r="16317" spans="1:11">
      <c r="A16317" s="760"/>
      <c r="B16317" s="760"/>
      <c r="C16317" s="760"/>
      <c r="D16317" s="760"/>
      <c r="E16317" s="760"/>
      <c r="F16317" s="760"/>
      <c r="G16317" s="760"/>
      <c r="H16317" s="760"/>
      <c r="I16317" s="760"/>
      <c r="J16317" s="760"/>
      <c r="K16317" s="760"/>
    </row>
    <row r="16318" spans="1:11">
      <c r="A16318" s="760"/>
      <c r="B16318" s="760"/>
      <c r="C16318" s="760"/>
      <c r="D16318" s="760"/>
      <c r="E16318" s="760"/>
      <c r="F16318" s="760"/>
      <c r="G16318" s="760"/>
      <c r="H16318" s="760"/>
      <c r="I16318" s="760"/>
      <c r="J16318" s="760"/>
      <c r="K16318" s="760"/>
    </row>
    <row r="16319" spans="1:11">
      <c r="A16319" s="760"/>
      <c r="B16319" s="760"/>
      <c r="C16319" s="760"/>
      <c r="D16319" s="760"/>
      <c r="E16319" s="760"/>
      <c r="F16319" s="760"/>
      <c r="G16319" s="760"/>
      <c r="H16319" s="760"/>
      <c r="I16319" s="760"/>
      <c r="J16319" s="760"/>
      <c r="K16319" s="760"/>
    </row>
    <row r="16320" spans="1:11">
      <c r="A16320" s="760"/>
      <c r="B16320" s="760"/>
      <c r="C16320" s="760"/>
      <c r="D16320" s="760"/>
      <c r="E16320" s="760"/>
      <c r="F16320" s="760"/>
      <c r="G16320" s="760"/>
      <c r="H16320" s="760"/>
      <c r="I16320" s="760"/>
      <c r="J16320" s="760"/>
      <c r="K16320" s="760"/>
    </row>
    <row r="16321" spans="1:11">
      <c r="A16321" s="760"/>
      <c r="B16321" s="760"/>
      <c r="C16321" s="760"/>
      <c r="D16321" s="760"/>
      <c r="E16321" s="760"/>
      <c r="F16321" s="760"/>
      <c r="G16321" s="760"/>
      <c r="H16321" s="760"/>
      <c r="I16321" s="760"/>
      <c r="J16321" s="760"/>
      <c r="K16321" s="760"/>
    </row>
    <row r="16322" spans="1:11">
      <c r="A16322" s="760"/>
      <c r="B16322" s="760"/>
      <c r="C16322" s="760"/>
      <c r="D16322" s="760"/>
      <c r="E16322" s="760"/>
      <c r="F16322" s="760"/>
      <c r="G16322" s="760"/>
      <c r="H16322" s="760"/>
      <c r="I16322" s="760"/>
      <c r="J16322" s="760"/>
      <c r="K16322" s="760"/>
    </row>
    <row r="16323" spans="1:11">
      <c r="A16323" s="760"/>
      <c r="B16323" s="760"/>
      <c r="C16323" s="760"/>
      <c r="D16323" s="760"/>
      <c r="E16323" s="760"/>
      <c r="F16323" s="760"/>
      <c r="G16323" s="760"/>
      <c r="H16323" s="760"/>
      <c r="I16323" s="760"/>
      <c r="J16323" s="760"/>
      <c r="K16323" s="760"/>
    </row>
    <row r="16324" spans="1:11">
      <c r="A16324" s="760"/>
      <c r="B16324" s="760"/>
      <c r="C16324" s="760"/>
      <c r="D16324" s="760"/>
      <c r="E16324" s="760"/>
      <c r="F16324" s="760"/>
      <c r="G16324" s="760"/>
      <c r="H16324" s="760"/>
      <c r="I16324" s="760"/>
      <c r="J16324" s="760"/>
      <c r="K16324" s="760"/>
    </row>
    <row r="16325" spans="1:11">
      <c r="A16325" s="760"/>
      <c r="B16325" s="760"/>
      <c r="C16325" s="760"/>
      <c r="D16325" s="760"/>
      <c r="E16325" s="760"/>
      <c r="F16325" s="760"/>
      <c r="G16325" s="760"/>
      <c r="H16325" s="760"/>
      <c r="I16325" s="760"/>
      <c r="J16325" s="760"/>
      <c r="K16325" s="760"/>
    </row>
    <row r="16326" spans="1:11">
      <c r="A16326" s="760"/>
      <c r="B16326" s="760"/>
      <c r="C16326" s="760"/>
      <c r="D16326" s="760"/>
      <c r="E16326" s="760"/>
      <c r="F16326" s="760"/>
      <c r="G16326" s="760"/>
      <c r="H16326" s="760"/>
      <c r="I16326" s="760"/>
      <c r="J16326" s="760"/>
      <c r="K16326" s="760"/>
    </row>
    <row r="16327" spans="1:11">
      <c r="A16327" s="760"/>
      <c r="B16327" s="760"/>
      <c r="C16327" s="760"/>
      <c r="D16327" s="760"/>
      <c r="E16327" s="760"/>
      <c r="F16327" s="760"/>
      <c r="G16327" s="760"/>
      <c r="H16327" s="760"/>
      <c r="I16327" s="760"/>
      <c r="J16327" s="760"/>
      <c r="K16327" s="760"/>
    </row>
    <row r="16328" spans="1:11">
      <c r="A16328" s="760"/>
      <c r="B16328" s="760"/>
      <c r="C16328" s="760"/>
      <c r="D16328" s="760"/>
      <c r="E16328" s="760"/>
      <c r="F16328" s="760"/>
      <c r="G16328" s="760"/>
      <c r="H16328" s="760"/>
      <c r="I16328" s="760"/>
      <c r="J16328" s="760"/>
      <c r="K16328" s="760"/>
    </row>
    <row r="16329" spans="1:11">
      <c r="A16329" s="760"/>
      <c r="B16329" s="760"/>
      <c r="C16329" s="760"/>
      <c r="D16329" s="760"/>
      <c r="E16329" s="760"/>
      <c r="F16329" s="760"/>
      <c r="G16329" s="760"/>
      <c r="H16329" s="760"/>
      <c r="I16329" s="760"/>
      <c r="J16329" s="760"/>
      <c r="K16329" s="760"/>
    </row>
    <row r="16330" spans="1:11">
      <c r="A16330" s="760"/>
      <c r="B16330" s="760"/>
      <c r="C16330" s="760"/>
      <c r="D16330" s="760"/>
      <c r="E16330" s="760"/>
      <c r="F16330" s="760"/>
      <c r="G16330" s="760"/>
      <c r="H16330" s="760"/>
      <c r="I16330" s="760"/>
      <c r="J16330" s="760"/>
      <c r="K16330" s="760"/>
    </row>
    <row r="16331" spans="1:11">
      <c r="A16331" s="760"/>
      <c r="B16331" s="760"/>
      <c r="C16331" s="760"/>
      <c r="D16331" s="760"/>
      <c r="E16331" s="760"/>
      <c r="F16331" s="760"/>
      <c r="G16331" s="760"/>
      <c r="H16331" s="760"/>
      <c r="I16331" s="760"/>
      <c r="J16331" s="760"/>
      <c r="K16331" s="760"/>
    </row>
    <row r="16332" spans="1:11">
      <c r="A16332" s="760"/>
      <c r="B16332" s="760"/>
      <c r="C16332" s="760"/>
      <c r="D16332" s="760"/>
      <c r="E16332" s="760"/>
      <c r="F16332" s="760"/>
      <c r="G16332" s="760"/>
      <c r="H16332" s="760"/>
      <c r="I16332" s="760"/>
      <c r="J16332" s="760"/>
      <c r="K16332" s="760"/>
    </row>
    <row r="16333" spans="1:11">
      <c r="A16333" s="760"/>
      <c r="B16333" s="760"/>
      <c r="C16333" s="760"/>
      <c r="D16333" s="760"/>
      <c r="E16333" s="760"/>
      <c r="F16333" s="760"/>
      <c r="G16333" s="760"/>
      <c r="H16333" s="760"/>
      <c r="I16333" s="760"/>
      <c r="J16333" s="760"/>
      <c r="K16333" s="760"/>
    </row>
    <row r="16334" spans="1:11">
      <c r="A16334" s="760"/>
      <c r="B16334" s="760"/>
      <c r="C16334" s="760"/>
      <c r="D16334" s="760"/>
      <c r="E16334" s="760"/>
      <c r="F16334" s="760"/>
      <c r="G16334" s="760"/>
      <c r="H16334" s="760"/>
      <c r="I16334" s="760"/>
      <c r="J16334" s="760"/>
      <c r="K16334" s="760"/>
    </row>
    <row r="16335" spans="1:11">
      <c r="A16335" s="760"/>
      <c r="B16335" s="760"/>
      <c r="C16335" s="760"/>
      <c r="D16335" s="760"/>
      <c r="E16335" s="760"/>
      <c r="F16335" s="760"/>
      <c r="G16335" s="760"/>
      <c r="H16335" s="760"/>
      <c r="I16335" s="760"/>
      <c r="J16335" s="760"/>
      <c r="K16335" s="760"/>
    </row>
    <row r="16336" spans="1:11">
      <c r="A16336" s="760"/>
      <c r="B16336" s="760"/>
      <c r="C16336" s="760"/>
      <c r="D16336" s="760"/>
      <c r="E16336" s="760"/>
      <c r="F16336" s="760"/>
      <c r="G16336" s="760"/>
      <c r="H16336" s="760"/>
      <c r="I16336" s="760"/>
      <c r="J16336" s="760"/>
      <c r="K16336" s="760"/>
    </row>
    <row r="16337" spans="1:11">
      <c r="A16337" s="760"/>
      <c r="B16337" s="760"/>
      <c r="C16337" s="760"/>
      <c r="D16337" s="760"/>
      <c r="E16337" s="760"/>
      <c r="F16337" s="760"/>
      <c r="G16337" s="760"/>
      <c r="H16337" s="760"/>
      <c r="I16337" s="760"/>
      <c r="J16337" s="760"/>
      <c r="K16337" s="760"/>
    </row>
    <row r="16338" spans="1:11">
      <c r="A16338" s="760"/>
      <c r="B16338" s="760"/>
      <c r="C16338" s="760"/>
      <c r="D16338" s="760"/>
      <c r="E16338" s="760"/>
      <c r="F16338" s="760"/>
      <c r="G16338" s="760"/>
      <c r="H16338" s="760"/>
      <c r="I16338" s="760"/>
      <c r="J16338" s="760"/>
      <c r="K16338" s="760"/>
    </row>
    <row r="16339" spans="1:11">
      <c r="A16339" s="760"/>
      <c r="B16339" s="760"/>
      <c r="C16339" s="760"/>
      <c r="D16339" s="760"/>
      <c r="E16339" s="760"/>
      <c r="F16339" s="760"/>
      <c r="G16339" s="760"/>
      <c r="H16339" s="760"/>
      <c r="I16339" s="760"/>
      <c r="J16339" s="760"/>
      <c r="K16339" s="760"/>
    </row>
    <row r="16340" spans="1:11">
      <c r="A16340" s="760"/>
      <c r="B16340" s="760"/>
      <c r="C16340" s="760"/>
      <c r="D16340" s="760"/>
      <c r="E16340" s="760"/>
      <c r="F16340" s="760"/>
      <c r="G16340" s="760"/>
      <c r="H16340" s="760"/>
      <c r="I16340" s="760"/>
      <c r="J16340" s="760"/>
      <c r="K16340" s="760"/>
    </row>
    <row r="16341" spans="1:11">
      <c r="A16341" s="760"/>
      <c r="B16341" s="760"/>
      <c r="C16341" s="760"/>
      <c r="D16341" s="760"/>
      <c r="E16341" s="760"/>
      <c r="F16341" s="760"/>
      <c r="G16341" s="760"/>
      <c r="H16341" s="760"/>
      <c r="I16341" s="760"/>
      <c r="J16341" s="760"/>
      <c r="K16341" s="760"/>
    </row>
    <row r="16342" spans="1:11">
      <c r="A16342" s="760"/>
      <c r="B16342" s="760"/>
      <c r="C16342" s="760"/>
      <c r="D16342" s="760"/>
      <c r="E16342" s="760"/>
      <c r="F16342" s="760"/>
      <c r="G16342" s="760"/>
      <c r="H16342" s="760"/>
      <c r="I16342" s="760"/>
      <c r="J16342" s="760"/>
      <c r="K16342" s="760"/>
    </row>
    <row r="16343" spans="1:11">
      <c r="A16343" s="760"/>
      <c r="B16343" s="760"/>
      <c r="C16343" s="760"/>
      <c r="D16343" s="760"/>
      <c r="E16343" s="760"/>
      <c r="F16343" s="760"/>
      <c r="G16343" s="760"/>
      <c r="H16343" s="760"/>
      <c r="I16343" s="760"/>
      <c r="J16343" s="760"/>
      <c r="K16343" s="760"/>
    </row>
    <row r="16344" spans="1:11">
      <c r="A16344" s="760"/>
      <c r="B16344" s="760"/>
      <c r="C16344" s="760"/>
      <c r="D16344" s="760"/>
      <c r="E16344" s="760"/>
      <c r="F16344" s="760"/>
      <c r="G16344" s="760"/>
      <c r="H16344" s="760"/>
      <c r="I16344" s="760"/>
      <c r="J16344" s="760"/>
      <c r="K16344" s="760"/>
    </row>
    <row r="16345" spans="1:11">
      <c r="A16345" s="760"/>
      <c r="B16345" s="760"/>
      <c r="C16345" s="760"/>
      <c r="D16345" s="760"/>
      <c r="E16345" s="760"/>
      <c r="F16345" s="760"/>
      <c r="G16345" s="760"/>
      <c r="H16345" s="760"/>
      <c r="I16345" s="760"/>
      <c r="J16345" s="760"/>
      <c r="K16345" s="760"/>
    </row>
    <row r="16346" spans="1:11">
      <c r="A16346" s="760"/>
      <c r="B16346" s="760"/>
      <c r="C16346" s="760"/>
      <c r="D16346" s="760"/>
      <c r="E16346" s="760"/>
      <c r="F16346" s="760"/>
      <c r="G16346" s="760"/>
      <c r="H16346" s="760"/>
      <c r="I16346" s="760"/>
      <c r="J16346" s="760"/>
      <c r="K16346" s="760"/>
    </row>
    <row r="16347" spans="1:11">
      <c r="A16347" s="760"/>
      <c r="B16347" s="760"/>
      <c r="C16347" s="760"/>
      <c r="D16347" s="760"/>
      <c r="E16347" s="760"/>
      <c r="F16347" s="760"/>
      <c r="G16347" s="760"/>
      <c r="H16347" s="760"/>
      <c r="I16347" s="760"/>
      <c r="J16347" s="760"/>
      <c r="K16347" s="760"/>
    </row>
    <row r="16348" spans="1:11">
      <c r="A16348" s="760"/>
      <c r="B16348" s="760"/>
      <c r="C16348" s="760"/>
      <c r="D16348" s="760"/>
      <c r="E16348" s="760"/>
      <c r="F16348" s="760"/>
      <c r="G16348" s="760"/>
      <c r="H16348" s="760"/>
      <c r="I16348" s="760"/>
      <c r="J16348" s="760"/>
      <c r="K16348" s="760"/>
    </row>
    <row r="16349" spans="1:11">
      <c r="A16349" s="760"/>
      <c r="B16349" s="760"/>
      <c r="C16349" s="760"/>
      <c r="D16349" s="760"/>
      <c r="E16349" s="760"/>
      <c r="F16349" s="760"/>
      <c r="G16349" s="760"/>
      <c r="H16349" s="760"/>
      <c r="I16349" s="760"/>
      <c r="J16349" s="760"/>
      <c r="K16349" s="760"/>
    </row>
    <row r="16350" spans="1:11">
      <c r="A16350" s="760"/>
      <c r="B16350" s="760"/>
      <c r="C16350" s="760"/>
      <c r="D16350" s="760"/>
      <c r="E16350" s="760"/>
      <c r="F16350" s="760"/>
      <c r="G16350" s="760"/>
      <c r="H16350" s="760"/>
      <c r="I16350" s="760"/>
      <c r="J16350" s="760"/>
      <c r="K16350" s="760"/>
    </row>
    <row r="16351" spans="1:11">
      <c r="A16351" s="760"/>
      <c r="B16351" s="760"/>
      <c r="C16351" s="760"/>
      <c r="D16351" s="760"/>
      <c r="E16351" s="760"/>
      <c r="F16351" s="760"/>
      <c r="G16351" s="760"/>
      <c r="H16351" s="760"/>
      <c r="I16351" s="760"/>
      <c r="J16351" s="760"/>
      <c r="K16351" s="760"/>
    </row>
    <row r="16352" spans="1:11">
      <c r="A16352" s="760"/>
      <c r="B16352" s="760"/>
      <c r="C16352" s="760"/>
      <c r="D16352" s="760"/>
      <c r="E16352" s="760"/>
      <c r="F16352" s="760"/>
      <c r="G16352" s="760"/>
      <c r="H16352" s="760"/>
      <c r="I16352" s="760"/>
      <c r="J16352" s="760"/>
      <c r="K16352" s="760"/>
    </row>
    <row r="16353" spans="1:11">
      <c r="A16353" s="760"/>
      <c r="B16353" s="760"/>
      <c r="C16353" s="760"/>
      <c r="D16353" s="760"/>
      <c r="E16353" s="760"/>
      <c r="F16353" s="760"/>
      <c r="G16353" s="760"/>
      <c r="H16353" s="760"/>
      <c r="I16353" s="760"/>
      <c r="J16353" s="760"/>
      <c r="K16353" s="760"/>
    </row>
    <row r="16354" spans="1:11">
      <c r="A16354" s="760"/>
      <c r="B16354" s="760"/>
      <c r="C16354" s="760"/>
      <c r="D16354" s="760"/>
      <c r="E16354" s="760"/>
      <c r="F16354" s="760"/>
      <c r="G16354" s="760"/>
      <c r="H16354" s="760"/>
      <c r="I16354" s="760"/>
      <c r="J16354" s="760"/>
      <c r="K16354" s="760"/>
    </row>
    <row r="16355" spans="1:11">
      <c r="A16355" s="760"/>
      <c r="B16355" s="760"/>
      <c r="C16355" s="760"/>
      <c r="D16355" s="760"/>
      <c r="E16355" s="760"/>
      <c r="F16355" s="760"/>
      <c r="G16355" s="760"/>
      <c r="H16355" s="760"/>
      <c r="I16355" s="760"/>
      <c r="J16355" s="760"/>
      <c r="K16355" s="760"/>
    </row>
    <row r="16356" spans="1:11">
      <c r="A16356" s="760"/>
      <c r="B16356" s="760"/>
      <c r="C16356" s="760"/>
      <c r="D16356" s="760"/>
      <c r="E16356" s="760"/>
      <c r="F16356" s="760"/>
      <c r="G16356" s="760"/>
      <c r="H16356" s="760"/>
      <c r="I16356" s="760"/>
      <c r="J16356" s="760"/>
      <c r="K16356" s="760"/>
    </row>
    <row r="16357" spans="1:11">
      <c r="A16357" s="760"/>
      <c r="B16357" s="760"/>
      <c r="C16357" s="760"/>
      <c r="D16357" s="760"/>
      <c r="E16357" s="760"/>
      <c r="F16357" s="760"/>
      <c r="G16357" s="760"/>
      <c r="H16357" s="760"/>
      <c r="I16357" s="760"/>
      <c r="J16357" s="760"/>
      <c r="K16357" s="760"/>
    </row>
    <row r="16358" spans="1:11">
      <c r="A16358" s="760"/>
      <c r="B16358" s="760"/>
      <c r="C16358" s="760"/>
      <c r="D16358" s="760"/>
      <c r="E16358" s="760"/>
      <c r="F16358" s="760"/>
      <c r="G16358" s="760"/>
      <c r="H16358" s="760"/>
      <c r="I16358" s="760"/>
      <c r="J16358" s="760"/>
      <c r="K16358" s="760"/>
    </row>
    <row r="16359" spans="1:11">
      <c r="A16359" s="760"/>
      <c r="B16359" s="760"/>
      <c r="C16359" s="760"/>
      <c r="D16359" s="760"/>
      <c r="E16359" s="760"/>
      <c r="F16359" s="760"/>
      <c r="G16359" s="760"/>
      <c r="H16359" s="760"/>
      <c r="I16359" s="760"/>
      <c r="J16359" s="760"/>
      <c r="K16359" s="760"/>
    </row>
    <row r="16360" spans="1:11">
      <c r="A16360" s="760"/>
      <c r="B16360" s="760"/>
      <c r="C16360" s="760"/>
      <c r="D16360" s="760"/>
      <c r="E16360" s="760"/>
      <c r="F16360" s="760"/>
      <c r="G16360" s="760"/>
      <c r="H16360" s="760"/>
      <c r="I16360" s="760"/>
      <c r="J16360" s="760"/>
      <c r="K16360" s="760"/>
    </row>
    <row r="16361" spans="1:11">
      <c r="A16361" s="760"/>
      <c r="B16361" s="760"/>
      <c r="C16361" s="760"/>
      <c r="D16361" s="760"/>
      <c r="E16361" s="760"/>
      <c r="F16361" s="760"/>
      <c r="G16361" s="760"/>
      <c r="H16361" s="760"/>
      <c r="I16361" s="760"/>
      <c r="J16361" s="760"/>
      <c r="K16361" s="760"/>
    </row>
    <row r="16362" spans="1:11">
      <c r="A16362" s="760"/>
      <c r="B16362" s="760"/>
      <c r="C16362" s="760"/>
      <c r="D16362" s="760"/>
      <c r="E16362" s="760"/>
      <c r="F16362" s="760"/>
      <c r="G16362" s="760"/>
      <c r="H16362" s="760"/>
      <c r="I16362" s="760"/>
      <c r="J16362" s="760"/>
      <c r="K16362" s="760"/>
    </row>
    <row r="16363" spans="1:11">
      <c r="A16363" s="760"/>
      <c r="B16363" s="760"/>
      <c r="C16363" s="760"/>
      <c r="D16363" s="760"/>
      <c r="E16363" s="760"/>
      <c r="F16363" s="760"/>
      <c r="G16363" s="760"/>
      <c r="H16363" s="760"/>
      <c r="I16363" s="760"/>
      <c r="J16363" s="760"/>
      <c r="K16363" s="760"/>
    </row>
    <row r="16364" spans="1:11">
      <c r="A16364" s="760"/>
      <c r="B16364" s="760"/>
      <c r="C16364" s="760"/>
      <c r="D16364" s="760"/>
      <c r="E16364" s="760"/>
      <c r="F16364" s="760"/>
      <c r="G16364" s="760"/>
      <c r="H16364" s="760"/>
      <c r="I16364" s="760"/>
      <c r="J16364" s="760"/>
      <c r="K16364" s="760"/>
    </row>
    <row r="16365" spans="1:11">
      <c r="A16365" s="760"/>
      <c r="B16365" s="760"/>
      <c r="C16365" s="760"/>
      <c r="D16365" s="760"/>
      <c r="E16365" s="760"/>
      <c r="F16365" s="760"/>
      <c r="G16365" s="760"/>
      <c r="H16365" s="760"/>
      <c r="I16365" s="760"/>
      <c r="J16365" s="760"/>
      <c r="K16365" s="760"/>
    </row>
    <row r="16366" spans="1:11">
      <c r="A16366" s="760"/>
      <c r="B16366" s="760"/>
      <c r="C16366" s="760"/>
      <c r="D16366" s="760"/>
      <c r="E16366" s="760"/>
      <c r="F16366" s="760"/>
      <c r="G16366" s="760"/>
      <c r="H16366" s="760"/>
      <c r="I16366" s="760"/>
      <c r="J16366" s="760"/>
      <c r="K16366" s="760"/>
    </row>
    <row r="16367" spans="1:11">
      <c r="A16367" s="760"/>
      <c r="B16367" s="760"/>
      <c r="C16367" s="760"/>
      <c r="D16367" s="760"/>
      <c r="E16367" s="760"/>
      <c r="F16367" s="760"/>
      <c r="G16367" s="760"/>
      <c r="H16367" s="760"/>
      <c r="I16367" s="760"/>
      <c r="J16367" s="760"/>
      <c r="K16367" s="760"/>
    </row>
    <row r="16368" spans="1:11">
      <c r="A16368" s="760"/>
      <c r="B16368" s="760"/>
      <c r="C16368" s="760"/>
      <c r="D16368" s="760"/>
      <c r="E16368" s="760"/>
      <c r="F16368" s="760"/>
      <c r="G16368" s="760"/>
      <c r="H16368" s="760"/>
      <c r="I16368" s="760"/>
      <c r="J16368" s="760"/>
      <c r="K16368" s="760"/>
    </row>
    <row r="16369" spans="1:11">
      <c r="A16369" s="760"/>
      <c r="B16369" s="760"/>
      <c r="C16369" s="760"/>
      <c r="D16369" s="760"/>
      <c r="E16369" s="760"/>
      <c r="F16369" s="760"/>
      <c r="G16369" s="760"/>
      <c r="H16369" s="760"/>
      <c r="I16369" s="760"/>
      <c r="J16369" s="760"/>
      <c r="K16369" s="760"/>
    </row>
    <row r="16370" spans="1:11">
      <c r="A16370" s="760"/>
      <c r="B16370" s="760"/>
      <c r="C16370" s="760"/>
      <c r="D16370" s="760"/>
      <c r="E16370" s="760"/>
      <c r="F16370" s="760"/>
      <c r="G16370" s="760"/>
      <c r="H16370" s="760"/>
      <c r="I16370" s="760"/>
      <c r="J16370" s="760"/>
      <c r="K16370" s="760"/>
    </row>
    <row r="16371" spans="1:11">
      <c r="A16371" s="760"/>
      <c r="B16371" s="760"/>
      <c r="C16371" s="760"/>
      <c r="D16371" s="760"/>
      <c r="E16371" s="760"/>
      <c r="F16371" s="760"/>
      <c r="G16371" s="760"/>
      <c r="H16371" s="760"/>
      <c r="I16371" s="760"/>
      <c r="J16371" s="760"/>
      <c r="K16371" s="760"/>
    </row>
    <row r="16372" spans="1:11">
      <c r="A16372" s="760"/>
      <c r="B16372" s="760"/>
      <c r="C16372" s="760"/>
      <c r="D16372" s="760"/>
      <c r="E16372" s="760"/>
      <c r="F16372" s="760"/>
      <c r="G16372" s="760"/>
      <c r="H16372" s="760"/>
      <c r="I16372" s="760"/>
      <c r="J16372" s="760"/>
      <c r="K16372" s="760"/>
    </row>
    <row r="16373" spans="1:11">
      <c r="A16373" s="760"/>
      <c r="B16373" s="760"/>
      <c r="C16373" s="760"/>
      <c r="D16373" s="760"/>
      <c r="E16373" s="760"/>
      <c r="F16373" s="760"/>
      <c r="G16373" s="760"/>
      <c r="H16373" s="760"/>
      <c r="I16373" s="760"/>
      <c r="J16373" s="760"/>
      <c r="K16373" s="760"/>
    </row>
    <row r="16374" spans="1:11">
      <c r="A16374" s="760"/>
      <c r="B16374" s="760"/>
      <c r="C16374" s="760"/>
      <c r="D16374" s="760"/>
      <c r="E16374" s="760"/>
      <c r="F16374" s="760"/>
      <c r="G16374" s="760"/>
      <c r="H16374" s="760"/>
      <c r="I16374" s="760"/>
      <c r="J16374" s="760"/>
      <c r="K16374" s="760"/>
    </row>
    <row r="16375" spans="1:11">
      <c r="A16375" s="760"/>
      <c r="B16375" s="760"/>
      <c r="C16375" s="760"/>
      <c r="D16375" s="760"/>
      <c r="E16375" s="760"/>
      <c r="F16375" s="760"/>
      <c r="G16375" s="760"/>
      <c r="H16375" s="760"/>
      <c r="I16375" s="760"/>
      <c r="J16375" s="760"/>
      <c r="K16375" s="760"/>
    </row>
    <row r="16376" spans="1:11">
      <c r="A16376" s="760"/>
      <c r="B16376" s="760"/>
      <c r="C16376" s="760"/>
      <c r="D16376" s="760"/>
      <c r="E16376" s="760"/>
      <c r="F16376" s="760"/>
      <c r="G16376" s="760"/>
      <c r="H16376" s="760"/>
      <c r="I16376" s="760"/>
      <c r="J16376" s="760"/>
      <c r="K16376" s="760"/>
    </row>
    <row r="16377" spans="1:11">
      <c r="A16377" s="760"/>
      <c r="B16377" s="760"/>
      <c r="C16377" s="760"/>
      <c r="D16377" s="760"/>
      <c r="E16377" s="760"/>
      <c r="F16377" s="760"/>
      <c r="G16377" s="760"/>
      <c r="H16377" s="760"/>
      <c r="I16377" s="760"/>
      <c r="J16377" s="760"/>
      <c r="K16377" s="760"/>
    </row>
    <row r="16378" spans="1:11">
      <c r="A16378" s="760"/>
      <c r="B16378" s="760"/>
      <c r="C16378" s="760"/>
      <c r="D16378" s="760"/>
      <c r="E16378" s="760"/>
      <c r="F16378" s="760"/>
      <c r="G16378" s="760"/>
      <c r="H16378" s="760"/>
      <c r="I16378" s="760"/>
      <c r="J16378" s="760"/>
      <c r="K16378" s="760"/>
    </row>
    <row r="16379" spans="1:11">
      <c r="A16379" s="760"/>
      <c r="B16379" s="760"/>
      <c r="C16379" s="760"/>
      <c r="D16379" s="760"/>
      <c r="E16379" s="760"/>
      <c r="F16379" s="760"/>
      <c r="G16379" s="760"/>
      <c r="H16379" s="760"/>
      <c r="I16379" s="760"/>
      <c r="J16379" s="760"/>
      <c r="K16379" s="760"/>
    </row>
    <row r="16380" spans="1:11">
      <c r="A16380" s="760"/>
      <c r="B16380" s="760"/>
      <c r="C16380" s="760"/>
      <c r="D16380" s="760"/>
      <c r="E16380" s="760"/>
      <c r="F16380" s="760"/>
      <c r="G16380" s="760"/>
      <c r="H16380" s="760"/>
      <c r="I16380" s="760"/>
      <c r="J16380" s="760"/>
      <c r="K16380" s="760"/>
    </row>
    <row r="16381" spans="1:11">
      <c r="A16381" s="760"/>
      <c r="B16381" s="760"/>
      <c r="C16381" s="760"/>
      <c r="D16381" s="760"/>
      <c r="E16381" s="760"/>
      <c r="F16381" s="760"/>
      <c r="G16381" s="760"/>
      <c r="H16381" s="760"/>
      <c r="I16381" s="760"/>
      <c r="J16381" s="760"/>
      <c r="K16381" s="760"/>
    </row>
    <row r="16382" spans="1:11">
      <c r="A16382" s="760"/>
      <c r="B16382" s="760"/>
      <c r="C16382" s="760"/>
      <c r="D16382" s="760"/>
      <c r="E16382" s="760"/>
      <c r="F16382" s="760"/>
      <c r="G16382" s="760"/>
      <c r="H16382" s="760"/>
      <c r="I16382" s="760"/>
      <c r="J16382" s="760"/>
      <c r="K16382" s="760"/>
    </row>
    <row r="16383" spans="1:11">
      <c r="A16383" s="760"/>
      <c r="B16383" s="760"/>
      <c r="C16383" s="760"/>
      <c r="D16383" s="760"/>
      <c r="E16383" s="760"/>
      <c r="F16383" s="760"/>
      <c r="G16383" s="760"/>
      <c r="H16383" s="760"/>
      <c r="I16383" s="760"/>
      <c r="J16383" s="760"/>
      <c r="K16383" s="760"/>
    </row>
  </sheetData>
  <pageMargins left="0.7" right="0.7" top="0.75" bottom="0.75" header="0.3" footer="0.3"/>
  <pageSetup paperSize="9" orientation="portrait" horizontalDpi="300" verticalDpi="300" r:id="rId1"/>
  <headerFooter>
    <oddFooter>&amp;C&amp;1#&amp;"Calibri"&amp;10&amp;K000000Internal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BEC8A-0B0D-4F9E-90F2-0EF42E57D2E4}">
  <sheetPr codeName="Sheet29">
    <tabColor rgb="FFFFFF00"/>
  </sheetPr>
  <dimension ref="A1:BU111"/>
  <sheetViews>
    <sheetView showGridLines="0" zoomScale="85" zoomScaleNormal="85" workbookViewId="0">
      <selection activeCell="D5" sqref="D5"/>
    </sheetView>
  </sheetViews>
  <sheetFormatPr defaultColWidth="10.296875" defaultRowHeight="14.5"/>
  <cols>
    <col min="1" max="1" width="10.296875" style="944"/>
    <col min="2" max="2" width="13.3984375" style="941" bestFit="1" customWidth="1"/>
    <col min="3" max="13" width="12.69921875" style="941" customWidth="1"/>
    <col min="14" max="25" width="12.69921875" style="943" customWidth="1"/>
    <col min="26" max="16384" width="10.296875" style="945"/>
  </cols>
  <sheetData>
    <row r="1" spans="1:73" s="942" customFormat="1" ht="15" customHeight="1">
      <c r="A1" s="1672"/>
      <c r="B1" s="1673" t="s">
        <v>1138</v>
      </c>
      <c r="C1" s="1674" t="str">
        <f>กรอกข้อมูล!M29</f>
        <v>No</v>
      </c>
      <c r="D1" s="1675"/>
      <c r="E1" s="1676"/>
      <c r="F1" s="1676"/>
      <c r="G1" s="1676"/>
      <c r="H1" s="1676"/>
      <c r="I1" s="1676"/>
      <c r="J1" s="1677"/>
      <c r="K1" s="1677"/>
      <c r="L1" s="1676"/>
      <c r="M1" s="1676"/>
      <c r="N1" s="1678"/>
      <c r="O1" s="1678"/>
      <c r="P1" s="1678"/>
      <c r="Q1" s="1678"/>
      <c r="R1" s="1678"/>
      <c r="S1" s="1678"/>
      <c r="T1" s="1678"/>
      <c r="U1" s="1678"/>
      <c r="V1" s="1678"/>
      <c r="W1" s="1678"/>
      <c r="X1" s="1678"/>
      <c r="Y1" s="1678"/>
      <c r="Z1" s="1677"/>
      <c r="AA1" s="1677"/>
      <c r="AB1" s="1677"/>
      <c r="AC1" s="1677"/>
      <c r="AD1" s="1677"/>
      <c r="AE1" s="1677"/>
      <c r="AF1" s="1677"/>
      <c r="AG1" s="1677"/>
      <c r="AH1" s="1677"/>
      <c r="AI1" s="1677"/>
      <c r="AJ1" s="1677"/>
      <c r="AK1" s="1677"/>
      <c r="AL1" s="1677"/>
      <c r="AM1" s="1677"/>
      <c r="AN1" s="1677"/>
      <c r="AO1" s="1677"/>
      <c r="AP1" s="1677"/>
      <c r="AQ1" s="1677"/>
      <c r="AR1" s="1677"/>
      <c r="AS1" s="1677"/>
      <c r="AT1" s="1677"/>
      <c r="AU1" s="1677"/>
      <c r="AV1" s="1677"/>
      <c r="AW1" s="1677"/>
      <c r="AX1" s="1677"/>
      <c r="AY1" s="1677"/>
      <c r="AZ1" s="1677"/>
      <c r="BA1" s="1677"/>
      <c r="BB1" s="1677"/>
      <c r="BC1" s="1677"/>
      <c r="BD1" s="1677"/>
      <c r="BE1" s="1677"/>
      <c r="BF1" s="1677"/>
      <c r="BG1" s="1677"/>
      <c r="BH1" s="1677"/>
      <c r="BI1" s="1677"/>
      <c r="BJ1" s="1677"/>
      <c r="BK1" s="1677"/>
      <c r="BL1" s="1677"/>
      <c r="BM1" s="1677"/>
      <c r="BN1" s="1677"/>
      <c r="BO1" s="1677"/>
      <c r="BP1" s="1677"/>
      <c r="BQ1" s="1677"/>
      <c r="BR1" s="1677"/>
      <c r="BS1" s="1677"/>
      <c r="BT1" s="1677"/>
      <c r="BU1" s="1677"/>
    </row>
    <row r="2" spans="1:73" s="942" customFormat="1" ht="15" customHeight="1">
      <c r="A2" s="1672"/>
      <c r="B2" s="1679" t="s">
        <v>1009</v>
      </c>
      <c r="C2" s="1680">
        <f>กรอกข้อมูล!$C$5</f>
        <v>44</v>
      </c>
      <c r="D2" s="1681" t="str">
        <f>IF(C2&lt;11,"J","S")</f>
        <v>S</v>
      </c>
      <c r="E2" s="1677" t="s">
        <v>129</v>
      </c>
      <c r="F2" s="1676"/>
      <c r="G2" s="1676"/>
      <c r="H2" s="1682" t="s">
        <v>575</v>
      </c>
      <c r="I2" s="1682" t="s">
        <v>715</v>
      </c>
      <c r="J2" s="1676"/>
      <c r="K2" s="1676"/>
      <c r="L2" s="1676"/>
      <c r="M2" s="1676"/>
      <c r="N2" s="1678"/>
      <c r="O2" s="1678"/>
      <c r="P2" s="1678"/>
      <c r="Q2" s="1678"/>
      <c r="R2" s="1678"/>
      <c r="S2" s="1678"/>
      <c r="T2" s="1678"/>
      <c r="U2" s="1678"/>
      <c r="V2" s="1678"/>
      <c r="W2" s="1678"/>
      <c r="X2" s="1678"/>
      <c r="Y2" s="1678"/>
      <c r="Z2" s="1677"/>
      <c r="AA2" s="1677"/>
      <c r="AB2" s="1677"/>
      <c r="AC2" s="1677"/>
      <c r="AD2" s="1677"/>
      <c r="AE2" s="1677"/>
      <c r="AF2" s="1677"/>
      <c r="AG2" s="1677"/>
      <c r="AH2" s="1677"/>
      <c r="AI2" s="1677"/>
      <c r="AJ2" s="1677"/>
      <c r="AK2" s="1677"/>
      <c r="AL2" s="1677"/>
      <c r="AM2" s="1677"/>
      <c r="AN2" s="1677"/>
      <c r="AO2" s="1677"/>
      <c r="AP2" s="1677"/>
      <c r="AQ2" s="1677"/>
      <c r="AR2" s="1677"/>
      <c r="AS2" s="1677"/>
      <c r="AT2" s="1677"/>
      <c r="AU2" s="1677"/>
      <c r="AV2" s="1677"/>
      <c r="AW2" s="1677"/>
      <c r="AX2" s="1677"/>
      <c r="AY2" s="1677"/>
      <c r="AZ2" s="1677"/>
      <c r="BA2" s="1677"/>
      <c r="BB2" s="1677"/>
      <c r="BC2" s="1677"/>
      <c r="BD2" s="1677"/>
      <c r="BE2" s="1677"/>
      <c r="BF2" s="1677"/>
      <c r="BG2" s="1677"/>
      <c r="BH2" s="1677"/>
      <c r="BI2" s="1677"/>
      <c r="BJ2" s="1677"/>
      <c r="BK2" s="1677"/>
      <c r="BL2" s="1677"/>
      <c r="BM2" s="1677"/>
      <c r="BN2" s="1677"/>
      <c r="BO2" s="1677"/>
      <c r="BP2" s="1677"/>
      <c r="BQ2" s="1677"/>
      <c r="BR2" s="1677"/>
      <c r="BS2" s="1677"/>
      <c r="BT2" s="1677"/>
      <c r="BU2" s="1677"/>
    </row>
    <row r="3" spans="1:73" s="942" customFormat="1">
      <c r="A3" s="1672"/>
      <c r="B3" s="1679" t="s">
        <v>567</v>
      </c>
      <c r="C3" s="1683" t="str">
        <f>กรอกข้อมูล!$C$6</f>
        <v>หญิง</v>
      </c>
      <c r="D3" s="1684" t="str">
        <f>IF(OR(C3="ชาย",C3="Male"),"M","F")</f>
        <v>F</v>
      </c>
      <c r="E3" s="1677" t="s">
        <v>129</v>
      </c>
      <c r="F3" s="1676"/>
      <c r="G3" s="1676"/>
      <c r="H3" s="1682" t="s">
        <v>578</v>
      </c>
      <c r="I3" s="1682" t="s">
        <v>1139</v>
      </c>
      <c r="J3" s="1676"/>
      <c r="K3" s="1676"/>
      <c r="L3" s="1676"/>
      <c r="M3" s="1676"/>
      <c r="N3" s="1678"/>
      <c r="O3" s="1678"/>
      <c r="P3" s="1678"/>
      <c r="Q3" s="1678"/>
      <c r="R3" s="1678"/>
      <c r="S3" s="1678"/>
      <c r="T3" s="1678"/>
      <c r="U3" s="1678"/>
      <c r="V3" s="1678"/>
      <c r="W3" s="1678"/>
      <c r="X3" s="1678"/>
      <c r="Y3" s="1678"/>
      <c r="Z3" s="1677"/>
      <c r="AA3" s="1677"/>
      <c r="AB3" s="1677"/>
      <c r="AC3" s="1677"/>
      <c r="AD3" s="1677"/>
      <c r="AE3" s="1677"/>
      <c r="AF3" s="1677"/>
      <c r="AG3" s="1677"/>
      <c r="AH3" s="1677"/>
      <c r="AI3" s="1677"/>
      <c r="AJ3" s="1677"/>
      <c r="AK3" s="1677"/>
      <c r="AL3" s="1677"/>
      <c r="AM3" s="1677"/>
      <c r="AN3" s="1677"/>
      <c r="AO3" s="1677"/>
      <c r="AP3" s="1677"/>
      <c r="AQ3" s="1677"/>
      <c r="AR3" s="1677"/>
      <c r="AS3" s="1677"/>
      <c r="AT3" s="1677"/>
      <c r="AU3" s="1677"/>
      <c r="AV3" s="1677"/>
      <c r="AW3" s="1677"/>
      <c r="AX3" s="1677"/>
      <c r="AY3" s="1677"/>
      <c r="AZ3" s="1677"/>
      <c r="BA3" s="1677"/>
      <c r="BB3" s="1677"/>
      <c r="BC3" s="1677"/>
      <c r="BD3" s="1677"/>
      <c r="BE3" s="1677"/>
      <c r="BF3" s="1677"/>
      <c r="BG3" s="1677"/>
      <c r="BH3" s="1677"/>
      <c r="BI3" s="1677"/>
      <c r="BJ3" s="1677"/>
      <c r="BK3" s="1677"/>
      <c r="BL3" s="1677"/>
      <c r="BM3" s="1677"/>
      <c r="BN3" s="1677"/>
      <c r="BO3" s="1677"/>
      <c r="BP3" s="1677"/>
      <c r="BQ3" s="1677"/>
      <c r="BR3" s="1677"/>
      <c r="BS3" s="1677"/>
      <c r="BT3" s="1677"/>
      <c r="BU3" s="1677"/>
    </row>
    <row r="4" spans="1:73" s="942" customFormat="1">
      <c r="A4" s="1672"/>
      <c r="B4" s="1685" t="s">
        <v>1140</v>
      </c>
      <c r="C4" s="1686">
        <f>กรอกข้อมูล!$M$27</f>
        <v>0</v>
      </c>
      <c r="D4" s="1687" t="str">
        <f>กรอกข้อมูล!$R$37</f>
        <v/>
      </c>
      <c r="E4" s="1677"/>
      <c r="F4" s="1676"/>
      <c r="G4" s="1676"/>
      <c r="H4" s="1682" t="s">
        <v>557</v>
      </c>
      <c r="I4" s="1682" t="s">
        <v>1141</v>
      </c>
      <c r="J4" s="1676"/>
      <c r="K4" s="1676"/>
      <c r="L4" s="1676"/>
      <c r="M4" s="1676"/>
      <c r="N4" s="1678"/>
      <c r="O4" s="1678"/>
      <c r="P4" s="1678"/>
      <c r="Q4" s="1678"/>
      <c r="R4" s="1678"/>
      <c r="S4" s="1678"/>
      <c r="T4" s="1678"/>
      <c r="U4" s="1678"/>
      <c r="V4" s="1678"/>
      <c r="W4" s="1678"/>
      <c r="X4" s="1678"/>
      <c r="Y4" s="1678"/>
      <c r="Z4" s="1677"/>
      <c r="AA4" s="1677"/>
      <c r="AB4" s="1677"/>
      <c r="AC4" s="1677"/>
      <c r="AD4" s="1677"/>
      <c r="AE4" s="1677"/>
      <c r="AF4" s="1677"/>
      <c r="AG4" s="1677"/>
      <c r="AH4" s="1677"/>
      <c r="AI4" s="1677"/>
      <c r="AJ4" s="1677"/>
      <c r="AK4" s="1677"/>
      <c r="AL4" s="1677"/>
      <c r="AM4" s="1677"/>
      <c r="AN4" s="1677"/>
      <c r="AO4" s="1677"/>
      <c r="AP4" s="1677"/>
      <c r="AQ4" s="1677"/>
      <c r="AR4" s="1677"/>
      <c r="AS4" s="1677"/>
      <c r="AT4" s="1677"/>
      <c r="AU4" s="1677"/>
      <c r="AV4" s="1677"/>
      <c r="AW4" s="1677"/>
      <c r="AX4" s="1677"/>
      <c r="AY4" s="1677"/>
      <c r="AZ4" s="1677"/>
      <c r="BA4" s="1677"/>
      <c r="BB4" s="1677"/>
      <c r="BC4" s="1677"/>
      <c r="BD4" s="1677"/>
      <c r="BE4" s="1677"/>
      <c r="BF4" s="1677"/>
      <c r="BG4" s="1677"/>
      <c r="BH4" s="1677"/>
      <c r="BI4" s="1677"/>
      <c r="BJ4" s="1677"/>
      <c r="BK4" s="1677"/>
      <c r="BL4" s="1677"/>
      <c r="BM4" s="1677"/>
      <c r="BN4" s="1677"/>
      <c r="BO4" s="1677"/>
      <c r="BP4" s="1677"/>
      <c r="BQ4" s="1677"/>
      <c r="BR4" s="1677"/>
      <c r="BS4" s="1677"/>
      <c r="BT4" s="1677"/>
      <c r="BU4" s="1677"/>
    </row>
    <row r="5" spans="1:73" s="942" customFormat="1">
      <c r="A5" s="1672"/>
      <c r="B5" s="1688" t="s">
        <v>2385</v>
      </c>
      <c r="C5" s="1689">
        <f>กรอกข้อมูล!D31</f>
        <v>0</v>
      </c>
      <c r="D5" s="1690" t="str">
        <f>IFERROR(IF(C5="Full Coverage","",IF(C5="Deductible","D",IF(C5="Co-Payment","C",""))),"")</f>
        <v/>
      </c>
      <c r="E5" s="1677"/>
      <c r="F5" s="1676"/>
      <c r="G5" s="1676"/>
      <c r="H5" s="1676"/>
      <c r="I5" s="1676"/>
      <c r="J5" s="1676"/>
      <c r="K5" s="1676"/>
      <c r="L5" s="1676"/>
      <c r="M5" s="1676"/>
      <c r="N5" s="1678"/>
      <c r="O5" s="1678"/>
      <c r="P5" s="1678"/>
      <c r="Q5" s="1678"/>
      <c r="R5" s="1678"/>
      <c r="S5" s="1678"/>
      <c r="T5" s="1678"/>
      <c r="U5" s="1678"/>
      <c r="V5" s="1678"/>
      <c r="W5" s="1678"/>
      <c r="X5" s="1678"/>
      <c r="Y5" s="1678"/>
      <c r="Z5" s="1677"/>
      <c r="AA5" s="1677"/>
      <c r="AB5" s="1677"/>
      <c r="AC5" s="1677"/>
      <c r="AD5" s="1677"/>
      <c r="AE5" s="1677"/>
      <c r="AF5" s="1677"/>
      <c r="AG5" s="1677"/>
      <c r="AH5" s="1677"/>
      <c r="AI5" s="1677"/>
      <c r="AJ5" s="1677"/>
      <c r="AK5" s="1677"/>
      <c r="AL5" s="1677"/>
      <c r="AM5" s="1677"/>
      <c r="AN5" s="1677"/>
      <c r="AO5" s="1677"/>
      <c r="AP5" s="1677"/>
      <c r="AQ5" s="1677"/>
      <c r="AR5" s="1677"/>
      <c r="AS5" s="1677"/>
      <c r="AT5" s="1677"/>
      <c r="AU5" s="1677"/>
      <c r="AV5" s="1677"/>
      <c r="AW5" s="1677"/>
      <c r="AX5" s="1677"/>
      <c r="AY5" s="1677"/>
      <c r="AZ5" s="1677"/>
      <c r="BA5" s="1677"/>
      <c r="BB5" s="1677"/>
      <c r="BC5" s="1677"/>
      <c r="BD5" s="1677"/>
      <c r="BE5" s="1677"/>
      <c r="BF5" s="1677"/>
      <c r="BG5" s="1677"/>
      <c r="BH5" s="1677"/>
      <c r="BI5" s="1677"/>
      <c r="BJ5" s="1677"/>
      <c r="BK5" s="1677"/>
      <c r="BL5" s="1677"/>
      <c r="BM5" s="1677"/>
      <c r="BN5" s="1677"/>
      <c r="BO5" s="1677"/>
      <c r="BP5" s="1677"/>
      <c r="BQ5" s="1677"/>
      <c r="BR5" s="1677"/>
      <c r="BS5" s="1677"/>
      <c r="BT5" s="1677"/>
      <c r="BU5" s="1677"/>
    </row>
    <row r="6" spans="1:73" s="942" customFormat="1">
      <c r="A6" s="1672"/>
      <c r="B6" s="1685" t="s">
        <v>1142</v>
      </c>
      <c r="C6" s="1686" t="str">
        <f>กรอกข้อมูล!$M$28</f>
        <v>ประเทศไทย</v>
      </c>
      <c r="D6" s="1691" t="str">
        <f>VLOOKUP($C6,H2:I4,2,FALSE)</f>
        <v xml:space="preserve">  </v>
      </c>
      <c r="E6" s="1677"/>
      <c r="F6" s="1676"/>
      <c r="G6" s="1676"/>
      <c r="H6" s="1676"/>
      <c r="I6" s="1676"/>
      <c r="J6" s="1676"/>
      <c r="K6" s="1676"/>
      <c r="L6" s="1676"/>
      <c r="M6" s="1676"/>
      <c r="N6" s="1678"/>
      <c r="O6" s="1678"/>
      <c r="P6" s="1678"/>
      <c r="Q6" s="1678"/>
      <c r="R6" s="1678"/>
      <c r="S6" s="1678"/>
      <c r="T6" s="1678"/>
      <c r="U6" s="1678"/>
      <c r="V6" s="1678"/>
      <c r="W6" s="1678"/>
      <c r="X6" s="1678"/>
      <c r="Y6" s="1678"/>
      <c r="Z6" s="1677"/>
      <c r="AA6" s="1677"/>
      <c r="AB6" s="1677"/>
      <c r="AC6" s="1677"/>
      <c r="AD6" s="1677"/>
      <c r="AE6" s="1677"/>
      <c r="AF6" s="1677"/>
      <c r="AG6" s="1677"/>
      <c r="AH6" s="1677"/>
      <c r="AI6" s="1677"/>
      <c r="AJ6" s="1677"/>
      <c r="AK6" s="1677"/>
      <c r="AL6" s="1677"/>
      <c r="AM6" s="1677"/>
      <c r="AN6" s="1677"/>
      <c r="AO6" s="1677"/>
      <c r="AP6" s="1677"/>
      <c r="AQ6" s="1677"/>
      <c r="AR6" s="1677"/>
      <c r="AS6" s="1677"/>
      <c r="AT6" s="1677"/>
      <c r="AU6" s="1677"/>
      <c r="AV6" s="1677"/>
      <c r="AW6" s="1677"/>
      <c r="AX6" s="1677"/>
      <c r="AY6" s="1677"/>
      <c r="AZ6" s="1677"/>
      <c r="BA6" s="1677"/>
      <c r="BB6" s="1677"/>
      <c r="BC6" s="1677"/>
      <c r="BD6" s="1677"/>
      <c r="BE6" s="1677"/>
      <c r="BF6" s="1677"/>
      <c r="BG6" s="1677"/>
      <c r="BH6" s="1677"/>
      <c r="BI6" s="1677"/>
      <c r="BJ6" s="1677"/>
      <c r="BK6" s="1677"/>
      <c r="BL6" s="1677"/>
      <c r="BM6" s="1677"/>
      <c r="BN6" s="1677"/>
      <c r="BO6" s="1677"/>
      <c r="BP6" s="1677"/>
      <c r="BQ6" s="1677"/>
      <c r="BR6" s="1677"/>
      <c r="BS6" s="1677"/>
      <c r="BT6" s="1677"/>
      <c r="BU6" s="1677"/>
    </row>
    <row r="7" spans="1:73" s="942" customFormat="1">
      <c r="A7" s="1672"/>
      <c r="B7" s="1685" t="s">
        <v>1143</v>
      </c>
      <c r="C7" s="1686"/>
      <c r="D7" s="1692" t="str">
        <f>TRIM("MHP"&amp;D5&amp;D4&amp;D2&amp;D6)</f>
        <v>MHPS</v>
      </c>
      <c r="E7" s="1691" t="str">
        <f>D7&amp;"-"&amp;D3</f>
        <v>MHPS-F</v>
      </c>
      <c r="F7" s="1676"/>
      <c r="G7" s="1676"/>
      <c r="H7" s="1676"/>
      <c r="I7" s="1676"/>
      <c r="J7" s="1676"/>
      <c r="K7" s="1676"/>
      <c r="L7" s="1676"/>
      <c r="M7" s="1676"/>
      <c r="N7" s="1678"/>
      <c r="O7" s="1678"/>
      <c r="P7" s="1678"/>
      <c r="Q7" s="1678"/>
      <c r="R7" s="1678"/>
      <c r="S7" s="1678"/>
      <c r="T7" s="1678"/>
      <c r="U7" s="1678"/>
      <c r="V7" s="1678"/>
      <c r="W7" s="1678"/>
      <c r="X7" s="1678"/>
      <c r="Y7" s="1678"/>
      <c r="Z7" s="1677"/>
      <c r="AA7" s="1677"/>
      <c r="AB7" s="1677"/>
      <c r="AC7" s="1677"/>
      <c r="AD7" s="1677"/>
      <c r="AE7" s="1677"/>
      <c r="AF7" s="1677"/>
      <c r="AG7" s="1677"/>
      <c r="AH7" s="1677"/>
      <c r="AI7" s="1677"/>
      <c r="AJ7" s="1677"/>
      <c r="AK7" s="1677"/>
      <c r="AL7" s="1677"/>
      <c r="AM7" s="1677"/>
      <c r="AN7" s="1677"/>
      <c r="AO7" s="1677"/>
      <c r="AP7" s="1677"/>
      <c r="AQ7" s="1677"/>
      <c r="AR7" s="1677"/>
      <c r="AS7" s="1677"/>
      <c r="AT7" s="1677"/>
      <c r="AU7" s="1677"/>
      <c r="AV7" s="1677"/>
      <c r="AW7" s="1677"/>
      <c r="AX7" s="1677"/>
      <c r="AY7" s="1677"/>
      <c r="AZ7" s="1677"/>
      <c r="BA7" s="1677"/>
      <c r="BB7" s="1677"/>
      <c r="BC7" s="1677"/>
      <c r="BD7" s="1677"/>
      <c r="BE7" s="1677"/>
      <c r="BF7" s="1677"/>
      <c r="BG7" s="1677"/>
      <c r="BH7" s="1677"/>
      <c r="BI7" s="1677"/>
      <c r="BJ7" s="1677"/>
      <c r="BK7" s="1677"/>
      <c r="BL7" s="1677"/>
      <c r="BM7" s="1677"/>
      <c r="BN7" s="1677"/>
      <c r="BO7" s="1677"/>
      <c r="BP7" s="1677"/>
      <c r="BQ7" s="1677"/>
      <c r="BR7" s="1677"/>
      <c r="BS7" s="1677"/>
      <c r="BT7" s="1677"/>
      <c r="BU7" s="1677"/>
    </row>
    <row r="8" spans="1:73" s="942" customFormat="1">
      <c r="A8" s="1693"/>
      <c r="B8" s="1685" t="s">
        <v>1144</v>
      </c>
      <c r="C8" s="1686"/>
      <c r="D8" s="1691">
        <f>IF(C1="OK",HLOOKUP(E7,$B$9:$BU$111,C2+5,0),0)</f>
        <v>0</v>
      </c>
      <c r="E8" s="1694"/>
      <c r="F8" s="1676"/>
      <c r="G8" s="1676"/>
      <c r="H8" s="1676"/>
      <c r="I8" s="1676"/>
      <c r="J8" s="1676"/>
      <c r="K8" s="1676"/>
      <c r="L8" s="1676"/>
      <c r="M8" s="1676"/>
      <c r="N8" s="1678"/>
      <c r="O8" s="1678"/>
      <c r="P8" s="1678"/>
      <c r="Q8" s="1678"/>
      <c r="R8" s="1678"/>
      <c r="S8" s="1678"/>
      <c r="T8" s="1678"/>
      <c r="U8" s="1678"/>
      <c r="V8" s="1678"/>
      <c r="W8" s="1678"/>
      <c r="X8" s="1678"/>
      <c r="Y8" s="1678"/>
      <c r="Z8" s="1677"/>
      <c r="AA8" s="1677"/>
      <c r="AB8" s="1677"/>
      <c r="AC8" s="1677"/>
      <c r="AD8" s="1677"/>
      <c r="AE8" s="1677"/>
      <c r="AF8" s="1677"/>
      <c r="AG8" s="1677"/>
      <c r="AH8" s="1677"/>
      <c r="AI8" s="1677"/>
      <c r="AJ8" s="1677"/>
      <c r="AK8" s="1677"/>
      <c r="AL8" s="1677"/>
      <c r="AM8" s="1677"/>
      <c r="AN8" s="1677"/>
      <c r="AO8" s="1677"/>
      <c r="AP8" s="1677"/>
      <c r="AQ8" s="1677"/>
      <c r="AR8" s="1677"/>
      <c r="AS8" s="1677"/>
      <c r="AT8" s="1677"/>
      <c r="AU8" s="1677"/>
      <c r="AV8" s="1677"/>
      <c r="AW8" s="1677"/>
      <c r="AX8" s="1677"/>
      <c r="AY8" s="1677"/>
      <c r="AZ8" s="1677"/>
      <c r="BA8" s="1677"/>
      <c r="BB8" s="1677"/>
      <c r="BC8" s="1677"/>
      <c r="BD8" s="1677"/>
      <c r="BE8" s="1677"/>
      <c r="BF8" s="1677"/>
      <c r="BG8" s="1677"/>
      <c r="BH8" s="1677"/>
      <c r="BI8" s="1677"/>
      <c r="BJ8" s="1677"/>
      <c r="BK8" s="1677"/>
      <c r="BL8" s="1677"/>
      <c r="BM8" s="1677"/>
      <c r="BN8" s="1677"/>
      <c r="BO8" s="1677"/>
      <c r="BP8" s="1677"/>
      <c r="BQ8" s="1677"/>
      <c r="BR8" s="1677"/>
      <c r="BS8" s="1677"/>
      <c r="BT8" s="1677"/>
      <c r="BU8" s="1677"/>
    </row>
    <row r="9" spans="1:73" s="942" customFormat="1">
      <c r="A9" s="1695" t="s">
        <v>1143</v>
      </c>
      <c r="B9" s="1696" t="s">
        <v>1145</v>
      </c>
      <c r="C9" s="1696" t="s">
        <v>1146</v>
      </c>
      <c r="D9" s="1696" t="s">
        <v>1147</v>
      </c>
      <c r="E9" s="1696" t="s">
        <v>1148</v>
      </c>
      <c r="F9" s="1696" t="s">
        <v>1149</v>
      </c>
      <c r="G9" s="1696" t="s">
        <v>1150</v>
      </c>
      <c r="H9" s="1696" t="s">
        <v>1151</v>
      </c>
      <c r="I9" s="1696" t="s">
        <v>1152</v>
      </c>
      <c r="J9" s="1696" t="s">
        <v>1153</v>
      </c>
      <c r="K9" s="1696" t="s">
        <v>1154</v>
      </c>
      <c r="L9" s="1696" t="s">
        <v>1155</v>
      </c>
      <c r="M9" s="1696" t="s">
        <v>1156</v>
      </c>
      <c r="N9" s="1697" t="s">
        <v>1157</v>
      </c>
      <c r="O9" s="1697" t="s">
        <v>1158</v>
      </c>
      <c r="P9" s="1697" t="s">
        <v>1159</v>
      </c>
      <c r="Q9" s="1697" t="s">
        <v>1160</v>
      </c>
      <c r="R9" s="1697" t="s">
        <v>1161</v>
      </c>
      <c r="S9" s="1697" t="s">
        <v>1162</v>
      </c>
      <c r="T9" s="1697" t="s">
        <v>1163</v>
      </c>
      <c r="U9" s="1697" t="s">
        <v>1164</v>
      </c>
      <c r="V9" s="1697" t="s">
        <v>1165</v>
      </c>
      <c r="W9" s="1697" t="s">
        <v>1166</v>
      </c>
      <c r="X9" s="1697" t="s">
        <v>1167</v>
      </c>
      <c r="Y9" s="1697" t="s">
        <v>1168</v>
      </c>
      <c r="Z9" s="1696" t="s">
        <v>2386</v>
      </c>
      <c r="AA9" s="1696" t="s">
        <v>2387</v>
      </c>
      <c r="AB9" s="1696" t="s">
        <v>2388</v>
      </c>
      <c r="AC9" s="1696" t="s">
        <v>2389</v>
      </c>
      <c r="AD9" s="1696" t="s">
        <v>2390</v>
      </c>
      <c r="AE9" s="1696" t="s">
        <v>2391</v>
      </c>
      <c r="AF9" s="1696" t="s">
        <v>2392</v>
      </c>
      <c r="AG9" s="1696" t="s">
        <v>2393</v>
      </c>
      <c r="AH9" s="1696" t="s">
        <v>2394</v>
      </c>
      <c r="AI9" s="1696" t="s">
        <v>2395</v>
      </c>
      <c r="AJ9" s="1696" t="s">
        <v>2393</v>
      </c>
      <c r="AK9" s="1696" t="s">
        <v>2394</v>
      </c>
      <c r="AL9" s="1697" t="s">
        <v>2396</v>
      </c>
      <c r="AM9" s="1697" t="s">
        <v>2397</v>
      </c>
      <c r="AN9" s="1697" t="s">
        <v>2398</v>
      </c>
      <c r="AO9" s="1697" t="s">
        <v>2399</v>
      </c>
      <c r="AP9" s="1697" t="s">
        <v>2400</v>
      </c>
      <c r="AQ9" s="1697" t="s">
        <v>2401</v>
      </c>
      <c r="AR9" s="1697" t="s">
        <v>2402</v>
      </c>
      <c r="AS9" s="1697" t="s">
        <v>2403</v>
      </c>
      <c r="AT9" s="1697" t="s">
        <v>2404</v>
      </c>
      <c r="AU9" s="1697" t="s">
        <v>2405</v>
      </c>
      <c r="AV9" s="1697" t="s">
        <v>2403</v>
      </c>
      <c r="AW9" s="1697" t="s">
        <v>2404</v>
      </c>
      <c r="AX9" s="1696" t="s">
        <v>2406</v>
      </c>
      <c r="AY9" s="1696" t="s">
        <v>2407</v>
      </c>
      <c r="AZ9" s="1696" t="s">
        <v>2408</v>
      </c>
      <c r="BA9" s="1696" t="s">
        <v>2409</v>
      </c>
      <c r="BB9" s="1696" t="s">
        <v>2410</v>
      </c>
      <c r="BC9" s="1696" t="s">
        <v>2411</v>
      </c>
      <c r="BD9" s="1696" t="s">
        <v>2412</v>
      </c>
      <c r="BE9" s="1696" t="s">
        <v>2413</v>
      </c>
      <c r="BF9" s="1696" t="s">
        <v>2414</v>
      </c>
      <c r="BG9" s="1696" t="s">
        <v>2415</v>
      </c>
      <c r="BH9" s="1696" t="s">
        <v>2413</v>
      </c>
      <c r="BI9" s="1696" t="s">
        <v>2414</v>
      </c>
      <c r="BJ9" s="1697" t="s">
        <v>2416</v>
      </c>
      <c r="BK9" s="1697" t="s">
        <v>2417</v>
      </c>
      <c r="BL9" s="1697" t="s">
        <v>2418</v>
      </c>
      <c r="BM9" s="1697" t="s">
        <v>2419</v>
      </c>
      <c r="BN9" s="1697" t="s">
        <v>2420</v>
      </c>
      <c r="BO9" s="1697" t="s">
        <v>2421</v>
      </c>
      <c r="BP9" s="1697" t="s">
        <v>2422</v>
      </c>
      <c r="BQ9" s="1697" t="s">
        <v>2423</v>
      </c>
      <c r="BR9" s="1697" t="s">
        <v>2424</v>
      </c>
      <c r="BS9" s="1697" t="s">
        <v>2425</v>
      </c>
      <c r="BT9" s="1697" t="s">
        <v>2423</v>
      </c>
      <c r="BU9" s="1697" t="s">
        <v>2424</v>
      </c>
    </row>
    <row r="10" spans="1:73" s="942" customFormat="1">
      <c r="A10" s="1695" t="s">
        <v>1169</v>
      </c>
      <c r="B10" s="1698" t="s">
        <v>1105</v>
      </c>
      <c r="C10" s="1698" t="s">
        <v>1109</v>
      </c>
      <c r="D10" s="1698" t="s">
        <v>1113</v>
      </c>
      <c r="E10" s="1698" t="s">
        <v>1117</v>
      </c>
      <c r="F10" s="1698" t="s">
        <v>1120</v>
      </c>
      <c r="G10" s="1698" t="s">
        <v>1123</v>
      </c>
      <c r="H10" s="1698" t="s">
        <v>1126</v>
      </c>
      <c r="I10" s="1698" t="s">
        <v>1170</v>
      </c>
      <c r="J10" s="1698" t="s">
        <v>1130</v>
      </c>
      <c r="K10" s="1698" t="s">
        <v>1132</v>
      </c>
      <c r="L10" s="1698" t="s">
        <v>1134</v>
      </c>
      <c r="M10" s="1698" t="s">
        <v>1136</v>
      </c>
      <c r="N10" s="1699" t="s">
        <v>1105</v>
      </c>
      <c r="O10" s="1699" t="s">
        <v>1109</v>
      </c>
      <c r="P10" s="1699" t="s">
        <v>1113</v>
      </c>
      <c r="Q10" s="1699" t="s">
        <v>1117</v>
      </c>
      <c r="R10" s="1699" t="s">
        <v>1120</v>
      </c>
      <c r="S10" s="1699" t="s">
        <v>1123</v>
      </c>
      <c r="T10" s="1699" t="s">
        <v>1126</v>
      </c>
      <c r="U10" s="1699" t="s">
        <v>1170</v>
      </c>
      <c r="V10" s="1699" t="s">
        <v>1130</v>
      </c>
      <c r="W10" s="1699" t="s">
        <v>1132</v>
      </c>
      <c r="X10" s="1699" t="s">
        <v>1134</v>
      </c>
      <c r="Y10" s="1699" t="s">
        <v>1136</v>
      </c>
      <c r="Z10" s="1695" t="str">
        <f>LEFT(Z9,6)</f>
        <v>MHPC1J</v>
      </c>
      <c r="AA10" s="1695" t="str">
        <f t="shared" ref="AA10:BU10" si="0">LEFT(AA9,6)</f>
        <v>MHPC1S</v>
      </c>
      <c r="AB10" s="1695" t="str">
        <f t="shared" si="0"/>
        <v>MHPC2J</v>
      </c>
      <c r="AC10" s="1695" t="str">
        <f t="shared" si="0"/>
        <v>MHPC2S</v>
      </c>
      <c r="AD10" s="1695" t="str">
        <f t="shared" si="0"/>
        <v>MHPC3S</v>
      </c>
      <c r="AE10" s="1695" t="str">
        <f t="shared" si="0"/>
        <v>MHPC4S</v>
      </c>
      <c r="AF10" s="1695" t="str">
        <f t="shared" si="0"/>
        <v>MHPC5S</v>
      </c>
      <c r="AG10" s="1695" t="str">
        <f t="shared" si="0"/>
        <v>MHPCSA</v>
      </c>
      <c r="AH10" s="1695" t="str">
        <f t="shared" si="0"/>
        <v>MHPCSW</v>
      </c>
      <c r="AI10" s="1695" t="str">
        <f t="shared" si="0"/>
        <v>MHPC6S</v>
      </c>
      <c r="AJ10" s="1695" t="str">
        <f t="shared" si="0"/>
        <v>MHPCSA</v>
      </c>
      <c r="AK10" s="1695" t="str">
        <f t="shared" si="0"/>
        <v>MHPCSW</v>
      </c>
      <c r="AL10" s="1695" t="str">
        <f t="shared" si="0"/>
        <v>MHPC1J</v>
      </c>
      <c r="AM10" s="1695" t="str">
        <f t="shared" si="0"/>
        <v>MHPC1S</v>
      </c>
      <c r="AN10" s="1695" t="str">
        <f t="shared" si="0"/>
        <v>MHPC2J</v>
      </c>
      <c r="AO10" s="1695" t="str">
        <f t="shared" si="0"/>
        <v>MHPC2S</v>
      </c>
      <c r="AP10" s="1695" t="str">
        <f t="shared" si="0"/>
        <v>MHPC3S</v>
      </c>
      <c r="AQ10" s="1695" t="str">
        <f t="shared" si="0"/>
        <v>MHPC4S</v>
      </c>
      <c r="AR10" s="1695" t="str">
        <f t="shared" si="0"/>
        <v>MHPC5S</v>
      </c>
      <c r="AS10" s="1695" t="str">
        <f t="shared" si="0"/>
        <v>MHPCSA</v>
      </c>
      <c r="AT10" s="1695" t="str">
        <f t="shared" si="0"/>
        <v>MHPCSW</v>
      </c>
      <c r="AU10" s="1695" t="str">
        <f t="shared" si="0"/>
        <v>MHPC6S</v>
      </c>
      <c r="AV10" s="1695" t="str">
        <f t="shared" si="0"/>
        <v>MHPCSA</v>
      </c>
      <c r="AW10" s="1695" t="str">
        <f t="shared" si="0"/>
        <v>MHPCSW</v>
      </c>
      <c r="AX10" s="1695" t="str">
        <f t="shared" si="0"/>
        <v>MHPD1J</v>
      </c>
      <c r="AY10" s="1695" t="str">
        <f t="shared" si="0"/>
        <v>MHPD1S</v>
      </c>
      <c r="AZ10" s="1695" t="str">
        <f t="shared" si="0"/>
        <v>MHPD2J</v>
      </c>
      <c r="BA10" s="1695" t="str">
        <f t="shared" si="0"/>
        <v>MHPD2S</v>
      </c>
      <c r="BB10" s="1695" t="str">
        <f t="shared" si="0"/>
        <v>MHPD3S</v>
      </c>
      <c r="BC10" s="1695" t="str">
        <f t="shared" si="0"/>
        <v>MHPD4S</v>
      </c>
      <c r="BD10" s="1695" t="str">
        <f t="shared" si="0"/>
        <v>MHPD5S</v>
      </c>
      <c r="BE10" s="1695" t="str">
        <f t="shared" si="0"/>
        <v>MHPDSA</v>
      </c>
      <c r="BF10" s="1695" t="str">
        <f t="shared" si="0"/>
        <v>MHPDSW</v>
      </c>
      <c r="BG10" s="1695" t="str">
        <f t="shared" si="0"/>
        <v>MHPD6S</v>
      </c>
      <c r="BH10" s="1695" t="str">
        <f t="shared" si="0"/>
        <v>MHPDSA</v>
      </c>
      <c r="BI10" s="1695" t="str">
        <f t="shared" si="0"/>
        <v>MHPDSW</v>
      </c>
      <c r="BJ10" s="1695" t="str">
        <f t="shared" si="0"/>
        <v>MHPD1J</v>
      </c>
      <c r="BK10" s="1695" t="str">
        <f t="shared" si="0"/>
        <v>MHPD1S</v>
      </c>
      <c r="BL10" s="1695" t="str">
        <f t="shared" si="0"/>
        <v>MHPD2J</v>
      </c>
      <c r="BM10" s="1695" t="str">
        <f t="shared" si="0"/>
        <v>MHPD2S</v>
      </c>
      <c r="BN10" s="1695" t="str">
        <f t="shared" si="0"/>
        <v>MHPD3S</v>
      </c>
      <c r="BO10" s="1695" t="str">
        <f t="shared" si="0"/>
        <v>MHPD4S</v>
      </c>
      <c r="BP10" s="1695" t="str">
        <f t="shared" si="0"/>
        <v>MHPD5S</v>
      </c>
      <c r="BQ10" s="1695" t="str">
        <f t="shared" si="0"/>
        <v>MHPDSA</v>
      </c>
      <c r="BR10" s="1695" t="str">
        <f t="shared" si="0"/>
        <v>MHPDSW</v>
      </c>
      <c r="BS10" s="1695" t="str">
        <f t="shared" si="0"/>
        <v>MHPD6S</v>
      </c>
      <c r="BT10" s="1695" t="str">
        <f t="shared" si="0"/>
        <v>MHPDSA</v>
      </c>
      <c r="BU10" s="1695" t="str">
        <f t="shared" si="0"/>
        <v>MHPDSW</v>
      </c>
    </row>
    <row r="11" spans="1:73" s="942" customFormat="1">
      <c r="A11" s="1695" t="s">
        <v>1171</v>
      </c>
      <c r="B11" s="1700">
        <v>1</v>
      </c>
      <c r="C11" s="1700">
        <v>1</v>
      </c>
      <c r="D11" s="1700">
        <v>1</v>
      </c>
      <c r="E11" s="1700">
        <v>1</v>
      </c>
      <c r="F11" s="1700">
        <v>1</v>
      </c>
      <c r="G11" s="1700">
        <v>1</v>
      </c>
      <c r="H11" s="1700">
        <v>1</v>
      </c>
      <c r="I11" s="1700">
        <v>1</v>
      </c>
      <c r="J11" s="1700">
        <v>1</v>
      </c>
      <c r="K11" s="1700">
        <v>1</v>
      </c>
      <c r="L11" s="1700">
        <v>1</v>
      </c>
      <c r="M11" s="1700">
        <v>1</v>
      </c>
      <c r="N11" s="1701">
        <v>1</v>
      </c>
      <c r="O11" s="1701">
        <v>1</v>
      </c>
      <c r="P11" s="1701">
        <v>1</v>
      </c>
      <c r="Q11" s="1701">
        <v>1</v>
      </c>
      <c r="R11" s="1701">
        <v>1</v>
      </c>
      <c r="S11" s="1701">
        <v>1</v>
      </c>
      <c r="T11" s="1701">
        <v>1</v>
      </c>
      <c r="U11" s="1701">
        <v>1</v>
      </c>
      <c r="V11" s="1701">
        <v>1</v>
      </c>
      <c r="W11" s="1701">
        <v>1</v>
      </c>
      <c r="X11" s="1701">
        <v>1</v>
      </c>
      <c r="Y11" s="1701">
        <v>1</v>
      </c>
      <c r="Z11" s="1695">
        <v>1</v>
      </c>
      <c r="AA11" s="1695">
        <v>1</v>
      </c>
      <c r="AB11" s="1695">
        <v>1</v>
      </c>
      <c r="AC11" s="1695">
        <v>1</v>
      </c>
      <c r="AD11" s="1695">
        <v>1</v>
      </c>
      <c r="AE11" s="1695">
        <v>1</v>
      </c>
      <c r="AF11" s="1695">
        <v>1</v>
      </c>
      <c r="AG11" s="1695">
        <v>1</v>
      </c>
      <c r="AH11" s="1695">
        <v>1</v>
      </c>
      <c r="AI11" s="1695">
        <v>1</v>
      </c>
      <c r="AJ11" s="1695">
        <v>1</v>
      </c>
      <c r="AK11" s="1695">
        <v>1</v>
      </c>
      <c r="AL11" s="1695">
        <v>1</v>
      </c>
      <c r="AM11" s="1695">
        <v>1</v>
      </c>
      <c r="AN11" s="1695">
        <v>1</v>
      </c>
      <c r="AO11" s="1695">
        <v>1</v>
      </c>
      <c r="AP11" s="1695">
        <v>1</v>
      </c>
      <c r="AQ11" s="1695">
        <v>1</v>
      </c>
      <c r="AR11" s="1695">
        <v>1</v>
      </c>
      <c r="AS11" s="1695">
        <v>1</v>
      </c>
      <c r="AT11" s="1695">
        <v>1</v>
      </c>
      <c r="AU11" s="1695">
        <v>1</v>
      </c>
      <c r="AV11" s="1695">
        <v>1</v>
      </c>
      <c r="AW11" s="1695">
        <v>1</v>
      </c>
      <c r="AX11" s="1695">
        <v>1</v>
      </c>
      <c r="AY11" s="1695">
        <v>1</v>
      </c>
      <c r="AZ11" s="1695">
        <v>1</v>
      </c>
      <c r="BA11" s="1695">
        <v>1</v>
      </c>
      <c r="BB11" s="1695">
        <v>1</v>
      </c>
      <c r="BC11" s="1695">
        <v>1</v>
      </c>
      <c r="BD11" s="1695">
        <v>1</v>
      </c>
      <c r="BE11" s="1695">
        <v>1</v>
      </c>
      <c r="BF11" s="1695">
        <v>1</v>
      </c>
      <c r="BG11" s="1695">
        <v>1</v>
      </c>
      <c r="BH11" s="1695">
        <v>1</v>
      </c>
      <c r="BI11" s="1695">
        <v>1</v>
      </c>
      <c r="BJ11" s="1695">
        <v>1</v>
      </c>
      <c r="BK11" s="1695">
        <v>1</v>
      </c>
      <c r="BL11" s="1695">
        <v>1</v>
      </c>
      <c r="BM11" s="1695">
        <v>1</v>
      </c>
      <c r="BN11" s="1695">
        <v>1</v>
      </c>
      <c r="BO11" s="1695">
        <v>1</v>
      </c>
      <c r="BP11" s="1695">
        <v>1</v>
      </c>
      <c r="BQ11" s="1695">
        <v>1</v>
      </c>
      <c r="BR11" s="1695">
        <v>1</v>
      </c>
      <c r="BS11" s="1695">
        <v>1</v>
      </c>
      <c r="BT11" s="1695">
        <v>1</v>
      </c>
      <c r="BU11" s="1695">
        <v>1</v>
      </c>
    </row>
    <row r="12" spans="1:73" s="942" customFormat="1">
      <c r="A12" s="1695" t="s">
        <v>567</v>
      </c>
      <c r="B12" s="1698" t="s">
        <v>14</v>
      </c>
      <c r="C12" s="1698" t="s">
        <v>14</v>
      </c>
      <c r="D12" s="1698" t="s">
        <v>14</v>
      </c>
      <c r="E12" s="1698" t="s">
        <v>14</v>
      </c>
      <c r="F12" s="1698" t="s">
        <v>14</v>
      </c>
      <c r="G12" s="1698" t="s">
        <v>14</v>
      </c>
      <c r="H12" s="1698" t="s">
        <v>14</v>
      </c>
      <c r="I12" s="1698" t="s">
        <v>14</v>
      </c>
      <c r="J12" s="1698" t="s">
        <v>14</v>
      </c>
      <c r="K12" s="1698" t="s">
        <v>14</v>
      </c>
      <c r="L12" s="1698" t="s">
        <v>14</v>
      </c>
      <c r="M12" s="1698" t="s">
        <v>14</v>
      </c>
      <c r="N12" s="1699" t="s">
        <v>13</v>
      </c>
      <c r="O12" s="1699" t="s">
        <v>13</v>
      </c>
      <c r="P12" s="1699" t="s">
        <v>13</v>
      </c>
      <c r="Q12" s="1699" t="s">
        <v>13</v>
      </c>
      <c r="R12" s="1699" t="s">
        <v>13</v>
      </c>
      <c r="S12" s="1699" t="s">
        <v>13</v>
      </c>
      <c r="T12" s="1699" t="s">
        <v>13</v>
      </c>
      <c r="U12" s="1699" t="s">
        <v>13</v>
      </c>
      <c r="V12" s="1699" t="s">
        <v>13</v>
      </c>
      <c r="W12" s="1699" t="s">
        <v>13</v>
      </c>
      <c r="X12" s="1699" t="s">
        <v>13</v>
      </c>
      <c r="Y12" s="1699" t="s">
        <v>13</v>
      </c>
      <c r="Z12" s="1698" t="s">
        <v>14</v>
      </c>
      <c r="AA12" s="1698" t="s">
        <v>14</v>
      </c>
      <c r="AB12" s="1698" t="s">
        <v>14</v>
      </c>
      <c r="AC12" s="1698" t="s">
        <v>14</v>
      </c>
      <c r="AD12" s="1698" t="s">
        <v>14</v>
      </c>
      <c r="AE12" s="1698" t="s">
        <v>14</v>
      </c>
      <c r="AF12" s="1698" t="s">
        <v>14</v>
      </c>
      <c r="AG12" s="1698" t="s">
        <v>14</v>
      </c>
      <c r="AH12" s="1698" t="s">
        <v>14</v>
      </c>
      <c r="AI12" s="1698" t="s">
        <v>14</v>
      </c>
      <c r="AJ12" s="1698" t="s">
        <v>14</v>
      </c>
      <c r="AK12" s="1698" t="s">
        <v>14</v>
      </c>
      <c r="AL12" s="1699" t="s">
        <v>13</v>
      </c>
      <c r="AM12" s="1699" t="s">
        <v>13</v>
      </c>
      <c r="AN12" s="1699" t="s">
        <v>13</v>
      </c>
      <c r="AO12" s="1699" t="s">
        <v>13</v>
      </c>
      <c r="AP12" s="1699" t="s">
        <v>13</v>
      </c>
      <c r="AQ12" s="1699" t="s">
        <v>13</v>
      </c>
      <c r="AR12" s="1699" t="s">
        <v>13</v>
      </c>
      <c r="AS12" s="1699" t="s">
        <v>13</v>
      </c>
      <c r="AT12" s="1699" t="s">
        <v>13</v>
      </c>
      <c r="AU12" s="1699" t="s">
        <v>13</v>
      </c>
      <c r="AV12" s="1699" t="s">
        <v>13</v>
      </c>
      <c r="AW12" s="1699" t="s">
        <v>13</v>
      </c>
      <c r="AX12" s="1698" t="s">
        <v>14</v>
      </c>
      <c r="AY12" s="1698" t="s">
        <v>14</v>
      </c>
      <c r="AZ12" s="1698" t="s">
        <v>14</v>
      </c>
      <c r="BA12" s="1698" t="s">
        <v>14</v>
      </c>
      <c r="BB12" s="1698" t="s">
        <v>14</v>
      </c>
      <c r="BC12" s="1698" t="s">
        <v>14</v>
      </c>
      <c r="BD12" s="1698" t="s">
        <v>14</v>
      </c>
      <c r="BE12" s="1698" t="s">
        <v>14</v>
      </c>
      <c r="BF12" s="1698" t="s">
        <v>14</v>
      </c>
      <c r="BG12" s="1698" t="s">
        <v>14</v>
      </c>
      <c r="BH12" s="1698" t="s">
        <v>14</v>
      </c>
      <c r="BI12" s="1698" t="s">
        <v>14</v>
      </c>
      <c r="BJ12" s="1699" t="s">
        <v>13</v>
      </c>
      <c r="BK12" s="1699" t="s">
        <v>13</v>
      </c>
      <c r="BL12" s="1699" t="s">
        <v>13</v>
      </c>
      <c r="BM12" s="1699" t="s">
        <v>13</v>
      </c>
      <c r="BN12" s="1699" t="s">
        <v>13</v>
      </c>
      <c r="BO12" s="1699" t="s">
        <v>13</v>
      </c>
      <c r="BP12" s="1699" t="s">
        <v>13</v>
      </c>
      <c r="BQ12" s="1699" t="s">
        <v>13</v>
      </c>
      <c r="BR12" s="1699" t="s">
        <v>13</v>
      </c>
      <c r="BS12" s="1699" t="s">
        <v>13</v>
      </c>
      <c r="BT12" s="1699" t="s">
        <v>13</v>
      </c>
      <c r="BU12" s="1699" t="s">
        <v>13</v>
      </c>
    </row>
    <row r="13" spans="1:73" s="942" customFormat="1" ht="18.5">
      <c r="A13" s="1695">
        <v>0</v>
      </c>
      <c r="B13" s="1671">
        <v>0</v>
      </c>
      <c r="C13" s="1671">
        <v>0</v>
      </c>
      <c r="D13" s="1671">
        <v>0</v>
      </c>
      <c r="E13" s="1671">
        <v>0</v>
      </c>
      <c r="F13" s="1671">
        <v>0</v>
      </c>
      <c r="G13" s="1671">
        <v>0</v>
      </c>
      <c r="H13" s="1671">
        <v>0</v>
      </c>
      <c r="I13" s="1702">
        <v>0</v>
      </c>
      <c r="J13" s="1702">
        <v>0</v>
      </c>
      <c r="K13" s="1671">
        <v>0</v>
      </c>
      <c r="L13" s="1702">
        <v>0</v>
      </c>
      <c r="M13" s="1702">
        <v>0</v>
      </c>
      <c r="N13" s="1671">
        <v>0</v>
      </c>
      <c r="O13" s="1671">
        <v>0</v>
      </c>
      <c r="P13" s="1671">
        <v>0</v>
      </c>
      <c r="Q13" s="1671">
        <v>0</v>
      </c>
      <c r="R13" s="1671">
        <v>0</v>
      </c>
      <c r="S13" s="1671">
        <v>0</v>
      </c>
      <c r="T13" s="1671">
        <v>0</v>
      </c>
      <c r="U13" s="1703">
        <v>0</v>
      </c>
      <c r="V13" s="1703">
        <v>0</v>
      </c>
      <c r="W13" s="1671">
        <v>0</v>
      </c>
      <c r="X13" s="1703">
        <v>0</v>
      </c>
      <c r="Y13" s="1703">
        <v>0</v>
      </c>
      <c r="Z13" s="1671">
        <v>0</v>
      </c>
      <c r="AA13" s="1671">
        <v>0</v>
      </c>
      <c r="AB13" s="1671">
        <v>0</v>
      </c>
      <c r="AC13" s="1671">
        <v>0</v>
      </c>
      <c r="AD13" s="1671">
        <v>0</v>
      </c>
      <c r="AE13" s="1671">
        <v>0</v>
      </c>
      <c r="AF13" s="1671">
        <v>0</v>
      </c>
      <c r="AG13" s="1704" t="s">
        <v>561</v>
      </c>
      <c r="AH13" s="1704" t="s">
        <v>561</v>
      </c>
      <c r="AI13" s="1671">
        <v>0</v>
      </c>
      <c r="AJ13" s="1704" t="s">
        <v>561</v>
      </c>
      <c r="AK13" s="1704" t="s">
        <v>561</v>
      </c>
      <c r="AL13" s="1671">
        <v>0</v>
      </c>
      <c r="AM13" s="1671">
        <v>0</v>
      </c>
      <c r="AN13" s="1671">
        <v>0</v>
      </c>
      <c r="AO13" s="1671">
        <v>0</v>
      </c>
      <c r="AP13" s="1671">
        <v>0</v>
      </c>
      <c r="AQ13" s="1671">
        <v>0</v>
      </c>
      <c r="AR13" s="1671">
        <v>0</v>
      </c>
      <c r="AS13" s="1704" t="s">
        <v>561</v>
      </c>
      <c r="AT13" s="1704" t="s">
        <v>561</v>
      </c>
      <c r="AU13" s="1671">
        <v>0</v>
      </c>
      <c r="AV13" s="1704" t="s">
        <v>561</v>
      </c>
      <c r="AW13" s="1704" t="s">
        <v>561</v>
      </c>
      <c r="AX13" s="1671">
        <v>0</v>
      </c>
      <c r="AY13" s="1671">
        <v>0</v>
      </c>
      <c r="AZ13" s="1671">
        <v>0</v>
      </c>
      <c r="BA13" s="1671">
        <v>0</v>
      </c>
      <c r="BB13" s="1671">
        <v>0</v>
      </c>
      <c r="BC13" s="1671">
        <v>0</v>
      </c>
      <c r="BD13" s="1671">
        <v>0</v>
      </c>
      <c r="BE13" s="1704" t="s">
        <v>561</v>
      </c>
      <c r="BF13" s="1704" t="s">
        <v>561</v>
      </c>
      <c r="BG13" s="1671">
        <v>0</v>
      </c>
      <c r="BH13" s="1704" t="s">
        <v>561</v>
      </c>
      <c r="BI13" s="1704" t="s">
        <v>561</v>
      </c>
      <c r="BJ13" s="1671">
        <v>0</v>
      </c>
      <c r="BK13" s="1671">
        <v>0</v>
      </c>
      <c r="BL13" s="1671">
        <v>0</v>
      </c>
      <c r="BM13" s="1671">
        <v>0</v>
      </c>
      <c r="BN13" s="1671">
        <v>0</v>
      </c>
      <c r="BO13" s="1671">
        <v>0</v>
      </c>
      <c r="BP13" s="1671">
        <v>0</v>
      </c>
      <c r="BQ13" s="1704" t="s">
        <v>561</v>
      </c>
      <c r="BR13" s="1704" t="s">
        <v>561</v>
      </c>
      <c r="BS13" s="1671">
        <v>0</v>
      </c>
      <c r="BT13" s="1704" t="s">
        <v>561</v>
      </c>
      <c r="BU13" s="1704" t="s">
        <v>561</v>
      </c>
    </row>
    <row r="14" spans="1:73" s="942" customFormat="1" ht="18.5">
      <c r="A14" s="1695">
        <v>1</v>
      </c>
      <c r="B14" s="1671">
        <v>0</v>
      </c>
      <c r="C14" s="1671">
        <v>0</v>
      </c>
      <c r="D14" s="1671">
        <v>0</v>
      </c>
      <c r="E14" s="1671">
        <v>0</v>
      </c>
      <c r="F14" s="1671">
        <v>0</v>
      </c>
      <c r="G14" s="1671">
        <v>0</v>
      </c>
      <c r="H14" s="1671">
        <v>0</v>
      </c>
      <c r="I14" s="1702">
        <v>0</v>
      </c>
      <c r="J14" s="1702">
        <v>0</v>
      </c>
      <c r="K14" s="1671">
        <v>0</v>
      </c>
      <c r="L14" s="1702">
        <v>0</v>
      </c>
      <c r="M14" s="1702">
        <v>0</v>
      </c>
      <c r="N14" s="1671">
        <v>0</v>
      </c>
      <c r="O14" s="1671">
        <v>0</v>
      </c>
      <c r="P14" s="1671">
        <v>0</v>
      </c>
      <c r="Q14" s="1671">
        <v>0</v>
      </c>
      <c r="R14" s="1671">
        <v>0</v>
      </c>
      <c r="S14" s="1671">
        <v>0</v>
      </c>
      <c r="T14" s="1671">
        <v>0</v>
      </c>
      <c r="U14" s="1703">
        <v>0</v>
      </c>
      <c r="V14" s="1703">
        <v>0</v>
      </c>
      <c r="W14" s="1671">
        <v>0</v>
      </c>
      <c r="X14" s="1703">
        <v>0</v>
      </c>
      <c r="Y14" s="1703">
        <v>0</v>
      </c>
      <c r="Z14" s="1671">
        <v>0</v>
      </c>
      <c r="AA14" s="1671">
        <v>0</v>
      </c>
      <c r="AB14" s="1671">
        <v>0</v>
      </c>
      <c r="AC14" s="1671">
        <v>0</v>
      </c>
      <c r="AD14" s="1671">
        <v>0</v>
      </c>
      <c r="AE14" s="1671">
        <v>0</v>
      </c>
      <c r="AF14" s="1671">
        <v>0</v>
      </c>
      <c r="AG14" s="1704" t="s">
        <v>561</v>
      </c>
      <c r="AH14" s="1704" t="s">
        <v>561</v>
      </c>
      <c r="AI14" s="1671">
        <v>0</v>
      </c>
      <c r="AJ14" s="1704" t="s">
        <v>561</v>
      </c>
      <c r="AK14" s="1704" t="s">
        <v>561</v>
      </c>
      <c r="AL14" s="1671">
        <v>0</v>
      </c>
      <c r="AM14" s="1671">
        <v>0</v>
      </c>
      <c r="AN14" s="1671">
        <v>0</v>
      </c>
      <c r="AO14" s="1671">
        <v>0</v>
      </c>
      <c r="AP14" s="1671">
        <v>0</v>
      </c>
      <c r="AQ14" s="1671">
        <v>0</v>
      </c>
      <c r="AR14" s="1671">
        <v>0</v>
      </c>
      <c r="AS14" s="1704" t="s">
        <v>561</v>
      </c>
      <c r="AT14" s="1704" t="s">
        <v>561</v>
      </c>
      <c r="AU14" s="1671">
        <v>0</v>
      </c>
      <c r="AV14" s="1704" t="s">
        <v>561</v>
      </c>
      <c r="AW14" s="1704" t="s">
        <v>561</v>
      </c>
      <c r="AX14" s="1671">
        <v>0</v>
      </c>
      <c r="AY14" s="1671">
        <v>0</v>
      </c>
      <c r="AZ14" s="1671">
        <v>0</v>
      </c>
      <c r="BA14" s="1671">
        <v>0</v>
      </c>
      <c r="BB14" s="1671">
        <v>0</v>
      </c>
      <c r="BC14" s="1671">
        <v>0</v>
      </c>
      <c r="BD14" s="1671">
        <v>0</v>
      </c>
      <c r="BE14" s="1704" t="s">
        <v>561</v>
      </c>
      <c r="BF14" s="1704" t="s">
        <v>561</v>
      </c>
      <c r="BG14" s="1671">
        <v>0</v>
      </c>
      <c r="BH14" s="1704" t="s">
        <v>561</v>
      </c>
      <c r="BI14" s="1704" t="s">
        <v>561</v>
      </c>
      <c r="BJ14" s="1671">
        <v>0</v>
      </c>
      <c r="BK14" s="1671">
        <v>0</v>
      </c>
      <c r="BL14" s="1671">
        <v>0</v>
      </c>
      <c r="BM14" s="1671">
        <v>0</v>
      </c>
      <c r="BN14" s="1671">
        <v>0</v>
      </c>
      <c r="BO14" s="1671">
        <v>0</v>
      </c>
      <c r="BP14" s="1671">
        <v>0</v>
      </c>
      <c r="BQ14" s="1704" t="s">
        <v>561</v>
      </c>
      <c r="BR14" s="1704" t="s">
        <v>561</v>
      </c>
      <c r="BS14" s="1671">
        <v>0</v>
      </c>
      <c r="BT14" s="1704" t="s">
        <v>561</v>
      </c>
      <c r="BU14" s="1704" t="s">
        <v>561</v>
      </c>
    </row>
    <row r="15" spans="1:73" s="942" customFormat="1" ht="18.5">
      <c r="A15" s="1695">
        <v>2</v>
      </c>
      <c r="B15" s="1671">
        <v>0</v>
      </c>
      <c r="C15" s="1671">
        <v>0</v>
      </c>
      <c r="D15" s="1671">
        <v>0</v>
      </c>
      <c r="E15" s="1671">
        <v>0</v>
      </c>
      <c r="F15" s="1671">
        <v>0</v>
      </c>
      <c r="G15" s="1671">
        <v>0</v>
      </c>
      <c r="H15" s="1671">
        <v>0</v>
      </c>
      <c r="I15" s="1702">
        <v>0</v>
      </c>
      <c r="J15" s="1702">
        <v>0</v>
      </c>
      <c r="K15" s="1671">
        <v>0</v>
      </c>
      <c r="L15" s="1702">
        <v>0</v>
      </c>
      <c r="M15" s="1702">
        <v>0</v>
      </c>
      <c r="N15" s="1671">
        <v>0</v>
      </c>
      <c r="O15" s="1671">
        <v>0</v>
      </c>
      <c r="P15" s="1671">
        <v>0</v>
      </c>
      <c r="Q15" s="1671">
        <v>0</v>
      </c>
      <c r="R15" s="1671">
        <v>0</v>
      </c>
      <c r="S15" s="1671">
        <v>0</v>
      </c>
      <c r="T15" s="1671">
        <v>0</v>
      </c>
      <c r="U15" s="1703">
        <v>0</v>
      </c>
      <c r="V15" s="1703">
        <v>0</v>
      </c>
      <c r="W15" s="1671">
        <v>0</v>
      </c>
      <c r="X15" s="1703">
        <v>0</v>
      </c>
      <c r="Y15" s="1703">
        <v>0</v>
      </c>
      <c r="Z15" s="1671">
        <v>0</v>
      </c>
      <c r="AA15" s="1671">
        <v>0</v>
      </c>
      <c r="AB15" s="1671">
        <v>0</v>
      </c>
      <c r="AC15" s="1671">
        <v>0</v>
      </c>
      <c r="AD15" s="1671">
        <v>0</v>
      </c>
      <c r="AE15" s="1671">
        <v>0</v>
      </c>
      <c r="AF15" s="1671">
        <v>0</v>
      </c>
      <c r="AG15" s="1704" t="s">
        <v>561</v>
      </c>
      <c r="AH15" s="1704" t="s">
        <v>561</v>
      </c>
      <c r="AI15" s="1671">
        <v>0</v>
      </c>
      <c r="AJ15" s="1704" t="s">
        <v>561</v>
      </c>
      <c r="AK15" s="1704" t="s">
        <v>561</v>
      </c>
      <c r="AL15" s="1671">
        <v>0</v>
      </c>
      <c r="AM15" s="1671">
        <v>0</v>
      </c>
      <c r="AN15" s="1671">
        <v>0</v>
      </c>
      <c r="AO15" s="1671">
        <v>0</v>
      </c>
      <c r="AP15" s="1671">
        <v>0</v>
      </c>
      <c r="AQ15" s="1671">
        <v>0</v>
      </c>
      <c r="AR15" s="1671">
        <v>0</v>
      </c>
      <c r="AS15" s="1704" t="s">
        <v>561</v>
      </c>
      <c r="AT15" s="1704" t="s">
        <v>561</v>
      </c>
      <c r="AU15" s="1671">
        <v>0</v>
      </c>
      <c r="AV15" s="1704" t="s">
        <v>561</v>
      </c>
      <c r="AW15" s="1704" t="s">
        <v>561</v>
      </c>
      <c r="AX15" s="1671">
        <v>0</v>
      </c>
      <c r="AY15" s="1671">
        <v>0</v>
      </c>
      <c r="AZ15" s="1671">
        <v>0</v>
      </c>
      <c r="BA15" s="1671">
        <v>0</v>
      </c>
      <c r="BB15" s="1671">
        <v>0</v>
      </c>
      <c r="BC15" s="1671">
        <v>0</v>
      </c>
      <c r="BD15" s="1671">
        <v>0</v>
      </c>
      <c r="BE15" s="1704" t="s">
        <v>561</v>
      </c>
      <c r="BF15" s="1704" t="s">
        <v>561</v>
      </c>
      <c r="BG15" s="1671">
        <v>0</v>
      </c>
      <c r="BH15" s="1704" t="s">
        <v>561</v>
      </c>
      <c r="BI15" s="1704" t="s">
        <v>561</v>
      </c>
      <c r="BJ15" s="1671">
        <v>0</v>
      </c>
      <c r="BK15" s="1671">
        <v>0</v>
      </c>
      <c r="BL15" s="1671">
        <v>0</v>
      </c>
      <c r="BM15" s="1671">
        <v>0</v>
      </c>
      <c r="BN15" s="1671">
        <v>0</v>
      </c>
      <c r="BO15" s="1671">
        <v>0</v>
      </c>
      <c r="BP15" s="1671">
        <v>0</v>
      </c>
      <c r="BQ15" s="1704" t="s">
        <v>561</v>
      </c>
      <c r="BR15" s="1704" t="s">
        <v>561</v>
      </c>
      <c r="BS15" s="1671">
        <v>0</v>
      </c>
      <c r="BT15" s="1704" t="s">
        <v>561</v>
      </c>
      <c r="BU15" s="1704" t="s">
        <v>561</v>
      </c>
    </row>
    <row r="16" spans="1:73" s="942" customFormat="1" ht="18.5">
      <c r="A16" s="1695">
        <v>3</v>
      </c>
      <c r="B16" s="1671">
        <v>0</v>
      </c>
      <c r="C16" s="1671">
        <v>0</v>
      </c>
      <c r="D16" s="1671">
        <v>0</v>
      </c>
      <c r="E16" s="1671">
        <v>0</v>
      </c>
      <c r="F16" s="1671">
        <v>0</v>
      </c>
      <c r="G16" s="1671">
        <v>0</v>
      </c>
      <c r="H16" s="1671">
        <v>0</v>
      </c>
      <c r="I16" s="1702">
        <v>0</v>
      </c>
      <c r="J16" s="1702">
        <v>0</v>
      </c>
      <c r="K16" s="1671">
        <v>0</v>
      </c>
      <c r="L16" s="1702">
        <v>0</v>
      </c>
      <c r="M16" s="1702">
        <v>0</v>
      </c>
      <c r="N16" s="1671">
        <v>0</v>
      </c>
      <c r="O16" s="1671">
        <v>0</v>
      </c>
      <c r="P16" s="1671">
        <v>0</v>
      </c>
      <c r="Q16" s="1671">
        <v>0</v>
      </c>
      <c r="R16" s="1671">
        <v>0</v>
      </c>
      <c r="S16" s="1671">
        <v>0</v>
      </c>
      <c r="T16" s="1671">
        <v>0</v>
      </c>
      <c r="U16" s="1703">
        <v>0</v>
      </c>
      <c r="V16" s="1703">
        <v>0</v>
      </c>
      <c r="W16" s="1671">
        <v>0</v>
      </c>
      <c r="X16" s="1703">
        <v>0</v>
      </c>
      <c r="Y16" s="1703">
        <v>0</v>
      </c>
      <c r="Z16" s="1671">
        <v>0</v>
      </c>
      <c r="AA16" s="1671">
        <v>0</v>
      </c>
      <c r="AB16" s="1671">
        <v>0</v>
      </c>
      <c r="AC16" s="1671">
        <v>0</v>
      </c>
      <c r="AD16" s="1671">
        <v>0</v>
      </c>
      <c r="AE16" s="1671">
        <v>0</v>
      </c>
      <c r="AF16" s="1671">
        <v>0</v>
      </c>
      <c r="AG16" s="1704" t="s">
        <v>561</v>
      </c>
      <c r="AH16" s="1704" t="s">
        <v>561</v>
      </c>
      <c r="AI16" s="1671">
        <v>0</v>
      </c>
      <c r="AJ16" s="1704" t="s">
        <v>561</v>
      </c>
      <c r="AK16" s="1704" t="s">
        <v>561</v>
      </c>
      <c r="AL16" s="1671">
        <v>0</v>
      </c>
      <c r="AM16" s="1671">
        <v>0</v>
      </c>
      <c r="AN16" s="1671">
        <v>0</v>
      </c>
      <c r="AO16" s="1671">
        <v>0</v>
      </c>
      <c r="AP16" s="1671">
        <v>0</v>
      </c>
      <c r="AQ16" s="1671">
        <v>0</v>
      </c>
      <c r="AR16" s="1671">
        <v>0</v>
      </c>
      <c r="AS16" s="1704" t="s">
        <v>561</v>
      </c>
      <c r="AT16" s="1704" t="s">
        <v>561</v>
      </c>
      <c r="AU16" s="1671">
        <v>0</v>
      </c>
      <c r="AV16" s="1704" t="s">
        <v>561</v>
      </c>
      <c r="AW16" s="1704" t="s">
        <v>561</v>
      </c>
      <c r="AX16" s="1671">
        <v>0</v>
      </c>
      <c r="AY16" s="1671">
        <v>0</v>
      </c>
      <c r="AZ16" s="1671">
        <v>0</v>
      </c>
      <c r="BA16" s="1671">
        <v>0</v>
      </c>
      <c r="BB16" s="1671">
        <v>0</v>
      </c>
      <c r="BC16" s="1671">
        <v>0</v>
      </c>
      <c r="BD16" s="1671">
        <v>0</v>
      </c>
      <c r="BE16" s="1704" t="s">
        <v>561</v>
      </c>
      <c r="BF16" s="1704" t="s">
        <v>561</v>
      </c>
      <c r="BG16" s="1671">
        <v>0</v>
      </c>
      <c r="BH16" s="1704" t="s">
        <v>561</v>
      </c>
      <c r="BI16" s="1704" t="s">
        <v>561</v>
      </c>
      <c r="BJ16" s="1671">
        <v>0</v>
      </c>
      <c r="BK16" s="1671">
        <v>0</v>
      </c>
      <c r="BL16" s="1671">
        <v>0</v>
      </c>
      <c r="BM16" s="1671">
        <v>0</v>
      </c>
      <c r="BN16" s="1671">
        <v>0</v>
      </c>
      <c r="BO16" s="1671">
        <v>0</v>
      </c>
      <c r="BP16" s="1671">
        <v>0</v>
      </c>
      <c r="BQ16" s="1704" t="s">
        <v>561</v>
      </c>
      <c r="BR16" s="1704" t="s">
        <v>561</v>
      </c>
      <c r="BS16" s="1671">
        <v>0</v>
      </c>
      <c r="BT16" s="1704" t="s">
        <v>561</v>
      </c>
      <c r="BU16" s="1704" t="s">
        <v>561</v>
      </c>
    </row>
    <row r="17" spans="1:73" s="942" customFormat="1" ht="18.5">
      <c r="A17" s="1695">
        <v>4</v>
      </c>
      <c r="B17" s="1671">
        <v>0</v>
      </c>
      <c r="C17" s="1671">
        <v>0</v>
      </c>
      <c r="D17" s="1671">
        <v>0</v>
      </c>
      <c r="E17" s="1671">
        <v>0</v>
      </c>
      <c r="F17" s="1671">
        <v>0</v>
      </c>
      <c r="G17" s="1671">
        <v>0</v>
      </c>
      <c r="H17" s="1671">
        <v>0</v>
      </c>
      <c r="I17" s="1702">
        <v>0</v>
      </c>
      <c r="J17" s="1702">
        <v>0</v>
      </c>
      <c r="K17" s="1671">
        <v>0</v>
      </c>
      <c r="L17" s="1702">
        <v>0</v>
      </c>
      <c r="M17" s="1702">
        <v>0</v>
      </c>
      <c r="N17" s="1671">
        <v>0</v>
      </c>
      <c r="O17" s="1671">
        <v>0</v>
      </c>
      <c r="P17" s="1671">
        <v>0</v>
      </c>
      <c r="Q17" s="1671">
        <v>0</v>
      </c>
      <c r="R17" s="1671">
        <v>0</v>
      </c>
      <c r="S17" s="1671">
        <v>0</v>
      </c>
      <c r="T17" s="1671">
        <v>0</v>
      </c>
      <c r="U17" s="1703">
        <v>0</v>
      </c>
      <c r="V17" s="1703">
        <v>0</v>
      </c>
      <c r="W17" s="1671">
        <v>0</v>
      </c>
      <c r="X17" s="1703">
        <v>0</v>
      </c>
      <c r="Y17" s="1703">
        <v>0</v>
      </c>
      <c r="Z17" s="1671">
        <v>0</v>
      </c>
      <c r="AA17" s="1671">
        <v>0</v>
      </c>
      <c r="AB17" s="1671">
        <v>0</v>
      </c>
      <c r="AC17" s="1671">
        <v>0</v>
      </c>
      <c r="AD17" s="1671">
        <v>0</v>
      </c>
      <c r="AE17" s="1671">
        <v>0</v>
      </c>
      <c r="AF17" s="1671">
        <v>0</v>
      </c>
      <c r="AG17" s="1704" t="s">
        <v>561</v>
      </c>
      <c r="AH17" s="1704" t="s">
        <v>561</v>
      </c>
      <c r="AI17" s="1671">
        <v>0</v>
      </c>
      <c r="AJ17" s="1704" t="s">
        <v>561</v>
      </c>
      <c r="AK17" s="1704" t="s">
        <v>561</v>
      </c>
      <c r="AL17" s="1671">
        <v>0</v>
      </c>
      <c r="AM17" s="1671">
        <v>0</v>
      </c>
      <c r="AN17" s="1671">
        <v>0</v>
      </c>
      <c r="AO17" s="1671">
        <v>0</v>
      </c>
      <c r="AP17" s="1671">
        <v>0</v>
      </c>
      <c r="AQ17" s="1671">
        <v>0</v>
      </c>
      <c r="AR17" s="1671">
        <v>0</v>
      </c>
      <c r="AS17" s="1704" t="s">
        <v>561</v>
      </c>
      <c r="AT17" s="1704" t="s">
        <v>561</v>
      </c>
      <c r="AU17" s="1671">
        <v>0</v>
      </c>
      <c r="AV17" s="1704" t="s">
        <v>561</v>
      </c>
      <c r="AW17" s="1704" t="s">
        <v>561</v>
      </c>
      <c r="AX17" s="1671">
        <v>0</v>
      </c>
      <c r="AY17" s="1671">
        <v>0</v>
      </c>
      <c r="AZ17" s="1671">
        <v>0</v>
      </c>
      <c r="BA17" s="1671">
        <v>0</v>
      </c>
      <c r="BB17" s="1671">
        <v>0</v>
      </c>
      <c r="BC17" s="1671">
        <v>0</v>
      </c>
      <c r="BD17" s="1671">
        <v>0</v>
      </c>
      <c r="BE17" s="1704" t="s">
        <v>561</v>
      </c>
      <c r="BF17" s="1704" t="s">
        <v>561</v>
      </c>
      <c r="BG17" s="1671">
        <v>0</v>
      </c>
      <c r="BH17" s="1704" t="s">
        <v>561</v>
      </c>
      <c r="BI17" s="1704" t="s">
        <v>561</v>
      </c>
      <c r="BJ17" s="1671">
        <v>0</v>
      </c>
      <c r="BK17" s="1671">
        <v>0</v>
      </c>
      <c r="BL17" s="1671">
        <v>0</v>
      </c>
      <c r="BM17" s="1671">
        <v>0</v>
      </c>
      <c r="BN17" s="1671">
        <v>0</v>
      </c>
      <c r="BO17" s="1671">
        <v>0</v>
      </c>
      <c r="BP17" s="1671">
        <v>0</v>
      </c>
      <c r="BQ17" s="1704" t="s">
        <v>561</v>
      </c>
      <c r="BR17" s="1704" t="s">
        <v>561</v>
      </c>
      <c r="BS17" s="1671">
        <v>0</v>
      </c>
      <c r="BT17" s="1704" t="s">
        <v>561</v>
      </c>
      <c r="BU17" s="1704" t="s">
        <v>561</v>
      </c>
    </row>
    <row r="18" spans="1:73" s="942" customFormat="1" ht="18.5">
      <c r="A18" s="1695">
        <v>5</v>
      </c>
      <c r="B18" s="1671">
        <v>0</v>
      </c>
      <c r="C18" s="1671">
        <v>0</v>
      </c>
      <c r="D18" s="1671">
        <v>0</v>
      </c>
      <c r="E18" s="1671">
        <v>0</v>
      </c>
      <c r="F18" s="1671">
        <v>0</v>
      </c>
      <c r="G18" s="1671">
        <v>0</v>
      </c>
      <c r="H18" s="1671">
        <v>0</v>
      </c>
      <c r="I18" s="1702">
        <v>0</v>
      </c>
      <c r="J18" s="1702">
        <v>0</v>
      </c>
      <c r="K18" s="1671">
        <v>0</v>
      </c>
      <c r="L18" s="1702">
        <v>0</v>
      </c>
      <c r="M18" s="1702">
        <v>0</v>
      </c>
      <c r="N18" s="1671">
        <v>0</v>
      </c>
      <c r="O18" s="1671">
        <v>0</v>
      </c>
      <c r="P18" s="1671">
        <v>0</v>
      </c>
      <c r="Q18" s="1671">
        <v>0</v>
      </c>
      <c r="R18" s="1671">
        <v>0</v>
      </c>
      <c r="S18" s="1671">
        <v>0</v>
      </c>
      <c r="T18" s="1671">
        <v>0</v>
      </c>
      <c r="U18" s="1703">
        <v>0</v>
      </c>
      <c r="V18" s="1703">
        <v>0</v>
      </c>
      <c r="W18" s="1671">
        <v>0</v>
      </c>
      <c r="X18" s="1703">
        <v>0</v>
      </c>
      <c r="Y18" s="1703">
        <v>0</v>
      </c>
      <c r="Z18" s="1671">
        <v>0</v>
      </c>
      <c r="AA18" s="1671">
        <v>0</v>
      </c>
      <c r="AB18" s="1671">
        <v>0</v>
      </c>
      <c r="AC18" s="1671">
        <v>0</v>
      </c>
      <c r="AD18" s="1671">
        <v>0</v>
      </c>
      <c r="AE18" s="1671">
        <v>0</v>
      </c>
      <c r="AF18" s="1671">
        <v>0</v>
      </c>
      <c r="AG18" s="1704" t="s">
        <v>561</v>
      </c>
      <c r="AH18" s="1704" t="s">
        <v>561</v>
      </c>
      <c r="AI18" s="1671">
        <v>0</v>
      </c>
      <c r="AJ18" s="1704" t="s">
        <v>561</v>
      </c>
      <c r="AK18" s="1704" t="s">
        <v>561</v>
      </c>
      <c r="AL18" s="1671">
        <v>0</v>
      </c>
      <c r="AM18" s="1671">
        <v>0</v>
      </c>
      <c r="AN18" s="1671">
        <v>0</v>
      </c>
      <c r="AO18" s="1671">
        <v>0</v>
      </c>
      <c r="AP18" s="1671">
        <v>0</v>
      </c>
      <c r="AQ18" s="1671">
        <v>0</v>
      </c>
      <c r="AR18" s="1671">
        <v>0</v>
      </c>
      <c r="AS18" s="1704" t="s">
        <v>561</v>
      </c>
      <c r="AT18" s="1704" t="s">
        <v>561</v>
      </c>
      <c r="AU18" s="1671">
        <v>0</v>
      </c>
      <c r="AV18" s="1704" t="s">
        <v>561</v>
      </c>
      <c r="AW18" s="1704" t="s">
        <v>561</v>
      </c>
      <c r="AX18" s="1671">
        <v>0</v>
      </c>
      <c r="AY18" s="1671">
        <v>0</v>
      </c>
      <c r="AZ18" s="1671">
        <v>0</v>
      </c>
      <c r="BA18" s="1671">
        <v>0</v>
      </c>
      <c r="BB18" s="1671">
        <v>0</v>
      </c>
      <c r="BC18" s="1671">
        <v>0</v>
      </c>
      <c r="BD18" s="1671">
        <v>0</v>
      </c>
      <c r="BE18" s="1704" t="s">
        <v>561</v>
      </c>
      <c r="BF18" s="1704" t="s">
        <v>561</v>
      </c>
      <c r="BG18" s="1671">
        <v>0</v>
      </c>
      <c r="BH18" s="1704" t="s">
        <v>561</v>
      </c>
      <c r="BI18" s="1704" t="s">
        <v>561</v>
      </c>
      <c r="BJ18" s="1671">
        <v>0</v>
      </c>
      <c r="BK18" s="1671">
        <v>0</v>
      </c>
      <c r="BL18" s="1671">
        <v>0</v>
      </c>
      <c r="BM18" s="1671">
        <v>0</v>
      </c>
      <c r="BN18" s="1671">
        <v>0</v>
      </c>
      <c r="BO18" s="1671">
        <v>0</v>
      </c>
      <c r="BP18" s="1671">
        <v>0</v>
      </c>
      <c r="BQ18" s="1704" t="s">
        <v>561</v>
      </c>
      <c r="BR18" s="1704" t="s">
        <v>561</v>
      </c>
      <c r="BS18" s="1671">
        <v>0</v>
      </c>
      <c r="BT18" s="1704" t="s">
        <v>561</v>
      </c>
      <c r="BU18" s="1704" t="s">
        <v>561</v>
      </c>
    </row>
    <row r="19" spans="1:73" s="942" customFormat="1" ht="18.5">
      <c r="A19" s="1695">
        <v>6</v>
      </c>
      <c r="B19" s="1671">
        <v>40100</v>
      </c>
      <c r="C19" s="1671">
        <v>0</v>
      </c>
      <c r="D19" s="1671">
        <v>47800</v>
      </c>
      <c r="E19" s="1671">
        <v>0</v>
      </c>
      <c r="F19" s="1671">
        <v>0</v>
      </c>
      <c r="G19" s="1671">
        <v>0</v>
      </c>
      <c r="H19" s="1671">
        <v>0</v>
      </c>
      <c r="I19" s="1702">
        <v>0</v>
      </c>
      <c r="J19" s="1702">
        <v>0</v>
      </c>
      <c r="K19" s="1671">
        <v>0</v>
      </c>
      <c r="L19" s="1702">
        <v>0</v>
      </c>
      <c r="M19" s="1702">
        <v>0</v>
      </c>
      <c r="N19" s="1671">
        <v>46700</v>
      </c>
      <c r="O19" s="1671">
        <v>0</v>
      </c>
      <c r="P19" s="1671">
        <v>55700</v>
      </c>
      <c r="Q19" s="1671">
        <v>0</v>
      </c>
      <c r="R19" s="1671">
        <v>0</v>
      </c>
      <c r="S19" s="1671">
        <v>0</v>
      </c>
      <c r="T19" s="1671">
        <v>0</v>
      </c>
      <c r="U19" s="1703">
        <v>0</v>
      </c>
      <c r="V19" s="1703">
        <v>0</v>
      </c>
      <c r="W19" s="1671">
        <v>0</v>
      </c>
      <c r="X19" s="1703">
        <v>0</v>
      </c>
      <c r="Y19" s="1703">
        <v>0</v>
      </c>
      <c r="Z19" s="1671">
        <v>32000</v>
      </c>
      <c r="AA19" s="1671">
        <v>0</v>
      </c>
      <c r="AB19" s="1671">
        <v>38200</v>
      </c>
      <c r="AC19" s="1671">
        <v>0</v>
      </c>
      <c r="AD19" s="1671">
        <v>0</v>
      </c>
      <c r="AE19" s="1671">
        <v>0</v>
      </c>
      <c r="AF19" s="1671">
        <v>0</v>
      </c>
      <c r="AG19" s="1704" t="s">
        <v>561</v>
      </c>
      <c r="AH19" s="1704" t="s">
        <v>561</v>
      </c>
      <c r="AI19" s="1671">
        <v>0</v>
      </c>
      <c r="AJ19" s="1704" t="s">
        <v>561</v>
      </c>
      <c r="AK19" s="1704" t="s">
        <v>561</v>
      </c>
      <c r="AL19" s="1671">
        <v>37300</v>
      </c>
      <c r="AM19" s="1671">
        <v>0</v>
      </c>
      <c r="AN19" s="1671">
        <v>44500</v>
      </c>
      <c r="AO19" s="1671">
        <v>0</v>
      </c>
      <c r="AP19" s="1671">
        <v>0</v>
      </c>
      <c r="AQ19" s="1671">
        <v>0</v>
      </c>
      <c r="AR19" s="1671">
        <v>0</v>
      </c>
      <c r="AS19" s="1704" t="s">
        <v>561</v>
      </c>
      <c r="AT19" s="1704" t="s">
        <v>561</v>
      </c>
      <c r="AU19" s="1671">
        <v>0</v>
      </c>
      <c r="AV19" s="1704" t="s">
        <v>561</v>
      </c>
      <c r="AW19" s="1704" t="s">
        <v>561</v>
      </c>
      <c r="AX19" s="1671">
        <v>29300</v>
      </c>
      <c r="AY19" s="1671">
        <v>0</v>
      </c>
      <c r="AZ19" s="1671">
        <v>35700</v>
      </c>
      <c r="BA19" s="1671">
        <v>0</v>
      </c>
      <c r="BB19" s="1671">
        <v>0</v>
      </c>
      <c r="BC19" s="1671">
        <v>0</v>
      </c>
      <c r="BD19" s="1671">
        <v>0</v>
      </c>
      <c r="BE19" s="1704" t="s">
        <v>561</v>
      </c>
      <c r="BF19" s="1704" t="s">
        <v>561</v>
      </c>
      <c r="BG19" s="1671">
        <v>0</v>
      </c>
      <c r="BH19" s="1704" t="s">
        <v>561</v>
      </c>
      <c r="BI19" s="1704" t="s">
        <v>561</v>
      </c>
      <c r="BJ19" s="1671">
        <v>34100</v>
      </c>
      <c r="BK19" s="1671">
        <v>0</v>
      </c>
      <c r="BL19" s="1671">
        <v>41600</v>
      </c>
      <c r="BM19" s="1671">
        <v>0</v>
      </c>
      <c r="BN19" s="1671">
        <v>0</v>
      </c>
      <c r="BO19" s="1671">
        <v>0</v>
      </c>
      <c r="BP19" s="1671">
        <v>0</v>
      </c>
      <c r="BQ19" s="1704" t="s">
        <v>561</v>
      </c>
      <c r="BR19" s="1704" t="s">
        <v>561</v>
      </c>
      <c r="BS19" s="1671">
        <v>0</v>
      </c>
      <c r="BT19" s="1704" t="s">
        <v>561</v>
      </c>
      <c r="BU19" s="1704" t="s">
        <v>561</v>
      </c>
    </row>
    <row r="20" spans="1:73" s="942" customFormat="1" ht="18.5">
      <c r="A20" s="1695">
        <v>7</v>
      </c>
      <c r="B20" s="1671">
        <v>32800</v>
      </c>
      <c r="C20" s="1671">
        <v>0</v>
      </c>
      <c r="D20" s="1671">
        <v>39200</v>
      </c>
      <c r="E20" s="1671">
        <v>0</v>
      </c>
      <c r="F20" s="1671">
        <v>0</v>
      </c>
      <c r="G20" s="1671">
        <v>0</v>
      </c>
      <c r="H20" s="1671">
        <v>0</v>
      </c>
      <c r="I20" s="1702">
        <v>0</v>
      </c>
      <c r="J20" s="1702">
        <v>0</v>
      </c>
      <c r="K20" s="1671">
        <v>0</v>
      </c>
      <c r="L20" s="1702">
        <v>0</v>
      </c>
      <c r="M20" s="1702">
        <v>0</v>
      </c>
      <c r="N20" s="1671">
        <v>38300</v>
      </c>
      <c r="O20" s="1671">
        <v>0</v>
      </c>
      <c r="P20" s="1671">
        <v>45700</v>
      </c>
      <c r="Q20" s="1671">
        <v>0</v>
      </c>
      <c r="R20" s="1671">
        <v>0</v>
      </c>
      <c r="S20" s="1671">
        <v>0</v>
      </c>
      <c r="T20" s="1671">
        <v>0</v>
      </c>
      <c r="U20" s="1703">
        <v>0</v>
      </c>
      <c r="V20" s="1703">
        <v>0</v>
      </c>
      <c r="W20" s="1671">
        <v>0</v>
      </c>
      <c r="X20" s="1703">
        <v>0</v>
      </c>
      <c r="Y20" s="1703">
        <v>0</v>
      </c>
      <c r="Z20" s="1671">
        <v>26200</v>
      </c>
      <c r="AA20" s="1671">
        <v>0</v>
      </c>
      <c r="AB20" s="1671">
        <v>31300</v>
      </c>
      <c r="AC20" s="1671">
        <v>0</v>
      </c>
      <c r="AD20" s="1671">
        <v>0</v>
      </c>
      <c r="AE20" s="1671">
        <v>0</v>
      </c>
      <c r="AF20" s="1671">
        <v>0</v>
      </c>
      <c r="AG20" s="1704" t="s">
        <v>561</v>
      </c>
      <c r="AH20" s="1704" t="s">
        <v>561</v>
      </c>
      <c r="AI20" s="1671">
        <v>0</v>
      </c>
      <c r="AJ20" s="1704" t="s">
        <v>561</v>
      </c>
      <c r="AK20" s="1704" t="s">
        <v>561</v>
      </c>
      <c r="AL20" s="1671">
        <v>30600</v>
      </c>
      <c r="AM20" s="1671">
        <v>0</v>
      </c>
      <c r="AN20" s="1671">
        <v>36500</v>
      </c>
      <c r="AO20" s="1671">
        <v>0</v>
      </c>
      <c r="AP20" s="1671">
        <v>0</v>
      </c>
      <c r="AQ20" s="1671">
        <v>0</v>
      </c>
      <c r="AR20" s="1671">
        <v>0</v>
      </c>
      <c r="AS20" s="1704" t="s">
        <v>561</v>
      </c>
      <c r="AT20" s="1704" t="s">
        <v>561</v>
      </c>
      <c r="AU20" s="1671">
        <v>0</v>
      </c>
      <c r="AV20" s="1704" t="s">
        <v>561</v>
      </c>
      <c r="AW20" s="1704" t="s">
        <v>561</v>
      </c>
      <c r="AX20" s="1671">
        <v>24000</v>
      </c>
      <c r="AY20" s="1671">
        <v>0</v>
      </c>
      <c r="AZ20" s="1671">
        <v>29300</v>
      </c>
      <c r="BA20" s="1671">
        <v>0</v>
      </c>
      <c r="BB20" s="1671">
        <v>0</v>
      </c>
      <c r="BC20" s="1671">
        <v>0</v>
      </c>
      <c r="BD20" s="1671">
        <v>0</v>
      </c>
      <c r="BE20" s="1704" t="s">
        <v>561</v>
      </c>
      <c r="BF20" s="1704" t="s">
        <v>561</v>
      </c>
      <c r="BG20" s="1671">
        <v>0</v>
      </c>
      <c r="BH20" s="1704" t="s">
        <v>561</v>
      </c>
      <c r="BI20" s="1704" t="s">
        <v>561</v>
      </c>
      <c r="BJ20" s="1671">
        <v>28000</v>
      </c>
      <c r="BK20" s="1671">
        <v>0</v>
      </c>
      <c r="BL20" s="1671">
        <v>34100</v>
      </c>
      <c r="BM20" s="1671">
        <v>0</v>
      </c>
      <c r="BN20" s="1671">
        <v>0</v>
      </c>
      <c r="BO20" s="1671">
        <v>0</v>
      </c>
      <c r="BP20" s="1671">
        <v>0</v>
      </c>
      <c r="BQ20" s="1704" t="s">
        <v>561</v>
      </c>
      <c r="BR20" s="1704" t="s">
        <v>561</v>
      </c>
      <c r="BS20" s="1671">
        <v>0</v>
      </c>
      <c r="BT20" s="1704" t="s">
        <v>561</v>
      </c>
      <c r="BU20" s="1704" t="s">
        <v>561</v>
      </c>
    </row>
    <row r="21" spans="1:73" s="942" customFormat="1" ht="18.5">
      <c r="A21" s="1695">
        <v>8</v>
      </c>
      <c r="B21" s="1671">
        <v>29400</v>
      </c>
      <c r="C21" s="1671">
        <v>0</v>
      </c>
      <c r="D21" s="1671">
        <v>35100</v>
      </c>
      <c r="E21" s="1671">
        <v>0</v>
      </c>
      <c r="F21" s="1671">
        <v>0</v>
      </c>
      <c r="G21" s="1671">
        <v>0</v>
      </c>
      <c r="H21" s="1671">
        <v>0</v>
      </c>
      <c r="I21" s="1702">
        <v>0</v>
      </c>
      <c r="J21" s="1702">
        <v>0</v>
      </c>
      <c r="K21" s="1671">
        <v>0</v>
      </c>
      <c r="L21" s="1702">
        <v>0</v>
      </c>
      <c r="M21" s="1702">
        <v>0</v>
      </c>
      <c r="N21" s="1671">
        <v>32300</v>
      </c>
      <c r="O21" s="1671">
        <v>0</v>
      </c>
      <c r="P21" s="1671">
        <v>38600</v>
      </c>
      <c r="Q21" s="1671">
        <v>0</v>
      </c>
      <c r="R21" s="1671">
        <v>0</v>
      </c>
      <c r="S21" s="1671">
        <v>0</v>
      </c>
      <c r="T21" s="1671">
        <v>0</v>
      </c>
      <c r="U21" s="1703">
        <v>0</v>
      </c>
      <c r="V21" s="1703">
        <v>0</v>
      </c>
      <c r="W21" s="1671">
        <v>0</v>
      </c>
      <c r="X21" s="1703">
        <v>0</v>
      </c>
      <c r="Y21" s="1703">
        <v>0</v>
      </c>
      <c r="Z21" s="1671">
        <v>23500</v>
      </c>
      <c r="AA21" s="1671">
        <v>0</v>
      </c>
      <c r="AB21" s="1671">
        <v>28000</v>
      </c>
      <c r="AC21" s="1671">
        <v>0</v>
      </c>
      <c r="AD21" s="1671">
        <v>0</v>
      </c>
      <c r="AE21" s="1671">
        <v>0</v>
      </c>
      <c r="AF21" s="1671">
        <v>0</v>
      </c>
      <c r="AG21" s="1704" t="s">
        <v>561</v>
      </c>
      <c r="AH21" s="1704" t="s">
        <v>561</v>
      </c>
      <c r="AI21" s="1671">
        <v>0</v>
      </c>
      <c r="AJ21" s="1704" t="s">
        <v>561</v>
      </c>
      <c r="AK21" s="1704" t="s">
        <v>561</v>
      </c>
      <c r="AL21" s="1671">
        <v>25800</v>
      </c>
      <c r="AM21" s="1671">
        <v>0</v>
      </c>
      <c r="AN21" s="1671">
        <v>30800</v>
      </c>
      <c r="AO21" s="1671">
        <v>0</v>
      </c>
      <c r="AP21" s="1671">
        <v>0</v>
      </c>
      <c r="AQ21" s="1671">
        <v>0</v>
      </c>
      <c r="AR21" s="1671">
        <v>0</v>
      </c>
      <c r="AS21" s="1704" t="s">
        <v>561</v>
      </c>
      <c r="AT21" s="1704" t="s">
        <v>561</v>
      </c>
      <c r="AU21" s="1671">
        <v>0</v>
      </c>
      <c r="AV21" s="1704" t="s">
        <v>561</v>
      </c>
      <c r="AW21" s="1704" t="s">
        <v>561</v>
      </c>
      <c r="AX21" s="1671">
        <v>21500</v>
      </c>
      <c r="AY21" s="1671">
        <v>0</v>
      </c>
      <c r="AZ21" s="1671">
        <v>26200</v>
      </c>
      <c r="BA21" s="1671">
        <v>0</v>
      </c>
      <c r="BB21" s="1671">
        <v>0</v>
      </c>
      <c r="BC21" s="1671">
        <v>0</v>
      </c>
      <c r="BD21" s="1671">
        <v>0</v>
      </c>
      <c r="BE21" s="1704" t="s">
        <v>561</v>
      </c>
      <c r="BF21" s="1704" t="s">
        <v>561</v>
      </c>
      <c r="BG21" s="1671">
        <v>0</v>
      </c>
      <c r="BH21" s="1704" t="s">
        <v>561</v>
      </c>
      <c r="BI21" s="1704" t="s">
        <v>561</v>
      </c>
      <c r="BJ21" s="1671">
        <v>23600</v>
      </c>
      <c r="BK21" s="1671">
        <v>0</v>
      </c>
      <c r="BL21" s="1671">
        <v>28800</v>
      </c>
      <c r="BM21" s="1671">
        <v>0</v>
      </c>
      <c r="BN21" s="1671">
        <v>0</v>
      </c>
      <c r="BO21" s="1671">
        <v>0</v>
      </c>
      <c r="BP21" s="1671">
        <v>0</v>
      </c>
      <c r="BQ21" s="1704" t="s">
        <v>561</v>
      </c>
      <c r="BR21" s="1704" t="s">
        <v>561</v>
      </c>
      <c r="BS21" s="1671">
        <v>0</v>
      </c>
      <c r="BT21" s="1704" t="s">
        <v>561</v>
      </c>
      <c r="BU21" s="1704" t="s">
        <v>561</v>
      </c>
    </row>
    <row r="22" spans="1:73" s="942" customFormat="1" ht="18.5">
      <c r="A22" s="1695">
        <v>9</v>
      </c>
      <c r="B22" s="1671">
        <v>26000</v>
      </c>
      <c r="C22" s="1671">
        <v>0</v>
      </c>
      <c r="D22" s="1671">
        <v>31100</v>
      </c>
      <c r="E22" s="1671">
        <v>0</v>
      </c>
      <c r="F22" s="1671">
        <v>0</v>
      </c>
      <c r="G22" s="1671">
        <v>0</v>
      </c>
      <c r="H22" s="1671">
        <v>0</v>
      </c>
      <c r="I22" s="1702">
        <v>0</v>
      </c>
      <c r="J22" s="1702">
        <v>0</v>
      </c>
      <c r="K22" s="1671">
        <v>0</v>
      </c>
      <c r="L22" s="1702">
        <v>0</v>
      </c>
      <c r="M22" s="1702">
        <v>0</v>
      </c>
      <c r="N22" s="1671">
        <v>26400</v>
      </c>
      <c r="O22" s="1671">
        <v>0</v>
      </c>
      <c r="P22" s="1671">
        <v>31500</v>
      </c>
      <c r="Q22" s="1671">
        <v>0</v>
      </c>
      <c r="R22" s="1671">
        <v>0</v>
      </c>
      <c r="S22" s="1671">
        <v>0</v>
      </c>
      <c r="T22" s="1671">
        <v>0</v>
      </c>
      <c r="U22" s="1703">
        <v>0</v>
      </c>
      <c r="V22" s="1703">
        <v>0</v>
      </c>
      <c r="W22" s="1671">
        <v>0</v>
      </c>
      <c r="X22" s="1703">
        <v>0</v>
      </c>
      <c r="Y22" s="1703">
        <v>0</v>
      </c>
      <c r="Z22" s="1671">
        <v>20800</v>
      </c>
      <c r="AA22" s="1671">
        <v>0</v>
      </c>
      <c r="AB22" s="1671">
        <v>24800</v>
      </c>
      <c r="AC22" s="1671">
        <v>0</v>
      </c>
      <c r="AD22" s="1671">
        <v>0</v>
      </c>
      <c r="AE22" s="1671">
        <v>0</v>
      </c>
      <c r="AF22" s="1671">
        <v>0</v>
      </c>
      <c r="AG22" s="1704" t="s">
        <v>561</v>
      </c>
      <c r="AH22" s="1704" t="s">
        <v>561</v>
      </c>
      <c r="AI22" s="1671">
        <v>0</v>
      </c>
      <c r="AJ22" s="1704" t="s">
        <v>561</v>
      </c>
      <c r="AK22" s="1704" t="s">
        <v>561</v>
      </c>
      <c r="AL22" s="1671">
        <v>21100</v>
      </c>
      <c r="AM22" s="1671">
        <v>0</v>
      </c>
      <c r="AN22" s="1671">
        <v>25200</v>
      </c>
      <c r="AO22" s="1671">
        <v>0</v>
      </c>
      <c r="AP22" s="1671">
        <v>0</v>
      </c>
      <c r="AQ22" s="1671">
        <v>0</v>
      </c>
      <c r="AR22" s="1671">
        <v>0</v>
      </c>
      <c r="AS22" s="1704" t="s">
        <v>561</v>
      </c>
      <c r="AT22" s="1704" t="s">
        <v>561</v>
      </c>
      <c r="AU22" s="1671">
        <v>0</v>
      </c>
      <c r="AV22" s="1704" t="s">
        <v>561</v>
      </c>
      <c r="AW22" s="1704" t="s">
        <v>561</v>
      </c>
      <c r="AX22" s="1671">
        <v>19000</v>
      </c>
      <c r="AY22" s="1671">
        <v>0</v>
      </c>
      <c r="AZ22" s="1671">
        <v>23200</v>
      </c>
      <c r="BA22" s="1671">
        <v>0</v>
      </c>
      <c r="BB22" s="1671">
        <v>0</v>
      </c>
      <c r="BC22" s="1671">
        <v>0</v>
      </c>
      <c r="BD22" s="1671">
        <v>0</v>
      </c>
      <c r="BE22" s="1704" t="s">
        <v>561</v>
      </c>
      <c r="BF22" s="1704" t="s">
        <v>561</v>
      </c>
      <c r="BG22" s="1671">
        <v>0</v>
      </c>
      <c r="BH22" s="1704" t="s">
        <v>561</v>
      </c>
      <c r="BI22" s="1704" t="s">
        <v>561</v>
      </c>
      <c r="BJ22" s="1671">
        <v>19300</v>
      </c>
      <c r="BK22" s="1671">
        <v>0</v>
      </c>
      <c r="BL22" s="1671">
        <v>23600</v>
      </c>
      <c r="BM22" s="1671">
        <v>0</v>
      </c>
      <c r="BN22" s="1671">
        <v>0</v>
      </c>
      <c r="BO22" s="1671">
        <v>0</v>
      </c>
      <c r="BP22" s="1671">
        <v>0</v>
      </c>
      <c r="BQ22" s="1704" t="s">
        <v>561</v>
      </c>
      <c r="BR22" s="1704" t="s">
        <v>561</v>
      </c>
      <c r="BS22" s="1671">
        <v>0</v>
      </c>
      <c r="BT22" s="1704" t="s">
        <v>561</v>
      </c>
      <c r="BU22" s="1704" t="s">
        <v>561</v>
      </c>
    </row>
    <row r="23" spans="1:73" s="942" customFormat="1" ht="18.5">
      <c r="A23" s="1695">
        <v>10</v>
      </c>
      <c r="B23" s="1671">
        <v>23400</v>
      </c>
      <c r="C23" s="1671">
        <v>0</v>
      </c>
      <c r="D23" s="1671">
        <v>28000</v>
      </c>
      <c r="E23" s="1671">
        <v>0</v>
      </c>
      <c r="F23" s="1671">
        <v>0</v>
      </c>
      <c r="G23" s="1671">
        <v>0</v>
      </c>
      <c r="H23" s="1671">
        <v>0</v>
      </c>
      <c r="I23" s="1702">
        <v>0</v>
      </c>
      <c r="J23" s="1702">
        <v>0</v>
      </c>
      <c r="K23" s="1671">
        <v>0</v>
      </c>
      <c r="L23" s="1702">
        <v>0</v>
      </c>
      <c r="M23" s="1702">
        <v>0</v>
      </c>
      <c r="N23" s="1671">
        <v>23900</v>
      </c>
      <c r="O23" s="1671">
        <v>0</v>
      </c>
      <c r="P23" s="1671">
        <v>28500</v>
      </c>
      <c r="Q23" s="1671">
        <v>0</v>
      </c>
      <c r="R23" s="1671">
        <v>0</v>
      </c>
      <c r="S23" s="1671">
        <v>0</v>
      </c>
      <c r="T23" s="1671">
        <v>0</v>
      </c>
      <c r="U23" s="1703">
        <v>0</v>
      </c>
      <c r="V23" s="1703">
        <v>0</v>
      </c>
      <c r="W23" s="1671">
        <v>0</v>
      </c>
      <c r="X23" s="1703">
        <v>0</v>
      </c>
      <c r="Y23" s="1703">
        <v>0</v>
      </c>
      <c r="Z23" s="1671">
        <v>18700</v>
      </c>
      <c r="AA23" s="1671">
        <v>0</v>
      </c>
      <c r="AB23" s="1671">
        <v>22400</v>
      </c>
      <c r="AC23" s="1671">
        <v>0</v>
      </c>
      <c r="AD23" s="1671">
        <v>0</v>
      </c>
      <c r="AE23" s="1671">
        <v>0</v>
      </c>
      <c r="AF23" s="1671">
        <v>0</v>
      </c>
      <c r="AG23" s="1704" t="s">
        <v>561</v>
      </c>
      <c r="AH23" s="1704" t="s">
        <v>561</v>
      </c>
      <c r="AI23" s="1671">
        <v>0</v>
      </c>
      <c r="AJ23" s="1704" t="s">
        <v>561</v>
      </c>
      <c r="AK23" s="1704" t="s">
        <v>561</v>
      </c>
      <c r="AL23" s="1671">
        <v>19100</v>
      </c>
      <c r="AM23" s="1671">
        <v>0</v>
      </c>
      <c r="AN23" s="1671">
        <v>22800</v>
      </c>
      <c r="AO23" s="1671">
        <v>0</v>
      </c>
      <c r="AP23" s="1671">
        <v>0</v>
      </c>
      <c r="AQ23" s="1671">
        <v>0</v>
      </c>
      <c r="AR23" s="1671">
        <v>0</v>
      </c>
      <c r="AS23" s="1704" t="s">
        <v>561</v>
      </c>
      <c r="AT23" s="1704" t="s">
        <v>561</v>
      </c>
      <c r="AU23" s="1671">
        <v>0</v>
      </c>
      <c r="AV23" s="1704" t="s">
        <v>561</v>
      </c>
      <c r="AW23" s="1704" t="s">
        <v>561</v>
      </c>
      <c r="AX23" s="1671">
        <v>17200</v>
      </c>
      <c r="AY23" s="1671">
        <v>0</v>
      </c>
      <c r="AZ23" s="1671">
        <v>20900</v>
      </c>
      <c r="BA23" s="1671">
        <v>0</v>
      </c>
      <c r="BB23" s="1671">
        <v>0</v>
      </c>
      <c r="BC23" s="1671">
        <v>0</v>
      </c>
      <c r="BD23" s="1671">
        <v>0</v>
      </c>
      <c r="BE23" s="1704" t="s">
        <v>561</v>
      </c>
      <c r="BF23" s="1704" t="s">
        <v>561</v>
      </c>
      <c r="BG23" s="1671">
        <v>0</v>
      </c>
      <c r="BH23" s="1704" t="s">
        <v>561</v>
      </c>
      <c r="BI23" s="1704" t="s">
        <v>561</v>
      </c>
      <c r="BJ23" s="1671">
        <v>17500</v>
      </c>
      <c r="BK23" s="1671">
        <v>0</v>
      </c>
      <c r="BL23" s="1671">
        <v>21300</v>
      </c>
      <c r="BM23" s="1671">
        <v>0</v>
      </c>
      <c r="BN23" s="1671">
        <v>0</v>
      </c>
      <c r="BO23" s="1671">
        <v>0</v>
      </c>
      <c r="BP23" s="1671">
        <v>0</v>
      </c>
      <c r="BQ23" s="1704" t="s">
        <v>561</v>
      </c>
      <c r="BR23" s="1704" t="s">
        <v>561</v>
      </c>
      <c r="BS23" s="1671">
        <v>0</v>
      </c>
      <c r="BT23" s="1704" t="s">
        <v>561</v>
      </c>
      <c r="BU23" s="1704" t="s">
        <v>561</v>
      </c>
    </row>
    <row r="24" spans="1:73" s="942" customFormat="1" ht="18.5">
      <c r="A24" s="1695">
        <v>11</v>
      </c>
      <c r="B24" s="1671">
        <v>23200</v>
      </c>
      <c r="C24" s="1671">
        <v>23200</v>
      </c>
      <c r="D24" s="1671">
        <v>27600</v>
      </c>
      <c r="E24" s="1671">
        <v>27600</v>
      </c>
      <c r="F24" s="1671">
        <v>39900</v>
      </c>
      <c r="G24" s="1671">
        <v>51300</v>
      </c>
      <c r="H24" s="1671">
        <v>85500</v>
      </c>
      <c r="I24" s="1702">
        <v>152300</v>
      </c>
      <c r="J24" s="1702">
        <v>295600</v>
      </c>
      <c r="K24" s="1671">
        <v>134000</v>
      </c>
      <c r="L24" s="1702">
        <v>222300</v>
      </c>
      <c r="M24" s="1702">
        <v>443000</v>
      </c>
      <c r="N24" s="1671">
        <v>23700</v>
      </c>
      <c r="O24" s="1671">
        <v>23700</v>
      </c>
      <c r="P24" s="1671">
        <v>28300</v>
      </c>
      <c r="Q24" s="1671">
        <v>28300</v>
      </c>
      <c r="R24" s="1671">
        <v>41800</v>
      </c>
      <c r="S24" s="1671">
        <v>53900</v>
      </c>
      <c r="T24" s="1671">
        <v>87800</v>
      </c>
      <c r="U24" s="1703">
        <v>156400</v>
      </c>
      <c r="V24" s="1703">
        <v>303500</v>
      </c>
      <c r="W24" s="1671">
        <v>148300</v>
      </c>
      <c r="X24" s="1703">
        <v>246000</v>
      </c>
      <c r="Y24" s="1703">
        <v>490200</v>
      </c>
      <c r="Z24" s="1671">
        <v>18500</v>
      </c>
      <c r="AA24" s="1671">
        <v>18500</v>
      </c>
      <c r="AB24" s="1671">
        <v>22000</v>
      </c>
      <c r="AC24" s="1671">
        <v>22000</v>
      </c>
      <c r="AD24" s="1671">
        <v>31900</v>
      </c>
      <c r="AE24" s="1671">
        <v>41000</v>
      </c>
      <c r="AF24" s="1671">
        <v>68400</v>
      </c>
      <c r="AG24" s="1704" t="s">
        <v>561</v>
      </c>
      <c r="AH24" s="1704" t="s">
        <v>561</v>
      </c>
      <c r="AI24" s="1671">
        <v>107200</v>
      </c>
      <c r="AJ24" s="1704" t="s">
        <v>561</v>
      </c>
      <c r="AK24" s="1704" t="s">
        <v>561</v>
      </c>
      <c r="AL24" s="1671">
        <v>18900</v>
      </c>
      <c r="AM24" s="1671">
        <v>18900</v>
      </c>
      <c r="AN24" s="1671">
        <v>22600</v>
      </c>
      <c r="AO24" s="1671">
        <v>22600</v>
      </c>
      <c r="AP24" s="1671">
        <v>33400</v>
      </c>
      <c r="AQ24" s="1671">
        <v>43100</v>
      </c>
      <c r="AR24" s="1671">
        <v>70200</v>
      </c>
      <c r="AS24" s="1704" t="s">
        <v>561</v>
      </c>
      <c r="AT24" s="1704" t="s">
        <v>561</v>
      </c>
      <c r="AU24" s="1671">
        <v>118600</v>
      </c>
      <c r="AV24" s="1704" t="s">
        <v>561</v>
      </c>
      <c r="AW24" s="1704" t="s">
        <v>561</v>
      </c>
      <c r="AX24" s="1671">
        <v>17000</v>
      </c>
      <c r="AY24" s="1671">
        <v>17000</v>
      </c>
      <c r="AZ24" s="1671">
        <v>20700</v>
      </c>
      <c r="BA24" s="1671">
        <v>20700</v>
      </c>
      <c r="BB24" s="1671">
        <v>28700</v>
      </c>
      <c r="BC24" s="1671">
        <v>37100</v>
      </c>
      <c r="BD24" s="1671">
        <v>69900</v>
      </c>
      <c r="BE24" s="1704" t="s">
        <v>561</v>
      </c>
      <c r="BF24" s="1704" t="s">
        <v>561</v>
      </c>
      <c r="BG24" s="1671">
        <v>105700</v>
      </c>
      <c r="BH24" s="1704" t="s">
        <v>561</v>
      </c>
      <c r="BI24" s="1704" t="s">
        <v>561</v>
      </c>
      <c r="BJ24" s="1671">
        <v>17400</v>
      </c>
      <c r="BK24" s="1671">
        <v>17400</v>
      </c>
      <c r="BL24" s="1671">
        <v>21200</v>
      </c>
      <c r="BM24" s="1671">
        <v>21200</v>
      </c>
      <c r="BN24" s="1671">
        <v>30300</v>
      </c>
      <c r="BO24" s="1671">
        <v>39400</v>
      </c>
      <c r="BP24" s="1671">
        <v>73000</v>
      </c>
      <c r="BQ24" s="1704" t="s">
        <v>561</v>
      </c>
      <c r="BR24" s="1704" t="s">
        <v>561</v>
      </c>
      <c r="BS24" s="1671">
        <v>120400</v>
      </c>
      <c r="BT24" s="1704" t="s">
        <v>561</v>
      </c>
      <c r="BU24" s="1704" t="s">
        <v>561</v>
      </c>
    </row>
    <row r="25" spans="1:73" s="942" customFormat="1" ht="18.5">
      <c r="A25" s="1695">
        <v>12</v>
      </c>
      <c r="B25" s="1671">
        <v>20300</v>
      </c>
      <c r="C25" s="1671">
        <v>20300</v>
      </c>
      <c r="D25" s="1671">
        <v>24200</v>
      </c>
      <c r="E25" s="1671">
        <v>24200</v>
      </c>
      <c r="F25" s="1671">
        <v>35400</v>
      </c>
      <c r="G25" s="1671">
        <v>45600</v>
      </c>
      <c r="H25" s="1671">
        <v>78200</v>
      </c>
      <c r="I25" s="1702">
        <v>139200</v>
      </c>
      <c r="J25" s="1702">
        <v>270200</v>
      </c>
      <c r="K25" s="1671">
        <v>125600</v>
      </c>
      <c r="L25" s="1702">
        <v>208300</v>
      </c>
      <c r="M25" s="1702">
        <v>415100</v>
      </c>
      <c r="N25" s="1671">
        <v>20900</v>
      </c>
      <c r="O25" s="1671">
        <v>20900</v>
      </c>
      <c r="P25" s="1671">
        <v>24900</v>
      </c>
      <c r="Q25" s="1671">
        <v>24900</v>
      </c>
      <c r="R25" s="1671">
        <v>37300</v>
      </c>
      <c r="S25" s="1671">
        <v>48300</v>
      </c>
      <c r="T25" s="1671">
        <v>81100</v>
      </c>
      <c r="U25" s="1703">
        <v>144500</v>
      </c>
      <c r="V25" s="1703">
        <v>280300</v>
      </c>
      <c r="W25" s="1671">
        <v>140500</v>
      </c>
      <c r="X25" s="1703">
        <v>233200</v>
      </c>
      <c r="Y25" s="1703">
        <v>464500</v>
      </c>
      <c r="Z25" s="1671">
        <v>16200</v>
      </c>
      <c r="AA25" s="1671">
        <v>16200</v>
      </c>
      <c r="AB25" s="1671">
        <v>19300</v>
      </c>
      <c r="AC25" s="1671">
        <v>19300</v>
      </c>
      <c r="AD25" s="1671">
        <v>28300</v>
      </c>
      <c r="AE25" s="1671">
        <v>36400</v>
      </c>
      <c r="AF25" s="1671">
        <v>62500</v>
      </c>
      <c r="AG25" s="1704" t="s">
        <v>561</v>
      </c>
      <c r="AH25" s="1704" t="s">
        <v>561</v>
      </c>
      <c r="AI25" s="1671">
        <v>100400</v>
      </c>
      <c r="AJ25" s="1704" t="s">
        <v>561</v>
      </c>
      <c r="AK25" s="1704" t="s">
        <v>561</v>
      </c>
      <c r="AL25" s="1671">
        <v>16700</v>
      </c>
      <c r="AM25" s="1671">
        <v>16700</v>
      </c>
      <c r="AN25" s="1671">
        <v>19900</v>
      </c>
      <c r="AO25" s="1671">
        <v>19900</v>
      </c>
      <c r="AP25" s="1671">
        <v>29800</v>
      </c>
      <c r="AQ25" s="1671">
        <v>38600</v>
      </c>
      <c r="AR25" s="1671">
        <v>64800</v>
      </c>
      <c r="AS25" s="1704" t="s">
        <v>561</v>
      </c>
      <c r="AT25" s="1704" t="s">
        <v>561</v>
      </c>
      <c r="AU25" s="1671">
        <v>112400</v>
      </c>
      <c r="AV25" s="1704" t="s">
        <v>561</v>
      </c>
      <c r="AW25" s="1704" t="s">
        <v>561</v>
      </c>
      <c r="AX25" s="1671">
        <v>14900</v>
      </c>
      <c r="AY25" s="1671">
        <v>14900</v>
      </c>
      <c r="AZ25" s="1671">
        <v>18200</v>
      </c>
      <c r="BA25" s="1671">
        <v>18200</v>
      </c>
      <c r="BB25" s="1671">
        <v>25700</v>
      </c>
      <c r="BC25" s="1671">
        <v>33200</v>
      </c>
      <c r="BD25" s="1671">
        <v>65000</v>
      </c>
      <c r="BE25" s="1704" t="s">
        <v>561</v>
      </c>
      <c r="BF25" s="1704" t="s">
        <v>561</v>
      </c>
      <c r="BG25" s="1671">
        <v>101000</v>
      </c>
      <c r="BH25" s="1704" t="s">
        <v>561</v>
      </c>
      <c r="BI25" s="1704" t="s">
        <v>561</v>
      </c>
      <c r="BJ25" s="1671">
        <v>15300</v>
      </c>
      <c r="BK25" s="1671">
        <v>15300</v>
      </c>
      <c r="BL25" s="1671">
        <v>18700</v>
      </c>
      <c r="BM25" s="1671">
        <v>18700</v>
      </c>
      <c r="BN25" s="1671">
        <v>27300</v>
      </c>
      <c r="BO25" s="1671">
        <v>35600</v>
      </c>
      <c r="BP25" s="1671">
        <v>68600</v>
      </c>
      <c r="BQ25" s="1704" t="s">
        <v>561</v>
      </c>
      <c r="BR25" s="1704" t="s">
        <v>561</v>
      </c>
      <c r="BS25" s="1671">
        <v>116200</v>
      </c>
      <c r="BT25" s="1704" t="s">
        <v>561</v>
      </c>
      <c r="BU25" s="1704" t="s">
        <v>561</v>
      </c>
    </row>
    <row r="26" spans="1:73" s="942" customFormat="1" ht="18.5">
      <c r="A26" s="1695">
        <v>13</v>
      </c>
      <c r="B26" s="1671">
        <v>17400</v>
      </c>
      <c r="C26" s="1671">
        <v>17400</v>
      </c>
      <c r="D26" s="1671">
        <v>20700</v>
      </c>
      <c r="E26" s="1671">
        <v>20700</v>
      </c>
      <c r="F26" s="1671">
        <v>30800</v>
      </c>
      <c r="G26" s="1671">
        <v>39800</v>
      </c>
      <c r="H26" s="1671">
        <v>70800</v>
      </c>
      <c r="I26" s="1702">
        <v>126100</v>
      </c>
      <c r="J26" s="1702">
        <v>244700</v>
      </c>
      <c r="K26" s="1671">
        <v>117100</v>
      </c>
      <c r="L26" s="1702">
        <v>194300</v>
      </c>
      <c r="M26" s="1702">
        <v>387200</v>
      </c>
      <c r="N26" s="1671">
        <v>18100</v>
      </c>
      <c r="O26" s="1671">
        <v>18100</v>
      </c>
      <c r="P26" s="1671">
        <v>21600</v>
      </c>
      <c r="Q26" s="1671">
        <v>21600</v>
      </c>
      <c r="R26" s="1671">
        <v>32900</v>
      </c>
      <c r="S26" s="1671">
        <v>42700</v>
      </c>
      <c r="T26" s="1671">
        <v>74400</v>
      </c>
      <c r="U26" s="1703">
        <v>132500</v>
      </c>
      <c r="V26" s="1703">
        <v>257100</v>
      </c>
      <c r="W26" s="1671">
        <v>132800</v>
      </c>
      <c r="X26" s="1703">
        <v>220300</v>
      </c>
      <c r="Y26" s="1703">
        <v>438900</v>
      </c>
      <c r="Z26" s="1671">
        <v>13900</v>
      </c>
      <c r="AA26" s="1671">
        <v>13900</v>
      </c>
      <c r="AB26" s="1671">
        <v>16500</v>
      </c>
      <c r="AC26" s="1671">
        <v>16500</v>
      </c>
      <c r="AD26" s="1671">
        <v>24600</v>
      </c>
      <c r="AE26" s="1671">
        <v>31800</v>
      </c>
      <c r="AF26" s="1671">
        <v>56600</v>
      </c>
      <c r="AG26" s="1704" t="s">
        <v>561</v>
      </c>
      <c r="AH26" s="1704" t="s">
        <v>561</v>
      </c>
      <c r="AI26" s="1671">
        <v>93600</v>
      </c>
      <c r="AJ26" s="1704" t="s">
        <v>561</v>
      </c>
      <c r="AK26" s="1704" t="s">
        <v>561</v>
      </c>
      <c r="AL26" s="1671">
        <v>14400</v>
      </c>
      <c r="AM26" s="1671">
        <v>14400</v>
      </c>
      <c r="AN26" s="1671">
        <v>17200</v>
      </c>
      <c r="AO26" s="1671">
        <v>17200</v>
      </c>
      <c r="AP26" s="1671">
        <v>26300</v>
      </c>
      <c r="AQ26" s="1671">
        <v>34100</v>
      </c>
      <c r="AR26" s="1671">
        <v>59500</v>
      </c>
      <c r="AS26" s="1704" t="s">
        <v>561</v>
      </c>
      <c r="AT26" s="1704" t="s">
        <v>561</v>
      </c>
      <c r="AU26" s="1671">
        <v>106200</v>
      </c>
      <c r="AV26" s="1704" t="s">
        <v>561</v>
      </c>
      <c r="AW26" s="1704" t="s">
        <v>561</v>
      </c>
      <c r="AX26" s="1671">
        <v>12800</v>
      </c>
      <c r="AY26" s="1671">
        <v>12800</v>
      </c>
      <c r="AZ26" s="1671">
        <v>15600</v>
      </c>
      <c r="BA26" s="1671">
        <v>15600</v>
      </c>
      <c r="BB26" s="1671">
        <v>22600</v>
      </c>
      <c r="BC26" s="1671">
        <v>29300</v>
      </c>
      <c r="BD26" s="1671">
        <v>60100</v>
      </c>
      <c r="BE26" s="1704" t="s">
        <v>561</v>
      </c>
      <c r="BF26" s="1704" t="s">
        <v>561</v>
      </c>
      <c r="BG26" s="1671">
        <v>96300</v>
      </c>
      <c r="BH26" s="1704" t="s">
        <v>561</v>
      </c>
      <c r="BI26" s="1704" t="s">
        <v>561</v>
      </c>
      <c r="BJ26" s="1671">
        <v>13300</v>
      </c>
      <c r="BK26" s="1671">
        <v>13300</v>
      </c>
      <c r="BL26" s="1671">
        <v>16200</v>
      </c>
      <c r="BM26" s="1671">
        <v>16200</v>
      </c>
      <c r="BN26" s="1671">
        <v>24300</v>
      </c>
      <c r="BO26" s="1671">
        <v>31800</v>
      </c>
      <c r="BP26" s="1671">
        <v>64200</v>
      </c>
      <c r="BQ26" s="1704" t="s">
        <v>561</v>
      </c>
      <c r="BR26" s="1704" t="s">
        <v>561</v>
      </c>
      <c r="BS26" s="1671">
        <v>112000</v>
      </c>
      <c r="BT26" s="1704" t="s">
        <v>561</v>
      </c>
      <c r="BU26" s="1704" t="s">
        <v>561</v>
      </c>
    </row>
    <row r="27" spans="1:73" s="942" customFormat="1" ht="18.5">
      <c r="A27" s="1695">
        <v>14</v>
      </c>
      <c r="B27" s="1671">
        <v>17100</v>
      </c>
      <c r="C27" s="1671">
        <v>17100</v>
      </c>
      <c r="D27" s="1671">
        <v>20300</v>
      </c>
      <c r="E27" s="1671">
        <v>20300</v>
      </c>
      <c r="F27" s="1671">
        <v>30200</v>
      </c>
      <c r="G27" s="1671">
        <v>38900</v>
      </c>
      <c r="H27" s="1671">
        <v>69100</v>
      </c>
      <c r="I27" s="1702">
        <v>123000</v>
      </c>
      <c r="J27" s="1702">
        <v>238600</v>
      </c>
      <c r="K27" s="1671">
        <v>112500</v>
      </c>
      <c r="L27" s="1702">
        <v>186700</v>
      </c>
      <c r="M27" s="1702">
        <v>372000</v>
      </c>
      <c r="N27" s="1671">
        <v>17200</v>
      </c>
      <c r="O27" s="1671">
        <v>17200</v>
      </c>
      <c r="P27" s="1671">
        <v>20500</v>
      </c>
      <c r="Q27" s="1671">
        <v>20500</v>
      </c>
      <c r="R27" s="1671">
        <v>31200</v>
      </c>
      <c r="S27" s="1671">
        <v>40400</v>
      </c>
      <c r="T27" s="1671">
        <v>70400</v>
      </c>
      <c r="U27" s="1703">
        <v>125400</v>
      </c>
      <c r="V27" s="1703">
        <v>243300</v>
      </c>
      <c r="W27" s="1671">
        <v>121500</v>
      </c>
      <c r="X27" s="1703">
        <v>201600</v>
      </c>
      <c r="Y27" s="1703">
        <v>401800</v>
      </c>
      <c r="Z27" s="1671">
        <v>13600</v>
      </c>
      <c r="AA27" s="1671">
        <v>13600</v>
      </c>
      <c r="AB27" s="1671">
        <v>16200</v>
      </c>
      <c r="AC27" s="1671">
        <v>16200</v>
      </c>
      <c r="AD27" s="1671">
        <v>24100</v>
      </c>
      <c r="AE27" s="1671">
        <v>31100</v>
      </c>
      <c r="AF27" s="1671">
        <v>55200</v>
      </c>
      <c r="AG27" s="1704" t="s">
        <v>561</v>
      </c>
      <c r="AH27" s="1704" t="s">
        <v>561</v>
      </c>
      <c r="AI27" s="1671">
        <v>90000</v>
      </c>
      <c r="AJ27" s="1704" t="s">
        <v>561</v>
      </c>
      <c r="AK27" s="1704" t="s">
        <v>561</v>
      </c>
      <c r="AL27" s="1671">
        <v>13700</v>
      </c>
      <c r="AM27" s="1671">
        <v>13700</v>
      </c>
      <c r="AN27" s="1671">
        <v>16400</v>
      </c>
      <c r="AO27" s="1671">
        <v>16400</v>
      </c>
      <c r="AP27" s="1671">
        <v>24900</v>
      </c>
      <c r="AQ27" s="1671">
        <v>32300</v>
      </c>
      <c r="AR27" s="1671">
        <v>56300</v>
      </c>
      <c r="AS27" s="1704" t="s">
        <v>561</v>
      </c>
      <c r="AT27" s="1704" t="s">
        <v>561</v>
      </c>
      <c r="AU27" s="1671">
        <v>97200</v>
      </c>
      <c r="AV27" s="1704" t="s">
        <v>561</v>
      </c>
      <c r="AW27" s="1704" t="s">
        <v>561</v>
      </c>
      <c r="AX27" s="1671">
        <v>12600</v>
      </c>
      <c r="AY27" s="1671">
        <v>12600</v>
      </c>
      <c r="AZ27" s="1671">
        <v>15300</v>
      </c>
      <c r="BA27" s="1671">
        <v>15300</v>
      </c>
      <c r="BB27" s="1671">
        <v>22100</v>
      </c>
      <c r="BC27" s="1671">
        <v>28600</v>
      </c>
      <c r="BD27" s="1671">
        <v>58700</v>
      </c>
      <c r="BE27" s="1704" t="s">
        <v>561</v>
      </c>
      <c r="BF27" s="1704" t="s">
        <v>561</v>
      </c>
      <c r="BG27" s="1671">
        <v>92200</v>
      </c>
      <c r="BH27" s="1704" t="s">
        <v>561</v>
      </c>
      <c r="BI27" s="1704" t="s">
        <v>561</v>
      </c>
      <c r="BJ27" s="1671">
        <v>12600</v>
      </c>
      <c r="BK27" s="1671">
        <v>12600</v>
      </c>
      <c r="BL27" s="1671">
        <v>15400</v>
      </c>
      <c r="BM27" s="1671">
        <v>15400</v>
      </c>
      <c r="BN27" s="1671">
        <v>23000</v>
      </c>
      <c r="BO27" s="1671">
        <v>30000</v>
      </c>
      <c r="BP27" s="1671">
        <v>60900</v>
      </c>
      <c r="BQ27" s="1704" t="s">
        <v>561</v>
      </c>
      <c r="BR27" s="1704" t="s">
        <v>561</v>
      </c>
      <c r="BS27" s="1671">
        <v>102100</v>
      </c>
      <c r="BT27" s="1704" t="s">
        <v>561</v>
      </c>
      <c r="BU27" s="1704" t="s">
        <v>561</v>
      </c>
    </row>
    <row r="28" spans="1:73" s="942" customFormat="1" ht="18.5">
      <c r="A28" s="1695">
        <v>15</v>
      </c>
      <c r="B28" s="1671">
        <v>16700</v>
      </c>
      <c r="C28" s="1671">
        <v>16700</v>
      </c>
      <c r="D28" s="1671">
        <v>19900</v>
      </c>
      <c r="E28" s="1671">
        <v>19900</v>
      </c>
      <c r="F28" s="1671">
        <v>29500</v>
      </c>
      <c r="G28" s="1671">
        <v>38000</v>
      </c>
      <c r="H28" s="1671">
        <v>67300</v>
      </c>
      <c r="I28" s="1702">
        <v>119800</v>
      </c>
      <c r="J28" s="1702">
        <v>232500</v>
      </c>
      <c r="K28" s="1671">
        <v>107900</v>
      </c>
      <c r="L28" s="1702">
        <v>179100</v>
      </c>
      <c r="M28" s="1702">
        <v>356800</v>
      </c>
      <c r="N28" s="1671">
        <v>16300</v>
      </c>
      <c r="O28" s="1671">
        <v>16300</v>
      </c>
      <c r="P28" s="1671">
        <v>19400</v>
      </c>
      <c r="Q28" s="1671">
        <v>19400</v>
      </c>
      <c r="R28" s="1671">
        <v>29400</v>
      </c>
      <c r="S28" s="1671">
        <v>38100</v>
      </c>
      <c r="T28" s="1671">
        <v>66400</v>
      </c>
      <c r="U28" s="1703">
        <v>118200</v>
      </c>
      <c r="V28" s="1703">
        <v>229400</v>
      </c>
      <c r="W28" s="1671">
        <v>110300</v>
      </c>
      <c r="X28" s="1703">
        <v>183000</v>
      </c>
      <c r="Y28" s="1703">
        <v>364600</v>
      </c>
      <c r="Z28" s="1671">
        <v>13300</v>
      </c>
      <c r="AA28" s="1671">
        <v>13300</v>
      </c>
      <c r="AB28" s="1671">
        <v>15900</v>
      </c>
      <c r="AC28" s="1671">
        <v>15900</v>
      </c>
      <c r="AD28" s="1671">
        <v>23600</v>
      </c>
      <c r="AE28" s="1671">
        <v>30400</v>
      </c>
      <c r="AF28" s="1671">
        <v>53800</v>
      </c>
      <c r="AG28" s="1704" t="s">
        <v>561</v>
      </c>
      <c r="AH28" s="1704" t="s">
        <v>561</v>
      </c>
      <c r="AI28" s="1671">
        <v>86300</v>
      </c>
      <c r="AJ28" s="1704" t="s">
        <v>561</v>
      </c>
      <c r="AK28" s="1704" t="s">
        <v>561</v>
      </c>
      <c r="AL28" s="1671">
        <v>13000</v>
      </c>
      <c r="AM28" s="1671">
        <v>13000</v>
      </c>
      <c r="AN28" s="1671">
        <v>15500</v>
      </c>
      <c r="AO28" s="1671">
        <v>15500</v>
      </c>
      <c r="AP28" s="1671">
        <v>23500</v>
      </c>
      <c r="AQ28" s="1671">
        <v>30400</v>
      </c>
      <c r="AR28" s="1671">
        <v>53100</v>
      </c>
      <c r="AS28" s="1704" t="s">
        <v>561</v>
      </c>
      <c r="AT28" s="1704" t="s">
        <v>561</v>
      </c>
      <c r="AU28" s="1671">
        <v>88200</v>
      </c>
      <c r="AV28" s="1704" t="s">
        <v>561</v>
      </c>
      <c r="AW28" s="1704" t="s">
        <v>561</v>
      </c>
      <c r="AX28" s="1671">
        <v>12300</v>
      </c>
      <c r="AY28" s="1671">
        <v>12300</v>
      </c>
      <c r="AZ28" s="1671">
        <v>15000</v>
      </c>
      <c r="BA28" s="1671">
        <v>15000</v>
      </c>
      <c r="BB28" s="1671">
        <v>21500</v>
      </c>
      <c r="BC28" s="1671">
        <v>27900</v>
      </c>
      <c r="BD28" s="1671">
        <v>57300</v>
      </c>
      <c r="BE28" s="1704" t="s">
        <v>561</v>
      </c>
      <c r="BF28" s="1704" t="s">
        <v>561</v>
      </c>
      <c r="BG28" s="1671">
        <v>88100</v>
      </c>
      <c r="BH28" s="1704" t="s">
        <v>561</v>
      </c>
      <c r="BI28" s="1704" t="s">
        <v>561</v>
      </c>
      <c r="BJ28" s="1671">
        <v>12000</v>
      </c>
      <c r="BK28" s="1671">
        <v>12000</v>
      </c>
      <c r="BL28" s="1671">
        <v>14600</v>
      </c>
      <c r="BM28" s="1671">
        <v>14600</v>
      </c>
      <c r="BN28" s="1671">
        <v>21700</v>
      </c>
      <c r="BO28" s="1671">
        <v>28300</v>
      </c>
      <c r="BP28" s="1671">
        <v>57500</v>
      </c>
      <c r="BQ28" s="1704" t="s">
        <v>561</v>
      </c>
      <c r="BR28" s="1704" t="s">
        <v>561</v>
      </c>
      <c r="BS28" s="1671">
        <v>92200</v>
      </c>
      <c r="BT28" s="1704" t="s">
        <v>561</v>
      </c>
      <c r="BU28" s="1704" t="s">
        <v>561</v>
      </c>
    </row>
    <row r="29" spans="1:73" s="942" customFormat="1" ht="18.5">
      <c r="A29" s="1695">
        <v>16</v>
      </c>
      <c r="B29" s="1671">
        <v>16400</v>
      </c>
      <c r="C29" s="1671">
        <v>16400</v>
      </c>
      <c r="D29" s="1671">
        <v>19500</v>
      </c>
      <c r="E29" s="1671">
        <v>19500</v>
      </c>
      <c r="F29" s="1671">
        <v>28800</v>
      </c>
      <c r="G29" s="1671">
        <v>37100</v>
      </c>
      <c r="H29" s="1671">
        <v>65500</v>
      </c>
      <c r="I29" s="1702">
        <v>116700</v>
      </c>
      <c r="J29" s="1702">
        <v>226400</v>
      </c>
      <c r="K29" s="1671">
        <v>103300</v>
      </c>
      <c r="L29" s="1702">
        <v>171400</v>
      </c>
      <c r="M29" s="1702">
        <v>341500</v>
      </c>
      <c r="N29" s="1671">
        <v>15400</v>
      </c>
      <c r="O29" s="1671">
        <v>15400</v>
      </c>
      <c r="P29" s="1671">
        <v>18400</v>
      </c>
      <c r="Q29" s="1671">
        <v>18400</v>
      </c>
      <c r="R29" s="1671">
        <v>27700</v>
      </c>
      <c r="S29" s="1671">
        <v>35800</v>
      </c>
      <c r="T29" s="1671">
        <v>62400</v>
      </c>
      <c r="U29" s="1703">
        <v>111100</v>
      </c>
      <c r="V29" s="1703">
        <v>215500</v>
      </c>
      <c r="W29" s="1671">
        <v>99100</v>
      </c>
      <c r="X29" s="1703">
        <v>164400</v>
      </c>
      <c r="Y29" s="1703">
        <v>327500</v>
      </c>
      <c r="Z29" s="1671">
        <v>13100</v>
      </c>
      <c r="AA29" s="1671">
        <v>13100</v>
      </c>
      <c r="AB29" s="1671">
        <v>15600</v>
      </c>
      <c r="AC29" s="1671">
        <v>15600</v>
      </c>
      <c r="AD29" s="1671">
        <v>23000</v>
      </c>
      <c r="AE29" s="1671">
        <v>29600</v>
      </c>
      <c r="AF29" s="1671">
        <v>52400</v>
      </c>
      <c r="AG29" s="1704" t="s">
        <v>561</v>
      </c>
      <c r="AH29" s="1704" t="s">
        <v>561</v>
      </c>
      <c r="AI29" s="1671">
        <v>82600</v>
      </c>
      <c r="AJ29" s="1704" t="s">
        <v>561</v>
      </c>
      <c r="AK29" s="1704" t="s">
        <v>561</v>
      </c>
      <c r="AL29" s="1671">
        <v>12300</v>
      </c>
      <c r="AM29" s="1671">
        <v>12300</v>
      </c>
      <c r="AN29" s="1671">
        <v>14700</v>
      </c>
      <c r="AO29" s="1671">
        <v>14700</v>
      </c>
      <c r="AP29" s="1671">
        <v>22100</v>
      </c>
      <c r="AQ29" s="1671">
        <v>28600</v>
      </c>
      <c r="AR29" s="1671">
        <v>49900</v>
      </c>
      <c r="AS29" s="1704" t="s">
        <v>561</v>
      </c>
      <c r="AT29" s="1704" t="s">
        <v>561</v>
      </c>
      <c r="AU29" s="1671">
        <v>79200</v>
      </c>
      <c r="AV29" s="1704" t="s">
        <v>561</v>
      </c>
      <c r="AW29" s="1704" t="s">
        <v>561</v>
      </c>
      <c r="AX29" s="1671">
        <v>12100</v>
      </c>
      <c r="AY29" s="1671">
        <v>12100</v>
      </c>
      <c r="AZ29" s="1671">
        <v>14700</v>
      </c>
      <c r="BA29" s="1671">
        <v>14700</v>
      </c>
      <c r="BB29" s="1671">
        <v>21000</v>
      </c>
      <c r="BC29" s="1671">
        <v>27300</v>
      </c>
      <c r="BD29" s="1671">
        <v>55900</v>
      </c>
      <c r="BE29" s="1704" t="s">
        <v>561</v>
      </c>
      <c r="BF29" s="1704" t="s">
        <v>561</v>
      </c>
      <c r="BG29" s="1671">
        <v>84000</v>
      </c>
      <c r="BH29" s="1704" t="s">
        <v>561</v>
      </c>
      <c r="BI29" s="1704" t="s">
        <v>561</v>
      </c>
      <c r="BJ29" s="1671">
        <v>11300</v>
      </c>
      <c r="BK29" s="1671">
        <v>11300</v>
      </c>
      <c r="BL29" s="1671">
        <v>13800</v>
      </c>
      <c r="BM29" s="1671">
        <v>13800</v>
      </c>
      <c r="BN29" s="1671">
        <v>20400</v>
      </c>
      <c r="BO29" s="1671">
        <v>26500</v>
      </c>
      <c r="BP29" s="1671">
        <v>54100</v>
      </c>
      <c r="BQ29" s="1704" t="s">
        <v>561</v>
      </c>
      <c r="BR29" s="1704" t="s">
        <v>561</v>
      </c>
      <c r="BS29" s="1671">
        <v>82300</v>
      </c>
      <c r="BT29" s="1704" t="s">
        <v>561</v>
      </c>
      <c r="BU29" s="1704" t="s">
        <v>561</v>
      </c>
    </row>
    <row r="30" spans="1:73" s="942" customFormat="1" ht="18.5">
      <c r="A30" s="1695">
        <v>17</v>
      </c>
      <c r="B30" s="1671">
        <v>16000</v>
      </c>
      <c r="C30" s="1671">
        <v>16000</v>
      </c>
      <c r="D30" s="1671">
        <v>19100</v>
      </c>
      <c r="E30" s="1671">
        <v>19100</v>
      </c>
      <c r="F30" s="1671">
        <v>28100</v>
      </c>
      <c r="G30" s="1671">
        <v>36200</v>
      </c>
      <c r="H30" s="1671">
        <v>63800</v>
      </c>
      <c r="I30" s="1702">
        <v>113500</v>
      </c>
      <c r="J30" s="1702">
        <v>220300</v>
      </c>
      <c r="K30" s="1671">
        <v>105900</v>
      </c>
      <c r="L30" s="1702">
        <v>175600</v>
      </c>
      <c r="M30" s="1702">
        <v>349900</v>
      </c>
      <c r="N30" s="1671">
        <v>14500</v>
      </c>
      <c r="O30" s="1671">
        <v>14500</v>
      </c>
      <c r="P30" s="1671">
        <v>17300</v>
      </c>
      <c r="Q30" s="1671">
        <v>17300</v>
      </c>
      <c r="R30" s="1671">
        <v>25900</v>
      </c>
      <c r="S30" s="1671">
        <v>33500</v>
      </c>
      <c r="T30" s="1671">
        <v>58400</v>
      </c>
      <c r="U30" s="1703">
        <v>103900</v>
      </c>
      <c r="V30" s="1703">
        <v>201700</v>
      </c>
      <c r="W30" s="1671">
        <v>92700</v>
      </c>
      <c r="X30" s="1703">
        <v>153800</v>
      </c>
      <c r="Y30" s="1703">
        <v>306500</v>
      </c>
      <c r="Z30" s="1671">
        <v>12800</v>
      </c>
      <c r="AA30" s="1671">
        <v>12800</v>
      </c>
      <c r="AB30" s="1671">
        <v>15200</v>
      </c>
      <c r="AC30" s="1671">
        <v>15200</v>
      </c>
      <c r="AD30" s="1671">
        <v>22400</v>
      </c>
      <c r="AE30" s="1671">
        <v>28900</v>
      </c>
      <c r="AF30" s="1671">
        <v>51000</v>
      </c>
      <c r="AG30" s="1704" t="s">
        <v>561</v>
      </c>
      <c r="AH30" s="1704" t="s">
        <v>561</v>
      </c>
      <c r="AI30" s="1671">
        <v>84700</v>
      </c>
      <c r="AJ30" s="1704" t="s">
        <v>561</v>
      </c>
      <c r="AK30" s="1704" t="s">
        <v>561</v>
      </c>
      <c r="AL30" s="1671">
        <v>11600</v>
      </c>
      <c r="AM30" s="1671">
        <v>11600</v>
      </c>
      <c r="AN30" s="1671">
        <v>13800</v>
      </c>
      <c r="AO30" s="1671">
        <v>13800</v>
      </c>
      <c r="AP30" s="1671">
        <v>20700</v>
      </c>
      <c r="AQ30" s="1671">
        <v>26800</v>
      </c>
      <c r="AR30" s="1671">
        <v>46700</v>
      </c>
      <c r="AS30" s="1704" t="s">
        <v>561</v>
      </c>
      <c r="AT30" s="1704" t="s">
        <v>561</v>
      </c>
      <c r="AU30" s="1671">
        <v>74100</v>
      </c>
      <c r="AV30" s="1704" t="s">
        <v>561</v>
      </c>
      <c r="AW30" s="1704" t="s">
        <v>561</v>
      </c>
      <c r="AX30" s="1671">
        <v>11800</v>
      </c>
      <c r="AY30" s="1671">
        <v>11800</v>
      </c>
      <c r="AZ30" s="1671">
        <v>14400</v>
      </c>
      <c r="BA30" s="1671">
        <v>14400</v>
      </c>
      <c r="BB30" s="1671">
        <v>20500</v>
      </c>
      <c r="BC30" s="1671">
        <v>26600</v>
      </c>
      <c r="BD30" s="1671">
        <v>54500</v>
      </c>
      <c r="BE30" s="1704" t="s">
        <v>561</v>
      </c>
      <c r="BF30" s="1704" t="s">
        <v>561</v>
      </c>
      <c r="BG30" s="1671">
        <v>85800</v>
      </c>
      <c r="BH30" s="1704" t="s">
        <v>561</v>
      </c>
      <c r="BI30" s="1704" t="s">
        <v>561</v>
      </c>
      <c r="BJ30" s="1671">
        <v>10700</v>
      </c>
      <c r="BK30" s="1671">
        <v>10700</v>
      </c>
      <c r="BL30" s="1671">
        <v>13000</v>
      </c>
      <c r="BM30" s="1671">
        <v>13000</v>
      </c>
      <c r="BN30" s="1671">
        <v>19000</v>
      </c>
      <c r="BO30" s="1671">
        <v>24800</v>
      </c>
      <c r="BP30" s="1671">
        <v>50700</v>
      </c>
      <c r="BQ30" s="1704" t="s">
        <v>561</v>
      </c>
      <c r="BR30" s="1704" t="s">
        <v>561</v>
      </c>
      <c r="BS30" s="1671">
        <v>76700</v>
      </c>
      <c r="BT30" s="1704" t="s">
        <v>561</v>
      </c>
      <c r="BU30" s="1704" t="s">
        <v>561</v>
      </c>
    </row>
    <row r="31" spans="1:73" s="942" customFormat="1" ht="18.5">
      <c r="A31" s="1695">
        <v>18</v>
      </c>
      <c r="B31" s="1671">
        <v>15700</v>
      </c>
      <c r="C31" s="1671">
        <v>15700</v>
      </c>
      <c r="D31" s="1671">
        <v>18700</v>
      </c>
      <c r="E31" s="1671">
        <v>18700</v>
      </c>
      <c r="F31" s="1671">
        <v>27400</v>
      </c>
      <c r="G31" s="1671">
        <v>35300</v>
      </c>
      <c r="H31" s="1671">
        <v>62000</v>
      </c>
      <c r="I31" s="1702">
        <v>110400</v>
      </c>
      <c r="J31" s="1702">
        <v>214200</v>
      </c>
      <c r="K31" s="1671">
        <v>115500</v>
      </c>
      <c r="L31" s="1702">
        <v>191700</v>
      </c>
      <c r="M31" s="1702">
        <v>381900</v>
      </c>
      <c r="N31" s="1671">
        <v>13600</v>
      </c>
      <c r="O31" s="1671">
        <v>13600</v>
      </c>
      <c r="P31" s="1671">
        <v>16200</v>
      </c>
      <c r="Q31" s="1671">
        <v>16200</v>
      </c>
      <c r="R31" s="1671">
        <v>24200</v>
      </c>
      <c r="S31" s="1671">
        <v>31200</v>
      </c>
      <c r="T31" s="1671">
        <v>54400</v>
      </c>
      <c r="U31" s="1703">
        <v>96800</v>
      </c>
      <c r="V31" s="1703">
        <v>187800</v>
      </c>
      <c r="W31" s="1671">
        <v>91300</v>
      </c>
      <c r="X31" s="1703">
        <v>151500</v>
      </c>
      <c r="Y31" s="1703">
        <v>301800</v>
      </c>
      <c r="Z31" s="1671">
        <v>12500</v>
      </c>
      <c r="AA31" s="1671">
        <v>12500</v>
      </c>
      <c r="AB31" s="1671">
        <v>14900</v>
      </c>
      <c r="AC31" s="1671">
        <v>14900</v>
      </c>
      <c r="AD31" s="1671">
        <v>21900</v>
      </c>
      <c r="AE31" s="1671">
        <v>28200</v>
      </c>
      <c r="AF31" s="1671">
        <v>49600</v>
      </c>
      <c r="AG31" s="1704" t="s">
        <v>561</v>
      </c>
      <c r="AH31" s="1704" t="s">
        <v>561</v>
      </c>
      <c r="AI31" s="1671">
        <v>92400</v>
      </c>
      <c r="AJ31" s="1704" t="s">
        <v>561</v>
      </c>
      <c r="AK31" s="1704" t="s">
        <v>561</v>
      </c>
      <c r="AL31" s="1671">
        <v>10800</v>
      </c>
      <c r="AM31" s="1671">
        <v>10800</v>
      </c>
      <c r="AN31" s="1671">
        <v>12900</v>
      </c>
      <c r="AO31" s="1671">
        <v>12900</v>
      </c>
      <c r="AP31" s="1671">
        <v>19300</v>
      </c>
      <c r="AQ31" s="1671">
        <v>24900</v>
      </c>
      <c r="AR31" s="1671">
        <v>43500</v>
      </c>
      <c r="AS31" s="1704" t="s">
        <v>561</v>
      </c>
      <c r="AT31" s="1704" t="s">
        <v>561</v>
      </c>
      <c r="AU31" s="1671">
        <v>73000</v>
      </c>
      <c r="AV31" s="1704" t="s">
        <v>561</v>
      </c>
      <c r="AW31" s="1704" t="s">
        <v>561</v>
      </c>
      <c r="AX31" s="1671">
        <v>11600</v>
      </c>
      <c r="AY31" s="1671">
        <v>11600</v>
      </c>
      <c r="AZ31" s="1671">
        <v>14100</v>
      </c>
      <c r="BA31" s="1671">
        <v>14100</v>
      </c>
      <c r="BB31" s="1671">
        <v>20000</v>
      </c>
      <c r="BC31" s="1671">
        <v>25900</v>
      </c>
      <c r="BD31" s="1671">
        <v>53100</v>
      </c>
      <c r="BE31" s="1704" t="s">
        <v>561</v>
      </c>
      <c r="BF31" s="1704" t="s">
        <v>561</v>
      </c>
      <c r="BG31" s="1671">
        <v>93400</v>
      </c>
      <c r="BH31" s="1704" t="s">
        <v>561</v>
      </c>
      <c r="BI31" s="1704" t="s">
        <v>561</v>
      </c>
      <c r="BJ31" s="1671">
        <v>10000</v>
      </c>
      <c r="BK31" s="1671">
        <v>10000</v>
      </c>
      <c r="BL31" s="1671">
        <v>12200</v>
      </c>
      <c r="BM31" s="1671">
        <v>12200</v>
      </c>
      <c r="BN31" s="1671">
        <v>17700</v>
      </c>
      <c r="BO31" s="1671">
        <v>23000</v>
      </c>
      <c r="BP31" s="1671">
        <v>47300</v>
      </c>
      <c r="BQ31" s="1704" t="s">
        <v>561</v>
      </c>
      <c r="BR31" s="1704" t="s">
        <v>561</v>
      </c>
      <c r="BS31" s="1671">
        <v>75200</v>
      </c>
      <c r="BT31" s="1704" t="s">
        <v>561</v>
      </c>
      <c r="BU31" s="1704" t="s">
        <v>561</v>
      </c>
    </row>
    <row r="32" spans="1:73" s="942" customFormat="1" ht="18.5">
      <c r="A32" s="1695">
        <v>19</v>
      </c>
      <c r="B32" s="1671">
        <v>15900</v>
      </c>
      <c r="C32" s="1671">
        <v>15900</v>
      </c>
      <c r="D32" s="1671">
        <v>18900</v>
      </c>
      <c r="E32" s="1671">
        <v>18900</v>
      </c>
      <c r="F32" s="1671">
        <v>27900</v>
      </c>
      <c r="G32" s="1671">
        <v>35900</v>
      </c>
      <c r="H32" s="1671">
        <v>63400</v>
      </c>
      <c r="I32" s="1702">
        <v>112900</v>
      </c>
      <c r="J32" s="1702">
        <v>219000</v>
      </c>
      <c r="K32" s="1671">
        <v>126400</v>
      </c>
      <c r="L32" s="1702">
        <v>209700</v>
      </c>
      <c r="M32" s="1702">
        <v>417700</v>
      </c>
      <c r="N32" s="1671">
        <v>13700</v>
      </c>
      <c r="O32" s="1671">
        <v>13700</v>
      </c>
      <c r="P32" s="1671">
        <v>16300</v>
      </c>
      <c r="Q32" s="1671">
        <v>16300</v>
      </c>
      <c r="R32" s="1671">
        <v>24400</v>
      </c>
      <c r="S32" s="1671">
        <v>31600</v>
      </c>
      <c r="T32" s="1671">
        <v>55500</v>
      </c>
      <c r="U32" s="1703">
        <v>98800</v>
      </c>
      <c r="V32" s="1703">
        <v>191700</v>
      </c>
      <c r="W32" s="1671">
        <v>91900</v>
      </c>
      <c r="X32" s="1703">
        <v>152500</v>
      </c>
      <c r="Y32" s="1703">
        <v>303900</v>
      </c>
      <c r="Z32" s="1671">
        <v>12700</v>
      </c>
      <c r="AA32" s="1671">
        <v>12700</v>
      </c>
      <c r="AB32" s="1671">
        <v>15100</v>
      </c>
      <c r="AC32" s="1671">
        <v>15100</v>
      </c>
      <c r="AD32" s="1671">
        <v>22300</v>
      </c>
      <c r="AE32" s="1671">
        <v>28700</v>
      </c>
      <c r="AF32" s="1671">
        <v>50700</v>
      </c>
      <c r="AG32" s="1704" t="s">
        <v>561</v>
      </c>
      <c r="AH32" s="1704" t="s">
        <v>561</v>
      </c>
      <c r="AI32" s="1671">
        <v>101100</v>
      </c>
      <c r="AJ32" s="1704" t="s">
        <v>561</v>
      </c>
      <c r="AK32" s="1704" t="s">
        <v>561</v>
      </c>
      <c r="AL32" s="1671">
        <v>10900</v>
      </c>
      <c r="AM32" s="1671">
        <v>10900</v>
      </c>
      <c r="AN32" s="1671">
        <v>13000</v>
      </c>
      <c r="AO32" s="1671">
        <v>13000</v>
      </c>
      <c r="AP32" s="1671">
        <v>19500</v>
      </c>
      <c r="AQ32" s="1671">
        <v>25200</v>
      </c>
      <c r="AR32" s="1671">
        <v>44400</v>
      </c>
      <c r="AS32" s="1704" t="s">
        <v>561</v>
      </c>
      <c r="AT32" s="1704" t="s">
        <v>561</v>
      </c>
      <c r="AU32" s="1671">
        <v>73500</v>
      </c>
      <c r="AV32" s="1704" t="s">
        <v>561</v>
      </c>
      <c r="AW32" s="1704" t="s">
        <v>561</v>
      </c>
      <c r="AX32" s="1671">
        <v>11700</v>
      </c>
      <c r="AY32" s="1671">
        <v>11700</v>
      </c>
      <c r="AZ32" s="1671">
        <v>14200</v>
      </c>
      <c r="BA32" s="1671">
        <v>14200</v>
      </c>
      <c r="BB32" s="1671">
        <v>20400</v>
      </c>
      <c r="BC32" s="1671">
        <v>26400</v>
      </c>
      <c r="BD32" s="1671">
        <v>54300</v>
      </c>
      <c r="BE32" s="1704" t="s">
        <v>561</v>
      </c>
      <c r="BF32" s="1704" t="s">
        <v>561</v>
      </c>
      <c r="BG32" s="1671">
        <v>102200</v>
      </c>
      <c r="BH32" s="1704" t="s">
        <v>561</v>
      </c>
      <c r="BI32" s="1704" t="s">
        <v>561</v>
      </c>
      <c r="BJ32" s="1671">
        <v>10100</v>
      </c>
      <c r="BK32" s="1671">
        <v>10100</v>
      </c>
      <c r="BL32" s="1671">
        <v>12300</v>
      </c>
      <c r="BM32" s="1671">
        <v>12300</v>
      </c>
      <c r="BN32" s="1671">
        <v>17900</v>
      </c>
      <c r="BO32" s="1671">
        <v>23300</v>
      </c>
      <c r="BP32" s="1671">
        <v>48300</v>
      </c>
      <c r="BQ32" s="1704" t="s">
        <v>561</v>
      </c>
      <c r="BR32" s="1704" t="s">
        <v>561</v>
      </c>
      <c r="BS32" s="1671">
        <v>75900</v>
      </c>
      <c r="BT32" s="1704" t="s">
        <v>561</v>
      </c>
      <c r="BU32" s="1704" t="s">
        <v>561</v>
      </c>
    </row>
    <row r="33" spans="1:73" s="942" customFormat="1" ht="18.5">
      <c r="A33" s="1695">
        <v>20</v>
      </c>
      <c r="B33" s="1671">
        <v>16100</v>
      </c>
      <c r="C33" s="1671">
        <v>16100</v>
      </c>
      <c r="D33" s="1671">
        <v>19100</v>
      </c>
      <c r="E33" s="1671">
        <v>19100</v>
      </c>
      <c r="F33" s="1671">
        <v>28300</v>
      </c>
      <c r="G33" s="1671">
        <v>36500</v>
      </c>
      <c r="H33" s="1671">
        <v>64800</v>
      </c>
      <c r="I33" s="1702">
        <v>115300</v>
      </c>
      <c r="J33" s="1702">
        <v>223800</v>
      </c>
      <c r="K33" s="1671">
        <v>129900</v>
      </c>
      <c r="L33" s="1702">
        <v>215600</v>
      </c>
      <c r="M33" s="1702">
        <v>429500</v>
      </c>
      <c r="N33" s="1671">
        <v>13800</v>
      </c>
      <c r="O33" s="1671">
        <v>13800</v>
      </c>
      <c r="P33" s="1671">
        <v>16400</v>
      </c>
      <c r="Q33" s="1671">
        <v>16400</v>
      </c>
      <c r="R33" s="1671">
        <v>24700</v>
      </c>
      <c r="S33" s="1671">
        <v>31900</v>
      </c>
      <c r="T33" s="1671">
        <v>56600</v>
      </c>
      <c r="U33" s="1703">
        <v>100900</v>
      </c>
      <c r="V33" s="1703">
        <v>195700</v>
      </c>
      <c r="W33" s="1671">
        <v>95200</v>
      </c>
      <c r="X33" s="1703">
        <v>158000</v>
      </c>
      <c r="Y33" s="1703">
        <v>314800</v>
      </c>
      <c r="Z33" s="1671">
        <v>12800</v>
      </c>
      <c r="AA33" s="1671">
        <v>12800</v>
      </c>
      <c r="AB33" s="1671">
        <v>15200</v>
      </c>
      <c r="AC33" s="1671">
        <v>15200</v>
      </c>
      <c r="AD33" s="1671">
        <v>22600</v>
      </c>
      <c r="AE33" s="1671">
        <v>29200</v>
      </c>
      <c r="AF33" s="1671">
        <v>51800</v>
      </c>
      <c r="AG33" s="1704" t="s">
        <v>561</v>
      </c>
      <c r="AH33" s="1704" t="s">
        <v>561</v>
      </c>
      <c r="AI33" s="1671">
        <v>103900</v>
      </c>
      <c r="AJ33" s="1704" t="s">
        <v>561</v>
      </c>
      <c r="AK33" s="1704" t="s">
        <v>561</v>
      </c>
      <c r="AL33" s="1671">
        <v>11000</v>
      </c>
      <c r="AM33" s="1671">
        <v>11000</v>
      </c>
      <c r="AN33" s="1671">
        <v>13100</v>
      </c>
      <c r="AO33" s="1671">
        <v>13100</v>
      </c>
      <c r="AP33" s="1671">
        <v>19700</v>
      </c>
      <c r="AQ33" s="1671">
        <v>25500</v>
      </c>
      <c r="AR33" s="1671">
        <v>45200</v>
      </c>
      <c r="AS33" s="1704" t="s">
        <v>561</v>
      </c>
      <c r="AT33" s="1704" t="s">
        <v>561</v>
      </c>
      <c r="AU33" s="1671">
        <v>76100</v>
      </c>
      <c r="AV33" s="1704" t="s">
        <v>561</v>
      </c>
      <c r="AW33" s="1704" t="s">
        <v>561</v>
      </c>
      <c r="AX33" s="1671">
        <v>11900</v>
      </c>
      <c r="AY33" s="1671">
        <v>11900</v>
      </c>
      <c r="AZ33" s="1671">
        <v>14400</v>
      </c>
      <c r="BA33" s="1671">
        <v>14400</v>
      </c>
      <c r="BB33" s="1671">
        <v>20700</v>
      </c>
      <c r="BC33" s="1671">
        <v>26900</v>
      </c>
      <c r="BD33" s="1671">
        <v>55400</v>
      </c>
      <c r="BE33" s="1704" t="s">
        <v>561</v>
      </c>
      <c r="BF33" s="1704" t="s">
        <v>561</v>
      </c>
      <c r="BG33" s="1671">
        <v>105600</v>
      </c>
      <c r="BH33" s="1704" t="s">
        <v>561</v>
      </c>
      <c r="BI33" s="1704" t="s">
        <v>561</v>
      </c>
      <c r="BJ33" s="1671">
        <v>10100</v>
      </c>
      <c r="BK33" s="1671">
        <v>10100</v>
      </c>
      <c r="BL33" s="1671">
        <v>12300</v>
      </c>
      <c r="BM33" s="1671">
        <v>12300</v>
      </c>
      <c r="BN33" s="1671">
        <v>18200</v>
      </c>
      <c r="BO33" s="1671">
        <v>23700</v>
      </c>
      <c r="BP33" s="1671">
        <v>49300</v>
      </c>
      <c r="BQ33" s="1704" t="s">
        <v>561</v>
      </c>
      <c r="BR33" s="1704" t="s">
        <v>561</v>
      </c>
      <c r="BS33" s="1671">
        <v>79200</v>
      </c>
      <c r="BT33" s="1704" t="s">
        <v>561</v>
      </c>
      <c r="BU33" s="1704" t="s">
        <v>561</v>
      </c>
    </row>
    <row r="34" spans="1:73" s="942" customFormat="1" ht="18.5">
      <c r="A34" s="1695">
        <v>21</v>
      </c>
      <c r="B34" s="1671">
        <v>16300</v>
      </c>
      <c r="C34" s="1671">
        <v>16300</v>
      </c>
      <c r="D34" s="1671">
        <v>19400</v>
      </c>
      <c r="E34" s="1671">
        <v>19400</v>
      </c>
      <c r="F34" s="1671">
        <v>28800</v>
      </c>
      <c r="G34" s="1671">
        <v>37100</v>
      </c>
      <c r="H34" s="1671">
        <v>66200</v>
      </c>
      <c r="I34" s="1702">
        <v>117800</v>
      </c>
      <c r="J34" s="1702">
        <v>228600</v>
      </c>
      <c r="K34" s="1671">
        <v>133500</v>
      </c>
      <c r="L34" s="1702">
        <v>221500</v>
      </c>
      <c r="M34" s="1702">
        <v>441300</v>
      </c>
      <c r="N34" s="1671">
        <v>13800</v>
      </c>
      <c r="O34" s="1671">
        <v>13800</v>
      </c>
      <c r="P34" s="1671">
        <v>16500</v>
      </c>
      <c r="Q34" s="1671">
        <v>16500</v>
      </c>
      <c r="R34" s="1671">
        <v>24900</v>
      </c>
      <c r="S34" s="1671">
        <v>32300</v>
      </c>
      <c r="T34" s="1671">
        <v>57800</v>
      </c>
      <c r="U34" s="1703">
        <v>102900</v>
      </c>
      <c r="V34" s="1703">
        <v>199600</v>
      </c>
      <c r="W34" s="1671">
        <v>98500</v>
      </c>
      <c r="X34" s="1703">
        <v>163400</v>
      </c>
      <c r="Y34" s="1703">
        <v>325600</v>
      </c>
      <c r="Z34" s="1671">
        <v>13000</v>
      </c>
      <c r="AA34" s="1671">
        <v>13000</v>
      </c>
      <c r="AB34" s="1671">
        <v>15500</v>
      </c>
      <c r="AC34" s="1671">
        <v>15500</v>
      </c>
      <c r="AD34" s="1671">
        <v>23000</v>
      </c>
      <c r="AE34" s="1671">
        <v>29600</v>
      </c>
      <c r="AF34" s="1671">
        <v>52900</v>
      </c>
      <c r="AG34" s="1704" t="s">
        <v>561</v>
      </c>
      <c r="AH34" s="1704" t="s">
        <v>561</v>
      </c>
      <c r="AI34" s="1671">
        <v>106800</v>
      </c>
      <c r="AJ34" s="1704" t="s">
        <v>561</v>
      </c>
      <c r="AK34" s="1704" t="s">
        <v>561</v>
      </c>
      <c r="AL34" s="1671">
        <v>11000</v>
      </c>
      <c r="AM34" s="1671">
        <v>11000</v>
      </c>
      <c r="AN34" s="1671">
        <v>13200</v>
      </c>
      <c r="AO34" s="1671">
        <v>13200</v>
      </c>
      <c r="AP34" s="1671">
        <v>19900</v>
      </c>
      <c r="AQ34" s="1671">
        <v>25800</v>
      </c>
      <c r="AR34" s="1671">
        <v>46200</v>
      </c>
      <c r="AS34" s="1704" t="s">
        <v>561</v>
      </c>
      <c r="AT34" s="1704" t="s">
        <v>561</v>
      </c>
      <c r="AU34" s="1671">
        <v>78800</v>
      </c>
      <c r="AV34" s="1704" t="s">
        <v>561</v>
      </c>
      <c r="AW34" s="1704" t="s">
        <v>561</v>
      </c>
      <c r="AX34" s="1671">
        <v>12000</v>
      </c>
      <c r="AY34" s="1671">
        <v>12000</v>
      </c>
      <c r="AZ34" s="1671">
        <v>14600</v>
      </c>
      <c r="BA34" s="1671">
        <v>14600</v>
      </c>
      <c r="BB34" s="1671">
        <v>21100</v>
      </c>
      <c r="BC34" s="1671">
        <v>27300</v>
      </c>
      <c r="BD34" s="1671">
        <v>56600</v>
      </c>
      <c r="BE34" s="1704" t="s">
        <v>561</v>
      </c>
      <c r="BF34" s="1704" t="s">
        <v>561</v>
      </c>
      <c r="BG34" s="1671">
        <v>108900</v>
      </c>
      <c r="BH34" s="1704" t="s">
        <v>561</v>
      </c>
      <c r="BI34" s="1704" t="s">
        <v>561</v>
      </c>
      <c r="BJ34" s="1671">
        <v>10200</v>
      </c>
      <c r="BK34" s="1671">
        <v>10200</v>
      </c>
      <c r="BL34" s="1671">
        <v>12400</v>
      </c>
      <c r="BM34" s="1671">
        <v>12400</v>
      </c>
      <c r="BN34" s="1671">
        <v>18400</v>
      </c>
      <c r="BO34" s="1671">
        <v>24000</v>
      </c>
      <c r="BP34" s="1671">
        <v>50300</v>
      </c>
      <c r="BQ34" s="1704" t="s">
        <v>561</v>
      </c>
      <c r="BR34" s="1704" t="s">
        <v>561</v>
      </c>
      <c r="BS34" s="1671">
        <v>82400</v>
      </c>
      <c r="BT34" s="1704" t="s">
        <v>561</v>
      </c>
      <c r="BU34" s="1704" t="s">
        <v>561</v>
      </c>
    </row>
    <row r="35" spans="1:73" s="942" customFormat="1" ht="18.5">
      <c r="A35" s="1695">
        <v>22</v>
      </c>
      <c r="B35" s="1671">
        <v>16500</v>
      </c>
      <c r="C35" s="1671">
        <v>16500</v>
      </c>
      <c r="D35" s="1671">
        <v>19600</v>
      </c>
      <c r="E35" s="1671">
        <v>19600</v>
      </c>
      <c r="F35" s="1671">
        <v>29200</v>
      </c>
      <c r="G35" s="1671">
        <v>37700</v>
      </c>
      <c r="H35" s="1671">
        <v>67600</v>
      </c>
      <c r="I35" s="1702">
        <v>120300</v>
      </c>
      <c r="J35" s="1702">
        <v>233400</v>
      </c>
      <c r="K35" s="1671">
        <v>137100</v>
      </c>
      <c r="L35" s="1702">
        <v>227400</v>
      </c>
      <c r="M35" s="1702">
        <v>453100</v>
      </c>
      <c r="N35" s="1671">
        <v>13900</v>
      </c>
      <c r="O35" s="1671">
        <v>13900</v>
      </c>
      <c r="P35" s="1671">
        <v>16600</v>
      </c>
      <c r="Q35" s="1671">
        <v>16600</v>
      </c>
      <c r="R35" s="1671">
        <v>25200</v>
      </c>
      <c r="S35" s="1671">
        <v>32600</v>
      </c>
      <c r="T35" s="1671">
        <v>58900</v>
      </c>
      <c r="U35" s="1703">
        <v>104900</v>
      </c>
      <c r="V35" s="1703">
        <v>203500</v>
      </c>
      <c r="W35" s="1671">
        <v>101800</v>
      </c>
      <c r="X35" s="1703">
        <v>168900</v>
      </c>
      <c r="Y35" s="1703">
        <v>336500</v>
      </c>
      <c r="Z35" s="1671">
        <v>13200</v>
      </c>
      <c r="AA35" s="1671">
        <v>13200</v>
      </c>
      <c r="AB35" s="1671">
        <v>15600</v>
      </c>
      <c r="AC35" s="1671">
        <v>15600</v>
      </c>
      <c r="AD35" s="1671">
        <v>23300</v>
      </c>
      <c r="AE35" s="1671">
        <v>30100</v>
      </c>
      <c r="AF35" s="1671">
        <v>54000</v>
      </c>
      <c r="AG35" s="1704" t="s">
        <v>561</v>
      </c>
      <c r="AH35" s="1704" t="s">
        <v>561</v>
      </c>
      <c r="AI35" s="1671">
        <v>109600</v>
      </c>
      <c r="AJ35" s="1704" t="s">
        <v>561</v>
      </c>
      <c r="AK35" s="1704" t="s">
        <v>561</v>
      </c>
      <c r="AL35" s="1671">
        <v>11100</v>
      </c>
      <c r="AM35" s="1671">
        <v>11100</v>
      </c>
      <c r="AN35" s="1671">
        <v>13200</v>
      </c>
      <c r="AO35" s="1671">
        <v>13200</v>
      </c>
      <c r="AP35" s="1671">
        <v>20100</v>
      </c>
      <c r="AQ35" s="1671">
        <v>26000</v>
      </c>
      <c r="AR35" s="1671">
        <v>47100</v>
      </c>
      <c r="AS35" s="1704" t="s">
        <v>561</v>
      </c>
      <c r="AT35" s="1704" t="s">
        <v>561</v>
      </c>
      <c r="AU35" s="1671">
        <v>81400</v>
      </c>
      <c r="AV35" s="1704" t="s">
        <v>561</v>
      </c>
      <c r="AW35" s="1704" t="s">
        <v>561</v>
      </c>
      <c r="AX35" s="1671">
        <v>12100</v>
      </c>
      <c r="AY35" s="1671">
        <v>12100</v>
      </c>
      <c r="AZ35" s="1671">
        <v>14800</v>
      </c>
      <c r="BA35" s="1671">
        <v>14800</v>
      </c>
      <c r="BB35" s="1671">
        <v>21400</v>
      </c>
      <c r="BC35" s="1671">
        <v>27800</v>
      </c>
      <c r="BD35" s="1671">
        <v>57700</v>
      </c>
      <c r="BE35" s="1704" t="s">
        <v>561</v>
      </c>
      <c r="BF35" s="1704" t="s">
        <v>561</v>
      </c>
      <c r="BG35" s="1671">
        <v>112300</v>
      </c>
      <c r="BH35" s="1704" t="s">
        <v>561</v>
      </c>
      <c r="BI35" s="1704" t="s">
        <v>561</v>
      </c>
      <c r="BJ35" s="1671">
        <v>10200</v>
      </c>
      <c r="BK35" s="1671">
        <v>10200</v>
      </c>
      <c r="BL35" s="1671">
        <v>12500</v>
      </c>
      <c r="BM35" s="1671">
        <v>12500</v>
      </c>
      <c r="BN35" s="1671">
        <v>18700</v>
      </c>
      <c r="BO35" s="1671">
        <v>24300</v>
      </c>
      <c r="BP35" s="1671">
        <v>51300</v>
      </c>
      <c r="BQ35" s="1704" t="s">
        <v>561</v>
      </c>
      <c r="BR35" s="1704" t="s">
        <v>561</v>
      </c>
      <c r="BS35" s="1671">
        <v>85700</v>
      </c>
      <c r="BT35" s="1704" t="s">
        <v>561</v>
      </c>
      <c r="BU35" s="1704" t="s">
        <v>561</v>
      </c>
    </row>
    <row r="36" spans="1:73" s="942" customFormat="1" ht="18.5">
      <c r="A36" s="1695">
        <v>23</v>
      </c>
      <c r="B36" s="1671">
        <v>16700</v>
      </c>
      <c r="C36" s="1671">
        <v>16700</v>
      </c>
      <c r="D36" s="1671">
        <v>19800</v>
      </c>
      <c r="E36" s="1671">
        <v>19800</v>
      </c>
      <c r="F36" s="1671">
        <v>29700</v>
      </c>
      <c r="G36" s="1671">
        <v>38300</v>
      </c>
      <c r="H36" s="1671">
        <v>68900</v>
      </c>
      <c r="I36" s="1702">
        <v>122800</v>
      </c>
      <c r="J36" s="1702">
        <v>238200</v>
      </c>
      <c r="K36" s="1671">
        <v>140600</v>
      </c>
      <c r="L36" s="1702">
        <v>233300</v>
      </c>
      <c r="M36" s="1702">
        <v>464900</v>
      </c>
      <c r="N36" s="1671">
        <v>14000</v>
      </c>
      <c r="O36" s="1671">
        <v>14000</v>
      </c>
      <c r="P36" s="1671">
        <v>16600</v>
      </c>
      <c r="Q36" s="1671">
        <v>16600</v>
      </c>
      <c r="R36" s="1671">
        <v>25500</v>
      </c>
      <c r="S36" s="1671">
        <v>33000</v>
      </c>
      <c r="T36" s="1671">
        <v>60000</v>
      </c>
      <c r="U36" s="1703">
        <v>106900</v>
      </c>
      <c r="V36" s="1703">
        <v>207500</v>
      </c>
      <c r="W36" s="1671">
        <v>105100</v>
      </c>
      <c r="X36" s="1703">
        <v>174400</v>
      </c>
      <c r="Y36" s="1703">
        <v>347400</v>
      </c>
      <c r="Z36" s="1671">
        <v>13300</v>
      </c>
      <c r="AA36" s="1671">
        <v>13300</v>
      </c>
      <c r="AB36" s="1671">
        <v>15800</v>
      </c>
      <c r="AC36" s="1671">
        <v>15800</v>
      </c>
      <c r="AD36" s="1671">
        <v>23700</v>
      </c>
      <c r="AE36" s="1671">
        <v>30600</v>
      </c>
      <c r="AF36" s="1671">
        <v>55100</v>
      </c>
      <c r="AG36" s="1704" t="s">
        <v>561</v>
      </c>
      <c r="AH36" s="1704" t="s">
        <v>561</v>
      </c>
      <c r="AI36" s="1671">
        <v>112400</v>
      </c>
      <c r="AJ36" s="1704" t="s">
        <v>561</v>
      </c>
      <c r="AK36" s="1704" t="s">
        <v>561</v>
      </c>
      <c r="AL36" s="1671">
        <v>11200</v>
      </c>
      <c r="AM36" s="1671">
        <v>11200</v>
      </c>
      <c r="AN36" s="1671">
        <v>13200</v>
      </c>
      <c r="AO36" s="1671">
        <v>13200</v>
      </c>
      <c r="AP36" s="1671">
        <v>20400</v>
      </c>
      <c r="AQ36" s="1671">
        <v>26400</v>
      </c>
      <c r="AR36" s="1671">
        <v>48000</v>
      </c>
      <c r="AS36" s="1704" t="s">
        <v>561</v>
      </c>
      <c r="AT36" s="1704" t="s">
        <v>561</v>
      </c>
      <c r="AU36" s="1671">
        <v>84000</v>
      </c>
      <c r="AV36" s="1704" t="s">
        <v>561</v>
      </c>
      <c r="AW36" s="1704" t="s">
        <v>561</v>
      </c>
      <c r="AX36" s="1671">
        <v>12300</v>
      </c>
      <c r="AY36" s="1671">
        <v>12300</v>
      </c>
      <c r="AZ36" s="1671">
        <v>14900</v>
      </c>
      <c r="BA36" s="1671">
        <v>14900</v>
      </c>
      <c r="BB36" s="1671">
        <v>21800</v>
      </c>
      <c r="BC36" s="1671">
        <v>28300</v>
      </c>
      <c r="BD36" s="1671">
        <v>58900</v>
      </c>
      <c r="BE36" s="1704" t="s">
        <v>561</v>
      </c>
      <c r="BF36" s="1704" t="s">
        <v>561</v>
      </c>
      <c r="BG36" s="1671">
        <v>115600</v>
      </c>
      <c r="BH36" s="1704" t="s">
        <v>561</v>
      </c>
      <c r="BI36" s="1704" t="s">
        <v>561</v>
      </c>
      <c r="BJ36" s="1671">
        <v>10300</v>
      </c>
      <c r="BK36" s="1671">
        <v>10300</v>
      </c>
      <c r="BL36" s="1671">
        <v>12500</v>
      </c>
      <c r="BM36" s="1671">
        <v>12500</v>
      </c>
      <c r="BN36" s="1671">
        <v>18900</v>
      </c>
      <c r="BO36" s="1671">
        <v>24700</v>
      </c>
      <c r="BP36" s="1671">
        <v>52300</v>
      </c>
      <c r="BQ36" s="1704" t="s">
        <v>561</v>
      </c>
      <c r="BR36" s="1704" t="s">
        <v>561</v>
      </c>
      <c r="BS36" s="1671">
        <v>89000</v>
      </c>
      <c r="BT36" s="1704" t="s">
        <v>561</v>
      </c>
      <c r="BU36" s="1704" t="s">
        <v>561</v>
      </c>
    </row>
    <row r="37" spans="1:73" s="942" customFormat="1" ht="18.5">
      <c r="A37" s="1695">
        <v>24</v>
      </c>
      <c r="B37" s="1671">
        <v>16800</v>
      </c>
      <c r="C37" s="1671">
        <v>16800</v>
      </c>
      <c r="D37" s="1671">
        <v>20000</v>
      </c>
      <c r="E37" s="1671">
        <v>20000</v>
      </c>
      <c r="F37" s="1671">
        <v>30000</v>
      </c>
      <c r="G37" s="1671">
        <v>38800</v>
      </c>
      <c r="H37" s="1671">
        <v>70100</v>
      </c>
      <c r="I37" s="1702">
        <v>124800</v>
      </c>
      <c r="J37" s="1702">
        <v>242200</v>
      </c>
      <c r="K37" s="1671">
        <v>144200</v>
      </c>
      <c r="L37" s="1702">
        <v>239200</v>
      </c>
      <c r="M37" s="1702">
        <v>476600</v>
      </c>
      <c r="N37" s="1671">
        <v>14000</v>
      </c>
      <c r="O37" s="1671">
        <v>14000</v>
      </c>
      <c r="P37" s="1671">
        <v>16700</v>
      </c>
      <c r="Q37" s="1671">
        <v>16700</v>
      </c>
      <c r="R37" s="1671">
        <v>25700</v>
      </c>
      <c r="S37" s="1671">
        <v>33300</v>
      </c>
      <c r="T37" s="1671">
        <v>60600</v>
      </c>
      <c r="U37" s="1703">
        <v>108000</v>
      </c>
      <c r="V37" s="1703">
        <v>209500</v>
      </c>
      <c r="W37" s="1671">
        <v>106800</v>
      </c>
      <c r="X37" s="1703">
        <v>177200</v>
      </c>
      <c r="Y37" s="1703">
        <v>353100</v>
      </c>
      <c r="Z37" s="1671">
        <v>13400</v>
      </c>
      <c r="AA37" s="1671">
        <v>13400</v>
      </c>
      <c r="AB37" s="1671">
        <v>16000</v>
      </c>
      <c r="AC37" s="1671">
        <v>16000</v>
      </c>
      <c r="AD37" s="1671">
        <v>24000</v>
      </c>
      <c r="AE37" s="1671">
        <v>31000</v>
      </c>
      <c r="AF37" s="1671">
        <v>56000</v>
      </c>
      <c r="AG37" s="1704" t="s">
        <v>561</v>
      </c>
      <c r="AH37" s="1704" t="s">
        <v>561</v>
      </c>
      <c r="AI37" s="1671">
        <v>115300</v>
      </c>
      <c r="AJ37" s="1704" t="s">
        <v>561</v>
      </c>
      <c r="AK37" s="1704" t="s">
        <v>561</v>
      </c>
      <c r="AL37" s="1671">
        <v>11200</v>
      </c>
      <c r="AM37" s="1671">
        <v>11200</v>
      </c>
      <c r="AN37" s="1671">
        <v>13300</v>
      </c>
      <c r="AO37" s="1671">
        <v>13300</v>
      </c>
      <c r="AP37" s="1671">
        <v>20500</v>
      </c>
      <c r="AQ37" s="1671">
        <v>26600</v>
      </c>
      <c r="AR37" s="1671">
        <v>48400</v>
      </c>
      <c r="AS37" s="1704" t="s">
        <v>561</v>
      </c>
      <c r="AT37" s="1704" t="s">
        <v>561</v>
      </c>
      <c r="AU37" s="1671">
        <v>85400</v>
      </c>
      <c r="AV37" s="1704" t="s">
        <v>561</v>
      </c>
      <c r="AW37" s="1704" t="s">
        <v>561</v>
      </c>
      <c r="AX37" s="1671">
        <v>12400</v>
      </c>
      <c r="AY37" s="1671">
        <v>12400</v>
      </c>
      <c r="AZ37" s="1671">
        <v>15000</v>
      </c>
      <c r="BA37" s="1671">
        <v>15000</v>
      </c>
      <c r="BB37" s="1671">
        <v>22100</v>
      </c>
      <c r="BC37" s="1671">
        <v>28800</v>
      </c>
      <c r="BD37" s="1671">
        <v>60200</v>
      </c>
      <c r="BE37" s="1704" t="s">
        <v>561</v>
      </c>
      <c r="BF37" s="1704" t="s">
        <v>561</v>
      </c>
      <c r="BG37" s="1671">
        <v>119100</v>
      </c>
      <c r="BH37" s="1704" t="s">
        <v>561</v>
      </c>
      <c r="BI37" s="1704" t="s">
        <v>561</v>
      </c>
      <c r="BJ37" s="1671">
        <v>10300</v>
      </c>
      <c r="BK37" s="1671">
        <v>10300</v>
      </c>
      <c r="BL37" s="1671">
        <v>12600</v>
      </c>
      <c r="BM37" s="1671">
        <v>12600</v>
      </c>
      <c r="BN37" s="1671">
        <v>19100</v>
      </c>
      <c r="BO37" s="1671">
        <v>24900</v>
      </c>
      <c r="BP37" s="1671">
        <v>52900</v>
      </c>
      <c r="BQ37" s="1704" t="s">
        <v>561</v>
      </c>
      <c r="BR37" s="1704" t="s">
        <v>561</v>
      </c>
      <c r="BS37" s="1671">
        <v>90700</v>
      </c>
      <c r="BT37" s="1704" t="s">
        <v>561</v>
      </c>
      <c r="BU37" s="1704" t="s">
        <v>561</v>
      </c>
    </row>
    <row r="38" spans="1:73" s="942" customFormat="1" ht="18.5">
      <c r="A38" s="1695">
        <v>25</v>
      </c>
      <c r="B38" s="1671">
        <v>16900</v>
      </c>
      <c r="C38" s="1671">
        <v>16900</v>
      </c>
      <c r="D38" s="1671">
        <v>20100</v>
      </c>
      <c r="E38" s="1671">
        <v>20100</v>
      </c>
      <c r="F38" s="1671">
        <v>30400</v>
      </c>
      <c r="G38" s="1671">
        <v>39300</v>
      </c>
      <c r="H38" s="1671">
        <v>71300</v>
      </c>
      <c r="I38" s="1702">
        <v>126900</v>
      </c>
      <c r="J38" s="1702">
        <v>246200</v>
      </c>
      <c r="K38" s="1671">
        <v>147700</v>
      </c>
      <c r="L38" s="1702">
        <v>245100</v>
      </c>
      <c r="M38" s="1702">
        <v>488300</v>
      </c>
      <c r="N38" s="1671">
        <v>14100</v>
      </c>
      <c r="O38" s="1671">
        <v>14100</v>
      </c>
      <c r="P38" s="1671">
        <v>16800</v>
      </c>
      <c r="Q38" s="1671">
        <v>16800</v>
      </c>
      <c r="R38" s="1671">
        <v>25900</v>
      </c>
      <c r="S38" s="1671">
        <v>33600</v>
      </c>
      <c r="T38" s="1671">
        <v>61200</v>
      </c>
      <c r="U38" s="1703">
        <v>109000</v>
      </c>
      <c r="V38" s="1703">
        <v>211600</v>
      </c>
      <c r="W38" s="1671">
        <v>108600</v>
      </c>
      <c r="X38" s="1703">
        <v>180100</v>
      </c>
      <c r="Y38" s="1703">
        <v>358900</v>
      </c>
      <c r="Z38" s="1671">
        <v>13500</v>
      </c>
      <c r="AA38" s="1671">
        <v>13500</v>
      </c>
      <c r="AB38" s="1671">
        <v>16000</v>
      </c>
      <c r="AC38" s="1671">
        <v>16000</v>
      </c>
      <c r="AD38" s="1671">
        <v>24300</v>
      </c>
      <c r="AE38" s="1671">
        <v>31400</v>
      </c>
      <c r="AF38" s="1671">
        <v>57000</v>
      </c>
      <c r="AG38" s="1704" t="s">
        <v>561</v>
      </c>
      <c r="AH38" s="1704" t="s">
        <v>561</v>
      </c>
      <c r="AI38" s="1671">
        <v>118100</v>
      </c>
      <c r="AJ38" s="1704" t="s">
        <v>561</v>
      </c>
      <c r="AK38" s="1704" t="s">
        <v>561</v>
      </c>
      <c r="AL38" s="1671">
        <v>11200</v>
      </c>
      <c r="AM38" s="1671">
        <v>11200</v>
      </c>
      <c r="AN38" s="1671">
        <v>13400</v>
      </c>
      <c r="AO38" s="1671">
        <v>13400</v>
      </c>
      <c r="AP38" s="1671">
        <v>20700</v>
      </c>
      <c r="AQ38" s="1671">
        <v>26800</v>
      </c>
      <c r="AR38" s="1671">
        <v>48900</v>
      </c>
      <c r="AS38" s="1704" t="s">
        <v>561</v>
      </c>
      <c r="AT38" s="1704" t="s">
        <v>561</v>
      </c>
      <c r="AU38" s="1671">
        <v>86800</v>
      </c>
      <c r="AV38" s="1704" t="s">
        <v>561</v>
      </c>
      <c r="AW38" s="1704" t="s">
        <v>561</v>
      </c>
      <c r="AX38" s="1671">
        <v>12400</v>
      </c>
      <c r="AY38" s="1671">
        <v>12400</v>
      </c>
      <c r="AZ38" s="1671">
        <v>15100</v>
      </c>
      <c r="BA38" s="1671">
        <v>15100</v>
      </c>
      <c r="BB38" s="1671">
        <v>22400</v>
      </c>
      <c r="BC38" s="1671">
        <v>29200</v>
      </c>
      <c r="BD38" s="1671">
        <v>61400</v>
      </c>
      <c r="BE38" s="1704" t="s">
        <v>561</v>
      </c>
      <c r="BF38" s="1704" t="s">
        <v>561</v>
      </c>
      <c r="BG38" s="1671">
        <v>122700</v>
      </c>
      <c r="BH38" s="1704" t="s">
        <v>561</v>
      </c>
      <c r="BI38" s="1704" t="s">
        <v>561</v>
      </c>
      <c r="BJ38" s="1671">
        <v>10400</v>
      </c>
      <c r="BK38" s="1671">
        <v>10400</v>
      </c>
      <c r="BL38" s="1671">
        <v>12600</v>
      </c>
      <c r="BM38" s="1671">
        <v>12600</v>
      </c>
      <c r="BN38" s="1671">
        <v>19200</v>
      </c>
      <c r="BO38" s="1671">
        <v>25200</v>
      </c>
      <c r="BP38" s="1671">
        <v>53600</v>
      </c>
      <c r="BQ38" s="1704" t="s">
        <v>561</v>
      </c>
      <c r="BR38" s="1704" t="s">
        <v>561</v>
      </c>
      <c r="BS38" s="1671">
        <v>92400</v>
      </c>
      <c r="BT38" s="1704" t="s">
        <v>561</v>
      </c>
      <c r="BU38" s="1704" t="s">
        <v>561</v>
      </c>
    </row>
    <row r="39" spans="1:73" s="942" customFormat="1" ht="18.5">
      <c r="A39" s="1695">
        <v>26</v>
      </c>
      <c r="B39" s="1671">
        <v>17000</v>
      </c>
      <c r="C39" s="1671">
        <v>17000</v>
      </c>
      <c r="D39" s="1671">
        <v>20200</v>
      </c>
      <c r="E39" s="1671">
        <v>20200</v>
      </c>
      <c r="F39" s="1671">
        <v>30700</v>
      </c>
      <c r="G39" s="1671">
        <v>39800</v>
      </c>
      <c r="H39" s="1671">
        <v>72400</v>
      </c>
      <c r="I39" s="1702">
        <v>129000</v>
      </c>
      <c r="J39" s="1702">
        <v>250200</v>
      </c>
      <c r="K39" s="1671">
        <v>151300</v>
      </c>
      <c r="L39" s="1702">
        <v>251000</v>
      </c>
      <c r="M39" s="1702">
        <v>500100</v>
      </c>
      <c r="N39" s="1671">
        <v>14200</v>
      </c>
      <c r="O39" s="1671">
        <v>14200</v>
      </c>
      <c r="P39" s="1671">
        <v>16900</v>
      </c>
      <c r="Q39" s="1671">
        <v>16900</v>
      </c>
      <c r="R39" s="1671">
        <v>26100</v>
      </c>
      <c r="S39" s="1671">
        <v>33800</v>
      </c>
      <c r="T39" s="1671">
        <v>61800</v>
      </c>
      <c r="U39" s="1703">
        <v>110100</v>
      </c>
      <c r="V39" s="1703">
        <v>213600</v>
      </c>
      <c r="W39" s="1671">
        <v>110300</v>
      </c>
      <c r="X39" s="1703">
        <v>183000</v>
      </c>
      <c r="Y39" s="1703">
        <v>364600</v>
      </c>
      <c r="Z39" s="1671">
        <v>13600</v>
      </c>
      <c r="AA39" s="1671">
        <v>13600</v>
      </c>
      <c r="AB39" s="1671">
        <v>16100</v>
      </c>
      <c r="AC39" s="1671">
        <v>16100</v>
      </c>
      <c r="AD39" s="1671">
        <v>24500</v>
      </c>
      <c r="AE39" s="1671">
        <v>31800</v>
      </c>
      <c r="AF39" s="1671">
        <v>57900</v>
      </c>
      <c r="AG39" s="1704" t="s">
        <v>561</v>
      </c>
      <c r="AH39" s="1704" t="s">
        <v>561</v>
      </c>
      <c r="AI39" s="1671">
        <v>121000</v>
      </c>
      <c r="AJ39" s="1704" t="s">
        <v>561</v>
      </c>
      <c r="AK39" s="1704" t="s">
        <v>561</v>
      </c>
      <c r="AL39" s="1671">
        <v>11300</v>
      </c>
      <c r="AM39" s="1671">
        <v>11300</v>
      </c>
      <c r="AN39" s="1671">
        <v>13500</v>
      </c>
      <c r="AO39" s="1671">
        <v>13500</v>
      </c>
      <c r="AP39" s="1671">
        <v>20800</v>
      </c>
      <c r="AQ39" s="1671">
        <v>27000</v>
      </c>
      <c r="AR39" s="1671">
        <v>49400</v>
      </c>
      <c r="AS39" s="1704" t="s">
        <v>561</v>
      </c>
      <c r="AT39" s="1704" t="s">
        <v>561</v>
      </c>
      <c r="AU39" s="1671">
        <v>88200</v>
      </c>
      <c r="AV39" s="1704" t="s">
        <v>561</v>
      </c>
      <c r="AW39" s="1704" t="s">
        <v>561</v>
      </c>
      <c r="AX39" s="1671">
        <v>12500</v>
      </c>
      <c r="AY39" s="1671">
        <v>12500</v>
      </c>
      <c r="AZ39" s="1671">
        <v>15200</v>
      </c>
      <c r="BA39" s="1671">
        <v>15200</v>
      </c>
      <c r="BB39" s="1671">
        <v>22700</v>
      </c>
      <c r="BC39" s="1671">
        <v>29700</v>
      </c>
      <c r="BD39" s="1671">
        <v>62700</v>
      </c>
      <c r="BE39" s="1704" t="s">
        <v>561</v>
      </c>
      <c r="BF39" s="1704" t="s">
        <v>561</v>
      </c>
      <c r="BG39" s="1671">
        <v>126200</v>
      </c>
      <c r="BH39" s="1704" t="s">
        <v>561</v>
      </c>
      <c r="BI39" s="1704" t="s">
        <v>561</v>
      </c>
      <c r="BJ39" s="1671">
        <v>10400</v>
      </c>
      <c r="BK39" s="1671">
        <v>10400</v>
      </c>
      <c r="BL39" s="1671">
        <v>12700</v>
      </c>
      <c r="BM39" s="1671">
        <v>12700</v>
      </c>
      <c r="BN39" s="1671">
        <v>19400</v>
      </c>
      <c r="BO39" s="1671">
        <v>25400</v>
      </c>
      <c r="BP39" s="1671">
        <v>54200</v>
      </c>
      <c r="BQ39" s="1704" t="s">
        <v>561</v>
      </c>
      <c r="BR39" s="1704" t="s">
        <v>561</v>
      </c>
      <c r="BS39" s="1671">
        <v>94100</v>
      </c>
      <c r="BT39" s="1704" t="s">
        <v>561</v>
      </c>
      <c r="BU39" s="1704" t="s">
        <v>561</v>
      </c>
    </row>
    <row r="40" spans="1:73" s="942" customFormat="1" ht="18.5">
      <c r="A40" s="1695">
        <v>27</v>
      </c>
      <c r="B40" s="1671">
        <v>17100</v>
      </c>
      <c r="C40" s="1671">
        <v>17100</v>
      </c>
      <c r="D40" s="1671">
        <v>20300</v>
      </c>
      <c r="E40" s="1671">
        <v>20300</v>
      </c>
      <c r="F40" s="1671">
        <v>31100</v>
      </c>
      <c r="G40" s="1671">
        <v>40300</v>
      </c>
      <c r="H40" s="1671">
        <v>73600</v>
      </c>
      <c r="I40" s="1702">
        <v>131000</v>
      </c>
      <c r="J40" s="1702">
        <v>254300</v>
      </c>
      <c r="K40" s="1671">
        <v>154800</v>
      </c>
      <c r="L40" s="1702">
        <v>256900</v>
      </c>
      <c r="M40" s="1702">
        <v>511800</v>
      </c>
      <c r="N40" s="1671">
        <v>14300</v>
      </c>
      <c r="O40" s="1671">
        <v>14300</v>
      </c>
      <c r="P40" s="1671">
        <v>17000</v>
      </c>
      <c r="Q40" s="1671">
        <v>17000</v>
      </c>
      <c r="R40" s="1671">
        <v>26300</v>
      </c>
      <c r="S40" s="1671">
        <v>34100</v>
      </c>
      <c r="T40" s="1671">
        <v>62400</v>
      </c>
      <c r="U40" s="1703">
        <v>111200</v>
      </c>
      <c r="V40" s="1703">
        <v>215700</v>
      </c>
      <c r="W40" s="1671">
        <v>112000</v>
      </c>
      <c r="X40" s="1703">
        <v>185900</v>
      </c>
      <c r="Y40" s="1703">
        <v>370300</v>
      </c>
      <c r="Z40" s="1671">
        <v>13600</v>
      </c>
      <c r="AA40" s="1671">
        <v>13600</v>
      </c>
      <c r="AB40" s="1671">
        <v>16200</v>
      </c>
      <c r="AC40" s="1671">
        <v>16200</v>
      </c>
      <c r="AD40" s="1671">
        <v>24800</v>
      </c>
      <c r="AE40" s="1671">
        <v>32200</v>
      </c>
      <c r="AF40" s="1671">
        <v>58800</v>
      </c>
      <c r="AG40" s="1704" t="s">
        <v>561</v>
      </c>
      <c r="AH40" s="1704" t="s">
        <v>561</v>
      </c>
      <c r="AI40" s="1671">
        <v>123800</v>
      </c>
      <c r="AJ40" s="1704" t="s">
        <v>561</v>
      </c>
      <c r="AK40" s="1704" t="s">
        <v>561</v>
      </c>
      <c r="AL40" s="1671">
        <v>11400</v>
      </c>
      <c r="AM40" s="1671">
        <v>11400</v>
      </c>
      <c r="AN40" s="1671">
        <v>13600</v>
      </c>
      <c r="AO40" s="1671">
        <v>13600</v>
      </c>
      <c r="AP40" s="1671">
        <v>21000</v>
      </c>
      <c r="AQ40" s="1671">
        <v>27200</v>
      </c>
      <c r="AR40" s="1671">
        <v>49900</v>
      </c>
      <c r="AS40" s="1704" t="s">
        <v>561</v>
      </c>
      <c r="AT40" s="1704" t="s">
        <v>561</v>
      </c>
      <c r="AU40" s="1671">
        <v>89600</v>
      </c>
      <c r="AV40" s="1704" t="s">
        <v>561</v>
      </c>
      <c r="AW40" s="1704" t="s">
        <v>561</v>
      </c>
      <c r="AX40" s="1671">
        <v>12600</v>
      </c>
      <c r="AY40" s="1671">
        <v>12600</v>
      </c>
      <c r="AZ40" s="1671">
        <v>15300</v>
      </c>
      <c r="BA40" s="1671">
        <v>15300</v>
      </c>
      <c r="BB40" s="1671">
        <v>23100</v>
      </c>
      <c r="BC40" s="1671">
        <v>30100</v>
      </c>
      <c r="BD40" s="1671">
        <v>64000</v>
      </c>
      <c r="BE40" s="1704" t="s">
        <v>561</v>
      </c>
      <c r="BF40" s="1704" t="s">
        <v>561</v>
      </c>
      <c r="BG40" s="1671">
        <v>129700</v>
      </c>
      <c r="BH40" s="1704" t="s">
        <v>561</v>
      </c>
      <c r="BI40" s="1704" t="s">
        <v>561</v>
      </c>
      <c r="BJ40" s="1671">
        <v>10500</v>
      </c>
      <c r="BK40" s="1671">
        <v>10500</v>
      </c>
      <c r="BL40" s="1671">
        <v>12800</v>
      </c>
      <c r="BM40" s="1671">
        <v>12800</v>
      </c>
      <c r="BN40" s="1671">
        <v>19600</v>
      </c>
      <c r="BO40" s="1671">
        <v>25600</v>
      </c>
      <c r="BP40" s="1671">
        <v>54800</v>
      </c>
      <c r="BQ40" s="1704" t="s">
        <v>561</v>
      </c>
      <c r="BR40" s="1704" t="s">
        <v>561</v>
      </c>
      <c r="BS40" s="1671">
        <v>95800</v>
      </c>
      <c r="BT40" s="1704" t="s">
        <v>561</v>
      </c>
      <c r="BU40" s="1704" t="s">
        <v>561</v>
      </c>
    </row>
    <row r="41" spans="1:73" s="942" customFormat="1" ht="18.5">
      <c r="A41" s="1695">
        <v>28</v>
      </c>
      <c r="B41" s="1671">
        <v>17200</v>
      </c>
      <c r="C41" s="1671">
        <v>17200</v>
      </c>
      <c r="D41" s="1671">
        <v>20500</v>
      </c>
      <c r="E41" s="1671">
        <v>20500</v>
      </c>
      <c r="F41" s="1671">
        <v>31400</v>
      </c>
      <c r="G41" s="1671">
        <v>40800</v>
      </c>
      <c r="H41" s="1671">
        <v>74800</v>
      </c>
      <c r="I41" s="1702">
        <v>133100</v>
      </c>
      <c r="J41" s="1702">
        <v>258300</v>
      </c>
      <c r="K41" s="1671">
        <v>158400</v>
      </c>
      <c r="L41" s="1702">
        <v>262800</v>
      </c>
      <c r="M41" s="1702">
        <v>523500</v>
      </c>
      <c r="N41" s="1671">
        <v>14300</v>
      </c>
      <c r="O41" s="1671">
        <v>14300</v>
      </c>
      <c r="P41" s="1671">
        <v>17100</v>
      </c>
      <c r="Q41" s="1671">
        <v>17100</v>
      </c>
      <c r="R41" s="1671">
        <v>26500</v>
      </c>
      <c r="S41" s="1671">
        <v>34400</v>
      </c>
      <c r="T41" s="1671">
        <v>63000</v>
      </c>
      <c r="U41" s="1703">
        <v>112200</v>
      </c>
      <c r="V41" s="1703">
        <v>217700</v>
      </c>
      <c r="W41" s="1671">
        <v>113800</v>
      </c>
      <c r="X41" s="1703">
        <v>188700</v>
      </c>
      <c r="Y41" s="1703">
        <v>376100</v>
      </c>
      <c r="Z41" s="1671">
        <v>13700</v>
      </c>
      <c r="AA41" s="1671">
        <v>13700</v>
      </c>
      <c r="AB41" s="1671">
        <v>16400</v>
      </c>
      <c r="AC41" s="1671">
        <v>16400</v>
      </c>
      <c r="AD41" s="1671">
        <v>25100</v>
      </c>
      <c r="AE41" s="1671">
        <v>32600</v>
      </c>
      <c r="AF41" s="1671">
        <v>59800</v>
      </c>
      <c r="AG41" s="1704" t="s">
        <v>561</v>
      </c>
      <c r="AH41" s="1704" t="s">
        <v>561</v>
      </c>
      <c r="AI41" s="1671">
        <v>126700</v>
      </c>
      <c r="AJ41" s="1704" t="s">
        <v>561</v>
      </c>
      <c r="AK41" s="1704" t="s">
        <v>561</v>
      </c>
      <c r="AL41" s="1671">
        <v>11400</v>
      </c>
      <c r="AM41" s="1671">
        <v>11400</v>
      </c>
      <c r="AN41" s="1671">
        <v>13600</v>
      </c>
      <c r="AO41" s="1671">
        <v>13600</v>
      </c>
      <c r="AP41" s="1671">
        <v>21200</v>
      </c>
      <c r="AQ41" s="1671">
        <v>27500</v>
      </c>
      <c r="AR41" s="1671">
        <v>50400</v>
      </c>
      <c r="AS41" s="1704" t="s">
        <v>561</v>
      </c>
      <c r="AT41" s="1704" t="s">
        <v>561</v>
      </c>
      <c r="AU41" s="1671">
        <v>91000</v>
      </c>
      <c r="AV41" s="1704" t="s">
        <v>561</v>
      </c>
      <c r="AW41" s="1704" t="s">
        <v>561</v>
      </c>
      <c r="AX41" s="1671">
        <v>12700</v>
      </c>
      <c r="AY41" s="1671">
        <v>12700</v>
      </c>
      <c r="AZ41" s="1671">
        <v>15400</v>
      </c>
      <c r="BA41" s="1671">
        <v>15400</v>
      </c>
      <c r="BB41" s="1671">
        <v>23400</v>
      </c>
      <c r="BC41" s="1671">
        <v>30500</v>
      </c>
      <c r="BD41" s="1671">
        <v>65300</v>
      </c>
      <c r="BE41" s="1704" t="s">
        <v>561</v>
      </c>
      <c r="BF41" s="1704" t="s">
        <v>561</v>
      </c>
      <c r="BG41" s="1671">
        <v>133200</v>
      </c>
      <c r="BH41" s="1704" t="s">
        <v>561</v>
      </c>
      <c r="BI41" s="1704" t="s">
        <v>561</v>
      </c>
      <c r="BJ41" s="1671">
        <v>10600</v>
      </c>
      <c r="BK41" s="1671">
        <v>10600</v>
      </c>
      <c r="BL41" s="1671">
        <v>12800</v>
      </c>
      <c r="BM41" s="1671">
        <v>12800</v>
      </c>
      <c r="BN41" s="1671">
        <v>19800</v>
      </c>
      <c r="BO41" s="1671">
        <v>25900</v>
      </c>
      <c r="BP41" s="1671">
        <v>55500</v>
      </c>
      <c r="BQ41" s="1704" t="s">
        <v>561</v>
      </c>
      <c r="BR41" s="1704" t="s">
        <v>561</v>
      </c>
      <c r="BS41" s="1671">
        <v>97500</v>
      </c>
      <c r="BT41" s="1704" t="s">
        <v>561</v>
      </c>
      <c r="BU41" s="1704" t="s">
        <v>561</v>
      </c>
    </row>
    <row r="42" spans="1:73" s="942" customFormat="1" ht="18.5">
      <c r="A42" s="1695">
        <v>29</v>
      </c>
      <c r="B42" s="1671">
        <v>17300</v>
      </c>
      <c r="C42" s="1671">
        <v>17300</v>
      </c>
      <c r="D42" s="1671">
        <v>20600</v>
      </c>
      <c r="E42" s="1671">
        <v>20600</v>
      </c>
      <c r="F42" s="1671">
        <v>31700</v>
      </c>
      <c r="G42" s="1671">
        <v>41100</v>
      </c>
      <c r="H42" s="1671">
        <v>75400</v>
      </c>
      <c r="I42" s="1702">
        <v>134300</v>
      </c>
      <c r="J42" s="1702">
        <v>260600</v>
      </c>
      <c r="K42" s="1671">
        <v>160100</v>
      </c>
      <c r="L42" s="1702">
        <v>265600</v>
      </c>
      <c r="M42" s="1702">
        <v>529200</v>
      </c>
      <c r="N42" s="1671">
        <v>14500</v>
      </c>
      <c r="O42" s="1671">
        <v>14500</v>
      </c>
      <c r="P42" s="1671">
        <v>17300</v>
      </c>
      <c r="Q42" s="1671">
        <v>17300</v>
      </c>
      <c r="R42" s="1671">
        <v>26700</v>
      </c>
      <c r="S42" s="1671">
        <v>34700</v>
      </c>
      <c r="T42" s="1671">
        <v>63400</v>
      </c>
      <c r="U42" s="1703">
        <v>112900</v>
      </c>
      <c r="V42" s="1703">
        <v>219000</v>
      </c>
      <c r="W42" s="1671">
        <v>114200</v>
      </c>
      <c r="X42" s="1703">
        <v>189400</v>
      </c>
      <c r="Y42" s="1703">
        <v>377400</v>
      </c>
      <c r="Z42" s="1671">
        <v>13800</v>
      </c>
      <c r="AA42" s="1671">
        <v>13800</v>
      </c>
      <c r="AB42" s="1671">
        <v>16400</v>
      </c>
      <c r="AC42" s="1671">
        <v>16400</v>
      </c>
      <c r="AD42" s="1671">
        <v>25300</v>
      </c>
      <c r="AE42" s="1671">
        <v>32800</v>
      </c>
      <c r="AF42" s="1671">
        <v>60300</v>
      </c>
      <c r="AG42" s="1704" t="s">
        <v>561</v>
      </c>
      <c r="AH42" s="1704" t="s">
        <v>561</v>
      </c>
      <c r="AI42" s="1671">
        <v>128000</v>
      </c>
      <c r="AJ42" s="1704" t="s">
        <v>561</v>
      </c>
      <c r="AK42" s="1704" t="s">
        <v>561</v>
      </c>
      <c r="AL42" s="1671">
        <v>11600</v>
      </c>
      <c r="AM42" s="1671">
        <v>11600</v>
      </c>
      <c r="AN42" s="1671">
        <v>13800</v>
      </c>
      <c r="AO42" s="1671">
        <v>13800</v>
      </c>
      <c r="AP42" s="1671">
        <v>21300</v>
      </c>
      <c r="AQ42" s="1671">
        <v>27700</v>
      </c>
      <c r="AR42" s="1671">
        <v>50700</v>
      </c>
      <c r="AS42" s="1704" t="s">
        <v>561</v>
      </c>
      <c r="AT42" s="1704" t="s">
        <v>561</v>
      </c>
      <c r="AU42" s="1671">
        <v>91300</v>
      </c>
      <c r="AV42" s="1704" t="s">
        <v>561</v>
      </c>
      <c r="AW42" s="1704" t="s">
        <v>561</v>
      </c>
      <c r="AX42" s="1671">
        <v>12800</v>
      </c>
      <c r="AY42" s="1671">
        <v>12800</v>
      </c>
      <c r="AZ42" s="1671">
        <v>15500</v>
      </c>
      <c r="BA42" s="1671">
        <v>15500</v>
      </c>
      <c r="BB42" s="1671">
        <v>23600</v>
      </c>
      <c r="BC42" s="1671">
        <v>30800</v>
      </c>
      <c r="BD42" s="1671">
        <v>66000</v>
      </c>
      <c r="BE42" s="1704" t="s">
        <v>561</v>
      </c>
      <c r="BF42" s="1704" t="s">
        <v>561</v>
      </c>
      <c r="BG42" s="1671">
        <v>134900</v>
      </c>
      <c r="BH42" s="1704" t="s">
        <v>561</v>
      </c>
      <c r="BI42" s="1704" t="s">
        <v>561</v>
      </c>
      <c r="BJ42" s="1671">
        <v>10700</v>
      </c>
      <c r="BK42" s="1671">
        <v>10700</v>
      </c>
      <c r="BL42" s="1671">
        <v>13000</v>
      </c>
      <c r="BM42" s="1671">
        <v>13000</v>
      </c>
      <c r="BN42" s="1671">
        <v>19900</v>
      </c>
      <c r="BO42" s="1671">
        <v>26100</v>
      </c>
      <c r="BP42" s="1671">
        <v>55700</v>
      </c>
      <c r="BQ42" s="1704" t="s">
        <v>561</v>
      </c>
      <c r="BR42" s="1704" t="s">
        <v>561</v>
      </c>
      <c r="BS42" s="1671">
        <v>97700</v>
      </c>
      <c r="BT42" s="1704" t="s">
        <v>561</v>
      </c>
      <c r="BU42" s="1704" t="s">
        <v>561</v>
      </c>
    </row>
    <row r="43" spans="1:73" s="942" customFormat="1" ht="18.5">
      <c r="A43" s="1695">
        <v>30</v>
      </c>
      <c r="B43" s="1671">
        <v>17500</v>
      </c>
      <c r="C43" s="1671">
        <v>17500</v>
      </c>
      <c r="D43" s="1671">
        <v>20800</v>
      </c>
      <c r="E43" s="1671">
        <v>20800</v>
      </c>
      <c r="F43" s="1671">
        <v>32000</v>
      </c>
      <c r="G43" s="1671">
        <v>41500</v>
      </c>
      <c r="H43" s="1671">
        <v>76100</v>
      </c>
      <c r="I43" s="1702">
        <v>135500</v>
      </c>
      <c r="J43" s="1702">
        <v>262900</v>
      </c>
      <c r="K43" s="1671">
        <v>161800</v>
      </c>
      <c r="L43" s="1702">
        <v>268400</v>
      </c>
      <c r="M43" s="1702">
        <v>534800</v>
      </c>
      <c r="N43" s="1671">
        <v>14700</v>
      </c>
      <c r="O43" s="1671">
        <v>14700</v>
      </c>
      <c r="P43" s="1671">
        <v>17400</v>
      </c>
      <c r="Q43" s="1671">
        <v>17400</v>
      </c>
      <c r="R43" s="1671">
        <v>27000</v>
      </c>
      <c r="S43" s="1671">
        <v>35000</v>
      </c>
      <c r="T43" s="1671">
        <v>63700</v>
      </c>
      <c r="U43" s="1703">
        <v>113500</v>
      </c>
      <c r="V43" s="1703">
        <v>220200</v>
      </c>
      <c r="W43" s="1671">
        <v>114600</v>
      </c>
      <c r="X43" s="1703">
        <v>190100</v>
      </c>
      <c r="Y43" s="1703">
        <v>378800</v>
      </c>
      <c r="Z43" s="1671">
        <v>14000</v>
      </c>
      <c r="AA43" s="1671">
        <v>14000</v>
      </c>
      <c r="AB43" s="1671">
        <v>16600</v>
      </c>
      <c r="AC43" s="1671">
        <v>16600</v>
      </c>
      <c r="AD43" s="1671">
        <v>25600</v>
      </c>
      <c r="AE43" s="1671">
        <v>33200</v>
      </c>
      <c r="AF43" s="1671">
        <v>60800</v>
      </c>
      <c r="AG43" s="1704" t="s">
        <v>561</v>
      </c>
      <c r="AH43" s="1704" t="s">
        <v>561</v>
      </c>
      <c r="AI43" s="1671">
        <v>129400</v>
      </c>
      <c r="AJ43" s="1704" t="s">
        <v>561</v>
      </c>
      <c r="AK43" s="1704" t="s">
        <v>561</v>
      </c>
      <c r="AL43" s="1671">
        <v>11700</v>
      </c>
      <c r="AM43" s="1671">
        <v>11700</v>
      </c>
      <c r="AN43" s="1671">
        <v>13900</v>
      </c>
      <c r="AO43" s="1671">
        <v>13900</v>
      </c>
      <c r="AP43" s="1671">
        <v>21600</v>
      </c>
      <c r="AQ43" s="1671">
        <v>28000</v>
      </c>
      <c r="AR43" s="1671">
        <v>50900</v>
      </c>
      <c r="AS43" s="1704" t="s">
        <v>561</v>
      </c>
      <c r="AT43" s="1704" t="s">
        <v>561</v>
      </c>
      <c r="AU43" s="1671">
        <v>91600</v>
      </c>
      <c r="AV43" s="1704" t="s">
        <v>561</v>
      </c>
      <c r="AW43" s="1704" t="s">
        <v>561</v>
      </c>
      <c r="AX43" s="1671">
        <v>12900</v>
      </c>
      <c r="AY43" s="1671">
        <v>12900</v>
      </c>
      <c r="AZ43" s="1671">
        <v>15700</v>
      </c>
      <c r="BA43" s="1671">
        <v>15700</v>
      </c>
      <c r="BB43" s="1671">
        <v>23800</v>
      </c>
      <c r="BC43" s="1671">
        <v>31100</v>
      </c>
      <c r="BD43" s="1671">
        <v>66700</v>
      </c>
      <c r="BE43" s="1704" t="s">
        <v>561</v>
      </c>
      <c r="BF43" s="1704" t="s">
        <v>561</v>
      </c>
      <c r="BG43" s="1671">
        <v>136500</v>
      </c>
      <c r="BH43" s="1704" t="s">
        <v>561</v>
      </c>
      <c r="BI43" s="1704" t="s">
        <v>561</v>
      </c>
      <c r="BJ43" s="1671">
        <v>10800</v>
      </c>
      <c r="BK43" s="1671">
        <v>10800</v>
      </c>
      <c r="BL43" s="1671">
        <v>13100</v>
      </c>
      <c r="BM43" s="1671">
        <v>13100</v>
      </c>
      <c r="BN43" s="1671">
        <v>20100</v>
      </c>
      <c r="BO43" s="1671">
        <v>26300</v>
      </c>
      <c r="BP43" s="1671">
        <v>56000</v>
      </c>
      <c r="BQ43" s="1704" t="s">
        <v>561</v>
      </c>
      <c r="BR43" s="1704" t="s">
        <v>561</v>
      </c>
      <c r="BS43" s="1671">
        <v>98000</v>
      </c>
      <c r="BT43" s="1704" t="s">
        <v>561</v>
      </c>
      <c r="BU43" s="1704" t="s">
        <v>561</v>
      </c>
    </row>
    <row r="44" spans="1:73" s="942" customFormat="1" ht="18.5">
      <c r="A44" s="1695">
        <v>31</v>
      </c>
      <c r="B44" s="1671">
        <v>17600</v>
      </c>
      <c r="C44" s="1671">
        <v>17600</v>
      </c>
      <c r="D44" s="1671">
        <v>20900</v>
      </c>
      <c r="E44" s="1671">
        <v>20900</v>
      </c>
      <c r="F44" s="1671">
        <v>32200</v>
      </c>
      <c r="G44" s="1671">
        <v>41800</v>
      </c>
      <c r="H44" s="1671">
        <v>76800</v>
      </c>
      <c r="I44" s="1702">
        <v>136700</v>
      </c>
      <c r="J44" s="1702">
        <v>265200</v>
      </c>
      <c r="K44" s="1671">
        <v>163500</v>
      </c>
      <c r="L44" s="1702">
        <v>271200</v>
      </c>
      <c r="M44" s="1702">
        <v>540400</v>
      </c>
      <c r="N44" s="1671">
        <v>14800</v>
      </c>
      <c r="O44" s="1671">
        <v>14800</v>
      </c>
      <c r="P44" s="1671">
        <v>17600</v>
      </c>
      <c r="Q44" s="1671">
        <v>17600</v>
      </c>
      <c r="R44" s="1671">
        <v>27200</v>
      </c>
      <c r="S44" s="1671">
        <v>35300</v>
      </c>
      <c r="T44" s="1671">
        <v>64100</v>
      </c>
      <c r="U44" s="1703">
        <v>114100</v>
      </c>
      <c r="V44" s="1703">
        <v>221400</v>
      </c>
      <c r="W44" s="1671">
        <v>115000</v>
      </c>
      <c r="X44" s="1703">
        <v>190800</v>
      </c>
      <c r="Y44" s="1703">
        <v>380100</v>
      </c>
      <c r="Z44" s="1671">
        <v>14000</v>
      </c>
      <c r="AA44" s="1671">
        <v>14000</v>
      </c>
      <c r="AB44" s="1671">
        <v>16700</v>
      </c>
      <c r="AC44" s="1671">
        <v>16700</v>
      </c>
      <c r="AD44" s="1671">
        <v>25700</v>
      </c>
      <c r="AE44" s="1671">
        <v>33400</v>
      </c>
      <c r="AF44" s="1671">
        <v>61400</v>
      </c>
      <c r="AG44" s="1704" t="s">
        <v>561</v>
      </c>
      <c r="AH44" s="1704" t="s">
        <v>561</v>
      </c>
      <c r="AI44" s="1671">
        <v>130800</v>
      </c>
      <c r="AJ44" s="1704" t="s">
        <v>561</v>
      </c>
      <c r="AK44" s="1704" t="s">
        <v>561</v>
      </c>
      <c r="AL44" s="1671">
        <v>11800</v>
      </c>
      <c r="AM44" s="1671">
        <v>11800</v>
      </c>
      <c r="AN44" s="1671">
        <v>14000</v>
      </c>
      <c r="AO44" s="1671">
        <v>14000</v>
      </c>
      <c r="AP44" s="1671">
        <v>21700</v>
      </c>
      <c r="AQ44" s="1671">
        <v>28200</v>
      </c>
      <c r="AR44" s="1671">
        <v>51200</v>
      </c>
      <c r="AS44" s="1704" t="s">
        <v>561</v>
      </c>
      <c r="AT44" s="1704" t="s">
        <v>561</v>
      </c>
      <c r="AU44" s="1671">
        <v>92000</v>
      </c>
      <c r="AV44" s="1704" t="s">
        <v>561</v>
      </c>
      <c r="AW44" s="1704" t="s">
        <v>561</v>
      </c>
      <c r="AX44" s="1671">
        <v>13000</v>
      </c>
      <c r="AY44" s="1671">
        <v>13000</v>
      </c>
      <c r="AZ44" s="1671">
        <v>15800</v>
      </c>
      <c r="BA44" s="1671">
        <v>15800</v>
      </c>
      <c r="BB44" s="1671">
        <v>24100</v>
      </c>
      <c r="BC44" s="1671">
        <v>31400</v>
      </c>
      <c r="BD44" s="1671">
        <v>67300</v>
      </c>
      <c r="BE44" s="1704" t="s">
        <v>561</v>
      </c>
      <c r="BF44" s="1704" t="s">
        <v>561</v>
      </c>
      <c r="BG44" s="1671">
        <v>138100</v>
      </c>
      <c r="BH44" s="1704" t="s">
        <v>561</v>
      </c>
      <c r="BI44" s="1704" t="s">
        <v>561</v>
      </c>
      <c r="BJ44" s="1671">
        <v>10900</v>
      </c>
      <c r="BK44" s="1671">
        <v>10900</v>
      </c>
      <c r="BL44" s="1671">
        <v>13300</v>
      </c>
      <c r="BM44" s="1671">
        <v>13300</v>
      </c>
      <c r="BN44" s="1671">
        <v>20300</v>
      </c>
      <c r="BO44" s="1671">
        <v>26500</v>
      </c>
      <c r="BP44" s="1671">
        <v>56200</v>
      </c>
      <c r="BQ44" s="1704" t="s">
        <v>561</v>
      </c>
      <c r="BR44" s="1704" t="s">
        <v>561</v>
      </c>
      <c r="BS44" s="1671">
        <v>98200</v>
      </c>
      <c r="BT44" s="1704" t="s">
        <v>561</v>
      </c>
      <c r="BU44" s="1704" t="s">
        <v>561</v>
      </c>
    </row>
    <row r="45" spans="1:73" s="942" customFormat="1" ht="18.5">
      <c r="A45" s="1695">
        <v>32</v>
      </c>
      <c r="B45" s="1671">
        <v>17700</v>
      </c>
      <c r="C45" s="1671">
        <v>17700</v>
      </c>
      <c r="D45" s="1671">
        <v>21100</v>
      </c>
      <c r="E45" s="1671">
        <v>21100</v>
      </c>
      <c r="F45" s="1671">
        <v>32500</v>
      </c>
      <c r="G45" s="1671">
        <v>42200</v>
      </c>
      <c r="H45" s="1671">
        <v>77400</v>
      </c>
      <c r="I45" s="1702">
        <v>137900</v>
      </c>
      <c r="J45" s="1702">
        <v>267500</v>
      </c>
      <c r="K45" s="1671">
        <v>165200</v>
      </c>
      <c r="L45" s="1702">
        <v>274000</v>
      </c>
      <c r="M45" s="1702">
        <v>546000</v>
      </c>
      <c r="N45" s="1671">
        <v>15000</v>
      </c>
      <c r="O45" s="1671">
        <v>15000</v>
      </c>
      <c r="P45" s="1671">
        <v>17800</v>
      </c>
      <c r="Q45" s="1671">
        <v>17800</v>
      </c>
      <c r="R45" s="1671">
        <v>27400</v>
      </c>
      <c r="S45" s="1671">
        <v>35600</v>
      </c>
      <c r="T45" s="1671">
        <v>64400</v>
      </c>
      <c r="U45" s="1703">
        <v>114700</v>
      </c>
      <c r="V45" s="1703">
        <v>222600</v>
      </c>
      <c r="W45" s="1671">
        <v>115400</v>
      </c>
      <c r="X45" s="1703">
        <v>191400</v>
      </c>
      <c r="Y45" s="1703">
        <v>381400</v>
      </c>
      <c r="Z45" s="1671">
        <v>14100</v>
      </c>
      <c r="AA45" s="1671">
        <v>14100</v>
      </c>
      <c r="AB45" s="1671">
        <v>16800</v>
      </c>
      <c r="AC45" s="1671">
        <v>16800</v>
      </c>
      <c r="AD45" s="1671">
        <v>26000</v>
      </c>
      <c r="AE45" s="1671">
        <v>33700</v>
      </c>
      <c r="AF45" s="1671">
        <v>61900</v>
      </c>
      <c r="AG45" s="1704" t="s">
        <v>561</v>
      </c>
      <c r="AH45" s="1704" t="s">
        <v>561</v>
      </c>
      <c r="AI45" s="1671">
        <v>132100</v>
      </c>
      <c r="AJ45" s="1704" t="s">
        <v>561</v>
      </c>
      <c r="AK45" s="1704" t="s">
        <v>561</v>
      </c>
      <c r="AL45" s="1671">
        <v>12000</v>
      </c>
      <c r="AM45" s="1671">
        <v>12000</v>
      </c>
      <c r="AN45" s="1671">
        <v>14200</v>
      </c>
      <c r="AO45" s="1671">
        <v>14200</v>
      </c>
      <c r="AP45" s="1671">
        <v>21900</v>
      </c>
      <c r="AQ45" s="1671">
        <v>28400</v>
      </c>
      <c r="AR45" s="1671">
        <v>51500</v>
      </c>
      <c r="AS45" s="1704" t="s">
        <v>561</v>
      </c>
      <c r="AT45" s="1704" t="s">
        <v>561</v>
      </c>
      <c r="AU45" s="1671">
        <v>92300</v>
      </c>
      <c r="AV45" s="1704" t="s">
        <v>561</v>
      </c>
      <c r="AW45" s="1704" t="s">
        <v>561</v>
      </c>
      <c r="AX45" s="1671">
        <v>13100</v>
      </c>
      <c r="AY45" s="1671">
        <v>13100</v>
      </c>
      <c r="AZ45" s="1671">
        <v>15900</v>
      </c>
      <c r="BA45" s="1671">
        <v>15900</v>
      </c>
      <c r="BB45" s="1671">
        <v>24300</v>
      </c>
      <c r="BC45" s="1671">
        <v>31800</v>
      </c>
      <c r="BD45" s="1671">
        <v>68000</v>
      </c>
      <c r="BE45" s="1704" t="s">
        <v>561</v>
      </c>
      <c r="BF45" s="1704" t="s">
        <v>561</v>
      </c>
      <c r="BG45" s="1671">
        <v>139700</v>
      </c>
      <c r="BH45" s="1704" t="s">
        <v>561</v>
      </c>
      <c r="BI45" s="1704" t="s">
        <v>561</v>
      </c>
      <c r="BJ45" s="1671">
        <v>11100</v>
      </c>
      <c r="BK45" s="1671">
        <v>11100</v>
      </c>
      <c r="BL45" s="1671">
        <v>13400</v>
      </c>
      <c r="BM45" s="1671">
        <v>13400</v>
      </c>
      <c r="BN45" s="1671">
        <v>20500</v>
      </c>
      <c r="BO45" s="1671">
        <v>26700</v>
      </c>
      <c r="BP45" s="1671">
        <v>56400</v>
      </c>
      <c r="BQ45" s="1704" t="s">
        <v>561</v>
      </c>
      <c r="BR45" s="1704" t="s">
        <v>561</v>
      </c>
      <c r="BS45" s="1671">
        <v>98400</v>
      </c>
      <c r="BT45" s="1704" t="s">
        <v>561</v>
      </c>
      <c r="BU45" s="1704" t="s">
        <v>561</v>
      </c>
    </row>
    <row r="46" spans="1:73" s="942" customFormat="1" ht="18.5">
      <c r="A46" s="1695">
        <v>33</v>
      </c>
      <c r="B46" s="1671">
        <v>17900</v>
      </c>
      <c r="C46" s="1671">
        <v>17900</v>
      </c>
      <c r="D46" s="1671">
        <v>21200</v>
      </c>
      <c r="E46" s="1671">
        <v>21200</v>
      </c>
      <c r="F46" s="1671">
        <v>32800</v>
      </c>
      <c r="G46" s="1671">
        <v>42500</v>
      </c>
      <c r="H46" s="1671">
        <v>78100</v>
      </c>
      <c r="I46" s="1702">
        <v>139100</v>
      </c>
      <c r="J46" s="1702">
        <v>269800</v>
      </c>
      <c r="K46" s="1671">
        <v>166900</v>
      </c>
      <c r="L46" s="1702">
        <v>276800</v>
      </c>
      <c r="M46" s="1702">
        <v>551600</v>
      </c>
      <c r="N46" s="1671">
        <v>15100</v>
      </c>
      <c r="O46" s="1671">
        <v>15100</v>
      </c>
      <c r="P46" s="1671">
        <v>18000</v>
      </c>
      <c r="Q46" s="1671">
        <v>18000</v>
      </c>
      <c r="R46" s="1671">
        <v>27700</v>
      </c>
      <c r="S46" s="1671">
        <v>35900</v>
      </c>
      <c r="T46" s="1671">
        <v>64800</v>
      </c>
      <c r="U46" s="1703">
        <v>115400</v>
      </c>
      <c r="V46" s="1703">
        <v>223800</v>
      </c>
      <c r="W46" s="1671">
        <v>115800</v>
      </c>
      <c r="X46" s="1703">
        <v>192100</v>
      </c>
      <c r="Y46" s="1703">
        <v>382800</v>
      </c>
      <c r="Z46" s="1671">
        <v>14300</v>
      </c>
      <c r="AA46" s="1671">
        <v>14300</v>
      </c>
      <c r="AB46" s="1671">
        <v>16900</v>
      </c>
      <c r="AC46" s="1671">
        <v>16900</v>
      </c>
      <c r="AD46" s="1671">
        <v>26200</v>
      </c>
      <c r="AE46" s="1671">
        <v>34000</v>
      </c>
      <c r="AF46" s="1671">
        <v>62400</v>
      </c>
      <c r="AG46" s="1704" t="s">
        <v>561</v>
      </c>
      <c r="AH46" s="1704" t="s">
        <v>561</v>
      </c>
      <c r="AI46" s="1671">
        <v>133500</v>
      </c>
      <c r="AJ46" s="1704" t="s">
        <v>561</v>
      </c>
      <c r="AK46" s="1704" t="s">
        <v>561</v>
      </c>
      <c r="AL46" s="1671">
        <v>12000</v>
      </c>
      <c r="AM46" s="1671">
        <v>12000</v>
      </c>
      <c r="AN46" s="1671">
        <v>14400</v>
      </c>
      <c r="AO46" s="1671">
        <v>14400</v>
      </c>
      <c r="AP46" s="1671">
        <v>22100</v>
      </c>
      <c r="AQ46" s="1671">
        <v>28700</v>
      </c>
      <c r="AR46" s="1671">
        <v>51800</v>
      </c>
      <c r="AS46" s="1704" t="s">
        <v>561</v>
      </c>
      <c r="AT46" s="1704" t="s">
        <v>561</v>
      </c>
      <c r="AU46" s="1671">
        <v>92600</v>
      </c>
      <c r="AV46" s="1704" t="s">
        <v>561</v>
      </c>
      <c r="AW46" s="1704" t="s">
        <v>561</v>
      </c>
      <c r="AX46" s="1671">
        <v>13200</v>
      </c>
      <c r="AY46" s="1671">
        <v>13200</v>
      </c>
      <c r="AZ46" s="1671">
        <v>16100</v>
      </c>
      <c r="BA46" s="1671">
        <v>16100</v>
      </c>
      <c r="BB46" s="1671">
        <v>24500</v>
      </c>
      <c r="BC46" s="1671">
        <v>32100</v>
      </c>
      <c r="BD46" s="1671">
        <v>68700</v>
      </c>
      <c r="BE46" s="1704" t="s">
        <v>561</v>
      </c>
      <c r="BF46" s="1704" t="s">
        <v>561</v>
      </c>
      <c r="BG46" s="1671">
        <v>141300</v>
      </c>
      <c r="BH46" s="1704" t="s">
        <v>561</v>
      </c>
      <c r="BI46" s="1704" t="s">
        <v>561</v>
      </c>
      <c r="BJ46" s="1671">
        <v>11200</v>
      </c>
      <c r="BK46" s="1671">
        <v>11200</v>
      </c>
      <c r="BL46" s="1671">
        <v>13600</v>
      </c>
      <c r="BM46" s="1671">
        <v>13600</v>
      </c>
      <c r="BN46" s="1671">
        <v>20600</v>
      </c>
      <c r="BO46" s="1671">
        <v>26900</v>
      </c>
      <c r="BP46" s="1671">
        <v>56700</v>
      </c>
      <c r="BQ46" s="1704" t="s">
        <v>561</v>
      </c>
      <c r="BR46" s="1704" t="s">
        <v>561</v>
      </c>
      <c r="BS46" s="1671">
        <v>98700</v>
      </c>
      <c r="BT46" s="1704" t="s">
        <v>561</v>
      </c>
      <c r="BU46" s="1704" t="s">
        <v>561</v>
      </c>
    </row>
    <row r="47" spans="1:73" s="942" customFormat="1" ht="18.5">
      <c r="A47" s="1695">
        <v>34</v>
      </c>
      <c r="B47" s="1671">
        <v>18200</v>
      </c>
      <c r="C47" s="1671">
        <v>18200</v>
      </c>
      <c r="D47" s="1671">
        <v>21600</v>
      </c>
      <c r="E47" s="1671">
        <v>21600</v>
      </c>
      <c r="F47" s="1671">
        <v>33300</v>
      </c>
      <c r="G47" s="1671">
        <v>43200</v>
      </c>
      <c r="H47" s="1671">
        <v>79100</v>
      </c>
      <c r="I47" s="1702">
        <v>140800</v>
      </c>
      <c r="J47" s="1702">
        <v>273100</v>
      </c>
      <c r="K47" s="1671">
        <v>168700</v>
      </c>
      <c r="L47" s="1702">
        <v>279800</v>
      </c>
      <c r="M47" s="1702">
        <v>557500</v>
      </c>
      <c r="N47" s="1671">
        <v>15500</v>
      </c>
      <c r="O47" s="1671">
        <v>15500</v>
      </c>
      <c r="P47" s="1671">
        <v>18400</v>
      </c>
      <c r="Q47" s="1671">
        <v>18400</v>
      </c>
      <c r="R47" s="1671">
        <v>28100</v>
      </c>
      <c r="S47" s="1671">
        <v>36500</v>
      </c>
      <c r="T47" s="1671">
        <v>65500</v>
      </c>
      <c r="U47" s="1703">
        <v>116600</v>
      </c>
      <c r="V47" s="1703">
        <v>226200</v>
      </c>
      <c r="W47" s="1671">
        <v>116600</v>
      </c>
      <c r="X47" s="1703">
        <v>193400</v>
      </c>
      <c r="Y47" s="1703">
        <v>385400</v>
      </c>
      <c r="Z47" s="1671">
        <v>14500</v>
      </c>
      <c r="AA47" s="1671">
        <v>14500</v>
      </c>
      <c r="AB47" s="1671">
        <v>17200</v>
      </c>
      <c r="AC47" s="1671">
        <v>17200</v>
      </c>
      <c r="AD47" s="1671">
        <v>26600</v>
      </c>
      <c r="AE47" s="1671">
        <v>34500</v>
      </c>
      <c r="AF47" s="1671">
        <v>63200</v>
      </c>
      <c r="AG47" s="1704" t="s">
        <v>561</v>
      </c>
      <c r="AH47" s="1704" t="s">
        <v>561</v>
      </c>
      <c r="AI47" s="1671">
        <v>134900</v>
      </c>
      <c r="AJ47" s="1704" t="s">
        <v>561</v>
      </c>
      <c r="AK47" s="1704" t="s">
        <v>561</v>
      </c>
      <c r="AL47" s="1671">
        <v>12400</v>
      </c>
      <c r="AM47" s="1671">
        <v>12400</v>
      </c>
      <c r="AN47" s="1671">
        <v>14700</v>
      </c>
      <c r="AO47" s="1671">
        <v>14700</v>
      </c>
      <c r="AP47" s="1671">
        <v>22400</v>
      </c>
      <c r="AQ47" s="1671">
        <v>29200</v>
      </c>
      <c r="AR47" s="1671">
        <v>52400</v>
      </c>
      <c r="AS47" s="1704" t="s">
        <v>561</v>
      </c>
      <c r="AT47" s="1704" t="s">
        <v>561</v>
      </c>
      <c r="AU47" s="1671">
        <v>93200</v>
      </c>
      <c r="AV47" s="1704" t="s">
        <v>561</v>
      </c>
      <c r="AW47" s="1704" t="s">
        <v>561</v>
      </c>
      <c r="AX47" s="1671">
        <v>13500</v>
      </c>
      <c r="AY47" s="1671">
        <v>13500</v>
      </c>
      <c r="AZ47" s="1671">
        <v>16300</v>
      </c>
      <c r="BA47" s="1671">
        <v>16300</v>
      </c>
      <c r="BB47" s="1671">
        <v>24900</v>
      </c>
      <c r="BC47" s="1671">
        <v>32500</v>
      </c>
      <c r="BD47" s="1671">
        <v>69500</v>
      </c>
      <c r="BE47" s="1704" t="s">
        <v>561</v>
      </c>
      <c r="BF47" s="1704" t="s">
        <v>561</v>
      </c>
      <c r="BG47" s="1671">
        <v>142800</v>
      </c>
      <c r="BH47" s="1704" t="s">
        <v>561</v>
      </c>
      <c r="BI47" s="1704" t="s">
        <v>561</v>
      </c>
      <c r="BJ47" s="1671">
        <v>11400</v>
      </c>
      <c r="BK47" s="1671">
        <v>11400</v>
      </c>
      <c r="BL47" s="1671">
        <v>13900</v>
      </c>
      <c r="BM47" s="1671">
        <v>13900</v>
      </c>
      <c r="BN47" s="1671">
        <v>21000</v>
      </c>
      <c r="BO47" s="1671">
        <v>27400</v>
      </c>
      <c r="BP47" s="1671">
        <v>57200</v>
      </c>
      <c r="BQ47" s="1704" t="s">
        <v>561</v>
      </c>
      <c r="BR47" s="1704" t="s">
        <v>561</v>
      </c>
      <c r="BS47" s="1671">
        <v>99100</v>
      </c>
      <c r="BT47" s="1704" t="s">
        <v>561</v>
      </c>
      <c r="BU47" s="1704" t="s">
        <v>561</v>
      </c>
    </row>
    <row r="48" spans="1:73" s="942" customFormat="1" ht="18.5">
      <c r="A48" s="1695">
        <v>35</v>
      </c>
      <c r="B48" s="1671">
        <v>18500</v>
      </c>
      <c r="C48" s="1671">
        <v>18500</v>
      </c>
      <c r="D48" s="1671">
        <v>21900</v>
      </c>
      <c r="E48" s="1671">
        <v>21900</v>
      </c>
      <c r="F48" s="1671">
        <v>33800</v>
      </c>
      <c r="G48" s="1671">
        <v>43800</v>
      </c>
      <c r="H48" s="1671">
        <v>80000</v>
      </c>
      <c r="I48" s="1702">
        <v>142500</v>
      </c>
      <c r="J48" s="1702">
        <v>276500</v>
      </c>
      <c r="K48" s="1671">
        <v>170500</v>
      </c>
      <c r="L48" s="1702">
        <v>282800</v>
      </c>
      <c r="M48" s="1702">
        <v>563500</v>
      </c>
      <c r="N48" s="1671">
        <v>15800</v>
      </c>
      <c r="O48" s="1671">
        <v>15800</v>
      </c>
      <c r="P48" s="1671">
        <v>18700</v>
      </c>
      <c r="Q48" s="1671">
        <v>18700</v>
      </c>
      <c r="R48" s="1671">
        <v>28600</v>
      </c>
      <c r="S48" s="1671">
        <v>37000</v>
      </c>
      <c r="T48" s="1671">
        <v>66200</v>
      </c>
      <c r="U48" s="1703">
        <v>117800</v>
      </c>
      <c r="V48" s="1703">
        <v>228600</v>
      </c>
      <c r="W48" s="1671">
        <v>117400</v>
      </c>
      <c r="X48" s="1703">
        <v>194700</v>
      </c>
      <c r="Y48" s="1703">
        <v>388000</v>
      </c>
      <c r="Z48" s="1671">
        <v>14800</v>
      </c>
      <c r="AA48" s="1671">
        <v>14800</v>
      </c>
      <c r="AB48" s="1671">
        <v>17500</v>
      </c>
      <c r="AC48" s="1671">
        <v>17500</v>
      </c>
      <c r="AD48" s="1671">
        <v>27000</v>
      </c>
      <c r="AE48" s="1671">
        <v>35000</v>
      </c>
      <c r="AF48" s="1671">
        <v>64000</v>
      </c>
      <c r="AG48" s="1704" t="s">
        <v>561</v>
      </c>
      <c r="AH48" s="1704" t="s">
        <v>561</v>
      </c>
      <c r="AI48" s="1671">
        <v>136400</v>
      </c>
      <c r="AJ48" s="1704" t="s">
        <v>561</v>
      </c>
      <c r="AK48" s="1704" t="s">
        <v>561</v>
      </c>
      <c r="AL48" s="1671">
        <v>12600</v>
      </c>
      <c r="AM48" s="1671">
        <v>12600</v>
      </c>
      <c r="AN48" s="1671">
        <v>14900</v>
      </c>
      <c r="AO48" s="1671">
        <v>14900</v>
      </c>
      <c r="AP48" s="1671">
        <v>22800</v>
      </c>
      <c r="AQ48" s="1671">
        <v>29600</v>
      </c>
      <c r="AR48" s="1671">
        <v>52900</v>
      </c>
      <c r="AS48" s="1704" t="s">
        <v>561</v>
      </c>
      <c r="AT48" s="1704" t="s">
        <v>561</v>
      </c>
      <c r="AU48" s="1671">
        <v>93900</v>
      </c>
      <c r="AV48" s="1704" t="s">
        <v>561</v>
      </c>
      <c r="AW48" s="1704" t="s">
        <v>561</v>
      </c>
      <c r="AX48" s="1671">
        <v>13700</v>
      </c>
      <c r="AY48" s="1671">
        <v>13700</v>
      </c>
      <c r="AZ48" s="1671">
        <v>16600</v>
      </c>
      <c r="BA48" s="1671">
        <v>16600</v>
      </c>
      <c r="BB48" s="1671">
        <v>25300</v>
      </c>
      <c r="BC48" s="1671">
        <v>33000</v>
      </c>
      <c r="BD48" s="1671">
        <v>70400</v>
      </c>
      <c r="BE48" s="1704" t="s">
        <v>561</v>
      </c>
      <c r="BF48" s="1704" t="s">
        <v>561</v>
      </c>
      <c r="BG48" s="1671">
        <v>144400</v>
      </c>
      <c r="BH48" s="1704" t="s">
        <v>561</v>
      </c>
      <c r="BI48" s="1704" t="s">
        <v>561</v>
      </c>
      <c r="BJ48" s="1671">
        <v>11700</v>
      </c>
      <c r="BK48" s="1671">
        <v>11700</v>
      </c>
      <c r="BL48" s="1671">
        <v>14200</v>
      </c>
      <c r="BM48" s="1671">
        <v>14200</v>
      </c>
      <c r="BN48" s="1671">
        <v>21300</v>
      </c>
      <c r="BO48" s="1671">
        <v>27800</v>
      </c>
      <c r="BP48" s="1671">
        <v>57600</v>
      </c>
      <c r="BQ48" s="1704" t="s">
        <v>561</v>
      </c>
      <c r="BR48" s="1704" t="s">
        <v>561</v>
      </c>
      <c r="BS48" s="1671">
        <v>99600</v>
      </c>
      <c r="BT48" s="1704" t="s">
        <v>561</v>
      </c>
      <c r="BU48" s="1704" t="s">
        <v>561</v>
      </c>
    </row>
    <row r="49" spans="1:73" s="942" customFormat="1" ht="18.5">
      <c r="A49" s="1695">
        <v>36</v>
      </c>
      <c r="B49" s="1671">
        <v>18800</v>
      </c>
      <c r="C49" s="1671">
        <v>18800</v>
      </c>
      <c r="D49" s="1671">
        <v>22300</v>
      </c>
      <c r="E49" s="1671">
        <v>22300</v>
      </c>
      <c r="F49" s="1671">
        <v>34300</v>
      </c>
      <c r="G49" s="1671">
        <v>44400</v>
      </c>
      <c r="H49" s="1671">
        <v>81000</v>
      </c>
      <c r="I49" s="1702">
        <v>144200</v>
      </c>
      <c r="J49" s="1702">
        <v>279800</v>
      </c>
      <c r="K49" s="1671">
        <v>172300</v>
      </c>
      <c r="L49" s="1702">
        <v>285800</v>
      </c>
      <c r="M49" s="1702">
        <v>569500</v>
      </c>
      <c r="N49" s="1671">
        <v>16100</v>
      </c>
      <c r="O49" s="1671">
        <v>16100</v>
      </c>
      <c r="P49" s="1671">
        <v>19100</v>
      </c>
      <c r="Q49" s="1671">
        <v>19100</v>
      </c>
      <c r="R49" s="1671">
        <v>29100</v>
      </c>
      <c r="S49" s="1671">
        <v>37600</v>
      </c>
      <c r="T49" s="1671">
        <v>66800</v>
      </c>
      <c r="U49" s="1703">
        <v>119000</v>
      </c>
      <c r="V49" s="1703">
        <v>231000</v>
      </c>
      <c r="W49" s="1671">
        <v>118200</v>
      </c>
      <c r="X49" s="1703">
        <v>196000</v>
      </c>
      <c r="Y49" s="1703">
        <v>390600</v>
      </c>
      <c r="Z49" s="1671">
        <v>15000</v>
      </c>
      <c r="AA49" s="1671">
        <v>15000</v>
      </c>
      <c r="AB49" s="1671">
        <v>17800</v>
      </c>
      <c r="AC49" s="1671">
        <v>17800</v>
      </c>
      <c r="AD49" s="1671">
        <v>27400</v>
      </c>
      <c r="AE49" s="1671">
        <v>35500</v>
      </c>
      <c r="AF49" s="1671">
        <v>64800</v>
      </c>
      <c r="AG49" s="1704" t="s">
        <v>561</v>
      </c>
      <c r="AH49" s="1704" t="s">
        <v>561</v>
      </c>
      <c r="AI49" s="1671">
        <v>137800</v>
      </c>
      <c r="AJ49" s="1704" t="s">
        <v>561</v>
      </c>
      <c r="AK49" s="1704" t="s">
        <v>561</v>
      </c>
      <c r="AL49" s="1671">
        <v>12800</v>
      </c>
      <c r="AM49" s="1671">
        <v>12800</v>
      </c>
      <c r="AN49" s="1671">
        <v>15200</v>
      </c>
      <c r="AO49" s="1671">
        <v>15200</v>
      </c>
      <c r="AP49" s="1671">
        <v>23200</v>
      </c>
      <c r="AQ49" s="1671">
        <v>30000</v>
      </c>
      <c r="AR49" s="1671">
        <v>53400</v>
      </c>
      <c r="AS49" s="1704" t="s">
        <v>561</v>
      </c>
      <c r="AT49" s="1704" t="s">
        <v>561</v>
      </c>
      <c r="AU49" s="1671">
        <v>94500</v>
      </c>
      <c r="AV49" s="1704" t="s">
        <v>561</v>
      </c>
      <c r="AW49" s="1704" t="s">
        <v>561</v>
      </c>
      <c r="AX49" s="1671">
        <v>14000</v>
      </c>
      <c r="AY49" s="1671">
        <v>14000</v>
      </c>
      <c r="AZ49" s="1671">
        <v>16900</v>
      </c>
      <c r="BA49" s="1671">
        <v>16900</v>
      </c>
      <c r="BB49" s="1671">
        <v>25700</v>
      </c>
      <c r="BC49" s="1671">
        <v>33500</v>
      </c>
      <c r="BD49" s="1671">
        <v>71200</v>
      </c>
      <c r="BE49" s="1704" t="s">
        <v>561</v>
      </c>
      <c r="BF49" s="1704" t="s">
        <v>561</v>
      </c>
      <c r="BG49" s="1671">
        <v>145900</v>
      </c>
      <c r="BH49" s="1704" t="s">
        <v>561</v>
      </c>
      <c r="BI49" s="1704" t="s">
        <v>561</v>
      </c>
      <c r="BJ49" s="1671">
        <v>11900</v>
      </c>
      <c r="BK49" s="1671">
        <v>11900</v>
      </c>
      <c r="BL49" s="1671">
        <v>14500</v>
      </c>
      <c r="BM49" s="1671">
        <v>14500</v>
      </c>
      <c r="BN49" s="1671">
        <v>21700</v>
      </c>
      <c r="BO49" s="1671">
        <v>28200</v>
      </c>
      <c r="BP49" s="1671">
        <v>58100</v>
      </c>
      <c r="BQ49" s="1704" t="s">
        <v>561</v>
      </c>
      <c r="BR49" s="1704" t="s">
        <v>561</v>
      </c>
      <c r="BS49" s="1671">
        <v>100000</v>
      </c>
      <c r="BT49" s="1704" t="s">
        <v>561</v>
      </c>
      <c r="BU49" s="1704" t="s">
        <v>561</v>
      </c>
    </row>
    <row r="50" spans="1:73" s="942" customFormat="1" ht="18.5">
      <c r="A50" s="1695">
        <v>37</v>
      </c>
      <c r="B50" s="1671">
        <v>19100</v>
      </c>
      <c r="C50" s="1671">
        <v>19100</v>
      </c>
      <c r="D50" s="1671">
        <v>22600</v>
      </c>
      <c r="E50" s="1671">
        <v>22600</v>
      </c>
      <c r="F50" s="1671">
        <v>34800</v>
      </c>
      <c r="G50" s="1671">
        <v>45100</v>
      </c>
      <c r="H50" s="1671">
        <v>82000</v>
      </c>
      <c r="I50" s="1702">
        <v>146000</v>
      </c>
      <c r="J50" s="1702">
        <v>283200</v>
      </c>
      <c r="K50" s="1671">
        <v>174100</v>
      </c>
      <c r="L50" s="1702">
        <v>288800</v>
      </c>
      <c r="M50" s="1702">
        <v>575400</v>
      </c>
      <c r="N50" s="1671">
        <v>16400</v>
      </c>
      <c r="O50" s="1671">
        <v>16400</v>
      </c>
      <c r="P50" s="1671">
        <v>19500</v>
      </c>
      <c r="Q50" s="1671">
        <v>19500</v>
      </c>
      <c r="R50" s="1671">
        <v>29600</v>
      </c>
      <c r="S50" s="1671">
        <v>38200</v>
      </c>
      <c r="T50" s="1671">
        <v>67500</v>
      </c>
      <c r="U50" s="1703">
        <v>120300</v>
      </c>
      <c r="V50" s="1703">
        <v>233300</v>
      </c>
      <c r="W50" s="1671">
        <v>119000</v>
      </c>
      <c r="X50" s="1703">
        <v>197400</v>
      </c>
      <c r="Y50" s="1703">
        <v>393200</v>
      </c>
      <c r="Z50" s="1671">
        <v>15200</v>
      </c>
      <c r="AA50" s="1671">
        <v>15200</v>
      </c>
      <c r="AB50" s="1671">
        <v>18000</v>
      </c>
      <c r="AC50" s="1671">
        <v>18000</v>
      </c>
      <c r="AD50" s="1671">
        <v>27800</v>
      </c>
      <c r="AE50" s="1671">
        <v>36000</v>
      </c>
      <c r="AF50" s="1671">
        <v>65600</v>
      </c>
      <c r="AG50" s="1704" t="s">
        <v>561</v>
      </c>
      <c r="AH50" s="1704" t="s">
        <v>561</v>
      </c>
      <c r="AI50" s="1671">
        <v>139200</v>
      </c>
      <c r="AJ50" s="1704" t="s">
        <v>561</v>
      </c>
      <c r="AK50" s="1704" t="s">
        <v>561</v>
      </c>
      <c r="AL50" s="1671">
        <v>13100</v>
      </c>
      <c r="AM50" s="1671">
        <v>13100</v>
      </c>
      <c r="AN50" s="1671">
        <v>15600</v>
      </c>
      <c r="AO50" s="1671">
        <v>15600</v>
      </c>
      <c r="AP50" s="1671">
        <v>23600</v>
      </c>
      <c r="AQ50" s="1671">
        <v>30500</v>
      </c>
      <c r="AR50" s="1671">
        <v>54000</v>
      </c>
      <c r="AS50" s="1704" t="s">
        <v>561</v>
      </c>
      <c r="AT50" s="1704" t="s">
        <v>561</v>
      </c>
      <c r="AU50" s="1671">
        <v>95200</v>
      </c>
      <c r="AV50" s="1704" t="s">
        <v>561</v>
      </c>
      <c r="AW50" s="1704" t="s">
        <v>561</v>
      </c>
      <c r="AX50" s="1671">
        <v>14200</v>
      </c>
      <c r="AY50" s="1671">
        <v>14200</v>
      </c>
      <c r="AZ50" s="1671">
        <v>17200</v>
      </c>
      <c r="BA50" s="1671">
        <v>17200</v>
      </c>
      <c r="BB50" s="1671">
        <v>26100</v>
      </c>
      <c r="BC50" s="1671">
        <v>34000</v>
      </c>
      <c r="BD50" s="1671">
        <v>72100</v>
      </c>
      <c r="BE50" s="1704" t="s">
        <v>561</v>
      </c>
      <c r="BF50" s="1704" t="s">
        <v>561</v>
      </c>
      <c r="BG50" s="1671">
        <v>147400</v>
      </c>
      <c r="BH50" s="1704" t="s">
        <v>561</v>
      </c>
      <c r="BI50" s="1704" t="s">
        <v>561</v>
      </c>
      <c r="BJ50" s="1671">
        <v>12200</v>
      </c>
      <c r="BK50" s="1671">
        <v>12200</v>
      </c>
      <c r="BL50" s="1671">
        <v>14800</v>
      </c>
      <c r="BM50" s="1671">
        <v>14800</v>
      </c>
      <c r="BN50" s="1671">
        <v>22000</v>
      </c>
      <c r="BO50" s="1671">
        <v>28600</v>
      </c>
      <c r="BP50" s="1671">
        <v>58600</v>
      </c>
      <c r="BQ50" s="1704" t="s">
        <v>561</v>
      </c>
      <c r="BR50" s="1704" t="s">
        <v>561</v>
      </c>
      <c r="BS50" s="1671">
        <v>100500</v>
      </c>
      <c r="BT50" s="1704" t="s">
        <v>561</v>
      </c>
      <c r="BU50" s="1704" t="s">
        <v>561</v>
      </c>
    </row>
    <row r="51" spans="1:73" s="942" customFormat="1" ht="18.5">
      <c r="A51" s="1695">
        <v>38</v>
      </c>
      <c r="B51" s="1671">
        <v>19400</v>
      </c>
      <c r="C51" s="1671">
        <v>19400</v>
      </c>
      <c r="D51" s="1671">
        <v>23000</v>
      </c>
      <c r="E51" s="1671">
        <v>23000</v>
      </c>
      <c r="F51" s="1671">
        <v>35300</v>
      </c>
      <c r="G51" s="1671">
        <v>45700</v>
      </c>
      <c r="H51" s="1671">
        <v>82900</v>
      </c>
      <c r="I51" s="1702">
        <v>147700</v>
      </c>
      <c r="J51" s="1702">
        <v>286500</v>
      </c>
      <c r="K51" s="1671">
        <v>175900</v>
      </c>
      <c r="L51" s="1702">
        <v>291800</v>
      </c>
      <c r="M51" s="1702">
        <v>581400</v>
      </c>
      <c r="N51" s="1671">
        <v>16700</v>
      </c>
      <c r="O51" s="1671">
        <v>16700</v>
      </c>
      <c r="P51" s="1671">
        <v>19900</v>
      </c>
      <c r="Q51" s="1671">
        <v>19900</v>
      </c>
      <c r="R51" s="1671">
        <v>30000</v>
      </c>
      <c r="S51" s="1671">
        <v>38800</v>
      </c>
      <c r="T51" s="1671">
        <v>68200</v>
      </c>
      <c r="U51" s="1703">
        <v>121500</v>
      </c>
      <c r="V51" s="1703">
        <v>235700</v>
      </c>
      <c r="W51" s="1671">
        <v>119700</v>
      </c>
      <c r="X51" s="1703">
        <v>198700</v>
      </c>
      <c r="Y51" s="1703">
        <v>395800</v>
      </c>
      <c r="Z51" s="1671">
        <v>15500</v>
      </c>
      <c r="AA51" s="1671">
        <v>15500</v>
      </c>
      <c r="AB51" s="1671">
        <v>18400</v>
      </c>
      <c r="AC51" s="1671">
        <v>18400</v>
      </c>
      <c r="AD51" s="1671">
        <v>28200</v>
      </c>
      <c r="AE51" s="1671">
        <v>36500</v>
      </c>
      <c r="AF51" s="1671">
        <v>66300</v>
      </c>
      <c r="AG51" s="1704" t="s">
        <v>561</v>
      </c>
      <c r="AH51" s="1704" t="s">
        <v>561</v>
      </c>
      <c r="AI51" s="1671">
        <v>140700</v>
      </c>
      <c r="AJ51" s="1704" t="s">
        <v>561</v>
      </c>
      <c r="AK51" s="1704" t="s">
        <v>561</v>
      </c>
      <c r="AL51" s="1671">
        <v>13300</v>
      </c>
      <c r="AM51" s="1671">
        <v>13300</v>
      </c>
      <c r="AN51" s="1671">
        <v>15900</v>
      </c>
      <c r="AO51" s="1671">
        <v>15900</v>
      </c>
      <c r="AP51" s="1671">
        <v>24000</v>
      </c>
      <c r="AQ51" s="1671">
        <v>31000</v>
      </c>
      <c r="AR51" s="1671">
        <v>54500</v>
      </c>
      <c r="AS51" s="1704" t="s">
        <v>561</v>
      </c>
      <c r="AT51" s="1704" t="s">
        <v>561</v>
      </c>
      <c r="AU51" s="1671">
        <v>95700</v>
      </c>
      <c r="AV51" s="1704" t="s">
        <v>561</v>
      </c>
      <c r="AW51" s="1704" t="s">
        <v>561</v>
      </c>
      <c r="AX51" s="1671">
        <v>14400</v>
      </c>
      <c r="AY51" s="1671">
        <v>14400</v>
      </c>
      <c r="AZ51" s="1671">
        <v>17500</v>
      </c>
      <c r="BA51" s="1671">
        <v>17500</v>
      </c>
      <c r="BB51" s="1671">
        <v>26500</v>
      </c>
      <c r="BC51" s="1671">
        <v>34500</v>
      </c>
      <c r="BD51" s="1671">
        <v>72900</v>
      </c>
      <c r="BE51" s="1704" t="s">
        <v>561</v>
      </c>
      <c r="BF51" s="1704" t="s">
        <v>561</v>
      </c>
      <c r="BG51" s="1671">
        <v>148900</v>
      </c>
      <c r="BH51" s="1704" t="s">
        <v>561</v>
      </c>
      <c r="BI51" s="1704" t="s">
        <v>561</v>
      </c>
      <c r="BJ51" s="1671">
        <v>12400</v>
      </c>
      <c r="BK51" s="1671">
        <v>12400</v>
      </c>
      <c r="BL51" s="1671">
        <v>15100</v>
      </c>
      <c r="BM51" s="1671">
        <v>15100</v>
      </c>
      <c r="BN51" s="1671">
        <v>22400</v>
      </c>
      <c r="BO51" s="1671">
        <v>29000</v>
      </c>
      <c r="BP51" s="1671">
        <v>59100</v>
      </c>
      <c r="BQ51" s="1704" t="s">
        <v>561</v>
      </c>
      <c r="BR51" s="1704" t="s">
        <v>561</v>
      </c>
      <c r="BS51" s="1671">
        <v>100900</v>
      </c>
      <c r="BT51" s="1704" t="s">
        <v>561</v>
      </c>
      <c r="BU51" s="1704" t="s">
        <v>561</v>
      </c>
    </row>
    <row r="52" spans="1:73" s="942" customFormat="1" ht="18.5">
      <c r="A52" s="1695">
        <v>39</v>
      </c>
      <c r="B52" s="1671">
        <v>19700</v>
      </c>
      <c r="C52" s="1671">
        <v>19700</v>
      </c>
      <c r="D52" s="1671">
        <v>23400</v>
      </c>
      <c r="E52" s="1671">
        <v>23400</v>
      </c>
      <c r="F52" s="1671">
        <v>35900</v>
      </c>
      <c r="G52" s="1671">
        <v>46400</v>
      </c>
      <c r="H52" s="1671">
        <v>84000</v>
      </c>
      <c r="I52" s="1702">
        <v>149600</v>
      </c>
      <c r="J52" s="1702">
        <v>290300</v>
      </c>
      <c r="K52" s="1671">
        <v>178100</v>
      </c>
      <c r="L52" s="1702">
        <v>295400</v>
      </c>
      <c r="M52" s="1702">
        <v>588600</v>
      </c>
      <c r="N52" s="1671">
        <v>17200</v>
      </c>
      <c r="O52" s="1671">
        <v>17200</v>
      </c>
      <c r="P52" s="1671">
        <v>20400</v>
      </c>
      <c r="Q52" s="1671">
        <v>20400</v>
      </c>
      <c r="R52" s="1671">
        <v>30800</v>
      </c>
      <c r="S52" s="1671">
        <v>39800</v>
      </c>
      <c r="T52" s="1671">
        <v>69700</v>
      </c>
      <c r="U52" s="1703">
        <v>124200</v>
      </c>
      <c r="V52" s="1703">
        <v>240900</v>
      </c>
      <c r="W52" s="1671">
        <v>122600</v>
      </c>
      <c r="X52" s="1703">
        <v>203500</v>
      </c>
      <c r="Y52" s="1703">
        <v>405400</v>
      </c>
      <c r="Z52" s="1671">
        <v>15700</v>
      </c>
      <c r="AA52" s="1671">
        <v>15700</v>
      </c>
      <c r="AB52" s="1671">
        <v>18700</v>
      </c>
      <c r="AC52" s="1671">
        <v>18700</v>
      </c>
      <c r="AD52" s="1671">
        <v>28700</v>
      </c>
      <c r="AE52" s="1671">
        <v>37100</v>
      </c>
      <c r="AF52" s="1671">
        <v>67200</v>
      </c>
      <c r="AG52" s="1704" t="s">
        <v>561</v>
      </c>
      <c r="AH52" s="1704" t="s">
        <v>561</v>
      </c>
      <c r="AI52" s="1671">
        <v>142400</v>
      </c>
      <c r="AJ52" s="1704" t="s">
        <v>561</v>
      </c>
      <c r="AK52" s="1704" t="s">
        <v>561</v>
      </c>
      <c r="AL52" s="1671">
        <v>13700</v>
      </c>
      <c r="AM52" s="1671">
        <v>13700</v>
      </c>
      <c r="AN52" s="1671">
        <v>16300</v>
      </c>
      <c r="AO52" s="1671">
        <v>16300</v>
      </c>
      <c r="AP52" s="1671">
        <v>24600</v>
      </c>
      <c r="AQ52" s="1671">
        <v>31800</v>
      </c>
      <c r="AR52" s="1671">
        <v>55700</v>
      </c>
      <c r="AS52" s="1704" t="s">
        <v>561</v>
      </c>
      <c r="AT52" s="1704" t="s">
        <v>561</v>
      </c>
      <c r="AU52" s="1671">
        <v>98000</v>
      </c>
      <c r="AV52" s="1704" t="s">
        <v>561</v>
      </c>
      <c r="AW52" s="1704" t="s">
        <v>561</v>
      </c>
      <c r="AX52" s="1671">
        <v>14700</v>
      </c>
      <c r="AY52" s="1671">
        <v>14700</v>
      </c>
      <c r="AZ52" s="1671">
        <v>17800</v>
      </c>
      <c r="BA52" s="1671">
        <v>17800</v>
      </c>
      <c r="BB52" s="1671">
        <v>27000</v>
      </c>
      <c r="BC52" s="1671">
        <v>35100</v>
      </c>
      <c r="BD52" s="1671">
        <v>73900</v>
      </c>
      <c r="BE52" s="1704" t="s">
        <v>561</v>
      </c>
      <c r="BF52" s="1704" t="s">
        <v>561</v>
      </c>
      <c r="BG52" s="1671">
        <v>150800</v>
      </c>
      <c r="BH52" s="1704" t="s">
        <v>561</v>
      </c>
      <c r="BI52" s="1704" t="s">
        <v>561</v>
      </c>
      <c r="BJ52" s="1671">
        <v>12800</v>
      </c>
      <c r="BK52" s="1671">
        <v>12800</v>
      </c>
      <c r="BL52" s="1671">
        <v>15500</v>
      </c>
      <c r="BM52" s="1671">
        <v>15500</v>
      </c>
      <c r="BN52" s="1671">
        <v>23000</v>
      </c>
      <c r="BO52" s="1671">
        <v>29800</v>
      </c>
      <c r="BP52" s="1671">
        <v>60400</v>
      </c>
      <c r="BQ52" s="1704" t="s">
        <v>561</v>
      </c>
      <c r="BR52" s="1704" t="s">
        <v>561</v>
      </c>
      <c r="BS52" s="1671">
        <v>103400</v>
      </c>
      <c r="BT52" s="1704" t="s">
        <v>561</v>
      </c>
      <c r="BU52" s="1704" t="s">
        <v>561</v>
      </c>
    </row>
    <row r="53" spans="1:73" s="942" customFormat="1" ht="18.5">
      <c r="A53" s="1695">
        <v>40</v>
      </c>
      <c r="B53" s="1671">
        <v>20100</v>
      </c>
      <c r="C53" s="1671">
        <v>20100</v>
      </c>
      <c r="D53" s="1671">
        <v>23800</v>
      </c>
      <c r="E53" s="1671">
        <v>23800</v>
      </c>
      <c r="F53" s="1671">
        <v>36400</v>
      </c>
      <c r="G53" s="1671">
        <v>47100</v>
      </c>
      <c r="H53" s="1671">
        <v>85100</v>
      </c>
      <c r="I53" s="1702">
        <v>151600</v>
      </c>
      <c r="J53" s="1702">
        <v>294100</v>
      </c>
      <c r="K53" s="1671">
        <v>180300</v>
      </c>
      <c r="L53" s="1702">
        <v>299100</v>
      </c>
      <c r="M53" s="1702">
        <v>595900</v>
      </c>
      <c r="N53" s="1671">
        <v>17700</v>
      </c>
      <c r="O53" s="1671">
        <v>17700</v>
      </c>
      <c r="P53" s="1671">
        <v>21000</v>
      </c>
      <c r="Q53" s="1671">
        <v>21000</v>
      </c>
      <c r="R53" s="1671">
        <v>31700</v>
      </c>
      <c r="S53" s="1671">
        <v>40900</v>
      </c>
      <c r="T53" s="1671">
        <v>71300</v>
      </c>
      <c r="U53" s="1703">
        <v>126900</v>
      </c>
      <c r="V53" s="1703">
        <v>246200</v>
      </c>
      <c r="W53" s="1671">
        <v>125500</v>
      </c>
      <c r="X53" s="1703">
        <v>208300</v>
      </c>
      <c r="Y53" s="1703">
        <v>415000</v>
      </c>
      <c r="Z53" s="1671">
        <v>16000</v>
      </c>
      <c r="AA53" s="1671">
        <v>16000</v>
      </c>
      <c r="AB53" s="1671">
        <v>19000</v>
      </c>
      <c r="AC53" s="1671">
        <v>19000</v>
      </c>
      <c r="AD53" s="1671">
        <v>29100</v>
      </c>
      <c r="AE53" s="1671">
        <v>37600</v>
      </c>
      <c r="AF53" s="1671">
        <v>68000</v>
      </c>
      <c r="AG53" s="1704" t="s">
        <v>561</v>
      </c>
      <c r="AH53" s="1704" t="s">
        <v>561</v>
      </c>
      <c r="AI53" s="1671">
        <v>144200</v>
      </c>
      <c r="AJ53" s="1704" t="s">
        <v>561</v>
      </c>
      <c r="AK53" s="1704" t="s">
        <v>561</v>
      </c>
      <c r="AL53" s="1671">
        <v>14100</v>
      </c>
      <c r="AM53" s="1671">
        <v>14100</v>
      </c>
      <c r="AN53" s="1671">
        <v>16800</v>
      </c>
      <c r="AO53" s="1671">
        <v>16800</v>
      </c>
      <c r="AP53" s="1671">
        <v>25300</v>
      </c>
      <c r="AQ53" s="1671">
        <v>32700</v>
      </c>
      <c r="AR53" s="1671">
        <v>57000</v>
      </c>
      <c r="AS53" s="1704" t="s">
        <v>561</v>
      </c>
      <c r="AT53" s="1704" t="s">
        <v>561</v>
      </c>
      <c r="AU53" s="1671">
        <v>100400</v>
      </c>
      <c r="AV53" s="1704" t="s">
        <v>561</v>
      </c>
      <c r="AW53" s="1704" t="s">
        <v>561</v>
      </c>
      <c r="AX53" s="1671">
        <v>15000</v>
      </c>
      <c r="AY53" s="1671">
        <v>15000</v>
      </c>
      <c r="AZ53" s="1671">
        <v>18200</v>
      </c>
      <c r="BA53" s="1671">
        <v>18200</v>
      </c>
      <c r="BB53" s="1671">
        <v>27400</v>
      </c>
      <c r="BC53" s="1671">
        <v>35700</v>
      </c>
      <c r="BD53" s="1671">
        <v>74900</v>
      </c>
      <c r="BE53" s="1704" t="s">
        <v>561</v>
      </c>
      <c r="BF53" s="1704" t="s">
        <v>561</v>
      </c>
      <c r="BG53" s="1671">
        <v>152800</v>
      </c>
      <c r="BH53" s="1704" t="s">
        <v>561</v>
      </c>
      <c r="BI53" s="1704" t="s">
        <v>561</v>
      </c>
      <c r="BJ53" s="1671">
        <v>13200</v>
      </c>
      <c r="BK53" s="1671">
        <v>13200</v>
      </c>
      <c r="BL53" s="1671">
        <v>16000</v>
      </c>
      <c r="BM53" s="1671">
        <v>16000</v>
      </c>
      <c r="BN53" s="1671">
        <v>23700</v>
      </c>
      <c r="BO53" s="1671">
        <v>30600</v>
      </c>
      <c r="BP53" s="1671">
        <v>61700</v>
      </c>
      <c r="BQ53" s="1704" t="s">
        <v>561</v>
      </c>
      <c r="BR53" s="1704" t="s">
        <v>561</v>
      </c>
      <c r="BS53" s="1671">
        <v>105900</v>
      </c>
      <c r="BT53" s="1704" t="s">
        <v>561</v>
      </c>
      <c r="BU53" s="1704" t="s">
        <v>561</v>
      </c>
    </row>
    <row r="54" spans="1:73" s="942" customFormat="1" ht="18.5">
      <c r="A54" s="1695">
        <v>41</v>
      </c>
      <c r="B54" s="1671">
        <v>20400</v>
      </c>
      <c r="C54" s="1671">
        <v>20400</v>
      </c>
      <c r="D54" s="1671">
        <v>24200</v>
      </c>
      <c r="E54" s="1671">
        <v>24200</v>
      </c>
      <c r="F54" s="1671">
        <v>37000</v>
      </c>
      <c r="G54" s="1671">
        <v>47800</v>
      </c>
      <c r="H54" s="1671">
        <v>86200</v>
      </c>
      <c r="I54" s="1702">
        <v>153600</v>
      </c>
      <c r="J54" s="1702">
        <v>297900</v>
      </c>
      <c r="K54" s="1671">
        <v>182500</v>
      </c>
      <c r="L54" s="1702">
        <v>302700</v>
      </c>
      <c r="M54" s="1702">
        <v>603100</v>
      </c>
      <c r="N54" s="1671">
        <v>18200</v>
      </c>
      <c r="O54" s="1671">
        <v>18200</v>
      </c>
      <c r="P54" s="1671">
        <v>21600</v>
      </c>
      <c r="Q54" s="1671">
        <v>21600</v>
      </c>
      <c r="R54" s="1671">
        <v>32500</v>
      </c>
      <c r="S54" s="1671">
        <v>41900</v>
      </c>
      <c r="T54" s="1671">
        <v>72800</v>
      </c>
      <c r="U54" s="1703">
        <v>129600</v>
      </c>
      <c r="V54" s="1703">
        <v>251400</v>
      </c>
      <c r="W54" s="1671">
        <v>128400</v>
      </c>
      <c r="X54" s="1703">
        <v>213100</v>
      </c>
      <c r="Y54" s="1703">
        <v>424600</v>
      </c>
      <c r="Z54" s="1671">
        <v>16300</v>
      </c>
      <c r="AA54" s="1671">
        <v>16300</v>
      </c>
      <c r="AB54" s="1671">
        <v>19300</v>
      </c>
      <c r="AC54" s="1671">
        <v>19300</v>
      </c>
      <c r="AD54" s="1671">
        <v>29600</v>
      </c>
      <c r="AE54" s="1671">
        <v>38200</v>
      </c>
      <c r="AF54" s="1671">
        <v>68900</v>
      </c>
      <c r="AG54" s="1704" t="s">
        <v>561</v>
      </c>
      <c r="AH54" s="1704" t="s">
        <v>561</v>
      </c>
      <c r="AI54" s="1671">
        <v>146000</v>
      </c>
      <c r="AJ54" s="1704" t="s">
        <v>561</v>
      </c>
      <c r="AK54" s="1704" t="s">
        <v>561</v>
      </c>
      <c r="AL54" s="1671">
        <v>14500</v>
      </c>
      <c r="AM54" s="1671">
        <v>14500</v>
      </c>
      <c r="AN54" s="1671">
        <v>17200</v>
      </c>
      <c r="AO54" s="1671">
        <v>17200</v>
      </c>
      <c r="AP54" s="1671">
        <v>26000</v>
      </c>
      <c r="AQ54" s="1671">
        <v>33500</v>
      </c>
      <c r="AR54" s="1671">
        <v>58200</v>
      </c>
      <c r="AS54" s="1704" t="s">
        <v>561</v>
      </c>
      <c r="AT54" s="1704" t="s">
        <v>561</v>
      </c>
      <c r="AU54" s="1671">
        <v>102700</v>
      </c>
      <c r="AV54" s="1704" t="s">
        <v>561</v>
      </c>
      <c r="AW54" s="1704" t="s">
        <v>561</v>
      </c>
      <c r="AX54" s="1671">
        <v>15300</v>
      </c>
      <c r="AY54" s="1671">
        <v>15300</v>
      </c>
      <c r="AZ54" s="1671">
        <v>18500</v>
      </c>
      <c r="BA54" s="1671">
        <v>18500</v>
      </c>
      <c r="BB54" s="1671">
        <v>27900</v>
      </c>
      <c r="BC54" s="1671">
        <v>36200</v>
      </c>
      <c r="BD54" s="1671">
        <v>75900</v>
      </c>
      <c r="BE54" s="1704" t="s">
        <v>561</v>
      </c>
      <c r="BF54" s="1704" t="s">
        <v>561</v>
      </c>
      <c r="BG54" s="1671">
        <v>154700</v>
      </c>
      <c r="BH54" s="1704" t="s">
        <v>561</v>
      </c>
      <c r="BI54" s="1704" t="s">
        <v>561</v>
      </c>
      <c r="BJ54" s="1671">
        <v>13600</v>
      </c>
      <c r="BK54" s="1671">
        <v>13600</v>
      </c>
      <c r="BL54" s="1671">
        <v>16500</v>
      </c>
      <c r="BM54" s="1671">
        <v>16500</v>
      </c>
      <c r="BN54" s="1671">
        <v>24300</v>
      </c>
      <c r="BO54" s="1671">
        <v>31400</v>
      </c>
      <c r="BP54" s="1671">
        <v>63000</v>
      </c>
      <c r="BQ54" s="1704" t="s">
        <v>561</v>
      </c>
      <c r="BR54" s="1704" t="s">
        <v>561</v>
      </c>
      <c r="BS54" s="1671">
        <v>108300</v>
      </c>
      <c r="BT54" s="1704" t="s">
        <v>561</v>
      </c>
      <c r="BU54" s="1704" t="s">
        <v>561</v>
      </c>
    </row>
    <row r="55" spans="1:73" s="942" customFormat="1" ht="18.5">
      <c r="A55" s="1695">
        <v>42</v>
      </c>
      <c r="B55" s="1671">
        <v>20700</v>
      </c>
      <c r="C55" s="1671">
        <v>20700</v>
      </c>
      <c r="D55" s="1671">
        <v>24500</v>
      </c>
      <c r="E55" s="1671">
        <v>24500</v>
      </c>
      <c r="F55" s="1671">
        <v>37600</v>
      </c>
      <c r="G55" s="1671">
        <v>48500</v>
      </c>
      <c r="H55" s="1671">
        <v>87300</v>
      </c>
      <c r="I55" s="1702">
        <v>155500</v>
      </c>
      <c r="J55" s="1702">
        <v>301700</v>
      </c>
      <c r="K55" s="1671">
        <v>184600</v>
      </c>
      <c r="L55" s="1702">
        <v>306300</v>
      </c>
      <c r="M55" s="1702">
        <v>610300</v>
      </c>
      <c r="N55" s="1671">
        <v>18700</v>
      </c>
      <c r="O55" s="1671">
        <v>18700</v>
      </c>
      <c r="P55" s="1671">
        <v>22100</v>
      </c>
      <c r="Q55" s="1671">
        <v>22100</v>
      </c>
      <c r="R55" s="1671">
        <v>33300</v>
      </c>
      <c r="S55" s="1671">
        <v>42900</v>
      </c>
      <c r="T55" s="1671">
        <v>74300</v>
      </c>
      <c r="U55" s="1703">
        <v>132300</v>
      </c>
      <c r="V55" s="1703">
        <v>256600</v>
      </c>
      <c r="W55" s="1671">
        <v>131300</v>
      </c>
      <c r="X55" s="1703">
        <v>217900</v>
      </c>
      <c r="Y55" s="1703">
        <v>434200</v>
      </c>
      <c r="Z55" s="1671">
        <v>16500</v>
      </c>
      <c r="AA55" s="1671">
        <v>16500</v>
      </c>
      <c r="AB55" s="1671">
        <v>19600</v>
      </c>
      <c r="AC55" s="1671">
        <v>19600</v>
      </c>
      <c r="AD55" s="1671">
        <v>30000</v>
      </c>
      <c r="AE55" s="1671">
        <v>38800</v>
      </c>
      <c r="AF55" s="1671">
        <v>69800</v>
      </c>
      <c r="AG55" s="1704" t="s">
        <v>561</v>
      </c>
      <c r="AH55" s="1704" t="s">
        <v>561</v>
      </c>
      <c r="AI55" s="1671">
        <v>147600</v>
      </c>
      <c r="AJ55" s="1704" t="s">
        <v>561</v>
      </c>
      <c r="AK55" s="1704" t="s">
        <v>561</v>
      </c>
      <c r="AL55" s="1671">
        <v>14900</v>
      </c>
      <c r="AM55" s="1671">
        <v>14900</v>
      </c>
      <c r="AN55" s="1671">
        <v>17600</v>
      </c>
      <c r="AO55" s="1671">
        <v>17600</v>
      </c>
      <c r="AP55" s="1671">
        <v>26600</v>
      </c>
      <c r="AQ55" s="1671">
        <v>34300</v>
      </c>
      <c r="AR55" s="1671">
        <v>59400</v>
      </c>
      <c r="AS55" s="1704" t="s">
        <v>561</v>
      </c>
      <c r="AT55" s="1704" t="s">
        <v>561</v>
      </c>
      <c r="AU55" s="1671">
        <v>105000</v>
      </c>
      <c r="AV55" s="1704" t="s">
        <v>561</v>
      </c>
      <c r="AW55" s="1704" t="s">
        <v>561</v>
      </c>
      <c r="AX55" s="1671">
        <v>15600</v>
      </c>
      <c r="AY55" s="1671">
        <v>15600</v>
      </c>
      <c r="AZ55" s="1671">
        <v>18800</v>
      </c>
      <c r="BA55" s="1671">
        <v>18800</v>
      </c>
      <c r="BB55" s="1671">
        <v>28400</v>
      </c>
      <c r="BC55" s="1671">
        <v>36800</v>
      </c>
      <c r="BD55" s="1671">
        <v>76900</v>
      </c>
      <c r="BE55" s="1704" t="s">
        <v>561</v>
      </c>
      <c r="BF55" s="1704" t="s">
        <v>561</v>
      </c>
      <c r="BG55" s="1671">
        <v>156600</v>
      </c>
      <c r="BH55" s="1704" t="s">
        <v>561</v>
      </c>
      <c r="BI55" s="1704" t="s">
        <v>561</v>
      </c>
      <c r="BJ55" s="1671">
        <v>14000</v>
      </c>
      <c r="BK55" s="1671">
        <v>14000</v>
      </c>
      <c r="BL55" s="1671">
        <v>16900</v>
      </c>
      <c r="BM55" s="1671">
        <v>16900</v>
      </c>
      <c r="BN55" s="1671">
        <v>24900</v>
      </c>
      <c r="BO55" s="1671">
        <v>32300</v>
      </c>
      <c r="BP55" s="1671">
        <v>64300</v>
      </c>
      <c r="BQ55" s="1704" t="s">
        <v>561</v>
      </c>
      <c r="BR55" s="1704" t="s">
        <v>561</v>
      </c>
      <c r="BS55" s="1671">
        <v>110800</v>
      </c>
      <c r="BT55" s="1704" t="s">
        <v>561</v>
      </c>
      <c r="BU55" s="1704" t="s">
        <v>561</v>
      </c>
    </row>
    <row r="56" spans="1:73" s="942" customFormat="1" ht="18.5">
      <c r="A56" s="1695">
        <v>43</v>
      </c>
      <c r="B56" s="1671">
        <v>21100</v>
      </c>
      <c r="C56" s="1671">
        <v>21100</v>
      </c>
      <c r="D56" s="1671">
        <v>24900</v>
      </c>
      <c r="E56" s="1671">
        <v>24900</v>
      </c>
      <c r="F56" s="1671">
        <v>38100</v>
      </c>
      <c r="G56" s="1671">
        <v>49200</v>
      </c>
      <c r="H56" s="1671">
        <v>88400</v>
      </c>
      <c r="I56" s="1702">
        <v>157500</v>
      </c>
      <c r="J56" s="1702">
        <v>305500</v>
      </c>
      <c r="K56" s="1671">
        <v>186800</v>
      </c>
      <c r="L56" s="1702">
        <v>309900</v>
      </c>
      <c r="M56" s="1702">
        <v>617600</v>
      </c>
      <c r="N56" s="1671">
        <v>19200</v>
      </c>
      <c r="O56" s="1671">
        <v>19200</v>
      </c>
      <c r="P56" s="1671">
        <v>22700</v>
      </c>
      <c r="Q56" s="1671">
        <v>22700</v>
      </c>
      <c r="R56" s="1671">
        <v>34100</v>
      </c>
      <c r="S56" s="1671">
        <v>43900</v>
      </c>
      <c r="T56" s="1671">
        <v>75800</v>
      </c>
      <c r="U56" s="1703">
        <v>135000</v>
      </c>
      <c r="V56" s="1703">
        <v>261800</v>
      </c>
      <c r="W56" s="1671">
        <v>134300</v>
      </c>
      <c r="X56" s="1703">
        <v>222700</v>
      </c>
      <c r="Y56" s="1703">
        <v>443800</v>
      </c>
      <c r="Z56" s="1671">
        <v>16800</v>
      </c>
      <c r="AA56" s="1671">
        <v>16800</v>
      </c>
      <c r="AB56" s="1671">
        <v>19900</v>
      </c>
      <c r="AC56" s="1671">
        <v>19900</v>
      </c>
      <c r="AD56" s="1671">
        <v>30400</v>
      </c>
      <c r="AE56" s="1671">
        <v>39300</v>
      </c>
      <c r="AF56" s="1671">
        <v>70700</v>
      </c>
      <c r="AG56" s="1704" t="s">
        <v>561</v>
      </c>
      <c r="AH56" s="1704" t="s">
        <v>561</v>
      </c>
      <c r="AI56" s="1671">
        <v>149400</v>
      </c>
      <c r="AJ56" s="1704" t="s">
        <v>561</v>
      </c>
      <c r="AK56" s="1704" t="s">
        <v>561</v>
      </c>
      <c r="AL56" s="1671">
        <v>15300</v>
      </c>
      <c r="AM56" s="1671">
        <v>15300</v>
      </c>
      <c r="AN56" s="1671">
        <v>18100</v>
      </c>
      <c r="AO56" s="1671">
        <v>18100</v>
      </c>
      <c r="AP56" s="1671">
        <v>27200</v>
      </c>
      <c r="AQ56" s="1671">
        <v>35100</v>
      </c>
      <c r="AR56" s="1671">
        <v>60600</v>
      </c>
      <c r="AS56" s="1704" t="s">
        <v>561</v>
      </c>
      <c r="AT56" s="1704" t="s">
        <v>561</v>
      </c>
      <c r="AU56" s="1671">
        <v>107400</v>
      </c>
      <c r="AV56" s="1704" t="s">
        <v>561</v>
      </c>
      <c r="AW56" s="1704" t="s">
        <v>561</v>
      </c>
      <c r="AX56" s="1671">
        <v>15900</v>
      </c>
      <c r="AY56" s="1671">
        <v>15900</v>
      </c>
      <c r="AZ56" s="1671">
        <v>19200</v>
      </c>
      <c r="BA56" s="1671">
        <v>19200</v>
      </c>
      <c r="BB56" s="1671">
        <v>28800</v>
      </c>
      <c r="BC56" s="1671">
        <v>37400</v>
      </c>
      <c r="BD56" s="1671">
        <v>77900</v>
      </c>
      <c r="BE56" s="1704" t="s">
        <v>561</v>
      </c>
      <c r="BF56" s="1704" t="s">
        <v>561</v>
      </c>
      <c r="BG56" s="1671">
        <v>158500</v>
      </c>
      <c r="BH56" s="1704" t="s">
        <v>561</v>
      </c>
      <c r="BI56" s="1704" t="s">
        <v>561</v>
      </c>
      <c r="BJ56" s="1671">
        <v>14400</v>
      </c>
      <c r="BK56" s="1671">
        <v>14400</v>
      </c>
      <c r="BL56" s="1671">
        <v>17400</v>
      </c>
      <c r="BM56" s="1671">
        <v>17400</v>
      </c>
      <c r="BN56" s="1671">
        <v>25600</v>
      </c>
      <c r="BO56" s="1671">
        <v>33100</v>
      </c>
      <c r="BP56" s="1671">
        <v>65600</v>
      </c>
      <c r="BQ56" s="1704" t="s">
        <v>561</v>
      </c>
      <c r="BR56" s="1704" t="s">
        <v>561</v>
      </c>
      <c r="BS56" s="1671">
        <v>113300</v>
      </c>
      <c r="BT56" s="1704" t="s">
        <v>561</v>
      </c>
      <c r="BU56" s="1704" t="s">
        <v>561</v>
      </c>
    </row>
    <row r="57" spans="1:73" s="942" customFormat="1" ht="18.5">
      <c r="A57" s="1695">
        <v>44</v>
      </c>
      <c r="B57" s="1671">
        <v>21900</v>
      </c>
      <c r="C57" s="1671">
        <v>21900</v>
      </c>
      <c r="D57" s="1671">
        <v>25800</v>
      </c>
      <c r="E57" s="1671">
        <v>25800</v>
      </c>
      <c r="F57" s="1671">
        <v>39500</v>
      </c>
      <c r="G57" s="1671">
        <v>51000</v>
      </c>
      <c r="H57" s="1671">
        <v>91400</v>
      </c>
      <c r="I57" s="1702">
        <v>162800</v>
      </c>
      <c r="J57" s="1702">
        <v>315900</v>
      </c>
      <c r="K57" s="1671">
        <v>193200</v>
      </c>
      <c r="L57" s="1702">
        <v>320500</v>
      </c>
      <c r="M57" s="1702">
        <v>638500</v>
      </c>
      <c r="N57" s="1671">
        <v>19800</v>
      </c>
      <c r="O57" s="1671">
        <v>19800</v>
      </c>
      <c r="P57" s="1671">
        <v>23400</v>
      </c>
      <c r="Q57" s="1671">
        <v>23400</v>
      </c>
      <c r="R57" s="1671">
        <v>35100</v>
      </c>
      <c r="S57" s="1671">
        <v>45200</v>
      </c>
      <c r="T57" s="1671">
        <v>77400</v>
      </c>
      <c r="U57" s="1703">
        <v>137800</v>
      </c>
      <c r="V57" s="1703">
        <v>267300</v>
      </c>
      <c r="W57" s="1671">
        <v>136700</v>
      </c>
      <c r="X57" s="1703">
        <v>226700</v>
      </c>
      <c r="Y57" s="1703">
        <v>451700</v>
      </c>
      <c r="Z57" s="1671">
        <v>17500</v>
      </c>
      <c r="AA57" s="1671">
        <v>17500</v>
      </c>
      <c r="AB57" s="1671">
        <v>20600</v>
      </c>
      <c r="AC57" s="1671">
        <v>20600</v>
      </c>
      <c r="AD57" s="1671">
        <v>31600</v>
      </c>
      <c r="AE57" s="1671">
        <v>40800</v>
      </c>
      <c r="AF57" s="1671">
        <v>73100</v>
      </c>
      <c r="AG57" s="1704" t="s">
        <v>561</v>
      </c>
      <c r="AH57" s="1704" t="s">
        <v>561</v>
      </c>
      <c r="AI57" s="1671">
        <v>154500</v>
      </c>
      <c r="AJ57" s="1704" t="s">
        <v>561</v>
      </c>
      <c r="AK57" s="1704" t="s">
        <v>561</v>
      </c>
      <c r="AL57" s="1671">
        <v>15800</v>
      </c>
      <c r="AM57" s="1671">
        <v>15800</v>
      </c>
      <c r="AN57" s="1671">
        <v>18700</v>
      </c>
      <c r="AO57" s="1671">
        <v>18700</v>
      </c>
      <c r="AP57" s="1671">
        <v>28000</v>
      </c>
      <c r="AQ57" s="1671">
        <v>36100</v>
      </c>
      <c r="AR57" s="1671">
        <v>61900</v>
      </c>
      <c r="AS57" s="1704" t="s">
        <v>561</v>
      </c>
      <c r="AT57" s="1704" t="s">
        <v>561</v>
      </c>
      <c r="AU57" s="1671">
        <v>109300</v>
      </c>
      <c r="AV57" s="1704" t="s">
        <v>561</v>
      </c>
      <c r="AW57" s="1704" t="s">
        <v>561</v>
      </c>
      <c r="AX57" s="1671">
        <v>16500</v>
      </c>
      <c r="AY57" s="1671">
        <v>16500</v>
      </c>
      <c r="AZ57" s="1671">
        <v>19900</v>
      </c>
      <c r="BA57" s="1671">
        <v>19900</v>
      </c>
      <c r="BB57" s="1671">
        <v>29900</v>
      </c>
      <c r="BC57" s="1671">
        <v>38800</v>
      </c>
      <c r="BD57" s="1671">
        <v>80600</v>
      </c>
      <c r="BE57" s="1704" t="s">
        <v>561</v>
      </c>
      <c r="BF57" s="1704" t="s">
        <v>561</v>
      </c>
      <c r="BG57" s="1671">
        <v>164000</v>
      </c>
      <c r="BH57" s="1704" t="s">
        <v>561</v>
      </c>
      <c r="BI57" s="1704" t="s">
        <v>561</v>
      </c>
      <c r="BJ57" s="1671">
        <v>14900</v>
      </c>
      <c r="BK57" s="1671">
        <v>14900</v>
      </c>
      <c r="BL57" s="1671">
        <v>18000</v>
      </c>
      <c r="BM57" s="1671">
        <v>18000</v>
      </c>
      <c r="BN57" s="1671">
        <v>26300</v>
      </c>
      <c r="BO57" s="1671">
        <v>34000</v>
      </c>
      <c r="BP57" s="1671">
        <v>66900</v>
      </c>
      <c r="BQ57" s="1704" t="s">
        <v>561</v>
      </c>
      <c r="BR57" s="1704" t="s">
        <v>561</v>
      </c>
      <c r="BS57" s="1671">
        <v>115000</v>
      </c>
      <c r="BT57" s="1704" t="s">
        <v>561</v>
      </c>
      <c r="BU57" s="1704" t="s">
        <v>561</v>
      </c>
    </row>
    <row r="58" spans="1:73" s="942" customFormat="1" ht="18.5">
      <c r="A58" s="1695">
        <v>45</v>
      </c>
      <c r="B58" s="1671">
        <v>22600</v>
      </c>
      <c r="C58" s="1671">
        <v>22600</v>
      </c>
      <c r="D58" s="1671">
        <v>26700</v>
      </c>
      <c r="E58" s="1671">
        <v>26700</v>
      </c>
      <c r="F58" s="1671">
        <v>40900</v>
      </c>
      <c r="G58" s="1671">
        <v>52900</v>
      </c>
      <c r="H58" s="1671">
        <v>94400</v>
      </c>
      <c r="I58" s="1702">
        <v>168200</v>
      </c>
      <c r="J58" s="1702">
        <v>326200</v>
      </c>
      <c r="K58" s="1671">
        <v>199500</v>
      </c>
      <c r="L58" s="1702">
        <v>331000</v>
      </c>
      <c r="M58" s="1702">
        <v>659500</v>
      </c>
      <c r="N58" s="1671">
        <v>20400</v>
      </c>
      <c r="O58" s="1671">
        <v>20400</v>
      </c>
      <c r="P58" s="1671">
        <v>24100</v>
      </c>
      <c r="Q58" s="1671">
        <v>24100</v>
      </c>
      <c r="R58" s="1671">
        <v>36000</v>
      </c>
      <c r="S58" s="1671">
        <v>46400</v>
      </c>
      <c r="T58" s="1671">
        <v>79000</v>
      </c>
      <c r="U58" s="1703">
        <v>140600</v>
      </c>
      <c r="V58" s="1703">
        <v>272800</v>
      </c>
      <c r="W58" s="1671">
        <v>139100</v>
      </c>
      <c r="X58" s="1703">
        <v>230700</v>
      </c>
      <c r="Y58" s="1703">
        <v>459600</v>
      </c>
      <c r="Z58" s="1671">
        <v>18000</v>
      </c>
      <c r="AA58" s="1671">
        <v>18000</v>
      </c>
      <c r="AB58" s="1671">
        <v>21300</v>
      </c>
      <c r="AC58" s="1671">
        <v>21300</v>
      </c>
      <c r="AD58" s="1671">
        <v>32700</v>
      </c>
      <c r="AE58" s="1671">
        <v>42300</v>
      </c>
      <c r="AF58" s="1671">
        <v>75500</v>
      </c>
      <c r="AG58" s="1704" t="s">
        <v>561</v>
      </c>
      <c r="AH58" s="1704" t="s">
        <v>561</v>
      </c>
      <c r="AI58" s="1671">
        <v>159600</v>
      </c>
      <c r="AJ58" s="1704" t="s">
        <v>561</v>
      </c>
      <c r="AK58" s="1704" t="s">
        <v>561</v>
      </c>
      <c r="AL58" s="1671">
        <v>16300</v>
      </c>
      <c r="AM58" s="1671">
        <v>16300</v>
      </c>
      <c r="AN58" s="1671">
        <v>19200</v>
      </c>
      <c r="AO58" s="1671">
        <v>19200</v>
      </c>
      <c r="AP58" s="1671">
        <v>28800</v>
      </c>
      <c r="AQ58" s="1671">
        <v>37100</v>
      </c>
      <c r="AR58" s="1671">
        <v>63200</v>
      </c>
      <c r="AS58" s="1704" t="s">
        <v>561</v>
      </c>
      <c r="AT58" s="1704" t="s">
        <v>561</v>
      </c>
      <c r="AU58" s="1671">
        <v>111200</v>
      </c>
      <c r="AV58" s="1704" t="s">
        <v>561</v>
      </c>
      <c r="AW58" s="1704" t="s">
        <v>561</v>
      </c>
      <c r="AX58" s="1671">
        <v>17100</v>
      </c>
      <c r="AY58" s="1671">
        <v>17100</v>
      </c>
      <c r="AZ58" s="1671">
        <v>20600</v>
      </c>
      <c r="BA58" s="1671">
        <v>20600</v>
      </c>
      <c r="BB58" s="1671">
        <v>31000</v>
      </c>
      <c r="BC58" s="1671">
        <v>40200</v>
      </c>
      <c r="BD58" s="1671">
        <v>83400</v>
      </c>
      <c r="BE58" s="1704" t="s">
        <v>561</v>
      </c>
      <c r="BF58" s="1704" t="s">
        <v>561</v>
      </c>
      <c r="BG58" s="1671">
        <v>169500</v>
      </c>
      <c r="BH58" s="1704" t="s">
        <v>561</v>
      </c>
      <c r="BI58" s="1704" t="s">
        <v>561</v>
      </c>
      <c r="BJ58" s="1671">
        <v>15400</v>
      </c>
      <c r="BK58" s="1671">
        <v>15400</v>
      </c>
      <c r="BL58" s="1671">
        <v>18600</v>
      </c>
      <c r="BM58" s="1671">
        <v>18600</v>
      </c>
      <c r="BN58" s="1671">
        <v>27100</v>
      </c>
      <c r="BO58" s="1671">
        <v>34900</v>
      </c>
      <c r="BP58" s="1671">
        <v>68100</v>
      </c>
      <c r="BQ58" s="1704" t="s">
        <v>561</v>
      </c>
      <c r="BR58" s="1704" t="s">
        <v>561</v>
      </c>
      <c r="BS58" s="1671">
        <v>116800</v>
      </c>
      <c r="BT58" s="1704" t="s">
        <v>561</v>
      </c>
      <c r="BU58" s="1704" t="s">
        <v>561</v>
      </c>
    </row>
    <row r="59" spans="1:73" s="942" customFormat="1" ht="18.5">
      <c r="A59" s="1695">
        <v>46</v>
      </c>
      <c r="B59" s="1671">
        <v>23400</v>
      </c>
      <c r="C59" s="1671">
        <v>23400</v>
      </c>
      <c r="D59" s="1671">
        <v>27700</v>
      </c>
      <c r="E59" s="1671">
        <v>27700</v>
      </c>
      <c r="F59" s="1671">
        <v>42300</v>
      </c>
      <c r="G59" s="1671">
        <v>54700</v>
      </c>
      <c r="H59" s="1671">
        <v>97400</v>
      </c>
      <c r="I59" s="1702">
        <v>173500</v>
      </c>
      <c r="J59" s="1702">
        <v>336600</v>
      </c>
      <c r="K59" s="1671">
        <v>205900</v>
      </c>
      <c r="L59" s="1702">
        <v>341500</v>
      </c>
      <c r="M59" s="1702">
        <v>680500</v>
      </c>
      <c r="N59" s="1671">
        <v>21100</v>
      </c>
      <c r="O59" s="1671">
        <v>21100</v>
      </c>
      <c r="P59" s="1671">
        <v>24900</v>
      </c>
      <c r="Q59" s="1671">
        <v>24900</v>
      </c>
      <c r="R59" s="1671">
        <v>37000</v>
      </c>
      <c r="S59" s="1671">
        <v>47600</v>
      </c>
      <c r="T59" s="1671">
        <v>80500</v>
      </c>
      <c r="U59" s="1703">
        <v>143400</v>
      </c>
      <c r="V59" s="1703">
        <v>278300</v>
      </c>
      <c r="W59" s="1671">
        <v>141500</v>
      </c>
      <c r="X59" s="1703">
        <v>234700</v>
      </c>
      <c r="Y59" s="1703">
        <v>467600</v>
      </c>
      <c r="Z59" s="1671">
        <v>18700</v>
      </c>
      <c r="AA59" s="1671">
        <v>18700</v>
      </c>
      <c r="AB59" s="1671">
        <v>22100</v>
      </c>
      <c r="AC59" s="1671">
        <v>22100</v>
      </c>
      <c r="AD59" s="1671">
        <v>33800</v>
      </c>
      <c r="AE59" s="1671">
        <v>43700</v>
      </c>
      <c r="AF59" s="1671">
        <v>77900</v>
      </c>
      <c r="AG59" s="1704" t="s">
        <v>561</v>
      </c>
      <c r="AH59" s="1704" t="s">
        <v>561</v>
      </c>
      <c r="AI59" s="1671">
        <v>164700</v>
      </c>
      <c r="AJ59" s="1704" t="s">
        <v>561</v>
      </c>
      <c r="AK59" s="1704" t="s">
        <v>561</v>
      </c>
      <c r="AL59" s="1671">
        <v>16800</v>
      </c>
      <c r="AM59" s="1671">
        <v>16800</v>
      </c>
      <c r="AN59" s="1671">
        <v>19900</v>
      </c>
      <c r="AO59" s="1671">
        <v>19900</v>
      </c>
      <c r="AP59" s="1671">
        <v>29600</v>
      </c>
      <c r="AQ59" s="1671">
        <v>38000</v>
      </c>
      <c r="AR59" s="1671">
        <v>64400</v>
      </c>
      <c r="AS59" s="1704" t="s">
        <v>561</v>
      </c>
      <c r="AT59" s="1704" t="s">
        <v>561</v>
      </c>
      <c r="AU59" s="1671">
        <v>113200</v>
      </c>
      <c r="AV59" s="1704" t="s">
        <v>561</v>
      </c>
      <c r="AW59" s="1704" t="s">
        <v>561</v>
      </c>
      <c r="AX59" s="1671">
        <v>17700</v>
      </c>
      <c r="AY59" s="1671">
        <v>17700</v>
      </c>
      <c r="AZ59" s="1671">
        <v>21300</v>
      </c>
      <c r="BA59" s="1671">
        <v>21300</v>
      </c>
      <c r="BB59" s="1671">
        <v>32200</v>
      </c>
      <c r="BC59" s="1671">
        <v>41600</v>
      </c>
      <c r="BD59" s="1671">
        <v>86100</v>
      </c>
      <c r="BE59" s="1704" t="s">
        <v>561</v>
      </c>
      <c r="BF59" s="1704" t="s">
        <v>561</v>
      </c>
      <c r="BG59" s="1671">
        <v>175100</v>
      </c>
      <c r="BH59" s="1704" t="s">
        <v>561</v>
      </c>
      <c r="BI59" s="1704" t="s">
        <v>561</v>
      </c>
      <c r="BJ59" s="1671">
        <v>15900</v>
      </c>
      <c r="BK59" s="1671">
        <v>15900</v>
      </c>
      <c r="BL59" s="1671">
        <v>19200</v>
      </c>
      <c r="BM59" s="1671">
        <v>19200</v>
      </c>
      <c r="BN59" s="1671">
        <v>27800</v>
      </c>
      <c r="BO59" s="1671">
        <v>35800</v>
      </c>
      <c r="BP59" s="1671">
        <v>69300</v>
      </c>
      <c r="BQ59" s="1704" t="s">
        <v>561</v>
      </c>
      <c r="BR59" s="1704" t="s">
        <v>561</v>
      </c>
      <c r="BS59" s="1671">
        <v>118600</v>
      </c>
      <c r="BT59" s="1704" t="s">
        <v>561</v>
      </c>
      <c r="BU59" s="1704" t="s">
        <v>561</v>
      </c>
    </row>
    <row r="60" spans="1:73" s="942" customFormat="1" ht="18.5">
      <c r="A60" s="1695">
        <v>47</v>
      </c>
      <c r="B60" s="1671">
        <v>24200</v>
      </c>
      <c r="C60" s="1671">
        <v>24200</v>
      </c>
      <c r="D60" s="1671">
        <v>28600</v>
      </c>
      <c r="E60" s="1671">
        <v>28600</v>
      </c>
      <c r="F60" s="1671">
        <v>43800</v>
      </c>
      <c r="G60" s="1671">
        <v>56500</v>
      </c>
      <c r="H60" s="1671">
        <v>100400</v>
      </c>
      <c r="I60" s="1702">
        <v>178800</v>
      </c>
      <c r="J60" s="1702">
        <v>347000</v>
      </c>
      <c r="K60" s="1671">
        <v>212200</v>
      </c>
      <c r="L60" s="1702">
        <v>352100</v>
      </c>
      <c r="M60" s="1702">
        <v>701500</v>
      </c>
      <c r="N60" s="1671">
        <v>21700</v>
      </c>
      <c r="O60" s="1671">
        <v>21700</v>
      </c>
      <c r="P60" s="1671">
        <v>25600</v>
      </c>
      <c r="Q60" s="1671">
        <v>25600</v>
      </c>
      <c r="R60" s="1671">
        <v>38000</v>
      </c>
      <c r="S60" s="1671">
        <v>48800</v>
      </c>
      <c r="T60" s="1671">
        <v>82100</v>
      </c>
      <c r="U60" s="1703">
        <v>146200</v>
      </c>
      <c r="V60" s="1703">
        <v>283700</v>
      </c>
      <c r="W60" s="1671">
        <v>143800</v>
      </c>
      <c r="X60" s="1703">
        <v>238700</v>
      </c>
      <c r="Y60" s="1703">
        <v>475500</v>
      </c>
      <c r="Z60" s="1671">
        <v>19300</v>
      </c>
      <c r="AA60" s="1671">
        <v>19300</v>
      </c>
      <c r="AB60" s="1671">
        <v>22800</v>
      </c>
      <c r="AC60" s="1671">
        <v>22800</v>
      </c>
      <c r="AD60" s="1671">
        <v>35000</v>
      </c>
      <c r="AE60" s="1671">
        <v>45200</v>
      </c>
      <c r="AF60" s="1671">
        <v>80300</v>
      </c>
      <c r="AG60" s="1704" t="s">
        <v>561</v>
      </c>
      <c r="AH60" s="1704" t="s">
        <v>561</v>
      </c>
      <c r="AI60" s="1671">
        <v>169700</v>
      </c>
      <c r="AJ60" s="1704" t="s">
        <v>561</v>
      </c>
      <c r="AK60" s="1704" t="s">
        <v>561</v>
      </c>
      <c r="AL60" s="1671">
        <v>17300</v>
      </c>
      <c r="AM60" s="1671">
        <v>17300</v>
      </c>
      <c r="AN60" s="1671">
        <v>20400</v>
      </c>
      <c r="AO60" s="1671">
        <v>20400</v>
      </c>
      <c r="AP60" s="1671">
        <v>30400</v>
      </c>
      <c r="AQ60" s="1671">
        <v>39000</v>
      </c>
      <c r="AR60" s="1671">
        <v>65600</v>
      </c>
      <c r="AS60" s="1704" t="s">
        <v>561</v>
      </c>
      <c r="AT60" s="1704" t="s">
        <v>561</v>
      </c>
      <c r="AU60" s="1671">
        <v>115000</v>
      </c>
      <c r="AV60" s="1704" t="s">
        <v>561</v>
      </c>
      <c r="AW60" s="1704" t="s">
        <v>561</v>
      </c>
      <c r="AX60" s="1671">
        <v>18300</v>
      </c>
      <c r="AY60" s="1671">
        <v>18300</v>
      </c>
      <c r="AZ60" s="1671">
        <v>22000</v>
      </c>
      <c r="BA60" s="1671">
        <v>22000</v>
      </c>
      <c r="BB60" s="1671">
        <v>33300</v>
      </c>
      <c r="BC60" s="1671">
        <v>43100</v>
      </c>
      <c r="BD60" s="1671">
        <v>88800</v>
      </c>
      <c r="BE60" s="1704" t="s">
        <v>561</v>
      </c>
      <c r="BF60" s="1704" t="s">
        <v>561</v>
      </c>
      <c r="BG60" s="1671">
        <v>180600</v>
      </c>
      <c r="BH60" s="1704" t="s">
        <v>561</v>
      </c>
      <c r="BI60" s="1704" t="s">
        <v>561</v>
      </c>
      <c r="BJ60" s="1671">
        <v>16400</v>
      </c>
      <c r="BK60" s="1671">
        <v>16400</v>
      </c>
      <c r="BL60" s="1671">
        <v>19800</v>
      </c>
      <c r="BM60" s="1671">
        <v>19800</v>
      </c>
      <c r="BN60" s="1671">
        <v>28500</v>
      </c>
      <c r="BO60" s="1671">
        <v>36700</v>
      </c>
      <c r="BP60" s="1671">
        <v>70600</v>
      </c>
      <c r="BQ60" s="1704" t="s">
        <v>561</v>
      </c>
      <c r="BR60" s="1704" t="s">
        <v>561</v>
      </c>
      <c r="BS60" s="1671">
        <v>120400</v>
      </c>
      <c r="BT60" s="1704" t="s">
        <v>561</v>
      </c>
      <c r="BU60" s="1704" t="s">
        <v>561</v>
      </c>
    </row>
    <row r="61" spans="1:73" s="942" customFormat="1" ht="18.5">
      <c r="A61" s="1695">
        <v>48</v>
      </c>
      <c r="B61" s="1671">
        <v>25000</v>
      </c>
      <c r="C61" s="1671">
        <v>25000</v>
      </c>
      <c r="D61" s="1671">
        <v>29500</v>
      </c>
      <c r="E61" s="1671">
        <v>29500</v>
      </c>
      <c r="F61" s="1671">
        <v>45200</v>
      </c>
      <c r="G61" s="1671">
        <v>58300</v>
      </c>
      <c r="H61" s="1671">
        <v>103400</v>
      </c>
      <c r="I61" s="1702">
        <v>184200</v>
      </c>
      <c r="J61" s="1702">
        <v>357300</v>
      </c>
      <c r="K61" s="1671">
        <v>218600</v>
      </c>
      <c r="L61" s="1702">
        <v>362600</v>
      </c>
      <c r="M61" s="1702">
        <v>722500</v>
      </c>
      <c r="N61" s="1671">
        <v>22300</v>
      </c>
      <c r="O61" s="1671">
        <v>22300</v>
      </c>
      <c r="P61" s="1671">
        <v>26300</v>
      </c>
      <c r="Q61" s="1671">
        <v>26300</v>
      </c>
      <c r="R61" s="1671">
        <v>39000</v>
      </c>
      <c r="S61" s="1671">
        <v>50000</v>
      </c>
      <c r="T61" s="1671">
        <v>83700</v>
      </c>
      <c r="U61" s="1703">
        <v>149100</v>
      </c>
      <c r="V61" s="1703">
        <v>289200</v>
      </c>
      <c r="W61" s="1671">
        <v>146200</v>
      </c>
      <c r="X61" s="1703">
        <v>242600</v>
      </c>
      <c r="Y61" s="1703">
        <v>483400</v>
      </c>
      <c r="Z61" s="1671">
        <v>20000</v>
      </c>
      <c r="AA61" s="1671">
        <v>20000</v>
      </c>
      <c r="AB61" s="1671">
        <v>23600</v>
      </c>
      <c r="AC61" s="1671">
        <v>23600</v>
      </c>
      <c r="AD61" s="1671">
        <v>36100</v>
      </c>
      <c r="AE61" s="1671">
        <v>46600</v>
      </c>
      <c r="AF61" s="1671">
        <v>82700</v>
      </c>
      <c r="AG61" s="1704" t="s">
        <v>561</v>
      </c>
      <c r="AH61" s="1704" t="s">
        <v>561</v>
      </c>
      <c r="AI61" s="1671">
        <v>174800</v>
      </c>
      <c r="AJ61" s="1704" t="s">
        <v>561</v>
      </c>
      <c r="AK61" s="1704" t="s">
        <v>561</v>
      </c>
      <c r="AL61" s="1671">
        <v>17800</v>
      </c>
      <c r="AM61" s="1671">
        <v>17800</v>
      </c>
      <c r="AN61" s="1671">
        <v>21000</v>
      </c>
      <c r="AO61" s="1671">
        <v>21000</v>
      </c>
      <c r="AP61" s="1671">
        <v>31200</v>
      </c>
      <c r="AQ61" s="1671">
        <v>40000</v>
      </c>
      <c r="AR61" s="1671">
        <v>66900</v>
      </c>
      <c r="AS61" s="1704" t="s">
        <v>561</v>
      </c>
      <c r="AT61" s="1704" t="s">
        <v>561</v>
      </c>
      <c r="AU61" s="1671">
        <v>116900</v>
      </c>
      <c r="AV61" s="1704" t="s">
        <v>561</v>
      </c>
      <c r="AW61" s="1704" t="s">
        <v>561</v>
      </c>
      <c r="AX61" s="1671">
        <v>18900</v>
      </c>
      <c r="AY61" s="1671">
        <v>18900</v>
      </c>
      <c r="AZ61" s="1671">
        <v>22800</v>
      </c>
      <c r="BA61" s="1671">
        <v>22800</v>
      </c>
      <c r="BB61" s="1671">
        <v>34400</v>
      </c>
      <c r="BC61" s="1671">
        <v>44500</v>
      </c>
      <c r="BD61" s="1671">
        <v>91600</v>
      </c>
      <c r="BE61" s="1704" t="s">
        <v>561</v>
      </c>
      <c r="BF61" s="1704" t="s">
        <v>561</v>
      </c>
      <c r="BG61" s="1671">
        <v>186100</v>
      </c>
      <c r="BH61" s="1704" t="s">
        <v>561</v>
      </c>
      <c r="BI61" s="1704" t="s">
        <v>561</v>
      </c>
      <c r="BJ61" s="1671">
        <v>16900</v>
      </c>
      <c r="BK61" s="1671">
        <v>16900</v>
      </c>
      <c r="BL61" s="1671">
        <v>20400</v>
      </c>
      <c r="BM61" s="1671">
        <v>20400</v>
      </c>
      <c r="BN61" s="1671">
        <v>29300</v>
      </c>
      <c r="BO61" s="1671">
        <v>37600</v>
      </c>
      <c r="BP61" s="1671">
        <v>71800</v>
      </c>
      <c r="BQ61" s="1704" t="s">
        <v>561</v>
      </c>
      <c r="BR61" s="1704" t="s">
        <v>561</v>
      </c>
      <c r="BS61" s="1671">
        <v>122100</v>
      </c>
      <c r="BT61" s="1704" t="s">
        <v>561</v>
      </c>
      <c r="BU61" s="1704" t="s">
        <v>561</v>
      </c>
    </row>
    <row r="62" spans="1:73" s="942" customFormat="1" ht="18.5">
      <c r="A62" s="1695">
        <v>49</v>
      </c>
      <c r="B62" s="1671">
        <v>26400</v>
      </c>
      <c r="C62" s="1671">
        <v>26400</v>
      </c>
      <c r="D62" s="1671">
        <v>31200</v>
      </c>
      <c r="E62" s="1671">
        <v>31200</v>
      </c>
      <c r="F62" s="1671">
        <v>47600</v>
      </c>
      <c r="G62" s="1671">
        <v>61500</v>
      </c>
      <c r="H62" s="1671">
        <v>108100</v>
      </c>
      <c r="I62" s="1702">
        <v>192500</v>
      </c>
      <c r="J62" s="1702">
        <v>373600</v>
      </c>
      <c r="K62" s="1671">
        <v>226900</v>
      </c>
      <c r="L62" s="1702">
        <v>376400</v>
      </c>
      <c r="M62" s="1702">
        <v>749900</v>
      </c>
      <c r="N62" s="1671">
        <v>23600</v>
      </c>
      <c r="O62" s="1671">
        <v>23600</v>
      </c>
      <c r="P62" s="1671">
        <v>27900</v>
      </c>
      <c r="Q62" s="1671">
        <v>27900</v>
      </c>
      <c r="R62" s="1671">
        <v>41300</v>
      </c>
      <c r="S62" s="1671">
        <v>53000</v>
      </c>
      <c r="T62" s="1671">
        <v>88200</v>
      </c>
      <c r="U62" s="1703">
        <v>157100</v>
      </c>
      <c r="V62" s="1703">
        <v>304800</v>
      </c>
      <c r="W62" s="1671">
        <v>155400</v>
      </c>
      <c r="X62" s="1703">
        <v>257800</v>
      </c>
      <c r="Y62" s="1703">
        <v>513700</v>
      </c>
      <c r="Z62" s="1671">
        <v>21100</v>
      </c>
      <c r="AA62" s="1671">
        <v>21100</v>
      </c>
      <c r="AB62" s="1671">
        <v>24900</v>
      </c>
      <c r="AC62" s="1671">
        <v>24900</v>
      </c>
      <c r="AD62" s="1671">
        <v>38000</v>
      </c>
      <c r="AE62" s="1671">
        <v>49200</v>
      </c>
      <c r="AF62" s="1671">
        <v>86400</v>
      </c>
      <c r="AG62" s="1704" t="s">
        <v>561</v>
      </c>
      <c r="AH62" s="1704" t="s">
        <v>561</v>
      </c>
      <c r="AI62" s="1671">
        <v>181500</v>
      </c>
      <c r="AJ62" s="1704" t="s">
        <v>561</v>
      </c>
      <c r="AK62" s="1704" t="s">
        <v>561</v>
      </c>
      <c r="AL62" s="1671">
        <v>18800</v>
      </c>
      <c r="AM62" s="1671">
        <v>18800</v>
      </c>
      <c r="AN62" s="1671">
        <v>22300</v>
      </c>
      <c r="AO62" s="1671">
        <v>22300</v>
      </c>
      <c r="AP62" s="1671">
        <v>33000</v>
      </c>
      <c r="AQ62" s="1671">
        <v>42400</v>
      </c>
      <c r="AR62" s="1671">
        <v>70500</v>
      </c>
      <c r="AS62" s="1704" t="s">
        <v>561</v>
      </c>
      <c r="AT62" s="1704" t="s">
        <v>561</v>
      </c>
      <c r="AU62" s="1671">
        <v>124300</v>
      </c>
      <c r="AV62" s="1704" t="s">
        <v>561</v>
      </c>
      <c r="AW62" s="1704" t="s">
        <v>561</v>
      </c>
      <c r="AX62" s="1671">
        <v>20000</v>
      </c>
      <c r="AY62" s="1671">
        <v>20000</v>
      </c>
      <c r="AZ62" s="1671">
        <v>24100</v>
      </c>
      <c r="BA62" s="1671">
        <v>24100</v>
      </c>
      <c r="BB62" s="1671">
        <v>35900</v>
      </c>
      <c r="BC62" s="1671">
        <v>46800</v>
      </c>
      <c r="BD62" s="1671">
        <v>95500</v>
      </c>
      <c r="BE62" s="1704" t="s">
        <v>561</v>
      </c>
      <c r="BF62" s="1704" t="s">
        <v>561</v>
      </c>
      <c r="BG62" s="1671">
        <v>191000</v>
      </c>
      <c r="BH62" s="1704" t="s">
        <v>561</v>
      </c>
      <c r="BI62" s="1704" t="s">
        <v>561</v>
      </c>
      <c r="BJ62" s="1671">
        <v>18000</v>
      </c>
      <c r="BK62" s="1671">
        <v>18000</v>
      </c>
      <c r="BL62" s="1671">
        <v>21600</v>
      </c>
      <c r="BM62" s="1671">
        <v>21600</v>
      </c>
      <c r="BN62" s="1671">
        <v>31100</v>
      </c>
      <c r="BO62" s="1671">
        <v>39900</v>
      </c>
      <c r="BP62" s="1671">
        <v>75800</v>
      </c>
      <c r="BQ62" s="1704" t="s">
        <v>561</v>
      </c>
      <c r="BR62" s="1704" t="s">
        <v>561</v>
      </c>
      <c r="BS62" s="1671">
        <v>130100</v>
      </c>
      <c r="BT62" s="1704" t="s">
        <v>561</v>
      </c>
      <c r="BU62" s="1704" t="s">
        <v>561</v>
      </c>
    </row>
    <row r="63" spans="1:73" s="942" customFormat="1" ht="18.5">
      <c r="A63" s="1695">
        <v>50</v>
      </c>
      <c r="B63" s="1671">
        <v>27900</v>
      </c>
      <c r="C63" s="1671">
        <v>27900</v>
      </c>
      <c r="D63" s="1671">
        <v>32900</v>
      </c>
      <c r="E63" s="1671">
        <v>32900</v>
      </c>
      <c r="F63" s="1671">
        <v>50000</v>
      </c>
      <c r="G63" s="1671">
        <v>64600</v>
      </c>
      <c r="H63" s="1671">
        <v>112800</v>
      </c>
      <c r="I63" s="1702">
        <v>200900</v>
      </c>
      <c r="J63" s="1702">
        <v>389800</v>
      </c>
      <c r="K63" s="1671">
        <v>235200</v>
      </c>
      <c r="L63" s="1702">
        <v>390200</v>
      </c>
      <c r="M63" s="1702">
        <v>777400</v>
      </c>
      <c r="N63" s="1671">
        <v>25000</v>
      </c>
      <c r="O63" s="1671">
        <v>25000</v>
      </c>
      <c r="P63" s="1671">
        <v>29400</v>
      </c>
      <c r="Q63" s="1671">
        <v>29400</v>
      </c>
      <c r="R63" s="1671">
        <v>43600</v>
      </c>
      <c r="S63" s="1671">
        <v>55900</v>
      </c>
      <c r="T63" s="1671">
        <v>92700</v>
      </c>
      <c r="U63" s="1703">
        <v>165100</v>
      </c>
      <c r="V63" s="1703">
        <v>320400</v>
      </c>
      <c r="W63" s="1671">
        <v>164600</v>
      </c>
      <c r="X63" s="1703">
        <v>273000</v>
      </c>
      <c r="Y63" s="1703">
        <v>543900</v>
      </c>
      <c r="Z63" s="1671">
        <v>22300</v>
      </c>
      <c r="AA63" s="1671">
        <v>22300</v>
      </c>
      <c r="AB63" s="1671">
        <v>26300</v>
      </c>
      <c r="AC63" s="1671">
        <v>26300</v>
      </c>
      <c r="AD63" s="1671">
        <v>40000</v>
      </c>
      <c r="AE63" s="1671">
        <v>51600</v>
      </c>
      <c r="AF63" s="1671">
        <v>90200</v>
      </c>
      <c r="AG63" s="1704" t="s">
        <v>561</v>
      </c>
      <c r="AH63" s="1704" t="s">
        <v>561</v>
      </c>
      <c r="AI63" s="1671">
        <v>188100</v>
      </c>
      <c r="AJ63" s="1704" t="s">
        <v>561</v>
      </c>
      <c r="AK63" s="1704" t="s">
        <v>561</v>
      </c>
      <c r="AL63" s="1671">
        <v>20000</v>
      </c>
      <c r="AM63" s="1671">
        <v>20000</v>
      </c>
      <c r="AN63" s="1671">
        <v>23500</v>
      </c>
      <c r="AO63" s="1671">
        <v>23500</v>
      </c>
      <c r="AP63" s="1671">
        <v>34800</v>
      </c>
      <c r="AQ63" s="1671">
        <v>44700</v>
      </c>
      <c r="AR63" s="1671">
        <v>74100</v>
      </c>
      <c r="AS63" s="1704" t="s">
        <v>561</v>
      </c>
      <c r="AT63" s="1704" t="s">
        <v>561</v>
      </c>
      <c r="AU63" s="1671">
        <v>131600</v>
      </c>
      <c r="AV63" s="1704" t="s">
        <v>561</v>
      </c>
      <c r="AW63" s="1704" t="s">
        <v>561</v>
      </c>
      <c r="AX63" s="1671">
        <v>21100</v>
      </c>
      <c r="AY63" s="1671">
        <v>21100</v>
      </c>
      <c r="AZ63" s="1671">
        <v>25400</v>
      </c>
      <c r="BA63" s="1671">
        <v>25400</v>
      </c>
      <c r="BB63" s="1671">
        <v>37500</v>
      </c>
      <c r="BC63" s="1671">
        <v>49200</v>
      </c>
      <c r="BD63" s="1671">
        <v>99300</v>
      </c>
      <c r="BE63" s="1704" t="s">
        <v>561</v>
      </c>
      <c r="BF63" s="1704" t="s">
        <v>561</v>
      </c>
      <c r="BG63" s="1671">
        <v>195900</v>
      </c>
      <c r="BH63" s="1704" t="s">
        <v>561</v>
      </c>
      <c r="BI63" s="1704" t="s">
        <v>561</v>
      </c>
      <c r="BJ63" s="1671">
        <v>19000</v>
      </c>
      <c r="BK63" s="1671">
        <v>19000</v>
      </c>
      <c r="BL63" s="1671">
        <v>22800</v>
      </c>
      <c r="BM63" s="1671">
        <v>22800</v>
      </c>
      <c r="BN63" s="1671">
        <v>32900</v>
      </c>
      <c r="BO63" s="1671">
        <v>42200</v>
      </c>
      <c r="BP63" s="1671">
        <v>79700</v>
      </c>
      <c r="BQ63" s="1704" t="s">
        <v>561</v>
      </c>
      <c r="BR63" s="1704" t="s">
        <v>561</v>
      </c>
      <c r="BS63" s="1671">
        <v>138000</v>
      </c>
      <c r="BT63" s="1704" t="s">
        <v>561</v>
      </c>
      <c r="BU63" s="1704" t="s">
        <v>561</v>
      </c>
    </row>
    <row r="64" spans="1:73" s="942" customFormat="1" ht="18.5">
      <c r="A64" s="1695">
        <v>51</v>
      </c>
      <c r="B64" s="1671">
        <v>29300</v>
      </c>
      <c r="C64" s="1671">
        <v>29300</v>
      </c>
      <c r="D64" s="1671">
        <v>34600</v>
      </c>
      <c r="E64" s="1671">
        <v>34600</v>
      </c>
      <c r="F64" s="1671">
        <v>52400</v>
      </c>
      <c r="G64" s="1671">
        <v>67800</v>
      </c>
      <c r="H64" s="1671">
        <v>117500</v>
      </c>
      <c r="I64" s="1702">
        <v>209300</v>
      </c>
      <c r="J64" s="1702">
        <v>406100</v>
      </c>
      <c r="K64" s="1671">
        <v>243500</v>
      </c>
      <c r="L64" s="1702">
        <v>403900</v>
      </c>
      <c r="M64" s="1702">
        <v>804800</v>
      </c>
      <c r="N64" s="1671">
        <v>26300</v>
      </c>
      <c r="O64" s="1671">
        <v>26300</v>
      </c>
      <c r="P64" s="1671">
        <v>30900</v>
      </c>
      <c r="Q64" s="1671">
        <v>30900</v>
      </c>
      <c r="R64" s="1671">
        <v>45900</v>
      </c>
      <c r="S64" s="1671">
        <v>58900</v>
      </c>
      <c r="T64" s="1671">
        <v>97200</v>
      </c>
      <c r="U64" s="1703">
        <v>173200</v>
      </c>
      <c r="V64" s="1703">
        <v>336000</v>
      </c>
      <c r="W64" s="1671">
        <v>173700</v>
      </c>
      <c r="X64" s="1703">
        <v>288200</v>
      </c>
      <c r="Y64" s="1703">
        <v>574200</v>
      </c>
      <c r="Z64" s="1671">
        <v>23400</v>
      </c>
      <c r="AA64" s="1671">
        <v>23400</v>
      </c>
      <c r="AB64" s="1671">
        <v>27600</v>
      </c>
      <c r="AC64" s="1671">
        <v>27600</v>
      </c>
      <c r="AD64" s="1671">
        <v>41900</v>
      </c>
      <c r="AE64" s="1671">
        <v>54200</v>
      </c>
      <c r="AF64" s="1671">
        <v>94000</v>
      </c>
      <c r="AG64" s="1704" t="s">
        <v>561</v>
      </c>
      <c r="AH64" s="1704" t="s">
        <v>561</v>
      </c>
      <c r="AI64" s="1671">
        <v>194800</v>
      </c>
      <c r="AJ64" s="1704" t="s">
        <v>561</v>
      </c>
      <c r="AK64" s="1704" t="s">
        <v>561</v>
      </c>
      <c r="AL64" s="1671">
        <v>21000</v>
      </c>
      <c r="AM64" s="1671">
        <v>21000</v>
      </c>
      <c r="AN64" s="1671">
        <v>24700</v>
      </c>
      <c r="AO64" s="1671">
        <v>24700</v>
      </c>
      <c r="AP64" s="1671">
        <v>36700</v>
      </c>
      <c r="AQ64" s="1671">
        <v>47100</v>
      </c>
      <c r="AR64" s="1671">
        <v>77700</v>
      </c>
      <c r="AS64" s="1704" t="s">
        <v>561</v>
      </c>
      <c r="AT64" s="1704" t="s">
        <v>561</v>
      </c>
      <c r="AU64" s="1671">
        <v>138900</v>
      </c>
      <c r="AV64" s="1704" t="s">
        <v>561</v>
      </c>
      <c r="AW64" s="1704" t="s">
        <v>561</v>
      </c>
      <c r="AX64" s="1671">
        <v>22200</v>
      </c>
      <c r="AY64" s="1671">
        <v>22200</v>
      </c>
      <c r="AZ64" s="1671">
        <v>26700</v>
      </c>
      <c r="BA64" s="1671">
        <v>26700</v>
      </c>
      <c r="BB64" s="1671">
        <v>39100</v>
      </c>
      <c r="BC64" s="1671">
        <v>51500</v>
      </c>
      <c r="BD64" s="1671">
        <v>103200</v>
      </c>
      <c r="BE64" s="1704" t="s">
        <v>561</v>
      </c>
      <c r="BF64" s="1704" t="s">
        <v>561</v>
      </c>
      <c r="BG64" s="1671">
        <v>200800</v>
      </c>
      <c r="BH64" s="1704" t="s">
        <v>561</v>
      </c>
      <c r="BI64" s="1704" t="s">
        <v>561</v>
      </c>
      <c r="BJ64" s="1671">
        <v>20000</v>
      </c>
      <c r="BK64" s="1671">
        <v>20000</v>
      </c>
      <c r="BL64" s="1671">
        <v>24000</v>
      </c>
      <c r="BM64" s="1671">
        <v>24000</v>
      </c>
      <c r="BN64" s="1671">
        <v>34700</v>
      </c>
      <c r="BO64" s="1671">
        <v>44400</v>
      </c>
      <c r="BP64" s="1671">
        <v>83700</v>
      </c>
      <c r="BQ64" s="1704" t="s">
        <v>561</v>
      </c>
      <c r="BR64" s="1704" t="s">
        <v>561</v>
      </c>
      <c r="BS64" s="1671">
        <v>145900</v>
      </c>
      <c r="BT64" s="1704" t="s">
        <v>561</v>
      </c>
      <c r="BU64" s="1704" t="s">
        <v>561</v>
      </c>
    </row>
    <row r="65" spans="1:73" s="942" customFormat="1" ht="18.5">
      <c r="A65" s="1695">
        <v>52</v>
      </c>
      <c r="B65" s="1671">
        <v>30800</v>
      </c>
      <c r="C65" s="1671">
        <v>30800</v>
      </c>
      <c r="D65" s="1671">
        <v>36300</v>
      </c>
      <c r="E65" s="1671">
        <v>36300</v>
      </c>
      <c r="F65" s="1671">
        <v>54800</v>
      </c>
      <c r="G65" s="1671">
        <v>70900</v>
      </c>
      <c r="H65" s="1671">
        <v>122200</v>
      </c>
      <c r="I65" s="1702">
        <v>217700</v>
      </c>
      <c r="J65" s="1702">
        <v>422300</v>
      </c>
      <c r="K65" s="1671">
        <v>251800</v>
      </c>
      <c r="L65" s="1702">
        <v>417700</v>
      </c>
      <c r="M65" s="1702">
        <v>832300</v>
      </c>
      <c r="N65" s="1671">
        <v>27600</v>
      </c>
      <c r="O65" s="1671">
        <v>27600</v>
      </c>
      <c r="P65" s="1671">
        <v>32500</v>
      </c>
      <c r="Q65" s="1671">
        <v>32500</v>
      </c>
      <c r="R65" s="1671">
        <v>48200</v>
      </c>
      <c r="S65" s="1671">
        <v>61900</v>
      </c>
      <c r="T65" s="1671">
        <v>101800</v>
      </c>
      <c r="U65" s="1703">
        <v>181200</v>
      </c>
      <c r="V65" s="1703">
        <v>351600</v>
      </c>
      <c r="W65" s="1671">
        <v>182900</v>
      </c>
      <c r="X65" s="1703">
        <v>303400</v>
      </c>
      <c r="Y65" s="1703">
        <v>604500</v>
      </c>
      <c r="Z65" s="1671">
        <v>24600</v>
      </c>
      <c r="AA65" s="1671">
        <v>24600</v>
      </c>
      <c r="AB65" s="1671">
        <v>29000</v>
      </c>
      <c r="AC65" s="1671">
        <v>29000</v>
      </c>
      <c r="AD65" s="1671">
        <v>43800</v>
      </c>
      <c r="AE65" s="1671">
        <v>56700</v>
      </c>
      <c r="AF65" s="1671">
        <v>97700</v>
      </c>
      <c r="AG65" s="1704" t="s">
        <v>561</v>
      </c>
      <c r="AH65" s="1704" t="s">
        <v>561</v>
      </c>
      <c r="AI65" s="1671">
        <v>201400</v>
      </c>
      <c r="AJ65" s="1704" t="s">
        <v>561</v>
      </c>
      <c r="AK65" s="1704" t="s">
        <v>561</v>
      </c>
      <c r="AL65" s="1671">
        <v>22000</v>
      </c>
      <c r="AM65" s="1671">
        <v>22000</v>
      </c>
      <c r="AN65" s="1671">
        <v>26000</v>
      </c>
      <c r="AO65" s="1671">
        <v>26000</v>
      </c>
      <c r="AP65" s="1671">
        <v>38500</v>
      </c>
      <c r="AQ65" s="1671">
        <v>49500</v>
      </c>
      <c r="AR65" s="1671">
        <v>81400</v>
      </c>
      <c r="AS65" s="1704" t="s">
        <v>561</v>
      </c>
      <c r="AT65" s="1704" t="s">
        <v>561</v>
      </c>
      <c r="AU65" s="1671">
        <v>146300</v>
      </c>
      <c r="AV65" s="1704" t="s">
        <v>561</v>
      </c>
      <c r="AW65" s="1704" t="s">
        <v>561</v>
      </c>
      <c r="AX65" s="1671">
        <v>23300</v>
      </c>
      <c r="AY65" s="1671">
        <v>23300</v>
      </c>
      <c r="AZ65" s="1671">
        <v>28000</v>
      </c>
      <c r="BA65" s="1671">
        <v>28000</v>
      </c>
      <c r="BB65" s="1671">
        <v>40700</v>
      </c>
      <c r="BC65" s="1671">
        <v>53800</v>
      </c>
      <c r="BD65" s="1671">
        <v>107100</v>
      </c>
      <c r="BE65" s="1704" t="s">
        <v>561</v>
      </c>
      <c r="BF65" s="1704" t="s">
        <v>561</v>
      </c>
      <c r="BG65" s="1671">
        <v>205700</v>
      </c>
      <c r="BH65" s="1704" t="s">
        <v>561</v>
      </c>
      <c r="BI65" s="1704" t="s">
        <v>561</v>
      </c>
      <c r="BJ65" s="1671">
        <v>21000</v>
      </c>
      <c r="BK65" s="1671">
        <v>21000</v>
      </c>
      <c r="BL65" s="1671">
        <v>25300</v>
      </c>
      <c r="BM65" s="1671">
        <v>25300</v>
      </c>
      <c r="BN65" s="1671">
        <v>36500</v>
      </c>
      <c r="BO65" s="1671">
        <v>46700</v>
      </c>
      <c r="BP65" s="1671">
        <v>87700</v>
      </c>
      <c r="BQ65" s="1704" t="s">
        <v>561</v>
      </c>
      <c r="BR65" s="1704" t="s">
        <v>561</v>
      </c>
      <c r="BS65" s="1671">
        <v>153800</v>
      </c>
      <c r="BT65" s="1704" t="s">
        <v>561</v>
      </c>
      <c r="BU65" s="1704" t="s">
        <v>561</v>
      </c>
    </row>
    <row r="66" spans="1:73" s="942" customFormat="1" ht="18.5">
      <c r="A66" s="1695">
        <v>53</v>
      </c>
      <c r="B66" s="1671">
        <v>32200</v>
      </c>
      <c r="C66" s="1671">
        <v>32200</v>
      </c>
      <c r="D66" s="1671">
        <v>38000</v>
      </c>
      <c r="E66" s="1671">
        <v>38000</v>
      </c>
      <c r="F66" s="1671">
        <v>57200</v>
      </c>
      <c r="G66" s="1671">
        <v>74100</v>
      </c>
      <c r="H66" s="1671">
        <v>126900</v>
      </c>
      <c r="I66" s="1702">
        <v>226100</v>
      </c>
      <c r="J66" s="1702">
        <v>438600</v>
      </c>
      <c r="K66" s="1671">
        <v>260100</v>
      </c>
      <c r="L66" s="1702">
        <v>431500</v>
      </c>
      <c r="M66" s="1702">
        <v>859700</v>
      </c>
      <c r="N66" s="1671">
        <v>28900</v>
      </c>
      <c r="O66" s="1671">
        <v>28900</v>
      </c>
      <c r="P66" s="1671">
        <v>34000</v>
      </c>
      <c r="Q66" s="1671">
        <v>34000</v>
      </c>
      <c r="R66" s="1671">
        <v>50500</v>
      </c>
      <c r="S66" s="1671">
        <v>64800</v>
      </c>
      <c r="T66" s="1671">
        <v>106300</v>
      </c>
      <c r="U66" s="1703">
        <v>189200</v>
      </c>
      <c r="V66" s="1703">
        <v>367100</v>
      </c>
      <c r="W66" s="1671">
        <v>192000</v>
      </c>
      <c r="X66" s="1703">
        <v>318600</v>
      </c>
      <c r="Y66" s="1703">
        <v>634700</v>
      </c>
      <c r="Z66" s="1671">
        <v>25700</v>
      </c>
      <c r="AA66" s="1671">
        <v>25700</v>
      </c>
      <c r="AB66" s="1671">
        <v>30400</v>
      </c>
      <c r="AC66" s="1671">
        <v>30400</v>
      </c>
      <c r="AD66" s="1671">
        <v>45700</v>
      </c>
      <c r="AE66" s="1671">
        <v>59200</v>
      </c>
      <c r="AF66" s="1671">
        <v>101500</v>
      </c>
      <c r="AG66" s="1704" t="s">
        <v>561</v>
      </c>
      <c r="AH66" s="1704" t="s">
        <v>561</v>
      </c>
      <c r="AI66" s="1671">
        <v>208000</v>
      </c>
      <c r="AJ66" s="1704" t="s">
        <v>561</v>
      </c>
      <c r="AK66" s="1704" t="s">
        <v>561</v>
      </c>
      <c r="AL66" s="1671">
        <v>23100</v>
      </c>
      <c r="AM66" s="1671">
        <v>23100</v>
      </c>
      <c r="AN66" s="1671">
        <v>27200</v>
      </c>
      <c r="AO66" s="1671">
        <v>27200</v>
      </c>
      <c r="AP66" s="1671">
        <v>40400</v>
      </c>
      <c r="AQ66" s="1671">
        <v>51800</v>
      </c>
      <c r="AR66" s="1671">
        <v>85000</v>
      </c>
      <c r="AS66" s="1704" t="s">
        <v>561</v>
      </c>
      <c r="AT66" s="1704" t="s">
        <v>561</v>
      </c>
      <c r="AU66" s="1671">
        <v>153600</v>
      </c>
      <c r="AV66" s="1704" t="s">
        <v>561</v>
      </c>
      <c r="AW66" s="1704" t="s">
        <v>561</v>
      </c>
      <c r="AX66" s="1671">
        <v>24400</v>
      </c>
      <c r="AY66" s="1671">
        <v>24400</v>
      </c>
      <c r="AZ66" s="1671">
        <v>29400</v>
      </c>
      <c r="BA66" s="1671">
        <v>29400</v>
      </c>
      <c r="BB66" s="1671">
        <v>42200</v>
      </c>
      <c r="BC66" s="1671">
        <v>56200</v>
      </c>
      <c r="BD66" s="1671">
        <v>110900</v>
      </c>
      <c r="BE66" s="1704" t="s">
        <v>561</v>
      </c>
      <c r="BF66" s="1704" t="s">
        <v>561</v>
      </c>
      <c r="BG66" s="1671">
        <v>210600</v>
      </c>
      <c r="BH66" s="1704" t="s">
        <v>561</v>
      </c>
      <c r="BI66" s="1704" t="s">
        <v>561</v>
      </c>
      <c r="BJ66" s="1671">
        <v>22100</v>
      </c>
      <c r="BK66" s="1671">
        <v>22100</v>
      </c>
      <c r="BL66" s="1671">
        <v>26500</v>
      </c>
      <c r="BM66" s="1671">
        <v>26500</v>
      </c>
      <c r="BN66" s="1671">
        <v>38200</v>
      </c>
      <c r="BO66" s="1671">
        <v>49000</v>
      </c>
      <c r="BP66" s="1671">
        <v>91600</v>
      </c>
      <c r="BQ66" s="1704" t="s">
        <v>561</v>
      </c>
      <c r="BR66" s="1704" t="s">
        <v>561</v>
      </c>
      <c r="BS66" s="1671">
        <v>161700</v>
      </c>
      <c r="BT66" s="1704" t="s">
        <v>561</v>
      </c>
      <c r="BU66" s="1704" t="s">
        <v>561</v>
      </c>
    </row>
    <row r="67" spans="1:73" s="942" customFormat="1" ht="18.5">
      <c r="A67" s="1695">
        <v>54</v>
      </c>
      <c r="B67" s="1671">
        <v>34400</v>
      </c>
      <c r="C67" s="1671">
        <v>34400</v>
      </c>
      <c r="D67" s="1671">
        <v>40600</v>
      </c>
      <c r="E67" s="1671">
        <v>40600</v>
      </c>
      <c r="F67" s="1671">
        <v>60500</v>
      </c>
      <c r="G67" s="1671">
        <v>78200</v>
      </c>
      <c r="H67" s="1671">
        <v>132200</v>
      </c>
      <c r="I67" s="1702">
        <v>235400</v>
      </c>
      <c r="J67" s="1702">
        <v>456800</v>
      </c>
      <c r="K67" s="1671">
        <v>266100</v>
      </c>
      <c r="L67" s="1702">
        <v>441500</v>
      </c>
      <c r="M67" s="1702">
        <v>879600</v>
      </c>
      <c r="N67" s="1671">
        <v>30700</v>
      </c>
      <c r="O67" s="1671">
        <v>30700</v>
      </c>
      <c r="P67" s="1671">
        <v>36100</v>
      </c>
      <c r="Q67" s="1671">
        <v>36100</v>
      </c>
      <c r="R67" s="1671">
        <v>53400</v>
      </c>
      <c r="S67" s="1671">
        <v>68600</v>
      </c>
      <c r="T67" s="1671">
        <v>111600</v>
      </c>
      <c r="U67" s="1703">
        <v>198800</v>
      </c>
      <c r="V67" s="1703">
        <v>385700</v>
      </c>
      <c r="W67" s="1671">
        <v>201900</v>
      </c>
      <c r="X67" s="1703">
        <v>335000</v>
      </c>
      <c r="Y67" s="1703">
        <v>667400</v>
      </c>
      <c r="Z67" s="1671">
        <v>27500</v>
      </c>
      <c r="AA67" s="1671">
        <v>27500</v>
      </c>
      <c r="AB67" s="1671">
        <v>32400</v>
      </c>
      <c r="AC67" s="1671">
        <v>32400</v>
      </c>
      <c r="AD67" s="1671">
        <v>48400</v>
      </c>
      <c r="AE67" s="1671">
        <v>62500</v>
      </c>
      <c r="AF67" s="1671">
        <v>105700</v>
      </c>
      <c r="AG67" s="1704" t="s">
        <v>561</v>
      </c>
      <c r="AH67" s="1704" t="s">
        <v>561</v>
      </c>
      <c r="AI67" s="1671">
        <v>212800</v>
      </c>
      <c r="AJ67" s="1704" t="s">
        <v>561</v>
      </c>
      <c r="AK67" s="1704" t="s">
        <v>561</v>
      </c>
      <c r="AL67" s="1671">
        <v>24500</v>
      </c>
      <c r="AM67" s="1671">
        <v>24500</v>
      </c>
      <c r="AN67" s="1671">
        <v>28800</v>
      </c>
      <c r="AO67" s="1671">
        <v>28800</v>
      </c>
      <c r="AP67" s="1671">
        <v>42700</v>
      </c>
      <c r="AQ67" s="1671">
        <v>54800</v>
      </c>
      <c r="AR67" s="1671">
        <v>89200</v>
      </c>
      <c r="AS67" s="1704" t="s">
        <v>561</v>
      </c>
      <c r="AT67" s="1704" t="s">
        <v>561</v>
      </c>
      <c r="AU67" s="1671">
        <v>161500</v>
      </c>
      <c r="AV67" s="1704" t="s">
        <v>561</v>
      </c>
      <c r="AW67" s="1704" t="s">
        <v>561</v>
      </c>
      <c r="AX67" s="1671">
        <v>26000</v>
      </c>
      <c r="AY67" s="1671">
        <v>26000</v>
      </c>
      <c r="AZ67" s="1671">
        <v>31300</v>
      </c>
      <c r="BA67" s="1671">
        <v>31300</v>
      </c>
      <c r="BB67" s="1671">
        <v>44500</v>
      </c>
      <c r="BC67" s="1671">
        <v>59100</v>
      </c>
      <c r="BD67" s="1671">
        <v>114500</v>
      </c>
      <c r="BE67" s="1704" t="s">
        <v>561</v>
      </c>
      <c r="BF67" s="1704" t="s">
        <v>561</v>
      </c>
      <c r="BG67" s="1671">
        <v>214100</v>
      </c>
      <c r="BH67" s="1704" t="s">
        <v>561</v>
      </c>
      <c r="BI67" s="1704" t="s">
        <v>561</v>
      </c>
      <c r="BJ67" s="1671">
        <v>23500</v>
      </c>
      <c r="BK67" s="1671">
        <v>23500</v>
      </c>
      <c r="BL67" s="1671">
        <v>28200</v>
      </c>
      <c r="BM67" s="1671">
        <v>28200</v>
      </c>
      <c r="BN67" s="1671">
        <v>40300</v>
      </c>
      <c r="BO67" s="1671">
        <v>51900</v>
      </c>
      <c r="BP67" s="1671">
        <v>96200</v>
      </c>
      <c r="BQ67" s="1704" t="s">
        <v>561</v>
      </c>
      <c r="BR67" s="1704" t="s">
        <v>561</v>
      </c>
      <c r="BS67" s="1671">
        <v>168100</v>
      </c>
      <c r="BT67" s="1704" t="s">
        <v>561</v>
      </c>
      <c r="BU67" s="1704" t="s">
        <v>561</v>
      </c>
    </row>
    <row r="68" spans="1:73" s="942" customFormat="1" ht="18.5">
      <c r="A68" s="1695">
        <v>55</v>
      </c>
      <c r="B68" s="1671">
        <v>36500</v>
      </c>
      <c r="C68" s="1671">
        <v>36500</v>
      </c>
      <c r="D68" s="1671">
        <v>43100</v>
      </c>
      <c r="E68" s="1671">
        <v>43100</v>
      </c>
      <c r="F68" s="1671">
        <v>63800</v>
      </c>
      <c r="G68" s="1671">
        <v>82400</v>
      </c>
      <c r="H68" s="1671">
        <v>137500</v>
      </c>
      <c r="I68" s="1702">
        <v>244800</v>
      </c>
      <c r="J68" s="1702">
        <v>475000</v>
      </c>
      <c r="K68" s="1671">
        <v>272100</v>
      </c>
      <c r="L68" s="1702">
        <v>451500</v>
      </c>
      <c r="M68" s="1702">
        <v>899500</v>
      </c>
      <c r="N68" s="1671">
        <v>32500</v>
      </c>
      <c r="O68" s="1671">
        <v>32500</v>
      </c>
      <c r="P68" s="1671">
        <v>38200</v>
      </c>
      <c r="Q68" s="1671">
        <v>38200</v>
      </c>
      <c r="R68" s="1671">
        <v>56300</v>
      </c>
      <c r="S68" s="1671">
        <v>72300</v>
      </c>
      <c r="T68" s="1671">
        <v>117000</v>
      </c>
      <c r="U68" s="1703">
        <v>208400</v>
      </c>
      <c r="V68" s="1703">
        <v>404300</v>
      </c>
      <c r="W68" s="1671">
        <v>211800</v>
      </c>
      <c r="X68" s="1703">
        <v>351400</v>
      </c>
      <c r="Y68" s="1703">
        <v>700200</v>
      </c>
      <c r="Z68" s="1671">
        <v>29200</v>
      </c>
      <c r="AA68" s="1671">
        <v>29200</v>
      </c>
      <c r="AB68" s="1671">
        <v>34400</v>
      </c>
      <c r="AC68" s="1671">
        <v>34400</v>
      </c>
      <c r="AD68" s="1671">
        <v>51000</v>
      </c>
      <c r="AE68" s="1671">
        <v>65900</v>
      </c>
      <c r="AF68" s="1671">
        <v>110000</v>
      </c>
      <c r="AG68" s="1704" t="s">
        <v>561</v>
      </c>
      <c r="AH68" s="1704" t="s">
        <v>561</v>
      </c>
      <c r="AI68" s="1671">
        <v>217600</v>
      </c>
      <c r="AJ68" s="1704" t="s">
        <v>561</v>
      </c>
      <c r="AK68" s="1704" t="s">
        <v>561</v>
      </c>
      <c r="AL68" s="1671">
        <v>26000</v>
      </c>
      <c r="AM68" s="1671">
        <v>26000</v>
      </c>
      <c r="AN68" s="1671">
        <v>30500</v>
      </c>
      <c r="AO68" s="1671">
        <v>30500</v>
      </c>
      <c r="AP68" s="1671">
        <v>45000</v>
      </c>
      <c r="AQ68" s="1671">
        <v>57800</v>
      </c>
      <c r="AR68" s="1671">
        <v>93600</v>
      </c>
      <c r="AS68" s="1704" t="s">
        <v>561</v>
      </c>
      <c r="AT68" s="1704" t="s">
        <v>561</v>
      </c>
      <c r="AU68" s="1671">
        <v>169400</v>
      </c>
      <c r="AV68" s="1704" t="s">
        <v>561</v>
      </c>
      <c r="AW68" s="1704" t="s">
        <v>561</v>
      </c>
      <c r="AX68" s="1671">
        <v>27600</v>
      </c>
      <c r="AY68" s="1671">
        <v>27600</v>
      </c>
      <c r="AZ68" s="1671">
        <v>33300</v>
      </c>
      <c r="BA68" s="1671">
        <v>33300</v>
      </c>
      <c r="BB68" s="1671">
        <v>46900</v>
      </c>
      <c r="BC68" s="1671">
        <v>62000</v>
      </c>
      <c r="BD68" s="1671">
        <v>118100</v>
      </c>
      <c r="BE68" s="1704" t="s">
        <v>561</v>
      </c>
      <c r="BF68" s="1704" t="s">
        <v>561</v>
      </c>
      <c r="BG68" s="1671">
        <v>217500</v>
      </c>
      <c r="BH68" s="1704" t="s">
        <v>561</v>
      </c>
      <c r="BI68" s="1704" t="s">
        <v>561</v>
      </c>
      <c r="BJ68" s="1671">
        <v>24900</v>
      </c>
      <c r="BK68" s="1671">
        <v>24900</v>
      </c>
      <c r="BL68" s="1671">
        <v>29900</v>
      </c>
      <c r="BM68" s="1671">
        <v>29900</v>
      </c>
      <c r="BN68" s="1671">
        <v>42300</v>
      </c>
      <c r="BO68" s="1671">
        <v>54700</v>
      </c>
      <c r="BP68" s="1671">
        <v>100700</v>
      </c>
      <c r="BQ68" s="1704" t="s">
        <v>561</v>
      </c>
      <c r="BR68" s="1704" t="s">
        <v>561</v>
      </c>
      <c r="BS68" s="1671">
        <v>174500</v>
      </c>
      <c r="BT68" s="1704" t="s">
        <v>561</v>
      </c>
      <c r="BU68" s="1704" t="s">
        <v>561</v>
      </c>
    </row>
    <row r="69" spans="1:73" s="942" customFormat="1" ht="18.5">
      <c r="A69" s="1695">
        <v>56</v>
      </c>
      <c r="B69" s="1671">
        <v>38700</v>
      </c>
      <c r="C69" s="1671">
        <v>38700</v>
      </c>
      <c r="D69" s="1671">
        <v>45700</v>
      </c>
      <c r="E69" s="1671">
        <v>45700</v>
      </c>
      <c r="F69" s="1671">
        <v>67100</v>
      </c>
      <c r="G69" s="1671">
        <v>86600</v>
      </c>
      <c r="H69" s="1671">
        <v>142700</v>
      </c>
      <c r="I69" s="1702">
        <v>254200</v>
      </c>
      <c r="J69" s="1702">
        <v>493100</v>
      </c>
      <c r="K69" s="1671">
        <v>278100</v>
      </c>
      <c r="L69" s="1702">
        <v>461400</v>
      </c>
      <c r="M69" s="1702">
        <v>919400</v>
      </c>
      <c r="N69" s="1671">
        <v>34300</v>
      </c>
      <c r="O69" s="1671">
        <v>34300</v>
      </c>
      <c r="P69" s="1671">
        <v>40200</v>
      </c>
      <c r="Q69" s="1671">
        <v>40200</v>
      </c>
      <c r="R69" s="1671">
        <v>59200</v>
      </c>
      <c r="S69" s="1671">
        <v>76000</v>
      </c>
      <c r="T69" s="1671">
        <v>122400</v>
      </c>
      <c r="U69" s="1703">
        <v>217900</v>
      </c>
      <c r="V69" s="1703">
        <v>422800</v>
      </c>
      <c r="W69" s="1671">
        <v>221700</v>
      </c>
      <c r="X69" s="1703">
        <v>367800</v>
      </c>
      <c r="Y69" s="1703">
        <v>732900</v>
      </c>
      <c r="Z69" s="1671">
        <v>30900</v>
      </c>
      <c r="AA69" s="1671">
        <v>30900</v>
      </c>
      <c r="AB69" s="1671">
        <v>36500</v>
      </c>
      <c r="AC69" s="1671">
        <v>36500</v>
      </c>
      <c r="AD69" s="1671">
        <v>53600</v>
      </c>
      <c r="AE69" s="1671">
        <v>69200</v>
      </c>
      <c r="AF69" s="1671">
        <v>114100</v>
      </c>
      <c r="AG69" s="1704" t="s">
        <v>561</v>
      </c>
      <c r="AH69" s="1704" t="s">
        <v>561</v>
      </c>
      <c r="AI69" s="1671">
        <v>222400</v>
      </c>
      <c r="AJ69" s="1704" t="s">
        <v>561</v>
      </c>
      <c r="AK69" s="1704" t="s">
        <v>561</v>
      </c>
      <c r="AL69" s="1671">
        <v>27400</v>
      </c>
      <c r="AM69" s="1671">
        <v>27400</v>
      </c>
      <c r="AN69" s="1671">
        <v>32100</v>
      </c>
      <c r="AO69" s="1671">
        <v>32100</v>
      </c>
      <c r="AP69" s="1671">
        <v>47300</v>
      </c>
      <c r="AQ69" s="1671">
        <v>60800</v>
      </c>
      <c r="AR69" s="1671">
        <v>97900</v>
      </c>
      <c r="AS69" s="1704" t="s">
        <v>561</v>
      </c>
      <c r="AT69" s="1704" t="s">
        <v>561</v>
      </c>
      <c r="AU69" s="1671">
        <v>177300</v>
      </c>
      <c r="AV69" s="1704" t="s">
        <v>561</v>
      </c>
      <c r="AW69" s="1704" t="s">
        <v>561</v>
      </c>
      <c r="AX69" s="1671">
        <v>29300</v>
      </c>
      <c r="AY69" s="1671">
        <v>29300</v>
      </c>
      <c r="AZ69" s="1671">
        <v>35200</v>
      </c>
      <c r="BA69" s="1671">
        <v>35200</v>
      </c>
      <c r="BB69" s="1671">
        <v>49200</v>
      </c>
      <c r="BC69" s="1671">
        <v>64800</v>
      </c>
      <c r="BD69" s="1671">
        <v>121700</v>
      </c>
      <c r="BE69" s="1704" t="s">
        <v>561</v>
      </c>
      <c r="BF69" s="1704" t="s">
        <v>561</v>
      </c>
      <c r="BG69" s="1671">
        <v>220900</v>
      </c>
      <c r="BH69" s="1704" t="s">
        <v>561</v>
      </c>
      <c r="BI69" s="1704" t="s">
        <v>561</v>
      </c>
      <c r="BJ69" s="1671">
        <v>26300</v>
      </c>
      <c r="BK69" s="1671">
        <v>26300</v>
      </c>
      <c r="BL69" s="1671">
        <v>31500</v>
      </c>
      <c r="BM69" s="1671">
        <v>31500</v>
      </c>
      <c r="BN69" s="1671">
        <v>44400</v>
      </c>
      <c r="BO69" s="1671">
        <v>57600</v>
      </c>
      <c r="BP69" s="1671">
        <v>105300</v>
      </c>
      <c r="BQ69" s="1704" t="s">
        <v>561</v>
      </c>
      <c r="BR69" s="1704" t="s">
        <v>561</v>
      </c>
      <c r="BS69" s="1671">
        <v>180900</v>
      </c>
      <c r="BT69" s="1704" t="s">
        <v>561</v>
      </c>
      <c r="BU69" s="1704" t="s">
        <v>561</v>
      </c>
    </row>
    <row r="70" spans="1:73" s="942" customFormat="1" ht="18.5">
      <c r="A70" s="1695">
        <v>57</v>
      </c>
      <c r="B70" s="1671">
        <v>40800</v>
      </c>
      <c r="C70" s="1671">
        <v>40800</v>
      </c>
      <c r="D70" s="1671">
        <v>48200</v>
      </c>
      <c r="E70" s="1671">
        <v>48200</v>
      </c>
      <c r="F70" s="1671">
        <v>70400</v>
      </c>
      <c r="G70" s="1671">
        <v>90700</v>
      </c>
      <c r="H70" s="1671">
        <v>148000</v>
      </c>
      <c r="I70" s="1702">
        <v>263500</v>
      </c>
      <c r="J70" s="1702">
        <v>511300</v>
      </c>
      <c r="K70" s="1671">
        <v>284100</v>
      </c>
      <c r="L70" s="1702">
        <v>471400</v>
      </c>
      <c r="M70" s="1702">
        <v>939300</v>
      </c>
      <c r="N70" s="1671">
        <v>36000</v>
      </c>
      <c r="O70" s="1671">
        <v>36000</v>
      </c>
      <c r="P70" s="1671">
        <v>42300</v>
      </c>
      <c r="Q70" s="1671">
        <v>42300</v>
      </c>
      <c r="R70" s="1671">
        <v>62100</v>
      </c>
      <c r="S70" s="1671">
        <v>79800</v>
      </c>
      <c r="T70" s="1671">
        <v>127800</v>
      </c>
      <c r="U70" s="1703">
        <v>227500</v>
      </c>
      <c r="V70" s="1703">
        <v>441400</v>
      </c>
      <c r="W70" s="1671">
        <v>231600</v>
      </c>
      <c r="X70" s="1703">
        <v>384300</v>
      </c>
      <c r="Y70" s="1703">
        <v>765600</v>
      </c>
      <c r="Z70" s="1671">
        <v>32600</v>
      </c>
      <c r="AA70" s="1671">
        <v>32600</v>
      </c>
      <c r="AB70" s="1671">
        <v>38500</v>
      </c>
      <c r="AC70" s="1671">
        <v>38500</v>
      </c>
      <c r="AD70" s="1671">
        <v>56300</v>
      </c>
      <c r="AE70" s="1671">
        <v>72500</v>
      </c>
      <c r="AF70" s="1671">
        <v>118400</v>
      </c>
      <c r="AG70" s="1704" t="s">
        <v>561</v>
      </c>
      <c r="AH70" s="1704" t="s">
        <v>561</v>
      </c>
      <c r="AI70" s="1671">
        <v>227200</v>
      </c>
      <c r="AJ70" s="1704" t="s">
        <v>561</v>
      </c>
      <c r="AK70" s="1704" t="s">
        <v>561</v>
      </c>
      <c r="AL70" s="1671">
        <v>28800</v>
      </c>
      <c r="AM70" s="1671">
        <v>28800</v>
      </c>
      <c r="AN70" s="1671">
        <v>33800</v>
      </c>
      <c r="AO70" s="1671">
        <v>33800</v>
      </c>
      <c r="AP70" s="1671">
        <v>49600</v>
      </c>
      <c r="AQ70" s="1671">
        <v>63800</v>
      </c>
      <c r="AR70" s="1671">
        <v>102200</v>
      </c>
      <c r="AS70" s="1704" t="s">
        <v>561</v>
      </c>
      <c r="AT70" s="1704" t="s">
        <v>561</v>
      </c>
      <c r="AU70" s="1671">
        <v>185200</v>
      </c>
      <c r="AV70" s="1704" t="s">
        <v>561</v>
      </c>
      <c r="AW70" s="1704" t="s">
        <v>561</v>
      </c>
      <c r="AX70" s="1671">
        <v>30900</v>
      </c>
      <c r="AY70" s="1671">
        <v>30900</v>
      </c>
      <c r="AZ70" s="1671">
        <v>37200</v>
      </c>
      <c r="BA70" s="1671">
        <v>37200</v>
      </c>
      <c r="BB70" s="1671">
        <v>51500</v>
      </c>
      <c r="BC70" s="1671">
        <v>67700</v>
      </c>
      <c r="BD70" s="1671">
        <v>125300</v>
      </c>
      <c r="BE70" s="1704" t="s">
        <v>561</v>
      </c>
      <c r="BF70" s="1704" t="s">
        <v>561</v>
      </c>
      <c r="BG70" s="1671">
        <v>224300</v>
      </c>
      <c r="BH70" s="1704" t="s">
        <v>561</v>
      </c>
      <c r="BI70" s="1704" t="s">
        <v>561</v>
      </c>
      <c r="BJ70" s="1671">
        <v>27800</v>
      </c>
      <c r="BK70" s="1671">
        <v>27800</v>
      </c>
      <c r="BL70" s="1671">
        <v>33200</v>
      </c>
      <c r="BM70" s="1671">
        <v>33200</v>
      </c>
      <c r="BN70" s="1671">
        <v>46400</v>
      </c>
      <c r="BO70" s="1671">
        <v>60500</v>
      </c>
      <c r="BP70" s="1671">
        <v>109800</v>
      </c>
      <c r="BQ70" s="1704" t="s">
        <v>561</v>
      </c>
      <c r="BR70" s="1704" t="s">
        <v>561</v>
      </c>
      <c r="BS70" s="1671">
        <v>187300</v>
      </c>
      <c r="BT70" s="1704" t="s">
        <v>561</v>
      </c>
      <c r="BU70" s="1704" t="s">
        <v>561</v>
      </c>
    </row>
    <row r="71" spans="1:73" s="942" customFormat="1" ht="18.5">
      <c r="A71" s="1695">
        <v>58</v>
      </c>
      <c r="B71" s="1671">
        <v>43000</v>
      </c>
      <c r="C71" s="1671">
        <v>43000</v>
      </c>
      <c r="D71" s="1671">
        <v>50800</v>
      </c>
      <c r="E71" s="1671">
        <v>50800</v>
      </c>
      <c r="F71" s="1671">
        <v>73700</v>
      </c>
      <c r="G71" s="1671">
        <v>94900</v>
      </c>
      <c r="H71" s="1671">
        <v>153300</v>
      </c>
      <c r="I71" s="1702">
        <v>272900</v>
      </c>
      <c r="J71" s="1702">
        <v>529500</v>
      </c>
      <c r="K71" s="1671">
        <v>290200</v>
      </c>
      <c r="L71" s="1702">
        <v>481400</v>
      </c>
      <c r="M71" s="1702">
        <v>959100</v>
      </c>
      <c r="N71" s="1671">
        <v>37800</v>
      </c>
      <c r="O71" s="1671">
        <v>37800</v>
      </c>
      <c r="P71" s="1671">
        <v>44400</v>
      </c>
      <c r="Q71" s="1671">
        <v>44400</v>
      </c>
      <c r="R71" s="1671">
        <v>65000</v>
      </c>
      <c r="S71" s="1671">
        <v>83500</v>
      </c>
      <c r="T71" s="1671">
        <v>133100</v>
      </c>
      <c r="U71" s="1703">
        <v>237100</v>
      </c>
      <c r="V71" s="1703">
        <v>460000</v>
      </c>
      <c r="W71" s="1671">
        <v>241500</v>
      </c>
      <c r="X71" s="1703">
        <v>400700</v>
      </c>
      <c r="Y71" s="1703">
        <v>798400</v>
      </c>
      <c r="Z71" s="1671">
        <v>34400</v>
      </c>
      <c r="AA71" s="1671">
        <v>34400</v>
      </c>
      <c r="AB71" s="1671">
        <v>40600</v>
      </c>
      <c r="AC71" s="1671">
        <v>40600</v>
      </c>
      <c r="AD71" s="1671">
        <v>58900</v>
      </c>
      <c r="AE71" s="1671">
        <v>75900</v>
      </c>
      <c r="AF71" s="1671">
        <v>122600</v>
      </c>
      <c r="AG71" s="1704" t="s">
        <v>561</v>
      </c>
      <c r="AH71" s="1704" t="s">
        <v>561</v>
      </c>
      <c r="AI71" s="1671">
        <v>232100</v>
      </c>
      <c r="AJ71" s="1704" t="s">
        <v>561</v>
      </c>
      <c r="AK71" s="1704" t="s">
        <v>561</v>
      </c>
      <c r="AL71" s="1671">
        <v>30200</v>
      </c>
      <c r="AM71" s="1671">
        <v>30200</v>
      </c>
      <c r="AN71" s="1671">
        <v>35500</v>
      </c>
      <c r="AO71" s="1671">
        <v>35500</v>
      </c>
      <c r="AP71" s="1671">
        <v>52000</v>
      </c>
      <c r="AQ71" s="1671">
        <v>66800</v>
      </c>
      <c r="AR71" s="1671">
        <v>106400</v>
      </c>
      <c r="AS71" s="1704" t="s">
        <v>561</v>
      </c>
      <c r="AT71" s="1704" t="s">
        <v>561</v>
      </c>
      <c r="AU71" s="1671">
        <v>193200</v>
      </c>
      <c r="AV71" s="1704" t="s">
        <v>561</v>
      </c>
      <c r="AW71" s="1704" t="s">
        <v>561</v>
      </c>
      <c r="AX71" s="1671">
        <v>32500</v>
      </c>
      <c r="AY71" s="1671">
        <v>32500</v>
      </c>
      <c r="AZ71" s="1671">
        <v>39200</v>
      </c>
      <c r="BA71" s="1671">
        <v>39200</v>
      </c>
      <c r="BB71" s="1671">
        <v>53800</v>
      </c>
      <c r="BC71" s="1671">
        <v>70600</v>
      </c>
      <c r="BD71" s="1671">
        <v>128900</v>
      </c>
      <c r="BE71" s="1704" t="s">
        <v>561</v>
      </c>
      <c r="BF71" s="1704" t="s">
        <v>561</v>
      </c>
      <c r="BG71" s="1671">
        <v>227700</v>
      </c>
      <c r="BH71" s="1704" t="s">
        <v>561</v>
      </c>
      <c r="BI71" s="1704" t="s">
        <v>561</v>
      </c>
      <c r="BJ71" s="1671">
        <v>29200</v>
      </c>
      <c r="BK71" s="1671">
        <v>29200</v>
      </c>
      <c r="BL71" s="1671">
        <v>34900</v>
      </c>
      <c r="BM71" s="1671">
        <v>34900</v>
      </c>
      <c r="BN71" s="1671">
        <v>48500</v>
      </c>
      <c r="BO71" s="1671">
        <v>63300</v>
      </c>
      <c r="BP71" s="1671">
        <v>114400</v>
      </c>
      <c r="BQ71" s="1704" t="s">
        <v>561</v>
      </c>
      <c r="BR71" s="1704" t="s">
        <v>561</v>
      </c>
      <c r="BS71" s="1671">
        <v>193600</v>
      </c>
      <c r="BT71" s="1704" t="s">
        <v>561</v>
      </c>
      <c r="BU71" s="1704" t="s">
        <v>561</v>
      </c>
    </row>
    <row r="72" spans="1:73" s="942" customFormat="1" ht="18.5">
      <c r="A72" s="1695">
        <v>59</v>
      </c>
      <c r="B72" s="1671">
        <v>45500</v>
      </c>
      <c r="C72" s="1671">
        <v>45500</v>
      </c>
      <c r="D72" s="1671">
        <v>53700</v>
      </c>
      <c r="E72" s="1671">
        <v>53700</v>
      </c>
      <c r="F72" s="1671">
        <v>77500</v>
      </c>
      <c r="G72" s="1671">
        <v>99600</v>
      </c>
      <c r="H72" s="1671">
        <v>159200</v>
      </c>
      <c r="I72" s="1702">
        <v>283500</v>
      </c>
      <c r="J72" s="1702">
        <v>550100</v>
      </c>
      <c r="K72" s="1671">
        <v>297000</v>
      </c>
      <c r="L72" s="1702">
        <v>492700</v>
      </c>
      <c r="M72" s="1702">
        <v>981600</v>
      </c>
      <c r="N72" s="1671">
        <v>42200</v>
      </c>
      <c r="O72" s="1671">
        <v>42200</v>
      </c>
      <c r="P72" s="1671">
        <v>49500</v>
      </c>
      <c r="Q72" s="1671">
        <v>49500</v>
      </c>
      <c r="R72" s="1671">
        <v>71600</v>
      </c>
      <c r="S72" s="1671">
        <v>91700</v>
      </c>
      <c r="T72" s="1671">
        <v>142800</v>
      </c>
      <c r="U72" s="1703">
        <v>254300</v>
      </c>
      <c r="V72" s="1703">
        <v>493300</v>
      </c>
      <c r="W72" s="1671">
        <v>252600</v>
      </c>
      <c r="X72" s="1703">
        <v>419100</v>
      </c>
      <c r="Y72" s="1703">
        <v>835000</v>
      </c>
      <c r="Z72" s="1671">
        <v>36400</v>
      </c>
      <c r="AA72" s="1671">
        <v>36400</v>
      </c>
      <c r="AB72" s="1671">
        <v>42900</v>
      </c>
      <c r="AC72" s="1671">
        <v>42900</v>
      </c>
      <c r="AD72" s="1671">
        <v>62000</v>
      </c>
      <c r="AE72" s="1671">
        <v>79600</v>
      </c>
      <c r="AF72" s="1671">
        <v>127300</v>
      </c>
      <c r="AG72" s="1704" t="s">
        <v>561</v>
      </c>
      <c r="AH72" s="1704" t="s">
        <v>561</v>
      </c>
      <c r="AI72" s="1671">
        <v>237600</v>
      </c>
      <c r="AJ72" s="1704" t="s">
        <v>561</v>
      </c>
      <c r="AK72" s="1704" t="s">
        <v>561</v>
      </c>
      <c r="AL72" s="1671">
        <v>33700</v>
      </c>
      <c r="AM72" s="1671">
        <v>33700</v>
      </c>
      <c r="AN72" s="1671">
        <v>39600</v>
      </c>
      <c r="AO72" s="1671">
        <v>39600</v>
      </c>
      <c r="AP72" s="1671">
        <v>57200</v>
      </c>
      <c r="AQ72" s="1671">
        <v>73300</v>
      </c>
      <c r="AR72" s="1671">
        <v>114200</v>
      </c>
      <c r="AS72" s="1704" t="s">
        <v>561</v>
      </c>
      <c r="AT72" s="1704" t="s">
        <v>561</v>
      </c>
      <c r="AU72" s="1671">
        <v>202000</v>
      </c>
      <c r="AV72" s="1704" t="s">
        <v>561</v>
      </c>
      <c r="AW72" s="1704" t="s">
        <v>561</v>
      </c>
      <c r="AX72" s="1671">
        <v>34500</v>
      </c>
      <c r="AY72" s="1671">
        <v>34500</v>
      </c>
      <c r="AZ72" s="1671">
        <v>41500</v>
      </c>
      <c r="BA72" s="1671">
        <v>41500</v>
      </c>
      <c r="BB72" s="1671">
        <v>56600</v>
      </c>
      <c r="BC72" s="1671">
        <v>73900</v>
      </c>
      <c r="BD72" s="1671">
        <v>133100</v>
      </c>
      <c r="BE72" s="1704" t="s">
        <v>561</v>
      </c>
      <c r="BF72" s="1704" t="s">
        <v>561</v>
      </c>
      <c r="BG72" s="1671">
        <v>231700</v>
      </c>
      <c r="BH72" s="1704" t="s">
        <v>561</v>
      </c>
      <c r="BI72" s="1704" t="s">
        <v>561</v>
      </c>
      <c r="BJ72" s="1671">
        <v>32600</v>
      </c>
      <c r="BK72" s="1671">
        <v>32600</v>
      </c>
      <c r="BL72" s="1671">
        <v>39000</v>
      </c>
      <c r="BM72" s="1671">
        <v>39000</v>
      </c>
      <c r="BN72" s="1671">
        <v>53200</v>
      </c>
      <c r="BO72" s="1671">
        <v>69200</v>
      </c>
      <c r="BP72" s="1671">
        <v>121000</v>
      </c>
      <c r="BQ72" s="1704" t="s">
        <v>561</v>
      </c>
      <c r="BR72" s="1704" t="s">
        <v>561</v>
      </c>
      <c r="BS72" s="1671">
        <v>200000</v>
      </c>
      <c r="BT72" s="1704" t="s">
        <v>561</v>
      </c>
      <c r="BU72" s="1704" t="s">
        <v>561</v>
      </c>
    </row>
    <row r="73" spans="1:73" s="942" customFormat="1" ht="18.5">
      <c r="A73" s="1695">
        <v>60</v>
      </c>
      <c r="B73" s="1671">
        <v>48000</v>
      </c>
      <c r="C73" s="1671">
        <v>48000</v>
      </c>
      <c r="D73" s="1671">
        <v>56600</v>
      </c>
      <c r="E73" s="1671">
        <v>56600</v>
      </c>
      <c r="F73" s="1671">
        <v>81300</v>
      </c>
      <c r="G73" s="1671">
        <v>104300</v>
      </c>
      <c r="H73" s="1671">
        <v>165200</v>
      </c>
      <c r="I73" s="1702">
        <v>294100</v>
      </c>
      <c r="J73" s="1702">
        <v>570700</v>
      </c>
      <c r="K73" s="1671">
        <v>303800</v>
      </c>
      <c r="L73" s="1702">
        <v>504000</v>
      </c>
      <c r="M73" s="1702">
        <v>1004100</v>
      </c>
      <c r="N73" s="1671">
        <v>46600</v>
      </c>
      <c r="O73" s="1671">
        <v>46600</v>
      </c>
      <c r="P73" s="1671">
        <v>54700</v>
      </c>
      <c r="Q73" s="1671">
        <v>54700</v>
      </c>
      <c r="R73" s="1671">
        <v>78200</v>
      </c>
      <c r="S73" s="1671">
        <v>99900</v>
      </c>
      <c r="T73" s="1671">
        <v>152400</v>
      </c>
      <c r="U73" s="1703">
        <v>271400</v>
      </c>
      <c r="V73" s="1703">
        <v>526600</v>
      </c>
      <c r="W73" s="1671">
        <v>263700</v>
      </c>
      <c r="X73" s="1703">
        <v>437400</v>
      </c>
      <c r="Y73" s="1703">
        <v>871600</v>
      </c>
      <c r="Z73" s="1671">
        <v>38400</v>
      </c>
      <c r="AA73" s="1671">
        <v>38400</v>
      </c>
      <c r="AB73" s="1671">
        <v>45200</v>
      </c>
      <c r="AC73" s="1671">
        <v>45200</v>
      </c>
      <c r="AD73" s="1671">
        <v>65000</v>
      </c>
      <c r="AE73" s="1671">
        <v>83400</v>
      </c>
      <c r="AF73" s="1671">
        <v>132100</v>
      </c>
      <c r="AG73" s="1704" t="s">
        <v>561</v>
      </c>
      <c r="AH73" s="1704" t="s">
        <v>561</v>
      </c>
      <c r="AI73" s="1671">
        <v>243000</v>
      </c>
      <c r="AJ73" s="1704" t="s">
        <v>561</v>
      </c>
      <c r="AK73" s="1704" t="s">
        <v>561</v>
      </c>
      <c r="AL73" s="1671">
        <v>37200</v>
      </c>
      <c r="AM73" s="1671">
        <v>37200</v>
      </c>
      <c r="AN73" s="1671">
        <v>43700</v>
      </c>
      <c r="AO73" s="1671">
        <v>43700</v>
      </c>
      <c r="AP73" s="1671">
        <v>62500</v>
      </c>
      <c r="AQ73" s="1671">
        <v>79900</v>
      </c>
      <c r="AR73" s="1671">
        <v>121900</v>
      </c>
      <c r="AS73" s="1704" t="s">
        <v>561</v>
      </c>
      <c r="AT73" s="1704" t="s">
        <v>561</v>
      </c>
      <c r="AU73" s="1671">
        <v>210900</v>
      </c>
      <c r="AV73" s="1704" t="s">
        <v>561</v>
      </c>
      <c r="AW73" s="1704" t="s">
        <v>561</v>
      </c>
      <c r="AX73" s="1671">
        <v>36400</v>
      </c>
      <c r="AY73" s="1671">
        <v>36400</v>
      </c>
      <c r="AZ73" s="1671">
        <v>43800</v>
      </c>
      <c r="BA73" s="1671">
        <v>43800</v>
      </c>
      <c r="BB73" s="1671">
        <v>59300</v>
      </c>
      <c r="BC73" s="1671">
        <v>77300</v>
      </c>
      <c r="BD73" s="1671">
        <v>137200</v>
      </c>
      <c r="BE73" s="1704" t="s">
        <v>561</v>
      </c>
      <c r="BF73" s="1704" t="s">
        <v>561</v>
      </c>
      <c r="BG73" s="1671">
        <v>235600</v>
      </c>
      <c r="BH73" s="1704" t="s">
        <v>561</v>
      </c>
      <c r="BI73" s="1704" t="s">
        <v>561</v>
      </c>
      <c r="BJ73" s="1671">
        <v>36100</v>
      </c>
      <c r="BK73" s="1671">
        <v>36100</v>
      </c>
      <c r="BL73" s="1671">
        <v>43100</v>
      </c>
      <c r="BM73" s="1671">
        <v>43100</v>
      </c>
      <c r="BN73" s="1671">
        <v>58000</v>
      </c>
      <c r="BO73" s="1671">
        <v>75000</v>
      </c>
      <c r="BP73" s="1671">
        <v>127600</v>
      </c>
      <c r="BQ73" s="1704" t="s">
        <v>561</v>
      </c>
      <c r="BR73" s="1704" t="s">
        <v>561</v>
      </c>
      <c r="BS73" s="1671">
        <v>206300</v>
      </c>
      <c r="BT73" s="1704" t="s">
        <v>561</v>
      </c>
      <c r="BU73" s="1704" t="s">
        <v>561</v>
      </c>
    </row>
    <row r="74" spans="1:73" s="942" customFormat="1" ht="18.5">
      <c r="A74" s="1695">
        <v>61</v>
      </c>
      <c r="B74" s="1671">
        <v>50500</v>
      </c>
      <c r="C74" s="1671">
        <v>50500</v>
      </c>
      <c r="D74" s="1671">
        <v>59600</v>
      </c>
      <c r="E74" s="1671">
        <v>59600</v>
      </c>
      <c r="F74" s="1671">
        <v>85100</v>
      </c>
      <c r="G74" s="1671">
        <v>109100</v>
      </c>
      <c r="H74" s="1671">
        <v>171100</v>
      </c>
      <c r="I74" s="1702">
        <v>304800</v>
      </c>
      <c r="J74" s="1702">
        <v>591300</v>
      </c>
      <c r="K74" s="1671">
        <v>310600</v>
      </c>
      <c r="L74" s="1702">
        <v>515300</v>
      </c>
      <c r="M74" s="1702">
        <v>1026600</v>
      </c>
      <c r="N74" s="1671">
        <v>51000</v>
      </c>
      <c r="O74" s="1671">
        <v>51000</v>
      </c>
      <c r="P74" s="1671">
        <v>59800</v>
      </c>
      <c r="Q74" s="1671">
        <v>59800</v>
      </c>
      <c r="R74" s="1671">
        <v>84700</v>
      </c>
      <c r="S74" s="1671">
        <v>108000</v>
      </c>
      <c r="T74" s="1671">
        <v>162100</v>
      </c>
      <c r="U74" s="1703">
        <v>288600</v>
      </c>
      <c r="V74" s="1703">
        <v>560000</v>
      </c>
      <c r="W74" s="1671">
        <v>274800</v>
      </c>
      <c r="X74" s="1703">
        <v>455800</v>
      </c>
      <c r="Y74" s="1703">
        <v>908200</v>
      </c>
      <c r="Z74" s="1671">
        <v>40400</v>
      </c>
      <c r="AA74" s="1671">
        <v>40400</v>
      </c>
      <c r="AB74" s="1671">
        <v>47600</v>
      </c>
      <c r="AC74" s="1671">
        <v>47600</v>
      </c>
      <c r="AD74" s="1671">
        <v>68000</v>
      </c>
      <c r="AE74" s="1671">
        <v>87200</v>
      </c>
      <c r="AF74" s="1671">
        <v>136800</v>
      </c>
      <c r="AG74" s="1704" t="s">
        <v>561</v>
      </c>
      <c r="AH74" s="1704" t="s">
        <v>561</v>
      </c>
      <c r="AI74" s="1671">
        <v>248400</v>
      </c>
      <c r="AJ74" s="1704" t="s">
        <v>561</v>
      </c>
      <c r="AK74" s="1704" t="s">
        <v>561</v>
      </c>
      <c r="AL74" s="1671">
        <v>40800</v>
      </c>
      <c r="AM74" s="1671">
        <v>40800</v>
      </c>
      <c r="AN74" s="1671">
        <v>47800</v>
      </c>
      <c r="AO74" s="1671">
        <v>47800</v>
      </c>
      <c r="AP74" s="1671">
        <v>67700</v>
      </c>
      <c r="AQ74" s="1671">
        <v>86400</v>
      </c>
      <c r="AR74" s="1671">
        <v>129600</v>
      </c>
      <c r="AS74" s="1704" t="s">
        <v>561</v>
      </c>
      <c r="AT74" s="1704" t="s">
        <v>561</v>
      </c>
      <c r="AU74" s="1671">
        <v>219800</v>
      </c>
      <c r="AV74" s="1704" t="s">
        <v>561</v>
      </c>
      <c r="AW74" s="1704" t="s">
        <v>561</v>
      </c>
      <c r="AX74" s="1671">
        <v>38300</v>
      </c>
      <c r="AY74" s="1671">
        <v>38300</v>
      </c>
      <c r="AZ74" s="1671">
        <v>46100</v>
      </c>
      <c r="BA74" s="1671">
        <v>46100</v>
      </c>
      <c r="BB74" s="1671">
        <v>62000</v>
      </c>
      <c r="BC74" s="1671">
        <v>80600</v>
      </c>
      <c r="BD74" s="1671">
        <v>141300</v>
      </c>
      <c r="BE74" s="1704" t="s">
        <v>561</v>
      </c>
      <c r="BF74" s="1704" t="s">
        <v>561</v>
      </c>
      <c r="BG74" s="1671">
        <v>239500</v>
      </c>
      <c r="BH74" s="1704" t="s">
        <v>561</v>
      </c>
      <c r="BI74" s="1704" t="s">
        <v>561</v>
      </c>
      <c r="BJ74" s="1671">
        <v>39600</v>
      </c>
      <c r="BK74" s="1671">
        <v>39600</v>
      </c>
      <c r="BL74" s="1671">
        <v>47200</v>
      </c>
      <c r="BM74" s="1671">
        <v>47200</v>
      </c>
      <c r="BN74" s="1671">
        <v>62800</v>
      </c>
      <c r="BO74" s="1671">
        <v>80800</v>
      </c>
      <c r="BP74" s="1671">
        <v>134300</v>
      </c>
      <c r="BQ74" s="1704" t="s">
        <v>561</v>
      </c>
      <c r="BR74" s="1704" t="s">
        <v>561</v>
      </c>
      <c r="BS74" s="1671">
        <v>212600</v>
      </c>
      <c r="BT74" s="1704" t="s">
        <v>561</v>
      </c>
      <c r="BU74" s="1704" t="s">
        <v>561</v>
      </c>
    </row>
    <row r="75" spans="1:73" s="942" customFormat="1" ht="18.5">
      <c r="A75" s="1695">
        <v>62</v>
      </c>
      <c r="B75" s="1671">
        <v>53000</v>
      </c>
      <c r="C75" s="1671">
        <v>53000</v>
      </c>
      <c r="D75" s="1671">
        <v>62500</v>
      </c>
      <c r="E75" s="1671">
        <v>62500</v>
      </c>
      <c r="F75" s="1671">
        <v>88900</v>
      </c>
      <c r="G75" s="1671">
        <v>113800</v>
      </c>
      <c r="H75" s="1671">
        <v>177100</v>
      </c>
      <c r="I75" s="1702">
        <v>315400</v>
      </c>
      <c r="J75" s="1702">
        <v>611900</v>
      </c>
      <c r="K75" s="1671">
        <v>317400</v>
      </c>
      <c r="L75" s="1702">
        <v>526600</v>
      </c>
      <c r="M75" s="1702">
        <v>1049100</v>
      </c>
      <c r="N75" s="1671">
        <v>55500</v>
      </c>
      <c r="O75" s="1671">
        <v>55500</v>
      </c>
      <c r="P75" s="1671">
        <v>65000</v>
      </c>
      <c r="Q75" s="1671">
        <v>65000</v>
      </c>
      <c r="R75" s="1671">
        <v>91300</v>
      </c>
      <c r="S75" s="1671">
        <v>116200</v>
      </c>
      <c r="T75" s="1671">
        <v>171700</v>
      </c>
      <c r="U75" s="1703">
        <v>305800</v>
      </c>
      <c r="V75" s="1703">
        <v>593300</v>
      </c>
      <c r="W75" s="1671">
        <v>285800</v>
      </c>
      <c r="X75" s="1703">
        <v>474200</v>
      </c>
      <c r="Y75" s="1703">
        <v>944800</v>
      </c>
      <c r="Z75" s="1671">
        <v>42400</v>
      </c>
      <c r="AA75" s="1671">
        <v>42400</v>
      </c>
      <c r="AB75" s="1671">
        <v>50000</v>
      </c>
      <c r="AC75" s="1671">
        <v>50000</v>
      </c>
      <c r="AD75" s="1671">
        <v>71100</v>
      </c>
      <c r="AE75" s="1671">
        <v>91000</v>
      </c>
      <c r="AF75" s="1671">
        <v>141600</v>
      </c>
      <c r="AG75" s="1704" t="s">
        <v>561</v>
      </c>
      <c r="AH75" s="1704" t="s">
        <v>561</v>
      </c>
      <c r="AI75" s="1671">
        <v>253900</v>
      </c>
      <c r="AJ75" s="1704" t="s">
        <v>561</v>
      </c>
      <c r="AK75" s="1704" t="s">
        <v>561</v>
      </c>
      <c r="AL75" s="1671">
        <v>44400</v>
      </c>
      <c r="AM75" s="1671">
        <v>44400</v>
      </c>
      <c r="AN75" s="1671">
        <v>52000</v>
      </c>
      <c r="AO75" s="1671">
        <v>52000</v>
      </c>
      <c r="AP75" s="1671">
        <v>73000</v>
      </c>
      <c r="AQ75" s="1671">
        <v>92900</v>
      </c>
      <c r="AR75" s="1671">
        <v>137300</v>
      </c>
      <c r="AS75" s="1704" t="s">
        <v>561</v>
      </c>
      <c r="AT75" s="1704" t="s">
        <v>561</v>
      </c>
      <c r="AU75" s="1671">
        <v>228600</v>
      </c>
      <c r="AV75" s="1704" t="s">
        <v>561</v>
      </c>
      <c r="AW75" s="1704" t="s">
        <v>561</v>
      </c>
      <c r="AX75" s="1671">
        <v>40300</v>
      </c>
      <c r="AY75" s="1671">
        <v>40300</v>
      </c>
      <c r="AZ75" s="1671">
        <v>48400</v>
      </c>
      <c r="BA75" s="1671">
        <v>48400</v>
      </c>
      <c r="BB75" s="1671">
        <v>64700</v>
      </c>
      <c r="BC75" s="1671">
        <v>84000</v>
      </c>
      <c r="BD75" s="1671">
        <v>145500</v>
      </c>
      <c r="BE75" s="1704" t="s">
        <v>561</v>
      </c>
      <c r="BF75" s="1704" t="s">
        <v>561</v>
      </c>
      <c r="BG75" s="1671">
        <v>243400</v>
      </c>
      <c r="BH75" s="1704" t="s">
        <v>561</v>
      </c>
      <c r="BI75" s="1704" t="s">
        <v>561</v>
      </c>
      <c r="BJ75" s="1671">
        <v>43000</v>
      </c>
      <c r="BK75" s="1671">
        <v>43000</v>
      </c>
      <c r="BL75" s="1671">
        <v>51300</v>
      </c>
      <c r="BM75" s="1671">
        <v>51300</v>
      </c>
      <c r="BN75" s="1671">
        <v>67600</v>
      </c>
      <c r="BO75" s="1671">
        <v>86600</v>
      </c>
      <c r="BP75" s="1671">
        <v>140900</v>
      </c>
      <c r="BQ75" s="1704" t="s">
        <v>561</v>
      </c>
      <c r="BR75" s="1704" t="s">
        <v>561</v>
      </c>
      <c r="BS75" s="1671">
        <v>219000</v>
      </c>
      <c r="BT75" s="1704" t="s">
        <v>561</v>
      </c>
      <c r="BU75" s="1704" t="s">
        <v>561</v>
      </c>
    </row>
    <row r="76" spans="1:73" s="942" customFormat="1" ht="18.5">
      <c r="A76" s="1695">
        <v>63</v>
      </c>
      <c r="B76" s="1671">
        <v>55500</v>
      </c>
      <c r="C76" s="1671">
        <v>55500</v>
      </c>
      <c r="D76" s="1671">
        <v>65500</v>
      </c>
      <c r="E76" s="1671">
        <v>65500</v>
      </c>
      <c r="F76" s="1671">
        <v>92600</v>
      </c>
      <c r="G76" s="1671">
        <v>118500</v>
      </c>
      <c r="H76" s="1671">
        <v>183100</v>
      </c>
      <c r="I76" s="1702">
        <v>326000</v>
      </c>
      <c r="J76" s="1702">
        <v>632500</v>
      </c>
      <c r="K76" s="1671">
        <v>324200</v>
      </c>
      <c r="L76" s="1702">
        <v>537900</v>
      </c>
      <c r="M76" s="1702">
        <v>1071700</v>
      </c>
      <c r="N76" s="1671">
        <v>59900</v>
      </c>
      <c r="O76" s="1671">
        <v>59900</v>
      </c>
      <c r="P76" s="1671">
        <v>70100</v>
      </c>
      <c r="Q76" s="1671">
        <v>70100</v>
      </c>
      <c r="R76" s="1671">
        <v>97900</v>
      </c>
      <c r="S76" s="1671">
        <v>124300</v>
      </c>
      <c r="T76" s="1671">
        <v>181400</v>
      </c>
      <c r="U76" s="1703">
        <v>323000</v>
      </c>
      <c r="V76" s="1703">
        <v>626600</v>
      </c>
      <c r="W76" s="1671">
        <v>296900</v>
      </c>
      <c r="X76" s="1703">
        <v>492600</v>
      </c>
      <c r="Y76" s="1703">
        <v>981500</v>
      </c>
      <c r="Z76" s="1671">
        <v>44400</v>
      </c>
      <c r="AA76" s="1671">
        <v>44400</v>
      </c>
      <c r="AB76" s="1671">
        <v>52400</v>
      </c>
      <c r="AC76" s="1671">
        <v>52400</v>
      </c>
      <c r="AD76" s="1671">
        <v>74000</v>
      </c>
      <c r="AE76" s="1671">
        <v>94800</v>
      </c>
      <c r="AF76" s="1671">
        <v>146400</v>
      </c>
      <c r="AG76" s="1704" t="s">
        <v>561</v>
      </c>
      <c r="AH76" s="1704" t="s">
        <v>561</v>
      </c>
      <c r="AI76" s="1671">
        <v>259300</v>
      </c>
      <c r="AJ76" s="1704" t="s">
        <v>561</v>
      </c>
      <c r="AK76" s="1704" t="s">
        <v>561</v>
      </c>
      <c r="AL76" s="1671">
        <v>47900</v>
      </c>
      <c r="AM76" s="1671">
        <v>47900</v>
      </c>
      <c r="AN76" s="1671">
        <v>56000</v>
      </c>
      <c r="AO76" s="1671">
        <v>56000</v>
      </c>
      <c r="AP76" s="1671">
        <v>78300</v>
      </c>
      <c r="AQ76" s="1671">
        <v>99400</v>
      </c>
      <c r="AR76" s="1671">
        <v>145100</v>
      </c>
      <c r="AS76" s="1704" t="s">
        <v>561</v>
      </c>
      <c r="AT76" s="1704" t="s">
        <v>561</v>
      </c>
      <c r="AU76" s="1671">
        <v>237500</v>
      </c>
      <c r="AV76" s="1704" t="s">
        <v>561</v>
      </c>
      <c r="AW76" s="1704" t="s">
        <v>561</v>
      </c>
      <c r="AX76" s="1671">
        <v>42200</v>
      </c>
      <c r="AY76" s="1671">
        <v>42200</v>
      </c>
      <c r="AZ76" s="1671">
        <v>50700</v>
      </c>
      <c r="BA76" s="1671">
        <v>50700</v>
      </c>
      <c r="BB76" s="1671">
        <v>67400</v>
      </c>
      <c r="BC76" s="1671">
        <v>87300</v>
      </c>
      <c r="BD76" s="1671">
        <v>149600</v>
      </c>
      <c r="BE76" s="1704" t="s">
        <v>561</v>
      </c>
      <c r="BF76" s="1704" t="s">
        <v>561</v>
      </c>
      <c r="BG76" s="1671">
        <v>247300</v>
      </c>
      <c r="BH76" s="1704" t="s">
        <v>561</v>
      </c>
      <c r="BI76" s="1704" t="s">
        <v>561</v>
      </c>
      <c r="BJ76" s="1671">
        <v>46500</v>
      </c>
      <c r="BK76" s="1671">
        <v>46500</v>
      </c>
      <c r="BL76" s="1671">
        <v>55500</v>
      </c>
      <c r="BM76" s="1671">
        <v>55500</v>
      </c>
      <c r="BN76" s="1671">
        <v>72400</v>
      </c>
      <c r="BO76" s="1671">
        <v>92500</v>
      </c>
      <c r="BP76" s="1671">
        <v>147500</v>
      </c>
      <c r="BQ76" s="1704" t="s">
        <v>561</v>
      </c>
      <c r="BR76" s="1704" t="s">
        <v>561</v>
      </c>
      <c r="BS76" s="1671">
        <v>225300</v>
      </c>
      <c r="BT76" s="1704" t="s">
        <v>561</v>
      </c>
      <c r="BU76" s="1704" t="s">
        <v>561</v>
      </c>
    </row>
    <row r="77" spans="1:73" s="942" customFormat="1" ht="18.5">
      <c r="A77" s="1695">
        <v>64</v>
      </c>
      <c r="B77" s="1671">
        <v>58700</v>
      </c>
      <c r="C77" s="1671">
        <v>58700</v>
      </c>
      <c r="D77" s="1671">
        <v>69200</v>
      </c>
      <c r="E77" s="1671">
        <v>69200</v>
      </c>
      <c r="F77" s="1671">
        <v>97300</v>
      </c>
      <c r="G77" s="1671">
        <v>124400</v>
      </c>
      <c r="H77" s="1671">
        <v>190400</v>
      </c>
      <c r="I77" s="1702">
        <v>339000</v>
      </c>
      <c r="J77" s="1702">
        <v>657800</v>
      </c>
      <c r="K77" s="1671">
        <v>345000</v>
      </c>
      <c r="L77" s="1702">
        <v>572300</v>
      </c>
      <c r="M77" s="1702">
        <v>1140300</v>
      </c>
      <c r="N77" s="1671">
        <v>63900</v>
      </c>
      <c r="O77" s="1671">
        <v>63900</v>
      </c>
      <c r="P77" s="1671">
        <v>74800</v>
      </c>
      <c r="Q77" s="1671">
        <v>74800</v>
      </c>
      <c r="R77" s="1671">
        <v>103700</v>
      </c>
      <c r="S77" s="1671">
        <v>131400</v>
      </c>
      <c r="T77" s="1671">
        <v>189700</v>
      </c>
      <c r="U77" s="1703">
        <v>337800</v>
      </c>
      <c r="V77" s="1703">
        <v>655300</v>
      </c>
      <c r="W77" s="1671">
        <v>306400</v>
      </c>
      <c r="X77" s="1703">
        <v>508300</v>
      </c>
      <c r="Y77" s="1703">
        <v>1012700</v>
      </c>
      <c r="Z77" s="1671">
        <v>46900</v>
      </c>
      <c r="AA77" s="1671">
        <v>46900</v>
      </c>
      <c r="AB77" s="1671">
        <v>55300</v>
      </c>
      <c r="AC77" s="1671">
        <v>55300</v>
      </c>
      <c r="AD77" s="1671">
        <v>77800</v>
      </c>
      <c r="AE77" s="1671">
        <v>99500</v>
      </c>
      <c r="AF77" s="1671">
        <v>152300</v>
      </c>
      <c r="AG77" s="1704" t="s">
        <v>561</v>
      </c>
      <c r="AH77" s="1704" t="s">
        <v>561</v>
      </c>
      <c r="AI77" s="1671">
        <v>276000</v>
      </c>
      <c r="AJ77" s="1704" t="s">
        <v>561</v>
      </c>
      <c r="AK77" s="1704" t="s">
        <v>561</v>
      </c>
      <c r="AL77" s="1671">
        <v>51100</v>
      </c>
      <c r="AM77" s="1671">
        <v>51100</v>
      </c>
      <c r="AN77" s="1671">
        <v>59800</v>
      </c>
      <c r="AO77" s="1671">
        <v>59800</v>
      </c>
      <c r="AP77" s="1671">
        <v>82900</v>
      </c>
      <c r="AQ77" s="1671">
        <v>105100</v>
      </c>
      <c r="AR77" s="1671">
        <v>151700</v>
      </c>
      <c r="AS77" s="1704" t="s">
        <v>561</v>
      </c>
      <c r="AT77" s="1704" t="s">
        <v>561</v>
      </c>
      <c r="AU77" s="1671">
        <v>245100</v>
      </c>
      <c r="AV77" s="1704" t="s">
        <v>561</v>
      </c>
      <c r="AW77" s="1704" t="s">
        <v>561</v>
      </c>
      <c r="AX77" s="1671">
        <v>44700</v>
      </c>
      <c r="AY77" s="1671">
        <v>44700</v>
      </c>
      <c r="AZ77" s="1671">
        <v>53700</v>
      </c>
      <c r="BA77" s="1671">
        <v>53700</v>
      </c>
      <c r="BB77" s="1671">
        <v>70900</v>
      </c>
      <c r="BC77" s="1671">
        <v>91500</v>
      </c>
      <c r="BD77" s="1671">
        <v>154700</v>
      </c>
      <c r="BE77" s="1704" t="s">
        <v>561</v>
      </c>
      <c r="BF77" s="1704" t="s">
        <v>561</v>
      </c>
      <c r="BG77" s="1671">
        <v>262200</v>
      </c>
      <c r="BH77" s="1704" t="s">
        <v>561</v>
      </c>
      <c r="BI77" s="1704" t="s">
        <v>561</v>
      </c>
      <c r="BJ77" s="1671">
        <v>49900</v>
      </c>
      <c r="BK77" s="1671">
        <v>49900</v>
      </c>
      <c r="BL77" s="1671">
        <v>59400</v>
      </c>
      <c r="BM77" s="1671">
        <v>59400</v>
      </c>
      <c r="BN77" s="1671">
        <v>76900</v>
      </c>
      <c r="BO77" s="1671">
        <v>97800</v>
      </c>
      <c r="BP77" s="1671">
        <v>153500</v>
      </c>
      <c r="BQ77" s="1704" t="s">
        <v>561</v>
      </c>
      <c r="BR77" s="1704" t="s">
        <v>561</v>
      </c>
      <c r="BS77" s="1671">
        <v>231000</v>
      </c>
      <c r="BT77" s="1704" t="s">
        <v>561</v>
      </c>
      <c r="BU77" s="1704" t="s">
        <v>561</v>
      </c>
    </row>
    <row r="78" spans="1:73" s="942" customFormat="1" ht="18.5">
      <c r="A78" s="1695">
        <v>65</v>
      </c>
      <c r="B78" s="1671">
        <v>61900</v>
      </c>
      <c r="C78" s="1671">
        <v>61900</v>
      </c>
      <c r="D78" s="1671">
        <v>72800</v>
      </c>
      <c r="E78" s="1671">
        <v>72800</v>
      </c>
      <c r="F78" s="1671">
        <v>102000</v>
      </c>
      <c r="G78" s="1671">
        <v>130200</v>
      </c>
      <c r="H78" s="1671">
        <v>197700</v>
      </c>
      <c r="I78" s="1702">
        <v>352000</v>
      </c>
      <c r="J78" s="1702">
        <v>683000</v>
      </c>
      <c r="K78" s="1671">
        <v>365800</v>
      </c>
      <c r="L78" s="1702">
        <v>606800</v>
      </c>
      <c r="M78" s="1702">
        <v>1209000</v>
      </c>
      <c r="N78" s="1671">
        <v>68000</v>
      </c>
      <c r="O78" s="1671">
        <v>68000</v>
      </c>
      <c r="P78" s="1671">
        <v>79500</v>
      </c>
      <c r="Q78" s="1671">
        <v>79500</v>
      </c>
      <c r="R78" s="1671">
        <v>109500</v>
      </c>
      <c r="S78" s="1671">
        <v>138500</v>
      </c>
      <c r="T78" s="1671">
        <v>198000</v>
      </c>
      <c r="U78" s="1703">
        <v>352500</v>
      </c>
      <c r="V78" s="1703">
        <v>684000</v>
      </c>
      <c r="W78" s="1671">
        <v>315800</v>
      </c>
      <c r="X78" s="1703">
        <v>524000</v>
      </c>
      <c r="Y78" s="1703">
        <v>1044000</v>
      </c>
      <c r="Z78" s="1671">
        <v>49500</v>
      </c>
      <c r="AA78" s="1671">
        <v>49500</v>
      </c>
      <c r="AB78" s="1671">
        <v>58200</v>
      </c>
      <c r="AC78" s="1671">
        <v>58200</v>
      </c>
      <c r="AD78" s="1671">
        <v>81600</v>
      </c>
      <c r="AE78" s="1671">
        <v>104100</v>
      </c>
      <c r="AF78" s="1671">
        <v>158100</v>
      </c>
      <c r="AG78" s="1704" t="s">
        <v>561</v>
      </c>
      <c r="AH78" s="1704" t="s">
        <v>561</v>
      </c>
      <c r="AI78" s="1671">
        <v>292600</v>
      </c>
      <c r="AJ78" s="1704" t="s">
        <v>561</v>
      </c>
      <c r="AK78" s="1704" t="s">
        <v>561</v>
      </c>
      <c r="AL78" s="1671">
        <v>54400</v>
      </c>
      <c r="AM78" s="1671">
        <v>54400</v>
      </c>
      <c r="AN78" s="1671">
        <v>63600</v>
      </c>
      <c r="AO78" s="1671">
        <v>63600</v>
      </c>
      <c r="AP78" s="1671">
        <v>87600</v>
      </c>
      <c r="AQ78" s="1671">
        <v>110800</v>
      </c>
      <c r="AR78" s="1671">
        <v>158400</v>
      </c>
      <c r="AS78" s="1704" t="s">
        <v>561</v>
      </c>
      <c r="AT78" s="1704" t="s">
        <v>561</v>
      </c>
      <c r="AU78" s="1671">
        <v>252600</v>
      </c>
      <c r="AV78" s="1704" t="s">
        <v>561</v>
      </c>
      <c r="AW78" s="1704" t="s">
        <v>561</v>
      </c>
      <c r="AX78" s="1671">
        <v>47200</v>
      </c>
      <c r="AY78" s="1671">
        <v>47200</v>
      </c>
      <c r="AZ78" s="1671">
        <v>56700</v>
      </c>
      <c r="BA78" s="1671">
        <v>56700</v>
      </c>
      <c r="BB78" s="1671">
        <v>74300</v>
      </c>
      <c r="BC78" s="1671">
        <v>95600</v>
      </c>
      <c r="BD78" s="1671">
        <v>159900</v>
      </c>
      <c r="BE78" s="1704" t="s">
        <v>561</v>
      </c>
      <c r="BF78" s="1704" t="s">
        <v>561</v>
      </c>
      <c r="BG78" s="1671">
        <v>277000</v>
      </c>
      <c r="BH78" s="1704" t="s">
        <v>561</v>
      </c>
      <c r="BI78" s="1704" t="s">
        <v>561</v>
      </c>
      <c r="BJ78" s="1671">
        <v>53300</v>
      </c>
      <c r="BK78" s="1671">
        <v>53300</v>
      </c>
      <c r="BL78" s="1671">
        <v>63400</v>
      </c>
      <c r="BM78" s="1671">
        <v>63400</v>
      </c>
      <c r="BN78" s="1671">
        <v>81400</v>
      </c>
      <c r="BO78" s="1671">
        <v>103100</v>
      </c>
      <c r="BP78" s="1671">
        <v>159500</v>
      </c>
      <c r="BQ78" s="1704" t="s">
        <v>561</v>
      </c>
      <c r="BR78" s="1704" t="s">
        <v>561</v>
      </c>
      <c r="BS78" s="1671">
        <v>236600</v>
      </c>
      <c r="BT78" s="1704" t="s">
        <v>561</v>
      </c>
      <c r="BU78" s="1704" t="s">
        <v>561</v>
      </c>
    </row>
    <row r="79" spans="1:73" s="942" customFormat="1" ht="18.5">
      <c r="A79" s="1695">
        <v>66</v>
      </c>
      <c r="B79" s="1671">
        <v>65000</v>
      </c>
      <c r="C79" s="1671">
        <v>65000</v>
      </c>
      <c r="D79" s="1671">
        <v>76500</v>
      </c>
      <c r="E79" s="1671">
        <v>76500</v>
      </c>
      <c r="F79" s="1671">
        <v>106700</v>
      </c>
      <c r="G79" s="1671">
        <v>136000</v>
      </c>
      <c r="H79" s="1671">
        <v>205000</v>
      </c>
      <c r="I79" s="1702">
        <v>365000</v>
      </c>
      <c r="J79" s="1702">
        <v>708200</v>
      </c>
      <c r="K79" s="1671">
        <v>386500</v>
      </c>
      <c r="L79" s="1702">
        <v>641300</v>
      </c>
      <c r="M79" s="1702">
        <v>1277700</v>
      </c>
      <c r="N79" s="1671">
        <v>72100</v>
      </c>
      <c r="O79" s="1671">
        <v>72100</v>
      </c>
      <c r="P79" s="1671">
        <v>84100</v>
      </c>
      <c r="Q79" s="1671">
        <v>84100</v>
      </c>
      <c r="R79" s="1671">
        <v>115300</v>
      </c>
      <c r="S79" s="1671">
        <v>145600</v>
      </c>
      <c r="T79" s="1671">
        <v>206300</v>
      </c>
      <c r="U79" s="1703">
        <v>367300</v>
      </c>
      <c r="V79" s="1703">
        <v>712600</v>
      </c>
      <c r="W79" s="1671">
        <v>325300</v>
      </c>
      <c r="X79" s="1703">
        <v>539700</v>
      </c>
      <c r="Y79" s="1703">
        <v>1075300</v>
      </c>
      <c r="Z79" s="1671">
        <v>52000</v>
      </c>
      <c r="AA79" s="1671">
        <v>52000</v>
      </c>
      <c r="AB79" s="1671">
        <v>61200</v>
      </c>
      <c r="AC79" s="1671">
        <v>61200</v>
      </c>
      <c r="AD79" s="1671">
        <v>85300</v>
      </c>
      <c r="AE79" s="1671">
        <v>108800</v>
      </c>
      <c r="AF79" s="1671">
        <v>164000</v>
      </c>
      <c r="AG79" s="1704" t="s">
        <v>561</v>
      </c>
      <c r="AH79" s="1704" t="s">
        <v>561</v>
      </c>
      <c r="AI79" s="1671">
        <v>309200</v>
      </c>
      <c r="AJ79" s="1704" t="s">
        <v>561</v>
      </c>
      <c r="AK79" s="1704" t="s">
        <v>561</v>
      </c>
      <c r="AL79" s="1671">
        <v>57600</v>
      </c>
      <c r="AM79" s="1671">
        <v>57600</v>
      </c>
      <c r="AN79" s="1671">
        <v>67200</v>
      </c>
      <c r="AO79" s="1671">
        <v>67200</v>
      </c>
      <c r="AP79" s="1671">
        <v>92200</v>
      </c>
      <c r="AQ79" s="1671">
        <v>116400</v>
      </c>
      <c r="AR79" s="1671">
        <v>165000</v>
      </c>
      <c r="AS79" s="1704" t="s">
        <v>561</v>
      </c>
      <c r="AT79" s="1704" t="s">
        <v>561</v>
      </c>
      <c r="AU79" s="1671">
        <v>260200</v>
      </c>
      <c r="AV79" s="1704" t="s">
        <v>561</v>
      </c>
      <c r="AW79" s="1704" t="s">
        <v>561</v>
      </c>
      <c r="AX79" s="1671">
        <v>49700</v>
      </c>
      <c r="AY79" s="1671">
        <v>49700</v>
      </c>
      <c r="AZ79" s="1671">
        <v>59600</v>
      </c>
      <c r="BA79" s="1671">
        <v>59600</v>
      </c>
      <c r="BB79" s="1671">
        <v>77800</v>
      </c>
      <c r="BC79" s="1671">
        <v>99800</v>
      </c>
      <c r="BD79" s="1671">
        <v>165000</v>
      </c>
      <c r="BE79" s="1704" t="s">
        <v>561</v>
      </c>
      <c r="BF79" s="1704" t="s">
        <v>561</v>
      </c>
      <c r="BG79" s="1671">
        <v>291800</v>
      </c>
      <c r="BH79" s="1704" t="s">
        <v>561</v>
      </c>
      <c r="BI79" s="1704" t="s">
        <v>561</v>
      </c>
      <c r="BJ79" s="1671">
        <v>56700</v>
      </c>
      <c r="BK79" s="1671">
        <v>56700</v>
      </c>
      <c r="BL79" s="1671">
        <v>67400</v>
      </c>
      <c r="BM79" s="1671">
        <v>67400</v>
      </c>
      <c r="BN79" s="1671">
        <v>85900</v>
      </c>
      <c r="BO79" s="1671">
        <v>108400</v>
      </c>
      <c r="BP79" s="1671">
        <v>165500</v>
      </c>
      <c r="BQ79" s="1704" t="s">
        <v>561</v>
      </c>
      <c r="BR79" s="1704" t="s">
        <v>561</v>
      </c>
      <c r="BS79" s="1671">
        <v>242300</v>
      </c>
      <c r="BT79" s="1704" t="s">
        <v>561</v>
      </c>
      <c r="BU79" s="1704" t="s">
        <v>561</v>
      </c>
    </row>
    <row r="80" spans="1:73" s="942" customFormat="1" ht="18.5">
      <c r="A80" s="1695">
        <v>67</v>
      </c>
      <c r="B80" s="1671">
        <v>68200</v>
      </c>
      <c r="C80" s="1671">
        <v>68200</v>
      </c>
      <c r="D80" s="1671">
        <v>80200</v>
      </c>
      <c r="E80" s="1671">
        <v>80200</v>
      </c>
      <c r="F80" s="1671">
        <v>111400</v>
      </c>
      <c r="G80" s="1671">
        <v>141900</v>
      </c>
      <c r="H80" s="1671">
        <v>212300</v>
      </c>
      <c r="I80" s="1702">
        <v>378100</v>
      </c>
      <c r="J80" s="1702">
        <v>733500</v>
      </c>
      <c r="K80" s="1671">
        <v>407300</v>
      </c>
      <c r="L80" s="1702">
        <v>675800</v>
      </c>
      <c r="M80" s="1702">
        <v>1346400</v>
      </c>
      <c r="N80" s="1671">
        <v>76200</v>
      </c>
      <c r="O80" s="1671">
        <v>76200</v>
      </c>
      <c r="P80" s="1671">
        <v>88800</v>
      </c>
      <c r="Q80" s="1671">
        <v>88800</v>
      </c>
      <c r="R80" s="1671">
        <v>121100</v>
      </c>
      <c r="S80" s="1671">
        <v>152700</v>
      </c>
      <c r="T80" s="1671">
        <v>214600</v>
      </c>
      <c r="U80" s="1703">
        <v>382100</v>
      </c>
      <c r="V80" s="1703">
        <v>741300</v>
      </c>
      <c r="W80" s="1671">
        <v>334700</v>
      </c>
      <c r="X80" s="1703">
        <v>555400</v>
      </c>
      <c r="Y80" s="1703">
        <v>1106500</v>
      </c>
      <c r="Z80" s="1671">
        <v>54500</v>
      </c>
      <c r="AA80" s="1671">
        <v>54500</v>
      </c>
      <c r="AB80" s="1671">
        <v>64100</v>
      </c>
      <c r="AC80" s="1671">
        <v>64100</v>
      </c>
      <c r="AD80" s="1671">
        <v>89100</v>
      </c>
      <c r="AE80" s="1671">
        <v>113500</v>
      </c>
      <c r="AF80" s="1671">
        <v>169800</v>
      </c>
      <c r="AG80" s="1704" t="s">
        <v>561</v>
      </c>
      <c r="AH80" s="1704" t="s">
        <v>561</v>
      </c>
      <c r="AI80" s="1671">
        <v>325800</v>
      </c>
      <c r="AJ80" s="1704" t="s">
        <v>561</v>
      </c>
      <c r="AK80" s="1704" t="s">
        <v>561</v>
      </c>
      <c r="AL80" s="1671">
        <v>60900</v>
      </c>
      <c r="AM80" s="1671">
        <v>60900</v>
      </c>
      <c r="AN80" s="1671">
        <v>71000</v>
      </c>
      <c r="AO80" s="1671">
        <v>71000</v>
      </c>
      <c r="AP80" s="1671">
        <v>96800</v>
      </c>
      <c r="AQ80" s="1671">
        <v>122100</v>
      </c>
      <c r="AR80" s="1671">
        <v>171600</v>
      </c>
      <c r="AS80" s="1704" t="s">
        <v>561</v>
      </c>
      <c r="AT80" s="1704" t="s">
        <v>561</v>
      </c>
      <c r="AU80" s="1671">
        <v>267700</v>
      </c>
      <c r="AV80" s="1704" t="s">
        <v>561</v>
      </c>
      <c r="AW80" s="1704" t="s">
        <v>561</v>
      </c>
      <c r="AX80" s="1671">
        <v>52200</v>
      </c>
      <c r="AY80" s="1671">
        <v>52200</v>
      </c>
      <c r="AZ80" s="1671">
        <v>62600</v>
      </c>
      <c r="BA80" s="1671">
        <v>62600</v>
      </c>
      <c r="BB80" s="1671">
        <v>81200</v>
      </c>
      <c r="BC80" s="1671">
        <v>104000</v>
      </c>
      <c r="BD80" s="1671">
        <v>170200</v>
      </c>
      <c r="BE80" s="1704" t="s">
        <v>561</v>
      </c>
      <c r="BF80" s="1704" t="s">
        <v>561</v>
      </c>
      <c r="BG80" s="1671">
        <v>306700</v>
      </c>
      <c r="BH80" s="1704" t="s">
        <v>561</v>
      </c>
      <c r="BI80" s="1704" t="s">
        <v>561</v>
      </c>
      <c r="BJ80" s="1671">
        <v>60100</v>
      </c>
      <c r="BK80" s="1671">
        <v>60100</v>
      </c>
      <c r="BL80" s="1671">
        <v>71300</v>
      </c>
      <c r="BM80" s="1671">
        <v>71300</v>
      </c>
      <c r="BN80" s="1671">
        <v>90400</v>
      </c>
      <c r="BO80" s="1671">
        <v>113700</v>
      </c>
      <c r="BP80" s="1671">
        <v>171500</v>
      </c>
      <c r="BQ80" s="1704" t="s">
        <v>561</v>
      </c>
      <c r="BR80" s="1704" t="s">
        <v>561</v>
      </c>
      <c r="BS80" s="1671">
        <v>248000</v>
      </c>
      <c r="BT80" s="1704" t="s">
        <v>561</v>
      </c>
      <c r="BU80" s="1704" t="s">
        <v>561</v>
      </c>
    </row>
    <row r="81" spans="1:73" s="942" customFormat="1" ht="18.5">
      <c r="A81" s="1695">
        <v>68</v>
      </c>
      <c r="B81" s="1671">
        <v>71300</v>
      </c>
      <c r="C81" s="1671">
        <v>71300</v>
      </c>
      <c r="D81" s="1671">
        <v>83900</v>
      </c>
      <c r="E81" s="1671">
        <v>83900</v>
      </c>
      <c r="F81" s="1671">
        <v>116100</v>
      </c>
      <c r="G81" s="1671">
        <v>147700</v>
      </c>
      <c r="H81" s="1671">
        <v>219600</v>
      </c>
      <c r="I81" s="1702">
        <v>391100</v>
      </c>
      <c r="J81" s="1702">
        <v>758700</v>
      </c>
      <c r="K81" s="1671">
        <v>428100</v>
      </c>
      <c r="L81" s="1702">
        <v>710300</v>
      </c>
      <c r="M81" s="1702">
        <v>1415100</v>
      </c>
      <c r="N81" s="1671">
        <v>80300</v>
      </c>
      <c r="O81" s="1671">
        <v>80300</v>
      </c>
      <c r="P81" s="1671">
        <v>93500</v>
      </c>
      <c r="Q81" s="1671">
        <v>93500</v>
      </c>
      <c r="R81" s="1671">
        <v>126900</v>
      </c>
      <c r="S81" s="1671">
        <v>159800</v>
      </c>
      <c r="T81" s="1671">
        <v>222800</v>
      </c>
      <c r="U81" s="1703">
        <v>396800</v>
      </c>
      <c r="V81" s="1703">
        <v>769900</v>
      </c>
      <c r="W81" s="1671">
        <v>344200</v>
      </c>
      <c r="X81" s="1703">
        <v>571100</v>
      </c>
      <c r="Y81" s="1703">
        <v>1137800</v>
      </c>
      <c r="Z81" s="1671">
        <v>57000</v>
      </c>
      <c r="AA81" s="1671">
        <v>57000</v>
      </c>
      <c r="AB81" s="1671">
        <v>67100</v>
      </c>
      <c r="AC81" s="1671">
        <v>67100</v>
      </c>
      <c r="AD81" s="1671">
        <v>92800</v>
      </c>
      <c r="AE81" s="1671">
        <v>118100</v>
      </c>
      <c r="AF81" s="1671">
        <v>175600</v>
      </c>
      <c r="AG81" s="1704" t="s">
        <v>561</v>
      </c>
      <c r="AH81" s="1704" t="s">
        <v>561</v>
      </c>
      <c r="AI81" s="1671">
        <v>342400</v>
      </c>
      <c r="AJ81" s="1704" t="s">
        <v>561</v>
      </c>
      <c r="AK81" s="1704" t="s">
        <v>561</v>
      </c>
      <c r="AL81" s="1671">
        <v>64200</v>
      </c>
      <c r="AM81" s="1671">
        <v>64200</v>
      </c>
      <c r="AN81" s="1671">
        <v>74800</v>
      </c>
      <c r="AO81" s="1671">
        <v>74800</v>
      </c>
      <c r="AP81" s="1671">
        <v>101500</v>
      </c>
      <c r="AQ81" s="1671">
        <v>127800</v>
      </c>
      <c r="AR81" s="1671">
        <v>178200</v>
      </c>
      <c r="AS81" s="1704" t="s">
        <v>561</v>
      </c>
      <c r="AT81" s="1704" t="s">
        <v>561</v>
      </c>
      <c r="AU81" s="1671">
        <v>275300</v>
      </c>
      <c r="AV81" s="1704" t="s">
        <v>561</v>
      </c>
      <c r="AW81" s="1704" t="s">
        <v>561</v>
      </c>
      <c r="AX81" s="1671">
        <v>54700</v>
      </c>
      <c r="AY81" s="1671">
        <v>54700</v>
      </c>
      <c r="AZ81" s="1671">
        <v>65600</v>
      </c>
      <c r="BA81" s="1671">
        <v>65600</v>
      </c>
      <c r="BB81" s="1671">
        <v>84600</v>
      </c>
      <c r="BC81" s="1671">
        <v>108200</v>
      </c>
      <c r="BD81" s="1671">
        <v>175300</v>
      </c>
      <c r="BE81" s="1704" t="s">
        <v>561</v>
      </c>
      <c r="BF81" s="1704" t="s">
        <v>561</v>
      </c>
      <c r="BG81" s="1671">
        <v>321500</v>
      </c>
      <c r="BH81" s="1704" t="s">
        <v>561</v>
      </c>
      <c r="BI81" s="1704" t="s">
        <v>561</v>
      </c>
      <c r="BJ81" s="1671">
        <v>63500</v>
      </c>
      <c r="BK81" s="1671">
        <v>63500</v>
      </c>
      <c r="BL81" s="1671">
        <v>75300</v>
      </c>
      <c r="BM81" s="1671">
        <v>75300</v>
      </c>
      <c r="BN81" s="1671">
        <v>94900</v>
      </c>
      <c r="BO81" s="1671">
        <v>119000</v>
      </c>
      <c r="BP81" s="1671">
        <v>177500</v>
      </c>
      <c r="BQ81" s="1704" t="s">
        <v>561</v>
      </c>
      <c r="BR81" s="1704" t="s">
        <v>561</v>
      </c>
      <c r="BS81" s="1671">
        <v>253600</v>
      </c>
      <c r="BT81" s="1704" t="s">
        <v>561</v>
      </c>
      <c r="BU81" s="1704" t="s">
        <v>561</v>
      </c>
    </row>
    <row r="82" spans="1:73" s="942" customFormat="1" ht="18.5">
      <c r="A82" s="1695">
        <v>69</v>
      </c>
      <c r="B82" s="1671">
        <v>76300</v>
      </c>
      <c r="C82" s="1671">
        <v>76300</v>
      </c>
      <c r="D82" s="1671">
        <v>89700</v>
      </c>
      <c r="E82" s="1671">
        <v>89700</v>
      </c>
      <c r="F82" s="1671">
        <v>123500</v>
      </c>
      <c r="G82" s="1671">
        <v>156900</v>
      </c>
      <c r="H82" s="1671">
        <v>231100</v>
      </c>
      <c r="I82" s="1702">
        <v>411600</v>
      </c>
      <c r="J82" s="1702">
        <v>798500</v>
      </c>
      <c r="K82" s="1671">
        <v>441200</v>
      </c>
      <c r="L82" s="1702">
        <v>732000</v>
      </c>
      <c r="M82" s="1702">
        <v>1458500</v>
      </c>
      <c r="N82" s="1671">
        <v>86100</v>
      </c>
      <c r="O82" s="1671">
        <v>86100</v>
      </c>
      <c r="P82" s="1671">
        <v>100200</v>
      </c>
      <c r="Q82" s="1671">
        <v>100200</v>
      </c>
      <c r="R82" s="1671">
        <v>135300</v>
      </c>
      <c r="S82" s="1671">
        <v>170000</v>
      </c>
      <c r="T82" s="1671">
        <v>234900</v>
      </c>
      <c r="U82" s="1703">
        <v>418300</v>
      </c>
      <c r="V82" s="1703">
        <v>811500</v>
      </c>
      <c r="W82" s="1671">
        <v>357900</v>
      </c>
      <c r="X82" s="1703">
        <v>593800</v>
      </c>
      <c r="Y82" s="1703">
        <v>1183200</v>
      </c>
      <c r="Z82" s="1671">
        <v>61000</v>
      </c>
      <c r="AA82" s="1671">
        <v>61000</v>
      </c>
      <c r="AB82" s="1671">
        <v>71700</v>
      </c>
      <c r="AC82" s="1671">
        <v>71700</v>
      </c>
      <c r="AD82" s="1671">
        <v>98800</v>
      </c>
      <c r="AE82" s="1671">
        <v>125500</v>
      </c>
      <c r="AF82" s="1671">
        <v>184800</v>
      </c>
      <c r="AG82" s="1704" t="s">
        <v>561</v>
      </c>
      <c r="AH82" s="1704" t="s">
        <v>561</v>
      </c>
      <c r="AI82" s="1671">
        <v>352900</v>
      </c>
      <c r="AJ82" s="1704" t="s">
        <v>561</v>
      </c>
      <c r="AK82" s="1704" t="s">
        <v>561</v>
      </c>
      <c r="AL82" s="1671">
        <v>68800</v>
      </c>
      <c r="AM82" s="1671">
        <v>68800</v>
      </c>
      <c r="AN82" s="1671">
        <v>80100</v>
      </c>
      <c r="AO82" s="1671">
        <v>80100</v>
      </c>
      <c r="AP82" s="1671">
        <v>108200</v>
      </c>
      <c r="AQ82" s="1671">
        <v>136000</v>
      </c>
      <c r="AR82" s="1671">
        <v>187900</v>
      </c>
      <c r="AS82" s="1704" t="s">
        <v>561</v>
      </c>
      <c r="AT82" s="1704" t="s">
        <v>561</v>
      </c>
      <c r="AU82" s="1671">
        <v>286300</v>
      </c>
      <c r="AV82" s="1704" t="s">
        <v>561</v>
      </c>
      <c r="AW82" s="1704" t="s">
        <v>561</v>
      </c>
      <c r="AX82" s="1671">
        <v>58600</v>
      </c>
      <c r="AY82" s="1671">
        <v>58600</v>
      </c>
      <c r="AZ82" s="1671">
        <v>70200</v>
      </c>
      <c r="BA82" s="1671">
        <v>70200</v>
      </c>
      <c r="BB82" s="1671">
        <v>90100</v>
      </c>
      <c r="BC82" s="1671">
        <v>114800</v>
      </c>
      <c r="BD82" s="1671">
        <v>183400</v>
      </c>
      <c r="BE82" s="1704" t="s">
        <v>561</v>
      </c>
      <c r="BF82" s="1704" t="s">
        <v>561</v>
      </c>
      <c r="BG82" s="1671">
        <v>329200</v>
      </c>
      <c r="BH82" s="1704" t="s">
        <v>561</v>
      </c>
      <c r="BI82" s="1704" t="s">
        <v>561</v>
      </c>
      <c r="BJ82" s="1671">
        <v>68300</v>
      </c>
      <c r="BK82" s="1671">
        <v>68300</v>
      </c>
      <c r="BL82" s="1671">
        <v>80900</v>
      </c>
      <c r="BM82" s="1671">
        <v>80900</v>
      </c>
      <c r="BN82" s="1671">
        <v>101400</v>
      </c>
      <c r="BO82" s="1671">
        <v>126600</v>
      </c>
      <c r="BP82" s="1671">
        <v>186100</v>
      </c>
      <c r="BQ82" s="1704" t="s">
        <v>561</v>
      </c>
      <c r="BR82" s="1704" t="s">
        <v>561</v>
      </c>
      <c r="BS82" s="1671">
        <v>261800</v>
      </c>
      <c r="BT82" s="1704" t="s">
        <v>561</v>
      </c>
      <c r="BU82" s="1704" t="s">
        <v>561</v>
      </c>
    </row>
    <row r="83" spans="1:73" s="942" customFormat="1" ht="18.5">
      <c r="A83" s="1695">
        <v>70</v>
      </c>
      <c r="B83" s="1671">
        <v>81300</v>
      </c>
      <c r="C83" s="1671">
        <v>81300</v>
      </c>
      <c r="D83" s="1671">
        <v>95500</v>
      </c>
      <c r="E83" s="1671">
        <v>95500</v>
      </c>
      <c r="F83" s="1671">
        <v>130900</v>
      </c>
      <c r="G83" s="1671">
        <v>166100</v>
      </c>
      <c r="H83" s="1671">
        <v>242600</v>
      </c>
      <c r="I83" s="1702">
        <v>432100</v>
      </c>
      <c r="J83" s="1702">
        <v>838300</v>
      </c>
      <c r="K83" s="1671">
        <v>454400</v>
      </c>
      <c r="L83" s="1702">
        <v>753800</v>
      </c>
      <c r="M83" s="1702">
        <v>1501900</v>
      </c>
      <c r="N83" s="1671">
        <v>92000</v>
      </c>
      <c r="O83" s="1671">
        <v>92000</v>
      </c>
      <c r="P83" s="1671">
        <v>106900</v>
      </c>
      <c r="Q83" s="1671">
        <v>106900</v>
      </c>
      <c r="R83" s="1671">
        <v>143700</v>
      </c>
      <c r="S83" s="1671">
        <v>180300</v>
      </c>
      <c r="T83" s="1671">
        <v>246900</v>
      </c>
      <c r="U83" s="1703">
        <v>439700</v>
      </c>
      <c r="V83" s="1703">
        <v>853000</v>
      </c>
      <c r="W83" s="1671">
        <v>371700</v>
      </c>
      <c r="X83" s="1703">
        <v>616600</v>
      </c>
      <c r="Y83" s="1703">
        <v>1228600</v>
      </c>
      <c r="Z83" s="1671">
        <v>65000</v>
      </c>
      <c r="AA83" s="1671">
        <v>65000</v>
      </c>
      <c r="AB83" s="1671">
        <v>76400</v>
      </c>
      <c r="AC83" s="1671">
        <v>76400</v>
      </c>
      <c r="AD83" s="1671">
        <v>104700</v>
      </c>
      <c r="AE83" s="1671">
        <v>132800</v>
      </c>
      <c r="AF83" s="1671">
        <v>194000</v>
      </c>
      <c r="AG83" s="1704" t="s">
        <v>561</v>
      </c>
      <c r="AH83" s="1704" t="s">
        <v>561</v>
      </c>
      <c r="AI83" s="1671">
        <v>363500</v>
      </c>
      <c r="AJ83" s="1704" t="s">
        <v>561</v>
      </c>
      <c r="AK83" s="1704" t="s">
        <v>561</v>
      </c>
      <c r="AL83" s="1671">
        <v>73600</v>
      </c>
      <c r="AM83" s="1671">
        <v>73600</v>
      </c>
      <c r="AN83" s="1671">
        <v>85500</v>
      </c>
      <c r="AO83" s="1671">
        <v>85500</v>
      </c>
      <c r="AP83" s="1671">
        <v>114900</v>
      </c>
      <c r="AQ83" s="1671">
        <v>144200</v>
      </c>
      <c r="AR83" s="1671">
        <v>197500</v>
      </c>
      <c r="AS83" s="1704" t="s">
        <v>561</v>
      </c>
      <c r="AT83" s="1704" t="s">
        <v>561</v>
      </c>
      <c r="AU83" s="1671">
        <v>297300</v>
      </c>
      <c r="AV83" s="1704" t="s">
        <v>561</v>
      </c>
      <c r="AW83" s="1704" t="s">
        <v>561</v>
      </c>
      <c r="AX83" s="1671">
        <v>62600</v>
      </c>
      <c r="AY83" s="1671">
        <v>62600</v>
      </c>
      <c r="AZ83" s="1671">
        <v>74900</v>
      </c>
      <c r="BA83" s="1671">
        <v>74900</v>
      </c>
      <c r="BB83" s="1671">
        <v>95500</v>
      </c>
      <c r="BC83" s="1671">
        <v>121300</v>
      </c>
      <c r="BD83" s="1671">
        <v>191500</v>
      </c>
      <c r="BE83" s="1704" t="s">
        <v>561</v>
      </c>
      <c r="BF83" s="1704" t="s">
        <v>561</v>
      </c>
      <c r="BG83" s="1671">
        <v>336900</v>
      </c>
      <c r="BH83" s="1704" t="s">
        <v>561</v>
      </c>
      <c r="BI83" s="1704" t="s">
        <v>561</v>
      </c>
      <c r="BJ83" s="1671">
        <v>73200</v>
      </c>
      <c r="BK83" s="1671">
        <v>73200</v>
      </c>
      <c r="BL83" s="1671">
        <v>86500</v>
      </c>
      <c r="BM83" s="1671">
        <v>86500</v>
      </c>
      <c r="BN83" s="1671">
        <v>107800</v>
      </c>
      <c r="BO83" s="1671">
        <v>134200</v>
      </c>
      <c r="BP83" s="1671">
        <v>194700</v>
      </c>
      <c r="BQ83" s="1704" t="s">
        <v>561</v>
      </c>
      <c r="BR83" s="1704" t="s">
        <v>561</v>
      </c>
      <c r="BS83" s="1671">
        <v>269900</v>
      </c>
      <c r="BT83" s="1704" t="s">
        <v>561</v>
      </c>
      <c r="BU83" s="1704" t="s">
        <v>561</v>
      </c>
    </row>
    <row r="84" spans="1:73" s="942" customFormat="1" ht="18.5">
      <c r="A84" s="1695">
        <v>71</v>
      </c>
      <c r="B84" s="1671">
        <v>86300</v>
      </c>
      <c r="C84" s="1671">
        <v>86300</v>
      </c>
      <c r="D84" s="1671">
        <v>101300</v>
      </c>
      <c r="E84" s="1671">
        <v>101300</v>
      </c>
      <c r="F84" s="1671">
        <v>138300</v>
      </c>
      <c r="G84" s="1671">
        <v>175200</v>
      </c>
      <c r="H84" s="1671">
        <v>254200</v>
      </c>
      <c r="I84" s="1702">
        <v>452600</v>
      </c>
      <c r="J84" s="1702">
        <v>878100</v>
      </c>
      <c r="K84" s="1671">
        <v>467500</v>
      </c>
      <c r="L84" s="1702">
        <v>775500</v>
      </c>
      <c r="M84" s="1702">
        <v>1545200</v>
      </c>
      <c r="N84" s="1671">
        <v>97800</v>
      </c>
      <c r="O84" s="1671">
        <v>97800</v>
      </c>
      <c r="P84" s="1671">
        <v>113600</v>
      </c>
      <c r="Q84" s="1671">
        <v>113600</v>
      </c>
      <c r="R84" s="1671">
        <v>152100</v>
      </c>
      <c r="S84" s="1671">
        <v>190500</v>
      </c>
      <c r="T84" s="1671">
        <v>258900</v>
      </c>
      <c r="U84" s="1703">
        <v>461100</v>
      </c>
      <c r="V84" s="1703">
        <v>894600</v>
      </c>
      <c r="W84" s="1671">
        <v>385400</v>
      </c>
      <c r="X84" s="1703">
        <v>639400</v>
      </c>
      <c r="Y84" s="1703">
        <v>1274000</v>
      </c>
      <c r="Z84" s="1671">
        <v>69000</v>
      </c>
      <c r="AA84" s="1671">
        <v>69000</v>
      </c>
      <c r="AB84" s="1671">
        <v>81000</v>
      </c>
      <c r="AC84" s="1671">
        <v>81000</v>
      </c>
      <c r="AD84" s="1671">
        <v>110600</v>
      </c>
      <c r="AE84" s="1671">
        <v>140100</v>
      </c>
      <c r="AF84" s="1671">
        <v>203300</v>
      </c>
      <c r="AG84" s="1704" t="s">
        <v>561</v>
      </c>
      <c r="AH84" s="1704" t="s">
        <v>561</v>
      </c>
      <c r="AI84" s="1671">
        <v>374000</v>
      </c>
      <c r="AJ84" s="1704" t="s">
        <v>561</v>
      </c>
      <c r="AK84" s="1704" t="s">
        <v>561</v>
      </c>
      <c r="AL84" s="1671">
        <v>78200</v>
      </c>
      <c r="AM84" s="1671">
        <v>78200</v>
      </c>
      <c r="AN84" s="1671">
        <v>90800</v>
      </c>
      <c r="AO84" s="1671">
        <v>90800</v>
      </c>
      <c r="AP84" s="1671">
        <v>121600</v>
      </c>
      <c r="AQ84" s="1671">
        <v>152400</v>
      </c>
      <c r="AR84" s="1671">
        <v>207100</v>
      </c>
      <c r="AS84" s="1704" t="s">
        <v>561</v>
      </c>
      <c r="AT84" s="1704" t="s">
        <v>561</v>
      </c>
      <c r="AU84" s="1671">
        <v>308300</v>
      </c>
      <c r="AV84" s="1704" t="s">
        <v>561</v>
      </c>
      <c r="AW84" s="1704" t="s">
        <v>561</v>
      </c>
      <c r="AX84" s="1671">
        <v>66500</v>
      </c>
      <c r="AY84" s="1671">
        <v>66500</v>
      </c>
      <c r="AZ84" s="1671">
        <v>79600</v>
      </c>
      <c r="BA84" s="1671">
        <v>79600</v>
      </c>
      <c r="BB84" s="1671">
        <v>100900</v>
      </c>
      <c r="BC84" s="1671">
        <v>127900</v>
      </c>
      <c r="BD84" s="1671">
        <v>199700</v>
      </c>
      <c r="BE84" s="1704" t="s">
        <v>561</v>
      </c>
      <c r="BF84" s="1704" t="s">
        <v>561</v>
      </c>
      <c r="BG84" s="1671">
        <v>344500</v>
      </c>
      <c r="BH84" s="1704" t="s">
        <v>561</v>
      </c>
      <c r="BI84" s="1704" t="s">
        <v>561</v>
      </c>
      <c r="BJ84" s="1671">
        <v>78000</v>
      </c>
      <c r="BK84" s="1671">
        <v>78000</v>
      </c>
      <c r="BL84" s="1671">
        <v>92200</v>
      </c>
      <c r="BM84" s="1671">
        <v>92200</v>
      </c>
      <c r="BN84" s="1671">
        <v>114200</v>
      </c>
      <c r="BO84" s="1671">
        <v>141700</v>
      </c>
      <c r="BP84" s="1671">
        <v>203300</v>
      </c>
      <c r="BQ84" s="1704" t="s">
        <v>561</v>
      </c>
      <c r="BR84" s="1704" t="s">
        <v>561</v>
      </c>
      <c r="BS84" s="1671">
        <v>278100</v>
      </c>
      <c r="BT84" s="1704" t="s">
        <v>561</v>
      </c>
      <c r="BU84" s="1704" t="s">
        <v>561</v>
      </c>
    </row>
    <row r="85" spans="1:73" s="942" customFormat="1" ht="18.5">
      <c r="A85" s="1695">
        <v>72</v>
      </c>
      <c r="B85" s="1671">
        <v>91300</v>
      </c>
      <c r="C85" s="1671">
        <v>91300</v>
      </c>
      <c r="D85" s="1671">
        <v>107100</v>
      </c>
      <c r="E85" s="1671">
        <v>107100</v>
      </c>
      <c r="F85" s="1671">
        <v>145700</v>
      </c>
      <c r="G85" s="1671">
        <v>184400</v>
      </c>
      <c r="H85" s="1671">
        <v>265700</v>
      </c>
      <c r="I85" s="1702">
        <v>473100</v>
      </c>
      <c r="J85" s="1702">
        <v>917900</v>
      </c>
      <c r="K85" s="1671">
        <v>480600</v>
      </c>
      <c r="L85" s="1702">
        <v>797300</v>
      </c>
      <c r="M85" s="1702">
        <v>1588600</v>
      </c>
      <c r="N85" s="1671">
        <v>103700</v>
      </c>
      <c r="O85" s="1671">
        <v>103700</v>
      </c>
      <c r="P85" s="1671">
        <v>120300</v>
      </c>
      <c r="Q85" s="1671">
        <v>120300</v>
      </c>
      <c r="R85" s="1671">
        <v>160400</v>
      </c>
      <c r="S85" s="1671">
        <v>200800</v>
      </c>
      <c r="T85" s="1671">
        <v>270900</v>
      </c>
      <c r="U85" s="1703">
        <v>482500</v>
      </c>
      <c r="V85" s="1703">
        <v>936100</v>
      </c>
      <c r="W85" s="1671">
        <v>399100</v>
      </c>
      <c r="X85" s="1703">
        <v>662200</v>
      </c>
      <c r="Y85" s="1703">
        <v>1319300</v>
      </c>
      <c r="Z85" s="1671">
        <v>73000</v>
      </c>
      <c r="AA85" s="1671">
        <v>73000</v>
      </c>
      <c r="AB85" s="1671">
        <v>85600</v>
      </c>
      <c r="AC85" s="1671">
        <v>85600</v>
      </c>
      <c r="AD85" s="1671">
        <v>116500</v>
      </c>
      <c r="AE85" s="1671">
        <v>147500</v>
      </c>
      <c r="AF85" s="1671">
        <v>212500</v>
      </c>
      <c r="AG85" s="1704" t="s">
        <v>561</v>
      </c>
      <c r="AH85" s="1704" t="s">
        <v>561</v>
      </c>
      <c r="AI85" s="1671">
        <v>384400</v>
      </c>
      <c r="AJ85" s="1704" t="s">
        <v>561</v>
      </c>
      <c r="AK85" s="1704" t="s">
        <v>561</v>
      </c>
      <c r="AL85" s="1671">
        <v>82900</v>
      </c>
      <c r="AM85" s="1671">
        <v>82900</v>
      </c>
      <c r="AN85" s="1671">
        <v>96200</v>
      </c>
      <c r="AO85" s="1671">
        <v>96200</v>
      </c>
      <c r="AP85" s="1671">
        <v>128300</v>
      </c>
      <c r="AQ85" s="1671">
        <v>160600</v>
      </c>
      <c r="AR85" s="1671">
        <v>216700</v>
      </c>
      <c r="AS85" s="1704" t="s">
        <v>561</v>
      </c>
      <c r="AT85" s="1704" t="s">
        <v>561</v>
      </c>
      <c r="AU85" s="1671">
        <v>319200</v>
      </c>
      <c r="AV85" s="1704" t="s">
        <v>561</v>
      </c>
      <c r="AW85" s="1704" t="s">
        <v>561</v>
      </c>
      <c r="AX85" s="1671">
        <v>70400</v>
      </c>
      <c r="AY85" s="1671">
        <v>70400</v>
      </c>
      <c r="AZ85" s="1671">
        <v>84200</v>
      </c>
      <c r="BA85" s="1671">
        <v>84200</v>
      </c>
      <c r="BB85" s="1671">
        <v>106300</v>
      </c>
      <c r="BC85" s="1671">
        <v>134500</v>
      </c>
      <c r="BD85" s="1671">
        <v>207800</v>
      </c>
      <c r="BE85" s="1704" t="s">
        <v>561</v>
      </c>
      <c r="BF85" s="1704" t="s">
        <v>561</v>
      </c>
      <c r="BG85" s="1671">
        <v>352200</v>
      </c>
      <c r="BH85" s="1704" t="s">
        <v>561</v>
      </c>
      <c r="BI85" s="1704" t="s">
        <v>561</v>
      </c>
      <c r="BJ85" s="1671">
        <v>82800</v>
      </c>
      <c r="BK85" s="1671">
        <v>82800</v>
      </c>
      <c r="BL85" s="1671">
        <v>97800</v>
      </c>
      <c r="BM85" s="1671">
        <v>97800</v>
      </c>
      <c r="BN85" s="1671">
        <v>120600</v>
      </c>
      <c r="BO85" s="1671">
        <v>149300</v>
      </c>
      <c r="BP85" s="1671">
        <v>211900</v>
      </c>
      <c r="BQ85" s="1704" t="s">
        <v>561</v>
      </c>
      <c r="BR85" s="1704" t="s">
        <v>561</v>
      </c>
      <c r="BS85" s="1671">
        <v>286200</v>
      </c>
      <c r="BT85" s="1704" t="s">
        <v>561</v>
      </c>
      <c r="BU85" s="1704" t="s">
        <v>561</v>
      </c>
    </row>
    <row r="86" spans="1:73" s="942" customFormat="1" ht="18.5">
      <c r="A86" s="1695">
        <v>73</v>
      </c>
      <c r="B86" s="1671">
        <v>96300</v>
      </c>
      <c r="C86" s="1671">
        <v>96300</v>
      </c>
      <c r="D86" s="1671">
        <v>112900</v>
      </c>
      <c r="E86" s="1671">
        <v>112900</v>
      </c>
      <c r="F86" s="1671">
        <v>153100</v>
      </c>
      <c r="G86" s="1671">
        <v>193600</v>
      </c>
      <c r="H86" s="1671">
        <v>277200</v>
      </c>
      <c r="I86" s="1702">
        <v>493600</v>
      </c>
      <c r="J86" s="1702">
        <v>957700</v>
      </c>
      <c r="K86" s="1671">
        <v>493700</v>
      </c>
      <c r="L86" s="1702">
        <v>819100</v>
      </c>
      <c r="M86" s="1702">
        <v>1632000</v>
      </c>
      <c r="N86" s="1671">
        <v>109500</v>
      </c>
      <c r="O86" s="1671">
        <v>109500</v>
      </c>
      <c r="P86" s="1671">
        <v>127000</v>
      </c>
      <c r="Q86" s="1671">
        <v>127000</v>
      </c>
      <c r="R86" s="1671">
        <v>168800</v>
      </c>
      <c r="S86" s="1671">
        <v>211000</v>
      </c>
      <c r="T86" s="1671">
        <v>283000</v>
      </c>
      <c r="U86" s="1703">
        <v>503900</v>
      </c>
      <c r="V86" s="1703">
        <v>977700</v>
      </c>
      <c r="W86" s="1671">
        <v>412900</v>
      </c>
      <c r="X86" s="1703">
        <v>685000</v>
      </c>
      <c r="Y86" s="1703">
        <v>1364700</v>
      </c>
      <c r="Z86" s="1671">
        <v>77000</v>
      </c>
      <c r="AA86" s="1671">
        <v>77000</v>
      </c>
      <c r="AB86" s="1671">
        <v>90300</v>
      </c>
      <c r="AC86" s="1671">
        <v>90300</v>
      </c>
      <c r="AD86" s="1671">
        <v>122400</v>
      </c>
      <c r="AE86" s="1671">
        <v>154800</v>
      </c>
      <c r="AF86" s="1671">
        <v>221700</v>
      </c>
      <c r="AG86" s="1704" t="s">
        <v>561</v>
      </c>
      <c r="AH86" s="1704" t="s">
        <v>561</v>
      </c>
      <c r="AI86" s="1671">
        <v>394900</v>
      </c>
      <c r="AJ86" s="1704" t="s">
        <v>561</v>
      </c>
      <c r="AK86" s="1704" t="s">
        <v>561</v>
      </c>
      <c r="AL86" s="1671">
        <v>87600</v>
      </c>
      <c r="AM86" s="1671">
        <v>87600</v>
      </c>
      <c r="AN86" s="1671">
        <v>101600</v>
      </c>
      <c r="AO86" s="1671">
        <v>101600</v>
      </c>
      <c r="AP86" s="1671">
        <v>135000</v>
      </c>
      <c r="AQ86" s="1671">
        <v>168800</v>
      </c>
      <c r="AR86" s="1671">
        <v>226400</v>
      </c>
      <c r="AS86" s="1704" t="s">
        <v>561</v>
      </c>
      <c r="AT86" s="1704" t="s">
        <v>561</v>
      </c>
      <c r="AU86" s="1671">
        <v>330300</v>
      </c>
      <c r="AV86" s="1704" t="s">
        <v>561</v>
      </c>
      <c r="AW86" s="1704" t="s">
        <v>561</v>
      </c>
      <c r="AX86" s="1671">
        <v>74300</v>
      </c>
      <c r="AY86" s="1671">
        <v>74300</v>
      </c>
      <c r="AZ86" s="1671">
        <v>88900</v>
      </c>
      <c r="BA86" s="1671">
        <v>88900</v>
      </c>
      <c r="BB86" s="1671">
        <v>111800</v>
      </c>
      <c r="BC86" s="1671">
        <v>141100</v>
      </c>
      <c r="BD86" s="1671">
        <v>215900</v>
      </c>
      <c r="BE86" s="1704" t="s">
        <v>561</v>
      </c>
      <c r="BF86" s="1704" t="s">
        <v>561</v>
      </c>
      <c r="BG86" s="1671">
        <v>359900</v>
      </c>
      <c r="BH86" s="1704" t="s">
        <v>561</v>
      </c>
      <c r="BI86" s="1704" t="s">
        <v>561</v>
      </c>
      <c r="BJ86" s="1671">
        <v>87600</v>
      </c>
      <c r="BK86" s="1671">
        <v>87600</v>
      </c>
      <c r="BL86" s="1671">
        <v>103400</v>
      </c>
      <c r="BM86" s="1671">
        <v>103400</v>
      </c>
      <c r="BN86" s="1671">
        <v>127100</v>
      </c>
      <c r="BO86" s="1671">
        <v>156900</v>
      </c>
      <c r="BP86" s="1671">
        <v>220500</v>
      </c>
      <c r="BQ86" s="1704" t="s">
        <v>561</v>
      </c>
      <c r="BR86" s="1704" t="s">
        <v>561</v>
      </c>
      <c r="BS86" s="1671">
        <v>294400</v>
      </c>
      <c r="BT86" s="1704" t="s">
        <v>561</v>
      </c>
      <c r="BU86" s="1704" t="s">
        <v>561</v>
      </c>
    </row>
    <row r="87" spans="1:73" s="942" customFormat="1" ht="18.5">
      <c r="A87" s="1695">
        <v>74</v>
      </c>
      <c r="B87" s="1671">
        <v>102600</v>
      </c>
      <c r="C87" s="1671">
        <v>102600</v>
      </c>
      <c r="D87" s="1671">
        <v>120300</v>
      </c>
      <c r="E87" s="1671">
        <v>120300</v>
      </c>
      <c r="F87" s="1671">
        <v>162400</v>
      </c>
      <c r="G87" s="1671">
        <v>205000</v>
      </c>
      <c r="H87" s="1671">
        <v>291400</v>
      </c>
      <c r="I87" s="1702">
        <v>518900</v>
      </c>
      <c r="J87" s="1702">
        <v>1006800</v>
      </c>
      <c r="K87" s="1671">
        <v>509900</v>
      </c>
      <c r="L87" s="1702">
        <v>845900</v>
      </c>
      <c r="M87" s="1702">
        <v>1685400</v>
      </c>
      <c r="N87" s="1671">
        <v>116500</v>
      </c>
      <c r="O87" s="1671">
        <v>116500</v>
      </c>
      <c r="P87" s="1671">
        <v>135100</v>
      </c>
      <c r="Q87" s="1671">
        <v>135100</v>
      </c>
      <c r="R87" s="1671">
        <v>178900</v>
      </c>
      <c r="S87" s="1671">
        <v>223300</v>
      </c>
      <c r="T87" s="1671">
        <v>297400</v>
      </c>
      <c r="U87" s="1703">
        <v>529600</v>
      </c>
      <c r="V87" s="1703">
        <v>1027500</v>
      </c>
      <c r="W87" s="1671">
        <v>429400</v>
      </c>
      <c r="X87" s="1703">
        <v>712300</v>
      </c>
      <c r="Y87" s="1703">
        <v>1419200</v>
      </c>
      <c r="Z87" s="1671">
        <v>82000</v>
      </c>
      <c r="AA87" s="1671">
        <v>82000</v>
      </c>
      <c r="AB87" s="1671">
        <v>96200</v>
      </c>
      <c r="AC87" s="1671">
        <v>96200</v>
      </c>
      <c r="AD87" s="1671">
        <v>129900</v>
      </c>
      <c r="AE87" s="1671">
        <v>164000</v>
      </c>
      <c r="AF87" s="1671">
        <v>233100</v>
      </c>
      <c r="AG87" s="1704" t="s">
        <v>561</v>
      </c>
      <c r="AH87" s="1704" t="s">
        <v>561</v>
      </c>
      <c r="AI87" s="1671">
        <v>407900</v>
      </c>
      <c r="AJ87" s="1704" t="s">
        <v>561</v>
      </c>
      <c r="AK87" s="1704" t="s">
        <v>561</v>
      </c>
      <c r="AL87" s="1671">
        <v>93200</v>
      </c>
      <c r="AM87" s="1671">
        <v>93200</v>
      </c>
      <c r="AN87" s="1671">
        <v>108000</v>
      </c>
      <c r="AO87" s="1671">
        <v>108000</v>
      </c>
      <c r="AP87" s="1671">
        <v>143100</v>
      </c>
      <c r="AQ87" s="1671">
        <v>178600</v>
      </c>
      <c r="AR87" s="1671">
        <v>237900</v>
      </c>
      <c r="AS87" s="1704" t="s">
        <v>561</v>
      </c>
      <c r="AT87" s="1704" t="s">
        <v>561</v>
      </c>
      <c r="AU87" s="1671">
        <v>343500</v>
      </c>
      <c r="AV87" s="1704" t="s">
        <v>561</v>
      </c>
      <c r="AW87" s="1704" t="s">
        <v>561</v>
      </c>
      <c r="AX87" s="1671">
        <v>79500</v>
      </c>
      <c r="AY87" s="1671">
        <v>79500</v>
      </c>
      <c r="AZ87" s="1671">
        <v>94900</v>
      </c>
      <c r="BA87" s="1671">
        <v>94900</v>
      </c>
      <c r="BB87" s="1671">
        <v>118700</v>
      </c>
      <c r="BC87" s="1671">
        <v>149400</v>
      </c>
      <c r="BD87" s="1671">
        <v>226100</v>
      </c>
      <c r="BE87" s="1704" t="s">
        <v>561</v>
      </c>
      <c r="BF87" s="1704" t="s">
        <v>561</v>
      </c>
      <c r="BG87" s="1671">
        <v>369500</v>
      </c>
      <c r="BH87" s="1704" t="s">
        <v>561</v>
      </c>
      <c r="BI87" s="1704" t="s">
        <v>561</v>
      </c>
      <c r="BJ87" s="1671">
        <v>93400</v>
      </c>
      <c r="BK87" s="1671">
        <v>93400</v>
      </c>
      <c r="BL87" s="1671">
        <v>110200</v>
      </c>
      <c r="BM87" s="1671">
        <v>110200</v>
      </c>
      <c r="BN87" s="1671">
        <v>134800</v>
      </c>
      <c r="BO87" s="1671">
        <v>166100</v>
      </c>
      <c r="BP87" s="1671">
        <v>230800</v>
      </c>
      <c r="BQ87" s="1704" t="s">
        <v>561</v>
      </c>
      <c r="BR87" s="1704" t="s">
        <v>561</v>
      </c>
      <c r="BS87" s="1671">
        <v>304200</v>
      </c>
      <c r="BT87" s="1704" t="s">
        <v>561</v>
      </c>
      <c r="BU87" s="1704" t="s">
        <v>561</v>
      </c>
    </row>
    <row r="88" spans="1:73" s="942" customFormat="1" ht="18.5">
      <c r="A88" s="1695">
        <v>75</v>
      </c>
      <c r="B88" s="1671">
        <v>109000</v>
      </c>
      <c r="C88" s="1671">
        <v>109000</v>
      </c>
      <c r="D88" s="1671">
        <v>127600</v>
      </c>
      <c r="E88" s="1671">
        <v>127600</v>
      </c>
      <c r="F88" s="1671">
        <v>171700</v>
      </c>
      <c r="G88" s="1671">
        <v>216400</v>
      </c>
      <c r="H88" s="1671">
        <v>305600</v>
      </c>
      <c r="I88" s="1702">
        <v>544200</v>
      </c>
      <c r="J88" s="1702">
        <v>1055900</v>
      </c>
      <c r="K88" s="1671">
        <v>526000</v>
      </c>
      <c r="L88" s="1702">
        <v>872700</v>
      </c>
      <c r="M88" s="1702">
        <v>1738700</v>
      </c>
      <c r="N88" s="1671">
        <v>123500</v>
      </c>
      <c r="O88" s="1671">
        <v>123500</v>
      </c>
      <c r="P88" s="1671">
        <v>143100</v>
      </c>
      <c r="Q88" s="1671">
        <v>143100</v>
      </c>
      <c r="R88" s="1671">
        <v>189000</v>
      </c>
      <c r="S88" s="1671">
        <v>235700</v>
      </c>
      <c r="T88" s="1671">
        <v>311800</v>
      </c>
      <c r="U88" s="1703">
        <v>555300</v>
      </c>
      <c r="V88" s="1703">
        <v>1077400</v>
      </c>
      <c r="W88" s="1671">
        <v>445800</v>
      </c>
      <c r="X88" s="1703">
        <v>739700</v>
      </c>
      <c r="Y88" s="1703">
        <v>1473700</v>
      </c>
      <c r="Z88" s="1671">
        <v>87200</v>
      </c>
      <c r="AA88" s="1671">
        <v>87200</v>
      </c>
      <c r="AB88" s="1671">
        <v>102000</v>
      </c>
      <c r="AC88" s="1671">
        <v>102000</v>
      </c>
      <c r="AD88" s="1671">
        <v>137300</v>
      </c>
      <c r="AE88" s="1671">
        <v>173100</v>
      </c>
      <c r="AF88" s="1671">
        <v>244400</v>
      </c>
      <c r="AG88" s="1704" t="s">
        <v>561</v>
      </c>
      <c r="AH88" s="1704" t="s">
        <v>561</v>
      </c>
      <c r="AI88" s="1671">
        <v>420800</v>
      </c>
      <c r="AJ88" s="1704" t="s">
        <v>561</v>
      </c>
      <c r="AK88" s="1704" t="s">
        <v>561</v>
      </c>
      <c r="AL88" s="1671">
        <v>98800</v>
      </c>
      <c r="AM88" s="1671">
        <v>98800</v>
      </c>
      <c r="AN88" s="1671">
        <v>114400</v>
      </c>
      <c r="AO88" s="1671">
        <v>114400</v>
      </c>
      <c r="AP88" s="1671">
        <v>151200</v>
      </c>
      <c r="AQ88" s="1671">
        <v>188500</v>
      </c>
      <c r="AR88" s="1671">
        <v>249400</v>
      </c>
      <c r="AS88" s="1704" t="s">
        <v>561</v>
      </c>
      <c r="AT88" s="1704" t="s">
        <v>561</v>
      </c>
      <c r="AU88" s="1671">
        <v>356600</v>
      </c>
      <c r="AV88" s="1704" t="s">
        <v>561</v>
      </c>
      <c r="AW88" s="1704" t="s">
        <v>561</v>
      </c>
      <c r="AX88" s="1671">
        <v>84600</v>
      </c>
      <c r="AY88" s="1671">
        <v>84600</v>
      </c>
      <c r="AZ88" s="1671">
        <v>101000</v>
      </c>
      <c r="BA88" s="1671">
        <v>101000</v>
      </c>
      <c r="BB88" s="1671">
        <v>125700</v>
      </c>
      <c r="BC88" s="1671">
        <v>157700</v>
      </c>
      <c r="BD88" s="1671">
        <v>236300</v>
      </c>
      <c r="BE88" s="1704" t="s">
        <v>561</v>
      </c>
      <c r="BF88" s="1704" t="s">
        <v>561</v>
      </c>
      <c r="BG88" s="1671">
        <v>379100</v>
      </c>
      <c r="BH88" s="1704" t="s">
        <v>561</v>
      </c>
      <c r="BI88" s="1704" t="s">
        <v>561</v>
      </c>
      <c r="BJ88" s="1671">
        <v>99200</v>
      </c>
      <c r="BK88" s="1671">
        <v>99200</v>
      </c>
      <c r="BL88" s="1671">
        <v>116900</v>
      </c>
      <c r="BM88" s="1671">
        <v>116900</v>
      </c>
      <c r="BN88" s="1671">
        <v>142500</v>
      </c>
      <c r="BO88" s="1671">
        <v>175200</v>
      </c>
      <c r="BP88" s="1671">
        <v>241200</v>
      </c>
      <c r="BQ88" s="1704" t="s">
        <v>561</v>
      </c>
      <c r="BR88" s="1704" t="s">
        <v>561</v>
      </c>
      <c r="BS88" s="1671">
        <v>314000</v>
      </c>
      <c r="BT88" s="1704" t="s">
        <v>561</v>
      </c>
      <c r="BU88" s="1704" t="s">
        <v>561</v>
      </c>
    </row>
    <row r="89" spans="1:73" s="942" customFormat="1" ht="18.5">
      <c r="A89" s="1695">
        <v>76</v>
      </c>
      <c r="B89" s="1671">
        <v>115300</v>
      </c>
      <c r="C89" s="1671">
        <v>115300</v>
      </c>
      <c r="D89" s="1671">
        <v>135000</v>
      </c>
      <c r="E89" s="1671">
        <v>135000</v>
      </c>
      <c r="F89" s="1671">
        <v>180900</v>
      </c>
      <c r="G89" s="1671">
        <v>227800</v>
      </c>
      <c r="H89" s="1671">
        <v>319800</v>
      </c>
      <c r="I89" s="1702">
        <v>569500</v>
      </c>
      <c r="J89" s="1702">
        <v>1105000</v>
      </c>
      <c r="K89" s="1671">
        <v>542200</v>
      </c>
      <c r="L89" s="1702">
        <v>899500</v>
      </c>
      <c r="M89" s="1702">
        <v>1792100</v>
      </c>
      <c r="N89" s="1671">
        <v>130600</v>
      </c>
      <c r="O89" s="1671">
        <v>130600</v>
      </c>
      <c r="P89" s="1671">
        <v>151200</v>
      </c>
      <c r="Q89" s="1671">
        <v>151200</v>
      </c>
      <c r="R89" s="1671">
        <v>199000</v>
      </c>
      <c r="S89" s="1671">
        <v>248000</v>
      </c>
      <c r="T89" s="1671">
        <v>326300</v>
      </c>
      <c r="U89" s="1703">
        <v>581000</v>
      </c>
      <c r="V89" s="1703">
        <v>1127300</v>
      </c>
      <c r="W89" s="1671">
        <v>462300</v>
      </c>
      <c r="X89" s="1703">
        <v>767000</v>
      </c>
      <c r="Y89" s="1703">
        <v>1528200</v>
      </c>
      <c r="Z89" s="1671">
        <v>92200</v>
      </c>
      <c r="AA89" s="1671">
        <v>92200</v>
      </c>
      <c r="AB89" s="1671">
        <v>108000</v>
      </c>
      <c r="AC89" s="1671">
        <v>108000</v>
      </c>
      <c r="AD89" s="1671">
        <v>144700</v>
      </c>
      <c r="AE89" s="1671">
        <v>182200</v>
      </c>
      <c r="AF89" s="1671">
        <v>255800</v>
      </c>
      <c r="AG89" s="1704" t="s">
        <v>561</v>
      </c>
      <c r="AH89" s="1704" t="s">
        <v>561</v>
      </c>
      <c r="AI89" s="1671">
        <v>433700</v>
      </c>
      <c r="AJ89" s="1704" t="s">
        <v>561</v>
      </c>
      <c r="AK89" s="1704" t="s">
        <v>561</v>
      </c>
      <c r="AL89" s="1671">
        <v>104400</v>
      </c>
      <c r="AM89" s="1671">
        <v>104400</v>
      </c>
      <c r="AN89" s="1671">
        <v>120900</v>
      </c>
      <c r="AO89" s="1671">
        <v>120900</v>
      </c>
      <c r="AP89" s="1671">
        <v>159200</v>
      </c>
      <c r="AQ89" s="1671">
        <v>198400</v>
      </c>
      <c r="AR89" s="1671">
        <v>261000</v>
      </c>
      <c r="AS89" s="1704" t="s">
        <v>561</v>
      </c>
      <c r="AT89" s="1704" t="s">
        <v>561</v>
      </c>
      <c r="AU89" s="1671">
        <v>369800</v>
      </c>
      <c r="AV89" s="1704" t="s">
        <v>561</v>
      </c>
      <c r="AW89" s="1704" t="s">
        <v>561</v>
      </c>
      <c r="AX89" s="1671">
        <v>89800</v>
      </c>
      <c r="AY89" s="1671">
        <v>89800</v>
      </c>
      <c r="AZ89" s="1671">
        <v>107000</v>
      </c>
      <c r="BA89" s="1671">
        <v>107000</v>
      </c>
      <c r="BB89" s="1671">
        <v>132700</v>
      </c>
      <c r="BC89" s="1671">
        <v>166000</v>
      </c>
      <c r="BD89" s="1671">
        <v>246500</v>
      </c>
      <c r="BE89" s="1704" t="s">
        <v>561</v>
      </c>
      <c r="BF89" s="1704" t="s">
        <v>561</v>
      </c>
      <c r="BG89" s="1671">
        <v>388700</v>
      </c>
      <c r="BH89" s="1704" t="s">
        <v>561</v>
      </c>
      <c r="BI89" s="1704" t="s">
        <v>561</v>
      </c>
      <c r="BJ89" s="1671">
        <v>105000</v>
      </c>
      <c r="BK89" s="1671">
        <v>105000</v>
      </c>
      <c r="BL89" s="1671">
        <v>123700</v>
      </c>
      <c r="BM89" s="1671">
        <v>123700</v>
      </c>
      <c r="BN89" s="1671">
        <v>150200</v>
      </c>
      <c r="BO89" s="1671">
        <v>184300</v>
      </c>
      <c r="BP89" s="1671">
        <v>251500</v>
      </c>
      <c r="BQ89" s="1704" t="s">
        <v>561</v>
      </c>
      <c r="BR89" s="1704" t="s">
        <v>561</v>
      </c>
      <c r="BS89" s="1671">
        <v>323800</v>
      </c>
      <c r="BT89" s="1704" t="s">
        <v>561</v>
      </c>
      <c r="BU89" s="1704" t="s">
        <v>561</v>
      </c>
    </row>
    <row r="90" spans="1:73" s="942" customFormat="1" ht="18.5">
      <c r="A90" s="1695">
        <v>77</v>
      </c>
      <c r="B90" s="1671">
        <v>121700</v>
      </c>
      <c r="C90" s="1671">
        <v>121700</v>
      </c>
      <c r="D90" s="1671">
        <v>142300</v>
      </c>
      <c r="E90" s="1671">
        <v>142300</v>
      </c>
      <c r="F90" s="1671">
        <v>190200</v>
      </c>
      <c r="G90" s="1671">
        <v>239200</v>
      </c>
      <c r="H90" s="1671">
        <v>334000</v>
      </c>
      <c r="I90" s="1702">
        <v>594900</v>
      </c>
      <c r="J90" s="1702">
        <v>1154100</v>
      </c>
      <c r="K90" s="1671">
        <v>558300</v>
      </c>
      <c r="L90" s="1702">
        <v>926300</v>
      </c>
      <c r="M90" s="1702">
        <v>1845500</v>
      </c>
      <c r="N90" s="1671">
        <v>137600</v>
      </c>
      <c r="O90" s="1671">
        <v>137600</v>
      </c>
      <c r="P90" s="1671">
        <v>159200</v>
      </c>
      <c r="Q90" s="1671">
        <v>159200</v>
      </c>
      <c r="R90" s="1671">
        <v>209100</v>
      </c>
      <c r="S90" s="1671">
        <v>260300</v>
      </c>
      <c r="T90" s="1671">
        <v>340700</v>
      </c>
      <c r="U90" s="1703">
        <v>606800</v>
      </c>
      <c r="V90" s="1703">
        <v>1177200</v>
      </c>
      <c r="W90" s="1671">
        <v>478800</v>
      </c>
      <c r="X90" s="1703">
        <v>794400</v>
      </c>
      <c r="Y90" s="1703">
        <v>1582700</v>
      </c>
      <c r="Z90" s="1671">
        <v>97300</v>
      </c>
      <c r="AA90" s="1671">
        <v>97300</v>
      </c>
      <c r="AB90" s="1671">
        <v>113800</v>
      </c>
      <c r="AC90" s="1671">
        <v>113800</v>
      </c>
      <c r="AD90" s="1671">
        <v>152100</v>
      </c>
      <c r="AE90" s="1671">
        <v>191300</v>
      </c>
      <c r="AF90" s="1671">
        <v>267200</v>
      </c>
      <c r="AG90" s="1704" t="s">
        <v>561</v>
      </c>
      <c r="AH90" s="1704" t="s">
        <v>561</v>
      </c>
      <c r="AI90" s="1671">
        <v>446600</v>
      </c>
      <c r="AJ90" s="1704" t="s">
        <v>561</v>
      </c>
      <c r="AK90" s="1704" t="s">
        <v>561</v>
      </c>
      <c r="AL90" s="1671">
        <v>110000</v>
      </c>
      <c r="AM90" s="1671">
        <v>110000</v>
      </c>
      <c r="AN90" s="1671">
        <v>127300</v>
      </c>
      <c r="AO90" s="1671">
        <v>127300</v>
      </c>
      <c r="AP90" s="1671">
        <v>167200</v>
      </c>
      <c r="AQ90" s="1671">
        <v>208200</v>
      </c>
      <c r="AR90" s="1671">
        <v>272500</v>
      </c>
      <c r="AS90" s="1704" t="s">
        <v>561</v>
      </c>
      <c r="AT90" s="1704" t="s">
        <v>561</v>
      </c>
      <c r="AU90" s="1671">
        <v>383000</v>
      </c>
      <c r="AV90" s="1704" t="s">
        <v>561</v>
      </c>
      <c r="AW90" s="1704" t="s">
        <v>561</v>
      </c>
      <c r="AX90" s="1671">
        <v>95000</v>
      </c>
      <c r="AY90" s="1671">
        <v>95000</v>
      </c>
      <c r="AZ90" s="1671">
        <v>113100</v>
      </c>
      <c r="BA90" s="1671">
        <v>113100</v>
      </c>
      <c r="BB90" s="1671">
        <v>139600</v>
      </c>
      <c r="BC90" s="1671">
        <v>174400</v>
      </c>
      <c r="BD90" s="1671">
        <v>256700</v>
      </c>
      <c r="BE90" s="1704" t="s">
        <v>561</v>
      </c>
      <c r="BF90" s="1704" t="s">
        <v>561</v>
      </c>
      <c r="BG90" s="1671">
        <v>398300</v>
      </c>
      <c r="BH90" s="1704" t="s">
        <v>561</v>
      </c>
      <c r="BI90" s="1704" t="s">
        <v>561</v>
      </c>
      <c r="BJ90" s="1671">
        <v>110800</v>
      </c>
      <c r="BK90" s="1671">
        <v>110800</v>
      </c>
      <c r="BL90" s="1671">
        <v>130500</v>
      </c>
      <c r="BM90" s="1671">
        <v>130500</v>
      </c>
      <c r="BN90" s="1671">
        <v>158000</v>
      </c>
      <c r="BO90" s="1671">
        <v>193500</v>
      </c>
      <c r="BP90" s="1671">
        <v>261900</v>
      </c>
      <c r="BQ90" s="1704" t="s">
        <v>561</v>
      </c>
      <c r="BR90" s="1704" t="s">
        <v>561</v>
      </c>
      <c r="BS90" s="1671">
        <v>333600</v>
      </c>
      <c r="BT90" s="1704" t="s">
        <v>561</v>
      </c>
      <c r="BU90" s="1704" t="s">
        <v>561</v>
      </c>
    </row>
    <row r="91" spans="1:73" s="942" customFormat="1" ht="18.5">
      <c r="A91" s="1695">
        <v>78</v>
      </c>
      <c r="B91" s="1671">
        <v>128100</v>
      </c>
      <c r="C91" s="1671">
        <v>128100</v>
      </c>
      <c r="D91" s="1671">
        <v>149700</v>
      </c>
      <c r="E91" s="1671">
        <v>149700</v>
      </c>
      <c r="F91" s="1671">
        <v>199400</v>
      </c>
      <c r="G91" s="1671">
        <v>250600</v>
      </c>
      <c r="H91" s="1671">
        <v>348300</v>
      </c>
      <c r="I91" s="1702">
        <v>620200</v>
      </c>
      <c r="J91" s="1702">
        <v>1203200</v>
      </c>
      <c r="K91" s="1671">
        <v>574500</v>
      </c>
      <c r="L91" s="1702">
        <v>953100</v>
      </c>
      <c r="M91" s="1702">
        <v>1898900</v>
      </c>
      <c r="N91" s="1671">
        <v>144600</v>
      </c>
      <c r="O91" s="1671">
        <v>144600</v>
      </c>
      <c r="P91" s="1671">
        <v>167300</v>
      </c>
      <c r="Q91" s="1671">
        <v>167300</v>
      </c>
      <c r="R91" s="1671">
        <v>219200</v>
      </c>
      <c r="S91" s="1671">
        <v>272600</v>
      </c>
      <c r="T91" s="1671">
        <v>355200</v>
      </c>
      <c r="U91" s="1703">
        <v>632500</v>
      </c>
      <c r="V91" s="1703">
        <v>1227100</v>
      </c>
      <c r="W91" s="1671">
        <v>495300</v>
      </c>
      <c r="X91" s="1703">
        <v>821700</v>
      </c>
      <c r="Y91" s="1703">
        <v>1637200</v>
      </c>
      <c r="Z91" s="1671">
        <v>102400</v>
      </c>
      <c r="AA91" s="1671">
        <v>102400</v>
      </c>
      <c r="AB91" s="1671">
        <v>119700</v>
      </c>
      <c r="AC91" s="1671">
        <v>119700</v>
      </c>
      <c r="AD91" s="1671">
        <v>159500</v>
      </c>
      <c r="AE91" s="1671">
        <v>200400</v>
      </c>
      <c r="AF91" s="1671">
        <v>278600</v>
      </c>
      <c r="AG91" s="1704" t="s">
        <v>561</v>
      </c>
      <c r="AH91" s="1704" t="s">
        <v>561</v>
      </c>
      <c r="AI91" s="1671">
        <v>459600</v>
      </c>
      <c r="AJ91" s="1704" t="s">
        <v>561</v>
      </c>
      <c r="AK91" s="1704" t="s">
        <v>561</v>
      </c>
      <c r="AL91" s="1671">
        <v>115600</v>
      </c>
      <c r="AM91" s="1671">
        <v>115600</v>
      </c>
      <c r="AN91" s="1671">
        <v>133800</v>
      </c>
      <c r="AO91" s="1671">
        <v>133800</v>
      </c>
      <c r="AP91" s="1671">
        <v>175300</v>
      </c>
      <c r="AQ91" s="1671">
        <v>218000</v>
      </c>
      <c r="AR91" s="1671">
        <v>284100</v>
      </c>
      <c r="AS91" s="1704" t="s">
        <v>561</v>
      </c>
      <c r="AT91" s="1704" t="s">
        <v>561</v>
      </c>
      <c r="AU91" s="1671">
        <v>396200</v>
      </c>
      <c r="AV91" s="1704" t="s">
        <v>561</v>
      </c>
      <c r="AW91" s="1704" t="s">
        <v>561</v>
      </c>
      <c r="AX91" s="1671">
        <v>100100</v>
      </c>
      <c r="AY91" s="1671">
        <v>100100</v>
      </c>
      <c r="AZ91" s="1671">
        <v>119100</v>
      </c>
      <c r="BA91" s="1671">
        <v>119100</v>
      </c>
      <c r="BB91" s="1671">
        <v>146600</v>
      </c>
      <c r="BC91" s="1671">
        <v>182700</v>
      </c>
      <c r="BD91" s="1671">
        <v>266900</v>
      </c>
      <c r="BE91" s="1704" t="s">
        <v>561</v>
      </c>
      <c r="BF91" s="1704" t="s">
        <v>561</v>
      </c>
      <c r="BG91" s="1671">
        <v>407900</v>
      </c>
      <c r="BH91" s="1704" t="s">
        <v>561</v>
      </c>
      <c r="BI91" s="1704" t="s">
        <v>561</v>
      </c>
      <c r="BJ91" s="1671">
        <v>116600</v>
      </c>
      <c r="BK91" s="1671">
        <v>116600</v>
      </c>
      <c r="BL91" s="1671">
        <v>137200</v>
      </c>
      <c r="BM91" s="1671">
        <v>137200</v>
      </c>
      <c r="BN91" s="1671">
        <v>165700</v>
      </c>
      <c r="BO91" s="1671">
        <v>202600</v>
      </c>
      <c r="BP91" s="1671">
        <v>272200</v>
      </c>
      <c r="BQ91" s="1704" t="s">
        <v>561</v>
      </c>
      <c r="BR91" s="1704" t="s">
        <v>561</v>
      </c>
      <c r="BS91" s="1671">
        <v>343300</v>
      </c>
      <c r="BT91" s="1704" t="s">
        <v>561</v>
      </c>
      <c r="BU91" s="1704" t="s">
        <v>561</v>
      </c>
    </row>
    <row r="92" spans="1:73" s="942" customFormat="1" ht="18.5">
      <c r="A92" s="1695">
        <v>79</v>
      </c>
      <c r="B92" s="1671">
        <v>136400</v>
      </c>
      <c r="C92" s="1671">
        <v>136400</v>
      </c>
      <c r="D92" s="1671">
        <v>159300</v>
      </c>
      <c r="E92" s="1671">
        <v>159300</v>
      </c>
      <c r="F92" s="1671">
        <v>211600</v>
      </c>
      <c r="G92" s="1671">
        <v>265500</v>
      </c>
      <c r="H92" s="1671">
        <v>366800</v>
      </c>
      <c r="I92" s="1702">
        <v>653100</v>
      </c>
      <c r="J92" s="1702">
        <v>1267200</v>
      </c>
      <c r="K92" s="1671">
        <v>595500</v>
      </c>
      <c r="L92" s="1702">
        <v>987900</v>
      </c>
      <c r="M92" s="1702">
        <v>1968400</v>
      </c>
      <c r="N92" s="1671">
        <v>155100</v>
      </c>
      <c r="O92" s="1671">
        <v>155100</v>
      </c>
      <c r="P92" s="1671">
        <v>179500</v>
      </c>
      <c r="Q92" s="1671">
        <v>179500</v>
      </c>
      <c r="R92" s="1671">
        <v>234700</v>
      </c>
      <c r="S92" s="1671">
        <v>291900</v>
      </c>
      <c r="T92" s="1671">
        <v>378000</v>
      </c>
      <c r="U92" s="1703">
        <v>673100</v>
      </c>
      <c r="V92" s="1703">
        <v>1306000</v>
      </c>
      <c r="W92" s="1671">
        <v>521500</v>
      </c>
      <c r="X92" s="1703">
        <v>865200</v>
      </c>
      <c r="Y92" s="1703">
        <v>1723900</v>
      </c>
      <c r="Z92" s="1671">
        <v>109100</v>
      </c>
      <c r="AA92" s="1671">
        <v>109100</v>
      </c>
      <c r="AB92" s="1671">
        <v>127400</v>
      </c>
      <c r="AC92" s="1671">
        <v>127400</v>
      </c>
      <c r="AD92" s="1671">
        <v>169200</v>
      </c>
      <c r="AE92" s="1671">
        <v>212400</v>
      </c>
      <c r="AF92" s="1671">
        <v>293400</v>
      </c>
      <c r="AG92" s="1704" t="s">
        <v>561</v>
      </c>
      <c r="AH92" s="1704" t="s">
        <v>561</v>
      </c>
      <c r="AI92" s="1671">
        <v>476400</v>
      </c>
      <c r="AJ92" s="1704" t="s">
        <v>561</v>
      </c>
      <c r="AK92" s="1704" t="s">
        <v>561</v>
      </c>
      <c r="AL92" s="1671">
        <v>124000</v>
      </c>
      <c r="AM92" s="1671">
        <v>124000</v>
      </c>
      <c r="AN92" s="1671">
        <v>143600</v>
      </c>
      <c r="AO92" s="1671">
        <v>143600</v>
      </c>
      <c r="AP92" s="1671">
        <v>187700</v>
      </c>
      <c r="AQ92" s="1671">
        <v>233500</v>
      </c>
      <c r="AR92" s="1671">
        <v>302400</v>
      </c>
      <c r="AS92" s="1704" t="s">
        <v>561</v>
      </c>
      <c r="AT92" s="1704" t="s">
        <v>561</v>
      </c>
      <c r="AU92" s="1671">
        <v>417200</v>
      </c>
      <c r="AV92" s="1704" t="s">
        <v>561</v>
      </c>
      <c r="AW92" s="1704" t="s">
        <v>561</v>
      </c>
      <c r="AX92" s="1671">
        <v>106900</v>
      </c>
      <c r="AY92" s="1671">
        <v>106900</v>
      </c>
      <c r="AZ92" s="1671">
        <v>127200</v>
      </c>
      <c r="BA92" s="1671">
        <v>127200</v>
      </c>
      <c r="BB92" s="1671">
        <v>155800</v>
      </c>
      <c r="BC92" s="1671">
        <v>193600</v>
      </c>
      <c r="BD92" s="1671">
        <v>280300</v>
      </c>
      <c r="BE92" s="1704" t="s">
        <v>561</v>
      </c>
      <c r="BF92" s="1704" t="s">
        <v>561</v>
      </c>
      <c r="BG92" s="1671">
        <v>420500</v>
      </c>
      <c r="BH92" s="1704" t="s">
        <v>561</v>
      </c>
      <c r="BI92" s="1704" t="s">
        <v>561</v>
      </c>
      <c r="BJ92" s="1671">
        <v>124900</v>
      </c>
      <c r="BK92" s="1671">
        <v>124900</v>
      </c>
      <c r="BL92" s="1671">
        <v>147000</v>
      </c>
      <c r="BM92" s="1671">
        <v>147000</v>
      </c>
      <c r="BN92" s="1671">
        <v>177100</v>
      </c>
      <c r="BO92" s="1671">
        <v>216400</v>
      </c>
      <c r="BP92" s="1671">
        <v>287900</v>
      </c>
      <c r="BQ92" s="1704" t="s">
        <v>561</v>
      </c>
      <c r="BR92" s="1704" t="s">
        <v>561</v>
      </c>
      <c r="BS92" s="1671">
        <v>358400</v>
      </c>
      <c r="BT92" s="1704" t="s">
        <v>561</v>
      </c>
      <c r="BU92" s="1704" t="s">
        <v>561</v>
      </c>
    </row>
    <row r="93" spans="1:73" s="942" customFormat="1" ht="18.5">
      <c r="A93" s="1695">
        <v>80</v>
      </c>
      <c r="B93" s="1671">
        <v>144800</v>
      </c>
      <c r="C93" s="1671">
        <v>144800</v>
      </c>
      <c r="D93" s="1671">
        <v>169000</v>
      </c>
      <c r="E93" s="1671">
        <v>169000</v>
      </c>
      <c r="F93" s="1671">
        <v>223700</v>
      </c>
      <c r="G93" s="1671">
        <v>280400</v>
      </c>
      <c r="H93" s="1671">
        <v>385300</v>
      </c>
      <c r="I93" s="1702">
        <v>686100</v>
      </c>
      <c r="J93" s="1702">
        <v>1331200</v>
      </c>
      <c r="K93" s="1671">
        <v>616500</v>
      </c>
      <c r="L93" s="1702">
        <v>1022800</v>
      </c>
      <c r="M93" s="1702">
        <v>2037900</v>
      </c>
      <c r="N93" s="1671">
        <v>165500</v>
      </c>
      <c r="O93" s="1671">
        <v>165500</v>
      </c>
      <c r="P93" s="1671">
        <v>191700</v>
      </c>
      <c r="Q93" s="1671">
        <v>191700</v>
      </c>
      <c r="R93" s="1671">
        <v>250300</v>
      </c>
      <c r="S93" s="1671">
        <v>311200</v>
      </c>
      <c r="T93" s="1671">
        <v>400800</v>
      </c>
      <c r="U93" s="1703">
        <v>713800</v>
      </c>
      <c r="V93" s="1703">
        <v>1384900</v>
      </c>
      <c r="W93" s="1671">
        <v>547700</v>
      </c>
      <c r="X93" s="1703">
        <v>908700</v>
      </c>
      <c r="Y93" s="1703">
        <v>1810500</v>
      </c>
      <c r="Z93" s="1671">
        <v>115800</v>
      </c>
      <c r="AA93" s="1671">
        <v>115800</v>
      </c>
      <c r="AB93" s="1671">
        <v>135200</v>
      </c>
      <c r="AC93" s="1671">
        <v>135200</v>
      </c>
      <c r="AD93" s="1671">
        <v>178900</v>
      </c>
      <c r="AE93" s="1671">
        <v>224300</v>
      </c>
      <c r="AF93" s="1671">
        <v>308200</v>
      </c>
      <c r="AG93" s="1704" t="s">
        <v>561</v>
      </c>
      <c r="AH93" s="1704" t="s">
        <v>561</v>
      </c>
      <c r="AI93" s="1671">
        <v>493200</v>
      </c>
      <c r="AJ93" s="1704" t="s">
        <v>561</v>
      </c>
      <c r="AK93" s="1704" t="s">
        <v>561</v>
      </c>
      <c r="AL93" s="1671">
        <v>132400</v>
      </c>
      <c r="AM93" s="1671">
        <v>132400</v>
      </c>
      <c r="AN93" s="1671">
        <v>153300</v>
      </c>
      <c r="AO93" s="1671">
        <v>153300</v>
      </c>
      <c r="AP93" s="1671">
        <v>200200</v>
      </c>
      <c r="AQ93" s="1671">
        <v>248900</v>
      </c>
      <c r="AR93" s="1671">
        <v>320600</v>
      </c>
      <c r="AS93" s="1704" t="s">
        <v>561</v>
      </c>
      <c r="AT93" s="1704" t="s">
        <v>561</v>
      </c>
      <c r="AU93" s="1671">
        <v>438100</v>
      </c>
      <c r="AV93" s="1704" t="s">
        <v>561</v>
      </c>
      <c r="AW93" s="1704" t="s">
        <v>561</v>
      </c>
      <c r="AX93" s="1671">
        <v>113800</v>
      </c>
      <c r="AY93" s="1671">
        <v>113800</v>
      </c>
      <c r="AZ93" s="1671">
        <v>135200</v>
      </c>
      <c r="BA93" s="1671">
        <v>135200</v>
      </c>
      <c r="BB93" s="1671">
        <v>165000</v>
      </c>
      <c r="BC93" s="1671">
        <v>204600</v>
      </c>
      <c r="BD93" s="1671">
        <v>293600</v>
      </c>
      <c r="BE93" s="1704" t="s">
        <v>561</v>
      </c>
      <c r="BF93" s="1704" t="s">
        <v>561</v>
      </c>
      <c r="BG93" s="1671">
        <v>433100</v>
      </c>
      <c r="BH93" s="1704" t="s">
        <v>561</v>
      </c>
      <c r="BI93" s="1704" t="s">
        <v>561</v>
      </c>
      <c r="BJ93" s="1671">
        <v>133100</v>
      </c>
      <c r="BK93" s="1671">
        <v>133100</v>
      </c>
      <c r="BL93" s="1671">
        <v>156800</v>
      </c>
      <c r="BM93" s="1671">
        <v>156800</v>
      </c>
      <c r="BN93" s="1671">
        <v>188500</v>
      </c>
      <c r="BO93" s="1671">
        <v>230200</v>
      </c>
      <c r="BP93" s="1671">
        <v>303600</v>
      </c>
      <c r="BQ93" s="1704" t="s">
        <v>561</v>
      </c>
      <c r="BR93" s="1704" t="s">
        <v>561</v>
      </c>
      <c r="BS93" s="1671">
        <v>373400</v>
      </c>
      <c r="BT93" s="1704" t="s">
        <v>561</v>
      </c>
      <c r="BU93" s="1704" t="s">
        <v>561</v>
      </c>
    </row>
    <row r="94" spans="1:73" s="942" customFormat="1" ht="18.5">
      <c r="A94" s="1695">
        <v>81</v>
      </c>
      <c r="B94" s="1671">
        <v>153200</v>
      </c>
      <c r="C94" s="1671">
        <v>153200</v>
      </c>
      <c r="D94" s="1671">
        <v>178600</v>
      </c>
      <c r="E94" s="1671">
        <v>178600</v>
      </c>
      <c r="F94" s="1671">
        <v>235800</v>
      </c>
      <c r="G94" s="1671">
        <v>295300</v>
      </c>
      <c r="H94" s="1671">
        <v>403800</v>
      </c>
      <c r="I94" s="1702">
        <v>719100</v>
      </c>
      <c r="J94" s="1702">
        <v>1395200</v>
      </c>
      <c r="K94" s="1671">
        <v>637600</v>
      </c>
      <c r="L94" s="1702">
        <v>1057700</v>
      </c>
      <c r="M94" s="1702">
        <v>2107400</v>
      </c>
      <c r="N94" s="1671">
        <v>176000</v>
      </c>
      <c r="O94" s="1671">
        <v>176000</v>
      </c>
      <c r="P94" s="1671">
        <v>203900</v>
      </c>
      <c r="Q94" s="1671">
        <v>203900</v>
      </c>
      <c r="R94" s="1671">
        <v>265800</v>
      </c>
      <c r="S94" s="1671">
        <v>330600</v>
      </c>
      <c r="T94" s="1671">
        <v>423700</v>
      </c>
      <c r="U94" s="1703">
        <v>754500</v>
      </c>
      <c r="V94" s="1703">
        <v>1463800</v>
      </c>
      <c r="W94" s="1671">
        <v>573900</v>
      </c>
      <c r="X94" s="1703">
        <v>952200</v>
      </c>
      <c r="Y94" s="1703">
        <v>1897200</v>
      </c>
      <c r="Z94" s="1671">
        <v>122500</v>
      </c>
      <c r="AA94" s="1671">
        <v>122500</v>
      </c>
      <c r="AB94" s="1671">
        <v>142800</v>
      </c>
      <c r="AC94" s="1671">
        <v>142800</v>
      </c>
      <c r="AD94" s="1671">
        <v>188600</v>
      </c>
      <c r="AE94" s="1671">
        <v>236200</v>
      </c>
      <c r="AF94" s="1671">
        <v>323000</v>
      </c>
      <c r="AG94" s="1704" t="s">
        <v>561</v>
      </c>
      <c r="AH94" s="1704" t="s">
        <v>561</v>
      </c>
      <c r="AI94" s="1671">
        <v>510000</v>
      </c>
      <c r="AJ94" s="1704" t="s">
        <v>561</v>
      </c>
      <c r="AK94" s="1704" t="s">
        <v>561</v>
      </c>
      <c r="AL94" s="1671">
        <v>140800</v>
      </c>
      <c r="AM94" s="1671">
        <v>140800</v>
      </c>
      <c r="AN94" s="1671">
        <v>163100</v>
      </c>
      <c r="AO94" s="1671">
        <v>163100</v>
      </c>
      <c r="AP94" s="1671">
        <v>212600</v>
      </c>
      <c r="AQ94" s="1671">
        <v>264400</v>
      </c>
      <c r="AR94" s="1671">
        <v>338900</v>
      </c>
      <c r="AS94" s="1704" t="s">
        <v>561</v>
      </c>
      <c r="AT94" s="1704" t="s">
        <v>561</v>
      </c>
      <c r="AU94" s="1671">
        <v>459100</v>
      </c>
      <c r="AV94" s="1704" t="s">
        <v>561</v>
      </c>
      <c r="AW94" s="1704" t="s">
        <v>561</v>
      </c>
      <c r="AX94" s="1671">
        <v>120600</v>
      </c>
      <c r="AY94" s="1671">
        <v>120600</v>
      </c>
      <c r="AZ94" s="1671">
        <v>143200</v>
      </c>
      <c r="BA94" s="1671">
        <v>143200</v>
      </c>
      <c r="BB94" s="1671">
        <v>174200</v>
      </c>
      <c r="BC94" s="1671">
        <v>215500</v>
      </c>
      <c r="BD94" s="1671">
        <v>307000</v>
      </c>
      <c r="BE94" s="1704" t="s">
        <v>561</v>
      </c>
      <c r="BF94" s="1704" t="s">
        <v>561</v>
      </c>
      <c r="BG94" s="1671">
        <v>445700</v>
      </c>
      <c r="BH94" s="1704" t="s">
        <v>561</v>
      </c>
      <c r="BI94" s="1704" t="s">
        <v>561</v>
      </c>
      <c r="BJ94" s="1671">
        <v>141400</v>
      </c>
      <c r="BK94" s="1671">
        <v>141400</v>
      </c>
      <c r="BL94" s="1671">
        <v>166600</v>
      </c>
      <c r="BM94" s="1671">
        <v>166600</v>
      </c>
      <c r="BN94" s="1671">
        <v>199900</v>
      </c>
      <c r="BO94" s="1671">
        <v>244100</v>
      </c>
      <c r="BP94" s="1671">
        <v>319400</v>
      </c>
      <c r="BQ94" s="1704" t="s">
        <v>561</v>
      </c>
      <c r="BR94" s="1704" t="s">
        <v>561</v>
      </c>
      <c r="BS94" s="1671">
        <v>388400</v>
      </c>
      <c r="BT94" s="1704" t="s">
        <v>561</v>
      </c>
      <c r="BU94" s="1704" t="s">
        <v>561</v>
      </c>
    </row>
    <row r="95" spans="1:73" s="942" customFormat="1" ht="18.5">
      <c r="A95" s="1695">
        <v>82</v>
      </c>
      <c r="B95" s="1671">
        <v>161600</v>
      </c>
      <c r="C95" s="1671">
        <v>161600</v>
      </c>
      <c r="D95" s="1671">
        <v>188300</v>
      </c>
      <c r="E95" s="1671">
        <v>188300</v>
      </c>
      <c r="F95" s="1671">
        <v>247900</v>
      </c>
      <c r="G95" s="1671">
        <v>310200</v>
      </c>
      <c r="H95" s="1671">
        <v>422300</v>
      </c>
      <c r="I95" s="1702">
        <v>752100</v>
      </c>
      <c r="J95" s="1702">
        <v>1459200</v>
      </c>
      <c r="K95" s="1671">
        <v>658600</v>
      </c>
      <c r="L95" s="1702">
        <v>1092600</v>
      </c>
      <c r="M95" s="1702">
        <v>2177000</v>
      </c>
      <c r="N95" s="1671">
        <v>186500</v>
      </c>
      <c r="O95" s="1671">
        <v>186500</v>
      </c>
      <c r="P95" s="1671">
        <v>216100</v>
      </c>
      <c r="Q95" s="1671">
        <v>216100</v>
      </c>
      <c r="R95" s="1671">
        <v>281400</v>
      </c>
      <c r="S95" s="1671">
        <v>349900</v>
      </c>
      <c r="T95" s="1671">
        <v>446500</v>
      </c>
      <c r="U95" s="1703">
        <v>795100</v>
      </c>
      <c r="V95" s="1703">
        <v>1542700</v>
      </c>
      <c r="W95" s="1671">
        <v>600100</v>
      </c>
      <c r="X95" s="1703">
        <v>995700</v>
      </c>
      <c r="Y95" s="1703">
        <v>1983800</v>
      </c>
      <c r="Z95" s="1671">
        <v>129200</v>
      </c>
      <c r="AA95" s="1671">
        <v>129200</v>
      </c>
      <c r="AB95" s="1671">
        <v>150600</v>
      </c>
      <c r="AC95" s="1671">
        <v>150600</v>
      </c>
      <c r="AD95" s="1671">
        <v>198300</v>
      </c>
      <c r="AE95" s="1671">
        <v>248100</v>
      </c>
      <c r="AF95" s="1671">
        <v>337800</v>
      </c>
      <c r="AG95" s="1704" t="s">
        <v>561</v>
      </c>
      <c r="AH95" s="1704" t="s">
        <v>561</v>
      </c>
      <c r="AI95" s="1671">
        <v>526800</v>
      </c>
      <c r="AJ95" s="1704" t="s">
        <v>561</v>
      </c>
      <c r="AK95" s="1704" t="s">
        <v>561</v>
      </c>
      <c r="AL95" s="1671">
        <v>149200</v>
      </c>
      <c r="AM95" s="1671">
        <v>149200</v>
      </c>
      <c r="AN95" s="1671">
        <v>172800</v>
      </c>
      <c r="AO95" s="1671">
        <v>172800</v>
      </c>
      <c r="AP95" s="1671">
        <v>225100</v>
      </c>
      <c r="AQ95" s="1671">
        <v>279900</v>
      </c>
      <c r="AR95" s="1671">
        <v>357200</v>
      </c>
      <c r="AS95" s="1704" t="s">
        <v>561</v>
      </c>
      <c r="AT95" s="1704" t="s">
        <v>561</v>
      </c>
      <c r="AU95" s="1671">
        <v>480000</v>
      </c>
      <c r="AV95" s="1704" t="s">
        <v>561</v>
      </c>
      <c r="AW95" s="1704" t="s">
        <v>561</v>
      </c>
      <c r="AX95" s="1671">
        <v>127500</v>
      </c>
      <c r="AY95" s="1671">
        <v>127500</v>
      </c>
      <c r="AZ95" s="1671">
        <v>151200</v>
      </c>
      <c r="BA95" s="1671">
        <v>151200</v>
      </c>
      <c r="BB95" s="1671">
        <v>183400</v>
      </c>
      <c r="BC95" s="1671">
        <v>226500</v>
      </c>
      <c r="BD95" s="1671">
        <v>320400</v>
      </c>
      <c r="BE95" s="1704" t="s">
        <v>561</v>
      </c>
      <c r="BF95" s="1704" t="s">
        <v>561</v>
      </c>
      <c r="BG95" s="1671">
        <v>458300</v>
      </c>
      <c r="BH95" s="1704" t="s">
        <v>561</v>
      </c>
      <c r="BI95" s="1704" t="s">
        <v>561</v>
      </c>
      <c r="BJ95" s="1671">
        <v>149600</v>
      </c>
      <c r="BK95" s="1671">
        <v>149600</v>
      </c>
      <c r="BL95" s="1671">
        <v>176400</v>
      </c>
      <c r="BM95" s="1671">
        <v>176400</v>
      </c>
      <c r="BN95" s="1671">
        <v>211300</v>
      </c>
      <c r="BO95" s="1671">
        <v>257900</v>
      </c>
      <c r="BP95" s="1671">
        <v>335100</v>
      </c>
      <c r="BQ95" s="1704" t="s">
        <v>561</v>
      </c>
      <c r="BR95" s="1704" t="s">
        <v>561</v>
      </c>
      <c r="BS95" s="1671">
        <v>403400</v>
      </c>
      <c r="BT95" s="1704" t="s">
        <v>561</v>
      </c>
      <c r="BU95" s="1704" t="s">
        <v>561</v>
      </c>
    </row>
    <row r="96" spans="1:73" s="942" customFormat="1" ht="18.5">
      <c r="A96" s="1695">
        <v>83</v>
      </c>
      <c r="B96" s="1671">
        <v>170000</v>
      </c>
      <c r="C96" s="1671">
        <v>170000</v>
      </c>
      <c r="D96" s="1671">
        <v>197900</v>
      </c>
      <c r="E96" s="1671">
        <v>197900</v>
      </c>
      <c r="F96" s="1671">
        <v>260100</v>
      </c>
      <c r="G96" s="1671">
        <v>325100</v>
      </c>
      <c r="H96" s="1671">
        <v>440900</v>
      </c>
      <c r="I96" s="1702">
        <v>785100</v>
      </c>
      <c r="J96" s="1702">
        <v>1523200</v>
      </c>
      <c r="K96" s="1671">
        <v>679600</v>
      </c>
      <c r="L96" s="1702">
        <v>1127500</v>
      </c>
      <c r="M96" s="1702">
        <v>2246500</v>
      </c>
      <c r="N96" s="1671">
        <v>197000</v>
      </c>
      <c r="O96" s="1671">
        <v>197000</v>
      </c>
      <c r="P96" s="1671">
        <v>228300</v>
      </c>
      <c r="Q96" s="1671">
        <v>228300</v>
      </c>
      <c r="R96" s="1671">
        <v>297000</v>
      </c>
      <c r="S96" s="1671">
        <v>369200</v>
      </c>
      <c r="T96" s="1671">
        <v>469400</v>
      </c>
      <c r="U96" s="1703">
        <v>835800</v>
      </c>
      <c r="V96" s="1703">
        <v>1621600</v>
      </c>
      <c r="W96" s="1671">
        <v>626400</v>
      </c>
      <c r="X96" s="1703">
        <v>1039100</v>
      </c>
      <c r="Y96" s="1703">
        <v>2070400</v>
      </c>
      <c r="Z96" s="1671">
        <v>136000</v>
      </c>
      <c r="AA96" s="1671">
        <v>136000</v>
      </c>
      <c r="AB96" s="1671">
        <v>158300</v>
      </c>
      <c r="AC96" s="1671">
        <v>158300</v>
      </c>
      <c r="AD96" s="1671">
        <v>208000</v>
      </c>
      <c r="AE96" s="1671">
        <v>260000</v>
      </c>
      <c r="AF96" s="1671">
        <v>352700</v>
      </c>
      <c r="AG96" s="1704" t="s">
        <v>561</v>
      </c>
      <c r="AH96" s="1704" t="s">
        <v>561</v>
      </c>
      <c r="AI96" s="1671">
        <v>543600</v>
      </c>
      <c r="AJ96" s="1704" t="s">
        <v>561</v>
      </c>
      <c r="AK96" s="1704" t="s">
        <v>561</v>
      </c>
      <c r="AL96" s="1671">
        <v>157600</v>
      </c>
      <c r="AM96" s="1671">
        <v>157600</v>
      </c>
      <c r="AN96" s="1671">
        <v>182600</v>
      </c>
      <c r="AO96" s="1671">
        <v>182600</v>
      </c>
      <c r="AP96" s="1671">
        <v>237600</v>
      </c>
      <c r="AQ96" s="1671">
        <v>295300</v>
      </c>
      <c r="AR96" s="1671">
        <v>375500</v>
      </c>
      <c r="AS96" s="1704" t="s">
        <v>561</v>
      </c>
      <c r="AT96" s="1704" t="s">
        <v>561</v>
      </c>
      <c r="AU96" s="1671">
        <v>501100</v>
      </c>
      <c r="AV96" s="1704" t="s">
        <v>561</v>
      </c>
      <c r="AW96" s="1704" t="s">
        <v>561</v>
      </c>
      <c r="AX96" s="1671">
        <v>134300</v>
      </c>
      <c r="AY96" s="1671">
        <v>134300</v>
      </c>
      <c r="AZ96" s="1671">
        <v>159200</v>
      </c>
      <c r="BA96" s="1671">
        <v>159200</v>
      </c>
      <c r="BB96" s="1671">
        <v>192600</v>
      </c>
      <c r="BC96" s="1671">
        <v>237400</v>
      </c>
      <c r="BD96" s="1671">
        <v>333800</v>
      </c>
      <c r="BE96" s="1704" t="s">
        <v>561</v>
      </c>
      <c r="BF96" s="1704" t="s">
        <v>561</v>
      </c>
      <c r="BG96" s="1671">
        <v>470900</v>
      </c>
      <c r="BH96" s="1704" t="s">
        <v>561</v>
      </c>
      <c r="BI96" s="1704" t="s">
        <v>561</v>
      </c>
      <c r="BJ96" s="1671">
        <v>157900</v>
      </c>
      <c r="BK96" s="1671">
        <v>157900</v>
      </c>
      <c r="BL96" s="1671">
        <v>186200</v>
      </c>
      <c r="BM96" s="1671">
        <v>186200</v>
      </c>
      <c r="BN96" s="1671">
        <v>222700</v>
      </c>
      <c r="BO96" s="1671">
        <v>271700</v>
      </c>
      <c r="BP96" s="1671">
        <v>350800</v>
      </c>
      <c r="BQ96" s="1704" t="s">
        <v>561</v>
      </c>
      <c r="BR96" s="1704" t="s">
        <v>561</v>
      </c>
      <c r="BS96" s="1671">
        <v>418400</v>
      </c>
      <c r="BT96" s="1704" t="s">
        <v>561</v>
      </c>
      <c r="BU96" s="1704" t="s">
        <v>561</v>
      </c>
    </row>
    <row r="97" spans="1:73" s="942" customFormat="1" ht="18.5">
      <c r="A97" s="1695">
        <v>84</v>
      </c>
      <c r="B97" s="1671">
        <v>174600</v>
      </c>
      <c r="C97" s="1671">
        <v>174600</v>
      </c>
      <c r="D97" s="1671">
        <v>204200</v>
      </c>
      <c r="E97" s="1671">
        <v>204200</v>
      </c>
      <c r="F97" s="1671">
        <v>269600</v>
      </c>
      <c r="G97" s="1671">
        <v>338300</v>
      </c>
      <c r="H97" s="1671">
        <v>458700</v>
      </c>
      <c r="I97" s="1702">
        <v>816800</v>
      </c>
      <c r="J97" s="1702">
        <v>1584800</v>
      </c>
      <c r="K97" s="1671">
        <v>700500</v>
      </c>
      <c r="L97" s="1702">
        <v>1162100</v>
      </c>
      <c r="M97" s="1702">
        <v>2315500</v>
      </c>
      <c r="N97" s="1671">
        <v>203300</v>
      </c>
      <c r="O97" s="1671">
        <v>203300</v>
      </c>
      <c r="P97" s="1671">
        <v>237000</v>
      </c>
      <c r="Q97" s="1671">
        <v>237000</v>
      </c>
      <c r="R97" s="1671">
        <v>310300</v>
      </c>
      <c r="S97" s="1671">
        <v>387600</v>
      </c>
      <c r="T97" s="1671">
        <v>492300</v>
      </c>
      <c r="U97" s="1703">
        <v>876700</v>
      </c>
      <c r="V97" s="1703">
        <v>1701000</v>
      </c>
      <c r="W97" s="1671">
        <v>653600</v>
      </c>
      <c r="X97" s="1703">
        <v>1084400</v>
      </c>
      <c r="Y97" s="1703">
        <v>2160500</v>
      </c>
      <c r="Z97" s="1671">
        <v>139600</v>
      </c>
      <c r="AA97" s="1671">
        <v>139600</v>
      </c>
      <c r="AB97" s="1671">
        <v>163300</v>
      </c>
      <c r="AC97" s="1671">
        <v>163300</v>
      </c>
      <c r="AD97" s="1671">
        <v>215600</v>
      </c>
      <c r="AE97" s="1671">
        <v>270600</v>
      </c>
      <c r="AF97" s="1671">
        <v>366900</v>
      </c>
      <c r="AG97" s="1704" t="s">
        <v>561</v>
      </c>
      <c r="AH97" s="1704" t="s">
        <v>561</v>
      </c>
      <c r="AI97" s="1671">
        <v>560400</v>
      </c>
      <c r="AJ97" s="1704" t="s">
        <v>561</v>
      </c>
      <c r="AK97" s="1704" t="s">
        <v>561</v>
      </c>
      <c r="AL97" s="1671">
        <v>162600</v>
      </c>
      <c r="AM97" s="1671">
        <v>162600</v>
      </c>
      <c r="AN97" s="1671">
        <v>189600</v>
      </c>
      <c r="AO97" s="1671">
        <v>189600</v>
      </c>
      <c r="AP97" s="1671">
        <v>248200</v>
      </c>
      <c r="AQ97" s="1671">
        <v>310000</v>
      </c>
      <c r="AR97" s="1671">
        <v>393800</v>
      </c>
      <c r="AS97" s="1704" t="s">
        <v>561</v>
      </c>
      <c r="AT97" s="1704" t="s">
        <v>561</v>
      </c>
      <c r="AU97" s="1671">
        <v>522800</v>
      </c>
      <c r="AV97" s="1704" t="s">
        <v>561</v>
      </c>
      <c r="AW97" s="1704" t="s">
        <v>561</v>
      </c>
      <c r="AX97" s="1671">
        <v>141500</v>
      </c>
      <c r="AY97" s="1671">
        <v>141500</v>
      </c>
      <c r="AZ97" s="1671">
        <v>167900</v>
      </c>
      <c r="BA97" s="1671">
        <v>167900</v>
      </c>
      <c r="BB97" s="1671">
        <v>202800</v>
      </c>
      <c r="BC97" s="1671">
        <v>250000</v>
      </c>
      <c r="BD97" s="1671">
        <v>349400</v>
      </c>
      <c r="BE97" s="1704" t="s">
        <v>561</v>
      </c>
      <c r="BF97" s="1704" t="s">
        <v>561</v>
      </c>
      <c r="BG97" s="1671">
        <v>485800</v>
      </c>
      <c r="BH97" s="1704" t="s">
        <v>561</v>
      </c>
      <c r="BI97" s="1704" t="s">
        <v>561</v>
      </c>
      <c r="BJ97" s="1671">
        <v>167400</v>
      </c>
      <c r="BK97" s="1671">
        <v>167400</v>
      </c>
      <c r="BL97" s="1671">
        <v>197700</v>
      </c>
      <c r="BM97" s="1671">
        <v>197700</v>
      </c>
      <c r="BN97" s="1671">
        <v>236400</v>
      </c>
      <c r="BO97" s="1671">
        <v>288800</v>
      </c>
      <c r="BP97" s="1671">
        <v>370400</v>
      </c>
      <c r="BQ97" s="1704" t="s">
        <v>561</v>
      </c>
      <c r="BR97" s="1704" t="s">
        <v>561</v>
      </c>
      <c r="BS97" s="1671">
        <v>437200</v>
      </c>
      <c r="BT97" s="1704" t="s">
        <v>561</v>
      </c>
      <c r="BU97" s="1704" t="s">
        <v>561</v>
      </c>
    </row>
    <row r="98" spans="1:73" s="942" customFormat="1" ht="18.5">
      <c r="A98" s="1695">
        <v>85</v>
      </c>
      <c r="B98" s="1671">
        <v>179200</v>
      </c>
      <c r="C98" s="1671">
        <v>179200</v>
      </c>
      <c r="D98" s="1671">
        <v>210500</v>
      </c>
      <c r="E98" s="1671">
        <v>210500</v>
      </c>
      <c r="F98" s="1671">
        <v>279200</v>
      </c>
      <c r="G98" s="1671">
        <v>351500</v>
      </c>
      <c r="H98" s="1671">
        <v>476500</v>
      </c>
      <c r="I98" s="1702">
        <v>848600</v>
      </c>
      <c r="J98" s="1702">
        <v>1646300</v>
      </c>
      <c r="K98" s="1671">
        <v>721400</v>
      </c>
      <c r="L98" s="1702">
        <v>1196800</v>
      </c>
      <c r="M98" s="1702">
        <v>2384600</v>
      </c>
      <c r="N98" s="1671">
        <v>209600</v>
      </c>
      <c r="O98" s="1671">
        <v>209600</v>
      </c>
      <c r="P98" s="1671">
        <v>245700</v>
      </c>
      <c r="Q98" s="1671">
        <v>245700</v>
      </c>
      <c r="R98" s="1671">
        <v>323500</v>
      </c>
      <c r="S98" s="1671">
        <v>406000</v>
      </c>
      <c r="T98" s="1671">
        <v>515300</v>
      </c>
      <c r="U98" s="1703">
        <v>917600</v>
      </c>
      <c r="V98" s="1703">
        <v>1780300</v>
      </c>
      <c r="W98" s="1671">
        <v>680900</v>
      </c>
      <c r="X98" s="1703">
        <v>1129600</v>
      </c>
      <c r="Y98" s="1703">
        <v>2250600</v>
      </c>
      <c r="Z98" s="1671">
        <v>143300</v>
      </c>
      <c r="AA98" s="1671">
        <v>143300</v>
      </c>
      <c r="AB98" s="1671">
        <v>168400</v>
      </c>
      <c r="AC98" s="1671">
        <v>168400</v>
      </c>
      <c r="AD98" s="1671">
        <v>223300</v>
      </c>
      <c r="AE98" s="1671">
        <v>281200</v>
      </c>
      <c r="AF98" s="1671">
        <v>381200</v>
      </c>
      <c r="AG98" s="1704" t="s">
        <v>561</v>
      </c>
      <c r="AH98" s="1704" t="s">
        <v>561</v>
      </c>
      <c r="AI98" s="1671">
        <v>577100</v>
      </c>
      <c r="AJ98" s="1704" t="s">
        <v>561</v>
      </c>
      <c r="AK98" s="1704" t="s">
        <v>561</v>
      </c>
      <c r="AL98" s="1671">
        <v>167600</v>
      </c>
      <c r="AM98" s="1671">
        <v>167600</v>
      </c>
      <c r="AN98" s="1671">
        <v>196500</v>
      </c>
      <c r="AO98" s="1671">
        <v>196500</v>
      </c>
      <c r="AP98" s="1671">
        <v>258800</v>
      </c>
      <c r="AQ98" s="1671">
        <v>324800</v>
      </c>
      <c r="AR98" s="1671">
        <v>412200</v>
      </c>
      <c r="AS98" s="1704" t="s">
        <v>561</v>
      </c>
      <c r="AT98" s="1704" t="s">
        <v>561</v>
      </c>
      <c r="AU98" s="1671">
        <v>544700</v>
      </c>
      <c r="AV98" s="1704" t="s">
        <v>561</v>
      </c>
      <c r="AW98" s="1704" t="s">
        <v>561</v>
      </c>
      <c r="AX98" s="1671">
        <v>148700</v>
      </c>
      <c r="AY98" s="1671">
        <v>148700</v>
      </c>
      <c r="AZ98" s="1671">
        <v>176500</v>
      </c>
      <c r="BA98" s="1671">
        <v>176500</v>
      </c>
      <c r="BB98" s="1671">
        <v>212900</v>
      </c>
      <c r="BC98" s="1671">
        <v>262600</v>
      </c>
      <c r="BD98" s="1671">
        <v>365100</v>
      </c>
      <c r="BE98" s="1704" t="s">
        <v>561</v>
      </c>
      <c r="BF98" s="1704" t="s">
        <v>561</v>
      </c>
      <c r="BG98" s="1671">
        <v>500600</v>
      </c>
      <c r="BH98" s="1704" t="s">
        <v>561</v>
      </c>
      <c r="BI98" s="1704" t="s">
        <v>561</v>
      </c>
      <c r="BJ98" s="1671">
        <v>176900</v>
      </c>
      <c r="BK98" s="1671">
        <v>176900</v>
      </c>
      <c r="BL98" s="1671">
        <v>209200</v>
      </c>
      <c r="BM98" s="1671">
        <v>209200</v>
      </c>
      <c r="BN98" s="1671">
        <v>250100</v>
      </c>
      <c r="BO98" s="1671">
        <v>305900</v>
      </c>
      <c r="BP98" s="1671">
        <v>389900</v>
      </c>
      <c r="BQ98" s="1704" t="s">
        <v>561</v>
      </c>
      <c r="BR98" s="1704" t="s">
        <v>561</v>
      </c>
      <c r="BS98" s="1671">
        <v>456000</v>
      </c>
      <c r="BT98" s="1704" t="s">
        <v>561</v>
      </c>
      <c r="BU98" s="1704" t="s">
        <v>561</v>
      </c>
    </row>
    <row r="99" spans="1:73" s="942" customFormat="1" ht="18.5">
      <c r="A99" s="1695">
        <v>86</v>
      </c>
      <c r="B99" s="1671">
        <v>183800</v>
      </c>
      <c r="C99" s="1671">
        <v>183800</v>
      </c>
      <c r="D99" s="1671">
        <v>216800</v>
      </c>
      <c r="E99" s="1671">
        <v>216800</v>
      </c>
      <c r="F99" s="1671">
        <v>288700</v>
      </c>
      <c r="G99" s="1671">
        <v>364700</v>
      </c>
      <c r="H99" s="1671">
        <v>494300</v>
      </c>
      <c r="I99" s="1702">
        <v>880300</v>
      </c>
      <c r="J99" s="1702">
        <v>1707900</v>
      </c>
      <c r="K99" s="1671">
        <v>742300</v>
      </c>
      <c r="L99" s="1702">
        <v>1231500</v>
      </c>
      <c r="M99" s="1702">
        <v>2453600</v>
      </c>
      <c r="N99" s="1671">
        <v>216000</v>
      </c>
      <c r="O99" s="1671">
        <v>216000</v>
      </c>
      <c r="P99" s="1671">
        <v>254400</v>
      </c>
      <c r="Q99" s="1671">
        <v>254400</v>
      </c>
      <c r="R99" s="1671">
        <v>336800</v>
      </c>
      <c r="S99" s="1671">
        <v>424400</v>
      </c>
      <c r="T99" s="1671">
        <v>538200</v>
      </c>
      <c r="U99" s="1703">
        <v>958500</v>
      </c>
      <c r="V99" s="1703">
        <v>1859600</v>
      </c>
      <c r="W99" s="1671">
        <v>708100</v>
      </c>
      <c r="X99" s="1703">
        <v>1174800</v>
      </c>
      <c r="Y99" s="1703">
        <v>2340700</v>
      </c>
      <c r="Z99" s="1671">
        <v>147000</v>
      </c>
      <c r="AA99" s="1671">
        <v>147000</v>
      </c>
      <c r="AB99" s="1671">
        <v>173400</v>
      </c>
      <c r="AC99" s="1671">
        <v>173400</v>
      </c>
      <c r="AD99" s="1671">
        <v>230900</v>
      </c>
      <c r="AE99" s="1671">
        <v>291700</v>
      </c>
      <c r="AF99" s="1671">
        <v>395400</v>
      </c>
      <c r="AG99" s="1704" t="s">
        <v>561</v>
      </c>
      <c r="AH99" s="1704" t="s">
        <v>561</v>
      </c>
      <c r="AI99" s="1671">
        <v>593800</v>
      </c>
      <c r="AJ99" s="1704" t="s">
        <v>561</v>
      </c>
      <c r="AK99" s="1704" t="s">
        <v>561</v>
      </c>
      <c r="AL99" s="1671">
        <v>172800</v>
      </c>
      <c r="AM99" s="1671">
        <v>172800</v>
      </c>
      <c r="AN99" s="1671">
        <v>203500</v>
      </c>
      <c r="AO99" s="1671">
        <v>203500</v>
      </c>
      <c r="AP99" s="1671">
        <v>269400</v>
      </c>
      <c r="AQ99" s="1671">
        <v>339500</v>
      </c>
      <c r="AR99" s="1671">
        <v>430500</v>
      </c>
      <c r="AS99" s="1704" t="s">
        <v>561</v>
      </c>
      <c r="AT99" s="1704" t="s">
        <v>561</v>
      </c>
      <c r="AU99" s="1671">
        <v>566400</v>
      </c>
      <c r="AV99" s="1704" t="s">
        <v>561</v>
      </c>
      <c r="AW99" s="1704" t="s">
        <v>561</v>
      </c>
      <c r="AX99" s="1671">
        <v>155900</v>
      </c>
      <c r="AY99" s="1671">
        <v>155900</v>
      </c>
      <c r="AZ99" s="1671">
        <v>185100</v>
      </c>
      <c r="BA99" s="1671">
        <v>185100</v>
      </c>
      <c r="BB99" s="1671">
        <v>223100</v>
      </c>
      <c r="BC99" s="1671">
        <v>275200</v>
      </c>
      <c r="BD99" s="1671">
        <v>380700</v>
      </c>
      <c r="BE99" s="1704" t="s">
        <v>561</v>
      </c>
      <c r="BF99" s="1704" t="s">
        <v>561</v>
      </c>
      <c r="BG99" s="1671">
        <v>515500</v>
      </c>
      <c r="BH99" s="1704" t="s">
        <v>561</v>
      </c>
      <c r="BI99" s="1704" t="s">
        <v>561</v>
      </c>
      <c r="BJ99" s="1671">
        <v>186400</v>
      </c>
      <c r="BK99" s="1671">
        <v>186400</v>
      </c>
      <c r="BL99" s="1671">
        <v>220800</v>
      </c>
      <c r="BM99" s="1671">
        <v>220800</v>
      </c>
      <c r="BN99" s="1671">
        <v>263700</v>
      </c>
      <c r="BO99" s="1671">
        <v>323100</v>
      </c>
      <c r="BP99" s="1671">
        <v>409500</v>
      </c>
      <c r="BQ99" s="1704" t="s">
        <v>561</v>
      </c>
      <c r="BR99" s="1704" t="s">
        <v>561</v>
      </c>
      <c r="BS99" s="1671">
        <v>474800</v>
      </c>
      <c r="BT99" s="1704" t="s">
        <v>561</v>
      </c>
      <c r="BU99" s="1704" t="s">
        <v>561</v>
      </c>
    </row>
    <row r="100" spans="1:73" s="942" customFormat="1" ht="18.5">
      <c r="A100" s="1695">
        <v>87</v>
      </c>
      <c r="B100" s="1671">
        <v>188300</v>
      </c>
      <c r="C100" s="1671">
        <v>188300</v>
      </c>
      <c r="D100" s="1671">
        <v>223100</v>
      </c>
      <c r="E100" s="1671">
        <v>223100</v>
      </c>
      <c r="F100" s="1671">
        <v>298300</v>
      </c>
      <c r="G100" s="1671">
        <v>377900</v>
      </c>
      <c r="H100" s="1671">
        <v>512200</v>
      </c>
      <c r="I100" s="1702">
        <v>912100</v>
      </c>
      <c r="J100" s="1702">
        <v>1769500</v>
      </c>
      <c r="K100" s="1671">
        <v>763200</v>
      </c>
      <c r="L100" s="1702">
        <v>1266100</v>
      </c>
      <c r="M100" s="1702">
        <v>2522700</v>
      </c>
      <c r="N100" s="1671">
        <v>222300</v>
      </c>
      <c r="O100" s="1671">
        <v>222300</v>
      </c>
      <c r="P100" s="1671">
        <v>263100</v>
      </c>
      <c r="Q100" s="1671">
        <v>263100</v>
      </c>
      <c r="R100" s="1671">
        <v>350100</v>
      </c>
      <c r="S100" s="1671">
        <v>442800</v>
      </c>
      <c r="T100" s="1671">
        <v>561200</v>
      </c>
      <c r="U100" s="1703">
        <v>999400</v>
      </c>
      <c r="V100" s="1703">
        <v>1939000</v>
      </c>
      <c r="W100" s="1671">
        <v>735400</v>
      </c>
      <c r="X100" s="1703">
        <v>1220000</v>
      </c>
      <c r="Y100" s="1703">
        <v>2430800</v>
      </c>
      <c r="Z100" s="1671">
        <v>150600</v>
      </c>
      <c r="AA100" s="1671">
        <v>150600</v>
      </c>
      <c r="AB100" s="1671">
        <v>178400</v>
      </c>
      <c r="AC100" s="1671">
        <v>178400</v>
      </c>
      <c r="AD100" s="1671">
        <v>238600</v>
      </c>
      <c r="AE100" s="1671">
        <v>302300</v>
      </c>
      <c r="AF100" s="1671">
        <v>409700</v>
      </c>
      <c r="AG100" s="1704" t="s">
        <v>561</v>
      </c>
      <c r="AH100" s="1704" t="s">
        <v>561</v>
      </c>
      <c r="AI100" s="1671">
        <v>610500</v>
      </c>
      <c r="AJ100" s="1704" t="s">
        <v>561</v>
      </c>
      <c r="AK100" s="1704" t="s">
        <v>561</v>
      </c>
      <c r="AL100" s="1671">
        <v>177800</v>
      </c>
      <c r="AM100" s="1671">
        <v>177800</v>
      </c>
      <c r="AN100" s="1671">
        <v>210400</v>
      </c>
      <c r="AO100" s="1671">
        <v>210400</v>
      </c>
      <c r="AP100" s="1671">
        <v>280000</v>
      </c>
      <c r="AQ100" s="1671">
        <v>354200</v>
      </c>
      <c r="AR100" s="1671">
        <v>448900</v>
      </c>
      <c r="AS100" s="1704" t="s">
        <v>561</v>
      </c>
      <c r="AT100" s="1704" t="s">
        <v>561</v>
      </c>
      <c r="AU100" s="1671">
        <v>588300</v>
      </c>
      <c r="AV100" s="1704" t="s">
        <v>561</v>
      </c>
      <c r="AW100" s="1704" t="s">
        <v>561</v>
      </c>
      <c r="AX100" s="1671">
        <v>163000</v>
      </c>
      <c r="AY100" s="1671">
        <v>163000</v>
      </c>
      <c r="AZ100" s="1671">
        <v>193700</v>
      </c>
      <c r="BA100" s="1671">
        <v>193700</v>
      </c>
      <c r="BB100" s="1671">
        <v>233300</v>
      </c>
      <c r="BC100" s="1671">
        <v>287800</v>
      </c>
      <c r="BD100" s="1671">
        <v>396400</v>
      </c>
      <c r="BE100" s="1704" t="s">
        <v>561</v>
      </c>
      <c r="BF100" s="1704" t="s">
        <v>561</v>
      </c>
      <c r="BG100" s="1671">
        <v>530400</v>
      </c>
      <c r="BH100" s="1704" t="s">
        <v>561</v>
      </c>
      <c r="BI100" s="1704" t="s">
        <v>561</v>
      </c>
      <c r="BJ100" s="1671">
        <v>195900</v>
      </c>
      <c r="BK100" s="1671">
        <v>195900</v>
      </c>
      <c r="BL100" s="1671">
        <v>232300</v>
      </c>
      <c r="BM100" s="1671">
        <v>232300</v>
      </c>
      <c r="BN100" s="1671">
        <v>277400</v>
      </c>
      <c r="BO100" s="1671">
        <v>340200</v>
      </c>
      <c r="BP100" s="1671">
        <v>429000</v>
      </c>
      <c r="BQ100" s="1704" t="s">
        <v>561</v>
      </c>
      <c r="BR100" s="1704" t="s">
        <v>561</v>
      </c>
      <c r="BS100" s="1671">
        <v>493600</v>
      </c>
      <c r="BT100" s="1704" t="s">
        <v>561</v>
      </c>
      <c r="BU100" s="1704" t="s">
        <v>561</v>
      </c>
    </row>
    <row r="101" spans="1:73" ht="18.5">
      <c r="A101" s="1695">
        <v>88</v>
      </c>
      <c r="B101" s="1671">
        <v>192900</v>
      </c>
      <c r="C101" s="1671">
        <v>192900</v>
      </c>
      <c r="D101" s="1671">
        <v>229400</v>
      </c>
      <c r="E101" s="1671">
        <v>229400</v>
      </c>
      <c r="F101" s="1671">
        <v>307800</v>
      </c>
      <c r="G101" s="1671">
        <v>391100</v>
      </c>
      <c r="H101" s="1671">
        <v>530000</v>
      </c>
      <c r="I101" s="1702">
        <v>943800</v>
      </c>
      <c r="J101" s="1702">
        <v>1831100</v>
      </c>
      <c r="K101" s="1671">
        <v>784100</v>
      </c>
      <c r="L101" s="1702">
        <v>1300800</v>
      </c>
      <c r="M101" s="1702">
        <v>2591700</v>
      </c>
      <c r="N101" s="1671">
        <v>228700</v>
      </c>
      <c r="O101" s="1671">
        <v>228700</v>
      </c>
      <c r="P101" s="1671">
        <v>271800</v>
      </c>
      <c r="Q101" s="1671">
        <v>271800</v>
      </c>
      <c r="R101" s="1671">
        <v>363400</v>
      </c>
      <c r="S101" s="1671">
        <v>461200</v>
      </c>
      <c r="T101" s="1671">
        <v>584200</v>
      </c>
      <c r="U101" s="1703">
        <v>1040300</v>
      </c>
      <c r="V101" s="1703">
        <v>2018300</v>
      </c>
      <c r="W101" s="1671">
        <v>762600</v>
      </c>
      <c r="X101" s="1703">
        <v>1265200</v>
      </c>
      <c r="Y101" s="1703">
        <v>2520900</v>
      </c>
      <c r="Z101" s="1671">
        <v>154300</v>
      </c>
      <c r="AA101" s="1671">
        <v>154300</v>
      </c>
      <c r="AB101" s="1671">
        <v>183500</v>
      </c>
      <c r="AC101" s="1671">
        <v>183500</v>
      </c>
      <c r="AD101" s="1671">
        <v>246200</v>
      </c>
      <c r="AE101" s="1671">
        <v>312800</v>
      </c>
      <c r="AF101" s="1671">
        <v>424000</v>
      </c>
      <c r="AG101" s="1704" t="s">
        <v>561</v>
      </c>
      <c r="AH101" s="1704" t="s">
        <v>561</v>
      </c>
      <c r="AI101" s="1671">
        <v>627200</v>
      </c>
      <c r="AJ101" s="1704" t="s">
        <v>561</v>
      </c>
      <c r="AK101" s="1704" t="s">
        <v>561</v>
      </c>
      <c r="AL101" s="1671">
        <v>182900</v>
      </c>
      <c r="AM101" s="1671">
        <v>182900</v>
      </c>
      <c r="AN101" s="1671">
        <v>217400</v>
      </c>
      <c r="AO101" s="1671">
        <v>217400</v>
      </c>
      <c r="AP101" s="1671">
        <v>290700</v>
      </c>
      <c r="AQ101" s="1671">
        <v>368900</v>
      </c>
      <c r="AR101" s="1671">
        <v>467300</v>
      </c>
      <c r="AS101" s="1704" t="s">
        <v>561</v>
      </c>
      <c r="AT101" s="1704" t="s">
        <v>561</v>
      </c>
      <c r="AU101" s="1671">
        <v>610000</v>
      </c>
      <c r="AV101" s="1704" t="s">
        <v>561</v>
      </c>
      <c r="AW101" s="1704" t="s">
        <v>561</v>
      </c>
      <c r="AX101" s="1671">
        <v>170200</v>
      </c>
      <c r="AY101" s="1671">
        <v>170200</v>
      </c>
      <c r="AZ101" s="1671">
        <v>202400</v>
      </c>
      <c r="BA101" s="1671">
        <v>202400</v>
      </c>
      <c r="BB101" s="1671">
        <v>243500</v>
      </c>
      <c r="BC101" s="1671">
        <v>300400</v>
      </c>
      <c r="BD101" s="1671">
        <v>412100</v>
      </c>
      <c r="BE101" s="1704" t="s">
        <v>561</v>
      </c>
      <c r="BF101" s="1704" t="s">
        <v>561</v>
      </c>
      <c r="BG101" s="1671">
        <v>545300</v>
      </c>
      <c r="BH101" s="1704" t="s">
        <v>561</v>
      </c>
      <c r="BI101" s="1704" t="s">
        <v>561</v>
      </c>
      <c r="BJ101" s="1671">
        <v>205500</v>
      </c>
      <c r="BK101" s="1671">
        <v>205500</v>
      </c>
      <c r="BL101" s="1671">
        <v>243800</v>
      </c>
      <c r="BM101" s="1671">
        <v>243800</v>
      </c>
      <c r="BN101" s="1671">
        <v>291100</v>
      </c>
      <c r="BO101" s="1671">
        <v>357300</v>
      </c>
      <c r="BP101" s="1671">
        <v>448500</v>
      </c>
      <c r="BQ101" s="1704" t="s">
        <v>561</v>
      </c>
      <c r="BR101" s="1704" t="s">
        <v>561</v>
      </c>
      <c r="BS101" s="1671">
        <v>512400</v>
      </c>
      <c r="BT101" s="1704" t="s">
        <v>561</v>
      </c>
      <c r="BU101" s="1704" t="s">
        <v>561</v>
      </c>
    </row>
    <row r="102" spans="1:73" ht="18.5">
      <c r="A102" s="1695">
        <v>89</v>
      </c>
      <c r="B102" s="1671">
        <v>204100</v>
      </c>
      <c r="C102" s="1671">
        <v>204100</v>
      </c>
      <c r="D102" s="1671">
        <v>242600</v>
      </c>
      <c r="E102" s="1671">
        <v>242600</v>
      </c>
      <c r="F102" s="1671">
        <v>325100</v>
      </c>
      <c r="G102" s="1671">
        <v>412900</v>
      </c>
      <c r="H102" s="1671">
        <v>557700</v>
      </c>
      <c r="I102" s="1702">
        <v>993200</v>
      </c>
      <c r="J102" s="1702">
        <v>1926900</v>
      </c>
      <c r="K102" s="1671">
        <v>815800</v>
      </c>
      <c r="L102" s="1702">
        <v>1353500</v>
      </c>
      <c r="M102" s="1702">
        <v>2696700</v>
      </c>
      <c r="N102" s="1671">
        <v>244300</v>
      </c>
      <c r="O102" s="1671">
        <v>244300</v>
      </c>
      <c r="P102" s="1671">
        <v>290400</v>
      </c>
      <c r="Q102" s="1671">
        <v>290400</v>
      </c>
      <c r="R102" s="1671">
        <v>387600</v>
      </c>
      <c r="S102" s="1671">
        <v>491800</v>
      </c>
      <c r="T102" s="1671">
        <v>620700</v>
      </c>
      <c r="U102" s="1703">
        <v>1105400</v>
      </c>
      <c r="V102" s="1703">
        <v>2144600</v>
      </c>
      <c r="W102" s="1671">
        <v>804800</v>
      </c>
      <c r="X102" s="1703">
        <v>1335200</v>
      </c>
      <c r="Y102" s="1703">
        <v>2660400</v>
      </c>
      <c r="Z102" s="1671">
        <v>163200</v>
      </c>
      <c r="AA102" s="1671">
        <v>163200</v>
      </c>
      <c r="AB102" s="1671">
        <v>194000</v>
      </c>
      <c r="AC102" s="1671">
        <v>194000</v>
      </c>
      <c r="AD102" s="1671">
        <v>260000</v>
      </c>
      <c r="AE102" s="1671">
        <v>330300</v>
      </c>
      <c r="AF102" s="1671">
        <v>446100</v>
      </c>
      <c r="AG102" s="1704" t="s">
        <v>561</v>
      </c>
      <c r="AH102" s="1704" t="s">
        <v>561</v>
      </c>
      <c r="AI102" s="1671">
        <v>652600</v>
      </c>
      <c r="AJ102" s="1704" t="s">
        <v>561</v>
      </c>
      <c r="AK102" s="1704" t="s">
        <v>561</v>
      </c>
      <c r="AL102" s="1671">
        <v>195400</v>
      </c>
      <c r="AM102" s="1671">
        <v>195400</v>
      </c>
      <c r="AN102" s="1671">
        <v>232300</v>
      </c>
      <c r="AO102" s="1671">
        <v>232300</v>
      </c>
      <c r="AP102" s="1671">
        <v>310000</v>
      </c>
      <c r="AQ102" s="1671">
        <v>393400</v>
      </c>
      <c r="AR102" s="1671">
        <v>496500</v>
      </c>
      <c r="AS102" s="1704" t="s">
        <v>561</v>
      </c>
      <c r="AT102" s="1704" t="s">
        <v>561</v>
      </c>
      <c r="AU102" s="1671">
        <v>643800</v>
      </c>
      <c r="AV102" s="1704" t="s">
        <v>561</v>
      </c>
      <c r="AW102" s="1704" t="s">
        <v>561</v>
      </c>
      <c r="AX102" s="1671">
        <v>174500</v>
      </c>
      <c r="AY102" s="1671">
        <v>174500</v>
      </c>
      <c r="AZ102" s="1671">
        <v>207600</v>
      </c>
      <c r="BA102" s="1671">
        <v>207600</v>
      </c>
      <c r="BB102" s="1671">
        <v>249800</v>
      </c>
      <c r="BC102" s="1671">
        <v>308400</v>
      </c>
      <c r="BD102" s="1671">
        <v>422800</v>
      </c>
      <c r="BE102" s="1704" t="s">
        <v>561</v>
      </c>
      <c r="BF102" s="1704" t="s">
        <v>561</v>
      </c>
      <c r="BG102" s="1671">
        <v>555500</v>
      </c>
      <c r="BH102" s="1704" t="s">
        <v>561</v>
      </c>
      <c r="BI102" s="1704" t="s">
        <v>561</v>
      </c>
      <c r="BJ102" s="1671">
        <v>208500</v>
      </c>
      <c r="BK102" s="1671">
        <v>208500</v>
      </c>
      <c r="BL102" s="1671">
        <v>247500</v>
      </c>
      <c r="BM102" s="1671">
        <v>247500</v>
      </c>
      <c r="BN102" s="1671">
        <v>295600</v>
      </c>
      <c r="BO102" s="1671">
        <v>362900</v>
      </c>
      <c r="BP102" s="1671">
        <v>455000</v>
      </c>
      <c r="BQ102" s="1704" t="s">
        <v>561</v>
      </c>
      <c r="BR102" s="1704" t="s">
        <v>561</v>
      </c>
      <c r="BS102" s="1671">
        <v>518700</v>
      </c>
      <c r="BT102" s="1704" t="s">
        <v>561</v>
      </c>
      <c r="BU102" s="1704" t="s">
        <v>561</v>
      </c>
    </row>
    <row r="103" spans="1:73" ht="18.5">
      <c r="A103" s="1705">
        <v>90</v>
      </c>
      <c r="B103" s="1671">
        <v>214600</v>
      </c>
      <c r="C103" s="1671">
        <v>214600</v>
      </c>
      <c r="D103" s="1671">
        <v>253800</v>
      </c>
      <c r="E103" s="1671">
        <v>253800</v>
      </c>
      <c r="F103" s="1671">
        <v>337600</v>
      </c>
      <c r="G103" s="1671">
        <v>426900</v>
      </c>
      <c r="H103" s="1671">
        <v>574900</v>
      </c>
      <c r="I103" s="1706" t="s">
        <v>561</v>
      </c>
      <c r="J103" s="1706" t="s">
        <v>561</v>
      </c>
      <c r="K103" s="1671">
        <v>834600</v>
      </c>
      <c r="L103" s="1706" t="s">
        <v>561</v>
      </c>
      <c r="M103" s="1706" t="s">
        <v>561</v>
      </c>
      <c r="N103" s="1671">
        <v>252300</v>
      </c>
      <c r="O103" s="1671">
        <v>252300</v>
      </c>
      <c r="P103" s="1671">
        <v>298200</v>
      </c>
      <c r="Q103" s="1671">
        <v>298200</v>
      </c>
      <c r="R103" s="1671">
        <v>394900</v>
      </c>
      <c r="S103" s="1671">
        <v>498500</v>
      </c>
      <c r="T103" s="1671">
        <v>627200</v>
      </c>
      <c r="U103" s="1706" t="s">
        <v>561</v>
      </c>
      <c r="V103" s="1706" t="s">
        <v>561</v>
      </c>
      <c r="W103" s="1671">
        <v>811100</v>
      </c>
      <c r="X103" s="1706" t="s">
        <v>561</v>
      </c>
      <c r="Y103" s="1706" t="s">
        <v>561</v>
      </c>
      <c r="Z103" s="1671">
        <v>171600</v>
      </c>
      <c r="AA103" s="1671">
        <v>171600</v>
      </c>
      <c r="AB103" s="1671">
        <v>203000</v>
      </c>
      <c r="AC103" s="1671">
        <v>203000</v>
      </c>
      <c r="AD103" s="1671">
        <v>270000</v>
      </c>
      <c r="AE103" s="1671">
        <v>341500</v>
      </c>
      <c r="AF103" s="1671">
        <v>459900</v>
      </c>
      <c r="AG103" s="1704" t="s">
        <v>561</v>
      </c>
      <c r="AH103" s="1704" t="s">
        <v>561</v>
      </c>
      <c r="AI103" s="1671">
        <v>667600</v>
      </c>
      <c r="AJ103" s="1704" t="s">
        <v>561</v>
      </c>
      <c r="AK103" s="1704" t="s">
        <v>561</v>
      </c>
      <c r="AL103" s="1671">
        <v>201800</v>
      </c>
      <c r="AM103" s="1671">
        <v>201800</v>
      </c>
      <c r="AN103" s="1671">
        <v>238500</v>
      </c>
      <c r="AO103" s="1671">
        <v>238500</v>
      </c>
      <c r="AP103" s="1671">
        <v>315900</v>
      </c>
      <c r="AQ103" s="1671">
        <v>398800</v>
      </c>
      <c r="AR103" s="1671">
        <v>501700</v>
      </c>
      <c r="AS103" s="1704" t="s">
        <v>561</v>
      </c>
      <c r="AT103" s="1704" t="s">
        <v>561</v>
      </c>
      <c r="AU103" s="1671">
        <v>648800</v>
      </c>
      <c r="AV103" s="1704" t="s">
        <v>561</v>
      </c>
      <c r="AW103" s="1704" t="s">
        <v>561</v>
      </c>
      <c r="AX103" s="1671">
        <v>178800</v>
      </c>
      <c r="AY103" s="1671">
        <v>178800</v>
      </c>
      <c r="AZ103" s="1671">
        <v>212900</v>
      </c>
      <c r="BA103" s="1671">
        <v>212900</v>
      </c>
      <c r="BB103" s="1671">
        <v>256100</v>
      </c>
      <c r="BC103" s="1671">
        <v>316400</v>
      </c>
      <c r="BD103" s="1671">
        <v>433600</v>
      </c>
      <c r="BE103" s="1704" t="s">
        <v>561</v>
      </c>
      <c r="BF103" s="1704" t="s">
        <v>561</v>
      </c>
      <c r="BG103" s="1671">
        <v>565600</v>
      </c>
      <c r="BH103" s="1704" t="s">
        <v>561</v>
      </c>
      <c r="BI103" s="1704" t="s">
        <v>561</v>
      </c>
      <c r="BJ103" s="1671">
        <v>211500</v>
      </c>
      <c r="BK103" s="1671">
        <v>211500</v>
      </c>
      <c r="BL103" s="1671">
        <v>251200</v>
      </c>
      <c r="BM103" s="1671">
        <v>251200</v>
      </c>
      <c r="BN103" s="1671">
        <v>300000</v>
      </c>
      <c r="BO103" s="1671">
        <v>368500</v>
      </c>
      <c r="BP103" s="1671">
        <v>461400</v>
      </c>
      <c r="BQ103" s="1704" t="s">
        <v>561</v>
      </c>
      <c r="BR103" s="1704" t="s">
        <v>561</v>
      </c>
      <c r="BS103" s="1671">
        <v>524900</v>
      </c>
      <c r="BT103" s="1704" t="s">
        <v>561</v>
      </c>
      <c r="BU103" s="1704" t="s">
        <v>561</v>
      </c>
    </row>
    <row r="104" spans="1:73" ht="18.5">
      <c r="A104" s="1705">
        <v>91</v>
      </c>
      <c r="B104" s="1671">
        <v>225200</v>
      </c>
      <c r="C104" s="1671">
        <v>225200</v>
      </c>
      <c r="D104" s="1671">
        <v>265000</v>
      </c>
      <c r="E104" s="1671">
        <v>265000</v>
      </c>
      <c r="F104" s="1671">
        <v>350200</v>
      </c>
      <c r="G104" s="1671">
        <v>440900</v>
      </c>
      <c r="H104" s="1671">
        <v>592100</v>
      </c>
      <c r="I104" s="1706" t="s">
        <v>561</v>
      </c>
      <c r="J104" s="1706" t="s">
        <v>561</v>
      </c>
      <c r="K104" s="1671">
        <v>853300</v>
      </c>
      <c r="L104" s="1706" t="s">
        <v>561</v>
      </c>
      <c r="M104" s="1706" t="s">
        <v>561</v>
      </c>
      <c r="N104" s="1671">
        <v>260300</v>
      </c>
      <c r="O104" s="1671">
        <v>260300</v>
      </c>
      <c r="P104" s="1671">
        <v>305900</v>
      </c>
      <c r="Q104" s="1671">
        <v>305900</v>
      </c>
      <c r="R104" s="1671">
        <v>402200</v>
      </c>
      <c r="S104" s="1671">
        <v>505300</v>
      </c>
      <c r="T104" s="1671">
        <v>633600</v>
      </c>
      <c r="U104" s="1706" t="s">
        <v>561</v>
      </c>
      <c r="V104" s="1706" t="s">
        <v>561</v>
      </c>
      <c r="W104" s="1671">
        <v>817500</v>
      </c>
      <c r="X104" s="1706" t="s">
        <v>561</v>
      </c>
      <c r="Y104" s="1706" t="s">
        <v>561</v>
      </c>
      <c r="Z104" s="1671">
        <v>180100</v>
      </c>
      <c r="AA104" s="1671">
        <v>180100</v>
      </c>
      <c r="AB104" s="1671">
        <v>212000</v>
      </c>
      <c r="AC104" s="1671">
        <v>212000</v>
      </c>
      <c r="AD104" s="1671">
        <v>280100</v>
      </c>
      <c r="AE104" s="1671">
        <v>352700</v>
      </c>
      <c r="AF104" s="1671">
        <v>473600</v>
      </c>
      <c r="AG104" s="1704" t="s">
        <v>561</v>
      </c>
      <c r="AH104" s="1704" t="s">
        <v>561</v>
      </c>
      <c r="AI104" s="1671">
        <v>682600</v>
      </c>
      <c r="AJ104" s="1704" t="s">
        <v>561</v>
      </c>
      <c r="AK104" s="1704" t="s">
        <v>561</v>
      </c>
      <c r="AL104" s="1671">
        <v>208200</v>
      </c>
      <c r="AM104" s="1671">
        <v>208200</v>
      </c>
      <c r="AN104" s="1671">
        <v>244700</v>
      </c>
      <c r="AO104" s="1671">
        <v>244700</v>
      </c>
      <c r="AP104" s="1671">
        <v>321700</v>
      </c>
      <c r="AQ104" s="1671">
        <v>404200</v>
      </c>
      <c r="AR104" s="1671">
        <v>506800</v>
      </c>
      <c r="AS104" s="1704" t="s">
        <v>561</v>
      </c>
      <c r="AT104" s="1704" t="s">
        <v>561</v>
      </c>
      <c r="AU104" s="1671">
        <v>654000</v>
      </c>
      <c r="AV104" s="1704" t="s">
        <v>561</v>
      </c>
      <c r="AW104" s="1704" t="s">
        <v>561</v>
      </c>
      <c r="AX104" s="1671">
        <v>183100</v>
      </c>
      <c r="AY104" s="1671">
        <v>183100</v>
      </c>
      <c r="AZ104" s="1671">
        <v>218100</v>
      </c>
      <c r="BA104" s="1671">
        <v>218100</v>
      </c>
      <c r="BB104" s="1671">
        <v>262400</v>
      </c>
      <c r="BC104" s="1671">
        <v>324400</v>
      </c>
      <c r="BD104" s="1671">
        <v>444300</v>
      </c>
      <c r="BE104" s="1704" t="s">
        <v>561</v>
      </c>
      <c r="BF104" s="1704" t="s">
        <v>561</v>
      </c>
      <c r="BG104" s="1671">
        <v>575800</v>
      </c>
      <c r="BH104" s="1704" t="s">
        <v>561</v>
      </c>
      <c r="BI104" s="1704" t="s">
        <v>561</v>
      </c>
      <c r="BJ104" s="1671">
        <v>214600</v>
      </c>
      <c r="BK104" s="1671">
        <v>214600</v>
      </c>
      <c r="BL104" s="1671">
        <v>254900</v>
      </c>
      <c r="BM104" s="1671">
        <v>254900</v>
      </c>
      <c r="BN104" s="1671">
        <v>304500</v>
      </c>
      <c r="BO104" s="1671">
        <v>374200</v>
      </c>
      <c r="BP104" s="1671">
        <v>467900</v>
      </c>
      <c r="BQ104" s="1704" t="s">
        <v>561</v>
      </c>
      <c r="BR104" s="1704" t="s">
        <v>561</v>
      </c>
      <c r="BS104" s="1671">
        <v>531100</v>
      </c>
      <c r="BT104" s="1704" t="s">
        <v>561</v>
      </c>
      <c r="BU104" s="1704" t="s">
        <v>561</v>
      </c>
    </row>
    <row r="105" spans="1:73" ht="18.5">
      <c r="A105" s="1695">
        <v>92</v>
      </c>
      <c r="B105" s="1671">
        <v>235900</v>
      </c>
      <c r="C105" s="1671">
        <v>235900</v>
      </c>
      <c r="D105" s="1671">
        <v>276900</v>
      </c>
      <c r="E105" s="1671">
        <v>276900</v>
      </c>
      <c r="F105" s="1671">
        <v>364300</v>
      </c>
      <c r="G105" s="1671">
        <v>457500</v>
      </c>
      <c r="H105" s="1671">
        <v>612800</v>
      </c>
      <c r="I105" s="1706" t="s">
        <v>561</v>
      </c>
      <c r="J105" s="1706" t="s">
        <v>561</v>
      </c>
      <c r="K105" s="1671">
        <v>876400</v>
      </c>
      <c r="L105" s="1706" t="s">
        <v>561</v>
      </c>
      <c r="M105" s="1706" t="s">
        <v>561</v>
      </c>
      <c r="N105" s="1671">
        <v>270900</v>
      </c>
      <c r="O105" s="1671">
        <v>270900</v>
      </c>
      <c r="P105" s="1671">
        <v>317300</v>
      </c>
      <c r="Q105" s="1671">
        <v>317300</v>
      </c>
      <c r="R105" s="1671">
        <v>415100</v>
      </c>
      <c r="S105" s="1671">
        <v>519900</v>
      </c>
      <c r="T105" s="1671">
        <v>650100</v>
      </c>
      <c r="U105" s="1706" t="s">
        <v>561</v>
      </c>
      <c r="V105" s="1706" t="s">
        <v>561</v>
      </c>
      <c r="W105" s="1671">
        <v>835800</v>
      </c>
      <c r="X105" s="1706" t="s">
        <v>561</v>
      </c>
      <c r="Y105" s="1706" t="s">
        <v>561</v>
      </c>
      <c r="Z105" s="1671">
        <v>188700</v>
      </c>
      <c r="AA105" s="1671">
        <v>188700</v>
      </c>
      <c r="AB105" s="1671">
        <v>221500</v>
      </c>
      <c r="AC105" s="1671">
        <v>221500</v>
      </c>
      <c r="AD105" s="1671">
        <v>291400</v>
      </c>
      <c r="AE105" s="1671">
        <v>366000</v>
      </c>
      <c r="AF105" s="1671">
        <v>490200</v>
      </c>
      <c r="AG105" s="1704" t="s">
        <v>561</v>
      </c>
      <c r="AH105" s="1704" t="s">
        <v>561</v>
      </c>
      <c r="AI105" s="1671">
        <v>701100</v>
      </c>
      <c r="AJ105" s="1704" t="s">
        <v>561</v>
      </c>
      <c r="AK105" s="1704" t="s">
        <v>561</v>
      </c>
      <c r="AL105" s="1671">
        <v>216700</v>
      </c>
      <c r="AM105" s="1671">
        <v>216700</v>
      </c>
      <c r="AN105" s="1671">
        <v>253800</v>
      </c>
      <c r="AO105" s="1671">
        <v>253800</v>
      </c>
      <c r="AP105" s="1671">
        <v>332000</v>
      </c>
      <c r="AQ105" s="1671">
        <v>415900</v>
      </c>
      <c r="AR105" s="1671">
        <v>520000</v>
      </c>
      <c r="AS105" s="1704" t="s">
        <v>561</v>
      </c>
      <c r="AT105" s="1704" t="s">
        <v>561</v>
      </c>
      <c r="AU105" s="1671">
        <v>668600</v>
      </c>
      <c r="AV105" s="1704" t="s">
        <v>561</v>
      </c>
      <c r="AW105" s="1704" t="s">
        <v>561</v>
      </c>
      <c r="AX105" s="1671">
        <v>187400</v>
      </c>
      <c r="AY105" s="1671">
        <v>187400</v>
      </c>
      <c r="AZ105" s="1671">
        <v>223400</v>
      </c>
      <c r="BA105" s="1671">
        <v>223400</v>
      </c>
      <c r="BB105" s="1671">
        <v>268800</v>
      </c>
      <c r="BC105" s="1671">
        <v>332400</v>
      </c>
      <c r="BD105" s="1671">
        <v>455100</v>
      </c>
      <c r="BE105" s="1704" t="s">
        <v>561</v>
      </c>
      <c r="BF105" s="1704" t="s">
        <v>561</v>
      </c>
      <c r="BG105" s="1671">
        <v>586000</v>
      </c>
      <c r="BH105" s="1704" t="s">
        <v>561</v>
      </c>
      <c r="BI105" s="1704" t="s">
        <v>561</v>
      </c>
      <c r="BJ105" s="1671">
        <v>217600</v>
      </c>
      <c r="BK105" s="1671">
        <v>217600</v>
      </c>
      <c r="BL105" s="1671">
        <v>258600</v>
      </c>
      <c r="BM105" s="1671">
        <v>258600</v>
      </c>
      <c r="BN105" s="1671">
        <v>309000</v>
      </c>
      <c r="BO105" s="1671">
        <v>379800</v>
      </c>
      <c r="BP105" s="1671">
        <v>474300</v>
      </c>
      <c r="BQ105" s="1704" t="s">
        <v>561</v>
      </c>
      <c r="BR105" s="1704" t="s">
        <v>561</v>
      </c>
      <c r="BS105" s="1671">
        <v>537300</v>
      </c>
      <c r="BT105" s="1704" t="s">
        <v>561</v>
      </c>
      <c r="BU105" s="1704" t="s">
        <v>561</v>
      </c>
    </row>
    <row r="106" spans="1:73" ht="18.5">
      <c r="A106" s="1695">
        <v>93</v>
      </c>
      <c r="B106" s="1671">
        <v>246600</v>
      </c>
      <c r="C106" s="1671">
        <v>246600</v>
      </c>
      <c r="D106" s="1671">
        <v>288800</v>
      </c>
      <c r="E106" s="1671">
        <v>288800</v>
      </c>
      <c r="F106" s="1671">
        <v>378400</v>
      </c>
      <c r="G106" s="1671">
        <v>474100</v>
      </c>
      <c r="H106" s="1671">
        <v>633600</v>
      </c>
      <c r="I106" s="1706" t="s">
        <v>561</v>
      </c>
      <c r="J106" s="1706" t="s">
        <v>561</v>
      </c>
      <c r="K106" s="1671">
        <v>899500</v>
      </c>
      <c r="L106" s="1706" t="s">
        <v>561</v>
      </c>
      <c r="M106" s="1706" t="s">
        <v>561</v>
      </c>
      <c r="N106" s="1671">
        <v>281500</v>
      </c>
      <c r="O106" s="1671">
        <v>281500</v>
      </c>
      <c r="P106" s="1671">
        <v>328700</v>
      </c>
      <c r="Q106" s="1671">
        <v>328700</v>
      </c>
      <c r="R106" s="1671">
        <v>428000</v>
      </c>
      <c r="S106" s="1671">
        <v>534600</v>
      </c>
      <c r="T106" s="1671">
        <v>666600</v>
      </c>
      <c r="U106" s="1706" t="s">
        <v>561</v>
      </c>
      <c r="V106" s="1706" t="s">
        <v>561</v>
      </c>
      <c r="W106" s="1671">
        <v>854000</v>
      </c>
      <c r="X106" s="1706" t="s">
        <v>561</v>
      </c>
      <c r="Y106" s="1706" t="s">
        <v>561</v>
      </c>
      <c r="Z106" s="1671">
        <v>197200</v>
      </c>
      <c r="AA106" s="1671">
        <v>197200</v>
      </c>
      <c r="AB106" s="1671">
        <v>231000</v>
      </c>
      <c r="AC106" s="1671">
        <v>231000</v>
      </c>
      <c r="AD106" s="1671">
        <v>302700</v>
      </c>
      <c r="AE106" s="1671">
        <v>379200</v>
      </c>
      <c r="AF106" s="1671">
        <v>506800</v>
      </c>
      <c r="AG106" s="1704" t="s">
        <v>561</v>
      </c>
      <c r="AH106" s="1704" t="s">
        <v>561</v>
      </c>
      <c r="AI106" s="1671">
        <v>719600</v>
      </c>
      <c r="AJ106" s="1704" t="s">
        <v>561</v>
      </c>
      <c r="AK106" s="1704" t="s">
        <v>561</v>
      </c>
      <c r="AL106" s="1671">
        <v>225200</v>
      </c>
      <c r="AM106" s="1671">
        <v>225200</v>
      </c>
      <c r="AN106" s="1671">
        <v>262900</v>
      </c>
      <c r="AO106" s="1671">
        <v>262900</v>
      </c>
      <c r="AP106" s="1671">
        <v>342400</v>
      </c>
      <c r="AQ106" s="1671">
        <v>427600</v>
      </c>
      <c r="AR106" s="1671">
        <v>533200</v>
      </c>
      <c r="AS106" s="1704" t="s">
        <v>561</v>
      </c>
      <c r="AT106" s="1704" t="s">
        <v>561</v>
      </c>
      <c r="AU106" s="1671">
        <v>683200</v>
      </c>
      <c r="AV106" s="1704" t="s">
        <v>561</v>
      </c>
      <c r="AW106" s="1704" t="s">
        <v>561</v>
      </c>
      <c r="AX106" s="1671">
        <v>191700</v>
      </c>
      <c r="AY106" s="1671">
        <v>191700</v>
      </c>
      <c r="AZ106" s="1671">
        <v>228600</v>
      </c>
      <c r="BA106" s="1671">
        <v>228600</v>
      </c>
      <c r="BB106" s="1671">
        <v>275100</v>
      </c>
      <c r="BC106" s="1671">
        <v>340300</v>
      </c>
      <c r="BD106" s="1671">
        <v>465800</v>
      </c>
      <c r="BE106" s="1704" t="s">
        <v>561</v>
      </c>
      <c r="BF106" s="1704" t="s">
        <v>561</v>
      </c>
      <c r="BG106" s="1671">
        <v>596200</v>
      </c>
      <c r="BH106" s="1704" t="s">
        <v>561</v>
      </c>
      <c r="BI106" s="1704" t="s">
        <v>561</v>
      </c>
      <c r="BJ106" s="1671">
        <v>220600</v>
      </c>
      <c r="BK106" s="1671">
        <v>220600</v>
      </c>
      <c r="BL106" s="1671">
        <v>262300</v>
      </c>
      <c r="BM106" s="1671">
        <v>262300</v>
      </c>
      <c r="BN106" s="1671">
        <v>313400</v>
      </c>
      <c r="BO106" s="1671">
        <v>385400</v>
      </c>
      <c r="BP106" s="1671">
        <v>480800</v>
      </c>
      <c r="BQ106" s="1704" t="s">
        <v>561</v>
      </c>
      <c r="BR106" s="1704" t="s">
        <v>561</v>
      </c>
      <c r="BS106" s="1671">
        <v>543600</v>
      </c>
      <c r="BT106" s="1704" t="s">
        <v>561</v>
      </c>
      <c r="BU106" s="1704" t="s">
        <v>561</v>
      </c>
    </row>
    <row r="107" spans="1:73" ht="18.5">
      <c r="A107" s="1695">
        <v>94</v>
      </c>
      <c r="B107" s="1671">
        <v>254400</v>
      </c>
      <c r="C107" s="1671">
        <v>254400</v>
      </c>
      <c r="D107" s="1671">
        <v>298000</v>
      </c>
      <c r="E107" s="1671">
        <v>298000</v>
      </c>
      <c r="F107" s="1671">
        <v>390500</v>
      </c>
      <c r="G107" s="1671">
        <v>489400</v>
      </c>
      <c r="H107" s="1671">
        <v>654500</v>
      </c>
      <c r="I107" s="1706" t="s">
        <v>561</v>
      </c>
      <c r="J107" s="1706" t="s">
        <v>561</v>
      </c>
      <c r="K107" s="1671">
        <v>923300</v>
      </c>
      <c r="L107" s="1706" t="s">
        <v>561</v>
      </c>
      <c r="M107" s="1706" t="s">
        <v>561</v>
      </c>
      <c r="N107" s="1671">
        <v>287200</v>
      </c>
      <c r="O107" s="1671">
        <v>287200</v>
      </c>
      <c r="P107" s="1671">
        <v>335600</v>
      </c>
      <c r="Q107" s="1671">
        <v>335600</v>
      </c>
      <c r="R107" s="1671">
        <v>437100</v>
      </c>
      <c r="S107" s="1671">
        <v>546200</v>
      </c>
      <c r="T107" s="1671">
        <v>680400</v>
      </c>
      <c r="U107" s="1706" t="s">
        <v>561</v>
      </c>
      <c r="V107" s="1706" t="s">
        <v>561</v>
      </c>
      <c r="W107" s="1671">
        <v>870000</v>
      </c>
      <c r="X107" s="1706" t="s">
        <v>561</v>
      </c>
      <c r="Y107" s="1706" t="s">
        <v>561</v>
      </c>
      <c r="Z107" s="1671">
        <v>203500</v>
      </c>
      <c r="AA107" s="1671">
        <v>203500</v>
      </c>
      <c r="AB107" s="1671">
        <v>238400</v>
      </c>
      <c r="AC107" s="1671">
        <v>238400</v>
      </c>
      <c r="AD107" s="1671">
        <v>312400</v>
      </c>
      <c r="AE107" s="1671">
        <v>391500</v>
      </c>
      <c r="AF107" s="1671">
        <v>523600</v>
      </c>
      <c r="AG107" s="1704" t="s">
        <v>561</v>
      </c>
      <c r="AH107" s="1704" t="s">
        <v>561</v>
      </c>
      <c r="AI107" s="1671">
        <v>738600</v>
      </c>
      <c r="AJ107" s="1704" t="s">
        <v>561</v>
      </c>
      <c r="AK107" s="1704" t="s">
        <v>561</v>
      </c>
      <c r="AL107" s="1671">
        <v>229700</v>
      </c>
      <c r="AM107" s="1671">
        <v>229700</v>
      </c>
      <c r="AN107" s="1671">
        <v>268400</v>
      </c>
      <c r="AO107" s="1671">
        <v>268400</v>
      </c>
      <c r="AP107" s="1671">
        <v>349600</v>
      </c>
      <c r="AQ107" s="1671">
        <v>436900</v>
      </c>
      <c r="AR107" s="1671">
        <v>544300</v>
      </c>
      <c r="AS107" s="1704" t="s">
        <v>561</v>
      </c>
      <c r="AT107" s="1704" t="s">
        <v>561</v>
      </c>
      <c r="AU107" s="1671">
        <v>696000</v>
      </c>
      <c r="AV107" s="1704" t="s">
        <v>561</v>
      </c>
      <c r="AW107" s="1704" t="s">
        <v>561</v>
      </c>
      <c r="AX107" s="1671">
        <v>197300</v>
      </c>
      <c r="AY107" s="1671">
        <v>197300</v>
      </c>
      <c r="AZ107" s="1671">
        <v>235500</v>
      </c>
      <c r="BA107" s="1671">
        <v>235500</v>
      </c>
      <c r="BB107" s="1671">
        <v>283300</v>
      </c>
      <c r="BC107" s="1671">
        <v>350800</v>
      </c>
      <c r="BD107" s="1671">
        <v>480200</v>
      </c>
      <c r="BE107" s="1704" t="s">
        <v>561</v>
      </c>
      <c r="BF107" s="1704" t="s">
        <v>561</v>
      </c>
      <c r="BG107" s="1671">
        <v>609700</v>
      </c>
      <c r="BH107" s="1704" t="s">
        <v>561</v>
      </c>
      <c r="BI107" s="1704" t="s">
        <v>561</v>
      </c>
      <c r="BJ107" s="1671">
        <v>224800</v>
      </c>
      <c r="BK107" s="1671">
        <v>224800</v>
      </c>
      <c r="BL107" s="1671">
        <v>267500</v>
      </c>
      <c r="BM107" s="1671">
        <v>267500</v>
      </c>
      <c r="BN107" s="1671">
        <v>319600</v>
      </c>
      <c r="BO107" s="1671">
        <v>393300</v>
      </c>
      <c r="BP107" s="1671">
        <v>489800</v>
      </c>
      <c r="BQ107" s="1704" t="s">
        <v>561</v>
      </c>
      <c r="BR107" s="1704" t="s">
        <v>561</v>
      </c>
      <c r="BS107" s="1671">
        <v>552200</v>
      </c>
      <c r="BT107" s="1704" t="s">
        <v>561</v>
      </c>
      <c r="BU107" s="1704" t="s">
        <v>561</v>
      </c>
    </row>
    <row r="108" spans="1:73" ht="18.5">
      <c r="A108" s="1695">
        <v>95</v>
      </c>
      <c r="B108" s="1671">
        <v>262100</v>
      </c>
      <c r="C108" s="1671">
        <v>262100</v>
      </c>
      <c r="D108" s="1671">
        <v>307200</v>
      </c>
      <c r="E108" s="1671">
        <v>307200</v>
      </c>
      <c r="F108" s="1671">
        <v>402600</v>
      </c>
      <c r="G108" s="1671">
        <v>504800</v>
      </c>
      <c r="H108" s="1671">
        <v>675400</v>
      </c>
      <c r="I108" s="1706" t="s">
        <v>561</v>
      </c>
      <c r="J108" s="1706" t="s">
        <v>561</v>
      </c>
      <c r="K108" s="1671">
        <v>947100</v>
      </c>
      <c r="L108" s="1706" t="s">
        <v>561</v>
      </c>
      <c r="M108" s="1706" t="s">
        <v>561</v>
      </c>
      <c r="N108" s="1671">
        <v>293000</v>
      </c>
      <c r="O108" s="1671">
        <v>293000</v>
      </c>
      <c r="P108" s="1671">
        <v>342500</v>
      </c>
      <c r="Q108" s="1671">
        <v>342500</v>
      </c>
      <c r="R108" s="1671">
        <v>446200</v>
      </c>
      <c r="S108" s="1671">
        <v>557700</v>
      </c>
      <c r="T108" s="1671">
        <v>694200</v>
      </c>
      <c r="U108" s="1706" t="s">
        <v>561</v>
      </c>
      <c r="V108" s="1706" t="s">
        <v>561</v>
      </c>
      <c r="W108" s="1671">
        <v>885900</v>
      </c>
      <c r="X108" s="1706" t="s">
        <v>561</v>
      </c>
      <c r="Y108" s="1706" t="s">
        <v>561</v>
      </c>
      <c r="Z108" s="1671">
        <v>209600</v>
      </c>
      <c r="AA108" s="1671">
        <v>209600</v>
      </c>
      <c r="AB108" s="1671">
        <v>245700</v>
      </c>
      <c r="AC108" s="1671">
        <v>245700</v>
      </c>
      <c r="AD108" s="1671">
        <v>322000</v>
      </c>
      <c r="AE108" s="1671">
        <v>403800</v>
      </c>
      <c r="AF108" s="1671">
        <v>540300</v>
      </c>
      <c r="AG108" s="1704" t="s">
        <v>561</v>
      </c>
      <c r="AH108" s="1704" t="s">
        <v>561</v>
      </c>
      <c r="AI108" s="1671">
        <v>757600</v>
      </c>
      <c r="AJ108" s="1704" t="s">
        <v>561</v>
      </c>
      <c r="AK108" s="1704" t="s">
        <v>561</v>
      </c>
      <c r="AL108" s="1671">
        <v>234400</v>
      </c>
      <c r="AM108" s="1671">
        <v>234400</v>
      </c>
      <c r="AN108" s="1671">
        <v>274000</v>
      </c>
      <c r="AO108" s="1671">
        <v>274000</v>
      </c>
      <c r="AP108" s="1671">
        <v>356900</v>
      </c>
      <c r="AQ108" s="1671">
        <v>446100</v>
      </c>
      <c r="AR108" s="1671">
        <v>555300</v>
      </c>
      <c r="AS108" s="1704" t="s">
        <v>561</v>
      </c>
      <c r="AT108" s="1704" t="s">
        <v>561</v>
      </c>
      <c r="AU108" s="1671">
        <v>708700</v>
      </c>
      <c r="AV108" s="1704" t="s">
        <v>561</v>
      </c>
      <c r="AW108" s="1704" t="s">
        <v>561</v>
      </c>
      <c r="AX108" s="1671">
        <v>202900</v>
      </c>
      <c r="AY108" s="1671">
        <v>202900</v>
      </c>
      <c r="AZ108" s="1671">
        <v>242400</v>
      </c>
      <c r="BA108" s="1671">
        <v>242400</v>
      </c>
      <c r="BB108" s="1671">
        <v>291600</v>
      </c>
      <c r="BC108" s="1671">
        <v>361200</v>
      </c>
      <c r="BD108" s="1671">
        <v>494500</v>
      </c>
      <c r="BE108" s="1704" t="s">
        <v>561</v>
      </c>
      <c r="BF108" s="1704" t="s">
        <v>561</v>
      </c>
      <c r="BG108" s="1671">
        <v>623300</v>
      </c>
      <c r="BH108" s="1704" t="s">
        <v>561</v>
      </c>
      <c r="BI108" s="1704" t="s">
        <v>561</v>
      </c>
      <c r="BJ108" s="1671">
        <v>229100</v>
      </c>
      <c r="BK108" s="1671">
        <v>229100</v>
      </c>
      <c r="BL108" s="1671">
        <v>272600</v>
      </c>
      <c r="BM108" s="1671">
        <v>272600</v>
      </c>
      <c r="BN108" s="1671">
        <v>325800</v>
      </c>
      <c r="BO108" s="1671">
        <v>401100</v>
      </c>
      <c r="BP108" s="1671">
        <v>498700</v>
      </c>
      <c r="BQ108" s="1704" t="s">
        <v>561</v>
      </c>
      <c r="BR108" s="1704" t="s">
        <v>561</v>
      </c>
      <c r="BS108" s="1671">
        <v>560900</v>
      </c>
      <c r="BT108" s="1704" t="s">
        <v>561</v>
      </c>
      <c r="BU108" s="1704" t="s">
        <v>561</v>
      </c>
    </row>
    <row r="109" spans="1:73" ht="18.5">
      <c r="A109" s="1705">
        <v>96</v>
      </c>
      <c r="B109" s="1671">
        <v>269800</v>
      </c>
      <c r="C109" s="1671">
        <v>269800</v>
      </c>
      <c r="D109" s="1671">
        <v>316400</v>
      </c>
      <c r="E109" s="1671">
        <v>316400</v>
      </c>
      <c r="F109" s="1671">
        <v>414700</v>
      </c>
      <c r="G109" s="1671">
        <v>520200</v>
      </c>
      <c r="H109" s="1671">
        <v>696300</v>
      </c>
      <c r="I109" s="1706" t="s">
        <v>561</v>
      </c>
      <c r="J109" s="1706" t="s">
        <v>561</v>
      </c>
      <c r="K109" s="1671">
        <v>970900</v>
      </c>
      <c r="L109" s="1706" t="s">
        <v>561</v>
      </c>
      <c r="M109" s="1706" t="s">
        <v>561</v>
      </c>
      <c r="N109" s="1671">
        <v>298800</v>
      </c>
      <c r="O109" s="1671">
        <v>298800</v>
      </c>
      <c r="P109" s="1671">
        <v>349400</v>
      </c>
      <c r="Q109" s="1671">
        <v>349400</v>
      </c>
      <c r="R109" s="1671">
        <v>455300</v>
      </c>
      <c r="S109" s="1671">
        <v>569200</v>
      </c>
      <c r="T109" s="1671">
        <v>708000</v>
      </c>
      <c r="U109" s="1706" t="s">
        <v>561</v>
      </c>
      <c r="V109" s="1706" t="s">
        <v>561</v>
      </c>
      <c r="W109" s="1671">
        <v>901800</v>
      </c>
      <c r="X109" s="1706" t="s">
        <v>561</v>
      </c>
      <c r="Y109" s="1706" t="s">
        <v>561</v>
      </c>
      <c r="Z109" s="1671">
        <v>215800</v>
      </c>
      <c r="AA109" s="1671">
        <v>215800</v>
      </c>
      <c r="AB109" s="1671">
        <v>253100</v>
      </c>
      <c r="AC109" s="1671">
        <v>253100</v>
      </c>
      <c r="AD109" s="1671">
        <v>331700</v>
      </c>
      <c r="AE109" s="1671">
        <v>416100</v>
      </c>
      <c r="AF109" s="1671">
        <v>557000</v>
      </c>
      <c r="AG109" s="1704" t="s">
        <v>561</v>
      </c>
      <c r="AH109" s="1704" t="s">
        <v>561</v>
      </c>
      <c r="AI109" s="1671">
        <v>776700</v>
      </c>
      <c r="AJ109" s="1704" t="s">
        <v>561</v>
      </c>
      <c r="AK109" s="1704" t="s">
        <v>561</v>
      </c>
      <c r="AL109" s="1671">
        <v>239000</v>
      </c>
      <c r="AM109" s="1671">
        <v>239000</v>
      </c>
      <c r="AN109" s="1671">
        <v>279500</v>
      </c>
      <c r="AO109" s="1671">
        <v>279500</v>
      </c>
      <c r="AP109" s="1671">
        <v>364200</v>
      </c>
      <c r="AQ109" s="1671">
        <v>455300</v>
      </c>
      <c r="AR109" s="1671">
        <v>566400</v>
      </c>
      <c r="AS109" s="1704" t="s">
        <v>561</v>
      </c>
      <c r="AT109" s="1704" t="s">
        <v>561</v>
      </c>
      <c r="AU109" s="1671">
        <v>721400</v>
      </c>
      <c r="AV109" s="1704" t="s">
        <v>561</v>
      </c>
      <c r="AW109" s="1704" t="s">
        <v>561</v>
      </c>
      <c r="AX109" s="1671">
        <v>208600</v>
      </c>
      <c r="AY109" s="1671">
        <v>208600</v>
      </c>
      <c r="AZ109" s="1671">
        <v>249200</v>
      </c>
      <c r="BA109" s="1671">
        <v>249200</v>
      </c>
      <c r="BB109" s="1671">
        <v>299800</v>
      </c>
      <c r="BC109" s="1671">
        <v>371700</v>
      </c>
      <c r="BD109" s="1671">
        <v>508900</v>
      </c>
      <c r="BE109" s="1704" t="s">
        <v>561</v>
      </c>
      <c r="BF109" s="1704" t="s">
        <v>561</v>
      </c>
      <c r="BG109" s="1671">
        <v>636900</v>
      </c>
      <c r="BH109" s="1704" t="s">
        <v>561</v>
      </c>
      <c r="BI109" s="1704" t="s">
        <v>561</v>
      </c>
      <c r="BJ109" s="1671">
        <v>233300</v>
      </c>
      <c r="BK109" s="1671">
        <v>233300</v>
      </c>
      <c r="BL109" s="1671">
        <v>277800</v>
      </c>
      <c r="BM109" s="1671">
        <v>277800</v>
      </c>
      <c r="BN109" s="1671">
        <v>332000</v>
      </c>
      <c r="BO109" s="1671">
        <v>408900</v>
      </c>
      <c r="BP109" s="1671">
        <v>507700</v>
      </c>
      <c r="BQ109" s="1704" t="s">
        <v>561</v>
      </c>
      <c r="BR109" s="1704" t="s">
        <v>561</v>
      </c>
      <c r="BS109" s="1671">
        <v>569500</v>
      </c>
      <c r="BT109" s="1704" t="s">
        <v>561</v>
      </c>
      <c r="BU109" s="1704" t="s">
        <v>561</v>
      </c>
    </row>
    <row r="110" spans="1:73" ht="18.5">
      <c r="A110" s="1705">
        <v>97</v>
      </c>
      <c r="B110" s="1671">
        <v>277500</v>
      </c>
      <c r="C110" s="1671">
        <v>277500</v>
      </c>
      <c r="D110" s="1671">
        <v>325600</v>
      </c>
      <c r="E110" s="1671">
        <v>325600</v>
      </c>
      <c r="F110" s="1671">
        <v>426800</v>
      </c>
      <c r="G110" s="1671">
        <v>535500</v>
      </c>
      <c r="H110" s="1671">
        <v>717200</v>
      </c>
      <c r="I110" s="1706" t="s">
        <v>561</v>
      </c>
      <c r="J110" s="1706" t="s">
        <v>561</v>
      </c>
      <c r="K110" s="1671">
        <v>994600</v>
      </c>
      <c r="L110" s="1706" t="s">
        <v>561</v>
      </c>
      <c r="M110" s="1706" t="s">
        <v>561</v>
      </c>
      <c r="N110" s="1671">
        <v>304600</v>
      </c>
      <c r="O110" s="1671">
        <v>304600</v>
      </c>
      <c r="P110" s="1671">
        <v>356300</v>
      </c>
      <c r="Q110" s="1671">
        <v>356300</v>
      </c>
      <c r="R110" s="1671">
        <v>464400</v>
      </c>
      <c r="S110" s="1671">
        <v>580700</v>
      </c>
      <c r="T110" s="1671">
        <v>721700</v>
      </c>
      <c r="U110" s="1706" t="s">
        <v>561</v>
      </c>
      <c r="V110" s="1706" t="s">
        <v>561</v>
      </c>
      <c r="W110" s="1671">
        <v>917700</v>
      </c>
      <c r="X110" s="1706" t="s">
        <v>561</v>
      </c>
      <c r="Y110" s="1706" t="s">
        <v>561</v>
      </c>
      <c r="Z110" s="1671">
        <v>222000</v>
      </c>
      <c r="AA110" s="1671">
        <v>222000</v>
      </c>
      <c r="AB110" s="1671">
        <v>260400</v>
      </c>
      <c r="AC110" s="1671">
        <v>260400</v>
      </c>
      <c r="AD110" s="1671">
        <v>341400</v>
      </c>
      <c r="AE110" s="1671">
        <v>428400</v>
      </c>
      <c r="AF110" s="1671">
        <v>573700</v>
      </c>
      <c r="AG110" s="1704" t="s">
        <v>561</v>
      </c>
      <c r="AH110" s="1704" t="s">
        <v>561</v>
      </c>
      <c r="AI110" s="1671">
        <v>795600</v>
      </c>
      <c r="AJ110" s="1704" t="s">
        <v>561</v>
      </c>
      <c r="AK110" s="1704" t="s">
        <v>561</v>
      </c>
      <c r="AL110" s="1671">
        <v>243600</v>
      </c>
      <c r="AM110" s="1671">
        <v>243600</v>
      </c>
      <c r="AN110" s="1671">
        <v>285000</v>
      </c>
      <c r="AO110" s="1671">
        <v>285000</v>
      </c>
      <c r="AP110" s="1671">
        <v>371500</v>
      </c>
      <c r="AQ110" s="1671">
        <v>464500</v>
      </c>
      <c r="AR110" s="1671">
        <v>577300</v>
      </c>
      <c r="AS110" s="1704" t="s">
        <v>561</v>
      </c>
      <c r="AT110" s="1704" t="s">
        <v>561</v>
      </c>
      <c r="AU110" s="1671">
        <v>734100</v>
      </c>
      <c r="AV110" s="1704" t="s">
        <v>561</v>
      </c>
      <c r="AW110" s="1704" t="s">
        <v>561</v>
      </c>
      <c r="AX110" s="1671">
        <v>214200</v>
      </c>
      <c r="AY110" s="1671">
        <v>214200</v>
      </c>
      <c r="AZ110" s="1671">
        <v>256100</v>
      </c>
      <c r="BA110" s="1671">
        <v>256100</v>
      </c>
      <c r="BB110" s="1671">
        <v>308100</v>
      </c>
      <c r="BC110" s="1671">
        <v>382100</v>
      </c>
      <c r="BD110" s="1671">
        <v>523200</v>
      </c>
      <c r="BE110" s="1704" t="s">
        <v>561</v>
      </c>
      <c r="BF110" s="1704" t="s">
        <v>561</v>
      </c>
      <c r="BG110" s="1671">
        <v>650500</v>
      </c>
      <c r="BH110" s="1704" t="s">
        <v>561</v>
      </c>
      <c r="BI110" s="1704" t="s">
        <v>561</v>
      </c>
      <c r="BJ110" s="1671">
        <v>237500</v>
      </c>
      <c r="BK110" s="1671">
        <v>237500</v>
      </c>
      <c r="BL110" s="1671">
        <v>282900</v>
      </c>
      <c r="BM110" s="1671">
        <v>282900</v>
      </c>
      <c r="BN110" s="1671">
        <v>338200</v>
      </c>
      <c r="BO110" s="1671">
        <v>416800</v>
      </c>
      <c r="BP110" s="1671">
        <v>516700</v>
      </c>
      <c r="BQ110" s="1704" t="s">
        <v>561</v>
      </c>
      <c r="BR110" s="1704" t="s">
        <v>561</v>
      </c>
      <c r="BS110" s="1671">
        <v>578200</v>
      </c>
      <c r="BT110" s="1704" t="s">
        <v>561</v>
      </c>
      <c r="BU110" s="1704" t="s">
        <v>561</v>
      </c>
    </row>
    <row r="111" spans="1:73" ht="18.5">
      <c r="A111" s="1695">
        <v>98</v>
      </c>
      <c r="B111" s="1671">
        <v>285200</v>
      </c>
      <c r="C111" s="1671">
        <v>285200</v>
      </c>
      <c r="D111" s="1671">
        <v>334900</v>
      </c>
      <c r="E111" s="1671">
        <v>334900</v>
      </c>
      <c r="F111" s="1671">
        <v>439000</v>
      </c>
      <c r="G111" s="1671">
        <v>550900</v>
      </c>
      <c r="H111" s="1671">
        <v>738100</v>
      </c>
      <c r="I111" s="1706" t="s">
        <v>561</v>
      </c>
      <c r="J111" s="1706" t="s">
        <v>561</v>
      </c>
      <c r="K111" s="1671">
        <v>1018400</v>
      </c>
      <c r="L111" s="1706" t="s">
        <v>561</v>
      </c>
      <c r="M111" s="1706" t="s">
        <v>561</v>
      </c>
      <c r="N111" s="1671">
        <v>310400</v>
      </c>
      <c r="O111" s="1671">
        <v>310400</v>
      </c>
      <c r="P111" s="1671">
        <v>363200</v>
      </c>
      <c r="Q111" s="1671">
        <v>363200</v>
      </c>
      <c r="R111" s="1671">
        <v>473500</v>
      </c>
      <c r="S111" s="1671">
        <v>592300</v>
      </c>
      <c r="T111" s="1671">
        <v>735500</v>
      </c>
      <c r="U111" s="1706" t="s">
        <v>561</v>
      </c>
      <c r="V111" s="1706" t="s">
        <v>561</v>
      </c>
      <c r="W111" s="1671">
        <v>933700</v>
      </c>
      <c r="X111" s="1706" t="s">
        <v>561</v>
      </c>
      <c r="Y111" s="1706" t="s">
        <v>561</v>
      </c>
      <c r="Z111" s="1671">
        <v>228100</v>
      </c>
      <c r="AA111" s="1671">
        <v>228100</v>
      </c>
      <c r="AB111" s="1671">
        <v>267900</v>
      </c>
      <c r="AC111" s="1671">
        <v>267900</v>
      </c>
      <c r="AD111" s="1671">
        <v>351200</v>
      </c>
      <c r="AE111" s="1671">
        <v>440700</v>
      </c>
      <c r="AF111" s="1671">
        <v>590400</v>
      </c>
      <c r="AG111" s="1704" t="s">
        <v>561</v>
      </c>
      <c r="AH111" s="1704" t="s">
        <v>561</v>
      </c>
      <c r="AI111" s="1671">
        <v>814700</v>
      </c>
      <c r="AJ111" s="1704" t="s">
        <v>561</v>
      </c>
      <c r="AK111" s="1704" t="s">
        <v>561</v>
      </c>
      <c r="AL111" s="1671">
        <v>248300</v>
      </c>
      <c r="AM111" s="1671">
        <v>248300</v>
      </c>
      <c r="AN111" s="1671">
        <v>290500</v>
      </c>
      <c r="AO111" s="1671">
        <v>290500</v>
      </c>
      <c r="AP111" s="1671">
        <v>378800</v>
      </c>
      <c r="AQ111" s="1671">
        <v>473800</v>
      </c>
      <c r="AR111" s="1671">
        <v>588400</v>
      </c>
      <c r="AS111" s="1704" t="s">
        <v>561</v>
      </c>
      <c r="AT111" s="1704" t="s">
        <v>561</v>
      </c>
      <c r="AU111" s="1671">
        <v>746900</v>
      </c>
      <c r="AV111" s="1704" t="s">
        <v>561</v>
      </c>
      <c r="AW111" s="1704" t="s">
        <v>561</v>
      </c>
      <c r="AX111" s="1671">
        <v>219800</v>
      </c>
      <c r="AY111" s="1671">
        <v>219800</v>
      </c>
      <c r="AZ111" s="1671">
        <v>263000</v>
      </c>
      <c r="BA111" s="1671">
        <v>263000</v>
      </c>
      <c r="BB111" s="1671">
        <v>316300</v>
      </c>
      <c r="BC111" s="1671">
        <v>392500</v>
      </c>
      <c r="BD111" s="1671">
        <v>537600</v>
      </c>
      <c r="BE111" s="1704" t="s">
        <v>561</v>
      </c>
      <c r="BF111" s="1704" t="s">
        <v>561</v>
      </c>
      <c r="BG111" s="1671">
        <v>664000</v>
      </c>
      <c r="BH111" s="1704" t="s">
        <v>561</v>
      </c>
      <c r="BI111" s="1704" t="s">
        <v>561</v>
      </c>
      <c r="BJ111" s="1671">
        <v>241700</v>
      </c>
      <c r="BK111" s="1671">
        <v>241700</v>
      </c>
      <c r="BL111" s="1671">
        <v>288100</v>
      </c>
      <c r="BM111" s="1671">
        <v>288100</v>
      </c>
      <c r="BN111" s="1671">
        <v>344400</v>
      </c>
      <c r="BO111" s="1671">
        <v>424600</v>
      </c>
      <c r="BP111" s="1671">
        <v>525600</v>
      </c>
      <c r="BQ111" s="1704" t="s">
        <v>561</v>
      </c>
      <c r="BR111" s="1704" t="s">
        <v>561</v>
      </c>
      <c r="BS111" s="1671">
        <v>586900</v>
      </c>
      <c r="BT111" s="1704" t="s">
        <v>561</v>
      </c>
      <c r="BU111" s="1704" t="s">
        <v>561</v>
      </c>
    </row>
  </sheetData>
  <pageMargins left="0.7" right="0.7" top="0.75" bottom="0.75" header="0.3" footer="0.3"/>
  <pageSetup paperSize="9" orientation="portrait" horizontalDpi="300" verticalDpi="300" r:id="rId1"/>
  <headerFooter>
    <oddFooter>&amp;C&amp;1#&amp;"Calibri"&amp;10&amp;K000000Internal</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A32FA-C323-4D2B-A996-ACA2053969B4}">
  <sheetPr codeName="Sheet30"/>
  <dimension ref="D2:K22"/>
  <sheetViews>
    <sheetView showGridLines="0" zoomScale="145" zoomScaleNormal="145" workbookViewId="0">
      <selection activeCell="E4" sqref="E4:E5"/>
    </sheetView>
  </sheetViews>
  <sheetFormatPr defaultColWidth="9.09765625" defaultRowHeight="21.5"/>
  <cols>
    <col min="1" max="3" width="9.09765625" style="861"/>
    <col min="4" max="4" width="20.69921875" style="861" customWidth="1"/>
    <col min="5" max="5" width="39.69921875" style="861" customWidth="1"/>
    <col min="6" max="6" width="32.69921875" style="861" customWidth="1"/>
    <col min="7" max="16384" width="9.09765625" style="861"/>
  </cols>
  <sheetData>
    <row r="2" spans="4:11" ht="29.5">
      <c r="E2" s="882" t="s">
        <v>1087</v>
      </c>
    </row>
    <row r="3" spans="4:11">
      <c r="K3" s="883" t="s">
        <v>1084</v>
      </c>
    </row>
    <row r="4" spans="4:11" ht="26">
      <c r="D4" s="884" t="s">
        <v>1088</v>
      </c>
      <c r="E4" s="891"/>
      <c r="F4" s="892" t="str">
        <f>IF(E4="","",IF(#REF!=0,"คุณใส่ User Name ไม่ถูกต้อง",""))</f>
        <v/>
      </c>
    </row>
    <row r="5" spans="4:11" ht="26">
      <c r="D5" s="884" t="s">
        <v>1089</v>
      </c>
      <c r="E5" s="893"/>
      <c r="F5" s="892" t="str">
        <f>IF(E4="","",IF(F4&lt;&gt;"","กรุณาใส่ User Name ให้ถูกต้อง",IF(E5="","กรุณาใส่ Password",IF(#REF!="NO","คุณใส่ Password ไม่ถูกต้อง",""))))</f>
        <v/>
      </c>
    </row>
    <row r="6" spans="4:11" ht="27.5">
      <c r="D6" s="885"/>
      <c r="E6" s="894" t="e">
        <f>IF(E10="Login Complete","","กรุณากรอก Username / Password เพื่อเริ่มใช้งาน")</f>
        <v>#REF!</v>
      </c>
    </row>
    <row r="7" spans="4:11" ht="57" customHeight="1">
      <c r="D7" s="885"/>
      <c r="E7" s="885"/>
      <c r="F7" s="886"/>
    </row>
    <row r="8" spans="4:11" ht="54" customHeight="1">
      <c r="D8" s="895" t="s">
        <v>1085</v>
      </c>
      <c r="E8" s="896" t="e">
        <f>IF(AND(F4="",F5=""),VLOOKUP($E4,#REF!,2,FALSE),"N/A")</f>
        <v>#REF!</v>
      </c>
      <c r="F8" s="886"/>
    </row>
    <row r="9" spans="4:11" ht="3.75" customHeight="1">
      <c r="D9" s="883" t="s">
        <v>1083</v>
      </c>
    </row>
    <row r="10" spans="4:11" ht="51.75" customHeight="1">
      <c r="D10" s="883" t="s">
        <v>1086</v>
      </c>
      <c r="E10" s="887" t="e">
        <f>IF(#REF!="YES","Login Complete","")</f>
        <v>#REF!</v>
      </c>
    </row>
    <row r="15" spans="4:11">
      <c r="D15" s="888"/>
      <c r="E15" s="888"/>
      <c r="F15" s="888"/>
    </row>
    <row r="16" spans="4:11">
      <c r="D16" s="889"/>
      <c r="E16" s="890"/>
      <c r="F16" s="888"/>
    </row>
    <row r="17" spans="4:6">
      <c r="D17" s="888"/>
      <c r="E17" s="888"/>
      <c r="F17" s="888"/>
    </row>
    <row r="18" spans="4:6">
      <c r="D18" s="888"/>
      <c r="E18" s="888"/>
      <c r="F18" s="888"/>
    </row>
    <row r="19" spans="4:6">
      <c r="D19" s="888"/>
      <c r="E19" s="888"/>
      <c r="F19" s="888"/>
    </row>
    <row r="20" spans="4:6">
      <c r="D20" s="888"/>
      <c r="E20" s="888"/>
      <c r="F20" s="888"/>
    </row>
    <row r="21" spans="4:6">
      <c r="D21" s="888"/>
      <c r="E21" s="888"/>
      <c r="F21" s="888"/>
    </row>
    <row r="22" spans="4:6">
      <c r="D22" s="888"/>
      <c r="E22" s="888"/>
      <c r="F22" s="888"/>
    </row>
  </sheetData>
  <sheetProtection algorithmName="SHA-512" hashValue="FXtBzJ1g2C5v6OOMCaoQPRQyecAGp0pJ/mcmDdf/Mp4gTI9YNVPQfxcOEWivVZMeINHyyaOBS9ge6YmBdrzoYg==" saltValue="Zfg78L8Sw8ABRO/Bp4VOJg==" spinCount="100000" sheet="1" objects="1" scenarios="1"/>
  <conditionalFormatting sqref="E4:E5">
    <cfRule type="expression" dxfId="53" priority="1" stopIfTrue="1">
      <formula>$G$66="Expire"</formula>
    </cfRule>
  </conditionalFormatting>
  <pageMargins left="0.7" right="0.7" top="0.75" bottom="0.75" header="0.3" footer="0.3"/>
  <pageSetup orientation="portrait" r:id="rId1"/>
  <headerFooter>
    <oddFooter>&amp;C&amp;1#&amp;"Calibri"&amp;10&amp;K000000Internal</oddFooter>
  </headerFooter>
  <drawing r:id="rId2"/>
  <legacyDrawing r:id="rId3"/>
  <controls>
    <mc:AlternateContent xmlns:mc="http://schemas.openxmlformats.org/markup-compatibility/2006">
      <mc:Choice Requires="x14">
        <control shapeId="119809" r:id="rId4" name="cmd_Start">
          <controlPr defaultSize="0" autoLine="0" r:id="rId5">
            <anchor moveWithCells="1">
              <from>
                <xdr:col>4</xdr:col>
                <xdr:colOff>266700</xdr:colOff>
                <xdr:row>6</xdr:row>
                <xdr:rowOff>107950</xdr:rowOff>
              </from>
              <to>
                <xdr:col>4</xdr:col>
                <xdr:colOff>2305050</xdr:colOff>
                <xdr:row>6</xdr:row>
                <xdr:rowOff>603250</xdr:rowOff>
              </to>
            </anchor>
          </controlPr>
        </control>
      </mc:Choice>
      <mc:Fallback>
        <control shapeId="119809" r:id="rId4" name="cmd_Start"/>
      </mc:Fallback>
    </mc:AlternateContent>
  </control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F2BA0-9D7A-473A-AAB5-199645923618}">
  <sheetPr codeName="Sheet35">
    <tabColor rgb="FFFFFF00"/>
  </sheetPr>
  <dimension ref="A1:G53"/>
  <sheetViews>
    <sheetView showGridLines="0" topLeftCell="A40" workbookViewId="0">
      <selection activeCell="K12" sqref="K12"/>
    </sheetView>
  </sheetViews>
  <sheetFormatPr defaultRowHeight="21.5"/>
  <cols>
    <col min="1" max="1" width="21.3984375" bestFit="1" customWidth="1"/>
    <col min="2" max="3" width="37.09765625" customWidth="1"/>
    <col min="5" max="5" width="20" customWidth="1"/>
    <col min="6" max="7" width="12.3984375" customWidth="1"/>
  </cols>
  <sheetData>
    <row r="1" spans="1:7" ht="22" thickBot="1">
      <c r="A1" s="1139" t="s">
        <v>1318</v>
      </c>
      <c r="B1" s="1140" t="s">
        <v>1319</v>
      </c>
      <c r="C1" s="1140" t="s">
        <v>1320</v>
      </c>
    </row>
    <row r="2" spans="1:7" ht="60.5" thickBot="1">
      <c r="A2" s="1141" t="s">
        <v>1321</v>
      </c>
      <c r="B2" s="1142" t="s">
        <v>1322</v>
      </c>
      <c r="C2" s="1142" t="s">
        <v>1323</v>
      </c>
    </row>
    <row r="3" spans="1:7" ht="38" thickBot="1">
      <c r="A3" s="1141" t="s">
        <v>1324</v>
      </c>
      <c r="B3" s="1143" t="s">
        <v>1325</v>
      </c>
      <c r="C3" s="1143" t="s">
        <v>1326</v>
      </c>
      <c r="E3" s="1153" t="s">
        <v>1348</v>
      </c>
    </row>
    <row r="4" spans="1:7" ht="22" thickBot="1">
      <c r="A4" s="1141" t="s">
        <v>1327</v>
      </c>
      <c r="B4" s="1144" t="s">
        <v>942</v>
      </c>
      <c r="C4" s="1144" t="s">
        <v>942</v>
      </c>
      <c r="E4" s="1154"/>
    </row>
    <row r="5" spans="1:7" ht="22" thickBot="1">
      <c r="A5" s="1141" t="s">
        <v>1328</v>
      </c>
      <c r="B5" s="1144" t="s">
        <v>942</v>
      </c>
      <c r="C5" s="1144" t="s">
        <v>942</v>
      </c>
      <c r="E5" s="1155" t="s">
        <v>1349</v>
      </c>
    </row>
    <row r="6" spans="1:7" ht="22" thickBot="1">
      <c r="A6" s="1141" t="s">
        <v>1329</v>
      </c>
      <c r="B6" s="1144" t="s">
        <v>569</v>
      </c>
      <c r="C6" s="1144" t="s">
        <v>569</v>
      </c>
      <c r="E6" s="1155"/>
    </row>
    <row r="7" spans="1:7" ht="22" thickBot="1">
      <c r="A7" s="1141" t="s">
        <v>1330</v>
      </c>
      <c r="B7" s="1144" t="s">
        <v>1331</v>
      </c>
      <c r="C7" s="1144" t="s">
        <v>1331</v>
      </c>
      <c r="E7" s="1155"/>
    </row>
    <row r="8" spans="1:7" ht="35" thickBot="1">
      <c r="A8" s="1141" t="s">
        <v>1332</v>
      </c>
      <c r="B8" s="1145" t="s">
        <v>1333</v>
      </c>
      <c r="C8" s="1145" t="s">
        <v>1334</v>
      </c>
      <c r="E8" s="1156" t="s">
        <v>1350</v>
      </c>
      <c r="F8" s="1157" t="s">
        <v>1169</v>
      </c>
      <c r="G8" s="1157" t="s">
        <v>1351</v>
      </c>
    </row>
    <row r="9" spans="1:7" ht="46.5" thickBot="1">
      <c r="A9" s="1141" t="s">
        <v>1335</v>
      </c>
      <c r="B9" s="1144" t="s">
        <v>1336</v>
      </c>
      <c r="C9" s="1144" t="s">
        <v>1336</v>
      </c>
      <c r="E9" s="1158" t="s">
        <v>1352</v>
      </c>
      <c r="F9" s="1159" t="s">
        <v>1319</v>
      </c>
      <c r="G9" s="1159" t="s">
        <v>1353</v>
      </c>
    </row>
    <row r="10" spans="1:7" ht="58" thickBot="1">
      <c r="A10" s="1146" t="s">
        <v>1337</v>
      </c>
      <c r="B10" s="1148" t="s">
        <v>1339</v>
      </c>
      <c r="C10" s="1148" t="s">
        <v>1339</v>
      </c>
      <c r="E10" s="1158" t="s">
        <v>1354</v>
      </c>
      <c r="F10" s="1159" t="s">
        <v>1320</v>
      </c>
      <c r="G10" s="1159" t="s">
        <v>1355</v>
      </c>
    </row>
    <row r="11" spans="1:7">
      <c r="A11" s="1146" t="s">
        <v>1338</v>
      </c>
      <c r="B11" s="1149" t="s">
        <v>1340</v>
      </c>
      <c r="C11" s="1149" t="s">
        <v>1340</v>
      </c>
      <c r="E11" s="1154"/>
    </row>
    <row r="12" spans="1:7" ht="22" thickBot="1">
      <c r="A12" s="1147"/>
      <c r="B12" s="1150" t="s">
        <v>1341</v>
      </c>
      <c r="C12" s="1150" t="s">
        <v>1341</v>
      </c>
      <c r="E12" s="1161" t="s">
        <v>1356</v>
      </c>
    </row>
    <row r="13" spans="1:7">
      <c r="A13" s="2027" t="s">
        <v>1342</v>
      </c>
      <c r="B13" s="1148" t="s">
        <v>1339</v>
      </c>
      <c r="C13" s="1148" t="s">
        <v>1339</v>
      </c>
      <c r="E13" s="1160" t="s">
        <v>1357</v>
      </c>
    </row>
    <row r="14" spans="1:7">
      <c r="A14" s="2028"/>
      <c r="B14" s="1149" t="s">
        <v>1340</v>
      </c>
      <c r="C14" s="1149" t="s">
        <v>1340</v>
      </c>
      <c r="E14" s="1162" t="s">
        <v>1358</v>
      </c>
    </row>
    <row r="15" spans="1:7" ht="22" thickBot="1">
      <c r="A15" s="2029"/>
      <c r="B15" s="1150" t="s">
        <v>1341</v>
      </c>
      <c r="C15" s="1150" t="s">
        <v>1341</v>
      </c>
      <c r="E15" s="1162" t="s">
        <v>1359</v>
      </c>
    </row>
    <row r="16" spans="1:7" ht="25.5" thickBot="1">
      <c r="A16" s="1141" t="s">
        <v>1343</v>
      </c>
      <c r="B16" s="1143" t="s">
        <v>1344</v>
      </c>
      <c r="C16" s="1143" t="s">
        <v>1344</v>
      </c>
    </row>
    <row r="17" spans="1:3" ht="25">
      <c r="A17" s="1146" t="s">
        <v>1345</v>
      </c>
      <c r="B17" s="2030" t="s">
        <v>1347</v>
      </c>
      <c r="C17" s="2030" t="s">
        <v>1347</v>
      </c>
    </row>
    <row r="18" spans="1:3" ht="25.5" thickBot="1">
      <c r="A18" s="1151" t="s">
        <v>1346</v>
      </c>
      <c r="B18" s="2031"/>
      <c r="C18" s="2031"/>
    </row>
    <row r="31" spans="1:3">
      <c r="A31" s="1163" t="s">
        <v>1360</v>
      </c>
    </row>
    <row r="52" spans="2:4" ht="22" thickBot="1"/>
    <row r="53" spans="2:4" ht="22" thickBot="1">
      <c r="B53" s="1251" t="s">
        <v>1343</v>
      </c>
      <c r="C53" s="1252" t="s">
        <v>1344</v>
      </c>
      <c r="D53" s="1253" t="s">
        <v>1473</v>
      </c>
    </row>
  </sheetData>
  <mergeCells count="3">
    <mergeCell ref="A13:A15"/>
    <mergeCell ref="B17:B18"/>
    <mergeCell ref="C17:C18"/>
  </mergeCells>
  <hyperlinks>
    <hyperlink ref="E12" location="_Appendix_2:_Premium" display="_Appendix_2:_Premium" xr:uid="{296AEBD4-5A9D-4311-959A-AB890445222B}"/>
  </hyperlinks>
  <pageMargins left="0.7" right="0.7" top="0.75" bottom="0.75" header="0.3" footer="0.3"/>
  <pageSetup paperSize="9" orientation="portrait" horizontalDpi="1200" verticalDpi="1200" r:id="rId1"/>
  <headerFooter>
    <oddFooter>&amp;C&amp;1#&amp;"Calibri"&amp;10&amp;K000000Internal</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6F076-6B20-4023-89C3-894C90D09F87}">
  <sheetPr codeName="Sheet36">
    <tabColor rgb="FFFFFF00"/>
  </sheetPr>
  <dimension ref="A1:GX15"/>
  <sheetViews>
    <sheetView workbookViewId="0">
      <selection activeCell="C2" sqref="C2"/>
    </sheetView>
  </sheetViews>
  <sheetFormatPr defaultRowHeight="21.5"/>
  <cols>
    <col min="1" max="1" width="26.796875" customWidth="1"/>
    <col min="6" max="6" width="22" bestFit="1" customWidth="1"/>
  </cols>
  <sheetData>
    <row r="1" spans="1:206">
      <c r="A1" t="s">
        <v>2673</v>
      </c>
      <c r="B1" s="1984" t="s">
        <v>1449</v>
      </c>
      <c r="C1" t="s">
        <v>2674</v>
      </c>
      <c r="D1" t="s">
        <v>2675</v>
      </c>
      <c r="E1" t="s">
        <v>2676</v>
      </c>
      <c r="F1" s="1253" t="s">
        <v>2677</v>
      </c>
      <c r="G1" t="s">
        <v>2678</v>
      </c>
      <c r="H1" t="s">
        <v>2679</v>
      </c>
      <c r="I1" t="s">
        <v>2680</v>
      </c>
      <c r="J1" t="s">
        <v>2681</v>
      </c>
      <c r="K1" t="s">
        <v>2682</v>
      </c>
      <c r="L1" t="s">
        <v>2683</v>
      </c>
      <c r="M1" t="s">
        <v>2684</v>
      </c>
      <c r="N1" t="s">
        <v>2685</v>
      </c>
      <c r="O1" t="s">
        <v>2686</v>
      </c>
      <c r="P1" t="s">
        <v>2687</v>
      </c>
      <c r="Q1" t="s">
        <v>2688</v>
      </c>
      <c r="R1" t="s">
        <v>2689</v>
      </c>
      <c r="S1" t="s">
        <v>2690</v>
      </c>
      <c r="T1" t="s">
        <v>2691</v>
      </c>
      <c r="U1" t="s">
        <v>2692</v>
      </c>
      <c r="V1" t="s">
        <v>2693</v>
      </c>
      <c r="W1" t="s">
        <v>2694</v>
      </c>
      <c r="X1" t="s">
        <v>2695</v>
      </c>
      <c r="Y1" t="s">
        <v>2696</v>
      </c>
      <c r="Z1" t="s">
        <v>2697</v>
      </c>
      <c r="AA1" t="s">
        <v>2698</v>
      </c>
      <c r="AB1" t="s">
        <v>2699</v>
      </c>
      <c r="AC1" t="s">
        <v>2700</v>
      </c>
      <c r="AD1" t="s">
        <v>2701</v>
      </c>
      <c r="AE1" t="s">
        <v>2702</v>
      </c>
      <c r="AF1" t="s">
        <v>2703</v>
      </c>
      <c r="AG1" t="s">
        <v>2704</v>
      </c>
      <c r="AH1" t="s">
        <v>2705</v>
      </c>
      <c r="AI1" t="s">
        <v>2706</v>
      </c>
      <c r="AJ1" t="s">
        <v>2707</v>
      </c>
      <c r="AK1" t="s">
        <v>2708</v>
      </c>
      <c r="AL1" t="s">
        <v>2709</v>
      </c>
      <c r="AM1" t="s">
        <v>2710</v>
      </c>
      <c r="AN1" t="s">
        <v>2711</v>
      </c>
      <c r="AO1" t="s">
        <v>2712</v>
      </c>
      <c r="AP1" t="s">
        <v>2713</v>
      </c>
      <c r="AQ1" t="s">
        <v>2714</v>
      </c>
      <c r="AR1" t="s">
        <v>2715</v>
      </c>
      <c r="AS1" t="s">
        <v>2716</v>
      </c>
      <c r="AT1" t="s">
        <v>2717</v>
      </c>
      <c r="AU1" t="s">
        <v>2718</v>
      </c>
      <c r="AV1" t="s">
        <v>2719</v>
      </c>
      <c r="AW1" t="s">
        <v>2720</v>
      </c>
      <c r="AX1" t="s">
        <v>2721</v>
      </c>
      <c r="AY1" t="s">
        <v>2722</v>
      </c>
      <c r="AZ1" t="s">
        <v>2723</v>
      </c>
      <c r="BA1" t="s">
        <v>2724</v>
      </c>
      <c r="BB1" t="s">
        <v>2725</v>
      </c>
      <c r="BC1" t="s">
        <v>2726</v>
      </c>
      <c r="BD1" t="s">
        <v>2727</v>
      </c>
      <c r="BE1" t="s">
        <v>2728</v>
      </c>
      <c r="BF1" t="s">
        <v>2729</v>
      </c>
      <c r="BG1" t="s">
        <v>2730</v>
      </c>
      <c r="BH1" t="s">
        <v>2731</v>
      </c>
      <c r="BI1" t="s">
        <v>2732</v>
      </c>
      <c r="BJ1" t="s">
        <v>2733</v>
      </c>
      <c r="BK1" t="s">
        <v>2734</v>
      </c>
      <c r="BL1" t="s">
        <v>2735</v>
      </c>
      <c r="BM1" t="s">
        <v>2736</v>
      </c>
      <c r="BN1" t="s">
        <v>2737</v>
      </c>
      <c r="BO1" t="s">
        <v>2738</v>
      </c>
      <c r="BP1" t="s">
        <v>2739</v>
      </c>
      <c r="BQ1" t="s">
        <v>2740</v>
      </c>
      <c r="BR1" t="s">
        <v>2741</v>
      </c>
      <c r="BS1" t="s">
        <v>2742</v>
      </c>
      <c r="BT1" t="s">
        <v>2743</v>
      </c>
      <c r="BU1" t="s">
        <v>2744</v>
      </c>
      <c r="BV1" t="s">
        <v>2745</v>
      </c>
      <c r="BW1" t="s">
        <v>2746</v>
      </c>
      <c r="BX1" t="s">
        <v>2747</v>
      </c>
      <c r="BY1" t="s">
        <v>2748</v>
      </c>
      <c r="BZ1" t="s">
        <v>2749</v>
      </c>
      <c r="CA1" t="s">
        <v>2750</v>
      </c>
      <c r="CB1" t="s">
        <v>2751</v>
      </c>
      <c r="CC1" t="s">
        <v>2752</v>
      </c>
      <c r="CD1" t="s">
        <v>2753</v>
      </c>
      <c r="CE1" t="s">
        <v>2754</v>
      </c>
      <c r="CF1" t="s">
        <v>2755</v>
      </c>
      <c r="CG1" t="s">
        <v>2756</v>
      </c>
      <c r="CH1" t="s">
        <v>2757</v>
      </c>
      <c r="CI1" t="s">
        <v>2758</v>
      </c>
      <c r="CJ1" t="s">
        <v>2759</v>
      </c>
      <c r="CK1" t="s">
        <v>2760</v>
      </c>
      <c r="CL1" t="s">
        <v>2761</v>
      </c>
      <c r="CM1" t="s">
        <v>2762</v>
      </c>
      <c r="CN1" t="s">
        <v>2763</v>
      </c>
      <c r="CO1" t="s">
        <v>2764</v>
      </c>
      <c r="CP1" t="s">
        <v>2765</v>
      </c>
      <c r="CQ1" t="s">
        <v>2766</v>
      </c>
      <c r="CR1" t="s">
        <v>2767</v>
      </c>
      <c r="CS1" t="s">
        <v>2768</v>
      </c>
      <c r="CT1" t="s">
        <v>2769</v>
      </c>
      <c r="CU1" t="s">
        <v>2770</v>
      </c>
      <c r="CV1" t="s">
        <v>2771</v>
      </c>
      <c r="CW1" t="s">
        <v>2772</v>
      </c>
      <c r="CX1" t="s">
        <v>2773</v>
      </c>
      <c r="CY1" t="s">
        <v>2774</v>
      </c>
      <c r="CZ1" t="s">
        <v>2775</v>
      </c>
      <c r="DA1" t="s">
        <v>2776</v>
      </c>
      <c r="DB1" t="s">
        <v>2777</v>
      </c>
      <c r="DC1" t="s">
        <v>2778</v>
      </c>
      <c r="DD1" t="s">
        <v>2779</v>
      </c>
      <c r="DE1" t="s">
        <v>2780</v>
      </c>
      <c r="DF1" t="s">
        <v>2781</v>
      </c>
      <c r="DG1" t="s">
        <v>2782</v>
      </c>
      <c r="DH1" t="s">
        <v>2783</v>
      </c>
      <c r="DI1" t="s">
        <v>2784</v>
      </c>
      <c r="DJ1" t="s">
        <v>2785</v>
      </c>
      <c r="DK1" t="s">
        <v>2786</v>
      </c>
      <c r="DL1" t="s">
        <v>2787</v>
      </c>
      <c r="DM1" t="s">
        <v>2788</v>
      </c>
      <c r="DN1" t="s">
        <v>2789</v>
      </c>
      <c r="DO1" t="s">
        <v>2790</v>
      </c>
      <c r="DP1" t="s">
        <v>2791</v>
      </c>
      <c r="DQ1" t="s">
        <v>2792</v>
      </c>
      <c r="DR1" t="s">
        <v>2793</v>
      </c>
      <c r="DS1" t="s">
        <v>2794</v>
      </c>
      <c r="DT1" t="s">
        <v>2795</v>
      </c>
      <c r="DU1" t="s">
        <v>2796</v>
      </c>
      <c r="DV1" t="s">
        <v>2797</v>
      </c>
      <c r="DW1" t="s">
        <v>2798</v>
      </c>
      <c r="DX1" t="s">
        <v>2799</v>
      </c>
      <c r="DY1" t="s">
        <v>2800</v>
      </c>
      <c r="DZ1" t="s">
        <v>2801</v>
      </c>
      <c r="EA1" t="s">
        <v>2802</v>
      </c>
      <c r="EB1" t="s">
        <v>2803</v>
      </c>
      <c r="EC1" t="s">
        <v>2804</v>
      </c>
      <c r="ED1" t="s">
        <v>2805</v>
      </c>
      <c r="EE1" t="s">
        <v>2806</v>
      </c>
      <c r="EF1" t="s">
        <v>2807</v>
      </c>
      <c r="EG1" t="s">
        <v>2808</v>
      </c>
      <c r="EH1" t="s">
        <v>2809</v>
      </c>
      <c r="EI1" t="s">
        <v>2810</v>
      </c>
      <c r="EJ1" t="s">
        <v>2811</v>
      </c>
      <c r="EK1" t="s">
        <v>2812</v>
      </c>
      <c r="EL1" t="s">
        <v>2813</v>
      </c>
      <c r="EM1" t="s">
        <v>2814</v>
      </c>
      <c r="EN1" t="s">
        <v>2815</v>
      </c>
      <c r="EO1" t="s">
        <v>2816</v>
      </c>
      <c r="EP1" t="s">
        <v>2817</v>
      </c>
      <c r="EQ1" t="s">
        <v>2818</v>
      </c>
      <c r="ER1" t="s">
        <v>2819</v>
      </c>
      <c r="ES1" t="s">
        <v>2820</v>
      </c>
      <c r="ET1" t="s">
        <v>2821</v>
      </c>
      <c r="EU1" t="s">
        <v>2822</v>
      </c>
      <c r="EV1" t="s">
        <v>2823</v>
      </c>
      <c r="EW1" t="s">
        <v>2824</v>
      </c>
      <c r="EX1" t="s">
        <v>2825</v>
      </c>
      <c r="EY1" t="s">
        <v>2826</v>
      </c>
      <c r="EZ1" t="s">
        <v>2827</v>
      </c>
      <c r="FA1" t="s">
        <v>2828</v>
      </c>
      <c r="FB1" t="s">
        <v>2829</v>
      </c>
      <c r="FC1" t="s">
        <v>2830</v>
      </c>
      <c r="FD1" t="s">
        <v>2831</v>
      </c>
      <c r="FE1" t="s">
        <v>2832</v>
      </c>
      <c r="FF1" t="s">
        <v>2833</v>
      </c>
      <c r="FG1" t="s">
        <v>2834</v>
      </c>
      <c r="FH1" t="s">
        <v>2835</v>
      </c>
      <c r="FI1" t="s">
        <v>2836</v>
      </c>
      <c r="FJ1" t="s">
        <v>2837</v>
      </c>
      <c r="FK1" t="s">
        <v>2838</v>
      </c>
      <c r="FL1" t="s">
        <v>2839</v>
      </c>
      <c r="FM1" t="s">
        <v>2840</v>
      </c>
      <c r="FN1" t="s">
        <v>2841</v>
      </c>
      <c r="FO1" t="s">
        <v>2842</v>
      </c>
      <c r="FP1" t="s">
        <v>2843</v>
      </c>
      <c r="FQ1" t="s">
        <v>2844</v>
      </c>
      <c r="FR1" t="s">
        <v>2845</v>
      </c>
      <c r="FS1" t="s">
        <v>2846</v>
      </c>
      <c r="FT1" t="s">
        <v>2847</v>
      </c>
      <c r="FU1" t="s">
        <v>2848</v>
      </c>
      <c r="FV1" t="s">
        <v>2849</v>
      </c>
      <c r="FW1" t="s">
        <v>2850</v>
      </c>
      <c r="FX1" t="s">
        <v>2851</v>
      </c>
      <c r="FY1" t="s">
        <v>2852</v>
      </c>
      <c r="FZ1" t="s">
        <v>2853</v>
      </c>
      <c r="GA1" t="s">
        <v>2854</v>
      </c>
      <c r="GB1" t="s">
        <v>2855</v>
      </c>
      <c r="GC1" t="s">
        <v>2856</v>
      </c>
      <c r="GD1" t="s">
        <v>2857</v>
      </c>
      <c r="GE1" t="s">
        <v>2858</v>
      </c>
      <c r="GF1" t="s">
        <v>2859</v>
      </c>
      <c r="GG1" t="s">
        <v>2860</v>
      </c>
      <c r="GH1" t="s">
        <v>2861</v>
      </c>
      <c r="GI1" t="s">
        <v>2862</v>
      </c>
      <c r="GJ1" t="s">
        <v>2863</v>
      </c>
      <c r="GK1" t="s">
        <v>2864</v>
      </c>
      <c r="GL1" t="s">
        <v>2865</v>
      </c>
      <c r="GM1" t="s">
        <v>2866</v>
      </c>
      <c r="GN1" t="s">
        <v>2867</v>
      </c>
      <c r="GO1" t="s">
        <v>2868</v>
      </c>
      <c r="GP1" t="s">
        <v>2869</v>
      </c>
      <c r="GQ1" t="s">
        <v>2870</v>
      </c>
      <c r="GR1" t="s">
        <v>2871</v>
      </c>
      <c r="GS1" t="s">
        <v>2872</v>
      </c>
      <c r="GT1" t="s">
        <v>2873</v>
      </c>
      <c r="GU1" t="s">
        <v>2874</v>
      </c>
      <c r="GV1" t="s">
        <v>2875</v>
      </c>
      <c r="GW1" t="s">
        <v>2876</v>
      </c>
      <c r="GX1" t="s">
        <v>2877</v>
      </c>
    </row>
    <row r="2" spans="1:206">
      <c r="A2" t="s">
        <v>2878</v>
      </c>
      <c r="B2" s="1984" t="s">
        <v>2879</v>
      </c>
      <c r="D2">
        <v>1</v>
      </c>
      <c r="E2" t="s">
        <v>14</v>
      </c>
      <c r="F2" t="str">
        <f>A2&amp;"-"&amp;E2</f>
        <v>Major CI-F</v>
      </c>
      <c r="G2" s="1985">
        <v>1.41</v>
      </c>
      <c r="H2" s="1985">
        <v>1.38</v>
      </c>
      <c r="I2" s="1985">
        <v>1.37</v>
      </c>
      <c r="J2" s="1985">
        <v>1.35</v>
      </c>
      <c r="K2" s="1985">
        <v>1.34</v>
      </c>
      <c r="L2" s="1985">
        <v>1.32</v>
      </c>
      <c r="M2" s="1985">
        <v>1.3</v>
      </c>
      <c r="N2" s="1985">
        <v>1.28</v>
      </c>
      <c r="O2" s="1985">
        <v>1.26</v>
      </c>
      <c r="P2" s="1985">
        <v>1.29</v>
      </c>
      <c r="Q2" s="1985">
        <v>1.41</v>
      </c>
      <c r="R2" s="1985">
        <v>1.61</v>
      </c>
      <c r="S2" s="1985">
        <v>1.77</v>
      </c>
      <c r="T2" s="1985">
        <v>1.65</v>
      </c>
      <c r="U2" s="1985">
        <v>1.53</v>
      </c>
      <c r="V2" s="1985">
        <v>1.43</v>
      </c>
      <c r="W2" s="1985">
        <v>1.4</v>
      </c>
      <c r="X2" s="1985">
        <v>1.37</v>
      </c>
      <c r="Y2" s="1985">
        <v>1.4</v>
      </c>
      <c r="Z2" s="1985">
        <v>1.43</v>
      </c>
      <c r="AA2" s="1985">
        <v>1.6</v>
      </c>
      <c r="AB2" s="1985">
        <v>1.69</v>
      </c>
      <c r="AC2" s="1985">
        <v>1.78</v>
      </c>
      <c r="AD2" s="1985">
        <v>1.88</v>
      </c>
      <c r="AE2" s="1985">
        <v>1.97</v>
      </c>
      <c r="AF2" s="1985">
        <v>1.97</v>
      </c>
      <c r="AG2" s="1985">
        <v>2</v>
      </c>
      <c r="AH2" s="1985">
        <v>2.1</v>
      </c>
      <c r="AI2" s="1985">
        <v>2.48</v>
      </c>
      <c r="AJ2" s="1985">
        <v>2.5299999999999998</v>
      </c>
      <c r="AK2" s="1985">
        <v>2.5499999999999998</v>
      </c>
      <c r="AL2" s="1985">
        <v>2.58</v>
      </c>
      <c r="AM2" s="1985">
        <v>2.61</v>
      </c>
      <c r="AN2" s="1985">
        <v>3.03</v>
      </c>
      <c r="AO2" s="1986">
        <v>3.51</v>
      </c>
      <c r="AP2" s="1985">
        <v>3.2</v>
      </c>
      <c r="AQ2" s="1985">
        <v>3.62</v>
      </c>
      <c r="AR2" s="1985">
        <v>4.07</v>
      </c>
      <c r="AS2" s="1985">
        <v>4.55</v>
      </c>
      <c r="AT2" s="1985">
        <v>5.05</v>
      </c>
      <c r="AU2" s="1985">
        <v>5.0199999999999996</v>
      </c>
      <c r="AV2" s="1985">
        <v>5.64</v>
      </c>
      <c r="AW2" s="1985">
        <v>6.32</v>
      </c>
      <c r="AX2" s="1985">
        <v>7.04</v>
      </c>
      <c r="AY2" s="1985">
        <v>7.17</v>
      </c>
      <c r="AZ2" s="1985">
        <v>7.58</v>
      </c>
      <c r="BA2" s="1985">
        <v>8.2200000000000006</v>
      </c>
      <c r="BB2" s="1985">
        <v>8.93</v>
      </c>
      <c r="BC2" s="1985">
        <v>9.7100000000000009</v>
      </c>
      <c r="BD2" s="1985">
        <v>10.01</v>
      </c>
      <c r="BE2" s="1985">
        <v>10.62</v>
      </c>
      <c r="BF2" s="1985">
        <v>12.62</v>
      </c>
      <c r="BG2" s="1985">
        <v>13.25</v>
      </c>
      <c r="BH2" s="1985">
        <v>14.31</v>
      </c>
      <c r="BI2" s="1985">
        <v>15.45</v>
      </c>
      <c r="BJ2" s="1985">
        <v>17.66</v>
      </c>
      <c r="BK2" s="1985">
        <v>20.52</v>
      </c>
      <c r="BL2" s="1985">
        <v>22.64</v>
      </c>
      <c r="BM2" s="1985">
        <v>24.47</v>
      </c>
      <c r="BN2" s="1985">
        <v>25.2</v>
      </c>
      <c r="BO2" s="1985">
        <v>25.93</v>
      </c>
      <c r="BP2" s="1985">
        <v>26.66</v>
      </c>
      <c r="BQ2" s="1985">
        <v>27.39</v>
      </c>
      <c r="BR2" s="1985">
        <v>29.42</v>
      </c>
      <c r="BS2" s="1985">
        <v>31.77</v>
      </c>
      <c r="BT2" s="1985">
        <v>32.5</v>
      </c>
      <c r="BU2" s="1985">
        <v>34.74</v>
      </c>
      <c r="BV2" s="1985">
        <v>37.21</v>
      </c>
      <c r="BW2" s="1985">
        <v>39.33</v>
      </c>
      <c r="BX2" s="1985">
        <v>41.68</v>
      </c>
      <c r="BY2" s="1985">
        <v>41.93</v>
      </c>
      <c r="BZ2" s="1985">
        <v>44.4</v>
      </c>
      <c r="CA2" s="1985">
        <v>47.05</v>
      </c>
      <c r="CB2" s="1985">
        <v>50.1</v>
      </c>
      <c r="CC2" s="1985">
        <v>53.39</v>
      </c>
      <c r="CD2" s="1985">
        <v>62.25</v>
      </c>
      <c r="CE2" s="1985">
        <v>67.27</v>
      </c>
      <c r="CF2" s="1985">
        <v>72.97</v>
      </c>
      <c r="CG2" s="1985">
        <v>78.599999999999994</v>
      </c>
      <c r="CH2" s="1985">
        <v>84.76</v>
      </c>
      <c r="CI2" s="1985">
        <v>91.49</v>
      </c>
      <c r="CJ2" s="1985">
        <v>98.86</v>
      </c>
      <c r="CK2" s="1985">
        <v>106.92</v>
      </c>
      <c r="CL2" s="1985">
        <v>115.26</v>
      </c>
      <c r="CM2" s="1985">
        <v>124.32</v>
      </c>
      <c r="CN2" s="1985">
        <v>134.21</v>
      </c>
      <c r="CO2" s="1985">
        <v>143.88999999999999</v>
      </c>
      <c r="CP2" s="1985">
        <v>155.29</v>
      </c>
      <c r="CQ2" s="1985">
        <v>168.13</v>
      </c>
      <c r="CR2" s="1985">
        <v>182.29</v>
      </c>
      <c r="CS2" s="1985">
        <v>197.93</v>
      </c>
      <c r="CT2" s="1985">
        <v>214.28</v>
      </c>
      <c r="CU2" s="1985">
        <v>232.53</v>
      </c>
      <c r="CV2" s="1985">
        <v>252.34</v>
      </c>
      <c r="CW2" s="1985">
        <v>273.69</v>
      </c>
      <c r="CX2" s="1985">
        <v>297.04000000000002</v>
      </c>
      <c r="CY2" s="1985">
        <v>322.45999999999998</v>
      </c>
      <c r="CZ2" s="1985">
        <v>350.07</v>
      </c>
      <c r="DA2" s="1985">
        <v>552.62</v>
      </c>
      <c r="DB2" s="1985">
        <v>0</v>
      </c>
    </row>
    <row r="3" spans="1:206">
      <c r="A3" t="s">
        <v>2878</v>
      </c>
      <c r="B3" s="1984" t="s">
        <v>2879</v>
      </c>
      <c r="D3">
        <v>1</v>
      </c>
      <c r="E3" t="s">
        <v>13</v>
      </c>
      <c r="F3" t="str">
        <f t="shared" ref="F3" si="0">A3&amp;"-"&amp;E3</f>
        <v>Major CI-M</v>
      </c>
      <c r="G3" s="1985">
        <v>1.77</v>
      </c>
      <c r="H3" s="1985">
        <v>1.71</v>
      </c>
      <c r="I3" s="1985">
        <v>1.69</v>
      </c>
      <c r="J3" s="1985">
        <v>1.67</v>
      </c>
      <c r="K3" s="1985">
        <v>1.64</v>
      </c>
      <c r="L3" s="1985">
        <v>1.6</v>
      </c>
      <c r="M3" s="1985">
        <v>1.6</v>
      </c>
      <c r="N3" s="1985">
        <v>1.58</v>
      </c>
      <c r="O3" s="1985">
        <v>1.56</v>
      </c>
      <c r="P3" s="1985">
        <v>1.54</v>
      </c>
      <c r="Q3" s="1985">
        <v>1.47</v>
      </c>
      <c r="R3" s="1985">
        <v>1.46</v>
      </c>
      <c r="S3" s="1985">
        <v>1.44</v>
      </c>
      <c r="T3" s="1985">
        <v>1.42</v>
      </c>
      <c r="U3" s="1985">
        <v>1.4</v>
      </c>
      <c r="V3" s="1985">
        <v>1.39</v>
      </c>
      <c r="W3" s="1985">
        <v>1.37</v>
      </c>
      <c r="X3" s="1985">
        <v>1.35</v>
      </c>
      <c r="Y3" s="1985">
        <v>1.33</v>
      </c>
      <c r="Z3" s="1985">
        <v>1.34</v>
      </c>
      <c r="AA3" s="1985">
        <v>1.39</v>
      </c>
      <c r="AB3" s="1985">
        <v>1.42</v>
      </c>
      <c r="AC3" s="1985">
        <v>1.44</v>
      </c>
      <c r="AD3" s="1985">
        <v>1.47</v>
      </c>
      <c r="AE3" s="1985">
        <v>1.5</v>
      </c>
      <c r="AF3" s="1985">
        <v>1.51</v>
      </c>
      <c r="AG3" s="1985">
        <v>1.51</v>
      </c>
      <c r="AH3" s="1985">
        <v>1.61</v>
      </c>
      <c r="AI3" s="1985">
        <v>1.66</v>
      </c>
      <c r="AJ3" s="1985">
        <v>1.7</v>
      </c>
      <c r="AK3" s="1985">
        <v>1.89</v>
      </c>
      <c r="AL3" s="1985">
        <v>1.92</v>
      </c>
      <c r="AM3" s="1985">
        <v>2.16</v>
      </c>
      <c r="AN3" s="1985">
        <v>2.44</v>
      </c>
      <c r="AO3" s="1985">
        <v>2.75</v>
      </c>
      <c r="AP3" s="1985">
        <v>3.34</v>
      </c>
      <c r="AQ3" s="1985">
        <v>3.75</v>
      </c>
      <c r="AR3" s="1985">
        <v>4.18</v>
      </c>
      <c r="AS3" s="1985">
        <v>4.76</v>
      </c>
      <c r="AT3" s="1985">
        <v>5.42</v>
      </c>
      <c r="AU3" s="1985">
        <v>5.29</v>
      </c>
      <c r="AV3" s="1985">
        <v>5.29</v>
      </c>
      <c r="AW3" s="1985">
        <v>5.98</v>
      </c>
      <c r="AX3" s="1985">
        <v>6.74</v>
      </c>
      <c r="AY3" s="1985">
        <v>7.58</v>
      </c>
      <c r="AZ3" s="1985">
        <v>9.2100000000000009</v>
      </c>
      <c r="BA3" s="1985">
        <v>10.14</v>
      </c>
      <c r="BB3" s="1985">
        <v>11.25</v>
      </c>
      <c r="BC3" s="1985">
        <v>12.43</v>
      </c>
      <c r="BD3" s="1985">
        <v>13.72</v>
      </c>
      <c r="BE3" s="1985">
        <v>15.01</v>
      </c>
      <c r="BF3" s="1985">
        <v>15.01</v>
      </c>
      <c r="BG3" s="1985">
        <v>16.62</v>
      </c>
      <c r="BH3" s="1985">
        <v>18.420000000000002</v>
      </c>
      <c r="BI3" s="1985">
        <v>20.38</v>
      </c>
      <c r="BJ3" s="1985">
        <v>21.13</v>
      </c>
      <c r="BK3" s="1985">
        <v>23.02</v>
      </c>
      <c r="BL3" s="1985">
        <v>25.11</v>
      </c>
      <c r="BM3" s="1985">
        <v>27.41</v>
      </c>
      <c r="BN3" s="1985">
        <v>30.03</v>
      </c>
      <c r="BO3" s="1985">
        <v>34.450000000000003</v>
      </c>
      <c r="BP3" s="1985">
        <v>37.75</v>
      </c>
      <c r="BQ3" s="1985">
        <v>41.01</v>
      </c>
      <c r="BR3" s="1985">
        <v>44.55</v>
      </c>
      <c r="BS3" s="1985">
        <v>47.08</v>
      </c>
      <c r="BT3" s="1985">
        <v>49.62</v>
      </c>
      <c r="BU3" s="1985">
        <v>52.16</v>
      </c>
      <c r="BV3" s="1985">
        <v>54.69</v>
      </c>
      <c r="BW3" s="1985">
        <v>59.18</v>
      </c>
      <c r="BX3" s="1985">
        <v>61.87</v>
      </c>
      <c r="BY3" s="1985">
        <v>64.569999999999993</v>
      </c>
      <c r="BZ3" s="1985">
        <v>67.27</v>
      </c>
      <c r="CA3" s="1985">
        <v>69.97</v>
      </c>
      <c r="CB3" s="1985">
        <v>75.180000000000007</v>
      </c>
      <c r="CC3" s="1985">
        <v>80.849999999999994</v>
      </c>
      <c r="CD3" s="1985">
        <v>85.7</v>
      </c>
      <c r="CE3" s="1985">
        <v>92.11</v>
      </c>
      <c r="CF3" s="1985">
        <v>99.33</v>
      </c>
      <c r="CG3" s="1985">
        <v>104.67</v>
      </c>
      <c r="CH3" s="1985">
        <v>110.5</v>
      </c>
      <c r="CI3" s="1985">
        <v>116.82</v>
      </c>
      <c r="CJ3" s="1985">
        <v>123.68</v>
      </c>
      <c r="CK3" s="1985">
        <v>131.06</v>
      </c>
      <c r="CL3" s="1985">
        <v>137.72999999999999</v>
      </c>
      <c r="CM3" s="1985">
        <v>144.9</v>
      </c>
      <c r="CN3" s="1985">
        <v>153.46</v>
      </c>
      <c r="CO3" s="1985">
        <v>161.58000000000001</v>
      </c>
      <c r="CP3" s="1985">
        <v>170.94</v>
      </c>
      <c r="CQ3" s="1985">
        <v>182.08</v>
      </c>
      <c r="CR3" s="1985">
        <v>194.3</v>
      </c>
      <c r="CS3" s="1985">
        <v>207.69</v>
      </c>
      <c r="CT3" s="1985">
        <v>221.95</v>
      </c>
      <c r="CU3" s="1985">
        <v>237.64</v>
      </c>
      <c r="CV3" s="1985">
        <v>254.4</v>
      </c>
      <c r="CW3" s="1985">
        <v>272.16000000000003</v>
      </c>
      <c r="CX3" s="1985">
        <v>291.36</v>
      </c>
      <c r="CY3" s="1985">
        <v>311.94</v>
      </c>
      <c r="CZ3" s="1985">
        <v>334.09</v>
      </c>
      <c r="DA3" s="1985">
        <v>503.75</v>
      </c>
      <c r="DB3" s="1985">
        <v>0</v>
      </c>
    </row>
    <row r="4" spans="1:206">
      <c r="A4" t="s">
        <v>2878</v>
      </c>
      <c r="B4" s="1984" t="s">
        <v>2880</v>
      </c>
      <c r="D4">
        <v>1</v>
      </c>
      <c r="E4" t="s">
        <v>14</v>
      </c>
      <c r="F4" t="str">
        <f>A4&amp;"-"&amp;E4</f>
        <v>Major CI-F</v>
      </c>
      <c r="G4" s="1985">
        <v>1.41</v>
      </c>
      <c r="H4" s="1985">
        <v>1.38</v>
      </c>
      <c r="I4" s="1985">
        <v>1.37</v>
      </c>
      <c r="J4" s="1985">
        <v>1.35</v>
      </c>
      <c r="K4" s="1985">
        <v>1.34</v>
      </c>
      <c r="L4" s="1985">
        <v>1.32</v>
      </c>
      <c r="M4" s="1985">
        <v>1.3</v>
      </c>
      <c r="N4" s="1985">
        <v>1.28</v>
      </c>
      <c r="O4" s="1985">
        <v>1.26</v>
      </c>
      <c r="P4" s="1985">
        <v>1.29</v>
      </c>
      <c r="Q4" s="1985">
        <v>1.41</v>
      </c>
      <c r="R4" s="1985">
        <v>1.61</v>
      </c>
      <c r="S4" s="1985">
        <v>1.77</v>
      </c>
      <c r="T4" s="1985">
        <v>1.65</v>
      </c>
      <c r="U4" s="1985">
        <v>1.53</v>
      </c>
      <c r="V4" s="1985">
        <v>1.43</v>
      </c>
      <c r="W4" s="1985">
        <v>1.4</v>
      </c>
      <c r="X4" s="1985">
        <v>1.37</v>
      </c>
      <c r="Y4" s="1985">
        <v>1.4</v>
      </c>
      <c r="Z4" s="1985">
        <v>1.43</v>
      </c>
      <c r="AA4" s="1985">
        <v>1.6</v>
      </c>
      <c r="AB4" s="1985">
        <v>1.69</v>
      </c>
      <c r="AC4" s="1985">
        <v>1.78</v>
      </c>
      <c r="AD4" s="1985">
        <v>1.88</v>
      </c>
      <c r="AE4" s="1985">
        <v>1.97</v>
      </c>
      <c r="AF4" s="1985">
        <v>1.97</v>
      </c>
      <c r="AG4" s="1985">
        <v>2</v>
      </c>
      <c r="AH4" s="1985">
        <v>2.1</v>
      </c>
      <c r="AI4" s="1985">
        <v>2.48</v>
      </c>
      <c r="AJ4" s="1985">
        <v>2.5299999999999998</v>
      </c>
      <c r="AK4" s="1985">
        <v>2.5499999999999998</v>
      </c>
      <c r="AL4" s="1985">
        <v>2.58</v>
      </c>
      <c r="AM4" s="1985">
        <v>2.61</v>
      </c>
      <c r="AN4" s="1985">
        <v>3.03</v>
      </c>
      <c r="AO4" s="1986">
        <v>3.51</v>
      </c>
      <c r="AP4" s="1985">
        <v>3.2</v>
      </c>
      <c r="AQ4" s="1985">
        <v>3.62</v>
      </c>
      <c r="AR4" s="1985">
        <v>4.07</v>
      </c>
      <c r="AS4" s="1985">
        <v>4.55</v>
      </c>
      <c r="AT4" s="1985">
        <v>5.05</v>
      </c>
      <c r="AU4" s="1985">
        <v>5.0199999999999996</v>
      </c>
      <c r="AV4" s="1985">
        <v>5.64</v>
      </c>
      <c r="AW4" s="1985">
        <v>6.32</v>
      </c>
      <c r="AX4" s="1985">
        <v>7.04</v>
      </c>
      <c r="AY4" s="1985">
        <v>7.17</v>
      </c>
      <c r="AZ4" s="1985">
        <v>7.58</v>
      </c>
      <c r="BA4" s="1985">
        <v>8.2200000000000006</v>
      </c>
      <c r="BB4" s="1985">
        <v>8.93</v>
      </c>
      <c r="BC4" s="1985">
        <v>9.7100000000000009</v>
      </c>
      <c r="BD4" s="1985">
        <v>10.01</v>
      </c>
      <c r="BE4" s="1985">
        <v>10.62</v>
      </c>
      <c r="BF4" s="1985">
        <v>12.62</v>
      </c>
      <c r="BG4" s="1985">
        <v>13.25</v>
      </c>
      <c r="BH4" s="1985">
        <v>14.31</v>
      </c>
      <c r="BI4" s="1985">
        <v>15.45</v>
      </c>
      <c r="BJ4" s="1985">
        <v>17.66</v>
      </c>
      <c r="BK4" s="1985">
        <v>20.52</v>
      </c>
      <c r="BL4" s="1985">
        <v>22.64</v>
      </c>
      <c r="BM4" s="1985">
        <v>24.47</v>
      </c>
      <c r="BN4" s="1985">
        <v>25.2</v>
      </c>
      <c r="BO4" s="1985">
        <v>25.93</v>
      </c>
      <c r="BP4" s="1985">
        <v>26.66</v>
      </c>
      <c r="BQ4" s="1985">
        <v>27.39</v>
      </c>
      <c r="BR4" s="1985">
        <v>29.42</v>
      </c>
      <c r="BS4" s="1985">
        <v>31.77</v>
      </c>
      <c r="BT4" s="1985">
        <v>32.5</v>
      </c>
      <c r="BU4" s="1985">
        <v>34.74</v>
      </c>
      <c r="BV4" s="1985">
        <v>37.21</v>
      </c>
      <c r="BW4" s="1985">
        <v>39.33</v>
      </c>
      <c r="BX4" s="1985">
        <v>41.68</v>
      </c>
      <c r="BY4" s="1985">
        <v>41.93</v>
      </c>
      <c r="BZ4" s="1985">
        <v>44.4</v>
      </c>
      <c r="CA4" s="1985">
        <v>47.05</v>
      </c>
      <c r="CB4" s="1985">
        <v>50.1</v>
      </c>
      <c r="CC4" s="1985">
        <v>53.39</v>
      </c>
      <c r="CD4" s="1985">
        <v>62.25</v>
      </c>
      <c r="CE4" s="1985">
        <v>67.27</v>
      </c>
      <c r="CF4" s="1985">
        <v>72.97</v>
      </c>
      <c r="CG4" s="1985">
        <v>78.599999999999994</v>
      </c>
      <c r="CH4" s="1985">
        <v>84.76</v>
      </c>
      <c r="CI4" s="1985">
        <v>91.49</v>
      </c>
      <c r="CJ4" s="1985">
        <v>98.86</v>
      </c>
      <c r="CK4" s="1985">
        <v>106.92</v>
      </c>
      <c r="CL4" s="1985">
        <v>115.26</v>
      </c>
      <c r="CM4" s="1985">
        <v>124.32</v>
      </c>
      <c r="CN4" s="1985">
        <v>134.21</v>
      </c>
      <c r="CO4" s="1985">
        <v>143.88999999999999</v>
      </c>
      <c r="CP4" s="1985">
        <v>155.29</v>
      </c>
      <c r="CQ4" s="1985">
        <v>168.13</v>
      </c>
      <c r="CR4" s="1985">
        <v>182.29</v>
      </c>
      <c r="CS4" s="1985">
        <v>197.93</v>
      </c>
      <c r="CT4" s="1985">
        <v>214.28</v>
      </c>
      <c r="CU4" s="1985">
        <v>232.53</v>
      </c>
      <c r="CV4" s="1985">
        <v>252.34</v>
      </c>
      <c r="CW4" s="1985">
        <v>273.69</v>
      </c>
      <c r="CX4" s="1985">
        <v>297.04000000000002</v>
      </c>
      <c r="CY4" s="1985">
        <v>322.45999999999998</v>
      </c>
      <c r="CZ4" s="1985">
        <v>350.07</v>
      </c>
      <c r="DA4" s="1985">
        <v>552.62</v>
      </c>
      <c r="DB4" s="1985">
        <v>0</v>
      </c>
    </row>
    <row r="5" spans="1:206">
      <c r="A5" t="s">
        <v>2878</v>
      </c>
      <c r="B5" s="1984" t="s">
        <v>2880</v>
      </c>
      <c r="D5">
        <v>1</v>
      </c>
      <c r="E5" t="s">
        <v>13</v>
      </c>
      <c r="F5" t="str">
        <f t="shared" ref="F5:F15" si="1">A5&amp;"-"&amp;E5</f>
        <v>Major CI-M</v>
      </c>
      <c r="G5" s="1985">
        <v>1.77</v>
      </c>
      <c r="H5" s="1985">
        <v>1.71</v>
      </c>
      <c r="I5" s="1985">
        <v>1.69</v>
      </c>
      <c r="J5" s="1985">
        <v>1.67</v>
      </c>
      <c r="K5" s="1985">
        <v>1.64</v>
      </c>
      <c r="L5" s="1985">
        <v>1.6</v>
      </c>
      <c r="M5" s="1985">
        <v>1.6</v>
      </c>
      <c r="N5" s="1985">
        <v>1.58</v>
      </c>
      <c r="O5" s="1985">
        <v>1.56</v>
      </c>
      <c r="P5" s="1985">
        <v>1.54</v>
      </c>
      <c r="Q5" s="1985">
        <v>1.47</v>
      </c>
      <c r="R5" s="1985">
        <v>1.46</v>
      </c>
      <c r="S5" s="1985">
        <v>1.44</v>
      </c>
      <c r="T5" s="1985">
        <v>1.42</v>
      </c>
      <c r="U5" s="1985">
        <v>1.4</v>
      </c>
      <c r="V5" s="1985">
        <v>1.39</v>
      </c>
      <c r="W5" s="1985">
        <v>1.37</v>
      </c>
      <c r="X5" s="1985">
        <v>1.35</v>
      </c>
      <c r="Y5" s="1985">
        <v>1.33</v>
      </c>
      <c r="Z5" s="1985">
        <v>1.34</v>
      </c>
      <c r="AA5" s="1985">
        <v>1.39</v>
      </c>
      <c r="AB5" s="1985">
        <v>1.42</v>
      </c>
      <c r="AC5" s="1985">
        <v>1.44</v>
      </c>
      <c r="AD5" s="1985">
        <v>1.47</v>
      </c>
      <c r="AE5" s="1985">
        <v>1.5</v>
      </c>
      <c r="AF5" s="1985">
        <v>1.51</v>
      </c>
      <c r="AG5" s="1985">
        <v>1.51</v>
      </c>
      <c r="AH5" s="1985">
        <v>1.61</v>
      </c>
      <c r="AI5" s="1985">
        <v>1.66</v>
      </c>
      <c r="AJ5" s="1985">
        <v>1.7</v>
      </c>
      <c r="AK5" s="1985">
        <v>1.89</v>
      </c>
      <c r="AL5" s="1985">
        <v>1.92</v>
      </c>
      <c r="AM5" s="1985">
        <v>2.16</v>
      </c>
      <c r="AN5" s="1985">
        <v>2.44</v>
      </c>
      <c r="AO5" s="1985">
        <v>2.75</v>
      </c>
      <c r="AP5" s="1985">
        <v>3.34</v>
      </c>
      <c r="AQ5" s="1985">
        <v>3.75</v>
      </c>
      <c r="AR5" s="1985">
        <v>4.18</v>
      </c>
      <c r="AS5" s="1985">
        <v>4.76</v>
      </c>
      <c r="AT5" s="1985">
        <v>5.42</v>
      </c>
      <c r="AU5" s="1985">
        <v>5.29</v>
      </c>
      <c r="AV5" s="1985">
        <v>5.29</v>
      </c>
      <c r="AW5" s="1985">
        <v>5.98</v>
      </c>
      <c r="AX5" s="1985">
        <v>6.74</v>
      </c>
      <c r="AY5" s="1985">
        <v>7.58</v>
      </c>
      <c r="AZ5" s="1985">
        <v>9.2100000000000009</v>
      </c>
      <c r="BA5" s="1985">
        <v>10.14</v>
      </c>
      <c r="BB5" s="1985">
        <v>11.25</v>
      </c>
      <c r="BC5" s="1985">
        <v>12.43</v>
      </c>
      <c r="BD5" s="1985">
        <v>13.72</v>
      </c>
      <c r="BE5" s="1985">
        <v>15.01</v>
      </c>
      <c r="BF5" s="1985">
        <v>15.01</v>
      </c>
      <c r="BG5" s="1985">
        <v>16.62</v>
      </c>
      <c r="BH5" s="1985">
        <v>18.420000000000002</v>
      </c>
      <c r="BI5" s="1985">
        <v>20.38</v>
      </c>
      <c r="BJ5" s="1985">
        <v>21.13</v>
      </c>
      <c r="BK5" s="1985">
        <v>23.02</v>
      </c>
      <c r="BL5" s="1985">
        <v>25.11</v>
      </c>
      <c r="BM5" s="1985">
        <v>27.41</v>
      </c>
      <c r="BN5" s="1985">
        <v>30.03</v>
      </c>
      <c r="BO5" s="1985">
        <v>34.450000000000003</v>
      </c>
      <c r="BP5" s="1985">
        <v>37.75</v>
      </c>
      <c r="BQ5" s="1985">
        <v>41.01</v>
      </c>
      <c r="BR5" s="1985">
        <v>44.55</v>
      </c>
      <c r="BS5" s="1985">
        <v>47.08</v>
      </c>
      <c r="BT5" s="1985">
        <v>49.62</v>
      </c>
      <c r="BU5" s="1985">
        <v>52.16</v>
      </c>
      <c r="BV5" s="1985">
        <v>54.69</v>
      </c>
      <c r="BW5" s="1985">
        <v>59.18</v>
      </c>
      <c r="BX5" s="1985">
        <v>61.87</v>
      </c>
      <c r="BY5" s="1985">
        <v>64.569999999999993</v>
      </c>
      <c r="BZ5" s="1985">
        <v>67.27</v>
      </c>
      <c r="CA5" s="1985">
        <v>69.97</v>
      </c>
      <c r="CB5" s="1985">
        <v>75.180000000000007</v>
      </c>
      <c r="CC5" s="1985">
        <v>80.849999999999994</v>
      </c>
      <c r="CD5" s="1985">
        <v>85.7</v>
      </c>
      <c r="CE5" s="1985">
        <v>92.11</v>
      </c>
      <c r="CF5" s="1985">
        <v>99.33</v>
      </c>
      <c r="CG5" s="1985">
        <v>104.67</v>
      </c>
      <c r="CH5" s="1985">
        <v>110.5</v>
      </c>
      <c r="CI5" s="1985">
        <v>116.82</v>
      </c>
      <c r="CJ5" s="1985">
        <v>123.68</v>
      </c>
      <c r="CK5" s="1985">
        <v>131.06</v>
      </c>
      <c r="CL5" s="1985">
        <v>137.72999999999999</v>
      </c>
      <c r="CM5" s="1985">
        <v>144.9</v>
      </c>
      <c r="CN5" s="1985">
        <v>153.46</v>
      </c>
      <c r="CO5" s="1985">
        <v>161.58000000000001</v>
      </c>
      <c r="CP5" s="1985">
        <v>170.94</v>
      </c>
      <c r="CQ5" s="1985">
        <v>182.08</v>
      </c>
      <c r="CR5" s="1985">
        <v>194.3</v>
      </c>
      <c r="CS5" s="1985">
        <v>207.69</v>
      </c>
      <c r="CT5" s="1985">
        <v>221.95</v>
      </c>
      <c r="CU5" s="1985">
        <v>237.64</v>
      </c>
      <c r="CV5" s="1985">
        <v>254.4</v>
      </c>
      <c r="CW5" s="1985">
        <v>272.16000000000003</v>
      </c>
      <c r="CX5" s="1985">
        <v>291.36</v>
      </c>
      <c r="CY5" s="1985">
        <v>311.94</v>
      </c>
      <c r="CZ5" s="1985">
        <v>334.09</v>
      </c>
      <c r="DA5" s="1985">
        <v>503.75</v>
      </c>
      <c r="DB5" s="1985">
        <v>0</v>
      </c>
    </row>
    <row r="6" spans="1:206">
      <c r="A6" t="s">
        <v>2881</v>
      </c>
      <c r="B6" s="1984" t="s">
        <v>2882</v>
      </c>
      <c r="D6">
        <v>1</v>
      </c>
      <c r="E6" t="s">
        <v>14</v>
      </c>
      <c r="F6" t="str">
        <f t="shared" si="1"/>
        <v>Critical Care Benefit-F</v>
      </c>
      <c r="G6" s="1985">
        <v>1.87</v>
      </c>
      <c r="H6" s="1985">
        <v>1.47</v>
      </c>
      <c r="I6" s="1985">
        <v>1.46</v>
      </c>
      <c r="J6" s="1985">
        <v>1.46</v>
      </c>
      <c r="K6" s="1985">
        <v>1.26</v>
      </c>
      <c r="L6" s="1985">
        <v>1.06</v>
      </c>
      <c r="M6" s="1985">
        <v>0.86</v>
      </c>
      <c r="N6" s="1985">
        <v>0.66</v>
      </c>
      <c r="O6" s="1985">
        <v>0.46</v>
      </c>
      <c r="P6" s="1985">
        <v>0.45</v>
      </c>
      <c r="Q6" s="1985">
        <v>0.44</v>
      </c>
      <c r="R6" s="1985">
        <v>0.43</v>
      </c>
      <c r="S6" s="1985">
        <v>0.42</v>
      </c>
      <c r="T6" s="1985">
        <v>0.41</v>
      </c>
      <c r="U6" s="1985">
        <v>0.49</v>
      </c>
      <c r="V6" s="1985">
        <v>0.56999999999999995</v>
      </c>
      <c r="W6" s="1985">
        <v>0.68</v>
      </c>
      <c r="X6" s="1985">
        <v>0.76</v>
      </c>
      <c r="Y6" s="1985">
        <v>0.84</v>
      </c>
      <c r="Z6" s="1985">
        <v>0.82</v>
      </c>
      <c r="AA6" s="1985">
        <v>0.71</v>
      </c>
      <c r="AB6" s="1985">
        <v>0.7</v>
      </c>
      <c r="AC6" s="1985">
        <v>0.69</v>
      </c>
      <c r="AD6" s="1985">
        <v>0.67</v>
      </c>
      <c r="AE6" s="1985">
        <v>0.72</v>
      </c>
      <c r="AF6" s="1985">
        <v>0.77</v>
      </c>
      <c r="AG6" s="1985">
        <v>0.82</v>
      </c>
      <c r="AH6" s="1985">
        <v>0.86</v>
      </c>
      <c r="AI6" s="1985">
        <v>0.91</v>
      </c>
      <c r="AJ6" s="1985">
        <v>0.94</v>
      </c>
      <c r="AK6" s="1985">
        <v>0.96</v>
      </c>
      <c r="AL6" s="1985">
        <v>0.98</v>
      </c>
      <c r="AM6" s="1985">
        <v>1</v>
      </c>
      <c r="AN6" s="1985">
        <v>1.01</v>
      </c>
      <c r="AO6" s="1985">
        <v>1.02</v>
      </c>
      <c r="AP6" s="1985">
        <v>1.04</v>
      </c>
      <c r="AQ6" s="1985">
        <v>1.05</v>
      </c>
      <c r="AR6" s="1985">
        <v>1.07</v>
      </c>
      <c r="AS6" s="1985">
        <v>1.0900000000000001</v>
      </c>
      <c r="AT6" s="1985">
        <v>1.18</v>
      </c>
      <c r="AU6" s="1985">
        <v>1.17</v>
      </c>
      <c r="AV6" s="1985">
        <v>1.25</v>
      </c>
      <c r="AW6" s="1985">
        <v>1.32</v>
      </c>
      <c r="AX6" s="1985">
        <v>1.4</v>
      </c>
      <c r="AY6" s="1985">
        <v>1.44</v>
      </c>
      <c r="AZ6" s="1985">
        <v>1.49</v>
      </c>
      <c r="BA6" s="1985">
        <v>1.54</v>
      </c>
      <c r="BB6" s="1985">
        <v>1.6</v>
      </c>
      <c r="BC6" s="1985">
        <v>1.66</v>
      </c>
      <c r="BD6" s="1985">
        <v>1.85</v>
      </c>
      <c r="BE6" s="1985">
        <v>2.04</v>
      </c>
      <c r="BF6" s="1985">
        <v>2.2400000000000002</v>
      </c>
      <c r="BG6" s="1985">
        <v>2.4500000000000002</v>
      </c>
      <c r="BH6" s="1985">
        <v>2.67</v>
      </c>
      <c r="BI6" s="1985">
        <v>2.87</v>
      </c>
      <c r="BJ6" s="1985">
        <v>3.08</v>
      </c>
      <c r="BK6" s="1985">
        <v>3.31</v>
      </c>
      <c r="BL6" s="1985">
        <v>3.56</v>
      </c>
      <c r="BM6" s="1985">
        <v>3.84</v>
      </c>
      <c r="BN6" s="1985">
        <v>4.41</v>
      </c>
      <c r="BO6" s="1985">
        <v>5.01</v>
      </c>
      <c r="BP6" s="1985">
        <v>6.22</v>
      </c>
      <c r="BQ6" s="1985">
        <v>6.98</v>
      </c>
      <c r="BR6" s="1985">
        <v>7.79</v>
      </c>
      <c r="BS6" s="1985">
        <v>9.09</v>
      </c>
      <c r="BT6" s="1985">
        <v>10.46</v>
      </c>
      <c r="BU6" s="1985">
        <v>12.11</v>
      </c>
      <c r="BV6" s="1985">
        <v>13.93</v>
      </c>
      <c r="BW6" s="1985">
        <v>15.97</v>
      </c>
      <c r="BX6" s="1985">
        <v>18.27</v>
      </c>
      <c r="BY6" s="1985">
        <v>21.04</v>
      </c>
      <c r="BZ6" s="1985">
        <v>24.34</v>
      </c>
      <c r="CA6" s="1985">
        <v>28.13</v>
      </c>
      <c r="CB6" s="1985">
        <v>32.479999999999997</v>
      </c>
      <c r="CC6" s="1985">
        <v>37.409999999999997</v>
      </c>
      <c r="CD6" s="1985">
        <v>41.9</v>
      </c>
      <c r="CE6" s="1985">
        <v>47.93</v>
      </c>
      <c r="CF6" s="1985">
        <v>54.65</v>
      </c>
      <c r="CG6" s="1985">
        <v>62.1</v>
      </c>
      <c r="CH6" s="1985">
        <v>70.34</v>
      </c>
      <c r="CI6" s="1985">
        <v>79.45</v>
      </c>
      <c r="CJ6" s="1985">
        <v>88.56</v>
      </c>
      <c r="CK6" s="1985">
        <v>98.47</v>
      </c>
      <c r="CL6" s="1985">
        <v>109.26</v>
      </c>
      <c r="CM6" s="1985">
        <v>121.01</v>
      </c>
      <c r="CN6" s="1985">
        <v>133.81</v>
      </c>
      <c r="CO6" s="1985">
        <v>151.51</v>
      </c>
      <c r="CP6" s="1985">
        <v>176.27</v>
      </c>
      <c r="CQ6" s="1985">
        <v>205.02</v>
      </c>
      <c r="CR6" s="1985">
        <v>238.38</v>
      </c>
      <c r="CS6" s="1985">
        <v>277.11</v>
      </c>
      <c r="CT6" s="1985">
        <v>322.13</v>
      </c>
      <c r="CU6" s="1985">
        <v>373.21</v>
      </c>
      <c r="CV6" s="1985">
        <v>430.95</v>
      </c>
      <c r="CW6" s="1985">
        <v>496</v>
      </c>
      <c r="CX6" s="1985">
        <v>569.08000000000004</v>
      </c>
      <c r="CY6" s="1985">
        <v>651.05999999999995</v>
      </c>
      <c r="CZ6" s="1985">
        <v>742.97</v>
      </c>
      <c r="DA6" s="1985">
        <v>846.09</v>
      </c>
      <c r="DB6" s="1985">
        <v>0</v>
      </c>
    </row>
    <row r="7" spans="1:206">
      <c r="A7" t="s">
        <v>2881</v>
      </c>
      <c r="B7" s="1984" t="s">
        <v>2882</v>
      </c>
      <c r="D7">
        <v>1</v>
      </c>
      <c r="E7" t="s">
        <v>13</v>
      </c>
      <c r="F7" t="str">
        <f t="shared" si="1"/>
        <v>Critical Care Benefit-M</v>
      </c>
      <c r="G7" s="1985">
        <v>2.4500000000000002</v>
      </c>
      <c r="H7" s="1985">
        <v>1.97</v>
      </c>
      <c r="I7" s="1985">
        <v>1.96</v>
      </c>
      <c r="J7" s="1985">
        <v>1.96</v>
      </c>
      <c r="K7" s="1985">
        <v>1.67</v>
      </c>
      <c r="L7" s="1985">
        <v>1.38</v>
      </c>
      <c r="M7" s="1985">
        <v>1.08</v>
      </c>
      <c r="N7" s="1985">
        <v>0.8</v>
      </c>
      <c r="O7" s="1985">
        <v>0.5</v>
      </c>
      <c r="P7" s="1985">
        <v>0.59</v>
      </c>
      <c r="Q7" s="1985">
        <v>0.69</v>
      </c>
      <c r="R7" s="1985">
        <v>0.82</v>
      </c>
      <c r="S7" s="1985">
        <v>0.96</v>
      </c>
      <c r="T7" s="1985">
        <v>1.1000000000000001</v>
      </c>
      <c r="U7" s="1985">
        <v>1.23</v>
      </c>
      <c r="V7" s="1985">
        <v>1.35</v>
      </c>
      <c r="W7" s="1985">
        <v>1.49</v>
      </c>
      <c r="X7" s="1985">
        <v>1.61</v>
      </c>
      <c r="Y7" s="1985">
        <v>1.73</v>
      </c>
      <c r="Z7" s="1985">
        <v>1.74</v>
      </c>
      <c r="AA7" s="1985">
        <v>1.54</v>
      </c>
      <c r="AB7" s="1985">
        <v>1.54</v>
      </c>
      <c r="AC7" s="1985">
        <v>1.53</v>
      </c>
      <c r="AD7" s="1985">
        <v>1.52</v>
      </c>
      <c r="AE7" s="1985">
        <v>1.52</v>
      </c>
      <c r="AF7" s="1985">
        <v>1.52</v>
      </c>
      <c r="AG7" s="1985">
        <v>1.52</v>
      </c>
      <c r="AH7" s="1985">
        <v>1.52</v>
      </c>
      <c r="AI7" s="1985">
        <v>1.52</v>
      </c>
      <c r="AJ7" s="1985">
        <v>1.58</v>
      </c>
      <c r="AK7" s="1985">
        <v>1.64</v>
      </c>
      <c r="AL7" s="1985">
        <v>1.7</v>
      </c>
      <c r="AM7" s="1985">
        <v>1.78</v>
      </c>
      <c r="AN7" s="1985">
        <v>1.85</v>
      </c>
      <c r="AO7" s="1985">
        <v>1.9</v>
      </c>
      <c r="AP7" s="1985">
        <v>1.95</v>
      </c>
      <c r="AQ7" s="1985">
        <v>2.0099999999999998</v>
      </c>
      <c r="AR7" s="1985">
        <v>2.0699999999999998</v>
      </c>
      <c r="AS7" s="1985">
        <v>2.13</v>
      </c>
      <c r="AT7" s="1985">
        <v>2.27</v>
      </c>
      <c r="AU7" s="1985">
        <v>2.25</v>
      </c>
      <c r="AV7" s="1985">
        <v>2.38</v>
      </c>
      <c r="AW7" s="1985">
        <v>2.52</v>
      </c>
      <c r="AX7" s="1985">
        <v>2.67</v>
      </c>
      <c r="AY7" s="1985">
        <v>2.81</v>
      </c>
      <c r="AZ7" s="1985">
        <v>2.96</v>
      </c>
      <c r="BA7" s="1985">
        <v>3.12</v>
      </c>
      <c r="BB7" s="1985">
        <v>3.29</v>
      </c>
      <c r="BC7" s="1985">
        <v>3.47</v>
      </c>
      <c r="BD7" s="1985">
        <v>3.75</v>
      </c>
      <c r="BE7" s="1985">
        <v>4.05</v>
      </c>
      <c r="BF7" s="1985">
        <v>4.3600000000000003</v>
      </c>
      <c r="BG7" s="1985">
        <v>4.6900000000000004</v>
      </c>
      <c r="BH7" s="1985">
        <v>5.04</v>
      </c>
      <c r="BI7" s="1985">
        <v>5.42</v>
      </c>
      <c r="BJ7" s="1985">
        <v>5.82</v>
      </c>
      <c r="BK7" s="1985">
        <v>6.24</v>
      </c>
      <c r="BL7" s="1985">
        <v>6.68</v>
      </c>
      <c r="BM7" s="1985">
        <v>7.15</v>
      </c>
      <c r="BN7" s="1985">
        <v>7.89</v>
      </c>
      <c r="BO7" s="1985">
        <v>8.67</v>
      </c>
      <c r="BP7" s="1985">
        <v>10.45</v>
      </c>
      <c r="BQ7" s="1985">
        <v>11.39</v>
      </c>
      <c r="BR7" s="1985">
        <v>12.38</v>
      </c>
      <c r="BS7" s="1985">
        <v>15.21</v>
      </c>
      <c r="BT7" s="1985">
        <v>18.13</v>
      </c>
      <c r="BU7" s="1985">
        <v>21.14</v>
      </c>
      <c r="BV7" s="1985">
        <v>24.27</v>
      </c>
      <c r="BW7" s="1985">
        <v>27.52</v>
      </c>
      <c r="BX7" s="1985">
        <v>30.45</v>
      </c>
      <c r="BY7" s="1985">
        <v>37.630000000000003</v>
      </c>
      <c r="BZ7" s="1985">
        <v>42.66</v>
      </c>
      <c r="CA7" s="1985">
        <v>48.35</v>
      </c>
      <c r="CB7" s="1985">
        <v>54.77</v>
      </c>
      <c r="CC7" s="1985">
        <v>62</v>
      </c>
      <c r="CD7" s="1985">
        <v>68.650000000000006</v>
      </c>
      <c r="CE7" s="1985">
        <v>77.400000000000006</v>
      </c>
      <c r="CF7" s="1985">
        <v>87.08</v>
      </c>
      <c r="CG7" s="1985">
        <v>97.73</v>
      </c>
      <c r="CH7" s="1985">
        <v>109.4</v>
      </c>
      <c r="CI7" s="1985">
        <v>122.13</v>
      </c>
      <c r="CJ7" s="1985">
        <v>134.82</v>
      </c>
      <c r="CK7" s="1985">
        <v>148.43</v>
      </c>
      <c r="CL7" s="1985">
        <v>163.05000000000001</v>
      </c>
      <c r="CM7" s="1985">
        <v>178.78</v>
      </c>
      <c r="CN7" s="1985">
        <v>195.72</v>
      </c>
      <c r="CO7" s="1985">
        <v>218.02</v>
      </c>
      <c r="CP7" s="1985">
        <v>253.03</v>
      </c>
      <c r="CQ7" s="1985">
        <v>293.72000000000003</v>
      </c>
      <c r="CR7" s="1985">
        <v>341.06</v>
      </c>
      <c r="CS7" s="1985">
        <v>396.18</v>
      </c>
      <c r="CT7" s="1985">
        <v>460.43</v>
      </c>
      <c r="CU7" s="1985">
        <v>534.49</v>
      </c>
      <c r="CV7" s="1985">
        <v>619.85</v>
      </c>
      <c r="CW7" s="1985">
        <v>718.26</v>
      </c>
      <c r="CX7" s="1985">
        <v>831.78</v>
      </c>
      <c r="CY7" s="1985">
        <v>876.03</v>
      </c>
      <c r="CZ7" s="1985">
        <v>911.35</v>
      </c>
      <c r="DA7" s="1985">
        <v>947.5</v>
      </c>
      <c r="DB7" s="1985">
        <v>0</v>
      </c>
    </row>
    <row r="8" spans="1:206">
      <c r="A8" t="s">
        <v>2883</v>
      </c>
      <c r="B8" s="1984" t="s">
        <v>2884</v>
      </c>
      <c r="D8">
        <v>1</v>
      </c>
      <c r="E8" t="s">
        <v>14</v>
      </c>
      <c r="F8" t="str">
        <f t="shared" si="1"/>
        <v>Early to Intermediate CI-F</v>
      </c>
      <c r="G8" s="1985">
        <v>1.0900000000000001</v>
      </c>
      <c r="H8" s="1985">
        <v>0.96</v>
      </c>
      <c r="I8" s="1985">
        <v>0.84</v>
      </c>
      <c r="J8" s="1985">
        <v>0.75</v>
      </c>
      <c r="K8" s="1985">
        <v>0.66</v>
      </c>
      <c r="L8" s="1985">
        <v>0.56999999999999995</v>
      </c>
      <c r="M8" s="1985">
        <v>0.48</v>
      </c>
      <c r="N8" s="1985">
        <v>0.41</v>
      </c>
      <c r="O8" s="1985">
        <v>0.38</v>
      </c>
      <c r="P8" s="1985">
        <v>0.36</v>
      </c>
      <c r="Q8" s="1985">
        <v>0.34</v>
      </c>
      <c r="R8" s="1985">
        <v>0.32</v>
      </c>
      <c r="S8" s="1985">
        <v>0.31</v>
      </c>
      <c r="T8" s="1985">
        <v>0.34</v>
      </c>
      <c r="U8" s="1985">
        <v>0.38</v>
      </c>
      <c r="V8" s="1985">
        <v>0.43</v>
      </c>
      <c r="W8" s="1985">
        <v>0.47</v>
      </c>
      <c r="X8" s="1985">
        <v>0.53</v>
      </c>
      <c r="Y8" s="1985">
        <v>0.54</v>
      </c>
      <c r="Z8" s="1985">
        <v>0.56000000000000005</v>
      </c>
      <c r="AA8" s="1985">
        <v>0.53</v>
      </c>
      <c r="AB8" s="1985">
        <v>0.57999999999999996</v>
      </c>
      <c r="AC8" s="1985">
        <v>0.64</v>
      </c>
      <c r="AD8" s="1985">
        <v>0.7</v>
      </c>
      <c r="AE8" s="1985">
        <v>0.76</v>
      </c>
      <c r="AF8" s="1985">
        <v>0.92</v>
      </c>
      <c r="AG8" s="1985">
        <v>1.03</v>
      </c>
      <c r="AH8" s="1985">
        <v>1.2</v>
      </c>
      <c r="AI8" s="1985">
        <v>1.34</v>
      </c>
      <c r="AJ8" s="1985">
        <v>1.52</v>
      </c>
      <c r="AK8" s="1985">
        <v>1.71</v>
      </c>
      <c r="AL8" s="1985">
        <v>1.97</v>
      </c>
      <c r="AM8" s="1985">
        <v>2.27</v>
      </c>
      <c r="AN8" s="1985">
        <v>2.4</v>
      </c>
      <c r="AO8" s="1985">
        <v>2.5299999999999998</v>
      </c>
      <c r="AP8" s="1985">
        <v>2.59</v>
      </c>
      <c r="AQ8" s="1985">
        <v>2.69</v>
      </c>
      <c r="AR8" s="1985">
        <v>2.79</v>
      </c>
      <c r="AS8" s="1985">
        <v>2.97</v>
      </c>
      <c r="AT8" s="1985">
        <v>3.18</v>
      </c>
      <c r="AU8" s="1985">
        <v>3.19</v>
      </c>
      <c r="AV8" s="1985">
        <v>3.42</v>
      </c>
      <c r="AW8" s="1985">
        <v>3.67</v>
      </c>
      <c r="AX8" s="1985">
        <v>3.86</v>
      </c>
      <c r="AY8" s="1985">
        <v>4.07</v>
      </c>
      <c r="AZ8" s="1985">
        <v>4.29</v>
      </c>
      <c r="BA8" s="1985">
        <v>4.5199999999999996</v>
      </c>
      <c r="BB8" s="1985">
        <v>4.75</v>
      </c>
      <c r="BC8" s="1985">
        <v>4.8499999999999996</v>
      </c>
      <c r="BD8" s="1985">
        <v>4.95</v>
      </c>
      <c r="BE8" s="1985">
        <v>5.01</v>
      </c>
      <c r="BF8" s="1985">
        <v>5.01</v>
      </c>
      <c r="BG8" s="1985">
        <v>5.14</v>
      </c>
      <c r="BH8" s="1985">
        <v>5.21</v>
      </c>
      <c r="BI8" s="1985">
        <v>5.3</v>
      </c>
      <c r="BJ8" s="1985">
        <v>5.41</v>
      </c>
      <c r="BK8" s="1985">
        <v>5.79</v>
      </c>
      <c r="BL8" s="1985">
        <v>6.19</v>
      </c>
      <c r="BM8" s="1985">
        <v>6.74</v>
      </c>
      <c r="BN8" s="1985">
        <v>7.36</v>
      </c>
      <c r="BO8" s="1985">
        <v>7.79</v>
      </c>
      <c r="BP8" s="1985">
        <v>8.4700000000000006</v>
      </c>
      <c r="BQ8" s="1985">
        <v>9.19</v>
      </c>
      <c r="BR8" s="1985">
        <v>10.1</v>
      </c>
      <c r="BS8" s="1985">
        <v>11.1</v>
      </c>
      <c r="BT8" s="1985">
        <v>12.07</v>
      </c>
      <c r="BU8" s="1985">
        <v>13.15</v>
      </c>
      <c r="BV8" s="1985">
        <v>13.97</v>
      </c>
      <c r="BW8" s="1985">
        <v>14.41</v>
      </c>
      <c r="BX8" s="1985">
        <v>14.95</v>
      </c>
      <c r="BY8" s="1985">
        <v>15.39</v>
      </c>
      <c r="BZ8" s="1985">
        <v>16.14</v>
      </c>
      <c r="CA8" s="1985">
        <v>16.91</v>
      </c>
      <c r="CB8" s="1985">
        <v>17.63</v>
      </c>
      <c r="CC8" s="1985">
        <v>18.39</v>
      </c>
      <c r="CD8" s="1985">
        <v>19.53</v>
      </c>
      <c r="CE8" s="1985">
        <v>19.82</v>
      </c>
      <c r="CF8" s="1985">
        <v>20.18</v>
      </c>
      <c r="CG8" s="1985">
        <v>20.190000000000001</v>
      </c>
      <c r="CH8" s="1985">
        <v>20.22</v>
      </c>
      <c r="CI8" s="1985">
        <v>20.309999999999999</v>
      </c>
      <c r="CJ8" s="1985">
        <v>20.43</v>
      </c>
      <c r="CK8" s="1985">
        <v>20.61</v>
      </c>
      <c r="CL8" s="1985">
        <v>20.66</v>
      </c>
      <c r="CM8" s="1985">
        <v>20.76</v>
      </c>
      <c r="CN8" s="1985">
        <v>20.96</v>
      </c>
      <c r="CO8" s="1985">
        <v>21.19</v>
      </c>
      <c r="CP8" s="1985">
        <v>21.52</v>
      </c>
      <c r="CQ8" s="1985">
        <v>22</v>
      </c>
      <c r="CR8" s="1985">
        <v>22.64</v>
      </c>
      <c r="CS8" s="1985">
        <v>23.49</v>
      </c>
      <c r="CT8" s="1985">
        <v>24.79</v>
      </c>
      <c r="CU8" s="1985">
        <v>25.27</v>
      </c>
      <c r="CV8" s="1985">
        <v>21.93</v>
      </c>
      <c r="CW8" s="1985">
        <v>19.690000000000001</v>
      </c>
      <c r="CX8" s="1985">
        <v>18.22</v>
      </c>
      <c r="CY8" s="1985">
        <v>17.27</v>
      </c>
      <c r="CZ8" s="1985">
        <v>16.68</v>
      </c>
      <c r="DA8" s="1985">
        <v>18.57</v>
      </c>
      <c r="DB8" s="1985">
        <v>0</v>
      </c>
    </row>
    <row r="9" spans="1:206">
      <c r="A9" t="s">
        <v>2883</v>
      </c>
      <c r="B9" s="1984" t="s">
        <v>2884</v>
      </c>
      <c r="D9">
        <v>1</v>
      </c>
      <c r="E9" t="s">
        <v>13</v>
      </c>
      <c r="F9" t="str">
        <f t="shared" si="1"/>
        <v>Early to Intermediate CI-M</v>
      </c>
      <c r="G9" s="1985">
        <v>0.93</v>
      </c>
      <c r="H9" s="1985">
        <v>0.84</v>
      </c>
      <c r="I9" s="1985">
        <v>0.76</v>
      </c>
      <c r="J9" s="1985">
        <v>0.69</v>
      </c>
      <c r="K9" s="1985">
        <v>0.63</v>
      </c>
      <c r="L9" s="1985">
        <v>0.56999999999999995</v>
      </c>
      <c r="M9" s="1985">
        <v>0.51</v>
      </c>
      <c r="N9" s="1985">
        <v>0.46</v>
      </c>
      <c r="O9" s="1985">
        <v>0.42</v>
      </c>
      <c r="P9" s="1985">
        <v>0.39</v>
      </c>
      <c r="Q9" s="1985">
        <v>0.35</v>
      </c>
      <c r="R9" s="1985">
        <v>0.32</v>
      </c>
      <c r="S9" s="1985">
        <v>0.3</v>
      </c>
      <c r="T9" s="1985">
        <v>0.28999999999999998</v>
      </c>
      <c r="U9" s="1985">
        <v>0.28999999999999998</v>
      </c>
      <c r="V9" s="1985">
        <v>0.28999999999999998</v>
      </c>
      <c r="W9" s="1985">
        <v>0.3</v>
      </c>
      <c r="X9" s="1985">
        <v>0.33</v>
      </c>
      <c r="Y9" s="1985">
        <v>0.37</v>
      </c>
      <c r="Z9" s="1985">
        <v>0.43</v>
      </c>
      <c r="AA9" s="1985">
        <v>0.44</v>
      </c>
      <c r="AB9" s="1985">
        <v>0.5</v>
      </c>
      <c r="AC9" s="1985">
        <v>0.56000000000000005</v>
      </c>
      <c r="AD9" s="1985">
        <v>0.53</v>
      </c>
      <c r="AE9" s="1985">
        <v>0.51</v>
      </c>
      <c r="AF9" s="1985">
        <v>0.52</v>
      </c>
      <c r="AG9" s="1985">
        <v>0.51</v>
      </c>
      <c r="AH9" s="1985">
        <v>0.52</v>
      </c>
      <c r="AI9" s="1985">
        <v>0.59</v>
      </c>
      <c r="AJ9" s="1985">
        <v>0.67</v>
      </c>
      <c r="AK9" s="1985">
        <v>0.74</v>
      </c>
      <c r="AL9" s="1985">
        <v>0.84</v>
      </c>
      <c r="AM9" s="1985">
        <v>0.94</v>
      </c>
      <c r="AN9" s="1985">
        <v>1.04</v>
      </c>
      <c r="AO9" s="1985">
        <v>1.1399999999999999</v>
      </c>
      <c r="AP9" s="1985">
        <v>1.28</v>
      </c>
      <c r="AQ9" s="1985">
        <v>1.48</v>
      </c>
      <c r="AR9" s="1985">
        <v>1.69</v>
      </c>
      <c r="AS9" s="1985">
        <v>1.95</v>
      </c>
      <c r="AT9" s="1985">
        <v>2.23</v>
      </c>
      <c r="AU9" s="1985">
        <v>2.15</v>
      </c>
      <c r="AV9" s="1985">
        <v>2.42</v>
      </c>
      <c r="AW9" s="1985">
        <v>2.7</v>
      </c>
      <c r="AX9" s="1985">
        <v>3.09</v>
      </c>
      <c r="AY9" s="1985">
        <v>3.52</v>
      </c>
      <c r="AZ9" s="1985">
        <v>4.1500000000000004</v>
      </c>
      <c r="BA9" s="1985">
        <v>4.57</v>
      </c>
      <c r="BB9" s="1985">
        <v>5.01</v>
      </c>
      <c r="BC9" s="1985">
        <v>5.41</v>
      </c>
      <c r="BD9" s="1985">
        <v>5.84</v>
      </c>
      <c r="BE9" s="1985">
        <v>6</v>
      </c>
      <c r="BF9" s="1985">
        <v>6.46</v>
      </c>
      <c r="BG9" s="1985">
        <v>6.96</v>
      </c>
      <c r="BH9" s="1985">
        <v>7.61</v>
      </c>
      <c r="BI9" s="1985">
        <v>8.3000000000000007</v>
      </c>
      <c r="BJ9" s="1985">
        <v>8.82</v>
      </c>
      <c r="BK9" s="1985">
        <v>10.199999999999999</v>
      </c>
      <c r="BL9" s="1985">
        <v>11.72</v>
      </c>
      <c r="BM9" s="1985">
        <v>13.52</v>
      </c>
      <c r="BN9" s="1985">
        <v>15.52</v>
      </c>
      <c r="BO9" s="1985">
        <v>18.059999999999999</v>
      </c>
      <c r="BP9" s="1985">
        <v>20.61</v>
      </c>
      <c r="BQ9" s="1985">
        <v>23.43</v>
      </c>
      <c r="BR9" s="1985">
        <v>26.51</v>
      </c>
      <c r="BS9" s="1985">
        <v>30.1</v>
      </c>
      <c r="BT9" s="1985">
        <v>31.88</v>
      </c>
      <c r="BU9" s="1985">
        <v>34.64</v>
      </c>
      <c r="BV9" s="1985">
        <v>36.979999999999997</v>
      </c>
      <c r="BW9" s="1985">
        <v>39.58</v>
      </c>
      <c r="BX9" s="1985">
        <v>42.37</v>
      </c>
      <c r="BY9" s="1985">
        <v>42.87</v>
      </c>
      <c r="BZ9" s="1985">
        <v>46.78</v>
      </c>
      <c r="CA9" s="1985">
        <v>50.17</v>
      </c>
      <c r="CB9" s="1985">
        <v>52.48</v>
      </c>
      <c r="CC9" s="1985">
        <v>54.91</v>
      </c>
      <c r="CD9" s="1985">
        <v>57.32</v>
      </c>
      <c r="CE9" s="1985">
        <v>57.29</v>
      </c>
      <c r="CF9" s="1985">
        <v>57.49</v>
      </c>
      <c r="CG9" s="1985">
        <v>56.34</v>
      </c>
      <c r="CH9" s="1985">
        <v>55.36</v>
      </c>
      <c r="CI9" s="1985">
        <v>54.55</v>
      </c>
      <c r="CJ9" s="1985">
        <v>53.9</v>
      </c>
      <c r="CK9" s="1985">
        <v>53.41</v>
      </c>
      <c r="CL9" s="1985">
        <v>52.55</v>
      </c>
      <c r="CM9" s="1985">
        <v>51.79</v>
      </c>
      <c r="CN9" s="1985">
        <v>51.29</v>
      </c>
      <c r="CO9" s="1985">
        <v>50.6</v>
      </c>
      <c r="CP9" s="1985">
        <v>50.08</v>
      </c>
      <c r="CQ9" s="1985">
        <v>49.78</v>
      </c>
      <c r="CR9" s="1985">
        <v>49.67</v>
      </c>
      <c r="CS9" s="1985">
        <v>49.76</v>
      </c>
      <c r="CT9" s="1985">
        <v>50.65</v>
      </c>
      <c r="CU9" s="1985">
        <v>51.12</v>
      </c>
      <c r="CV9" s="1985">
        <v>45.28</v>
      </c>
      <c r="CW9" s="1985">
        <v>41.36</v>
      </c>
      <c r="CX9" s="1985">
        <v>38.75</v>
      </c>
      <c r="CY9" s="1985">
        <v>37.06</v>
      </c>
      <c r="CZ9" s="1985">
        <v>35.96</v>
      </c>
      <c r="DA9" s="1985">
        <v>40.98</v>
      </c>
      <c r="DB9" s="1985">
        <v>0</v>
      </c>
    </row>
    <row r="10" spans="1:206">
      <c r="A10" t="s">
        <v>2885</v>
      </c>
      <c r="B10" s="1984" t="s">
        <v>2886</v>
      </c>
      <c r="D10">
        <v>1</v>
      </c>
      <c r="E10" t="s">
        <v>14</v>
      </c>
      <c r="F10" t="str">
        <f t="shared" si="1"/>
        <v>Pre-Early CI-F</v>
      </c>
      <c r="G10" s="1985">
        <v>0.38</v>
      </c>
      <c r="H10" s="1985">
        <v>0.39</v>
      </c>
      <c r="I10" s="1985">
        <v>0.4</v>
      </c>
      <c r="J10" s="1985">
        <v>0.42</v>
      </c>
      <c r="K10" s="1985">
        <v>0.45</v>
      </c>
      <c r="L10" s="1985">
        <v>0.47</v>
      </c>
      <c r="M10" s="1985">
        <v>0.51</v>
      </c>
      <c r="N10" s="1985">
        <v>0.51</v>
      </c>
      <c r="O10" s="1985">
        <v>0.53</v>
      </c>
      <c r="P10" s="1985">
        <v>0.54</v>
      </c>
      <c r="Q10" s="1985">
        <v>0.55000000000000004</v>
      </c>
      <c r="R10" s="1985">
        <v>0.56000000000000005</v>
      </c>
      <c r="S10" s="1985">
        <v>0.54</v>
      </c>
      <c r="T10" s="1985">
        <v>0.54</v>
      </c>
      <c r="U10" s="1985">
        <v>0.54</v>
      </c>
      <c r="V10" s="1985">
        <v>0.54</v>
      </c>
      <c r="W10" s="1985">
        <v>0.54</v>
      </c>
      <c r="X10" s="1985">
        <v>0.53</v>
      </c>
      <c r="Y10" s="1985">
        <v>0.51</v>
      </c>
      <c r="Z10" s="1985">
        <v>0.48</v>
      </c>
      <c r="AA10" s="1985">
        <v>0.4</v>
      </c>
      <c r="AB10" s="1985">
        <v>0.38</v>
      </c>
      <c r="AC10" s="1985">
        <v>0.42</v>
      </c>
      <c r="AD10" s="1985">
        <v>0.47</v>
      </c>
      <c r="AE10" s="1985">
        <v>0.54</v>
      </c>
      <c r="AF10" s="1985">
        <v>0.63</v>
      </c>
      <c r="AG10" s="1985">
        <v>0.74</v>
      </c>
      <c r="AH10" s="1985">
        <v>0.73</v>
      </c>
      <c r="AI10" s="1985">
        <v>0.72</v>
      </c>
      <c r="AJ10" s="1985">
        <v>0.71</v>
      </c>
      <c r="AK10" s="1985">
        <v>0.72</v>
      </c>
      <c r="AL10" s="1985">
        <v>0.72</v>
      </c>
      <c r="AM10" s="1985">
        <v>0.71</v>
      </c>
      <c r="AN10" s="1985">
        <v>0.71</v>
      </c>
      <c r="AO10" s="1985">
        <v>0.71</v>
      </c>
      <c r="AP10" s="1985">
        <v>0.71</v>
      </c>
      <c r="AQ10" s="1985">
        <v>0.71</v>
      </c>
      <c r="AR10" s="1985">
        <v>0.78</v>
      </c>
      <c r="AS10" s="1985">
        <v>0.84</v>
      </c>
      <c r="AT10" s="1985">
        <v>0.92</v>
      </c>
      <c r="AU10" s="1985">
        <v>0.93</v>
      </c>
      <c r="AV10" s="1985">
        <v>1.01</v>
      </c>
      <c r="AW10" s="1985">
        <v>1.1000000000000001</v>
      </c>
      <c r="AX10" s="1985">
        <v>1.21</v>
      </c>
      <c r="AY10" s="1985">
        <v>1.32</v>
      </c>
      <c r="AZ10" s="1985">
        <v>1.44</v>
      </c>
      <c r="BA10" s="1985">
        <v>1.58</v>
      </c>
      <c r="BB10" s="1985">
        <v>1.67</v>
      </c>
      <c r="BC10" s="1985">
        <v>1.76</v>
      </c>
      <c r="BD10" s="1985">
        <v>6.2</v>
      </c>
      <c r="BE10" s="1985">
        <v>6.73</v>
      </c>
      <c r="BF10" s="1985">
        <v>7.27</v>
      </c>
      <c r="BG10" s="1985">
        <v>7.85</v>
      </c>
      <c r="BH10" s="1985">
        <v>8.44</v>
      </c>
      <c r="BI10" s="1985">
        <v>9.0399999999999991</v>
      </c>
      <c r="BJ10" s="1985">
        <v>9.66</v>
      </c>
      <c r="BK10" s="1985">
        <v>10.27</v>
      </c>
      <c r="BL10" s="1985">
        <v>10.79</v>
      </c>
      <c r="BM10" s="1985">
        <v>11.31</v>
      </c>
      <c r="BN10" s="1985">
        <v>12.26</v>
      </c>
      <c r="BO10" s="1985">
        <v>13.22</v>
      </c>
      <c r="BP10" s="1985">
        <v>14.61</v>
      </c>
      <c r="BQ10" s="1985">
        <v>16.88</v>
      </c>
      <c r="BR10" s="1985">
        <v>20.89</v>
      </c>
      <c r="BS10" s="1985">
        <v>28.36</v>
      </c>
      <c r="BT10" s="1985">
        <v>28.9</v>
      </c>
      <c r="BU10" s="1985">
        <v>29.49</v>
      </c>
      <c r="BV10" s="1985">
        <v>29.96</v>
      </c>
      <c r="BW10" s="1985">
        <v>30.36</v>
      </c>
      <c r="BX10" s="1985">
        <v>30.76</v>
      </c>
      <c r="BY10" s="1985">
        <v>33.75</v>
      </c>
      <c r="BZ10" s="1985">
        <v>47.99</v>
      </c>
      <c r="CA10" s="1985">
        <v>62.05</v>
      </c>
      <c r="CB10" s="1985">
        <v>64.760000000000005</v>
      </c>
      <c r="CC10" s="1985">
        <v>67.430000000000007</v>
      </c>
      <c r="CD10" s="1985">
        <v>50.36</v>
      </c>
      <c r="CE10" s="1985">
        <v>60.86</v>
      </c>
      <c r="CF10" s="1985">
        <v>71.11</v>
      </c>
      <c r="CG10" s="1985">
        <v>72.55</v>
      </c>
      <c r="CH10" s="1985">
        <v>73.930000000000007</v>
      </c>
      <c r="CI10" s="1985">
        <v>77.72</v>
      </c>
      <c r="CJ10" s="1985">
        <v>83.45</v>
      </c>
      <c r="CK10" s="1985">
        <v>91.29</v>
      </c>
      <c r="CL10" s="1985">
        <v>99.24</v>
      </c>
      <c r="CM10" s="1985">
        <v>107.25</v>
      </c>
      <c r="CN10" s="1985">
        <v>115.27</v>
      </c>
      <c r="CO10" s="1985">
        <v>123.27</v>
      </c>
      <c r="CP10" s="1985">
        <v>131.16</v>
      </c>
      <c r="CQ10" s="1985">
        <v>138.87</v>
      </c>
      <c r="CR10" s="1985">
        <v>146.30000000000001</v>
      </c>
      <c r="CS10" s="1985">
        <v>164.21</v>
      </c>
      <c r="CT10" s="1985">
        <v>181.67</v>
      </c>
      <c r="CU10" s="1985">
        <v>198.54</v>
      </c>
      <c r="CV10" s="1985">
        <v>214.69</v>
      </c>
      <c r="CW10" s="1985">
        <v>230.05</v>
      </c>
      <c r="CX10" s="1985">
        <v>246.19</v>
      </c>
      <c r="CY10" s="1985">
        <v>263.29000000000002</v>
      </c>
      <c r="CZ10" s="1985">
        <v>281.49</v>
      </c>
      <c r="DA10" s="1985">
        <v>365.19</v>
      </c>
      <c r="DB10" s="1985">
        <v>0</v>
      </c>
    </row>
    <row r="11" spans="1:206">
      <c r="A11" t="s">
        <v>2885</v>
      </c>
      <c r="B11" s="1984" t="s">
        <v>2886</v>
      </c>
      <c r="D11">
        <v>1</v>
      </c>
      <c r="E11" t="s">
        <v>13</v>
      </c>
      <c r="F11" t="str">
        <f t="shared" si="1"/>
        <v>Pre-Early CI-M</v>
      </c>
      <c r="G11" s="1985">
        <v>0.43</v>
      </c>
      <c r="H11" s="1985">
        <v>0.42</v>
      </c>
      <c r="I11" s="1985">
        <v>0.41</v>
      </c>
      <c r="J11" s="1985">
        <v>0.41</v>
      </c>
      <c r="K11" s="1985">
        <v>0.41</v>
      </c>
      <c r="L11" s="1985">
        <v>0.41</v>
      </c>
      <c r="M11" s="1985">
        <v>0.42</v>
      </c>
      <c r="N11" s="1985">
        <v>0.43</v>
      </c>
      <c r="O11" s="1985">
        <v>0.45</v>
      </c>
      <c r="P11" s="1985">
        <v>0.47</v>
      </c>
      <c r="Q11" s="1985">
        <v>0.5</v>
      </c>
      <c r="R11" s="1985">
        <v>0.52</v>
      </c>
      <c r="S11" s="1985">
        <v>0.5</v>
      </c>
      <c r="T11" s="1985">
        <v>0.48</v>
      </c>
      <c r="U11" s="1985">
        <v>0.47</v>
      </c>
      <c r="V11" s="1985">
        <v>0.45</v>
      </c>
      <c r="W11" s="1985">
        <v>0.44</v>
      </c>
      <c r="X11" s="1985">
        <v>0.43</v>
      </c>
      <c r="Y11" s="1985">
        <v>0.43</v>
      </c>
      <c r="Z11" s="1985">
        <v>0.43</v>
      </c>
      <c r="AA11" s="1985">
        <v>0.38</v>
      </c>
      <c r="AB11" s="1985">
        <v>0.37</v>
      </c>
      <c r="AC11" s="1985">
        <v>0.42</v>
      </c>
      <c r="AD11" s="1985">
        <v>0.46</v>
      </c>
      <c r="AE11" s="1985">
        <v>0.52</v>
      </c>
      <c r="AF11" s="1985">
        <v>0.57999999999999996</v>
      </c>
      <c r="AG11" s="1985">
        <v>0.65</v>
      </c>
      <c r="AH11" s="1985">
        <v>0.64</v>
      </c>
      <c r="AI11" s="1985">
        <v>0.63</v>
      </c>
      <c r="AJ11" s="1985">
        <v>0.62</v>
      </c>
      <c r="AK11" s="1985">
        <v>0.62</v>
      </c>
      <c r="AL11" s="1985">
        <v>0.62</v>
      </c>
      <c r="AM11" s="1985">
        <v>0.61</v>
      </c>
      <c r="AN11" s="1985">
        <v>0.61</v>
      </c>
      <c r="AO11" s="1985">
        <v>0.61</v>
      </c>
      <c r="AP11" s="1985">
        <v>0.6</v>
      </c>
      <c r="AQ11" s="1985">
        <v>0.6</v>
      </c>
      <c r="AR11" s="1985">
        <v>0.67</v>
      </c>
      <c r="AS11" s="1985">
        <v>0.76</v>
      </c>
      <c r="AT11" s="1985">
        <v>0.86</v>
      </c>
      <c r="AU11" s="1985">
        <v>0.9</v>
      </c>
      <c r="AV11" s="1985">
        <v>1.02</v>
      </c>
      <c r="AW11" s="1985">
        <v>1.1200000000000001</v>
      </c>
      <c r="AX11" s="1985">
        <v>1.23</v>
      </c>
      <c r="AY11" s="1985">
        <v>1.36</v>
      </c>
      <c r="AZ11" s="1985">
        <v>1.5</v>
      </c>
      <c r="BA11" s="1985">
        <v>1.69</v>
      </c>
      <c r="BB11" s="1985">
        <v>1.78</v>
      </c>
      <c r="BC11" s="1985">
        <v>1.87</v>
      </c>
      <c r="BD11" s="1985">
        <v>6.31</v>
      </c>
      <c r="BE11" s="1985">
        <v>6.84</v>
      </c>
      <c r="BF11" s="1985">
        <v>7.39</v>
      </c>
      <c r="BG11" s="1985">
        <v>8</v>
      </c>
      <c r="BH11" s="1985">
        <v>8.64</v>
      </c>
      <c r="BI11" s="1985">
        <v>9.2899999999999991</v>
      </c>
      <c r="BJ11" s="1985">
        <v>9.9600000000000009</v>
      </c>
      <c r="BK11" s="1985">
        <v>10.65</v>
      </c>
      <c r="BL11" s="1985">
        <v>11.2</v>
      </c>
      <c r="BM11" s="1985">
        <v>11.76</v>
      </c>
      <c r="BN11" s="1985">
        <v>12.76</v>
      </c>
      <c r="BO11" s="1985">
        <v>13.75</v>
      </c>
      <c r="BP11" s="1985">
        <v>15.19</v>
      </c>
      <c r="BQ11" s="1985">
        <v>17.5</v>
      </c>
      <c r="BR11" s="1985">
        <v>21.54</v>
      </c>
      <c r="BS11" s="1985">
        <v>29.06</v>
      </c>
      <c r="BT11" s="1985">
        <v>29.64</v>
      </c>
      <c r="BU11" s="1985">
        <v>30.27</v>
      </c>
      <c r="BV11" s="1985">
        <v>30.76</v>
      </c>
      <c r="BW11" s="1985">
        <v>31.19</v>
      </c>
      <c r="BX11" s="1985">
        <v>31.63</v>
      </c>
      <c r="BY11" s="1985">
        <v>34.659999999999997</v>
      </c>
      <c r="BZ11" s="1985">
        <v>48.95</v>
      </c>
      <c r="CA11" s="1985">
        <v>63.05</v>
      </c>
      <c r="CB11" s="1985">
        <v>65.77</v>
      </c>
      <c r="CC11" s="1985">
        <v>68.459999999999994</v>
      </c>
      <c r="CD11" s="1985">
        <v>51.05</v>
      </c>
      <c r="CE11" s="1985">
        <v>61.56</v>
      </c>
      <c r="CF11" s="1985">
        <v>71.83</v>
      </c>
      <c r="CG11" s="1985">
        <v>73.290000000000006</v>
      </c>
      <c r="CH11" s="1985">
        <v>74.680000000000007</v>
      </c>
      <c r="CI11" s="1985">
        <v>78.48</v>
      </c>
      <c r="CJ11" s="1985">
        <v>84.22</v>
      </c>
      <c r="CK11" s="1985">
        <v>92.07</v>
      </c>
      <c r="CL11" s="1985">
        <v>100.01</v>
      </c>
      <c r="CM11" s="1985">
        <v>108.02</v>
      </c>
      <c r="CN11" s="1985">
        <v>116.05</v>
      </c>
      <c r="CO11" s="1985">
        <v>124.04</v>
      </c>
      <c r="CP11" s="1985">
        <v>131.94</v>
      </c>
      <c r="CQ11" s="1985">
        <v>139.65</v>
      </c>
      <c r="CR11" s="1985">
        <v>147.08000000000001</v>
      </c>
      <c r="CS11" s="1985">
        <v>164.99</v>
      </c>
      <c r="CT11" s="1985">
        <v>182.43</v>
      </c>
      <c r="CU11" s="1985">
        <v>199.29</v>
      </c>
      <c r="CV11" s="1985">
        <v>215.44</v>
      </c>
      <c r="CW11" s="1985">
        <v>230.77</v>
      </c>
      <c r="CX11" s="1985">
        <v>246.92</v>
      </c>
      <c r="CY11" s="1985">
        <v>264.02</v>
      </c>
      <c r="CZ11" s="1985">
        <v>282.23</v>
      </c>
      <c r="DA11" s="1985">
        <v>365.92</v>
      </c>
      <c r="DB11" s="1985">
        <v>0</v>
      </c>
    </row>
    <row r="12" spans="1:206">
      <c r="A12" s="1253" t="s">
        <v>2887</v>
      </c>
      <c r="B12" s="1253" t="s">
        <v>2888</v>
      </c>
      <c r="D12">
        <v>1</v>
      </c>
      <c r="E12" t="s">
        <v>14</v>
      </c>
      <c r="F12" t="str">
        <f t="shared" si="1"/>
        <v>Juvenile CI-F</v>
      </c>
      <c r="G12" s="1985">
        <v>0.97</v>
      </c>
      <c r="H12" s="1985">
        <v>0.99</v>
      </c>
      <c r="I12" s="1985">
        <v>1</v>
      </c>
      <c r="J12" s="1985">
        <v>1.06</v>
      </c>
      <c r="K12" s="1985">
        <v>1.3</v>
      </c>
      <c r="L12" s="1985">
        <v>1.4</v>
      </c>
      <c r="M12" s="1985">
        <v>1.66</v>
      </c>
      <c r="N12" s="1985">
        <v>2.89</v>
      </c>
      <c r="O12" s="1985">
        <v>3.03</v>
      </c>
      <c r="P12" s="1985">
        <v>2.99</v>
      </c>
      <c r="Q12" s="1985">
        <v>2.99</v>
      </c>
      <c r="R12" s="1985">
        <v>2.84</v>
      </c>
      <c r="S12" s="1985">
        <v>2.97</v>
      </c>
      <c r="T12" s="1985">
        <v>3.03</v>
      </c>
      <c r="U12" s="1985">
        <v>3.14</v>
      </c>
      <c r="V12" s="1985">
        <v>3.29</v>
      </c>
      <c r="W12" s="1985">
        <v>3.39</v>
      </c>
      <c r="X12" s="1985">
        <v>3.48</v>
      </c>
      <c r="Y12" s="1985">
        <v>3.57</v>
      </c>
      <c r="Z12" s="1985">
        <v>0</v>
      </c>
      <c r="AA12" s="1985">
        <v>0</v>
      </c>
      <c r="AB12" s="1985">
        <v>0</v>
      </c>
      <c r="AC12" s="1985">
        <v>0</v>
      </c>
      <c r="AD12" s="1985">
        <v>0</v>
      </c>
      <c r="AE12" s="1985">
        <v>0</v>
      </c>
      <c r="AF12" s="1985">
        <v>0</v>
      </c>
      <c r="AG12" s="1985">
        <v>0</v>
      </c>
      <c r="AH12" s="1985">
        <v>0</v>
      </c>
      <c r="AI12" s="1985">
        <v>0</v>
      </c>
      <c r="AJ12" s="1985">
        <v>0</v>
      </c>
      <c r="AK12" s="1985">
        <v>0</v>
      </c>
      <c r="AL12" s="1985">
        <v>0</v>
      </c>
      <c r="AM12" s="1985">
        <v>0</v>
      </c>
      <c r="AN12" s="1985">
        <v>0</v>
      </c>
      <c r="AO12" s="1985">
        <v>0</v>
      </c>
      <c r="AP12" s="1985">
        <v>0</v>
      </c>
      <c r="AQ12" s="1985">
        <v>0</v>
      </c>
      <c r="AR12" s="1985">
        <v>0</v>
      </c>
      <c r="AS12" s="1985">
        <v>0</v>
      </c>
      <c r="AT12" s="1985">
        <v>0</v>
      </c>
      <c r="AU12" s="1985">
        <v>0</v>
      </c>
      <c r="AV12" s="1985">
        <v>0</v>
      </c>
      <c r="AW12" s="1985">
        <v>0</v>
      </c>
      <c r="AX12" s="1985">
        <v>0</v>
      </c>
      <c r="AY12" s="1985">
        <v>0</v>
      </c>
      <c r="AZ12" s="1985">
        <v>0</v>
      </c>
      <c r="BA12" s="1985">
        <v>0</v>
      </c>
      <c r="BB12" s="1985">
        <v>0</v>
      </c>
      <c r="BC12" s="1985">
        <v>0</v>
      </c>
      <c r="BD12" s="1985">
        <v>0</v>
      </c>
      <c r="BE12" s="1985">
        <v>0</v>
      </c>
      <c r="BF12" s="1985">
        <v>0</v>
      </c>
      <c r="BG12" s="1985">
        <v>0</v>
      </c>
      <c r="BH12" s="1985">
        <v>0</v>
      </c>
      <c r="BI12" s="1985">
        <v>0</v>
      </c>
      <c r="BJ12" s="1985">
        <v>0</v>
      </c>
      <c r="BK12" s="1985">
        <v>0</v>
      </c>
      <c r="BL12" s="1985">
        <v>0</v>
      </c>
      <c r="BM12" s="1985">
        <v>0</v>
      </c>
      <c r="BN12" s="1985">
        <v>0</v>
      </c>
      <c r="BO12" s="1985">
        <v>0</v>
      </c>
      <c r="BP12" s="1985">
        <v>0</v>
      </c>
      <c r="BQ12" s="1985">
        <v>0</v>
      </c>
      <c r="BR12" s="1985">
        <v>0</v>
      </c>
      <c r="BS12" s="1985">
        <v>0</v>
      </c>
      <c r="BT12" s="1985">
        <v>0</v>
      </c>
      <c r="BU12" s="1985">
        <v>0</v>
      </c>
      <c r="BV12" s="1985">
        <v>0</v>
      </c>
      <c r="BW12" s="1985">
        <v>0</v>
      </c>
      <c r="BX12" s="1985">
        <v>0</v>
      </c>
      <c r="BY12" s="1985">
        <v>0</v>
      </c>
      <c r="BZ12" s="1985">
        <v>0</v>
      </c>
      <c r="CA12" s="1985">
        <v>0</v>
      </c>
      <c r="CB12" s="1985">
        <v>0</v>
      </c>
      <c r="CC12" s="1985">
        <v>0</v>
      </c>
      <c r="CD12" s="1985">
        <v>0</v>
      </c>
      <c r="CE12" s="1985">
        <v>0</v>
      </c>
      <c r="CF12" s="1985">
        <v>0</v>
      </c>
      <c r="CG12" s="1985">
        <v>0</v>
      </c>
      <c r="CH12" s="1985">
        <v>0</v>
      </c>
      <c r="CI12" s="1985">
        <v>0</v>
      </c>
      <c r="CJ12" s="1985">
        <v>0</v>
      </c>
      <c r="CK12" s="1985">
        <v>0</v>
      </c>
      <c r="CL12" s="1985">
        <v>0</v>
      </c>
      <c r="CM12" s="1985">
        <v>0</v>
      </c>
      <c r="CN12" s="1985">
        <v>0</v>
      </c>
      <c r="CO12" s="1985">
        <v>0</v>
      </c>
      <c r="CP12" s="1985">
        <v>0</v>
      </c>
      <c r="CQ12" s="1985">
        <v>0</v>
      </c>
      <c r="CR12" s="1985">
        <v>0</v>
      </c>
      <c r="CS12" s="1985">
        <v>0</v>
      </c>
      <c r="CT12" s="1985">
        <v>0</v>
      </c>
      <c r="CU12" s="1985">
        <v>0</v>
      </c>
      <c r="CV12" s="1985">
        <v>0</v>
      </c>
      <c r="CW12" s="1985">
        <v>0</v>
      </c>
      <c r="CX12" s="1985">
        <v>0</v>
      </c>
      <c r="CY12" s="1985">
        <v>0</v>
      </c>
      <c r="CZ12" s="1985">
        <v>0</v>
      </c>
      <c r="DA12" s="1985">
        <v>0</v>
      </c>
      <c r="DB12" s="1985">
        <v>0</v>
      </c>
    </row>
    <row r="13" spans="1:206">
      <c r="A13" s="1253" t="s">
        <v>2887</v>
      </c>
      <c r="B13" s="1253" t="s">
        <v>2888</v>
      </c>
      <c r="D13">
        <v>1</v>
      </c>
      <c r="E13" t="s">
        <v>13</v>
      </c>
      <c r="F13" t="str">
        <f t="shared" si="1"/>
        <v>Juvenile CI-M</v>
      </c>
      <c r="G13" s="1985">
        <v>1.04</v>
      </c>
      <c r="H13" s="1985">
        <v>1.03</v>
      </c>
      <c r="I13" s="1985">
        <v>1.02</v>
      </c>
      <c r="J13" s="1985">
        <v>1.06</v>
      </c>
      <c r="K13" s="1985">
        <v>1.28</v>
      </c>
      <c r="L13" s="1985">
        <v>1.84</v>
      </c>
      <c r="M13" s="1985">
        <v>2.1</v>
      </c>
      <c r="N13" s="1985">
        <v>3.32</v>
      </c>
      <c r="O13" s="1985">
        <v>3.29</v>
      </c>
      <c r="P13" s="1985">
        <v>2.95</v>
      </c>
      <c r="Q13" s="1985">
        <v>2.5499999999999998</v>
      </c>
      <c r="R13" s="1985">
        <v>2.64</v>
      </c>
      <c r="S13" s="1985">
        <v>2.75</v>
      </c>
      <c r="T13" s="1985">
        <v>2.77</v>
      </c>
      <c r="U13" s="1985">
        <v>2.85</v>
      </c>
      <c r="V13" s="1985">
        <v>2.83</v>
      </c>
      <c r="W13" s="1985">
        <v>2.82</v>
      </c>
      <c r="X13" s="1985">
        <v>2.79</v>
      </c>
      <c r="Y13" s="1985">
        <v>2.81</v>
      </c>
      <c r="Z13" s="1985">
        <v>0</v>
      </c>
      <c r="AA13" s="1985">
        <v>0</v>
      </c>
      <c r="AB13" s="1985">
        <v>0</v>
      </c>
      <c r="AC13" s="1985">
        <v>0</v>
      </c>
      <c r="AD13" s="1985">
        <v>0</v>
      </c>
      <c r="AE13" s="1985">
        <v>0</v>
      </c>
      <c r="AF13" s="1985">
        <v>0</v>
      </c>
      <c r="AG13" s="1985">
        <v>0</v>
      </c>
      <c r="AH13" s="1985">
        <v>0</v>
      </c>
      <c r="AI13" s="1985">
        <v>0</v>
      </c>
      <c r="AJ13" s="1985">
        <v>0</v>
      </c>
      <c r="AK13" s="1985">
        <v>0</v>
      </c>
      <c r="AL13" s="1985">
        <v>0</v>
      </c>
      <c r="AM13" s="1985">
        <v>0</v>
      </c>
      <c r="AN13" s="1985">
        <v>0</v>
      </c>
      <c r="AO13" s="1985">
        <v>0</v>
      </c>
      <c r="AP13" s="1985">
        <v>0</v>
      </c>
      <c r="AQ13" s="1985">
        <v>0</v>
      </c>
      <c r="AR13" s="1985">
        <v>0</v>
      </c>
      <c r="AS13" s="1985">
        <v>0</v>
      </c>
      <c r="AT13" s="1985">
        <v>0</v>
      </c>
      <c r="AU13" s="1985">
        <v>0</v>
      </c>
      <c r="AV13" s="1985">
        <v>0</v>
      </c>
      <c r="AW13" s="1985">
        <v>0</v>
      </c>
      <c r="AX13" s="1985">
        <v>0</v>
      </c>
      <c r="AY13" s="1985">
        <v>0</v>
      </c>
      <c r="AZ13" s="1985">
        <v>0</v>
      </c>
      <c r="BA13" s="1985">
        <v>0</v>
      </c>
      <c r="BB13" s="1985">
        <v>0</v>
      </c>
      <c r="BC13" s="1985">
        <v>0</v>
      </c>
      <c r="BD13" s="1985">
        <v>0</v>
      </c>
      <c r="BE13" s="1985">
        <v>0</v>
      </c>
      <c r="BF13" s="1985">
        <v>0</v>
      </c>
      <c r="BG13" s="1985">
        <v>0</v>
      </c>
      <c r="BH13" s="1985">
        <v>0</v>
      </c>
      <c r="BI13" s="1985">
        <v>0</v>
      </c>
      <c r="BJ13" s="1985">
        <v>0</v>
      </c>
      <c r="BK13" s="1985">
        <v>0</v>
      </c>
      <c r="BL13" s="1985">
        <v>0</v>
      </c>
      <c r="BM13" s="1985">
        <v>0</v>
      </c>
      <c r="BN13" s="1985">
        <v>0</v>
      </c>
      <c r="BO13" s="1985">
        <v>0</v>
      </c>
      <c r="BP13" s="1985">
        <v>0</v>
      </c>
      <c r="BQ13" s="1985">
        <v>0</v>
      </c>
      <c r="BR13" s="1985">
        <v>0</v>
      </c>
      <c r="BS13" s="1985">
        <v>0</v>
      </c>
      <c r="BT13" s="1985">
        <v>0</v>
      </c>
      <c r="BU13" s="1985">
        <v>0</v>
      </c>
      <c r="BV13" s="1985">
        <v>0</v>
      </c>
      <c r="BW13" s="1985">
        <v>0</v>
      </c>
      <c r="BX13" s="1985">
        <v>0</v>
      </c>
      <c r="BY13" s="1985">
        <v>0</v>
      </c>
      <c r="BZ13" s="1985">
        <v>0</v>
      </c>
      <c r="CA13" s="1985">
        <v>0</v>
      </c>
      <c r="CB13" s="1985">
        <v>0</v>
      </c>
      <c r="CC13" s="1985">
        <v>0</v>
      </c>
      <c r="CD13" s="1985">
        <v>0</v>
      </c>
      <c r="CE13" s="1985">
        <v>0</v>
      </c>
      <c r="CF13" s="1985">
        <v>0</v>
      </c>
      <c r="CG13" s="1985">
        <v>0</v>
      </c>
      <c r="CH13" s="1985">
        <v>0</v>
      </c>
      <c r="CI13" s="1985">
        <v>0</v>
      </c>
      <c r="CJ13" s="1985">
        <v>0</v>
      </c>
      <c r="CK13" s="1985">
        <v>0</v>
      </c>
      <c r="CL13" s="1985">
        <v>0</v>
      </c>
      <c r="CM13" s="1985">
        <v>0</v>
      </c>
      <c r="CN13" s="1985">
        <v>0</v>
      </c>
      <c r="CO13" s="1985">
        <v>0</v>
      </c>
      <c r="CP13" s="1985">
        <v>0</v>
      </c>
      <c r="CQ13" s="1985">
        <v>0</v>
      </c>
      <c r="CR13" s="1985">
        <v>0</v>
      </c>
      <c r="CS13" s="1985">
        <v>0</v>
      </c>
      <c r="CT13" s="1985">
        <v>0</v>
      </c>
      <c r="CU13" s="1985">
        <v>0</v>
      </c>
      <c r="CV13" s="1985">
        <v>0</v>
      </c>
      <c r="CW13" s="1985">
        <v>0</v>
      </c>
      <c r="CX13" s="1985">
        <v>0</v>
      </c>
      <c r="CY13" s="1985">
        <v>0</v>
      </c>
      <c r="CZ13" s="1985">
        <v>0</v>
      </c>
      <c r="DA13" s="1985">
        <v>0</v>
      </c>
      <c r="DB13" s="1985">
        <v>0</v>
      </c>
    </row>
    <row r="14" spans="1:206">
      <c r="A14" t="s">
        <v>2889</v>
      </c>
      <c r="B14" s="1984" t="s">
        <v>2890</v>
      </c>
      <c r="D14">
        <v>1</v>
      </c>
      <c r="E14" t="s">
        <v>14</v>
      </c>
      <c r="F14" t="str">
        <f t="shared" si="1"/>
        <v>Special Conditions-F</v>
      </c>
      <c r="G14" s="1985">
        <v>2.83</v>
      </c>
      <c r="H14" s="1985">
        <v>3.18</v>
      </c>
      <c r="I14" s="1985">
        <v>3.54</v>
      </c>
      <c r="J14" s="1985">
        <v>2.98</v>
      </c>
      <c r="K14" s="1985">
        <v>2.42</v>
      </c>
      <c r="L14" s="1985">
        <v>1.87</v>
      </c>
      <c r="M14" s="1985">
        <v>1.31</v>
      </c>
      <c r="N14" s="1985">
        <v>0.77</v>
      </c>
      <c r="O14" s="1985">
        <v>0.71</v>
      </c>
      <c r="P14" s="1985">
        <v>0.65</v>
      </c>
      <c r="Q14" s="1985">
        <v>0.59</v>
      </c>
      <c r="R14" s="1985">
        <v>0.53</v>
      </c>
      <c r="S14" s="1985">
        <v>0.48</v>
      </c>
      <c r="T14" s="1985">
        <v>0.51</v>
      </c>
      <c r="U14" s="1985">
        <v>0.54</v>
      </c>
      <c r="V14" s="1985">
        <v>0.57999999999999996</v>
      </c>
      <c r="W14" s="1985">
        <v>0.62</v>
      </c>
      <c r="X14" s="1985">
        <v>0.69</v>
      </c>
      <c r="Y14" s="1985">
        <v>0.7</v>
      </c>
      <c r="Z14" s="1985">
        <v>0.72</v>
      </c>
      <c r="AA14" s="1985">
        <v>0.66</v>
      </c>
      <c r="AB14" s="1985">
        <v>0.71</v>
      </c>
      <c r="AC14" s="1985">
        <v>0.79</v>
      </c>
      <c r="AD14" s="1985">
        <v>0.84</v>
      </c>
      <c r="AE14" s="1985">
        <v>0.91</v>
      </c>
      <c r="AF14" s="1985">
        <v>0.99</v>
      </c>
      <c r="AG14" s="1985">
        <v>1.0900000000000001</v>
      </c>
      <c r="AH14" s="1985">
        <v>1.23</v>
      </c>
      <c r="AI14" s="1985">
        <v>1.37</v>
      </c>
      <c r="AJ14" s="1985">
        <v>1.55</v>
      </c>
      <c r="AK14" s="1985">
        <v>1.75</v>
      </c>
      <c r="AL14" s="1985">
        <v>1.99</v>
      </c>
      <c r="AM14" s="1985">
        <v>2.2799999999999998</v>
      </c>
      <c r="AN14" s="1985">
        <v>2.37</v>
      </c>
      <c r="AO14" s="1985">
        <v>2.46</v>
      </c>
      <c r="AP14" s="1985">
        <v>2.56</v>
      </c>
      <c r="AQ14" s="1985">
        <v>2.66</v>
      </c>
      <c r="AR14" s="1985">
        <v>2.77</v>
      </c>
      <c r="AS14" s="1985">
        <v>2.93</v>
      </c>
      <c r="AT14" s="1985">
        <v>3.11</v>
      </c>
      <c r="AU14" s="1985">
        <v>3.07</v>
      </c>
      <c r="AV14" s="1985">
        <v>3.27</v>
      </c>
      <c r="AW14" s="1985">
        <v>3.49</v>
      </c>
      <c r="AX14" s="1985">
        <v>3.66</v>
      </c>
      <c r="AY14" s="1985">
        <v>3.84</v>
      </c>
      <c r="AZ14" s="1985">
        <v>4.03</v>
      </c>
      <c r="BA14" s="1985">
        <v>4.2300000000000004</v>
      </c>
      <c r="BB14" s="1985">
        <v>4.45</v>
      </c>
      <c r="BC14" s="1985">
        <v>4.54</v>
      </c>
      <c r="BD14" s="1985">
        <v>4.6500000000000004</v>
      </c>
      <c r="BE14" s="1985">
        <v>4.75</v>
      </c>
      <c r="BF14" s="1985">
        <v>4.8899999999999997</v>
      </c>
      <c r="BG14" s="1985">
        <v>5.05</v>
      </c>
      <c r="BH14" s="1985">
        <v>5.2</v>
      </c>
      <c r="BI14" s="1985">
        <v>5.39</v>
      </c>
      <c r="BJ14" s="1985">
        <v>5.61</v>
      </c>
      <c r="BK14" s="1985">
        <v>6.13</v>
      </c>
      <c r="BL14" s="1985">
        <v>6.7</v>
      </c>
      <c r="BM14" s="1985">
        <v>7.42</v>
      </c>
      <c r="BN14" s="1985">
        <v>8.24</v>
      </c>
      <c r="BO14" s="1985">
        <v>8.9600000000000009</v>
      </c>
      <c r="BP14" s="1985">
        <v>9.81</v>
      </c>
      <c r="BQ14" s="1985">
        <v>10.74</v>
      </c>
      <c r="BR14" s="1985">
        <v>11.9</v>
      </c>
      <c r="BS14" s="1985">
        <v>13.19</v>
      </c>
      <c r="BT14" s="1985">
        <v>14.55</v>
      </c>
      <c r="BU14" s="1985">
        <v>16.11</v>
      </c>
      <c r="BV14" s="1985">
        <v>17.48</v>
      </c>
      <c r="BW14" s="1985">
        <v>18.59</v>
      </c>
      <c r="BX14" s="1985">
        <v>19.91</v>
      </c>
      <c r="BY14" s="1985">
        <v>20.85</v>
      </c>
      <c r="BZ14" s="1985">
        <v>22.46</v>
      </c>
      <c r="CA14" s="1985">
        <v>24.25</v>
      </c>
      <c r="CB14" s="1985">
        <v>26.03</v>
      </c>
      <c r="CC14" s="1985">
        <v>27.97</v>
      </c>
      <c r="CD14" s="1985">
        <v>31.32</v>
      </c>
      <c r="CE14" s="1985">
        <v>33.869999999999997</v>
      </c>
      <c r="CF14" s="1985">
        <v>36.72</v>
      </c>
      <c r="CG14" s="1985">
        <v>39.22</v>
      </c>
      <c r="CH14" s="1985">
        <v>42.01</v>
      </c>
      <c r="CI14" s="1985">
        <v>45.1</v>
      </c>
      <c r="CJ14" s="1985">
        <v>48.53</v>
      </c>
      <c r="CK14" s="1985">
        <v>52.3</v>
      </c>
      <c r="CL14" s="1985">
        <v>55.95</v>
      </c>
      <c r="CM14" s="1985">
        <v>59.93</v>
      </c>
      <c r="CN14" s="1985">
        <v>64.36</v>
      </c>
      <c r="CO14" s="1985">
        <v>69.38</v>
      </c>
      <c r="CP14" s="1985">
        <v>75.8</v>
      </c>
      <c r="CQ14" s="1985">
        <v>83.09</v>
      </c>
      <c r="CR14" s="1985">
        <v>91.24</v>
      </c>
      <c r="CS14" s="1985">
        <v>100.38</v>
      </c>
      <c r="CT14" s="1985">
        <v>109.12</v>
      </c>
      <c r="CU14" s="1985">
        <v>117.95</v>
      </c>
      <c r="CV14" s="1985">
        <v>123.68</v>
      </c>
      <c r="CW14" s="1985">
        <v>131.49</v>
      </c>
      <c r="CX14" s="1985">
        <v>141.27000000000001</v>
      </c>
      <c r="CY14" s="1985">
        <v>152.88999999999999</v>
      </c>
      <c r="CZ14" s="1985">
        <v>166.22</v>
      </c>
      <c r="DA14" s="1985">
        <v>258.04000000000002</v>
      </c>
      <c r="DB14" s="1985">
        <v>0</v>
      </c>
    </row>
    <row r="15" spans="1:206">
      <c r="A15" t="s">
        <v>2889</v>
      </c>
      <c r="B15" s="1984" t="s">
        <v>2890</v>
      </c>
      <c r="D15">
        <v>1</v>
      </c>
      <c r="E15" t="s">
        <v>13</v>
      </c>
      <c r="F15" t="str">
        <f t="shared" si="1"/>
        <v>Special Conditions-M</v>
      </c>
      <c r="G15" s="1985">
        <v>2.2799999999999998</v>
      </c>
      <c r="H15" s="1985">
        <v>2.57</v>
      </c>
      <c r="I15" s="1985">
        <v>2.88</v>
      </c>
      <c r="J15" s="1985">
        <v>2.44</v>
      </c>
      <c r="K15" s="1985">
        <v>2.02</v>
      </c>
      <c r="L15" s="1985">
        <v>1.59</v>
      </c>
      <c r="M15" s="1985">
        <v>1.1599999999999999</v>
      </c>
      <c r="N15" s="1985">
        <v>0.74</v>
      </c>
      <c r="O15" s="1985">
        <v>0.7</v>
      </c>
      <c r="P15" s="1985">
        <v>0.66</v>
      </c>
      <c r="Q15" s="1985">
        <v>0.62</v>
      </c>
      <c r="R15" s="1985">
        <v>0.57999999999999996</v>
      </c>
      <c r="S15" s="1985">
        <v>0.55000000000000004</v>
      </c>
      <c r="T15" s="1985">
        <v>0.59</v>
      </c>
      <c r="U15" s="1985">
        <v>0.64</v>
      </c>
      <c r="V15" s="1985">
        <v>0.7</v>
      </c>
      <c r="W15" s="1985">
        <v>0.76</v>
      </c>
      <c r="X15" s="1985">
        <v>0.84</v>
      </c>
      <c r="Y15" s="1985">
        <v>0.99</v>
      </c>
      <c r="Z15" s="1985">
        <v>1.1399999999999999</v>
      </c>
      <c r="AA15" s="1985">
        <v>1.1399999999999999</v>
      </c>
      <c r="AB15" s="1985">
        <v>1.28</v>
      </c>
      <c r="AC15" s="1985">
        <v>1.43</v>
      </c>
      <c r="AD15" s="1985">
        <v>1.27</v>
      </c>
      <c r="AE15" s="1985">
        <v>1.1100000000000001</v>
      </c>
      <c r="AF15" s="1985">
        <v>0.95</v>
      </c>
      <c r="AG15" s="1985">
        <v>0.8</v>
      </c>
      <c r="AH15" s="1985">
        <v>0.65</v>
      </c>
      <c r="AI15" s="1985">
        <v>0.7</v>
      </c>
      <c r="AJ15" s="1985">
        <v>0.76</v>
      </c>
      <c r="AK15" s="1985">
        <v>0.83</v>
      </c>
      <c r="AL15" s="1985">
        <v>0.9</v>
      </c>
      <c r="AM15" s="1985">
        <v>0.98</v>
      </c>
      <c r="AN15" s="1985">
        <v>1.06</v>
      </c>
      <c r="AO15" s="1985">
        <v>1.1499999999999999</v>
      </c>
      <c r="AP15" s="1985">
        <v>1.24</v>
      </c>
      <c r="AQ15" s="1985">
        <v>1.34</v>
      </c>
      <c r="AR15" s="1985">
        <v>1.45</v>
      </c>
      <c r="AS15" s="1985">
        <v>1.57</v>
      </c>
      <c r="AT15" s="1985">
        <v>1.69</v>
      </c>
      <c r="AU15" s="1985">
        <v>1.7</v>
      </c>
      <c r="AV15" s="1985">
        <v>1.84</v>
      </c>
      <c r="AW15" s="1985">
        <v>1.98</v>
      </c>
      <c r="AX15" s="1985">
        <v>2.2200000000000002</v>
      </c>
      <c r="AY15" s="1985">
        <v>2.46</v>
      </c>
      <c r="AZ15" s="1985">
        <v>2.73</v>
      </c>
      <c r="BA15" s="1985">
        <v>3.02</v>
      </c>
      <c r="BB15" s="1985">
        <v>3.33</v>
      </c>
      <c r="BC15" s="1985">
        <v>3.67</v>
      </c>
      <c r="BD15" s="1985">
        <v>4.05</v>
      </c>
      <c r="BE15" s="1985">
        <v>4.45</v>
      </c>
      <c r="BF15" s="1985">
        <v>4.9000000000000004</v>
      </c>
      <c r="BG15" s="1985">
        <v>5.41</v>
      </c>
      <c r="BH15" s="1985">
        <v>5.95</v>
      </c>
      <c r="BI15" s="1985">
        <v>6.54</v>
      </c>
      <c r="BJ15" s="1985">
        <v>7.17</v>
      </c>
      <c r="BK15" s="1985">
        <v>8.24</v>
      </c>
      <c r="BL15" s="1985">
        <v>9.4600000000000009</v>
      </c>
      <c r="BM15" s="1985">
        <v>10.83</v>
      </c>
      <c r="BN15" s="1985">
        <v>12.42</v>
      </c>
      <c r="BO15" s="1985">
        <v>14.34</v>
      </c>
      <c r="BP15" s="1985">
        <v>16.21</v>
      </c>
      <c r="BQ15" s="1985">
        <v>18.309999999999999</v>
      </c>
      <c r="BR15" s="1985">
        <v>20.6</v>
      </c>
      <c r="BS15" s="1985">
        <v>23.19</v>
      </c>
      <c r="BT15" s="1985">
        <v>25.55</v>
      </c>
      <c r="BU15" s="1985">
        <v>28.56</v>
      </c>
      <c r="BV15" s="1985">
        <v>31.22</v>
      </c>
      <c r="BW15" s="1985">
        <v>33.81</v>
      </c>
      <c r="BX15" s="1985">
        <v>36.700000000000003</v>
      </c>
      <c r="BY15" s="1985">
        <v>38.69</v>
      </c>
      <c r="BZ15" s="1985">
        <v>42.78</v>
      </c>
      <c r="CA15" s="1985">
        <v>46.42</v>
      </c>
      <c r="CB15" s="1985">
        <v>49.08</v>
      </c>
      <c r="CC15" s="1985">
        <v>51.93</v>
      </c>
      <c r="CD15" s="1985">
        <v>54.96</v>
      </c>
      <c r="CE15" s="1985">
        <v>57.98</v>
      </c>
      <c r="CF15" s="1985">
        <v>61.38</v>
      </c>
      <c r="CG15" s="1985">
        <v>63.22</v>
      </c>
      <c r="CH15" s="1985">
        <v>65.48</v>
      </c>
      <c r="CI15" s="1985">
        <v>68.150000000000006</v>
      </c>
      <c r="CJ15" s="1985">
        <v>71.239999999999995</v>
      </c>
      <c r="CK15" s="1985">
        <v>74.75</v>
      </c>
      <c r="CL15" s="1985">
        <v>77.97</v>
      </c>
      <c r="CM15" s="1985">
        <v>81.569999999999993</v>
      </c>
      <c r="CN15" s="1985">
        <v>85.58</v>
      </c>
      <c r="CO15" s="1985">
        <v>90.17</v>
      </c>
      <c r="CP15" s="1985">
        <v>95.55</v>
      </c>
      <c r="CQ15" s="1985">
        <v>102.62</v>
      </c>
      <c r="CR15" s="1985">
        <v>110.55</v>
      </c>
      <c r="CS15" s="1985">
        <v>119.46</v>
      </c>
      <c r="CT15" s="1985">
        <v>127.83</v>
      </c>
      <c r="CU15" s="1985">
        <v>136.71</v>
      </c>
      <c r="CV15" s="1985">
        <v>139.88</v>
      </c>
      <c r="CW15" s="1985">
        <v>146</v>
      </c>
      <c r="CX15" s="1985">
        <v>154.68</v>
      </c>
      <c r="CY15" s="1985">
        <v>165.64</v>
      </c>
      <c r="CZ15" s="1985">
        <v>178.58</v>
      </c>
      <c r="DA15" s="1985">
        <v>263.02999999999997</v>
      </c>
      <c r="DB15" s="1985">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5">
    <pageSetUpPr fitToPage="1"/>
  </sheetPr>
  <dimension ref="A1:P15"/>
  <sheetViews>
    <sheetView showGridLines="0" workbookViewId="0">
      <selection activeCell="B7" sqref="B7"/>
    </sheetView>
  </sheetViews>
  <sheetFormatPr defaultColWidth="9.09765625" defaultRowHeight="21.5"/>
  <cols>
    <col min="1" max="16384" width="9.09765625" style="3"/>
  </cols>
  <sheetData>
    <row r="1" spans="1:16" ht="5.15" customHeight="1">
      <c r="A1" s="3" t="str">
        <f ca="1">กรอกข้อมูล!G64</f>
        <v/>
      </c>
    </row>
    <row r="2" spans="1:16" ht="35.15" customHeight="1">
      <c r="A2" s="2032" t="str">
        <f ca="1">IF(A1="Expire",กรอกข้อมูล!$A$1,"วิธีการใช้งาน")</f>
        <v>วิธีการใช้งาน</v>
      </c>
      <c r="B2" s="2032"/>
      <c r="C2" s="2032"/>
      <c r="D2" s="2032"/>
      <c r="E2" s="2032"/>
      <c r="F2" s="2032"/>
      <c r="G2" s="2032"/>
      <c r="H2" s="2032"/>
      <c r="I2" s="2032"/>
      <c r="J2" s="2032"/>
      <c r="K2" s="2032"/>
      <c r="L2" s="2032"/>
      <c r="M2" s="2032"/>
      <c r="N2" s="2033"/>
    </row>
    <row r="3" spans="1:16" ht="15" customHeight="1"/>
    <row r="4" spans="1:16" ht="26">
      <c r="B4" s="509" t="s">
        <v>113</v>
      </c>
      <c r="P4" s="99" t="s">
        <v>1084</v>
      </c>
    </row>
    <row r="5" spans="1:16" ht="26">
      <c r="B5" s="509" t="s">
        <v>873</v>
      </c>
      <c r="G5" s="190"/>
    </row>
    <row r="6" spans="1:16" ht="26" hidden="1">
      <c r="B6" s="509" t="s">
        <v>553</v>
      </c>
    </row>
    <row r="7" spans="1:16" ht="26">
      <c r="B7" s="509" t="s">
        <v>865</v>
      </c>
    </row>
    <row r="8" spans="1:16" ht="26">
      <c r="B8" s="509" t="s">
        <v>866</v>
      </c>
    </row>
    <row r="9" spans="1:16">
      <c r="B9" s="1602" t="s">
        <v>1733</v>
      </c>
    </row>
    <row r="10" spans="1:16">
      <c r="B10" s="510" t="s">
        <v>874</v>
      </c>
    </row>
    <row r="11" spans="1:16">
      <c r="B11" s="510" t="s">
        <v>111</v>
      </c>
    </row>
    <row r="13" spans="1:16">
      <c r="B13" s="511" t="s">
        <v>114</v>
      </c>
    </row>
    <row r="14" spans="1:16">
      <c r="B14" s="512" t="s">
        <v>112</v>
      </c>
    </row>
    <row r="15" spans="1:16">
      <c r="B15" s="512" t="s">
        <v>875</v>
      </c>
    </row>
  </sheetData>
  <sheetProtection algorithmName="SHA-512" hashValue="kPOP8sR8dkHmw2+Qdf/9zsAJuqeXP4ZljY7YLOdZHMUZxSit30A2iz7AWPp/OGVWdA3LFMZ90ZRli8vtwZmDHg==" saltValue="+sFCClCEM0WEwc9vl8NjWg==" spinCount="100000" sheet="1" objects="1" scenarios="1"/>
  <mergeCells count="1">
    <mergeCell ref="A2:N2"/>
  </mergeCells>
  <phoneticPr fontId="28" type="noConversion"/>
  <conditionalFormatting sqref="A4:XFD17">
    <cfRule type="expression" dxfId="52" priority="1" stopIfTrue="1">
      <formula>$A$1="Expire"</formula>
    </cfRule>
  </conditionalFormatting>
  <printOptions horizontalCentered="1"/>
  <pageMargins left="0" right="0" top="0" bottom="0" header="0.51181102362204722" footer="0.51181102362204722"/>
  <pageSetup paperSize="9" scale="85" orientation="portrait" horizontalDpi="300" verticalDpi="300" r:id="rId1"/>
  <headerFooter alignWithMargins="0">
    <oddFooter>&amp;C&amp;1#&amp;"Calibri"&amp;10&amp;K000000Internal</oddFooter>
  </headerFooter>
  <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7">
    <pageSetUpPr fitToPage="1"/>
  </sheetPr>
  <dimension ref="A1:AQ119"/>
  <sheetViews>
    <sheetView showGridLines="0" topLeftCell="A20" zoomScale="80" zoomScaleNormal="80" workbookViewId="0">
      <selection activeCell="A47" sqref="A47:XFD96"/>
    </sheetView>
  </sheetViews>
  <sheetFormatPr defaultColWidth="9.09765625" defaultRowHeight="21.5"/>
  <cols>
    <col min="1" max="1" width="42" style="2019" customWidth="1"/>
    <col min="2" max="3" width="26.69921875" style="2019" customWidth="1"/>
    <col min="4" max="4" width="27.296875" style="2019" customWidth="1"/>
    <col min="5" max="5" width="22" style="2019" customWidth="1"/>
    <col min="6" max="6" width="47.8984375" style="2019" customWidth="1"/>
    <col min="7" max="7" width="24.296875" style="2019" customWidth="1"/>
    <col min="8" max="8" width="21.59765625" style="2022" hidden="1" customWidth="1"/>
    <col min="9" max="9" width="21" style="2019" hidden="1" customWidth="1"/>
    <col min="10" max="11" width="25.296875" style="2019" hidden="1" customWidth="1"/>
    <col min="12" max="12" width="21.8984375" style="2019" hidden="1" customWidth="1"/>
    <col min="13" max="13" width="35.8984375" style="2019" hidden="1" customWidth="1"/>
    <col min="14" max="14" width="21.8984375" style="2019" hidden="1" customWidth="1"/>
    <col min="15" max="15" width="11" style="2019" hidden="1" customWidth="1"/>
    <col min="16" max="16" width="6.3984375" style="2019" hidden="1" customWidth="1"/>
    <col min="17" max="17" width="11" style="2019" hidden="1" customWidth="1"/>
    <col min="18" max="18" width="6.3984375" style="2019" hidden="1" customWidth="1"/>
    <col min="19" max="19" width="8.69921875" style="2019" hidden="1" customWidth="1"/>
    <col min="20" max="20" width="10.09765625" style="2019" hidden="1" customWidth="1"/>
    <col min="21" max="21" width="34" style="2019" hidden="1" customWidth="1"/>
    <col min="22" max="22" width="8.296875" style="2019" hidden="1" customWidth="1"/>
    <col min="23" max="23" width="29.69921875" style="2019" hidden="1" customWidth="1"/>
    <col min="24" max="27" width="9.09765625" style="2019" hidden="1" customWidth="1"/>
    <col min="28" max="42" width="0" style="2019" hidden="1" customWidth="1"/>
    <col min="43" max="43" width="0.19921875" style="2019" hidden="1" customWidth="1"/>
    <col min="44" max="16384" width="9.09765625" style="2019"/>
  </cols>
  <sheetData>
    <row r="1" spans="1:43" ht="39.75" customHeight="1">
      <c r="A1" s="2054" t="str">
        <f ca="1">IF(G64="Expire","โปรแกรมข้อเสนอ หมดอายุตั้งแต่วันที่ "&amp;TEXT(G63,"dd/MM/YYYY"),"     โปรแกรมข้อเสนอ แบบประกัน "&amp;E65&amp;" เวอร์ชั่น "&amp;E64)</f>
        <v xml:space="preserve">     โปรแกรมข้อเสนอ แบบประกัน ไอสมาร์ท 80/6 (ไม่มีเงินปันผล) เวอร์ชั่น A2026-1</v>
      </c>
      <c r="B1" s="2054"/>
      <c r="C1" s="2054"/>
      <c r="D1" s="2054"/>
      <c r="E1" s="2054"/>
      <c r="F1" s="2054"/>
      <c r="G1" s="2054"/>
      <c r="H1" s="186"/>
      <c r="I1" s="186"/>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row>
    <row r="2" spans="1:43" ht="33" customHeight="1">
      <c r="A2" s="1228" t="s">
        <v>0</v>
      </c>
      <c r="B2" s="5"/>
      <c r="C2" s="5"/>
      <c r="D2" s="5"/>
      <c r="E2" s="5"/>
      <c r="F2" s="3"/>
      <c r="G2" s="3"/>
      <c r="H2" s="181"/>
      <c r="I2" s="1468"/>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row>
    <row r="3" spans="1:43" ht="26">
      <c r="A3" s="1226" t="s">
        <v>3</v>
      </c>
      <c r="B3" s="6"/>
      <c r="C3" s="6"/>
      <c r="D3" s="6"/>
      <c r="E3" s="122"/>
      <c r="F3" s="509" t="s">
        <v>908</v>
      </c>
      <c r="G3" s="121"/>
      <c r="H3" s="181"/>
      <c r="I3" s="1468"/>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row>
    <row r="4" spans="1:43" ht="24" customHeight="1">
      <c r="A4" s="1223" t="s">
        <v>4</v>
      </c>
      <c r="B4" s="3"/>
      <c r="C4" s="2057" t="s">
        <v>19</v>
      </c>
      <c r="D4" s="2057"/>
      <c r="E4" s="116"/>
      <c r="F4" s="1596" t="s">
        <v>909</v>
      </c>
      <c r="G4" s="1109" t="s">
        <v>1274</v>
      </c>
      <c r="H4" s="7"/>
      <c r="I4" s="76"/>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3" ht="24" customHeight="1">
      <c r="A5" s="1223" t="s">
        <v>5</v>
      </c>
      <c r="B5" s="3"/>
      <c r="C5" s="2">
        <v>44</v>
      </c>
      <c r="D5" s="1" t="s">
        <v>6</v>
      </c>
      <c r="E5" s="177"/>
      <c r="F5" s="1596" t="s">
        <v>1275</v>
      </c>
      <c r="G5" s="1109" t="s">
        <v>1274</v>
      </c>
      <c r="H5" s="7"/>
      <c r="I5" s="76"/>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3"/>
      <c r="AQ5" s="3"/>
    </row>
    <row r="6" spans="1:43" ht="24" customHeight="1">
      <c r="A6" s="1223" t="s">
        <v>1</v>
      </c>
      <c r="B6" s="3"/>
      <c r="C6" s="4" t="s">
        <v>47</v>
      </c>
      <c r="D6" s="85"/>
      <c r="E6" s="99" t="str">
        <f>IF(C6="ชาย","M","F")</f>
        <v>F</v>
      </c>
      <c r="F6" s="1597" t="s">
        <v>1604</v>
      </c>
      <c r="G6" s="1451" t="s">
        <v>1605</v>
      </c>
      <c r="H6" s="7"/>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3" ht="24" customHeight="1">
      <c r="A7" s="1224" t="s">
        <v>9</v>
      </c>
      <c r="B7" s="3"/>
      <c r="C7" s="4" t="s">
        <v>32</v>
      </c>
      <c r="D7" s="2061" t="str">
        <f>IF(OR(C7="รายเดือน",C7="Monthly"),"(กรณีเลือกหมวดการชำระเบี้ยรายเดือน เบี้ยประกันภัย  (สัญญาหลัก+สัญญาเพิ่มเติม) ต่อเดือน ต้องไม่ต่ำกว่า 1,000 บาท)","")</f>
        <v/>
      </c>
      <c r="E7" s="2061"/>
      <c r="F7" s="1596" t="s">
        <v>7</v>
      </c>
      <c r="G7" s="1450">
        <v>999999999</v>
      </c>
      <c r="H7" s="7"/>
      <c r="I7" s="1478"/>
      <c r="J7" s="48"/>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3" ht="24" customHeight="1">
      <c r="A8" s="607"/>
      <c r="B8" s="187"/>
      <c r="C8" s="608"/>
      <c r="D8" s="2061"/>
      <c r="E8" s="2061"/>
      <c r="F8" s="1449"/>
      <c r="G8" s="1449"/>
      <c r="H8" s="7"/>
      <c r="I8" s="48"/>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3" ht="11.25" customHeight="1">
      <c r="A9" s="2058"/>
      <c r="B9" s="2058"/>
      <c r="C9" s="14"/>
      <c r="D9" s="8"/>
      <c r="E9" s="3"/>
      <c r="F9" s="3"/>
      <c r="G9" s="3"/>
      <c r="H9" s="7"/>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3"/>
      <c r="AQ9" s="3"/>
    </row>
    <row r="10" spans="1:43" ht="28.5" customHeight="1">
      <c r="A10" s="1226" t="s">
        <v>1451</v>
      </c>
      <c r="B10" s="634"/>
      <c r="C10" s="634"/>
      <c r="D10" s="1506"/>
      <c r="E10" s="634"/>
      <c r="F10" s="3"/>
      <c r="G10" s="3"/>
      <c r="H10" s="7"/>
      <c r="I10" s="3"/>
      <c r="J10" s="1110"/>
      <c r="K10" s="3"/>
      <c r="L10" s="3"/>
      <c r="M10" s="3"/>
      <c r="N10" s="3"/>
      <c r="O10" s="3"/>
      <c r="P10" s="3"/>
      <c r="Q10" s="3"/>
      <c r="R10" s="3"/>
      <c r="S10" s="3"/>
      <c r="T10" s="3"/>
      <c r="U10" s="3"/>
      <c r="V10" s="3"/>
      <c r="W10" s="3"/>
      <c r="X10" s="3"/>
      <c r="Y10" s="3"/>
      <c r="Z10" s="3"/>
      <c r="AA10" s="3"/>
      <c r="AB10" s="3"/>
      <c r="AC10" s="3"/>
      <c r="AD10" s="3"/>
      <c r="AE10" s="3"/>
      <c r="AF10" s="3"/>
      <c r="AG10" s="3"/>
      <c r="AH10" s="3"/>
      <c r="AI10" s="3"/>
      <c r="AJ10" s="3"/>
      <c r="AK10" s="3"/>
      <c r="AL10" s="3"/>
      <c r="AM10" s="3"/>
      <c r="AN10" s="3"/>
      <c r="AO10" s="3"/>
      <c r="AP10" s="3"/>
      <c r="AQ10" s="3"/>
    </row>
    <row r="11" spans="1:43" ht="25" customHeight="1">
      <c r="A11" s="1225" t="s">
        <v>27</v>
      </c>
      <c r="B11" s="128"/>
      <c r="C11" s="1599"/>
      <c r="D11" s="1547" t="str">
        <f>IF(I14&gt;=5,"","อายุผู้ชำระเบี้ยระหว่าง 20-70  ปี")</f>
        <v>อายุผู้ชำระเบี้ยระหว่าง 20-70  ปี</v>
      </c>
      <c r="E11" s="1220"/>
      <c r="F11" s="120"/>
      <c r="G11" s="3"/>
      <c r="H11" s="7"/>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c r="AP11" s="3"/>
      <c r="AQ11" s="3"/>
    </row>
    <row r="12" spans="1:43" ht="24.5">
      <c r="A12" s="1225" t="s">
        <v>26</v>
      </c>
      <c r="B12" s="128"/>
      <c r="C12" s="1221"/>
      <c r="D12" s="1504"/>
      <c r="E12" s="1222"/>
      <c r="F12" s="3"/>
      <c r="G12" s="3"/>
      <c r="H12" s="7"/>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c r="AP12" s="3"/>
      <c r="AQ12" s="3"/>
    </row>
    <row r="13" spans="1:43" ht="11.25" customHeight="1">
      <c r="A13" s="3" t="s">
        <v>129</v>
      </c>
      <c r="B13" s="3"/>
      <c r="C13" s="3"/>
      <c r="D13" s="3"/>
      <c r="E13" s="3"/>
      <c r="F13" s="3"/>
      <c r="G13" s="3"/>
      <c r="H13" s="7"/>
      <c r="I13" s="1375" t="s">
        <v>1430</v>
      </c>
      <c r="J13" s="1375" t="s">
        <v>1312</v>
      </c>
      <c r="K13" s="1375" t="s">
        <v>1314</v>
      </c>
      <c r="L13" s="3"/>
      <c r="M13" s="3"/>
      <c r="N13" s="3"/>
      <c r="O13" s="3"/>
      <c r="P13" s="3"/>
      <c r="Q13" s="3"/>
      <c r="R13" s="3"/>
      <c r="S13" s="3"/>
      <c r="T13" s="3"/>
      <c r="U13" s="3"/>
      <c r="V13" s="3"/>
      <c r="W13" s="3"/>
      <c r="X13" s="3"/>
      <c r="Y13" s="3"/>
      <c r="Z13" s="3"/>
      <c r="AA13" s="3"/>
      <c r="AB13" s="3"/>
      <c r="AC13" s="3"/>
      <c r="AD13" s="3"/>
      <c r="AE13" s="3"/>
      <c r="AF13" s="3"/>
      <c r="AG13" s="3"/>
      <c r="AH13" s="3"/>
      <c r="AI13" s="3"/>
      <c r="AJ13" s="3"/>
      <c r="AK13" s="3"/>
      <c r="AL13" s="3"/>
      <c r="AM13" s="3"/>
      <c r="AN13" s="3"/>
      <c r="AO13" s="3"/>
      <c r="AP13" s="3"/>
      <c r="AQ13" s="3"/>
    </row>
    <row r="14" spans="1:43" ht="30" hidden="1" customHeight="1">
      <c r="A14" s="1227" t="s">
        <v>1276</v>
      </c>
      <c r="B14" s="3"/>
      <c r="C14" s="1666" t="s">
        <v>1277</v>
      </c>
      <c r="D14" s="3"/>
      <c r="E14" s="3"/>
      <c r="F14" s="3"/>
      <c r="G14" s="3"/>
      <c r="H14" s="7"/>
      <c r="I14" s="1374">
        <f>VLOOKUP($C14,$A$78:$E$83,5,FALSE)</f>
        <v>1</v>
      </c>
      <c r="J14" s="1374" t="str">
        <f>VLOOKUP($C14,$A$78:$G$83,7,FALSE)</f>
        <v xml:space="preserve"> 6 ปี</v>
      </c>
      <c r="K14" s="1374">
        <f>VLOOKUP($C14,$A$78:$H$83,8,FALSE)</f>
        <v>6</v>
      </c>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row>
    <row r="15" spans="1:43" ht="30" customHeight="1">
      <c r="A15" s="3"/>
      <c r="B15" s="3"/>
      <c r="C15" s="1131"/>
      <c r="D15" s="3"/>
      <c r="E15" s="3"/>
      <c r="F15" s="3"/>
      <c r="G15" s="3"/>
      <c r="H15" s="7"/>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row>
    <row r="16" spans="1:43" ht="10" customHeight="1" thickBot="1">
      <c r="A16" s="754"/>
      <c r="B16" s="754"/>
      <c r="C16" s="754"/>
      <c r="D16" s="754"/>
      <c r="E16" s="754"/>
      <c r="F16" s="754"/>
      <c r="G16" s="601"/>
      <c r="H16" s="7"/>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row>
    <row r="17" spans="1:43" ht="25" customHeight="1">
      <c r="A17" s="2059" t="s">
        <v>25</v>
      </c>
      <c r="B17" s="2039" t="s">
        <v>15</v>
      </c>
      <c r="C17" s="2039"/>
      <c r="D17" s="2039"/>
      <c r="E17" s="2055" t="s">
        <v>21</v>
      </c>
      <c r="F17" s="2039" t="str">
        <f>"เบี้ยประกันภัย
("&amp;C7&amp;")"</f>
        <v>เบี้ยประกันภัย
(รายปี)</v>
      </c>
      <c r="G17" s="2041" t="s">
        <v>30</v>
      </c>
      <c r="H17" s="99"/>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row>
    <row r="18" spans="1:43" ht="25" customHeight="1" thickBot="1">
      <c r="A18" s="2060"/>
      <c r="B18" s="590" t="s">
        <v>69</v>
      </c>
      <c r="C18" s="590" t="s">
        <v>70</v>
      </c>
      <c r="D18" s="590" t="s">
        <v>71</v>
      </c>
      <c r="E18" s="2056"/>
      <c r="F18" s="2040"/>
      <c r="G18" s="2042"/>
      <c r="H18" s="7"/>
      <c r="I18" s="1376" t="s">
        <v>752</v>
      </c>
      <c r="J18" s="1376" t="s">
        <v>877</v>
      </c>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row>
    <row r="19" spans="1:43" ht="25" customHeight="1">
      <c r="A19" s="589" t="s">
        <v>2376</v>
      </c>
      <c r="B19" s="95">
        <f>IF(I14&gt;=5,50000,150000)</f>
        <v>150000</v>
      </c>
      <c r="C19" s="1121" t="str">
        <f>IF(I14&gt;=5,50000,"")</f>
        <v/>
      </c>
      <c r="D19" s="593">
        <v>1000000</v>
      </c>
      <c r="E19" s="595"/>
      <c r="F19" s="1242">
        <f>IF(AND(I14&gt;=5,D19&lt;&gt;50000),"ระบุจำนวนเงินเอาประกันภัยไม่ถูกต้อง",IF(AND(I14&lt;5,D19&lt;B19,D19&lt;&gt;0),"ระบุจำนวนเงินเอาประกันภัยไม่ถูกต้อง",IF(J22="no","ระบุแบบประกันไม่ถูกต้อง",IF(D19=0,0,Cal!H13))))</f>
        <v>287000</v>
      </c>
      <c r="G19" s="1243" t="s">
        <v>2361</v>
      </c>
      <c r="H19" s="116" t="str">
        <f>IF(OR(F19=0,LEFT(F19,4)="ระบุ"),"ไม่คุ้มครอง","")</f>
        <v/>
      </c>
      <c r="I19" s="1377">
        <f>IFERROR(F19*J19,0)</f>
        <v>287000</v>
      </c>
      <c r="J19" s="1376">
        <f>VLOOKUP($C7,$E$66:$G$69,3,FALSE)</f>
        <v>1</v>
      </c>
      <c r="K19" s="1276" t="s">
        <v>1475</v>
      </c>
      <c r="L19" s="1276" t="s">
        <v>1476</v>
      </c>
      <c r="M19" s="1276" t="s">
        <v>1476</v>
      </c>
      <c r="N19" s="3"/>
      <c r="O19" s="3"/>
      <c r="P19" s="3"/>
      <c r="Q19" s="3"/>
      <c r="R19" s="3"/>
      <c r="S19" s="3"/>
      <c r="T19" s="3"/>
      <c r="U19" s="3"/>
      <c r="V19" s="3"/>
      <c r="W19" s="3"/>
      <c r="X19" s="3"/>
      <c r="Y19" s="3"/>
      <c r="Z19" s="3"/>
      <c r="AA19" s="3"/>
      <c r="AB19" s="3"/>
      <c r="AC19" s="3"/>
      <c r="AD19" s="3"/>
      <c r="AE19" s="3"/>
      <c r="AF19" s="3"/>
      <c r="AG19" s="3"/>
      <c r="AH19" s="3"/>
      <c r="AI19" s="3"/>
      <c r="AJ19" s="3"/>
      <c r="AK19" s="3"/>
      <c r="AL19" s="3"/>
      <c r="AM19" s="3"/>
      <c r="AN19" s="3"/>
      <c r="AO19" s="3"/>
      <c r="AP19" s="3"/>
      <c r="AQ19" s="3"/>
    </row>
    <row r="20" spans="1:43" ht="26.25" customHeight="1">
      <c r="A20" s="1548" t="s">
        <v>1421</v>
      </c>
      <c r="B20" s="1598" t="str">
        <f>IF(C5&gt;70,"ไม่สามารถซื้อได้",IF(OR(D20="",D20="ไม่ซื้อ",I14&gt;=5),"",IF(AND(C5&lt;=70,C11=0,D20="ซื้อ"),"กรอกอายุผู้ชำระเบี้ย",IF(OR(C11&lt;20,C11&gt;70),"อายุผู้ชำระเบี้ยไม่อยู่ในเกณฑ์",IF(AND(C5&lt;=70,C12="",D20="ซื้อ"),"กรอกเพศผู้ชำระเบี้ย","")))))</f>
        <v/>
      </c>
      <c r="C20" s="1600" t="str">
        <f>IF(B20="","",B20)</f>
        <v/>
      </c>
      <c r="D20" s="594"/>
      <c r="E20" s="1603">
        <v>1</v>
      </c>
      <c r="F20" s="1242">
        <f>IFERROR(IF(I14&gt;=5,"PB ไม่ขายกับ Package นี้",IF(OR(D20="",D20="ไม่ซื้อ",$H$19="ไม่คุ้มครอง"),0,IF(AND(H19="",D19&gt;30000000),"กรุณาลดทุนประกันเหลือ 30 ลบ.",IF(AND(C5&gt;=16,C11&gt;=20,C12&lt;&gt;"",D20="ซื้อ",D21="ซื้อ"),"กรุณาเลือก WP หรือ PB อย่างใดอย่างหนึ่ง",Cal!H14)))),0)</f>
        <v>0</v>
      </c>
      <c r="G20" s="1247" t="s">
        <v>2368</v>
      </c>
      <c r="H20" s="120" t="str">
        <f>IF(OR(C11&lt;20,C11&gt;70,D20="ไม่ซื้อ",D20="",I14&gt;=5,LEFT(F20,5)="กรุณา"),"ไม่คุ้มครอง","")</f>
        <v>ไม่คุ้มครอง</v>
      </c>
      <c r="I20" s="1562" t="s">
        <v>1730</v>
      </c>
      <c r="J20" s="1378" t="str">
        <f>IF($C$5&lt;=15,VLOOKUP($A20,$E$86:$K$87,7,FALSE),VLOOKUP($A$20,$E$88:$K$89,7,FALSE))</f>
        <v>PBSDDCI</v>
      </c>
      <c r="K20" s="1431" t="str">
        <f>IF($C$5&lt;=15,VLOOKUP($A20,$E$86:$Z$87,5,FALSE),VLOOKUP($A$20,$E$88:$Z$89,5,FALSE))</f>
        <v>สัญญาเพิ่มเติมพีบี บียอนด์</v>
      </c>
      <c r="L20" s="1276" t="str">
        <f>J20&amp;Cal!$B$6</f>
        <v>PBSDDCI6</v>
      </c>
      <c r="M20" s="1276" t="str">
        <f>K20&amp;" ("&amp;J20&amp;")"</f>
        <v>สัญญาเพิ่มเติมพีบี บียอนด์ (PBSDDCI)</v>
      </c>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c r="AP20" s="3"/>
      <c r="AQ20" s="3"/>
    </row>
    <row r="21" spans="1:43" s="2020" customFormat="1" ht="25" customHeight="1">
      <c r="A21" s="196" t="s">
        <v>1454</v>
      </c>
      <c r="B21" s="34" t="str">
        <f>IF(OR(C5&lt;16,C5&gt;70),"ไม่สามารถซื้อได้","")</f>
        <v/>
      </c>
      <c r="C21" s="1600" t="str">
        <f>IF(B21="","",B21)</f>
        <v/>
      </c>
      <c r="D21" s="594"/>
      <c r="E21" s="32">
        <v>1</v>
      </c>
      <c r="F21" s="1242">
        <f>IF(I14&gt;=5,"WP ไม่ขายกับ Package นี้",IF(OR(D21="ไม่ซื้อ",D21="",$H$19="ไม่คุ้มครอง"),0,IF(AND(H19="",D19&gt;30000000),"กรุณาลดทุนประกันเหลือ 30 ลบ.",IF(AND(C5&gt;=16,C11&gt;=20,C12&lt;&gt;"",D20="ซื้อ",D21="ซื้อ"),"กรุณาเลือก WP หรือ PB อย่างใดอย่างหนึ่ง",Cal!H15))))</f>
        <v>0</v>
      </c>
      <c r="G21" s="1247" t="s">
        <v>2362</v>
      </c>
      <c r="H21" s="120" t="str">
        <f>IF(OR(C5&lt;16,C5&gt;70,D21="ไม่ซื้อ",D21="",I14&gt;=5,LEFT(F21,5)="กรุณา"),"ไม่คุ้มครอง","")</f>
        <v>ไม่คุ้มครอง</v>
      </c>
      <c r="I21" s="913" t="s">
        <v>1456</v>
      </c>
      <c r="J21" s="1378" t="str">
        <f>IF($C$5&lt;=15,"",VLOOKUP($A21,$E$92:$I$93,5,FALSE))</f>
        <v>WPTPD</v>
      </c>
      <c r="K21" s="1431" t="str">
        <f>IF($C$5&lt;=15,"",VLOOKUP($A21,$E$92:$Z$93,3,FALSE))</f>
        <v>สัญญาเพิ่มเติมดับบลิวพี ฟิต</v>
      </c>
      <c r="L21" s="1431" t="str">
        <f>IF(J21="","",J21&amp;Cal!$B$6)</f>
        <v>WPTPD6</v>
      </c>
      <c r="M21" s="1431" t="str">
        <f>K21&amp;" ("&amp;J21&amp;")"</f>
        <v>สัญญาเพิ่มเติมดับบลิวพี ฟิต (WPTPD)</v>
      </c>
      <c r="N21" s="76"/>
      <c r="O21" s="76"/>
      <c r="P21" s="76"/>
      <c r="Q21" s="76"/>
      <c r="R21" s="76"/>
      <c r="S21" s="76"/>
      <c r="T21" s="76"/>
      <c r="U21" s="76"/>
      <c r="V21" s="76"/>
      <c r="W21" s="76"/>
      <c r="X21" s="76"/>
      <c r="Y21" s="76"/>
      <c r="Z21" s="76"/>
      <c r="AA21" s="76"/>
      <c r="AB21" s="76"/>
      <c r="AC21" s="76"/>
      <c r="AD21" s="76"/>
      <c r="AE21" s="76"/>
      <c r="AF21" s="76"/>
      <c r="AG21" s="76"/>
      <c r="AH21" s="76"/>
      <c r="AI21" s="76"/>
      <c r="AJ21" s="76"/>
      <c r="AK21" s="76"/>
      <c r="AL21" s="76"/>
      <c r="AM21" s="76"/>
      <c r="AN21" s="76"/>
      <c r="AO21" s="76"/>
      <c r="AP21" s="76"/>
      <c r="AQ21" s="76"/>
    </row>
    <row r="22" spans="1:43" ht="24" customHeight="1">
      <c r="A22" s="123" t="s">
        <v>38</v>
      </c>
      <c r="B22" s="880">
        <f>IF(C5&gt;60,"ไม่สามารถซื้อได้",100000)</f>
        <v>100000</v>
      </c>
      <c r="C22" s="880">
        <f>IF(C5&gt;60,"ไม่สามารถซื้อได้",IF(C5&lt;16,MIN(3000000,2*D19),MIN(5*D19,10000000)))</f>
        <v>5000000</v>
      </c>
      <c r="D22" s="31"/>
      <c r="E22" s="32">
        <v>1</v>
      </c>
      <c r="F22" s="1246">
        <f>IF($D$22+$D$23&gt;MIN(5*$D$19,10000000),"AP+ECARE เกินกว่าที่กำหนด",IF(AND(C5&lt;16,D22&gt;C22),"AP เกินกว่าที่กำหนด",Cal!H16))</f>
        <v>0</v>
      </c>
      <c r="G22" s="1243" t="s">
        <v>31</v>
      </c>
      <c r="H22" s="120" t="str">
        <f>IF(OR(LEFT(F22,2)="AP",F22=0),"ไม่คุ้มครอง","")</f>
        <v>ไม่คุ้มครอง</v>
      </c>
      <c r="I22" s="913" t="s">
        <v>1457</v>
      </c>
      <c r="J22" s="1432" t="str">
        <f>IF(C15&lt;&gt;"","no","Yes")</f>
        <v>Yes</v>
      </c>
      <c r="K22" s="1278"/>
      <c r="L22" s="1279"/>
      <c r="M22" s="3"/>
      <c r="N22" s="3"/>
      <c r="O22" s="3"/>
      <c r="P22" s="3"/>
      <c r="Q22" s="3"/>
      <c r="R22" s="3"/>
      <c r="S22" s="3"/>
      <c r="T22" s="3"/>
      <c r="U22" s="3"/>
      <c r="V22" s="3"/>
      <c r="W22" s="3"/>
      <c r="X22" s="3"/>
      <c r="Y22" s="3"/>
      <c r="Z22" s="3"/>
      <c r="AA22" s="3"/>
      <c r="AB22" s="3"/>
      <c r="AC22" s="3"/>
      <c r="AD22" s="3"/>
      <c r="AE22" s="3"/>
      <c r="AF22" s="3"/>
      <c r="AG22" s="3"/>
      <c r="AH22" s="3"/>
      <c r="AI22" s="3"/>
      <c r="AJ22" s="3"/>
      <c r="AK22" s="3"/>
      <c r="AL22" s="3"/>
      <c r="AM22" s="3"/>
      <c r="AN22" s="3"/>
      <c r="AO22" s="3"/>
      <c r="AP22" s="3"/>
      <c r="AQ22" s="3"/>
    </row>
    <row r="23" spans="1:43" ht="24" customHeight="1">
      <c r="A23" s="123" t="str">
        <f>IF(I14&gt;=5,"","ECARE")</f>
        <v>ECARE</v>
      </c>
      <c r="B23" s="880">
        <f>IF(A23="","",IF(OR(C5&lt;16,C5&gt;60),"ไม่สามารถซื้อได้",100000))</f>
        <v>100000</v>
      </c>
      <c r="C23" s="880">
        <f>IF(A23="","",IF(OR(C5&lt;16,C5&gt;60),"ไม่สามารถซื้อได้",MIN(10000000,5*D19)))</f>
        <v>5000000</v>
      </c>
      <c r="D23" s="31"/>
      <c r="E23" s="32">
        <v>1</v>
      </c>
      <c r="F23" s="1246">
        <f>IF(A23="",0,IF($D$22+$D$23&gt;MIN(5*$D$19,10000000),"AP+ECARE เกินกว่าที่กำหนด",Cal!H17))</f>
        <v>0</v>
      </c>
      <c r="G23" s="1243" t="s">
        <v>2363</v>
      </c>
      <c r="H23" s="120" t="str">
        <f>IF(OR(LEFT(F23,2)="AP",F23=0),"ไม่คุ้มครอง","")</f>
        <v>ไม่คุ้มครอง</v>
      </c>
      <c r="I23" s="913" t="s">
        <v>1538</v>
      </c>
      <c r="J23" s="1431" t="str">
        <f>IF(AND(F20&gt;0,H20=""),J20,IF(AND(F21&gt;0,H21=""),J21,""))</f>
        <v/>
      </c>
      <c r="K23" s="3"/>
      <c r="L23" s="3"/>
      <c r="M23" s="3"/>
      <c r="N23" s="3"/>
      <c r="O23" s="3"/>
      <c r="P23" s="3"/>
      <c r="Q23" s="3"/>
      <c r="R23" s="3"/>
      <c r="S23" s="3"/>
      <c r="T23" s="3"/>
      <c r="U23" s="3"/>
      <c r="V23" s="3"/>
      <c r="W23" s="3"/>
      <c r="X23" s="3"/>
      <c r="Y23" s="3"/>
      <c r="Z23" s="3"/>
      <c r="AA23" s="3"/>
      <c r="AB23" s="3"/>
      <c r="AC23" s="3"/>
      <c r="AD23" s="3"/>
      <c r="AE23" s="3"/>
      <c r="AF23" s="3"/>
      <c r="AG23" s="3"/>
      <c r="AH23" s="3"/>
      <c r="AI23" s="3"/>
      <c r="AJ23" s="3"/>
      <c r="AK23" s="3"/>
      <c r="AL23" s="3"/>
      <c r="AM23" s="3"/>
      <c r="AN23" s="3"/>
      <c r="AO23" s="3"/>
      <c r="AP23" s="3"/>
      <c r="AQ23" s="3"/>
    </row>
    <row r="24" spans="1:43" ht="27" customHeight="1">
      <c r="A24" s="755" t="str">
        <f>IF(I14=5,"","MEX")</f>
        <v>MEX</v>
      </c>
      <c r="B24" s="756">
        <f>IF(A24="","",IF(C5&gt;70,"ไม่สามารถซื้อได้",1200))</f>
        <v>1200</v>
      </c>
      <c r="C24" s="756">
        <f>IF(A24="","",IF(C5&gt;70,"ไม่สามารถซื้อได้",IF(C5&lt;=10,3200,6200)))</f>
        <v>6200</v>
      </c>
      <c r="D24" s="757"/>
      <c r="E24" s="758">
        <v>1</v>
      </c>
      <c r="F24" s="851">
        <f>IF(AND(I14=5,R37&gt;=1),"MEA Extra ไม่ขายกับ package นี้",IF(AND(I14=6,OR(D24="",D24="ไม่ซื้อ")),"กรุณาเลือกแผน MEA Extra",IF(OR(A24="",F19=0,D24="",D24="ไม่ซื้อ"),0,IF(D24&gt;C24,A24&amp;" เกินกว่าที่กำหนด",Cal!H22))))</f>
        <v>0</v>
      </c>
      <c r="G24" s="1245" t="s">
        <v>998</v>
      </c>
      <c r="H24" s="116" t="str">
        <f>IF(OR(I14=5,F19=0,D24="",D24="ไม่ซื้อ",D24&gt;C24),"ไม่คุ้มครอง","")</f>
        <v>ไม่คุ้มครอง</v>
      </c>
      <c r="I24" s="99"/>
      <c r="J24" s="3"/>
      <c r="K24" s="3"/>
      <c r="L24" s="3"/>
      <c r="M24" s="3"/>
      <c r="N24" s="3"/>
      <c r="O24" s="3"/>
      <c r="P24" s="3"/>
      <c r="Q24" s="3"/>
      <c r="R24" s="3"/>
      <c r="S24" s="3"/>
      <c r="T24" s="3"/>
      <c r="U24" s="3"/>
      <c r="V24" s="3"/>
      <c r="W24" s="3"/>
      <c r="X24" s="3"/>
      <c r="Y24" s="3"/>
      <c r="Z24" s="3"/>
      <c r="AA24" s="3"/>
      <c r="AB24" s="3"/>
      <c r="AC24" s="3"/>
      <c r="AD24" s="3"/>
      <c r="AE24" s="3"/>
      <c r="AF24" s="3"/>
      <c r="AG24" s="3"/>
      <c r="AH24" s="3"/>
      <c r="AI24" s="2004" t="str">
        <f>IF(C5&gt;75,"ไม่สามารถซื้อได้","แผน S")</f>
        <v>แผน S</v>
      </c>
      <c r="AJ24" s="2005" t="str">
        <f>IF(C5&gt;75,"ไม่สามารถซื้อได้","แผน M")</f>
        <v>แผน M</v>
      </c>
      <c r="AK24" s="2006" t="s">
        <v>2897</v>
      </c>
      <c r="AL24" s="2007"/>
      <c r="AM24" s="3"/>
      <c r="AN24" s="3"/>
      <c r="AO24" s="3"/>
      <c r="AP24" s="3"/>
      <c r="AQ24" s="3"/>
    </row>
    <row r="25" spans="1:43" ht="27" customHeight="1" thickBot="1">
      <c r="A25" s="123" t="s">
        <v>20</v>
      </c>
      <c r="B25" s="880">
        <f>IF(OR(C5&lt;6,C5&gt;65),"ไม่สามารถซื้อได้",500)</f>
        <v>500</v>
      </c>
      <c r="C25" s="880">
        <f>IF(OR(C5&lt;6,C5&gt;65),"ไม่สามารถซื้อได้",IF(C5&lt;11,500,IF(C5&lt;16,1000,5000)))</f>
        <v>5000</v>
      </c>
      <c r="D25" s="31">
        <v>500</v>
      </c>
      <c r="E25" s="49">
        <v>1</v>
      </c>
      <c r="F25" s="1246">
        <f>IF(OR(F19=0,D25="",D25="ไม่ซื้อ"),0,IF(D25&gt;C25,A25&amp;" เกินกว่าที่กำหนด",Cal!H19))</f>
        <v>750</v>
      </c>
      <c r="G25" s="1247" t="s">
        <v>2364</v>
      </c>
      <c r="H25" s="120" t="str">
        <f>IF(OR(,C25="ไม่สามารถซื้อได้",D25="",D25="ไม่ซื้อ",D25&gt;C25,F25=0),"ไม่คุ้มครอง","")</f>
        <v/>
      </c>
      <c r="I25" s="99"/>
      <c r="J25" s="99"/>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c r="AP25" s="3"/>
      <c r="AQ25" s="3"/>
    </row>
    <row r="26" spans="1:43" ht="20.25" customHeight="1">
      <c r="A26" s="123" t="s">
        <v>130</v>
      </c>
      <c r="B26" s="881">
        <f>IF(OR(C5&lt;20,C5&gt;65),"ไม่สามารถซื้อได้",200000)</f>
        <v>200000</v>
      </c>
      <c r="C26" s="881">
        <f>IF(AND(I14&gt;=5,C5&gt;=20,C5&lt;=65),200000,IF(OR(C5&lt;20,C5&gt;65),"ไม่สามารถซื้อได้",10000000))</f>
        <v>10000000</v>
      </c>
      <c r="D26" s="31"/>
      <c r="E26" s="1505"/>
      <c r="F26" s="1248">
        <f>IF(AND(I14&gt;=5,D26&gt;200000),"ต้องระบุทุน DCI 2 แสนบาทเท่านั้น",IF(D26&gt;C26,A26&amp;" เกินกว่าที่กำหนด",IF($D$28+$D$26&gt;10000000,"DCI+CPR เกินกว่าที่กำหนด",Cal!H20)))</f>
        <v>0</v>
      </c>
      <c r="G26" s="1247" t="s">
        <v>2365</v>
      </c>
      <c r="H26" s="120" t="str">
        <f>IF(OR(D26="",D26&gt;C26,C26="ไม่สามารถซื้อได้",F26=0),"ไม่คุ้มครอง","")</f>
        <v>ไม่คุ้มครอง</v>
      </c>
      <c r="I26" s="187"/>
      <c r="J26" s="268"/>
      <c r="K26" s="3"/>
      <c r="L26" s="116"/>
      <c r="M26" s="116"/>
      <c r="N26" s="900" t="s">
        <v>768</v>
      </c>
      <c r="O26" s="2043" t="s">
        <v>1098</v>
      </c>
      <c r="P26" s="2044"/>
      <c r="Q26" s="2045"/>
      <c r="R26" s="901" t="s">
        <v>1099</v>
      </c>
      <c r="S26" s="902" t="s">
        <v>1100</v>
      </c>
      <c r="T26" s="903" t="s">
        <v>933</v>
      </c>
      <c r="U26" s="903" t="s">
        <v>1101</v>
      </c>
      <c r="V26" s="904" t="s">
        <v>768</v>
      </c>
      <c r="W26" s="3"/>
      <c r="X26" s="1759" t="s">
        <v>768</v>
      </c>
      <c r="Y26" s="1759" t="s">
        <v>1449</v>
      </c>
      <c r="Z26" s="3"/>
      <c r="AA26" s="3"/>
      <c r="AB26" s="3"/>
      <c r="AC26" s="3"/>
      <c r="AD26" s="3"/>
      <c r="AE26" s="3"/>
      <c r="AF26" s="3"/>
      <c r="AG26" s="76"/>
      <c r="AH26" s="76"/>
      <c r="AI26" s="2008" t="s">
        <v>2898</v>
      </c>
      <c r="AJ26" s="76"/>
      <c r="AK26" s="76" t="str">
        <f>IF(C6="ชาย","M",IF(C6="หญิง","F","-"))</f>
        <v>F</v>
      </c>
      <c r="AL26" s="2009">
        <f>C5</f>
        <v>44</v>
      </c>
      <c r="AM26" s="76"/>
      <c r="AN26" s="76"/>
      <c r="AO26" s="76"/>
      <c r="AP26" s="3"/>
      <c r="AQ26" s="3"/>
    </row>
    <row r="27" spans="1:43" ht="24" customHeight="1">
      <c r="A27" s="196" t="s">
        <v>189</v>
      </c>
      <c r="B27" s="880">
        <f>IF(I14&gt;=5,"",IF(OR(C5&lt;20,C5&gt;59),"ไม่สามารถซื้อได้",300000))</f>
        <v>300000</v>
      </c>
      <c r="C27" s="880">
        <f>IF(B27="","",IF(OR(C5&lt;20,C5&gt;59),"ไม่สามารถซื้อได้",5*D19))</f>
        <v>5000000</v>
      </c>
      <c r="D27" s="31"/>
      <c r="E27" s="195"/>
      <c r="F27" s="1242">
        <f>IF(I14&gt;=5,"PLS ไม่ขายกับ package นี้",IF(B27="ไม่สามารถซื้อได้",0,IF(D27&gt;C27,A27&amp;" เกินกว่าที่กำหนด",Cal!H21)))</f>
        <v>0</v>
      </c>
      <c r="G27" s="1243" t="s">
        <v>2366</v>
      </c>
      <c r="H27" s="116" t="str">
        <f>IF(OR(D27="",D27&gt;C27,C27="ไม่สามารถซื้อได้",F27=0,I14&gt;=5),"ไม่คุ้มครอง","")</f>
        <v>ไม่คุ้มครอง</v>
      </c>
      <c r="I27" s="187"/>
      <c r="J27" s="268"/>
      <c r="K27" s="3"/>
      <c r="L27" s="905" t="s">
        <v>1102</v>
      </c>
      <c r="M27" s="905">
        <f>D30</f>
        <v>0</v>
      </c>
      <c r="N27" s="906" t="s">
        <v>1103</v>
      </c>
      <c r="O27" s="907" t="s">
        <v>578</v>
      </c>
      <c r="P27" s="908" t="s">
        <v>575</v>
      </c>
      <c r="Q27" s="907" t="s">
        <v>557</v>
      </c>
      <c r="R27" s="909">
        <v>6</v>
      </c>
      <c r="S27" s="910" t="s">
        <v>1104</v>
      </c>
      <c r="T27" s="911" t="s">
        <v>1105</v>
      </c>
      <c r="U27" s="912" t="s">
        <v>1106</v>
      </c>
      <c r="V27" s="913" t="s">
        <v>583</v>
      </c>
      <c r="W27" s="3"/>
      <c r="X27" s="1760" t="str">
        <f>IF(C5&gt;65,"","แผน S")</f>
        <v>แผน S</v>
      </c>
      <c r="Y27" s="1760" t="s">
        <v>2446</v>
      </c>
      <c r="Z27" s="3">
        <v>1</v>
      </c>
      <c r="AA27" s="3"/>
      <c r="AB27" s="3"/>
      <c r="AC27" s="3"/>
      <c r="AD27" s="3"/>
      <c r="AE27" s="3"/>
      <c r="AF27" s="3"/>
      <c r="AG27" s="76" t="s">
        <v>2899</v>
      </c>
      <c r="AH27" s="2010" t="str">
        <f>AK24</f>
        <v>แผน M</v>
      </c>
      <c r="AI27" s="76" t="s">
        <v>2900</v>
      </c>
      <c r="AJ27" s="76" t="s">
        <v>51</v>
      </c>
      <c r="AK27" s="76" t="s">
        <v>1143</v>
      </c>
      <c r="AL27" s="76" t="s">
        <v>49</v>
      </c>
      <c r="AM27" s="76" t="s">
        <v>1144</v>
      </c>
      <c r="AN27" s="76" t="s">
        <v>53</v>
      </c>
      <c r="AO27" s="76" t="s">
        <v>2901</v>
      </c>
      <c r="AP27" s="3"/>
      <c r="AQ27" s="3"/>
    </row>
    <row r="28" spans="1:43" ht="24" customHeight="1">
      <c r="A28" s="197" t="str">
        <f>IF(I14&gt;=5,"","CPR")</f>
        <v>CPR</v>
      </c>
      <c r="B28" s="773">
        <f>IF(A28="","",IF(C5&gt;65,"ไม่สามารถซื้อได้",IF(D26&gt;0,"ไม่สามารถซื้อคู่กับ DCI ได้",300000)))</f>
        <v>300000</v>
      </c>
      <c r="C28" s="773">
        <f>IF(A28="","",IF(C5&gt;65,"ไม่สามารถซื้อได้",IF(D26&gt;0,"ไม่สามารถซื้อคู่กับ DCI ได้",MIN(5000000,D19*5))))</f>
        <v>5000000</v>
      </c>
      <c r="D28" s="198"/>
      <c r="E28" s="195"/>
      <c r="F28" s="1244">
        <f>IF(A28="",0,IF(D28&gt;C28,A28&amp;" เกินกว่าที่กำหนด",IF($D$28+$D$26&gt;10000000,"DCI+CPR เกินกว่าที่กำหนด",Cal!H37)))</f>
        <v>0</v>
      </c>
      <c r="G28" s="1245" t="s">
        <v>98</v>
      </c>
      <c r="H28" s="116" t="str">
        <f>IF(OR(D28="",D28&gt;C28,LEFT(C28,3)="ไม่",F28=0),"ไม่คุ้มครอง","")</f>
        <v>ไม่คุ้มครอง</v>
      </c>
      <c r="I28" s="187"/>
      <c r="J28" s="268"/>
      <c r="K28" s="3"/>
      <c r="L28" s="914"/>
      <c r="M28" s="905" t="str">
        <f>D37</f>
        <v>ประเทศไทย</v>
      </c>
      <c r="N28" s="915" t="s">
        <v>1107</v>
      </c>
      <c r="O28" s="916" t="s">
        <v>578</v>
      </c>
      <c r="P28" s="917" t="s">
        <v>575</v>
      </c>
      <c r="Q28" s="916" t="s">
        <v>557</v>
      </c>
      <c r="R28" s="909">
        <v>5</v>
      </c>
      <c r="S28" s="910" t="s">
        <v>1108</v>
      </c>
      <c r="T28" s="911" t="s">
        <v>1109</v>
      </c>
      <c r="U28" s="912" t="s">
        <v>1106</v>
      </c>
      <c r="V28" s="913" t="s">
        <v>583</v>
      </c>
      <c r="W28" s="3"/>
      <c r="X28" s="1760" t="str">
        <f>IF(C5&gt;65,"","แผน M")</f>
        <v>แผน M</v>
      </c>
      <c r="Y28" s="1760" t="s">
        <v>2447</v>
      </c>
      <c r="Z28" s="3">
        <v>2</v>
      </c>
      <c r="AA28" s="3"/>
      <c r="AB28" s="3"/>
      <c r="AC28" s="3"/>
      <c r="AD28" s="3"/>
      <c r="AE28" s="3"/>
      <c r="AF28" s="3"/>
      <c r="AG28" s="76" t="s">
        <v>2897</v>
      </c>
      <c r="AH28" s="2011">
        <f>IF(AH27="แผน S",SUM(AN28:AN30),SUM(AN28:AN33))</f>
        <v>44789.5</v>
      </c>
      <c r="AI28" s="1253" t="s">
        <v>2878</v>
      </c>
      <c r="AJ28" s="2010">
        <f>D33</f>
        <v>5000000</v>
      </c>
      <c r="AK28" s="76" t="str">
        <f t="shared" ref="AK28:AK33" si="0">AI28&amp;"-"&amp;$AK$26</f>
        <v>Major CI-F</v>
      </c>
      <c r="AL28" s="76">
        <f>IF(C5&lt;76,(VLOOKUP(AK28,'Rate CI 123'!$F$4:$DB$15,$C$5+2,FALSE)),0)</f>
        <v>7.17</v>
      </c>
      <c r="AM28" s="76">
        <f t="shared" ref="AM28:AM33" si="1">TRUNC(AL28*TRUNC(AJ28/1000,3),2)</f>
        <v>35850</v>
      </c>
      <c r="AN28" s="76">
        <f t="shared" ref="AN28:AN33" si="2">TRUNC(AM28*$AL$36,2)</f>
        <v>35850</v>
      </c>
      <c r="AO28" s="76"/>
      <c r="AP28" s="3"/>
      <c r="AQ28" s="3"/>
    </row>
    <row r="29" spans="1:43" ht="24" customHeight="1">
      <c r="A29" s="197" t="str">
        <f>IF(I14&gt;=5,"","HIC")</f>
        <v>HIC</v>
      </c>
      <c r="B29" s="773" t="str">
        <f>IF(A29="","",IF(H24="","ไม่สามารถซื้อคู่กับ MEX",IF(H30="","ไม่สามารถซื้อคู่กับ iHealthy Ultra",IF(H25="","ไม่สามารถซื้อคู่กับ MEB",IF(F28=0,"ต้องซื้อคู่กับ CPR",1000)))))</f>
        <v>ไม่สามารถซื้อคู่กับ MEB</v>
      </c>
      <c r="C29" s="773" t="str">
        <f>IF(A29="","",IF(OR(LEFT(B29,3)="ไม่",F28=0),B29,10000))</f>
        <v>ไม่สามารถซื้อคู่กับ MEB</v>
      </c>
      <c r="D29" s="899"/>
      <c r="E29" s="195"/>
      <c r="F29" s="1249">
        <f>IF(A28="",0,Cal!H38)</f>
        <v>0</v>
      </c>
      <c r="G29" s="1245" t="s">
        <v>98</v>
      </c>
      <c r="H29" s="116" t="str">
        <f>IF(OR(D29="",H28="ไม่คุ้มครอง",LEFT(C29,3)="ไม่"),"ไม่คุ้มครอง","")</f>
        <v>ไม่คุ้มครอง</v>
      </c>
      <c r="I29" s="187"/>
      <c r="J29" s="269"/>
      <c r="K29" s="3"/>
      <c r="L29" s="918" t="s">
        <v>1110</v>
      </c>
      <c r="M29" s="919" t="str">
        <f>IF(OR(I14=6,M27="ไม่ซื้อ",M27=""),"No",IF(AND(C5&lt;11,OR(M27="Smart",M27="Bronze"),M28="ประเทศไทย"),"OK",IF(AND(C5&gt;=11,OR(M27="Smart",M27="Bronze",M27="Silver",M27="Gold"),M28="ประเทศไทย"),"OK",IF(AND(C5&gt;=11,OR(M27="Diamond",M27="Platinum"),OR(M28="ประเทศไทย",M28="เอเชีย",M28="ทั่วโลก")),"OK","No"))))</f>
        <v>No</v>
      </c>
      <c r="N29" s="920" t="s">
        <v>1111</v>
      </c>
      <c r="O29" s="916" t="s">
        <v>557</v>
      </c>
      <c r="P29" s="921"/>
      <c r="Q29" s="922"/>
      <c r="R29" s="909">
        <v>4</v>
      </c>
      <c r="S29" s="910" t="s">
        <v>1112</v>
      </c>
      <c r="T29" s="911" t="s">
        <v>1113</v>
      </c>
      <c r="U29" s="912" t="s">
        <v>1114</v>
      </c>
      <c r="V29" s="913" t="s">
        <v>1115</v>
      </c>
      <c r="W29" s="3"/>
      <c r="X29" s="1760" t="str">
        <f>IF(OR(C5&lt;11,C5&gt;65),"","แผน L")</f>
        <v>แผน L</v>
      </c>
      <c r="Y29" s="1760" t="s">
        <v>2448</v>
      </c>
      <c r="Z29" s="3">
        <v>3</v>
      </c>
      <c r="AA29" s="3"/>
      <c r="AB29" s="3"/>
      <c r="AC29" s="3"/>
      <c r="AD29" s="3"/>
      <c r="AE29" s="3"/>
      <c r="AF29" s="3"/>
      <c r="AG29" s="76"/>
      <c r="AH29" s="76"/>
      <c r="AI29" s="1253" t="s">
        <v>2881</v>
      </c>
      <c r="AJ29" s="76">
        <f>AJ28*25%</f>
        <v>1250000</v>
      </c>
      <c r="AK29" s="76" t="str">
        <f t="shared" si="0"/>
        <v>Critical Care Benefit-F</v>
      </c>
      <c r="AL29" s="76">
        <f>IF(C5&lt;76,(VLOOKUP(AK29,'Rate CI 123'!$F$4:$DB$15,$C$5+2,FALSE)),0)</f>
        <v>1.44</v>
      </c>
      <c r="AM29" s="76">
        <f t="shared" si="1"/>
        <v>1800</v>
      </c>
      <c r="AN29" s="76">
        <f t="shared" si="2"/>
        <v>1800</v>
      </c>
      <c r="AO29" s="76"/>
      <c r="AP29" s="3"/>
      <c r="AQ29" s="3"/>
    </row>
    <row r="30" spans="1:43" ht="24" customHeight="1">
      <c r="A30" s="2034" t="str">
        <f>IF(I14=6,"","iHealthy Ultra")</f>
        <v>iHealthy Ultra</v>
      </c>
      <c r="B30" s="1749" t="str">
        <f>IF(A30="","",IF(OR(C5&lt;6,C5&gt;80),"ไม่สามารถซื้อได้","แผน Smart"))</f>
        <v>แผน Smart</v>
      </c>
      <c r="C30" s="1749" t="str">
        <f>IF(A30="","",IF(OR(C5&lt;6,C5&gt;80),"ไม่สามารถซื้อได้",IF(C5&lt;=10,"แผน Bronze","แผน Platinum")))</f>
        <v>แผน Platinum</v>
      </c>
      <c r="D30" s="1750"/>
      <c r="E30" s="2046">
        <v>1</v>
      </c>
      <c r="F30" s="2048">
        <f>IF(C5&lt;=5,"ไม่สามารถซื้อ iHealthy Ultra ได้",IF(AND(I14=6,R37&lt;&gt;""),"iHealthy Ultra ไม่ขายกับ package นี้",IF(AND(I14=5,OR(D30="",D30="ไม่ซื้อ")),"กรุณาเลือกแผน iHealthy Ultra",IF(OR(A30="",D30="ไม่ซื้อ",D30=""),0,IF(AND(C5&lt;11,R37&gt;2),"แผน iHealthy Ultra ไม่ถูกต้อง",Cal!H23)))))</f>
        <v>0</v>
      </c>
      <c r="G30" s="2050" t="s">
        <v>2367</v>
      </c>
      <c r="H30" s="116" t="str">
        <f>IF(OR(I14=6,F19=0,D30="",F30=0,LEFT(C30,3)="ไม่",D30="ไม่ซื้อ"),"ไม่คุ้มครอง","")</f>
        <v>ไม่คุ้มครอง</v>
      </c>
      <c r="I30" s="187"/>
      <c r="J30" s="269"/>
      <c r="K30" s="3"/>
      <c r="L30" s="116"/>
      <c r="M30" s="116" t="s">
        <v>2426</v>
      </c>
      <c r="N30" s="923" t="s">
        <v>1116</v>
      </c>
      <c r="O30" s="922" t="s">
        <v>557</v>
      </c>
      <c r="P30" s="921"/>
      <c r="Q30" s="922"/>
      <c r="R30" s="924">
        <v>3</v>
      </c>
      <c r="S30" s="925" t="s">
        <v>622</v>
      </c>
      <c r="T30" s="911" t="s">
        <v>1117</v>
      </c>
      <c r="U30" s="912" t="s">
        <v>1114</v>
      </c>
      <c r="V30" s="913" t="s">
        <v>1115</v>
      </c>
      <c r="W30" s="3"/>
      <c r="X30" s="1760" t="str">
        <f>IF(OR(C5&lt;11,C5&gt;65),"","แผน XL")</f>
        <v>แผน XL</v>
      </c>
      <c r="Y30" s="1760" t="s">
        <v>2449</v>
      </c>
      <c r="Z30" s="3">
        <v>4</v>
      </c>
      <c r="AA30" s="3"/>
      <c r="AB30" s="3"/>
      <c r="AC30" s="3"/>
      <c r="AD30" s="3"/>
      <c r="AE30" s="3"/>
      <c r="AF30" s="3"/>
      <c r="AG30" s="76"/>
      <c r="AH30" s="76"/>
      <c r="AI30" s="76" t="s">
        <v>2887</v>
      </c>
      <c r="AJ30" s="76">
        <f>AJ28*25%</f>
        <v>1250000</v>
      </c>
      <c r="AK30" s="76" t="str">
        <f t="shared" si="0"/>
        <v>Juvenile CI-F</v>
      </c>
      <c r="AL30" s="76">
        <f>IF(C5&gt;18,0,VLOOKUP(AK30,'Rate CI 123'!$F$4:$DB$15,$C$5+2,FALSE))</f>
        <v>0</v>
      </c>
      <c r="AM30" s="76">
        <f t="shared" si="1"/>
        <v>0</v>
      </c>
      <c r="AN30" s="76">
        <f t="shared" si="2"/>
        <v>0</v>
      </c>
      <c r="AO30" s="76"/>
      <c r="AP30" s="3"/>
      <c r="AQ30" s="3"/>
    </row>
    <row r="31" spans="1:43" ht="24" customHeight="1">
      <c r="A31" s="2035"/>
      <c r="B31" s="1751" t="str">
        <f>IF($D$30="","","โปรดเลือกลักษณะความคุ้มครอง")</f>
        <v/>
      </c>
      <c r="C31" s="1752"/>
      <c r="D31" s="1750"/>
      <c r="E31" s="2047"/>
      <c r="F31" s="2049"/>
      <c r="G31" s="2051"/>
      <c r="H31" s="116"/>
      <c r="I31" s="187"/>
      <c r="J31" s="269"/>
      <c r="K31" s="3"/>
      <c r="L31" s="116"/>
      <c r="M31" s="116" t="s">
        <v>2427</v>
      </c>
      <c r="N31" s="926" t="s">
        <v>1118</v>
      </c>
      <c r="O31" s="916" t="s">
        <v>557</v>
      </c>
      <c r="P31" s="917"/>
      <c r="Q31" s="916"/>
      <c r="R31" s="909">
        <v>2</v>
      </c>
      <c r="S31" s="910" t="s">
        <v>1119</v>
      </c>
      <c r="T31" s="911" t="s">
        <v>1120</v>
      </c>
      <c r="U31" s="912" t="s">
        <v>1121</v>
      </c>
      <c r="V31" s="913" t="s">
        <v>585</v>
      </c>
      <c r="W31" s="3"/>
      <c r="X31" s="3" t="s">
        <v>2451</v>
      </c>
      <c r="Y31" s="3"/>
      <c r="Z31" s="3"/>
      <c r="AA31" s="3"/>
      <c r="AB31" s="3"/>
      <c r="AC31" s="3"/>
      <c r="AD31" s="3"/>
      <c r="AE31" s="3"/>
      <c r="AF31" s="3"/>
      <c r="AG31" s="76"/>
      <c r="AH31" s="76"/>
      <c r="AI31" s="1253" t="s">
        <v>2885</v>
      </c>
      <c r="AJ31" s="76">
        <f>MIN(AJ28*20%,100000)</f>
        <v>100000</v>
      </c>
      <c r="AK31" s="76" t="str">
        <f t="shared" si="0"/>
        <v>Pre-Early CI-F</v>
      </c>
      <c r="AL31" s="76">
        <f>IF(C5&lt;76,(VLOOKUP(AK31,'Rate CI 123'!$F$4:$DB$15,$C$5+2,FALSE)),0)</f>
        <v>1.32</v>
      </c>
      <c r="AM31" s="76">
        <f t="shared" si="1"/>
        <v>132</v>
      </c>
      <c r="AN31" s="76">
        <f t="shared" si="2"/>
        <v>132</v>
      </c>
      <c r="AO31" s="76"/>
      <c r="AP31" s="3"/>
      <c r="AQ31" s="3"/>
    </row>
    <row r="32" spans="1:43" ht="24" customHeight="1" thickBot="1">
      <c r="A32" s="1744" t="s">
        <v>2450</v>
      </c>
      <c r="B32" s="1745" t="str">
        <f>IF(C5&gt;65,"ไม่สามารถซื้อได้","แผน S")</f>
        <v>แผน S</v>
      </c>
      <c r="C32" s="1746" t="str">
        <f>IF(C5&gt;65,"ไม่สามารถซื้อได้",IF(AND(C5&lt;66,C5&gt;11),"แผน XL","แผน M"))</f>
        <v>แผน XL</v>
      </c>
      <c r="D32" s="1747"/>
      <c r="E32" s="2017">
        <v>1</v>
      </c>
      <c r="F32" s="1748">
        <f>IFERROR(IF(D32="",0,Cal!H24),"-")</f>
        <v>0</v>
      </c>
      <c r="G32" s="2018" t="s">
        <v>98</v>
      </c>
      <c r="H32" s="116" t="str">
        <f>IF(D32="","ไม่คุ้มครอง","")</f>
        <v>ไม่คุ้มครอง</v>
      </c>
      <c r="I32" s="187"/>
      <c r="J32" s="269"/>
      <c r="K32" s="3"/>
      <c r="L32" s="116"/>
      <c r="M32" s="116"/>
      <c r="N32" s="927" t="s">
        <v>1122</v>
      </c>
      <c r="O32" s="928" t="s">
        <v>557</v>
      </c>
      <c r="P32" s="929"/>
      <c r="Q32" s="930"/>
      <c r="R32" s="931">
        <v>1</v>
      </c>
      <c r="S32" s="932" t="s">
        <v>615</v>
      </c>
      <c r="T32" s="911" t="s">
        <v>1123</v>
      </c>
      <c r="U32" s="912" t="s">
        <v>1124</v>
      </c>
      <c r="V32" s="933" t="s">
        <v>587</v>
      </c>
      <c r="W32" s="3"/>
      <c r="X32" s="1761">
        <f>D32</f>
        <v>0</v>
      </c>
      <c r="Y32" s="1762" t="str">
        <f>IFERROR(VLOOKUP(X32,$X$27:$Y$30,2,FALSE),"")</f>
        <v/>
      </c>
      <c r="Z32" s="1762" t="str">
        <f>IFERROR(VLOOKUP(X32,$X$27:$Z$30,3,FALSE),"")</f>
        <v/>
      </c>
      <c r="AA32" s="3"/>
      <c r="AB32" s="3"/>
      <c r="AC32" s="3"/>
      <c r="AD32" s="3"/>
      <c r="AE32" s="3"/>
      <c r="AF32" s="3"/>
      <c r="AG32" s="76"/>
      <c r="AH32" s="76"/>
      <c r="AI32" s="1253" t="s">
        <v>2883</v>
      </c>
      <c r="AJ32" s="76">
        <f>AJ28*25%</f>
        <v>1250000</v>
      </c>
      <c r="AK32" s="76" t="str">
        <f t="shared" si="0"/>
        <v>Early to Intermediate CI-F</v>
      </c>
      <c r="AL32" s="76">
        <f>IF(C5&lt;76,(VLOOKUP(AK32,'Rate CI 123'!$F$4:$DB$15,$C$5+2,FALSE)),0)</f>
        <v>4.07</v>
      </c>
      <c r="AM32" s="76">
        <f t="shared" si="1"/>
        <v>5087.5</v>
      </c>
      <c r="AN32" s="76">
        <f t="shared" si="2"/>
        <v>5087.5</v>
      </c>
      <c r="AO32" s="76"/>
      <c r="AP32" s="3"/>
      <c r="AQ32" s="3"/>
    </row>
    <row r="33" spans="1:43" ht="60" customHeight="1" thickBot="1">
      <c r="A33" s="1987" t="s">
        <v>2891</v>
      </c>
      <c r="B33" s="1988">
        <f>IF(C5&gt;75,"ไม่สามารถซื้อได้",100000)</f>
        <v>100000</v>
      </c>
      <c r="C33" s="1989">
        <f>IF(C5&gt;75,"ไม่สามารถซื้อได้",10000000)</f>
        <v>10000000</v>
      </c>
      <c r="D33" s="1990">
        <v>5000000</v>
      </c>
      <c r="E33" s="1991"/>
      <c r="F33" s="1992">
        <f>IF(D33="",0,IF(C5&gt;75,"อายุผู้เอาประกันไม่ถูกต้อง",IF(AO34="NO","เบี้ยประกันภัยรวมรายปีของสัญญาเพิ่มเติมคุ้มครองโรคร้ายแรงและบันทึกฯต้องมากกว่าหรือเท่ากับ 1,000 บาท",SUM(AN28:AN30))))</f>
        <v>37650</v>
      </c>
      <c r="G33" s="2052" t="s">
        <v>2892</v>
      </c>
      <c r="H33" s="116"/>
      <c r="I33" s="187"/>
      <c r="J33" s="269"/>
      <c r="K33" s="3"/>
      <c r="L33" s="116"/>
      <c r="M33" s="116"/>
      <c r="N33" s="1894"/>
      <c r="O33" s="1895"/>
      <c r="P33" s="1896"/>
      <c r="Q33" s="1897"/>
      <c r="R33" s="1898"/>
      <c r="S33" s="1899"/>
      <c r="T33" s="911"/>
      <c r="U33" s="912"/>
      <c r="V33" s="933"/>
      <c r="W33" s="3"/>
      <c r="X33" s="1900"/>
      <c r="Y33" s="1901"/>
      <c r="Z33" s="1901"/>
      <c r="AA33" s="3"/>
      <c r="AB33" s="3"/>
      <c r="AC33" s="3"/>
      <c r="AD33" s="3"/>
      <c r="AE33" s="3"/>
      <c r="AF33" s="3"/>
      <c r="AG33" s="76"/>
      <c r="AH33" s="76"/>
      <c r="AI33" s="76" t="s">
        <v>2902</v>
      </c>
      <c r="AJ33" s="76">
        <f>AJ28*10%</f>
        <v>500000</v>
      </c>
      <c r="AK33" s="76" t="str">
        <f t="shared" si="0"/>
        <v>Special conditions-F</v>
      </c>
      <c r="AL33" s="76">
        <f>IF(C5&lt;76,(VLOOKUP(AK33,'Rate CI 123'!$F$4:$DB$15,$C$5+2,FALSE)),0)</f>
        <v>3.84</v>
      </c>
      <c r="AM33" s="76">
        <f t="shared" si="1"/>
        <v>1920</v>
      </c>
      <c r="AN33" s="76">
        <f t="shared" si="2"/>
        <v>1920</v>
      </c>
      <c r="AO33" s="76"/>
      <c r="AP33" s="3"/>
      <c r="AQ33" s="3"/>
    </row>
    <row r="34" spans="1:43" ht="60" customHeight="1" thickBot="1">
      <c r="A34" s="1987" t="s">
        <v>2893</v>
      </c>
      <c r="B34" s="1993" t="s">
        <v>2894</v>
      </c>
      <c r="C34" s="1994"/>
      <c r="D34" s="1995">
        <f>IF(D33="","",MIN(AJ28*20%,100000))</f>
        <v>100000</v>
      </c>
      <c r="E34" s="1996"/>
      <c r="F34" s="1992">
        <f>IF(D33="",0,IF(C5&gt;75,"อายุผู้เอาประกันไม่ถูกต้อง",IF(AO34="NO","เบี้ยประกันภัยรวมรายปีของสัญญาเพิ่มเติมคุ้มครองโรคร้ายแรงและบันทึกฯต้องมากกว่าหรือเท่ากับ 1,000 บาท",AN31)))</f>
        <v>132</v>
      </c>
      <c r="G34" s="2052"/>
      <c r="H34" s="116"/>
      <c r="I34" s="187"/>
      <c r="J34" s="269"/>
      <c r="K34" s="3"/>
      <c r="L34" s="116"/>
      <c r="M34" s="116"/>
      <c r="N34" s="1894"/>
      <c r="O34" s="1895"/>
      <c r="P34" s="1896"/>
      <c r="Q34" s="1897"/>
      <c r="R34" s="1898"/>
      <c r="S34" s="1899"/>
      <c r="T34" s="911"/>
      <c r="U34" s="912"/>
      <c r="V34" s="933"/>
      <c r="W34" s="3"/>
      <c r="X34" s="1900"/>
      <c r="Y34" s="1901"/>
      <c r="Z34" s="1901"/>
      <c r="AA34" s="3"/>
      <c r="AB34" s="3"/>
      <c r="AC34" s="3"/>
      <c r="AD34" s="3"/>
      <c r="AE34" s="3"/>
      <c r="AF34" s="3"/>
      <c r="AG34" s="76"/>
      <c r="AH34" s="76"/>
      <c r="AI34" s="76"/>
      <c r="AJ34" s="76"/>
      <c r="AK34" s="76"/>
      <c r="AL34" s="76"/>
      <c r="AM34" s="76">
        <f>SUM(AM28:AM33)</f>
        <v>44789.5</v>
      </c>
      <c r="AN34" s="76">
        <f>SUM(AN28:AN33)*AL37</f>
        <v>44789.5</v>
      </c>
      <c r="AO34" s="2012" t="str">
        <f>IF(AN34&lt;1000,"NO","")</f>
        <v/>
      </c>
      <c r="AP34" s="3"/>
      <c r="AQ34" s="3"/>
    </row>
    <row r="35" spans="1:43" ht="60" customHeight="1" thickBot="1">
      <c r="A35" s="1997" t="s">
        <v>2895</v>
      </c>
      <c r="B35" s="1998" t="s">
        <v>2894</v>
      </c>
      <c r="C35" s="1999"/>
      <c r="D35" s="1995">
        <f>IF(D33="","",AJ28*25%)</f>
        <v>1250000</v>
      </c>
      <c r="E35" s="1278"/>
      <c r="F35" s="1992">
        <f>IF(D33="",0,IF(C5&gt;75,"อายุผู้เอาประกันไม่ถูกต้อง",IF(AO34="NO","เบี้ยประกันภัยรวมรายปีของสัญญาเพิ่มเติมคุ้มครองโรคร้ายแรงและบันทึกฯต้องมากกว่าหรือเท่ากับ 1,000 บาท",AN32)))</f>
        <v>5087.5</v>
      </c>
      <c r="G35" s="2052"/>
      <c r="H35" s="116"/>
      <c r="I35" s="187"/>
      <c r="J35" s="269"/>
      <c r="K35" s="3"/>
      <c r="L35" s="116"/>
      <c r="M35" s="116"/>
      <c r="N35" s="1894"/>
      <c r="O35" s="1895"/>
      <c r="P35" s="1896"/>
      <c r="Q35" s="1897"/>
      <c r="R35" s="1898"/>
      <c r="S35" s="1899"/>
      <c r="T35" s="911"/>
      <c r="U35" s="912"/>
      <c r="V35" s="933"/>
      <c r="W35" s="3"/>
      <c r="X35" s="1900"/>
      <c r="Y35" s="1901"/>
      <c r="Z35" s="1901"/>
      <c r="AA35" s="3"/>
      <c r="AB35" s="3"/>
      <c r="AC35" s="3"/>
      <c r="AD35" s="3"/>
      <c r="AE35" s="3"/>
      <c r="AF35" s="3"/>
      <c r="AG35" s="76"/>
      <c r="AH35" s="76"/>
      <c r="AI35" s="2013" t="s">
        <v>32</v>
      </c>
      <c r="AJ35" s="2013">
        <v>1</v>
      </c>
      <c r="AK35" s="2013">
        <v>1</v>
      </c>
      <c r="AL35" s="2014" t="str">
        <f>C7</f>
        <v>รายปี</v>
      </c>
      <c r="AM35" s="76"/>
      <c r="AN35" s="76"/>
      <c r="AO35" s="76"/>
      <c r="AP35" s="3"/>
      <c r="AQ35" s="3"/>
    </row>
    <row r="36" spans="1:43" ht="60" customHeight="1" thickBot="1">
      <c r="A36" s="2000" t="s">
        <v>2896</v>
      </c>
      <c r="B36" s="2001" t="s">
        <v>2894</v>
      </c>
      <c r="C36" s="2002"/>
      <c r="D36" s="1995">
        <f>IF(D33="","",AJ28*10%)</f>
        <v>500000</v>
      </c>
      <c r="E36" s="2003"/>
      <c r="F36" s="1992">
        <f>IF(D33="",0,IF(C5&gt;75,"อายุผู้เอาประกันไม่ถูกต้อง",IF(AO34="NO","เบี้ยประกันภัยรวมรายปีของสัญญาเพิ่มเติมคุ้มครองโรคร้ายแรงและบันทึกฯต้องมากกว่าหรือเท่ากับ 1,000 บาท",AN33)))</f>
        <v>1920</v>
      </c>
      <c r="G36" s="2053"/>
      <c r="H36" s="116"/>
      <c r="I36" s="187"/>
      <c r="J36" s="269"/>
      <c r="K36" s="3"/>
      <c r="L36" s="116"/>
      <c r="M36" s="116"/>
      <c r="N36" s="1894"/>
      <c r="O36" s="1895"/>
      <c r="P36" s="1896"/>
      <c r="Q36" s="1897"/>
      <c r="R36" s="1898"/>
      <c r="S36" s="1899"/>
      <c r="T36" s="911"/>
      <c r="U36" s="912"/>
      <c r="V36" s="933"/>
      <c r="W36" s="3"/>
      <c r="X36" s="1900"/>
      <c r="Y36" s="1901"/>
      <c r="Z36" s="1901"/>
      <c r="AA36" s="3"/>
      <c r="AB36" s="3"/>
      <c r="AC36" s="3"/>
      <c r="AD36" s="3"/>
      <c r="AE36" s="3"/>
      <c r="AF36" s="3"/>
      <c r="AG36" s="76"/>
      <c r="AH36" s="76"/>
      <c r="AI36" s="2013" t="s">
        <v>44</v>
      </c>
      <c r="AJ36" s="2013">
        <v>0.52</v>
      </c>
      <c r="AK36" s="2013">
        <v>2</v>
      </c>
      <c r="AL36" s="76">
        <f>VLOOKUP(AL35,$AI$35:$AJ$38,2,FALSE)</f>
        <v>1</v>
      </c>
      <c r="AM36" s="76"/>
      <c r="AN36" s="76"/>
      <c r="AO36" s="76"/>
      <c r="AP36" s="3"/>
      <c r="AQ36" s="3"/>
    </row>
    <row r="37" spans="1:43" ht="24" customHeight="1" thickBot="1">
      <c r="A37" s="1753"/>
      <c r="B37" s="1754"/>
      <c r="C37" s="1754"/>
      <c r="D37" s="1755" t="s">
        <v>557</v>
      </c>
      <c r="E37" s="1756" t="s">
        <v>985</v>
      </c>
      <c r="F37" s="1757">
        <f>IF(OR(H19="ไม่คุ้มครอง",AND(I14=5,H30="ไม่คุ้มครอง"),AND(I14=6,H24="ไม่คุ้มครอง")),0,SUM(F19:F36))</f>
        <v>332539.5</v>
      </c>
      <c r="G37" s="1758"/>
      <c r="H37" s="116"/>
      <c r="I37" s="187"/>
      <c r="J37" s="269"/>
      <c r="K37" s="3"/>
      <c r="L37" s="116"/>
      <c r="M37" s="116"/>
      <c r="N37" s="934" t="s">
        <v>1125</v>
      </c>
      <c r="O37" s="935" t="str">
        <f>IFERROR(VLOOKUP($M27,$N$27:$R$32,2,FALSE),"")</f>
        <v/>
      </c>
      <c r="P37" s="935" t="str">
        <f>IFERROR(VLOOKUP($M27,$N$27:$R$32,3,FALSE),"")</f>
        <v/>
      </c>
      <c r="Q37" s="935" t="str">
        <f>IFERROR(VLOOKUP($M27,$N$27:$R$32,4,FALSE),"")</f>
        <v/>
      </c>
      <c r="R37" s="940" t="str">
        <f>IFERROR(VLOOKUP($M27,$N$27:$R$32,5,FALSE),"")</f>
        <v/>
      </c>
      <c r="S37" s="3"/>
      <c r="T37" s="911" t="s">
        <v>1126</v>
      </c>
      <c r="U37" s="912" t="s">
        <v>1127</v>
      </c>
      <c r="V37" s="933" t="s">
        <v>588</v>
      </c>
      <c r="W37" s="3"/>
      <c r="X37" s="3"/>
      <c r="Y37" s="3"/>
      <c r="Z37" s="3"/>
      <c r="AA37" s="3"/>
      <c r="AB37" s="3"/>
      <c r="AC37" s="3"/>
      <c r="AD37" s="3"/>
      <c r="AE37" s="3"/>
      <c r="AF37" s="3"/>
      <c r="AG37" s="76"/>
      <c r="AH37" s="76"/>
      <c r="AI37" s="2013" t="s">
        <v>45</v>
      </c>
      <c r="AJ37" s="2013">
        <v>0.27</v>
      </c>
      <c r="AK37" s="2013">
        <v>4</v>
      </c>
      <c r="AL37" s="76">
        <f>VLOOKUP(AL35,$AI$35:$AK$38,3,FALSE)</f>
        <v>1</v>
      </c>
      <c r="AM37" s="76"/>
      <c r="AN37" s="76"/>
      <c r="AO37" s="76"/>
      <c r="AP37" s="3"/>
      <c r="AQ37" s="3"/>
    </row>
    <row r="38" spans="1:43" ht="24" customHeight="1" thickTop="1" thickBot="1">
      <c r="A38" s="596" t="str">
        <f>IF(C7="รายเดือน","การชำระเบี้ยประกันภัยรายเดือนครั้งแรก ผู้เอาประกันภัยต้องชำระเบี้ยประกันภัยเป็นจำนวน 2 งวด","")</f>
        <v/>
      </c>
      <c r="B38" s="14"/>
      <c r="C38" s="14"/>
      <c r="D38" s="937"/>
      <c r="E38" s="1101"/>
      <c r="F38" s="1102"/>
      <c r="G38" s="33"/>
      <c r="H38" s="116"/>
      <c r="I38" s="187"/>
      <c r="J38" s="187"/>
      <c r="K38" s="3"/>
      <c r="L38" s="116"/>
      <c r="M38" s="3"/>
      <c r="N38" s="116"/>
      <c r="O38" s="116"/>
      <c r="P38" s="118"/>
      <c r="Q38" s="119"/>
      <c r="R38" s="116"/>
      <c r="S38" s="116"/>
      <c r="T38" s="911" t="s">
        <v>1128</v>
      </c>
      <c r="U38" s="912" t="s">
        <v>1129</v>
      </c>
      <c r="V38" s="913" t="s">
        <v>588</v>
      </c>
      <c r="W38" s="3"/>
      <c r="X38" s="3"/>
      <c r="Y38" s="3"/>
      <c r="Z38" s="3"/>
      <c r="AA38" s="3"/>
      <c r="AB38" s="3"/>
      <c r="AC38" s="3"/>
      <c r="AD38" s="3"/>
      <c r="AE38" s="3"/>
      <c r="AF38" s="3"/>
      <c r="AG38" s="76"/>
      <c r="AH38" s="76"/>
      <c r="AI38" s="2013" t="s">
        <v>46</v>
      </c>
      <c r="AJ38" s="2013">
        <v>0.09</v>
      </c>
      <c r="AK38" s="2013">
        <v>12</v>
      </c>
      <c r="AL38" s="76"/>
      <c r="AM38" s="76"/>
      <c r="AN38" s="76"/>
      <c r="AO38" s="76"/>
      <c r="AP38" s="3"/>
      <c r="AQ38" s="3"/>
    </row>
    <row r="39" spans="1:43" ht="24" customHeight="1">
      <c r="A39" s="2036" t="str">
        <f>"เบี้ยประกันภัยรวมงวดแรก ("&amp;C7&amp;")  และจำนวนเงินเอาประกันภัย"</f>
        <v>เบี้ยประกันภัยรวมงวดแรก (รายปี)  และจำนวนเงินเอาประกันภัย</v>
      </c>
      <c r="B39" s="2037"/>
      <c r="C39" s="2037"/>
      <c r="D39" s="2037"/>
      <c r="E39" s="2038"/>
      <c r="F39" s="124"/>
      <c r="G39" s="125"/>
      <c r="H39" s="116"/>
      <c r="I39" s="99"/>
      <c r="J39" s="187"/>
      <c r="K39" s="3"/>
      <c r="L39" s="116"/>
      <c r="M39" s="116"/>
      <c r="N39" s="116"/>
      <c r="O39" s="116"/>
      <c r="P39" s="118"/>
      <c r="Q39" s="119"/>
      <c r="R39" s="116"/>
      <c r="S39" s="116"/>
      <c r="T39" s="911" t="s">
        <v>1130</v>
      </c>
      <c r="U39" s="912" t="s">
        <v>1131</v>
      </c>
      <c r="V39" s="913" t="s">
        <v>588</v>
      </c>
      <c r="W39" s="3"/>
      <c r="X39" s="3"/>
      <c r="Y39" s="3"/>
      <c r="Z39" s="3"/>
      <c r="AA39" s="3"/>
      <c r="AB39" s="3"/>
      <c r="AC39" s="3"/>
      <c r="AD39" s="3"/>
      <c r="AE39" s="3"/>
      <c r="AF39" s="3"/>
      <c r="AG39" s="3"/>
      <c r="AH39" s="3"/>
      <c r="AI39" s="116"/>
      <c r="AJ39" s="116"/>
      <c r="AK39" s="116"/>
      <c r="AL39" s="116"/>
      <c r="AM39" s="116"/>
      <c r="AN39" s="3"/>
      <c r="AO39" s="3"/>
      <c r="AP39" s="3"/>
      <c r="AQ39" s="3"/>
    </row>
    <row r="40" spans="1:43" ht="24" customHeight="1">
      <c r="A40" s="127" t="str">
        <f>"จำนวนเงินเอาประกันภัยของ "&amp;A19</f>
        <v>จำนวนเงินเอาประกันภัยของ ไอสมาร์ท 80/6 (W80F06)</v>
      </c>
      <c r="B40" s="128"/>
      <c r="C40" s="379">
        <f>IF(H19="ไม่คุ้มครอง",0,D19)</f>
        <v>1000000</v>
      </c>
      <c r="D40" s="377"/>
      <c r="E40" s="129" t="s">
        <v>8</v>
      </c>
      <c r="F40" s="125"/>
      <c r="G40" s="126"/>
      <c r="H40" s="116"/>
      <c r="I40" s="99"/>
      <c r="J40" s="187"/>
      <c r="K40" s="3"/>
      <c r="L40" s="936"/>
      <c r="M40" s="116"/>
      <c r="N40" s="116"/>
      <c r="O40" s="116"/>
      <c r="P40" s="116"/>
      <c r="Q40" s="116"/>
      <c r="R40" s="116"/>
      <c r="S40" s="116"/>
      <c r="T40" s="911" t="s">
        <v>1132</v>
      </c>
      <c r="U40" s="912" t="s">
        <v>1133</v>
      </c>
      <c r="V40" s="913" t="s">
        <v>589</v>
      </c>
      <c r="W40" s="3"/>
      <c r="X40" s="3"/>
      <c r="Y40" s="3"/>
      <c r="Z40" s="3"/>
      <c r="AA40" s="3"/>
      <c r="AB40" s="3"/>
      <c r="AC40" s="3"/>
      <c r="AD40" s="3"/>
      <c r="AE40" s="3"/>
      <c r="AF40" s="3"/>
      <c r="AG40" s="3"/>
      <c r="AH40" s="3"/>
      <c r="AI40" s="3"/>
      <c r="AJ40" s="3"/>
      <c r="AK40" s="3"/>
      <c r="AL40" s="3"/>
      <c r="AM40" s="3"/>
      <c r="AN40" s="3"/>
      <c r="AO40" s="3"/>
      <c r="AP40" s="3"/>
      <c r="AQ40" s="3"/>
    </row>
    <row r="41" spans="1:43" ht="24" customHeight="1" thickBot="1">
      <c r="A41" s="182" t="str">
        <f>"เบี้ยประกันภัยรวมงวดแรก ("&amp;C7&amp;")"</f>
        <v>เบี้ยประกันภัยรวมงวดแรก (รายปี)</v>
      </c>
      <c r="B41" s="185"/>
      <c r="C41" s="380">
        <f>IF(AND(C7="รายเดือน",F37&lt;1000),"เบี้ยรายเดือนน้อยกว่า 1,000 บาท",IF(E70="no",0,F37))</f>
        <v>332539.5</v>
      </c>
      <c r="D41" s="378"/>
      <c r="E41" s="130" t="s">
        <v>8</v>
      </c>
      <c r="F41" s="125"/>
      <c r="G41" s="125"/>
      <c r="H41" s="116"/>
      <c r="I41" s="99"/>
      <c r="J41" s="187"/>
      <c r="K41" s="3"/>
      <c r="L41" s="116"/>
      <c r="M41" s="116"/>
      <c r="N41" s="116"/>
      <c r="O41" s="116"/>
      <c r="P41" s="116"/>
      <c r="Q41" s="116"/>
      <c r="R41" s="116"/>
      <c r="S41" s="116"/>
      <c r="T41" s="911" t="s">
        <v>1134</v>
      </c>
      <c r="U41" s="912" t="s">
        <v>1135</v>
      </c>
      <c r="V41" s="933" t="s">
        <v>589</v>
      </c>
      <c r="W41" s="3"/>
      <c r="X41" s="3"/>
      <c r="Y41" s="3"/>
      <c r="Z41" s="3"/>
      <c r="AA41" s="3"/>
      <c r="AB41" s="3"/>
      <c r="AC41" s="3"/>
      <c r="AD41" s="3"/>
      <c r="AE41" s="3"/>
      <c r="AF41" s="3"/>
      <c r="AG41" s="3"/>
      <c r="AH41" s="3"/>
      <c r="AI41" s="3"/>
      <c r="AJ41" s="3"/>
      <c r="AK41" s="3"/>
      <c r="AL41" s="3"/>
      <c r="AM41" s="3"/>
      <c r="AN41" s="3"/>
      <c r="AO41" s="3"/>
      <c r="AP41" s="3"/>
      <c r="AQ41" s="3"/>
    </row>
    <row r="42" spans="1:43" ht="24" customHeight="1">
      <c r="A42" s="116"/>
      <c r="B42" s="116"/>
      <c r="C42" s="117"/>
      <c r="D42" s="117"/>
      <c r="E42" s="116"/>
      <c r="F42" s="125"/>
      <c r="G42" s="125"/>
      <c r="H42" s="116"/>
      <c r="I42" s="116"/>
      <c r="J42" s="99"/>
      <c r="K42" s="3"/>
      <c r="L42" s="116"/>
      <c r="M42" s="116"/>
      <c r="N42" s="116"/>
      <c r="O42" s="116"/>
      <c r="P42" s="116"/>
      <c r="Q42" s="116"/>
      <c r="R42" s="116"/>
      <c r="S42" s="116"/>
      <c r="T42" s="911" t="s">
        <v>1136</v>
      </c>
      <c r="U42" s="912" t="s">
        <v>1137</v>
      </c>
      <c r="V42" s="913" t="s">
        <v>589</v>
      </c>
      <c r="W42" s="3"/>
      <c r="X42" s="3"/>
      <c r="Y42" s="3"/>
      <c r="Z42" s="3"/>
      <c r="AA42" s="3"/>
      <c r="AB42" s="3"/>
      <c r="AC42" s="3"/>
      <c r="AD42" s="3"/>
      <c r="AE42" s="3"/>
      <c r="AF42" s="3"/>
      <c r="AG42" s="3"/>
      <c r="AH42" s="3"/>
      <c r="AI42" s="3"/>
      <c r="AJ42" s="3"/>
      <c r="AK42" s="3"/>
      <c r="AL42" s="3"/>
      <c r="AM42" s="3"/>
      <c r="AN42" s="3"/>
      <c r="AO42" s="3"/>
      <c r="AP42" s="3"/>
      <c r="AQ42" s="3"/>
    </row>
    <row r="43" spans="1:43" ht="24" customHeight="1">
      <c r="A43" s="116"/>
      <c r="B43" s="116"/>
      <c r="C43" s="116"/>
      <c r="D43" s="116"/>
      <c r="E43" s="116"/>
      <c r="F43" s="116"/>
      <c r="G43" s="116"/>
      <c r="H43" s="116"/>
      <c r="I43" s="116"/>
      <c r="J43" s="99"/>
      <c r="K43" s="3"/>
      <c r="L43" s="116"/>
      <c r="M43" s="116"/>
      <c r="N43" s="116"/>
      <c r="O43" s="116"/>
      <c r="P43" s="116"/>
      <c r="Q43" s="116"/>
      <c r="R43" s="116"/>
      <c r="S43" s="116"/>
      <c r="T43" s="116"/>
      <c r="U43" s="116"/>
      <c r="V43" s="116"/>
      <c r="W43" s="3"/>
      <c r="X43" s="3"/>
      <c r="Y43" s="3"/>
      <c r="Z43" s="3"/>
      <c r="AA43" s="3"/>
      <c r="AB43" s="3"/>
      <c r="AC43" s="3"/>
      <c r="AD43" s="3"/>
      <c r="AE43" s="3"/>
      <c r="AF43" s="3"/>
      <c r="AG43" s="3"/>
      <c r="AH43" s="3"/>
      <c r="AI43" s="3"/>
      <c r="AJ43" s="3"/>
      <c r="AK43" s="3"/>
      <c r="AL43" s="3"/>
      <c r="AM43" s="3"/>
      <c r="AN43" s="3"/>
      <c r="AO43" s="3"/>
      <c r="AP43" s="3"/>
      <c r="AQ43" s="3"/>
    </row>
    <row r="44" spans="1:43" ht="24" customHeight="1">
      <c r="A44" s="76" t="s">
        <v>2428</v>
      </c>
      <c r="B44" s="76"/>
      <c r="C44" s="76"/>
      <c r="D44" s="76"/>
      <c r="E44" s="76"/>
      <c r="F44" s="76"/>
      <c r="G44" s="76"/>
      <c r="H44" s="116"/>
      <c r="I44" s="116"/>
      <c r="J44" s="99"/>
      <c r="K44" s="3"/>
      <c r="L44" s="116"/>
      <c r="M44" s="116"/>
      <c r="N44" s="116"/>
      <c r="O44" s="116"/>
      <c r="P44" s="116"/>
      <c r="Q44" s="116"/>
      <c r="R44" s="116"/>
      <c r="S44" s="116"/>
      <c r="T44" s="116"/>
      <c r="U44" s="116"/>
      <c r="V44" s="116"/>
      <c r="W44" s="3"/>
      <c r="X44" s="3"/>
      <c r="Y44" s="3"/>
      <c r="Z44" s="3"/>
      <c r="AA44" s="3"/>
      <c r="AB44" s="3"/>
      <c r="AC44" s="3"/>
      <c r="AD44" s="3"/>
      <c r="AE44" s="3"/>
      <c r="AF44" s="3"/>
      <c r="AG44" s="3"/>
      <c r="AH44" s="3"/>
      <c r="AI44" s="3"/>
      <c r="AJ44" s="3"/>
      <c r="AK44" s="3"/>
      <c r="AL44" s="3"/>
      <c r="AM44" s="3"/>
      <c r="AN44" s="3"/>
      <c r="AO44" s="3"/>
      <c r="AP44" s="3"/>
      <c r="AQ44" s="3"/>
    </row>
    <row r="45" spans="1:43" s="2021" customFormat="1" ht="29.25" customHeight="1">
      <c r="A45" s="76" t="str">
        <f>ตารางแสดงผลประโยชน์!B76</f>
        <v>โปรแกรมใบข้อเสนอนี้ใช้สำหรับแบบประกัน ไอสมาร์ท 80/6 (ไม่มีเงินปันผล) ที่เสนอขายตั้งแต่ 1 มกราคม 2569 ถึง 31 มีนาคม 2570 หรือตามประกาศยกเลิกการใช้จากบริษัทฯ (แล้วแต่ระยะเวลาใดจะเกิดขึ้นก่อน)</v>
      </c>
      <c r="B45" s="76"/>
      <c r="C45" s="76"/>
      <c r="D45" s="76"/>
      <c r="E45" s="76"/>
      <c r="F45" s="76"/>
      <c r="G45" s="76"/>
      <c r="H45" s="116"/>
      <c r="I45" s="116"/>
      <c r="J45" s="116"/>
      <c r="K45" s="116"/>
      <c r="L45" s="116"/>
      <c r="M45" s="116"/>
      <c r="N45" s="116"/>
      <c r="O45" s="116"/>
      <c r="P45" s="116"/>
      <c r="Q45" s="116"/>
      <c r="R45" s="116"/>
      <c r="S45" s="116"/>
      <c r="T45" s="116"/>
      <c r="U45" s="116"/>
      <c r="V45" s="116"/>
      <c r="W45" s="116"/>
      <c r="X45" s="116"/>
      <c r="Y45" s="116"/>
      <c r="Z45" s="116"/>
      <c r="AA45" s="116"/>
      <c r="AB45" s="116"/>
      <c r="AC45" s="116"/>
      <c r="AD45" s="116"/>
      <c r="AE45" s="116"/>
      <c r="AF45" s="116"/>
      <c r="AG45" s="116"/>
      <c r="AH45" s="116"/>
      <c r="AI45" s="116"/>
      <c r="AJ45" s="116"/>
      <c r="AK45" s="116"/>
      <c r="AL45" s="116"/>
      <c r="AM45" s="116"/>
      <c r="AN45" s="116"/>
      <c r="AO45" s="116"/>
      <c r="AP45" s="116"/>
      <c r="AQ45" s="116"/>
    </row>
    <row r="46" spans="1:43" s="2021" customFormat="1">
      <c r="A46" s="76"/>
      <c r="B46" s="76"/>
      <c r="C46" s="76"/>
      <c r="D46" s="76"/>
      <c r="E46" s="76"/>
      <c r="F46" s="76"/>
      <c r="G46" s="1601" t="str">
        <f>ตารางแสดงผลประโยชน์!I77</f>
        <v>ไอสมาร์ท 80/6 (ไม่มีเงินปันผล) เวอร์ชั่น A2026-1</v>
      </c>
      <c r="H46" s="116"/>
      <c r="I46" s="116"/>
      <c r="J46" s="116"/>
      <c r="K46" s="116"/>
      <c r="L46" s="116"/>
      <c r="M46" s="116"/>
      <c r="N46" s="116"/>
      <c r="O46" s="116"/>
      <c r="P46" s="116"/>
      <c r="Q46" s="116"/>
      <c r="R46" s="116"/>
      <c r="S46" s="116"/>
      <c r="T46" s="116"/>
      <c r="U46" s="116"/>
      <c r="V46" s="116"/>
      <c r="W46" s="116"/>
      <c r="X46" s="116"/>
      <c r="Y46" s="116"/>
      <c r="Z46" s="116"/>
      <c r="AA46" s="116"/>
      <c r="AB46" s="116"/>
      <c r="AC46" s="116"/>
      <c r="AD46" s="116"/>
      <c r="AE46" s="116"/>
      <c r="AF46" s="116"/>
      <c r="AG46" s="116"/>
      <c r="AH46" s="116"/>
      <c r="AI46" s="116"/>
      <c r="AJ46" s="116"/>
      <c r="AK46" s="116"/>
      <c r="AL46" s="116"/>
      <c r="AM46" s="116"/>
      <c r="AN46" s="116"/>
      <c r="AO46" s="116"/>
      <c r="AP46" s="116"/>
      <c r="AQ46" s="116"/>
    </row>
    <row r="47" spans="1:43" s="2021" customFormat="1" ht="21" hidden="1" customHeight="1">
      <c r="A47" s="116"/>
      <c r="B47" s="116"/>
      <c r="C47" s="116"/>
      <c r="D47" s="116"/>
      <c r="E47" s="116"/>
      <c r="F47" s="116"/>
      <c r="G47" s="116"/>
      <c r="H47" s="116"/>
      <c r="I47" s="116"/>
      <c r="J47" s="116"/>
      <c r="K47" s="116"/>
      <c r="L47" s="116"/>
      <c r="M47" s="116"/>
      <c r="N47" s="116"/>
      <c r="O47" s="116"/>
      <c r="P47" s="116"/>
      <c r="Q47" s="116"/>
      <c r="R47" s="116"/>
      <c r="S47" s="116"/>
      <c r="T47" s="116"/>
      <c r="U47" s="116"/>
      <c r="V47" s="116"/>
      <c r="W47" s="116"/>
      <c r="X47" s="116"/>
      <c r="Y47" s="116"/>
      <c r="Z47" s="116"/>
      <c r="AA47" s="116"/>
      <c r="AB47" s="116"/>
      <c r="AC47" s="116"/>
      <c r="AD47" s="116"/>
      <c r="AE47" s="116"/>
      <c r="AF47" s="116"/>
      <c r="AG47" s="116"/>
      <c r="AH47" s="116"/>
      <c r="AI47" s="116"/>
      <c r="AJ47" s="116"/>
      <c r="AK47" s="116"/>
      <c r="AL47" s="116"/>
      <c r="AM47" s="116"/>
      <c r="AN47" s="116"/>
      <c r="AO47" s="116"/>
      <c r="AP47" s="116"/>
      <c r="AQ47" s="116"/>
    </row>
    <row r="48" spans="1:43" s="2021" customFormat="1" ht="21" hidden="1" customHeight="1">
      <c r="A48" s="116"/>
      <c r="B48" s="116"/>
      <c r="C48" s="116"/>
      <c r="D48" s="116"/>
      <c r="E48" s="116"/>
      <c r="F48" s="116"/>
      <c r="G48" s="116"/>
      <c r="H48" s="116"/>
      <c r="I48" s="116"/>
      <c r="J48" s="116"/>
      <c r="K48" s="116"/>
      <c r="L48" s="116"/>
      <c r="M48" s="116"/>
      <c r="N48" s="116"/>
      <c r="O48" s="116"/>
      <c r="P48" s="116"/>
      <c r="Q48" s="116"/>
      <c r="R48" s="116"/>
      <c r="S48" s="116"/>
      <c r="T48" s="116"/>
      <c r="U48" s="116"/>
      <c r="V48" s="116"/>
      <c r="W48" s="116"/>
      <c r="X48" s="116"/>
      <c r="Y48" s="116"/>
      <c r="Z48" s="116"/>
      <c r="AA48" s="116"/>
      <c r="AB48" s="116"/>
      <c r="AC48" s="116"/>
      <c r="AD48" s="116"/>
      <c r="AE48" s="116"/>
      <c r="AF48" s="116"/>
      <c r="AG48" s="116"/>
      <c r="AH48" s="116"/>
      <c r="AI48" s="116"/>
      <c r="AJ48" s="116"/>
      <c r="AK48" s="116"/>
      <c r="AL48" s="116"/>
      <c r="AM48" s="116"/>
      <c r="AN48" s="116"/>
      <c r="AO48" s="116"/>
      <c r="AP48" s="116"/>
      <c r="AQ48" s="116"/>
    </row>
    <row r="49" spans="1:43" s="2021" customFormat="1" hidden="1">
      <c r="A49" s="116"/>
      <c r="B49" s="116"/>
      <c r="C49" s="116"/>
      <c r="D49" s="116"/>
      <c r="E49" s="116"/>
      <c r="F49" s="116"/>
      <c r="G49" s="116"/>
      <c r="H49" s="116"/>
      <c r="I49" s="116"/>
      <c r="J49" s="116"/>
      <c r="K49" s="116"/>
      <c r="L49" s="116"/>
      <c r="M49" s="116"/>
      <c r="N49" s="116"/>
      <c r="O49" s="116"/>
      <c r="P49" s="116"/>
      <c r="Q49" s="116"/>
      <c r="R49" s="116"/>
      <c r="S49" s="116"/>
      <c r="T49" s="116"/>
      <c r="U49" s="116"/>
      <c r="V49" s="116"/>
      <c r="W49" s="116"/>
      <c r="X49" s="116"/>
      <c r="Y49" s="116"/>
      <c r="Z49" s="116"/>
      <c r="AA49" s="116"/>
      <c r="AB49" s="116"/>
      <c r="AC49" s="116"/>
      <c r="AD49" s="116"/>
      <c r="AE49" s="116"/>
      <c r="AF49" s="116"/>
      <c r="AG49" s="116"/>
      <c r="AH49" s="116"/>
      <c r="AI49" s="116"/>
      <c r="AJ49" s="116"/>
      <c r="AK49" s="116"/>
      <c r="AL49" s="116"/>
      <c r="AM49" s="116"/>
      <c r="AN49" s="116"/>
      <c r="AO49" s="116"/>
      <c r="AP49" s="116"/>
      <c r="AQ49" s="116"/>
    </row>
    <row r="50" spans="1:43" s="2021" customFormat="1" hidden="1">
      <c r="A50" s="1371" t="s">
        <v>20</v>
      </c>
      <c r="B50" s="1372"/>
      <c r="C50" s="1371" t="s">
        <v>1097</v>
      </c>
      <c r="D50" s="1371" t="s">
        <v>997</v>
      </c>
      <c r="E50" s="1373" t="s">
        <v>1479</v>
      </c>
      <c r="F50" s="1371" t="s">
        <v>355</v>
      </c>
      <c r="G50" s="116"/>
      <c r="H50" s="116"/>
      <c r="I50" s="116"/>
      <c r="J50" s="116"/>
      <c r="K50" s="116"/>
      <c r="L50" s="116"/>
      <c r="M50" s="116"/>
      <c r="N50" s="116"/>
      <c r="O50" s="116"/>
      <c r="P50" s="116"/>
      <c r="Q50" s="116"/>
      <c r="R50" s="116"/>
      <c r="S50" s="116"/>
      <c r="T50" s="116"/>
      <c r="U50" s="116"/>
      <c r="V50" s="116"/>
      <c r="W50" s="116"/>
      <c r="X50" s="116"/>
      <c r="Y50" s="116"/>
      <c r="Z50" s="116"/>
      <c r="AA50" s="116"/>
      <c r="AB50" s="116"/>
      <c r="AC50" s="116"/>
      <c r="AD50" s="116"/>
      <c r="AE50" s="116"/>
      <c r="AF50" s="116"/>
      <c r="AG50" s="116"/>
      <c r="AH50" s="116"/>
      <c r="AI50" s="116"/>
      <c r="AJ50" s="116"/>
      <c r="AK50" s="116"/>
      <c r="AL50" s="116"/>
      <c r="AM50" s="116"/>
      <c r="AN50" s="116"/>
      <c r="AO50" s="116"/>
      <c r="AP50" s="116"/>
      <c r="AQ50" s="116"/>
    </row>
    <row r="51" spans="1:43" s="2021" customFormat="1" hidden="1">
      <c r="A51" s="759" t="s">
        <v>120</v>
      </c>
      <c r="B51" s="897"/>
      <c r="C51" s="759" t="s">
        <v>120</v>
      </c>
      <c r="D51" s="759" t="s">
        <v>120</v>
      </c>
      <c r="E51" s="1277" t="s">
        <v>188</v>
      </c>
      <c r="F51" s="759">
        <v>1000</v>
      </c>
      <c r="G51" s="116"/>
      <c r="H51" s="116"/>
      <c r="I51" s="116"/>
      <c r="J51" s="116"/>
      <c r="K51" s="116"/>
      <c r="L51" s="116"/>
      <c r="M51" s="116"/>
      <c r="N51" s="116"/>
      <c r="O51" s="116"/>
      <c r="P51" s="116"/>
      <c r="Q51" s="116"/>
      <c r="R51" s="116"/>
      <c r="S51" s="116"/>
      <c r="T51" s="116"/>
      <c r="U51" s="116"/>
      <c r="V51" s="116"/>
      <c r="W51" s="116"/>
      <c r="X51" s="116"/>
      <c r="Y51" s="116"/>
      <c r="Z51" s="116"/>
      <c r="AA51" s="116"/>
      <c r="AB51" s="116"/>
      <c r="AC51" s="116"/>
      <c r="AD51" s="116"/>
      <c r="AE51" s="116"/>
      <c r="AF51" s="116"/>
      <c r="AG51" s="116"/>
      <c r="AH51" s="116"/>
      <c r="AI51" s="116"/>
      <c r="AJ51" s="116"/>
      <c r="AK51" s="116"/>
      <c r="AL51" s="116"/>
      <c r="AM51" s="116"/>
      <c r="AN51" s="116"/>
      <c r="AO51" s="116"/>
      <c r="AP51" s="116"/>
      <c r="AQ51" s="116"/>
    </row>
    <row r="52" spans="1:43" s="2021" customFormat="1" hidden="1">
      <c r="A52" s="759">
        <f>IF($B$25="ไม่สามารถซื้อได้",$B$25,500)</f>
        <v>500</v>
      </c>
      <c r="B52" s="898"/>
      <c r="C52" s="759" t="str">
        <f>IF($B$30="ไม่สามารถซื้อได้",$B$30,IF($C$5&lt;11,"BRONZE","PLATINUM"))</f>
        <v>PLATINUM</v>
      </c>
      <c r="D52" s="759">
        <f>IF($B$24="ไม่สามารถซื้อได้",$B$24,1200)</f>
        <v>1200</v>
      </c>
      <c r="E52" s="1277" t="s">
        <v>189</v>
      </c>
      <c r="F52" s="759">
        <v>2000</v>
      </c>
      <c r="G52" s="116"/>
      <c r="H52" s="116"/>
      <c r="I52" s="116"/>
      <c r="J52" s="116"/>
      <c r="K52" s="116"/>
      <c r="L52" s="116"/>
      <c r="M52" s="116"/>
      <c r="N52" s="116"/>
      <c r="O52" s="116"/>
      <c r="P52" s="116"/>
      <c r="Q52" s="116"/>
      <c r="R52" s="116"/>
      <c r="S52" s="116"/>
      <c r="T52" s="116"/>
      <c r="U52" s="116"/>
      <c r="V52" s="116"/>
      <c r="W52" s="116"/>
      <c r="X52" s="116"/>
      <c r="Y52" s="116"/>
      <c r="Z52" s="116"/>
      <c r="AA52" s="116"/>
      <c r="AB52" s="116"/>
      <c r="AC52" s="116"/>
      <c r="AD52" s="116"/>
      <c r="AE52" s="116"/>
      <c r="AF52" s="116"/>
      <c r="AG52" s="116"/>
      <c r="AH52" s="116"/>
      <c r="AI52" s="116"/>
      <c r="AJ52" s="116"/>
      <c r="AK52" s="116"/>
      <c r="AL52" s="116"/>
      <c r="AM52" s="116"/>
      <c r="AN52" s="116"/>
      <c r="AO52" s="116"/>
      <c r="AP52" s="116"/>
      <c r="AQ52" s="116"/>
    </row>
    <row r="53" spans="1:43" s="2021" customFormat="1" hidden="1">
      <c r="A53" s="759">
        <f>IF($B$25="ไม่สามารถซื้อได้",$B$25,IF($C$5&lt;=10,"",1000))</f>
        <v>1000</v>
      </c>
      <c r="B53" s="898"/>
      <c r="C53" s="759" t="str">
        <f>IF($B$30="ไม่สามารถซื้อได้",$B$30,IF($C$5&lt;11,"SMART","DIAMOND"))</f>
        <v>DIAMOND</v>
      </c>
      <c r="D53" s="759">
        <f>IF($B$24="ไม่สามารถซื้อได้",$B$24,2200)</f>
        <v>2200</v>
      </c>
      <c r="E53" s="1277" t="s">
        <v>190</v>
      </c>
      <c r="F53" s="759">
        <v>3000</v>
      </c>
      <c r="G53" s="116"/>
      <c r="H53" s="116"/>
      <c r="I53" s="116"/>
      <c r="J53" s="116"/>
      <c r="K53" s="116"/>
      <c r="L53" s="116"/>
      <c r="M53" s="116"/>
      <c r="N53" s="116"/>
      <c r="O53" s="116"/>
      <c r="P53" s="116"/>
      <c r="Q53" s="116"/>
      <c r="R53" s="116"/>
      <c r="S53" s="116"/>
      <c r="T53" s="116"/>
      <c r="U53" s="116"/>
      <c r="V53" s="116"/>
      <c r="W53" s="116"/>
      <c r="X53" s="116"/>
      <c r="Y53" s="116"/>
      <c r="Z53" s="116"/>
      <c r="AA53" s="116"/>
      <c r="AB53" s="116"/>
      <c r="AC53" s="116"/>
      <c r="AD53" s="116"/>
      <c r="AE53" s="116"/>
      <c r="AF53" s="116"/>
      <c r="AG53" s="116"/>
      <c r="AH53" s="116"/>
      <c r="AI53" s="116"/>
      <c r="AJ53" s="116"/>
      <c r="AK53" s="116"/>
      <c r="AL53" s="116"/>
      <c r="AM53" s="116"/>
      <c r="AN53" s="116"/>
      <c r="AO53" s="116"/>
      <c r="AP53" s="116"/>
      <c r="AQ53" s="116"/>
    </row>
    <row r="54" spans="1:43" s="2021" customFormat="1" hidden="1">
      <c r="A54" s="759">
        <f>IF($B$25="ไม่สามารถซื้อได้",$B$25,IF($C$5&lt;=15,"",2000))</f>
        <v>2000</v>
      </c>
      <c r="B54" s="898"/>
      <c r="C54" s="759" t="str">
        <f>IF($B$30="ไม่สามารถซื้อได้",$B$30,IF($C$5&lt;11,"","GOLD"))</f>
        <v>GOLD</v>
      </c>
      <c r="D54" s="759">
        <f>IF($B$24="ไม่สามารถซื้อได้",$B$24,3200)</f>
        <v>3200</v>
      </c>
      <c r="E54" s="1277" t="s">
        <v>191</v>
      </c>
      <c r="F54" s="759">
        <v>4000</v>
      </c>
      <c r="G54" s="116"/>
      <c r="H54" s="116"/>
      <c r="I54" s="116"/>
      <c r="J54" s="116"/>
      <c r="K54" s="116"/>
      <c r="L54" s="116"/>
      <c r="M54" s="116"/>
      <c r="N54" s="116"/>
      <c r="O54" s="116"/>
      <c r="P54" s="116"/>
      <c r="Q54" s="116"/>
      <c r="R54" s="116"/>
      <c r="S54" s="116"/>
      <c r="T54" s="116"/>
      <c r="U54" s="116"/>
      <c r="V54" s="116"/>
      <c r="W54" s="116"/>
      <c r="X54" s="116"/>
      <c r="Y54" s="116"/>
      <c r="Z54" s="116"/>
      <c r="AA54" s="116"/>
      <c r="AB54" s="116"/>
      <c r="AC54" s="116"/>
      <c r="AD54" s="116"/>
      <c r="AE54" s="116"/>
      <c r="AF54" s="116"/>
      <c r="AG54" s="116"/>
      <c r="AH54" s="116"/>
      <c r="AI54" s="116"/>
      <c r="AJ54" s="116"/>
      <c r="AK54" s="116"/>
      <c r="AL54" s="116"/>
      <c r="AM54" s="116"/>
      <c r="AN54" s="116"/>
      <c r="AO54" s="116"/>
      <c r="AP54" s="116"/>
      <c r="AQ54" s="116"/>
    </row>
    <row r="55" spans="1:43" s="2021" customFormat="1" hidden="1">
      <c r="A55" s="759">
        <f>IF($B$25="ไม่สามารถซื้อได้",$B$25,IF($C$5&lt;=15,"",3000))</f>
        <v>3000</v>
      </c>
      <c r="B55" s="898"/>
      <c r="C55" s="759" t="str">
        <f>IF($B$30="ไม่สามารถซื้อได้",$B$30,IF($C$5&lt;11,"","SILVER"))</f>
        <v>SILVER</v>
      </c>
      <c r="D55" s="759">
        <f>IF($B$24="ไม่สามารถซื้อได้",$B$24,IF($C$5&lt;=10,"",4200))</f>
        <v>4200</v>
      </c>
      <c r="E55" s="116"/>
      <c r="F55" s="759">
        <v>5000</v>
      </c>
      <c r="G55" s="116"/>
      <c r="H55" s="116"/>
      <c r="I55" s="116"/>
      <c r="J55" s="116"/>
      <c r="K55" s="116"/>
      <c r="L55" s="116"/>
      <c r="M55" s="116"/>
      <c r="N55" s="116"/>
      <c r="O55" s="116"/>
      <c r="P55" s="116"/>
      <c r="Q55" s="116"/>
      <c r="R55" s="116"/>
      <c r="S55" s="116"/>
      <c r="T55" s="116"/>
      <c r="U55" s="116"/>
      <c r="V55" s="116"/>
      <c r="W55" s="116"/>
      <c r="X55" s="116"/>
      <c r="Y55" s="116"/>
      <c r="Z55" s="116"/>
      <c r="AA55" s="116"/>
      <c r="AB55" s="116"/>
      <c r="AC55" s="116"/>
      <c r="AD55" s="116"/>
      <c r="AE55" s="116"/>
      <c r="AF55" s="116"/>
      <c r="AG55" s="116"/>
      <c r="AH55" s="116"/>
      <c r="AI55" s="116"/>
      <c r="AJ55" s="116"/>
      <c r="AK55" s="116"/>
      <c r="AL55" s="116"/>
      <c r="AM55" s="116"/>
      <c r="AN55" s="116"/>
      <c r="AO55" s="116"/>
      <c r="AP55" s="116"/>
      <c r="AQ55" s="116"/>
    </row>
    <row r="56" spans="1:43" s="2021" customFormat="1" hidden="1">
      <c r="A56" s="759">
        <f>IF($B$25="ไม่สามารถซื้อได้",$B$25,IF($C$5&lt;=15,"",4000))</f>
        <v>4000</v>
      </c>
      <c r="B56" s="898"/>
      <c r="C56" s="759" t="str">
        <f>IF($B$30="ไม่สามารถซื้อได้",$B$30,IF($C$5&lt;11,"","BRONZE"))</f>
        <v>BRONZE</v>
      </c>
      <c r="D56" s="759">
        <f>IF($B$24="ไม่สามารถซื้อได้",$B$24,IF($C$5&lt;=10,"",6200))</f>
        <v>6200</v>
      </c>
      <c r="E56" s="116"/>
      <c r="F56" s="759">
        <v>6000</v>
      </c>
      <c r="G56" s="116"/>
      <c r="H56" s="116"/>
      <c r="I56" s="116"/>
      <c r="J56" s="116"/>
      <c r="K56" s="116"/>
      <c r="L56" s="116"/>
      <c r="M56" s="116"/>
      <c r="N56" s="116"/>
      <c r="O56" s="116"/>
      <c r="P56" s="116"/>
      <c r="Q56" s="116"/>
      <c r="R56" s="116"/>
      <c r="S56" s="116"/>
      <c r="T56" s="116"/>
      <c r="U56" s="116"/>
      <c r="V56" s="116"/>
      <c r="W56" s="116"/>
      <c r="X56" s="116"/>
      <c r="Y56" s="116"/>
      <c r="Z56" s="116"/>
      <c r="AA56" s="116"/>
      <c r="AB56" s="116"/>
      <c r="AC56" s="116"/>
      <c r="AD56" s="116"/>
      <c r="AE56" s="116"/>
      <c r="AF56" s="116"/>
      <c r="AG56" s="116"/>
      <c r="AH56" s="116"/>
      <c r="AI56" s="116"/>
      <c r="AJ56" s="116"/>
      <c r="AK56" s="116"/>
      <c r="AL56" s="116"/>
      <c r="AM56" s="116"/>
      <c r="AN56" s="116"/>
      <c r="AO56" s="116"/>
      <c r="AP56" s="116"/>
      <c r="AQ56" s="116"/>
    </row>
    <row r="57" spans="1:43" s="2021" customFormat="1" hidden="1">
      <c r="A57" s="759">
        <f>IF($B$25="ไม่สามารถซื้อได้",$B$25,IF($C$5&lt;=15,"",5000))</f>
        <v>5000</v>
      </c>
      <c r="B57" s="193"/>
      <c r="C57" s="759" t="str">
        <f>IF($B$30="ไม่สามารถซื้อได้",$B$30,IF($C$5&lt;11,"","SMART"))</f>
        <v>SMART</v>
      </c>
      <c r="D57" s="116" t="s">
        <v>1095</v>
      </c>
      <c r="E57" s="116"/>
      <c r="F57" s="759">
        <v>7000</v>
      </c>
      <c r="G57" s="116"/>
      <c r="H57" s="116"/>
      <c r="I57" s="116"/>
      <c r="J57" s="116"/>
      <c r="K57" s="116"/>
      <c r="L57" s="116"/>
      <c r="M57" s="116"/>
      <c r="N57" s="116"/>
      <c r="O57" s="116"/>
      <c r="P57" s="116"/>
      <c r="Q57" s="116"/>
      <c r="R57" s="116"/>
      <c r="S57" s="116"/>
      <c r="T57" s="116"/>
      <c r="U57" s="116"/>
      <c r="V57" s="116"/>
      <c r="W57" s="116"/>
      <c r="X57" s="116"/>
      <c r="Y57" s="116"/>
      <c r="Z57" s="116"/>
      <c r="AA57" s="116"/>
      <c r="AB57" s="116"/>
      <c r="AC57" s="116"/>
      <c r="AD57" s="116"/>
      <c r="AE57" s="116"/>
      <c r="AF57" s="116"/>
      <c r="AG57" s="116"/>
      <c r="AH57" s="116"/>
      <c r="AI57" s="116"/>
      <c r="AJ57" s="116"/>
      <c r="AK57" s="116"/>
      <c r="AL57" s="116"/>
      <c r="AM57" s="116"/>
      <c r="AN57" s="116"/>
      <c r="AO57" s="116"/>
      <c r="AP57" s="116"/>
      <c r="AQ57" s="116"/>
    </row>
    <row r="58" spans="1:43" s="2021" customFormat="1" hidden="1">
      <c r="A58" s="116" t="s">
        <v>1096</v>
      </c>
      <c r="B58" s="120"/>
      <c r="C58" s="183"/>
      <c r="D58" s="116" t="s">
        <v>1093</v>
      </c>
      <c r="E58" s="116"/>
      <c r="F58" s="759">
        <v>8000</v>
      </c>
      <c r="G58" s="116"/>
      <c r="H58" s="116"/>
      <c r="I58" s="116"/>
      <c r="J58" s="116"/>
      <c r="K58" s="116"/>
      <c r="L58" s="116"/>
      <c r="M58" s="116"/>
      <c r="N58" s="116"/>
      <c r="O58" s="116"/>
      <c r="P58" s="116"/>
      <c r="Q58" s="116"/>
      <c r="R58" s="116"/>
      <c r="S58" s="116"/>
      <c r="T58" s="116"/>
      <c r="U58" s="116"/>
      <c r="V58" s="116"/>
      <c r="W58" s="116"/>
      <c r="X58" s="116"/>
      <c r="Y58" s="116"/>
      <c r="Z58" s="116"/>
      <c r="AA58" s="116"/>
      <c r="AB58" s="116"/>
      <c r="AC58" s="116"/>
      <c r="AD58" s="116"/>
      <c r="AE58" s="116"/>
      <c r="AF58" s="116"/>
      <c r="AG58" s="116"/>
      <c r="AH58" s="116"/>
      <c r="AI58" s="116"/>
      <c r="AJ58" s="116"/>
      <c r="AK58" s="116"/>
      <c r="AL58" s="116"/>
      <c r="AM58" s="116"/>
      <c r="AN58" s="116"/>
      <c r="AO58" s="116"/>
      <c r="AP58" s="116"/>
      <c r="AQ58" s="116"/>
    </row>
    <row r="59" spans="1:43" s="2021" customFormat="1" hidden="1">
      <c r="A59" s="116" t="s">
        <v>1090</v>
      </c>
      <c r="B59" s="120"/>
      <c r="C59" s="183"/>
      <c r="D59" s="116" t="s">
        <v>1094</v>
      </c>
      <c r="E59" s="116"/>
      <c r="F59" s="759">
        <v>9000</v>
      </c>
      <c r="G59" s="116"/>
      <c r="H59" s="116"/>
      <c r="I59" s="116"/>
      <c r="J59" s="116"/>
      <c r="K59" s="116"/>
      <c r="L59" s="116"/>
      <c r="M59" s="116"/>
      <c r="N59" s="116"/>
      <c r="O59" s="116"/>
      <c r="P59" s="116"/>
      <c r="Q59" s="116"/>
      <c r="R59" s="116"/>
      <c r="S59" s="116"/>
      <c r="T59" s="116"/>
      <c r="U59" s="116"/>
      <c r="V59" s="116"/>
      <c r="W59" s="116"/>
      <c r="X59" s="116"/>
      <c r="Y59" s="116"/>
      <c r="Z59" s="116"/>
      <c r="AA59" s="116"/>
      <c r="AB59" s="116"/>
      <c r="AC59" s="116"/>
      <c r="AD59" s="116"/>
      <c r="AE59" s="116"/>
      <c r="AF59" s="116"/>
      <c r="AG59" s="116"/>
      <c r="AH59" s="116"/>
      <c r="AI59" s="116"/>
      <c r="AJ59" s="116"/>
      <c r="AK59" s="116"/>
      <c r="AL59" s="116"/>
      <c r="AM59" s="116"/>
      <c r="AN59" s="116"/>
      <c r="AO59" s="116"/>
      <c r="AP59" s="116"/>
      <c r="AQ59" s="116"/>
    </row>
    <row r="60" spans="1:43" s="2021" customFormat="1" hidden="1">
      <c r="A60" s="116" t="s">
        <v>1091</v>
      </c>
      <c r="B60" s="116"/>
      <c r="C60" s="116"/>
      <c r="D60" s="116"/>
      <c r="E60" s="116"/>
      <c r="F60" s="759">
        <v>10000</v>
      </c>
      <c r="G60" s="116"/>
      <c r="H60" s="116"/>
      <c r="I60" s="116"/>
      <c r="J60" s="116"/>
      <c r="K60" s="116"/>
      <c r="L60" s="116"/>
      <c r="M60" s="116"/>
      <c r="N60" s="116"/>
      <c r="O60" s="116"/>
      <c r="P60" s="116"/>
      <c r="Q60" s="116"/>
      <c r="R60" s="116"/>
      <c r="S60" s="116"/>
      <c r="T60" s="116"/>
      <c r="U60" s="116"/>
      <c r="V60" s="116"/>
      <c r="W60" s="116"/>
      <c r="X60" s="116"/>
      <c r="Y60" s="116"/>
      <c r="Z60" s="116"/>
      <c r="AA60" s="116"/>
      <c r="AB60" s="116"/>
      <c r="AC60" s="116"/>
      <c r="AD60" s="116"/>
      <c r="AE60" s="116"/>
      <c r="AF60" s="116"/>
      <c r="AG60" s="116"/>
      <c r="AH60" s="116"/>
      <c r="AI60" s="116"/>
      <c r="AJ60" s="116"/>
      <c r="AK60" s="116"/>
      <c r="AL60" s="116"/>
      <c r="AM60" s="116"/>
      <c r="AN60" s="116"/>
      <c r="AO60" s="116"/>
      <c r="AP60" s="116"/>
      <c r="AQ60" s="116"/>
    </row>
    <row r="61" spans="1:43" s="2021" customFormat="1" hidden="1">
      <c r="A61" s="116" t="s">
        <v>1092</v>
      </c>
      <c r="B61" s="116"/>
      <c r="C61" s="116"/>
      <c r="D61" s="116"/>
      <c r="E61" s="116"/>
      <c r="F61" s="116"/>
      <c r="G61" s="116"/>
      <c r="H61" s="116"/>
      <c r="I61" s="116"/>
      <c r="J61" s="116"/>
      <c r="K61" s="116"/>
      <c r="L61" s="116"/>
      <c r="M61" s="116"/>
      <c r="N61" s="116"/>
      <c r="O61" s="116"/>
      <c r="P61" s="116"/>
      <c r="Q61" s="116"/>
      <c r="R61" s="116"/>
      <c r="S61" s="116"/>
      <c r="T61" s="116"/>
      <c r="U61" s="116"/>
      <c r="V61" s="116"/>
      <c r="W61" s="116"/>
      <c r="X61" s="116"/>
      <c r="Y61" s="116"/>
      <c r="Z61" s="116"/>
      <c r="AA61" s="116"/>
      <c r="AB61" s="116"/>
      <c r="AC61" s="116"/>
      <c r="AD61" s="116"/>
      <c r="AE61" s="116"/>
      <c r="AF61" s="116"/>
      <c r="AG61" s="116"/>
      <c r="AH61" s="116"/>
      <c r="AI61" s="116"/>
      <c r="AJ61" s="116"/>
      <c r="AK61" s="116"/>
      <c r="AL61" s="116"/>
      <c r="AM61" s="116"/>
      <c r="AN61" s="116"/>
      <c r="AO61" s="116"/>
      <c r="AP61" s="116"/>
      <c r="AQ61" s="116"/>
    </row>
    <row r="62" spans="1:43" s="2021" customFormat="1" hidden="1">
      <c r="A62" s="116"/>
      <c r="B62" s="116"/>
      <c r="C62" s="116"/>
      <c r="D62" s="116"/>
      <c r="E62" s="116"/>
      <c r="F62" s="116"/>
      <c r="G62" s="604" t="s">
        <v>876</v>
      </c>
      <c r="H62" s="116"/>
      <c r="I62" s="116"/>
      <c r="J62" s="116"/>
      <c r="K62" s="116"/>
      <c r="L62" s="116"/>
      <c r="M62" s="116"/>
      <c r="N62" s="116"/>
      <c r="O62" s="116"/>
      <c r="P62" s="116"/>
      <c r="Q62" s="116"/>
      <c r="R62" s="116"/>
      <c r="S62" s="116"/>
      <c r="T62" s="116"/>
      <c r="U62" s="116"/>
      <c r="V62" s="116"/>
      <c r="W62" s="116"/>
      <c r="X62" s="116"/>
      <c r="Y62" s="116"/>
      <c r="Z62" s="116"/>
      <c r="AA62" s="116"/>
      <c r="AB62" s="116"/>
      <c r="AC62" s="116"/>
      <c r="AD62" s="116"/>
      <c r="AE62" s="116"/>
      <c r="AF62" s="116"/>
      <c r="AG62" s="116"/>
      <c r="AH62" s="116"/>
      <c r="AI62" s="116"/>
      <c r="AJ62" s="116"/>
      <c r="AK62" s="116"/>
      <c r="AL62" s="116"/>
      <c r="AM62" s="116"/>
      <c r="AN62" s="116"/>
      <c r="AO62" s="116"/>
      <c r="AP62" s="116"/>
      <c r="AQ62" s="116"/>
    </row>
    <row r="63" spans="1:43" s="2021" customFormat="1" hidden="1">
      <c r="A63" s="116"/>
      <c r="B63" s="116"/>
      <c r="C63" s="116"/>
      <c r="D63" s="549" t="s">
        <v>121</v>
      </c>
      <c r="E63" s="856" t="s">
        <v>2916</v>
      </c>
      <c r="F63" s="116"/>
      <c r="G63" s="605">
        <v>46477</v>
      </c>
      <c r="H63" s="116"/>
      <c r="I63" s="116"/>
      <c r="J63" s="116"/>
      <c r="K63" s="116"/>
      <c r="L63" s="116"/>
      <c r="M63" s="116"/>
      <c r="N63" s="116"/>
      <c r="O63" s="116"/>
      <c r="P63" s="116"/>
      <c r="Q63" s="116"/>
      <c r="R63" s="116"/>
      <c r="S63" s="116"/>
      <c r="T63" s="116"/>
      <c r="U63" s="116"/>
      <c r="V63" s="116"/>
      <c r="W63" s="116"/>
      <c r="X63" s="116"/>
      <c r="Y63" s="116"/>
      <c r="Z63" s="116"/>
      <c r="AA63" s="116"/>
      <c r="AB63" s="116"/>
      <c r="AC63" s="116"/>
      <c r="AD63" s="116"/>
      <c r="AE63" s="116"/>
      <c r="AF63" s="116"/>
      <c r="AG63" s="116"/>
      <c r="AH63" s="116"/>
      <c r="AI63" s="116"/>
      <c r="AJ63" s="116"/>
      <c r="AK63" s="116"/>
      <c r="AL63" s="116"/>
      <c r="AM63" s="116"/>
      <c r="AN63" s="116"/>
      <c r="AO63" s="116"/>
      <c r="AP63" s="116"/>
      <c r="AQ63" s="116"/>
    </row>
    <row r="64" spans="1:43" s="2021" customFormat="1" hidden="1">
      <c r="A64" s="116"/>
      <c r="B64" s="116"/>
      <c r="C64" s="116"/>
      <c r="D64" s="549" t="s">
        <v>122</v>
      </c>
      <c r="E64" s="856" t="s">
        <v>2915</v>
      </c>
      <c r="F64" s="116"/>
      <c r="G64" s="606" t="str">
        <f ca="1">IF(TODAY()&gt;G63,"Expire","")</f>
        <v/>
      </c>
      <c r="H64" s="116"/>
      <c r="I64" s="116"/>
      <c r="J64" s="116"/>
      <c r="K64" s="116"/>
      <c r="L64" s="116"/>
      <c r="M64" s="116"/>
      <c r="N64" s="116"/>
      <c r="O64" s="116"/>
      <c r="P64" s="116"/>
      <c r="Q64" s="116"/>
      <c r="R64" s="116"/>
      <c r="S64" s="116"/>
      <c r="T64" s="116"/>
      <c r="U64" s="116"/>
      <c r="V64" s="116"/>
      <c r="W64" s="116"/>
      <c r="X64" s="116"/>
      <c r="Y64" s="116"/>
      <c r="Z64" s="116"/>
      <c r="AA64" s="116"/>
      <c r="AB64" s="116"/>
      <c r="AC64" s="116"/>
      <c r="AD64" s="116"/>
      <c r="AE64" s="116"/>
      <c r="AF64" s="116"/>
      <c r="AG64" s="116"/>
      <c r="AH64" s="116"/>
      <c r="AI64" s="116"/>
      <c r="AJ64" s="116"/>
      <c r="AK64" s="116"/>
      <c r="AL64" s="116"/>
      <c r="AM64" s="116"/>
      <c r="AN64" s="116"/>
      <c r="AO64" s="116"/>
      <c r="AP64" s="116"/>
      <c r="AQ64" s="116"/>
    </row>
    <row r="65" spans="1:43" s="2021" customFormat="1" hidden="1">
      <c r="A65" s="116"/>
      <c r="B65" s="116"/>
      <c r="C65" s="116"/>
      <c r="D65" s="549" t="s">
        <v>123</v>
      </c>
      <c r="E65" s="549" t="s">
        <v>2369</v>
      </c>
      <c r="F65" s="116"/>
      <c r="G65" s="116"/>
      <c r="H65" s="116"/>
      <c r="I65" s="116"/>
      <c r="J65" s="116"/>
      <c r="K65" s="116"/>
      <c r="L65" s="116"/>
      <c r="M65" s="116"/>
      <c r="N65" s="116"/>
      <c r="O65" s="116"/>
      <c r="P65" s="116"/>
      <c r="Q65" s="116"/>
      <c r="R65" s="116"/>
      <c r="S65" s="116"/>
      <c r="T65" s="116"/>
      <c r="U65" s="116"/>
      <c r="V65" s="116"/>
      <c r="W65" s="116"/>
      <c r="X65" s="116"/>
      <c r="Y65" s="116"/>
      <c r="Z65" s="116"/>
      <c r="AA65" s="116"/>
      <c r="AB65" s="116"/>
      <c r="AC65" s="116"/>
      <c r="AD65" s="116"/>
      <c r="AE65" s="116"/>
      <c r="AF65" s="116"/>
      <c r="AG65" s="116"/>
      <c r="AH65" s="116"/>
      <c r="AI65" s="116"/>
      <c r="AJ65" s="116"/>
      <c r="AK65" s="116"/>
      <c r="AL65" s="116"/>
      <c r="AM65" s="116"/>
      <c r="AN65" s="116"/>
      <c r="AO65" s="116"/>
      <c r="AP65" s="116"/>
      <c r="AQ65" s="116"/>
    </row>
    <row r="66" spans="1:43" s="2021" customFormat="1" hidden="1">
      <c r="A66" s="116"/>
      <c r="B66" s="116"/>
      <c r="C66" s="116"/>
      <c r="D66" s="549" t="s">
        <v>124</v>
      </c>
      <c r="E66" s="549" t="s">
        <v>32</v>
      </c>
      <c r="F66" s="549" t="s">
        <v>32</v>
      </c>
      <c r="G66" s="118">
        <v>1</v>
      </c>
      <c r="H66" s="116"/>
      <c r="I66" s="116"/>
      <c r="J66" s="116"/>
      <c r="K66" s="116"/>
      <c r="L66" s="116"/>
      <c r="M66" s="116"/>
      <c r="N66" s="116"/>
      <c r="O66" s="116"/>
      <c r="P66" s="116"/>
      <c r="Q66" s="116"/>
      <c r="R66" s="116"/>
      <c r="S66" s="116"/>
      <c r="T66" s="116"/>
      <c r="U66" s="116"/>
      <c r="V66" s="116"/>
      <c r="W66" s="116"/>
      <c r="X66" s="116"/>
      <c r="Y66" s="116"/>
      <c r="Z66" s="116"/>
      <c r="AA66" s="116"/>
      <c r="AB66" s="116"/>
      <c r="AC66" s="116"/>
      <c r="AD66" s="116"/>
      <c r="AE66" s="116"/>
      <c r="AF66" s="116"/>
      <c r="AG66" s="116"/>
      <c r="AH66" s="116"/>
      <c r="AI66" s="116"/>
      <c r="AJ66" s="116"/>
      <c r="AK66" s="116"/>
      <c r="AL66" s="116"/>
      <c r="AM66" s="116"/>
      <c r="AN66" s="116"/>
      <c r="AO66" s="116"/>
      <c r="AP66" s="116"/>
      <c r="AQ66" s="116"/>
    </row>
    <row r="67" spans="1:43" s="2021" customFormat="1" hidden="1">
      <c r="A67" s="116"/>
      <c r="B67" s="116"/>
      <c r="C67" s="116"/>
      <c r="D67" s="549"/>
      <c r="E67" s="549" t="s">
        <v>44</v>
      </c>
      <c r="F67" s="549" t="s">
        <v>44</v>
      </c>
      <c r="G67" s="118">
        <v>2</v>
      </c>
      <c r="H67" s="116"/>
      <c r="I67" s="116"/>
      <c r="J67" s="116"/>
      <c r="K67" s="116"/>
      <c r="L67" s="116"/>
      <c r="M67" s="116"/>
      <c r="N67" s="116"/>
      <c r="O67" s="116"/>
      <c r="P67" s="116"/>
      <c r="Q67" s="116"/>
      <c r="R67" s="116"/>
      <c r="S67" s="116"/>
      <c r="T67" s="116"/>
      <c r="U67" s="116"/>
      <c r="V67" s="116"/>
      <c r="W67" s="116"/>
      <c r="X67" s="116"/>
      <c r="Y67" s="116"/>
      <c r="Z67" s="116"/>
      <c r="AA67" s="116"/>
      <c r="AB67" s="116"/>
      <c r="AC67" s="116"/>
      <c r="AD67" s="116"/>
      <c r="AE67" s="116"/>
      <c r="AF67" s="116"/>
      <c r="AG67" s="116"/>
      <c r="AH67" s="116"/>
      <c r="AI67" s="116"/>
      <c r="AJ67" s="116"/>
      <c r="AK67" s="116"/>
      <c r="AL67" s="116"/>
      <c r="AM67" s="116"/>
      <c r="AN67" s="116"/>
      <c r="AO67" s="116"/>
      <c r="AP67" s="116"/>
      <c r="AQ67" s="116"/>
    </row>
    <row r="68" spans="1:43" s="2021" customFormat="1" hidden="1">
      <c r="A68" s="116"/>
      <c r="B68" s="116"/>
      <c r="C68" s="116"/>
      <c r="D68" s="549"/>
      <c r="E68" s="549" t="s">
        <v>45</v>
      </c>
      <c r="F68" s="549" t="s">
        <v>46</v>
      </c>
      <c r="G68" s="118">
        <v>4</v>
      </c>
      <c r="H68" s="116"/>
      <c r="I68" s="116"/>
      <c r="J68" s="116"/>
      <c r="K68" s="116"/>
      <c r="L68" s="116"/>
      <c r="M68" s="116"/>
      <c r="N68" s="116"/>
      <c r="O68" s="116"/>
      <c r="P68" s="116"/>
      <c r="Q68" s="116"/>
      <c r="R68" s="116"/>
      <c r="S68" s="116"/>
      <c r="T68" s="116"/>
      <c r="U68" s="116"/>
      <c r="V68" s="116"/>
      <c r="W68" s="116"/>
      <c r="X68" s="116"/>
      <c r="Y68" s="116"/>
      <c r="Z68" s="116"/>
      <c r="AA68" s="116"/>
      <c r="AB68" s="116"/>
      <c r="AC68" s="116"/>
      <c r="AD68" s="116"/>
      <c r="AE68" s="116"/>
      <c r="AF68" s="116"/>
      <c r="AG68" s="116"/>
      <c r="AH68" s="116"/>
      <c r="AI68" s="116"/>
      <c r="AJ68" s="116"/>
      <c r="AK68" s="116"/>
      <c r="AL68" s="116"/>
      <c r="AM68" s="116"/>
      <c r="AN68" s="116"/>
      <c r="AO68" s="116"/>
      <c r="AP68" s="116"/>
      <c r="AQ68" s="116"/>
    </row>
    <row r="69" spans="1:43" s="2021" customFormat="1" hidden="1">
      <c r="A69" s="116"/>
      <c r="B69" s="116"/>
      <c r="C69" s="116"/>
      <c r="D69" s="549"/>
      <c r="E69" s="549" t="s">
        <v>46</v>
      </c>
      <c r="F69" s="549"/>
      <c r="G69" s="118">
        <v>12</v>
      </c>
      <c r="H69" s="116"/>
      <c r="I69" s="116"/>
      <c r="J69" s="116"/>
      <c r="K69" s="116"/>
      <c r="L69" s="116"/>
      <c r="M69" s="753"/>
      <c r="N69" s="116"/>
      <c r="O69" s="116"/>
      <c r="P69" s="116"/>
      <c r="Q69" s="116"/>
      <c r="R69" s="116"/>
      <c r="S69" s="116"/>
      <c r="T69" s="116"/>
      <c r="U69" s="116"/>
      <c r="V69" s="116"/>
      <c r="W69" s="116"/>
      <c r="X69" s="116"/>
      <c r="Y69" s="116"/>
      <c r="Z69" s="116"/>
      <c r="AA69" s="116"/>
      <c r="AB69" s="116"/>
      <c r="AC69" s="116"/>
      <c r="AD69" s="116"/>
      <c r="AE69" s="116"/>
      <c r="AF69" s="116"/>
      <c r="AG69" s="116"/>
      <c r="AH69" s="116"/>
      <c r="AI69" s="116"/>
      <c r="AJ69" s="116"/>
      <c r="AK69" s="116"/>
      <c r="AL69" s="116"/>
      <c r="AM69" s="116"/>
      <c r="AN69" s="116"/>
      <c r="AO69" s="116"/>
      <c r="AP69" s="116"/>
      <c r="AQ69" s="116"/>
    </row>
    <row r="70" spans="1:43" s="2021" customFormat="1" hidden="1">
      <c r="A70" s="116"/>
      <c r="B70" s="116"/>
      <c r="C70" s="116"/>
      <c r="D70" s="192" t="s">
        <v>1311</v>
      </c>
      <c r="E70" s="606" t="str">
        <f>IF(OR(F37=0,AND(C7="รายเดือน",F37&lt;1000)),"no","yes")</f>
        <v>yes</v>
      </c>
      <c r="F70" s="116"/>
      <c r="G70" s="116"/>
      <c r="H70" s="116"/>
      <c r="I70" s="116"/>
      <c r="J70" s="116"/>
      <c r="K70" s="116"/>
      <c r="L70" s="116"/>
      <c r="M70" s="116"/>
      <c r="N70" s="116"/>
      <c r="O70" s="116"/>
      <c r="P70" s="116"/>
      <c r="Q70" s="116"/>
      <c r="R70" s="116"/>
      <c r="S70" s="116"/>
      <c r="T70" s="116"/>
      <c r="U70" s="116"/>
      <c r="V70" s="116"/>
      <c r="W70" s="116"/>
      <c r="X70" s="116"/>
      <c r="Y70" s="116"/>
      <c r="Z70" s="116"/>
      <c r="AA70" s="116"/>
      <c r="AB70" s="116"/>
      <c r="AC70" s="116"/>
      <c r="AD70" s="116"/>
      <c r="AE70" s="116"/>
      <c r="AF70" s="116"/>
      <c r="AG70" s="116"/>
      <c r="AH70" s="116"/>
      <c r="AI70" s="116"/>
      <c r="AJ70" s="116"/>
      <c r="AK70" s="116"/>
      <c r="AL70" s="116"/>
      <c r="AM70" s="116"/>
      <c r="AN70" s="116"/>
      <c r="AO70" s="116"/>
      <c r="AP70" s="116"/>
      <c r="AQ70" s="116"/>
    </row>
    <row r="71" spans="1:43" s="2021" customFormat="1" hidden="1">
      <c r="A71" s="116"/>
      <c r="B71" s="116"/>
      <c r="C71" s="116"/>
      <c r="D71" s="116"/>
      <c r="E71" s="116"/>
      <c r="F71" s="116"/>
      <c r="G71" s="116"/>
      <c r="H71" s="116"/>
      <c r="I71" s="116"/>
      <c r="J71" s="116"/>
      <c r="K71" s="116"/>
      <c r="L71" s="116"/>
      <c r="M71" s="116"/>
      <c r="N71" s="116"/>
      <c r="O71" s="116"/>
      <c r="P71" s="116"/>
      <c r="Q71" s="116"/>
      <c r="R71" s="116"/>
      <c r="S71" s="116"/>
      <c r="T71" s="116"/>
      <c r="U71" s="116"/>
      <c r="V71" s="116"/>
      <c r="W71" s="116"/>
      <c r="X71" s="116"/>
      <c r="Y71" s="116"/>
      <c r="Z71" s="116"/>
      <c r="AA71" s="116"/>
      <c r="AB71" s="116"/>
      <c r="AC71" s="116"/>
      <c r="AD71" s="116"/>
      <c r="AE71" s="116"/>
      <c r="AF71" s="116"/>
      <c r="AG71" s="116"/>
      <c r="AH71" s="116"/>
      <c r="AI71" s="116"/>
      <c r="AJ71" s="116"/>
      <c r="AK71" s="116"/>
      <c r="AL71" s="116"/>
      <c r="AM71" s="116"/>
      <c r="AN71" s="116"/>
      <c r="AO71" s="116"/>
      <c r="AP71" s="116"/>
      <c r="AQ71" s="116"/>
    </row>
    <row r="72" spans="1:43" s="2021" customFormat="1" ht="22" hidden="1" thickBot="1">
      <c r="A72" s="116"/>
      <c r="B72" s="116"/>
      <c r="C72" s="116"/>
      <c r="D72" s="116"/>
      <c r="E72" s="116"/>
      <c r="F72" s="116"/>
      <c r="G72" s="116"/>
      <c r="H72" s="116"/>
      <c r="I72" s="116"/>
      <c r="J72" s="116"/>
      <c r="K72" s="116"/>
      <c r="L72" s="116"/>
      <c r="M72" s="116"/>
      <c r="N72" s="116"/>
      <c r="O72" s="116"/>
      <c r="P72" s="116"/>
      <c r="Q72" s="116"/>
      <c r="R72" s="116"/>
      <c r="S72" s="116"/>
      <c r="T72" s="116"/>
      <c r="U72" s="116"/>
      <c r="V72" s="116"/>
      <c r="W72" s="116"/>
      <c r="X72" s="116"/>
      <c r="Y72" s="116"/>
      <c r="Z72" s="116"/>
      <c r="AA72" s="116"/>
      <c r="AB72" s="116"/>
      <c r="AC72" s="116"/>
      <c r="AD72" s="116"/>
      <c r="AE72" s="116"/>
      <c r="AF72" s="116"/>
      <c r="AG72" s="116"/>
      <c r="AH72" s="116"/>
      <c r="AI72" s="116"/>
      <c r="AJ72" s="116"/>
      <c r="AK72" s="116"/>
      <c r="AL72" s="116"/>
      <c r="AM72" s="116"/>
      <c r="AN72" s="116"/>
      <c r="AO72" s="116"/>
      <c r="AP72" s="116"/>
      <c r="AQ72" s="116"/>
    </row>
    <row r="73" spans="1:43" s="2021" customFormat="1" ht="22" hidden="1" thickBot="1">
      <c r="A73" s="116"/>
      <c r="B73" s="116"/>
      <c r="C73" s="116"/>
      <c r="D73" s="1111" t="s">
        <v>1282</v>
      </c>
      <c r="E73" s="116"/>
      <c r="F73" s="116"/>
      <c r="G73" s="116"/>
      <c r="H73" s="116"/>
      <c r="I73" s="116"/>
      <c r="J73" s="116"/>
      <c r="K73" s="116"/>
      <c r="L73" s="116"/>
      <c r="M73" s="116"/>
      <c r="N73" s="116"/>
      <c r="O73" s="116"/>
      <c r="P73" s="116"/>
      <c r="Q73" s="116"/>
      <c r="R73" s="116"/>
      <c r="S73" s="116"/>
      <c r="T73" s="116"/>
      <c r="U73" s="116"/>
      <c r="V73" s="116"/>
      <c r="W73" s="116"/>
      <c r="X73" s="116"/>
      <c r="Y73" s="116"/>
      <c r="Z73" s="116"/>
      <c r="AA73" s="116"/>
      <c r="AB73" s="116"/>
      <c r="AC73" s="116"/>
      <c r="AD73" s="116"/>
      <c r="AE73" s="116"/>
      <c r="AF73" s="116"/>
      <c r="AG73" s="116"/>
      <c r="AH73" s="116"/>
      <c r="AI73" s="116"/>
      <c r="AJ73" s="116"/>
      <c r="AK73" s="116"/>
      <c r="AL73" s="116"/>
      <c r="AM73" s="116"/>
      <c r="AN73" s="116"/>
      <c r="AO73" s="116"/>
      <c r="AP73" s="116"/>
      <c r="AQ73" s="116"/>
    </row>
    <row r="74" spans="1:43" s="2021" customFormat="1" ht="28.5" hidden="1" thickBot="1">
      <c r="A74" s="116"/>
      <c r="B74" s="116"/>
      <c r="C74" s="116"/>
      <c r="D74" s="1112" t="s">
        <v>1283</v>
      </c>
      <c r="E74" s="116"/>
      <c r="F74" s="116"/>
      <c r="G74" s="116"/>
      <c r="H74" s="116"/>
      <c r="I74" s="116"/>
      <c r="J74" s="116"/>
      <c r="K74" s="116"/>
      <c r="L74" s="116"/>
      <c r="M74" s="116"/>
      <c r="N74" s="116"/>
      <c r="O74" s="116"/>
      <c r="P74" s="116"/>
      <c r="Q74" s="116"/>
      <c r="R74" s="116"/>
      <c r="S74" s="116"/>
      <c r="T74" s="116"/>
      <c r="U74" s="116"/>
      <c r="V74" s="116"/>
      <c r="W74" s="116"/>
      <c r="X74" s="116"/>
      <c r="Y74" s="116"/>
      <c r="Z74" s="116"/>
      <c r="AA74" s="116"/>
      <c r="AB74" s="116"/>
      <c r="AC74" s="116"/>
      <c r="AD74" s="116"/>
      <c r="AE74" s="116"/>
      <c r="AF74" s="116"/>
      <c r="AG74" s="116"/>
      <c r="AH74" s="116"/>
      <c r="AI74" s="116"/>
      <c r="AJ74" s="116"/>
      <c r="AK74" s="116"/>
      <c r="AL74" s="116"/>
      <c r="AM74" s="116"/>
      <c r="AN74" s="116"/>
      <c r="AO74" s="116"/>
      <c r="AP74" s="116"/>
      <c r="AQ74" s="116"/>
    </row>
    <row r="75" spans="1:43" s="2021" customFormat="1" hidden="1">
      <c r="A75" s="116"/>
      <c r="B75" s="116"/>
      <c r="C75" s="116"/>
      <c r="D75" s="116"/>
      <c r="E75" s="116"/>
      <c r="F75" s="116"/>
      <c r="G75" s="116"/>
      <c r="H75" s="116"/>
      <c r="I75" s="116"/>
      <c r="J75" s="116"/>
      <c r="K75" s="116"/>
      <c r="L75" s="116"/>
      <c r="M75" s="116"/>
      <c r="N75" s="116"/>
      <c r="O75" s="116"/>
      <c r="P75" s="116"/>
      <c r="Q75" s="116"/>
      <c r="R75" s="116"/>
      <c r="S75" s="116"/>
      <c r="T75" s="116"/>
      <c r="U75" s="116"/>
      <c r="V75" s="116"/>
      <c r="W75" s="116"/>
      <c r="X75" s="116"/>
      <c r="Y75" s="116"/>
      <c r="Z75" s="116"/>
      <c r="AA75" s="116"/>
      <c r="AB75" s="116"/>
      <c r="AC75" s="116"/>
      <c r="AD75" s="116"/>
      <c r="AE75" s="116"/>
      <c r="AF75" s="116"/>
      <c r="AG75" s="116"/>
      <c r="AH75" s="116"/>
      <c r="AI75" s="116"/>
      <c r="AJ75" s="116"/>
      <c r="AK75" s="116"/>
      <c r="AL75" s="116"/>
      <c r="AM75" s="116"/>
      <c r="AN75" s="116"/>
      <c r="AO75" s="116"/>
      <c r="AP75" s="116"/>
      <c r="AQ75" s="116"/>
    </row>
    <row r="76" spans="1:43" s="2021" customFormat="1" hidden="1">
      <c r="A76" s="116"/>
      <c r="B76" s="116"/>
      <c r="C76" s="116"/>
      <c r="D76" s="116"/>
      <c r="E76" s="116"/>
      <c r="F76" s="116"/>
      <c r="G76" s="116"/>
      <c r="H76" s="116"/>
      <c r="I76" s="116"/>
      <c r="J76" s="116"/>
      <c r="K76" s="116"/>
      <c r="L76" s="116"/>
      <c r="M76" s="116"/>
      <c r="N76" s="116"/>
      <c r="O76" s="116"/>
      <c r="P76" s="116"/>
      <c r="Q76" s="116"/>
      <c r="R76" s="116"/>
      <c r="S76" s="116"/>
      <c r="T76" s="116"/>
      <c r="U76" s="116"/>
      <c r="V76" s="116"/>
      <c r="W76" s="116"/>
      <c r="X76" s="116"/>
      <c r="Y76" s="116"/>
      <c r="Z76" s="116"/>
      <c r="AA76" s="116"/>
      <c r="AB76" s="116"/>
      <c r="AC76" s="116"/>
      <c r="AD76" s="116"/>
      <c r="AE76" s="116"/>
      <c r="AF76" s="116"/>
      <c r="AG76" s="116"/>
      <c r="AH76" s="116"/>
      <c r="AI76" s="116"/>
      <c r="AJ76" s="116"/>
      <c r="AK76" s="116"/>
      <c r="AL76" s="116"/>
      <c r="AM76" s="116"/>
      <c r="AN76" s="116"/>
      <c r="AO76" s="116"/>
      <c r="AP76" s="116"/>
      <c r="AQ76" s="116"/>
    </row>
    <row r="77" spans="1:43" s="2021" customFormat="1" ht="25" hidden="1">
      <c r="A77" s="1272" t="s">
        <v>1278</v>
      </c>
      <c r="B77" s="1273" t="s">
        <v>1278</v>
      </c>
      <c r="C77" s="1272" t="s">
        <v>1284</v>
      </c>
      <c r="D77" s="1272" t="s">
        <v>1285</v>
      </c>
      <c r="E77" s="1272" t="s">
        <v>1286</v>
      </c>
      <c r="F77" s="1270" t="s">
        <v>933</v>
      </c>
      <c r="G77" s="1270" t="s">
        <v>1312</v>
      </c>
      <c r="H77" s="1271" t="s">
        <v>1314</v>
      </c>
      <c r="I77" s="1270" t="s">
        <v>1614</v>
      </c>
      <c r="J77" s="1270" t="s">
        <v>1611</v>
      </c>
      <c r="K77" s="116"/>
      <c r="L77" s="116"/>
      <c r="M77" s="116"/>
      <c r="N77" s="116"/>
      <c r="O77" s="116"/>
      <c r="P77" s="116"/>
      <c r="Q77" s="116"/>
      <c r="R77" s="116"/>
      <c r="S77" s="116"/>
      <c r="T77" s="116"/>
      <c r="U77" s="116"/>
      <c r="V77" s="116"/>
      <c r="W77" s="116"/>
      <c r="X77" s="116"/>
      <c r="Y77" s="116"/>
      <c r="Z77" s="116"/>
      <c r="AA77" s="116"/>
      <c r="AB77" s="116"/>
      <c r="AC77" s="116"/>
      <c r="AD77" s="116"/>
      <c r="AE77" s="116"/>
      <c r="AF77" s="116"/>
      <c r="AG77" s="116"/>
      <c r="AH77" s="116"/>
      <c r="AI77" s="116"/>
      <c r="AJ77" s="116"/>
      <c r="AK77" s="116"/>
      <c r="AL77" s="116"/>
      <c r="AM77" s="116"/>
      <c r="AN77" s="116"/>
      <c r="AO77" s="116"/>
      <c r="AP77" s="116"/>
      <c r="AQ77" s="116"/>
    </row>
    <row r="78" spans="1:43" s="2021" customFormat="1" hidden="1">
      <c r="A78" s="916" t="s">
        <v>1277</v>
      </c>
      <c r="B78" s="1274" t="s">
        <v>1279</v>
      </c>
      <c r="C78" s="917">
        <v>25</v>
      </c>
      <c r="D78" s="917">
        <v>65</v>
      </c>
      <c r="E78" s="917">
        <v>1</v>
      </c>
      <c r="F78" s="912" t="s">
        <v>2358</v>
      </c>
      <c r="G78" s="917" t="s">
        <v>1313</v>
      </c>
      <c r="H78" s="917">
        <v>6</v>
      </c>
      <c r="I78" s="116"/>
      <c r="J78" s="116"/>
      <c r="K78" s="116"/>
      <c r="L78" s="116"/>
      <c r="M78" s="116"/>
      <c r="N78" s="116"/>
      <c r="O78" s="116"/>
      <c r="P78" s="116"/>
      <c r="Q78" s="116"/>
      <c r="R78" s="116"/>
      <c r="S78" s="116"/>
      <c r="T78" s="116"/>
      <c r="U78" s="116"/>
      <c r="V78" s="116"/>
      <c r="W78" s="116"/>
      <c r="X78" s="116"/>
      <c r="Y78" s="116"/>
      <c r="Z78" s="116"/>
      <c r="AA78" s="116"/>
      <c r="AB78" s="116"/>
      <c r="AC78" s="116"/>
      <c r="AD78" s="116"/>
      <c r="AE78" s="116"/>
      <c r="AF78" s="116"/>
      <c r="AG78" s="116"/>
      <c r="AH78" s="116"/>
      <c r="AI78" s="116"/>
      <c r="AJ78" s="116"/>
      <c r="AK78" s="116"/>
      <c r="AL78" s="116"/>
      <c r="AM78" s="116"/>
      <c r="AN78" s="116"/>
      <c r="AO78" s="116"/>
      <c r="AP78" s="116"/>
      <c r="AQ78" s="116"/>
    </row>
    <row r="79" spans="1:43" s="2021" customFormat="1" hidden="1">
      <c r="A79" s="916"/>
      <c r="B79" s="1274"/>
      <c r="C79" s="917"/>
      <c r="D79" s="917"/>
      <c r="E79" s="917"/>
      <c r="F79" s="912"/>
      <c r="G79" s="917"/>
      <c r="H79" s="917">
        <v>12</v>
      </c>
      <c r="I79" s="116"/>
      <c r="J79" s="116"/>
      <c r="K79" s="116"/>
      <c r="L79" s="116"/>
      <c r="M79" s="116"/>
      <c r="N79" s="116"/>
      <c r="O79" s="116"/>
      <c r="P79" s="116"/>
      <c r="Q79" s="116"/>
      <c r="R79" s="116"/>
      <c r="S79" s="116"/>
      <c r="T79" s="116"/>
      <c r="U79" s="116"/>
      <c r="V79" s="116"/>
      <c r="W79" s="116"/>
      <c r="X79" s="116"/>
      <c r="Y79" s="116"/>
      <c r="Z79" s="116"/>
      <c r="AA79" s="116"/>
      <c r="AB79" s="116"/>
      <c r="AC79" s="116"/>
      <c r="AD79" s="116"/>
      <c r="AE79" s="116"/>
      <c r="AF79" s="116"/>
      <c r="AG79" s="116"/>
      <c r="AH79" s="116"/>
      <c r="AI79" s="116"/>
      <c r="AJ79" s="116"/>
      <c r="AK79" s="116"/>
      <c r="AL79" s="116"/>
      <c r="AM79" s="116"/>
      <c r="AN79" s="116"/>
      <c r="AO79" s="116"/>
      <c r="AP79" s="116"/>
      <c r="AQ79" s="116"/>
    </row>
    <row r="80" spans="1:43" s="2021" customFormat="1" hidden="1">
      <c r="A80" s="916"/>
      <c r="B80" s="1274"/>
      <c r="C80" s="917"/>
      <c r="D80" s="917"/>
      <c r="E80" s="917"/>
      <c r="F80" s="1475"/>
      <c r="G80" s="917"/>
      <c r="H80" s="917">
        <v>18</v>
      </c>
      <c r="I80" s="1475" t="s">
        <v>1306</v>
      </c>
      <c r="J80" s="1475" t="s">
        <v>1612</v>
      </c>
      <c r="K80" s="116"/>
      <c r="L80" s="116"/>
      <c r="M80" s="116"/>
      <c r="N80" s="116"/>
      <c r="O80" s="116"/>
      <c r="P80" s="116"/>
      <c r="Q80" s="116"/>
      <c r="R80" s="116"/>
      <c r="S80" s="116"/>
      <c r="T80" s="116"/>
      <c r="U80" s="116"/>
      <c r="V80" s="116"/>
      <c r="W80" s="116"/>
      <c r="X80" s="116"/>
      <c r="Y80" s="116"/>
      <c r="Z80" s="116"/>
      <c r="AA80" s="116"/>
      <c r="AB80" s="116"/>
      <c r="AC80" s="116"/>
      <c r="AD80" s="116"/>
      <c r="AE80" s="116"/>
      <c r="AF80" s="116"/>
      <c r="AG80" s="116"/>
      <c r="AH80" s="116"/>
      <c r="AI80" s="116"/>
      <c r="AJ80" s="116"/>
      <c r="AK80" s="116"/>
      <c r="AL80" s="116"/>
      <c r="AM80" s="116"/>
      <c r="AN80" s="116"/>
      <c r="AO80" s="116"/>
      <c r="AP80" s="116"/>
      <c r="AQ80" s="116"/>
    </row>
    <row r="81" spans="1:43" s="2021" customFormat="1" hidden="1">
      <c r="A81" s="916"/>
      <c r="B81" s="1274"/>
      <c r="C81" s="917"/>
      <c r="D81" s="917"/>
      <c r="E81" s="917"/>
      <c r="F81" s="1475"/>
      <c r="G81" s="1275"/>
      <c r="H81" s="1275">
        <f>99-$C$5</f>
        <v>55</v>
      </c>
      <c r="I81" s="1475" t="s">
        <v>1307</v>
      </c>
      <c r="J81" s="1475" t="s">
        <v>1613</v>
      </c>
      <c r="K81" s="116"/>
      <c r="L81" s="116"/>
      <c r="M81" s="116"/>
      <c r="N81" s="116"/>
      <c r="O81" s="116"/>
      <c r="P81" s="116"/>
      <c r="Q81" s="116"/>
      <c r="R81" s="116"/>
      <c r="S81" s="116"/>
      <c r="T81" s="116"/>
      <c r="U81" s="116"/>
      <c r="V81" s="116"/>
      <c r="W81" s="116"/>
      <c r="X81" s="116"/>
      <c r="Y81" s="116"/>
      <c r="Z81" s="116"/>
      <c r="AA81" s="116"/>
      <c r="AB81" s="116"/>
      <c r="AC81" s="116"/>
      <c r="AD81" s="116"/>
      <c r="AE81" s="116"/>
      <c r="AF81" s="116"/>
      <c r="AG81" s="116"/>
      <c r="AH81" s="116"/>
      <c r="AI81" s="116"/>
      <c r="AJ81" s="116"/>
      <c r="AK81" s="116"/>
      <c r="AL81" s="116"/>
      <c r="AM81" s="116"/>
      <c r="AN81" s="116"/>
      <c r="AO81" s="116"/>
      <c r="AP81" s="116"/>
      <c r="AQ81" s="116"/>
    </row>
    <row r="82" spans="1:43" s="2021" customFormat="1" hidden="1">
      <c r="A82" s="1476"/>
      <c r="B82" s="1477"/>
      <c r="C82" s="917"/>
      <c r="D82" s="917"/>
      <c r="E82" s="917"/>
      <c r="F82" s="912"/>
      <c r="G82" s="1275"/>
      <c r="H82" s="1275">
        <f>99-$C$5</f>
        <v>55</v>
      </c>
      <c r="I82" s="116"/>
      <c r="J82" s="116"/>
      <c r="K82" s="116"/>
      <c r="L82" s="116"/>
      <c r="M82" s="116"/>
      <c r="N82" s="116"/>
      <c r="O82" s="116"/>
      <c r="P82" s="116"/>
      <c r="Q82" s="116"/>
      <c r="R82" s="116"/>
      <c r="S82" s="116"/>
      <c r="T82" s="116"/>
      <c r="U82" s="116"/>
      <c r="V82" s="116"/>
      <c r="W82" s="116"/>
      <c r="X82" s="116"/>
      <c r="Y82" s="116"/>
      <c r="Z82" s="116"/>
      <c r="AA82" s="116"/>
      <c r="AB82" s="116"/>
      <c r="AC82" s="116"/>
      <c r="AD82" s="116"/>
      <c r="AE82" s="116"/>
      <c r="AF82" s="116"/>
      <c r="AG82" s="116"/>
      <c r="AH82" s="116"/>
      <c r="AI82" s="116"/>
      <c r="AJ82" s="116"/>
      <c r="AK82" s="116"/>
      <c r="AL82" s="116"/>
      <c r="AM82" s="116"/>
      <c r="AN82" s="116"/>
      <c r="AO82" s="116"/>
      <c r="AP82" s="116"/>
      <c r="AQ82" s="116"/>
    </row>
    <row r="83" spans="1:43" s="2021" customFormat="1" hidden="1">
      <c r="A83" s="1476"/>
      <c r="B83" s="1477"/>
      <c r="C83" s="917"/>
      <c r="D83" s="917"/>
      <c r="E83" s="917"/>
      <c r="F83" s="912"/>
      <c r="G83" s="1275"/>
      <c r="H83" s="1275">
        <f>99-$C$5</f>
        <v>55</v>
      </c>
      <c r="I83" s="116"/>
      <c r="J83" s="116"/>
      <c r="K83" s="116"/>
      <c r="L83" s="116"/>
      <c r="M83" s="116"/>
      <c r="N83" s="116"/>
      <c r="O83" s="116"/>
      <c r="P83" s="116"/>
      <c r="Q83" s="116"/>
      <c r="R83" s="116"/>
      <c r="S83" s="116"/>
      <c r="T83" s="116"/>
      <c r="U83" s="116"/>
      <c r="V83" s="116"/>
      <c r="W83" s="116"/>
      <c r="X83" s="116"/>
      <c r="Y83" s="116"/>
      <c r="Z83" s="116"/>
      <c r="AA83" s="116"/>
      <c r="AB83" s="116"/>
      <c r="AC83" s="116"/>
      <c r="AD83" s="116"/>
      <c r="AE83" s="116"/>
      <c r="AF83" s="116"/>
      <c r="AG83" s="116"/>
      <c r="AH83" s="116"/>
      <c r="AI83" s="116"/>
      <c r="AJ83" s="116"/>
      <c r="AK83" s="116"/>
      <c r="AL83" s="116"/>
      <c r="AM83" s="116"/>
      <c r="AN83" s="116"/>
      <c r="AO83" s="116"/>
      <c r="AP83" s="116"/>
      <c r="AQ83" s="116"/>
    </row>
    <row r="84" spans="1:43" s="2021" customFormat="1" hidden="1">
      <c r="A84" s="116"/>
      <c r="B84" s="116"/>
      <c r="C84" s="116"/>
      <c r="D84" s="116"/>
      <c r="E84" s="116"/>
      <c r="F84" s="116"/>
      <c r="G84" s="116"/>
      <c r="H84" s="116"/>
      <c r="I84" s="116"/>
      <c r="J84" s="116"/>
      <c r="K84" s="116"/>
      <c r="L84" s="116"/>
      <c r="M84" s="116"/>
      <c r="N84" s="116"/>
      <c r="O84" s="116"/>
      <c r="P84" s="116"/>
      <c r="Q84" s="116"/>
      <c r="R84" s="116"/>
      <c r="S84" s="116"/>
      <c r="T84" s="116"/>
      <c r="U84" s="116"/>
      <c r="V84" s="116"/>
      <c r="W84" s="116"/>
      <c r="X84" s="116"/>
      <c r="Y84" s="116"/>
      <c r="Z84" s="116"/>
      <c r="AA84" s="116"/>
      <c r="AB84" s="116"/>
      <c r="AC84" s="116"/>
      <c r="AD84" s="116"/>
      <c r="AE84" s="116"/>
      <c r="AF84" s="116"/>
      <c r="AG84" s="116"/>
      <c r="AH84" s="116"/>
      <c r="AI84" s="116"/>
      <c r="AJ84" s="116"/>
      <c r="AK84" s="116"/>
      <c r="AL84" s="116"/>
      <c r="AM84" s="116"/>
      <c r="AN84" s="116"/>
      <c r="AO84" s="116"/>
      <c r="AP84" s="116"/>
      <c r="AQ84" s="116"/>
    </row>
    <row r="85" spans="1:43" s="2021" customFormat="1" ht="23" hidden="1">
      <c r="A85" s="1206" t="s">
        <v>1429</v>
      </c>
      <c r="B85" s="1229" t="s">
        <v>1447</v>
      </c>
      <c r="C85" s="1229" t="s">
        <v>1448</v>
      </c>
      <c r="D85" s="1229" t="s">
        <v>1431</v>
      </c>
      <c r="E85" s="1229" t="s">
        <v>1430</v>
      </c>
      <c r="F85" s="1229" t="s">
        <v>1443</v>
      </c>
      <c r="G85" s="1229" t="s">
        <v>1461</v>
      </c>
      <c r="H85" s="1229" t="s">
        <v>1462</v>
      </c>
      <c r="I85" s="1229" t="s">
        <v>1468</v>
      </c>
      <c r="J85" s="1229" t="s">
        <v>1467</v>
      </c>
      <c r="K85" s="1229" t="s">
        <v>1539</v>
      </c>
      <c r="L85" s="116"/>
      <c r="M85" s="116"/>
      <c r="N85" s="116"/>
      <c r="O85" s="116"/>
      <c r="P85" s="116"/>
      <c r="Q85" s="116"/>
      <c r="R85" s="116"/>
      <c r="S85" s="116"/>
      <c r="T85" s="116"/>
      <c r="U85" s="116"/>
      <c r="V85" s="116"/>
      <c r="W85" s="116"/>
      <c r="X85" s="116"/>
      <c r="Y85" s="116"/>
      <c r="Z85" s="116"/>
      <c r="AA85" s="116"/>
      <c r="AB85" s="116"/>
      <c r="AC85" s="116"/>
      <c r="AD85" s="116"/>
      <c r="AE85" s="116"/>
      <c r="AF85" s="116"/>
      <c r="AG85" s="116"/>
      <c r="AH85" s="116"/>
      <c r="AI85" s="116"/>
      <c r="AJ85" s="116"/>
      <c r="AK85" s="116"/>
      <c r="AL85" s="116"/>
      <c r="AM85" s="116"/>
      <c r="AN85" s="116"/>
      <c r="AO85" s="116"/>
      <c r="AP85" s="116"/>
      <c r="AQ85" s="116"/>
    </row>
    <row r="86" spans="1:43" s="2021" customFormat="1" ht="30" hidden="1" customHeight="1">
      <c r="A86" s="1191" t="s">
        <v>1433</v>
      </c>
      <c r="B86" s="1230">
        <v>0</v>
      </c>
      <c r="C86" s="1230">
        <v>15</v>
      </c>
      <c r="D86" s="1230" t="s">
        <v>1432</v>
      </c>
      <c r="E86" s="1230" t="s">
        <v>1420</v>
      </c>
      <c r="F86" s="1230" t="s">
        <v>1424</v>
      </c>
      <c r="G86" s="1230">
        <v>20</v>
      </c>
      <c r="H86" s="1230">
        <v>70</v>
      </c>
      <c r="I86" s="1230" t="s">
        <v>1469</v>
      </c>
      <c r="J86" s="1230" t="s">
        <v>1471</v>
      </c>
      <c r="K86" s="1230" t="s">
        <v>1424</v>
      </c>
      <c r="L86" s="116"/>
      <c r="M86" s="116"/>
      <c r="N86" s="116"/>
      <c r="O86" s="116"/>
      <c r="P86" s="116"/>
      <c r="Q86" s="116"/>
      <c r="R86" s="116"/>
      <c r="S86" s="116"/>
      <c r="T86" s="116"/>
      <c r="U86" s="116"/>
      <c r="V86" s="116"/>
      <c r="W86" s="116"/>
      <c r="X86" s="116"/>
      <c r="Y86" s="116"/>
      <c r="Z86" s="116"/>
      <c r="AA86" s="116"/>
      <c r="AB86" s="116"/>
      <c r="AC86" s="116"/>
      <c r="AD86" s="116"/>
      <c r="AE86" s="116"/>
      <c r="AF86" s="116"/>
      <c r="AG86" s="116"/>
      <c r="AH86" s="116"/>
      <c r="AI86" s="116"/>
      <c r="AJ86" s="116"/>
      <c r="AK86" s="116"/>
      <c r="AL86" s="116"/>
      <c r="AM86" s="116"/>
      <c r="AN86" s="116"/>
      <c r="AO86" s="116"/>
      <c r="AP86" s="116"/>
      <c r="AQ86" s="116"/>
    </row>
    <row r="87" spans="1:43" s="2021" customFormat="1" ht="30" hidden="1" customHeight="1">
      <c r="A87" s="1191" t="s">
        <v>1425</v>
      </c>
      <c r="B87" s="1230">
        <v>0</v>
      </c>
      <c r="C87" s="1230">
        <v>15</v>
      </c>
      <c r="D87" s="1230" t="s">
        <v>1432</v>
      </c>
      <c r="E87" s="1230" t="s">
        <v>1421</v>
      </c>
      <c r="F87" s="1230" t="s">
        <v>1435</v>
      </c>
      <c r="G87" s="1230">
        <v>20</v>
      </c>
      <c r="H87" s="1230">
        <v>70</v>
      </c>
      <c r="I87" s="1230" t="s">
        <v>1470</v>
      </c>
      <c r="J87" s="1230" t="s">
        <v>1472</v>
      </c>
      <c r="K87" s="1230" t="s">
        <v>1540</v>
      </c>
      <c r="L87" s="116"/>
      <c r="M87" s="116"/>
      <c r="N87" s="116"/>
      <c r="O87" s="116"/>
      <c r="P87" s="116"/>
      <c r="Q87" s="116"/>
      <c r="R87" s="116"/>
      <c r="S87" s="116"/>
      <c r="T87" s="116"/>
      <c r="U87" s="116"/>
      <c r="V87" s="116"/>
      <c r="W87" s="116"/>
      <c r="X87" s="116"/>
      <c r="Y87" s="116"/>
      <c r="Z87" s="116"/>
      <c r="AA87" s="116"/>
      <c r="AB87" s="116"/>
      <c r="AC87" s="116"/>
      <c r="AD87" s="116"/>
      <c r="AE87" s="116"/>
      <c r="AF87" s="116"/>
      <c r="AG87" s="116"/>
      <c r="AH87" s="116"/>
      <c r="AI87" s="116"/>
      <c r="AJ87" s="116"/>
      <c r="AK87" s="116"/>
      <c r="AL87" s="116"/>
      <c r="AM87" s="116"/>
      <c r="AN87" s="116"/>
      <c r="AO87" s="116"/>
      <c r="AP87" s="116"/>
      <c r="AQ87" s="116"/>
    </row>
    <row r="88" spans="1:43" s="2021" customFormat="1" ht="30" hidden="1" customHeight="1">
      <c r="A88" s="1191" t="s">
        <v>1426</v>
      </c>
      <c r="B88" s="1230">
        <v>16</v>
      </c>
      <c r="C88" s="1230">
        <v>70</v>
      </c>
      <c r="D88" s="1230" t="s">
        <v>1434</v>
      </c>
      <c r="E88" s="1230" t="s">
        <v>1420</v>
      </c>
      <c r="F88" s="1230" t="s">
        <v>1427</v>
      </c>
      <c r="G88" s="1230">
        <v>20</v>
      </c>
      <c r="H88" s="1230">
        <v>70</v>
      </c>
      <c r="I88" s="1230" t="s">
        <v>1469</v>
      </c>
      <c r="J88" s="1230" t="s">
        <v>1471</v>
      </c>
      <c r="K88" s="1230" t="s">
        <v>1427</v>
      </c>
      <c r="L88" s="116"/>
      <c r="M88" s="116"/>
      <c r="N88" s="116"/>
      <c r="O88" s="116"/>
      <c r="P88" s="116"/>
      <c r="Q88" s="116"/>
      <c r="R88" s="116"/>
      <c r="S88" s="116"/>
      <c r="T88" s="116"/>
      <c r="U88" s="116"/>
      <c r="V88" s="116"/>
      <c r="W88" s="116"/>
      <c r="X88" s="116"/>
      <c r="Y88" s="116"/>
      <c r="Z88" s="116"/>
      <c r="AA88" s="116"/>
      <c r="AB88" s="116"/>
      <c r="AC88" s="116"/>
      <c r="AD88" s="116"/>
      <c r="AE88" s="116"/>
      <c r="AF88" s="116"/>
      <c r="AG88" s="116"/>
      <c r="AH88" s="116"/>
      <c r="AI88" s="116"/>
      <c r="AJ88" s="116"/>
      <c r="AK88" s="116"/>
      <c r="AL88" s="116"/>
      <c r="AM88" s="116"/>
      <c r="AN88" s="116"/>
      <c r="AO88" s="116"/>
      <c r="AP88" s="116"/>
      <c r="AQ88" s="116"/>
    </row>
    <row r="89" spans="1:43" s="2021" customFormat="1" ht="30" hidden="1" customHeight="1">
      <c r="A89" s="1191" t="s">
        <v>1428</v>
      </c>
      <c r="B89" s="1230">
        <v>16</v>
      </c>
      <c r="C89" s="1230">
        <v>70</v>
      </c>
      <c r="D89" s="1230" t="s">
        <v>1434</v>
      </c>
      <c r="E89" s="1230" t="s">
        <v>1421</v>
      </c>
      <c r="F89" s="1230" t="s">
        <v>1436</v>
      </c>
      <c r="G89" s="1230">
        <v>20</v>
      </c>
      <c r="H89" s="1230">
        <v>70</v>
      </c>
      <c r="I89" s="1230" t="s">
        <v>1470</v>
      </c>
      <c r="J89" s="1230" t="s">
        <v>1472</v>
      </c>
      <c r="K89" s="1230" t="s">
        <v>1541</v>
      </c>
      <c r="L89" s="116"/>
      <c r="M89" s="116"/>
      <c r="N89" s="116"/>
      <c r="O89" s="116"/>
      <c r="P89" s="116"/>
      <c r="Q89" s="116"/>
      <c r="R89" s="116"/>
      <c r="S89" s="116"/>
      <c r="T89" s="116"/>
      <c r="U89" s="116"/>
      <c r="V89" s="116"/>
      <c r="W89" s="116"/>
      <c r="X89" s="116"/>
      <c r="Y89" s="116"/>
      <c r="Z89" s="116"/>
      <c r="AA89" s="116"/>
      <c r="AB89" s="116"/>
      <c r="AC89" s="116"/>
      <c r="AD89" s="116"/>
      <c r="AE89" s="116"/>
      <c r="AF89" s="116"/>
      <c r="AG89" s="116"/>
      <c r="AH89" s="116"/>
      <c r="AI89" s="116"/>
      <c r="AJ89" s="116"/>
      <c r="AK89" s="116"/>
      <c r="AL89" s="116"/>
      <c r="AM89" s="116"/>
      <c r="AN89" s="116"/>
      <c r="AO89" s="116"/>
      <c r="AP89" s="116"/>
      <c r="AQ89" s="116"/>
    </row>
    <row r="90" spans="1:43" s="2021" customFormat="1" hidden="1">
      <c r="A90" s="1120"/>
      <c r="B90" s="1231"/>
      <c r="C90" s="98"/>
      <c r="D90" s="118"/>
      <c r="E90" s="118"/>
      <c r="F90" s="118"/>
      <c r="G90" s="116"/>
      <c r="H90" s="116"/>
      <c r="I90" s="116"/>
      <c r="J90" s="116"/>
      <c r="K90" s="116"/>
      <c r="L90" s="116"/>
      <c r="M90" s="116"/>
      <c r="N90" s="116"/>
      <c r="O90" s="116"/>
      <c r="P90" s="116"/>
      <c r="Q90" s="116"/>
      <c r="R90" s="116"/>
      <c r="S90" s="116"/>
      <c r="T90" s="116"/>
      <c r="U90" s="116"/>
      <c r="V90" s="116"/>
      <c r="W90" s="116"/>
      <c r="X90" s="116"/>
      <c r="Y90" s="116"/>
      <c r="Z90" s="116"/>
      <c r="AA90" s="116"/>
      <c r="AB90" s="116"/>
      <c r="AC90" s="116"/>
      <c r="AD90" s="116"/>
      <c r="AE90" s="116"/>
      <c r="AF90" s="116"/>
      <c r="AG90" s="116"/>
      <c r="AH90" s="116"/>
      <c r="AI90" s="116"/>
      <c r="AJ90" s="116"/>
      <c r="AK90" s="116"/>
      <c r="AL90" s="116"/>
      <c r="AM90" s="116"/>
      <c r="AN90" s="116"/>
      <c r="AO90" s="116"/>
      <c r="AP90" s="116"/>
      <c r="AQ90" s="116"/>
    </row>
    <row r="91" spans="1:43" s="2021" customFormat="1" ht="23" hidden="1">
      <c r="A91" s="1206" t="s">
        <v>1350</v>
      </c>
      <c r="B91" s="1229" t="s">
        <v>1169</v>
      </c>
      <c r="C91" s="1229" t="s">
        <v>1351</v>
      </c>
      <c r="D91" s="1229" t="s">
        <v>1431</v>
      </c>
      <c r="E91" s="1229" t="s">
        <v>1430</v>
      </c>
      <c r="F91" s="1229" t="s">
        <v>1351</v>
      </c>
      <c r="G91" s="1229" t="s">
        <v>1468</v>
      </c>
      <c r="H91" s="1229" t="s">
        <v>1467</v>
      </c>
      <c r="I91" s="1229" t="s">
        <v>1539</v>
      </c>
      <c r="J91" s="116"/>
      <c r="K91" s="116"/>
      <c r="L91" s="116"/>
      <c r="M91" s="116"/>
      <c r="N91" s="116"/>
      <c r="O91" s="116"/>
      <c r="P91" s="116"/>
      <c r="Q91" s="116"/>
      <c r="R91" s="116"/>
      <c r="S91" s="116"/>
      <c r="T91" s="116"/>
      <c r="U91" s="116"/>
      <c r="V91" s="116"/>
      <c r="W91" s="116"/>
      <c r="X91" s="116"/>
      <c r="Y91" s="116"/>
      <c r="Z91" s="116"/>
      <c r="AA91" s="116"/>
      <c r="AB91" s="116"/>
      <c r="AC91" s="116"/>
      <c r="AD91" s="116"/>
      <c r="AE91" s="116"/>
      <c r="AF91" s="116"/>
      <c r="AG91" s="116"/>
      <c r="AH91" s="116"/>
      <c r="AI91" s="116"/>
      <c r="AJ91" s="116"/>
      <c r="AK91" s="116"/>
      <c r="AL91" s="116"/>
      <c r="AM91" s="116"/>
      <c r="AN91" s="116"/>
      <c r="AO91" s="116"/>
      <c r="AP91" s="116"/>
      <c r="AQ91" s="116"/>
    </row>
    <row r="92" spans="1:43" s="2021" customFormat="1" ht="39" hidden="1" customHeight="1">
      <c r="A92" s="1191" t="s">
        <v>1352</v>
      </c>
      <c r="B92" s="1230">
        <v>16</v>
      </c>
      <c r="C92" s="1230">
        <v>70</v>
      </c>
      <c r="D92" s="1230" t="s">
        <v>1453</v>
      </c>
      <c r="E92" s="1230" t="s">
        <v>1454</v>
      </c>
      <c r="F92" s="1230" t="s">
        <v>1319</v>
      </c>
      <c r="G92" s="1230" t="s">
        <v>1463</v>
      </c>
      <c r="H92" s="1230" t="s">
        <v>1466</v>
      </c>
      <c r="I92" s="1230" t="s">
        <v>1319</v>
      </c>
      <c r="J92" s="116"/>
      <c r="K92" s="116"/>
      <c r="L92" s="116"/>
      <c r="M92" s="116"/>
      <c r="N92" s="116"/>
      <c r="O92" s="116"/>
      <c r="P92" s="116"/>
      <c r="Q92" s="116"/>
      <c r="R92" s="116"/>
      <c r="S92" s="116"/>
      <c r="T92" s="116"/>
      <c r="U92" s="116"/>
      <c r="V92" s="116"/>
      <c r="W92" s="116"/>
      <c r="X92" s="116"/>
      <c r="Y92" s="116"/>
      <c r="Z92" s="116"/>
      <c r="AA92" s="116"/>
      <c r="AB92" s="116"/>
      <c r="AC92" s="116"/>
      <c r="AD92" s="116"/>
      <c r="AE92" s="116"/>
      <c r="AF92" s="116"/>
      <c r="AG92" s="116"/>
      <c r="AH92" s="116"/>
      <c r="AI92" s="116"/>
      <c r="AJ92" s="116"/>
      <c r="AK92" s="116"/>
      <c r="AL92" s="116"/>
      <c r="AM92" s="116"/>
      <c r="AN92" s="116"/>
      <c r="AO92" s="116"/>
      <c r="AP92" s="116"/>
      <c r="AQ92" s="116"/>
    </row>
    <row r="93" spans="1:43" s="2021" customFormat="1" ht="39" hidden="1" customHeight="1">
      <c r="A93" s="1191" t="s">
        <v>1354</v>
      </c>
      <c r="B93" s="1230">
        <v>16</v>
      </c>
      <c r="C93" s="1230">
        <v>70</v>
      </c>
      <c r="D93" s="1230" t="s">
        <v>1453</v>
      </c>
      <c r="E93" s="1230" t="s">
        <v>1455</v>
      </c>
      <c r="F93" s="1230" t="s">
        <v>1452</v>
      </c>
      <c r="G93" s="1230" t="s">
        <v>1464</v>
      </c>
      <c r="H93" s="1230" t="s">
        <v>1465</v>
      </c>
      <c r="I93" s="1230" t="s">
        <v>1320</v>
      </c>
      <c r="J93" s="116"/>
      <c r="K93" s="116"/>
      <c r="L93" s="116"/>
      <c r="M93" s="116"/>
      <c r="N93" s="116"/>
      <c r="O93" s="116"/>
      <c r="P93" s="116"/>
      <c r="Q93" s="116"/>
      <c r="R93" s="116"/>
      <c r="S93" s="116"/>
      <c r="T93" s="116"/>
      <c r="U93" s="116"/>
      <c r="V93" s="116"/>
      <c r="W93" s="116"/>
      <c r="X93" s="116"/>
      <c r="Y93" s="116"/>
      <c r="Z93" s="116"/>
      <c r="AA93" s="116"/>
      <c r="AB93" s="116"/>
      <c r="AC93" s="116"/>
      <c r="AD93" s="116"/>
      <c r="AE93" s="116"/>
      <c r="AF93" s="116"/>
      <c r="AG93" s="116"/>
      <c r="AH93" s="116"/>
      <c r="AI93" s="116"/>
      <c r="AJ93" s="116"/>
      <c r="AK93" s="116"/>
      <c r="AL93" s="116"/>
      <c r="AM93" s="116"/>
      <c r="AN93" s="116"/>
      <c r="AO93" s="116"/>
      <c r="AP93" s="116"/>
      <c r="AQ93" s="116"/>
    </row>
    <row r="94" spans="1:43" s="2021" customFormat="1" hidden="1">
      <c r="A94" s="116"/>
      <c r="B94" s="116"/>
      <c r="C94" s="116"/>
      <c r="D94" s="116"/>
      <c r="E94" s="116"/>
      <c r="F94" s="116"/>
      <c r="G94" s="116"/>
      <c r="H94" s="116"/>
      <c r="I94" s="116"/>
      <c r="J94" s="116"/>
      <c r="K94" s="116"/>
      <c r="L94" s="116"/>
      <c r="M94" s="116"/>
      <c r="N94" s="116"/>
      <c r="O94" s="116"/>
      <c r="P94" s="116"/>
      <c r="Q94" s="116"/>
      <c r="R94" s="116"/>
      <c r="S94" s="116"/>
      <c r="T94" s="116"/>
      <c r="U94" s="116"/>
      <c r="V94" s="116"/>
      <c r="W94" s="116"/>
      <c r="X94" s="116"/>
      <c r="Y94" s="116"/>
      <c r="Z94" s="116"/>
      <c r="AA94" s="116"/>
      <c r="AB94" s="116"/>
      <c r="AC94" s="116"/>
      <c r="AD94" s="116"/>
      <c r="AE94" s="116"/>
      <c r="AF94" s="116"/>
      <c r="AG94" s="116"/>
      <c r="AH94" s="116"/>
      <c r="AI94" s="116"/>
      <c r="AJ94" s="116"/>
      <c r="AK94" s="116"/>
      <c r="AL94" s="116"/>
      <c r="AM94" s="116"/>
      <c r="AN94" s="116"/>
      <c r="AO94" s="116"/>
      <c r="AP94" s="116"/>
      <c r="AQ94" s="116"/>
    </row>
    <row r="95" spans="1:43" s="2021" customFormat="1" hidden="1">
      <c r="A95" s="116"/>
      <c r="B95" s="116"/>
      <c r="C95" s="116"/>
      <c r="D95" s="116"/>
      <c r="E95" s="116"/>
      <c r="F95" s="116"/>
      <c r="G95" s="116"/>
      <c r="H95" s="7"/>
      <c r="I95" s="116"/>
      <c r="J95" s="116"/>
      <c r="K95" s="116"/>
      <c r="L95" s="116"/>
      <c r="M95" s="116"/>
      <c r="N95" s="116"/>
      <c r="O95" s="116"/>
      <c r="P95" s="116"/>
      <c r="Q95" s="116"/>
      <c r="R95" s="116"/>
      <c r="S95" s="116"/>
      <c r="T95" s="116"/>
      <c r="U95" s="116"/>
      <c r="V95" s="116"/>
      <c r="W95" s="116"/>
      <c r="X95" s="116"/>
      <c r="Y95" s="116"/>
      <c r="Z95" s="116"/>
      <c r="AA95" s="116"/>
      <c r="AB95" s="116"/>
      <c r="AC95" s="116"/>
      <c r="AD95" s="116"/>
      <c r="AE95" s="116"/>
      <c r="AF95" s="116"/>
      <c r="AG95" s="116"/>
      <c r="AH95" s="116"/>
      <c r="AI95" s="116"/>
      <c r="AJ95" s="116"/>
      <c r="AK95" s="116"/>
      <c r="AL95" s="116"/>
      <c r="AM95" s="116"/>
      <c r="AN95" s="116"/>
      <c r="AO95" s="116"/>
      <c r="AP95" s="116"/>
      <c r="AQ95" s="116"/>
    </row>
    <row r="96" spans="1:43" s="2021" customFormat="1" hidden="1">
      <c r="A96" s="116"/>
      <c r="B96" s="116"/>
      <c r="C96" s="116"/>
      <c r="D96" s="116"/>
      <c r="E96" s="116"/>
      <c r="F96" s="116"/>
      <c r="G96" s="116"/>
      <c r="H96" s="7"/>
      <c r="I96" s="116"/>
      <c r="J96" s="116"/>
      <c r="K96" s="116"/>
      <c r="L96" s="116"/>
      <c r="M96" s="116"/>
      <c r="N96" s="116"/>
      <c r="O96" s="116"/>
      <c r="P96" s="116"/>
      <c r="Q96" s="116"/>
      <c r="R96" s="116"/>
      <c r="S96" s="116"/>
      <c r="T96" s="116"/>
      <c r="U96" s="116"/>
      <c r="V96" s="116"/>
      <c r="W96" s="116"/>
      <c r="X96" s="116"/>
      <c r="Y96" s="116"/>
      <c r="Z96" s="116"/>
      <c r="AA96" s="116"/>
      <c r="AB96" s="116"/>
      <c r="AC96" s="116"/>
      <c r="AD96" s="116"/>
      <c r="AE96" s="116"/>
      <c r="AF96" s="116"/>
      <c r="AG96" s="116"/>
      <c r="AH96" s="116"/>
      <c r="AI96" s="116"/>
      <c r="AJ96" s="116"/>
      <c r="AK96" s="116"/>
      <c r="AL96" s="116"/>
      <c r="AM96" s="116"/>
      <c r="AN96" s="116"/>
      <c r="AO96" s="116"/>
      <c r="AP96" s="116"/>
      <c r="AQ96" s="116"/>
    </row>
    <row r="97" spans="8:22" s="2021" customFormat="1">
      <c r="H97" s="2022"/>
    </row>
    <row r="98" spans="8:22" s="2021" customFormat="1">
      <c r="H98" s="2022"/>
    </row>
    <row r="99" spans="8:22" s="2021" customFormat="1">
      <c r="H99" s="2022"/>
    </row>
    <row r="100" spans="8:22" s="2021" customFormat="1">
      <c r="H100" s="2022"/>
    </row>
    <row r="101" spans="8:22" s="2021" customFormat="1">
      <c r="H101" s="2022"/>
    </row>
    <row r="102" spans="8:22" s="2021" customFormat="1">
      <c r="H102" s="2022"/>
    </row>
    <row r="103" spans="8:22" s="2021" customFormat="1">
      <c r="H103" s="2022"/>
    </row>
    <row r="104" spans="8:22" s="2021" customFormat="1">
      <c r="H104" s="2022"/>
    </row>
    <row r="105" spans="8:22" s="2021" customFormat="1">
      <c r="H105" s="2022"/>
      <c r="I105" s="2022"/>
    </row>
    <row r="106" spans="8:22" s="2021" customFormat="1">
      <c r="H106" s="2022"/>
      <c r="I106" s="2022"/>
    </row>
    <row r="107" spans="8:22" s="2021" customFormat="1">
      <c r="H107" s="2022"/>
      <c r="I107" s="2022"/>
      <c r="J107" s="2022"/>
      <c r="N107" s="2022"/>
      <c r="O107" s="2022"/>
      <c r="P107" s="2022"/>
      <c r="Q107" s="2022"/>
      <c r="R107" s="2022"/>
      <c r="S107" s="2022"/>
      <c r="T107" s="2022"/>
      <c r="U107" s="2022"/>
      <c r="V107" s="2022"/>
    </row>
    <row r="108" spans="8:22" s="2021" customFormat="1">
      <c r="H108" s="2022"/>
      <c r="I108" s="2022"/>
      <c r="J108" s="2022"/>
      <c r="N108" s="2022"/>
      <c r="O108" s="2022"/>
      <c r="P108" s="2022"/>
      <c r="Q108" s="2022"/>
      <c r="R108" s="2022"/>
      <c r="S108" s="2022"/>
      <c r="T108" s="2022"/>
      <c r="U108" s="2022"/>
      <c r="V108" s="2022"/>
    </row>
    <row r="109" spans="8:22" s="2022" customFormat="1"/>
    <row r="110" spans="8:22" s="2022" customFormat="1"/>
    <row r="111" spans="8:22" s="2022" customFormat="1"/>
    <row r="112" spans="8:22" s="2022" customFormat="1"/>
    <row r="113" spans="9:22" s="2022" customFormat="1"/>
    <row r="114" spans="9:22" s="2022" customFormat="1"/>
    <row r="115" spans="9:22" s="2022" customFormat="1"/>
    <row r="116" spans="9:22" s="2022" customFormat="1">
      <c r="I116" s="2019"/>
    </row>
    <row r="117" spans="9:22" s="2022" customFormat="1">
      <c r="I117" s="2019"/>
    </row>
    <row r="118" spans="9:22" s="2022" customFormat="1">
      <c r="I118" s="2019"/>
      <c r="J118" s="2019"/>
      <c r="N118" s="2019"/>
      <c r="O118" s="2019"/>
      <c r="P118" s="2019"/>
      <c r="Q118" s="2019"/>
      <c r="R118" s="2019"/>
      <c r="S118" s="2019"/>
      <c r="T118" s="2019"/>
      <c r="U118" s="2019"/>
      <c r="V118" s="2019"/>
    </row>
    <row r="119" spans="9:22" s="2022" customFormat="1">
      <c r="I119" s="2019"/>
      <c r="J119" s="2019"/>
      <c r="N119" s="2019"/>
      <c r="O119" s="2019"/>
      <c r="P119" s="2019"/>
      <c r="Q119" s="2019"/>
      <c r="R119" s="2019"/>
      <c r="S119" s="2019"/>
      <c r="T119" s="2019"/>
      <c r="U119" s="2019"/>
      <c r="V119" s="2019"/>
    </row>
  </sheetData>
  <sheetProtection algorithmName="SHA-512" hashValue="Fsn7AdZmuHGP4iNntcu37pJZZLQaR8owaVN/i/YSoYq+6KAMnI2hWwckkD8AuBczpTNbR9Caty0ezImmPvr/kg==" saltValue="G7VfEhwiTQcOYHlKbbOHmQ==" spinCount="100000" sheet="1" objects="1" scenarios="1"/>
  <mergeCells count="16">
    <mergeCell ref="A1:G1"/>
    <mergeCell ref="E17:E18"/>
    <mergeCell ref="C4:D4"/>
    <mergeCell ref="A9:B9"/>
    <mergeCell ref="B17:D17"/>
    <mergeCell ref="A17:A18"/>
    <mergeCell ref="D7:E8"/>
    <mergeCell ref="A30:A31"/>
    <mergeCell ref="A39:E39"/>
    <mergeCell ref="F17:F18"/>
    <mergeCell ref="G17:G18"/>
    <mergeCell ref="O26:Q26"/>
    <mergeCell ref="E30:E31"/>
    <mergeCell ref="F30:F31"/>
    <mergeCell ref="G30:G31"/>
    <mergeCell ref="G33:G36"/>
  </mergeCells>
  <phoneticPr fontId="0" type="noConversion"/>
  <conditionalFormatting sqref="A2:G19 A20:D20 F20:G20 A37:G46">
    <cfRule type="expression" dxfId="51" priority="49" stopIfTrue="1">
      <formula>$G$64="Expire"</formula>
    </cfRule>
  </conditionalFormatting>
  <conditionalFormatting sqref="A21:G30">
    <cfRule type="expression" dxfId="50" priority="3" stopIfTrue="1">
      <formula>$G$64="Expire"</formula>
    </cfRule>
  </conditionalFormatting>
  <conditionalFormatting sqref="E20">
    <cfRule type="expression" dxfId="49" priority="5" stopIfTrue="1">
      <formula>$G$74="Expire"</formula>
    </cfRule>
  </conditionalFormatting>
  <conditionalFormatting sqref="G32">
    <cfRule type="expression" dxfId="48" priority="2" stopIfTrue="1">
      <formula>$G$64="Expire"</formula>
    </cfRule>
  </conditionalFormatting>
  <conditionalFormatting sqref="G33">
    <cfRule type="expression" dxfId="47" priority="1" stopIfTrue="1">
      <formula>$G$62="Expire"</formula>
    </cfRule>
  </conditionalFormatting>
  <dataValidations count="22">
    <dataValidation type="whole" allowBlank="1" showInputMessage="1" showErrorMessage="1" errorTitle="จำนวนเงินเอาประกันภัย" error="ไม่สามารถซื้อนอกเหนือจากที่กำหนด" sqref="D22:D23 D26:D28" xr:uid="{00000000-0002-0000-0400-000000000000}">
      <formula1>B22</formula1>
      <formula2>C22</formula2>
    </dataValidation>
    <dataValidation type="list" allowBlank="1" showInputMessage="1" showErrorMessage="1" sqref="E22:E25 E30 E32:E33 AL24" xr:uid="{00000000-0002-0000-0400-000002000000}">
      <formula1>"1,2,3,4"</formula1>
    </dataValidation>
    <dataValidation type="list" allowBlank="1" showInputMessage="1" showErrorMessage="1" sqref="E20:E21" xr:uid="{00000000-0002-0000-0400-000003000000}">
      <formula1>"1,1.5,2"</formula1>
    </dataValidation>
    <dataValidation type="list" allowBlank="1" showInputMessage="1" showErrorMessage="1" sqref="D25" xr:uid="{00000000-0002-0000-0400-000004000000}">
      <formula1>$A$51:$A$57</formula1>
    </dataValidation>
    <dataValidation type="list" allowBlank="1" showInputMessage="1" showErrorMessage="1" sqref="D20:D21" xr:uid="{00000000-0002-0000-0400-000007000000}">
      <formula1>"ซื้อ,ไม่ซื้อ"</formula1>
    </dataValidation>
    <dataValidation showInputMessage="1" showErrorMessage="1" sqref="B19" xr:uid="{00000000-0002-0000-0400-000008000000}"/>
    <dataValidation type="whole" allowBlank="1" showInputMessage="1" showErrorMessage="1" errorTitle="อายุผู้เอาประกันภัย" error="อายุรับประกัน 25 - 65 ปี_x000a_" sqref="C5" xr:uid="{00000000-0002-0000-0400-00000B000000}">
      <formula1>25</formula1>
      <formula2>65</formula2>
    </dataValidation>
    <dataValidation type="list" allowBlank="1" showInputMessage="1" showErrorMessage="1" sqref="C6 C12" xr:uid="{00000000-0002-0000-0400-00000C000000}">
      <formula1>"ชาย,หญิง"</formula1>
    </dataValidation>
    <dataValidation type="list" allowBlank="1" showInputMessage="1" showErrorMessage="1" sqref="C7" xr:uid="{00000000-0002-0000-0400-00000D000000}">
      <formula1>IF(LEFT(E64,1)="B",$E$66:$E$69,$F$66:$F$68)</formula1>
    </dataValidation>
    <dataValidation type="whole" allowBlank="1" showInputMessage="1" showErrorMessage="1" error="จำนวนเงินเอาประกันภัยไม่ตรงตามกฎเกณฑ์_x000a_กรุณาระบุใหม่อีกครั้ง" sqref="D19" xr:uid="{00000000-0002-0000-0400-00000E000000}">
      <formula1>B19</formula1>
      <formula2>C19</formula2>
    </dataValidation>
    <dataValidation type="list" allowBlank="1" showInputMessage="1" showErrorMessage="1" errorTitle="แผนประกัน" error="ไม่สามารถซื้อนอกเหนือจากที่กำหนด" sqref="D24" xr:uid="{8463D8FC-E784-4603-9349-206E0EF105C2}">
      <formula1>$D$51:$D$56</formula1>
    </dataValidation>
    <dataValidation type="list" allowBlank="1" showInputMessage="1" showErrorMessage="1" error="ไม่สามารถซื้อนอกเหนือจากที่กำหนด" sqref="D30" xr:uid="{5179B9B9-360A-4C60-BE40-B716BF7F55EF}">
      <formula1>IF(C5&lt;11,$C$51:$C$53,$C$51:$C$57)</formula1>
    </dataValidation>
    <dataValidation operator="greaterThan" allowBlank="1" showInputMessage="1" showErrorMessage="1" sqref="F37:F38" xr:uid="{00000000-0002-0000-0400-000009000000}"/>
    <dataValidation type="list" allowBlank="1" showInputMessage="1" showErrorMessage="1" sqref="A21" xr:uid="{F2156126-3C7D-4E75-841C-1708D447B6AF}">
      <formula1>"WP Fit,WP Beyond"</formula1>
    </dataValidation>
    <dataValidation type="list" allowBlank="1" showInputMessage="1" showErrorMessage="1" sqref="A27" xr:uid="{00000000-0002-0000-0400-000005000000}">
      <formula1>$E$51:$E$54</formula1>
    </dataValidation>
    <dataValidation type="list" allowBlank="1" showInputMessage="1" showErrorMessage="1" error="ไม่สามารถซื้อนอกเหนือจากที่กำหนด" sqref="D29" xr:uid="{00000000-0002-0000-0400-000010000000}">
      <formula1>$F$51:$F$60</formula1>
    </dataValidation>
    <dataValidation type="list" allowBlank="1" showInputMessage="1" showErrorMessage="1" sqref="A20" xr:uid="{3857BA45-CACF-4BEC-9CEA-923ACD5F9B0D}">
      <formula1>"PB Fit,PB Beyond"</formula1>
    </dataValidation>
    <dataValidation type="whole" errorStyle="warning" allowBlank="1" showInputMessage="1" showErrorMessage="1" errorTitle="อายุของผู้ชำระเบี้ยประกันภัย" error="อายุผู้ชำระเบี้ย : ต้องอยู่ระหว่าง 20-70 ปี " sqref="C11" xr:uid="{F667B592-FAC4-4510-A9BE-69629D82514A}">
      <formula1>20</formula1>
      <formula2>70</formula2>
    </dataValidation>
    <dataValidation type="list" allowBlank="1" showInputMessage="1" showErrorMessage="1" error="ไม่สามารถซื้อนอกเหนือจากที่กำหนด" sqref="D31" xr:uid="{046DA6BD-E228-4EBB-96FB-47F32FA9CE94}">
      <formula1>$M$30:$M$31</formula1>
    </dataValidation>
    <dataValidation type="list" allowBlank="1" showInputMessage="1" showErrorMessage="1" promptTitle="อายุผู้เอาประกันภัย" prompt="อายุผู้เอาประกันภัยไม่สามารถซื้อสัญญาเพิ่มเติมตัวนี้ได้_x000a_อายุรับประกันตั้งแต่ 1 เดือน - 65 ปี" sqref="D32" xr:uid="{05DFAF12-4639-4358-89AD-CD2AAE262341}">
      <formula1>$X$27:$X$30</formula1>
    </dataValidation>
    <dataValidation type="custom" allowBlank="1" showInputMessage="1" showErrorMessage="1" errorTitle="จำนวนเงินเอาประกันภัยไม่ถูกต้อง" error="เบี้ยประกันภัยรวมรายปีของสัญญาเพิ่มเติมคุ้มครองโรคร้ายแรงและบันทึกฯต้องมากกว่าหรือเท่ากับ 1,000 บาท" sqref="D33" xr:uid="{B93CB5DF-94AB-48B9-B229-49ED8A732E4E}">
      <formula1>AND(D33&gt;=B33,D33&lt;=C33,F33&lt;&gt;"เบี้ยประกันภัยรวมรายปีของสัญญาเพิ่มเติมคุ้มครองโรคร้ายแรงและบันทึกฯต้องมากกว่าหรือเท่ากับ 1,000 บาท")</formula1>
    </dataValidation>
    <dataValidation type="list" allowBlank="1" showInputMessage="1" showErrorMessage="1" sqref="AK24" xr:uid="{6F4B27ED-0757-4A6D-821F-35CFAE50CC9C}">
      <formula1>$AG$27:$AG$28</formula1>
    </dataValidation>
  </dataValidations>
  <pageMargins left="0.39370078740157483" right="0.27559055118110237" top="0.59055118110236227" bottom="0.74803149606299213" header="0.43307086614173229" footer="0.51181102362204722"/>
  <pageSetup paperSize="9" scale="52" orientation="portrait" r:id="rId1"/>
  <headerFooter alignWithMargins="0">
    <oddFooter>&amp;C&amp;"Calibri"&amp;11&amp;K000000&amp;"Calibri,Regular"&amp;11 &amp;K0000001/14_x000D_&amp;1#&amp;"Calibri"&amp;10&amp;K000000Internal</oddFooter>
  </headerFooter>
  <ignoredErrors>
    <ignoredError sqref="G6" numberStoredAsText="1"/>
  </ignoredErrors>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
    <pageSetUpPr fitToPage="1"/>
  </sheetPr>
  <dimension ref="A1:AC99"/>
  <sheetViews>
    <sheetView showGridLines="0" zoomScale="50" zoomScaleNormal="50" workbookViewId="0">
      <pane ySplit="13" topLeftCell="A14" activePane="bottomLeft" state="frozen"/>
      <selection activeCell="F25" sqref="F25"/>
      <selection pane="bottomLeft" activeCell="F77" sqref="F77"/>
    </sheetView>
  </sheetViews>
  <sheetFormatPr defaultColWidth="9.09765625" defaultRowHeight="12.5"/>
  <cols>
    <col min="1" max="1" width="2.59765625" style="9" customWidth="1"/>
    <col min="2" max="2" width="5.69921875" style="9" customWidth="1"/>
    <col min="3" max="3" width="11.59765625" style="10" customWidth="1"/>
    <col min="4" max="5" width="23.69921875" style="10" customWidth="1"/>
    <col min="6" max="7" width="25.69921875" style="10" customWidth="1"/>
    <col min="8" max="8" width="30" style="13" customWidth="1"/>
    <col min="9" max="9" width="30.69921875" style="386" customWidth="1"/>
    <col min="10" max="10" width="23.8984375" style="9" customWidth="1"/>
    <col min="11" max="11" width="7.09765625" style="9" customWidth="1"/>
    <col min="12" max="12" width="2" style="1236" customWidth="1"/>
    <col min="13" max="13" width="23.09765625" style="47" hidden="1" customWidth="1"/>
    <col min="14" max="14" width="17.8984375" style="47" hidden="1" customWidth="1"/>
    <col min="15" max="15" width="33.3984375" style="47" hidden="1" customWidth="1"/>
    <col min="16" max="16" width="30.69921875" style="47" hidden="1" customWidth="1"/>
    <col min="17" max="17" width="10.59765625" style="9" hidden="1" customWidth="1"/>
    <col min="18" max="18" width="9.09765625" style="9" hidden="1" customWidth="1"/>
    <col min="19" max="22" width="9.09765625" style="9" customWidth="1"/>
    <col min="23" max="16384" width="9.09765625" style="9"/>
  </cols>
  <sheetData>
    <row r="1" spans="1:29" ht="5.15" customHeight="1">
      <c r="A1" s="3" t="str">
        <f ca="1">กรอกข้อมูล!G64</f>
        <v/>
      </c>
      <c r="B1" s="131"/>
      <c r="C1" s="157"/>
      <c r="D1" s="157"/>
      <c r="E1" s="157"/>
      <c r="F1" s="157"/>
      <c r="G1" s="157"/>
      <c r="H1" s="158"/>
      <c r="I1" s="381"/>
      <c r="J1" s="131"/>
      <c r="K1" s="132"/>
      <c r="M1" s="1379" t="s">
        <v>2383</v>
      </c>
      <c r="N1" s="1379"/>
      <c r="O1" s="1379"/>
      <c r="P1" s="9"/>
    </row>
    <row r="2" spans="1:29" ht="35.15" customHeight="1">
      <c r="A2" s="133"/>
      <c r="B2" s="635"/>
      <c r="C2" s="635"/>
      <c r="D2" s="1663" t="str">
        <f ca="1">IF(A1="Expire",กรอกข้อมูล!$A$1,"ตารางแสดงผลประโยชน์แบบ "&amp;กรอกข้อมูล!E65)</f>
        <v>ตารางแสดงผลประโยชน์แบบ ไอสมาร์ท 80/6 (ไม่มีเงินปันผล)</v>
      </c>
      <c r="E2" s="1663"/>
      <c r="F2" s="1663"/>
      <c r="G2" s="1663"/>
      <c r="H2" s="1663"/>
      <c r="I2" s="1663"/>
      <c r="J2" s="1663"/>
      <c r="K2" s="137"/>
      <c r="M2" s="1379"/>
      <c r="N2" s="1379"/>
      <c r="O2" s="1379"/>
      <c r="P2" s="9"/>
    </row>
    <row r="3" spans="1:29" ht="15">
      <c r="A3" s="133"/>
      <c r="B3" s="134"/>
      <c r="C3" s="138"/>
      <c r="D3" s="138"/>
      <c r="K3" s="137"/>
      <c r="M3" s="1379"/>
      <c r="N3" s="1380"/>
      <c r="O3" s="1391"/>
      <c r="P3" s="9"/>
    </row>
    <row r="4" spans="1:29" ht="15">
      <c r="A4" s="133"/>
      <c r="B4" s="645"/>
      <c r="C4" s="646"/>
      <c r="D4" s="646"/>
      <c r="E4" s="647"/>
      <c r="F4" s="647"/>
      <c r="G4" s="647"/>
      <c r="H4" s="648"/>
      <c r="I4" s="649"/>
      <c r="J4" s="1669"/>
      <c r="K4" s="137"/>
      <c r="M4" s="1379"/>
      <c r="N4" s="1380"/>
      <c r="O4" s="1391"/>
      <c r="P4" s="9"/>
    </row>
    <row r="5" spans="1:29" s="16" customFormat="1" ht="23.25" customHeight="1">
      <c r="A5" s="145"/>
      <c r="B5" s="1395"/>
      <c r="C5" s="1396" t="str">
        <f>"ลูกค้าคนพิเศษ   "&amp;กรอกข้อมูล!$C$4&amp;"          "</f>
        <v xml:space="preserve">ลูกค้าคนพิเศษ   คุณคนพิเศษ          </v>
      </c>
      <c r="D5" s="1397"/>
      <c r="E5" s="1397"/>
      <c r="F5" s="1398" t="str">
        <f>"เพศ "&amp;กรอกข้อมูล!$C$6&amp;"  อายุ  "&amp;กรอกข้อมูล!$C$5&amp;" ปี"&amp;"     "</f>
        <v xml:space="preserve">เพศ หญิง  อายุ  44 ปี     </v>
      </c>
      <c r="G5" s="1397"/>
      <c r="I5" s="1396" t="str">
        <f>"ระยะเวลาชำระเบี้ยประกันภัย "&amp;กรอกข้อมูล!$J$14</f>
        <v>ระยะเวลาชำระเบี้ยประกันภัย  6 ปี</v>
      </c>
      <c r="J5" s="1400"/>
      <c r="K5" s="150"/>
      <c r="L5" s="1237"/>
      <c r="M5" s="1401" t="s">
        <v>1459</v>
      </c>
      <c r="N5" s="1384" t="str">
        <f>กรอกข้อมูล!J22</f>
        <v>Yes</v>
      </c>
      <c r="O5" s="1401"/>
      <c r="Q5" s="18"/>
      <c r="T5" s="1402"/>
      <c r="U5" s="1402"/>
      <c r="V5" s="1402"/>
      <c r="X5" s="1402"/>
      <c r="Y5" s="1402"/>
      <c r="AA5" s="1402"/>
      <c r="AB5" s="1403"/>
      <c r="AC5" s="1399"/>
    </row>
    <row r="6" spans="1:29" s="16" customFormat="1" ht="23.25" customHeight="1">
      <c r="A6" s="145"/>
      <c r="B6" s="1395"/>
      <c r="C6" s="1404" t="str">
        <f>"จำนวนเงินเอาประกันภัย  "&amp;TEXT(กรอกข้อมูล!$C$40,"0,000")&amp;"  บาท            "</f>
        <v xml:space="preserve">จำนวนเงินเอาประกันภัย  1,000,000  บาท            </v>
      </c>
      <c r="D6" s="1397"/>
      <c r="E6" s="1397"/>
      <c r="F6" s="1405" t="str">
        <f>"เบี้ยประกันภัยหลักงวดแรก ("&amp;กรอกข้อมูล!$C$7&amp;")"&amp;"   "&amp;TEXT(กรอกข้อมูล!F19,"#,#00.00")&amp;"  บาท            "&amp;""</f>
        <v xml:space="preserve">เบี้ยประกันภัยหลักงวดแรก (รายปี)   287,000.00  บาท            </v>
      </c>
      <c r="G6" s="1397"/>
      <c r="I6" s="1398" t="s">
        <v>2360</v>
      </c>
      <c r="J6" s="1400"/>
      <c r="K6" s="150"/>
      <c r="L6" s="1237"/>
      <c r="M6" s="1383" t="s">
        <v>567</v>
      </c>
      <c r="N6" s="1384" t="str">
        <f>IF(กรอกข้อมูล!$C$6="ชาย","Male",IF(กรอกข้อมูล!$C$6="หญิง","Female",""))</f>
        <v>Female</v>
      </c>
      <c r="O6" s="1401" t="str">
        <f>LEFT(N6,1)</f>
        <v>F</v>
      </c>
      <c r="Q6" s="1406"/>
      <c r="S6" s="1407"/>
      <c r="T6" s="1408"/>
      <c r="U6" s="1409"/>
      <c r="V6" s="1409"/>
      <c r="W6" s="1409"/>
      <c r="X6" s="1409"/>
      <c r="Y6" s="1410"/>
      <c r="AA6" s="293"/>
      <c r="AB6" s="1411"/>
      <c r="AC6" s="1412"/>
    </row>
    <row r="7" spans="1:29" ht="15">
      <c r="A7" s="133"/>
      <c r="B7" s="652"/>
      <c r="C7" s="653"/>
      <c r="D7" s="654"/>
      <c r="E7" s="655"/>
      <c r="F7" s="655"/>
      <c r="G7" s="655"/>
      <c r="H7" s="656"/>
      <c r="I7" s="655"/>
      <c r="J7" s="1670"/>
      <c r="K7" s="137"/>
      <c r="M7" s="1379" t="s">
        <v>1315</v>
      </c>
      <c r="N7" s="1381">
        <f>กรอกข้อมูล!$C$5</f>
        <v>44</v>
      </c>
      <c r="O7" s="1379"/>
      <c r="P7" s="9"/>
    </row>
    <row r="8" spans="1:29" ht="39.75" customHeight="1">
      <c r="A8" s="133"/>
      <c r="B8" s="1664" t="str">
        <f>"ตัวอย่าง ตารางแสดงผลประโยชน์ที่ได้รับจากแบบประกัน "&amp;กรอกข้อมูล!E65</f>
        <v>ตัวอย่าง ตารางแสดงผลประโยชน์ที่ได้รับจากแบบประกัน ไอสมาร์ท 80/6 (ไม่มีเงินปันผล)</v>
      </c>
      <c r="C8" s="1664"/>
      <c r="D8" s="1664"/>
      <c r="E8" s="1664"/>
      <c r="F8" s="1664"/>
      <c r="G8" s="1664"/>
      <c r="H8" s="1664"/>
      <c r="I8" s="1664"/>
      <c r="J8" s="1657"/>
      <c r="K8" s="137"/>
      <c r="M8" s="1379" t="s">
        <v>51</v>
      </c>
      <c r="N8" s="1382">
        <f>กรอกข้อมูล!$C$40</f>
        <v>1000000</v>
      </c>
      <c r="O8" s="1379"/>
      <c r="P8" s="9"/>
    </row>
    <row r="9" spans="1:29" s="16" customFormat="1" ht="31.5" customHeight="1">
      <c r="A9" s="145"/>
      <c r="B9" s="1665" t="str">
        <f>"จำนวนเงินเอาประกันภัย "&amp;TEXT(กรอกข้อมูล!C40,"0,000")&amp;" บาท สำหรับผู้ขอเอาประกันภัย เพศ "&amp;กรอกข้อมูล!C6&amp;" อายุ "&amp;กรอกข้อมูล!C5&amp;" ปี"</f>
        <v>จำนวนเงินเอาประกันภัย 1,000,000 บาท สำหรับผู้ขอเอาประกันภัย เพศ หญิง อายุ 44 ปี</v>
      </c>
      <c r="C9" s="1665"/>
      <c r="D9" s="1665"/>
      <c r="E9" s="1665"/>
      <c r="F9" s="1665"/>
      <c r="G9" s="1665"/>
      <c r="H9" s="1665"/>
      <c r="I9" s="1665"/>
      <c r="J9" s="1658"/>
      <c r="K9" s="150"/>
      <c r="L9" s="1237"/>
      <c r="M9" s="1383" t="s">
        <v>1314</v>
      </c>
      <c r="N9" s="1384">
        <f>กรอกข้อมูล!K14</f>
        <v>6</v>
      </c>
      <c r="O9" s="1383"/>
    </row>
    <row r="10" spans="1:29" ht="8.25" customHeight="1">
      <c r="A10" s="133"/>
      <c r="B10" s="134"/>
      <c r="C10" s="135"/>
      <c r="D10" s="135"/>
      <c r="E10" s="135"/>
      <c r="F10" s="135"/>
      <c r="G10" s="135"/>
      <c r="H10" s="136"/>
      <c r="I10" s="382"/>
      <c r="J10" s="134"/>
      <c r="K10" s="137"/>
      <c r="M10" s="1379"/>
      <c r="N10" s="1379"/>
      <c r="O10" s="1379"/>
      <c r="P10" s="9"/>
    </row>
    <row r="11" spans="1:29" s="17" customFormat="1" ht="33.75" customHeight="1">
      <c r="A11" s="139"/>
      <c r="B11" s="2068" t="s">
        <v>2</v>
      </c>
      <c r="C11" s="2071" t="s">
        <v>848</v>
      </c>
      <c r="D11" s="2074" t="s">
        <v>2370</v>
      </c>
      <c r="E11" s="2075"/>
      <c r="F11" s="2074" t="s">
        <v>2373</v>
      </c>
      <c r="G11" s="2075"/>
      <c r="H11" s="2066" t="s">
        <v>1316</v>
      </c>
      <c r="I11" s="2066" t="s">
        <v>2377</v>
      </c>
      <c r="J11" s="2066" t="s">
        <v>2374</v>
      </c>
      <c r="K11" s="141"/>
      <c r="L11" s="1238"/>
      <c r="M11" s="1385" t="s">
        <v>1449</v>
      </c>
      <c r="N11" s="1479" t="str">
        <f>Cal!B13</f>
        <v>06F</v>
      </c>
      <c r="O11" s="1480" t="str">
        <f>+N11&amp;N7</f>
        <v>06F44</v>
      </c>
    </row>
    <row r="12" spans="1:29" s="26" customFormat="1" ht="50" customHeight="1">
      <c r="A12" s="142"/>
      <c r="B12" s="2069"/>
      <c r="C12" s="2072"/>
      <c r="D12" s="2071" t="s">
        <v>2371</v>
      </c>
      <c r="E12" s="2071" t="s">
        <v>2372</v>
      </c>
      <c r="F12" s="2071" t="s">
        <v>2356</v>
      </c>
      <c r="G12" s="2071" t="s">
        <v>2357</v>
      </c>
      <c r="H12" s="2066"/>
      <c r="I12" s="2066"/>
      <c r="J12" s="2066"/>
      <c r="K12" s="143"/>
      <c r="L12" s="1239"/>
      <c r="M12" s="2067" t="s">
        <v>1458</v>
      </c>
      <c r="N12" s="2067" t="s">
        <v>2355</v>
      </c>
      <c r="O12" s="1644" t="s">
        <v>2354</v>
      </c>
    </row>
    <row r="13" spans="1:29" s="26" customFormat="1" ht="15" customHeight="1">
      <c r="A13" s="142"/>
      <c r="B13" s="2070"/>
      <c r="C13" s="2073"/>
      <c r="D13" s="2073"/>
      <c r="E13" s="2073"/>
      <c r="F13" s="2073"/>
      <c r="G13" s="2073"/>
      <c r="H13" s="2066"/>
      <c r="I13" s="2066"/>
      <c r="J13" s="2066"/>
      <c r="K13" s="143"/>
      <c r="L13" s="1239"/>
      <c r="M13" s="2067"/>
      <c r="N13" s="2067"/>
      <c r="O13" s="1644"/>
      <c r="P13" s="1644"/>
      <c r="Q13" s="188" t="b">
        <f>IF(กรอกข้อมูล!$A$19="i-Protect05",#REF!,IF(กรอกข้อมูล!$A$19="i-Protect10",#REF!,IF(กรอกข้อมูล!$A$19="i-Protect85",#REF!)))</f>
        <v>0</v>
      </c>
    </row>
    <row r="14" spans="1:29" s="16" customFormat="1" ht="30" customHeight="1">
      <c r="A14" s="145"/>
      <c r="B14" s="551">
        <f>กรอกข้อมูล!$C$5</f>
        <v>44</v>
      </c>
      <c r="C14" s="552">
        <v>1</v>
      </c>
      <c r="D14" s="553">
        <f>IF(กรอกข้อมูล!$E$70="no",0,IF(B14="","",IF(C14&lt;=$N$9,กรอกข้อมูล!$I$19,0)))</f>
        <v>287000</v>
      </c>
      <c r="E14" s="554">
        <f>D14</f>
        <v>287000</v>
      </c>
      <c r="F14" s="554">
        <f>(IF(C14="","",IF(N14=2,ROUND(MAX(101%*E14,2*$N$8,H14),0),ROUND($N$8*N14,0))))</f>
        <v>10000</v>
      </c>
      <c r="G14" s="554">
        <f>F14</f>
        <v>10000</v>
      </c>
      <c r="H14" s="1668">
        <f>IF(C14="","",MAX(2*$N$8,101%*E14,J14))</f>
        <v>2000000</v>
      </c>
      <c r="I14" s="1668">
        <f>H14</f>
        <v>2000000</v>
      </c>
      <c r="J14" s="1667">
        <f>IF(D14="","",IF($N$5&lt;&gt;"Yes",0,ROUND((M14*$N$8)/1000,0)))</f>
        <v>45000</v>
      </c>
      <c r="K14" s="150"/>
      <c r="L14" s="1237"/>
      <c r="M14" s="1386">
        <f>IF(B14="","",IF($O$6="M",VLOOKUP($O$11,'TABCV(Male)'!$A$2:$CZ$431,ตารางแสดงผลประโยชน์!C14+4,FALSE),IF($O$6="F",VLOOKUP($O$11,'TABCV(Female)'!$A$2:$CZ$431,ตารางแสดงผลประโยชน์!C14+4,FALSE))))</f>
        <v>45</v>
      </c>
      <c r="N14" s="1644">
        <f t="shared" ref="N14:N45" si="0">IF(C14&lt;=5,0.01,IF(AND(C14&gt;5,B14&lt;79),0.02,IF(B14=79,2,"")))</f>
        <v>0.01</v>
      </c>
      <c r="O14" s="1644"/>
      <c r="P14" s="1644"/>
    </row>
    <row r="15" spans="1:29" s="16" customFormat="1" ht="30" customHeight="1">
      <c r="A15" s="145"/>
      <c r="B15" s="556">
        <f>IF(B14="","",IF(กรอกข้อมูล!$C$5+C14&gt;79,"",กรอกข้อมูล!$C$5+C14))</f>
        <v>45</v>
      </c>
      <c r="C15" s="557">
        <f>IF(B15="","",C14+1)</f>
        <v>2</v>
      </c>
      <c r="D15" s="558">
        <f>IF(กรอกข้อมูล!$E$70="no",0,IF(B15="","",IF(C15&lt;=$N$9,กรอกข้อมูล!$I$19,0)))</f>
        <v>287000</v>
      </c>
      <c r="E15" s="559">
        <f t="shared" ref="E15:E46" si="1">IF(C15="","",E14+D15)</f>
        <v>574000</v>
      </c>
      <c r="F15" s="559">
        <f t="shared" ref="F15:F68" si="2">(IF(C15="","",IF(N15=2,ROUND(MAX(101%*E15,2*$N$8,H15),0),ROUND($N$8*N15,0))))</f>
        <v>10000</v>
      </c>
      <c r="G15" s="559">
        <f>IF(C15="","",IF(F15=0,0,F15+(1+0.5%)*G14))</f>
        <v>20050</v>
      </c>
      <c r="H15" s="561">
        <f t="shared" ref="H15:H68" si="3">IF(C15="","",MAX(2*$N$8,101%*E15,J15))</f>
        <v>2000000</v>
      </c>
      <c r="I15" s="561">
        <f>IF(C15="","",SUM($F$14:F14,H15))</f>
        <v>2010000</v>
      </c>
      <c r="J15" s="560">
        <f t="shared" ref="J15:J68" si="4">IF(D15="","",IF($N$5&lt;&gt;"Yes",0,ROUND((M15*$N$8)/1000,0)))</f>
        <v>182000</v>
      </c>
      <c r="K15" s="150"/>
      <c r="L15" s="1237"/>
      <c r="M15" s="1386">
        <f>IF(B15="","",IF($O$6="M",VLOOKUP($O$11,'TABCV(Male)'!$A$2:$CZ$431,ตารางแสดงผลประโยชน์!C15+4,FALSE),IF($O$6="F",VLOOKUP($O$11,'TABCV(Female)'!$A$2:$CZ$431,ตารางแสดงผลประโยชน์!C15+4,FALSE))))</f>
        <v>182</v>
      </c>
      <c r="N15" s="1644">
        <f t="shared" si="0"/>
        <v>0.01</v>
      </c>
      <c r="O15" s="1644"/>
      <c r="P15" s="1644"/>
    </row>
    <row r="16" spans="1:29" s="16" customFormat="1" ht="30" customHeight="1">
      <c r="A16" s="145"/>
      <c r="B16" s="556">
        <f>IF(B15="","",IF(กรอกข้อมูล!$C$5+C15&gt;79,"",กรอกข้อมูล!$C$5+C15))</f>
        <v>46</v>
      </c>
      <c r="C16" s="557">
        <f t="shared" ref="C16:C56" si="5">IF(B16="","",C15+1)</f>
        <v>3</v>
      </c>
      <c r="D16" s="558">
        <f>IF(กรอกข้อมูล!$E$70="no",0,IF(B16="","",IF(C16&lt;=$N$9,กรอกข้อมูล!$I$19,0)))</f>
        <v>287000</v>
      </c>
      <c r="E16" s="559">
        <f t="shared" si="1"/>
        <v>861000</v>
      </c>
      <c r="F16" s="559">
        <f t="shared" si="2"/>
        <v>10000</v>
      </c>
      <c r="G16" s="559">
        <f t="shared" ref="G16:G68" si="6">IF(C16="","",IF(F16=0,0,F16+(1+0.5%)*G15))</f>
        <v>30150.249999999996</v>
      </c>
      <c r="H16" s="562">
        <f t="shared" si="3"/>
        <v>2000000</v>
      </c>
      <c r="I16" s="562">
        <f>IF(C16="","",SUM($F$14:F15,H16))</f>
        <v>2020000</v>
      </c>
      <c r="J16" s="560">
        <f t="shared" si="4"/>
        <v>467000</v>
      </c>
      <c r="K16" s="150"/>
      <c r="L16" s="1237"/>
      <c r="M16" s="1386">
        <f>IF(B16="","",IF($O$6="M",VLOOKUP($O$11,'TABCV(Male)'!$A$2:$CZ$431,ตารางแสดงผลประโยชน์!C16+4,FALSE),IF($O$6="F",VLOOKUP($O$11,'TABCV(Female)'!$A$2:$CZ$431,ตารางแสดงผลประโยชน์!C16+4,FALSE))))</f>
        <v>467</v>
      </c>
      <c r="N16" s="1644">
        <f t="shared" si="0"/>
        <v>0.01</v>
      </c>
      <c r="O16" s="1644"/>
      <c r="P16" s="1644"/>
    </row>
    <row r="17" spans="1:16" s="16" customFormat="1" ht="30" customHeight="1">
      <c r="A17" s="145"/>
      <c r="B17" s="556">
        <f>IF(B16="","",IF(กรอกข้อมูล!$C$5+C16&gt;79,"",กรอกข้อมูล!$C$5+C16))</f>
        <v>47</v>
      </c>
      <c r="C17" s="557">
        <f t="shared" si="5"/>
        <v>4</v>
      </c>
      <c r="D17" s="558">
        <f>IF(กรอกข้อมูล!$E$70="no",0,IF(B17="","",IF(C17&lt;=$N$9,กรอกข้อมูล!$I$19,0)))</f>
        <v>287000</v>
      </c>
      <c r="E17" s="559">
        <f t="shared" si="1"/>
        <v>1148000</v>
      </c>
      <c r="F17" s="559">
        <f t="shared" si="2"/>
        <v>10000</v>
      </c>
      <c r="G17" s="559">
        <f t="shared" si="6"/>
        <v>40301.001249999994</v>
      </c>
      <c r="H17" s="562">
        <f t="shared" si="3"/>
        <v>2000000</v>
      </c>
      <c r="I17" s="562">
        <f>IF(C17="","",SUM($F$14:F16,H17))</f>
        <v>2030000</v>
      </c>
      <c r="J17" s="560">
        <f t="shared" si="4"/>
        <v>729000</v>
      </c>
      <c r="K17" s="150"/>
      <c r="L17" s="1237"/>
      <c r="M17" s="1386">
        <f>IF(B17="","",IF($O$6="M",VLOOKUP($O$11,'TABCV(Male)'!$A$2:$CZ$431,ตารางแสดงผลประโยชน์!C17+4,FALSE),IF($O$6="F",VLOOKUP($O$11,'TABCV(Female)'!$A$2:$CZ$431,ตารางแสดงผลประโยชน์!C17+4,FALSE))))</f>
        <v>729</v>
      </c>
      <c r="N17" s="1644">
        <f t="shared" si="0"/>
        <v>0.01</v>
      </c>
      <c r="O17" s="1644"/>
      <c r="P17" s="1644"/>
    </row>
    <row r="18" spans="1:16" s="16" customFormat="1" ht="30" customHeight="1">
      <c r="A18" s="145"/>
      <c r="B18" s="556">
        <f>IF(B17="","",IF(กรอกข้อมูล!$C$5+C17&gt;79,"",กรอกข้อมูล!$C$5+C17))</f>
        <v>48</v>
      </c>
      <c r="C18" s="557">
        <f t="shared" si="5"/>
        <v>5</v>
      </c>
      <c r="D18" s="558">
        <f>IF(กรอกข้อมูล!$E$70="no",0,IF(B18="","",IF(C18&lt;=$N$9,กรอกข้อมูล!$I$19,0)))</f>
        <v>287000</v>
      </c>
      <c r="E18" s="559">
        <f t="shared" si="1"/>
        <v>1435000</v>
      </c>
      <c r="F18" s="559">
        <f t="shared" si="2"/>
        <v>10000</v>
      </c>
      <c r="G18" s="559">
        <f t="shared" si="6"/>
        <v>50502.506256249988</v>
      </c>
      <c r="H18" s="562">
        <f t="shared" si="3"/>
        <v>2000000</v>
      </c>
      <c r="I18" s="562">
        <f>IF(C18="","",SUM($F$14:F17,H18))</f>
        <v>2040000</v>
      </c>
      <c r="J18" s="560">
        <f t="shared" si="4"/>
        <v>1043000</v>
      </c>
      <c r="K18" s="150"/>
      <c r="L18" s="1237"/>
      <c r="M18" s="1386">
        <f>IF(B18="","",IF($O$6="M",VLOOKUP($O$11,'TABCV(Male)'!$A$2:$CZ$431,ตารางแสดงผลประโยชน์!C18+4,FALSE),IF($O$6="F",VLOOKUP($O$11,'TABCV(Female)'!$A$2:$CZ$431,ตารางแสดงผลประโยชน์!C18+4,FALSE))))</f>
        <v>1043</v>
      </c>
      <c r="N18" s="1644">
        <f t="shared" si="0"/>
        <v>0.01</v>
      </c>
      <c r="O18" s="1644"/>
      <c r="P18" s="1644"/>
    </row>
    <row r="19" spans="1:16" s="16" customFormat="1" ht="30" customHeight="1">
      <c r="A19" s="145"/>
      <c r="B19" s="563">
        <f>IF(B18="","",IF(กรอกข้อมูล!$C$5+C18&gt;79,"",กรอกข้อมูล!$C$5+C18))</f>
        <v>49</v>
      </c>
      <c r="C19" s="563">
        <f t="shared" si="5"/>
        <v>6</v>
      </c>
      <c r="D19" s="564">
        <f>IF(กรอกข้อมูล!$E$70="no",0,IF(B19="","",IF(C19&lt;=$N$9,กรอกข้อมูล!$I$19,0)))</f>
        <v>287000</v>
      </c>
      <c r="E19" s="565">
        <f t="shared" si="1"/>
        <v>1722000</v>
      </c>
      <c r="F19" s="565">
        <f t="shared" si="2"/>
        <v>20000</v>
      </c>
      <c r="G19" s="565">
        <f t="shared" si="6"/>
        <v>70755.01878753124</v>
      </c>
      <c r="H19" s="567">
        <f t="shared" si="3"/>
        <v>2000000</v>
      </c>
      <c r="I19" s="567">
        <f>IF(C19="","",SUM($F$14:F18,H19))</f>
        <v>2050000</v>
      </c>
      <c r="J19" s="566">
        <f t="shared" si="4"/>
        <v>1273000</v>
      </c>
      <c r="K19" s="150"/>
      <c r="L19" s="1237"/>
      <c r="M19" s="1386">
        <f>IF(B19="","",IF($O$6="M",VLOOKUP($O$11,'TABCV(Male)'!$A$2:$CZ$431,ตารางแสดงผลประโยชน์!C19+4,FALSE),IF($O$6="F",VLOOKUP($O$11,'TABCV(Female)'!$A$2:$CZ$431,ตารางแสดงผลประโยชน์!C19+4,FALSE))))</f>
        <v>1273</v>
      </c>
      <c r="N19" s="1644">
        <f t="shared" si="0"/>
        <v>0.02</v>
      </c>
      <c r="O19" s="1644"/>
      <c r="P19" s="1644"/>
    </row>
    <row r="20" spans="1:16" s="16" customFormat="1" ht="30" customHeight="1">
      <c r="A20" s="145"/>
      <c r="B20" s="563">
        <f>IF(B19="","",IF(กรอกข้อมูล!$C$5+C19&gt;79,"",กรอกข้อมูล!$C$5+C19))</f>
        <v>50</v>
      </c>
      <c r="C20" s="563">
        <f t="shared" si="5"/>
        <v>7</v>
      </c>
      <c r="D20" s="564">
        <f>IF(กรอกข้อมูล!$E$70="no",0,IF(B20="","",IF(C20&lt;=$N$9,กรอกข้อมูล!$I$19,0)))</f>
        <v>0</v>
      </c>
      <c r="E20" s="565">
        <f t="shared" si="1"/>
        <v>1722000</v>
      </c>
      <c r="F20" s="565">
        <f t="shared" si="2"/>
        <v>20000</v>
      </c>
      <c r="G20" s="565">
        <f t="shared" si="6"/>
        <v>91108.793881468882</v>
      </c>
      <c r="H20" s="567">
        <f t="shared" si="3"/>
        <v>2000000</v>
      </c>
      <c r="I20" s="567">
        <f>IF(C20="","",SUM($F$14:F19,H20))</f>
        <v>2070000</v>
      </c>
      <c r="J20" s="566">
        <f t="shared" si="4"/>
        <v>1290000</v>
      </c>
      <c r="K20" s="150"/>
      <c r="L20" s="1237"/>
      <c r="M20" s="1386">
        <f>IF(B20="","",IF($O$6="M",VLOOKUP($O$11,'TABCV(Male)'!$A$2:$CZ$431,ตารางแสดงผลประโยชน์!C20+4,FALSE),IF($O$6="F",VLOOKUP($O$11,'TABCV(Female)'!$A$2:$CZ$431,ตารางแสดงผลประโยชน์!C20+4,FALSE))))</f>
        <v>1290</v>
      </c>
      <c r="N20" s="1644">
        <f t="shared" si="0"/>
        <v>0.02</v>
      </c>
      <c r="O20" s="1644"/>
      <c r="P20" s="1644"/>
    </row>
    <row r="21" spans="1:16" s="16" customFormat="1" ht="30" customHeight="1">
      <c r="A21" s="145"/>
      <c r="B21" s="563">
        <f>IF(B20="","",IF(กรอกข้อมูล!$C$5+C20&gt;79,"",กรอกข้อมูล!$C$5+C20))</f>
        <v>51</v>
      </c>
      <c r="C21" s="563">
        <f t="shared" si="5"/>
        <v>8</v>
      </c>
      <c r="D21" s="564">
        <f>IF(กรอกข้อมูล!$E$70="no",0,IF(B21="","",IF(C21&lt;=$N$9,กรอกข้อมูล!$I$19,0)))</f>
        <v>0</v>
      </c>
      <c r="E21" s="565">
        <f t="shared" si="1"/>
        <v>1722000</v>
      </c>
      <c r="F21" s="565">
        <f t="shared" si="2"/>
        <v>20000</v>
      </c>
      <c r="G21" s="565">
        <f t="shared" si="6"/>
        <v>111564.33785087621</v>
      </c>
      <c r="H21" s="567">
        <f t="shared" si="3"/>
        <v>2000000</v>
      </c>
      <c r="I21" s="567">
        <f>IF(C21="","",SUM($F$14:F20,H21))</f>
        <v>2090000</v>
      </c>
      <c r="J21" s="566">
        <f t="shared" si="4"/>
        <v>1307000</v>
      </c>
      <c r="K21" s="150"/>
      <c r="L21" s="1237"/>
      <c r="M21" s="1386">
        <f>IF(B21="","",IF($O$6="M",VLOOKUP($O$11,'TABCV(Male)'!$A$2:$CZ$431,ตารางแสดงผลประโยชน์!C21+4,FALSE),IF($O$6="F",VLOOKUP($O$11,'TABCV(Female)'!$A$2:$CZ$431,ตารางแสดงผลประโยชน์!C21+4,FALSE))))</f>
        <v>1307</v>
      </c>
      <c r="N21" s="1644">
        <f t="shared" si="0"/>
        <v>0.02</v>
      </c>
      <c r="O21" s="1644"/>
      <c r="P21" s="1644"/>
    </row>
    <row r="22" spans="1:16" s="16" customFormat="1" ht="30" customHeight="1">
      <c r="A22" s="145"/>
      <c r="B22" s="563">
        <f>IF(B21="","",IF(กรอกข้อมูล!$C$5+C21&gt;79,"",กรอกข้อมูล!$C$5+C21))</f>
        <v>52</v>
      </c>
      <c r="C22" s="563">
        <f t="shared" si="5"/>
        <v>9</v>
      </c>
      <c r="D22" s="564">
        <f>IF(กรอกข้อมูล!$E$70="no",0,IF(B22="","",IF(C22&lt;=$N$9,กรอกข้อมูล!$I$19,0)))</f>
        <v>0</v>
      </c>
      <c r="E22" s="565">
        <f t="shared" si="1"/>
        <v>1722000</v>
      </c>
      <c r="F22" s="565">
        <f t="shared" si="2"/>
        <v>20000</v>
      </c>
      <c r="G22" s="565">
        <f t="shared" si="6"/>
        <v>132122.15954013058</v>
      </c>
      <c r="H22" s="567">
        <f t="shared" si="3"/>
        <v>2000000</v>
      </c>
      <c r="I22" s="567">
        <f>IF(C22="","",SUM($F$14:F21,H22))</f>
        <v>2110000</v>
      </c>
      <c r="J22" s="566">
        <f t="shared" si="4"/>
        <v>1324000</v>
      </c>
      <c r="K22" s="150"/>
      <c r="L22" s="1237"/>
      <c r="M22" s="1386">
        <f>IF(B22="","",IF($O$6="M",VLOOKUP($O$11,'TABCV(Male)'!$A$2:$CZ$431,ตารางแสดงผลประโยชน์!C22+4,FALSE),IF($O$6="F",VLOOKUP($O$11,'TABCV(Female)'!$A$2:$CZ$431,ตารางแสดงผลประโยชน์!C22+4,FALSE))))</f>
        <v>1324</v>
      </c>
      <c r="N22" s="1644">
        <f t="shared" si="0"/>
        <v>0.02</v>
      </c>
      <c r="O22" s="1644"/>
      <c r="P22" s="1644"/>
    </row>
    <row r="23" spans="1:16" s="16" customFormat="1" ht="30" customHeight="1">
      <c r="A23" s="145"/>
      <c r="B23" s="563">
        <f>IF(B22="","",IF(กรอกข้อมูล!$C$5+C22&gt;79,"",กรอกข้อมูล!$C$5+C22))</f>
        <v>53</v>
      </c>
      <c r="C23" s="563">
        <f t="shared" si="5"/>
        <v>10</v>
      </c>
      <c r="D23" s="564">
        <f>IF(กรอกข้อมูล!$E$70="no",0,IF(B23="","",IF(C23&lt;=$N$9,กรอกข้อมูล!$I$19,0)))</f>
        <v>0</v>
      </c>
      <c r="E23" s="565">
        <f t="shared" si="1"/>
        <v>1722000</v>
      </c>
      <c r="F23" s="565">
        <f t="shared" si="2"/>
        <v>20000</v>
      </c>
      <c r="G23" s="565">
        <f t="shared" si="6"/>
        <v>152782.77033783123</v>
      </c>
      <c r="H23" s="567">
        <f t="shared" si="3"/>
        <v>2000000</v>
      </c>
      <c r="I23" s="567">
        <f>IF(C23="","",SUM($F$14:F22,H23))</f>
        <v>2130000</v>
      </c>
      <c r="J23" s="566">
        <f t="shared" si="4"/>
        <v>1342000</v>
      </c>
      <c r="K23" s="150"/>
      <c r="L23" s="1237"/>
      <c r="M23" s="1386">
        <f>IF(B23="","",IF($O$6="M",VLOOKUP($O$11,'TABCV(Male)'!$A$2:$CZ$431,ตารางแสดงผลประโยชน์!C23+4,FALSE),IF($O$6="F",VLOOKUP($O$11,'TABCV(Female)'!$A$2:$CZ$431,ตารางแสดงผลประโยชน์!C23+4,FALSE))))</f>
        <v>1342</v>
      </c>
      <c r="N23" s="1644">
        <f t="shared" si="0"/>
        <v>0.02</v>
      </c>
      <c r="O23" s="1644"/>
      <c r="P23" s="1644"/>
    </row>
    <row r="24" spans="1:16" s="16" customFormat="1" ht="30" customHeight="1">
      <c r="A24" s="145"/>
      <c r="B24" s="557">
        <f>IF(B23="","",IF(กรอกข้อมูล!$C$5+C23&gt;79,"",กรอกข้อมูล!$C$5+C23))</f>
        <v>54</v>
      </c>
      <c r="C24" s="557">
        <f t="shared" si="5"/>
        <v>11</v>
      </c>
      <c r="D24" s="558">
        <f>IF(กรอกข้อมูล!$E$70="no",0,IF(B24="","",IF(C24&lt;=$N$9,กรอกข้อมูล!$I$19,0)))</f>
        <v>0</v>
      </c>
      <c r="E24" s="568">
        <f t="shared" si="1"/>
        <v>1722000</v>
      </c>
      <c r="F24" s="568">
        <f t="shared" si="2"/>
        <v>20000</v>
      </c>
      <c r="G24" s="568">
        <f t="shared" si="6"/>
        <v>173546.68418952037</v>
      </c>
      <c r="H24" s="562">
        <f t="shared" si="3"/>
        <v>2000000</v>
      </c>
      <c r="I24" s="562">
        <f>IF(C24="","",SUM($F$14:F23,H24))</f>
        <v>2150000</v>
      </c>
      <c r="J24" s="560">
        <f t="shared" si="4"/>
        <v>1360000</v>
      </c>
      <c r="K24" s="150"/>
      <c r="L24" s="1237"/>
      <c r="M24" s="1386">
        <f>IF(B24="","",IF($O$6="M",VLOOKUP($O$11,'TABCV(Male)'!$A$2:$CZ$431,ตารางแสดงผลประโยชน์!C24+4,FALSE),IF($O$6="F",VLOOKUP($O$11,'TABCV(Female)'!$A$2:$CZ$431,ตารางแสดงผลประโยชน์!C24+4,FALSE))))</f>
        <v>1360</v>
      </c>
      <c r="N24" s="1644">
        <f t="shared" si="0"/>
        <v>0.02</v>
      </c>
      <c r="O24" s="1644"/>
      <c r="P24" s="1644"/>
    </row>
    <row r="25" spans="1:16" s="16" customFormat="1" ht="30" customHeight="1">
      <c r="A25" s="145"/>
      <c r="B25" s="557">
        <f>IF(B24="","",IF(กรอกข้อมูล!$C$5+C24&gt;79,"",กรอกข้อมูล!$C$5+C24))</f>
        <v>55</v>
      </c>
      <c r="C25" s="557">
        <f t="shared" si="5"/>
        <v>12</v>
      </c>
      <c r="D25" s="558">
        <f>IF(กรอกข้อมูล!$E$70="no",0,IF(B25="","",IF(C25&lt;=$N$9,กรอกข้อมูล!$I$19,0)))</f>
        <v>0</v>
      </c>
      <c r="E25" s="568">
        <f t="shared" si="1"/>
        <v>1722000</v>
      </c>
      <c r="F25" s="568">
        <f t="shared" si="2"/>
        <v>20000</v>
      </c>
      <c r="G25" s="568">
        <f t="shared" si="6"/>
        <v>194414.41761046796</v>
      </c>
      <c r="H25" s="562">
        <f t="shared" si="3"/>
        <v>2000000</v>
      </c>
      <c r="I25" s="562">
        <f>IF(C25="","",SUM($F$14:F24,H25))</f>
        <v>2170000</v>
      </c>
      <c r="J25" s="560">
        <f t="shared" si="4"/>
        <v>1379000</v>
      </c>
      <c r="K25" s="150"/>
      <c r="L25" s="1237"/>
      <c r="M25" s="1386">
        <f>IF(B25="","",IF($O$6="M",VLOOKUP($O$11,'TABCV(Male)'!$A$2:$CZ$431,ตารางแสดงผลประโยชน์!C25+4,FALSE),IF($O$6="F",VLOOKUP($O$11,'TABCV(Female)'!$A$2:$CZ$431,ตารางแสดงผลประโยชน์!C25+4,FALSE))))</f>
        <v>1379</v>
      </c>
      <c r="N25" s="1644">
        <f t="shared" si="0"/>
        <v>0.02</v>
      </c>
      <c r="O25" s="1644"/>
      <c r="P25" s="1644"/>
    </row>
    <row r="26" spans="1:16" s="16" customFormat="1" ht="30" customHeight="1">
      <c r="A26" s="145"/>
      <c r="B26" s="557">
        <f>IF(B25="","",IF(กรอกข้อมูล!$C$5+C25&gt;79,"",กรอกข้อมูล!$C$5+C25))</f>
        <v>56</v>
      </c>
      <c r="C26" s="557">
        <f t="shared" si="5"/>
        <v>13</v>
      </c>
      <c r="D26" s="558">
        <f>IF(กรอกข้อมูล!$E$70="no",0,IF(B26="","",IF(C26&lt;=$N$9,กรอกข้อมูล!$I$19,0)))</f>
        <v>0</v>
      </c>
      <c r="E26" s="568">
        <f t="shared" si="1"/>
        <v>1722000</v>
      </c>
      <c r="F26" s="568">
        <f t="shared" si="2"/>
        <v>20000</v>
      </c>
      <c r="G26" s="568">
        <f t="shared" si="6"/>
        <v>215386.48969852028</v>
      </c>
      <c r="H26" s="562">
        <f t="shared" si="3"/>
        <v>2000000</v>
      </c>
      <c r="I26" s="562">
        <f>IF(C26="","",SUM($F$14:F25,H26))</f>
        <v>2190000</v>
      </c>
      <c r="J26" s="560">
        <f t="shared" si="4"/>
        <v>1398000</v>
      </c>
      <c r="K26" s="150"/>
      <c r="L26" s="1237"/>
      <c r="M26" s="1386">
        <f>IF(B26="","",IF($O$6="M",VLOOKUP($O$11,'TABCV(Male)'!$A$2:$CZ$431,ตารางแสดงผลประโยชน์!C26+4,FALSE),IF($O$6="F",VLOOKUP($O$11,'TABCV(Female)'!$A$2:$CZ$431,ตารางแสดงผลประโยชน์!C26+4,FALSE))))</f>
        <v>1398</v>
      </c>
      <c r="N26" s="1644">
        <f t="shared" si="0"/>
        <v>0.02</v>
      </c>
      <c r="O26" s="1644"/>
      <c r="P26" s="1644"/>
    </row>
    <row r="27" spans="1:16" s="16" customFormat="1" ht="30" customHeight="1">
      <c r="A27" s="145"/>
      <c r="B27" s="557">
        <f>IF(B26="","",IF(กรอกข้อมูล!$C$5+C26&gt;79,"",กรอกข้อมูล!$C$5+C26))</f>
        <v>57</v>
      </c>
      <c r="C27" s="557">
        <f t="shared" si="5"/>
        <v>14</v>
      </c>
      <c r="D27" s="558">
        <f>IF(กรอกข้อมูล!$E$70="no",0,IF(B27="","",IF(C27&lt;=$N$9,กรอกข้อมูล!$I$19,0)))</f>
        <v>0</v>
      </c>
      <c r="E27" s="568">
        <f t="shared" si="1"/>
        <v>1722000</v>
      </c>
      <c r="F27" s="568">
        <f t="shared" si="2"/>
        <v>20000</v>
      </c>
      <c r="G27" s="568">
        <f t="shared" si="6"/>
        <v>236463.42214701287</v>
      </c>
      <c r="H27" s="562">
        <f t="shared" si="3"/>
        <v>2000000</v>
      </c>
      <c r="I27" s="562">
        <f>IF(C27="","",SUM($F$14:F26,H27))</f>
        <v>2210000</v>
      </c>
      <c r="J27" s="560">
        <f t="shared" si="4"/>
        <v>1418000</v>
      </c>
      <c r="K27" s="150"/>
      <c r="L27" s="1237"/>
      <c r="M27" s="1386">
        <f>IF(B27="","",IF($O$6="M",VLOOKUP($O$11,'TABCV(Male)'!$A$2:$CZ$431,ตารางแสดงผลประโยชน์!C27+4,FALSE),IF($O$6="F",VLOOKUP($O$11,'TABCV(Female)'!$A$2:$CZ$431,ตารางแสดงผลประโยชน์!C27+4,FALSE))))</f>
        <v>1418</v>
      </c>
      <c r="N27" s="1644">
        <f t="shared" si="0"/>
        <v>0.02</v>
      </c>
      <c r="O27" s="1644"/>
      <c r="P27" s="1644"/>
    </row>
    <row r="28" spans="1:16" s="16" customFormat="1" ht="30" customHeight="1">
      <c r="A28" s="145"/>
      <c r="B28" s="557">
        <f>IF(B27="","",IF(กรอกข้อมูล!$C$5+C27&gt;79,"",กรอกข้อมูล!$C$5+C27))</f>
        <v>58</v>
      </c>
      <c r="C28" s="557">
        <f t="shared" si="5"/>
        <v>15</v>
      </c>
      <c r="D28" s="558">
        <f>IF(กรอกข้อมูล!$E$70="no",0,IF(B28="","",IF(C28&lt;=$N$9,กรอกข้อมูล!$I$19,0)))</f>
        <v>0</v>
      </c>
      <c r="E28" s="568">
        <f t="shared" si="1"/>
        <v>1722000</v>
      </c>
      <c r="F28" s="568">
        <f t="shared" si="2"/>
        <v>20000</v>
      </c>
      <c r="G28" s="568">
        <f t="shared" si="6"/>
        <v>257645.73925774792</v>
      </c>
      <c r="H28" s="562">
        <f t="shared" si="3"/>
        <v>2000000</v>
      </c>
      <c r="I28" s="562">
        <f>IF(C28="","",SUM($F$14:F27,H28))</f>
        <v>2230000</v>
      </c>
      <c r="J28" s="560">
        <f t="shared" si="4"/>
        <v>1438000</v>
      </c>
      <c r="K28" s="150"/>
      <c r="L28" s="1237"/>
      <c r="M28" s="1386">
        <f>IF(B28="","",IF($O$6="M",VLOOKUP($O$11,'TABCV(Male)'!$A$2:$CZ$431,ตารางแสดงผลประโยชน์!C28+4,FALSE),IF($O$6="F",VLOOKUP($O$11,'TABCV(Female)'!$A$2:$CZ$431,ตารางแสดงผลประโยชน์!C28+4,FALSE))))</f>
        <v>1438</v>
      </c>
      <c r="N28" s="1644">
        <f t="shared" si="0"/>
        <v>0.02</v>
      </c>
      <c r="O28" s="1644"/>
      <c r="P28" s="1644"/>
    </row>
    <row r="29" spans="1:16" s="16" customFormat="1" ht="30" customHeight="1">
      <c r="A29" s="145"/>
      <c r="B29" s="563">
        <f>IF(B28="","",IF(กรอกข้อมูล!$C$5+C28&gt;79,"",กรอกข้อมูล!$C$5+C28))</f>
        <v>59</v>
      </c>
      <c r="C29" s="569">
        <f t="shared" si="5"/>
        <v>16</v>
      </c>
      <c r="D29" s="565">
        <f>IF(กรอกข้อมูล!$E$70="no",0,IF(B29="","",IF(C29&lt;=$N$9,กรอกข้อมูล!$I$19,0)))</f>
        <v>0</v>
      </c>
      <c r="E29" s="565">
        <f t="shared" si="1"/>
        <v>1722000</v>
      </c>
      <c r="F29" s="565">
        <f t="shared" si="2"/>
        <v>20000</v>
      </c>
      <c r="G29" s="565">
        <f t="shared" si="6"/>
        <v>278933.96795403666</v>
      </c>
      <c r="H29" s="567">
        <f t="shared" si="3"/>
        <v>2000000</v>
      </c>
      <c r="I29" s="567">
        <f>IF(C29="","",SUM($F$14:F28,H29))</f>
        <v>2250000</v>
      </c>
      <c r="J29" s="566">
        <f t="shared" si="4"/>
        <v>1458000</v>
      </c>
      <c r="K29" s="150"/>
      <c r="L29" s="1237"/>
      <c r="M29" s="1386">
        <f>IF(B29="","",IF($O$6="M",VLOOKUP($O$11,'TABCV(Male)'!$A$2:$CZ$431,ตารางแสดงผลประโยชน์!C29+4,FALSE),IF($O$6="F",VLOOKUP($O$11,'TABCV(Female)'!$A$2:$CZ$431,ตารางแสดงผลประโยชน์!C29+4,FALSE))))</f>
        <v>1458</v>
      </c>
      <c r="N29" s="1644">
        <f t="shared" si="0"/>
        <v>0.02</v>
      </c>
      <c r="O29" s="1644"/>
      <c r="P29" s="1644"/>
    </row>
    <row r="30" spans="1:16" s="16" customFormat="1" ht="30" customHeight="1">
      <c r="A30" s="145"/>
      <c r="B30" s="563">
        <f>IF(B29="","",IF(กรอกข้อมูล!$C$5+C29&gt;79,"",กรอกข้อมูล!$C$5+C29))</f>
        <v>60</v>
      </c>
      <c r="C30" s="569">
        <f t="shared" si="5"/>
        <v>17</v>
      </c>
      <c r="D30" s="565">
        <f>IF(กรอกข้อมูล!$E$70="no",0,IF(B30="","",IF(C30&lt;=$N$9,กรอกข้อมูล!$I$19,0)))</f>
        <v>0</v>
      </c>
      <c r="E30" s="565">
        <f t="shared" si="1"/>
        <v>1722000</v>
      </c>
      <c r="F30" s="565">
        <f t="shared" si="2"/>
        <v>20000</v>
      </c>
      <c r="G30" s="565">
        <f t="shared" si="6"/>
        <v>300328.63779380679</v>
      </c>
      <c r="H30" s="567">
        <f t="shared" si="3"/>
        <v>2000000</v>
      </c>
      <c r="I30" s="567">
        <f>IF(C30="","",SUM($F$14:F29,H30))</f>
        <v>2270000</v>
      </c>
      <c r="J30" s="566">
        <f t="shared" si="4"/>
        <v>1479000</v>
      </c>
      <c r="K30" s="150"/>
      <c r="L30" s="1237"/>
      <c r="M30" s="1386">
        <f>IF(B30="","",IF($O$6="M",VLOOKUP($O$11,'TABCV(Male)'!$A$2:$CZ$431,ตารางแสดงผลประโยชน์!C30+4,FALSE),IF($O$6="F",VLOOKUP($O$11,'TABCV(Female)'!$A$2:$CZ$431,ตารางแสดงผลประโยชน์!C30+4,FALSE))))</f>
        <v>1479</v>
      </c>
      <c r="N30" s="1644">
        <f t="shared" si="0"/>
        <v>0.02</v>
      </c>
      <c r="O30" s="1644"/>
      <c r="P30" s="1644"/>
    </row>
    <row r="31" spans="1:16" s="16" customFormat="1" ht="30" customHeight="1">
      <c r="A31" s="145"/>
      <c r="B31" s="563">
        <f>IF(B30="","",IF(กรอกข้อมูล!$C$5+C30&gt;79,"",กรอกข้อมูล!$C$5+C30))</f>
        <v>61</v>
      </c>
      <c r="C31" s="569">
        <f t="shared" si="5"/>
        <v>18</v>
      </c>
      <c r="D31" s="565">
        <f>IF(กรอกข้อมูล!$E$70="no",0,IF(B31="","",IF(C31&lt;=$N$9,กรอกข้อมูล!$I$19,0)))</f>
        <v>0</v>
      </c>
      <c r="E31" s="565">
        <f t="shared" si="1"/>
        <v>1722000</v>
      </c>
      <c r="F31" s="565">
        <f t="shared" si="2"/>
        <v>20000</v>
      </c>
      <c r="G31" s="565">
        <f t="shared" si="6"/>
        <v>321830.28098277579</v>
      </c>
      <c r="H31" s="567">
        <f t="shared" si="3"/>
        <v>2000000</v>
      </c>
      <c r="I31" s="567">
        <f>IF(C31="","",SUM($F$14:F30,H31))</f>
        <v>2290000</v>
      </c>
      <c r="J31" s="566">
        <f t="shared" si="4"/>
        <v>1500000</v>
      </c>
      <c r="K31" s="150"/>
      <c r="L31" s="1237"/>
      <c r="M31" s="1386">
        <f>IF(B31="","",IF($O$6="M",VLOOKUP($O$11,'TABCV(Male)'!$A$2:$CZ$431,ตารางแสดงผลประโยชน์!C31+4,FALSE),IF($O$6="F",VLOOKUP($O$11,'TABCV(Female)'!$A$2:$CZ$431,ตารางแสดงผลประโยชน์!C31+4,FALSE))))</f>
        <v>1500</v>
      </c>
      <c r="N31" s="1644">
        <f t="shared" si="0"/>
        <v>0.02</v>
      </c>
      <c r="O31" s="1644"/>
      <c r="P31" s="1644"/>
    </row>
    <row r="32" spans="1:16" s="16" customFormat="1" ht="30" customHeight="1">
      <c r="A32" s="145"/>
      <c r="B32" s="563">
        <f>IF(B31="","",IF(กรอกข้อมูล!$C$5+C31&gt;79,"",กรอกข้อมูล!$C$5+C31))</f>
        <v>62</v>
      </c>
      <c r="C32" s="569">
        <f t="shared" si="5"/>
        <v>19</v>
      </c>
      <c r="D32" s="565">
        <f>IF(กรอกข้อมูล!$E$70="no",0,IF(B32="","",IF(C32&lt;=$N$9,กรอกข้อมูล!$I$19,0)))</f>
        <v>0</v>
      </c>
      <c r="E32" s="565">
        <f t="shared" si="1"/>
        <v>1722000</v>
      </c>
      <c r="F32" s="565">
        <f t="shared" si="2"/>
        <v>20000</v>
      </c>
      <c r="G32" s="565">
        <f t="shared" si="6"/>
        <v>343439.43238768965</v>
      </c>
      <c r="H32" s="567">
        <f t="shared" si="3"/>
        <v>2000000</v>
      </c>
      <c r="I32" s="567">
        <f>IF(C32="","",SUM($F$14:F31,H32))</f>
        <v>2310000</v>
      </c>
      <c r="J32" s="566">
        <f t="shared" si="4"/>
        <v>1522000</v>
      </c>
      <c r="K32" s="150"/>
      <c r="L32" s="1237"/>
      <c r="M32" s="1386">
        <f>IF(B32="","",IF($O$6="M",VLOOKUP($O$11,'TABCV(Male)'!$A$2:$CZ$431,ตารางแสดงผลประโยชน์!C32+4,FALSE),IF($O$6="F",VLOOKUP($O$11,'TABCV(Female)'!$A$2:$CZ$431,ตารางแสดงผลประโยชน์!C32+4,FALSE))))</f>
        <v>1522</v>
      </c>
      <c r="N32" s="1644">
        <f t="shared" si="0"/>
        <v>0.02</v>
      </c>
      <c r="O32" s="1644"/>
      <c r="P32" s="1644"/>
    </row>
    <row r="33" spans="1:16" s="16" customFormat="1" ht="30" customHeight="1">
      <c r="A33" s="145"/>
      <c r="B33" s="563">
        <f>IF(B32="","",IF(กรอกข้อมูล!$C$5+C32&gt;79,"",กรอกข้อมูล!$C$5+C32))</f>
        <v>63</v>
      </c>
      <c r="C33" s="569">
        <f t="shared" si="5"/>
        <v>20</v>
      </c>
      <c r="D33" s="565">
        <f>IF(กรอกข้อมูล!$E$70="no",0,IF(B33="","",IF(C33&lt;=$N$9,กรอกข้อมูล!$I$19,0)))</f>
        <v>0</v>
      </c>
      <c r="E33" s="565">
        <f t="shared" si="1"/>
        <v>1722000</v>
      </c>
      <c r="F33" s="565">
        <f t="shared" si="2"/>
        <v>20000</v>
      </c>
      <c r="G33" s="565">
        <f t="shared" si="6"/>
        <v>365156.62954962807</v>
      </c>
      <c r="H33" s="567">
        <f t="shared" si="3"/>
        <v>2000000</v>
      </c>
      <c r="I33" s="567">
        <f>IF(C33="","",SUM($F$14:F32,H33))</f>
        <v>2330000</v>
      </c>
      <c r="J33" s="566">
        <f t="shared" si="4"/>
        <v>1544000</v>
      </c>
      <c r="K33" s="150"/>
      <c r="L33" s="1237"/>
      <c r="M33" s="1386">
        <f>IF(B33="","",IF($O$6="M",VLOOKUP($O$11,'TABCV(Male)'!$A$2:$CZ$431,ตารางแสดงผลประโยชน์!C33+4,FALSE),IF($O$6="F",VLOOKUP($O$11,'TABCV(Female)'!$A$2:$CZ$431,ตารางแสดงผลประโยชน์!C33+4,FALSE))))</f>
        <v>1544</v>
      </c>
      <c r="N33" s="1644">
        <f t="shared" si="0"/>
        <v>0.02</v>
      </c>
      <c r="O33" s="1644"/>
      <c r="P33" s="1644"/>
    </row>
    <row r="34" spans="1:16" s="16" customFormat="1" ht="30" customHeight="1">
      <c r="A34" s="145"/>
      <c r="B34" s="557">
        <f>IF(B33="","",IF(กรอกข้อมูล!$C$5+C33&gt;79,"",กรอกข้อมูล!$C$5+C33))</f>
        <v>64</v>
      </c>
      <c r="C34" s="557">
        <f t="shared" si="5"/>
        <v>21</v>
      </c>
      <c r="D34" s="558">
        <f>IF(กรอกข้อมูล!$E$70="no",0,IF(B34="","",IF(C34&lt;=$N$9,กรอกข้อมูล!$I$19,0)))</f>
        <v>0</v>
      </c>
      <c r="E34" s="568">
        <f t="shared" si="1"/>
        <v>1722000</v>
      </c>
      <c r="F34" s="568">
        <f t="shared" si="2"/>
        <v>20000</v>
      </c>
      <c r="G34" s="568">
        <f t="shared" si="6"/>
        <v>386982.41269737616</v>
      </c>
      <c r="H34" s="562">
        <f t="shared" si="3"/>
        <v>2000000</v>
      </c>
      <c r="I34" s="562">
        <f>IF(C34="","",SUM($F$14:F33,H34))</f>
        <v>2350000</v>
      </c>
      <c r="J34" s="560">
        <f t="shared" si="4"/>
        <v>1566000</v>
      </c>
      <c r="K34" s="150"/>
      <c r="L34" s="1237"/>
      <c r="M34" s="1386">
        <f>IF(B34="","",IF($O$6="M",VLOOKUP($O$11,'TABCV(Male)'!$A$2:$CZ$431,ตารางแสดงผลประโยชน์!C34+4,FALSE),IF($O$6="F",VLOOKUP($O$11,'TABCV(Female)'!$A$2:$CZ$431,ตารางแสดงผลประโยชน์!C34+4,FALSE))))</f>
        <v>1566</v>
      </c>
      <c r="N34" s="1644">
        <f t="shared" si="0"/>
        <v>0.02</v>
      </c>
      <c r="O34" s="1644"/>
      <c r="P34" s="1644"/>
    </row>
    <row r="35" spans="1:16" s="16" customFormat="1" ht="30" customHeight="1">
      <c r="A35" s="145"/>
      <c r="B35" s="557">
        <f>IF(B34="","",IF(กรอกข้อมูล!$C$5+C34&gt;79,"",กรอกข้อมูล!$C$5+C34))</f>
        <v>65</v>
      </c>
      <c r="C35" s="557">
        <f t="shared" si="5"/>
        <v>22</v>
      </c>
      <c r="D35" s="558">
        <f>IF(กรอกข้อมูล!$E$70="no",0,IF(B35="","",IF(C35&lt;=$N$9,กรอกข้อมูล!$I$19,0)))</f>
        <v>0</v>
      </c>
      <c r="E35" s="568">
        <f t="shared" si="1"/>
        <v>1722000</v>
      </c>
      <c r="F35" s="568">
        <f t="shared" si="2"/>
        <v>20000</v>
      </c>
      <c r="G35" s="568">
        <f t="shared" si="6"/>
        <v>408917.32476086298</v>
      </c>
      <c r="H35" s="562">
        <f t="shared" si="3"/>
        <v>2000000</v>
      </c>
      <c r="I35" s="562">
        <f>IF(C35="","",SUM($F$14:F34,H35))</f>
        <v>2370000</v>
      </c>
      <c r="J35" s="560">
        <f t="shared" si="4"/>
        <v>1589000</v>
      </c>
      <c r="K35" s="150"/>
      <c r="L35" s="1237"/>
      <c r="M35" s="1386">
        <f>IF(B35="","",IF($O$6="M",VLOOKUP($O$11,'TABCV(Male)'!$A$2:$CZ$431,ตารางแสดงผลประโยชน์!C35+4,FALSE),IF($O$6="F",VLOOKUP($O$11,'TABCV(Female)'!$A$2:$CZ$431,ตารางแสดงผลประโยชน์!C35+4,FALSE))))</f>
        <v>1589</v>
      </c>
      <c r="N35" s="1644">
        <f t="shared" si="0"/>
        <v>0.02</v>
      </c>
      <c r="O35" s="1644"/>
      <c r="P35" s="1644"/>
    </row>
    <row r="36" spans="1:16" s="16" customFormat="1" ht="30" customHeight="1">
      <c r="A36" s="145"/>
      <c r="B36" s="557">
        <f>IF(B35="","",IF(กรอกข้อมูล!$C$5+C35&gt;79,"",กรอกข้อมูล!$C$5+C35))</f>
        <v>66</v>
      </c>
      <c r="C36" s="557">
        <f t="shared" si="5"/>
        <v>23</v>
      </c>
      <c r="D36" s="558">
        <f>IF(กรอกข้อมูล!$E$70="no",0,IF(B36="","",IF(C36&lt;=$N$9,กรอกข้อมูล!$I$19,0)))</f>
        <v>0</v>
      </c>
      <c r="E36" s="568">
        <f t="shared" si="1"/>
        <v>1722000</v>
      </c>
      <c r="F36" s="568">
        <f t="shared" si="2"/>
        <v>20000</v>
      </c>
      <c r="G36" s="568">
        <f t="shared" si="6"/>
        <v>430961.91138466727</v>
      </c>
      <c r="H36" s="562">
        <f t="shared" si="3"/>
        <v>2000000</v>
      </c>
      <c r="I36" s="562">
        <f>IF(C36="","",SUM($F$14:F35,H36))</f>
        <v>2390000</v>
      </c>
      <c r="J36" s="560">
        <f t="shared" si="4"/>
        <v>1612000</v>
      </c>
      <c r="K36" s="150"/>
      <c r="L36" s="1237"/>
      <c r="M36" s="1386">
        <f>IF(B36="","",IF($O$6="M",VLOOKUP($O$11,'TABCV(Male)'!$A$2:$CZ$431,ตารางแสดงผลประโยชน์!C36+4,FALSE),IF($O$6="F",VLOOKUP($O$11,'TABCV(Female)'!$A$2:$CZ$431,ตารางแสดงผลประโยชน์!C36+4,FALSE))))</f>
        <v>1612</v>
      </c>
      <c r="N36" s="1644">
        <f t="shared" si="0"/>
        <v>0.02</v>
      </c>
      <c r="O36" s="1644"/>
      <c r="P36" s="1644"/>
    </row>
    <row r="37" spans="1:16" s="16" customFormat="1" ht="30" customHeight="1">
      <c r="A37" s="145"/>
      <c r="B37" s="557">
        <f>IF(B36="","",IF(กรอกข้อมูล!$C$5+C36&gt;79,"",กรอกข้อมูล!$C$5+C36))</f>
        <v>67</v>
      </c>
      <c r="C37" s="557">
        <f t="shared" si="5"/>
        <v>24</v>
      </c>
      <c r="D37" s="558">
        <f>IF(กรอกข้อมูล!$E$70="no",0,IF(B37="","",IF(C37&lt;=$N$9,กรอกข้อมูล!$I$19,0)))</f>
        <v>0</v>
      </c>
      <c r="E37" s="568">
        <f t="shared" si="1"/>
        <v>1722000</v>
      </c>
      <c r="F37" s="568">
        <f t="shared" si="2"/>
        <v>20000</v>
      </c>
      <c r="G37" s="568">
        <f t="shared" si="6"/>
        <v>453116.72094159055</v>
      </c>
      <c r="H37" s="562">
        <f t="shared" si="3"/>
        <v>2000000</v>
      </c>
      <c r="I37" s="562">
        <f>IF(C37="","",SUM($F$14:F36,H37))</f>
        <v>2410000</v>
      </c>
      <c r="J37" s="560">
        <f t="shared" si="4"/>
        <v>1636000</v>
      </c>
      <c r="K37" s="150"/>
      <c r="L37" s="1237"/>
      <c r="M37" s="1386">
        <f>IF(B37="","",IF($O$6="M",VLOOKUP($O$11,'TABCV(Male)'!$A$2:$CZ$431,ตารางแสดงผลประโยชน์!C37+4,FALSE),IF($O$6="F",VLOOKUP($O$11,'TABCV(Female)'!$A$2:$CZ$431,ตารางแสดงผลประโยชน์!C37+4,FALSE))))</f>
        <v>1636</v>
      </c>
      <c r="N37" s="1644">
        <f t="shared" si="0"/>
        <v>0.02</v>
      </c>
      <c r="O37" s="1644"/>
      <c r="P37" s="1644"/>
    </row>
    <row r="38" spans="1:16" s="16" customFormat="1" ht="30" customHeight="1">
      <c r="A38" s="145"/>
      <c r="B38" s="557">
        <f>IF(B37="","",IF(กรอกข้อมูล!$C$5+C37&gt;79,"",กรอกข้อมูล!$C$5+C37))</f>
        <v>68</v>
      </c>
      <c r="C38" s="557">
        <f t="shared" si="5"/>
        <v>25</v>
      </c>
      <c r="D38" s="558">
        <f>IF(กรอกข้อมูล!$E$70="no",0,IF(B38="","",IF(C38&lt;=$N$9,กรอกข้อมูล!$I$19,0)))</f>
        <v>0</v>
      </c>
      <c r="E38" s="568">
        <f t="shared" si="1"/>
        <v>1722000</v>
      </c>
      <c r="F38" s="568">
        <f t="shared" si="2"/>
        <v>20000</v>
      </c>
      <c r="G38" s="568">
        <f t="shared" si="6"/>
        <v>475382.30454629846</v>
      </c>
      <c r="H38" s="562">
        <f t="shared" si="3"/>
        <v>2000000</v>
      </c>
      <c r="I38" s="562">
        <f>IF(C38="","",SUM($F$14:F37,H38))</f>
        <v>2430000</v>
      </c>
      <c r="J38" s="560">
        <f t="shared" si="4"/>
        <v>1660000</v>
      </c>
      <c r="K38" s="150"/>
      <c r="L38" s="1237"/>
      <c r="M38" s="1386">
        <f>IF(B38="","",IF($O$6="M",VLOOKUP($O$11,'TABCV(Male)'!$A$2:$CZ$431,ตารางแสดงผลประโยชน์!C38+4,FALSE),IF($O$6="F",VLOOKUP($O$11,'TABCV(Female)'!$A$2:$CZ$431,ตารางแสดงผลประโยชน์!C38+4,FALSE))))</f>
        <v>1660</v>
      </c>
      <c r="N38" s="1644">
        <f t="shared" si="0"/>
        <v>0.02</v>
      </c>
      <c r="O38" s="1644"/>
      <c r="P38" s="1644"/>
    </row>
    <row r="39" spans="1:16" s="16" customFormat="1" ht="30" customHeight="1">
      <c r="A39" s="145"/>
      <c r="B39" s="563">
        <f>IF(B38="","",IF(กรอกข้อมูล!$C$5+C38&gt;79,"",กรอกข้อมูล!$C$5+C38))</f>
        <v>69</v>
      </c>
      <c r="C39" s="569">
        <f t="shared" si="5"/>
        <v>26</v>
      </c>
      <c r="D39" s="565">
        <f>IF(กรอกข้อมูล!$E$70="no",0,IF(B39="","",IF(C39&lt;=$N$9,กรอกข้อมูล!$I$19,0)))</f>
        <v>0</v>
      </c>
      <c r="E39" s="565">
        <f t="shared" si="1"/>
        <v>1722000</v>
      </c>
      <c r="F39" s="565">
        <f t="shared" si="2"/>
        <v>20000</v>
      </c>
      <c r="G39" s="565">
        <f t="shared" si="6"/>
        <v>497759.21606902988</v>
      </c>
      <c r="H39" s="567">
        <f t="shared" si="3"/>
        <v>2000000</v>
      </c>
      <c r="I39" s="567">
        <f>IF(C39="","",SUM($F$14:F38,H39))</f>
        <v>2450000</v>
      </c>
      <c r="J39" s="566">
        <f t="shared" si="4"/>
        <v>1684000</v>
      </c>
      <c r="K39" s="150"/>
      <c r="L39" s="1237"/>
      <c r="M39" s="1386">
        <f>IF(B39="","",IF($O$6="M",VLOOKUP($O$11,'TABCV(Male)'!$A$2:$CZ$431,ตารางแสดงผลประโยชน์!C39+4,FALSE),IF($O$6="F",VLOOKUP($O$11,'TABCV(Female)'!$A$2:$CZ$431,ตารางแสดงผลประโยชน์!C39+4,FALSE))))</f>
        <v>1684</v>
      </c>
      <c r="N39" s="1644">
        <f t="shared" si="0"/>
        <v>0.02</v>
      </c>
      <c r="O39" s="1644"/>
      <c r="P39" s="1644"/>
    </row>
    <row r="40" spans="1:16" s="16" customFormat="1" ht="30" customHeight="1">
      <c r="A40" s="145"/>
      <c r="B40" s="563">
        <f>IF(B39="","",IF(กรอกข้อมูล!$C$5+C39&gt;79,"",กรอกข้อมูล!$C$5+C39))</f>
        <v>70</v>
      </c>
      <c r="C40" s="569">
        <f t="shared" si="5"/>
        <v>27</v>
      </c>
      <c r="D40" s="565">
        <f>IF(กรอกข้อมูล!$E$70="no",0,IF(B40="","",IF(C40&lt;=$N$9,กรอกข้อมูล!$I$19,0)))</f>
        <v>0</v>
      </c>
      <c r="E40" s="565">
        <f t="shared" si="1"/>
        <v>1722000</v>
      </c>
      <c r="F40" s="565">
        <f t="shared" si="2"/>
        <v>20000</v>
      </c>
      <c r="G40" s="565">
        <f t="shared" si="6"/>
        <v>520248.01214937499</v>
      </c>
      <c r="H40" s="567">
        <f t="shared" si="3"/>
        <v>2000000</v>
      </c>
      <c r="I40" s="567">
        <f>IF(C40="","",SUM($F$14:F39,H40))</f>
        <v>2470000</v>
      </c>
      <c r="J40" s="566">
        <f t="shared" si="4"/>
        <v>1709000</v>
      </c>
      <c r="K40" s="150"/>
      <c r="L40" s="1237"/>
      <c r="M40" s="1386">
        <f>IF(B40="","",IF($O$6="M",VLOOKUP($O$11,'TABCV(Male)'!$A$2:$CZ$431,ตารางแสดงผลประโยชน์!C40+4,FALSE),IF($O$6="F",VLOOKUP($O$11,'TABCV(Female)'!$A$2:$CZ$431,ตารางแสดงผลประโยชน์!C40+4,FALSE))))</f>
        <v>1709</v>
      </c>
      <c r="N40" s="1644">
        <f t="shared" si="0"/>
        <v>0.02</v>
      </c>
      <c r="O40" s="1644"/>
      <c r="P40" s="1644"/>
    </row>
    <row r="41" spans="1:16" s="16" customFormat="1" ht="30" customHeight="1">
      <c r="A41" s="145"/>
      <c r="B41" s="563">
        <f>IF(B40="","",IF(กรอกข้อมูล!$C$5+C40&gt;79,"",กรอกข้อมูล!$C$5+C40))</f>
        <v>71</v>
      </c>
      <c r="C41" s="569">
        <f t="shared" si="5"/>
        <v>28</v>
      </c>
      <c r="D41" s="565">
        <f>IF(กรอกข้อมูล!$E$70="no",0,IF(B41="","",IF(C41&lt;=$N$9,กรอกข้อมูล!$I$19,0)))</f>
        <v>0</v>
      </c>
      <c r="E41" s="565">
        <f t="shared" si="1"/>
        <v>1722000</v>
      </c>
      <c r="F41" s="565">
        <f t="shared" si="2"/>
        <v>20000</v>
      </c>
      <c r="G41" s="565">
        <f t="shared" si="6"/>
        <v>542849.25221012183</v>
      </c>
      <c r="H41" s="567">
        <f t="shared" si="3"/>
        <v>2000000</v>
      </c>
      <c r="I41" s="567">
        <f>IF(C41="","",SUM($F$14:F40,H41))</f>
        <v>2490000</v>
      </c>
      <c r="J41" s="566">
        <f t="shared" si="4"/>
        <v>1735000</v>
      </c>
      <c r="K41" s="150"/>
      <c r="L41" s="1237"/>
      <c r="M41" s="1386">
        <f>IF(B41="","",IF($O$6="M",VLOOKUP($O$11,'TABCV(Male)'!$A$2:$CZ$431,ตารางแสดงผลประโยชน์!C41+4,FALSE),IF($O$6="F",VLOOKUP($O$11,'TABCV(Female)'!$A$2:$CZ$431,ตารางแสดงผลประโยชน์!C41+4,FALSE))))</f>
        <v>1735</v>
      </c>
      <c r="N41" s="1644">
        <f t="shared" si="0"/>
        <v>0.02</v>
      </c>
      <c r="O41" s="1644"/>
      <c r="P41" s="1644"/>
    </row>
    <row r="42" spans="1:16" s="16" customFormat="1" ht="30" customHeight="1">
      <c r="A42" s="145"/>
      <c r="B42" s="563">
        <f>IF(B41="","",IF(กรอกข้อมูล!$C$5+C41&gt;79,"",กรอกข้อมูล!$C$5+C41))</f>
        <v>72</v>
      </c>
      <c r="C42" s="569">
        <f t="shared" si="5"/>
        <v>29</v>
      </c>
      <c r="D42" s="565">
        <f>IF(กรอกข้อมูล!$E$70="no",0,IF(B42="","",IF(C42&lt;=$N$9,กรอกข้อมูล!$I$19,0)))</f>
        <v>0</v>
      </c>
      <c r="E42" s="565">
        <f t="shared" si="1"/>
        <v>1722000</v>
      </c>
      <c r="F42" s="565">
        <f t="shared" si="2"/>
        <v>20000</v>
      </c>
      <c r="G42" s="565">
        <f t="shared" si="6"/>
        <v>565563.49847117241</v>
      </c>
      <c r="H42" s="567">
        <f t="shared" si="3"/>
        <v>2000000</v>
      </c>
      <c r="I42" s="567">
        <f>IF(C42="","",SUM($F$14:F41,H42))</f>
        <v>2510000</v>
      </c>
      <c r="J42" s="566">
        <f t="shared" si="4"/>
        <v>1761000</v>
      </c>
      <c r="K42" s="150"/>
      <c r="L42" s="1237"/>
      <c r="M42" s="1386">
        <f>IF(B42="","",IF($O$6="M",VLOOKUP($O$11,'TABCV(Male)'!$A$2:$CZ$431,ตารางแสดงผลประโยชน์!C42+4,FALSE),IF($O$6="F",VLOOKUP($O$11,'TABCV(Female)'!$A$2:$CZ$431,ตารางแสดงผลประโยชน์!C42+4,FALSE))))</f>
        <v>1761</v>
      </c>
      <c r="N42" s="1644">
        <f t="shared" si="0"/>
        <v>0.02</v>
      </c>
      <c r="O42" s="1644"/>
      <c r="P42" s="1644"/>
    </row>
    <row r="43" spans="1:16" s="16" customFormat="1" ht="30" customHeight="1">
      <c r="A43" s="145"/>
      <c r="B43" s="563">
        <f>IF(B42="","",IF(กรอกข้อมูล!$C$5+C42&gt;79,"",กรอกข้อมูล!$C$5+C42))</f>
        <v>73</v>
      </c>
      <c r="C43" s="569">
        <f t="shared" si="5"/>
        <v>30</v>
      </c>
      <c r="D43" s="565">
        <f>IF(กรอกข้อมูล!$E$70="no",0,IF(B43="","",IF(C43&lt;=$N$9,กรอกข้อมูล!$I$19,0)))</f>
        <v>0</v>
      </c>
      <c r="E43" s="565">
        <f t="shared" si="1"/>
        <v>1722000</v>
      </c>
      <c r="F43" s="565">
        <f t="shared" si="2"/>
        <v>20000</v>
      </c>
      <c r="G43" s="565">
        <f t="shared" si="6"/>
        <v>588391.31596352824</v>
      </c>
      <c r="H43" s="567">
        <f t="shared" si="3"/>
        <v>2000000</v>
      </c>
      <c r="I43" s="567">
        <f>IF(C43="","",SUM($F$14:F42,H43))</f>
        <v>2530000</v>
      </c>
      <c r="J43" s="566">
        <f t="shared" si="4"/>
        <v>1787000</v>
      </c>
      <c r="K43" s="150"/>
      <c r="L43" s="1237"/>
      <c r="M43" s="1386">
        <f>IF(B43="","",IF($O$6="M",VLOOKUP($O$11,'TABCV(Male)'!$A$2:$CZ$431,ตารางแสดงผลประโยชน์!C43+4,FALSE),IF($O$6="F",VLOOKUP($O$11,'TABCV(Female)'!$A$2:$CZ$431,ตารางแสดงผลประโยชน์!C43+4,FALSE))))</f>
        <v>1787</v>
      </c>
      <c r="N43" s="1644">
        <f t="shared" si="0"/>
        <v>0.02</v>
      </c>
      <c r="O43" s="1644"/>
      <c r="P43" s="1644"/>
    </row>
    <row r="44" spans="1:16" s="16" customFormat="1" ht="30" customHeight="1">
      <c r="A44" s="145"/>
      <c r="B44" s="557">
        <f>IF(B43="","",IF(กรอกข้อมูล!$C$5+C43&gt;79,"",กรอกข้อมูล!$C$5+C43))</f>
        <v>74</v>
      </c>
      <c r="C44" s="557">
        <f t="shared" si="5"/>
        <v>31</v>
      </c>
      <c r="D44" s="558">
        <f>IF(กรอกข้อมูล!$E$70="no",0,IF(B44="","",IF(C44&lt;=$N$9,กรอกข้อมูล!$I$19,0)))</f>
        <v>0</v>
      </c>
      <c r="E44" s="568">
        <f t="shared" si="1"/>
        <v>1722000</v>
      </c>
      <c r="F44" s="568">
        <f t="shared" si="2"/>
        <v>20000</v>
      </c>
      <c r="G44" s="568">
        <f t="shared" si="6"/>
        <v>611333.27254334581</v>
      </c>
      <c r="H44" s="562">
        <f t="shared" si="3"/>
        <v>2000000</v>
      </c>
      <c r="I44" s="562">
        <f>IF(C44="","",SUM($F$14:F43,H44))</f>
        <v>2550000</v>
      </c>
      <c r="J44" s="560">
        <f t="shared" si="4"/>
        <v>1815000</v>
      </c>
      <c r="K44" s="150"/>
      <c r="L44" s="1237"/>
      <c r="M44" s="1386">
        <f>IF(B44="","",IF($O$6="M",VLOOKUP($O$11,'TABCV(Male)'!$A$2:$CZ$431,ตารางแสดงผลประโยชน์!C44+4,FALSE),IF($O$6="F",VLOOKUP($O$11,'TABCV(Female)'!$A$2:$CZ$431,ตารางแสดงผลประโยชน์!C44+4,FALSE))))</f>
        <v>1815</v>
      </c>
      <c r="N44" s="1644">
        <f t="shared" si="0"/>
        <v>0.02</v>
      </c>
      <c r="O44" s="1644"/>
      <c r="P44" s="1644"/>
    </row>
    <row r="45" spans="1:16" s="16" customFormat="1" ht="30" customHeight="1">
      <c r="A45" s="145"/>
      <c r="B45" s="557">
        <f>IF(B44="","",IF(กรอกข้อมูล!$C$5+C44&gt;79,"",กรอกข้อมูล!$C$5+C44))</f>
        <v>75</v>
      </c>
      <c r="C45" s="557">
        <f t="shared" si="5"/>
        <v>32</v>
      </c>
      <c r="D45" s="558">
        <f>IF(กรอกข้อมูล!$E$70="no",0,IF(B45="","",IF(C45&lt;=$N$9,กรอกข้อมูล!$I$19,0)))</f>
        <v>0</v>
      </c>
      <c r="E45" s="568">
        <f t="shared" si="1"/>
        <v>1722000</v>
      </c>
      <c r="F45" s="568">
        <f t="shared" si="2"/>
        <v>20000</v>
      </c>
      <c r="G45" s="568">
        <f t="shared" si="6"/>
        <v>634389.93890606251</v>
      </c>
      <c r="H45" s="562">
        <f t="shared" si="3"/>
        <v>2000000</v>
      </c>
      <c r="I45" s="562">
        <f>IF(C45="","",SUM($F$14:F44,H45))</f>
        <v>2570000</v>
      </c>
      <c r="J45" s="560">
        <f t="shared" si="4"/>
        <v>1844000</v>
      </c>
      <c r="K45" s="150"/>
      <c r="L45" s="1237"/>
      <c r="M45" s="1386">
        <f>IF(B45="","",IF($O$6="M",VLOOKUP($O$11,'TABCV(Male)'!$A$2:$CZ$431,ตารางแสดงผลประโยชน์!C45+4,FALSE),IF($O$6="F",VLOOKUP($O$11,'TABCV(Female)'!$A$2:$CZ$431,ตารางแสดงผลประโยชน์!C45+4,FALSE))))</f>
        <v>1844</v>
      </c>
      <c r="N45" s="1644">
        <f t="shared" si="0"/>
        <v>0.02</v>
      </c>
      <c r="O45" s="1644"/>
      <c r="P45" s="1644"/>
    </row>
    <row r="46" spans="1:16" s="16" customFormat="1" ht="30" customHeight="1">
      <c r="A46" s="145"/>
      <c r="B46" s="557">
        <f>IF(B45="","",IF(กรอกข้อมูล!$C$5+C45&gt;79,"",กรอกข้อมูล!$C$5+C45))</f>
        <v>76</v>
      </c>
      <c r="C46" s="557">
        <f t="shared" si="5"/>
        <v>33</v>
      </c>
      <c r="D46" s="558">
        <f>IF(กรอกข้อมูล!$E$70="no",0,IF(B46="","",IF(C46&lt;=$N$9,กรอกข้อมูล!$I$19,0)))</f>
        <v>0</v>
      </c>
      <c r="E46" s="568">
        <f t="shared" si="1"/>
        <v>1722000</v>
      </c>
      <c r="F46" s="568">
        <f t="shared" si="2"/>
        <v>20000</v>
      </c>
      <c r="G46" s="568">
        <f t="shared" si="6"/>
        <v>657561.88860059273</v>
      </c>
      <c r="H46" s="562">
        <f t="shared" si="3"/>
        <v>2000000</v>
      </c>
      <c r="I46" s="562">
        <f>IF(C46="","",SUM($F$14:F45,H46))</f>
        <v>2590000</v>
      </c>
      <c r="J46" s="560">
        <f t="shared" si="4"/>
        <v>1874000</v>
      </c>
      <c r="K46" s="150"/>
      <c r="L46" s="1237"/>
      <c r="M46" s="1386">
        <f>IF(B46="","",IF($O$6="M",VLOOKUP($O$11,'TABCV(Male)'!$A$2:$CZ$431,ตารางแสดงผลประโยชน์!C46+4,FALSE),IF($O$6="F",VLOOKUP($O$11,'TABCV(Female)'!$A$2:$CZ$431,ตารางแสดงผลประโยชน์!C46+4,FALSE))))</f>
        <v>1874</v>
      </c>
      <c r="N46" s="1644">
        <f t="shared" ref="N46:N68" si="7">IF(C46&lt;=5,0.01,IF(AND(C46&gt;5,B46&lt;79),0.02,IF(B46=79,2,"")))</f>
        <v>0.02</v>
      </c>
      <c r="O46" s="1644"/>
      <c r="P46" s="1644"/>
    </row>
    <row r="47" spans="1:16" s="16" customFormat="1" ht="30" customHeight="1">
      <c r="A47" s="145"/>
      <c r="B47" s="557">
        <f>IF(B46="","",IF(กรอกข้อมูล!$C$5+C46&gt;79,"",กรอกข้อมูล!$C$5+C46))</f>
        <v>77</v>
      </c>
      <c r="C47" s="557">
        <f t="shared" si="5"/>
        <v>34</v>
      </c>
      <c r="D47" s="558">
        <f>IF(กรอกข้อมูล!$E$70="no",0,IF(B47="","",IF(C47&lt;=$N$9,กรอกข้อมูล!$I$19,0)))</f>
        <v>0</v>
      </c>
      <c r="E47" s="568">
        <f t="shared" ref="E47:E68" si="8">IF(C47="","",E46+D47)</f>
        <v>1722000</v>
      </c>
      <c r="F47" s="568">
        <f t="shared" si="2"/>
        <v>20000</v>
      </c>
      <c r="G47" s="568">
        <f t="shared" si="6"/>
        <v>680849.69804359565</v>
      </c>
      <c r="H47" s="562">
        <f t="shared" si="3"/>
        <v>2000000</v>
      </c>
      <c r="I47" s="562">
        <f>IF(C47="","",SUM($F$14:F46,H47))</f>
        <v>2610000</v>
      </c>
      <c r="J47" s="560">
        <f t="shared" si="4"/>
        <v>1907000</v>
      </c>
      <c r="K47" s="150"/>
      <c r="L47" s="1237"/>
      <c r="M47" s="1386">
        <f>IF(B47="","",IF($O$6="M",VLOOKUP($O$11,'TABCV(Male)'!$A$2:$CZ$431,ตารางแสดงผลประโยชน์!C47+4,FALSE),IF($O$6="F",VLOOKUP($O$11,'TABCV(Female)'!$A$2:$CZ$431,ตารางแสดงผลประโยชน์!C47+4,FALSE))))</f>
        <v>1907</v>
      </c>
      <c r="N47" s="1644">
        <f t="shared" si="7"/>
        <v>0.02</v>
      </c>
      <c r="O47" s="1644"/>
      <c r="P47" s="1644"/>
    </row>
    <row r="48" spans="1:16" s="16" customFormat="1" ht="30" customHeight="1">
      <c r="A48" s="145"/>
      <c r="B48" s="557">
        <f>IF(B47="","",IF(กรอกข้อมูล!$C$5+C47&gt;79,"",กรอกข้อมูล!$C$5+C47))</f>
        <v>78</v>
      </c>
      <c r="C48" s="557">
        <f t="shared" si="5"/>
        <v>35</v>
      </c>
      <c r="D48" s="558">
        <f>IF(กรอกข้อมูล!$E$70="no",0,IF(B48="","",IF(C48&lt;=$N$9,กรอกข้อมูล!$I$19,0)))</f>
        <v>0</v>
      </c>
      <c r="E48" s="568">
        <f t="shared" si="8"/>
        <v>1722000</v>
      </c>
      <c r="F48" s="568">
        <f t="shared" si="2"/>
        <v>20000</v>
      </c>
      <c r="G48" s="568">
        <f t="shared" si="6"/>
        <v>704253.94653381361</v>
      </c>
      <c r="H48" s="562">
        <f t="shared" si="3"/>
        <v>2000000</v>
      </c>
      <c r="I48" s="562">
        <f>IF(C48="","",SUM($F$14:F47,H48))</f>
        <v>2630000</v>
      </c>
      <c r="J48" s="560">
        <f t="shared" si="4"/>
        <v>1942000</v>
      </c>
      <c r="K48" s="150"/>
      <c r="L48" s="1237"/>
      <c r="M48" s="1386">
        <f>IF(B48="","",IF($O$6="M",VLOOKUP($O$11,'TABCV(Male)'!$A$2:$CZ$431,ตารางแสดงผลประโยชน์!C48+4,FALSE),IF($O$6="F",VLOOKUP($O$11,'TABCV(Female)'!$A$2:$CZ$431,ตารางแสดงผลประโยชน์!C48+4,FALSE))))</f>
        <v>1942</v>
      </c>
      <c r="N48" s="1644">
        <f t="shared" si="7"/>
        <v>0.02</v>
      </c>
      <c r="O48" s="1644"/>
      <c r="P48" s="1644"/>
    </row>
    <row r="49" spans="1:16" s="16" customFormat="1" ht="30" customHeight="1">
      <c r="A49" s="145"/>
      <c r="B49" s="563">
        <f>IF(B48="","",IF(กรอกข้อมูล!$C$5+C48&gt;79,"",กรอกข้อมูล!$C$5+C48))</f>
        <v>79</v>
      </c>
      <c r="C49" s="569">
        <f t="shared" si="5"/>
        <v>36</v>
      </c>
      <c r="D49" s="565">
        <f>IF(กรอกข้อมูล!$E$70="no",0,IF(B49="","",IF(C49&lt;=$N$9,กรอกข้อมูล!$I$19,0)))</f>
        <v>0</v>
      </c>
      <c r="E49" s="565">
        <f t="shared" si="8"/>
        <v>1722000</v>
      </c>
      <c r="F49" s="565">
        <f t="shared" si="2"/>
        <v>2000000</v>
      </c>
      <c r="G49" s="565">
        <f t="shared" si="6"/>
        <v>2707775.2162664826</v>
      </c>
      <c r="H49" s="567">
        <f t="shared" si="3"/>
        <v>2000000</v>
      </c>
      <c r="I49" s="567">
        <f>IF(C49="","",SUM($F$14:F48,H49))</f>
        <v>2650000</v>
      </c>
      <c r="J49" s="566">
        <f t="shared" si="4"/>
        <v>2000000</v>
      </c>
      <c r="K49" s="150"/>
      <c r="L49" s="1237"/>
      <c r="M49" s="1386">
        <f>IF(B49="","",IF($O$6="M",VLOOKUP($O$11,'TABCV(Male)'!$A$2:$CZ$431,ตารางแสดงผลประโยชน์!C49+4,FALSE),IF($O$6="F",VLOOKUP($O$11,'TABCV(Female)'!$A$2:$CZ$431,ตารางแสดงผลประโยชน์!C49+4,FALSE))))</f>
        <v>2000</v>
      </c>
      <c r="N49" s="1644">
        <f t="shared" si="7"/>
        <v>2</v>
      </c>
      <c r="O49" s="1644"/>
      <c r="P49" s="1644"/>
    </row>
    <row r="50" spans="1:16" s="16" customFormat="1" ht="30" customHeight="1">
      <c r="A50" s="145"/>
      <c r="B50" s="563" t="str">
        <f>IF(B49="","",IF(กรอกข้อมูล!$C$5+C49&gt;79,"",กรอกข้อมูล!$C$5+C49))</f>
        <v/>
      </c>
      <c r="C50" s="569" t="str">
        <f t="shared" si="5"/>
        <v/>
      </c>
      <c r="D50" s="565" t="str">
        <f>IF(กรอกข้อมูล!$E$70="no",0,IF(B50="","",IF(C50&lt;=$N$9,กรอกข้อมูล!$I$19,0)))</f>
        <v/>
      </c>
      <c r="E50" s="565" t="str">
        <f t="shared" si="8"/>
        <v/>
      </c>
      <c r="F50" s="565" t="str">
        <f t="shared" si="2"/>
        <v/>
      </c>
      <c r="G50" s="565" t="str">
        <f t="shared" si="6"/>
        <v/>
      </c>
      <c r="H50" s="567" t="str">
        <f t="shared" si="3"/>
        <v/>
      </c>
      <c r="I50" s="567" t="str">
        <f>IF(C50="","",SUM($F$14:F49,H50))</f>
        <v/>
      </c>
      <c r="J50" s="566" t="str">
        <f t="shared" si="4"/>
        <v/>
      </c>
      <c r="K50" s="150"/>
      <c r="L50" s="1237"/>
      <c r="M50" s="1386" t="str">
        <f>IF(B50="","",IF($O$6="M",VLOOKUP($O$11,'TABCV(Male)'!$A$2:$CZ$431,ตารางแสดงผลประโยชน์!C50+4,FALSE),IF($O$6="F",VLOOKUP($O$11,'TABCV(Female)'!$A$2:$CZ$431,ตารางแสดงผลประโยชน์!C50+4,FALSE))))</f>
        <v/>
      </c>
      <c r="N50" s="1644" t="str">
        <f t="shared" si="7"/>
        <v/>
      </c>
      <c r="O50" s="1644"/>
      <c r="P50" s="1644"/>
    </row>
    <row r="51" spans="1:16" s="16" customFormat="1" ht="30" customHeight="1">
      <c r="A51" s="145"/>
      <c r="B51" s="563" t="str">
        <f>IF(B50="","",IF(กรอกข้อมูล!$C$5+C50&gt;79,"",กรอกข้อมูล!$C$5+C50))</f>
        <v/>
      </c>
      <c r="C51" s="569" t="str">
        <f t="shared" si="5"/>
        <v/>
      </c>
      <c r="D51" s="565" t="str">
        <f>IF(กรอกข้อมูล!$E$70="no",0,IF(B51="","",IF(C51&lt;=$N$9,กรอกข้อมูล!$I$19,0)))</f>
        <v/>
      </c>
      <c r="E51" s="565" t="str">
        <f t="shared" si="8"/>
        <v/>
      </c>
      <c r="F51" s="565" t="str">
        <f t="shared" si="2"/>
        <v/>
      </c>
      <c r="G51" s="565" t="str">
        <f t="shared" si="6"/>
        <v/>
      </c>
      <c r="H51" s="567" t="str">
        <f t="shared" si="3"/>
        <v/>
      </c>
      <c r="I51" s="567" t="str">
        <f>IF(C51="","",SUM($F$14:F50,H51))</f>
        <v/>
      </c>
      <c r="J51" s="566" t="str">
        <f t="shared" si="4"/>
        <v/>
      </c>
      <c r="K51" s="150"/>
      <c r="L51" s="1237"/>
      <c r="M51" s="1386" t="str">
        <f>IF(B51="","",IF($O$6="M",VLOOKUP($O$11,'TABCV(Male)'!$A$2:$CZ$431,ตารางแสดงผลประโยชน์!C51+4,FALSE),IF($O$6="F",VLOOKUP($O$11,'TABCV(Female)'!$A$2:$CZ$431,ตารางแสดงผลประโยชน์!C51+4,FALSE))))</f>
        <v/>
      </c>
      <c r="N51" s="1644" t="str">
        <f t="shared" si="7"/>
        <v/>
      </c>
      <c r="O51" s="1644"/>
      <c r="P51" s="1644"/>
    </row>
    <row r="52" spans="1:16" s="16" customFormat="1" ht="30" customHeight="1">
      <c r="A52" s="145"/>
      <c r="B52" s="563" t="str">
        <f>IF(B51="","",IF(กรอกข้อมูล!$C$5+C51&gt;79,"",กรอกข้อมูล!$C$5+C51))</f>
        <v/>
      </c>
      <c r="C52" s="569" t="str">
        <f t="shared" si="5"/>
        <v/>
      </c>
      <c r="D52" s="565" t="str">
        <f>IF(กรอกข้อมูล!$E$70="no",0,IF(B52="","",IF(C52&lt;=$N$9,กรอกข้อมูล!$I$19,0)))</f>
        <v/>
      </c>
      <c r="E52" s="565" t="str">
        <f t="shared" si="8"/>
        <v/>
      </c>
      <c r="F52" s="565" t="str">
        <f t="shared" si="2"/>
        <v/>
      </c>
      <c r="G52" s="565" t="str">
        <f t="shared" si="6"/>
        <v/>
      </c>
      <c r="H52" s="567" t="str">
        <f t="shared" si="3"/>
        <v/>
      </c>
      <c r="I52" s="567" t="str">
        <f>IF(C52="","",SUM($F$14:F51,H52))</f>
        <v/>
      </c>
      <c r="J52" s="566" t="str">
        <f t="shared" si="4"/>
        <v/>
      </c>
      <c r="K52" s="150"/>
      <c r="L52" s="1237"/>
      <c r="M52" s="1386" t="str">
        <f>IF(B52="","",IF($O$6="M",VLOOKUP($O$11,'TABCV(Male)'!$A$2:$CZ$431,ตารางแสดงผลประโยชน์!C52+4,FALSE),IF($O$6="F",VLOOKUP($O$11,'TABCV(Female)'!$A$2:$CZ$431,ตารางแสดงผลประโยชน์!C52+4,FALSE))))</f>
        <v/>
      </c>
      <c r="N52" s="1644" t="str">
        <f t="shared" si="7"/>
        <v/>
      </c>
      <c r="O52" s="1644"/>
      <c r="P52" s="1644"/>
    </row>
    <row r="53" spans="1:16" s="16" customFormat="1" ht="30" customHeight="1">
      <c r="A53" s="145"/>
      <c r="B53" s="563" t="str">
        <f>IF(B52="","",IF(กรอกข้อมูล!$C$5+C52&gt;79,"",กรอกข้อมูล!$C$5+C52))</f>
        <v/>
      </c>
      <c r="C53" s="569" t="str">
        <f t="shared" si="5"/>
        <v/>
      </c>
      <c r="D53" s="565" t="str">
        <f>IF(กรอกข้อมูล!$E$70="no",0,IF(B53="","",IF(C53&lt;=$N$9,กรอกข้อมูล!$I$19,0)))</f>
        <v/>
      </c>
      <c r="E53" s="565" t="str">
        <f t="shared" si="8"/>
        <v/>
      </c>
      <c r="F53" s="565" t="str">
        <f t="shared" si="2"/>
        <v/>
      </c>
      <c r="G53" s="565" t="str">
        <f t="shared" si="6"/>
        <v/>
      </c>
      <c r="H53" s="567" t="str">
        <f t="shared" si="3"/>
        <v/>
      </c>
      <c r="I53" s="567" t="str">
        <f>IF(C53="","",SUM($F$14:F52,H53))</f>
        <v/>
      </c>
      <c r="J53" s="566" t="str">
        <f t="shared" si="4"/>
        <v/>
      </c>
      <c r="K53" s="150"/>
      <c r="L53" s="1237"/>
      <c r="M53" s="1386" t="str">
        <f>IF(B53="","",IF($O$6="M",VLOOKUP($O$11,'TABCV(Male)'!$A$2:$CZ$431,ตารางแสดงผลประโยชน์!C53+4,FALSE),IF($O$6="F",VLOOKUP($O$11,'TABCV(Female)'!$A$2:$CZ$431,ตารางแสดงผลประโยชน์!C53+4,FALSE))))</f>
        <v/>
      </c>
      <c r="N53" s="1644" t="str">
        <f t="shared" si="7"/>
        <v/>
      </c>
      <c r="O53" s="1644"/>
      <c r="P53" s="1644"/>
    </row>
    <row r="54" spans="1:16" s="16" customFormat="1" ht="30" customHeight="1">
      <c r="A54" s="145"/>
      <c r="B54" s="556" t="str">
        <f>IF(B53="","",IF(กรอกข้อมูล!$C$5+C53&gt;79,"",กรอกข้อมูล!$C$5+C53))</f>
        <v/>
      </c>
      <c r="C54" s="557" t="str">
        <f t="shared" si="5"/>
        <v/>
      </c>
      <c r="D54" s="558" t="str">
        <f>IF(กรอกข้อมูล!$E$70="no",0,IF(B54="","",IF(C54&lt;=$N$9,กรอกข้อมูล!$I$19,0)))</f>
        <v/>
      </c>
      <c r="E54" s="561" t="str">
        <f t="shared" si="8"/>
        <v/>
      </c>
      <c r="F54" s="561" t="str">
        <f t="shared" si="2"/>
        <v/>
      </c>
      <c r="G54" s="561" t="str">
        <f t="shared" si="6"/>
        <v/>
      </c>
      <c r="H54" s="562" t="str">
        <f t="shared" si="3"/>
        <v/>
      </c>
      <c r="I54" s="562" t="str">
        <f>IF(C54="","",SUM($F$14:F53,H54))</f>
        <v/>
      </c>
      <c r="J54" s="560" t="str">
        <f t="shared" si="4"/>
        <v/>
      </c>
      <c r="K54" s="150"/>
      <c r="L54" s="1237"/>
      <c r="M54" s="1386" t="str">
        <f>IF(B54="","",IF($O$6="M",VLOOKUP($O$11,'TABCV(Male)'!$A$2:$CZ$431,ตารางแสดงผลประโยชน์!C54+4,FALSE),IF($O$6="F",VLOOKUP($O$11,'TABCV(Female)'!$A$2:$CZ$431,ตารางแสดงผลประโยชน์!C54+4,FALSE))))</f>
        <v/>
      </c>
      <c r="N54" s="1644" t="str">
        <f t="shared" si="7"/>
        <v/>
      </c>
      <c r="O54" s="1644"/>
      <c r="P54" s="1644"/>
    </row>
    <row r="55" spans="1:16" s="16" customFormat="1" ht="30" customHeight="1">
      <c r="A55" s="145"/>
      <c r="B55" s="556" t="str">
        <f>IF(B54="","",IF(กรอกข้อมูล!$C$5+C54&gt;79,"",กรอกข้อมูล!$C$5+C54))</f>
        <v/>
      </c>
      <c r="C55" s="557" t="str">
        <f t="shared" si="5"/>
        <v/>
      </c>
      <c r="D55" s="558" t="str">
        <f>IF(กรอกข้อมูล!$E$70="no",0,IF(B55="","",IF(C55&lt;=$N$9,กรอกข้อมูล!$I$19,0)))</f>
        <v/>
      </c>
      <c r="E55" s="561" t="str">
        <f t="shared" si="8"/>
        <v/>
      </c>
      <c r="F55" s="561" t="str">
        <f t="shared" si="2"/>
        <v/>
      </c>
      <c r="G55" s="561" t="str">
        <f t="shared" si="6"/>
        <v/>
      </c>
      <c r="H55" s="562" t="str">
        <f t="shared" si="3"/>
        <v/>
      </c>
      <c r="I55" s="562" t="str">
        <f>IF(C55="","",SUM($F$14:F54,H55))</f>
        <v/>
      </c>
      <c r="J55" s="560" t="str">
        <f t="shared" si="4"/>
        <v/>
      </c>
      <c r="K55" s="150"/>
      <c r="L55" s="1237"/>
      <c r="M55" s="1386" t="str">
        <f>IF(B55="","",IF($O$6="M",VLOOKUP($O$11,'TABCV(Male)'!$A$2:$CZ$431,ตารางแสดงผลประโยชน์!C55+4,FALSE),IF($O$6="F",VLOOKUP($O$11,'TABCV(Female)'!$A$2:$CZ$431,ตารางแสดงผลประโยชน์!C55+4,FALSE))))</f>
        <v/>
      </c>
      <c r="N55" s="1644" t="str">
        <f t="shared" si="7"/>
        <v/>
      </c>
      <c r="O55" s="1644"/>
      <c r="P55" s="1644"/>
    </row>
    <row r="56" spans="1:16" s="16" customFormat="1" ht="30" customHeight="1">
      <c r="A56" s="145"/>
      <c r="B56" s="556" t="str">
        <f>IF(B55="","",IF(กรอกข้อมูล!$C$5+C55&gt;79,"",กรอกข้อมูล!$C$5+C55))</f>
        <v/>
      </c>
      <c r="C56" s="557" t="str">
        <f t="shared" si="5"/>
        <v/>
      </c>
      <c r="D56" s="558" t="str">
        <f>IF(กรอกข้อมูล!$E$70="no",0,IF(B56="","",IF(C56&lt;=$N$9,กรอกข้อมูล!$I$19,0)))</f>
        <v/>
      </c>
      <c r="E56" s="561" t="str">
        <f t="shared" si="8"/>
        <v/>
      </c>
      <c r="F56" s="561" t="str">
        <f t="shared" si="2"/>
        <v/>
      </c>
      <c r="G56" s="561" t="str">
        <f t="shared" si="6"/>
        <v/>
      </c>
      <c r="H56" s="562" t="str">
        <f t="shared" si="3"/>
        <v/>
      </c>
      <c r="I56" s="562" t="str">
        <f>IF(C56="","",SUM($F$14:F55,H56))</f>
        <v/>
      </c>
      <c r="J56" s="560" t="str">
        <f t="shared" si="4"/>
        <v/>
      </c>
      <c r="K56" s="150"/>
      <c r="L56" s="1237"/>
      <c r="M56" s="1386" t="str">
        <f>IF(B56="","",IF($O$6="M",VLOOKUP($O$11,'TABCV(Male)'!$A$2:$CZ$431,ตารางแสดงผลประโยชน์!C56+4,FALSE),IF($O$6="F",VLOOKUP($O$11,'TABCV(Female)'!$A$2:$CZ$431,ตารางแสดงผลประโยชน์!C56+4,FALSE))))</f>
        <v/>
      </c>
      <c r="N56" s="1644" t="str">
        <f t="shared" si="7"/>
        <v/>
      </c>
      <c r="O56" s="1644"/>
      <c r="P56" s="1644"/>
    </row>
    <row r="57" spans="1:16" s="16" customFormat="1" ht="30" customHeight="1">
      <c r="A57" s="145"/>
      <c r="B57" s="556" t="str">
        <f>IF(B56="","",IF(กรอกข้อมูล!$C$5+C56&gt;79,"",กรอกข้อมูล!$C$5+C56))</f>
        <v/>
      </c>
      <c r="C57" s="557" t="str">
        <f t="shared" ref="C57" si="9">IF(B57="","",C56+1)</f>
        <v/>
      </c>
      <c r="D57" s="558" t="str">
        <f>IF(กรอกข้อมูล!$E$70="no",0,IF(B57="","",IF(C57&lt;=$N$9,กรอกข้อมูล!$I$19,0)))</f>
        <v/>
      </c>
      <c r="E57" s="561" t="str">
        <f t="shared" si="8"/>
        <v/>
      </c>
      <c r="F57" s="561" t="str">
        <f t="shared" si="2"/>
        <v/>
      </c>
      <c r="G57" s="561" t="str">
        <f t="shared" si="6"/>
        <v/>
      </c>
      <c r="H57" s="562" t="str">
        <f t="shared" si="3"/>
        <v/>
      </c>
      <c r="I57" s="562" t="str">
        <f>IF(C57="","",SUM($F$14:F56,H57))</f>
        <v/>
      </c>
      <c r="J57" s="560" t="str">
        <f t="shared" si="4"/>
        <v/>
      </c>
      <c r="K57" s="150"/>
      <c r="L57" s="1237"/>
      <c r="M57" s="1386" t="str">
        <f>IF(B57="","",IF($O$6="M",VLOOKUP($O$11,'TABCV(Male)'!$A$2:$CZ$431,ตารางแสดงผลประโยชน์!C57+4,FALSE),IF($O$6="F",VLOOKUP($O$11,'TABCV(Female)'!$A$2:$CZ$431,ตารางแสดงผลประโยชน์!C57+4,FALSE))))</f>
        <v/>
      </c>
      <c r="N57" s="1644" t="str">
        <f t="shared" si="7"/>
        <v/>
      </c>
      <c r="O57" s="1644"/>
      <c r="P57" s="1644"/>
    </row>
    <row r="58" spans="1:16" s="16" customFormat="1" ht="30" customHeight="1">
      <c r="A58" s="145"/>
      <c r="B58" s="556" t="str">
        <f>IF(B57="","",IF(กรอกข้อมูล!$C$5+C57&gt;79,"",กรอกข้อมูล!$C$5+C57))</f>
        <v/>
      </c>
      <c r="C58" s="557" t="str">
        <f t="shared" ref="C58:C68" si="10">IF(B58="","",C57+1)</f>
        <v/>
      </c>
      <c r="D58" s="558" t="str">
        <f>IF(กรอกข้อมูล!$E$70="no",0,IF(B58="","",IF(C58&lt;=$N$9,กรอกข้อมูล!$I$19,0)))</f>
        <v/>
      </c>
      <c r="E58" s="561" t="str">
        <f t="shared" si="8"/>
        <v/>
      </c>
      <c r="F58" s="561" t="str">
        <f t="shared" si="2"/>
        <v/>
      </c>
      <c r="G58" s="561" t="str">
        <f t="shared" si="6"/>
        <v/>
      </c>
      <c r="H58" s="562" t="str">
        <f>IF(C58="","",MAX(2*$N$8,101%*E58,J58))</f>
        <v/>
      </c>
      <c r="I58" s="562" t="str">
        <f>IF(C58="","",SUM($F$14:F57,H58))</f>
        <v/>
      </c>
      <c r="J58" s="560" t="str">
        <f t="shared" si="4"/>
        <v/>
      </c>
      <c r="K58" s="150"/>
      <c r="L58" s="1237"/>
      <c r="M58" s="1386" t="str">
        <f>IF(B58="","",IF($O$6="M",VLOOKUP($O$11,'TABCV(Male)'!$A$2:$CZ$431,ตารางแสดงผลประโยชน์!C58+4,FALSE),IF($O$6="F",VLOOKUP($O$11,'TABCV(Female)'!$A$2:$CZ$431,ตารางแสดงผลประโยชน์!C58+4,FALSE))))</f>
        <v/>
      </c>
      <c r="N58" s="1644" t="str">
        <f t="shared" si="7"/>
        <v/>
      </c>
      <c r="O58" s="1644"/>
      <c r="P58" s="1644"/>
    </row>
    <row r="59" spans="1:16" s="16" customFormat="1" ht="30" customHeight="1">
      <c r="A59" s="145"/>
      <c r="B59" s="1122" t="str">
        <f>IF(B58="","",IF(กรอกข้อมูล!$C$5+C58&gt;79,"",กรอกข้อมูล!$C$5+C58))</f>
        <v/>
      </c>
      <c r="C59" s="569" t="str">
        <f t="shared" si="10"/>
        <v/>
      </c>
      <c r="D59" s="565" t="str">
        <f>IF(กรอกข้อมูล!$E$70="no",0,IF(B59="","",IF(C59&lt;=$N$9,กรอกข้อมูล!$I$19,0)))</f>
        <v/>
      </c>
      <c r="E59" s="1123" t="str">
        <f t="shared" si="8"/>
        <v/>
      </c>
      <c r="F59" s="1123" t="str">
        <f t="shared" si="2"/>
        <v/>
      </c>
      <c r="G59" s="1123" t="str">
        <f t="shared" si="6"/>
        <v/>
      </c>
      <c r="H59" s="567" t="str">
        <f t="shared" si="3"/>
        <v/>
      </c>
      <c r="I59" s="567" t="str">
        <f>IF(C59="","",SUM($F$14:F58,H59))</f>
        <v/>
      </c>
      <c r="J59" s="566" t="str">
        <f t="shared" si="4"/>
        <v/>
      </c>
      <c r="K59" s="150"/>
      <c r="L59" s="1237"/>
      <c r="M59" s="1386" t="str">
        <f>IF(B59="","",IF($O$6="M",VLOOKUP($O$11,'TABCV(Male)'!$A$2:$CZ$431,ตารางแสดงผลประโยชน์!C59+4,FALSE),IF($O$6="F",VLOOKUP($O$11,'TABCV(Female)'!$A$2:$CZ$431,ตารางแสดงผลประโยชน์!C59+4,FALSE))))</f>
        <v/>
      </c>
      <c r="N59" s="1644" t="str">
        <f t="shared" si="7"/>
        <v/>
      </c>
      <c r="O59" s="1644"/>
      <c r="P59" s="1644"/>
    </row>
    <row r="60" spans="1:16" s="16" customFormat="1" ht="30" customHeight="1">
      <c r="A60" s="145"/>
      <c r="B60" s="1122" t="str">
        <f>IF(B59="","",IF(กรอกข้อมูล!$C$5+C59&gt;79,"",กรอกข้อมูล!$C$5+C59))</f>
        <v/>
      </c>
      <c r="C60" s="569" t="str">
        <f t="shared" si="10"/>
        <v/>
      </c>
      <c r="D60" s="565" t="str">
        <f>IF(กรอกข้อมูล!$E$70="no",0,IF(B60="","",IF(C60&lt;=$N$9,กรอกข้อมูล!$I$19,0)))</f>
        <v/>
      </c>
      <c r="E60" s="1123" t="str">
        <f t="shared" si="8"/>
        <v/>
      </c>
      <c r="F60" s="1123" t="str">
        <f t="shared" si="2"/>
        <v/>
      </c>
      <c r="G60" s="1123" t="str">
        <f t="shared" si="6"/>
        <v/>
      </c>
      <c r="H60" s="567" t="str">
        <f t="shared" si="3"/>
        <v/>
      </c>
      <c r="I60" s="567" t="str">
        <f>IF(C60="","",SUM($F$14:F59,H60))</f>
        <v/>
      </c>
      <c r="J60" s="566" t="str">
        <f t="shared" si="4"/>
        <v/>
      </c>
      <c r="K60" s="150"/>
      <c r="L60" s="1237"/>
      <c r="M60" s="1386" t="str">
        <f>IF(B60="","",IF($O$6="M",VLOOKUP($O$11,'TABCV(Male)'!$A$2:$CZ$431,ตารางแสดงผลประโยชน์!C60+4,FALSE),IF($O$6="F",VLOOKUP($O$11,'TABCV(Female)'!$A$2:$CZ$431,ตารางแสดงผลประโยชน์!C60+4,FALSE))))</f>
        <v/>
      </c>
      <c r="N60" s="1644" t="str">
        <f t="shared" si="7"/>
        <v/>
      </c>
      <c r="O60" s="1644"/>
      <c r="P60" s="1644"/>
    </row>
    <row r="61" spans="1:16" s="16" customFormat="1" ht="30" customHeight="1">
      <c r="A61" s="145"/>
      <c r="B61" s="1122" t="str">
        <f>IF(B60="","",IF(กรอกข้อมูล!$C$5+C60&gt;79,"",กรอกข้อมูล!$C$5+C60))</f>
        <v/>
      </c>
      <c r="C61" s="569" t="str">
        <f t="shared" si="10"/>
        <v/>
      </c>
      <c r="D61" s="565" t="str">
        <f>IF(กรอกข้อมูล!$E$70="no",0,IF(B61="","",IF(C61&lt;=$N$9,กรอกข้อมูล!$I$19,0)))</f>
        <v/>
      </c>
      <c r="E61" s="1123" t="str">
        <f t="shared" si="8"/>
        <v/>
      </c>
      <c r="F61" s="1123" t="str">
        <f t="shared" si="2"/>
        <v/>
      </c>
      <c r="G61" s="1123" t="str">
        <f t="shared" si="6"/>
        <v/>
      </c>
      <c r="H61" s="567" t="str">
        <f t="shared" si="3"/>
        <v/>
      </c>
      <c r="I61" s="567" t="str">
        <f>IF(C61="","",SUM($F$14:F60,H61))</f>
        <v/>
      </c>
      <c r="J61" s="566" t="str">
        <f t="shared" si="4"/>
        <v/>
      </c>
      <c r="K61" s="150"/>
      <c r="L61" s="1237"/>
      <c r="M61" s="1386" t="str">
        <f>IF(B61="","",IF($O$6="M",VLOOKUP($O$11,'TABCV(Male)'!$A$2:$CZ$431,ตารางแสดงผลประโยชน์!C61+4,FALSE),IF($O$6="F",VLOOKUP($O$11,'TABCV(Female)'!$A$2:$CZ$431,ตารางแสดงผลประโยชน์!C61+4,FALSE))))</f>
        <v/>
      </c>
      <c r="N61" s="1644" t="str">
        <f t="shared" si="7"/>
        <v/>
      </c>
      <c r="O61" s="1644"/>
      <c r="P61" s="1644"/>
    </row>
    <row r="62" spans="1:16" s="16" customFormat="1" ht="30" customHeight="1">
      <c r="A62" s="145"/>
      <c r="B62" s="1122" t="str">
        <f>IF(B61="","",IF(กรอกข้อมูล!$C$5+C61&gt;79,"",กรอกข้อมูล!$C$5+C61))</f>
        <v/>
      </c>
      <c r="C62" s="569" t="str">
        <f t="shared" si="10"/>
        <v/>
      </c>
      <c r="D62" s="565" t="str">
        <f>IF(กรอกข้อมูล!$E$70="no",0,IF(B62="","",IF(C62&lt;=$N$9,กรอกข้อมูล!$I$19,0)))</f>
        <v/>
      </c>
      <c r="E62" s="1123" t="str">
        <f t="shared" si="8"/>
        <v/>
      </c>
      <c r="F62" s="1123" t="str">
        <f t="shared" si="2"/>
        <v/>
      </c>
      <c r="G62" s="1123" t="str">
        <f t="shared" si="6"/>
        <v/>
      </c>
      <c r="H62" s="567" t="str">
        <f t="shared" si="3"/>
        <v/>
      </c>
      <c r="I62" s="567" t="str">
        <f>IF(C62="","",SUM($F$14:F61,H62))</f>
        <v/>
      </c>
      <c r="J62" s="566" t="str">
        <f t="shared" si="4"/>
        <v/>
      </c>
      <c r="K62" s="150"/>
      <c r="L62" s="1237"/>
      <c r="M62" s="1386" t="str">
        <f>IF(B62="","",IF($O$6="M",VLOOKUP($O$11,'TABCV(Male)'!$A$2:$CZ$431,ตารางแสดงผลประโยชน์!C62+4,FALSE),IF($O$6="F",VLOOKUP($O$11,'TABCV(Female)'!$A$2:$CZ$431,ตารางแสดงผลประโยชน์!C62+4,FALSE))))</f>
        <v/>
      </c>
      <c r="N62" s="1644" t="str">
        <f t="shared" si="7"/>
        <v/>
      </c>
      <c r="O62" s="1644"/>
      <c r="P62" s="1644"/>
    </row>
    <row r="63" spans="1:16" s="16" customFormat="1" ht="30" customHeight="1">
      <c r="A63" s="145"/>
      <c r="B63" s="1122" t="str">
        <f>IF(B62="","",IF(กรอกข้อมูล!$C$5+C62&gt;79,"",กรอกข้อมูล!$C$5+C62))</f>
        <v/>
      </c>
      <c r="C63" s="569" t="str">
        <f t="shared" si="10"/>
        <v/>
      </c>
      <c r="D63" s="565" t="str">
        <f>IF(กรอกข้อมูล!$E$70="no",0,IF(B63="","",IF(C63&lt;=$N$9,กรอกข้อมูล!$I$19,0)))</f>
        <v/>
      </c>
      <c r="E63" s="1123" t="str">
        <f t="shared" si="8"/>
        <v/>
      </c>
      <c r="F63" s="1123" t="str">
        <f t="shared" si="2"/>
        <v/>
      </c>
      <c r="G63" s="1123" t="str">
        <f t="shared" si="6"/>
        <v/>
      </c>
      <c r="H63" s="567" t="str">
        <f t="shared" si="3"/>
        <v/>
      </c>
      <c r="I63" s="567" t="str">
        <f>IF(C63="","",SUM($F$14:F62,H63))</f>
        <v/>
      </c>
      <c r="J63" s="566" t="str">
        <f t="shared" si="4"/>
        <v/>
      </c>
      <c r="K63" s="150"/>
      <c r="L63" s="1237"/>
      <c r="M63" s="1386" t="str">
        <f>IF(B63="","",IF($O$6="M",VLOOKUP($O$11,'TABCV(Male)'!$A$2:$CZ$431,ตารางแสดงผลประโยชน์!C63+4,FALSE),IF($O$6="F",VLOOKUP($O$11,'TABCV(Female)'!$A$2:$CZ$431,ตารางแสดงผลประโยชน์!C63+4,FALSE))))</f>
        <v/>
      </c>
      <c r="N63" s="1644" t="str">
        <f t="shared" si="7"/>
        <v/>
      </c>
      <c r="O63" s="1644"/>
    </row>
    <row r="64" spans="1:16" s="16" customFormat="1" ht="30" customHeight="1">
      <c r="A64" s="145"/>
      <c r="B64" s="1122" t="str">
        <f>IF(B63="","",IF(กรอกข้อมูล!$C$5+C63&gt;79,"",กรอกข้อมูล!$C$5+C63))</f>
        <v/>
      </c>
      <c r="C64" s="569" t="str">
        <f t="shared" si="10"/>
        <v/>
      </c>
      <c r="D64" s="565" t="str">
        <f>IF(กรอกข้อมูล!$E$70="no",0,IF(B64="","",IF(C64&lt;=$N$9,กรอกข้อมูล!$I$19,0)))</f>
        <v/>
      </c>
      <c r="E64" s="1123" t="str">
        <f t="shared" si="8"/>
        <v/>
      </c>
      <c r="F64" s="1123" t="str">
        <f t="shared" si="2"/>
        <v/>
      </c>
      <c r="G64" s="1123" t="str">
        <f t="shared" si="6"/>
        <v/>
      </c>
      <c r="H64" s="567" t="str">
        <f t="shared" si="3"/>
        <v/>
      </c>
      <c r="I64" s="567" t="str">
        <f>IF(C64="","",SUM($F$14:F63,H64))</f>
        <v/>
      </c>
      <c r="J64" s="566" t="str">
        <f t="shared" si="4"/>
        <v/>
      </c>
      <c r="K64" s="150"/>
      <c r="L64" s="1237"/>
      <c r="M64" s="1386" t="str">
        <f>IF(B64="","",IF($O$6="M",VLOOKUP($O$11,'TABCV(Male)'!$A$2:$CZ$431,ตารางแสดงผลประโยชน์!C64+4,FALSE),IF($O$6="F",VLOOKUP($O$11,'TABCV(Female)'!$A$2:$CZ$431,ตารางแสดงผลประโยชน์!C64+4,FALSE))))</f>
        <v/>
      </c>
      <c r="N64" s="1644" t="str">
        <f t="shared" si="7"/>
        <v/>
      </c>
      <c r="O64" s="1383"/>
    </row>
    <row r="65" spans="1:28" s="16" customFormat="1" ht="30" customHeight="1">
      <c r="A65" s="145"/>
      <c r="B65" s="1122" t="str">
        <f>IF(B64="","",IF(กรอกข้อมูล!$C$5+C64&gt;79,"",กรอกข้อมูล!$C$5+C64))</f>
        <v/>
      </c>
      <c r="C65" s="569" t="str">
        <f t="shared" si="10"/>
        <v/>
      </c>
      <c r="D65" s="565" t="str">
        <f>IF(กรอกข้อมูล!$E$70="no",0,IF(B65="","",IF(C65&lt;=$N$9,กรอกข้อมูล!$I$19,0)))</f>
        <v/>
      </c>
      <c r="E65" s="1123" t="str">
        <f t="shared" si="8"/>
        <v/>
      </c>
      <c r="F65" s="1123" t="str">
        <f t="shared" si="2"/>
        <v/>
      </c>
      <c r="G65" s="1123" t="str">
        <f t="shared" si="6"/>
        <v/>
      </c>
      <c r="H65" s="567" t="str">
        <f t="shared" si="3"/>
        <v/>
      </c>
      <c r="I65" s="567" t="str">
        <f>IF(C65="","",SUM($F$14:F64,H65))</f>
        <v/>
      </c>
      <c r="J65" s="566" t="str">
        <f t="shared" si="4"/>
        <v/>
      </c>
      <c r="K65" s="150"/>
      <c r="L65" s="1237"/>
      <c r="M65" s="1386" t="str">
        <f>IF(B65="","",IF($O$6="M",VLOOKUP($O$11,'TABCV(Male)'!$A$2:$CZ$431,ตารางแสดงผลประโยชน์!C65+4,FALSE),IF($O$6="F",VLOOKUP($O$11,'TABCV(Female)'!$A$2:$CZ$431,ตารางแสดงผลประโยชน์!C65+4,FALSE))))</f>
        <v/>
      </c>
      <c r="N65" s="1644" t="str">
        <f t="shared" si="7"/>
        <v/>
      </c>
      <c r="O65" s="1383"/>
    </row>
    <row r="66" spans="1:28" s="16" customFormat="1" ht="30" customHeight="1">
      <c r="A66" s="145"/>
      <c r="B66" s="1122" t="str">
        <f>IF(B65="","",IF(กรอกข้อมูล!$C$5+C65&gt;79,"",กรอกข้อมูล!$C$5+C65))</f>
        <v/>
      </c>
      <c r="C66" s="569" t="str">
        <f t="shared" si="10"/>
        <v/>
      </c>
      <c r="D66" s="565" t="str">
        <f>IF(กรอกข้อมูล!$E$70="no",0,IF(B66="","",IF(C66&lt;=$N$9,กรอกข้อมูล!$I$19,0)))</f>
        <v/>
      </c>
      <c r="E66" s="1123" t="str">
        <f t="shared" si="8"/>
        <v/>
      </c>
      <c r="F66" s="1123" t="str">
        <f t="shared" si="2"/>
        <v/>
      </c>
      <c r="G66" s="1123" t="str">
        <f t="shared" si="6"/>
        <v/>
      </c>
      <c r="H66" s="567" t="str">
        <f t="shared" si="3"/>
        <v/>
      </c>
      <c r="I66" s="567" t="str">
        <f>IF(C66="","",SUM($F$14:F65,H66))</f>
        <v/>
      </c>
      <c r="J66" s="566" t="str">
        <f t="shared" si="4"/>
        <v/>
      </c>
      <c r="K66" s="150"/>
      <c r="L66" s="1237"/>
      <c r="M66" s="1386" t="str">
        <f>IF(B66="","",IF($O$6="M",VLOOKUP($O$11,'TABCV(Male)'!$A$2:$CZ$431,ตารางแสดงผลประโยชน์!C66+4,FALSE),IF($O$6="F",VLOOKUP($O$11,'TABCV(Female)'!$A$2:$CZ$431,ตารางแสดงผลประโยชน์!C66+4,FALSE))))</f>
        <v/>
      </c>
      <c r="N66" s="1644" t="str">
        <f t="shared" si="7"/>
        <v/>
      </c>
      <c r="O66" s="1383"/>
    </row>
    <row r="67" spans="1:28" s="16" customFormat="1" ht="30" customHeight="1">
      <c r="A67" s="145"/>
      <c r="B67" s="1122" t="str">
        <f>IF(B66="","",IF(กรอกข้อมูล!$C$5+C66&gt;79,"",กรอกข้อมูล!$C$5+C66))</f>
        <v/>
      </c>
      <c r="C67" s="569" t="str">
        <f t="shared" si="10"/>
        <v/>
      </c>
      <c r="D67" s="565" t="str">
        <f>IF(กรอกข้อมูล!$E$70="no",0,IF(B67="","",IF(C67&lt;=$N$9,กรอกข้อมูล!$I$19,0)))</f>
        <v/>
      </c>
      <c r="E67" s="1123" t="str">
        <f t="shared" si="8"/>
        <v/>
      </c>
      <c r="F67" s="1123" t="str">
        <f t="shared" si="2"/>
        <v/>
      </c>
      <c r="G67" s="1123" t="str">
        <f t="shared" si="6"/>
        <v/>
      </c>
      <c r="H67" s="567" t="str">
        <f t="shared" si="3"/>
        <v/>
      </c>
      <c r="I67" s="567" t="str">
        <f>IF(C67="","",SUM($F$14:F66,H67))</f>
        <v/>
      </c>
      <c r="J67" s="566" t="str">
        <f t="shared" si="4"/>
        <v/>
      </c>
      <c r="K67" s="150"/>
      <c r="L67" s="1237"/>
      <c r="M67" s="1386" t="str">
        <f>IF(B67="","",IF($O$6="M",VLOOKUP($O$11,'TABCV(Male)'!$A$2:$CZ$431,ตารางแสดงผลประโยชน์!C67+4,FALSE),IF($O$6="F",VLOOKUP($O$11,'TABCV(Female)'!$A$2:$CZ$431,ตารางแสดงผลประโยชน์!C67+4,FALSE))))</f>
        <v/>
      </c>
      <c r="N67" s="1644" t="str">
        <f t="shared" si="7"/>
        <v/>
      </c>
      <c r="O67" s="1383"/>
    </row>
    <row r="68" spans="1:28" s="16" customFormat="1" ht="30" customHeight="1">
      <c r="A68" s="145"/>
      <c r="B68" s="1125" t="str">
        <f>IF(B67="","",IF(กรอกข้อมูล!$C$5+C67&gt;79,"",กรอกข้อมูล!$C$5+C67))</f>
        <v/>
      </c>
      <c r="C68" s="1126" t="str">
        <f t="shared" si="10"/>
        <v/>
      </c>
      <c r="D68" s="1127" t="str">
        <f>IF(กรอกข้อมูล!$E$70="no",0,IF(B68="","",IF(C68&lt;=$N$9,กรอกข้อมูล!$I$19,0)))</f>
        <v/>
      </c>
      <c r="E68" s="1128" t="str">
        <f t="shared" si="8"/>
        <v/>
      </c>
      <c r="F68" s="1128" t="str">
        <f t="shared" si="2"/>
        <v/>
      </c>
      <c r="G68" s="1128" t="str">
        <f t="shared" si="6"/>
        <v/>
      </c>
      <c r="H68" s="1130" t="str">
        <f t="shared" si="3"/>
        <v/>
      </c>
      <c r="I68" s="1130" t="str">
        <f>IF(C68="","",SUM($F$14:F67,H68))</f>
        <v/>
      </c>
      <c r="J68" s="1129" t="str">
        <f t="shared" si="4"/>
        <v/>
      </c>
      <c r="K68" s="150"/>
      <c r="L68" s="1237"/>
      <c r="M68" s="1386" t="str">
        <f>IF(B68="","",IF($O$6="M",VLOOKUP($O$11,'TABCV(Male)'!$A$2:$CZ$431,ตารางแสดงผลประโยชน์!C68+4,FALSE),IF($O$6="F",VLOOKUP($O$11,'TABCV(Female)'!$A$2:$CZ$431,ตารางแสดงผลประโยชน์!C68+4,FALSE))))</f>
        <v/>
      </c>
      <c r="N68" s="1644" t="str">
        <f t="shared" si="7"/>
        <v/>
      </c>
      <c r="O68" s="1383"/>
    </row>
    <row r="69" spans="1:28" s="16" customFormat="1" ht="30" customHeight="1" thickBot="1">
      <c r="A69" s="145"/>
      <c r="B69" s="576"/>
      <c r="C69" s="576"/>
      <c r="D69" s="1660" t="s">
        <v>2359</v>
      </c>
      <c r="E69" s="1659"/>
      <c r="F69" s="1662">
        <f>SUM($F$14:$F$68)</f>
        <v>2650000</v>
      </c>
      <c r="G69" s="1662">
        <f>MAX($G$14:$G$68)</f>
        <v>2707775.2162664826</v>
      </c>
      <c r="H69" s="1661"/>
      <c r="I69" s="580"/>
      <c r="J69" s="571"/>
      <c r="K69" s="150"/>
      <c r="L69" s="1237"/>
      <c r="M69" s="1383"/>
      <c r="N69" s="1383"/>
      <c r="O69" s="1383"/>
    </row>
    <row r="70" spans="1:28" s="16" customFormat="1" ht="30" customHeight="1" thickTop="1">
      <c r="A70" s="145"/>
      <c r="B70" s="576"/>
      <c r="C70" s="576"/>
      <c r="D70" s="577"/>
      <c r="E70" s="578"/>
      <c r="F70" s="578"/>
      <c r="G70" s="578"/>
      <c r="H70" s="579"/>
      <c r="I70" s="580"/>
      <c r="J70" s="571"/>
      <c r="K70" s="150"/>
      <c r="L70" s="1237"/>
      <c r="M70" s="1383"/>
      <c r="N70" s="1383"/>
      <c r="O70" s="1383"/>
    </row>
    <row r="71" spans="1:28" ht="18.75" customHeight="1">
      <c r="A71" s="133"/>
      <c r="B71" s="144" t="s">
        <v>860</v>
      </c>
      <c r="C71" s="147"/>
      <c r="D71" s="570" t="s">
        <v>1317</v>
      </c>
      <c r="E71" s="140"/>
      <c r="F71" s="140"/>
      <c r="G71" s="140"/>
      <c r="H71" s="140"/>
      <c r="I71" s="140"/>
      <c r="J71" s="140"/>
      <c r="K71" s="137"/>
      <c r="L71" s="1240"/>
      <c r="M71" s="1387"/>
      <c r="N71" s="1379"/>
      <c r="O71" s="1379"/>
      <c r="P71" s="9"/>
    </row>
    <row r="72" spans="1:28" ht="18.75" customHeight="1">
      <c r="A72" s="133"/>
      <c r="B72" s="581"/>
      <c r="C72" s="582"/>
      <c r="D72" s="570" t="s">
        <v>759</v>
      </c>
      <c r="E72" s="140"/>
      <c r="F72" s="140"/>
      <c r="G72" s="140"/>
      <c r="H72" s="140"/>
      <c r="I72" s="140"/>
      <c r="J72" s="140"/>
      <c r="K72" s="137"/>
      <c r="L72" s="1240"/>
      <c r="M72" s="1387"/>
      <c r="N72" s="1379"/>
      <c r="O72" s="1379"/>
      <c r="P72" s="9"/>
    </row>
    <row r="73" spans="1:28" ht="15">
      <c r="A73" s="133"/>
      <c r="B73" s="581"/>
      <c r="C73" s="582"/>
      <c r="D73" s="570" t="s">
        <v>2384</v>
      </c>
      <c r="E73" s="140"/>
      <c r="F73" s="140"/>
      <c r="G73" s="140"/>
      <c r="H73" s="140"/>
      <c r="I73" s="140"/>
      <c r="J73" s="140"/>
      <c r="K73" s="137"/>
      <c r="L73" s="1240"/>
      <c r="M73" s="1387"/>
      <c r="N73" s="1388"/>
      <c r="O73" s="1388"/>
      <c r="P73" s="408"/>
      <c r="Q73" s="408"/>
      <c r="R73" s="408"/>
      <c r="S73" s="408"/>
      <c r="T73" s="408"/>
      <c r="U73" s="408"/>
      <c r="V73" s="408"/>
      <c r="W73" s="408"/>
      <c r="X73" s="408"/>
      <c r="Y73" s="408"/>
      <c r="Z73" s="408"/>
      <c r="AA73" s="408"/>
      <c r="AB73" s="408"/>
    </row>
    <row r="74" spans="1:28" ht="15">
      <c r="A74" s="133"/>
      <c r="B74" s="581"/>
      <c r="C74" s="582"/>
      <c r="D74" s="570" t="s">
        <v>2375</v>
      </c>
      <c r="E74" s="140"/>
      <c r="F74" s="140"/>
      <c r="G74" s="140"/>
      <c r="H74" s="140"/>
      <c r="I74" s="140"/>
      <c r="J74" s="140"/>
      <c r="K74" s="137"/>
      <c r="L74" s="1240"/>
      <c r="M74" s="1387"/>
      <c r="N74" s="1388"/>
      <c r="O74" s="1388"/>
      <c r="P74" s="408"/>
      <c r="Q74" s="408"/>
      <c r="R74" s="408"/>
      <c r="S74" s="408"/>
      <c r="T74" s="408"/>
      <c r="U74" s="408"/>
      <c r="V74" s="408"/>
      <c r="W74" s="408"/>
      <c r="X74" s="408"/>
      <c r="Y74" s="408"/>
      <c r="Z74" s="408"/>
      <c r="AA74" s="408"/>
      <c r="AB74" s="408"/>
    </row>
    <row r="75" spans="1:28" s="16" customFormat="1" ht="69" customHeight="1">
      <c r="A75" s="145"/>
      <c r="B75" s="2064" t="s">
        <v>2429</v>
      </c>
      <c r="C75" s="2064"/>
      <c r="D75" s="2064"/>
      <c r="E75" s="2064"/>
      <c r="F75" s="2064"/>
      <c r="G75" s="2064"/>
      <c r="H75" s="2064"/>
      <c r="I75" s="2064"/>
      <c r="J75" s="2064"/>
      <c r="K75" s="2065"/>
      <c r="L75" s="1237"/>
      <c r="M75" s="1383"/>
      <c r="N75" s="1389"/>
      <c r="O75" s="1392"/>
      <c r="P75" s="15"/>
    </row>
    <row r="76" spans="1:28" ht="35.25" customHeight="1">
      <c r="A76" s="133"/>
      <c r="B76" s="2062" t="str">
        <f>"โปรแกรมใบข้อเสนอนี้ใช้สำหรับแบบประกัน "&amp;กรอกข้อมูล!E65&amp;" ที่เสนอขายตั้งแต่ "&amp;กรอกข้อมูล!E63&amp;" หรือตามประกาศยกเลิกการใช้จากบริษัทฯ (แล้วแต่ระยะเวลาใดจะเกิดขึ้นก่อน)"</f>
        <v>โปรแกรมใบข้อเสนอนี้ใช้สำหรับแบบประกัน ไอสมาร์ท 80/6 (ไม่มีเงินปันผล) ที่เสนอขายตั้งแต่ 1 มกราคม 2569 ถึง 31 มีนาคม 2570 หรือตามประกาศยกเลิกการใช้จากบริษัทฯ (แล้วแต่ระยะเวลาใดจะเกิดขึ้นก่อน)</v>
      </c>
      <c r="C76" s="2062"/>
      <c r="D76" s="2062"/>
      <c r="E76" s="2062"/>
      <c r="F76" s="2062"/>
      <c r="G76" s="2062"/>
      <c r="H76" s="2062"/>
      <c r="I76" s="2062"/>
      <c r="J76" s="2062"/>
      <c r="K76" s="2063"/>
      <c r="M76" s="1379"/>
      <c r="N76" s="1390"/>
      <c r="O76" s="1390"/>
      <c r="P76" s="9"/>
    </row>
    <row r="77" spans="1:28" ht="20.149999999999999" customHeight="1">
      <c r="A77" s="133"/>
      <c r="B77" s="151"/>
      <c r="C77" s="168"/>
      <c r="D77" s="168"/>
      <c r="E77" s="168"/>
      <c r="F77" s="168"/>
      <c r="G77" s="168"/>
      <c r="H77" s="169"/>
      <c r="I77" s="583" t="str">
        <f>กรอกข้อมูล!E65&amp;" เวอร์ชั่น "&amp;กรอกข้อมูล!E64</f>
        <v>ไอสมาร์ท 80/6 (ไม่มีเงินปันผล) เวอร์ชั่น A2026-1</v>
      </c>
      <c r="J77" s="169"/>
      <c r="K77" s="137"/>
      <c r="M77" s="1379"/>
      <c r="N77" s="1390"/>
      <c r="O77" s="1390"/>
      <c r="P77" s="9"/>
    </row>
    <row r="78" spans="1:28" ht="6" customHeight="1" thickBot="1">
      <c r="A78" s="152"/>
      <c r="B78" s="153"/>
      <c r="C78" s="154"/>
      <c r="D78" s="154"/>
      <c r="E78" s="154"/>
      <c r="F78" s="154"/>
      <c r="G78" s="154"/>
      <c r="H78" s="155"/>
      <c r="I78" s="385"/>
      <c r="J78" s="155"/>
      <c r="K78" s="156"/>
      <c r="M78" s="1379"/>
      <c r="N78" s="1390"/>
      <c r="O78" s="1390"/>
      <c r="P78" s="9"/>
    </row>
    <row r="79" spans="1:28">
      <c r="H79" s="9"/>
      <c r="N79" s="46"/>
      <c r="O79" s="46"/>
    </row>
    <row r="80" spans="1:28">
      <c r="H80" s="9"/>
      <c r="N80" s="46"/>
      <c r="O80" s="46"/>
    </row>
    <row r="81" spans="8:15">
      <c r="H81" s="9"/>
      <c r="N81" s="46"/>
      <c r="O81" s="46"/>
    </row>
    <row r="82" spans="8:15">
      <c r="H82" s="9"/>
      <c r="N82" s="46"/>
      <c r="O82" s="46"/>
    </row>
    <row r="83" spans="8:15">
      <c r="H83" s="9"/>
      <c r="N83" s="46"/>
      <c r="O83" s="46"/>
    </row>
    <row r="84" spans="8:15">
      <c r="H84" s="9"/>
      <c r="N84" s="46"/>
      <c r="O84" s="46"/>
    </row>
    <row r="85" spans="8:15">
      <c r="H85" s="9"/>
      <c r="N85" s="46"/>
      <c r="O85" s="46"/>
    </row>
    <row r="86" spans="8:15">
      <c r="H86" s="9"/>
      <c r="N86" s="46"/>
      <c r="O86" s="46"/>
    </row>
    <row r="87" spans="8:15">
      <c r="H87" s="9"/>
      <c r="N87" s="46"/>
      <c r="O87" s="46"/>
    </row>
    <row r="88" spans="8:15">
      <c r="H88" s="9"/>
      <c r="N88" s="46"/>
      <c r="O88" s="46"/>
    </row>
    <row r="89" spans="8:15">
      <c r="H89" s="9"/>
      <c r="N89" s="46"/>
      <c r="O89" s="46"/>
    </row>
    <row r="90" spans="8:15">
      <c r="H90" s="9"/>
      <c r="N90" s="46"/>
      <c r="O90" s="46"/>
    </row>
    <row r="91" spans="8:15">
      <c r="H91" s="9"/>
      <c r="N91" s="46"/>
      <c r="O91" s="46"/>
    </row>
    <row r="92" spans="8:15">
      <c r="H92" s="9"/>
      <c r="N92" s="46"/>
      <c r="O92" s="46"/>
    </row>
    <row r="93" spans="8:15">
      <c r="H93" s="9"/>
      <c r="N93" s="46"/>
      <c r="O93" s="46"/>
    </row>
    <row r="94" spans="8:15">
      <c r="H94" s="9"/>
      <c r="N94" s="46"/>
      <c r="O94" s="46"/>
    </row>
    <row r="95" spans="8:15">
      <c r="H95" s="9"/>
      <c r="N95" s="46"/>
      <c r="O95" s="46"/>
    </row>
    <row r="96" spans="8:15">
      <c r="H96" s="9"/>
      <c r="N96" s="46"/>
      <c r="O96" s="46"/>
    </row>
    <row r="97" spans="8:15">
      <c r="H97" s="9"/>
      <c r="N97" s="46"/>
      <c r="O97" s="46"/>
    </row>
    <row r="98" spans="8:15">
      <c r="H98" s="9"/>
      <c r="N98" s="46"/>
      <c r="O98" s="46"/>
    </row>
    <row r="99" spans="8:15">
      <c r="N99" s="46"/>
      <c r="O99" s="46"/>
    </row>
  </sheetData>
  <sheetProtection algorithmName="SHA-512" hashValue="38C758aZmtJ8wNllnKe0AbsBRkckYSWKVKPkxf9fxM/aMfdBa9H7ge4OCYlzDTaweMNDocJPzfCc5FbZeXe9Pw==" saltValue="uTIUHKAAxqTw7EKNOqUUdg==" spinCount="100000" sheet="1" objects="1" scenarios="1"/>
  <mergeCells count="15">
    <mergeCell ref="N12:N13"/>
    <mergeCell ref="B11:B13"/>
    <mergeCell ref="C11:C13"/>
    <mergeCell ref="E12:E13"/>
    <mergeCell ref="D11:E11"/>
    <mergeCell ref="D12:D13"/>
    <mergeCell ref="F11:G11"/>
    <mergeCell ref="F12:F13"/>
    <mergeCell ref="G12:G13"/>
    <mergeCell ref="H11:H13"/>
    <mergeCell ref="B76:K76"/>
    <mergeCell ref="B75:K75"/>
    <mergeCell ref="I11:I13"/>
    <mergeCell ref="J11:J13"/>
    <mergeCell ref="M12:M13"/>
  </mergeCells>
  <conditionalFormatting sqref="A3:O4 Q3:XFD11 A5:G6 A7:O8 A9:L9 N9:O9 A10:O10 F11 H11:J11 O11 A11:C13 E12:G12 O12:XFD13 E13 A14:XFD74 A75:B76 L75:XFD76 A77:XFD65546">
    <cfRule type="expression" dxfId="46" priority="10" stopIfTrue="1">
      <formula>$A$1="Expire"</formula>
    </cfRule>
  </conditionalFormatting>
  <conditionalFormatting sqref="D11:D12">
    <cfRule type="expression" dxfId="45" priority="9">
      <formula>$A$1="Expire"</formula>
    </cfRule>
  </conditionalFormatting>
  <conditionalFormatting sqref="I5:O6">
    <cfRule type="expression" dxfId="44" priority="1" stopIfTrue="1">
      <formula>$A$1="Expire"</formula>
    </cfRule>
  </conditionalFormatting>
  <conditionalFormatting sqref="K11:N13">
    <cfRule type="expression" dxfId="43" priority="6" stopIfTrue="1">
      <formula>$A$1="Expire"</formula>
    </cfRule>
  </conditionalFormatting>
  <conditionalFormatting sqref="M11:N13">
    <cfRule type="expression" dxfId="42" priority="7">
      <formula>#REF!=""</formula>
    </cfRule>
  </conditionalFormatting>
  <printOptions horizontalCentered="1"/>
  <pageMargins left="0.11811023622047245" right="0.11811023622047245" top="0.23622047244094491" bottom="0.19685039370078741" header="0.15748031496062992" footer="0.15748031496062992"/>
  <pageSetup paperSize="9" scale="39" orientation="portrait" r:id="rId1"/>
  <headerFooter>
    <oddFooter>&amp;C&amp;"Calibri"&amp;11&amp;K000000&amp;"Calibri,Regular"&amp;18 2/14_x000D_&amp;1#&amp;"Calibri"&amp;10&amp;K000000Internal</oddFooter>
  </headerFooter>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DAB3E-13FA-46BD-B08A-BCC664296887}">
  <sheetPr codeName="Sheet28">
    <tabColor rgb="FFFF00FF"/>
    <pageSetUpPr fitToPage="1"/>
  </sheetPr>
  <dimension ref="A1:AU114"/>
  <sheetViews>
    <sheetView showGridLines="0" zoomScale="40" zoomScaleNormal="40" workbookViewId="0">
      <selection activeCell="B65" sqref="B65"/>
    </sheetView>
  </sheetViews>
  <sheetFormatPr defaultColWidth="9.09765625" defaultRowHeight="12.5"/>
  <cols>
    <col min="1" max="1" width="2.59765625" style="9" customWidth="1"/>
    <col min="2" max="2" width="5.69921875" style="9" customWidth="1"/>
    <col min="3" max="3" width="11.59765625" style="10" customWidth="1"/>
    <col min="4" max="5" width="22.69921875" style="10" customWidth="1"/>
    <col min="6" max="7" width="11.69921875" style="10" customWidth="1"/>
    <col min="8" max="8" width="14.3984375" style="13" customWidth="1"/>
    <col min="9" max="9" width="22.69921875" style="386" customWidth="1"/>
    <col min="10" max="10" width="23.3984375" style="9" customWidth="1"/>
    <col min="11" max="11" width="7.19921875" style="9" customWidth="1"/>
    <col min="12" max="12" width="8.3984375" style="9" customWidth="1"/>
    <col min="13" max="14" width="22.69921875" style="9" customWidth="1"/>
    <col min="15" max="16" width="11.69921875" style="9" customWidth="1"/>
    <col min="17" max="17" width="22.69921875" style="9" customWidth="1"/>
    <col min="18" max="18" width="22.69921875" style="386" customWidth="1"/>
    <col min="19" max="19" width="2.8984375" style="9" customWidth="1"/>
    <col min="20" max="20" width="2" style="1236" customWidth="1"/>
    <col min="21" max="21" width="20.69921875" style="47" hidden="1" customWidth="1"/>
    <col min="22" max="22" width="17.8984375" style="47" hidden="1" customWidth="1"/>
    <col min="23" max="23" width="11" style="47" hidden="1" customWidth="1"/>
    <col min="24" max="24" width="14.59765625" style="1619" hidden="1" customWidth="1"/>
    <col min="25" max="25" width="16.296875" style="1619" hidden="1" customWidth="1"/>
    <col min="26" max="26" width="0" style="47" hidden="1" customWidth="1"/>
    <col min="27" max="27" width="13.09765625" style="18" hidden="1" customWidth="1"/>
    <col min="28" max="28" width="0" style="18" hidden="1" customWidth="1"/>
    <col min="29" max="29" width="10.69921875" style="18" hidden="1" customWidth="1"/>
    <col min="30" max="30" width="2" style="18" hidden="1" customWidth="1"/>
    <col min="31" max="31" width="12.59765625" style="18" hidden="1" customWidth="1"/>
    <col min="32" max="32" width="7.3984375" style="18" hidden="1" customWidth="1"/>
    <col min="33" max="33" width="0" style="18" hidden="1" customWidth="1"/>
    <col min="34" max="34" width="2" style="18" hidden="1" customWidth="1"/>
    <col min="35" max="35" width="12.09765625" style="18" hidden="1" customWidth="1"/>
    <col min="36" max="36" width="7.3984375" style="18" hidden="1" customWidth="1"/>
    <col min="37" max="37" width="0" style="18" hidden="1" customWidth="1"/>
    <col min="38" max="49" width="0" style="9" hidden="1" customWidth="1"/>
    <col min="50" max="16384" width="9.09765625" style="9"/>
  </cols>
  <sheetData>
    <row r="1" spans="1:37" ht="5.15" customHeight="1">
      <c r="A1" s="3" t="str">
        <f ca="1">กรอกข้อมูล!G64</f>
        <v/>
      </c>
      <c r="B1" s="131"/>
      <c r="C1" s="157"/>
      <c r="D1" s="157"/>
      <c r="E1" s="157"/>
      <c r="F1" s="157"/>
      <c r="G1" s="157"/>
      <c r="H1" s="158"/>
      <c r="I1" s="381"/>
      <c r="J1" s="131"/>
      <c r="K1" s="131"/>
      <c r="L1" s="131"/>
      <c r="M1" s="131"/>
      <c r="N1" s="131"/>
      <c r="O1" s="131"/>
      <c r="P1" s="131"/>
      <c r="Q1" s="131"/>
      <c r="R1" s="381"/>
      <c r="S1" s="132"/>
      <c r="U1" s="1379"/>
      <c r="V1" s="1379"/>
      <c r="W1" s="1379"/>
      <c r="X1" s="1381"/>
      <c r="Y1" s="1381"/>
      <c r="Z1" s="1379"/>
    </row>
    <row r="2" spans="1:37" ht="35.15" customHeight="1">
      <c r="A2" s="133"/>
      <c r="B2" s="635"/>
      <c r="C2" s="635"/>
      <c r="D2" s="2076" t="str">
        <f ca="1">IF(A1="Expire",กรอกข้อมูล!$A$1,"ตารางมูลค่ากรมธรรม์ประกันภัยแบบ "&amp;กรอกข้อมูล!E65)</f>
        <v>ตารางมูลค่ากรมธรรม์ประกันภัยแบบ ไอสมาร์ท 80/6 (ไม่มีเงินปันผล)</v>
      </c>
      <c r="E2" s="2076"/>
      <c r="F2" s="2076"/>
      <c r="G2" s="2076"/>
      <c r="H2" s="2076"/>
      <c r="I2" s="2076"/>
      <c r="J2" s="2076"/>
      <c r="K2" s="2076"/>
      <c r="L2" s="2076"/>
      <c r="M2" s="2076"/>
      <c r="N2" s="2076"/>
      <c r="O2" s="2076"/>
      <c r="P2" s="2076"/>
      <c r="Q2" s="2076"/>
      <c r="R2" s="2076"/>
      <c r="S2" s="137"/>
      <c r="U2" s="1379"/>
      <c r="V2" s="1379"/>
      <c r="W2" s="1379"/>
      <c r="X2" s="1381"/>
      <c r="Y2" s="1381"/>
      <c r="Z2" s="1379"/>
    </row>
    <row r="3" spans="1:37" ht="15">
      <c r="A3" s="133"/>
      <c r="B3" s="134"/>
      <c r="C3" s="138"/>
      <c r="D3" s="138"/>
      <c r="S3" s="137"/>
      <c r="U3" s="1379"/>
      <c r="V3" s="1380"/>
      <c r="W3" s="1391"/>
      <c r="X3" s="1381"/>
      <c r="Y3" s="1381"/>
      <c r="Z3" s="1379"/>
    </row>
    <row r="4" spans="1:37" ht="15">
      <c r="A4" s="133"/>
      <c r="B4" s="645"/>
      <c r="C4" s="646"/>
      <c r="D4" s="646"/>
      <c r="E4" s="647"/>
      <c r="F4" s="647"/>
      <c r="G4" s="647"/>
      <c r="H4" s="648"/>
      <c r="I4" s="649"/>
      <c r="J4" s="650"/>
      <c r="K4" s="650"/>
      <c r="L4" s="650"/>
      <c r="M4" s="650"/>
      <c r="N4" s="650"/>
      <c r="O4" s="650"/>
      <c r="P4" s="650"/>
      <c r="Q4" s="650"/>
      <c r="R4" s="651"/>
      <c r="S4" s="137"/>
      <c r="U4" s="1379"/>
      <c r="V4" s="1380"/>
      <c r="W4" s="1391"/>
      <c r="X4" s="1381"/>
      <c r="Y4" s="1381"/>
      <c r="Z4" s="1379"/>
    </row>
    <row r="5" spans="1:37" s="16" customFormat="1" ht="23.25" customHeight="1">
      <c r="A5" s="145"/>
      <c r="B5" s="1395"/>
      <c r="C5" s="1396" t="str">
        <f>"ลูกค้าคนพิเศษ   "&amp;กรอกข้อมูล!$C$4&amp;"          "</f>
        <v xml:space="preserve">ลูกค้าคนพิเศษ   คุณคนพิเศษ          </v>
      </c>
      <c r="D5" s="1397"/>
      <c r="E5" s="1397"/>
      <c r="F5" s="1397"/>
      <c r="G5" s="1397"/>
      <c r="H5" s="1398" t="str">
        <f>"เพศ "&amp;กรอกข้อมูล!$C$6&amp;"  อายุ  "&amp;กรอกข้อมูล!$C$5&amp;" ปี"&amp;"     "</f>
        <v xml:space="preserve">เพศ หญิง  อายุ  44 ปี     </v>
      </c>
      <c r="I5" s="1399"/>
      <c r="J5" s="1397"/>
      <c r="L5" s="1397"/>
      <c r="M5" s="1397"/>
      <c r="N5" s="1396" t="str">
        <f>"ระยะเวลาชำระเบี้ยประกันภัย "&amp;กรอกข้อมูล!$J$14</f>
        <v>ระยะเวลาชำระเบี้ยประกันภัย  6 ปี</v>
      </c>
      <c r="O5" s="1396"/>
      <c r="P5" s="1396"/>
      <c r="Q5" s="171"/>
      <c r="R5" s="1400"/>
      <c r="S5" s="150"/>
      <c r="T5" s="1237"/>
      <c r="U5" s="1633" t="s">
        <v>1459</v>
      </c>
      <c r="V5" s="1634" t="str">
        <f>กรอกข้อมูล!J22</f>
        <v>Yes</v>
      </c>
      <c r="W5" s="1633"/>
      <c r="X5" s="1634"/>
      <c r="Y5" s="1634"/>
      <c r="Z5" s="1635"/>
      <c r="AA5" s="1608"/>
      <c r="AB5" s="1608"/>
      <c r="AC5" s="18"/>
      <c r="AD5" s="1608"/>
      <c r="AE5" s="1609"/>
      <c r="AF5" s="1610"/>
      <c r="AG5" s="18"/>
      <c r="AH5" s="18"/>
      <c r="AI5" s="18"/>
      <c r="AJ5" s="18"/>
      <c r="AK5" s="18"/>
    </row>
    <row r="6" spans="1:37" s="16" customFormat="1" ht="23.25" customHeight="1">
      <c r="A6" s="145"/>
      <c r="B6" s="1395"/>
      <c r="C6" s="1404" t="str">
        <f>"จำนวนเงินเอาประกันภัย  "&amp;TEXT(กรอกข้อมูล!$C$40,"0,000")&amp;"  บาท            "</f>
        <v xml:space="preserve">จำนวนเงินเอาประกันภัย  1,000,000  บาท            </v>
      </c>
      <c r="D6" s="1397"/>
      <c r="E6" s="1397"/>
      <c r="F6" s="1397"/>
      <c r="G6" s="1397"/>
      <c r="H6" s="1405" t="str">
        <f>"เบี้ยประกันภัยหลักงวดแรก ("&amp;กรอกข้อมูล!$C$7&amp;")"&amp;"   "&amp;TEXT(กรอกข้อมูล!F19,"#,#00.00")&amp;"  บาท            "&amp;""</f>
        <v xml:space="preserve">เบี้ยประกันภัยหลักงวดแรก (รายปี)   287,000.00  บาท            </v>
      </c>
      <c r="I6" s="1399"/>
      <c r="J6" s="1397"/>
      <c r="K6" s="1397"/>
      <c r="L6" s="1397"/>
      <c r="M6" s="1397"/>
      <c r="N6" s="1398" t="s">
        <v>2360</v>
      </c>
      <c r="O6" s="1398"/>
      <c r="P6" s="1398"/>
      <c r="Q6" s="171"/>
      <c r="R6" s="1400"/>
      <c r="S6" s="150"/>
      <c r="T6" s="1237"/>
      <c r="U6" s="1635" t="s">
        <v>567</v>
      </c>
      <c r="V6" s="1634" t="str">
        <f>IF(กรอกข้อมูล!$C$6="ชาย","Male",IF(กรอกข้อมูล!$C$6="หญิง","Female",""))</f>
        <v>Female</v>
      </c>
      <c r="W6" s="1633" t="str">
        <f>LEFT(V6,1)</f>
        <v>F</v>
      </c>
      <c r="X6" s="1634"/>
      <c r="Y6" s="1634"/>
      <c r="Z6" s="1635"/>
      <c r="AA6" s="1611"/>
      <c r="AB6" s="1608"/>
      <c r="AC6" s="18"/>
      <c r="AD6" s="18"/>
      <c r="AE6" s="1612"/>
      <c r="AF6" s="1613"/>
      <c r="AG6" s="18"/>
      <c r="AH6" s="18"/>
      <c r="AI6" s="18"/>
      <c r="AJ6" s="18"/>
      <c r="AK6" s="18"/>
    </row>
    <row r="7" spans="1:37" ht="15">
      <c r="A7" s="133"/>
      <c r="B7" s="652"/>
      <c r="C7" s="653"/>
      <c r="D7" s="654"/>
      <c r="E7" s="655"/>
      <c r="F7" s="655"/>
      <c r="G7" s="655"/>
      <c r="H7" s="656"/>
      <c r="I7" s="655"/>
      <c r="J7" s="657"/>
      <c r="K7" s="657"/>
      <c r="L7" s="657"/>
      <c r="M7" s="657"/>
      <c r="N7" s="658"/>
      <c r="O7" s="658"/>
      <c r="P7" s="658"/>
      <c r="Q7" s="659"/>
      <c r="R7" s="660"/>
      <c r="S7" s="137"/>
      <c r="U7" s="1636" t="s">
        <v>1315</v>
      </c>
      <c r="V7" s="1637">
        <f>กรอกข้อมูล!$C$5</f>
        <v>44</v>
      </c>
      <c r="W7" s="1636"/>
      <c r="X7" s="1637"/>
      <c r="Y7" s="1637"/>
      <c r="Z7" s="1636"/>
    </row>
    <row r="8" spans="1:37" ht="39.75" customHeight="1">
      <c r="A8" s="133"/>
      <c r="B8" s="2077" t="str">
        <f>"ตัวอย่าง ตารางมูลค่ากรมธรรม์ประกันภัยแบบ "&amp;กรอกข้อมูล!E65</f>
        <v>ตัวอย่าง ตารางมูลค่ากรมธรรม์ประกันภัยแบบ ไอสมาร์ท 80/6 (ไม่มีเงินปันผล)</v>
      </c>
      <c r="C8" s="2077"/>
      <c r="D8" s="2077"/>
      <c r="E8" s="2077"/>
      <c r="F8" s="2077"/>
      <c r="G8" s="2077"/>
      <c r="H8" s="2077"/>
      <c r="I8" s="2077"/>
      <c r="J8" s="2077"/>
      <c r="K8" s="2077"/>
      <c r="L8" s="2077"/>
      <c r="M8" s="2077"/>
      <c r="N8" s="2077"/>
      <c r="O8" s="2077"/>
      <c r="P8" s="2077"/>
      <c r="Q8" s="2077"/>
      <c r="R8" s="2077"/>
      <c r="S8" s="137"/>
      <c r="U8" s="1636" t="s">
        <v>51</v>
      </c>
      <c r="V8" s="1638">
        <f>กรอกข้อมูล!$C$40</f>
        <v>1000000</v>
      </c>
      <c r="W8" s="1636"/>
      <c r="X8" s="1637"/>
      <c r="Y8" s="1637"/>
      <c r="Z8" s="1636"/>
    </row>
    <row r="9" spans="1:37" s="16" customFormat="1" ht="31.5" customHeight="1">
      <c r="A9" s="145"/>
      <c r="B9" s="2078" t="str">
        <f>"จำนวนเงินเอาประกันภัย "&amp;TEXT(กรอกข้อมูล!C40,"0,000")&amp;" บาท สำหรับผู้ขอเอาประกันภัย เพศ "&amp;กรอกข้อมูล!C6&amp;" อายุ "&amp;กรอกข้อมูล!C5&amp;" ปี"</f>
        <v>จำนวนเงินเอาประกันภัย 1,000,000 บาท สำหรับผู้ขอเอาประกันภัย เพศ หญิง อายุ 44 ปี</v>
      </c>
      <c r="C9" s="2078"/>
      <c r="D9" s="2078"/>
      <c r="E9" s="2078"/>
      <c r="F9" s="2078"/>
      <c r="G9" s="2078"/>
      <c r="H9" s="2078"/>
      <c r="I9" s="2078"/>
      <c r="J9" s="2078"/>
      <c r="K9" s="2078"/>
      <c r="L9" s="2078"/>
      <c r="M9" s="2078"/>
      <c r="N9" s="2078"/>
      <c r="O9" s="2078"/>
      <c r="P9" s="2078"/>
      <c r="Q9" s="2078"/>
      <c r="R9" s="2078"/>
      <c r="S9" s="150"/>
      <c r="T9" s="1237"/>
      <c r="U9" s="1635" t="s">
        <v>1314</v>
      </c>
      <c r="V9" s="1634">
        <f>กรอกข้อมูล!K14</f>
        <v>6</v>
      </c>
      <c r="W9" s="1635" t="str">
        <f>+V11&amp;V7</f>
        <v>06F44</v>
      </c>
      <c r="X9" s="1634"/>
      <c r="Y9" s="1634"/>
      <c r="Z9" s="1635"/>
      <c r="AA9" s="1614" t="s">
        <v>571</v>
      </c>
      <c r="AB9" s="1614" t="s">
        <v>10</v>
      </c>
      <c r="AC9" s="1614" t="str">
        <f>กรอกข้อมูล!A19</f>
        <v>ไอสมาร์ท 80/6 (W80F06)</v>
      </c>
      <c r="AD9" s="18"/>
      <c r="AE9" s="18"/>
      <c r="AF9" s="18"/>
      <c r="AG9" s="18"/>
      <c r="AH9" s="18"/>
      <c r="AI9" s="18"/>
      <c r="AJ9" s="18"/>
      <c r="AK9" s="18"/>
    </row>
    <row r="10" spans="1:37" ht="8.25" customHeight="1">
      <c r="A10" s="133"/>
      <c r="B10" s="134"/>
      <c r="C10" s="135"/>
      <c r="D10" s="135"/>
      <c r="E10" s="135"/>
      <c r="F10" s="135"/>
      <c r="G10" s="135"/>
      <c r="H10" s="136"/>
      <c r="I10" s="382"/>
      <c r="J10" s="134"/>
      <c r="K10" s="134"/>
      <c r="L10" s="134"/>
      <c r="M10" s="134"/>
      <c r="N10" s="134"/>
      <c r="O10" s="134"/>
      <c r="P10" s="134"/>
      <c r="Q10" s="134"/>
      <c r="R10" s="382"/>
      <c r="S10" s="137"/>
      <c r="U10" s="1636"/>
      <c r="V10" s="1636"/>
      <c r="W10" s="1636"/>
      <c r="X10" s="1637"/>
      <c r="Y10" s="1637"/>
      <c r="Z10" s="1636"/>
      <c r="AA10" s="1614" t="s">
        <v>713</v>
      </c>
      <c r="AB10" s="1614" t="s">
        <v>11</v>
      </c>
      <c r="AC10" s="1614" t="str">
        <f>W6</f>
        <v>F</v>
      </c>
    </row>
    <row r="11" spans="1:37" s="17" customFormat="1" ht="33.75" customHeight="1">
      <c r="A11" s="139"/>
      <c r="G11" s="2068" t="s">
        <v>2</v>
      </c>
      <c r="H11" s="2071" t="s">
        <v>2351</v>
      </c>
      <c r="I11" s="2082" t="s">
        <v>1736</v>
      </c>
      <c r="J11" s="2084"/>
      <c r="K11" s="2082" t="s">
        <v>1737</v>
      </c>
      <c r="L11" s="2083"/>
      <c r="M11" s="2083"/>
      <c r="N11" s="2084"/>
      <c r="S11" s="141"/>
      <c r="T11" s="1238"/>
      <c r="U11" s="1639" t="s">
        <v>1449</v>
      </c>
      <c r="V11" s="1640" t="str">
        <f>Cal!B13</f>
        <v>06F</v>
      </c>
      <c r="W11" s="2091" t="s">
        <v>1737</v>
      </c>
      <c r="X11" s="2092"/>
      <c r="Y11" s="2092"/>
      <c r="Z11" s="2093"/>
      <c r="AA11" s="1614" t="s">
        <v>17</v>
      </c>
      <c r="AB11" s="1614" t="s">
        <v>12</v>
      </c>
      <c r="AC11" s="1614">
        <f>V7</f>
        <v>44</v>
      </c>
      <c r="AD11" s="1615"/>
      <c r="AE11" s="1615"/>
      <c r="AF11" s="1615"/>
      <c r="AG11" s="1615"/>
      <c r="AH11" s="1615"/>
      <c r="AI11" s="1615"/>
      <c r="AJ11" s="1615"/>
      <c r="AK11" s="1615"/>
    </row>
    <row r="12" spans="1:37" s="26" customFormat="1" ht="39" customHeight="1">
      <c r="A12" s="142"/>
      <c r="G12" s="2069"/>
      <c r="H12" s="2072"/>
      <c r="I12" s="2085" t="s">
        <v>1738</v>
      </c>
      <c r="J12" s="2085" t="s">
        <v>1739</v>
      </c>
      <c r="K12" s="2087" t="s">
        <v>1740</v>
      </c>
      <c r="L12" s="2088"/>
      <c r="M12" s="2085" t="s">
        <v>1738</v>
      </c>
      <c r="N12" s="2085" t="s">
        <v>1741</v>
      </c>
      <c r="S12" s="143"/>
      <c r="T12" s="1239"/>
      <c r="U12" s="2089" t="s">
        <v>2046</v>
      </c>
      <c r="V12" s="2090"/>
      <c r="W12" s="2096" t="s">
        <v>1740</v>
      </c>
      <c r="X12" s="2096"/>
      <c r="Y12" s="2097" t="s">
        <v>2047</v>
      </c>
      <c r="Z12" s="2097" t="s">
        <v>1741</v>
      </c>
      <c r="AA12" s="1614" t="s">
        <v>1143</v>
      </c>
      <c r="AB12" s="1614"/>
      <c r="AC12" s="1614" t="str">
        <f>AC9&amp;AC10&amp;AC11</f>
        <v>ไอสมาร์ท 80/6 (W80F06)F44</v>
      </c>
      <c r="AD12" s="1615"/>
      <c r="AE12" s="1615"/>
      <c r="AF12" s="1615"/>
      <c r="AG12" s="1615"/>
      <c r="AH12" s="1615"/>
      <c r="AI12" s="1615"/>
      <c r="AJ12" s="1615"/>
    </row>
    <row r="13" spans="1:37" s="26" customFormat="1" ht="39.75" customHeight="1">
      <c r="A13" s="142"/>
      <c r="G13" s="2070"/>
      <c r="H13" s="2073"/>
      <c r="I13" s="2086"/>
      <c r="J13" s="2086"/>
      <c r="K13" s="1626" t="s">
        <v>6</v>
      </c>
      <c r="L13" s="1626" t="s">
        <v>1742</v>
      </c>
      <c r="M13" s="2086"/>
      <c r="N13" s="2086"/>
      <c r="S13" s="143"/>
      <c r="T13" s="1239"/>
      <c r="U13" s="1631" t="s">
        <v>1738</v>
      </c>
      <c r="V13" s="1632" t="s">
        <v>1739</v>
      </c>
      <c r="W13" s="1641" t="s">
        <v>6</v>
      </c>
      <c r="X13" s="1641" t="s">
        <v>1742</v>
      </c>
      <c r="Y13" s="2098"/>
      <c r="Z13" s="2098"/>
      <c r="AA13" s="1614" t="s">
        <v>2048</v>
      </c>
      <c r="AB13" s="1614" t="s">
        <v>1743</v>
      </c>
      <c r="AC13" s="1614">
        <f>IFERROR(IF($W$6="M",VLOOKUP($W$9,'TABCV(Male)'!$A$2:$QQ$431,H13+105,FALSE),VLOOKUP($W$9,'TABCV(Female)'!$A$2:$QQ$431,H13+105,FALSE)),0)</f>
        <v>0</v>
      </c>
      <c r="AD13" s="1615"/>
      <c r="AE13" s="1614" t="s">
        <v>2049</v>
      </c>
      <c r="AF13" s="1614" t="s">
        <v>1844</v>
      </c>
      <c r="AG13" s="1614">
        <f>IFERROR(IF($W$6="M",VLOOKUP($W$9,'TABCV(Male)'!$A$2:$QQ$431,H13+206,FALSE),VLOOKUP($W$9,'TABCV(Female)'!$A$2:$QQ$431,H13+206,FALSE)),0)</f>
        <v>0</v>
      </c>
      <c r="AH13" s="18"/>
      <c r="AI13" s="1614" t="s">
        <v>2050</v>
      </c>
      <c r="AJ13" s="1614" t="s">
        <v>1945</v>
      </c>
      <c r="AK13" s="1614">
        <f>IFERROR(IF($W$6="M",VLOOKUP($W$9,'TABCV(Male)'!$A$2:$QQ$431,H13+307,FALSE),VLOOKUP($W$9,'TABCV(Female)'!$A$2:$QQ$431,H13+307,FALSE)),0)</f>
        <v>0</v>
      </c>
    </row>
    <row r="14" spans="1:37" s="16" customFormat="1" ht="30" customHeight="1">
      <c r="A14" s="145"/>
      <c r="G14" s="551">
        <f>กรอกข้อมูล!$C$5</f>
        <v>44</v>
      </c>
      <c r="H14" s="552">
        <v>1</v>
      </c>
      <c r="I14" s="553">
        <f t="shared" ref="I14:I45" si="0">IF(H14="","",(U14*$V$8)/1000)</f>
        <v>0</v>
      </c>
      <c r="J14" s="554">
        <f t="shared" ref="J14:J45" si="1">IF(H14="","",(V14*$V$8)/1000)</f>
        <v>112000</v>
      </c>
      <c r="K14" s="554" t="str">
        <f t="shared" ref="K14:K45" si="2">IF(H14="","",IF(W14="","-",W14))</f>
        <v>15</v>
      </c>
      <c r="L14" s="1620">
        <f t="shared" ref="L14:L45" si="3">IF(I14="","",IF(X14=0,"-",X14))</f>
        <v>219</v>
      </c>
      <c r="M14" s="555">
        <f t="shared" ref="M14:M45" si="4">IF(H14="","",(Y14*$V$8)/1000)</f>
        <v>0</v>
      </c>
      <c r="N14" s="555">
        <f t="shared" ref="N14:N45" si="5">IF(H14="","",(Z14*$V$8)/1000)</f>
        <v>0</v>
      </c>
      <c r="S14" s="150"/>
      <c r="T14" s="1237"/>
      <c r="U14" s="1631">
        <f>IF(AC14-1000&lt;0,0,AC14-1000)</f>
        <v>0</v>
      </c>
      <c r="V14" s="1632">
        <f>IF(AC14=0,0,IF(AC14&gt;1000,1000,AC14))</f>
        <v>112</v>
      </c>
      <c r="W14" s="1631" t="str">
        <f>IF(AG14=0,0,IF(LEN(AG14)&lt;4,0,LEFT(AG14,(LEN(AG14)-3))))</f>
        <v>15</v>
      </c>
      <c r="X14" s="1631">
        <f>IF(AG14=0,0,RIGHT(AG14,3)+0)</f>
        <v>219</v>
      </c>
      <c r="Y14" s="1631">
        <f>IF(AK14-1000&lt;0,0,AK14-1000)</f>
        <v>0</v>
      </c>
      <c r="Z14" s="1631">
        <f>IF(AK14=0,0,IF(AK14&gt;1000,1000,AK14))</f>
        <v>0</v>
      </c>
      <c r="AA14" s="1614" t="s">
        <v>2051</v>
      </c>
      <c r="AB14" s="1614" t="s">
        <v>1744</v>
      </c>
      <c r="AC14" s="1614">
        <f>IFERROR(IF($W$6="M",VLOOKUP($W$9,'TABCV(Male)'!$A$2:$QQ$431,H14+105,FALSE),VLOOKUP($W$9,'TABCV(Female)'!$A$2:$QQ$431,H14+105,FALSE)),0)</f>
        <v>112</v>
      </c>
      <c r="AD14" s="18"/>
      <c r="AE14" s="1614" t="s">
        <v>2052</v>
      </c>
      <c r="AF14" s="1614" t="s">
        <v>1845</v>
      </c>
      <c r="AG14" s="1614">
        <f>IFERROR(IF($W$6="M",VLOOKUP($W$9,'TABCV(Male)'!$A$2:$QQ$431,H14+206,FALSE),VLOOKUP($W$9,'TABCV(Female)'!$A$2:$QQ$431,H14+206,FALSE)),0)</f>
        <v>15219</v>
      </c>
      <c r="AH14" s="18"/>
      <c r="AI14" s="1614" t="s">
        <v>2053</v>
      </c>
      <c r="AJ14" s="1614" t="s">
        <v>1946</v>
      </c>
      <c r="AK14" s="1614">
        <f>IFERROR(IF($W$6="M",VLOOKUP($W$9,'TABCV(Male)'!$A$2:$QQ$431,H14+307,FALSE),VLOOKUP($W$9,'TABCV(Female)'!$A$2:$QQ$431,H14+307,FALSE)),0)</f>
        <v>0</v>
      </c>
    </row>
    <row r="15" spans="1:37" s="16" customFormat="1" ht="30" customHeight="1">
      <c r="A15" s="145"/>
      <c r="G15" s="556">
        <f>IF(G14="","",IF(กรอกข้อมูล!$C$5+H14&gt;79,"",กรอกข้อมูล!$C$5+H14))</f>
        <v>45</v>
      </c>
      <c r="H15" s="557">
        <f>IF(G15="","",H14+1)</f>
        <v>2</v>
      </c>
      <c r="I15" s="558">
        <f t="shared" si="0"/>
        <v>0</v>
      </c>
      <c r="J15" s="559">
        <f t="shared" si="1"/>
        <v>440000</v>
      </c>
      <c r="K15" s="559" t="str">
        <f t="shared" si="2"/>
        <v>29</v>
      </c>
      <c r="L15" s="1621">
        <f t="shared" si="3"/>
        <v>235</v>
      </c>
      <c r="M15" s="560">
        <f t="shared" si="4"/>
        <v>0</v>
      </c>
      <c r="N15" s="561">
        <f t="shared" si="5"/>
        <v>0</v>
      </c>
      <c r="S15" s="150"/>
      <c r="T15" s="1237"/>
      <c r="U15" s="1631">
        <f t="shared" ref="U15:U19" si="6">IF(AC15-1000&lt;0,0,AC15-1000)</f>
        <v>0</v>
      </c>
      <c r="V15" s="1632">
        <f t="shared" ref="V15:V19" si="7">IF(AC15=0,0,IF(AC15&gt;1000,1000,AC15))</f>
        <v>440</v>
      </c>
      <c r="W15" s="1631" t="str">
        <f t="shared" ref="W15" si="8">IF(AG15=0,0,IF(LEN(AG15)&lt;4,0,LEFT(AG15,(LEN(AG15)-3))))</f>
        <v>29</v>
      </c>
      <c r="X15" s="1631">
        <f t="shared" ref="X15" si="9">IF(AG15=0,0,RIGHT(AG15,3)+0)</f>
        <v>235</v>
      </c>
      <c r="Y15" s="1631">
        <f t="shared" ref="Y15:Y78" si="10">IF(AK15-1000&lt;0,0,AK15-1000)</f>
        <v>0</v>
      </c>
      <c r="Z15" s="1631">
        <f t="shared" ref="Z15:Z78" si="11">IF(AK15=0,0,IF(AK15&gt;1000,1000,AK15))</f>
        <v>0</v>
      </c>
      <c r="AA15" s="1614" t="s">
        <v>2054</v>
      </c>
      <c r="AB15" s="1614" t="s">
        <v>1745</v>
      </c>
      <c r="AC15" s="1614">
        <f>IFERROR(IF($W$6="M",VLOOKUP($W$9,'TABCV(Male)'!$A$2:$QQ$431,H15+105,FALSE),VLOOKUP($W$9,'TABCV(Female)'!$A$2:$QQ$431,H15+105,FALSE)),0)</f>
        <v>440</v>
      </c>
      <c r="AD15" s="18"/>
      <c r="AE15" s="1614" t="s">
        <v>2055</v>
      </c>
      <c r="AF15" s="1614" t="s">
        <v>1846</v>
      </c>
      <c r="AG15" s="1614">
        <f>IFERROR(IF($W$6="M",VLOOKUP($W$9,'TABCV(Male)'!$A$2:$QQ$431,H15+206,FALSE),VLOOKUP($W$9,'TABCV(Female)'!$A$2:$QQ$431,H15+206,FALSE)),0)</f>
        <v>29235</v>
      </c>
      <c r="AH15" s="18"/>
      <c r="AI15" s="1614" t="s">
        <v>2056</v>
      </c>
      <c r="AJ15" s="1614" t="s">
        <v>1947</v>
      </c>
      <c r="AK15" s="1614">
        <f>IFERROR(IF($W$6="M",VLOOKUP($W$9,'TABCV(Male)'!$A$2:$QQ$431,H15+307,FALSE),VLOOKUP($W$9,'TABCV(Female)'!$A$2:$QQ$431,H15+307,FALSE)),0)</f>
        <v>0</v>
      </c>
    </row>
    <row r="16" spans="1:37" s="16" customFormat="1" ht="30" customHeight="1">
      <c r="A16" s="145"/>
      <c r="G16" s="556">
        <f>IF(G15="","",IF(กรอกข้อมูล!$C$5+H15&gt;79,"",กรอกข้อมูล!$C$5+H15))</f>
        <v>46</v>
      </c>
      <c r="H16" s="557">
        <f t="shared" ref="H16:H63" si="12">IF(G16="","",H15+1)</f>
        <v>3</v>
      </c>
      <c r="I16" s="558">
        <f t="shared" si="0"/>
        <v>41000</v>
      </c>
      <c r="J16" s="559">
        <f t="shared" si="1"/>
        <v>1000000</v>
      </c>
      <c r="K16" s="559" t="str">
        <f t="shared" si="2"/>
        <v>33</v>
      </c>
      <c r="L16" s="1621" t="str">
        <f t="shared" si="3"/>
        <v>-</v>
      </c>
      <c r="M16" s="560">
        <f t="shared" si="4"/>
        <v>29000</v>
      </c>
      <c r="N16" s="562">
        <f t="shared" si="5"/>
        <v>1000000</v>
      </c>
      <c r="S16" s="150"/>
      <c r="T16" s="1237"/>
      <c r="U16" s="1631">
        <f t="shared" si="6"/>
        <v>41</v>
      </c>
      <c r="V16" s="1632">
        <f t="shared" si="7"/>
        <v>1000</v>
      </c>
      <c r="W16" s="1631" t="str">
        <f t="shared" ref="W16:W79" si="13">IF(AG16=0,0,IF(LEN(AG16)&lt;4,0,LEFT(AG16,(LEN(AG16)-3))))</f>
        <v>33</v>
      </c>
      <c r="X16" s="1631">
        <f t="shared" ref="X16:X79" si="14">IF(AG16=0,0,RIGHT(AG16,3)+0)</f>
        <v>0</v>
      </c>
      <c r="Y16" s="1631">
        <f t="shared" si="10"/>
        <v>29</v>
      </c>
      <c r="Z16" s="1631">
        <f t="shared" si="11"/>
        <v>1000</v>
      </c>
      <c r="AA16" s="1614" t="s">
        <v>2057</v>
      </c>
      <c r="AB16" s="1614" t="s">
        <v>1746</v>
      </c>
      <c r="AC16" s="1614">
        <f>IFERROR(IF($W$6="M",VLOOKUP($W$9,'TABCV(Male)'!$A$2:$QQ$431,H16+105,FALSE),VLOOKUP($W$9,'TABCV(Female)'!$A$2:$QQ$431,H16+105,FALSE)),0)</f>
        <v>1041</v>
      </c>
      <c r="AD16" s="18"/>
      <c r="AE16" s="1614" t="s">
        <v>2058</v>
      </c>
      <c r="AF16" s="1614" t="s">
        <v>1847</v>
      </c>
      <c r="AG16" s="1614">
        <f>IFERROR(IF($W$6="M",VLOOKUP($W$9,'TABCV(Male)'!$A$2:$QQ$431,H16+206,FALSE),VLOOKUP($W$9,'TABCV(Female)'!$A$2:$QQ$431,H16+206,FALSE)),0)</f>
        <v>33000</v>
      </c>
      <c r="AH16" s="18"/>
      <c r="AI16" s="1614" t="s">
        <v>2059</v>
      </c>
      <c r="AJ16" s="1614" t="s">
        <v>1948</v>
      </c>
      <c r="AK16" s="1614">
        <f>IFERROR(IF($W$6="M",VLOOKUP($W$9,'TABCV(Male)'!$A$2:$QQ$431,H16+307,FALSE),VLOOKUP($W$9,'TABCV(Female)'!$A$2:$QQ$431,H16+307,FALSE)),0)</f>
        <v>1029</v>
      </c>
    </row>
    <row r="17" spans="1:47" s="16" customFormat="1" ht="30" customHeight="1">
      <c r="A17" s="145"/>
      <c r="G17" s="556">
        <f>IF(G16="","",IF(กรอกข้อมูล!$C$5+H16&gt;79,"",กรอกข้อมูล!$C$5+H16))</f>
        <v>47</v>
      </c>
      <c r="H17" s="557">
        <f t="shared" si="12"/>
        <v>4</v>
      </c>
      <c r="I17" s="558">
        <f t="shared" si="0"/>
        <v>292000</v>
      </c>
      <c r="J17" s="559">
        <f t="shared" si="1"/>
        <v>1000000</v>
      </c>
      <c r="K17" s="559" t="str">
        <f t="shared" si="2"/>
        <v>32</v>
      </c>
      <c r="L17" s="1621" t="str">
        <f t="shared" si="3"/>
        <v>-</v>
      </c>
      <c r="M17" s="560">
        <f t="shared" si="4"/>
        <v>279000</v>
      </c>
      <c r="N17" s="562">
        <f t="shared" si="5"/>
        <v>1000000</v>
      </c>
      <c r="S17" s="150"/>
      <c r="T17" s="1237"/>
      <c r="U17" s="1631">
        <f t="shared" si="6"/>
        <v>292</v>
      </c>
      <c r="V17" s="1632">
        <f t="shared" si="7"/>
        <v>1000</v>
      </c>
      <c r="W17" s="1631" t="str">
        <f t="shared" si="13"/>
        <v>32</v>
      </c>
      <c r="X17" s="1631">
        <f t="shared" si="14"/>
        <v>0</v>
      </c>
      <c r="Y17" s="1631">
        <f t="shared" si="10"/>
        <v>279</v>
      </c>
      <c r="Z17" s="1631">
        <f t="shared" si="11"/>
        <v>1000</v>
      </c>
      <c r="AA17" s="1614" t="s">
        <v>2060</v>
      </c>
      <c r="AB17" s="1614" t="s">
        <v>1747</v>
      </c>
      <c r="AC17" s="1614">
        <f>IFERROR(IF($W$6="M",VLOOKUP($W$9,'TABCV(Male)'!$A$2:$QQ$431,H17+105,FALSE),VLOOKUP($W$9,'TABCV(Female)'!$A$2:$QQ$431,H17+105,FALSE)),0)</f>
        <v>1292</v>
      </c>
      <c r="AD17" s="18"/>
      <c r="AE17" s="1614" t="s">
        <v>2061</v>
      </c>
      <c r="AF17" s="1614" t="s">
        <v>1848</v>
      </c>
      <c r="AG17" s="1614">
        <f>IFERROR(IF($W$6="M",VLOOKUP($W$9,'TABCV(Male)'!$A$2:$QQ$431,H17+206,FALSE),VLOOKUP($W$9,'TABCV(Female)'!$A$2:$QQ$431,H17+206,FALSE)),0)</f>
        <v>32000</v>
      </c>
      <c r="AH17" s="18"/>
      <c r="AI17" s="1614" t="s">
        <v>2062</v>
      </c>
      <c r="AJ17" s="1614" t="s">
        <v>1949</v>
      </c>
      <c r="AK17" s="1614">
        <f>IFERROR(IF($W$6="M",VLOOKUP($W$9,'TABCV(Male)'!$A$2:$QQ$431,H17+307,FALSE),VLOOKUP($W$9,'TABCV(Female)'!$A$2:$QQ$431,H17+307,FALSE)),0)</f>
        <v>1279</v>
      </c>
    </row>
    <row r="18" spans="1:47" s="16" customFormat="1" ht="30" customHeight="1">
      <c r="A18" s="145"/>
      <c r="G18" s="556">
        <f>IF(G17="","",IF(กรอกข้อมูล!$C$5+H17&gt;79,"",กรอกข้อมูล!$C$5+H17))</f>
        <v>48</v>
      </c>
      <c r="H18" s="557">
        <f t="shared" si="12"/>
        <v>5</v>
      </c>
      <c r="I18" s="558">
        <f t="shared" si="0"/>
        <v>594000</v>
      </c>
      <c r="J18" s="559">
        <f t="shared" si="1"/>
        <v>1000000</v>
      </c>
      <c r="K18" s="559" t="str">
        <f t="shared" si="2"/>
        <v>31</v>
      </c>
      <c r="L18" s="1621" t="str">
        <f t="shared" si="3"/>
        <v>-</v>
      </c>
      <c r="M18" s="560">
        <f t="shared" si="4"/>
        <v>581000</v>
      </c>
      <c r="N18" s="562">
        <f t="shared" si="5"/>
        <v>1000000</v>
      </c>
      <c r="S18" s="150"/>
      <c r="T18" s="1237"/>
      <c r="U18" s="1631">
        <f t="shared" si="6"/>
        <v>594</v>
      </c>
      <c r="V18" s="1632">
        <f t="shared" si="7"/>
        <v>1000</v>
      </c>
      <c r="W18" s="1631" t="str">
        <f t="shared" si="13"/>
        <v>31</v>
      </c>
      <c r="X18" s="1631">
        <f t="shared" si="14"/>
        <v>0</v>
      </c>
      <c r="Y18" s="1631">
        <f t="shared" si="10"/>
        <v>581</v>
      </c>
      <c r="Z18" s="1631">
        <f t="shared" si="11"/>
        <v>1000</v>
      </c>
      <c r="AA18" s="1614" t="s">
        <v>2063</v>
      </c>
      <c r="AB18" s="1614" t="s">
        <v>1748</v>
      </c>
      <c r="AC18" s="1614">
        <f>IFERROR(IF($W$6="M",VLOOKUP($W$9,'TABCV(Male)'!$A$2:$QQ$431,H18+105,FALSE),VLOOKUP($W$9,'TABCV(Female)'!$A$2:$QQ$431,H18+105,FALSE)),0)</f>
        <v>1594</v>
      </c>
      <c r="AD18" s="18"/>
      <c r="AE18" s="1614" t="s">
        <v>2064</v>
      </c>
      <c r="AF18" s="1614" t="s">
        <v>1849</v>
      </c>
      <c r="AG18" s="1614">
        <f>IFERROR(IF($W$6="M",VLOOKUP($W$9,'TABCV(Male)'!$A$2:$QQ$431,H18+206,FALSE),VLOOKUP($W$9,'TABCV(Female)'!$A$2:$QQ$431,H18+206,FALSE)),0)</f>
        <v>31000</v>
      </c>
      <c r="AH18" s="18"/>
      <c r="AI18" s="1614" t="s">
        <v>2065</v>
      </c>
      <c r="AJ18" s="1614" t="s">
        <v>1950</v>
      </c>
      <c r="AK18" s="1614">
        <f>IFERROR(IF($W$6="M",VLOOKUP($W$9,'TABCV(Male)'!$A$2:$QQ$431,H18+307,FALSE),VLOOKUP($W$9,'TABCV(Female)'!$A$2:$QQ$431,H18+307,FALSE)),0)</f>
        <v>1581</v>
      </c>
    </row>
    <row r="19" spans="1:47" s="16" customFormat="1" ht="30" hidden="1" customHeight="1">
      <c r="A19" s="145"/>
      <c r="G19" s="556">
        <f>IF(G18="","",IF(กรอกข้อมูล!$C$5+H18&gt;79,"",กรอกข้อมูล!$C$5+H18))</f>
        <v>49</v>
      </c>
      <c r="H19" s="563">
        <f t="shared" si="12"/>
        <v>6</v>
      </c>
      <c r="I19" s="564">
        <f t="shared" si="0"/>
        <v>0</v>
      </c>
      <c r="J19" s="565">
        <f t="shared" si="1"/>
        <v>0</v>
      </c>
      <c r="K19" s="565">
        <f t="shared" si="2"/>
        <v>0</v>
      </c>
      <c r="L19" s="1622" t="str">
        <f t="shared" si="3"/>
        <v>-</v>
      </c>
      <c r="M19" s="566">
        <f t="shared" si="4"/>
        <v>0</v>
      </c>
      <c r="N19" s="567">
        <f t="shared" si="5"/>
        <v>0</v>
      </c>
      <c r="S19" s="150"/>
      <c r="T19" s="1237"/>
      <c r="U19" s="1631">
        <f t="shared" si="6"/>
        <v>0</v>
      </c>
      <c r="V19" s="1632">
        <f t="shared" si="7"/>
        <v>0</v>
      </c>
      <c r="W19" s="1631">
        <f t="shared" si="13"/>
        <v>0</v>
      </c>
      <c r="X19" s="1631">
        <f t="shared" si="14"/>
        <v>0</v>
      </c>
      <c r="Y19" s="1631">
        <f t="shared" si="10"/>
        <v>0</v>
      </c>
      <c r="Z19" s="1631">
        <f t="shared" si="11"/>
        <v>0</v>
      </c>
      <c r="AA19" s="1614" t="s">
        <v>2066</v>
      </c>
      <c r="AB19" s="1614" t="s">
        <v>1749</v>
      </c>
      <c r="AC19" s="1614">
        <f>IFERROR(IF($W$6="M",VLOOKUP($W$9,'TABCV(Male)'!$A$2:$QQ$431,H19+105,FALSE),VLOOKUP($W$9,'TABCV(Female)'!$A$2:$QQ$431,H19+105,FALSE)),0)</f>
        <v>0</v>
      </c>
      <c r="AD19" s="18"/>
      <c r="AE19" s="1614" t="s">
        <v>2067</v>
      </c>
      <c r="AF19" s="1614" t="s">
        <v>1850</v>
      </c>
      <c r="AG19" s="1614">
        <f>IFERROR(IF($W$6="M",VLOOKUP($W$9,'TABCV(Male)'!$A$2:$QQ$431,H19+206,FALSE),VLOOKUP($W$9,'TABCV(Female)'!$A$2:$QQ$431,H19+206,FALSE)),0)</f>
        <v>0</v>
      </c>
      <c r="AH19" s="18"/>
      <c r="AI19" s="1614" t="s">
        <v>2068</v>
      </c>
      <c r="AJ19" s="1614" t="s">
        <v>1951</v>
      </c>
      <c r="AK19" s="1614">
        <f>IFERROR(IF($W$6="M",VLOOKUP($W$9,'TABCV(Male)'!$A$2:$QQ$431,H19+307,FALSE),VLOOKUP($W$9,'TABCV(Female)'!$A$2:$QQ$431,H19+307,FALSE)),0)</f>
        <v>0</v>
      </c>
    </row>
    <row r="20" spans="1:47" s="16" customFormat="1" ht="30" hidden="1" customHeight="1">
      <c r="A20" s="145"/>
      <c r="G20" s="556">
        <f>IF(G19="","",IF(กรอกข้อมูล!$C$5+H19&gt;79,"",กรอกข้อมูล!$C$5+H19))</f>
        <v>50</v>
      </c>
      <c r="H20" s="563">
        <f t="shared" si="12"/>
        <v>7</v>
      </c>
      <c r="I20" s="564">
        <f t="shared" si="0"/>
        <v>0</v>
      </c>
      <c r="J20" s="565">
        <f t="shared" si="1"/>
        <v>0</v>
      </c>
      <c r="K20" s="565">
        <f t="shared" si="2"/>
        <v>0</v>
      </c>
      <c r="L20" s="1622" t="str">
        <f t="shared" si="3"/>
        <v>-</v>
      </c>
      <c r="M20" s="566">
        <f t="shared" si="4"/>
        <v>0</v>
      </c>
      <c r="N20" s="567">
        <f t="shared" si="5"/>
        <v>0</v>
      </c>
      <c r="S20" s="150"/>
      <c r="T20" s="1237"/>
      <c r="U20" s="1631">
        <f t="shared" ref="U20:U83" si="15">IF(AC20-1000&lt;0,0,AC20-1000)</f>
        <v>0</v>
      </c>
      <c r="V20" s="1632">
        <f t="shared" ref="V20:V83" si="16">IF(AC20=0,0,IF(AC20&gt;1000,1000,AC20))</f>
        <v>0</v>
      </c>
      <c r="W20" s="1631">
        <f t="shared" si="13"/>
        <v>0</v>
      </c>
      <c r="X20" s="1631">
        <f t="shared" si="14"/>
        <v>0</v>
      </c>
      <c r="Y20" s="1631">
        <f t="shared" si="10"/>
        <v>0</v>
      </c>
      <c r="Z20" s="1631">
        <f t="shared" si="11"/>
        <v>0</v>
      </c>
      <c r="AA20" s="1614" t="s">
        <v>2069</v>
      </c>
      <c r="AB20" s="1614" t="s">
        <v>1750</v>
      </c>
      <c r="AC20" s="1614">
        <f>IFERROR(IF($W$6="M",VLOOKUP($W$9,'TABCV(Male)'!$A$2:$QQ$431,H20+105,FALSE),VLOOKUP($W$9,'TABCV(Female)'!$A$2:$QQ$431,H20+105,FALSE)),0)</f>
        <v>0</v>
      </c>
      <c r="AD20" s="18"/>
      <c r="AE20" s="1614" t="s">
        <v>2070</v>
      </c>
      <c r="AF20" s="1614" t="s">
        <v>1851</v>
      </c>
      <c r="AG20" s="1614">
        <f>IFERROR(IF($W$6="M",VLOOKUP($W$9,'TABCV(Male)'!$A$2:$QQ$431,H20+206,FALSE),VLOOKUP($W$9,'TABCV(Female)'!$A$2:$QQ$431,H20+206,FALSE)),0)</f>
        <v>0</v>
      </c>
      <c r="AH20" s="18"/>
      <c r="AI20" s="1614" t="s">
        <v>2071</v>
      </c>
      <c r="AJ20" s="1614" t="s">
        <v>1952</v>
      </c>
      <c r="AK20" s="1614">
        <f>IFERROR(IF($W$6="M",VLOOKUP($W$9,'TABCV(Male)'!$A$2:$QQ$431,H20+307,FALSE),VLOOKUP($W$9,'TABCV(Female)'!$A$2:$QQ$431,H20+307,FALSE)),0)</f>
        <v>0</v>
      </c>
    </row>
    <row r="21" spans="1:47" s="16" customFormat="1" ht="30" hidden="1" customHeight="1">
      <c r="A21" s="145"/>
      <c r="G21" s="556">
        <f>IF(G20="","",IF(กรอกข้อมูล!$C$5+H20&gt;79,"",กรอกข้อมูล!$C$5+H20))</f>
        <v>51</v>
      </c>
      <c r="H21" s="563">
        <f t="shared" si="12"/>
        <v>8</v>
      </c>
      <c r="I21" s="564">
        <f t="shared" si="0"/>
        <v>0</v>
      </c>
      <c r="J21" s="565">
        <f t="shared" si="1"/>
        <v>0</v>
      </c>
      <c r="K21" s="565">
        <f t="shared" si="2"/>
        <v>0</v>
      </c>
      <c r="L21" s="1622" t="str">
        <f t="shared" si="3"/>
        <v>-</v>
      </c>
      <c r="M21" s="566">
        <f t="shared" si="4"/>
        <v>0</v>
      </c>
      <c r="N21" s="567">
        <f t="shared" si="5"/>
        <v>0</v>
      </c>
      <c r="S21" s="150"/>
      <c r="T21" s="1237"/>
      <c r="U21" s="1631">
        <f t="shared" si="15"/>
        <v>0</v>
      </c>
      <c r="V21" s="1632">
        <f t="shared" si="16"/>
        <v>0</v>
      </c>
      <c r="W21" s="1631">
        <f t="shared" si="13"/>
        <v>0</v>
      </c>
      <c r="X21" s="1631">
        <f t="shared" si="14"/>
        <v>0</v>
      </c>
      <c r="Y21" s="1631">
        <f t="shared" si="10"/>
        <v>0</v>
      </c>
      <c r="Z21" s="1631">
        <f t="shared" si="11"/>
        <v>0</v>
      </c>
      <c r="AA21" s="1614" t="s">
        <v>2072</v>
      </c>
      <c r="AB21" s="1614" t="s">
        <v>1751</v>
      </c>
      <c r="AC21" s="1614">
        <f>IFERROR(IF($W$6="M",VLOOKUP($W$9,'TABCV(Male)'!$A$2:$QQ$431,H21+105,FALSE),VLOOKUP($W$9,'TABCV(Female)'!$A$2:$QQ$431,H21+105,FALSE)),0)</f>
        <v>0</v>
      </c>
      <c r="AD21" s="18"/>
      <c r="AE21" s="1614" t="s">
        <v>2073</v>
      </c>
      <c r="AF21" s="1614" t="s">
        <v>1852</v>
      </c>
      <c r="AG21" s="1614">
        <f>IFERROR(IF($W$6="M",VLOOKUP($W$9,'TABCV(Male)'!$A$2:$QQ$431,H21+206,FALSE),VLOOKUP($W$9,'TABCV(Female)'!$A$2:$QQ$431,H21+206,FALSE)),0)</f>
        <v>0</v>
      </c>
      <c r="AH21" s="18"/>
      <c r="AI21" s="1614" t="s">
        <v>2074</v>
      </c>
      <c r="AJ21" s="1614" t="s">
        <v>1953</v>
      </c>
      <c r="AK21" s="1614">
        <f>IFERROR(IF($W$6="M",VLOOKUP($W$9,'TABCV(Male)'!$A$2:$QQ$431,H21+307,FALSE),VLOOKUP($W$9,'TABCV(Female)'!$A$2:$QQ$431,H21+307,FALSE)),0)</f>
        <v>0</v>
      </c>
    </row>
    <row r="22" spans="1:47" s="16" customFormat="1" ht="30" hidden="1" customHeight="1">
      <c r="A22" s="145"/>
      <c r="G22" s="556">
        <f>IF(G21="","",IF(กรอกข้อมูล!$C$5+H21&gt;79,"",กรอกข้อมูล!$C$5+H21))</f>
        <v>52</v>
      </c>
      <c r="H22" s="563">
        <f t="shared" si="12"/>
        <v>9</v>
      </c>
      <c r="I22" s="564">
        <f t="shared" si="0"/>
        <v>0</v>
      </c>
      <c r="J22" s="565">
        <f t="shared" si="1"/>
        <v>0</v>
      </c>
      <c r="K22" s="565">
        <f t="shared" si="2"/>
        <v>0</v>
      </c>
      <c r="L22" s="1622" t="str">
        <f t="shared" si="3"/>
        <v>-</v>
      </c>
      <c r="M22" s="566">
        <f t="shared" si="4"/>
        <v>0</v>
      </c>
      <c r="N22" s="567">
        <f t="shared" si="5"/>
        <v>0</v>
      </c>
      <c r="S22" s="150"/>
      <c r="T22" s="1237"/>
      <c r="U22" s="1631">
        <f t="shared" si="15"/>
        <v>0</v>
      </c>
      <c r="V22" s="1632">
        <f t="shared" si="16"/>
        <v>0</v>
      </c>
      <c r="W22" s="1631">
        <f t="shared" si="13"/>
        <v>0</v>
      </c>
      <c r="X22" s="1631">
        <f t="shared" si="14"/>
        <v>0</v>
      </c>
      <c r="Y22" s="1631">
        <f t="shared" si="10"/>
        <v>0</v>
      </c>
      <c r="Z22" s="1631">
        <f t="shared" si="11"/>
        <v>0</v>
      </c>
      <c r="AA22" s="1614" t="s">
        <v>2075</v>
      </c>
      <c r="AB22" s="1614" t="s">
        <v>1752</v>
      </c>
      <c r="AC22" s="1614">
        <f>IFERROR(IF($W$6="M",VLOOKUP($W$9,'TABCV(Male)'!$A$2:$QQ$431,H22+105,FALSE),VLOOKUP($W$9,'TABCV(Female)'!$A$2:$QQ$431,H22+105,FALSE)),0)</f>
        <v>0</v>
      </c>
      <c r="AD22" s="18"/>
      <c r="AE22" s="1614" t="s">
        <v>2076</v>
      </c>
      <c r="AF22" s="1614" t="s">
        <v>1853</v>
      </c>
      <c r="AG22" s="1614">
        <f>IFERROR(IF($W$6="M",VLOOKUP($W$9,'TABCV(Male)'!$A$2:$QQ$431,H22+206,FALSE),VLOOKUP($W$9,'TABCV(Female)'!$A$2:$QQ$431,H22+206,FALSE)),0)</f>
        <v>0</v>
      </c>
      <c r="AH22" s="18"/>
      <c r="AI22" s="1614" t="s">
        <v>2077</v>
      </c>
      <c r="AJ22" s="1614" t="s">
        <v>1954</v>
      </c>
      <c r="AK22" s="1614">
        <f>IFERROR(IF($W$6="M",VLOOKUP($W$9,'TABCV(Male)'!$A$2:$QQ$431,H22+307,FALSE),VLOOKUP($W$9,'TABCV(Female)'!$A$2:$QQ$431,H22+307,FALSE)),0)</f>
        <v>0</v>
      </c>
      <c r="AN22" s="2079"/>
      <c r="AO22" s="2071"/>
      <c r="AP22" s="2094"/>
      <c r="AQ22" s="2094"/>
      <c r="AR22" s="2094"/>
      <c r="AS22" s="2094"/>
      <c r="AT22" s="2094"/>
      <c r="AU22" s="2094"/>
    </row>
    <row r="23" spans="1:47" s="16" customFormat="1" ht="30" hidden="1" customHeight="1">
      <c r="A23" s="145"/>
      <c r="G23" s="556">
        <f>IF(G22="","",IF(กรอกข้อมูล!$C$5+H22&gt;79,"",กรอกข้อมูล!$C$5+H22))</f>
        <v>53</v>
      </c>
      <c r="H23" s="563">
        <f t="shared" si="12"/>
        <v>10</v>
      </c>
      <c r="I23" s="564">
        <f t="shared" si="0"/>
        <v>0</v>
      </c>
      <c r="J23" s="565">
        <f t="shared" si="1"/>
        <v>0</v>
      </c>
      <c r="K23" s="565">
        <f t="shared" si="2"/>
        <v>0</v>
      </c>
      <c r="L23" s="1622" t="str">
        <f t="shared" si="3"/>
        <v>-</v>
      </c>
      <c r="M23" s="566">
        <f t="shared" si="4"/>
        <v>0</v>
      </c>
      <c r="N23" s="567">
        <f t="shared" si="5"/>
        <v>0</v>
      </c>
      <c r="S23" s="150"/>
      <c r="T23" s="1237"/>
      <c r="U23" s="1631">
        <f t="shared" si="15"/>
        <v>0</v>
      </c>
      <c r="V23" s="1632">
        <f t="shared" si="16"/>
        <v>0</v>
      </c>
      <c r="W23" s="1631">
        <f t="shared" si="13"/>
        <v>0</v>
      </c>
      <c r="X23" s="1631">
        <f t="shared" si="14"/>
        <v>0</v>
      </c>
      <c r="Y23" s="1631">
        <f t="shared" si="10"/>
        <v>0</v>
      </c>
      <c r="Z23" s="1631">
        <f t="shared" si="11"/>
        <v>0</v>
      </c>
      <c r="AA23" s="1614" t="s">
        <v>2078</v>
      </c>
      <c r="AB23" s="1614" t="s">
        <v>1753</v>
      </c>
      <c r="AC23" s="1614">
        <f>IFERROR(IF($W$6="M",VLOOKUP($W$9,'TABCV(Male)'!$A$2:$QQ$431,H23+105,FALSE),VLOOKUP($W$9,'TABCV(Female)'!$A$2:$QQ$431,H23+105,FALSE)),0)</f>
        <v>0</v>
      </c>
      <c r="AD23" s="18"/>
      <c r="AE23" s="1614" t="s">
        <v>2079</v>
      </c>
      <c r="AF23" s="1614" t="s">
        <v>1854</v>
      </c>
      <c r="AG23" s="1614">
        <f>IFERROR(IF($W$6="M",VLOOKUP($W$9,'TABCV(Male)'!$A$2:$QQ$431,H23+206,FALSE),VLOOKUP($W$9,'TABCV(Female)'!$A$2:$QQ$431,H23+206,FALSE)),0)</f>
        <v>0</v>
      </c>
      <c r="AH23" s="18"/>
      <c r="AI23" s="1614" t="s">
        <v>2080</v>
      </c>
      <c r="AJ23" s="1614" t="s">
        <v>1955</v>
      </c>
      <c r="AK23" s="1614">
        <f>IFERROR(IF($W$6="M",VLOOKUP($W$9,'TABCV(Male)'!$A$2:$QQ$431,H23+307,FALSE),VLOOKUP($W$9,'TABCV(Female)'!$A$2:$QQ$431,H23+307,FALSE)),0)</f>
        <v>0</v>
      </c>
      <c r="AN23" s="2080"/>
      <c r="AO23" s="2072"/>
      <c r="AP23" s="2095"/>
      <c r="AQ23" s="2095"/>
      <c r="AR23" s="2095"/>
      <c r="AS23" s="2095"/>
      <c r="AT23" s="2095"/>
      <c r="AU23" s="2095"/>
    </row>
    <row r="24" spans="1:47" s="16" customFormat="1" ht="30" hidden="1" customHeight="1">
      <c r="A24" s="145"/>
      <c r="G24" s="556">
        <f>IF(G23="","",IF(กรอกข้อมูล!$C$5+H23&gt;79,"",กรอกข้อมูล!$C$5+H23))</f>
        <v>54</v>
      </c>
      <c r="H24" s="557">
        <f t="shared" si="12"/>
        <v>11</v>
      </c>
      <c r="I24" s="558">
        <f t="shared" si="0"/>
        <v>0</v>
      </c>
      <c r="J24" s="568">
        <f t="shared" si="1"/>
        <v>0</v>
      </c>
      <c r="K24" s="568">
        <f t="shared" si="2"/>
        <v>0</v>
      </c>
      <c r="L24" s="1623" t="str">
        <f t="shared" si="3"/>
        <v>-</v>
      </c>
      <c r="M24" s="560">
        <f t="shared" si="4"/>
        <v>0</v>
      </c>
      <c r="N24" s="562">
        <f t="shared" si="5"/>
        <v>0</v>
      </c>
      <c r="S24" s="150"/>
      <c r="T24" s="1237"/>
      <c r="U24" s="1631">
        <f t="shared" si="15"/>
        <v>0</v>
      </c>
      <c r="V24" s="1632">
        <f t="shared" si="16"/>
        <v>0</v>
      </c>
      <c r="W24" s="1631">
        <f t="shared" si="13"/>
        <v>0</v>
      </c>
      <c r="X24" s="1631">
        <f t="shared" si="14"/>
        <v>0</v>
      </c>
      <c r="Y24" s="1631">
        <f t="shared" si="10"/>
        <v>0</v>
      </c>
      <c r="Z24" s="1631">
        <f t="shared" si="11"/>
        <v>0</v>
      </c>
      <c r="AA24" s="1614" t="s">
        <v>2081</v>
      </c>
      <c r="AB24" s="1614" t="s">
        <v>1754</v>
      </c>
      <c r="AC24" s="1614">
        <f>IFERROR(IF($W$6="M",VLOOKUP($W$9,'TABCV(Male)'!$A$2:$QQ$431,H24+105,FALSE),VLOOKUP($W$9,'TABCV(Female)'!$A$2:$QQ$431,H24+105,FALSE)),0)</f>
        <v>0</v>
      </c>
      <c r="AD24" s="18"/>
      <c r="AE24" s="1614" t="s">
        <v>2082</v>
      </c>
      <c r="AF24" s="1614" t="s">
        <v>1855</v>
      </c>
      <c r="AG24" s="1614">
        <f>IFERROR(IF($W$6="M",VLOOKUP($W$9,'TABCV(Male)'!$A$2:$QQ$431,H24+206,FALSE),VLOOKUP($W$9,'TABCV(Female)'!$A$2:$QQ$431,H24+206,FALSE)),0)</f>
        <v>0</v>
      </c>
      <c r="AH24" s="18"/>
      <c r="AI24" s="1614" t="s">
        <v>2083</v>
      </c>
      <c r="AJ24" s="1614" t="s">
        <v>1956</v>
      </c>
      <c r="AK24" s="1614">
        <f>IFERROR(IF($W$6="M",VLOOKUP($W$9,'TABCV(Male)'!$A$2:$QQ$431,H24+307,FALSE),VLOOKUP($W$9,'TABCV(Female)'!$A$2:$QQ$431,H24+307,FALSE)),0)</f>
        <v>0</v>
      </c>
      <c r="AN24" s="2081"/>
      <c r="AO24" s="2073"/>
      <c r="AP24" s="2095"/>
      <c r="AQ24" s="2095"/>
      <c r="AR24" s="1626"/>
      <c r="AS24" s="1626"/>
      <c r="AT24" s="2095"/>
      <c r="AU24" s="2095"/>
    </row>
    <row r="25" spans="1:47" s="16" customFormat="1" ht="30" hidden="1" customHeight="1">
      <c r="A25" s="145"/>
      <c r="G25" s="556">
        <f>IF(G24="","",IF(กรอกข้อมูล!$C$5+H24&gt;79,"",กรอกข้อมูล!$C$5+H24))</f>
        <v>55</v>
      </c>
      <c r="H25" s="557">
        <f t="shared" si="12"/>
        <v>12</v>
      </c>
      <c r="I25" s="558">
        <f t="shared" si="0"/>
        <v>0</v>
      </c>
      <c r="J25" s="568">
        <f t="shared" si="1"/>
        <v>0</v>
      </c>
      <c r="K25" s="568">
        <f t="shared" si="2"/>
        <v>0</v>
      </c>
      <c r="L25" s="1623" t="str">
        <f t="shared" si="3"/>
        <v>-</v>
      </c>
      <c r="M25" s="560">
        <f t="shared" si="4"/>
        <v>0</v>
      </c>
      <c r="N25" s="562">
        <f t="shared" si="5"/>
        <v>0</v>
      </c>
      <c r="S25" s="150"/>
      <c r="T25" s="1237"/>
      <c r="U25" s="1631">
        <f t="shared" si="15"/>
        <v>0</v>
      </c>
      <c r="V25" s="1632">
        <f t="shared" si="16"/>
        <v>0</v>
      </c>
      <c r="W25" s="1631">
        <f t="shared" si="13"/>
        <v>0</v>
      </c>
      <c r="X25" s="1631">
        <f t="shared" si="14"/>
        <v>0</v>
      </c>
      <c r="Y25" s="1631">
        <f t="shared" si="10"/>
        <v>0</v>
      </c>
      <c r="Z25" s="1631">
        <f t="shared" si="11"/>
        <v>0</v>
      </c>
      <c r="AA25" s="1614" t="s">
        <v>2084</v>
      </c>
      <c r="AB25" s="1614" t="s">
        <v>1755</v>
      </c>
      <c r="AC25" s="1614">
        <f>IFERROR(IF($W$6="M",VLOOKUP($W$9,'TABCV(Male)'!$A$2:$QQ$431,H25+105,FALSE),VLOOKUP($W$9,'TABCV(Female)'!$A$2:$QQ$431,H25+105,FALSE)),0)</f>
        <v>0</v>
      </c>
      <c r="AD25" s="18"/>
      <c r="AE25" s="1614" t="s">
        <v>2085</v>
      </c>
      <c r="AF25" s="1614" t="s">
        <v>1856</v>
      </c>
      <c r="AG25" s="1614">
        <f>IFERROR(IF($W$6="M",VLOOKUP($W$9,'TABCV(Male)'!$A$2:$QQ$431,H25+206,FALSE),VLOOKUP($W$9,'TABCV(Female)'!$A$2:$QQ$431,H25+206,FALSE)),0)</f>
        <v>0</v>
      </c>
      <c r="AH25" s="18"/>
      <c r="AI25" s="1614" t="s">
        <v>2086</v>
      </c>
      <c r="AJ25" s="1614" t="s">
        <v>1957</v>
      </c>
      <c r="AK25" s="1614">
        <f>IFERROR(IF($W$6="M",VLOOKUP($W$9,'TABCV(Male)'!$A$2:$QQ$431,H25+307,FALSE),VLOOKUP($W$9,'TABCV(Female)'!$A$2:$QQ$431,H25+307,FALSE)),0)</f>
        <v>0</v>
      </c>
      <c r="AN25" s="552"/>
      <c r="AO25" s="572"/>
      <c r="AP25" s="573"/>
      <c r="AQ25" s="573"/>
      <c r="AR25" s="573"/>
      <c r="AS25" s="1627"/>
      <c r="AT25" s="555"/>
      <c r="AU25" s="574"/>
    </row>
    <row r="26" spans="1:47" s="16" customFormat="1" ht="30" hidden="1" customHeight="1">
      <c r="A26" s="145"/>
      <c r="G26" s="556">
        <f>IF(G25="","",IF(กรอกข้อมูล!$C$5+H25&gt;79,"",กรอกข้อมูล!$C$5+H25))</f>
        <v>56</v>
      </c>
      <c r="H26" s="557">
        <f t="shared" si="12"/>
        <v>13</v>
      </c>
      <c r="I26" s="558">
        <f t="shared" si="0"/>
        <v>0</v>
      </c>
      <c r="J26" s="568">
        <f t="shared" si="1"/>
        <v>0</v>
      </c>
      <c r="K26" s="568">
        <f t="shared" si="2"/>
        <v>0</v>
      </c>
      <c r="L26" s="1623" t="str">
        <f t="shared" si="3"/>
        <v>-</v>
      </c>
      <c r="M26" s="560">
        <f t="shared" si="4"/>
        <v>0</v>
      </c>
      <c r="N26" s="562">
        <f t="shared" si="5"/>
        <v>0</v>
      </c>
      <c r="S26" s="150"/>
      <c r="T26" s="1237"/>
      <c r="U26" s="1631">
        <f t="shared" si="15"/>
        <v>0</v>
      </c>
      <c r="V26" s="1632">
        <f t="shared" si="16"/>
        <v>0</v>
      </c>
      <c r="W26" s="1631">
        <f t="shared" si="13"/>
        <v>0</v>
      </c>
      <c r="X26" s="1631">
        <f t="shared" si="14"/>
        <v>0</v>
      </c>
      <c r="Y26" s="1631">
        <f t="shared" si="10"/>
        <v>0</v>
      </c>
      <c r="Z26" s="1631">
        <f t="shared" si="11"/>
        <v>0</v>
      </c>
      <c r="AA26" s="1614" t="s">
        <v>2087</v>
      </c>
      <c r="AB26" s="1614" t="s">
        <v>1756</v>
      </c>
      <c r="AC26" s="1614">
        <f>IFERROR(IF($W$6="M",VLOOKUP($W$9,'TABCV(Male)'!$A$2:$QQ$431,H26+105,FALSE),VLOOKUP($W$9,'TABCV(Female)'!$A$2:$QQ$431,H26+105,FALSE)),0)</f>
        <v>0</v>
      </c>
      <c r="AD26" s="18"/>
      <c r="AE26" s="1614" t="s">
        <v>2088</v>
      </c>
      <c r="AF26" s="1614" t="s">
        <v>1857</v>
      </c>
      <c r="AG26" s="1614">
        <f>IFERROR(IF($W$6="M",VLOOKUP($W$9,'TABCV(Male)'!$A$2:$QQ$431,H26+206,FALSE),VLOOKUP($W$9,'TABCV(Female)'!$A$2:$QQ$431,H26+206,FALSE)),0)</f>
        <v>0</v>
      </c>
      <c r="AH26" s="18"/>
      <c r="AI26" s="1614" t="s">
        <v>2089</v>
      </c>
      <c r="AJ26" s="1614" t="s">
        <v>1958</v>
      </c>
      <c r="AK26" s="1614">
        <f>IFERROR(IF($W$6="M",VLOOKUP($W$9,'TABCV(Male)'!$A$2:$QQ$431,H26+307,FALSE),VLOOKUP($W$9,'TABCV(Female)'!$A$2:$QQ$431,H26+307,FALSE)),0)</f>
        <v>0</v>
      </c>
      <c r="AN26" s="557"/>
      <c r="AO26" s="575"/>
      <c r="AP26" s="568"/>
      <c r="AQ26" s="568"/>
      <c r="AR26" s="568"/>
      <c r="AS26" s="1623"/>
      <c r="AT26" s="560"/>
      <c r="AU26" s="562"/>
    </row>
    <row r="27" spans="1:47" s="16" customFormat="1" ht="30" hidden="1" customHeight="1">
      <c r="A27" s="145"/>
      <c r="G27" s="556">
        <f>IF(G26="","",IF(กรอกข้อมูล!$C$5+H26&gt;79,"",กรอกข้อมูล!$C$5+H26))</f>
        <v>57</v>
      </c>
      <c r="H27" s="557">
        <f t="shared" si="12"/>
        <v>14</v>
      </c>
      <c r="I27" s="558">
        <f t="shared" si="0"/>
        <v>0</v>
      </c>
      <c r="J27" s="568">
        <f t="shared" si="1"/>
        <v>0</v>
      </c>
      <c r="K27" s="568">
        <f t="shared" si="2"/>
        <v>0</v>
      </c>
      <c r="L27" s="1623" t="str">
        <f t="shared" si="3"/>
        <v>-</v>
      </c>
      <c r="M27" s="560">
        <f t="shared" si="4"/>
        <v>0</v>
      </c>
      <c r="N27" s="562">
        <f t="shared" si="5"/>
        <v>0</v>
      </c>
      <c r="S27" s="150"/>
      <c r="T27" s="1237"/>
      <c r="U27" s="1631">
        <f t="shared" si="15"/>
        <v>0</v>
      </c>
      <c r="V27" s="1632">
        <f t="shared" si="16"/>
        <v>0</v>
      </c>
      <c r="W27" s="1631">
        <f t="shared" si="13"/>
        <v>0</v>
      </c>
      <c r="X27" s="1631">
        <f t="shared" si="14"/>
        <v>0</v>
      </c>
      <c r="Y27" s="1631">
        <f t="shared" si="10"/>
        <v>0</v>
      </c>
      <c r="Z27" s="1631">
        <f t="shared" si="11"/>
        <v>0</v>
      </c>
      <c r="AA27" s="1614" t="s">
        <v>2090</v>
      </c>
      <c r="AB27" s="1614" t="s">
        <v>1757</v>
      </c>
      <c r="AC27" s="1614">
        <f>IFERROR(IF($W$6="M",VLOOKUP($W$9,'TABCV(Male)'!$A$2:$QQ$431,H27+105,FALSE),VLOOKUP($W$9,'TABCV(Female)'!$A$2:$QQ$431,H27+105,FALSE)),0)</f>
        <v>0</v>
      </c>
      <c r="AD27" s="18"/>
      <c r="AE27" s="1614" t="s">
        <v>2091</v>
      </c>
      <c r="AF27" s="1614" t="s">
        <v>1858</v>
      </c>
      <c r="AG27" s="1614">
        <f>IFERROR(IF($W$6="M",VLOOKUP($W$9,'TABCV(Male)'!$A$2:$QQ$431,H27+206,FALSE),VLOOKUP($W$9,'TABCV(Female)'!$A$2:$QQ$431,H27+206,FALSE)),0)</f>
        <v>0</v>
      </c>
      <c r="AH27" s="18"/>
      <c r="AI27" s="1614" t="s">
        <v>2092</v>
      </c>
      <c r="AJ27" s="1614" t="s">
        <v>1959</v>
      </c>
      <c r="AK27" s="1614">
        <f>IFERROR(IF($W$6="M",VLOOKUP($W$9,'TABCV(Male)'!$A$2:$QQ$431,H27+307,FALSE),VLOOKUP($W$9,'TABCV(Female)'!$A$2:$QQ$431,H27+307,FALSE)),0)</f>
        <v>0</v>
      </c>
      <c r="AN27" s="557"/>
      <c r="AO27" s="575"/>
      <c r="AP27" s="568"/>
      <c r="AQ27" s="568"/>
      <c r="AR27" s="568"/>
      <c r="AS27" s="1623"/>
      <c r="AT27" s="560"/>
      <c r="AU27" s="562"/>
    </row>
    <row r="28" spans="1:47" s="16" customFormat="1" ht="30" hidden="1" customHeight="1">
      <c r="A28" s="145"/>
      <c r="G28" s="556">
        <f>IF(G27="","",IF(กรอกข้อมูล!$C$5+H27&gt;79,"",กรอกข้อมูล!$C$5+H27))</f>
        <v>58</v>
      </c>
      <c r="H28" s="557">
        <f t="shared" si="12"/>
        <v>15</v>
      </c>
      <c r="I28" s="558">
        <f t="shared" si="0"/>
        <v>0</v>
      </c>
      <c r="J28" s="568">
        <f t="shared" si="1"/>
        <v>0</v>
      </c>
      <c r="K28" s="568">
        <f t="shared" si="2"/>
        <v>0</v>
      </c>
      <c r="L28" s="1623" t="str">
        <f t="shared" si="3"/>
        <v>-</v>
      </c>
      <c r="M28" s="560">
        <f t="shared" si="4"/>
        <v>0</v>
      </c>
      <c r="N28" s="562">
        <f t="shared" si="5"/>
        <v>0</v>
      </c>
      <c r="S28" s="150"/>
      <c r="T28" s="1237"/>
      <c r="U28" s="1631">
        <f t="shared" si="15"/>
        <v>0</v>
      </c>
      <c r="V28" s="1632">
        <f t="shared" si="16"/>
        <v>0</v>
      </c>
      <c r="W28" s="1631">
        <f t="shared" si="13"/>
        <v>0</v>
      </c>
      <c r="X28" s="1631">
        <f t="shared" si="14"/>
        <v>0</v>
      </c>
      <c r="Y28" s="1631">
        <f t="shared" si="10"/>
        <v>0</v>
      </c>
      <c r="Z28" s="1631">
        <f t="shared" si="11"/>
        <v>0</v>
      </c>
      <c r="AA28" s="1614" t="s">
        <v>2093</v>
      </c>
      <c r="AB28" s="1614" t="s">
        <v>1758</v>
      </c>
      <c r="AC28" s="1614">
        <f>IFERROR(IF($W$6="M",VLOOKUP($W$9,'TABCV(Male)'!$A$2:$QQ$431,H28+105,FALSE),VLOOKUP($W$9,'TABCV(Female)'!$A$2:$QQ$431,H28+105,FALSE)),0)</f>
        <v>0</v>
      </c>
      <c r="AD28" s="18"/>
      <c r="AE28" s="1614" t="s">
        <v>2094</v>
      </c>
      <c r="AF28" s="1614" t="s">
        <v>1859</v>
      </c>
      <c r="AG28" s="1614">
        <f>IFERROR(IF($W$6="M",VLOOKUP($W$9,'TABCV(Male)'!$A$2:$QQ$431,H28+206,FALSE),VLOOKUP($W$9,'TABCV(Female)'!$A$2:$QQ$431,H28+206,FALSE)),0)</f>
        <v>0</v>
      </c>
      <c r="AH28" s="18"/>
      <c r="AI28" s="1614" t="s">
        <v>2095</v>
      </c>
      <c r="AJ28" s="1614" t="s">
        <v>1960</v>
      </c>
      <c r="AK28" s="1614">
        <f>IFERROR(IF($W$6="M",VLOOKUP($W$9,'TABCV(Male)'!$A$2:$QQ$431,H28+307,FALSE),VLOOKUP($W$9,'TABCV(Female)'!$A$2:$QQ$431,H28+307,FALSE)),0)</f>
        <v>0</v>
      </c>
      <c r="AN28" s="557"/>
      <c r="AO28" s="575"/>
      <c r="AP28" s="568"/>
      <c r="AQ28" s="568"/>
      <c r="AR28" s="568"/>
      <c r="AS28" s="1623"/>
      <c r="AT28" s="560"/>
      <c r="AU28" s="562"/>
    </row>
    <row r="29" spans="1:47" s="16" customFormat="1" ht="30" hidden="1" customHeight="1">
      <c r="A29" s="145"/>
      <c r="G29" s="556">
        <f>IF(G28="","",IF(กรอกข้อมูล!$C$5+H28&gt;79,"",กรอกข้อมูล!$C$5+H28))</f>
        <v>59</v>
      </c>
      <c r="H29" s="569">
        <f t="shared" si="12"/>
        <v>16</v>
      </c>
      <c r="I29" s="565">
        <f t="shared" si="0"/>
        <v>0</v>
      </c>
      <c r="J29" s="565">
        <f t="shared" si="1"/>
        <v>0</v>
      </c>
      <c r="K29" s="565">
        <f t="shared" si="2"/>
        <v>0</v>
      </c>
      <c r="L29" s="1622" t="str">
        <f t="shared" si="3"/>
        <v>-</v>
      </c>
      <c r="M29" s="566">
        <f t="shared" si="4"/>
        <v>0</v>
      </c>
      <c r="N29" s="567">
        <f t="shared" si="5"/>
        <v>0</v>
      </c>
      <c r="S29" s="150"/>
      <c r="T29" s="1237"/>
      <c r="U29" s="1631">
        <f t="shared" si="15"/>
        <v>0</v>
      </c>
      <c r="V29" s="1632">
        <f t="shared" si="16"/>
        <v>0</v>
      </c>
      <c r="W29" s="1631">
        <f t="shared" si="13"/>
        <v>0</v>
      </c>
      <c r="X29" s="1631">
        <f t="shared" si="14"/>
        <v>0</v>
      </c>
      <c r="Y29" s="1631">
        <f t="shared" si="10"/>
        <v>0</v>
      </c>
      <c r="Z29" s="1631">
        <f t="shared" si="11"/>
        <v>0</v>
      </c>
      <c r="AA29" s="1614" t="s">
        <v>2096</v>
      </c>
      <c r="AB29" s="1614" t="s">
        <v>1759</v>
      </c>
      <c r="AC29" s="1614">
        <f>IFERROR(IF($W$6="M",VLOOKUP($W$9,'TABCV(Male)'!$A$2:$QQ$431,H29+105,FALSE),VLOOKUP($W$9,'TABCV(Female)'!$A$2:$QQ$431,H29+105,FALSE)),0)</f>
        <v>0</v>
      </c>
      <c r="AD29" s="18"/>
      <c r="AE29" s="1614" t="s">
        <v>2097</v>
      </c>
      <c r="AF29" s="1614" t="s">
        <v>1860</v>
      </c>
      <c r="AG29" s="1614">
        <f>IFERROR(IF($W$6="M",VLOOKUP($W$9,'TABCV(Male)'!$A$2:$QQ$431,H29+206,FALSE),VLOOKUP($W$9,'TABCV(Female)'!$A$2:$QQ$431,H29+206,FALSE)),0)</f>
        <v>0</v>
      </c>
      <c r="AH29" s="18"/>
      <c r="AI29" s="1614" t="s">
        <v>2098</v>
      </c>
      <c r="AJ29" s="1614" t="s">
        <v>1961</v>
      </c>
      <c r="AK29" s="1614">
        <f>IFERROR(IF($W$6="M",VLOOKUP($W$9,'TABCV(Male)'!$A$2:$QQ$431,H29+307,FALSE),VLOOKUP($W$9,'TABCV(Female)'!$A$2:$QQ$431,H29+307,FALSE)),0)</f>
        <v>0</v>
      </c>
      <c r="AN29" s="557"/>
      <c r="AO29" s="575"/>
      <c r="AP29" s="568"/>
      <c r="AQ29" s="568"/>
      <c r="AR29" s="568"/>
      <c r="AS29" s="1623"/>
      <c r="AT29" s="560"/>
      <c r="AU29" s="562"/>
    </row>
    <row r="30" spans="1:47" s="16" customFormat="1" ht="30" hidden="1" customHeight="1">
      <c r="A30" s="145"/>
      <c r="G30" s="556">
        <f>IF(G29="","",IF(กรอกข้อมูล!$C$5+H29&gt;79,"",กรอกข้อมูล!$C$5+H29))</f>
        <v>60</v>
      </c>
      <c r="H30" s="569">
        <f t="shared" si="12"/>
        <v>17</v>
      </c>
      <c r="I30" s="565">
        <f t="shared" si="0"/>
        <v>0</v>
      </c>
      <c r="J30" s="565">
        <f t="shared" si="1"/>
        <v>0</v>
      </c>
      <c r="K30" s="565">
        <f t="shared" si="2"/>
        <v>0</v>
      </c>
      <c r="L30" s="1622" t="str">
        <f t="shared" si="3"/>
        <v>-</v>
      </c>
      <c r="M30" s="566">
        <f t="shared" si="4"/>
        <v>0</v>
      </c>
      <c r="N30" s="567">
        <f t="shared" si="5"/>
        <v>0</v>
      </c>
      <c r="S30" s="150"/>
      <c r="T30" s="1237"/>
      <c r="U30" s="1631">
        <f t="shared" si="15"/>
        <v>0</v>
      </c>
      <c r="V30" s="1632">
        <f t="shared" si="16"/>
        <v>0</v>
      </c>
      <c r="W30" s="1631">
        <f t="shared" si="13"/>
        <v>0</v>
      </c>
      <c r="X30" s="1631">
        <f t="shared" si="14"/>
        <v>0</v>
      </c>
      <c r="Y30" s="1631">
        <f t="shared" si="10"/>
        <v>0</v>
      </c>
      <c r="Z30" s="1631">
        <f t="shared" si="11"/>
        <v>0</v>
      </c>
      <c r="AA30" s="1614" t="s">
        <v>2099</v>
      </c>
      <c r="AB30" s="1614" t="s">
        <v>1760</v>
      </c>
      <c r="AC30" s="1614">
        <f>IFERROR(IF($W$6="M",VLOOKUP($W$9,'TABCV(Male)'!$A$2:$QQ$431,H30+105,FALSE),VLOOKUP($W$9,'TABCV(Female)'!$A$2:$QQ$431,H30+105,FALSE)),0)</f>
        <v>0</v>
      </c>
      <c r="AD30" s="18"/>
      <c r="AE30" s="1614" t="s">
        <v>2100</v>
      </c>
      <c r="AF30" s="1614" t="s">
        <v>1861</v>
      </c>
      <c r="AG30" s="1614">
        <f>IFERROR(IF($W$6="M",VLOOKUP($W$9,'TABCV(Male)'!$A$2:$QQ$431,H30+206,FALSE),VLOOKUP($W$9,'TABCV(Female)'!$A$2:$QQ$431,H30+206,FALSE)),0)</f>
        <v>0</v>
      </c>
      <c r="AH30" s="18"/>
      <c r="AI30" s="1614" t="s">
        <v>2101</v>
      </c>
      <c r="AJ30" s="1614" t="s">
        <v>1962</v>
      </c>
      <c r="AK30" s="1614">
        <f>IFERROR(IF($W$6="M",VLOOKUP($W$9,'TABCV(Male)'!$A$2:$QQ$431,H30+307,FALSE),VLOOKUP($W$9,'TABCV(Female)'!$A$2:$QQ$431,H30+307,FALSE)),0)</f>
        <v>0</v>
      </c>
      <c r="AN30" s="557"/>
      <c r="AO30" s="563"/>
      <c r="AP30" s="564"/>
      <c r="AQ30" s="565"/>
      <c r="AR30" s="565"/>
      <c r="AS30" s="1622"/>
      <c r="AT30" s="566"/>
      <c r="AU30" s="567"/>
    </row>
    <row r="31" spans="1:47" s="16" customFormat="1" ht="30" hidden="1" customHeight="1">
      <c r="A31" s="145"/>
      <c r="G31" s="556">
        <f>IF(G30="","",IF(กรอกข้อมูล!$C$5+H30&gt;79,"",กรอกข้อมูล!$C$5+H30))</f>
        <v>61</v>
      </c>
      <c r="H31" s="569">
        <f t="shared" si="12"/>
        <v>18</v>
      </c>
      <c r="I31" s="565">
        <f t="shared" si="0"/>
        <v>0</v>
      </c>
      <c r="J31" s="565">
        <f t="shared" si="1"/>
        <v>0</v>
      </c>
      <c r="K31" s="565">
        <f t="shared" si="2"/>
        <v>0</v>
      </c>
      <c r="L31" s="1622" t="str">
        <f t="shared" si="3"/>
        <v>-</v>
      </c>
      <c r="M31" s="566">
        <f t="shared" si="4"/>
        <v>0</v>
      </c>
      <c r="N31" s="567">
        <f t="shared" si="5"/>
        <v>0</v>
      </c>
      <c r="S31" s="150"/>
      <c r="T31" s="1237"/>
      <c r="U31" s="1631">
        <f t="shared" si="15"/>
        <v>0</v>
      </c>
      <c r="V31" s="1632">
        <f t="shared" si="16"/>
        <v>0</v>
      </c>
      <c r="W31" s="1631">
        <f t="shared" si="13"/>
        <v>0</v>
      </c>
      <c r="X31" s="1631">
        <f t="shared" si="14"/>
        <v>0</v>
      </c>
      <c r="Y31" s="1631">
        <f t="shared" si="10"/>
        <v>0</v>
      </c>
      <c r="Z31" s="1631">
        <f t="shared" si="11"/>
        <v>0</v>
      </c>
      <c r="AA31" s="1614" t="s">
        <v>2102</v>
      </c>
      <c r="AB31" s="1614" t="s">
        <v>1761</v>
      </c>
      <c r="AC31" s="1614">
        <f>IFERROR(IF($W$6="M",VLOOKUP($W$9,'TABCV(Male)'!$A$2:$QQ$431,H31+105,FALSE),VLOOKUP($W$9,'TABCV(Female)'!$A$2:$QQ$431,H31+105,FALSE)),0)</f>
        <v>0</v>
      </c>
      <c r="AD31" s="18"/>
      <c r="AE31" s="1614" t="s">
        <v>2103</v>
      </c>
      <c r="AF31" s="1614" t="s">
        <v>1862</v>
      </c>
      <c r="AG31" s="1614">
        <f>IFERROR(IF($W$6="M",VLOOKUP($W$9,'TABCV(Male)'!$A$2:$QQ$431,H31+206,FALSE),VLOOKUP($W$9,'TABCV(Female)'!$A$2:$QQ$431,H31+206,FALSE)),0)</f>
        <v>0</v>
      </c>
      <c r="AH31" s="18"/>
      <c r="AI31" s="1614" t="s">
        <v>2104</v>
      </c>
      <c r="AJ31" s="1614" t="s">
        <v>1963</v>
      </c>
      <c r="AK31" s="1614">
        <f>IFERROR(IF($W$6="M",VLOOKUP($W$9,'TABCV(Male)'!$A$2:$QQ$431,H31+307,FALSE),VLOOKUP($W$9,'TABCV(Female)'!$A$2:$QQ$431,H31+307,FALSE)),0)</f>
        <v>0</v>
      </c>
      <c r="AN31" s="557"/>
      <c r="AO31" s="563"/>
      <c r="AP31" s="564"/>
      <c r="AQ31" s="565"/>
      <c r="AR31" s="565"/>
      <c r="AS31" s="1622"/>
      <c r="AT31" s="566"/>
      <c r="AU31" s="567"/>
    </row>
    <row r="32" spans="1:47" s="16" customFormat="1" ht="30" hidden="1" customHeight="1">
      <c r="A32" s="145"/>
      <c r="G32" s="556">
        <f>IF(G31="","",IF(กรอกข้อมูล!$C$5+H31&gt;79,"",กรอกข้อมูล!$C$5+H31))</f>
        <v>62</v>
      </c>
      <c r="H32" s="569">
        <f t="shared" si="12"/>
        <v>19</v>
      </c>
      <c r="I32" s="565">
        <f t="shared" si="0"/>
        <v>0</v>
      </c>
      <c r="J32" s="565">
        <f t="shared" si="1"/>
        <v>0</v>
      </c>
      <c r="K32" s="565">
        <f t="shared" si="2"/>
        <v>0</v>
      </c>
      <c r="L32" s="1622" t="str">
        <f t="shared" si="3"/>
        <v>-</v>
      </c>
      <c r="M32" s="566">
        <f t="shared" si="4"/>
        <v>0</v>
      </c>
      <c r="N32" s="567">
        <f t="shared" si="5"/>
        <v>0</v>
      </c>
      <c r="S32" s="150"/>
      <c r="T32" s="1237"/>
      <c r="U32" s="1631">
        <f t="shared" si="15"/>
        <v>0</v>
      </c>
      <c r="V32" s="1632">
        <f t="shared" si="16"/>
        <v>0</v>
      </c>
      <c r="W32" s="1631">
        <f t="shared" si="13"/>
        <v>0</v>
      </c>
      <c r="X32" s="1631">
        <f t="shared" si="14"/>
        <v>0</v>
      </c>
      <c r="Y32" s="1631">
        <f t="shared" si="10"/>
        <v>0</v>
      </c>
      <c r="Z32" s="1631">
        <f t="shared" si="11"/>
        <v>0</v>
      </c>
      <c r="AA32" s="1614" t="s">
        <v>2105</v>
      </c>
      <c r="AB32" s="1614" t="s">
        <v>1762</v>
      </c>
      <c r="AC32" s="1614">
        <f>IFERROR(IF($W$6="M",VLOOKUP($W$9,'TABCV(Male)'!$A$2:$QQ$431,H32+105,FALSE),VLOOKUP($W$9,'TABCV(Female)'!$A$2:$QQ$431,H32+105,FALSE)),0)</f>
        <v>0</v>
      </c>
      <c r="AD32" s="18"/>
      <c r="AE32" s="1614" t="s">
        <v>2106</v>
      </c>
      <c r="AF32" s="1614" t="s">
        <v>1863</v>
      </c>
      <c r="AG32" s="1614">
        <f>IFERROR(IF($W$6="M",VLOOKUP($W$9,'TABCV(Male)'!$A$2:$QQ$431,H32+206,FALSE),VLOOKUP($W$9,'TABCV(Female)'!$A$2:$QQ$431,H32+206,FALSE)),0)</f>
        <v>0</v>
      </c>
      <c r="AH32" s="18"/>
      <c r="AI32" s="1614" t="s">
        <v>2107</v>
      </c>
      <c r="AJ32" s="1614" t="s">
        <v>1964</v>
      </c>
      <c r="AK32" s="1614">
        <f>IFERROR(IF($W$6="M",VLOOKUP($W$9,'TABCV(Male)'!$A$2:$QQ$431,H32+307,FALSE),VLOOKUP($W$9,'TABCV(Female)'!$A$2:$QQ$431,H32+307,FALSE)),0)</f>
        <v>0</v>
      </c>
      <c r="AN32" s="557"/>
      <c r="AO32" s="563"/>
      <c r="AP32" s="564"/>
      <c r="AQ32" s="565"/>
      <c r="AR32" s="565"/>
      <c r="AS32" s="1622"/>
      <c r="AT32" s="566"/>
      <c r="AU32" s="567"/>
    </row>
    <row r="33" spans="1:47" s="16" customFormat="1" ht="30" hidden="1" customHeight="1">
      <c r="A33" s="145"/>
      <c r="G33" s="556">
        <f>IF(G32="","",IF(กรอกข้อมูล!$C$5+H32&gt;79,"",กรอกข้อมูล!$C$5+H32))</f>
        <v>63</v>
      </c>
      <c r="H33" s="569">
        <f t="shared" si="12"/>
        <v>20</v>
      </c>
      <c r="I33" s="565">
        <f t="shared" si="0"/>
        <v>0</v>
      </c>
      <c r="J33" s="565">
        <f t="shared" si="1"/>
        <v>0</v>
      </c>
      <c r="K33" s="565">
        <f t="shared" si="2"/>
        <v>0</v>
      </c>
      <c r="L33" s="1622" t="str">
        <f t="shared" si="3"/>
        <v>-</v>
      </c>
      <c r="M33" s="566">
        <f t="shared" si="4"/>
        <v>0</v>
      </c>
      <c r="N33" s="567">
        <f t="shared" si="5"/>
        <v>0</v>
      </c>
      <c r="S33" s="150"/>
      <c r="T33" s="1237"/>
      <c r="U33" s="1631">
        <f t="shared" si="15"/>
        <v>0</v>
      </c>
      <c r="V33" s="1632">
        <f t="shared" si="16"/>
        <v>0</v>
      </c>
      <c r="W33" s="1631">
        <f t="shared" si="13"/>
        <v>0</v>
      </c>
      <c r="X33" s="1631">
        <f t="shared" si="14"/>
        <v>0</v>
      </c>
      <c r="Y33" s="1631">
        <f t="shared" si="10"/>
        <v>0</v>
      </c>
      <c r="Z33" s="1631">
        <f t="shared" si="11"/>
        <v>0</v>
      </c>
      <c r="AA33" s="1614" t="s">
        <v>2108</v>
      </c>
      <c r="AB33" s="1614" t="s">
        <v>1763</v>
      </c>
      <c r="AC33" s="1614">
        <f>IFERROR(IF($W$6="M",VLOOKUP($W$9,'TABCV(Male)'!$A$2:$QQ$431,H33+105,FALSE),VLOOKUP($W$9,'TABCV(Female)'!$A$2:$QQ$431,H33+105,FALSE)),0)</f>
        <v>0</v>
      </c>
      <c r="AD33" s="18"/>
      <c r="AE33" s="1614" t="s">
        <v>2109</v>
      </c>
      <c r="AF33" s="1614" t="s">
        <v>1864</v>
      </c>
      <c r="AG33" s="1614">
        <f>IFERROR(IF($W$6="M",VLOOKUP($W$9,'TABCV(Male)'!$A$2:$QQ$431,H33+206,FALSE),VLOOKUP($W$9,'TABCV(Female)'!$A$2:$QQ$431,H33+206,FALSE)),0)</f>
        <v>0</v>
      </c>
      <c r="AH33" s="18"/>
      <c r="AI33" s="1614" t="s">
        <v>2110</v>
      </c>
      <c r="AJ33" s="1614" t="s">
        <v>1965</v>
      </c>
      <c r="AK33" s="1614">
        <f>IFERROR(IF($W$6="M",VLOOKUP($W$9,'TABCV(Male)'!$A$2:$QQ$431,H33+307,FALSE),VLOOKUP($W$9,'TABCV(Female)'!$A$2:$QQ$431,H33+307,FALSE)),0)</f>
        <v>0</v>
      </c>
      <c r="AN33" s="557"/>
      <c r="AO33" s="563"/>
      <c r="AP33" s="564"/>
      <c r="AQ33" s="565"/>
      <c r="AR33" s="565"/>
      <c r="AS33" s="1622"/>
      <c r="AT33" s="566"/>
      <c r="AU33" s="567"/>
    </row>
    <row r="34" spans="1:47" s="16" customFormat="1" ht="30" hidden="1" customHeight="1">
      <c r="A34" s="145"/>
      <c r="G34" s="556">
        <f>IF(G33="","",IF(กรอกข้อมูล!$C$5+H33&gt;79,"",กรอกข้อมูล!$C$5+H33))</f>
        <v>64</v>
      </c>
      <c r="H34" s="557">
        <f t="shared" si="12"/>
        <v>21</v>
      </c>
      <c r="I34" s="558">
        <f t="shared" si="0"/>
        <v>0</v>
      </c>
      <c r="J34" s="568">
        <f t="shared" si="1"/>
        <v>0</v>
      </c>
      <c r="K34" s="568">
        <f t="shared" si="2"/>
        <v>0</v>
      </c>
      <c r="L34" s="1623" t="str">
        <f t="shared" si="3"/>
        <v>-</v>
      </c>
      <c r="M34" s="560">
        <f t="shared" si="4"/>
        <v>0</v>
      </c>
      <c r="N34" s="562">
        <f t="shared" si="5"/>
        <v>0</v>
      </c>
      <c r="S34" s="150"/>
      <c r="T34" s="1237"/>
      <c r="U34" s="1631">
        <f t="shared" si="15"/>
        <v>0</v>
      </c>
      <c r="V34" s="1632">
        <f t="shared" si="16"/>
        <v>0</v>
      </c>
      <c r="W34" s="1631">
        <f t="shared" si="13"/>
        <v>0</v>
      </c>
      <c r="X34" s="1631">
        <f t="shared" si="14"/>
        <v>0</v>
      </c>
      <c r="Y34" s="1631">
        <f t="shared" si="10"/>
        <v>0</v>
      </c>
      <c r="Z34" s="1631">
        <f t="shared" si="11"/>
        <v>0</v>
      </c>
      <c r="AA34" s="1614" t="s">
        <v>2111</v>
      </c>
      <c r="AB34" s="1614" t="s">
        <v>1764</v>
      </c>
      <c r="AC34" s="1614">
        <f>IFERROR(IF($W$6="M",VLOOKUP($W$9,'TABCV(Male)'!$A$2:$QQ$431,H34+105,FALSE),VLOOKUP($W$9,'TABCV(Female)'!$A$2:$QQ$431,H34+105,FALSE)),0)</f>
        <v>0</v>
      </c>
      <c r="AD34" s="18"/>
      <c r="AE34" s="1614" t="s">
        <v>2112</v>
      </c>
      <c r="AF34" s="1614" t="s">
        <v>1865</v>
      </c>
      <c r="AG34" s="1614">
        <f>IFERROR(IF($W$6="M",VLOOKUP($W$9,'TABCV(Male)'!$A$2:$QQ$431,H34+206,FALSE),VLOOKUP($W$9,'TABCV(Female)'!$A$2:$QQ$431,H34+206,FALSE)),0)</f>
        <v>0</v>
      </c>
      <c r="AH34" s="18"/>
      <c r="AI34" s="1614" t="s">
        <v>2113</v>
      </c>
      <c r="AJ34" s="1614" t="s">
        <v>1966</v>
      </c>
      <c r="AK34" s="1614">
        <f>IFERROR(IF($W$6="M",VLOOKUP($W$9,'TABCV(Male)'!$A$2:$QQ$431,H34+307,FALSE),VLOOKUP($W$9,'TABCV(Female)'!$A$2:$QQ$431,H34+307,FALSE)),0)</f>
        <v>0</v>
      </c>
      <c r="AN34" s="557"/>
      <c r="AO34" s="563"/>
      <c r="AP34" s="564"/>
      <c r="AQ34" s="565"/>
      <c r="AR34" s="565"/>
      <c r="AS34" s="1622"/>
      <c r="AT34" s="566"/>
      <c r="AU34" s="567"/>
    </row>
    <row r="35" spans="1:47" s="16" customFormat="1" ht="30" hidden="1" customHeight="1">
      <c r="A35" s="145"/>
      <c r="G35" s="556">
        <f>IF(G34="","",IF(กรอกข้อมูล!$C$5+H34&gt;79,"",กรอกข้อมูล!$C$5+H34))</f>
        <v>65</v>
      </c>
      <c r="H35" s="557">
        <f t="shared" si="12"/>
        <v>22</v>
      </c>
      <c r="I35" s="558">
        <f t="shared" si="0"/>
        <v>0</v>
      </c>
      <c r="J35" s="568">
        <f t="shared" si="1"/>
        <v>0</v>
      </c>
      <c r="K35" s="568">
        <f t="shared" si="2"/>
        <v>0</v>
      </c>
      <c r="L35" s="1623" t="str">
        <f t="shared" si="3"/>
        <v>-</v>
      </c>
      <c r="M35" s="560">
        <f t="shared" si="4"/>
        <v>0</v>
      </c>
      <c r="N35" s="562">
        <f t="shared" si="5"/>
        <v>0</v>
      </c>
      <c r="S35" s="150"/>
      <c r="T35" s="1237"/>
      <c r="U35" s="1631">
        <f t="shared" si="15"/>
        <v>0</v>
      </c>
      <c r="V35" s="1632">
        <f t="shared" si="16"/>
        <v>0</v>
      </c>
      <c r="W35" s="1631">
        <f t="shared" si="13"/>
        <v>0</v>
      </c>
      <c r="X35" s="1631">
        <f t="shared" si="14"/>
        <v>0</v>
      </c>
      <c r="Y35" s="1631">
        <f t="shared" si="10"/>
        <v>0</v>
      </c>
      <c r="Z35" s="1631">
        <f t="shared" si="11"/>
        <v>0</v>
      </c>
      <c r="AA35" s="1614" t="s">
        <v>2114</v>
      </c>
      <c r="AB35" s="1614" t="s">
        <v>1765</v>
      </c>
      <c r="AC35" s="1614">
        <f>IFERROR(IF($W$6="M",VLOOKUP($W$9,'TABCV(Male)'!$A$2:$QQ$431,H35+105,FALSE),VLOOKUP($W$9,'TABCV(Female)'!$A$2:$QQ$431,H35+105,FALSE)),0)</f>
        <v>0</v>
      </c>
      <c r="AD35" s="18"/>
      <c r="AE35" s="1614" t="s">
        <v>2115</v>
      </c>
      <c r="AF35" s="1614" t="s">
        <v>1866</v>
      </c>
      <c r="AG35" s="1614">
        <f>IFERROR(IF($W$6="M",VLOOKUP($W$9,'TABCV(Male)'!$A$2:$QQ$431,H35+206,FALSE),VLOOKUP($W$9,'TABCV(Female)'!$A$2:$QQ$431,H35+206,FALSE)),0)</f>
        <v>0</v>
      </c>
      <c r="AH35" s="18"/>
      <c r="AI35" s="1614" t="s">
        <v>2116</v>
      </c>
      <c r="AJ35" s="1614" t="s">
        <v>1967</v>
      </c>
      <c r="AK35" s="1614">
        <f>IFERROR(IF($W$6="M",VLOOKUP($W$9,'TABCV(Male)'!$A$2:$QQ$431,H35+307,FALSE),VLOOKUP($W$9,'TABCV(Female)'!$A$2:$QQ$431,H35+307,FALSE)),0)</f>
        <v>0</v>
      </c>
      <c r="AN35" s="557"/>
      <c r="AO35" s="557"/>
      <c r="AP35" s="558"/>
      <c r="AQ35" s="568"/>
      <c r="AR35" s="568"/>
      <c r="AS35" s="1623"/>
      <c r="AT35" s="560"/>
      <c r="AU35" s="562"/>
    </row>
    <row r="36" spans="1:47" s="16" customFormat="1" ht="30" hidden="1" customHeight="1">
      <c r="A36" s="145"/>
      <c r="G36" s="556">
        <f>IF(G35="","",IF(กรอกข้อมูล!$C$5+H35&gt;79,"",กรอกข้อมูล!$C$5+H35))</f>
        <v>66</v>
      </c>
      <c r="H36" s="557">
        <f t="shared" si="12"/>
        <v>23</v>
      </c>
      <c r="I36" s="558">
        <f t="shared" si="0"/>
        <v>0</v>
      </c>
      <c r="J36" s="568">
        <f t="shared" si="1"/>
        <v>0</v>
      </c>
      <c r="K36" s="568">
        <f t="shared" si="2"/>
        <v>0</v>
      </c>
      <c r="L36" s="1623" t="str">
        <f t="shared" si="3"/>
        <v>-</v>
      </c>
      <c r="M36" s="560">
        <f t="shared" si="4"/>
        <v>0</v>
      </c>
      <c r="N36" s="562">
        <f t="shared" si="5"/>
        <v>0</v>
      </c>
      <c r="S36" s="150"/>
      <c r="T36" s="1237"/>
      <c r="U36" s="1631">
        <f t="shared" si="15"/>
        <v>0</v>
      </c>
      <c r="V36" s="1632">
        <f t="shared" si="16"/>
        <v>0</v>
      </c>
      <c r="W36" s="1631">
        <f t="shared" si="13"/>
        <v>0</v>
      </c>
      <c r="X36" s="1631">
        <f t="shared" si="14"/>
        <v>0</v>
      </c>
      <c r="Y36" s="1631">
        <f t="shared" si="10"/>
        <v>0</v>
      </c>
      <c r="Z36" s="1631">
        <f t="shared" si="11"/>
        <v>0</v>
      </c>
      <c r="AA36" s="1614" t="s">
        <v>2117</v>
      </c>
      <c r="AB36" s="1614" t="s">
        <v>1766</v>
      </c>
      <c r="AC36" s="1614">
        <f>IFERROR(IF($W$6="M",VLOOKUP($W$9,'TABCV(Male)'!$A$2:$QQ$431,H36+105,FALSE),VLOOKUP($W$9,'TABCV(Female)'!$A$2:$QQ$431,H36+105,FALSE)),0)</f>
        <v>0</v>
      </c>
      <c r="AD36" s="18"/>
      <c r="AE36" s="1614" t="s">
        <v>2118</v>
      </c>
      <c r="AF36" s="1614" t="s">
        <v>1867</v>
      </c>
      <c r="AG36" s="1614">
        <f>IFERROR(IF($W$6="M",VLOOKUP($W$9,'TABCV(Male)'!$A$2:$QQ$431,H36+206,FALSE),VLOOKUP($W$9,'TABCV(Female)'!$A$2:$QQ$431,H36+206,FALSE)),0)</f>
        <v>0</v>
      </c>
      <c r="AH36" s="18"/>
      <c r="AI36" s="1614" t="s">
        <v>2119</v>
      </c>
      <c r="AJ36" s="1614" t="s">
        <v>1968</v>
      </c>
      <c r="AK36" s="1614">
        <f>IFERROR(IF($W$6="M",VLOOKUP($W$9,'TABCV(Male)'!$A$2:$QQ$431,H36+307,FALSE),VLOOKUP($W$9,'TABCV(Female)'!$A$2:$QQ$431,H36+307,FALSE)),0)</f>
        <v>0</v>
      </c>
      <c r="AN36" s="557"/>
      <c r="AO36" s="557"/>
      <c r="AP36" s="558"/>
      <c r="AQ36" s="568"/>
      <c r="AR36" s="568"/>
      <c r="AS36" s="1623"/>
      <c r="AT36" s="560"/>
      <c r="AU36" s="562"/>
    </row>
    <row r="37" spans="1:47" s="16" customFormat="1" ht="30" hidden="1" customHeight="1">
      <c r="A37" s="145"/>
      <c r="G37" s="556">
        <f>IF(G36="","",IF(กรอกข้อมูล!$C$5+H36&gt;79,"",กรอกข้อมูล!$C$5+H36))</f>
        <v>67</v>
      </c>
      <c r="H37" s="557">
        <f t="shared" si="12"/>
        <v>24</v>
      </c>
      <c r="I37" s="558">
        <f t="shared" si="0"/>
        <v>0</v>
      </c>
      <c r="J37" s="568">
        <f t="shared" si="1"/>
        <v>0</v>
      </c>
      <c r="K37" s="568">
        <f t="shared" si="2"/>
        <v>0</v>
      </c>
      <c r="L37" s="1623" t="str">
        <f t="shared" si="3"/>
        <v>-</v>
      </c>
      <c r="M37" s="560">
        <f t="shared" si="4"/>
        <v>0</v>
      </c>
      <c r="N37" s="562">
        <f t="shared" si="5"/>
        <v>0</v>
      </c>
      <c r="S37" s="150"/>
      <c r="T37" s="1237"/>
      <c r="U37" s="1631">
        <f t="shared" si="15"/>
        <v>0</v>
      </c>
      <c r="V37" s="1632">
        <f t="shared" si="16"/>
        <v>0</v>
      </c>
      <c r="W37" s="1631">
        <f t="shared" si="13"/>
        <v>0</v>
      </c>
      <c r="X37" s="1631">
        <f t="shared" si="14"/>
        <v>0</v>
      </c>
      <c r="Y37" s="1631">
        <f t="shared" si="10"/>
        <v>0</v>
      </c>
      <c r="Z37" s="1631">
        <f t="shared" si="11"/>
        <v>0</v>
      </c>
      <c r="AA37" s="1614" t="s">
        <v>2120</v>
      </c>
      <c r="AB37" s="1614" t="s">
        <v>1767</v>
      </c>
      <c r="AC37" s="1614">
        <f>IFERROR(IF($W$6="M",VLOOKUP($W$9,'TABCV(Male)'!$A$2:$QQ$431,H37+105,FALSE),VLOOKUP($W$9,'TABCV(Female)'!$A$2:$QQ$431,H37+105,FALSE)),0)</f>
        <v>0</v>
      </c>
      <c r="AD37" s="18"/>
      <c r="AE37" s="1614" t="s">
        <v>2121</v>
      </c>
      <c r="AF37" s="1614" t="s">
        <v>1868</v>
      </c>
      <c r="AG37" s="1614">
        <f>IFERROR(IF($W$6="M",VLOOKUP($W$9,'TABCV(Male)'!$A$2:$QQ$431,H37+206,FALSE),VLOOKUP($W$9,'TABCV(Female)'!$A$2:$QQ$431,H37+206,FALSE)),0)</f>
        <v>0</v>
      </c>
      <c r="AH37" s="18"/>
      <c r="AI37" s="1614" t="s">
        <v>2122</v>
      </c>
      <c r="AJ37" s="1614" t="s">
        <v>1969</v>
      </c>
      <c r="AK37" s="1614">
        <f>IFERROR(IF($W$6="M",VLOOKUP($W$9,'TABCV(Male)'!$A$2:$QQ$431,H37+307,FALSE),VLOOKUP($W$9,'TABCV(Female)'!$A$2:$QQ$431,H37+307,FALSE)),0)</f>
        <v>0</v>
      </c>
      <c r="AN37" s="557"/>
      <c r="AO37" s="557"/>
      <c r="AP37" s="558"/>
      <c r="AQ37" s="568"/>
      <c r="AR37" s="568"/>
      <c r="AS37" s="1623"/>
      <c r="AT37" s="560"/>
      <c r="AU37" s="562"/>
    </row>
    <row r="38" spans="1:47" s="16" customFormat="1" ht="30" hidden="1" customHeight="1">
      <c r="A38" s="145"/>
      <c r="G38" s="556">
        <f>IF(G37="","",IF(กรอกข้อมูล!$C$5+H37&gt;79,"",กรอกข้อมูล!$C$5+H37))</f>
        <v>68</v>
      </c>
      <c r="H38" s="557">
        <f t="shared" si="12"/>
        <v>25</v>
      </c>
      <c r="I38" s="558">
        <f t="shared" si="0"/>
        <v>0</v>
      </c>
      <c r="J38" s="568">
        <f t="shared" si="1"/>
        <v>0</v>
      </c>
      <c r="K38" s="568">
        <f t="shared" si="2"/>
        <v>0</v>
      </c>
      <c r="L38" s="1623" t="str">
        <f t="shared" si="3"/>
        <v>-</v>
      </c>
      <c r="M38" s="560">
        <f t="shared" si="4"/>
        <v>0</v>
      </c>
      <c r="N38" s="562">
        <f t="shared" si="5"/>
        <v>0</v>
      </c>
      <c r="S38" s="150"/>
      <c r="T38" s="1237"/>
      <c r="U38" s="1631">
        <f t="shared" si="15"/>
        <v>0</v>
      </c>
      <c r="V38" s="1632">
        <f t="shared" si="16"/>
        <v>0</v>
      </c>
      <c r="W38" s="1631">
        <f t="shared" si="13"/>
        <v>0</v>
      </c>
      <c r="X38" s="1631">
        <f t="shared" si="14"/>
        <v>0</v>
      </c>
      <c r="Y38" s="1631">
        <f t="shared" si="10"/>
        <v>0</v>
      </c>
      <c r="Z38" s="1631">
        <f t="shared" si="11"/>
        <v>0</v>
      </c>
      <c r="AA38" s="1614" t="s">
        <v>2123</v>
      </c>
      <c r="AB38" s="1614" t="s">
        <v>1768</v>
      </c>
      <c r="AC38" s="1614">
        <f>IFERROR(IF($W$6="M",VLOOKUP($W$9,'TABCV(Male)'!$A$2:$QQ$431,H38+105,FALSE),VLOOKUP($W$9,'TABCV(Female)'!$A$2:$QQ$431,H38+105,FALSE)),0)</f>
        <v>0</v>
      </c>
      <c r="AD38" s="18"/>
      <c r="AE38" s="1614" t="s">
        <v>2124</v>
      </c>
      <c r="AF38" s="1614" t="s">
        <v>1869</v>
      </c>
      <c r="AG38" s="1614">
        <f>IFERROR(IF($W$6="M",VLOOKUP($W$9,'TABCV(Male)'!$A$2:$QQ$431,H38+206,FALSE),VLOOKUP($W$9,'TABCV(Female)'!$A$2:$QQ$431,H38+206,FALSE)),0)</f>
        <v>0</v>
      </c>
      <c r="AH38" s="18"/>
      <c r="AI38" s="1614" t="s">
        <v>2125</v>
      </c>
      <c r="AJ38" s="1614" t="s">
        <v>1970</v>
      </c>
      <c r="AK38" s="1614">
        <f>IFERROR(IF($W$6="M",VLOOKUP($W$9,'TABCV(Male)'!$A$2:$QQ$431,H38+307,FALSE),VLOOKUP($W$9,'TABCV(Female)'!$A$2:$QQ$431,H38+307,FALSE)),0)</f>
        <v>0</v>
      </c>
      <c r="AN38" s="557"/>
      <c r="AO38" s="557"/>
      <c r="AP38" s="558"/>
      <c r="AQ38" s="568"/>
      <c r="AR38" s="568"/>
      <c r="AS38" s="1623"/>
      <c r="AT38" s="560"/>
      <c r="AU38" s="562"/>
    </row>
    <row r="39" spans="1:47" s="16" customFormat="1" ht="30" hidden="1" customHeight="1">
      <c r="A39" s="145"/>
      <c r="G39" s="556">
        <f>IF(G38="","",IF(กรอกข้อมูล!$C$5+H38&gt;79,"",กรอกข้อมูล!$C$5+H38))</f>
        <v>69</v>
      </c>
      <c r="H39" s="569">
        <f t="shared" si="12"/>
        <v>26</v>
      </c>
      <c r="I39" s="565">
        <f t="shared" si="0"/>
        <v>0</v>
      </c>
      <c r="J39" s="565">
        <f t="shared" si="1"/>
        <v>0</v>
      </c>
      <c r="K39" s="565">
        <f t="shared" si="2"/>
        <v>0</v>
      </c>
      <c r="L39" s="1622" t="str">
        <f t="shared" si="3"/>
        <v>-</v>
      </c>
      <c r="M39" s="566">
        <f t="shared" si="4"/>
        <v>0</v>
      </c>
      <c r="N39" s="567">
        <f t="shared" si="5"/>
        <v>0</v>
      </c>
      <c r="S39" s="150"/>
      <c r="T39" s="1237"/>
      <c r="U39" s="1631">
        <f t="shared" si="15"/>
        <v>0</v>
      </c>
      <c r="V39" s="1632">
        <f t="shared" si="16"/>
        <v>0</v>
      </c>
      <c r="W39" s="1631">
        <f t="shared" si="13"/>
        <v>0</v>
      </c>
      <c r="X39" s="1631">
        <f t="shared" si="14"/>
        <v>0</v>
      </c>
      <c r="Y39" s="1631">
        <f t="shared" si="10"/>
        <v>0</v>
      </c>
      <c r="Z39" s="1631">
        <f t="shared" si="11"/>
        <v>0</v>
      </c>
      <c r="AA39" s="1614" t="s">
        <v>2126</v>
      </c>
      <c r="AB39" s="1614" t="s">
        <v>1769</v>
      </c>
      <c r="AC39" s="1614">
        <f>IFERROR(IF($W$6="M",VLOOKUP($W$9,'TABCV(Male)'!$A$2:$QQ$431,H39+105,FALSE),VLOOKUP($W$9,'TABCV(Female)'!$A$2:$QQ$431,H39+105,FALSE)),0)</f>
        <v>0</v>
      </c>
      <c r="AD39" s="18"/>
      <c r="AE39" s="1614" t="s">
        <v>2127</v>
      </c>
      <c r="AF39" s="1614" t="s">
        <v>1870</v>
      </c>
      <c r="AG39" s="1614">
        <f>IFERROR(IF($W$6="M",VLOOKUP($W$9,'TABCV(Male)'!$A$2:$QQ$431,H39+206,FALSE),VLOOKUP($W$9,'TABCV(Female)'!$A$2:$QQ$431,H39+206,FALSE)),0)</f>
        <v>0</v>
      </c>
      <c r="AH39" s="18"/>
      <c r="AI39" s="1614" t="s">
        <v>2128</v>
      </c>
      <c r="AJ39" s="1614" t="s">
        <v>1971</v>
      </c>
      <c r="AK39" s="1614">
        <f>IFERROR(IF($W$6="M",VLOOKUP($W$9,'TABCV(Male)'!$A$2:$QQ$431,H39+307,FALSE),VLOOKUP($W$9,'TABCV(Female)'!$A$2:$QQ$431,H39+307,FALSE)),0)</f>
        <v>0</v>
      </c>
      <c r="AN39" s="557"/>
      <c r="AO39" s="557"/>
      <c r="AP39" s="558"/>
      <c r="AQ39" s="568"/>
      <c r="AR39" s="568"/>
      <c r="AS39" s="1623"/>
      <c r="AT39" s="560"/>
      <c r="AU39" s="562"/>
    </row>
    <row r="40" spans="1:47" s="16" customFormat="1" ht="30" hidden="1" customHeight="1">
      <c r="A40" s="145"/>
      <c r="G40" s="556">
        <f>IF(G39="","",IF(กรอกข้อมูล!$C$5+H39&gt;79,"",กรอกข้อมูล!$C$5+H39))</f>
        <v>70</v>
      </c>
      <c r="H40" s="569">
        <f t="shared" si="12"/>
        <v>27</v>
      </c>
      <c r="I40" s="565">
        <f t="shared" si="0"/>
        <v>0</v>
      </c>
      <c r="J40" s="565">
        <f t="shared" si="1"/>
        <v>0</v>
      </c>
      <c r="K40" s="565">
        <f t="shared" si="2"/>
        <v>0</v>
      </c>
      <c r="L40" s="1622" t="str">
        <f t="shared" si="3"/>
        <v>-</v>
      </c>
      <c r="M40" s="566">
        <f t="shared" si="4"/>
        <v>0</v>
      </c>
      <c r="N40" s="567">
        <f t="shared" si="5"/>
        <v>0</v>
      </c>
      <c r="S40" s="150"/>
      <c r="T40" s="1237"/>
      <c r="U40" s="1631">
        <f t="shared" si="15"/>
        <v>0</v>
      </c>
      <c r="V40" s="1632">
        <f t="shared" si="16"/>
        <v>0</v>
      </c>
      <c r="W40" s="1631">
        <f t="shared" si="13"/>
        <v>0</v>
      </c>
      <c r="X40" s="1631">
        <f t="shared" si="14"/>
        <v>0</v>
      </c>
      <c r="Y40" s="1631">
        <f t="shared" si="10"/>
        <v>0</v>
      </c>
      <c r="Z40" s="1631">
        <f t="shared" si="11"/>
        <v>0</v>
      </c>
      <c r="AA40" s="1614" t="s">
        <v>2129</v>
      </c>
      <c r="AB40" s="1614" t="s">
        <v>1770</v>
      </c>
      <c r="AC40" s="1614">
        <f>IFERROR(IF($W$6="M",VLOOKUP($W$9,'TABCV(Male)'!$A$2:$QQ$431,H40+105,FALSE),VLOOKUP($W$9,'TABCV(Female)'!$A$2:$QQ$431,H40+105,FALSE)),0)</f>
        <v>0</v>
      </c>
      <c r="AD40" s="18"/>
      <c r="AE40" s="1614" t="s">
        <v>2130</v>
      </c>
      <c r="AF40" s="1614" t="s">
        <v>1871</v>
      </c>
      <c r="AG40" s="1614">
        <f>IFERROR(IF($W$6="M",VLOOKUP($W$9,'TABCV(Male)'!$A$2:$QQ$431,H40+206,FALSE),VLOOKUP($W$9,'TABCV(Female)'!$A$2:$QQ$431,H40+206,FALSE)),0)</f>
        <v>0</v>
      </c>
      <c r="AH40" s="18"/>
      <c r="AI40" s="1614" t="s">
        <v>2131</v>
      </c>
      <c r="AJ40" s="1614" t="s">
        <v>1972</v>
      </c>
      <c r="AK40" s="1614">
        <f>IFERROR(IF($W$6="M",VLOOKUP($W$9,'TABCV(Male)'!$A$2:$QQ$431,H40+307,FALSE),VLOOKUP($W$9,'TABCV(Female)'!$A$2:$QQ$431,H40+307,FALSE)),0)</f>
        <v>0</v>
      </c>
      <c r="AN40" s="557"/>
      <c r="AO40" s="569"/>
      <c r="AP40" s="565"/>
      <c r="AQ40" s="565"/>
      <c r="AR40" s="565"/>
      <c r="AS40" s="1622"/>
      <c r="AT40" s="566"/>
      <c r="AU40" s="567"/>
    </row>
    <row r="41" spans="1:47" s="16" customFormat="1" ht="30" hidden="1" customHeight="1">
      <c r="A41" s="145"/>
      <c r="G41" s="556">
        <f>IF(G40="","",IF(กรอกข้อมูล!$C$5+H40&gt;79,"",กรอกข้อมูล!$C$5+H40))</f>
        <v>71</v>
      </c>
      <c r="H41" s="569">
        <f t="shared" si="12"/>
        <v>28</v>
      </c>
      <c r="I41" s="565">
        <f t="shared" si="0"/>
        <v>0</v>
      </c>
      <c r="J41" s="565">
        <f t="shared" si="1"/>
        <v>0</v>
      </c>
      <c r="K41" s="565">
        <f t="shared" si="2"/>
        <v>0</v>
      </c>
      <c r="L41" s="1622" t="str">
        <f t="shared" si="3"/>
        <v>-</v>
      </c>
      <c r="M41" s="566">
        <f t="shared" si="4"/>
        <v>0</v>
      </c>
      <c r="N41" s="567">
        <f t="shared" si="5"/>
        <v>0</v>
      </c>
      <c r="S41" s="150"/>
      <c r="T41" s="1237"/>
      <c r="U41" s="1631">
        <f t="shared" si="15"/>
        <v>0</v>
      </c>
      <c r="V41" s="1632">
        <f t="shared" si="16"/>
        <v>0</v>
      </c>
      <c r="W41" s="1631">
        <f t="shared" si="13"/>
        <v>0</v>
      </c>
      <c r="X41" s="1631">
        <f t="shared" si="14"/>
        <v>0</v>
      </c>
      <c r="Y41" s="1631">
        <f t="shared" si="10"/>
        <v>0</v>
      </c>
      <c r="Z41" s="1631">
        <f t="shared" si="11"/>
        <v>0</v>
      </c>
      <c r="AA41" s="1614" t="s">
        <v>2132</v>
      </c>
      <c r="AB41" s="1614" t="s">
        <v>1771</v>
      </c>
      <c r="AC41" s="1614">
        <f>IFERROR(IF($W$6="M",VLOOKUP($W$9,'TABCV(Male)'!$A$2:$QQ$431,H41+105,FALSE),VLOOKUP($W$9,'TABCV(Female)'!$A$2:$QQ$431,H41+105,FALSE)),0)</f>
        <v>0</v>
      </c>
      <c r="AD41" s="18"/>
      <c r="AE41" s="1614" t="s">
        <v>2133</v>
      </c>
      <c r="AF41" s="1614" t="s">
        <v>1872</v>
      </c>
      <c r="AG41" s="1614">
        <f>IFERROR(IF($W$6="M",VLOOKUP($W$9,'TABCV(Male)'!$A$2:$QQ$431,H41+206,FALSE),VLOOKUP($W$9,'TABCV(Female)'!$A$2:$QQ$431,H41+206,FALSE)),0)</f>
        <v>0</v>
      </c>
      <c r="AH41" s="18"/>
      <c r="AI41" s="1614" t="s">
        <v>2134</v>
      </c>
      <c r="AJ41" s="1614" t="s">
        <v>1973</v>
      </c>
      <c r="AK41" s="1614">
        <f>IFERROR(IF($W$6="M",VLOOKUP($W$9,'TABCV(Male)'!$A$2:$QQ$431,H41+307,FALSE),VLOOKUP($W$9,'TABCV(Female)'!$A$2:$QQ$431,H41+307,FALSE)),0)</f>
        <v>0</v>
      </c>
      <c r="AN41" s="557"/>
      <c r="AO41" s="569"/>
      <c r="AP41" s="565"/>
      <c r="AQ41" s="565"/>
      <c r="AR41" s="565"/>
      <c r="AS41" s="1622"/>
      <c r="AT41" s="566"/>
      <c r="AU41" s="567"/>
    </row>
    <row r="42" spans="1:47" s="16" customFormat="1" ht="30" hidden="1" customHeight="1">
      <c r="A42" s="145"/>
      <c r="G42" s="556">
        <f>IF(G41="","",IF(กรอกข้อมูล!$C$5+H41&gt;79,"",กรอกข้อมูล!$C$5+H41))</f>
        <v>72</v>
      </c>
      <c r="H42" s="569">
        <f t="shared" si="12"/>
        <v>29</v>
      </c>
      <c r="I42" s="565">
        <f t="shared" si="0"/>
        <v>0</v>
      </c>
      <c r="J42" s="565">
        <f t="shared" si="1"/>
        <v>0</v>
      </c>
      <c r="K42" s="565">
        <f t="shared" si="2"/>
        <v>0</v>
      </c>
      <c r="L42" s="1622" t="str">
        <f t="shared" si="3"/>
        <v>-</v>
      </c>
      <c r="M42" s="566">
        <f t="shared" si="4"/>
        <v>0</v>
      </c>
      <c r="N42" s="567">
        <f t="shared" si="5"/>
        <v>0</v>
      </c>
      <c r="S42" s="150"/>
      <c r="T42" s="1237"/>
      <c r="U42" s="1631">
        <f t="shared" si="15"/>
        <v>0</v>
      </c>
      <c r="V42" s="1632">
        <f t="shared" si="16"/>
        <v>0</v>
      </c>
      <c r="W42" s="1631">
        <f t="shared" si="13"/>
        <v>0</v>
      </c>
      <c r="X42" s="1631">
        <f t="shared" si="14"/>
        <v>0</v>
      </c>
      <c r="Y42" s="1631">
        <f t="shared" si="10"/>
        <v>0</v>
      </c>
      <c r="Z42" s="1631">
        <f t="shared" si="11"/>
        <v>0</v>
      </c>
      <c r="AA42" s="1614" t="s">
        <v>2135</v>
      </c>
      <c r="AB42" s="1614" t="s">
        <v>1772</v>
      </c>
      <c r="AC42" s="1614">
        <f>IFERROR(IF($W$6="M",VLOOKUP($W$9,'TABCV(Male)'!$A$2:$QQ$431,H42+105,FALSE),VLOOKUP($W$9,'TABCV(Female)'!$A$2:$QQ$431,H42+105,FALSE)),0)</f>
        <v>0</v>
      </c>
      <c r="AD42" s="18"/>
      <c r="AE42" s="1614" t="s">
        <v>2136</v>
      </c>
      <c r="AF42" s="1614" t="s">
        <v>1873</v>
      </c>
      <c r="AG42" s="1614">
        <f>IFERROR(IF($W$6="M",VLOOKUP($W$9,'TABCV(Male)'!$A$2:$QQ$431,H42+206,FALSE),VLOOKUP($W$9,'TABCV(Female)'!$A$2:$QQ$431,H42+206,FALSE)),0)</f>
        <v>0</v>
      </c>
      <c r="AH42" s="18"/>
      <c r="AI42" s="1614" t="s">
        <v>2137</v>
      </c>
      <c r="AJ42" s="1614" t="s">
        <v>1974</v>
      </c>
      <c r="AK42" s="1614">
        <f>IFERROR(IF($W$6="M",VLOOKUP($W$9,'TABCV(Male)'!$A$2:$QQ$431,H42+307,FALSE),VLOOKUP($W$9,'TABCV(Female)'!$A$2:$QQ$431,H42+307,FALSE)),0)</f>
        <v>0</v>
      </c>
      <c r="AN42" s="557"/>
      <c r="AO42" s="569"/>
      <c r="AP42" s="565"/>
      <c r="AQ42" s="565"/>
      <c r="AR42" s="565"/>
      <c r="AS42" s="1622"/>
      <c r="AT42" s="566"/>
      <c r="AU42" s="567"/>
    </row>
    <row r="43" spans="1:47" s="16" customFormat="1" ht="30" hidden="1" customHeight="1">
      <c r="A43" s="145"/>
      <c r="G43" s="556">
        <f>IF(G42="","",IF(กรอกข้อมูล!$C$5+H42&gt;79,"",กรอกข้อมูล!$C$5+H42))</f>
        <v>73</v>
      </c>
      <c r="H43" s="569">
        <f t="shared" si="12"/>
        <v>30</v>
      </c>
      <c r="I43" s="565">
        <f t="shared" si="0"/>
        <v>0</v>
      </c>
      <c r="J43" s="565">
        <f t="shared" si="1"/>
        <v>0</v>
      </c>
      <c r="K43" s="565">
        <f t="shared" si="2"/>
        <v>0</v>
      </c>
      <c r="L43" s="1622" t="str">
        <f t="shared" si="3"/>
        <v>-</v>
      </c>
      <c r="M43" s="566">
        <f t="shared" si="4"/>
        <v>0</v>
      </c>
      <c r="N43" s="567">
        <f t="shared" si="5"/>
        <v>0</v>
      </c>
      <c r="S43" s="150"/>
      <c r="T43" s="1237"/>
      <c r="U43" s="1631">
        <f t="shared" si="15"/>
        <v>0</v>
      </c>
      <c r="V43" s="1632">
        <f t="shared" si="16"/>
        <v>0</v>
      </c>
      <c r="W43" s="1631">
        <f t="shared" si="13"/>
        <v>0</v>
      </c>
      <c r="X43" s="1631">
        <f t="shared" si="14"/>
        <v>0</v>
      </c>
      <c r="Y43" s="1631">
        <f t="shared" si="10"/>
        <v>0</v>
      </c>
      <c r="Z43" s="1631">
        <f t="shared" si="11"/>
        <v>0</v>
      </c>
      <c r="AA43" s="1614" t="s">
        <v>2138</v>
      </c>
      <c r="AB43" s="1614" t="s">
        <v>1773</v>
      </c>
      <c r="AC43" s="1614">
        <f>IFERROR(IF($W$6="M",VLOOKUP($W$9,'TABCV(Male)'!$A$2:$QQ$431,H43+105,FALSE),VLOOKUP($W$9,'TABCV(Female)'!$A$2:$QQ$431,H43+105,FALSE)),0)</f>
        <v>0</v>
      </c>
      <c r="AD43" s="18"/>
      <c r="AE43" s="1614" t="s">
        <v>2139</v>
      </c>
      <c r="AF43" s="1614" t="s">
        <v>1874</v>
      </c>
      <c r="AG43" s="1614">
        <f>IFERROR(IF($W$6="M",VLOOKUP($W$9,'TABCV(Male)'!$A$2:$QQ$431,H43+206,FALSE),VLOOKUP($W$9,'TABCV(Female)'!$A$2:$QQ$431,H43+206,FALSE)),0)</f>
        <v>0</v>
      </c>
      <c r="AH43" s="18"/>
      <c r="AI43" s="1614" t="s">
        <v>2140</v>
      </c>
      <c r="AJ43" s="1614" t="s">
        <v>1975</v>
      </c>
      <c r="AK43" s="1614">
        <f>IFERROR(IF($W$6="M",VLOOKUP($W$9,'TABCV(Male)'!$A$2:$QQ$431,H43+307,FALSE),VLOOKUP($W$9,'TABCV(Female)'!$A$2:$QQ$431,H43+307,FALSE)),0)</f>
        <v>0</v>
      </c>
      <c r="AN43" s="557"/>
      <c r="AO43" s="569"/>
      <c r="AP43" s="565"/>
      <c r="AQ43" s="565"/>
      <c r="AR43" s="565"/>
      <c r="AS43" s="1622"/>
      <c r="AT43" s="566"/>
      <c r="AU43" s="567"/>
    </row>
    <row r="44" spans="1:47" s="16" customFormat="1" ht="30" hidden="1" customHeight="1">
      <c r="A44" s="145"/>
      <c r="G44" s="556">
        <f>IF(G43="","",IF(กรอกข้อมูล!$C$5+H43&gt;79,"",กรอกข้อมูล!$C$5+H43))</f>
        <v>74</v>
      </c>
      <c r="H44" s="557">
        <f t="shared" si="12"/>
        <v>31</v>
      </c>
      <c r="I44" s="558">
        <f t="shared" si="0"/>
        <v>0</v>
      </c>
      <c r="J44" s="568">
        <f t="shared" si="1"/>
        <v>0</v>
      </c>
      <c r="K44" s="568">
        <f t="shared" si="2"/>
        <v>0</v>
      </c>
      <c r="L44" s="1623" t="str">
        <f t="shared" si="3"/>
        <v>-</v>
      </c>
      <c r="M44" s="560">
        <f t="shared" si="4"/>
        <v>0</v>
      </c>
      <c r="N44" s="562">
        <f t="shared" si="5"/>
        <v>0</v>
      </c>
      <c r="S44" s="150"/>
      <c r="T44" s="1237"/>
      <c r="U44" s="1631">
        <f t="shared" si="15"/>
        <v>0</v>
      </c>
      <c r="V44" s="1632">
        <f t="shared" si="16"/>
        <v>0</v>
      </c>
      <c r="W44" s="1631">
        <f t="shared" si="13"/>
        <v>0</v>
      </c>
      <c r="X44" s="1631">
        <f t="shared" si="14"/>
        <v>0</v>
      </c>
      <c r="Y44" s="1631">
        <f t="shared" si="10"/>
        <v>0</v>
      </c>
      <c r="Z44" s="1631">
        <f t="shared" si="11"/>
        <v>0</v>
      </c>
      <c r="AA44" s="1614" t="s">
        <v>2141</v>
      </c>
      <c r="AB44" s="1614" t="s">
        <v>1774</v>
      </c>
      <c r="AC44" s="1614">
        <f>IFERROR(IF($W$6="M",VLOOKUP($W$9,'TABCV(Male)'!$A$2:$QQ$431,H44+105,FALSE),VLOOKUP($W$9,'TABCV(Female)'!$A$2:$QQ$431,H44+105,FALSE)),0)</f>
        <v>0</v>
      </c>
      <c r="AD44" s="18"/>
      <c r="AE44" s="1614" t="s">
        <v>2142</v>
      </c>
      <c r="AF44" s="1614" t="s">
        <v>1875</v>
      </c>
      <c r="AG44" s="1614">
        <f>IFERROR(IF($W$6="M",VLOOKUP($W$9,'TABCV(Male)'!$A$2:$QQ$431,H44+206,FALSE),VLOOKUP($W$9,'TABCV(Female)'!$A$2:$QQ$431,H44+206,FALSE)),0)</f>
        <v>0</v>
      </c>
      <c r="AH44" s="18"/>
      <c r="AI44" s="1614" t="s">
        <v>2143</v>
      </c>
      <c r="AJ44" s="1614" t="s">
        <v>1976</v>
      </c>
      <c r="AK44" s="1614">
        <f>IFERROR(IF($W$6="M",VLOOKUP($W$9,'TABCV(Male)'!$A$2:$QQ$431,H44+307,FALSE),VLOOKUP($W$9,'TABCV(Female)'!$A$2:$QQ$431,H44+307,FALSE)),0)</f>
        <v>0</v>
      </c>
      <c r="AN44" s="557"/>
      <c r="AO44" s="569"/>
      <c r="AP44" s="565"/>
      <c r="AQ44" s="565"/>
      <c r="AR44" s="565"/>
      <c r="AS44" s="1622"/>
      <c r="AT44" s="566"/>
      <c r="AU44" s="567"/>
    </row>
    <row r="45" spans="1:47" s="16" customFormat="1" ht="30" hidden="1" customHeight="1">
      <c r="A45" s="145"/>
      <c r="G45" s="556">
        <f>IF(G44="","",IF(กรอกข้อมูล!$C$5+H44&gt;79,"",กรอกข้อมูล!$C$5+H44))</f>
        <v>75</v>
      </c>
      <c r="H45" s="557">
        <f t="shared" si="12"/>
        <v>32</v>
      </c>
      <c r="I45" s="558">
        <f t="shared" si="0"/>
        <v>0</v>
      </c>
      <c r="J45" s="568">
        <f t="shared" si="1"/>
        <v>0</v>
      </c>
      <c r="K45" s="568">
        <f t="shared" si="2"/>
        <v>0</v>
      </c>
      <c r="L45" s="1623" t="str">
        <f t="shared" si="3"/>
        <v>-</v>
      </c>
      <c r="M45" s="560">
        <f t="shared" si="4"/>
        <v>0</v>
      </c>
      <c r="N45" s="562">
        <f t="shared" si="5"/>
        <v>0</v>
      </c>
      <c r="S45" s="150"/>
      <c r="T45" s="1237"/>
      <c r="U45" s="1631">
        <f t="shared" si="15"/>
        <v>0</v>
      </c>
      <c r="V45" s="1632">
        <f t="shared" si="16"/>
        <v>0</v>
      </c>
      <c r="W45" s="1631">
        <f t="shared" si="13"/>
        <v>0</v>
      </c>
      <c r="X45" s="1631">
        <f t="shared" si="14"/>
        <v>0</v>
      </c>
      <c r="Y45" s="1631">
        <f t="shared" si="10"/>
        <v>0</v>
      </c>
      <c r="Z45" s="1631">
        <f t="shared" si="11"/>
        <v>0</v>
      </c>
      <c r="AA45" s="1614" t="s">
        <v>2144</v>
      </c>
      <c r="AB45" s="1614" t="s">
        <v>1775</v>
      </c>
      <c r="AC45" s="1614">
        <f>IFERROR(IF($W$6="M",VLOOKUP($W$9,'TABCV(Male)'!$A$2:$QQ$431,H45+105,FALSE),VLOOKUP($W$9,'TABCV(Female)'!$A$2:$QQ$431,H45+105,FALSE)),0)</f>
        <v>0</v>
      </c>
      <c r="AD45" s="18"/>
      <c r="AE45" s="1614" t="s">
        <v>2145</v>
      </c>
      <c r="AF45" s="1614" t="s">
        <v>1876</v>
      </c>
      <c r="AG45" s="1614">
        <f>IFERROR(IF($W$6="M",VLOOKUP($W$9,'TABCV(Male)'!$A$2:$QQ$431,H45+206,FALSE),VLOOKUP($W$9,'TABCV(Female)'!$A$2:$QQ$431,H45+206,FALSE)),0)</f>
        <v>0</v>
      </c>
      <c r="AH45" s="18"/>
      <c r="AI45" s="1614" t="s">
        <v>2146</v>
      </c>
      <c r="AJ45" s="1614" t="s">
        <v>1977</v>
      </c>
      <c r="AK45" s="1614">
        <f>IFERROR(IF($W$6="M",VLOOKUP($W$9,'TABCV(Male)'!$A$2:$QQ$431,H45+307,FALSE),VLOOKUP($W$9,'TABCV(Female)'!$A$2:$QQ$431,H45+307,FALSE)),0)</f>
        <v>0</v>
      </c>
      <c r="AN45" s="557"/>
      <c r="AO45" s="557"/>
      <c r="AP45" s="558"/>
      <c r="AQ45" s="568"/>
      <c r="AR45" s="568"/>
      <c r="AS45" s="1623"/>
      <c r="AT45" s="560"/>
      <c r="AU45" s="562"/>
    </row>
    <row r="46" spans="1:47" s="16" customFormat="1" ht="30" hidden="1" customHeight="1">
      <c r="A46" s="145"/>
      <c r="G46" s="556">
        <f>IF(G45="","",IF(กรอกข้อมูล!$C$5+H45&gt;79,"",กรอกข้อมูล!$C$5+H45))</f>
        <v>76</v>
      </c>
      <c r="H46" s="557">
        <f t="shared" si="12"/>
        <v>33</v>
      </c>
      <c r="I46" s="558">
        <f t="shared" ref="I46:I63" si="17">IF(H46="","",(U46*$V$8)/1000)</f>
        <v>0</v>
      </c>
      <c r="J46" s="568">
        <f t="shared" ref="J46:J63" si="18">IF(H46="","",(V46*$V$8)/1000)</f>
        <v>0</v>
      </c>
      <c r="K46" s="568">
        <f t="shared" ref="K46:K63" si="19">IF(H46="","",IF(W46="","-",W46))</f>
        <v>0</v>
      </c>
      <c r="L46" s="1623" t="str">
        <f t="shared" ref="L46:L63" si="20">IF(I46="","",IF(X46=0,"-",X46))</f>
        <v>-</v>
      </c>
      <c r="M46" s="560">
        <f t="shared" ref="M46:M63" si="21">IF(H46="","",(Y46*$V$8)/1000)</f>
        <v>0</v>
      </c>
      <c r="N46" s="562">
        <f t="shared" ref="N46:N63" si="22">IF(H46="","",(Z46*$V$8)/1000)</f>
        <v>0</v>
      </c>
      <c r="S46" s="150"/>
      <c r="T46" s="1237"/>
      <c r="U46" s="1631">
        <f t="shared" si="15"/>
        <v>0</v>
      </c>
      <c r="V46" s="1632">
        <f t="shared" si="16"/>
        <v>0</v>
      </c>
      <c r="W46" s="1631">
        <f t="shared" si="13"/>
        <v>0</v>
      </c>
      <c r="X46" s="1631">
        <f t="shared" si="14"/>
        <v>0</v>
      </c>
      <c r="Y46" s="1631">
        <f t="shared" si="10"/>
        <v>0</v>
      </c>
      <c r="Z46" s="1631">
        <f t="shared" si="11"/>
        <v>0</v>
      </c>
      <c r="AA46" s="1614" t="s">
        <v>2147</v>
      </c>
      <c r="AB46" s="1614" t="s">
        <v>1776</v>
      </c>
      <c r="AC46" s="1614">
        <f>IFERROR(IF($W$6="M",VLOOKUP($W$9,'TABCV(Male)'!$A$2:$QQ$431,H46+105,FALSE),VLOOKUP($W$9,'TABCV(Female)'!$A$2:$QQ$431,H46+105,FALSE)),0)</f>
        <v>0</v>
      </c>
      <c r="AD46" s="18"/>
      <c r="AE46" s="1614" t="s">
        <v>2148</v>
      </c>
      <c r="AF46" s="1614" t="s">
        <v>1877</v>
      </c>
      <c r="AG46" s="1614">
        <f>IFERROR(IF($W$6="M",VLOOKUP($W$9,'TABCV(Male)'!$A$2:$QQ$431,H46+206,FALSE),VLOOKUP($W$9,'TABCV(Female)'!$A$2:$QQ$431,H46+206,FALSE)),0)</f>
        <v>0</v>
      </c>
      <c r="AH46" s="18"/>
      <c r="AI46" s="1614" t="s">
        <v>2149</v>
      </c>
      <c r="AJ46" s="1614" t="s">
        <v>1978</v>
      </c>
      <c r="AK46" s="1614">
        <f>IFERROR(IF($W$6="M",VLOOKUP($W$9,'TABCV(Male)'!$A$2:$QQ$431,H46+307,FALSE),VLOOKUP($W$9,'TABCV(Female)'!$A$2:$QQ$431,H46+307,FALSE)),0)</f>
        <v>0</v>
      </c>
      <c r="AN46" s="557"/>
      <c r="AO46" s="557"/>
      <c r="AP46" s="558"/>
      <c r="AQ46" s="568"/>
      <c r="AR46" s="568"/>
      <c r="AS46" s="1623"/>
      <c r="AT46" s="560"/>
      <c r="AU46" s="562"/>
    </row>
    <row r="47" spans="1:47" s="16" customFormat="1" ht="30" hidden="1" customHeight="1">
      <c r="A47" s="145"/>
      <c r="G47" s="556">
        <f>IF(G46="","",IF(กรอกข้อมูล!$C$5+H46&gt;79,"",กรอกข้อมูล!$C$5+H46))</f>
        <v>77</v>
      </c>
      <c r="H47" s="557">
        <f t="shared" si="12"/>
        <v>34</v>
      </c>
      <c r="I47" s="558">
        <f t="shared" si="17"/>
        <v>0</v>
      </c>
      <c r="J47" s="568">
        <f t="shared" si="18"/>
        <v>0</v>
      </c>
      <c r="K47" s="568">
        <f t="shared" si="19"/>
        <v>0</v>
      </c>
      <c r="L47" s="1623" t="str">
        <f t="shared" si="20"/>
        <v>-</v>
      </c>
      <c r="M47" s="560">
        <f t="shared" si="21"/>
        <v>0</v>
      </c>
      <c r="N47" s="562">
        <f t="shared" si="22"/>
        <v>0</v>
      </c>
      <c r="S47" s="150"/>
      <c r="T47" s="1237"/>
      <c r="U47" s="1631">
        <f t="shared" si="15"/>
        <v>0</v>
      </c>
      <c r="V47" s="1632">
        <f t="shared" si="16"/>
        <v>0</v>
      </c>
      <c r="W47" s="1631">
        <f t="shared" si="13"/>
        <v>0</v>
      </c>
      <c r="X47" s="1631">
        <f t="shared" si="14"/>
        <v>0</v>
      </c>
      <c r="Y47" s="1631">
        <f t="shared" si="10"/>
        <v>0</v>
      </c>
      <c r="Z47" s="1631">
        <f t="shared" si="11"/>
        <v>0</v>
      </c>
      <c r="AA47" s="1614" t="s">
        <v>2150</v>
      </c>
      <c r="AB47" s="1614" t="s">
        <v>1777</v>
      </c>
      <c r="AC47" s="1614">
        <f>IFERROR(IF($W$6="M",VLOOKUP($W$9,'TABCV(Male)'!$A$2:$QQ$431,H47+105,FALSE),VLOOKUP($W$9,'TABCV(Female)'!$A$2:$QQ$431,H47+105,FALSE)),0)</f>
        <v>0</v>
      </c>
      <c r="AD47" s="18"/>
      <c r="AE47" s="1614" t="s">
        <v>2151</v>
      </c>
      <c r="AF47" s="1614" t="s">
        <v>1878</v>
      </c>
      <c r="AG47" s="1614">
        <f>IFERROR(IF($W$6="M",VLOOKUP($W$9,'TABCV(Male)'!$A$2:$QQ$431,H47+206,FALSE),VLOOKUP($W$9,'TABCV(Female)'!$A$2:$QQ$431,H47+206,FALSE)),0)</f>
        <v>0</v>
      </c>
      <c r="AH47" s="18"/>
      <c r="AI47" s="1614" t="s">
        <v>2152</v>
      </c>
      <c r="AJ47" s="1614" t="s">
        <v>1979</v>
      </c>
      <c r="AK47" s="1614">
        <f>IFERROR(IF($W$6="M",VLOOKUP($W$9,'TABCV(Male)'!$A$2:$QQ$431,H47+307,FALSE),VLOOKUP($W$9,'TABCV(Female)'!$A$2:$QQ$431,H47+307,FALSE)),0)</f>
        <v>0</v>
      </c>
      <c r="AN47" s="557"/>
      <c r="AO47" s="557"/>
      <c r="AP47" s="558"/>
      <c r="AQ47" s="568"/>
      <c r="AR47" s="568"/>
      <c r="AS47" s="1623"/>
      <c r="AT47" s="560"/>
      <c r="AU47" s="562"/>
    </row>
    <row r="48" spans="1:47" s="16" customFormat="1" ht="30" hidden="1" customHeight="1">
      <c r="A48" s="145"/>
      <c r="G48" s="556">
        <f>IF(G47="","",IF(กรอกข้อมูล!$C$5+H47&gt;79,"",กรอกข้อมูล!$C$5+H47))</f>
        <v>78</v>
      </c>
      <c r="H48" s="557">
        <f t="shared" si="12"/>
        <v>35</v>
      </c>
      <c r="I48" s="558">
        <f t="shared" si="17"/>
        <v>0</v>
      </c>
      <c r="J48" s="568">
        <f t="shared" si="18"/>
        <v>0</v>
      </c>
      <c r="K48" s="568">
        <f t="shared" si="19"/>
        <v>0</v>
      </c>
      <c r="L48" s="1623" t="str">
        <f t="shared" si="20"/>
        <v>-</v>
      </c>
      <c r="M48" s="560">
        <f t="shared" si="21"/>
        <v>0</v>
      </c>
      <c r="N48" s="562">
        <f t="shared" si="22"/>
        <v>0</v>
      </c>
      <c r="S48" s="150"/>
      <c r="T48" s="1237"/>
      <c r="U48" s="1631">
        <f t="shared" si="15"/>
        <v>0</v>
      </c>
      <c r="V48" s="1632">
        <f t="shared" si="16"/>
        <v>0</v>
      </c>
      <c r="W48" s="1631">
        <f t="shared" si="13"/>
        <v>0</v>
      </c>
      <c r="X48" s="1631">
        <f t="shared" si="14"/>
        <v>0</v>
      </c>
      <c r="Y48" s="1631">
        <f t="shared" si="10"/>
        <v>0</v>
      </c>
      <c r="Z48" s="1631">
        <f t="shared" si="11"/>
        <v>0</v>
      </c>
      <c r="AA48" s="1614" t="s">
        <v>2153</v>
      </c>
      <c r="AB48" s="1614" t="s">
        <v>1778</v>
      </c>
      <c r="AC48" s="1614">
        <f>IFERROR(IF($W$6="M",VLOOKUP($W$9,'TABCV(Male)'!$A$2:$QQ$431,H48+105,FALSE),VLOOKUP($W$9,'TABCV(Female)'!$A$2:$QQ$431,H48+105,FALSE)),0)</f>
        <v>0</v>
      </c>
      <c r="AD48" s="18"/>
      <c r="AE48" s="1614" t="s">
        <v>2154</v>
      </c>
      <c r="AF48" s="1614" t="s">
        <v>1879</v>
      </c>
      <c r="AG48" s="1614">
        <f>IFERROR(IF($W$6="M",VLOOKUP($W$9,'TABCV(Male)'!$A$2:$QQ$431,H48+206,FALSE),VLOOKUP($W$9,'TABCV(Female)'!$A$2:$QQ$431,H48+206,FALSE)),0)</f>
        <v>0</v>
      </c>
      <c r="AH48" s="18"/>
      <c r="AI48" s="1614" t="s">
        <v>2155</v>
      </c>
      <c r="AJ48" s="1614" t="s">
        <v>1980</v>
      </c>
      <c r="AK48" s="1614">
        <f>IFERROR(IF($W$6="M",VLOOKUP($W$9,'TABCV(Male)'!$A$2:$QQ$431,H48+307,FALSE),VLOOKUP($W$9,'TABCV(Female)'!$A$2:$QQ$431,H48+307,FALSE)),0)</f>
        <v>0</v>
      </c>
      <c r="AN48" s="557"/>
      <c r="AO48" s="557"/>
      <c r="AP48" s="558"/>
      <c r="AQ48" s="568"/>
      <c r="AR48" s="568"/>
      <c r="AS48" s="1623"/>
      <c r="AT48" s="560"/>
      <c r="AU48" s="562"/>
    </row>
    <row r="49" spans="1:47" s="16" customFormat="1" ht="30" hidden="1" customHeight="1">
      <c r="A49" s="145"/>
      <c r="G49" s="556">
        <f>IF(G48="","",IF(กรอกข้อมูล!$C$5+H48&gt;79,"",กรอกข้อมูล!$C$5+H48))</f>
        <v>79</v>
      </c>
      <c r="H49" s="569">
        <f t="shared" si="12"/>
        <v>36</v>
      </c>
      <c r="I49" s="565">
        <f t="shared" si="17"/>
        <v>0</v>
      </c>
      <c r="J49" s="565">
        <f t="shared" si="18"/>
        <v>0</v>
      </c>
      <c r="K49" s="565">
        <f t="shared" si="19"/>
        <v>0</v>
      </c>
      <c r="L49" s="1622" t="str">
        <f t="shared" si="20"/>
        <v>-</v>
      </c>
      <c r="M49" s="566">
        <f t="shared" si="21"/>
        <v>0</v>
      </c>
      <c r="N49" s="567">
        <f t="shared" si="22"/>
        <v>0</v>
      </c>
      <c r="S49" s="150"/>
      <c r="T49" s="1237"/>
      <c r="U49" s="1631">
        <f t="shared" si="15"/>
        <v>0</v>
      </c>
      <c r="V49" s="1632">
        <f t="shared" si="16"/>
        <v>0</v>
      </c>
      <c r="W49" s="1631">
        <f t="shared" si="13"/>
        <v>0</v>
      </c>
      <c r="X49" s="1631">
        <f t="shared" si="14"/>
        <v>0</v>
      </c>
      <c r="Y49" s="1631">
        <f t="shared" si="10"/>
        <v>0</v>
      </c>
      <c r="Z49" s="1631">
        <f t="shared" si="11"/>
        <v>0</v>
      </c>
      <c r="AA49" s="1614" t="s">
        <v>2156</v>
      </c>
      <c r="AB49" s="1614" t="s">
        <v>1779</v>
      </c>
      <c r="AC49" s="1614">
        <f>IFERROR(IF($W$6="M",VLOOKUP($W$9,'TABCV(Male)'!$A$2:$QQ$431,H49+105,FALSE),VLOOKUP($W$9,'TABCV(Female)'!$A$2:$QQ$431,H49+105,FALSE)),0)</f>
        <v>0</v>
      </c>
      <c r="AD49" s="18"/>
      <c r="AE49" s="1614" t="s">
        <v>2157</v>
      </c>
      <c r="AF49" s="1614" t="s">
        <v>1880</v>
      </c>
      <c r="AG49" s="1614">
        <f>IFERROR(IF($W$6="M",VLOOKUP($W$9,'TABCV(Male)'!$A$2:$QQ$431,H49+206,FALSE),VLOOKUP($W$9,'TABCV(Female)'!$A$2:$QQ$431,H49+206,FALSE)),0)</f>
        <v>0</v>
      </c>
      <c r="AH49" s="18"/>
      <c r="AI49" s="1614" t="s">
        <v>2158</v>
      </c>
      <c r="AJ49" s="1614" t="s">
        <v>1981</v>
      </c>
      <c r="AK49" s="1614">
        <f>IFERROR(IF($W$6="M",VLOOKUP($W$9,'TABCV(Male)'!$A$2:$QQ$431,H49+307,FALSE),VLOOKUP($W$9,'TABCV(Female)'!$A$2:$QQ$431,H49+307,FALSE)),0)</f>
        <v>0</v>
      </c>
      <c r="AN49" s="557"/>
      <c r="AO49" s="557"/>
      <c r="AP49" s="558"/>
      <c r="AQ49" s="568"/>
      <c r="AR49" s="568"/>
      <c r="AS49" s="1623"/>
      <c r="AT49" s="560"/>
      <c r="AU49" s="562"/>
    </row>
    <row r="50" spans="1:47" s="16" customFormat="1" ht="30" hidden="1" customHeight="1">
      <c r="A50" s="145"/>
      <c r="G50" s="556" t="str">
        <f>IF(G49="","",IF(กรอกข้อมูล!$C$5+H49&gt;79,"",กรอกข้อมูล!$C$5+H49))</f>
        <v/>
      </c>
      <c r="H50" s="569" t="str">
        <f t="shared" si="12"/>
        <v/>
      </c>
      <c r="I50" s="565" t="str">
        <f t="shared" si="17"/>
        <v/>
      </c>
      <c r="J50" s="565" t="str">
        <f t="shared" si="18"/>
        <v/>
      </c>
      <c r="K50" s="565" t="str">
        <f t="shared" si="19"/>
        <v/>
      </c>
      <c r="L50" s="1622" t="str">
        <f t="shared" si="20"/>
        <v/>
      </c>
      <c r="M50" s="566" t="str">
        <f t="shared" si="21"/>
        <v/>
      </c>
      <c r="N50" s="567" t="str">
        <f t="shared" si="22"/>
        <v/>
      </c>
      <c r="S50" s="150"/>
      <c r="T50" s="1237"/>
      <c r="U50" s="1631">
        <f t="shared" si="15"/>
        <v>0</v>
      </c>
      <c r="V50" s="1632">
        <f t="shared" si="16"/>
        <v>0</v>
      </c>
      <c r="W50" s="1631">
        <f t="shared" si="13"/>
        <v>0</v>
      </c>
      <c r="X50" s="1631">
        <f t="shared" si="14"/>
        <v>0</v>
      </c>
      <c r="Y50" s="1631">
        <f t="shared" si="10"/>
        <v>0</v>
      </c>
      <c r="Z50" s="1631">
        <f t="shared" si="11"/>
        <v>0</v>
      </c>
      <c r="AA50" s="1614" t="s">
        <v>2159</v>
      </c>
      <c r="AB50" s="1614" t="s">
        <v>1780</v>
      </c>
      <c r="AC50" s="1614">
        <f>IFERROR(IF($W$6="M",VLOOKUP($W$9,'TABCV(Male)'!$A$2:$QQ$431,H50+105,FALSE),VLOOKUP($W$9,'TABCV(Female)'!$A$2:$QQ$431,H50+105,FALSE)),0)</f>
        <v>0</v>
      </c>
      <c r="AD50" s="18"/>
      <c r="AE50" s="1614" t="s">
        <v>2160</v>
      </c>
      <c r="AF50" s="1614" t="s">
        <v>1881</v>
      </c>
      <c r="AG50" s="1614">
        <f>IFERROR(IF($W$6="M",VLOOKUP($W$9,'TABCV(Male)'!$A$2:$QQ$431,H50+206,FALSE),VLOOKUP($W$9,'TABCV(Female)'!$A$2:$QQ$431,H50+206,FALSE)),0)</f>
        <v>0</v>
      </c>
      <c r="AH50" s="18"/>
      <c r="AI50" s="1614" t="s">
        <v>2161</v>
      </c>
      <c r="AJ50" s="1614" t="s">
        <v>1982</v>
      </c>
      <c r="AK50" s="1614">
        <f>IFERROR(IF($W$6="M",VLOOKUP($W$9,'TABCV(Male)'!$A$2:$QQ$431,H50+307,FALSE),VLOOKUP($W$9,'TABCV(Female)'!$A$2:$QQ$431,H50+307,FALSE)),0)</f>
        <v>0</v>
      </c>
      <c r="AN50" s="557"/>
      <c r="AO50" s="569"/>
      <c r="AP50" s="565"/>
      <c r="AQ50" s="565"/>
      <c r="AR50" s="565"/>
      <c r="AS50" s="1622"/>
      <c r="AT50" s="566"/>
      <c r="AU50" s="567"/>
    </row>
    <row r="51" spans="1:47" s="16" customFormat="1" ht="30" hidden="1" customHeight="1">
      <c r="A51" s="145"/>
      <c r="G51" s="556" t="str">
        <f>IF(G50="","",IF(กรอกข้อมูล!$C$5+H50&gt;79,"",กรอกข้อมูล!$C$5+H50))</f>
        <v/>
      </c>
      <c r="H51" s="569" t="str">
        <f t="shared" si="12"/>
        <v/>
      </c>
      <c r="I51" s="565" t="str">
        <f t="shared" si="17"/>
        <v/>
      </c>
      <c r="J51" s="565" t="str">
        <f t="shared" si="18"/>
        <v/>
      </c>
      <c r="K51" s="565" t="str">
        <f t="shared" si="19"/>
        <v/>
      </c>
      <c r="L51" s="1622" t="str">
        <f t="shared" si="20"/>
        <v/>
      </c>
      <c r="M51" s="566" t="str">
        <f t="shared" si="21"/>
        <v/>
      </c>
      <c r="N51" s="567" t="str">
        <f t="shared" si="22"/>
        <v/>
      </c>
      <c r="S51" s="150"/>
      <c r="T51" s="1237"/>
      <c r="U51" s="1631">
        <f t="shared" si="15"/>
        <v>0</v>
      </c>
      <c r="V51" s="1632">
        <f t="shared" si="16"/>
        <v>0</v>
      </c>
      <c r="W51" s="1631">
        <f t="shared" si="13"/>
        <v>0</v>
      </c>
      <c r="X51" s="1631">
        <f t="shared" si="14"/>
        <v>0</v>
      </c>
      <c r="Y51" s="1631">
        <f t="shared" si="10"/>
        <v>0</v>
      </c>
      <c r="Z51" s="1631">
        <f t="shared" si="11"/>
        <v>0</v>
      </c>
      <c r="AA51" s="1614" t="s">
        <v>2162</v>
      </c>
      <c r="AB51" s="1614" t="s">
        <v>1781</v>
      </c>
      <c r="AC51" s="1614">
        <f>IFERROR(IF($W$6="M",VLOOKUP($W$9,'TABCV(Male)'!$A$2:$QQ$431,H51+105,FALSE),VLOOKUP($W$9,'TABCV(Female)'!$A$2:$QQ$431,H51+105,FALSE)),0)</f>
        <v>0</v>
      </c>
      <c r="AD51" s="18"/>
      <c r="AE51" s="1614" t="s">
        <v>2163</v>
      </c>
      <c r="AF51" s="1614" t="s">
        <v>1882</v>
      </c>
      <c r="AG51" s="1614">
        <f>IFERROR(IF($W$6="M",VLOOKUP($W$9,'TABCV(Male)'!$A$2:$QQ$431,H51+206,FALSE),VLOOKUP($W$9,'TABCV(Female)'!$A$2:$QQ$431,H51+206,FALSE)),0)</f>
        <v>0</v>
      </c>
      <c r="AH51" s="18"/>
      <c r="AI51" s="1614" t="s">
        <v>2164</v>
      </c>
      <c r="AJ51" s="1614" t="s">
        <v>1983</v>
      </c>
      <c r="AK51" s="1614">
        <f>IFERROR(IF($W$6="M",VLOOKUP($W$9,'TABCV(Male)'!$A$2:$QQ$431,H51+307,FALSE),VLOOKUP($W$9,'TABCV(Female)'!$A$2:$QQ$431,H51+307,FALSE)),0)</f>
        <v>0</v>
      </c>
      <c r="AN51" s="557"/>
      <c r="AO51" s="569"/>
      <c r="AP51" s="565"/>
      <c r="AQ51" s="565"/>
      <c r="AR51" s="565"/>
      <c r="AS51" s="1622"/>
      <c r="AT51" s="566"/>
      <c r="AU51" s="567"/>
    </row>
    <row r="52" spans="1:47" s="16" customFormat="1" ht="30" hidden="1" customHeight="1">
      <c r="A52" s="145"/>
      <c r="G52" s="556" t="str">
        <f>IF(G51="","",IF(กรอกข้อมูล!$C$5+H51&gt;79,"",กรอกข้อมูล!$C$5+H51))</f>
        <v/>
      </c>
      <c r="H52" s="569" t="str">
        <f t="shared" si="12"/>
        <v/>
      </c>
      <c r="I52" s="565" t="str">
        <f t="shared" si="17"/>
        <v/>
      </c>
      <c r="J52" s="565" t="str">
        <f t="shared" si="18"/>
        <v/>
      </c>
      <c r="K52" s="565" t="str">
        <f t="shared" si="19"/>
        <v/>
      </c>
      <c r="L52" s="1622" t="str">
        <f t="shared" si="20"/>
        <v/>
      </c>
      <c r="M52" s="566" t="str">
        <f t="shared" si="21"/>
        <v/>
      </c>
      <c r="N52" s="567" t="str">
        <f t="shared" si="22"/>
        <v/>
      </c>
      <c r="S52" s="150"/>
      <c r="T52" s="1237"/>
      <c r="U52" s="1631">
        <f t="shared" si="15"/>
        <v>0</v>
      </c>
      <c r="V52" s="1632">
        <f t="shared" si="16"/>
        <v>0</v>
      </c>
      <c r="W52" s="1631">
        <f t="shared" si="13"/>
        <v>0</v>
      </c>
      <c r="X52" s="1631">
        <f t="shared" si="14"/>
        <v>0</v>
      </c>
      <c r="Y52" s="1631">
        <f t="shared" si="10"/>
        <v>0</v>
      </c>
      <c r="Z52" s="1631">
        <f t="shared" si="11"/>
        <v>0</v>
      </c>
      <c r="AA52" s="1614" t="s">
        <v>2165</v>
      </c>
      <c r="AB52" s="1614" t="s">
        <v>1782</v>
      </c>
      <c r="AC52" s="1614">
        <f>IFERROR(IF($W$6="M",VLOOKUP($W$9,'TABCV(Male)'!$A$2:$QQ$431,H52+105,FALSE),VLOOKUP($W$9,'TABCV(Female)'!$A$2:$QQ$431,H52+105,FALSE)),0)</f>
        <v>0</v>
      </c>
      <c r="AD52" s="18"/>
      <c r="AE52" s="1614" t="s">
        <v>2166</v>
      </c>
      <c r="AF52" s="1614" t="s">
        <v>1883</v>
      </c>
      <c r="AG52" s="1614">
        <f>IFERROR(IF($W$6="M",VLOOKUP($W$9,'TABCV(Male)'!$A$2:$QQ$431,H52+206,FALSE),VLOOKUP($W$9,'TABCV(Female)'!$A$2:$QQ$431,H52+206,FALSE)),0)</f>
        <v>0</v>
      </c>
      <c r="AH52" s="18"/>
      <c r="AI52" s="1614" t="s">
        <v>2167</v>
      </c>
      <c r="AJ52" s="1614" t="s">
        <v>1984</v>
      </c>
      <c r="AK52" s="1614">
        <f>IFERROR(IF($W$6="M",VLOOKUP($W$9,'TABCV(Male)'!$A$2:$QQ$431,H52+307,FALSE),VLOOKUP($W$9,'TABCV(Female)'!$A$2:$QQ$431,H52+307,FALSE)),0)</f>
        <v>0</v>
      </c>
      <c r="AN52" s="557"/>
      <c r="AO52" s="569"/>
      <c r="AP52" s="565"/>
      <c r="AQ52" s="565"/>
      <c r="AR52" s="565"/>
      <c r="AS52" s="1622"/>
      <c r="AT52" s="566"/>
      <c r="AU52" s="567"/>
    </row>
    <row r="53" spans="1:47" s="16" customFormat="1" ht="30" hidden="1" customHeight="1">
      <c r="A53" s="145"/>
      <c r="G53" s="556" t="str">
        <f>IF(G52="","",IF(กรอกข้อมูล!$C$5+H52&gt;79,"",กรอกข้อมูล!$C$5+H52))</f>
        <v/>
      </c>
      <c r="H53" s="569" t="str">
        <f t="shared" si="12"/>
        <v/>
      </c>
      <c r="I53" s="565" t="str">
        <f t="shared" si="17"/>
        <v/>
      </c>
      <c r="J53" s="565" t="str">
        <f t="shared" si="18"/>
        <v/>
      </c>
      <c r="K53" s="565" t="str">
        <f t="shared" si="19"/>
        <v/>
      </c>
      <c r="L53" s="1622" t="str">
        <f t="shared" si="20"/>
        <v/>
      </c>
      <c r="M53" s="566" t="str">
        <f t="shared" si="21"/>
        <v/>
      </c>
      <c r="N53" s="567" t="str">
        <f t="shared" si="22"/>
        <v/>
      </c>
      <c r="S53" s="150"/>
      <c r="T53" s="1237"/>
      <c r="U53" s="1631">
        <f t="shared" si="15"/>
        <v>0</v>
      </c>
      <c r="V53" s="1632">
        <f t="shared" si="16"/>
        <v>0</v>
      </c>
      <c r="W53" s="1631">
        <f t="shared" si="13"/>
        <v>0</v>
      </c>
      <c r="X53" s="1631">
        <f t="shared" si="14"/>
        <v>0</v>
      </c>
      <c r="Y53" s="1631">
        <f t="shared" si="10"/>
        <v>0</v>
      </c>
      <c r="Z53" s="1631">
        <f t="shared" si="11"/>
        <v>0</v>
      </c>
      <c r="AA53" s="1614" t="s">
        <v>2168</v>
      </c>
      <c r="AB53" s="1614" t="s">
        <v>1783</v>
      </c>
      <c r="AC53" s="1614">
        <f>IFERROR(IF($W$6="M",VLOOKUP($W$9,'TABCV(Male)'!$A$2:$QQ$431,H53+105,FALSE),VLOOKUP($W$9,'TABCV(Female)'!$A$2:$QQ$431,H53+105,FALSE)),0)</f>
        <v>0</v>
      </c>
      <c r="AD53" s="18"/>
      <c r="AE53" s="1614" t="s">
        <v>2169</v>
      </c>
      <c r="AF53" s="1614" t="s">
        <v>1884</v>
      </c>
      <c r="AG53" s="1614">
        <f>IFERROR(IF($W$6="M",VLOOKUP($W$9,'TABCV(Male)'!$A$2:$QQ$431,H53+206,FALSE),VLOOKUP($W$9,'TABCV(Female)'!$A$2:$QQ$431,H53+206,FALSE)),0)</f>
        <v>0</v>
      </c>
      <c r="AH53" s="18"/>
      <c r="AI53" s="1614" t="s">
        <v>2170</v>
      </c>
      <c r="AJ53" s="1614" t="s">
        <v>1985</v>
      </c>
      <c r="AK53" s="1614">
        <f>IFERROR(IF($W$6="M",VLOOKUP($W$9,'TABCV(Male)'!$A$2:$QQ$431,H53+307,FALSE),VLOOKUP($W$9,'TABCV(Female)'!$A$2:$QQ$431,H53+307,FALSE)),0)</f>
        <v>0</v>
      </c>
      <c r="AN53" s="557"/>
      <c r="AO53" s="569"/>
      <c r="AP53" s="565"/>
      <c r="AQ53" s="565"/>
      <c r="AR53" s="565"/>
      <c r="AS53" s="1622"/>
      <c r="AT53" s="566"/>
      <c r="AU53" s="567"/>
    </row>
    <row r="54" spans="1:47" s="16" customFormat="1" ht="30" hidden="1" customHeight="1">
      <c r="A54" s="145"/>
      <c r="G54" s="556" t="str">
        <f>IF(G53="","",IF(กรอกข้อมูล!$C$5+H53&gt;79,"",กรอกข้อมูล!$C$5+H53))</f>
        <v/>
      </c>
      <c r="H54" s="557" t="str">
        <f t="shared" si="12"/>
        <v/>
      </c>
      <c r="I54" s="558" t="str">
        <f t="shared" si="17"/>
        <v/>
      </c>
      <c r="J54" s="561" t="str">
        <f t="shared" si="18"/>
        <v/>
      </c>
      <c r="K54" s="561" t="str">
        <f t="shared" si="19"/>
        <v/>
      </c>
      <c r="L54" s="1624" t="str">
        <f t="shared" si="20"/>
        <v/>
      </c>
      <c r="M54" s="560" t="str">
        <f t="shared" si="21"/>
        <v/>
      </c>
      <c r="N54" s="562" t="str">
        <f t="shared" si="22"/>
        <v/>
      </c>
      <c r="S54" s="150"/>
      <c r="T54" s="1237"/>
      <c r="U54" s="1631">
        <f t="shared" si="15"/>
        <v>0</v>
      </c>
      <c r="V54" s="1632">
        <f t="shared" si="16"/>
        <v>0</v>
      </c>
      <c r="W54" s="1631">
        <f t="shared" si="13"/>
        <v>0</v>
      </c>
      <c r="X54" s="1631">
        <f t="shared" si="14"/>
        <v>0</v>
      </c>
      <c r="Y54" s="1631">
        <f t="shared" si="10"/>
        <v>0</v>
      </c>
      <c r="Z54" s="1631">
        <f t="shared" si="11"/>
        <v>0</v>
      </c>
      <c r="AA54" s="1614" t="s">
        <v>2171</v>
      </c>
      <c r="AB54" s="1614" t="s">
        <v>1784</v>
      </c>
      <c r="AC54" s="1614">
        <f>IFERROR(IF($W$6="M",VLOOKUP($W$9,'TABCV(Male)'!$A$2:$QQ$431,H54+105,FALSE),VLOOKUP($W$9,'TABCV(Female)'!$A$2:$QQ$431,H54+105,FALSE)),0)</f>
        <v>0</v>
      </c>
      <c r="AD54" s="18"/>
      <c r="AE54" s="1614" t="s">
        <v>2172</v>
      </c>
      <c r="AF54" s="1614" t="s">
        <v>1885</v>
      </c>
      <c r="AG54" s="1614">
        <f>IFERROR(IF($W$6="M",VLOOKUP($W$9,'TABCV(Male)'!$A$2:$QQ$431,H54+206,FALSE),VLOOKUP($W$9,'TABCV(Female)'!$A$2:$QQ$431,H54+206,FALSE)),0)</f>
        <v>0</v>
      </c>
      <c r="AH54" s="18"/>
      <c r="AI54" s="1614" t="s">
        <v>2173</v>
      </c>
      <c r="AJ54" s="1614" t="s">
        <v>1986</v>
      </c>
      <c r="AK54" s="1614">
        <f>IFERROR(IF($W$6="M",VLOOKUP($W$9,'TABCV(Male)'!$A$2:$QQ$431,H54+307,FALSE),VLOOKUP($W$9,'TABCV(Female)'!$A$2:$QQ$431,H54+307,FALSE)),0)</f>
        <v>0</v>
      </c>
      <c r="AN54" s="557"/>
      <c r="AO54" s="569"/>
      <c r="AP54" s="565"/>
      <c r="AQ54" s="565"/>
      <c r="AR54" s="565"/>
      <c r="AS54" s="1622"/>
      <c r="AT54" s="566"/>
      <c r="AU54" s="567"/>
    </row>
    <row r="55" spans="1:47" s="16" customFormat="1" ht="30" hidden="1" customHeight="1">
      <c r="A55" s="145"/>
      <c r="G55" s="556" t="str">
        <f>IF(G54="","",IF(กรอกข้อมูล!$C$5+H54&gt;79,"",กรอกข้อมูล!$C$5+H54))</f>
        <v/>
      </c>
      <c r="H55" s="557" t="str">
        <f t="shared" si="12"/>
        <v/>
      </c>
      <c r="I55" s="558" t="str">
        <f t="shared" si="17"/>
        <v/>
      </c>
      <c r="J55" s="561" t="str">
        <f t="shared" si="18"/>
        <v/>
      </c>
      <c r="K55" s="561" t="str">
        <f t="shared" si="19"/>
        <v/>
      </c>
      <c r="L55" s="1624" t="str">
        <f t="shared" si="20"/>
        <v/>
      </c>
      <c r="M55" s="560" t="str">
        <f t="shared" si="21"/>
        <v/>
      </c>
      <c r="N55" s="562" t="str">
        <f t="shared" si="22"/>
        <v/>
      </c>
      <c r="S55" s="150"/>
      <c r="T55" s="1237"/>
      <c r="U55" s="1631">
        <f t="shared" si="15"/>
        <v>0</v>
      </c>
      <c r="V55" s="1632">
        <f t="shared" si="16"/>
        <v>0</v>
      </c>
      <c r="W55" s="1631">
        <f t="shared" si="13"/>
        <v>0</v>
      </c>
      <c r="X55" s="1631">
        <f t="shared" si="14"/>
        <v>0</v>
      </c>
      <c r="Y55" s="1631">
        <f t="shared" si="10"/>
        <v>0</v>
      </c>
      <c r="Z55" s="1631">
        <f t="shared" si="11"/>
        <v>0</v>
      </c>
      <c r="AA55" s="1614" t="s">
        <v>2174</v>
      </c>
      <c r="AB55" s="1614" t="s">
        <v>1785</v>
      </c>
      <c r="AC55" s="1614">
        <f>IFERROR(IF($W$6="M",VLOOKUP($W$9,'TABCV(Male)'!$A$2:$QQ$431,H55+105,FALSE),VLOOKUP($W$9,'TABCV(Female)'!$A$2:$QQ$431,H55+105,FALSE)),0)</f>
        <v>0</v>
      </c>
      <c r="AD55" s="18"/>
      <c r="AE55" s="1614" t="s">
        <v>2175</v>
      </c>
      <c r="AF55" s="1614" t="s">
        <v>1886</v>
      </c>
      <c r="AG55" s="1614">
        <f>IFERROR(IF($W$6="M",VLOOKUP($W$9,'TABCV(Male)'!$A$2:$QQ$431,H55+206,FALSE),VLOOKUP($W$9,'TABCV(Female)'!$A$2:$QQ$431,H55+206,FALSE)),0)</f>
        <v>0</v>
      </c>
      <c r="AH55" s="18"/>
      <c r="AI55" s="1614" t="s">
        <v>2176</v>
      </c>
      <c r="AJ55" s="1614" t="s">
        <v>1987</v>
      </c>
      <c r="AK55" s="1614">
        <f>IFERROR(IF($W$6="M",VLOOKUP($W$9,'TABCV(Male)'!$A$2:$QQ$431,H55+307,FALSE),VLOOKUP($W$9,'TABCV(Female)'!$A$2:$QQ$431,H55+307,FALSE)),0)</f>
        <v>0</v>
      </c>
      <c r="AN55" s="557"/>
      <c r="AO55" s="557"/>
      <c r="AP55" s="558"/>
      <c r="AQ55" s="568"/>
      <c r="AR55" s="568"/>
      <c r="AS55" s="1623"/>
      <c r="AT55" s="560"/>
      <c r="AU55" s="562"/>
    </row>
    <row r="56" spans="1:47" s="16" customFormat="1" ht="30" hidden="1" customHeight="1">
      <c r="A56" s="145"/>
      <c r="G56" s="556" t="str">
        <f>IF(G55="","",IF(กรอกข้อมูล!$C$5+H55&gt;79,"",กรอกข้อมูล!$C$5+H55))</f>
        <v/>
      </c>
      <c r="H56" s="557" t="str">
        <f t="shared" si="12"/>
        <v/>
      </c>
      <c r="I56" s="558" t="str">
        <f t="shared" si="17"/>
        <v/>
      </c>
      <c r="J56" s="561" t="str">
        <f t="shared" si="18"/>
        <v/>
      </c>
      <c r="K56" s="561" t="str">
        <f t="shared" si="19"/>
        <v/>
      </c>
      <c r="L56" s="1624" t="str">
        <f t="shared" si="20"/>
        <v/>
      </c>
      <c r="M56" s="560" t="str">
        <f t="shared" si="21"/>
        <v/>
      </c>
      <c r="N56" s="562" t="str">
        <f t="shared" si="22"/>
        <v/>
      </c>
      <c r="S56" s="150"/>
      <c r="T56" s="1237"/>
      <c r="U56" s="1631">
        <f t="shared" si="15"/>
        <v>0</v>
      </c>
      <c r="V56" s="1632">
        <f t="shared" si="16"/>
        <v>0</v>
      </c>
      <c r="W56" s="1631">
        <f t="shared" si="13"/>
        <v>0</v>
      </c>
      <c r="X56" s="1631">
        <f t="shared" si="14"/>
        <v>0</v>
      </c>
      <c r="Y56" s="1631">
        <f t="shared" si="10"/>
        <v>0</v>
      </c>
      <c r="Z56" s="1631">
        <f t="shared" si="11"/>
        <v>0</v>
      </c>
      <c r="AA56" s="1614" t="s">
        <v>2177</v>
      </c>
      <c r="AB56" s="1614" t="s">
        <v>1786</v>
      </c>
      <c r="AC56" s="1614">
        <f>IFERROR(IF($W$6="M",VLOOKUP($W$9,'TABCV(Male)'!$A$2:$QQ$431,H56+105,FALSE),VLOOKUP($W$9,'TABCV(Female)'!$A$2:$QQ$431,H56+105,FALSE)),0)</f>
        <v>0</v>
      </c>
      <c r="AD56" s="18"/>
      <c r="AE56" s="1614" t="s">
        <v>2178</v>
      </c>
      <c r="AF56" s="1614" t="s">
        <v>1887</v>
      </c>
      <c r="AG56" s="1614">
        <f>IFERROR(IF($W$6="M",VLOOKUP($W$9,'TABCV(Male)'!$A$2:$QQ$431,H56+206,FALSE),VLOOKUP($W$9,'TABCV(Female)'!$A$2:$QQ$431,H56+206,FALSE)),0)</f>
        <v>0</v>
      </c>
      <c r="AH56" s="18"/>
      <c r="AI56" s="1614" t="s">
        <v>2179</v>
      </c>
      <c r="AJ56" s="1614" t="s">
        <v>1988</v>
      </c>
      <c r="AK56" s="1614">
        <f>IFERROR(IF($W$6="M",VLOOKUP($W$9,'TABCV(Male)'!$A$2:$QQ$431,H56+307,FALSE),VLOOKUP($W$9,'TABCV(Female)'!$A$2:$QQ$431,H56+307,FALSE)),0)</f>
        <v>0</v>
      </c>
      <c r="AN56" s="557"/>
      <c r="AO56" s="557"/>
      <c r="AP56" s="558"/>
      <c r="AQ56" s="568"/>
      <c r="AR56" s="568"/>
      <c r="AS56" s="1623"/>
      <c r="AT56" s="560"/>
      <c r="AU56" s="562"/>
    </row>
    <row r="57" spans="1:47" s="16" customFormat="1" ht="30" hidden="1" customHeight="1">
      <c r="A57" s="145"/>
      <c r="G57" s="556" t="str">
        <f>IF(G56="","",IF(กรอกข้อมูล!$C$5+H56&gt;79,"",กรอกข้อมูล!$C$5+H56))</f>
        <v/>
      </c>
      <c r="H57" s="557" t="str">
        <f t="shared" si="12"/>
        <v/>
      </c>
      <c r="I57" s="558" t="str">
        <f t="shared" si="17"/>
        <v/>
      </c>
      <c r="J57" s="561" t="str">
        <f t="shared" si="18"/>
        <v/>
      </c>
      <c r="K57" s="561" t="str">
        <f t="shared" si="19"/>
        <v/>
      </c>
      <c r="L57" s="1624" t="str">
        <f t="shared" si="20"/>
        <v/>
      </c>
      <c r="M57" s="560" t="str">
        <f t="shared" si="21"/>
        <v/>
      </c>
      <c r="N57" s="562" t="str">
        <f t="shared" si="22"/>
        <v/>
      </c>
      <c r="S57" s="150"/>
      <c r="T57" s="1237"/>
      <c r="U57" s="1631">
        <f t="shared" si="15"/>
        <v>0</v>
      </c>
      <c r="V57" s="1632">
        <f t="shared" si="16"/>
        <v>0</v>
      </c>
      <c r="W57" s="1631">
        <f t="shared" si="13"/>
        <v>0</v>
      </c>
      <c r="X57" s="1631">
        <f t="shared" si="14"/>
        <v>0</v>
      </c>
      <c r="Y57" s="1631">
        <f t="shared" si="10"/>
        <v>0</v>
      </c>
      <c r="Z57" s="1631">
        <f t="shared" si="11"/>
        <v>0</v>
      </c>
      <c r="AA57" s="1614" t="s">
        <v>2180</v>
      </c>
      <c r="AB57" s="1614" t="s">
        <v>1787</v>
      </c>
      <c r="AC57" s="1614">
        <f>IFERROR(IF($W$6="M",VLOOKUP($W$9,'TABCV(Male)'!$A$2:$QQ$431,H57+105,FALSE),VLOOKUP($W$9,'TABCV(Female)'!$A$2:$QQ$431,H57+105,FALSE)),0)</f>
        <v>0</v>
      </c>
      <c r="AD57" s="18"/>
      <c r="AE57" s="1614" t="s">
        <v>2181</v>
      </c>
      <c r="AF57" s="1614" t="s">
        <v>1888</v>
      </c>
      <c r="AG57" s="1614">
        <f>IFERROR(IF($W$6="M",VLOOKUP($W$9,'TABCV(Male)'!$A$2:$QQ$431,H57+206,FALSE),VLOOKUP($W$9,'TABCV(Female)'!$A$2:$QQ$431,H57+206,FALSE)),0)</f>
        <v>0</v>
      </c>
      <c r="AH57" s="18"/>
      <c r="AI57" s="1614" t="s">
        <v>2182</v>
      </c>
      <c r="AJ57" s="1614" t="s">
        <v>1989</v>
      </c>
      <c r="AK57" s="1614">
        <f>IFERROR(IF($W$6="M",VLOOKUP($W$9,'TABCV(Male)'!$A$2:$QQ$431,H57+307,FALSE),VLOOKUP($W$9,'TABCV(Female)'!$A$2:$QQ$431,H57+307,FALSE)),0)</f>
        <v>0</v>
      </c>
      <c r="AN57" s="557"/>
      <c r="AO57" s="557"/>
      <c r="AP57" s="558"/>
      <c r="AQ57" s="568"/>
      <c r="AR57" s="568"/>
      <c r="AS57" s="1623"/>
      <c r="AT57" s="560"/>
      <c r="AU57" s="562"/>
    </row>
    <row r="58" spans="1:47" s="16" customFormat="1" ht="30" hidden="1" customHeight="1">
      <c r="A58" s="145"/>
      <c r="G58" s="556" t="str">
        <f>IF(G57="","",IF(กรอกข้อมูล!$C$5+H57&gt;79,"",กรอกข้อมูล!$C$5+H57))</f>
        <v/>
      </c>
      <c r="H58" s="557" t="str">
        <f t="shared" si="12"/>
        <v/>
      </c>
      <c r="I58" s="558" t="str">
        <f t="shared" si="17"/>
        <v/>
      </c>
      <c r="J58" s="561" t="str">
        <f t="shared" si="18"/>
        <v/>
      </c>
      <c r="K58" s="561" t="str">
        <f t="shared" si="19"/>
        <v/>
      </c>
      <c r="L58" s="1624" t="str">
        <f t="shared" si="20"/>
        <v/>
      </c>
      <c r="M58" s="560" t="str">
        <f t="shared" si="21"/>
        <v/>
      </c>
      <c r="N58" s="562" t="str">
        <f t="shared" si="22"/>
        <v/>
      </c>
      <c r="S58" s="150"/>
      <c r="T58" s="1237"/>
      <c r="U58" s="1631">
        <f t="shared" si="15"/>
        <v>0</v>
      </c>
      <c r="V58" s="1632">
        <f t="shared" si="16"/>
        <v>0</v>
      </c>
      <c r="W58" s="1631">
        <f t="shared" si="13"/>
        <v>0</v>
      </c>
      <c r="X58" s="1631">
        <f t="shared" si="14"/>
        <v>0</v>
      </c>
      <c r="Y58" s="1631">
        <f t="shared" si="10"/>
        <v>0</v>
      </c>
      <c r="Z58" s="1631">
        <f t="shared" si="11"/>
        <v>0</v>
      </c>
      <c r="AA58" s="1614" t="s">
        <v>2183</v>
      </c>
      <c r="AB58" s="1614" t="s">
        <v>1788</v>
      </c>
      <c r="AC58" s="1614">
        <f>IFERROR(IF($W$6="M",VLOOKUP($W$9,'TABCV(Male)'!$A$2:$QQ$431,H58+105,FALSE),VLOOKUP($W$9,'TABCV(Female)'!$A$2:$QQ$431,H58+105,FALSE)),0)</f>
        <v>0</v>
      </c>
      <c r="AD58" s="18"/>
      <c r="AE58" s="1614" t="s">
        <v>2184</v>
      </c>
      <c r="AF58" s="1614" t="s">
        <v>1889</v>
      </c>
      <c r="AG58" s="1614">
        <f>IFERROR(IF($W$6="M",VLOOKUP($W$9,'TABCV(Male)'!$A$2:$QQ$431,H58+206,FALSE),VLOOKUP($W$9,'TABCV(Female)'!$A$2:$QQ$431,H58+206,FALSE)),0)</f>
        <v>0</v>
      </c>
      <c r="AH58" s="18"/>
      <c r="AI58" s="1614" t="s">
        <v>2185</v>
      </c>
      <c r="AJ58" s="1614" t="s">
        <v>1990</v>
      </c>
      <c r="AK58" s="1614">
        <f>IFERROR(IF($W$6="M",VLOOKUP($W$9,'TABCV(Male)'!$A$2:$QQ$431,H58+307,FALSE),VLOOKUP($W$9,'TABCV(Female)'!$A$2:$QQ$431,H58+307,FALSE)),0)</f>
        <v>0</v>
      </c>
      <c r="AN58" s="557"/>
      <c r="AO58" s="557"/>
      <c r="AP58" s="558"/>
      <c r="AQ58" s="568"/>
      <c r="AR58" s="568"/>
      <c r="AS58" s="1623"/>
      <c r="AT58" s="560"/>
      <c r="AU58" s="562"/>
    </row>
    <row r="59" spans="1:47" s="16" customFormat="1" ht="30" hidden="1" customHeight="1">
      <c r="A59" s="145"/>
      <c r="G59" s="556" t="str">
        <f>IF(G58="","",IF(กรอกข้อมูล!$C$5+H58&gt;79,"",กรอกข้อมูล!$C$5+H58))</f>
        <v/>
      </c>
      <c r="H59" s="569" t="str">
        <f t="shared" si="12"/>
        <v/>
      </c>
      <c r="I59" s="565" t="str">
        <f t="shared" si="17"/>
        <v/>
      </c>
      <c r="J59" s="1123" t="str">
        <f t="shared" si="18"/>
        <v/>
      </c>
      <c r="K59" s="1123" t="str">
        <f t="shared" si="19"/>
        <v/>
      </c>
      <c r="L59" s="1625" t="str">
        <f t="shared" si="20"/>
        <v/>
      </c>
      <c r="M59" s="566" t="str">
        <f t="shared" si="21"/>
        <v/>
      </c>
      <c r="N59" s="567" t="str">
        <f t="shared" si="22"/>
        <v/>
      </c>
      <c r="S59" s="150"/>
      <c r="T59" s="1237"/>
      <c r="U59" s="1631">
        <f t="shared" si="15"/>
        <v>0</v>
      </c>
      <c r="V59" s="1632">
        <f t="shared" si="16"/>
        <v>0</v>
      </c>
      <c r="W59" s="1631">
        <f t="shared" si="13"/>
        <v>0</v>
      </c>
      <c r="X59" s="1631">
        <f t="shared" si="14"/>
        <v>0</v>
      </c>
      <c r="Y59" s="1631">
        <f t="shared" si="10"/>
        <v>0</v>
      </c>
      <c r="Z59" s="1631">
        <f t="shared" si="11"/>
        <v>0</v>
      </c>
      <c r="AA59" s="1614" t="s">
        <v>2186</v>
      </c>
      <c r="AB59" s="1614" t="s">
        <v>1789</v>
      </c>
      <c r="AC59" s="1614">
        <f>IFERROR(IF($W$6="M",VLOOKUP($W$9,'TABCV(Male)'!$A$2:$QQ$431,H59+105,FALSE),VLOOKUP($W$9,'TABCV(Female)'!$A$2:$QQ$431,H59+105,FALSE)),0)</f>
        <v>0</v>
      </c>
      <c r="AD59" s="18"/>
      <c r="AE59" s="1614" t="s">
        <v>2187</v>
      </c>
      <c r="AF59" s="1614" t="s">
        <v>1890</v>
      </c>
      <c r="AG59" s="1614">
        <f>IFERROR(IF($W$6="M",VLOOKUP($W$9,'TABCV(Male)'!$A$2:$QQ$431,H59+206,FALSE),VLOOKUP($W$9,'TABCV(Female)'!$A$2:$QQ$431,H59+206,FALSE)),0)</f>
        <v>0</v>
      </c>
      <c r="AH59" s="18"/>
      <c r="AI59" s="1614" t="s">
        <v>2188</v>
      </c>
      <c r="AJ59" s="1614" t="s">
        <v>1991</v>
      </c>
      <c r="AK59" s="1614">
        <f>IFERROR(IF($W$6="M",VLOOKUP($W$9,'TABCV(Male)'!$A$2:$QQ$431,H59+307,FALSE),VLOOKUP($W$9,'TABCV(Female)'!$A$2:$QQ$431,H59+307,FALSE)),0)</f>
        <v>0</v>
      </c>
      <c r="AN59" s="557"/>
      <c r="AO59" s="557"/>
      <c r="AP59" s="558"/>
      <c r="AQ59" s="568"/>
      <c r="AR59" s="568"/>
      <c r="AS59" s="1623"/>
      <c r="AT59" s="560"/>
      <c r="AU59" s="562"/>
    </row>
    <row r="60" spans="1:47" s="16" customFormat="1" ht="30" hidden="1" customHeight="1">
      <c r="A60" s="145"/>
      <c r="G60" s="556" t="str">
        <f>IF(G59="","",IF(กรอกข้อมูล!$C$5+H59&gt;79,"",กรอกข้อมูล!$C$5+H59))</f>
        <v/>
      </c>
      <c r="H60" s="569" t="str">
        <f t="shared" si="12"/>
        <v/>
      </c>
      <c r="I60" s="565" t="str">
        <f t="shared" si="17"/>
        <v/>
      </c>
      <c r="J60" s="1123" t="str">
        <f t="shared" si="18"/>
        <v/>
      </c>
      <c r="K60" s="1123" t="str">
        <f t="shared" si="19"/>
        <v/>
      </c>
      <c r="L60" s="1625" t="str">
        <f t="shared" si="20"/>
        <v/>
      </c>
      <c r="M60" s="566" t="str">
        <f t="shared" si="21"/>
        <v/>
      </c>
      <c r="N60" s="567" t="str">
        <f t="shared" si="22"/>
        <v/>
      </c>
      <c r="S60" s="150"/>
      <c r="T60" s="1237"/>
      <c r="U60" s="1631">
        <f t="shared" si="15"/>
        <v>0</v>
      </c>
      <c r="V60" s="1632">
        <f t="shared" si="16"/>
        <v>0</v>
      </c>
      <c r="W60" s="1631">
        <f t="shared" si="13"/>
        <v>0</v>
      </c>
      <c r="X60" s="1631">
        <f t="shared" si="14"/>
        <v>0</v>
      </c>
      <c r="Y60" s="1631">
        <f t="shared" si="10"/>
        <v>0</v>
      </c>
      <c r="Z60" s="1631">
        <f t="shared" si="11"/>
        <v>0</v>
      </c>
      <c r="AA60" s="1614" t="s">
        <v>2189</v>
      </c>
      <c r="AB60" s="1614" t="s">
        <v>1790</v>
      </c>
      <c r="AC60" s="1614">
        <f>IFERROR(IF($W$6="M",VLOOKUP($W$9,'TABCV(Male)'!$A$2:$QQ$431,H60+105,FALSE),VLOOKUP($W$9,'TABCV(Female)'!$A$2:$QQ$431,H60+105,FALSE)),0)</f>
        <v>0</v>
      </c>
      <c r="AD60" s="18"/>
      <c r="AE60" s="1614" t="s">
        <v>2190</v>
      </c>
      <c r="AF60" s="1614" t="s">
        <v>1891</v>
      </c>
      <c r="AG60" s="1614">
        <f>IFERROR(IF($W$6="M",VLOOKUP($W$9,'TABCV(Male)'!$A$2:$QQ$431,H60+206,FALSE),VLOOKUP($W$9,'TABCV(Female)'!$A$2:$QQ$431,H60+206,FALSE)),0)</f>
        <v>0</v>
      </c>
      <c r="AH60" s="18"/>
      <c r="AI60" s="1614" t="s">
        <v>2191</v>
      </c>
      <c r="AJ60" s="1614" t="s">
        <v>1992</v>
      </c>
      <c r="AK60" s="1614">
        <f>IFERROR(IF($W$6="M",VLOOKUP($W$9,'TABCV(Male)'!$A$2:$QQ$431,H60+307,FALSE),VLOOKUP($W$9,'TABCV(Female)'!$A$2:$QQ$431,H60+307,FALSE)),0)</f>
        <v>0</v>
      </c>
      <c r="AN60" s="557"/>
      <c r="AO60" s="569"/>
      <c r="AP60" s="565"/>
      <c r="AQ60" s="565"/>
      <c r="AR60" s="565"/>
      <c r="AS60" s="1622"/>
      <c r="AT60" s="566"/>
      <c r="AU60" s="567"/>
    </row>
    <row r="61" spans="1:47" s="16" customFormat="1" ht="30" hidden="1" customHeight="1">
      <c r="A61" s="145"/>
      <c r="G61" s="556" t="str">
        <f>IF(G60="","",IF(กรอกข้อมูล!$C$5+H60&gt;79,"",กรอกข้อมูล!$C$5+H60))</f>
        <v/>
      </c>
      <c r="H61" s="569" t="str">
        <f t="shared" si="12"/>
        <v/>
      </c>
      <c r="I61" s="565" t="str">
        <f t="shared" si="17"/>
        <v/>
      </c>
      <c r="J61" s="1123" t="str">
        <f t="shared" si="18"/>
        <v/>
      </c>
      <c r="K61" s="1123" t="str">
        <f t="shared" si="19"/>
        <v/>
      </c>
      <c r="L61" s="1625" t="str">
        <f t="shared" si="20"/>
        <v/>
      </c>
      <c r="M61" s="566" t="str">
        <f t="shared" si="21"/>
        <v/>
      </c>
      <c r="N61" s="567" t="str">
        <f t="shared" si="22"/>
        <v/>
      </c>
      <c r="S61" s="150"/>
      <c r="T61" s="1237"/>
      <c r="U61" s="1631">
        <f t="shared" si="15"/>
        <v>0</v>
      </c>
      <c r="V61" s="1632">
        <f t="shared" si="16"/>
        <v>0</v>
      </c>
      <c r="W61" s="1631">
        <f t="shared" si="13"/>
        <v>0</v>
      </c>
      <c r="X61" s="1631">
        <f t="shared" si="14"/>
        <v>0</v>
      </c>
      <c r="Y61" s="1631">
        <f t="shared" si="10"/>
        <v>0</v>
      </c>
      <c r="Z61" s="1631">
        <f t="shared" si="11"/>
        <v>0</v>
      </c>
      <c r="AA61" s="1614" t="s">
        <v>2192</v>
      </c>
      <c r="AB61" s="1614" t="s">
        <v>1791</v>
      </c>
      <c r="AC61" s="1614">
        <f>IFERROR(IF($W$6="M",VLOOKUP($W$9,'TABCV(Male)'!$A$2:$QQ$431,H61+105,FALSE),VLOOKUP($W$9,'TABCV(Female)'!$A$2:$QQ$431,H61+105,FALSE)),0)</f>
        <v>0</v>
      </c>
      <c r="AD61" s="18"/>
      <c r="AE61" s="1614" t="s">
        <v>2193</v>
      </c>
      <c r="AF61" s="1614" t="s">
        <v>1892</v>
      </c>
      <c r="AG61" s="1614">
        <f>IFERROR(IF($W$6="M",VLOOKUP($W$9,'TABCV(Male)'!$A$2:$QQ$431,H61+206,FALSE),VLOOKUP($W$9,'TABCV(Female)'!$A$2:$QQ$431,H61+206,FALSE)),0)</f>
        <v>0</v>
      </c>
      <c r="AH61" s="18"/>
      <c r="AI61" s="1614" t="s">
        <v>2194</v>
      </c>
      <c r="AJ61" s="1614" t="s">
        <v>1993</v>
      </c>
      <c r="AK61" s="1614">
        <f>IFERROR(IF($W$6="M",VLOOKUP($W$9,'TABCV(Male)'!$A$2:$QQ$431,H61+307,FALSE),VLOOKUP($W$9,'TABCV(Female)'!$A$2:$QQ$431,H61+307,FALSE)),0)</f>
        <v>0</v>
      </c>
      <c r="AN61" s="557"/>
      <c r="AO61" s="569"/>
      <c r="AP61" s="565"/>
      <c r="AQ61" s="565"/>
      <c r="AR61" s="565"/>
      <c r="AS61" s="1622"/>
      <c r="AT61" s="566"/>
      <c r="AU61" s="567"/>
    </row>
    <row r="62" spans="1:47" s="16" customFormat="1" ht="30" hidden="1" customHeight="1">
      <c r="A62" s="145"/>
      <c r="G62" s="556" t="str">
        <f>IF(G61="","",IF(กรอกข้อมูล!$C$5+H61&gt;79,"",กรอกข้อมูล!$C$5+H61))</f>
        <v/>
      </c>
      <c r="H62" s="569" t="str">
        <f t="shared" si="12"/>
        <v/>
      </c>
      <c r="I62" s="565" t="str">
        <f t="shared" si="17"/>
        <v/>
      </c>
      <c r="J62" s="1123" t="str">
        <f t="shared" si="18"/>
        <v/>
      </c>
      <c r="K62" s="1123" t="str">
        <f t="shared" si="19"/>
        <v/>
      </c>
      <c r="L62" s="1625" t="str">
        <f t="shared" si="20"/>
        <v/>
      </c>
      <c r="M62" s="566" t="str">
        <f t="shared" si="21"/>
        <v/>
      </c>
      <c r="N62" s="567" t="str">
        <f t="shared" si="22"/>
        <v/>
      </c>
      <c r="S62" s="150"/>
      <c r="T62" s="1237"/>
      <c r="U62" s="1631">
        <f t="shared" si="15"/>
        <v>0</v>
      </c>
      <c r="V62" s="1632">
        <f t="shared" si="16"/>
        <v>0</v>
      </c>
      <c r="W62" s="1631">
        <f t="shared" si="13"/>
        <v>0</v>
      </c>
      <c r="X62" s="1631">
        <f t="shared" si="14"/>
        <v>0</v>
      </c>
      <c r="Y62" s="1631">
        <f t="shared" si="10"/>
        <v>0</v>
      </c>
      <c r="Z62" s="1631">
        <f t="shared" si="11"/>
        <v>0</v>
      </c>
      <c r="AA62" s="1614" t="s">
        <v>2195</v>
      </c>
      <c r="AB62" s="1614" t="s">
        <v>1792</v>
      </c>
      <c r="AC62" s="1614">
        <f>IFERROR(IF($W$6="M",VLOOKUP($W$9,'TABCV(Male)'!$A$2:$QQ$431,H62+105,FALSE),VLOOKUP($W$9,'TABCV(Female)'!$A$2:$QQ$431,H62+105,FALSE)),0)</f>
        <v>0</v>
      </c>
      <c r="AD62" s="18"/>
      <c r="AE62" s="1614" t="s">
        <v>2196</v>
      </c>
      <c r="AF62" s="1614" t="s">
        <v>1893</v>
      </c>
      <c r="AG62" s="1614">
        <f>IFERROR(IF($W$6="M",VLOOKUP($W$9,'TABCV(Male)'!$A$2:$QQ$431,H62+206,FALSE),VLOOKUP($W$9,'TABCV(Female)'!$A$2:$QQ$431,H62+206,FALSE)),0)</f>
        <v>0</v>
      </c>
      <c r="AH62" s="18"/>
      <c r="AI62" s="1614" t="s">
        <v>2197</v>
      </c>
      <c r="AJ62" s="1614" t="s">
        <v>1994</v>
      </c>
      <c r="AK62" s="1614">
        <f>IFERROR(IF($W$6="M",VLOOKUP($W$9,'TABCV(Male)'!$A$2:$QQ$431,H62+307,FALSE),VLOOKUP($W$9,'TABCV(Female)'!$A$2:$QQ$431,H62+307,FALSE)),0)</f>
        <v>0</v>
      </c>
      <c r="AN62" s="557"/>
      <c r="AO62" s="569"/>
      <c r="AP62" s="565"/>
      <c r="AQ62" s="565"/>
      <c r="AR62" s="565"/>
      <c r="AS62" s="1622"/>
      <c r="AT62" s="566"/>
      <c r="AU62" s="567"/>
    </row>
    <row r="63" spans="1:47" s="16" customFormat="1" ht="30" hidden="1" customHeight="1">
      <c r="A63" s="145"/>
      <c r="G63" s="556" t="str">
        <f>IF(G62="","",IF(กรอกข้อมูล!$C$5+H62&gt;79,"",กรอกข้อมูล!$C$5+H62))</f>
        <v/>
      </c>
      <c r="H63" s="569" t="str">
        <f t="shared" si="12"/>
        <v/>
      </c>
      <c r="I63" s="565" t="str">
        <f t="shared" si="17"/>
        <v/>
      </c>
      <c r="J63" s="1123" t="str">
        <f t="shared" si="18"/>
        <v/>
      </c>
      <c r="K63" s="1123" t="str">
        <f t="shared" si="19"/>
        <v/>
      </c>
      <c r="L63" s="1625" t="str">
        <f t="shared" si="20"/>
        <v/>
      </c>
      <c r="M63" s="566" t="str">
        <f t="shared" si="21"/>
        <v/>
      </c>
      <c r="N63" s="567" t="str">
        <f t="shared" si="22"/>
        <v/>
      </c>
      <c r="S63" s="150"/>
      <c r="T63" s="1237"/>
      <c r="U63" s="1631">
        <f t="shared" si="15"/>
        <v>0</v>
      </c>
      <c r="V63" s="1632">
        <f t="shared" si="16"/>
        <v>0</v>
      </c>
      <c r="W63" s="1631">
        <f t="shared" si="13"/>
        <v>0</v>
      </c>
      <c r="X63" s="1631">
        <f t="shared" si="14"/>
        <v>0</v>
      </c>
      <c r="Y63" s="1631">
        <f t="shared" si="10"/>
        <v>0</v>
      </c>
      <c r="Z63" s="1631">
        <f t="shared" si="11"/>
        <v>0</v>
      </c>
      <c r="AA63" s="1614" t="s">
        <v>2198</v>
      </c>
      <c r="AB63" s="1614" t="s">
        <v>1793</v>
      </c>
      <c r="AC63" s="1614">
        <f>IFERROR(IF($W$6="M",VLOOKUP($W$9,'TABCV(Male)'!$A$2:$QQ$431,H63+105,FALSE),VLOOKUP($W$9,'TABCV(Female)'!$A$2:$QQ$431,H63+105,FALSE)),0)</f>
        <v>0</v>
      </c>
      <c r="AD63" s="18"/>
      <c r="AE63" s="1614" t="s">
        <v>2199</v>
      </c>
      <c r="AF63" s="1614" t="s">
        <v>1894</v>
      </c>
      <c r="AG63" s="1614">
        <f>IFERROR(IF($W$6="M",VLOOKUP($W$9,'TABCV(Male)'!$A$2:$QQ$431,H63+206,FALSE),VLOOKUP($W$9,'TABCV(Female)'!$A$2:$QQ$431,H63+206,FALSE)),0)</f>
        <v>0</v>
      </c>
      <c r="AH63" s="18"/>
      <c r="AI63" s="1614" t="s">
        <v>2200</v>
      </c>
      <c r="AJ63" s="1614" t="s">
        <v>1995</v>
      </c>
      <c r="AK63" s="1614">
        <f>IFERROR(IF($W$6="M",VLOOKUP($W$9,'TABCV(Male)'!$A$2:$QQ$431,H63+307,FALSE),VLOOKUP($W$9,'TABCV(Female)'!$A$2:$QQ$431,H63+307,FALSE)),0)</f>
        <v>0</v>
      </c>
      <c r="AN63" s="557"/>
      <c r="AO63" s="569"/>
      <c r="AP63" s="565"/>
      <c r="AQ63" s="565"/>
      <c r="AR63" s="565"/>
      <c r="AS63" s="1622"/>
      <c r="AT63" s="566"/>
      <c r="AU63" s="567"/>
    </row>
    <row r="64" spans="1:47" s="16" customFormat="1" ht="30" customHeight="1">
      <c r="A64" s="145"/>
      <c r="B64" s="576"/>
      <c r="C64" s="576"/>
      <c r="D64" s="577"/>
      <c r="E64" s="578"/>
      <c r="F64" s="578"/>
      <c r="G64" s="578"/>
      <c r="H64" s="579"/>
      <c r="I64" s="580"/>
      <c r="J64" s="571"/>
      <c r="S64" s="150"/>
      <c r="T64" s="1237"/>
      <c r="U64" s="1631">
        <f t="shared" si="15"/>
        <v>0</v>
      </c>
      <c r="V64" s="1632">
        <f t="shared" si="16"/>
        <v>0</v>
      </c>
      <c r="W64" s="1631">
        <f t="shared" si="13"/>
        <v>0</v>
      </c>
      <c r="X64" s="1631">
        <f t="shared" si="14"/>
        <v>0</v>
      </c>
      <c r="Y64" s="1631">
        <f t="shared" si="10"/>
        <v>0</v>
      </c>
      <c r="Z64" s="1631">
        <f t="shared" si="11"/>
        <v>0</v>
      </c>
      <c r="AA64" s="1614" t="s">
        <v>2201</v>
      </c>
      <c r="AB64" s="1614" t="s">
        <v>1794</v>
      </c>
      <c r="AC64" s="1614">
        <f>IFERROR(IF($W$6="M",VLOOKUP($W$9,'TABCV(Male)'!$A$2:$QQ$431,AO25+105,FALSE),VLOOKUP($W$9,'TABCV(Female)'!$A$2:$QQ$431,AO25+105,FALSE)),0)</f>
        <v>0</v>
      </c>
      <c r="AD64" s="18"/>
      <c r="AE64" s="1614" t="s">
        <v>2202</v>
      </c>
      <c r="AF64" s="1614" t="s">
        <v>1895</v>
      </c>
      <c r="AG64" s="1614">
        <f>IFERROR(IF($W$6="M",VLOOKUP($W$9,'TABCV(Male)'!$A$2:$QQ$431,AO25+206,FALSE),VLOOKUP($W$9,'TABCV(Female)'!$A$2:$QQ$431,AO25+206,FALSE)),0)</f>
        <v>0</v>
      </c>
      <c r="AH64" s="18"/>
      <c r="AI64" s="1614" t="s">
        <v>2203</v>
      </c>
      <c r="AJ64" s="1614" t="s">
        <v>1996</v>
      </c>
      <c r="AK64" s="1614">
        <f>IFERROR(IF($W$6="M",VLOOKUP($W$9,'TABCV(Male)'!$A$2:$QQ$431,AO25+307,FALSE),VLOOKUP($W$9,'TABCV(Female)'!$A$2:$QQ$431,AO25+307,FALSE)),0)</f>
        <v>0</v>
      </c>
      <c r="AN64" s="557"/>
      <c r="AO64" s="569"/>
      <c r="AP64" s="565"/>
      <c r="AQ64" s="565"/>
      <c r="AR64" s="565"/>
      <c r="AS64" s="1622"/>
      <c r="AT64" s="566"/>
      <c r="AU64" s="567"/>
    </row>
    <row r="65" spans="1:47" ht="26" customHeight="1">
      <c r="A65" s="133"/>
      <c r="B65" s="1100" t="s">
        <v>2428</v>
      </c>
      <c r="C65" s="146"/>
      <c r="D65" s="146"/>
      <c r="E65" s="147"/>
      <c r="F65" s="147"/>
      <c r="G65" s="147"/>
      <c r="H65" s="148"/>
      <c r="I65" s="383"/>
      <c r="J65" s="149"/>
      <c r="K65" s="149"/>
      <c r="L65" s="149"/>
      <c r="M65" s="149"/>
      <c r="N65" s="149"/>
      <c r="O65" s="149"/>
      <c r="P65" s="149"/>
      <c r="Q65" s="149"/>
      <c r="R65" s="383"/>
      <c r="S65" s="150"/>
      <c r="T65" s="1240"/>
      <c r="U65" s="1631">
        <f t="shared" si="15"/>
        <v>0</v>
      </c>
      <c r="V65" s="1632">
        <f t="shared" si="16"/>
        <v>0</v>
      </c>
      <c r="W65" s="1631">
        <f t="shared" si="13"/>
        <v>0</v>
      </c>
      <c r="X65" s="1631">
        <f t="shared" si="14"/>
        <v>0</v>
      </c>
      <c r="Y65" s="1631">
        <f t="shared" si="10"/>
        <v>0</v>
      </c>
      <c r="Z65" s="1631">
        <f t="shared" si="11"/>
        <v>0</v>
      </c>
      <c r="AA65" s="1616" t="s">
        <v>2204</v>
      </c>
      <c r="AB65" s="1616" t="s">
        <v>1795</v>
      </c>
      <c r="AC65" s="1614">
        <f>IFERROR(IF($W$6="M",VLOOKUP($W$9,'TABCV(Male)'!$A$2:$QQ$431,AO26+105,FALSE),VLOOKUP($W$9,'TABCV(Female)'!$A$2:$QQ$431,AO26+105,FALSE)),0)</f>
        <v>0</v>
      </c>
      <c r="AE65" s="1614" t="s">
        <v>2205</v>
      </c>
      <c r="AF65" s="1614" t="s">
        <v>1896</v>
      </c>
      <c r="AG65" s="1614">
        <f>IFERROR(IF($W$6="M",VLOOKUP($W$9,'TABCV(Male)'!$A$2:$QQ$431,AO26+206,FALSE),VLOOKUP($W$9,'TABCV(Female)'!$A$2:$QQ$431,AO26+206,FALSE)),0)</f>
        <v>0</v>
      </c>
      <c r="AI65" s="1614" t="s">
        <v>2206</v>
      </c>
      <c r="AJ65" s="1614" t="s">
        <v>1997</v>
      </c>
      <c r="AK65" s="1614">
        <f>IFERROR(IF($W$6="M",VLOOKUP($W$9,'TABCV(Male)'!$A$2:$QQ$431,AO26+307,FALSE),VLOOKUP($W$9,'TABCV(Female)'!$A$2:$QQ$431,AO26+307,FALSE)),0)</f>
        <v>0</v>
      </c>
      <c r="AN65" s="557"/>
      <c r="AO65" s="557"/>
      <c r="AP65" s="558"/>
      <c r="AQ65" s="561"/>
      <c r="AR65" s="561"/>
      <c r="AS65" s="1624"/>
      <c r="AT65" s="560"/>
      <c r="AU65" s="562"/>
    </row>
    <row r="66" spans="1:47" ht="35" customHeight="1">
      <c r="A66" s="133"/>
      <c r="B66" s="2062" t="str">
        <f>"โปรแกรมใบข้อเสนอนี้ใช้สำหรับแบบประกัน "&amp;กรอกข้อมูล!E65&amp;" ที่เสนอขายตั้งแต่ "&amp;กรอกข้อมูล!E63&amp;" หรือตามประกาศยกเลิกการใช้จากบริษัทฯ (แล้วแต่ระยะเวลาใดจะเกิดขึ้นก่อน)"</f>
        <v>โปรแกรมใบข้อเสนอนี้ใช้สำหรับแบบประกัน ไอสมาร์ท 80/6 (ไม่มีเงินปันผล) ที่เสนอขายตั้งแต่ 1 มกราคม 2569 ถึง 31 มีนาคม 2570 หรือตามประกาศยกเลิกการใช้จากบริษัทฯ (แล้วแต่ระยะเวลาใดจะเกิดขึ้นก่อน)</v>
      </c>
      <c r="C66" s="2062"/>
      <c r="D66" s="2062"/>
      <c r="E66" s="2062"/>
      <c r="F66" s="2062"/>
      <c r="G66" s="2062"/>
      <c r="H66" s="2062"/>
      <c r="I66" s="2062"/>
      <c r="J66" s="2062"/>
      <c r="K66" s="2062"/>
      <c r="L66" s="2062"/>
      <c r="M66" s="2062"/>
      <c r="N66" s="2062"/>
      <c r="O66" s="2062"/>
      <c r="P66" s="2062"/>
      <c r="Q66" s="2062"/>
      <c r="R66" s="2062"/>
      <c r="S66" s="137"/>
      <c r="T66" s="1240"/>
      <c r="U66" s="1631">
        <f t="shared" si="15"/>
        <v>0</v>
      </c>
      <c r="V66" s="1632">
        <f t="shared" si="16"/>
        <v>0</v>
      </c>
      <c r="W66" s="1631">
        <f t="shared" si="13"/>
        <v>0</v>
      </c>
      <c r="X66" s="1631">
        <f t="shared" si="14"/>
        <v>0</v>
      </c>
      <c r="Y66" s="1631">
        <f t="shared" si="10"/>
        <v>0</v>
      </c>
      <c r="Z66" s="1631">
        <f t="shared" si="11"/>
        <v>0</v>
      </c>
      <c r="AA66" s="1614" t="s">
        <v>2207</v>
      </c>
      <c r="AB66" s="1614" t="s">
        <v>1796</v>
      </c>
      <c r="AC66" s="1614">
        <f>IFERROR(IF($W$6="M",VLOOKUP($W$9,'TABCV(Male)'!$A$2:$QQ$431,AO27+105,FALSE),VLOOKUP($W$9,'TABCV(Female)'!$A$2:$QQ$431,AO27+105,FALSE)),0)</f>
        <v>0</v>
      </c>
      <c r="AE66" s="1614" t="s">
        <v>2208</v>
      </c>
      <c r="AF66" s="1614" t="s">
        <v>1897</v>
      </c>
      <c r="AG66" s="1614">
        <f>IFERROR(IF($W$6="M",VLOOKUP($W$9,'TABCV(Male)'!$A$2:$QQ$431,AO27+206,FALSE),VLOOKUP($W$9,'TABCV(Female)'!$A$2:$QQ$431,AO27+206,FALSE)),0)</f>
        <v>0</v>
      </c>
      <c r="AI66" s="1614" t="s">
        <v>2209</v>
      </c>
      <c r="AJ66" s="1614" t="s">
        <v>1998</v>
      </c>
      <c r="AK66" s="1614">
        <f>IFERROR(IF($W$6="M",VLOOKUP($W$9,'TABCV(Male)'!$A$2:$QQ$431,AO27+307,FALSE),VLOOKUP($W$9,'TABCV(Female)'!$A$2:$QQ$431,AO27+307,FALSE)),0)</f>
        <v>0</v>
      </c>
      <c r="AN66" s="557"/>
      <c r="AO66" s="557"/>
      <c r="AP66" s="558"/>
      <c r="AQ66" s="561"/>
      <c r="AR66" s="561"/>
      <c r="AS66" s="1624"/>
      <c r="AT66" s="560"/>
      <c r="AU66" s="562"/>
    </row>
    <row r="67" spans="1:47" ht="15">
      <c r="A67" s="133"/>
      <c r="B67" s="151"/>
      <c r="C67" s="168"/>
      <c r="D67" s="168"/>
      <c r="E67" s="168"/>
      <c r="F67" s="168"/>
      <c r="G67" s="168"/>
      <c r="H67" s="169"/>
      <c r="I67" s="384"/>
      <c r="J67" s="169"/>
      <c r="K67" s="169"/>
      <c r="L67" s="169"/>
      <c r="M67" s="169"/>
      <c r="N67" s="169"/>
      <c r="O67" s="169"/>
      <c r="P67" s="169"/>
      <c r="Q67" s="169"/>
      <c r="R67" s="583" t="str">
        <f>กรอกข้อมูล!E65&amp;" เวอร์ชั่น "&amp;กรอกข้อมูล!E64</f>
        <v>ไอสมาร์ท 80/6 (ไม่มีเงินปันผล) เวอร์ชั่น A2026-1</v>
      </c>
      <c r="S67" s="137"/>
      <c r="T67" s="1240"/>
      <c r="U67" s="1631">
        <f t="shared" si="15"/>
        <v>0</v>
      </c>
      <c r="V67" s="1632">
        <f t="shared" si="16"/>
        <v>0</v>
      </c>
      <c r="W67" s="1631">
        <f t="shared" si="13"/>
        <v>0</v>
      </c>
      <c r="X67" s="1631">
        <f t="shared" si="14"/>
        <v>0</v>
      </c>
      <c r="Y67" s="1631">
        <f t="shared" si="10"/>
        <v>0</v>
      </c>
      <c r="Z67" s="1631">
        <f t="shared" si="11"/>
        <v>0</v>
      </c>
      <c r="AA67" s="1614" t="s">
        <v>2210</v>
      </c>
      <c r="AB67" s="1614" t="s">
        <v>1797</v>
      </c>
      <c r="AC67" s="1614">
        <f>IFERROR(IF($W$6="M",VLOOKUP($W$9,'TABCV(Male)'!$A$2:$QQ$431,AO28+105,FALSE),VLOOKUP($W$9,'TABCV(Female)'!$A$2:$QQ$431,AO28+105,FALSE)),0)</f>
        <v>0</v>
      </c>
      <c r="AE67" s="1614" t="s">
        <v>2211</v>
      </c>
      <c r="AF67" s="1614" t="s">
        <v>1898</v>
      </c>
      <c r="AG67" s="1614">
        <f>IFERROR(IF($W$6="M",VLOOKUP($W$9,'TABCV(Male)'!$A$2:$QQ$431,AO28+206,FALSE),VLOOKUP($W$9,'TABCV(Female)'!$A$2:$QQ$431,AO28+206,FALSE)),0)</f>
        <v>0</v>
      </c>
      <c r="AI67" s="1614" t="s">
        <v>2212</v>
      </c>
      <c r="AJ67" s="1614" t="s">
        <v>1999</v>
      </c>
      <c r="AK67" s="1614">
        <f>IFERROR(IF($W$6="M",VLOOKUP($W$9,'TABCV(Male)'!$A$2:$QQ$431,AO28+307,FALSE),VLOOKUP($W$9,'TABCV(Female)'!$A$2:$QQ$431,AO28+307,FALSE)),0)</f>
        <v>0</v>
      </c>
      <c r="AN67" s="557"/>
      <c r="AO67" s="557"/>
      <c r="AP67" s="558"/>
      <c r="AQ67" s="561"/>
      <c r="AR67" s="561"/>
      <c r="AS67" s="1624"/>
      <c r="AT67" s="560"/>
      <c r="AU67" s="562"/>
    </row>
    <row r="68" spans="1:47" s="16" customFormat="1" ht="40" customHeight="1" thickBot="1">
      <c r="A68" s="152"/>
      <c r="B68" s="153"/>
      <c r="C68" s="154"/>
      <c r="D68" s="154"/>
      <c r="E68" s="154"/>
      <c r="F68" s="154"/>
      <c r="G68" s="154"/>
      <c r="H68" s="155"/>
      <c r="I68" s="385"/>
      <c r="J68" s="155"/>
      <c r="K68" s="155"/>
      <c r="L68" s="155"/>
      <c r="M68" s="155"/>
      <c r="N68" s="155"/>
      <c r="O68" s="155"/>
      <c r="P68" s="155"/>
      <c r="Q68" s="155"/>
      <c r="R68" s="385"/>
      <c r="S68" s="156"/>
      <c r="T68" s="1237"/>
      <c r="U68" s="1631">
        <f t="shared" si="15"/>
        <v>0</v>
      </c>
      <c r="V68" s="1632">
        <f t="shared" si="16"/>
        <v>0</v>
      </c>
      <c r="W68" s="1631">
        <f t="shared" si="13"/>
        <v>0</v>
      </c>
      <c r="X68" s="1631">
        <f t="shared" si="14"/>
        <v>0</v>
      </c>
      <c r="Y68" s="1631">
        <f t="shared" si="10"/>
        <v>0</v>
      </c>
      <c r="Z68" s="1631">
        <f t="shared" si="11"/>
        <v>0</v>
      </c>
      <c r="AA68" s="1614" t="s">
        <v>2213</v>
      </c>
      <c r="AB68" s="1614" t="s">
        <v>1798</v>
      </c>
      <c r="AC68" s="1614">
        <f>IFERROR(IF($W$6="M",VLOOKUP($W$9,'TABCV(Male)'!$A$2:$QQ$431,AO29+105,FALSE),VLOOKUP($W$9,'TABCV(Female)'!$A$2:$QQ$431,AO29+105,FALSE)),0)</f>
        <v>0</v>
      </c>
      <c r="AD68" s="18"/>
      <c r="AE68" s="1614" t="s">
        <v>2214</v>
      </c>
      <c r="AF68" s="1614" t="s">
        <v>1899</v>
      </c>
      <c r="AG68" s="1614">
        <f>IFERROR(IF($W$6="M",VLOOKUP($W$9,'TABCV(Male)'!$A$2:$QQ$431,AO29+206,FALSE),VLOOKUP($W$9,'TABCV(Female)'!$A$2:$QQ$431,AO29+206,FALSE)),0)</f>
        <v>0</v>
      </c>
      <c r="AH68" s="18"/>
      <c r="AI68" s="1614" t="s">
        <v>2215</v>
      </c>
      <c r="AJ68" s="1614" t="s">
        <v>2000</v>
      </c>
      <c r="AK68" s="1614">
        <f>IFERROR(IF($W$6="M",VLOOKUP($W$9,'TABCV(Male)'!$A$2:$QQ$431,AO29+307,FALSE),VLOOKUP($W$9,'TABCV(Female)'!$A$2:$QQ$431,AO29+307,FALSE)),0)</f>
        <v>0</v>
      </c>
      <c r="AN68" s="557"/>
      <c r="AO68" s="557"/>
      <c r="AP68" s="558"/>
      <c r="AQ68" s="561"/>
      <c r="AR68" s="561"/>
      <c r="AS68" s="1624"/>
      <c r="AT68" s="560"/>
      <c r="AU68" s="562"/>
    </row>
    <row r="69" spans="1:47" ht="15">
      <c r="H69" s="9"/>
      <c r="U69" s="1631">
        <f t="shared" si="15"/>
        <v>0</v>
      </c>
      <c r="V69" s="1632">
        <f t="shared" si="16"/>
        <v>0</v>
      </c>
      <c r="W69" s="1631">
        <f t="shared" si="13"/>
        <v>0</v>
      </c>
      <c r="X69" s="1631">
        <f t="shared" si="14"/>
        <v>0</v>
      </c>
      <c r="Y69" s="1631">
        <f t="shared" si="10"/>
        <v>0</v>
      </c>
      <c r="Z69" s="1631">
        <f t="shared" si="11"/>
        <v>0</v>
      </c>
      <c r="AA69" s="1614" t="s">
        <v>2216</v>
      </c>
      <c r="AB69" s="1614" t="s">
        <v>1799</v>
      </c>
      <c r="AC69" s="1614">
        <f>IFERROR(IF($W$6="M",VLOOKUP($W$9,'TABCV(Male)'!$A$2:$QQ$431,AO30+105,FALSE),VLOOKUP($W$9,'TABCV(Female)'!$A$2:$QQ$431,AO30+105,FALSE)),0)</f>
        <v>0</v>
      </c>
      <c r="AE69" s="1616" t="s">
        <v>2217</v>
      </c>
      <c r="AF69" s="1614" t="s">
        <v>1900</v>
      </c>
      <c r="AG69" s="1614">
        <f>IFERROR(IF($W$6="M",VLOOKUP($W$9,'TABCV(Male)'!$A$2:$QQ$431,AO30+206,FALSE),VLOOKUP($W$9,'TABCV(Female)'!$A$2:$QQ$431,AO30+206,FALSE)),0)</f>
        <v>0</v>
      </c>
      <c r="AI69" s="1614" t="s">
        <v>2218</v>
      </c>
      <c r="AJ69" s="1614" t="s">
        <v>2001</v>
      </c>
      <c r="AK69" s="1614">
        <f>IFERROR(IF($W$6="M",VLOOKUP($W$9,'TABCV(Male)'!$A$2:$QQ$431,AO30+307,FALSE),VLOOKUP($W$9,'TABCV(Female)'!$A$2:$QQ$431,AO30+307,FALSE)),0)</f>
        <v>0</v>
      </c>
      <c r="AN69" s="557"/>
      <c r="AO69" s="557"/>
      <c r="AP69" s="558"/>
      <c r="AQ69" s="561"/>
      <c r="AR69" s="561"/>
      <c r="AS69" s="1624"/>
      <c r="AT69" s="560"/>
      <c r="AU69" s="562"/>
    </row>
    <row r="70" spans="1:47" ht="15">
      <c r="H70" s="9"/>
      <c r="U70" s="1631">
        <f t="shared" si="15"/>
        <v>0</v>
      </c>
      <c r="V70" s="1632">
        <f t="shared" si="16"/>
        <v>0</v>
      </c>
      <c r="W70" s="1631">
        <f t="shared" si="13"/>
        <v>0</v>
      </c>
      <c r="X70" s="1631">
        <f t="shared" si="14"/>
        <v>0</v>
      </c>
      <c r="Y70" s="1631">
        <f t="shared" si="10"/>
        <v>0</v>
      </c>
      <c r="Z70" s="1631">
        <f t="shared" si="11"/>
        <v>0</v>
      </c>
      <c r="AA70" s="1614" t="s">
        <v>2219</v>
      </c>
      <c r="AB70" s="1614" t="s">
        <v>1800</v>
      </c>
      <c r="AC70" s="1614">
        <f>IFERROR(IF($W$6="M",VLOOKUP($W$9,'TABCV(Male)'!$A$2:$QQ$431,AO31+105,FALSE),VLOOKUP($W$9,'TABCV(Female)'!$A$2:$QQ$431,AO31+105,FALSE)),0)</f>
        <v>0</v>
      </c>
      <c r="AD70" s="1615"/>
      <c r="AE70" s="1614" t="s">
        <v>2220</v>
      </c>
      <c r="AF70" s="1614" t="s">
        <v>1901</v>
      </c>
      <c r="AG70" s="1614">
        <f>IFERROR(IF($W$6="M",VLOOKUP($W$9,'TABCV(Male)'!$A$2:$QQ$431,AO31+206,FALSE),VLOOKUP($W$9,'TABCV(Female)'!$A$2:$QQ$431,AO31+206,FALSE)),0)</f>
        <v>0</v>
      </c>
      <c r="AI70" s="1614" t="s">
        <v>2221</v>
      </c>
      <c r="AJ70" s="1614" t="s">
        <v>2002</v>
      </c>
      <c r="AK70" s="1614">
        <f>IFERROR(IF($W$6="M",VLOOKUP($W$9,'TABCV(Male)'!$A$2:$QQ$431,AO31+307,FALSE),VLOOKUP($W$9,'TABCV(Female)'!$A$2:$QQ$431,AO31+307,FALSE)),0)</f>
        <v>0</v>
      </c>
      <c r="AN70" s="557"/>
      <c r="AO70" s="569"/>
      <c r="AP70" s="565"/>
      <c r="AQ70" s="1123"/>
      <c r="AR70" s="1123"/>
      <c r="AS70" s="1625"/>
      <c r="AT70" s="566"/>
      <c r="AU70" s="567"/>
    </row>
    <row r="71" spans="1:47" ht="15">
      <c r="H71" s="9"/>
      <c r="U71" s="1631">
        <f t="shared" si="15"/>
        <v>0</v>
      </c>
      <c r="V71" s="1632">
        <f t="shared" si="16"/>
        <v>0</v>
      </c>
      <c r="W71" s="1631">
        <f t="shared" si="13"/>
        <v>0</v>
      </c>
      <c r="X71" s="1631">
        <f t="shared" si="14"/>
        <v>0</v>
      </c>
      <c r="Y71" s="1631">
        <f t="shared" si="10"/>
        <v>0</v>
      </c>
      <c r="Z71" s="1631">
        <f t="shared" si="11"/>
        <v>0</v>
      </c>
      <c r="AA71" s="1614" t="s">
        <v>2222</v>
      </c>
      <c r="AB71" s="1614" t="s">
        <v>1801</v>
      </c>
      <c r="AC71" s="1614">
        <f>IFERROR(IF($W$6="M",VLOOKUP($W$9,'TABCV(Male)'!$A$2:$QQ$431,AO32+105,FALSE),VLOOKUP($W$9,'TABCV(Female)'!$A$2:$QQ$431,AO32+105,FALSE)),0)</f>
        <v>0</v>
      </c>
      <c r="AE71" s="1614" t="s">
        <v>2223</v>
      </c>
      <c r="AF71" s="1614" t="s">
        <v>1902</v>
      </c>
      <c r="AG71" s="1614">
        <f>IFERROR(IF($W$6="M",VLOOKUP($W$9,'TABCV(Male)'!$A$2:$QQ$431,AO32+206,FALSE),VLOOKUP($W$9,'TABCV(Female)'!$A$2:$QQ$431,AO32+206,FALSE)),0)</f>
        <v>0</v>
      </c>
      <c r="AI71" s="1614" t="s">
        <v>2224</v>
      </c>
      <c r="AJ71" s="1614" t="s">
        <v>2003</v>
      </c>
      <c r="AK71" s="1614">
        <f>IFERROR(IF($W$6="M",VLOOKUP($W$9,'TABCV(Male)'!$A$2:$QQ$431,AO32+307,FALSE),VLOOKUP($W$9,'TABCV(Female)'!$A$2:$QQ$431,AO32+307,FALSE)),0)</f>
        <v>0</v>
      </c>
      <c r="AN71" s="557"/>
      <c r="AO71" s="569"/>
      <c r="AP71" s="565"/>
      <c r="AQ71" s="1123"/>
      <c r="AR71" s="1123"/>
      <c r="AS71" s="1625"/>
      <c r="AT71" s="566"/>
      <c r="AU71" s="567"/>
    </row>
    <row r="72" spans="1:47" ht="15">
      <c r="H72" s="9"/>
      <c r="U72" s="1631">
        <f t="shared" si="15"/>
        <v>0</v>
      </c>
      <c r="V72" s="1632">
        <f t="shared" si="16"/>
        <v>0</v>
      </c>
      <c r="W72" s="1631">
        <f t="shared" si="13"/>
        <v>0</v>
      </c>
      <c r="X72" s="1631">
        <f t="shared" si="14"/>
        <v>0</v>
      </c>
      <c r="Y72" s="1631">
        <f t="shared" si="10"/>
        <v>0</v>
      </c>
      <c r="Z72" s="1631">
        <f t="shared" si="11"/>
        <v>0</v>
      </c>
      <c r="AA72" s="1614" t="s">
        <v>2225</v>
      </c>
      <c r="AB72" s="1614" t="s">
        <v>1802</v>
      </c>
      <c r="AC72" s="1614">
        <f>IFERROR(IF($W$6="M",VLOOKUP($W$9,'TABCV(Male)'!$A$2:$QQ$431,AO33+105,FALSE),VLOOKUP($W$9,'TABCV(Female)'!$A$2:$QQ$431,AO33+105,FALSE)),0)</f>
        <v>0</v>
      </c>
      <c r="AE72" s="1614" t="s">
        <v>2226</v>
      </c>
      <c r="AF72" s="1614" t="s">
        <v>1903</v>
      </c>
      <c r="AG72" s="1614">
        <f>IFERROR(IF($W$6="M",VLOOKUP($W$9,'TABCV(Male)'!$A$2:$QQ$431,AO33+206,FALSE),VLOOKUP($W$9,'TABCV(Female)'!$A$2:$QQ$431,AO33+206,FALSE)),0)</f>
        <v>0</v>
      </c>
      <c r="AI72" s="1614" t="s">
        <v>2227</v>
      </c>
      <c r="AJ72" s="1614" t="s">
        <v>2004</v>
      </c>
      <c r="AK72" s="1614">
        <f>IFERROR(IF($W$6="M",VLOOKUP($W$9,'TABCV(Male)'!$A$2:$QQ$431,AO33+307,FALSE),VLOOKUP($W$9,'TABCV(Female)'!$A$2:$QQ$431,AO33+307,FALSE)),0)</f>
        <v>0</v>
      </c>
      <c r="AN72" s="557"/>
      <c r="AO72" s="569"/>
      <c r="AP72" s="565"/>
      <c r="AQ72" s="1123"/>
      <c r="AR72" s="1123"/>
      <c r="AS72" s="1625"/>
      <c r="AT72" s="566"/>
      <c r="AU72" s="567"/>
    </row>
    <row r="73" spans="1:47" ht="15">
      <c r="H73" s="9"/>
      <c r="U73" s="1631">
        <f t="shared" si="15"/>
        <v>0</v>
      </c>
      <c r="V73" s="1632">
        <f t="shared" si="16"/>
        <v>0</v>
      </c>
      <c r="W73" s="1631">
        <f t="shared" si="13"/>
        <v>0</v>
      </c>
      <c r="X73" s="1631">
        <f t="shared" si="14"/>
        <v>0</v>
      </c>
      <c r="Y73" s="1631">
        <f t="shared" si="10"/>
        <v>0</v>
      </c>
      <c r="Z73" s="1631">
        <f t="shared" si="11"/>
        <v>0</v>
      </c>
      <c r="AA73" s="1614" t="s">
        <v>2228</v>
      </c>
      <c r="AB73" s="1614" t="s">
        <v>1803</v>
      </c>
      <c r="AC73" s="1614">
        <f>IFERROR(IF($W$6="M",VLOOKUP($W$9,'TABCV(Male)'!$A$2:$QQ$431,AO34+105,FALSE),VLOOKUP($W$9,'TABCV(Female)'!$A$2:$QQ$431,AO34+105,FALSE)),0)</f>
        <v>0</v>
      </c>
      <c r="AE73" s="1614" t="s">
        <v>2229</v>
      </c>
      <c r="AF73" s="1614" t="s">
        <v>1904</v>
      </c>
      <c r="AG73" s="1614">
        <f>IFERROR(IF($W$6="M",VLOOKUP($W$9,'TABCV(Male)'!$A$2:$QQ$431,AO34+206,FALSE),VLOOKUP($W$9,'TABCV(Female)'!$A$2:$QQ$431,AO34+206,FALSE)),0)</f>
        <v>0</v>
      </c>
      <c r="AI73" s="1614" t="s">
        <v>2230</v>
      </c>
      <c r="AJ73" s="1614" t="s">
        <v>2005</v>
      </c>
      <c r="AK73" s="1614">
        <f>IFERROR(IF($W$6="M",VLOOKUP($W$9,'TABCV(Male)'!$A$2:$QQ$431,AO34+307,FALSE),VLOOKUP($W$9,'TABCV(Female)'!$A$2:$QQ$431,AO34+307,FALSE)),0)</f>
        <v>0</v>
      </c>
      <c r="AN73" s="557"/>
      <c r="AO73" s="1126"/>
      <c r="AP73" s="1127"/>
      <c r="AQ73" s="1128"/>
      <c r="AR73" s="1128"/>
      <c r="AS73" s="1628"/>
      <c r="AT73" s="1129"/>
      <c r="AU73" s="1130"/>
    </row>
    <row r="74" spans="1:47" ht="15">
      <c r="H74" s="9"/>
      <c r="U74" s="1631">
        <f t="shared" si="15"/>
        <v>0</v>
      </c>
      <c r="V74" s="1632">
        <f t="shared" si="16"/>
        <v>0</v>
      </c>
      <c r="W74" s="1631">
        <f t="shared" si="13"/>
        <v>0</v>
      </c>
      <c r="X74" s="1631">
        <f t="shared" si="14"/>
        <v>0</v>
      </c>
      <c r="Y74" s="1631">
        <f t="shared" si="10"/>
        <v>0</v>
      </c>
      <c r="Z74" s="1631">
        <f t="shared" si="11"/>
        <v>0</v>
      </c>
      <c r="AA74" s="1614" t="s">
        <v>2231</v>
      </c>
      <c r="AB74" s="1614" t="s">
        <v>1804</v>
      </c>
      <c r="AC74" s="1614">
        <f>IFERROR(IF($W$6="M",VLOOKUP($W$9,'TABCV(Male)'!$A$2:$QQ$431,AO35+105,FALSE),VLOOKUP($W$9,'TABCV(Female)'!$A$2:$QQ$431,AO35+105,FALSE)),0)</f>
        <v>0</v>
      </c>
      <c r="AE74" s="1614" t="s">
        <v>2232</v>
      </c>
      <c r="AF74" s="1614" t="s">
        <v>1905</v>
      </c>
      <c r="AG74" s="1614">
        <f>IFERROR(IF($W$6="M",VLOOKUP($W$9,'TABCV(Male)'!$A$2:$QQ$431,AO35+206,FALSE),VLOOKUP($W$9,'TABCV(Female)'!$A$2:$QQ$431,AO35+206,FALSE)),0)</f>
        <v>0</v>
      </c>
      <c r="AI74" s="1614" t="s">
        <v>2233</v>
      </c>
      <c r="AJ74" s="1614" t="s">
        <v>2006</v>
      </c>
      <c r="AK74" s="1614">
        <f>IFERROR(IF($W$6="M",VLOOKUP($W$9,'TABCV(Male)'!$A$2:$QQ$431,AO35+307,FALSE),VLOOKUP($W$9,'TABCV(Female)'!$A$2:$QQ$431,AO35+307,FALSE)),0)</f>
        <v>0</v>
      </c>
      <c r="AN74" s="1124"/>
      <c r="AO74" s="1124"/>
      <c r="AP74" s="578"/>
      <c r="AQ74" s="578"/>
      <c r="AR74" s="578"/>
      <c r="AS74" s="578"/>
      <c r="AT74" s="579"/>
      <c r="AU74" s="580"/>
    </row>
    <row r="75" spans="1:47" ht="15">
      <c r="H75" s="9"/>
      <c r="U75" s="1631">
        <f t="shared" si="15"/>
        <v>0</v>
      </c>
      <c r="V75" s="1632">
        <f t="shared" si="16"/>
        <v>0</v>
      </c>
      <c r="W75" s="1631">
        <f t="shared" si="13"/>
        <v>0</v>
      </c>
      <c r="X75" s="1631">
        <f t="shared" si="14"/>
        <v>0</v>
      </c>
      <c r="Y75" s="1631">
        <f t="shared" si="10"/>
        <v>0</v>
      </c>
      <c r="Z75" s="1631">
        <f t="shared" si="11"/>
        <v>0</v>
      </c>
      <c r="AA75" s="1614" t="s">
        <v>2234</v>
      </c>
      <c r="AB75" s="1614" t="s">
        <v>1805</v>
      </c>
      <c r="AC75" s="1614">
        <f>IFERROR(IF($W$6="M",VLOOKUP($W$9,'TABCV(Male)'!$A$2:$QQ$431,AO36+105,FALSE),VLOOKUP($W$9,'TABCV(Female)'!$A$2:$QQ$431,AO36+105,FALSE)),0)</f>
        <v>0</v>
      </c>
      <c r="AE75" s="1614" t="s">
        <v>2235</v>
      </c>
      <c r="AF75" s="1614" t="s">
        <v>1906</v>
      </c>
      <c r="AG75" s="1614">
        <f>IFERROR(IF($W$6="M",VLOOKUP($W$9,'TABCV(Male)'!$A$2:$QQ$431,AO36+206,FALSE),VLOOKUP($W$9,'TABCV(Female)'!$A$2:$QQ$431,AO36+206,FALSE)),0)</f>
        <v>0</v>
      </c>
      <c r="AI75" s="1614" t="s">
        <v>2236</v>
      </c>
      <c r="AJ75" s="1614" t="s">
        <v>2007</v>
      </c>
      <c r="AK75" s="1614">
        <f>IFERROR(IF($W$6="M",VLOOKUP($W$9,'TABCV(Male)'!$A$2:$QQ$431,AO36+307,FALSE),VLOOKUP($W$9,'TABCV(Female)'!$A$2:$QQ$431,AO36+307,FALSE)),0)</f>
        <v>0</v>
      </c>
      <c r="AN75" s="576"/>
      <c r="AO75" s="576"/>
      <c r="AP75" s="577"/>
      <c r="AQ75" s="578"/>
      <c r="AR75" s="578"/>
      <c r="AS75" s="578"/>
      <c r="AT75" s="579"/>
      <c r="AU75" s="580"/>
    </row>
    <row r="76" spans="1:47" ht="15">
      <c r="H76" s="9"/>
      <c r="U76" s="1631">
        <f t="shared" si="15"/>
        <v>0</v>
      </c>
      <c r="V76" s="1632">
        <f t="shared" si="16"/>
        <v>0</v>
      </c>
      <c r="W76" s="1631">
        <f t="shared" si="13"/>
        <v>0</v>
      </c>
      <c r="X76" s="1631">
        <f t="shared" si="14"/>
        <v>0</v>
      </c>
      <c r="Y76" s="1631">
        <f t="shared" si="10"/>
        <v>0</v>
      </c>
      <c r="Z76" s="1631">
        <f t="shared" si="11"/>
        <v>0</v>
      </c>
      <c r="AA76" s="1614" t="s">
        <v>2237</v>
      </c>
      <c r="AB76" s="1614" t="s">
        <v>1806</v>
      </c>
      <c r="AC76" s="1614">
        <f>IFERROR(IF($W$6="M",VLOOKUP($W$9,'TABCV(Male)'!$A$2:$QQ$431,AO37+105,FALSE),VLOOKUP($W$9,'TABCV(Female)'!$A$2:$QQ$431,AO37+105,FALSE)),0)</f>
        <v>0</v>
      </c>
      <c r="AE76" s="1614" t="s">
        <v>2238</v>
      </c>
      <c r="AF76" s="1614" t="s">
        <v>1907</v>
      </c>
      <c r="AG76" s="1614">
        <f>IFERROR(IF($W$6="M",VLOOKUP($W$9,'TABCV(Male)'!$A$2:$QQ$431,AO37+206,FALSE),VLOOKUP($W$9,'TABCV(Female)'!$A$2:$QQ$431,AO37+206,FALSE)),0)</f>
        <v>0</v>
      </c>
      <c r="AI76" s="1614" t="s">
        <v>2239</v>
      </c>
      <c r="AJ76" s="1614" t="s">
        <v>2008</v>
      </c>
      <c r="AK76" s="1614">
        <f>IFERROR(IF($W$6="M",VLOOKUP($W$9,'TABCV(Male)'!$A$2:$QQ$431,AO37+307,FALSE),VLOOKUP($W$9,'TABCV(Female)'!$A$2:$QQ$431,AO37+307,FALSE)),0)</f>
        <v>0</v>
      </c>
    </row>
    <row r="77" spans="1:47" ht="15">
      <c r="H77" s="9"/>
      <c r="U77" s="1631">
        <f t="shared" si="15"/>
        <v>0</v>
      </c>
      <c r="V77" s="1632">
        <f t="shared" si="16"/>
        <v>0</v>
      </c>
      <c r="W77" s="1631">
        <f t="shared" si="13"/>
        <v>0</v>
      </c>
      <c r="X77" s="1631">
        <f t="shared" si="14"/>
        <v>0</v>
      </c>
      <c r="Y77" s="1631">
        <f t="shared" si="10"/>
        <v>0</v>
      </c>
      <c r="Z77" s="1631">
        <f t="shared" si="11"/>
        <v>0</v>
      </c>
      <c r="AA77" s="1614" t="s">
        <v>2240</v>
      </c>
      <c r="AB77" s="1614" t="s">
        <v>1807</v>
      </c>
      <c r="AC77" s="1614">
        <f>IFERROR(IF($W$6="M",VLOOKUP($W$9,'TABCV(Male)'!$A$2:$QQ$431,AO38+105,FALSE),VLOOKUP($W$9,'TABCV(Female)'!$A$2:$QQ$431,AO38+105,FALSE)),0)</f>
        <v>0</v>
      </c>
      <c r="AE77" s="1614" t="s">
        <v>2241</v>
      </c>
      <c r="AF77" s="1614" t="s">
        <v>1908</v>
      </c>
      <c r="AG77" s="1614">
        <f>IFERROR(IF($W$6="M",VLOOKUP($W$9,'TABCV(Male)'!$A$2:$QQ$431,AO38+206,FALSE),VLOOKUP($W$9,'TABCV(Female)'!$A$2:$QQ$431,AO38+206,FALSE)),0)</f>
        <v>0</v>
      </c>
      <c r="AI77" s="1614" t="s">
        <v>2242</v>
      </c>
      <c r="AJ77" s="1614" t="s">
        <v>2009</v>
      </c>
      <c r="AK77" s="1614">
        <f>IFERROR(IF($W$6="M",VLOOKUP($W$9,'TABCV(Male)'!$A$2:$QQ$431,AO38+307,FALSE),VLOOKUP($W$9,'TABCV(Female)'!$A$2:$QQ$431,AO38+307,FALSE)),0)</f>
        <v>0</v>
      </c>
    </row>
    <row r="78" spans="1:47" ht="15">
      <c r="H78" s="9"/>
      <c r="U78" s="1631">
        <f t="shared" si="15"/>
        <v>0</v>
      </c>
      <c r="V78" s="1632">
        <f t="shared" si="16"/>
        <v>0</v>
      </c>
      <c r="W78" s="1631">
        <f t="shared" si="13"/>
        <v>0</v>
      </c>
      <c r="X78" s="1631">
        <f t="shared" si="14"/>
        <v>0</v>
      </c>
      <c r="Y78" s="1631">
        <f t="shared" si="10"/>
        <v>0</v>
      </c>
      <c r="Z78" s="1631">
        <f t="shared" si="11"/>
        <v>0</v>
      </c>
      <c r="AA78" s="1614" t="s">
        <v>2243</v>
      </c>
      <c r="AB78" s="1614" t="s">
        <v>1808</v>
      </c>
      <c r="AC78" s="1614">
        <f>IFERROR(IF($W$6="M",VLOOKUP($W$9,'TABCV(Male)'!$A$2:$QQ$431,AO39+105,FALSE),VLOOKUP($W$9,'TABCV(Female)'!$A$2:$QQ$431,AO39+105,FALSE)),0)</f>
        <v>0</v>
      </c>
      <c r="AE78" s="1614" t="s">
        <v>2244</v>
      </c>
      <c r="AF78" s="1614" t="s">
        <v>1909</v>
      </c>
      <c r="AG78" s="1614">
        <f>IFERROR(IF($W$6="M",VLOOKUP($W$9,'TABCV(Male)'!$A$2:$QQ$431,AO39+206,FALSE),VLOOKUP($W$9,'TABCV(Female)'!$A$2:$QQ$431,AO39+206,FALSE)),0)</f>
        <v>0</v>
      </c>
      <c r="AI78" s="1614" t="s">
        <v>2245</v>
      </c>
      <c r="AJ78" s="1614" t="s">
        <v>2010</v>
      </c>
      <c r="AK78" s="1614">
        <f>IFERROR(IF($W$6="M",VLOOKUP($W$9,'TABCV(Male)'!$A$2:$QQ$431,AO39+307,FALSE),VLOOKUP($W$9,'TABCV(Female)'!$A$2:$QQ$431,AO39+307,FALSE)),0)</f>
        <v>0</v>
      </c>
    </row>
    <row r="79" spans="1:47" ht="15">
      <c r="H79" s="9"/>
      <c r="U79" s="1631">
        <f t="shared" si="15"/>
        <v>0</v>
      </c>
      <c r="V79" s="1632">
        <f t="shared" si="16"/>
        <v>0</v>
      </c>
      <c r="W79" s="1631">
        <f t="shared" si="13"/>
        <v>0</v>
      </c>
      <c r="X79" s="1631">
        <f t="shared" si="14"/>
        <v>0</v>
      </c>
      <c r="Y79" s="1631">
        <f t="shared" ref="Y79:Y113" si="23">IF(AK79-1000&lt;0,0,AK79-1000)</f>
        <v>0</v>
      </c>
      <c r="Z79" s="1631">
        <f t="shared" ref="Z79:Z113" si="24">IF(AK79=0,0,IF(AK79&gt;1000,1000,AK79))</f>
        <v>0</v>
      </c>
      <c r="AA79" s="1614" t="s">
        <v>2246</v>
      </c>
      <c r="AB79" s="1614" t="s">
        <v>1809</v>
      </c>
      <c r="AC79" s="1614">
        <f>IFERROR(IF($W$6="M",VLOOKUP($W$9,'TABCV(Male)'!$A$2:$QQ$431,AO40+105,FALSE),VLOOKUP($W$9,'TABCV(Female)'!$A$2:$QQ$431,AO40+105,FALSE)),0)</f>
        <v>0</v>
      </c>
      <c r="AE79" s="1614" t="s">
        <v>2247</v>
      </c>
      <c r="AF79" s="1614" t="s">
        <v>1910</v>
      </c>
      <c r="AG79" s="1614">
        <f>IFERROR(IF($W$6="M",VLOOKUP($W$9,'TABCV(Male)'!$A$2:$QQ$431,AO40+206,FALSE),VLOOKUP($W$9,'TABCV(Female)'!$A$2:$QQ$431,AO40+206,FALSE)),0)</f>
        <v>0</v>
      </c>
      <c r="AI79" s="1614" t="s">
        <v>2248</v>
      </c>
      <c r="AJ79" s="1614" t="s">
        <v>2011</v>
      </c>
      <c r="AK79" s="1614">
        <f>IFERROR(IF($W$6="M",VLOOKUP($W$9,'TABCV(Male)'!$A$2:$QQ$431,AO40+307,FALSE),VLOOKUP($W$9,'TABCV(Female)'!$A$2:$QQ$431,AO40+307,FALSE)),0)</f>
        <v>0</v>
      </c>
    </row>
    <row r="80" spans="1:47" ht="15">
      <c r="H80" s="9"/>
      <c r="U80" s="1631">
        <f t="shared" si="15"/>
        <v>0</v>
      </c>
      <c r="V80" s="1632">
        <f t="shared" si="16"/>
        <v>0</v>
      </c>
      <c r="W80" s="1631">
        <f t="shared" ref="W80:W113" si="25">IF(AG80=0,0,IF(LEN(AG80)&lt;4,0,LEFT(AG80,(LEN(AG80)-3))))</f>
        <v>0</v>
      </c>
      <c r="X80" s="1631">
        <f t="shared" ref="X80:X113" si="26">IF(AG80=0,0,RIGHT(AG80,3)+0)</f>
        <v>0</v>
      </c>
      <c r="Y80" s="1631">
        <f t="shared" si="23"/>
        <v>0</v>
      </c>
      <c r="Z80" s="1631">
        <f t="shared" si="24"/>
        <v>0</v>
      </c>
      <c r="AA80" s="1614" t="s">
        <v>2249</v>
      </c>
      <c r="AB80" s="1614" t="s">
        <v>1810</v>
      </c>
      <c r="AC80" s="1614">
        <f>IFERROR(IF($W$6="M",VLOOKUP($W$9,'TABCV(Male)'!$A$2:$QQ$431,AO41+105,FALSE),VLOOKUP($W$9,'TABCV(Female)'!$A$2:$QQ$431,AO41+105,FALSE)),0)</f>
        <v>0</v>
      </c>
      <c r="AE80" s="1614" t="s">
        <v>2250</v>
      </c>
      <c r="AF80" s="1614" t="s">
        <v>1911</v>
      </c>
      <c r="AG80" s="1614">
        <f>IFERROR(IF($W$6="M",VLOOKUP($W$9,'TABCV(Male)'!$A$2:$QQ$431,AO41+206,FALSE),VLOOKUP($W$9,'TABCV(Female)'!$A$2:$QQ$431,AO41+206,FALSE)),0)</f>
        <v>0</v>
      </c>
      <c r="AI80" s="1614" t="s">
        <v>2251</v>
      </c>
      <c r="AJ80" s="1614" t="s">
        <v>2012</v>
      </c>
      <c r="AK80" s="1614">
        <f>IFERROR(IF($W$6="M",VLOOKUP($W$9,'TABCV(Male)'!$A$2:$QQ$431,AO41+307,FALSE),VLOOKUP($W$9,'TABCV(Female)'!$A$2:$QQ$431,AO41+307,FALSE)),0)</f>
        <v>0</v>
      </c>
    </row>
    <row r="81" spans="8:37" ht="15">
      <c r="H81" s="9"/>
      <c r="U81" s="1631">
        <f t="shared" si="15"/>
        <v>0</v>
      </c>
      <c r="V81" s="1632">
        <f t="shared" si="16"/>
        <v>0</v>
      </c>
      <c r="W81" s="1631">
        <f t="shared" si="25"/>
        <v>0</v>
      </c>
      <c r="X81" s="1631">
        <f t="shared" si="26"/>
        <v>0</v>
      </c>
      <c r="Y81" s="1631">
        <f t="shared" si="23"/>
        <v>0</v>
      </c>
      <c r="Z81" s="1631">
        <f t="shared" si="24"/>
        <v>0</v>
      </c>
      <c r="AA81" s="1614" t="s">
        <v>2252</v>
      </c>
      <c r="AB81" s="1614" t="s">
        <v>1811</v>
      </c>
      <c r="AC81" s="1614">
        <f>IFERROR(IF($W$6="M",VLOOKUP($W$9,'TABCV(Male)'!$A$2:$QQ$431,AO42+105,FALSE),VLOOKUP($W$9,'TABCV(Female)'!$A$2:$QQ$431,AO42+105,FALSE)),0)</f>
        <v>0</v>
      </c>
      <c r="AE81" s="1614" t="s">
        <v>2253</v>
      </c>
      <c r="AF81" s="1614" t="s">
        <v>1912</v>
      </c>
      <c r="AG81" s="1614">
        <f>IFERROR(IF($W$6="M",VLOOKUP($W$9,'TABCV(Male)'!$A$2:$QQ$431,AO42+206,FALSE),VLOOKUP($W$9,'TABCV(Female)'!$A$2:$QQ$431,AO42+206,FALSE)),0)</f>
        <v>0</v>
      </c>
      <c r="AI81" s="1614" t="s">
        <v>2254</v>
      </c>
      <c r="AJ81" s="1614" t="s">
        <v>2013</v>
      </c>
      <c r="AK81" s="1614">
        <f>IFERROR(IF($W$6="M",VLOOKUP($W$9,'TABCV(Male)'!$A$2:$QQ$431,AO42+307,FALSE),VLOOKUP($W$9,'TABCV(Female)'!$A$2:$QQ$431,AO42+307,FALSE)),0)</f>
        <v>0</v>
      </c>
    </row>
    <row r="82" spans="8:37" ht="15">
      <c r="H82" s="9"/>
      <c r="U82" s="1631">
        <f t="shared" si="15"/>
        <v>0</v>
      </c>
      <c r="V82" s="1632">
        <f t="shared" si="16"/>
        <v>0</v>
      </c>
      <c r="W82" s="1631">
        <f t="shared" si="25"/>
        <v>0</v>
      </c>
      <c r="X82" s="1631">
        <f t="shared" si="26"/>
        <v>0</v>
      </c>
      <c r="Y82" s="1631">
        <f t="shared" si="23"/>
        <v>0</v>
      </c>
      <c r="Z82" s="1631">
        <f t="shared" si="24"/>
        <v>0</v>
      </c>
      <c r="AA82" s="1614" t="s">
        <v>2255</v>
      </c>
      <c r="AB82" s="1614" t="s">
        <v>1812</v>
      </c>
      <c r="AC82" s="1614">
        <f>IFERROR(IF($W$6="M",VLOOKUP($W$9,'TABCV(Male)'!$A$2:$QQ$431,AO43+105,FALSE),VLOOKUP($W$9,'TABCV(Female)'!$A$2:$QQ$431,AO43+105,FALSE)),0)</f>
        <v>0</v>
      </c>
      <c r="AE82" s="1614" t="s">
        <v>2256</v>
      </c>
      <c r="AF82" s="1614" t="s">
        <v>1913</v>
      </c>
      <c r="AG82" s="1614">
        <f>IFERROR(IF($W$6="M",VLOOKUP($W$9,'TABCV(Male)'!$A$2:$QQ$431,AO43+206,FALSE),VLOOKUP($W$9,'TABCV(Female)'!$A$2:$QQ$431,AO43+206,FALSE)),0)</f>
        <v>0</v>
      </c>
      <c r="AI82" s="1614" t="s">
        <v>2257</v>
      </c>
      <c r="AJ82" s="1614" t="s">
        <v>2014</v>
      </c>
      <c r="AK82" s="1614">
        <f>IFERROR(IF($W$6="M",VLOOKUP($W$9,'TABCV(Male)'!$A$2:$QQ$431,AO43+307,FALSE),VLOOKUP($W$9,'TABCV(Female)'!$A$2:$QQ$431,AO43+307,FALSE)),0)</f>
        <v>0</v>
      </c>
    </row>
    <row r="83" spans="8:37" ht="15">
      <c r="H83" s="9"/>
      <c r="U83" s="1631">
        <f t="shared" si="15"/>
        <v>0</v>
      </c>
      <c r="V83" s="1632">
        <f t="shared" si="16"/>
        <v>0</v>
      </c>
      <c r="W83" s="1631">
        <f t="shared" si="25"/>
        <v>0</v>
      </c>
      <c r="X83" s="1631">
        <f t="shared" si="26"/>
        <v>0</v>
      </c>
      <c r="Y83" s="1631">
        <f t="shared" si="23"/>
        <v>0</v>
      </c>
      <c r="Z83" s="1631">
        <f t="shared" si="24"/>
        <v>0</v>
      </c>
      <c r="AA83" s="1614" t="s">
        <v>2258</v>
      </c>
      <c r="AB83" s="1614" t="s">
        <v>1813</v>
      </c>
      <c r="AC83" s="1614">
        <f>IFERROR(IF($W$6="M",VLOOKUP($W$9,'TABCV(Male)'!$A$2:$QQ$431,AO44+105,FALSE),VLOOKUP($W$9,'TABCV(Female)'!$A$2:$QQ$431,AO44+105,FALSE)),0)</f>
        <v>0</v>
      </c>
      <c r="AE83" s="1614" t="s">
        <v>2259</v>
      </c>
      <c r="AF83" s="1614" t="s">
        <v>1914</v>
      </c>
      <c r="AG83" s="1614">
        <f>IFERROR(IF($W$6="M",VLOOKUP($W$9,'TABCV(Male)'!$A$2:$QQ$431,AO44+206,FALSE),VLOOKUP($W$9,'TABCV(Female)'!$A$2:$QQ$431,AO44+206,FALSE)),0)</f>
        <v>0</v>
      </c>
      <c r="AI83" s="1614" t="s">
        <v>2260</v>
      </c>
      <c r="AJ83" s="1614" t="s">
        <v>2015</v>
      </c>
      <c r="AK83" s="1614">
        <f>IFERROR(IF($W$6="M",VLOOKUP($W$9,'TABCV(Male)'!$A$2:$QQ$431,AO44+307,FALSE),VLOOKUP($W$9,'TABCV(Female)'!$A$2:$QQ$431,AO44+307,FALSE)),0)</f>
        <v>0</v>
      </c>
    </row>
    <row r="84" spans="8:37" ht="15">
      <c r="H84" s="9"/>
      <c r="U84" s="1631">
        <f t="shared" ref="U84:U113" si="27">IF(AC84-1000&lt;0,0,AC84-1000)</f>
        <v>0</v>
      </c>
      <c r="V84" s="1632">
        <f t="shared" ref="V84:V113" si="28">IF(AC84=0,0,IF(AC84&gt;1000,1000,AC84))</f>
        <v>0</v>
      </c>
      <c r="W84" s="1631">
        <f t="shared" si="25"/>
        <v>0</v>
      </c>
      <c r="X84" s="1631">
        <f t="shared" si="26"/>
        <v>0</v>
      </c>
      <c r="Y84" s="1631">
        <f t="shared" si="23"/>
        <v>0</v>
      </c>
      <c r="Z84" s="1631">
        <f t="shared" si="24"/>
        <v>0</v>
      </c>
      <c r="AA84" s="1614" t="s">
        <v>2261</v>
      </c>
      <c r="AB84" s="1614" t="s">
        <v>1814</v>
      </c>
      <c r="AC84" s="1614">
        <f>IFERROR(IF($W$6="M",VLOOKUP($W$9,'TABCV(Male)'!$A$2:$QQ$431,AO45+105,FALSE),VLOOKUP($W$9,'TABCV(Female)'!$A$2:$QQ$431,AO45+105,FALSE)),0)</f>
        <v>0</v>
      </c>
      <c r="AE84" s="1614" t="s">
        <v>2262</v>
      </c>
      <c r="AF84" s="1614" t="s">
        <v>1915</v>
      </c>
      <c r="AG84" s="1614">
        <f>IFERROR(IF($W$6="M",VLOOKUP($W$9,'TABCV(Male)'!$A$2:$QQ$431,AO45+206,FALSE),VLOOKUP($W$9,'TABCV(Female)'!$A$2:$QQ$431,AO45+206,FALSE)),0)</f>
        <v>0</v>
      </c>
      <c r="AI84" s="1614" t="s">
        <v>2263</v>
      </c>
      <c r="AJ84" s="1614" t="s">
        <v>2016</v>
      </c>
      <c r="AK84" s="1614">
        <f>IFERROR(IF($W$6="M",VLOOKUP($W$9,'TABCV(Male)'!$A$2:$QQ$431,AO45+307,FALSE),VLOOKUP($W$9,'TABCV(Female)'!$A$2:$QQ$431,AO45+307,FALSE)),0)</f>
        <v>0</v>
      </c>
    </row>
    <row r="85" spans="8:37" ht="15">
      <c r="H85" s="9"/>
      <c r="U85" s="1631">
        <f t="shared" si="27"/>
        <v>0</v>
      </c>
      <c r="V85" s="1632">
        <f t="shared" si="28"/>
        <v>0</v>
      </c>
      <c r="W85" s="1631">
        <f t="shared" si="25"/>
        <v>0</v>
      </c>
      <c r="X85" s="1631">
        <f t="shared" si="26"/>
        <v>0</v>
      </c>
      <c r="Y85" s="1631">
        <f t="shared" si="23"/>
        <v>0</v>
      </c>
      <c r="Z85" s="1631">
        <f t="shared" si="24"/>
        <v>0</v>
      </c>
      <c r="AA85" s="1614" t="s">
        <v>2264</v>
      </c>
      <c r="AB85" s="1614" t="s">
        <v>1815</v>
      </c>
      <c r="AC85" s="1614">
        <f>IFERROR(IF($W$6="M",VLOOKUP($W$9,'TABCV(Male)'!$A$2:$QQ$431,AO46+105,FALSE),VLOOKUP($W$9,'TABCV(Female)'!$A$2:$QQ$431,AO46+105,FALSE)),0)</f>
        <v>0</v>
      </c>
      <c r="AE85" s="1614" t="s">
        <v>2265</v>
      </c>
      <c r="AF85" s="1614" t="s">
        <v>1916</v>
      </c>
      <c r="AG85" s="1614">
        <f>IFERROR(IF($W$6="M",VLOOKUP($W$9,'TABCV(Male)'!$A$2:$QQ$431,AO46+206,FALSE),VLOOKUP($W$9,'TABCV(Female)'!$A$2:$QQ$431,AO46+206,FALSE)),0)</f>
        <v>0</v>
      </c>
      <c r="AI85" s="1614" t="s">
        <v>2266</v>
      </c>
      <c r="AJ85" s="1614" t="s">
        <v>2017</v>
      </c>
      <c r="AK85" s="1614">
        <f>IFERROR(IF($W$6="M",VLOOKUP($W$9,'TABCV(Male)'!$A$2:$QQ$431,AO46+307,FALSE),VLOOKUP($W$9,'TABCV(Female)'!$A$2:$QQ$431,AO46+307,FALSE)),0)</f>
        <v>0</v>
      </c>
    </row>
    <row r="86" spans="8:37" ht="15">
      <c r="H86" s="9"/>
      <c r="U86" s="1631">
        <f t="shared" si="27"/>
        <v>0</v>
      </c>
      <c r="V86" s="1632">
        <f t="shared" si="28"/>
        <v>0</v>
      </c>
      <c r="W86" s="1631">
        <f t="shared" si="25"/>
        <v>0</v>
      </c>
      <c r="X86" s="1631">
        <f t="shared" si="26"/>
        <v>0</v>
      </c>
      <c r="Y86" s="1631">
        <f t="shared" si="23"/>
        <v>0</v>
      </c>
      <c r="Z86" s="1631">
        <f t="shared" si="24"/>
        <v>0</v>
      </c>
      <c r="AA86" s="1614" t="s">
        <v>2267</v>
      </c>
      <c r="AB86" s="1614" t="s">
        <v>1816</v>
      </c>
      <c r="AC86" s="1614">
        <f>IFERROR(IF($W$6="M",VLOOKUP($W$9,'TABCV(Male)'!$A$2:$QQ$431,AO47+105,FALSE),VLOOKUP($W$9,'TABCV(Female)'!$A$2:$QQ$431,AO47+105,FALSE)),0)</f>
        <v>0</v>
      </c>
      <c r="AE86" s="1614" t="s">
        <v>2268</v>
      </c>
      <c r="AF86" s="1614" t="s">
        <v>1917</v>
      </c>
      <c r="AG86" s="1614">
        <f>IFERROR(IF($W$6="M",VLOOKUP($W$9,'TABCV(Male)'!$A$2:$QQ$431,AO47+206,FALSE),VLOOKUP($W$9,'TABCV(Female)'!$A$2:$QQ$431,AO47+206,FALSE)),0)</f>
        <v>0</v>
      </c>
      <c r="AI86" s="1614" t="s">
        <v>2269</v>
      </c>
      <c r="AJ86" s="1614" t="s">
        <v>2018</v>
      </c>
      <c r="AK86" s="1614">
        <f>IFERROR(IF($W$6="M",VLOOKUP($W$9,'TABCV(Male)'!$A$2:$QQ$431,AO47+307,FALSE),VLOOKUP($W$9,'TABCV(Female)'!$A$2:$QQ$431,AO47+307,FALSE)),0)</f>
        <v>0</v>
      </c>
    </row>
    <row r="87" spans="8:37" ht="15">
      <c r="H87" s="9"/>
      <c r="U87" s="1631">
        <f t="shared" si="27"/>
        <v>0</v>
      </c>
      <c r="V87" s="1632">
        <f t="shared" si="28"/>
        <v>0</v>
      </c>
      <c r="W87" s="1631">
        <f t="shared" si="25"/>
        <v>0</v>
      </c>
      <c r="X87" s="1631">
        <f t="shared" si="26"/>
        <v>0</v>
      </c>
      <c r="Y87" s="1631">
        <f t="shared" si="23"/>
        <v>0</v>
      </c>
      <c r="Z87" s="1631">
        <f t="shared" si="24"/>
        <v>0</v>
      </c>
      <c r="AA87" s="1614" t="s">
        <v>2270</v>
      </c>
      <c r="AB87" s="1614" t="s">
        <v>1817</v>
      </c>
      <c r="AC87" s="1614">
        <f>IFERROR(IF($W$6="M",VLOOKUP($W$9,'TABCV(Male)'!$A$2:$QQ$431,AO48+105,FALSE),VLOOKUP($W$9,'TABCV(Female)'!$A$2:$QQ$431,AO48+105,FALSE)),0)</f>
        <v>0</v>
      </c>
      <c r="AE87" s="1614" t="s">
        <v>2271</v>
      </c>
      <c r="AF87" s="1614" t="s">
        <v>1918</v>
      </c>
      <c r="AG87" s="1614">
        <f>IFERROR(IF($W$6="M",VLOOKUP($W$9,'TABCV(Male)'!$A$2:$QQ$431,AO48+206,FALSE),VLOOKUP($W$9,'TABCV(Female)'!$A$2:$QQ$431,AO48+206,FALSE)),0)</f>
        <v>0</v>
      </c>
      <c r="AI87" s="1614" t="s">
        <v>2272</v>
      </c>
      <c r="AJ87" s="1614" t="s">
        <v>2019</v>
      </c>
      <c r="AK87" s="1614">
        <f>IFERROR(IF($W$6="M",VLOOKUP($W$9,'TABCV(Male)'!$A$2:$QQ$431,AO48+307,FALSE),VLOOKUP($W$9,'TABCV(Female)'!$A$2:$QQ$431,AO48+307,FALSE)),0)</f>
        <v>0</v>
      </c>
    </row>
    <row r="88" spans="8:37" ht="15">
      <c r="H88" s="9"/>
      <c r="U88" s="1631">
        <f t="shared" si="27"/>
        <v>0</v>
      </c>
      <c r="V88" s="1632">
        <f t="shared" si="28"/>
        <v>0</v>
      </c>
      <c r="W88" s="1631">
        <f t="shared" si="25"/>
        <v>0</v>
      </c>
      <c r="X88" s="1631">
        <f t="shared" si="26"/>
        <v>0</v>
      </c>
      <c r="Y88" s="1631">
        <f t="shared" si="23"/>
        <v>0</v>
      </c>
      <c r="Z88" s="1631">
        <f t="shared" si="24"/>
        <v>0</v>
      </c>
      <c r="AA88" s="1614" t="s">
        <v>2273</v>
      </c>
      <c r="AB88" s="1614" t="s">
        <v>1818</v>
      </c>
      <c r="AC88" s="1614">
        <f>IFERROR(IF($W$6="M",VLOOKUP($W$9,'TABCV(Male)'!$A$2:$QQ$431,AO49+105,FALSE),VLOOKUP($W$9,'TABCV(Female)'!$A$2:$QQ$431,AO49+105,FALSE)),0)</f>
        <v>0</v>
      </c>
      <c r="AE88" s="1614" t="s">
        <v>2274</v>
      </c>
      <c r="AF88" s="1614" t="s">
        <v>1919</v>
      </c>
      <c r="AG88" s="1614">
        <f>IFERROR(IF($W$6="M",VLOOKUP($W$9,'TABCV(Male)'!$A$2:$QQ$431,AO49+206,FALSE),VLOOKUP($W$9,'TABCV(Female)'!$A$2:$QQ$431,AO49+206,FALSE)),0)</f>
        <v>0</v>
      </c>
      <c r="AI88" s="1614" t="s">
        <v>2275</v>
      </c>
      <c r="AJ88" s="1614" t="s">
        <v>2020</v>
      </c>
      <c r="AK88" s="1614">
        <f>IFERROR(IF($W$6="M",VLOOKUP($W$9,'TABCV(Male)'!$A$2:$QQ$431,AO49+307,FALSE),VLOOKUP($W$9,'TABCV(Female)'!$A$2:$QQ$431,AO49+307,FALSE)),0)</f>
        <v>0</v>
      </c>
    </row>
    <row r="89" spans="8:37" ht="15">
      <c r="U89" s="1631">
        <f t="shared" si="27"/>
        <v>0</v>
      </c>
      <c r="V89" s="1632">
        <f t="shared" si="28"/>
        <v>0</v>
      </c>
      <c r="W89" s="1631">
        <f t="shared" si="25"/>
        <v>0</v>
      </c>
      <c r="X89" s="1631">
        <f t="shared" si="26"/>
        <v>0</v>
      </c>
      <c r="Y89" s="1631">
        <f t="shared" si="23"/>
        <v>0</v>
      </c>
      <c r="Z89" s="1631">
        <f t="shared" si="24"/>
        <v>0</v>
      </c>
      <c r="AA89" s="1614" t="s">
        <v>2276</v>
      </c>
      <c r="AB89" s="1614" t="s">
        <v>1819</v>
      </c>
      <c r="AC89" s="1614">
        <f>IFERROR(IF($W$6="M",VLOOKUP($W$9,'TABCV(Male)'!$A$2:$QQ$431,AO50+105,FALSE),VLOOKUP($W$9,'TABCV(Female)'!$A$2:$QQ$431,AO50+105,FALSE)),0)</f>
        <v>0</v>
      </c>
      <c r="AE89" s="1614" t="s">
        <v>2277</v>
      </c>
      <c r="AF89" s="1614" t="s">
        <v>1920</v>
      </c>
      <c r="AG89" s="1614">
        <f>IFERROR(IF($W$6="M",VLOOKUP($W$9,'TABCV(Male)'!$A$2:$QQ$431,AO50+206,FALSE),VLOOKUP($W$9,'TABCV(Female)'!$A$2:$QQ$431,AO50+206,FALSE)),0)</f>
        <v>0</v>
      </c>
      <c r="AI89" s="1614" t="s">
        <v>2278</v>
      </c>
      <c r="AJ89" s="1614" t="s">
        <v>2021</v>
      </c>
      <c r="AK89" s="1614">
        <f>IFERROR(IF($W$6="M",VLOOKUP($W$9,'TABCV(Male)'!$A$2:$QQ$431,AO50+307,FALSE),VLOOKUP($W$9,'TABCV(Female)'!$A$2:$QQ$431,AO50+307,FALSE)),0)</f>
        <v>0</v>
      </c>
    </row>
    <row r="90" spans="8:37" ht="15">
      <c r="U90" s="1631">
        <f t="shared" si="27"/>
        <v>0</v>
      </c>
      <c r="V90" s="1632">
        <f t="shared" si="28"/>
        <v>0</v>
      </c>
      <c r="W90" s="1631">
        <f t="shared" si="25"/>
        <v>0</v>
      </c>
      <c r="X90" s="1631">
        <f t="shared" si="26"/>
        <v>0</v>
      </c>
      <c r="Y90" s="1631">
        <f t="shared" si="23"/>
        <v>0</v>
      </c>
      <c r="Z90" s="1631">
        <f t="shared" si="24"/>
        <v>0</v>
      </c>
      <c r="AA90" s="1614" t="s">
        <v>2279</v>
      </c>
      <c r="AB90" s="1614" t="s">
        <v>1820</v>
      </c>
      <c r="AC90" s="1614">
        <f>IFERROR(IF($W$6="M",VLOOKUP($W$9,'TABCV(Male)'!$A$2:$QQ$431,AO51+105,FALSE),VLOOKUP($W$9,'TABCV(Female)'!$A$2:$QQ$431,AO51+105,FALSE)),0)</f>
        <v>0</v>
      </c>
      <c r="AE90" s="1614" t="s">
        <v>2280</v>
      </c>
      <c r="AF90" s="1614" t="s">
        <v>1921</v>
      </c>
      <c r="AG90" s="1614">
        <f>IFERROR(IF($W$6="M",VLOOKUP($W$9,'TABCV(Male)'!$A$2:$QQ$431,AO51+206,FALSE),VLOOKUP($W$9,'TABCV(Female)'!$A$2:$QQ$431,AO51+206,FALSE)),0)</f>
        <v>0</v>
      </c>
      <c r="AI90" s="1614" t="s">
        <v>2281</v>
      </c>
      <c r="AJ90" s="1614" t="s">
        <v>2022</v>
      </c>
      <c r="AK90" s="1614">
        <f>IFERROR(IF($W$6="M",VLOOKUP($W$9,'TABCV(Male)'!$A$2:$QQ$431,AO51+307,FALSE),VLOOKUP($W$9,'TABCV(Female)'!$A$2:$QQ$431,AO51+307,FALSE)),0)</f>
        <v>0</v>
      </c>
    </row>
    <row r="91" spans="8:37" ht="15">
      <c r="U91" s="1631">
        <f t="shared" si="27"/>
        <v>0</v>
      </c>
      <c r="V91" s="1632">
        <f t="shared" si="28"/>
        <v>0</v>
      </c>
      <c r="W91" s="1631">
        <f t="shared" si="25"/>
        <v>0</v>
      </c>
      <c r="X91" s="1631">
        <f t="shared" si="26"/>
        <v>0</v>
      </c>
      <c r="Y91" s="1631">
        <f t="shared" si="23"/>
        <v>0</v>
      </c>
      <c r="Z91" s="1631">
        <f t="shared" si="24"/>
        <v>0</v>
      </c>
      <c r="AA91" s="1614" t="s">
        <v>2282</v>
      </c>
      <c r="AB91" s="1614" t="s">
        <v>1821</v>
      </c>
      <c r="AC91" s="1614">
        <f>IFERROR(IF($W$6="M",VLOOKUP($W$9,'TABCV(Male)'!$A$2:$QQ$431,AO52+105,FALSE),VLOOKUP($W$9,'TABCV(Female)'!$A$2:$QQ$431,AO52+105,FALSE)),0)</f>
        <v>0</v>
      </c>
      <c r="AE91" s="1614" t="s">
        <v>2283</v>
      </c>
      <c r="AF91" s="1614" t="s">
        <v>1922</v>
      </c>
      <c r="AG91" s="1614">
        <f>IFERROR(IF($W$6="M",VLOOKUP($W$9,'TABCV(Male)'!$A$2:$QQ$431,AO52+206,FALSE),VLOOKUP($W$9,'TABCV(Female)'!$A$2:$QQ$431,AO52+206,FALSE)),0)</f>
        <v>0</v>
      </c>
      <c r="AI91" s="1614" t="s">
        <v>2284</v>
      </c>
      <c r="AJ91" s="1614" t="s">
        <v>2023</v>
      </c>
      <c r="AK91" s="1614">
        <f>IFERROR(IF($W$6="M",VLOOKUP($W$9,'TABCV(Male)'!$A$2:$QQ$431,AO52+307,FALSE),VLOOKUP($W$9,'TABCV(Female)'!$A$2:$QQ$431,AO52+307,FALSE)),0)</f>
        <v>0</v>
      </c>
    </row>
    <row r="92" spans="8:37" ht="15">
      <c r="U92" s="1631">
        <f t="shared" si="27"/>
        <v>0</v>
      </c>
      <c r="V92" s="1632">
        <f t="shared" si="28"/>
        <v>0</v>
      </c>
      <c r="W92" s="1631">
        <f t="shared" si="25"/>
        <v>0</v>
      </c>
      <c r="X92" s="1631">
        <f t="shared" si="26"/>
        <v>0</v>
      </c>
      <c r="Y92" s="1631">
        <f t="shared" si="23"/>
        <v>0</v>
      </c>
      <c r="Z92" s="1631">
        <f t="shared" si="24"/>
        <v>0</v>
      </c>
      <c r="AA92" s="1614" t="s">
        <v>2285</v>
      </c>
      <c r="AB92" s="1614" t="s">
        <v>1822</v>
      </c>
      <c r="AC92" s="1614">
        <f>IFERROR(IF($W$6="M",VLOOKUP($W$9,'TABCV(Male)'!$A$2:$QQ$431,AO53+105,FALSE),VLOOKUP($W$9,'TABCV(Female)'!$A$2:$QQ$431,AO53+105,FALSE)),0)</f>
        <v>0</v>
      </c>
      <c r="AE92" s="1614" t="s">
        <v>2286</v>
      </c>
      <c r="AF92" s="1614" t="s">
        <v>1923</v>
      </c>
      <c r="AG92" s="1614">
        <f>IFERROR(IF($W$6="M",VLOOKUP($W$9,'TABCV(Male)'!$A$2:$QQ$431,AO53+206,FALSE),VLOOKUP($W$9,'TABCV(Female)'!$A$2:$QQ$431,AO53+206,FALSE)),0)</f>
        <v>0</v>
      </c>
      <c r="AI92" s="1614" t="s">
        <v>2287</v>
      </c>
      <c r="AJ92" s="1614" t="s">
        <v>2024</v>
      </c>
      <c r="AK92" s="1614">
        <f>IFERROR(IF($W$6="M",VLOOKUP($W$9,'TABCV(Male)'!$A$2:$QQ$431,AO53+307,FALSE),VLOOKUP($W$9,'TABCV(Female)'!$A$2:$QQ$431,AO53+307,FALSE)),0)</f>
        <v>0</v>
      </c>
    </row>
    <row r="93" spans="8:37" ht="15">
      <c r="U93" s="1631">
        <f t="shared" si="27"/>
        <v>0</v>
      </c>
      <c r="V93" s="1632">
        <f t="shared" si="28"/>
        <v>0</v>
      </c>
      <c r="W93" s="1631">
        <f t="shared" si="25"/>
        <v>0</v>
      </c>
      <c r="X93" s="1631">
        <f t="shared" si="26"/>
        <v>0</v>
      </c>
      <c r="Y93" s="1631">
        <f t="shared" si="23"/>
        <v>0</v>
      </c>
      <c r="Z93" s="1631">
        <f t="shared" si="24"/>
        <v>0</v>
      </c>
      <c r="AA93" s="1614" t="s">
        <v>2288</v>
      </c>
      <c r="AB93" s="1614" t="s">
        <v>1823</v>
      </c>
      <c r="AC93" s="1614">
        <f>IFERROR(IF($W$6="M",VLOOKUP($W$9,'TABCV(Male)'!$A$2:$QQ$431,AO54+105,FALSE),VLOOKUP($W$9,'TABCV(Female)'!$A$2:$QQ$431,AO54+105,FALSE)),0)</f>
        <v>0</v>
      </c>
      <c r="AE93" s="1614" t="s">
        <v>2289</v>
      </c>
      <c r="AF93" s="1614" t="s">
        <v>1924</v>
      </c>
      <c r="AG93" s="1614">
        <f>IFERROR(IF($W$6="M",VLOOKUP($W$9,'TABCV(Male)'!$A$2:$QQ$431,AO54+206,FALSE),VLOOKUP($W$9,'TABCV(Female)'!$A$2:$QQ$431,AO54+206,FALSE)),0)</f>
        <v>0</v>
      </c>
      <c r="AI93" s="1614" t="s">
        <v>2290</v>
      </c>
      <c r="AJ93" s="1614" t="s">
        <v>2025</v>
      </c>
      <c r="AK93" s="1614">
        <f>IFERROR(IF($W$6="M",VLOOKUP($W$9,'TABCV(Male)'!$A$2:$QQ$431,AO54+307,FALSE),VLOOKUP($W$9,'TABCV(Female)'!$A$2:$QQ$431,AO54+307,FALSE)),0)</f>
        <v>0</v>
      </c>
    </row>
    <row r="94" spans="8:37" ht="15">
      <c r="U94" s="1631">
        <f t="shared" si="27"/>
        <v>0</v>
      </c>
      <c r="V94" s="1632">
        <f t="shared" si="28"/>
        <v>0</v>
      </c>
      <c r="W94" s="1631">
        <f t="shared" si="25"/>
        <v>0</v>
      </c>
      <c r="X94" s="1631">
        <f t="shared" si="26"/>
        <v>0</v>
      </c>
      <c r="Y94" s="1631">
        <f t="shared" si="23"/>
        <v>0</v>
      </c>
      <c r="Z94" s="1631">
        <f t="shared" si="24"/>
        <v>0</v>
      </c>
      <c r="AA94" s="1614" t="s">
        <v>2291</v>
      </c>
      <c r="AB94" s="1614" t="s">
        <v>1824</v>
      </c>
      <c r="AC94" s="1614">
        <f>IFERROR(IF($W$6="M",VLOOKUP($W$9,'TABCV(Male)'!$A$2:$QQ$431,AO55+105,FALSE),VLOOKUP($W$9,'TABCV(Female)'!$A$2:$QQ$431,AO55+105,FALSE)),0)</f>
        <v>0</v>
      </c>
      <c r="AE94" s="1614" t="s">
        <v>2292</v>
      </c>
      <c r="AF94" s="1614" t="s">
        <v>1925</v>
      </c>
      <c r="AG94" s="1614">
        <f>IFERROR(IF($W$6="M",VLOOKUP($W$9,'TABCV(Male)'!$A$2:$QQ$431,AO55+206,FALSE),VLOOKUP($W$9,'TABCV(Female)'!$A$2:$QQ$431,AO55+206,FALSE)),0)</f>
        <v>0</v>
      </c>
      <c r="AI94" s="1614" t="s">
        <v>2293</v>
      </c>
      <c r="AJ94" s="1614" t="s">
        <v>2026</v>
      </c>
      <c r="AK94" s="1614">
        <f>IFERROR(IF($W$6="M",VLOOKUP($W$9,'TABCV(Male)'!$A$2:$QQ$431,AO55+307,FALSE),VLOOKUP($W$9,'TABCV(Female)'!$A$2:$QQ$431,AO55+307,FALSE)),0)</f>
        <v>0</v>
      </c>
    </row>
    <row r="95" spans="8:37" ht="15">
      <c r="U95" s="1631">
        <f t="shared" si="27"/>
        <v>0</v>
      </c>
      <c r="V95" s="1632">
        <f t="shared" si="28"/>
        <v>0</v>
      </c>
      <c r="W95" s="1631">
        <f t="shared" si="25"/>
        <v>0</v>
      </c>
      <c r="X95" s="1631">
        <f t="shared" si="26"/>
        <v>0</v>
      </c>
      <c r="Y95" s="1631">
        <f t="shared" si="23"/>
        <v>0</v>
      </c>
      <c r="Z95" s="1631">
        <f t="shared" si="24"/>
        <v>0</v>
      </c>
      <c r="AA95" s="1614" t="s">
        <v>2294</v>
      </c>
      <c r="AB95" s="1614" t="s">
        <v>1825</v>
      </c>
      <c r="AC95" s="1614">
        <f>IFERROR(IF($W$6="M",VLOOKUP($W$9,'TABCV(Male)'!$A$2:$QQ$431,AO56+105,FALSE),VLOOKUP($W$9,'TABCV(Female)'!$A$2:$QQ$431,AO56+105,FALSE)),0)</f>
        <v>0</v>
      </c>
      <c r="AE95" s="1614" t="s">
        <v>2295</v>
      </c>
      <c r="AF95" s="1614" t="s">
        <v>1926</v>
      </c>
      <c r="AG95" s="1614">
        <f>IFERROR(IF($W$6="M",VLOOKUP($W$9,'TABCV(Male)'!$A$2:$QQ$431,AO56+206,FALSE),VLOOKUP($W$9,'TABCV(Female)'!$A$2:$QQ$431,AO56+206,FALSE)),0)</f>
        <v>0</v>
      </c>
      <c r="AI95" s="1614" t="s">
        <v>2296</v>
      </c>
      <c r="AJ95" s="1614" t="s">
        <v>2027</v>
      </c>
      <c r="AK95" s="1614">
        <f>IFERROR(IF($W$6="M",VLOOKUP($W$9,'TABCV(Male)'!$A$2:$QQ$431,AO56+307,FALSE),VLOOKUP($W$9,'TABCV(Female)'!$A$2:$QQ$431,AO56+307,FALSE)),0)</f>
        <v>0</v>
      </c>
    </row>
    <row r="96" spans="8:37" ht="15">
      <c r="U96" s="1631">
        <f t="shared" si="27"/>
        <v>0</v>
      </c>
      <c r="V96" s="1632">
        <f t="shared" si="28"/>
        <v>0</v>
      </c>
      <c r="W96" s="1631">
        <f t="shared" si="25"/>
        <v>0</v>
      </c>
      <c r="X96" s="1631">
        <f t="shared" si="26"/>
        <v>0</v>
      </c>
      <c r="Y96" s="1631">
        <f t="shared" si="23"/>
        <v>0</v>
      </c>
      <c r="Z96" s="1631">
        <f t="shared" si="24"/>
        <v>0</v>
      </c>
      <c r="AA96" s="1614" t="s">
        <v>2297</v>
      </c>
      <c r="AB96" s="1614" t="s">
        <v>1826</v>
      </c>
      <c r="AC96" s="1614">
        <f>IFERROR(IF($W$6="M",VLOOKUP($W$9,'TABCV(Male)'!$A$2:$QQ$431,AO57+105,FALSE),VLOOKUP($W$9,'TABCV(Female)'!$A$2:$QQ$431,AO57+105,FALSE)),0)</f>
        <v>0</v>
      </c>
      <c r="AE96" s="1614" t="s">
        <v>2298</v>
      </c>
      <c r="AF96" s="1614" t="s">
        <v>1927</v>
      </c>
      <c r="AG96" s="1614">
        <f>IFERROR(IF($W$6="M",VLOOKUP($W$9,'TABCV(Male)'!$A$2:$QQ$431,AO57+206,FALSE),VLOOKUP($W$9,'TABCV(Female)'!$A$2:$QQ$431,AO57+206,FALSE)),0)</f>
        <v>0</v>
      </c>
      <c r="AI96" s="1614" t="s">
        <v>2299</v>
      </c>
      <c r="AJ96" s="1614" t="s">
        <v>2028</v>
      </c>
      <c r="AK96" s="1614">
        <f>IFERROR(IF($W$6="M",VLOOKUP($W$9,'TABCV(Male)'!$A$2:$QQ$431,AO57+307,FALSE),VLOOKUP($W$9,'TABCV(Female)'!$A$2:$QQ$431,AO57+307,FALSE)),0)</f>
        <v>0</v>
      </c>
    </row>
    <row r="97" spans="21:37" ht="15">
      <c r="U97" s="1631">
        <f t="shared" si="27"/>
        <v>0</v>
      </c>
      <c r="V97" s="1632">
        <f t="shared" si="28"/>
        <v>0</v>
      </c>
      <c r="W97" s="1631">
        <f t="shared" si="25"/>
        <v>0</v>
      </c>
      <c r="X97" s="1631">
        <f t="shared" si="26"/>
        <v>0</v>
      </c>
      <c r="Y97" s="1631">
        <f t="shared" si="23"/>
        <v>0</v>
      </c>
      <c r="Z97" s="1631">
        <f t="shared" si="24"/>
        <v>0</v>
      </c>
      <c r="AA97" s="1614" t="s">
        <v>2300</v>
      </c>
      <c r="AB97" s="1614" t="s">
        <v>1827</v>
      </c>
      <c r="AC97" s="1614">
        <f>IFERROR(IF($W$6="M",VLOOKUP($W$9,'TABCV(Male)'!$A$2:$QQ$431,AO58+105,FALSE),VLOOKUP($W$9,'TABCV(Female)'!$A$2:$QQ$431,AO58+105,FALSE)),0)</f>
        <v>0</v>
      </c>
      <c r="AE97" s="1614" t="s">
        <v>2301</v>
      </c>
      <c r="AF97" s="1614" t="s">
        <v>1928</v>
      </c>
      <c r="AG97" s="1614">
        <f>IFERROR(IF($W$6="M",VLOOKUP($W$9,'TABCV(Male)'!$A$2:$QQ$431,AO58+206,FALSE),VLOOKUP($W$9,'TABCV(Female)'!$A$2:$QQ$431,AO58+206,FALSE)),0)</f>
        <v>0</v>
      </c>
      <c r="AI97" s="1614" t="s">
        <v>2302</v>
      </c>
      <c r="AJ97" s="1614" t="s">
        <v>2029</v>
      </c>
      <c r="AK97" s="1614">
        <f>IFERROR(IF($W$6="M",VLOOKUP($W$9,'TABCV(Male)'!$A$2:$QQ$431,AO58+307,FALSE),VLOOKUP($W$9,'TABCV(Female)'!$A$2:$QQ$431,AO58+307,FALSE)),0)</f>
        <v>0</v>
      </c>
    </row>
    <row r="98" spans="21:37" ht="15">
      <c r="U98" s="1631">
        <f t="shared" si="27"/>
        <v>0</v>
      </c>
      <c r="V98" s="1632">
        <f t="shared" si="28"/>
        <v>0</v>
      </c>
      <c r="W98" s="1631">
        <f t="shared" si="25"/>
        <v>0</v>
      </c>
      <c r="X98" s="1631">
        <f t="shared" si="26"/>
        <v>0</v>
      </c>
      <c r="Y98" s="1631">
        <f t="shared" si="23"/>
        <v>0</v>
      </c>
      <c r="Z98" s="1631">
        <f t="shared" si="24"/>
        <v>0</v>
      </c>
      <c r="AA98" s="1614" t="s">
        <v>2303</v>
      </c>
      <c r="AB98" s="1614" t="s">
        <v>1828</v>
      </c>
      <c r="AC98" s="1614">
        <f>IFERROR(IF($W$6="M",VLOOKUP($W$9,'TABCV(Male)'!$A$2:$QQ$431,AO59+105,FALSE),VLOOKUP($W$9,'TABCV(Female)'!$A$2:$QQ$431,AO59+105,FALSE)),0)</f>
        <v>0</v>
      </c>
      <c r="AE98" s="1614" t="s">
        <v>2304</v>
      </c>
      <c r="AF98" s="1614" t="s">
        <v>1929</v>
      </c>
      <c r="AG98" s="1614">
        <f>IFERROR(IF($W$6="M",VLOOKUP($W$9,'TABCV(Male)'!$A$2:$QQ$431,AO59+206,FALSE),VLOOKUP($W$9,'TABCV(Female)'!$A$2:$QQ$431,AO59+206,FALSE)),0)</f>
        <v>0</v>
      </c>
      <c r="AI98" s="1614" t="s">
        <v>2305</v>
      </c>
      <c r="AJ98" s="1614" t="s">
        <v>2030</v>
      </c>
      <c r="AK98" s="1614">
        <f>IFERROR(IF($W$6="M",VLOOKUP($W$9,'TABCV(Male)'!$A$2:$QQ$431,AO59+307,FALSE),VLOOKUP($W$9,'TABCV(Female)'!$A$2:$QQ$431,AO59+307,FALSE)),0)</f>
        <v>0</v>
      </c>
    </row>
    <row r="99" spans="21:37" ht="15">
      <c r="U99" s="1631">
        <f t="shared" si="27"/>
        <v>0</v>
      </c>
      <c r="V99" s="1632">
        <f t="shared" si="28"/>
        <v>0</v>
      </c>
      <c r="W99" s="1631">
        <f t="shared" si="25"/>
        <v>0</v>
      </c>
      <c r="X99" s="1631">
        <f t="shared" si="26"/>
        <v>0</v>
      </c>
      <c r="Y99" s="1631">
        <f t="shared" si="23"/>
        <v>0</v>
      </c>
      <c r="Z99" s="1631">
        <f t="shared" si="24"/>
        <v>0</v>
      </c>
      <c r="AA99" s="1614" t="s">
        <v>2306</v>
      </c>
      <c r="AB99" s="1614" t="s">
        <v>1829</v>
      </c>
      <c r="AC99" s="1614">
        <f>IFERROR(IF($W$6="M",VLOOKUP($W$9,'TABCV(Male)'!$A$2:$QQ$431,AO60+105,FALSE),VLOOKUP($W$9,'TABCV(Female)'!$A$2:$QQ$431,AO60+105,FALSE)),0)</f>
        <v>0</v>
      </c>
      <c r="AE99" s="1614" t="s">
        <v>2307</v>
      </c>
      <c r="AF99" s="1614" t="s">
        <v>1930</v>
      </c>
      <c r="AG99" s="1614">
        <f>IFERROR(IF($W$6="M",VLOOKUP($W$9,'TABCV(Male)'!$A$2:$QQ$431,AO60+206,FALSE),VLOOKUP($W$9,'TABCV(Female)'!$A$2:$QQ$431,AO60+206,FALSE)),0)</f>
        <v>0</v>
      </c>
      <c r="AI99" s="1614" t="s">
        <v>2308</v>
      </c>
      <c r="AJ99" s="1614" t="s">
        <v>2031</v>
      </c>
      <c r="AK99" s="1614">
        <f>IFERROR(IF($W$6="M",VLOOKUP($W$9,'TABCV(Male)'!$A$2:$QQ$431,AO60+307,FALSE),VLOOKUP($W$9,'TABCV(Female)'!$A$2:$QQ$431,AO60+307,FALSE)),0)</f>
        <v>0</v>
      </c>
    </row>
    <row r="100" spans="21:37" ht="15">
      <c r="U100" s="1631">
        <f t="shared" si="27"/>
        <v>0</v>
      </c>
      <c r="V100" s="1632">
        <f t="shared" si="28"/>
        <v>0</v>
      </c>
      <c r="W100" s="1631">
        <f t="shared" si="25"/>
        <v>0</v>
      </c>
      <c r="X100" s="1631">
        <f t="shared" si="26"/>
        <v>0</v>
      </c>
      <c r="Y100" s="1631">
        <f t="shared" si="23"/>
        <v>0</v>
      </c>
      <c r="Z100" s="1631">
        <f t="shared" si="24"/>
        <v>0</v>
      </c>
      <c r="AA100" s="1614" t="s">
        <v>2309</v>
      </c>
      <c r="AB100" s="1614" t="s">
        <v>1830</v>
      </c>
      <c r="AC100" s="1614">
        <f>IFERROR(IF($W$6="M",VLOOKUP($W$9,'TABCV(Male)'!$A$2:$QQ$431,AO61+105,FALSE),VLOOKUP($W$9,'TABCV(Female)'!$A$2:$QQ$431,AO61+105,FALSE)),0)</f>
        <v>0</v>
      </c>
      <c r="AE100" s="1614" t="s">
        <v>2310</v>
      </c>
      <c r="AF100" s="1614" t="s">
        <v>1931</v>
      </c>
      <c r="AG100" s="1614">
        <f>IFERROR(IF($W$6="M",VLOOKUP($W$9,'TABCV(Male)'!$A$2:$QQ$431,AO61+206,FALSE),VLOOKUP($W$9,'TABCV(Female)'!$A$2:$QQ$431,AO61+206,FALSE)),0)</f>
        <v>0</v>
      </c>
      <c r="AI100" s="1614" t="s">
        <v>2311</v>
      </c>
      <c r="AJ100" s="1614" t="s">
        <v>2032</v>
      </c>
      <c r="AK100" s="1614">
        <f>IFERROR(IF($W$6="M",VLOOKUP($W$9,'TABCV(Male)'!$A$2:$QQ$431,AO61+307,FALSE),VLOOKUP($W$9,'TABCV(Female)'!$A$2:$QQ$431,AO61+307,FALSE)),0)</f>
        <v>0</v>
      </c>
    </row>
    <row r="101" spans="21:37" ht="15">
      <c r="U101" s="1631">
        <f t="shared" si="27"/>
        <v>0</v>
      </c>
      <c r="V101" s="1632">
        <f t="shared" si="28"/>
        <v>0</v>
      </c>
      <c r="W101" s="1631">
        <f t="shared" si="25"/>
        <v>0</v>
      </c>
      <c r="X101" s="1631">
        <f t="shared" si="26"/>
        <v>0</v>
      </c>
      <c r="Y101" s="1631">
        <f t="shared" si="23"/>
        <v>0</v>
      </c>
      <c r="Z101" s="1631">
        <f t="shared" si="24"/>
        <v>0</v>
      </c>
      <c r="AA101" s="1614" t="s">
        <v>2312</v>
      </c>
      <c r="AB101" s="1614" t="s">
        <v>1831</v>
      </c>
      <c r="AC101" s="1614">
        <f>IFERROR(IF($W$6="M",VLOOKUP($W$9,'TABCV(Male)'!$A$2:$QQ$431,AO62+105,FALSE),VLOOKUP($W$9,'TABCV(Female)'!$A$2:$QQ$431,AO62+105,FALSE)),0)</f>
        <v>0</v>
      </c>
      <c r="AE101" s="1614" t="s">
        <v>2313</v>
      </c>
      <c r="AF101" s="1614" t="s">
        <v>1932</v>
      </c>
      <c r="AG101" s="1614">
        <f>IFERROR(IF($W$6="M",VLOOKUP($W$9,'TABCV(Male)'!$A$2:$QQ$431,AO62+206,FALSE),VLOOKUP($W$9,'TABCV(Female)'!$A$2:$QQ$431,AO62+206,FALSE)),0)</f>
        <v>0</v>
      </c>
      <c r="AI101" s="1614" t="s">
        <v>2314</v>
      </c>
      <c r="AJ101" s="1614" t="s">
        <v>2033</v>
      </c>
      <c r="AK101" s="1614">
        <f>IFERROR(IF($W$6="M",VLOOKUP($W$9,'TABCV(Male)'!$A$2:$QQ$431,AO62+307,FALSE),VLOOKUP($W$9,'TABCV(Female)'!$A$2:$QQ$431,AO62+307,FALSE)),0)</f>
        <v>0</v>
      </c>
    </row>
    <row r="102" spans="21:37" ht="15">
      <c r="U102" s="1631">
        <f t="shared" si="27"/>
        <v>0</v>
      </c>
      <c r="V102" s="1632">
        <f t="shared" si="28"/>
        <v>0</v>
      </c>
      <c r="W102" s="1631">
        <f t="shared" si="25"/>
        <v>0</v>
      </c>
      <c r="X102" s="1631">
        <f t="shared" si="26"/>
        <v>0</v>
      </c>
      <c r="Y102" s="1631">
        <f t="shared" si="23"/>
        <v>0</v>
      </c>
      <c r="Z102" s="1631">
        <f t="shared" si="24"/>
        <v>0</v>
      </c>
      <c r="AA102" s="1614" t="s">
        <v>2315</v>
      </c>
      <c r="AB102" s="1614" t="s">
        <v>1832</v>
      </c>
      <c r="AC102" s="1614">
        <f>IFERROR(IF($W$6="M",VLOOKUP($W$9,'TABCV(Male)'!$A$2:$QQ$431,AO63+105,FALSE),VLOOKUP($W$9,'TABCV(Female)'!$A$2:$QQ$431,AO63+105,FALSE)),0)</f>
        <v>0</v>
      </c>
      <c r="AE102" s="1614" t="s">
        <v>2316</v>
      </c>
      <c r="AF102" s="1614" t="s">
        <v>1933</v>
      </c>
      <c r="AG102" s="1614">
        <f>IFERROR(IF($W$6="M",VLOOKUP($W$9,'TABCV(Male)'!$A$2:$QQ$431,AO63+206,FALSE),VLOOKUP($W$9,'TABCV(Female)'!$A$2:$QQ$431,AO63+206,FALSE)),0)</f>
        <v>0</v>
      </c>
      <c r="AI102" s="1614" t="s">
        <v>2317</v>
      </c>
      <c r="AJ102" s="1614" t="s">
        <v>2034</v>
      </c>
      <c r="AK102" s="1614">
        <f>IFERROR(IF($W$6="M",VLOOKUP($W$9,'TABCV(Male)'!$A$2:$QQ$431,AO63+307,FALSE),VLOOKUP($W$9,'TABCV(Female)'!$A$2:$QQ$431,AO63+307,FALSE)),0)</f>
        <v>0</v>
      </c>
    </row>
    <row r="103" spans="21:37" ht="15">
      <c r="U103" s="1631">
        <f t="shared" si="27"/>
        <v>0</v>
      </c>
      <c r="V103" s="1632">
        <f t="shared" si="28"/>
        <v>0</v>
      </c>
      <c r="W103" s="1631">
        <f t="shared" si="25"/>
        <v>0</v>
      </c>
      <c r="X103" s="1631">
        <f t="shared" si="26"/>
        <v>0</v>
      </c>
      <c r="Y103" s="1631">
        <f t="shared" si="23"/>
        <v>0</v>
      </c>
      <c r="Z103" s="1631">
        <f t="shared" si="24"/>
        <v>0</v>
      </c>
      <c r="AA103" s="1614" t="s">
        <v>2318</v>
      </c>
      <c r="AB103" s="1614" t="s">
        <v>1833</v>
      </c>
      <c r="AC103" s="1614">
        <f>IFERROR(IF($W$6="M",VLOOKUP($W$9,'TABCV(Male)'!$A$2:$QQ$431,AO64+105,FALSE),VLOOKUP($W$9,'TABCV(Female)'!$A$2:$QQ$431,AO64+105,FALSE)),0)</f>
        <v>0</v>
      </c>
      <c r="AE103" s="1614" t="s">
        <v>2319</v>
      </c>
      <c r="AF103" s="1614" t="s">
        <v>1934</v>
      </c>
      <c r="AG103" s="1614">
        <f>IFERROR(IF($W$6="M",VLOOKUP($W$9,'TABCV(Male)'!$A$2:$QQ$431,AO64+206,FALSE),VLOOKUP($W$9,'TABCV(Female)'!$A$2:$QQ$431,AO64+206,FALSE)),0)</f>
        <v>0</v>
      </c>
      <c r="AI103" s="1614" t="s">
        <v>2320</v>
      </c>
      <c r="AJ103" s="1614" t="s">
        <v>2035</v>
      </c>
      <c r="AK103" s="1614">
        <f>IFERROR(IF($W$6="M",VLOOKUP($W$9,'TABCV(Male)'!$A$2:$QQ$431,AO64+307,FALSE),VLOOKUP($W$9,'TABCV(Female)'!$A$2:$QQ$431,AO64+307,FALSE)),0)</f>
        <v>0</v>
      </c>
    </row>
    <row r="104" spans="21:37" ht="15">
      <c r="U104" s="1631">
        <f t="shared" si="27"/>
        <v>0</v>
      </c>
      <c r="V104" s="1632">
        <f t="shared" si="28"/>
        <v>0</v>
      </c>
      <c r="W104" s="1631">
        <f t="shared" si="25"/>
        <v>0</v>
      </c>
      <c r="X104" s="1631">
        <f t="shared" si="26"/>
        <v>0</v>
      </c>
      <c r="Y104" s="1631">
        <f t="shared" si="23"/>
        <v>0</v>
      </c>
      <c r="Z104" s="1631">
        <f t="shared" si="24"/>
        <v>0</v>
      </c>
      <c r="AA104" s="1614" t="s">
        <v>2321</v>
      </c>
      <c r="AB104" s="1614" t="s">
        <v>1834</v>
      </c>
      <c r="AC104" s="1614">
        <f>IFERROR(IF($W$6="M",VLOOKUP($W$9,'TABCV(Male)'!$A$2:$QQ$431,AO65+105,FALSE),VLOOKUP($W$9,'TABCV(Female)'!$A$2:$QQ$431,AO65+105,FALSE)),0)</f>
        <v>0</v>
      </c>
      <c r="AE104" s="1614" t="s">
        <v>2322</v>
      </c>
      <c r="AF104" s="1614" t="s">
        <v>1935</v>
      </c>
      <c r="AG104" s="1614">
        <f>IFERROR(IF($W$6="M",VLOOKUP($W$9,'TABCV(Male)'!$A$2:$QQ$431,AO65+206,FALSE),VLOOKUP($W$9,'TABCV(Female)'!$A$2:$QQ$431,AO65+206,FALSE)),0)</f>
        <v>0</v>
      </c>
      <c r="AI104" s="1614" t="s">
        <v>2323</v>
      </c>
      <c r="AJ104" s="1614" t="s">
        <v>2036</v>
      </c>
      <c r="AK104" s="1614">
        <f>IFERROR(IF($W$6="M",VLOOKUP($W$9,'TABCV(Male)'!$A$2:$QQ$431,AO65+307,FALSE),VLOOKUP($W$9,'TABCV(Female)'!$A$2:$QQ$431,AO65+307,FALSE)),0)</f>
        <v>0</v>
      </c>
    </row>
    <row r="105" spans="21:37" ht="15">
      <c r="U105" s="1631">
        <f t="shared" si="27"/>
        <v>0</v>
      </c>
      <c r="V105" s="1632">
        <f t="shared" si="28"/>
        <v>0</v>
      </c>
      <c r="W105" s="1631">
        <f t="shared" si="25"/>
        <v>0</v>
      </c>
      <c r="X105" s="1631">
        <f t="shared" si="26"/>
        <v>0</v>
      </c>
      <c r="Y105" s="1631">
        <f t="shared" si="23"/>
        <v>0</v>
      </c>
      <c r="Z105" s="1631">
        <f t="shared" si="24"/>
        <v>0</v>
      </c>
      <c r="AA105" s="1614" t="s">
        <v>2324</v>
      </c>
      <c r="AB105" s="1614" t="s">
        <v>1835</v>
      </c>
      <c r="AC105" s="1614">
        <f>IFERROR(IF($W$6="M",VLOOKUP($W$9,'TABCV(Male)'!$A$2:$QQ$431,AO66+105,FALSE),VLOOKUP($W$9,'TABCV(Female)'!$A$2:$QQ$431,AO66+105,FALSE)),0)</f>
        <v>0</v>
      </c>
      <c r="AE105" s="1614" t="s">
        <v>2325</v>
      </c>
      <c r="AF105" s="1614" t="s">
        <v>1936</v>
      </c>
      <c r="AG105" s="1614">
        <f>IFERROR(IF($W$6="M",VLOOKUP($W$9,'TABCV(Male)'!$A$2:$QQ$431,AO66+206,FALSE),VLOOKUP($W$9,'TABCV(Female)'!$A$2:$QQ$431,AO66+206,FALSE)),0)</f>
        <v>0</v>
      </c>
      <c r="AI105" s="1614" t="s">
        <v>2326</v>
      </c>
      <c r="AJ105" s="1614" t="s">
        <v>2037</v>
      </c>
      <c r="AK105" s="1614">
        <f>IFERROR(IF($W$6="M",VLOOKUP($W$9,'TABCV(Male)'!$A$2:$QQ$431,AO66+307,FALSE),VLOOKUP($W$9,'TABCV(Female)'!$A$2:$QQ$431,AO66+307,FALSE)),0)</f>
        <v>0</v>
      </c>
    </row>
    <row r="106" spans="21:37" ht="15">
      <c r="U106" s="1631">
        <f t="shared" si="27"/>
        <v>0</v>
      </c>
      <c r="V106" s="1632">
        <f t="shared" si="28"/>
        <v>0</v>
      </c>
      <c r="W106" s="1631">
        <f t="shared" si="25"/>
        <v>0</v>
      </c>
      <c r="X106" s="1631">
        <f t="shared" si="26"/>
        <v>0</v>
      </c>
      <c r="Y106" s="1631">
        <f t="shared" si="23"/>
        <v>0</v>
      </c>
      <c r="Z106" s="1631">
        <f t="shared" si="24"/>
        <v>0</v>
      </c>
      <c r="AA106" s="1614" t="s">
        <v>2327</v>
      </c>
      <c r="AB106" s="1614" t="s">
        <v>1836</v>
      </c>
      <c r="AC106" s="1614">
        <f>IFERROR(IF($W$6="M",VLOOKUP($W$9,'TABCV(Male)'!$A$2:$QQ$431,AO67+105,FALSE),VLOOKUP($W$9,'TABCV(Female)'!$A$2:$QQ$431,AO67+105,FALSE)),0)</f>
        <v>0</v>
      </c>
      <c r="AE106" s="1614" t="s">
        <v>2328</v>
      </c>
      <c r="AF106" s="1614" t="s">
        <v>1937</v>
      </c>
      <c r="AG106" s="1614">
        <f>IFERROR(IF($W$6="M",VLOOKUP($W$9,'TABCV(Male)'!$A$2:$QQ$431,AO67+206,FALSE),VLOOKUP($W$9,'TABCV(Female)'!$A$2:$QQ$431,AO67+206,FALSE)),0)</f>
        <v>0</v>
      </c>
      <c r="AI106" s="1614" t="s">
        <v>2329</v>
      </c>
      <c r="AJ106" s="1614" t="s">
        <v>2038</v>
      </c>
      <c r="AK106" s="1614">
        <f>IFERROR(IF($W$6="M",VLOOKUP($W$9,'TABCV(Male)'!$A$2:$QQ$431,AO67+307,FALSE),VLOOKUP($W$9,'TABCV(Female)'!$A$2:$QQ$431,AO67+307,FALSE)),0)</f>
        <v>0</v>
      </c>
    </row>
    <row r="107" spans="21:37" ht="15">
      <c r="U107" s="1631">
        <f t="shared" si="27"/>
        <v>0</v>
      </c>
      <c r="V107" s="1632">
        <f t="shared" si="28"/>
        <v>0</v>
      </c>
      <c r="W107" s="1631">
        <f t="shared" si="25"/>
        <v>0</v>
      </c>
      <c r="X107" s="1631">
        <f t="shared" si="26"/>
        <v>0</v>
      </c>
      <c r="Y107" s="1631">
        <f t="shared" si="23"/>
        <v>0</v>
      </c>
      <c r="Z107" s="1631">
        <f t="shared" si="24"/>
        <v>0</v>
      </c>
      <c r="AA107" s="1614" t="s">
        <v>2330</v>
      </c>
      <c r="AB107" s="1614" t="s">
        <v>1837</v>
      </c>
      <c r="AC107" s="1614">
        <f>IFERROR(IF($W$6="M",VLOOKUP($W$9,'TABCV(Male)'!$A$2:$QQ$431,AO68+105,FALSE),VLOOKUP($W$9,'TABCV(Female)'!$A$2:$QQ$431,AO68+105,FALSE)),0)</f>
        <v>0</v>
      </c>
      <c r="AE107" s="1614" t="s">
        <v>2331</v>
      </c>
      <c r="AF107" s="1614" t="s">
        <v>1938</v>
      </c>
      <c r="AG107" s="1614">
        <f>IFERROR(IF($W$6="M",VLOOKUP($W$9,'TABCV(Male)'!$A$2:$QQ$431,AO68+206,FALSE),VLOOKUP($W$9,'TABCV(Female)'!$A$2:$QQ$431,AO68+206,FALSE)),0)</f>
        <v>0</v>
      </c>
      <c r="AI107" s="1614" t="s">
        <v>2332</v>
      </c>
      <c r="AJ107" s="1614" t="s">
        <v>2039</v>
      </c>
      <c r="AK107" s="1614">
        <f>IFERROR(IF($W$6="M",VLOOKUP($W$9,'TABCV(Male)'!$A$2:$QQ$431,AO68+307,FALSE),VLOOKUP($W$9,'TABCV(Female)'!$A$2:$QQ$431,AO68+307,FALSE)),0)</f>
        <v>0</v>
      </c>
    </row>
    <row r="108" spans="21:37" ht="15">
      <c r="U108" s="1631">
        <f t="shared" si="27"/>
        <v>0</v>
      </c>
      <c r="V108" s="1632">
        <f t="shared" si="28"/>
        <v>0</v>
      </c>
      <c r="W108" s="1631">
        <f t="shared" si="25"/>
        <v>0</v>
      </c>
      <c r="X108" s="1631">
        <f t="shared" si="26"/>
        <v>0</v>
      </c>
      <c r="Y108" s="1631">
        <f t="shared" si="23"/>
        <v>0</v>
      </c>
      <c r="Z108" s="1631">
        <f t="shared" si="24"/>
        <v>0</v>
      </c>
      <c r="AA108" s="1614" t="s">
        <v>2333</v>
      </c>
      <c r="AB108" s="1614" t="s">
        <v>1838</v>
      </c>
      <c r="AC108" s="1614">
        <f>IFERROR(IF($W$6="M",VLOOKUP($W$9,'TABCV(Male)'!$A$2:$QQ$431,AO69+105,FALSE),VLOOKUP($W$9,'TABCV(Female)'!$A$2:$QQ$431,AO69+105,FALSE)),0)</f>
        <v>0</v>
      </c>
      <c r="AE108" s="1614" t="s">
        <v>2334</v>
      </c>
      <c r="AF108" s="1614" t="s">
        <v>1939</v>
      </c>
      <c r="AG108" s="1614">
        <f>IFERROR(IF($W$6="M",VLOOKUP($W$9,'TABCV(Male)'!$A$2:$QQ$431,AO69+206,FALSE),VLOOKUP($W$9,'TABCV(Female)'!$A$2:$QQ$431,AO69+206,FALSE)),0)</f>
        <v>0</v>
      </c>
      <c r="AI108" s="1614" t="s">
        <v>2335</v>
      </c>
      <c r="AJ108" s="1614" t="s">
        <v>2040</v>
      </c>
      <c r="AK108" s="1614">
        <f>IFERROR(IF($W$6="M",VLOOKUP($W$9,'TABCV(Male)'!$A$2:$QQ$431,AO69+307,FALSE),VLOOKUP($W$9,'TABCV(Female)'!$A$2:$QQ$431,AO69+307,FALSE)),0)</f>
        <v>0</v>
      </c>
    </row>
    <row r="109" spans="21:37" ht="15">
      <c r="U109" s="1631">
        <f t="shared" si="27"/>
        <v>0</v>
      </c>
      <c r="V109" s="1632">
        <f t="shared" si="28"/>
        <v>0</v>
      </c>
      <c r="W109" s="1631">
        <f t="shared" si="25"/>
        <v>0</v>
      </c>
      <c r="X109" s="1631">
        <f t="shared" si="26"/>
        <v>0</v>
      </c>
      <c r="Y109" s="1631">
        <f t="shared" si="23"/>
        <v>0</v>
      </c>
      <c r="Z109" s="1631">
        <f t="shared" si="24"/>
        <v>0</v>
      </c>
      <c r="AA109" s="1614" t="s">
        <v>2336</v>
      </c>
      <c r="AB109" s="1614" t="s">
        <v>1839</v>
      </c>
      <c r="AC109" s="1614">
        <f>IFERROR(IF($W$6="M",VLOOKUP($W$9,'TABCV(Male)'!$A$2:$QQ$431,AO70+105,FALSE),VLOOKUP($W$9,'TABCV(Female)'!$A$2:$QQ$431,AO70+105,FALSE)),0)</f>
        <v>0</v>
      </c>
      <c r="AE109" s="1614" t="s">
        <v>2337</v>
      </c>
      <c r="AF109" s="1614" t="s">
        <v>1940</v>
      </c>
      <c r="AG109" s="1614">
        <f>IFERROR(IF($W$6="M",VLOOKUP($W$9,'TABCV(Male)'!$A$2:$QQ$431,AO70+206,FALSE),VLOOKUP($W$9,'TABCV(Female)'!$A$2:$QQ$431,AO70+206,FALSE)),0)</f>
        <v>0</v>
      </c>
      <c r="AI109" s="1614" t="s">
        <v>2338</v>
      </c>
      <c r="AJ109" s="1614" t="s">
        <v>2041</v>
      </c>
      <c r="AK109" s="1614">
        <f>IFERROR(IF($W$6="M",VLOOKUP($W$9,'TABCV(Male)'!$A$2:$QQ$431,AO70+307,FALSE),VLOOKUP($W$9,'TABCV(Female)'!$A$2:$QQ$431,AO70+307,FALSE)),0)</f>
        <v>0</v>
      </c>
    </row>
    <row r="110" spans="21:37" ht="15">
      <c r="U110" s="1631">
        <f t="shared" si="27"/>
        <v>0</v>
      </c>
      <c r="V110" s="1632">
        <f t="shared" si="28"/>
        <v>0</v>
      </c>
      <c r="W110" s="1631">
        <f t="shared" si="25"/>
        <v>0</v>
      </c>
      <c r="X110" s="1631">
        <f t="shared" si="26"/>
        <v>0</v>
      </c>
      <c r="Y110" s="1631">
        <f t="shared" si="23"/>
        <v>0</v>
      </c>
      <c r="Z110" s="1631">
        <f t="shared" si="24"/>
        <v>0</v>
      </c>
      <c r="AA110" s="1614" t="s">
        <v>2339</v>
      </c>
      <c r="AB110" s="1614" t="s">
        <v>1840</v>
      </c>
      <c r="AC110" s="1614">
        <f>IFERROR(IF($W$6="M",VLOOKUP($W$9,'TABCV(Male)'!$A$2:$QQ$431,AO71+105,FALSE),VLOOKUP($W$9,'TABCV(Female)'!$A$2:$QQ$431,AO71+105,FALSE)),0)</f>
        <v>0</v>
      </c>
      <c r="AE110" s="1614" t="s">
        <v>2340</v>
      </c>
      <c r="AF110" s="1614" t="s">
        <v>1941</v>
      </c>
      <c r="AG110" s="1614">
        <f>IFERROR(IF($W$6="M",VLOOKUP($W$9,'TABCV(Male)'!$A$2:$QQ$431,AO71+206,FALSE),VLOOKUP($W$9,'TABCV(Female)'!$A$2:$QQ$431,AO71+206,FALSE)),0)</f>
        <v>0</v>
      </c>
      <c r="AI110" s="1614" t="s">
        <v>2341</v>
      </c>
      <c r="AJ110" s="1614" t="s">
        <v>2042</v>
      </c>
      <c r="AK110" s="1614">
        <f>IFERROR(IF($W$6="M",VLOOKUP($W$9,'TABCV(Male)'!$A$2:$QQ$431,AO71+307,FALSE),VLOOKUP($W$9,'TABCV(Female)'!$A$2:$QQ$431,AO71+307,FALSE)),0)</f>
        <v>0</v>
      </c>
    </row>
    <row r="111" spans="21:37" ht="15">
      <c r="U111" s="1631">
        <f t="shared" si="27"/>
        <v>0</v>
      </c>
      <c r="V111" s="1632">
        <f t="shared" si="28"/>
        <v>0</v>
      </c>
      <c r="W111" s="1631">
        <f t="shared" si="25"/>
        <v>0</v>
      </c>
      <c r="X111" s="1631">
        <f t="shared" si="26"/>
        <v>0</v>
      </c>
      <c r="Y111" s="1631">
        <f t="shared" si="23"/>
        <v>0</v>
      </c>
      <c r="Z111" s="1631">
        <f t="shared" si="24"/>
        <v>0</v>
      </c>
      <c r="AA111" s="1614" t="s">
        <v>2342</v>
      </c>
      <c r="AB111" s="1614" t="s">
        <v>1841</v>
      </c>
      <c r="AC111" s="1614">
        <f>IFERROR(IF($W$6="M",VLOOKUP($W$9,'TABCV(Male)'!$A$2:$QQ$431,AO72+105,FALSE),VLOOKUP($W$9,'TABCV(Female)'!$A$2:$QQ$431,AO72+105,FALSE)),0)</f>
        <v>0</v>
      </c>
      <c r="AE111" s="1614" t="s">
        <v>2343</v>
      </c>
      <c r="AF111" s="1614" t="s">
        <v>1942</v>
      </c>
      <c r="AG111" s="1614">
        <f>IFERROR(IF($W$6="M",VLOOKUP($W$9,'TABCV(Male)'!$A$2:$QQ$431,AO72+206,FALSE),VLOOKUP($W$9,'TABCV(Female)'!$A$2:$QQ$431,AO72+206,FALSE)),0)</f>
        <v>0</v>
      </c>
      <c r="AI111" s="1614" t="s">
        <v>2344</v>
      </c>
      <c r="AJ111" s="1614" t="s">
        <v>2043</v>
      </c>
      <c r="AK111" s="1614">
        <f>IFERROR(IF($W$6="M",VLOOKUP($W$9,'TABCV(Male)'!$A$2:$QQ$431,AO72+307,FALSE),VLOOKUP($W$9,'TABCV(Female)'!$A$2:$QQ$431,AO72+307,FALSE)),0)</f>
        <v>0</v>
      </c>
    </row>
    <row r="112" spans="21:37" ht="15">
      <c r="U112" s="1631">
        <f t="shared" si="27"/>
        <v>0</v>
      </c>
      <c r="V112" s="1632">
        <f t="shared" si="28"/>
        <v>0</v>
      </c>
      <c r="W112" s="1631">
        <f t="shared" si="25"/>
        <v>0</v>
      </c>
      <c r="X112" s="1631">
        <f t="shared" si="26"/>
        <v>0</v>
      </c>
      <c r="Y112" s="1631">
        <f t="shared" si="23"/>
        <v>0</v>
      </c>
      <c r="Z112" s="1631">
        <f t="shared" si="24"/>
        <v>0</v>
      </c>
      <c r="AA112" s="1614" t="s">
        <v>2345</v>
      </c>
      <c r="AB112" s="1614" t="s">
        <v>1842</v>
      </c>
      <c r="AC112" s="1614">
        <f>IFERROR(IF($W$6="M",VLOOKUP($W$9,'TABCV(Male)'!$A$2:$QQ$431,AO73+105,FALSE),VLOOKUP($W$9,'TABCV(Female)'!$A$2:$QQ$431,AO73+105,FALSE)),0)</f>
        <v>0</v>
      </c>
      <c r="AE112" s="1614" t="s">
        <v>2346</v>
      </c>
      <c r="AF112" s="1614" t="s">
        <v>1943</v>
      </c>
      <c r="AG112" s="1614">
        <f>IFERROR(IF($W$6="M",VLOOKUP($W$9,'TABCV(Male)'!$A$2:$QQ$431,AO73+206,FALSE),VLOOKUP($W$9,'TABCV(Female)'!$A$2:$QQ$431,AO73+206,FALSE)),0)</f>
        <v>0</v>
      </c>
      <c r="AI112" s="1614" t="s">
        <v>2347</v>
      </c>
      <c r="AJ112" s="1614" t="s">
        <v>2044</v>
      </c>
      <c r="AK112" s="1614">
        <f>IFERROR(IF($W$6="M",VLOOKUP($W$9,'TABCV(Male)'!$A$2:$QQ$431,AO73+307,FALSE),VLOOKUP($W$9,'TABCV(Female)'!$A$2:$QQ$431,AO73+307,FALSE)),0)</f>
        <v>0</v>
      </c>
    </row>
    <row r="113" spans="21:37" ht="15">
      <c r="U113" s="1631">
        <f t="shared" si="27"/>
        <v>0</v>
      </c>
      <c r="V113" s="1632">
        <f t="shared" si="28"/>
        <v>0</v>
      </c>
      <c r="W113" s="1631">
        <f t="shared" si="25"/>
        <v>0</v>
      </c>
      <c r="X113" s="1631">
        <f t="shared" si="26"/>
        <v>0</v>
      </c>
      <c r="Y113" s="1631">
        <f t="shared" si="23"/>
        <v>0</v>
      </c>
      <c r="Z113" s="1631">
        <f t="shared" si="24"/>
        <v>0</v>
      </c>
      <c r="AA113" s="1614" t="s">
        <v>2348</v>
      </c>
      <c r="AB113" s="1614" t="s">
        <v>1843</v>
      </c>
      <c r="AC113" s="1614">
        <f>IFERROR(IF($W$6="M",VLOOKUP($W$9,'TABCV(Male)'!$A$2:$QQ$431,AO74+105,FALSE),VLOOKUP($W$9,'TABCV(Female)'!$A$2:$QQ$431,AO74+105,FALSE)),0)</f>
        <v>0</v>
      </c>
      <c r="AE113" s="1614" t="s">
        <v>2349</v>
      </c>
      <c r="AF113" s="1614" t="s">
        <v>1944</v>
      </c>
      <c r="AG113" s="1614">
        <f>IFERROR(IF($W$6="M",VLOOKUP($W$9,'TABCV(Male)'!$A$2:$QQ$431,AO74+206,FALSE),VLOOKUP($W$9,'TABCV(Female)'!$A$2:$QQ$431,AO74+206,FALSE)),0)</f>
        <v>0</v>
      </c>
      <c r="AI113" s="1614" t="s">
        <v>2350</v>
      </c>
      <c r="AJ113" s="1614" t="s">
        <v>2045</v>
      </c>
      <c r="AK113" s="1614">
        <f>IFERROR(IF($W$6="M",VLOOKUP($W$9,'TABCV(Male)'!$A$2:$QQ$431,AO74+307,FALSE),VLOOKUP($W$9,'TABCV(Female)'!$A$2:$QQ$431,AO74+307,FALSE)),0)</f>
        <v>0</v>
      </c>
    </row>
    <row r="114" spans="21:37">
      <c r="W114" s="1617"/>
      <c r="X114" s="1618"/>
      <c r="Y114" s="1618"/>
      <c r="Z114" s="1617"/>
    </row>
  </sheetData>
  <mergeCells count="27">
    <mergeCell ref="W12:X12"/>
    <mergeCell ref="Y12:Y13"/>
    <mergeCell ref="Z12:Z13"/>
    <mergeCell ref="B66:R66"/>
    <mergeCell ref="AP22:AQ22"/>
    <mergeCell ref="AR22:AU22"/>
    <mergeCell ref="AP23:AP24"/>
    <mergeCell ref="AQ23:AQ24"/>
    <mergeCell ref="AT23:AT24"/>
    <mergeCell ref="AU23:AU24"/>
    <mergeCell ref="AR23:AS23"/>
    <mergeCell ref="D2:R2"/>
    <mergeCell ref="B8:R8"/>
    <mergeCell ref="B9:R9"/>
    <mergeCell ref="AN22:AN24"/>
    <mergeCell ref="AO22:AO24"/>
    <mergeCell ref="G11:G13"/>
    <mergeCell ref="H11:H13"/>
    <mergeCell ref="K11:N11"/>
    <mergeCell ref="I11:J11"/>
    <mergeCell ref="I12:I13"/>
    <mergeCell ref="J12:J13"/>
    <mergeCell ref="K12:L12"/>
    <mergeCell ref="M12:M13"/>
    <mergeCell ref="N12:N13"/>
    <mergeCell ref="U12:V12"/>
    <mergeCell ref="W11:Z11"/>
  </mergeCells>
  <conditionalFormatting sqref="G11:I11 K11">
    <cfRule type="expression" dxfId="41" priority="9" stopIfTrue="1">
      <formula>$A$1="Expire"</formula>
    </cfRule>
  </conditionalFormatting>
  <conditionalFormatting sqref="I12:K12 N12 K13:L13">
    <cfRule type="expression" dxfId="40" priority="8">
      <formula>$A$1="Expire"</formula>
    </cfRule>
  </conditionalFormatting>
  <conditionalFormatting sqref="U11:V11">
    <cfRule type="expression" dxfId="39" priority="14">
      <formula>#REF!=""</formula>
    </cfRule>
  </conditionalFormatting>
  <conditionalFormatting sqref="U11:W11">
    <cfRule type="expression" dxfId="38" priority="4" stopIfTrue="1">
      <formula>$A$1="Expire"</formula>
    </cfRule>
  </conditionalFormatting>
  <conditionalFormatting sqref="W12 Z12 W13:X13">
    <cfRule type="expression" dxfId="37" priority="3">
      <formula>$A$1="Expire"</formula>
    </cfRule>
  </conditionalFormatting>
  <conditionalFormatting sqref="AA11:AC65537 U12 AD12:AD65542 U13:V13">
    <cfRule type="expression" dxfId="36" priority="5" stopIfTrue="1">
      <formula>$A$1="Expire"</formula>
    </cfRule>
  </conditionalFormatting>
  <conditionalFormatting sqref="AL3:XFD65539 A3:W4 Y3:AK8 J5 L5:P5 A5:H6 R5:W6 J6:P6 A7:W8 A9:T9 V9:W9 Y9:AC10 AD9:AK11 A10:W10 S11:T13 A11:A63 AE12:AJ12 AE13:AK65541 G14:N63 S14:W64 W14:Z113 A64:J64 A65:S65536 T65:W65539 X114:Z65542">
    <cfRule type="expression" dxfId="35" priority="17" stopIfTrue="1">
      <formula>$A$1="Expire"</formula>
    </cfRule>
  </conditionalFormatting>
  <conditionalFormatting sqref="AP22 AR22">
    <cfRule type="expression" dxfId="34" priority="7" stopIfTrue="1">
      <formula>$A$1="Expire"</formula>
    </cfRule>
  </conditionalFormatting>
  <conditionalFormatting sqref="AP23:AR23 AU23 AR24:AS24">
    <cfRule type="expression" dxfId="33" priority="6">
      <formula>$A$1="Expire"</formula>
    </cfRule>
  </conditionalFormatting>
  <printOptions horizontalCentered="1"/>
  <pageMargins left="0.11811023622047245" right="0.11811023622047245" top="0.23622047244094491" bottom="0.19685039370078741" header="0.15748031496062992" footer="0.15748031496062992"/>
  <pageSetup paperSize="9" scale="40" orientation="portrait" r:id="rId1"/>
  <headerFooter>
    <oddFooter>&amp;C&amp;"Calibri"&amp;11&amp;K000000&amp;"Calibri,Regular"&amp;18 2/14_x000D_&amp;1#&amp;"Calibri"&amp;10&amp;K000000Internal</oddFooter>
  </headerFooter>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4D06E-DDCB-41D1-9D04-663450A83B81}">
  <sheetPr codeName="Sheet37">
    <tabColor rgb="FFFFFF00"/>
  </sheetPr>
  <dimension ref="A1:AX111"/>
  <sheetViews>
    <sheetView showGridLines="0" topLeftCell="A49" zoomScale="67" zoomScaleNormal="85" workbookViewId="0">
      <selection activeCell="D8" sqref="D8"/>
    </sheetView>
  </sheetViews>
  <sheetFormatPr defaultColWidth="10.296875" defaultRowHeight="14.5"/>
  <cols>
    <col min="1" max="1" width="10.296875" style="1736"/>
    <col min="2" max="2" width="13.3984375" style="1721" bestFit="1" customWidth="1"/>
    <col min="3" max="13" width="12.69921875" style="1721" customWidth="1"/>
    <col min="14" max="25" width="12.69921875" style="1723" customWidth="1"/>
    <col min="26" max="73" width="15.69921875" style="1737" customWidth="1"/>
    <col min="74" max="16384" width="10.296875" style="1737"/>
  </cols>
  <sheetData>
    <row r="1" spans="1:50" s="1722" customFormat="1" ht="15" customHeight="1">
      <c r="A1" s="1717"/>
      <c r="B1" s="1718" t="s">
        <v>1138</v>
      </c>
      <c r="C1" s="1719" t="s">
        <v>2435</v>
      </c>
      <c r="D1" s="1720"/>
      <c r="E1" s="1721"/>
      <c r="F1" s="1721"/>
      <c r="G1" s="1721"/>
      <c r="H1" s="1721"/>
      <c r="I1" s="1721"/>
      <c r="L1" s="1721"/>
      <c r="M1" s="1721"/>
      <c r="N1" s="1723"/>
      <c r="O1" s="1723"/>
      <c r="P1" s="1723"/>
      <c r="Q1" s="1723"/>
      <c r="R1" s="1723"/>
      <c r="S1" s="1723"/>
      <c r="T1" s="1723"/>
      <c r="U1" s="1723"/>
      <c r="V1" s="1723"/>
      <c r="W1" s="1723"/>
      <c r="X1" s="1723"/>
      <c r="Y1" s="1723"/>
    </row>
    <row r="2" spans="1:50" s="1722" customFormat="1" ht="15" customHeight="1">
      <c r="A2" s="1717"/>
      <c r="B2" s="1724" t="s">
        <v>1009</v>
      </c>
      <c r="C2" s="1725">
        <f>กรอกข้อมูล!$C$5</f>
        <v>44</v>
      </c>
      <c r="D2" s="1726" t="str">
        <f>IF(C2&lt;11,"J","S")</f>
        <v>S</v>
      </c>
      <c r="E2" s="1722" t="s">
        <v>129</v>
      </c>
      <c r="F2" s="1721"/>
      <c r="G2" s="1721"/>
      <c r="H2" s="1727" t="s">
        <v>575</v>
      </c>
      <c r="I2" s="1727" t="s">
        <v>715</v>
      </c>
      <c r="J2" s="1721"/>
      <c r="K2" s="1721"/>
      <c r="L2" s="1721"/>
      <c r="M2" s="1721"/>
      <c r="N2" s="1723"/>
      <c r="O2" s="1723"/>
      <c r="P2" s="1723"/>
      <c r="Q2" s="1723"/>
      <c r="R2" s="1723"/>
      <c r="S2" s="1723"/>
      <c r="T2" s="1723"/>
      <c r="U2" s="1723"/>
      <c r="V2" s="1723"/>
      <c r="W2" s="1723"/>
      <c r="X2" s="1723"/>
      <c r="Y2" s="1723"/>
    </row>
    <row r="3" spans="1:50" s="1722" customFormat="1">
      <c r="A3" s="1717"/>
      <c r="B3" s="1724" t="s">
        <v>567</v>
      </c>
      <c r="C3" s="1728" t="str">
        <f>กรอกข้อมูล!$C$6</f>
        <v>หญิง</v>
      </c>
      <c r="D3" s="1729" t="str">
        <f>IF(OR(C3="ชาย",C3="Male"),"M","F")</f>
        <v>F</v>
      </c>
      <c r="E3" s="1722" t="s">
        <v>129</v>
      </c>
      <c r="F3" s="1721"/>
      <c r="G3" s="1721"/>
      <c r="H3" s="1727" t="s">
        <v>578</v>
      </c>
      <c r="I3" s="1727" t="s">
        <v>1139</v>
      </c>
      <c r="J3" s="1721"/>
      <c r="K3" s="1721"/>
      <c r="L3" s="1721"/>
      <c r="M3" s="1721"/>
      <c r="N3" s="1723"/>
      <c r="O3" s="1723"/>
      <c r="P3" s="1723"/>
      <c r="Q3" s="1723"/>
      <c r="R3" s="1723"/>
      <c r="S3" s="1723"/>
      <c r="T3" s="1723"/>
      <c r="U3" s="1723"/>
      <c r="V3" s="1723"/>
      <c r="W3" s="1723"/>
      <c r="X3" s="1723"/>
      <c r="Y3" s="1723"/>
    </row>
    <row r="4" spans="1:50" s="1722" customFormat="1">
      <c r="A4" s="1717"/>
      <c r="B4" s="1730" t="s">
        <v>2436</v>
      </c>
      <c r="C4" s="1731"/>
      <c r="D4" s="1732" t="str">
        <f>กรอกข้อมูล!Z32</f>
        <v/>
      </c>
      <c r="F4" s="1721"/>
      <c r="G4" s="1721"/>
      <c r="H4" s="1727" t="s">
        <v>557</v>
      </c>
      <c r="I4" s="1727" t="s">
        <v>1141</v>
      </c>
      <c r="J4" s="1721"/>
      <c r="K4" s="1721"/>
      <c r="L4" s="1721"/>
      <c r="M4" s="1721"/>
      <c r="N4" s="1723"/>
      <c r="O4" s="1723"/>
      <c r="P4" s="1723"/>
      <c r="Q4" s="1723"/>
      <c r="R4" s="1723"/>
      <c r="S4" s="1723"/>
      <c r="T4" s="1723"/>
      <c r="U4" s="1723"/>
      <c r="V4" s="1723"/>
      <c r="W4" s="1723"/>
      <c r="X4" s="1723"/>
      <c r="Y4" s="1723"/>
    </row>
    <row r="5" spans="1:50" s="1722" customFormat="1">
      <c r="A5" s="1717"/>
      <c r="B5" s="1730" t="s">
        <v>2385</v>
      </c>
      <c r="C5" s="1731" t="s">
        <v>2426</v>
      </c>
      <c r="D5" s="1732" t="str">
        <f>IFERROR(IF(C5="Full Coverage","",IF(C5="Deductible","D",IF(C5="Co-Payment","C",""))),"")</f>
        <v/>
      </c>
      <c r="F5" s="1721"/>
      <c r="G5" s="1721"/>
      <c r="H5" s="1721"/>
      <c r="I5" s="1721"/>
      <c r="J5" s="1721"/>
      <c r="K5" s="1721"/>
      <c r="L5" s="1721"/>
      <c r="M5" s="1721"/>
      <c r="N5" s="1723"/>
      <c r="O5" s="1723"/>
      <c r="P5" s="1723"/>
      <c r="Q5" s="1723"/>
      <c r="R5" s="1723"/>
      <c r="S5" s="1723"/>
      <c r="T5" s="1723"/>
      <c r="U5" s="1723"/>
      <c r="V5" s="1723"/>
      <c r="W5" s="1723"/>
      <c r="X5" s="1723"/>
      <c r="Y5" s="1723"/>
    </row>
    <row r="6" spans="1:50" s="1722" customFormat="1">
      <c r="A6" s="1717"/>
      <c r="B6" s="1730" t="s">
        <v>1142</v>
      </c>
      <c r="C6" s="1731" t="s">
        <v>557</v>
      </c>
      <c r="D6" s="1733" t="str">
        <f>VLOOKUP($C6,H2:I4,2,FALSE)</f>
        <v xml:space="preserve">  </v>
      </c>
      <c r="F6" s="1721"/>
      <c r="G6" s="1721"/>
      <c r="H6" s="1721"/>
      <c r="I6" s="1721"/>
      <c r="J6" s="1721"/>
      <c r="K6" s="1721"/>
      <c r="L6" s="1721"/>
      <c r="M6" s="1721"/>
      <c r="N6" s="1723"/>
      <c r="O6" s="1723"/>
      <c r="P6" s="1723"/>
      <c r="Q6" s="1723"/>
      <c r="R6" s="1723"/>
      <c r="S6" s="1723"/>
      <c r="T6" s="1723"/>
      <c r="U6" s="1723"/>
      <c r="V6" s="1723"/>
      <c r="W6" s="1723"/>
      <c r="X6" s="1723"/>
      <c r="Y6" s="1723"/>
    </row>
    <row r="7" spans="1:50" s="1722" customFormat="1" ht="31">
      <c r="A7" s="1717"/>
      <c r="B7" s="1730" t="s">
        <v>1143</v>
      </c>
      <c r="C7" s="1731"/>
      <c r="D7" s="1734" t="str">
        <f>TRIM("MCI"&amp;D4)</f>
        <v>MCI</v>
      </c>
      <c r="E7" s="1733" t="str">
        <f>D7&amp;"-"&amp;D3</f>
        <v>MCI-F</v>
      </c>
      <c r="F7" s="1721"/>
      <c r="G7" s="1721"/>
      <c r="H7" s="1721"/>
      <c r="I7" s="1721"/>
      <c r="J7" s="1721"/>
      <c r="K7" s="1721"/>
      <c r="L7" s="1721"/>
      <c r="M7" s="1721"/>
      <c r="N7" s="1723"/>
      <c r="O7" s="1723"/>
      <c r="P7" s="1723"/>
      <c r="Q7" s="1723"/>
      <c r="R7" s="1723"/>
      <c r="S7" s="1723"/>
      <c r="T7" s="1723"/>
      <c r="U7" s="1723"/>
      <c r="V7" s="1723"/>
      <c r="W7" s="1723"/>
      <c r="X7" s="1723"/>
      <c r="Y7" s="1723"/>
      <c r="Z7" s="1735" t="s">
        <v>2437</v>
      </c>
      <c r="AX7" s="1735" t="s">
        <v>2427</v>
      </c>
    </row>
    <row r="8" spans="1:50" s="1722" customFormat="1">
      <c r="A8" s="1736"/>
      <c r="B8" s="1730" t="s">
        <v>1144</v>
      </c>
      <c r="C8" s="1731"/>
      <c r="D8" s="1733" t="e">
        <f>IF(C1="OK",HLOOKUP(E7,$B$9:$I$111,C2+5,0),0)</f>
        <v>#N/A</v>
      </c>
      <c r="E8" s="1737"/>
      <c r="F8" s="1721"/>
      <c r="G8" s="1721"/>
      <c r="H8" s="1721"/>
      <c r="I8" s="1721"/>
      <c r="J8" s="1721"/>
      <c r="K8" s="1721"/>
      <c r="L8" s="1721"/>
      <c r="M8" s="1721"/>
      <c r="N8" s="1723"/>
      <c r="O8" s="1723"/>
      <c r="P8" s="1723"/>
      <c r="Q8" s="1723"/>
      <c r="R8" s="1723"/>
      <c r="S8" s="1723"/>
      <c r="T8" s="1723"/>
      <c r="U8" s="1723"/>
      <c r="V8" s="1723"/>
      <c r="W8" s="1723"/>
      <c r="X8" s="1723"/>
      <c r="Y8" s="1723"/>
    </row>
    <row r="9" spans="1:50" s="1722" customFormat="1">
      <c r="A9" s="1738" t="s">
        <v>1143</v>
      </c>
      <c r="B9" s="1739" t="s">
        <v>2438</v>
      </c>
      <c r="C9" s="1739" t="s">
        <v>2439</v>
      </c>
      <c r="D9" s="1739" t="s">
        <v>2440</v>
      </c>
      <c r="E9" s="1739" t="s">
        <v>2441</v>
      </c>
      <c r="F9" s="1739" t="s">
        <v>2442</v>
      </c>
      <c r="G9" s="1739" t="s">
        <v>2443</v>
      </c>
      <c r="H9" s="1739" t="s">
        <v>2444</v>
      </c>
      <c r="I9" s="1739" t="s">
        <v>2445</v>
      </c>
    </row>
    <row r="10" spans="1:50" s="1722" customFormat="1">
      <c r="A10" s="1738" t="s">
        <v>1169</v>
      </c>
      <c r="B10" s="1740" t="s">
        <v>2446</v>
      </c>
      <c r="C10" s="1740" t="s">
        <v>2446</v>
      </c>
      <c r="D10" s="1740" t="s">
        <v>2447</v>
      </c>
      <c r="E10" s="1740" t="s">
        <v>2447</v>
      </c>
      <c r="F10" s="1740" t="s">
        <v>2448</v>
      </c>
      <c r="G10" s="1740" t="s">
        <v>2448</v>
      </c>
      <c r="H10" s="1740" t="s">
        <v>2449</v>
      </c>
      <c r="I10" s="1740" t="s">
        <v>2449</v>
      </c>
    </row>
    <row r="11" spans="1:50" s="1722" customFormat="1">
      <c r="A11" s="1738" t="s">
        <v>1171</v>
      </c>
      <c r="B11" s="1741">
        <v>1</v>
      </c>
      <c r="C11" s="1741">
        <v>1</v>
      </c>
      <c r="D11" s="1741">
        <v>1</v>
      </c>
      <c r="E11" s="1741">
        <v>1</v>
      </c>
      <c r="F11" s="1741">
        <v>1</v>
      </c>
      <c r="G11" s="1741">
        <v>1</v>
      </c>
      <c r="H11" s="1741">
        <v>1</v>
      </c>
      <c r="I11" s="1741">
        <v>1</v>
      </c>
    </row>
    <row r="12" spans="1:50" s="1722" customFormat="1">
      <c r="A12" s="1738" t="s">
        <v>567</v>
      </c>
      <c r="B12" s="1740" t="s">
        <v>13</v>
      </c>
      <c r="C12" s="1740" t="s">
        <v>14</v>
      </c>
      <c r="D12" s="1740" t="s">
        <v>13</v>
      </c>
      <c r="E12" s="1740" t="s">
        <v>14</v>
      </c>
      <c r="F12" s="1740" t="s">
        <v>13</v>
      </c>
      <c r="G12" s="1740" t="s">
        <v>14</v>
      </c>
      <c r="H12" s="1740" t="s">
        <v>13</v>
      </c>
      <c r="I12" s="1740" t="s">
        <v>14</v>
      </c>
    </row>
    <row r="13" spans="1:50" s="1722" customFormat="1" ht="21.5">
      <c r="A13" s="1738">
        <v>0</v>
      </c>
      <c r="B13" s="1742">
        <v>1110</v>
      </c>
      <c r="C13" s="1742">
        <v>912</v>
      </c>
      <c r="D13" s="1742">
        <v>1279</v>
      </c>
      <c r="E13" s="1742">
        <v>1014</v>
      </c>
      <c r="F13" s="1742">
        <v>0</v>
      </c>
      <c r="G13" s="1742">
        <v>0</v>
      </c>
      <c r="H13" s="1742">
        <v>0</v>
      </c>
      <c r="I13" s="1742">
        <v>0</v>
      </c>
    </row>
    <row r="14" spans="1:50" s="1722" customFormat="1" ht="21.5">
      <c r="A14" s="1738">
        <v>1</v>
      </c>
      <c r="B14" s="1742">
        <v>1051</v>
      </c>
      <c r="C14" s="1742">
        <v>880</v>
      </c>
      <c r="D14" s="1742">
        <v>1203</v>
      </c>
      <c r="E14" s="1742">
        <v>975</v>
      </c>
      <c r="F14" s="1742">
        <v>0</v>
      </c>
      <c r="G14" s="1742">
        <v>0</v>
      </c>
      <c r="H14" s="1742">
        <v>0</v>
      </c>
      <c r="I14" s="1742">
        <v>0</v>
      </c>
    </row>
    <row r="15" spans="1:50" s="1722" customFormat="1" ht="21.5">
      <c r="A15" s="1738">
        <v>2</v>
      </c>
      <c r="B15" s="1742">
        <v>998</v>
      </c>
      <c r="C15" s="1742">
        <v>847</v>
      </c>
      <c r="D15" s="1742">
        <v>1136</v>
      </c>
      <c r="E15" s="1742">
        <v>941</v>
      </c>
      <c r="F15" s="1742">
        <v>0</v>
      </c>
      <c r="G15" s="1742">
        <v>0</v>
      </c>
      <c r="H15" s="1742">
        <v>0</v>
      </c>
      <c r="I15" s="1742">
        <v>0</v>
      </c>
    </row>
    <row r="16" spans="1:50" s="1722" customFormat="1" ht="21.5">
      <c r="A16" s="1738">
        <v>3</v>
      </c>
      <c r="B16" s="1742">
        <v>951</v>
      </c>
      <c r="C16" s="1742">
        <v>818</v>
      </c>
      <c r="D16" s="1742">
        <v>1079</v>
      </c>
      <c r="E16" s="1742">
        <v>906</v>
      </c>
      <c r="F16" s="1742">
        <v>0</v>
      </c>
      <c r="G16" s="1742">
        <v>0</v>
      </c>
      <c r="H16" s="1742">
        <v>0</v>
      </c>
      <c r="I16" s="1742">
        <v>0</v>
      </c>
    </row>
    <row r="17" spans="1:9" s="1722" customFormat="1" ht="21.5">
      <c r="A17" s="1738">
        <v>4</v>
      </c>
      <c r="B17" s="1742">
        <v>831</v>
      </c>
      <c r="C17" s="1742">
        <v>747</v>
      </c>
      <c r="D17" s="1742">
        <v>924</v>
      </c>
      <c r="E17" s="1742">
        <v>814</v>
      </c>
      <c r="F17" s="1742">
        <v>0</v>
      </c>
      <c r="G17" s="1742">
        <v>0</v>
      </c>
      <c r="H17" s="1742">
        <v>0</v>
      </c>
      <c r="I17" s="1742">
        <v>0</v>
      </c>
    </row>
    <row r="18" spans="1:9" s="1722" customFormat="1" ht="21.5">
      <c r="A18" s="1738">
        <v>5</v>
      </c>
      <c r="B18" s="1742">
        <v>715</v>
      </c>
      <c r="C18" s="1742">
        <v>674</v>
      </c>
      <c r="D18" s="1742">
        <v>780</v>
      </c>
      <c r="E18" s="1742">
        <v>725</v>
      </c>
      <c r="F18" s="1742">
        <v>0</v>
      </c>
      <c r="G18" s="1742">
        <v>0</v>
      </c>
      <c r="H18" s="1742">
        <v>0</v>
      </c>
      <c r="I18" s="1742">
        <v>0</v>
      </c>
    </row>
    <row r="19" spans="1:9" s="1722" customFormat="1" ht="21.5">
      <c r="A19" s="1738">
        <v>6</v>
      </c>
      <c r="B19" s="1742">
        <v>674</v>
      </c>
      <c r="C19" s="1742">
        <v>647</v>
      </c>
      <c r="D19" s="1742">
        <v>725</v>
      </c>
      <c r="E19" s="1742">
        <v>692</v>
      </c>
      <c r="F19" s="1742">
        <v>0</v>
      </c>
      <c r="G19" s="1742">
        <v>0</v>
      </c>
      <c r="H19" s="1742">
        <v>0</v>
      </c>
      <c r="I19" s="1742">
        <v>0</v>
      </c>
    </row>
    <row r="20" spans="1:9" s="1722" customFormat="1" ht="21.5">
      <c r="A20" s="1738">
        <v>7</v>
      </c>
      <c r="B20" s="1742">
        <v>649</v>
      </c>
      <c r="C20" s="1742">
        <v>633</v>
      </c>
      <c r="D20" s="1742">
        <v>698</v>
      </c>
      <c r="E20" s="1742">
        <v>674</v>
      </c>
      <c r="F20" s="1742">
        <v>0</v>
      </c>
      <c r="G20" s="1742">
        <v>0</v>
      </c>
      <c r="H20" s="1742">
        <v>0</v>
      </c>
      <c r="I20" s="1742">
        <v>0</v>
      </c>
    </row>
    <row r="21" spans="1:9" s="1722" customFormat="1" ht="21.5">
      <c r="A21" s="1738">
        <v>8</v>
      </c>
      <c r="B21" s="1742">
        <v>641</v>
      </c>
      <c r="C21" s="1742">
        <v>629</v>
      </c>
      <c r="D21" s="1742">
        <v>688</v>
      </c>
      <c r="E21" s="1742">
        <v>670</v>
      </c>
      <c r="F21" s="1742">
        <v>0</v>
      </c>
      <c r="G21" s="1742">
        <v>0</v>
      </c>
      <c r="H21" s="1742">
        <v>0</v>
      </c>
      <c r="I21" s="1742">
        <v>0</v>
      </c>
    </row>
    <row r="22" spans="1:9" s="1722" customFormat="1" ht="21.5">
      <c r="A22" s="1738">
        <v>9</v>
      </c>
      <c r="B22" s="1742">
        <v>595</v>
      </c>
      <c r="C22" s="1742">
        <v>588</v>
      </c>
      <c r="D22" s="1742">
        <v>627</v>
      </c>
      <c r="E22" s="1742">
        <v>617</v>
      </c>
      <c r="F22" s="1742">
        <v>0</v>
      </c>
      <c r="G22" s="1742">
        <v>0</v>
      </c>
      <c r="H22" s="1742">
        <v>0</v>
      </c>
      <c r="I22" s="1742">
        <v>0</v>
      </c>
    </row>
    <row r="23" spans="1:9" s="1722" customFormat="1" ht="21.5">
      <c r="A23" s="1738">
        <v>10</v>
      </c>
      <c r="B23" s="1742">
        <v>552</v>
      </c>
      <c r="C23" s="1742">
        <v>550</v>
      </c>
      <c r="D23" s="1742">
        <v>576</v>
      </c>
      <c r="E23" s="1742">
        <v>572</v>
      </c>
      <c r="F23" s="1742">
        <v>0</v>
      </c>
      <c r="G23" s="1742">
        <v>0</v>
      </c>
      <c r="H23" s="1742">
        <v>0</v>
      </c>
      <c r="I23" s="1742">
        <v>0</v>
      </c>
    </row>
    <row r="24" spans="1:9" s="1722" customFormat="1" ht="21.5">
      <c r="A24" s="1738">
        <v>11</v>
      </c>
      <c r="B24" s="1742">
        <v>568</v>
      </c>
      <c r="C24" s="1742">
        <v>566</v>
      </c>
      <c r="D24" s="1742">
        <v>597</v>
      </c>
      <c r="E24" s="1742">
        <v>592</v>
      </c>
      <c r="F24" s="1742">
        <v>878</v>
      </c>
      <c r="G24" s="1742">
        <v>869</v>
      </c>
      <c r="H24" s="1742">
        <v>1012</v>
      </c>
      <c r="I24" s="1742">
        <v>998</v>
      </c>
    </row>
    <row r="25" spans="1:9" s="1722" customFormat="1" ht="21.5">
      <c r="A25" s="1738">
        <v>12</v>
      </c>
      <c r="B25" s="1742">
        <v>572</v>
      </c>
      <c r="C25" s="1742">
        <v>568</v>
      </c>
      <c r="D25" s="1742">
        <v>601</v>
      </c>
      <c r="E25" s="1742">
        <v>597</v>
      </c>
      <c r="F25" s="1742">
        <v>890</v>
      </c>
      <c r="G25" s="1742">
        <v>875</v>
      </c>
      <c r="H25" s="1742">
        <v>1030</v>
      </c>
      <c r="I25" s="1742">
        <v>1008</v>
      </c>
    </row>
    <row r="26" spans="1:9" s="1722" customFormat="1" ht="21.5">
      <c r="A26" s="1738">
        <v>13</v>
      </c>
      <c r="B26" s="1742">
        <v>590</v>
      </c>
      <c r="C26" s="1742">
        <v>582</v>
      </c>
      <c r="D26" s="1742">
        <v>621</v>
      </c>
      <c r="E26" s="1742">
        <v>611</v>
      </c>
      <c r="F26" s="1742">
        <v>924</v>
      </c>
      <c r="G26" s="1742">
        <v>900</v>
      </c>
      <c r="H26" s="1742">
        <v>1077</v>
      </c>
      <c r="I26" s="1742">
        <v>1036</v>
      </c>
    </row>
    <row r="27" spans="1:9" s="1722" customFormat="1" ht="21.5">
      <c r="A27" s="1738">
        <v>14</v>
      </c>
      <c r="B27" s="1742">
        <v>617</v>
      </c>
      <c r="C27" s="1742">
        <v>607</v>
      </c>
      <c r="D27" s="1742">
        <v>652</v>
      </c>
      <c r="E27" s="1742">
        <v>635</v>
      </c>
      <c r="F27" s="1742">
        <v>975</v>
      </c>
      <c r="G27" s="1742">
        <v>939</v>
      </c>
      <c r="H27" s="1742">
        <v>1144</v>
      </c>
      <c r="I27" s="1742">
        <v>1079</v>
      </c>
    </row>
    <row r="28" spans="1:9" s="1722" customFormat="1" ht="21.5">
      <c r="A28" s="1738">
        <v>15</v>
      </c>
      <c r="B28" s="1742">
        <v>647</v>
      </c>
      <c r="C28" s="1742">
        <v>631</v>
      </c>
      <c r="D28" s="1742">
        <v>684</v>
      </c>
      <c r="E28" s="1742">
        <v>664</v>
      </c>
      <c r="F28" s="1742">
        <v>1028</v>
      </c>
      <c r="G28" s="1742">
        <v>979</v>
      </c>
      <c r="H28" s="1742">
        <v>1213</v>
      </c>
      <c r="I28" s="1742">
        <v>1132</v>
      </c>
    </row>
    <row r="29" spans="1:9" s="1722" customFormat="1" ht="21.5">
      <c r="A29" s="1738">
        <v>16</v>
      </c>
      <c r="B29" s="1742">
        <v>676</v>
      </c>
      <c r="C29" s="1742">
        <v>660</v>
      </c>
      <c r="D29" s="1742">
        <v>717</v>
      </c>
      <c r="E29" s="1742">
        <v>694</v>
      </c>
      <c r="F29" s="1742">
        <v>1083</v>
      </c>
      <c r="G29" s="1742">
        <v>1032</v>
      </c>
      <c r="H29" s="1742">
        <v>1289</v>
      </c>
      <c r="I29" s="1742">
        <v>1201</v>
      </c>
    </row>
    <row r="30" spans="1:9" s="1722" customFormat="1" ht="21.5">
      <c r="A30" s="1738">
        <v>17</v>
      </c>
      <c r="B30" s="1742">
        <v>698</v>
      </c>
      <c r="C30" s="1742">
        <v>694</v>
      </c>
      <c r="D30" s="1742">
        <v>741</v>
      </c>
      <c r="E30" s="1742">
        <v>735</v>
      </c>
      <c r="F30" s="1742">
        <v>1122</v>
      </c>
      <c r="G30" s="1742">
        <v>1112</v>
      </c>
      <c r="H30" s="1742">
        <v>1336</v>
      </c>
      <c r="I30" s="1742">
        <v>1319</v>
      </c>
    </row>
    <row r="31" spans="1:9" s="1722" customFormat="1" ht="21.5">
      <c r="A31" s="1738">
        <v>18</v>
      </c>
      <c r="B31" s="1742">
        <v>698</v>
      </c>
      <c r="C31" s="1742">
        <v>727</v>
      </c>
      <c r="D31" s="1742">
        <v>871</v>
      </c>
      <c r="E31" s="1742">
        <v>924</v>
      </c>
      <c r="F31" s="1742">
        <v>1138</v>
      </c>
      <c r="G31" s="1742">
        <v>1228</v>
      </c>
      <c r="H31" s="1742">
        <v>1354</v>
      </c>
      <c r="I31" s="1742">
        <v>1511</v>
      </c>
    </row>
    <row r="32" spans="1:9" s="1722" customFormat="1" ht="21.5">
      <c r="A32" s="1738">
        <v>19</v>
      </c>
      <c r="B32" s="1742">
        <v>702</v>
      </c>
      <c r="C32" s="1742">
        <v>782</v>
      </c>
      <c r="D32" s="1742">
        <v>878</v>
      </c>
      <c r="E32" s="1742">
        <v>1014</v>
      </c>
      <c r="F32" s="1742">
        <v>1148</v>
      </c>
      <c r="G32" s="1742">
        <v>1382</v>
      </c>
      <c r="H32" s="1742">
        <v>1368</v>
      </c>
      <c r="I32" s="1742">
        <v>1773</v>
      </c>
    </row>
    <row r="33" spans="1:9" s="1722" customFormat="1" ht="21.5">
      <c r="A33" s="1738">
        <v>20</v>
      </c>
      <c r="B33" s="1742">
        <v>704</v>
      </c>
      <c r="C33" s="1742">
        <v>847</v>
      </c>
      <c r="D33" s="1742">
        <v>880</v>
      </c>
      <c r="E33" s="1742">
        <v>1120</v>
      </c>
      <c r="F33" s="1742">
        <v>1154</v>
      </c>
      <c r="G33" s="1742">
        <v>1570</v>
      </c>
      <c r="H33" s="1742">
        <v>1385</v>
      </c>
      <c r="I33" s="1742">
        <v>2099</v>
      </c>
    </row>
    <row r="34" spans="1:9" s="1722" customFormat="1" ht="21.5">
      <c r="A34" s="1738">
        <v>21</v>
      </c>
      <c r="B34" s="1742">
        <v>704</v>
      </c>
      <c r="C34" s="1742">
        <v>924</v>
      </c>
      <c r="D34" s="1742">
        <v>880</v>
      </c>
      <c r="E34" s="1742">
        <v>1252</v>
      </c>
      <c r="F34" s="1742">
        <v>1159</v>
      </c>
      <c r="G34" s="1742">
        <v>1802</v>
      </c>
      <c r="H34" s="1742">
        <v>1399</v>
      </c>
      <c r="I34" s="1742">
        <v>2506</v>
      </c>
    </row>
    <row r="35" spans="1:9" s="1722" customFormat="1" ht="21.5">
      <c r="A35" s="1738">
        <v>22</v>
      </c>
      <c r="B35" s="1742">
        <v>704</v>
      </c>
      <c r="C35" s="1742">
        <v>975</v>
      </c>
      <c r="D35" s="1742">
        <v>880</v>
      </c>
      <c r="E35" s="1742">
        <v>1344</v>
      </c>
      <c r="F35" s="1742">
        <v>1177</v>
      </c>
      <c r="G35" s="1742">
        <v>1965</v>
      </c>
      <c r="H35" s="1742">
        <v>1437</v>
      </c>
      <c r="I35" s="1742">
        <v>2800</v>
      </c>
    </row>
    <row r="36" spans="1:9" s="1722" customFormat="1" ht="21.5">
      <c r="A36" s="1738">
        <v>23</v>
      </c>
      <c r="B36" s="1742">
        <v>751</v>
      </c>
      <c r="C36" s="1742">
        <v>1030</v>
      </c>
      <c r="D36" s="1742">
        <v>949</v>
      </c>
      <c r="E36" s="1742">
        <v>1419</v>
      </c>
      <c r="F36" s="1742">
        <v>1268</v>
      </c>
      <c r="G36" s="1742">
        <v>2083</v>
      </c>
      <c r="H36" s="1742">
        <v>1566</v>
      </c>
      <c r="I36" s="1742">
        <v>2969</v>
      </c>
    </row>
    <row r="37" spans="1:9" s="1722" customFormat="1" ht="21.5">
      <c r="A37" s="1738">
        <v>24</v>
      </c>
      <c r="B37" s="1742">
        <v>833</v>
      </c>
      <c r="C37" s="1742">
        <v>1102</v>
      </c>
      <c r="D37" s="1742">
        <v>1051</v>
      </c>
      <c r="E37" s="1742">
        <v>1509</v>
      </c>
      <c r="F37" s="1742">
        <v>1399</v>
      </c>
      <c r="G37" s="1742">
        <v>2187</v>
      </c>
      <c r="H37" s="1742">
        <v>1771</v>
      </c>
      <c r="I37" s="1742">
        <v>3225</v>
      </c>
    </row>
    <row r="38" spans="1:9" s="1722" customFormat="1" ht="21.5">
      <c r="A38" s="1738">
        <v>25</v>
      </c>
      <c r="B38" s="1742">
        <v>922</v>
      </c>
      <c r="C38" s="1742">
        <v>1173</v>
      </c>
      <c r="D38" s="1742">
        <v>1159</v>
      </c>
      <c r="E38" s="1742">
        <v>1596</v>
      </c>
      <c r="F38" s="1742">
        <v>1535</v>
      </c>
      <c r="G38" s="1742">
        <v>2286</v>
      </c>
      <c r="H38" s="1742">
        <v>1995</v>
      </c>
      <c r="I38" s="1742">
        <v>3492</v>
      </c>
    </row>
    <row r="39" spans="1:9" s="1722" customFormat="1" ht="21.5">
      <c r="A39" s="1738">
        <v>26</v>
      </c>
      <c r="B39" s="1742">
        <v>1030</v>
      </c>
      <c r="C39" s="1742">
        <v>1287</v>
      </c>
      <c r="D39" s="1742">
        <v>1299</v>
      </c>
      <c r="E39" s="1742">
        <v>1743</v>
      </c>
      <c r="F39" s="1742">
        <v>1722</v>
      </c>
      <c r="G39" s="1742">
        <v>2486</v>
      </c>
      <c r="H39" s="1742">
        <v>2244</v>
      </c>
      <c r="I39" s="1742">
        <v>3765</v>
      </c>
    </row>
    <row r="40" spans="1:9" s="1722" customFormat="1" ht="21.5">
      <c r="A40" s="1738">
        <v>27</v>
      </c>
      <c r="B40" s="1742">
        <v>1132</v>
      </c>
      <c r="C40" s="1742">
        <v>1409</v>
      </c>
      <c r="D40" s="1742">
        <v>1429</v>
      </c>
      <c r="E40" s="1742">
        <v>1906</v>
      </c>
      <c r="F40" s="1742">
        <v>1902</v>
      </c>
      <c r="G40" s="1742">
        <v>2718</v>
      </c>
      <c r="H40" s="1742">
        <v>2496</v>
      </c>
      <c r="I40" s="1742">
        <v>4123</v>
      </c>
    </row>
    <row r="41" spans="1:9" s="1722" customFormat="1" ht="21.5">
      <c r="A41" s="1738">
        <v>28</v>
      </c>
      <c r="B41" s="1742">
        <v>1256</v>
      </c>
      <c r="C41" s="1742">
        <v>1572</v>
      </c>
      <c r="D41" s="1742">
        <v>1588</v>
      </c>
      <c r="E41" s="1742">
        <v>2130</v>
      </c>
      <c r="F41" s="1742">
        <v>2117</v>
      </c>
      <c r="G41" s="1742">
        <v>3046</v>
      </c>
      <c r="H41" s="1742">
        <v>2787</v>
      </c>
      <c r="I41" s="1742">
        <v>4640</v>
      </c>
    </row>
    <row r="42" spans="1:9" s="1722" customFormat="1" ht="21.5">
      <c r="A42" s="1738">
        <v>29</v>
      </c>
      <c r="B42" s="1742">
        <v>1419</v>
      </c>
      <c r="C42" s="1742">
        <v>1786</v>
      </c>
      <c r="D42" s="1742">
        <v>1796</v>
      </c>
      <c r="E42" s="1742">
        <v>2415</v>
      </c>
      <c r="F42" s="1742">
        <v>2392</v>
      </c>
      <c r="G42" s="1742">
        <v>3457</v>
      </c>
      <c r="H42" s="1742">
        <v>3150</v>
      </c>
      <c r="I42" s="1742">
        <v>5269</v>
      </c>
    </row>
    <row r="43" spans="1:9" s="1722" customFormat="1" ht="21.5">
      <c r="A43" s="1738">
        <v>30</v>
      </c>
      <c r="B43" s="1742">
        <v>1588</v>
      </c>
      <c r="C43" s="1742">
        <v>1993</v>
      </c>
      <c r="D43" s="1742">
        <v>2008</v>
      </c>
      <c r="E43" s="1742">
        <v>2698</v>
      </c>
      <c r="F43" s="1742">
        <v>2677</v>
      </c>
      <c r="G43" s="1742">
        <v>3864</v>
      </c>
      <c r="H43" s="1742">
        <v>3531</v>
      </c>
      <c r="I43" s="1742">
        <v>5892</v>
      </c>
    </row>
    <row r="44" spans="1:9" s="1722" customFormat="1" ht="21.5">
      <c r="A44" s="1738">
        <v>31</v>
      </c>
      <c r="B44" s="1742">
        <v>1761</v>
      </c>
      <c r="C44" s="1742">
        <v>2201</v>
      </c>
      <c r="D44" s="1742">
        <v>2229</v>
      </c>
      <c r="E44" s="1742">
        <v>2977</v>
      </c>
      <c r="F44" s="1742">
        <v>2981</v>
      </c>
      <c r="G44" s="1742">
        <v>4263</v>
      </c>
      <c r="H44" s="1742">
        <v>3944</v>
      </c>
      <c r="I44" s="1742">
        <v>6501</v>
      </c>
    </row>
    <row r="45" spans="1:9" s="1722" customFormat="1" ht="21.5">
      <c r="A45" s="1738">
        <v>32</v>
      </c>
      <c r="B45" s="1742">
        <v>1934</v>
      </c>
      <c r="C45" s="1742">
        <v>2411</v>
      </c>
      <c r="D45" s="1742">
        <v>2451</v>
      </c>
      <c r="E45" s="1742">
        <v>3258</v>
      </c>
      <c r="F45" s="1742">
        <v>3282</v>
      </c>
      <c r="G45" s="1742">
        <v>4669</v>
      </c>
      <c r="H45" s="1742">
        <v>4357</v>
      </c>
      <c r="I45" s="1742">
        <v>7118</v>
      </c>
    </row>
    <row r="46" spans="1:9" s="1722" customFormat="1" ht="21.5">
      <c r="A46" s="1738">
        <v>33</v>
      </c>
      <c r="B46" s="1742">
        <v>2093</v>
      </c>
      <c r="C46" s="1742">
        <v>2614</v>
      </c>
      <c r="D46" s="1742">
        <v>2653</v>
      </c>
      <c r="E46" s="1742">
        <v>3528</v>
      </c>
      <c r="F46" s="1742">
        <v>3557</v>
      </c>
      <c r="G46" s="1742">
        <v>5064</v>
      </c>
      <c r="H46" s="1742">
        <v>4738</v>
      </c>
      <c r="I46" s="1742">
        <v>7731</v>
      </c>
    </row>
    <row r="47" spans="1:9" s="1722" customFormat="1" ht="21.5">
      <c r="A47" s="1738">
        <v>34</v>
      </c>
      <c r="B47" s="1742">
        <v>2238</v>
      </c>
      <c r="C47" s="1742">
        <v>2812</v>
      </c>
      <c r="D47" s="1742">
        <v>2846</v>
      </c>
      <c r="E47" s="1742">
        <v>3799</v>
      </c>
      <c r="F47" s="1742">
        <v>3824</v>
      </c>
      <c r="G47" s="1742">
        <v>5467</v>
      </c>
      <c r="H47" s="1742">
        <v>5119</v>
      </c>
      <c r="I47" s="1742">
        <v>8384</v>
      </c>
    </row>
    <row r="48" spans="1:9" s="1722" customFormat="1" ht="21.5">
      <c r="A48" s="1738">
        <v>35</v>
      </c>
      <c r="B48" s="1742">
        <v>2390</v>
      </c>
      <c r="C48" s="1742">
        <v>3011</v>
      </c>
      <c r="D48" s="1742">
        <v>3042</v>
      </c>
      <c r="E48" s="1742">
        <v>4068</v>
      </c>
      <c r="F48" s="1742">
        <v>4103</v>
      </c>
      <c r="G48" s="1742">
        <v>5870</v>
      </c>
      <c r="H48" s="1742">
        <v>5526</v>
      </c>
      <c r="I48" s="1742">
        <v>9038</v>
      </c>
    </row>
    <row r="49" spans="1:9" s="1722" customFormat="1" ht="21.5">
      <c r="A49" s="1738">
        <v>36</v>
      </c>
      <c r="B49" s="1742">
        <v>2549</v>
      </c>
      <c r="C49" s="1742">
        <v>3207</v>
      </c>
      <c r="D49" s="1742">
        <v>3252</v>
      </c>
      <c r="E49" s="1742">
        <v>4335</v>
      </c>
      <c r="F49" s="1742">
        <v>4396</v>
      </c>
      <c r="G49" s="1742">
        <v>6265</v>
      </c>
      <c r="H49" s="1742">
        <v>5962</v>
      </c>
      <c r="I49" s="1742">
        <v>9675</v>
      </c>
    </row>
    <row r="50" spans="1:9" s="1722" customFormat="1" ht="21.5">
      <c r="A50" s="1738">
        <v>37</v>
      </c>
      <c r="B50" s="1742">
        <v>2718</v>
      </c>
      <c r="C50" s="1742">
        <v>3414</v>
      </c>
      <c r="D50" s="1742">
        <v>3482</v>
      </c>
      <c r="E50" s="1742">
        <v>4622</v>
      </c>
      <c r="F50" s="1742">
        <v>4738</v>
      </c>
      <c r="G50" s="1742">
        <v>6703</v>
      </c>
      <c r="H50" s="1742">
        <v>6513</v>
      </c>
      <c r="I50" s="1742">
        <v>10423</v>
      </c>
    </row>
    <row r="51" spans="1:9" s="1722" customFormat="1" ht="21.5">
      <c r="A51" s="1738">
        <v>38</v>
      </c>
      <c r="B51" s="1742">
        <v>3019</v>
      </c>
      <c r="C51" s="1742">
        <v>3742</v>
      </c>
      <c r="D51" s="1742">
        <v>3879</v>
      </c>
      <c r="E51" s="1742">
        <v>5066</v>
      </c>
      <c r="F51" s="1742">
        <v>5310</v>
      </c>
      <c r="G51" s="1742">
        <v>7358</v>
      </c>
      <c r="H51" s="1742">
        <v>7387</v>
      </c>
      <c r="I51" s="1742">
        <v>11461</v>
      </c>
    </row>
    <row r="52" spans="1:9" s="1722" customFormat="1" ht="21.5">
      <c r="A52" s="1738">
        <v>39</v>
      </c>
      <c r="B52" s="1742">
        <v>3449</v>
      </c>
      <c r="C52" s="1742">
        <v>4200</v>
      </c>
      <c r="D52" s="1742">
        <v>4441</v>
      </c>
      <c r="E52" s="1742">
        <v>5668</v>
      </c>
      <c r="F52" s="1742">
        <v>6096</v>
      </c>
      <c r="G52" s="1742">
        <v>8213</v>
      </c>
      <c r="H52" s="1742">
        <v>8529</v>
      </c>
      <c r="I52" s="1742">
        <v>12733</v>
      </c>
    </row>
    <row r="53" spans="1:9" s="1722" customFormat="1" ht="21.5">
      <c r="A53" s="1738">
        <v>40</v>
      </c>
      <c r="B53" s="1742">
        <v>3885</v>
      </c>
      <c r="C53" s="1742">
        <v>4644</v>
      </c>
      <c r="D53" s="1742">
        <v>5013</v>
      </c>
      <c r="E53" s="1742">
        <v>6257</v>
      </c>
      <c r="F53" s="1742">
        <v>6912</v>
      </c>
      <c r="G53" s="1742">
        <v>9058</v>
      </c>
      <c r="H53" s="1742">
        <v>9761</v>
      </c>
      <c r="I53" s="1742">
        <v>14018</v>
      </c>
    </row>
    <row r="54" spans="1:9" s="1722" customFormat="1" ht="21.5">
      <c r="A54" s="1738">
        <v>41</v>
      </c>
      <c r="B54" s="1742">
        <v>4318</v>
      </c>
      <c r="C54" s="1742">
        <v>5074</v>
      </c>
      <c r="D54" s="1742">
        <v>5607</v>
      </c>
      <c r="E54" s="1742">
        <v>6833</v>
      </c>
      <c r="F54" s="1742">
        <v>7784</v>
      </c>
      <c r="G54" s="1742">
        <v>9897</v>
      </c>
      <c r="H54" s="1742">
        <v>11129</v>
      </c>
      <c r="I54" s="1742">
        <v>15329</v>
      </c>
    </row>
    <row r="55" spans="1:9" s="1722" customFormat="1" ht="21.5">
      <c r="A55" s="1738">
        <v>42</v>
      </c>
      <c r="B55" s="1742">
        <v>4772</v>
      </c>
      <c r="C55" s="1742">
        <v>5526</v>
      </c>
      <c r="D55" s="1742">
        <v>6255</v>
      </c>
      <c r="E55" s="1742">
        <v>7432</v>
      </c>
      <c r="F55" s="1742">
        <v>8718</v>
      </c>
      <c r="G55" s="1742">
        <v>10752</v>
      </c>
      <c r="H55" s="1742">
        <v>12577</v>
      </c>
      <c r="I55" s="1742">
        <v>16624</v>
      </c>
    </row>
    <row r="56" spans="1:9" s="1722" customFormat="1" ht="21.5">
      <c r="A56" s="1738">
        <v>43</v>
      </c>
      <c r="B56" s="1742">
        <v>5308</v>
      </c>
      <c r="C56" s="1742">
        <v>6053</v>
      </c>
      <c r="D56" s="1742">
        <v>6998</v>
      </c>
      <c r="E56" s="1742">
        <v>8105</v>
      </c>
      <c r="F56" s="1742">
        <v>9775</v>
      </c>
      <c r="G56" s="1742">
        <v>11689</v>
      </c>
      <c r="H56" s="1742">
        <v>14134</v>
      </c>
      <c r="I56" s="1742">
        <v>17956</v>
      </c>
    </row>
    <row r="57" spans="1:9" s="1722" customFormat="1" ht="21.5">
      <c r="A57" s="1738">
        <v>44</v>
      </c>
      <c r="B57" s="1742">
        <v>5907</v>
      </c>
      <c r="C57" s="1742">
        <v>6648</v>
      </c>
      <c r="D57" s="1742">
        <v>7833</v>
      </c>
      <c r="E57" s="1742">
        <v>8863</v>
      </c>
      <c r="F57" s="1742">
        <v>10950</v>
      </c>
      <c r="G57" s="1742">
        <v>12735</v>
      </c>
      <c r="H57" s="1742">
        <v>15867</v>
      </c>
      <c r="I57" s="1742">
        <v>19424</v>
      </c>
    </row>
    <row r="58" spans="1:9" s="1722" customFormat="1" ht="21.5">
      <c r="A58" s="1738">
        <v>45</v>
      </c>
      <c r="B58" s="1742">
        <v>6540</v>
      </c>
      <c r="C58" s="1742">
        <v>7265</v>
      </c>
      <c r="D58" s="1742">
        <v>8718</v>
      </c>
      <c r="E58" s="1742">
        <v>9653</v>
      </c>
      <c r="F58" s="1742">
        <v>12212</v>
      </c>
      <c r="G58" s="1742">
        <v>13827</v>
      </c>
      <c r="H58" s="1742">
        <v>17744</v>
      </c>
      <c r="I58" s="1742">
        <v>20967</v>
      </c>
    </row>
    <row r="59" spans="1:9" s="1722" customFormat="1" ht="21.5">
      <c r="A59" s="1738">
        <v>46</v>
      </c>
      <c r="B59" s="1742">
        <v>7206</v>
      </c>
      <c r="C59" s="1742">
        <v>7894</v>
      </c>
      <c r="D59" s="1742">
        <v>9667</v>
      </c>
      <c r="E59" s="1742">
        <v>10477</v>
      </c>
      <c r="F59" s="1742">
        <v>13568</v>
      </c>
      <c r="G59" s="1742">
        <v>14969</v>
      </c>
      <c r="H59" s="1742">
        <v>19784</v>
      </c>
      <c r="I59" s="1742">
        <v>22588</v>
      </c>
    </row>
    <row r="60" spans="1:9" s="1722" customFormat="1" ht="21.5">
      <c r="A60" s="1738">
        <v>47</v>
      </c>
      <c r="B60" s="1742">
        <v>7861</v>
      </c>
      <c r="C60" s="1742">
        <v>8454</v>
      </c>
      <c r="D60" s="1742">
        <v>10624</v>
      </c>
      <c r="E60" s="1742">
        <v>11259</v>
      </c>
      <c r="F60" s="1742">
        <v>14957</v>
      </c>
      <c r="G60" s="1742">
        <v>16062</v>
      </c>
      <c r="H60" s="1742">
        <v>21940</v>
      </c>
      <c r="I60" s="1742">
        <v>24172</v>
      </c>
    </row>
    <row r="61" spans="1:9" s="1722" customFormat="1" ht="21.5">
      <c r="A61" s="1738">
        <v>48</v>
      </c>
      <c r="B61" s="1742">
        <v>8566</v>
      </c>
      <c r="C61" s="1742">
        <v>9034</v>
      </c>
      <c r="D61" s="1742">
        <v>11662</v>
      </c>
      <c r="E61" s="1742">
        <v>12084</v>
      </c>
      <c r="F61" s="1742">
        <v>16472</v>
      </c>
      <c r="G61" s="1742">
        <v>17215</v>
      </c>
      <c r="H61" s="1742">
        <v>24312</v>
      </c>
      <c r="I61" s="1742">
        <v>25823</v>
      </c>
    </row>
    <row r="62" spans="1:9" s="1722" customFormat="1" ht="21.5">
      <c r="A62" s="1738">
        <v>49</v>
      </c>
      <c r="B62" s="1742">
        <v>9364</v>
      </c>
      <c r="C62" s="1742">
        <v>9696</v>
      </c>
      <c r="D62" s="1742">
        <v>12843</v>
      </c>
      <c r="E62" s="1742">
        <v>13021</v>
      </c>
      <c r="F62" s="1742">
        <v>18192</v>
      </c>
      <c r="G62" s="1742">
        <v>18512</v>
      </c>
      <c r="H62" s="1742">
        <v>26986</v>
      </c>
      <c r="I62" s="1742">
        <v>27656</v>
      </c>
    </row>
    <row r="63" spans="1:9" s="1722" customFormat="1" ht="21.5">
      <c r="A63" s="1738">
        <v>50</v>
      </c>
      <c r="B63" s="1742">
        <v>9464</v>
      </c>
      <c r="C63" s="1742">
        <v>10337</v>
      </c>
      <c r="D63" s="1742">
        <v>13084</v>
      </c>
      <c r="E63" s="1742">
        <v>13943</v>
      </c>
      <c r="F63" s="1742">
        <v>20002</v>
      </c>
      <c r="G63" s="1742">
        <v>19792</v>
      </c>
      <c r="H63" s="1742">
        <v>29863</v>
      </c>
      <c r="I63" s="1742">
        <v>29486</v>
      </c>
    </row>
    <row r="64" spans="1:9" s="1722" customFormat="1" ht="21.5">
      <c r="A64" s="1738">
        <v>51</v>
      </c>
      <c r="B64" s="1742">
        <v>10233</v>
      </c>
      <c r="C64" s="1742">
        <v>10962</v>
      </c>
      <c r="D64" s="1742">
        <v>14277</v>
      </c>
      <c r="E64" s="1742">
        <v>14847</v>
      </c>
      <c r="F64" s="1742">
        <v>21918</v>
      </c>
      <c r="G64" s="1742">
        <v>21061</v>
      </c>
      <c r="H64" s="1742">
        <v>32974</v>
      </c>
      <c r="I64" s="1742">
        <v>31323</v>
      </c>
    </row>
    <row r="65" spans="1:9" s="1722" customFormat="1" ht="21.5">
      <c r="A65" s="1738">
        <v>52</v>
      </c>
      <c r="B65" s="1742">
        <v>10859</v>
      </c>
      <c r="C65" s="1742">
        <v>11005</v>
      </c>
      <c r="D65" s="1742">
        <v>15281</v>
      </c>
      <c r="E65" s="1742">
        <v>14938</v>
      </c>
      <c r="F65" s="1742">
        <v>24290</v>
      </c>
      <c r="G65" s="1742">
        <v>22726</v>
      </c>
      <c r="H65" s="1742">
        <v>36673</v>
      </c>
      <c r="I65" s="1742">
        <v>33625</v>
      </c>
    </row>
    <row r="66" spans="1:9" s="1722" customFormat="1" ht="21.5">
      <c r="A66" s="1738">
        <v>53</v>
      </c>
      <c r="B66" s="1742">
        <v>11698</v>
      </c>
      <c r="C66" s="1742">
        <v>11338</v>
      </c>
      <c r="D66" s="1742">
        <v>16603</v>
      </c>
      <c r="E66" s="1742">
        <v>15386</v>
      </c>
      <c r="F66" s="1742">
        <v>27299</v>
      </c>
      <c r="G66" s="1742">
        <v>24895</v>
      </c>
      <c r="H66" s="1742">
        <v>41185</v>
      </c>
      <c r="I66" s="1742">
        <v>36472</v>
      </c>
    </row>
    <row r="67" spans="1:9" s="1722" customFormat="1" ht="21.5">
      <c r="A67" s="1738">
        <v>54</v>
      </c>
      <c r="B67" s="1742">
        <v>13016</v>
      </c>
      <c r="C67" s="1742">
        <v>12476</v>
      </c>
      <c r="D67" s="1742">
        <v>18665</v>
      </c>
      <c r="E67" s="1742">
        <v>16915</v>
      </c>
      <c r="F67" s="1742">
        <v>30699</v>
      </c>
      <c r="G67" s="1742">
        <v>27228</v>
      </c>
      <c r="H67" s="1742">
        <v>46326</v>
      </c>
      <c r="I67" s="1742">
        <v>39499</v>
      </c>
    </row>
    <row r="68" spans="1:9" s="1722" customFormat="1" ht="21.5">
      <c r="A68" s="1738">
        <v>55</v>
      </c>
      <c r="B68" s="1742">
        <v>14431</v>
      </c>
      <c r="C68" s="1742">
        <v>13694</v>
      </c>
      <c r="D68" s="1742">
        <v>20911</v>
      </c>
      <c r="E68" s="1742">
        <v>18557</v>
      </c>
      <c r="F68" s="1742">
        <v>34413</v>
      </c>
      <c r="G68" s="1742">
        <v>29741</v>
      </c>
      <c r="H68" s="1742">
        <v>51972</v>
      </c>
      <c r="I68" s="1742">
        <v>42761</v>
      </c>
    </row>
    <row r="69" spans="1:9" s="1722" customFormat="1" ht="21.5">
      <c r="A69" s="1738">
        <v>56</v>
      </c>
      <c r="B69" s="1742">
        <v>15937</v>
      </c>
      <c r="C69" s="1742">
        <v>14995</v>
      </c>
      <c r="D69" s="1742">
        <v>23323</v>
      </c>
      <c r="E69" s="1742">
        <v>20310</v>
      </c>
      <c r="F69" s="1742">
        <v>38414</v>
      </c>
      <c r="G69" s="1742">
        <v>32418</v>
      </c>
      <c r="H69" s="1742">
        <v>58066</v>
      </c>
      <c r="I69" s="1742">
        <v>46239</v>
      </c>
    </row>
    <row r="70" spans="1:9" s="1722" customFormat="1" ht="21.5">
      <c r="A70" s="1738">
        <v>57</v>
      </c>
      <c r="B70" s="1742">
        <v>17366</v>
      </c>
      <c r="C70" s="1742">
        <v>16227</v>
      </c>
      <c r="D70" s="1742">
        <v>25713</v>
      </c>
      <c r="E70" s="1742">
        <v>22045</v>
      </c>
      <c r="F70" s="1742">
        <v>41587</v>
      </c>
      <c r="G70" s="1742">
        <v>35134</v>
      </c>
      <c r="H70" s="1742">
        <v>60490</v>
      </c>
      <c r="I70" s="1742">
        <v>49956</v>
      </c>
    </row>
    <row r="71" spans="1:9" s="1722" customFormat="1" ht="21.5">
      <c r="A71" s="1738">
        <v>58</v>
      </c>
      <c r="B71" s="1742">
        <v>18619</v>
      </c>
      <c r="C71" s="1742">
        <v>17306</v>
      </c>
      <c r="D71" s="1742">
        <v>27924</v>
      </c>
      <c r="E71" s="1742">
        <v>23690</v>
      </c>
      <c r="F71" s="1742">
        <v>43900</v>
      </c>
      <c r="G71" s="1742">
        <v>37783</v>
      </c>
      <c r="H71" s="1742">
        <v>62654</v>
      </c>
      <c r="I71" s="1742">
        <v>53788</v>
      </c>
    </row>
    <row r="72" spans="1:9" s="1722" customFormat="1" ht="21.5">
      <c r="A72" s="1738">
        <v>59</v>
      </c>
      <c r="B72" s="1742">
        <v>20022</v>
      </c>
      <c r="C72" s="1742">
        <v>18424</v>
      </c>
      <c r="D72" s="1742">
        <v>30535</v>
      </c>
      <c r="E72" s="1742">
        <v>25458</v>
      </c>
      <c r="F72" s="1742">
        <v>45710</v>
      </c>
      <c r="G72" s="1742">
        <v>40674</v>
      </c>
      <c r="H72" s="1742">
        <v>66328</v>
      </c>
      <c r="I72" s="1742">
        <v>58084</v>
      </c>
    </row>
    <row r="73" spans="1:9" s="1722" customFormat="1" ht="21.5">
      <c r="A73" s="1738">
        <v>60</v>
      </c>
      <c r="B73" s="1742">
        <v>21540</v>
      </c>
      <c r="C73" s="1742">
        <v>19632</v>
      </c>
      <c r="D73" s="1742">
        <v>33434</v>
      </c>
      <c r="E73" s="1742">
        <v>27422</v>
      </c>
      <c r="F73" s="1742">
        <v>48696</v>
      </c>
      <c r="G73" s="1742">
        <v>43938</v>
      </c>
      <c r="H73" s="1742">
        <v>73812</v>
      </c>
      <c r="I73" s="1742">
        <v>63071</v>
      </c>
    </row>
    <row r="74" spans="1:9" s="1722" customFormat="1" ht="21.5">
      <c r="A74" s="1738">
        <v>61</v>
      </c>
      <c r="B74" s="1742">
        <v>22625</v>
      </c>
      <c r="C74" s="1742">
        <v>20479</v>
      </c>
      <c r="D74" s="1742">
        <v>35029</v>
      </c>
      <c r="E74" s="1742">
        <v>28628</v>
      </c>
      <c r="F74" s="1742">
        <v>52651</v>
      </c>
      <c r="G74" s="1742">
        <v>46938</v>
      </c>
      <c r="H74" s="1742">
        <v>80014</v>
      </c>
      <c r="I74" s="1742">
        <v>68532</v>
      </c>
    </row>
    <row r="75" spans="1:9" s="1722" customFormat="1" ht="21.5">
      <c r="A75" s="1738">
        <v>62</v>
      </c>
      <c r="B75" s="1742">
        <v>23711</v>
      </c>
      <c r="C75" s="1742">
        <v>21325</v>
      </c>
      <c r="D75" s="1742">
        <v>36623</v>
      </c>
      <c r="E75" s="1742">
        <v>29833</v>
      </c>
      <c r="F75" s="1742">
        <v>55303</v>
      </c>
      <c r="G75" s="1742">
        <v>49939</v>
      </c>
      <c r="H75" s="1742">
        <v>86215</v>
      </c>
      <c r="I75" s="1742">
        <v>73994</v>
      </c>
    </row>
    <row r="76" spans="1:9" s="1722" customFormat="1" ht="21.5">
      <c r="A76" s="1738">
        <v>63</v>
      </c>
      <c r="B76" s="1742">
        <v>24796</v>
      </c>
      <c r="C76" s="1742">
        <v>22172</v>
      </c>
      <c r="D76" s="1742">
        <v>38217</v>
      </c>
      <c r="E76" s="1742">
        <v>31038</v>
      </c>
      <c r="F76" s="1742">
        <v>59167</v>
      </c>
      <c r="G76" s="1742">
        <v>52939</v>
      </c>
      <c r="H76" s="1742">
        <v>92417</v>
      </c>
      <c r="I76" s="1742">
        <v>79456</v>
      </c>
    </row>
    <row r="77" spans="1:9" s="1722" customFormat="1" ht="21.5">
      <c r="A77" s="1738">
        <v>64</v>
      </c>
      <c r="B77" s="1742">
        <v>25881</v>
      </c>
      <c r="C77" s="1742">
        <v>23018</v>
      </c>
      <c r="D77" s="1742">
        <v>39811</v>
      </c>
      <c r="E77" s="1742">
        <v>32243</v>
      </c>
      <c r="F77" s="1742">
        <v>63030</v>
      </c>
      <c r="G77" s="1742">
        <v>55939</v>
      </c>
      <c r="H77" s="1742">
        <v>98619</v>
      </c>
      <c r="I77" s="1742">
        <v>84918</v>
      </c>
    </row>
    <row r="78" spans="1:9" s="1722" customFormat="1" ht="21.5">
      <c r="A78" s="1738">
        <v>65</v>
      </c>
      <c r="B78" s="1742">
        <v>27587</v>
      </c>
      <c r="C78" s="1742">
        <v>24414</v>
      </c>
      <c r="D78" s="1742">
        <v>42357</v>
      </c>
      <c r="E78" s="1742">
        <v>34217</v>
      </c>
      <c r="F78" s="1742">
        <v>66893</v>
      </c>
      <c r="G78" s="1742">
        <v>58940</v>
      </c>
      <c r="H78" s="1742">
        <v>104821</v>
      </c>
      <c r="I78" s="1742">
        <v>90380</v>
      </c>
    </row>
    <row r="79" spans="1:9" s="1722" customFormat="1" ht="21.5">
      <c r="A79" s="1738">
        <v>66</v>
      </c>
      <c r="B79" s="1742">
        <v>29664</v>
      </c>
      <c r="C79" s="1742">
        <v>26132</v>
      </c>
      <c r="D79" s="1742">
        <v>45471</v>
      </c>
      <c r="E79" s="1742">
        <v>36645</v>
      </c>
      <c r="F79" s="1742">
        <v>73253</v>
      </c>
      <c r="G79" s="1742">
        <v>61940</v>
      </c>
      <c r="H79" s="1742">
        <v>111022</v>
      </c>
      <c r="I79" s="1742">
        <v>95842</v>
      </c>
    </row>
    <row r="80" spans="1:9" s="1722" customFormat="1" ht="21.5">
      <c r="A80" s="1738">
        <v>67</v>
      </c>
      <c r="B80" s="1742">
        <v>31482</v>
      </c>
      <c r="C80" s="1742">
        <v>27615</v>
      </c>
      <c r="D80" s="1742">
        <v>48182</v>
      </c>
      <c r="E80" s="1742">
        <v>38744</v>
      </c>
      <c r="F80" s="1742">
        <v>79009</v>
      </c>
      <c r="G80" s="1742">
        <v>64941</v>
      </c>
      <c r="H80" s="1742">
        <v>117224</v>
      </c>
      <c r="I80" s="1742">
        <v>101304</v>
      </c>
    </row>
    <row r="81" spans="1:9" s="1722" customFormat="1" ht="21.5">
      <c r="A81" s="1738">
        <v>68</v>
      </c>
      <c r="B81" s="1742">
        <v>33350</v>
      </c>
      <c r="C81" s="1742">
        <v>29136</v>
      </c>
      <c r="D81" s="1742">
        <v>50966</v>
      </c>
      <c r="E81" s="1742">
        <v>40898</v>
      </c>
      <c r="F81" s="1742">
        <v>85869</v>
      </c>
      <c r="G81" s="1742">
        <v>67941</v>
      </c>
      <c r="H81" s="1742">
        <v>123426</v>
      </c>
      <c r="I81" s="1742">
        <v>106766</v>
      </c>
    </row>
    <row r="82" spans="1:9" s="1722" customFormat="1" ht="21.5">
      <c r="A82" s="1738">
        <v>69</v>
      </c>
      <c r="B82" s="1742">
        <v>35267</v>
      </c>
      <c r="C82" s="1742">
        <v>30697</v>
      </c>
      <c r="D82" s="1742">
        <v>53824</v>
      </c>
      <c r="E82" s="1742">
        <v>43107</v>
      </c>
      <c r="F82" s="1742">
        <v>92033</v>
      </c>
      <c r="G82" s="1742">
        <v>70942</v>
      </c>
      <c r="H82" s="1742">
        <v>129628</v>
      </c>
      <c r="I82" s="1742">
        <v>112227</v>
      </c>
    </row>
    <row r="83" spans="1:9" s="1722" customFormat="1" ht="21.5">
      <c r="A83" s="1738">
        <v>70</v>
      </c>
      <c r="B83" s="1742">
        <v>37234</v>
      </c>
      <c r="C83" s="1742">
        <v>32297</v>
      </c>
      <c r="D83" s="1742">
        <v>56755</v>
      </c>
      <c r="E83" s="1742">
        <v>45372</v>
      </c>
      <c r="F83" s="1742">
        <v>98380</v>
      </c>
      <c r="G83" s="1742">
        <v>73942</v>
      </c>
      <c r="H83" s="1742">
        <v>140624</v>
      </c>
      <c r="I83" s="1742">
        <v>117689</v>
      </c>
    </row>
    <row r="84" spans="1:9" s="1722" customFormat="1" ht="21.5">
      <c r="A84" s="1738">
        <v>71</v>
      </c>
      <c r="B84" s="1742">
        <v>38482</v>
      </c>
      <c r="C84" s="1742">
        <v>33270</v>
      </c>
      <c r="D84" s="1742">
        <v>58587</v>
      </c>
      <c r="E84" s="1742">
        <v>46758</v>
      </c>
      <c r="F84" s="1742">
        <v>104907</v>
      </c>
      <c r="G84" s="1742">
        <v>76942</v>
      </c>
      <c r="H84" s="1742">
        <v>152057</v>
      </c>
      <c r="I84" s="1742">
        <v>123151</v>
      </c>
    </row>
    <row r="85" spans="1:9" s="1722" customFormat="1" ht="21.5">
      <c r="A85" s="1738">
        <v>72</v>
      </c>
      <c r="B85" s="1742">
        <v>39730</v>
      </c>
      <c r="C85" s="1742">
        <v>34243</v>
      </c>
      <c r="D85" s="1742">
        <v>60420</v>
      </c>
      <c r="E85" s="1742">
        <v>48143</v>
      </c>
      <c r="F85" s="1742">
        <v>110512</v>
      </c>
      <c r="G85" s="1742">
        <v>79943</v>
      </c>
      <c r="H85" s="1742">
        <v>163929</v>
      </c>
      <c r="I85" s="1742">
        <v>128613</v>
      </c>
    </row>
    <row r="86" spans="1:9" s="1722" customFormat="1" ht="21.5">
      <c r="A86" s="1738">
        <v>73</v>
      </c>
      <c r="B86" s="1742">
        <v>40977</v>
      </c>
      <c r="C86" s="1742">
        <v>35216</v>
      </c>
      <c r="D86" s="1742">
        <v>62252</v>
      </c>
      <c r="E86" s="1742">
        <v>49528</v>
      </c>
      <c r="F86" s="1742">
        <v>115057</v>
      </c>
      <c r="G86" s="1742">
        <v>82943</v>
      </c>
      <c r="H86" s="1742">
        <v>176238</v>
      </c>
      <c r="I86" s="1742">
        <v>134075</v>
      </c>
    </row>
    <row r="87" spans="1:9" s="1722" customFormat="1" ht="21.5">
      <c r="A87" s="1738">
        <v>74</v>
      </c>
      <c r="B87" s="1742">
        <v>42225</v>
      </c>
      <c r="C87" s="1742">
        <v>36189</v>
      </c>
      <c r="D87" s="1742">
        <v>64085</v>
      </c>
      <c r="E87" s="1742">
        <v>50913</v>
      </c>
      <c r="F87" s="1742">
        <v>119602</v>
      </c>
      <c r="G87" s="1742">
        <v>85944</v>
      </c>
      <c r="H87" s="1742">
        <v>185205</v>
      </c>
      <c r="I87" s="1742">
        <v>139537</v>
      </c>
    </row>
    <row r="88" spans="1:9" s="1722" customFormat="1" ht="21.5">
      <c r="A88" s="1738">
        <v>75</v>
      </c>
      <c r="B88" s="1742">
        <v>43473</v>
      </c>
      <c r="C88" s="1742">
        <v>37162</v>
      </c>
      <c r="D88" s="1742">
        <v>65917</v>
      </c>
      <c r="E88" s="1742">
        <v>52298</v>
      </c>
      <c r="F88" s="1742">
        <v>124147</v>
      </c>
      <c r="G88" s="1742">
        <v>88944</v>
      </c>
      <c r="H88" s="1742">
        <v>196281</v>
      </c>
      <c r="I88" s="1742">
        <v>144999</v>
      </c>
    </row>
    <row r="89" spans="1:9" s="1722" customFormat="1" ht="21.5">
      <c r="A89" s="1738">
        <v>76</v>
      </c>
      <c r="B89" s="1742">
        <v>44720</v>
      </c>
      <c r="C89" s="1742">
        <v>38135</v>
      </c>
      <c r="D89" s="1742">
        <v>67749</v>
      </c>
      <c r="E89" s="1742">
        <v>53684</v>
      </c>
      <c r="F89" s="1742">
        <v>128692</v>
      </c>
      <c r="G89" s="1742">
        <v>91944</v>
      </c>
      <c r="H89" s="1742">
        <v>203577</v>
      </c>
      <c r="I89" s="1742">
        <v>150460</v>
      </c>
    </row>
    <row r="90" spans="1:9" s="1722" customFormat="1" ht="21.5">
      <c r="A90" s="1738">
        <v>77</v>
      </c>
      <c r="B90" s="1742">
        <v>45968</v>
      </c>
      <c r="C90" s="1742">
        <v>38717</v>
      </c>
      <c r="D90" s="1742">
        <v>69582</v>
      </c>
      <c r="E90" s="1742">
        <v>54518</v>
      </c>
      <c r="F90" s="1742">
        <v>133237</v>
      </c>
      <c r="G90" s="1742">
        <v>94945</v>
      </c>
      <c r="H90" s="1742">
        <v>210873</v>
      </c>
      <c r="I90" s="1742">
        <v>155922</v>
      </c>
    </row>
    <row r="91" spans="1:9" s="1722" customFormat="1" ht="21.5">
      <c r="A91" s="1738">
        <v>78</v>
      </c>
      <c r="B91" s="1742">
        <v>47039</v>
      </c>
      <c r="C91" s="1742">
        <v>39915</v>
      </c>
      <c r="D91" s="1742">
        <v>71093</v>
      </c>
      <c r="E91" s="1742">
        <v>55242</v>
      </c>
      <c r="F91" s="1742">
        <v>139355</v>
      </c>
      <c r="G91" s="1742">
        <v>103189</v>
      </c>
      <c r="H91" s="1742">
        <v>220917</v>
      </c>
      <c r="I91" s="1742">
        <v>171154</v>
      </c>
    </row>
    <row r="92" spans="1:9" s="1722" customFormat="1" ht="21.5">
      <c r="A92" s="1738">
        <v>79</v>
      </c>
      <c r="B92" s="1742">
        <v>49460</v>
      </c>
      <c r="C92" s="1742">
        <v>41725</v>
      </c>
      <c r="D92" s="1742">
        <v>74981</v>
      </c>
      <c r="E92" s="1742">
        <v>57795</v>
      </c>
      <c r="F92" s="1742">
        <v>144628</v>
      </c>
      <c r="G92" s="1742">
        <v>111689</v>
      </c>
      <c r="H92" s="1742">
        <v>229874</v>
      </c>
      <c r="I92" s="1742">
        <v>187438</v>
      </c>
    </row>
    <row r="93" spans="1:9" s="1722" customFormat="1" ht="21.5">
      <c r="A93" s="1738">
        <v>80</v>
      </c>
      <c r="B93" s="1742">
        <v>51532</v>
      </c>
      <c r="C93" s="1742">
        <v>43091</v>
      </c>
      <c r="D93" s="1742">
        <v>78606</v>
      </c>
      <c r="E93" s="1742">
        <v>59923</v>
      </c>
      <c r="F93" s="1742">
        <v>149881</v>
      </c>
      <c r="G93" s="1742">
        <v>120583</v>
      </c>
      <c r="H93" s="1742">
        <v>252492</v>
      </c>
      <c r="I93" s="1742">
        <v>204506</v>
      </c>
    </row>
    <row r="94" spans="1:9" s="1722" customFormat="1" ht="21.5">
      <c r="A94" s="1738">
        <v>81</v>
      </c>
      <c r="B94" s="1742">
        <v>53737</v>
      </c>
      <c r="C94" s="1742">
        <v>44463</v>
      </c>
      <c r="D94" s="1742">
        <v>82478</v>
      </c>
      <c r="E94" s="1742">
        <v>62034</v>
      </c>
      <c r="F94" s="1742">
        <v>155242</v>
      </c>
      <c r="G94" s="1742">
        <v>129879</v>
      </c>
      <c r="H94" s="1742">
        <v>280372</v>
      </c>
      <c r="I94" s="1742">
        <v>222369</v>
      </c>
    </row>
    <row r="95" spans="1:9" s="1722" customFormat="1" ht="21.5">
      <c r="A95" s="1738">
        <v>82</v>
      </c>
      <c r="B95" s="1742">
        <v>55944</v>
      </c>
      <c r="C95" s="1742">
        <v>45835</v>
      </c>
      <c r="D95" s="1742">
        <v>86353</v>
      </c>
      <c r="E95" s="1742">
        <v>64148</v>
      </c>
      <c r="F95" s="1742">
        <v>170557</v>
      </c>
      <c r="G95" s="1742">
        <v>140220</v>
      </c>
      <c r="H95" s="1742">
        <v>310141</v>
      </c>
      <c r="I95" s="1742">
        <v>242285</v>
      </c>
    </row>
    <row r="96" spans="1:9" s="1722" customFormat="1" ht="21.5">
      <c r="A96" s="1738">
        <v>83</v>
      </c>
      <c r="B96" s="1742">
        <v>58489</v>
      </c>
      <c r="C96" s="1742">
        <v>47448</v>
      </c>
      <c r="D96" s="1742">
        <v>90905</v>
      </c>
      <c r="E96" s="1742">
        <v>66746</v>
      </c>
      <c r="F96" s="1742">
        <v>181110</v>
      </c>
      <c r="G96" s="1742">
        <v>147603</v>
      </c>
      <c r="H96" s="1742">
        <v>330489</v>
      </c>
      <c r="I96" s="1742">
        <v>256354</v>
      </c>
    </row>
    <row r="97" spans="1:25" s="1722" customFormat="1" ht="21.5">
      <c r="A97" s="1738">
        <v>84</v>
      </c>
      <c r="B97" s="1742">
        <v>60627</v>
      </c>
      <c r="C97" s="1742">
        <v>48922</v>
      </c>
      <c r="D97" s="1742">
        <v>94613</v>
      </c>
      <c r="E97" s="1742">
        <v>69059</v>
      </c>
      <c r="F97" s="1742">
        <v>186542</v>
      </c>
      <c r="G97" s="1742">
        <v>151292</v>
      </c>
      <c r="H97" s="1742">
        <v>340681</v>
      </c>
      <c r="I97" s="1742">
        <v>263094</v>
      </c>
    </row>
    <row r="98" spans="1:25" s="1722" customFormat="1" ht="21.5">
      <c r="A98" s="1738">
        <v>85</v>
      </c>
      <c r="B98" s="1742">
        <v>62138</v>
      </c>
      <c r="C98" s="1742">
        <v>50056</v>
      </c>
      <c r="D98" s="1742">
        <v>97009</v>
      </c>
      <c r="E98" s="1742">
        <v>70661</v>
      </c>
      <c r="F98" s="1742">
        <v>192158</v>
      </c>
      <c r="G98" s="1742">
        <v>155108</v>
      </c>
      <c r="H98" s="1742">
        <v>351240</v>
      </c>
      <c r="I98" s="1742">
        <v>270092</v>
      </c>
    </row>
    <row r="99" spans="1:25" s="1722" customFormat="1" ht="21.5">
      <c r="A99" s="1738">
        <v>86</v>
      </c>
      <c r="B99" s="1742">
        <v>63679</v>
      </c>
      <c r="C99" s="1742">
        <v>51209</v>
      </c>
      <c r="D99" s="1742">
        <v>99520</v>
      </c>
      <c r="E99" s="1742">
        <v>72355</v>
      </c>
      <c r="F99" s="1742">
        <v>197959</v>
      </c>
      <c r="G99" s="1742">
        <v>159058</v>
      </c>
      <c r="H99" s="1742">
        <v>362180</v>
      </c>
      <c r="I99" s="1742">
        <v>277370</v>
      </c>
    </row>
    <row r="100" spans="1:25" s="1722" customFormat="1" ht="21.5">
      <c r="A100" s="1738">
        <v>87</v>
      </c>
      <c r="B100" s="1742">
        <v>65221</v>
      </c>
      <c r="C100" s="1742">
        <v>52361</v>
      </c>
      <c r="D100" s="1742">
        <v>102032</v>
      </c>
      <c r="E100" s="1742">
        <v>74051</v>
      </c>
      <c r="F100" s="1742">
        <v>203971</v>
      </c>
      <c r="G100" s="1742">
        <v>163112</v>
      </c>
      <c r="H100" s="1742">
        <v>373517</v>
      </c>
      <c r="I100" s="1742">
        <v>284843</v>
      </c>
    </row>
    <row r="101" spans="1:25" s="1722" customFormat="1" ht="21.5">
      <c r="A101" s="1738">
        <v>88</v>
      </c>
      <c r="B101" s="1742">
        <v>66817</v>
      </c>
      <c r="C101" s="1742">
        <v>53548</v>
      </c>
      <c r="D101" s="1742">
        <v>104683</v>
      </c>
      <c r="E101" s="1742">
        <v>75822</v>
      </c>
      <c r="F101" s="1742">
        <v>210211</v>
      </c>
      <c r="G101" s="1742">
        <v>167281</v>
      </c>
      <c r="H101" s="1742">
        <v>385283</v>
      </c>
      <c r="I101" s="1742">
        <v>292508</v>
      </c>
    </row>
    <row r="102" spans="1:25" ht="21.5">
      <c r="A102" s="1738">
        <v>89</v>
      </c>
      <c r="B102" s="1742">
        <v>68478</v>
      </c>
      <c r="C102" s="1742">
        <v>54788</v>
      </c>
      <c r="D102" s="1742">
        <v>107454</v>
      </c>
      <c r="E102" s="1742">
        <v>77653</v>
      </c>
      <c r="F102" s="1742">
        <v>216674</v>
      </c>
      <c r="G102" s="1742">
        <v>171588</v>
      </c>
      <c r="H102" s="1742">
        <v>397481</v>
      </c>
      <c r="I102" s="1742">
        <v>300437</v>
      </c>
      <c r="J102" s="1737"/>
      <c r="K102" s="1737"/>
      <c r="L102" s="1737"/>
      <c r="M102" s="1737"/>
      <c r="N102" s="1737"/>
      <c r="O102" s="1737"/>
      <c r="P102" s="1737"/>
      <c r="Q102" s="1737"/>
      <c r="R102" s="1737"/>
      <c r="S102" s="1737"/>
      <c r="T102" s="1737"/>
      <c r="U102" s="1737"/>
      <c r="V102" s="1737"/>
      <c r="W102" s="1737"/>
      <c r="X102" s="1737"/>
      <c r="Y102" s="1737"/>
    </row>
    <row r="103" spans="1:25" ht="21.5">
      <c r="A103" s="1743">
        <v>90</v>
      </c>
      <c r="B103" s="1742">
        <v>70182</v>
      </c>
      <c r="C103" s="1742">
        <v>56058</v>
      </c>
      <c r="D103" s="1742">
        <v>110333</v>
      </c>
      <c r="E103" s="1742">
        <v>79554</v>
      </c>
      <c r="F103" s="1742">
        <v>223346</v>
      </c>
      <c r="G103" s="1742">
        <v>176026</v>
      </c>
      <c r="H103" s="1742">
        <v>410110</v>
      </c>
      <c r="I103" s="1742">
        <v>308642</v>
      </c>
      <c r="J103" s="1737"/>
      <c r="K103" s="1737"/>
      <c r="L103" s="1737"/>
      <c r="M103" s="1737"/>
      <c r="N103" s="1737"/>
      <c r="O103" s="1737"/>
      <c r="P103" s="1737"/>
      <c r="Q103" s="1737"/>
      <c r="R103" s="1737"/>
      <c r="S103" s="1737"/>
      <c r="T103" s="1737"/>
      <c r="U103" s="1737"/>
      <c r="V103" s="1737"/>
      <c r="W103" s="1737"/>
      <c r="X103" s="1737"/>
      <c r="Y103" s="1737"/>
    </row>
    <row r="104" spans="1:25" ht="21.5">
      <c r="A104" s="1743">
        <v>91</v>
      </c>
      <c r="B104" s="1742">
        <v>71887</v>
      </c>
      <c r="C104" s="1742">
        <v>57339</v>
      </c>
      <c r="D104" s="1742">
        <v>113324</v>
      </c>
      <c r="E104" s="1742">
        <v>81542</v>
      </c>
      <c r="F104" s="1742">
        <v>230240</v>
      </c>
      <c r="G104" s="1742">
        <v>180605</v>
      </c>
      <c r="H104" s="1742">
        <v>423202</v>
      </c>
      <c r="I104" s="1742">
        <v>317149</v>
      </c>
      <c r="J104" s="1737"/>
      <c r="K104" s="1737"/>
      <c r="L104" s="1737"/>
      <c r="M104" s="1737"/>
      <c r="N104" s="1737"/>
      <c r="O104" s="1737"/>
      <c r="P104" s="1737"/>
      <c r="Q104" s="1737"/>
      <c r="R104" s="1737"/>
      <c r="S104" s="1737"/>
      <c r="T104" s="1737"/>
      <c r="U104" s="1737"/>
      <c r="V104" s="1737"/>
      <c r="W104" s="1737"/>
      <c r="X104" s="1737"/>
      <c r="Y104" s="1737"/>
    </row>
    <row r="105" spans="1:25" ht="21.5">
      <c r="A105" s="1738">
        <v>92</v>
      </c>
      <c r="B105" s="1742">
        <v>73589</v>
      </c>
      <c r="C105" s="1742">
        <v>58622</v>
      </c>
      <c r="D105" s="1742">
        <v>116317</v>
      </c>
      <c r="E105" s="1742">
        <v>83531</v>
      </c>
      <c r="F105" s="1742">
        <v>237399</v>
      </c>
      <c r="G105" s="1742">
        <v>185349</v>
      </c>
      <c r="H105" s="1742">
        <v>436774</v>
      </c>
      <c r="I105" s="1742">
        <v>325916</v>
      </c>
      <c r="J105" s="1737"/>
      <c r="K105" s="1737"/>
      <c r="L105" s="1737"/>
      <c r="M105" s="1737"/>
      <c r="N105" s="1737"/>
      <c r="O105" s="1737"/>
      <c r="P105" s="1737"/>
      <c r="Q105" s="1737"/>
      <c r="R105" s="1737"/>
      <c r="S105" s="1737"/>
      <c r="T105" s="1737"/>
      <c r="U105" s="1737"/>
      <c r="V105" s="1737"/>
      <c r="W105" s="1737"/>
      <c r="X105" s="1737"/>
      <c r="Y105" s="1737"/>
    </row>
    <row r="106" spans="1:25" ht="21.5">
      <c r="A106" s="1738">
        <v>93</v>
      </c>
      <c r="B106" s="1742">
        <v>75380</v>
      </c>
      <c r="C106" s="1742">
        <v>59984</v>
      </c>
      <c r="D106" s="1742">
        <v>119500</v>
      </c>
      <c r="E106" s="1742">
        <v>85644</v>
      </c>
      <c r="F106" s="1742">
        <v>244893</v>
      </c>
      <c r="G106" s="1742">
        <v>190317</v>
      </c>
      <c r="H106" s="1742">
        <v>450903</v>
      </c>
      <c r="I106" s="1742">
        <v>335005</v>
      </c>
      <c r="J106" s="1737"/>
      <c r="K106" s="1737"/>
      <c r="L106" s="1737"/>
      <c r="M106" s="1737"/>
      <c r="N106" s="1737"/>
      <c r="O106" s="1737"/>
      <c r="P106" s="1737"/>
      <c r="Q106" s="1737"/>
      <c r="R106" s="1737"/>
      <c r="S106" s="1737"/>
      <c r="T106" s="1737"/>
      <c r="U106" s="1737"/>
      <c r="V106" s="1737"/>
      <c r="W106" s="1737"/>
      <c r="X106" s="1737"/>
      <c r="Y106" s="1737"/>
    </row>
    <row r="107" spans="1:25" ht="21.5">
      <c r="A107" s="1738">
        <v>94</v>
      </c>
      <c r="B107" s="1742">
        <v>77333</v>
      </c>
      <c r="C107" s="1742">
        <v>61493</v>
      </c>
      <c r="D107" s="1742">
        <v>122898</v>
      </c>
      <c r="E107" s="1742">
        <v>87916</v>
      </c>
      <c r="F107" s="1742">
        <v>252704</v>
      </c>
      <c r="G107" s="1742">
        <v>195501</v>
      </c>
      <c r="H107" s="1742">
        <v>465613</v>
      </c>
      <c r="I107" s="1742">
        <v>344460</v>
      </c>
      <c r="J107" s="1737"/>
      <c r="K107" s="1737"/>
      <c r="L107" s="1737"/>
      <c r="M107" s="1737"/>
      <c r="N107" s="1737"/>
      <c r="O107" s="1737"/>
      <c r="P107" s="1737"/>
      <c r="Q107" s="1737"/>
      <c r="R107" s="1737"/>
      <c r="S107" s="1737"/>
      <c r="T107" s="1737"/>
      <c r="U107" s="1737"/>
      <c r="V107" s="1737"/>
      <c r="W107" s="1737"/>
      <c r="X107" s="1737"/>
      <c r="Y107" s="1737"/>
    </row>
    <row r="108" spans="1:25" ht="21.5">
      <c r="A108" s="1738">
        <v>95</v>
      </c>
      <c r="B108" s="1742">
        <v>79385</v>
      </c>
      <c r="C108" s="1742">
        <v>63089</v>
      </c>
      <c r="D108" s="1742">
        <v>126485</v>
      </c>
      <c r="E108" s="1742">
        <v>90327</v>
      </c>
      <c r="F108" s="1742">
        <v>260791</v>
      </c>
      <c r="G108" s="1742">
        <v>200831</v>
      </c>
      <c r="H108" s="1742">
        <v>480871</v>
      </c>
      <c r="I108" s="1742">
        <v>354221</v>
      </c>
      <c r="J108" s="1737"/>
      <c r="K108" s="1737"/>
      <c r="L108" s="1737"/>
      <c r="M108" s="1737"/>
      <c r="N108" s="1737"/>
      <c r="O108" s="1737"/>
      <c r="P108" s="1737"/>
      <c r="Q108" s="1737"/>
      <c r="R108" s="1737"/>
      <c r="S108" s="1737"/>
      <c r="T108" s="1737"/>
      <c r="U108" s="1737"/>
      <c r="V108" s="1737"/>
      <c r="W108" s="1737"/>
      <c r="X108" s="1737"/>
      <c r="Y108" s="1737"/>
    </row>
    <row r="109" spans="1:25" ht="21.5">
      <c r="A109" s="1743">
        <v>96</v>
      </c>
      <c r="B109" s="1742">
        <v>81499</v>
      </c>
      <c r="C109" s="1742">
        <v>64726</v>
      </c>
      <c r="D109" s="1742">
        <v>130272</v>
      </c>
      <c r="E109" s="1742">
        <v>92850</v>
      </c>
      <c r="F109" s="1742">
        <v>269188</v>
      </c>
      <c r="G109" s="1742">
        <v>206345</v>
      </c>
      <c r="H109" s="1742">
        <v>496730</v>
      </c>
      <c r="I109" s="1742">
        <v>364326</v>
      </c>
      <c r="J109" s="1737"/>
      <c r="K109" s="1737"/>
      <c r="L109" s="1737"/>
      <c r="M109" s="1737"/>
      <c r="N109" s="1737"/>
      <c r="O109" s="1737"/>
      <c r="P109" s="1737"/>
      <c r="Q109" s="1737"/>
      <c r="R109" s="1737"/>
      <c r="S109" s="1737"/>
      <c r="T109" s="1737"/>
      <c r="U109" s="1737"/>
      <c r="V109" s="1737"/>
      <c r="W109" s="1737"/>
      <c r="X109" s="1737"/>
      <c r="Y109" s="1737"/>
    </row>
    <row r="110" spans="1:25" ht="21.5">
      <c r="A110" s="1743">
        <v>97</v>
      </c>
      <c r="B110" s="1742">
        <v>83612</v>
      </c>
      <c r="C110" s="1742">
        <v>66361</v>
      </c>
      <c r="D110" s="1742">
        <v>134061</v>
      </c>
      <c r="E110" s="1742">
        <v>95372</v>
      </c>
      <c r="F110" s="1742">
        <v>277849</v>
      </c>
      <c r="G110" s="1742">
        <v>212052</v>
      </c>
      <c r="H110" s="1742">
        <v>513079</v>
      </c>
      <c r="I110" s="1742">
        <v>374775</v>
      </c>
      <c r="J110" s="1737"/>
      <c r="K110" s="1737"/>
      <c r="L110" s="1737"/>
      <c r="M110" s="1737"/>
      <c r="N110" s="1737"/>
      <c r="O110" s="1737"/>
      <c r="P110" s="1737"/>
      <c r="Q110" s="1737"/>
      <c r="R110" s="1737"/>
      <c r="S110" s="1737"/>
      <c r="T110" s="1737"/>
      <c r="U110" s="1737"/>
      <c r="V110" s="1737"/>
      <c r="W110" s="1737"/>
      <c r="X110" s="1737"/>
      <c r="Y110" s="1737"/>
    </row>
    <row r="111" spans="1:25" ht="21.5">
      <c r="A111" s="1738">
        <v>98</v>
      </c>
      <c r="B111" s="1742">
        <v>85836</v>
      </c>
      <c r="C111" s="1742">
        <v>68087</v>
      </c>
      <c r="D111" s="1742">
        <v>138046</v>
      </c>
      <c r="E111" s="1742">
        <v>98054</v>
      </c>
      <c r="F111" s="1742">
        <v>286767</v>
      </c>
      <c r="G111" s="1742">
        <v>217946</v>
      </c>
      <c r="H111" s="1742">
        <v>529903</v>
      </c>
      <c r="I111" s="1742">
        <v>385570</v>
      </c>
      <c r="J111" s="1737"/>
      <c r="K111" s="1737"/>
      <c r="L111" s="1737"/>
      <c r="M111" s="1737"/>
      <c r="N111" s="1737"/>
      <c r="O111" s="1737"/>
      <c r="P111" s="1737"/>
      <c r="Q111" s="1737"/>
      <c r="R111" s="1737"/>
      <c r="S111" s="1737"/>
      <c r="T111" s="1737"/>
      <c r="U111" s="1737"/>
      <c r="V111" s="1737"/>
      <c r="W111" s="1737"/>
      <c r="X111" s="1737"/>
      <c r="Y111" s="1737"/>
    </row>
  </sheetData>
  <pageMargins left="0.7" right="0.7" top="0.75" bottom="0.75" header="0.3" footer="0.3"/>
  <pageSetup paperSize="9" orientation="portrait" horizontalDpi="300" verticalDpi="300" r:id="rId1"/>
  <headerFooter>
    <oddFooter>&amp;C&amp;1#&amp;"Calibri"&amp;10&amp;K000000Internal</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tabColor rgb="FFFFFF00"/>
  </sheetPr>
  <dimension ref="A1:O162"/>
  <sheetViews>
    <sheetView showGridLines="0" topLeftCell="A13" zoomScale="85" zoomScaleNormal="85" workbookViewId="0">
      <selection activeCell="A25" sqref="A25"/>
    </sheetView>
  </sheetViews>
  <sheetFormatPr defaultColWidth="9.09765625" defaultRowHeight="21.5"/>
  <cols>
    <col min="1" max="1" width="30" style="91" customWidth="1"/>
    <col min="2" max="2" width="13.8984375" style="91" customWidth="1"/>
    <col min="3" max="3" width="14" style="91" customWidth="1"/>
    <col min="4" max="4" width="15" style="91" bestFit="1" customWidth="1"/>
    <col min="5" max="5" width="19.296875" style="91" customWidth="1"/>
    <col min="6" max="6" width="21" style="91" bestFit="1" customWidth="1"/>
    <col min="7" max="7" width="13.296875" style="91" bestFit="1" customWidth="1"/>
    <col min="8" max="8" width="14.3984375" style="91" bestFit="1" customWidth="1"/>
    <col min="9" max="9" width="18.69921875" style="91" bestFit="1" customWidth="1"/>
    <col min="10" max="10" width="9.09765625" style="91"/>
    <col min="11" max="11" width="16.3984375" style="91" customWidth="1"/>
    <col min="12" max="12" width="14.3984375" style="91" bestFit="1" customWidth="1"/>
    <col min="13" max="14" width="9.09765625" style="91"/>
    <col min="15" max="15" width="15.3984375" style="91" bestFit="1" customWidth="1"/>
    <col min="16" max="16384" width="9.09765625" style="91"/>
  </cols>
  <sheetData>
    <row r="1" spans="1:15">
      <c r="M1" s="1492" t="s">
        <v>21</v>
      </c>
      <c r="N1" s="1492" t="s">
        <v>38</v>
      </c>
      <c r="O1" s="1492" t="s">
        <v>39</v>
      </c>
    </row>
    <row r="2" spans="1:15">
      <c r="A2" s="1336" t="s">
        <v>1315</v>
      </c>
      <c r="B2" s="1549">
        <f>กรอกข้อมูล!C5</f>
        <v>44</v>
      </c>
      <c r="C2" s="93"/>
      <c r="D2" s="94"/>
      <c r="F2" s="1338" t="s">
        <v>29</v>
      </c>
      <c r="G2" s="1338" t="s">
        <v>13</v>
      </c>
      <c r="I2" s="1338" t="s">
        <v>32</v>
      </c>
      <c r="J2" s="1338">
        <v>1</v>
      </c>
      <c r="K2" s="1338">
        <v>1</v>
      </c>
      <c r="M2" s="1492">
        <v>1</v>
      </c>
      <c r="N2" s="1493">
        <v>3</v>
      </c>
      <c r="O2" s="1494">
        <v>6.5</v>
      </c>
    </row>
    <row r="3" spans="1:15">
      <c r="A3" s="1336" t="s">
        <v>567</v>
      </c>
      <c r="B3" s="1551" t="str">
        <f>กรอกข้อมูล!C6</f>
        <v>หญิง</v>
      </c>
      <c r="C3" s="1338" t="str">
        <f>VLOOKUP(B3,$F$2:$G$3,2,FALSE)</f>
        <v>F</v>
      </c>
      <c r="D3" s="1338"/>
      <c r="F3" s="1338" t="s">
        <v>47</v>
      </c>
      <c r="G3" s="1338" t="s">
        <v>14</v>
      </c>
      <c r="I3" s="1338" t="s">
        <v>44</v>
      </c>
      <c r="J3" s="1338">
        <v>0.52</v>
      </c>
      <c r="K3" s="1338">
        <v>2</v>
      </c>
      <c r="M3" s="1492">
        <v>2</v>
      </c>
      <c r="N3" s="1493">
        <v>4.05</v>
      </c>
      <c r="O3" s="1494">
        <v>7.5</v>
      </c>
    </row>
    <row r="4" spans="1:15">
      <c r="A4" s="1336" t="s">
        <v>723</v>
      </c>
      <c r="B4" s="1549" t="str">
        <f>กรอกข้อมูล!C7</f>
        <v>รายปี</v>
      </c>
      <c r="C4" s="1338">
        <f>VLOOKUP(B4,$I$2:$K$5,2,FALSE)</f>
        <v>1</v>
      </c>
      <c r="D4" s="1338">
        <f>VLOOKUP(B4,$I$2:$K$5,3,FALSE)</f>
        <v>1</v>
      </c>
      <c r="F4" s="1116"/>
      <c r="G4" s="1119"/>
      <c r="I4" s="1338" t="s">
        <v>45</v>
      </c>
      <c r="J4" s="1338">
        <v>0.27</v>
      </c>
      <c r="K4" s="1338">
        <v>4</v>
      </c>
      <c r="M4" s="1495">
        <v>3</v>
      </c>
      <c r="N4" s="1496">
        <v>5.0999999999999996</v>
      </c>
      <c r="O4" s="1497">
        <v>8.5</v>
      </c>
    </row>
    <row r="5" spans="1:15">
      <c r="A5" s="92"/>
      <c r="B5" s="1552"/>
      <c r="C5" s="89"/>
      <c r="D5" s="90"/>
      <c r="I5" s="1338" t="s">
        <v>46</v>
      </c>
      <c r="J5" s="1338">
        <v>0.09</v>
      </c>
      <c r="K5" s="1338">
        <v>12</v>
      </c>
      <c r="M5" s="1498">
        <v>4</v>
      </c>
      <c r="N5" s="1499">
        <v>6</v>
      </c>
      <c r="O5" s="1500">
        <v>10.5</v>
      </c>
    </row>
    <row r="6" spans="1:15">
      <c r="A6" s="1336" t="s">
        <v>1450</v>
      </c>
      <c r="B6" s="1550">
        <f>กรอกข้อมูล!K14</f>
        <v>6</v>
      </c>
      <c r="C6" s="92"/>
      <c r="D6" s="69"/>
    </row>
    <row r="8" spans="1:15">
      <c r="A8" s="1555" t="s">
        <v>1422</v>
      </c>
      <c r="B8" s="1556">
        <f>กรอกข้อมูล!C11</f>
        <v>0</v>
      </c>
      <c r="C8" s="1557"/>
      <c r="D8" s="1472"/>
      <c r="E8" s="1472"/>
      <c r="F8" s="1472"/>
      <c r="G8" s="1472"/>
      <c r="K8" s="1116"/>
      <c r="N8" s="1338" t="s">
        <v>115</v>
      </c>
      <c r="O8" s="1501" t="s">
        <v>1610</v>
      </c>
    </row>
    <row r="9" spans="1:15">
      <c r="A9" s="1555" t="s">
        <v>1423</v>
      </c>
      <c r="B9" s="1558">
        <f>กรอกข้อมูล!C12</f>
        <v>0</v>
      </c>
      <c r="C9" s="1557">
        <f>IFERROR(IF(B8&gt;0,VLOOKUP(B9,$F$2:$G$3,2,FALSE),0),"")</f>
        <v>0</v>
      </c>
      <c r="D9" s="1554" t="s">
        <v>1478</v>
      </c>
      <c r="E9" s="1473" t="s">
        <v>1719</v>
      </c>
      <c r="F9" s="1473" t="s">
        <v>1720</v>
      </c>
      <c r="G9" s="1472"/>
      <c r="K9" s="1116"/>
      <c r="N9" s="1501">
        <v>10</v>
      </c>
      <c r="O9" s="1338">
        <f>65-N9</f>
        <v>55</v>
      </c>
    </row>
    <row r="10" spans="1:15">
      <c r="A10" s="1559" t="str">
        <f>"PB "&amp;IF(B2&lt;=15,"Parent","Spouse")&amp;" Payor"</f>
        <v>PB Spouse Payor</v>
      </c>
      <c r="B10" s="1348"/>
      <c r="C10" s="1490"/>
      <c r="D10" s="1561">
        <f>IF(B2&lt;=15,MIN(B6,80-B8,25-B2),MIN(B6,80-B8))</f>
        <v>6</v>
      </c>
      <c r="E10" s="1549">
        <f>D10</f>
        <v>6</v>
      </c>
      <c r="F10" s="1556">
        <f>IF(B2&lt;=15,MIN(B6,25-B2),B6)</f>
        <v>6</v>
      </c>
      <c r="G10" s="1472"/>
      <c r="K10" s="1116"/>
      <c r="N10" s="1501">
        <v>11</v>
      </c>
      <c r="O10" s="1338">
        <f t="shared" ref="O10:O24" si="0">65-N10</f>
        <v>54</v>
      </c>
    </row>
    <row r="11" spans="1:15" ht="22" thickBot="1">
      <c r="A11" s="1363" t="s">
        <v>24</v>
      </c>
      <c r="B11" s="90"/>
      <c r="C11" s="90"/>
      <c r="D11" s="1370">
        <f>MIN(B6,80-B2)</f>
        <v>6</v>
      </c>
      <c r="E11" s="1370">
        <f>D11</f>
        <v>6</v>
      </c>
      <c r="F11" s="1370">
        <f>B6</f>
        <v>6</v>
      </c>
      <c r="N11" s="1501">
        <v>12</v>
      </c>
      <c r="O11" s="1338">
        <f t="shared" si="0"/>
        <v>53</v>
      </c>
    </row>
    <row r="12" spans="1:15">
      <c r="A12" s="1358" t="s">
        <v>48</v>
      </c>
      <c r="B12" s="1359"/>
      <c r="C12" s="1360" t="s">
        <v>51</v>
      </c>
      <c r="D12" s="1360" t="s">
        <v>49</v>
      </c>
      <c r="E12" s="1360" t="s">
        <v>65</v>
      </c>
      <c r="F12" s="1361" t="s">
        <v>1310</v>
      </c>
      <c r="G12" s="1360" t="s">
        <v>52</v>
      </c>
      <c r="H12" s="1360" t="s">
        <v>53</v>
      </c>
      <c r="I12" s="1359" t="s">
        <v>1474</v>
      </c>
      <c r="J12" s="1359"/>
      <c r="K12" s="1362"/>
      <c r="N12" s="1501">
        <v>13</v>
      </c>
      <c r="O12" s="1338">
        <f t="shared" si="0"/>
        <v>52</v>
      </c>
    </row>
    <row r="13" spans="1:15">
      <c r="A13" s="1339" t="str">
        <f>กรอกข้อมูล!$F$78</f>
        <v>W80F06</v>
      </c>
      <c r="B13" s="1340" t="str">
        <f>VLOOKUP($A13,$N$27:$O$34,2,FALSE)&amp;C3</f>
        <v>06F</v>
      </c>
      <c r="C13" s="1341">
        <f>IF(กรอกข้อมูล!J22="no",0,กรอกข้อมูล!D19)</f>
        <v>1000000</v>
      </c>
      <c r="D13" s="1491">
        <f>HLOOKUP(B13,'Premium&amp;Maturity'!$A$2:$C$86,B2+5,0)</f>
        <v>287</v>
      </c>
      <c r="E13" s="1340"/>
      <c r="F13" s="1340">
        <v>0</v>
      </c>
      <c r="G13" s="1342">
        <f>ROUNDDOWN((D13-F13+E13)*ROUNDDOWN(C13/1000,3),2)</f>
        <v>287000</v>
      </c>
      <c r="H13" s="1342">
        <f>ROUNDDOWN(G13*$C$4,2)</f>
        <v>287000</v>
      </c>
      <c r="I13" s="1461">
        <f>ROUNDDOWN((D13-F13+E13)*ROUNDDOWN(IF(C13&gt;30000000,30000000,C13)/1000,3),2)</f>
        <v>287000</v>
      </c>
      <c r="J13" s="1343"/>
      <c r="K13" s="1344"/>
      <c r="L13" s="1116" t="s">
        <v>129</v>
      </c>
      <c r="N13" s="1501">
        <v>14</v>
      </c>
      <c r="O13" s="1338">
        <f t="shared" si="0"/>
        <v>51</v>
      </c>
    </row>
    <row r="14" spans="1:15">
      <c r="A14" s="1345" t="str">
        <f>กรอกข้อมูล!J20</f>
        <v>PBSDDCI</v>
      </c>
      <c r="B14" s="1346" t="str">
        <f>A14&amp;C9&amp;B8</f>
        <v>PBSDDCI00</v>
      </c>
      <c r="C14" s="1347">
        <f>IF(กรอกข้อมูล!D20="ซื้อ",Cal!I13,0)</f>
        <v>0</v>
      </c>
      <c r="D14" s="1590">
        <f>IF(OR(กรอกข้อมูล!D20="",กรอกข้อมูล!D20="ไม่ซื้อ",กรอกข้อมูล!B20="ไม่สามารถซื้อได้",กรอกข้อมูล!B20="กรอกอายุผู้ชำระเบี้ย",กรอกข้อมูล!B20="กรอกเพศผู้ชำระเบี้ย"),0,ROUND(IF($B$2&lt;=15,VLOOKUP($B$14,'Rate PB'!$C$5:$AB$227,Cal!$F$10+1,FALSE),IF($B$2&gt;=16,VLOOKUP($B$14,'Rate PB'!$C$231:$CH$437,Cal!$F$10+1,FALSE)))*IF(E14=0,1,E14),2))</f>
        <v>0</v>
      </c>
      <c r="E14" s="1591">
        <f>กรอกข้อมูล!E20</f>
        <v>1</v>
      </c>
      <c r="F14" s="1591"/>
      <c r="G14" s="1592">
        <f>TRUNC($D$14*TRUNC($C$14/100,3),2)</f>
        <v>0</v>
      </c>
      <c r="H14" s="1592">
        <f>TRUNC(TRUNC($D$14*TRUNC($C$14/100,3),2)*$C$4,2)</f>
        <v>0</v>
      </c>
      <c r="I14" s="1593"/>
      <c r="J14" s="1349"/>
      <c r="K14" s="1350"/>
      <c r="L14" s="1116" t="s">
        <v>129</v>
      </c>
      <c r="N14" s="1501">
        <v>15</v>
      </c>
      <c r="O14" s="1338">
        <f t="shared" si="0"/>
        <v>50</v>
      </c>
    </row>
    <row r="15" spans="1:15">
      <c r="A15" s="1345" t="str">
        <f>กรอกข้อมูล!J21</f>
        <v>WPTPD</v>
      </c>
      <c r="B15" s="1346" t="str">
        <f>A15&amp;C3&amp;B2</f>
        <v>WPTPDF44</v>
      </c>
      <c r="C15" s="1347">
        <f>IF(กรอกข้อมูล!D21="ซื้อ",Cal!I13,0)</f>
        <v>0</v>
      </c>
      <c r="D15" s="1590">
        <f>IFERROR(ROUND(IF(C3="M",VLOOKUP($B$15,'Rate WP'!$A$5:$CF$119,$B$6+1,0),VLOOKUP($B$15,'Rate WP'!$CH$4:$FM$119,Cal!$B$6+1,0))*IF(E15=0,1,E15),2),0)</f>
        <v>0.08</v>
      </c>
      <c r="E15" s="1591">
        <f>กรอกข้อมูล!E21</f>
        <v>1</v>
      </c>
      <c r="F15" s="1591"/>
      <c r="G15" s="1592">
        <f>TRUNC($D$15*TRUNC($C$15/100,3),2)</f>
        <v>0</v>
      </c>
      <c r="H15" s="1592">
        <f>TRUNC(TRUNC($D$15*TRUNC($C$15/100,3),2)*$C$4,2)</f>
        <v>0</v>
      </c>
      <c r="I15" s="1593"/>
      <c r="J15" s="1349"/>
      <c r="K15" s="1350"/>
      <c r="N15" s="1501">
        <v>16</v>
      </c>
      <c r="O15" s="1338">
        <f t="shared" si="0"/>
        <v>49</v>
      </c>
    </row>
    <row r="16" spans="1:15">
      <c r="A16" s="1345" t="str">
        <f>กรอกข้อมูล!A22</f>
        <v>AP</v>
      </c>
      <c r="B16" s="1346"/>
      <c r="C16" s="1351">
        <f>กรอกข้อมูล!D22</f>
        <v>0</v>
      </c>
      <c r="D16" s="1348">
        <f>IF(กรอกข้อมูล!B22="ไม่สามารถซื้อได้",0,IFERROR(VLOOKUP(E16,'Rate Rider'!$AB$3:$AD$6,2,FALSE),0))</f>
        <v>3</v>
      </c>
      <c r="E16" s="1346">
        <f>กรอกข้อมูล!E22</f>
        <v>1</v>
      </c>
      <c r="F16" s="1346"/>
      <c r="G16" s="1347">
        <f>ROUNDDOWN(D16*C16/1000,2)</f>
        <v>0</v>
      </c>
      <c r="H16" s="1347">
        <f>ROUNDDOWN(G16*$C$4,2)</f>
        <v>0</v>
      </c>
      <c r="I16" s="1349"/>
      <c r="J16" s="1349"/>
      <c r="K16" s="1350"/>
      <c r="N16" s="1501">
        <v>17</v>
      </c>
      <c r="O16" s="1338">
        <f t="shared" si="0"/>
        <v>48</v>
      </c>
    </row>
    <row r="17" spans="1:15">
      <c r="A17" s="1345" t="str">
        <f>กรอกข้อมูล!A23</f>
        <v>ECARE</v>
      </c>
      <c r="B17" s="1346"/>
      <c r="C17" s="1351">
        <f>กรอกข้อมูล!D23</f>
        <v>0</v>
      </c>
      <c r="D17" s="1348">
        <f>IF(กรอกข้อมูล!B23="ไม่สามารถซื้อได้",0,IFERROR(VLOOKUP(E17,'Rate Rider'!$AB$3:$AD$6,3,FALSE),0))</f>
        <v>6.5</v>
      </c>
      <c r="E17" s="1346">
        <f>กรอกข้อมูล!E23</f>
        <v>1</v>
      </c>
      <c r="F17" s="1346"/>
      <c r="G17" s="1347">
        <f>ROUNDDOWN(D17*C17/1000,2)</f>
        <v>0</v>
      </c>
      <c r="H17" s="1347">
        <f>ROUNDDOWN(G17*$C$4,2)</f>
        <v>0</v>
      </c>
      <c r="I17" s="1349"/>
      <c r="J17" s="1349"/>
      <c r="K17" s="1350"/>
      <c r="N17" s="1501">
        <v>18</v>
      </c>
      <c r="O17" s="1338">
        <f t="shared" si="0"/>
        <v>47</v>
      </c>
    </row>
    <row r="18" spans="1:15">
      <c r="A18" s="1345"/>
      <c r="B18" s="1346"/>
      <c r="C18" s="1351"/>
      <c r="D18" s="1348"/>
      <c r="E18" s="1346"/>
      <c r="F18" s="1346"/>
      <c r="G18" s="1347"/>
      <c r="H18" s="1347"/>
      <c r="I18" s="1349"/>
      <c r="J18" s="1349"/>
      <c r="K18" s="1350"/>
      <c r="N18" s="1501">
        <v>19</v>
      </c>
      <c r="O18" s="1338">
        <f t="shared" si="0"/>
        <v>46</v>
      </c>
    </row>
    <row r="19" spans="1:15">
      <c r="A19" s="1345" t="str">
        <f>กรอกข้อมูล!A25</f>
        <v>MEB</v>
      </c>
      <c r="B19" s="1346"/>
      <c r="C19" s="1351">
        <f>กรอกข้อมูล!D25</f>
        <v>500</v>
      </c>
      <c r="D19" s="1348">
        <f>IF(OR(กรอกข้อมูล!B25="ไม่สามารถซื้อได้",C19=0),0,INDEX('Rate Rider'!$A$4:$G$73,MATCH(B2,'Rate Rider'!$A$4:$A$73,),MATCH(C19,'Rate Rider'!$A$4:$G$4,)))*IF(E19=4,1.5,1)</f>
        <v>750</v>
      </c>
      <c r="E19" s="1346">
        <f>กรอกข้อมูล!E25</f>
        <v>1</v>
      </c>
      <c r="F19" s="1346"/>
      <c r="G19" s="1347">
        <f>D19</f>
        <v>750</v>
      </c>
      <c r="H19" s="1347">
        <f>ROUNDDOWN(G19*$C$4,2)</f>
        <v>750</v>
      </c>
      <c r="I19" s="1349"/>
      <c r="J19" s="1349"/>
      <c r="K19" s="1350"/>
      <c r="N19" s="1501">
        <v>20</v>
      </c>
      <c r="O19" s="1338">
        <f t="shared" si="0"/>
        <v>45</v>
      </c>
    </row>
    <row r="20" spans="1:15">
      <c r="A20" s="1345" t="str">
        <f>กรอกข้อมูล!A26</f>
        <v>DCI</v>
      </c>
      <c r="B20" s="1346" t="str">
        <f>A20&amp;"-"&amp;$B$2</f>
        <v>DCI-44</v>
      </c>
      <c r="C20" s="1351">
        <f>กรอกข้อมูล!D26</f>
        <v>0</v>
      </c>
      <c r="D20" s="1348">
        <f>IF(กรอกข้อมูล!B26="ไม่สามารถซื้อได้",0,(INDEX('Rate Rider'!$X$2:$Z$257,MATCH(Cal!B20,'Rate Rider'!$X$2:$X$257,),MATCH(Cal!$C$3,'Rate Rider'!$X$2:$Z$2,))))</f>
        <v>5.8</v>
      </c>
      <c r="E20" s="1346"/>
      <c r="F20" s="1346"/>
      <c r="G20" s="1347">
        <f>ROUNDDOWN((D20-F20)*C20/1000,2)</f>
        <v>0</v>
      </c>
      <c r="H20" s="1347">
        <f>ROUNDDOWN(G20*$C$4,2)</f>
        <v>0</v>
      </c>
      <c r="I20" s="1352"/>
      <c r="J20" s="1349"/>
      <c r="K20" s="1350"/>
      <c r="M20" s="1116"/>
      <c r="N20" s="1501">
        <v>21</v>
      </c>
      <c r="O20" s="1338">
        <f t="shared" si="0"/>
        <v>44</v>
      </c>
    </row>
    <row r="21" spans="1:15">
      <c r="A21" s="1345" t="str">
        <f>กรอกข้อมูล!A27</f>
        <v>PLS10</v>
      </c>
      <c r="B21" s="1346" t="str">
        <f>A21&amp;"-"&amp;$B$2</f>
        <v>PLS10-44</v>
      </c>
      <c r="C21" s="1351">
        <f>กรอกข้อมูล!D27</f>
        <v>0</v>
      </c>
      <c r="D21" s="1348">
        <f>IF(กรอกข้อมูล!B27="ไม่สามารถซื้อได้",0,IFERROR(INDEX('Rate Rider'!$X$2:$Z$257,MATCH(Cal!B21,'Rate Rider'!$X$2:$X$257,),MATCH(Cal!$C$3,'Rate Rider'!$X$2:$Z$2,)),0))</f>
        <v>4.0999999999999996</v>
      </c>
      <c r="E21" s="1346"/>
      <c r="F21" s="1346">
        <f>IF(D21=0,0,IF(C21&gt;=1000000,1,IF(C21&gt;=500000,0.5,0)))</f>
        <v>0</v>
      </c>
      <c r="G21" s="1347">
        <f>ROUNDDOWN((D21-F21)*C21/1000,2)</f>
        <v>0</v>
      </c>
      <c r="H21" s="1347">
        <f>ROUNDDOWN(G21*$C$4,2)</f>
        <v>0</v>
      </c>
      <c r="I21" s="1353"/>
      <c r="J21" s="1394">
        <f>VALUE(MID(A21,4,2))</f>
        <v>10</v>
      </c>
      <c r="K21" s="1354"/>
      <c r="N21" s="1501">
        <v>22</v>
      </c>
      <c r="O21" s="1338">
        <f t="shared" si="0"/>
        <v>43</v>
      </c>
    </row>
    <row r="22" spans="1:15">
      <c r="A22" s="1345" t="s">
        <v>997</v>
      </c>
      <c r="B22" s="1346">
        <f>IF(C22&gt;0,C3&amp;"-"&amp;C22,0)</f>
        <v>0</v>
      </c>
      <c r="C22" s="1355">
        <f>IF(กรอกข้อมูล!H24="ไม่คุ้มครอง",0,กรอกข้อมูล!D24)</f>
        <v>0</v>
      </c>
      <c r="D22" s="1347">
        <f>IF(OR(กรอกข้อมูล!B24="ไม่สามารถซื้อได้",C22=0),0,INDEX('Rate rider_MEX'!$A$5:$K$95,MATCH($B$2,'Rate rider_MEX'!$A$5:$A$95,),MATCH($B$22,'Rate rider_MEX'!$A$5:$K$5,)))*IF(E22=4,1.5,1)</f>
        <v>0</v>
      </c>
      <c r="E22" s="1346">
        <f>กรอกข้อมูล!E24</f>
        <v>1</v>
      </c>
      <c r="F22" s="1346"/>
      <c r="G22" s="1347">
        <f>D22</f>
        <v>0</v>
      </c>
      <c r="H22" s="1347">
        <f>ROUNDDOWN(G22*$C$4,2)</f>
        <v>0</v>
      </c>
      <c r="I22" s="1349"/>
      <c r="J22" s="1349"/>
      <c r="K22" s="1350"/>
      <c r="N22" s="1501">
        <v>23</v>
      </c>
      <c r="O22" s="1338">
        <f t="shared" si="0"/>
        <v>42</v>
      </c>
    </row>
    <row r="23" spans="1:15">
      <c r="A23" s="1356" t="s">
        <v>1099</v>
      </c>
      <c r="B23" s="1346"/>
      <c r="C23" s="1355"/>
      <c r="D23" s="1347"/>
      <c r="E23" s="1346">
        <f>กรอกข้อมูล!E30</f>
        <v>1</v>
      </c>
      <c r="F23" s="1346"/>
      <c r="G23" s="1347">
        <f>'iHealthy Ultra Rate'!$D$8*IF(E23=4,1.5,1)</f>
        <v>0</v>
      </c>
      <c r="H23" s="1347">
        <f>ROUNDDOWN(G23*$C$4,2)</f>
        <v>0</v>
      </c>
      <c r="I23" s="1349"/>
      <c r="J23" s="1349"/>
      <c r="K23" s="1350"/>
      <c r="N23" s="1501">
        <v>24</v>
      </c>
      <c r="O23" s="1338">
        <f t="shared" si="0"/>
        <v>41</v>
      </c>
    </row>
    <row r="24" spans="1:15">
      <c r="A24" s="1763" t="s">
        <v>2452</v>
      </c>
      <c r="B24" s="1764"/>
      <c r="C24" s="1765"/>
      <c r="D24" s="1347"/>
      <c r="E24" s="1766">
        <f>กรอกข้อมูล!F43</f>
        <v>0</v>
      </c>
      <c r="F24" s="1766"/>
      <c r="G24" s="1347" t="e">
        <f>'CI MED EX RATE'!D8*IF(E24=4,1.5,1)</f>
        <v>#N/A</v>
      </c>
      <c r="H24" s="1347" t="e">
        <f t="shared" ref="H24" si="1">ROUNDDOWN(G24*$C$4,2)</f>
        <v>#N/A</v>
      </c>
      <c r="I24" s="1767"/>
      <c r="J24" s="1767"/>
      <c r="K24" s="1350"/>
      <c r="N24" s="1501">
        <v>25</v>
      </c>
      <c r="O24" s="1338">
        <f t="shared" si="0"/>
        <v>40</v>
      </c>
    </row>
    <row r="25" spans="1:15">
      <c r="A25" s="1356" t="s">
        <v>2911</v>
      </c>
      <c r="B25" s="1764"/>
      <c r="C25" s="1765"/>
      <c r="D25" s="1347"/>
      <c r="E25" s="1766"/>
      <c r="F25" s="1766"/>
      <c r="G25" s="1347"/>
      <c r="H25" s="1347">
        <f>กรอกข้อมูล!AH28</f>
        <v>44789.5</v>
      </c>
      <c r="I25" s="1349"/>
      <c r="J25" s="1349"/>
      <c r="K25" s="1350"/>
    </row>
    <row r="26" spans="1:15" ht="22" thickBot="1">
      <c r="A26" s="1364"/>
      <c r="B26" s="1365"/>
      <c r="C26" s="1366"/>
      <c r="D26" s="1367"/>
      <c r="E26" s="1357"/>
      <c r="F26" s="1357"/>
      <c r="G26" s="1367"/>
      <c r="H26" s="1367"/>
      <c r="I26" s="1368"/>
      <c r="J26" s="1368"/>
      <c r="K26" s="1369"/>
      <c r="N26" s="1502" t="s">
        <v>933</v>
      </c>
      <c r="O26" s="1502" t="s">
        <v>1312</v>
      </c>
    </row>
    <row r="27" spans="1:15">
      <c r="A27" s="1645"/>
      <c r="B27" s="1646" t="s">
        <v>1617</v>
      </c>
      <c r="C27" s="1646" t="s">
        <v>1618</v>
      </c>
      <c r="D27" s="1646" t="s">
        <v>1619</v>
      </c>
      <c r="E27" s="1647" t="s">
        <v>1620</v>
      </c>
      <c r="N27" s="1502" t="s">
        <v>2358</v>
      </c>
      <c r="O27" s="1503" t="s">
        <v>1617</v>
      </c>
    </row>
    <row r="28" spans="1:15">
      <c r="A28" s="1648">
        <v>300000</v>
      </c>
      <c r="B28" s="1649">
        <v>0</v>
      </c>
      <c r="C28" s="1649">
        <v>0</v>
      </c>
      <c r="D28" s="1649">
        <v>0.5</v>
      </c>
      <c r="E28" s="1650">
        <v>0.5</v>
      </c>
      <c r="N28" s="1502" t="s">
        <v>1305</v>
      </c>
      <c r="O28" s="1503" t="s">
        <v>1618</v>
      </c>
    </row>
    <row r="29" spans="1:15">
      <c r="A29" s="1648">
        <v>500000</v>
      </c>
      <c r="B29" s="1649">
        <v>2</v>
      </c>
      <c r="C29" s="1649">
        <v>2</v>
      </c>
      <c r="D29" s="1649">
        <v>0.5</v>
      </c>
      <c r="E29" s="1650">
        <v>0.5</v>
      </c>
      <c r="N29" s="1502" t="s">
        <v>1306</v>
      </c>
      <c r="O29" s="1503" t="s">
        <v>1619</v>
      </c>
    </row>
    <row r="30" spans="1:15">
      <c r="A30" s="1648">
        <v>700000</v>
      </c>
      <c r="B30" s="1649">
        <v>2</v>
      </c>
      <c r="C30" s="1649">
        <v>2</v>
      </c>
      <c r="D30" s="1649">
        <v>0.5</v>
      </c>
      <c r="E30" s="1650">
        <v>0.5</v>
      </c>
      <c r="N30" s="1502" t="s">
        <v>1612</v>
      </c>
      <c r="O30" s="1503" t="s">
        <v>1619</v>
      </c>
    </row>
    <row r="31" spans="1:15">
      <c r="A31" s="1648">
        <v>1000000</v>
      </c>
      <c r="B31" s="1649">
        <v>3</v>
      </c>
      <c r="C31" s="1649">
        <v>3</v>
      </c>
      <c r="D31" s="1649">
        <v>1</v>
      </c>
      <c r="E31" s="1650">
        <v>1</v>
      </c>
      <c r="N31" s="1502" t="s">
        <v>1307</v>
      </c>
      <c r="O31" s="1503" t="s">
        <v>1620</v>
      </c>
    </row>
    <row r="32" spans="1:15">
      <c r="A32" s="1648">
        <v>3000000</v>
      </c>
      <c r="B32" s="1649">
        <v>4</v>
      </c>
      <c r="C32" s="1649">
        <v>4</v>
      </c>
      <c r="D32" s="1649">
        <v>1.5</v>
      </c>
      <c r="E32" s="1650">
        <v>1.5</v>
      </c>
      <c r="N32" s="1502" t="s">
        <v>1613</v>
      </c>
      <c r="O32" s="1503" t="s">
        <v>1620</v>
      </c>
    </row>
    <row r="33" spans="1:15">
      <c r="A33" s="1648">
        <v>5000000</v>
      </c>
      <c r="B33" s="1649">
        <v>4</v>
      </c>
      <c r="C33" s="1649">
        <v>4</v>
      </c>
      <c r="D33" s="1649">
        <v>1.5</v>
      </c>
      <c r="E33" s="1650">
        <v>1.5</v>
      </c>
      <c r="N33" s="1502" t="s">
        <v>1308</v>
      </c>
      <c r="O33" s="1503" t="s">
        <v>1621</v>
      </c>
    </row>
    <row r="34" spans="1:15" ht="22" thickBot="1">
      <c r="A34" s="1651" t="s">
        <v>1310</v>
      </c>
      <c r="B34" s="1652">
        <f>IF($C$13&gt;=$A$33,B33,IF($C$13&gt;=$A$32,B32,IF($C$13&gt;=$A$31,B31,IF($C$13&gt;=$A$30,B30,IF($C$13&gt;=$A$29,B29,IF($C$13&gt;=$A$28,B28,0))))))</f>
        <v>3</v>
      </c>
      <c r="C34" s="1652">
        <f>IF($C$13&gt;=$A$33,C33,IF($C$13&gt;=$A$32,C32,IF($C$13&gt;=$A$31,C31,IF($C$13&gt;=$A$30,C30,IF($C$13&gt;=$A$29,C29,IF($C$13&gt;=$A$28,C28,0))))))</f>
        <v>3</v>
      </c>
      <c r="D34" s="1652">
        <f>IF($C$13&gt;=$A$33,D33,IF($C$13&gt;=$A$32,D32,IF($C$13&gt;=$A$31,D31,IF($C$13&gt;=$A$30,D30,IF($C$13&gt;=$A$29,D29,IF($C$13&gt;=$A$28,D28,0))))))</f>
        <v>1</v>
      </c>
      <c r="E34" s="1653">
        <f>IF($C$13&gt;=$A$33,E33,IF($C$13&gt;=$A$32,E32,IF($C$13&gt;=$A$31,E31,IF($C$13&gt;=$A$30,E30,IF($C$13&gt;=$A$29,E29,IF($C$13&gt;=$A$28,E28,0))))))</f>
        <v>1</v>
      </c>
      <c r="N34" s="1502" t="s">
        <v>1309</v>
      </c>
      <c r="O34" s="1503" t="s">
        <v>1616</v>
      </c>
    </row>
    <row r="36" spans="1:15">
      <c r="A36" s="1328" t="s">
        <v>48</v>
      </c>
      <c r="B36" s="1329"/>
      <c r="C36" s="1338" t="s">
        <v>51</v>
      </c>
      <c r="D36" s="1338" t="s">
        <v>49</v>
      </c>
      <c r="E36" s="1338" t="s">
        <v>65</v>
      </c>
      <c r="F36" s="1338" t="s">
        <v>50</v>
      </c>
      <c r="G36" s="1338" t="s">
        <v>52</v>
      </c>
      <c r="H36" s="1338" t="s">
        <v>53</v>
      </c>
      <c r="I36" s="1338" t="s">
        <v>75</v>
      </c>
      <c r="J36" s="1338"/>
      <c r="K36" s="1338" t="s">
        <v>72</v>
      </c>
      <c r="N36" s="1544" t="s">
        <v>1721</v>
      </c>
      <c r="O36" s="189"/>
    </row>
    <row r="37" spans="1:15">
      <c r="A37" s="1330" t="str">
        <f>กรอกข้อมูล!A28</f>
        <v>CPR</v>
      </c>
      <c r="B37" s="1331" t="str">
        <f>A37&amp;"-"&amp;$B$2</f>
        <v>CPR-44</v>
      </c>
      <c r="C37" s="1332">
        <f>กรอกข้อมูล!D28</f>
        <v>0</v>
      </c>
      <c r="D37" s="1333">
        <f>IF(OR(กรอกข้อมูล!B28="ไม่สามารถซื้อได้",กรอกข้อมูล!B28="ไม่สามารถซื้อคู่กับ DCI ได้"),0,INDEX('Rate Rider'!$Y$258:$Z$342,MATCH(Cal!$B37,'Rate Rider'!$X$258:$X$342,),MATCH(Cal!$C$3,'Rate Rider'!$Y$2:$Z$2,)))</f>
        <v>3.91</v>
      </c>
      <c r="E37" s="1334" t="s">
        <v>356</v>
      </c>
      <c r="F37" s="1335"/>
      <c r="G37" s="1335">
        <f>ROUNDDOWN(D37*C37/1000,2)</f>
        <v>0</v>
      </c>
      <c r="H37" s="1335">
        <f>ROUNDDOWN(G37*$C$4,2)</f>
        <v>0</v>
      </c>
      <c r="I37" s="1336"/>
      <c r="J37" s="1336"/>
      <c r="K37" s="1336"/>
    </row>
    <row r="38" spans="1:15">
      <c r="A38" s="1330" t="str">
        <f>กรอกข้อมูล!A29</f>
        <v>HIC</v>
      </c>
      <c r="B38" s="1331" t="str">
        <f>A38&amp;"-"&amp;$B$2</f>
        <v>HIC-44</v>
      </c>
      <c r="C38" s="1332">
        <f>IF(กรอกข้อมูล!H29="ไม่คุ้มครอง",0,กรอกข้อมูล!D29)</f>
        <v>0</v>
      </c>
      <c r="D38" s="1333">
        <f>IF(OR(กรอกข้อมูล!B29="ไม่สามารถซื้อได้",กรอกข้อมูล!B29="ไม่สามารถซื้อคู่กับ DCI ได้",กรอกข้อมูล!B29="ต้องซื้อคู่กับ CPR",กรอกข้อมูล!B29="ไม่สามารถซื้อคู่กับ MEA+หรือ MEB"),0,INDEX('Rate Rider'!$Y$343:$Z$427,MATCH(Cal!$B38,'Rate Rider'!$X$343:$X$427,),MATCH(Cal!$C$3,'Rate Rider'!$Y$2:$Z$2,)))</f>
        <v>41.77</v>
      </c>
      <c r="E38" s="1334" t="s">
        <v>356</v>
      </c>
      <c r="F38" s="1337"/>
      <c r="G38" s="1335">
        <f>ROUND((D38*C38)/1000,2)</f>
        <v>0</v>
      </c>
      <c r="H38" s="1337">
        <f>ROUNDDOWN(G38*$C$4,2)</f>
        <v>0</v>
      </c>
      <c r="I38" s="1336"/>
      <c r="J38" s="1336"/>
      <c r="K38" s="1336"/>
    </row>
    <row r="39" spans="1:15">
      <c r="A39" s="199"/>
      <c r="B39" s="199"/>
      <c r="C39" s="199"/>
      <c r="D39" s="199"/>
      <c r="E39" s="199"/>
      <c r="F39" s="199"/>
      <c r="G39" s="199"/>
      <c r="H39" s="199"/>
      <c r="I39" s="199"/>
      <c r="J39" s="199"/>
      <c r="K39" s="199"/>
      <c r="L39" s="199"/>
    </row>
    <row r="40" spans="1:15">
      <c r="A40" s="199"/>
      <c r="B40" s="199"/>
      <c r="C40" s="199"/>
      <c r="D40" s="199"/>
      <c r="E40" s="199"/>
      <c r="F40" s="199"/>
      <c r="G40" s="199"/>
      <c r="H40" s="199"/>
      <c r="I40" s="199"/>
      <c r="J40" s="199"/>
      <c r="K40" s="199"/>
    </row>
    <row r="41" spans="1:15">
      <c r="A41" s="199"/>
      <c r="B41" s="199"/>
      <c r="C41" s="199"/>
      <c r="D41" s="199"/>
      <c r="E41" s="199"/>
      <c r="F41" s="199"/>
      <c r="G41" s="199"/>
      <c r="H41" s="199"/>
      <c r="I41" s="199"/>
      <c r="J41" s="199"/>
      <c r="K41" s="199"/>
    </row>
    <row r="42" spans="1:15">
      <c r="A42" s="199"/>
      <c r="B42" s="199"/>
      <c r="C42" s="199"/>
      <c r="D42" s="199"/>
      <c r="E42" s="199"/>
      <c r="F42" s="199"/>
      <c r="G42" s="199"/>
      <c r="H42" s="199"/>
      <c r="I42" s="199"/>
      <c r="J42" s="199"/>
      <c r="K42" s="199"/>
    </row>
    <row r="43" spans="1:15" ht="29">
      <c r="A43" s="1546" t="s">
        <v>1724</v>
      </c>
      <c r="B43" s="1545"/>
      <c r="C43" s="199"/>
      <c r="D43" s="199"/>
      <c r="E43" s="199"/>
      <c r="F43" s="199"/>
      <c r="G43" s="199"/>
      <c r="H43" s="199"/>
      <c r="I43" s="199"/>
      <c r="J43" s="199"/>
      <c r="K43" s="199"/>
    </row>
    <row r="44" spans="1:15">
      <c r="A44" s="199"/>
      <c r="B44" s="199"/>
      <c r="C44" s="199"/>
      <c r="D44" s="199"/>
      <c r="E44" s="199"/>
      <c r="F44" s="199"/>
      <c r="G44" s="199"/>
      <c r="H44" s="199"/>
      <c r="I44" s="199"/>
      <c r="J44" s="199"/>
      <c r="K44" s="199"/>
    </row>
    <row r="45" spans="1:15">
      <c r="A45" s="199"/>
      <c r="B45" s="199"/>
      <c r="C45" s="199"/>
      <c r="D45" s="199"/>
      <c r="E45" s="199"/>
      <c r="F45" s="199"/>
      <c r="G45" s="199"/>
      <c r="H45" s="199"/>
      <c r="I45" s="199"/>
      <c r="J45" s="199"/>
      <c r="K45" s="199"/>
    </row>
    <row r="46" spans="1:15">
      <c r="A46" s="199"/>
      <c r="B46" s="199"/>
      <c r="C46" s="199"/>
      <c r="D46" s="199"/>
      <c r="E46" s="199"/>
      <c r="F46" s="199"/>
      <c r="G46" s="199"/>
      <c r="H46" s="199"/>
      <c r="I46" s="199"/>
      <c r="J46" s="199"/>
      <c r="K46" s="199"/>
    </row>
    <row r="47" spans="1:15">
      <c r="A47" s="199"/>
      <c r="B47" s="199"/>
      <c r="C47" s="199"/>
      <c r="D47" s="199"/>
      <c r="E47" s="199"/>
      <c r="F47" s="199"/>
      <c r="G47" s="199"/>
      <c r="H47" s="199"/>
      <c r="I47" s="199"/>
      <c r="J47" s="199"/>
      <c r="K47" s="199"/>
    </row>
    <row r="48" spans="1:15">
      <c r="A48" s="199"/>
      <c r="B48" s="199"/>
      <c r="C48" s="199"/>
      <c r="D48" s="199"/>
      <c r="E48" s="199"/>
      <c r="F48" s="199"/>
      <c r="G48" s="199"/>
      <c r="H48" s="199"/>
      <c r="I48" s="199"/>
      <c r="J48" s="199"/>
      <c r="K48" s="199"/>
      <c r="N48" s="1544" t="s">
        <v>1722</v>
      </c>
    </row>
    <row r="49" spans="1:2">
      <c r="B49" s="199"/>
    </row>
    <row r="57" spans="1:2" ht="29">
      <c r="A57" s="1594" t="s">
        <v>1731</v>
      </c>
      <c r="B57" s="1595"/>
    </row>
    <row r="66" spans="14:14">
      <c r="N66" s="1544" t="s">
        <v>1723</v>
      </c>
    </row>
    <row r="104" spans="2:2">
      <c r="B104" s="180" t="s">
        <v>128</v>
      </c>
    </row>
    <row r="142" spans="2:4" s="1118" customFormat="1" ht="11.25" customHeight="1"/>
    <row r="144" spans="2:4" ht="22" thickBot="1">
      <c r="B144" s="1117" t="s">
        <v>1295</v>
      </c>
      <c r="C144" s="189"/>
      <c r="D144" s="189"/>
    </row>
    <row r="145" spans="2:6" ht="22" thickBot="1">
      <c r="B145" s="2099" t="s">
        <v>1287</v>
      </c>
      <c r="C145" s="1113" t="s">
        <v>1279</v>
      </c>
      <c r="D145" s="1114" t="s">
        <v>1280</v>
      </c>
      <c r="E145" s="1115" t="s">
        <v>1281</v>
      </c>
      <c r="F145" s="1115" t="s">
        <v>1288</v>
      </c>
    </row>
    <row r="146" spans="2:6">
      <c r="B146" s="2100"/>
      <c r="C146" s="2102" t="s">
        <v>1289</v>
      </c>
      <c r="D146" s="2103"/>
      <c r="E146" s="2104" t="s">
        <v>1290</v>
      </c>
      <c r="F146" s="2103"/>
    </row>
    <row r="147" spans="2:6">
      <c r="B147" s="2100"/>
      <c r="C147" s="2105" t="s">
        <v>1291</v>
      </c>
      <c r="D147" s="2106"/>
      <c r="E147" s="2107" t="s">
        <v>1292</v>
      </c>
      <c r="F147" s="2106"/>
    </row>
    <row r="148" spans="2:6" ht="22" thickBot="1">
      <c r="B148" s="2101"/>
      <c r="C148" s="2108" t="s">
        <v>1293</v>
      </c>
      <c r="D148" s="2109"/>
      <c r="E148" s="2110" t="s">
        <v>1294</v>
      </c>
      <c r="F148" s="2109"/>
    </row>
    <row r="153" spans="2:6">
      <c r="B153" s="802" t="s">
        <v>1296</v>
      </c>
    </row>
    <row r="154" spans="2:6">
      <c r="B154" s="802" t="s">
        <v>1300</v>
      </c>
    </row>
    <row r="155" spans="2:6">
      <c r="B155" s="802" t="s">
        <v>1301</v>
      </c>
    </row>
    <row r="156" spans="2:6">
      <c r="B156" s="802" t="s">
        <v>1297</v>
      </c>
    </row>
    <row r="157" spans="2:6">
      <c r="B157" s="802" t="s">
        <v>1298</v>
      </c>
    </row>
    <row r="158" spans="2:6">
      <c r="B158" s="802" t="s">
        <v>1299</v>
      </c>
    </row>
    <row r="160" spans="2:6">
      <c r="B160" s="1079" t="s">
        <v>1302</v>
      </c>
    </row>
    <row r="161" spans="2:2">
      <c r="B161" s="1079" t="s">
        <v>1303</v>
      </c>
    </row>
    <row r="162" spans="2:2">
      <c r="B162" s="1079" t="s">
        <v>1302</v>
      </c>
    </row>
  </sheetData>
  <mergeCells count="7">
    <mergeCell ref="B145:B148"/>
    <mergeCell ref="C146:D146"/>
    <mergeCell ref="E146:F146"/>
    <mergeCell ref="C147:D147"/>
    <mergeCell ref="E147:F147"/>
    <mergeCell ref="C148:D148"/>
    <mergeCell ref="E148:F148"/>
  </mergeCells>
  <phoneticPr fontId="28" type="noConversion"/>
  <pageMargins left="0.75" right="0.75" top="1" bottom="1" header="0.5" footer="0.5"/>
  <pageSetup paperSize="9" orientation="portrait" horizontalDpi="300" verticalDpi="300" r:id="rId1"/>
  <headerFooter alignWithMargins="0">
    <oddFooter>&amp;C&amp;1#&amp;"Calibri"&amp;10&amp;K000000Internal</oddFooter>
  </headerFooter>
  <drawing r:id="rId2"/>
  <legacyDrawing r:id="rId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3">
    <tabColor rgb="FFFFFF00"/>
  </sheetPr>
  <dimension ref="A1:AV16382"/>
  <sheetViews>
    <sheetView showGridLines="0" zoomScale="78" zoomScaleNormal="115" workbookViewId="0">
      <pane ySplit="2" topLeftCell="A3" activePane="bottomLeft" state="frozen"/>
      <selection pane="bottomLeft" activeCell="A31" sqref="A31:C71"/>
    </sheetView>
  </sheetViews>
  <sheetFormatPr defaultColWidth="9.09765625" defaultRowHeight="13"/>
  <cols>
    <col min="1" max="1" width="14" style="1134" customWidth="1"/>
    <col min="2" max="2" width="9.69921875" style="1135" customWidth="1"/>
    <col min="3" max="3" width="9.69921875" style="1137" customWidth="1"/>
    <col min="4" max="8" width="9.09765625" style="514"/>
    <col min="9" max="9" width="9.09765625" style="513"/>
    <col min="10" max="21" width="9.09765625" style="514"/>
    <col min="22" max="16384" width="9.09765625" style="513"/>
  </cols>
  <sheetData>
    <row r="1" spans="1:21">
      <c r="B1" s="1462"/>
      <c r="D1" s="513"/>
      <c r="E1" s="513"/>
      <c r="F1" s="513"/>
      <c r="G1" s="513"/>
      <c r="H1" s="513"/>
      <c r="J1" s="513"/>
      <c r="K1" s="513"/>
      <c r="L1" s="513"/>
      <c r="M1" s="513"/>
      <c r="N1" s="513"/>
      <c r="O1" s="513"/>
      <c r="P1" s="513"/>
      <c r="Q1" s="513"/>
      <c r="R1" s="513"/>
      <c r="S1" s="513"/>
      <c r="T1" s="513"/>
      <c r="U1" s="513"/>
    </row>
    <row r="2" spans="1:21" s="1464" customFormat="1">
      <c r="A2" s="1152" t="s">
        <v>1143</v>
      </c>
      <c r="B2" s="1487" t="s">
        <v>1615</v>
      </c>
      <c r="C2" s="1488" t="s">
        <v>1622</v>
      </c>
      <c r="D2" s="1463"/>
      <c r="F2" s="1465"/>
      <c r="G2" s="1463"/>
      <c r="H2" s="1463"/>
      <c r="J2" s="1463"/>
      <c r="K2" s="1463"/>
      <c r="L2" s="1463"/>
      <c r="M2" s="1463"/>
      <c r="N2" s="1463"/>
      <c r="O2" s="1463"/>
      <c r="P2" s="1463"/>
      <c r="Q2" s="1463"/>
      <c r="R2" s="1463"/>
      <c r="S2" s="1463"/>
      <c r="T2" s="1463"/>
      <c r="U2" s="1463"/>
    </row>
    <row r="3" spans="1:21">
      <c r="A3" s="1133" t="s">
        <v>933</v>
      </c>
      <c r="B3" s="1136" t="s">
        <v>2358</v>
      </c>
      <c r="C3" s="1138" t="s">
        <v>2358</v>
      </c>
    </row>
    <row r="4" spans="1:21">
      <c r="A4" s="1133" t="s">
        <v>1171</v>
      </c>
      <c r="B4" s="1136" t="s">
        <v>717</v>
      </c>
      <c r="C4" s="1138" t="s">
        <v>717</v>
      </c>
      <c r="G4" s="515"/>
      <c r="H4" s="515"/>
    </row>
    <row r="5" spans="1:21">
      <c r="A5" s="1133" t="s">
        <v>567</v>
      </c>
      <c r="B5" s="1136" t="s">
        <v>13</v>
      </c>
      <c r="C5" s="1138" t="s">
        <v>14</v>
      </c>
      <c r="G5" s="515"/>
      <c r="H5" s="515"/>
    </row>
    <row r="6" spans="1:21">
      <c r="A6" s="1133">
        <v>0</v>
      </c>
      <c r="B6" s="1136" t="s">
        <v>561</v>
      </c>
      <c r="C6" s="1138" t="s">
        <v>561</v>
      </c>
      <c r="G6" s="515"/>
      <c r="H6" s="515"/>
    </row>
    <row r="7" spans="1:21">
      <c r="A7" s="1133">
        <v>1</v>
      </c>
      <c r="B7" s="1136" t="s">
        <v>561</v>
      </c>
      <c r="C7" s="1138" t="s">
        <v>561</v>
      </c>
      <c r="G7" s="515"/>
      <c r="H7" s="515"/>
    </row>
    <row r="8" spans="1:21">
      <c r="A8" s="1133">
        <v>2</v>
      </c>
      <c r="B8" s="1136" t="s">
        <v>561</v>
      </c>
      <c r="C8" s="1138" t="s">
        <v>561</v>
      </c>
      <c r="G8" s="515"/>
      <c r="H8" s="515"/>
    </row>
    <row r="9" spans="1:21">
      <c r="A9" s="1133">
        <v>3</v>
      </c>
      <c r="B9" s="1136" t="s">
        <v>561</v>
      </c>
      <c r="C9" s="1138" t="s">
        <v>561</v>
      </c>
      <c r="G9" s="515"/>
      <c r="H9" s="515"/>
    </row>
    <row r="10" spans="1:21">
      <c r="A10" s="1133">
        <v>4</v>
      </c>
      <c r="B10" s="1136" t="s">
        <v>561</v>
      </c>
      <c r="C10" s="1138" t="s">
        <v>561</v>
      </c>
      <c r="G10" s="515"/>
      <c r="H10" s="515"/>
    </row>
    <row r="11" spans="1:21">
      <c r="A11" s="1133">
        <v>5</v>
      </c>
      <c r="B11" s="1136" t="s">
        <v>561</v>
      </c>
      <c r="C11" s="1138" t="s">
        <v>561</v>
      </c>
      <c r="G11" s="515"/>
      <c r="H11" s="515"/>
    </row>
    <row r="12" spans="1:21">
      <c r="A12" s="1133">
        <v>6</v>
      </c>
      <c r="B12" s="1136" t="s">
        <v>561</v>
      </c>
      <c r="C12" s="1138" t="s">
        <v>561</v>
      </c>
      <c r="G12" s="515"/>
      <c r="H12" s="515"/>
    </row>
    <row r="13" spans="1:21">
      <c r="A13" s="1133">
        <v>7</v>
      </c>
      <c r="B13" s="1136" t="s">
        <v>561</v>
      </c>
      <c r="C13" s="1138" t="s">
        <v>561</v>
      </c>
      <c r="G13" s="515"/>
      <c r="H13" s="515"/>
    </row>
    <row r="14" spans="1:21">
      <c r="A14" s="1133">
        <v>8</v>
      </c>
      <c r="B14" s="1136" t="s">
        <v>561</v>
      </c>
      <c r="C14" s="1138" t="s">
        <v>561</v>
      </c>
      <c r="G14" s="515"/>
      <c r="H14" s="515"/>
    </row>
    <row r="15" spans="1:21">
      <c r="A15" s="1133">
        <v>9</v>
      </c>
      <c r="B15" s="1136" t="s">
        <v>561</v>
      </c>
      <c r="C15" s="1138" t="s">
        <v>561</v>
      </c>
      <c r="G15" s="515"/>
      <c r="H15" s="515"/>
    </row>
    <row r="16" spans="1:21">
      <c r="A16" s="1133">
        <v>10</v>
      </c>
      <c r="B16" s="1136" t="s">
        <v>561</v>
      </c>
      <c r="C16" s="1138" t="s">
        <v>561</v>
      </c>
      <c r="G16" s="515"/>
      <c r="H16" s="515"/>
    </row>
    <row r="17" spans="1:48">
      <c r="A17" s="1133">
        <v>11</v>
      </c>
      <c r="B17" s="1136" t="s">
        <v>561</v>
      </c>
      <c r="C17" s="1138" t="s">
        <v>561</v>
      </c>
      <c r="G17" s="515"/>
      <c r="H17" s="515"/>
    </row>
    <row r="18" spans="1:48">
      <c r="A18" s="1133">
        <v>12</v>
      </c>
      <c r="B18" s="1136" t="s">
        <v>561</v>
      </c>
      <c r="C18" s="1138" t="s">
        <v>561</v>
      </c>
      <c r="G18" s="515"/>
      <c r="H18" s="515"/>
    </row>
    <row r="19" spans="1:48">
      <c r="A19" s="1133">
        <v>13</v>
      </c>
      <c r="B19" s="1136" t="s">
        <v>561</v>
      </c>
      <c r="C19" s="1138" t="s">
        <v>561</v>
      </c>
      <c r="G19" s="515"/>
      <c r="H19" s="515"/>
      <c r="P19" s="515"/>
      <c r="Q19" s="515"/>
      <c r="R19" s="515"/>
      <c r="S19" s="515"/>
      <c r="T19" s="515"/>
      <c r="U19" s="515"/>
    </row>
    <row r="20" spans="1:48">
      <c r="A20" s="1133">
        <v>14</v>
      </c>
      <c r="B20" s="1136" t="s">
        <v>561</v>
      </c>
      <c r="C20" s="1138" t="s">
        <v>561</v>
      </c>
      <c r="G20" s="515"/>
      <c r="H20" s="515"/>
      <c r="P20" s="515"/>
      <c r="Q20" s="515"/>
      <c r="R20" s="515"/>
      <c r="S20" s="515"/>
      <c r="T20" s="515"/>
      <c r="U20" s="515"/>
    </row>
    <row r="21" spans="1:48">
      <c r="A21" s="1133">
        <v>15</v>
      </c>
      <c r="B21" s="1136" t="s">
        <v>561</v>
      </c>
      <c r="C21" s="1138" t="s">
        <v>561</v>
      </c>
      <c r="G21" s="515"/>
      <c r="H21" s="515"/>
      <c r="P21" s="515"/>
      <c r="Q21" s="515"/>
      <c r="R21" s="515"/>
      <c r="S21" s="515"/>
      <c r="T21" s="515"/>
      <c r="U21" s="515"/>
    </row>
    <row r="22" spans="1:48" ht="21.5">
      <c r="A22" s="1133">
        <v>16</v>
      </c>
      <c r="B22" s="1136" t="s">
        <v>561</v>
      </c>
      <c r="C22" s="1138" t="s">
        <v>561</v>
      </c>
      <c r="G22" s="515" t="s">
        <v>2352</v>
      </c>
      <c r="H22">
        <v>244</v>
      </c>
      <c r="I22">
        <v>245</v>
      </c>
      <c r="J22">
        <v>247</v>
      </c>
      <c r="K22">
        <v>249</v>
      </c>
      <c r="L22">
        <v>251</v>
      </c>
      <c r="M22">
        <v>253</v>
      </c>
      <c r="N22">
        <v>254</v>
      </c>
      <c r="O22">
        <v>256</v>
      </c>
      <c r="P22">
        <v>259</v>
      </c>
      <c r="Q22">
        <v>261</v>
      </c>
      <c r="R22">
        <v>263</v>
      </c>
      <c r="S22">
        <v>265</v>
      </c>
      <c r="T22">
        <v>267</v>
      </c>
      <c r="U22">
        <v>270</v>
      </c>
      <c r="V22">
        <v>273</v>
      </c>
      <c r="W22">
        <v>276</v>
      </c>
      <c r="X22">
        <v>278</v>
      </c>
      <c r="Y22">
        <v>281</v>
      </c>
      <c r="Z22">
        <v>284</v>
      </c>
      <c r="AA22">
        <v>287</v>
      </c>
      <c r="AB22">
        <v>289</v>
      </c>
      <c r="AC22">
        <v>292</v>
      </c>
      <c r="AD22">
        <v>295</v>
      </c>
      <c r="AE22">
        <v>299</v>
      </c>
      <c r="AF22">
        <v>303</v>
      </c>
      <c r="AG22">
        <v>307</v>
      </c>
      <c r="AH22">
        <v>311</v>
      </c>
      <c r="AI22">
        <v>315</v>
      </c>
      <c r="AJ22">
        <v>319</v>
      </c>
      <c r="AK22">
        <v>323</v>
      </c>
      <c r="AL22">
        <v>327</v>
      </c>
      <c r="AM22">
        <v>332</v>
      </c>
      <c r="AN22">
        <v>338</v>
      </c>
      <c r="AO22">
        <v>345</v>
      </c>
      <c r="AP22">
        <v>355</v>
      </c>
      <c r="AQ22">
        <v>375</v>
      </c>
      <c r="AR22">
        <v>405</v>
      </c>
      <c r="AS22">
        <v>440</v>
      </c>
      <c r="AT22">
        <v>475</v>
      </c>
      <c r="AU22">
        <v>510</v>
      </c>
      <c r="AV22">
        <v>545</v>
      </c>
    </row>
    <row r="23" spans="1:48" ht="21.5">
      <c r="A23" s="1133">
        <v>17</v>
      </c>
      <c r="B23" s="1136" t="s">
        <v>561</v>
      </c>
      <c r="C23" s="1138" t="s">
        <v>561</v>
      </c>
      <c r="G23" s="515" t="s">
        <v>2353</v>
      </c>
      <c r="H23">
        <v>256</v>
      </c>
      <c r="I23">
        <v>257</v>
      </c>
      <c r="J23">
        <v>259</v>
      </c>
      <c r="K23">
        <v>261</v>
      </c>
      <c r="L23">
        <v>263</v>
      </c>
      <c r="M23">
        <v>265</v>
      </c>
      <c r="N23">
        <v>267</v>
      </c>
      <c r="O23">
        <v>269</v>
      </c>
      <c r="P23">
        <v>272</v>
      </c>
      <c r="Q23">
        <v>275</v>
      </c>
      <c r="R23">
        <v>277</v>
      </c>
      <c r="S23">
        <v>280</v>
      </c>
      <c r="T23">
        <v>282</v>
      </c>
      <c r="U23">
        <v>285</v>
      </c>
      <c r="V23">
        <v>288</v>
      </c>
      <c r="W23">
        <v>290</v>
      </c>
      <c r="X23">
        <v>293</v>
      </c>
      <c r="Y23">
        <v>296</v>
      </c>
      <c r="Z23">
        <v>299</v>
      </c>
      <c r="AA23">
        <v>302</v>
      </c>
      <c r="AB23">
        <v>305</v>
      </c>
      <c r="AC23">
        <v>309</v>
      </c>
      <c r="AD23">
        <v>313</v>
      </c>
      <c r="AE23">
        <v>316</v>
      </c>
      <c r="AF23">
        <v>319</v>
      </c>
      <c r="AG23">
        <v>323</v>
      </c>
      <c r="AH23">
        <v>327</v>
      </c>
      <c r="AI23">
        <v>330</v>
      </c>
      <c r="AJ23">
        <v>334</v>
      </c>
      <c r="AK23">
        <v>338</v>
      </c>
      <c r="AL23">
        <v>347</v>
      </c>
      <c r="AM23">
        <v>365</v>
      </c>
      <c r="AN23">
        <v>389</v>
      </c>
      <c r="AO23">
        <v>414</v>
      </c>
      <c r="AP23">
        <v>439</v>
      </c>
      <c r="AQ23">
        <v>469</v>
      </c>
      <c r="AR23">
        <v>504</v>
      </c>
      <c r="AS23">
        <v>539</v>
      </c>
      <c r="AT23">
        <v>574</v>
      </c>
      <c r="AU23">
        <v>609</v>
      </c>
      <c r="AV23">
        <v>644</v>
      </c>
    </row>
    <row r="24" spans="1:48">
      <c r="A24" s="1133">
        <v>18</v>
      </c>
      <c r="B24" s="1136" t="s">
        <v>561</v>
      </c>
      <c r="C24" s="1138" t="s">
        <v>561</v>
      </c>
      <c r="G24" s="515"/>
      <c r="H24" s="515"/>
      <c r="P24" s="515"/>
      <c r="Q24" s="515"/>
      <c r="R24" s="515"/>
      <c r="S24" s="515"/>
      <c r="T24" s="515"/>
      <c r="U24" s="515"/>
    </row>
    <row r="25" spans="1:48">
      <c r="A25" s="1133">
        <v>19</v>
      </c>
      <c r="B25" s="1136" t="s">
        <v>561</v>
      </c>
      <c r="C25" s="1138" t="s">
        <v>561</v>
      </c>
      <c r="G25" s="515"/>
      <c r="H25" s="515"/>
      <c r="P25" s="515"/>
      <c r="Q25" s="515"/>
      <c r="R25" s="515"/>
      <c r="S25" s="515"/>
      <c r="T25" s="515"/>
      <c r="U25" s="515"/>
    </row>
    <row r="26" spans="1:48">
      <c r="A26" s="1133">
        <v>20</v>
      </c>
      <c r="B26" s="1136" t="s">
        <v>561</v>
      </c>
      <c r="C26" s="1138" t="s">
        <v>561</v>
      </c>
      <c r="G26" s="515"/>
      <c r="H26" s="515"/>
      <c r="P26" s="515"/>
      <c r="Q26" s="515"/>
      <c r="R26" s="515"/>
      <c r="S26" s="515"/>
      <c r="T26" s="515"/>
      <c r="U26" s="515"/>
    </row>
    <row r="27" spans="1:48">
      <c r="A27" s="1133">
        <v>21</v>
      </c>
      <c r="B27" s="1136" t="s">
        <v>561</v>
      </c>
      <c r="C27" s="1138" t="s">
        <v>561</v>
      </c>
      <c r="G27" s="515"/>
      <c r="H27" s="515"/>
      <c r="P27" s="515"/>
      <c r="Q27" s="515"/>
      <c r="R27" s="515"/>
      <c r="S27" s="515"/>
      <c r="T27" s="515"/>
      <c r="U27" s="515"/>
    </row>
    <row r="28" spans="1:48">
      <c r="A28" s="1133">
        <v>22</v>
      </c>
      <c r="B28" s="1136" t="s">
        <v>561</v>
      </c>
      <c r="C28" s="1138" t="s">
        <v>561</v>
      </c>
      <c r="G28" s="515"/>
      <c r="H28" s="515"/>
      <c r="P28" s="515"/>
      <c r="Q28" s="515"/>
      <c r="R28" s="515"/>
      <c r="S28" s="515"/>
      <c r="T28" s="515"/>
      <c r="U28" s="515"/>
    </row>
    <row r="29" spans="1:48">
      <c r="A29" s="1133">
        <v>23</v>
      </c>
      <c r="B29" s="1136" t="s">
        <v>561</v>
      </c>
      <c r="C29" s="1138" t="s">
        <v>561</v>
      </c>
      <c r="G29" s="515"/>
      <c r="H29" s="515"/>
      <c r="P29" s="515"/>
      <c r="Q29" s="515"/>
      <c r="R29" s="515"/>
      <c r="S29" s="515"/>
      <c r="T29" s="515"/>
      <c r="U29" s="515"/>
    </row>
    <row r="30" spans="1:48">
      <c r="A30" s="1133">
        <v>24</v>
      </c>
      <c r="B30" s="1136" t="s">
        <v>561</v>
      </c>
      <c r="C30" s="1138" t="s">
        <v>561</v>
      </c>
      <c r="G30" s="515"/>
      <c r="H30" s="515"/>
      <c r="P30" s="515"/>
      <c r="Q30" s="515"/>
      <c r="R30" s="515"/>
      <c r="S30" s="515"/>
      <c r="T30" s="515"/>
      <c r="U30" s="515"/>
    </row>
    <row r="31" spans="1:48" ht="21.5">
      <c r="A31" s="1133">
        <v>25</v>
      </c>
      <c r="B31" s="1643">
        <v>256</v>
      </c>
      <c r="C31" s="1642">
        <v>244</v>
      </c>
      <c r="G31" s="515"/>
      <c r="H31" s="515"/>
      <c r="P31" s="515"/>
      <c r="Q31" s="515"/>
      <c r="R31" s="515"/>
      <c r="S31" s="515"/>
      <c r="T31" s="515"/>
      <c r="U31" s="515"/>
    </row>
    <row r="32" spans="1:48" ht="21.5">
      <c r="A32" s="1133">
        <v>26</v>
      </c>
      <c r="B32" s="1643">
        <v>257</v>
      </c>
      <c r="C32" s="1642">
        <v>245</v>
      </c>
      <c r="G32" s="515"/>
      <c r="H32" s="515"/>
      <c r="P32" s="515"/>
      <c r="Q32" s="515"/>
      <c r="R32" s="515"/>
      <c r="S32" s="515"/>
      <c r="T32" s="515"/>
      <c r="U32" s="515"/>
    </row>
    <row r="33" spans="1:21" ht="21.5">
      <c r="A33" s="1133">
        <v>27</v>
      </c>
      <c r="B33" s="1643">
        <v>259</v>
      </c>
      <c r="C33" s="1642">
        <v>247</v>
      </c>
      <c r="G33" s="515"/>
      <c r="H33" s="515"/>
      <c r="P33" s="515"/>
      <c r="Q33" s="515"/>
      <c r="R33" s="515"/>
      <c r="S33" s="515"/>
      <c r="T33" s="515"/>
      <c r="U33" s="515"/>
    </row>
    <row r="34" spans="1:21" ht="21.5">
      <c r="A34" s="1133">
        <v>28</v>
      </c>
      <c r="B34" s="1643">
        <v>261</v>
      </c>
      <c r="C34" s="1642">
        <v>249</v>
      </c>
      <c r="G34" s="515"/>
      <c r="H34" s="515"/>
      <c r="P34" s="515"/>
      <c r="Q34" s="515"/>
      <c r="R34" s="515"/>
      <c r="S34" s="515"/>
      <c r="T34" s="515"/>
      <c r="U34" s="515"/>
    </row>
    <row r="35" spans="1:21" ht="21.5">
      <c r="A35" s="1133">
        <v>29</v>
      </c>
      <c r="B35" s="1643">
        <v>263</v>
      </c>
      <c r="C35" s="1642">
        <v>251</v>
      </c>
      <c r="G35" s="515"/>
      <c r="H35" s="515"/>
      <c r="P35" s="515"/>
      <c r="Q35" s="515"/>
      <c r="R35" s="515"/>
      <c r="S35" s="515"/>
      <c r="T35" s="515"/>
      <c r="U35" s="515"/>
    </row>
    <row r="36" spans="1:21" ht="21.5">
      <c r="A36" s="1133">
        <v>30</v>
      </c>
      <c r="B36" s="1643">
        <v>265</v>
      </c>
      <c r="C36" s="1642">
        <v>253</v>
      </c>
      <c r="G36" s="515"/>
      <c r="H36" s="515"/>
      <c r="P36" s="515"/>
      <c r="Q36" s="515"/>
      <c r="R36" s="515"/>
      <c r="S36" s="515"/>
      <c r="T36" s="515"/>
      <c r="U36" s="515"/>
    </row>
    <row r="37" spans="1:21" ht="21.5">
      <c r="A37" s="1133">
        <v>31</v>
      </c>
      <c r="B37" s="1643">
        <v>267</v>
      </c>
      <c r="C37" s="1642">
        <v>254</v>
      </c>
      <c r="G37" s="515"/>
      <c r="H37" s="515"/>
      <c r="P37" s="515"/>
      <c r="Q37" s="515"/>
      <c r="R37" s="515"/>
      <c r="S37" s="515"/>
      <c r="T37" s="515"/>
      <c r="U37" s="515"/>
    </row>
    <row r="38" spans="1:21" ht="21.5">
      <c r="A38" s="1133">
        <v>32</v>
      </c>
      <c r="B38" s="1643">
        <v>269</v>
      </c>
      <c r="C38" s="1642">
        <v>256</v>
      </c>
      <c r="G38" s="515"/>
      <c r="H38" s="515"/>
      <c r="P38" s="515"/>
      <c r="Q38" s="515"/>
      <c r="R38" s="515"/>
      <c r="S38" s="515"/>
      <c r="T38" s="515"/>
      <c r="U38" s="515"/>
    </row>
    <row r="39" spans="1:21" ht="21.5">
      <c r="A39" s="1133">
        <v>33</v>
      </c>
      <c r="B39" s="1643">
        <v>272</v>
      </c>
      <c r="C39" s="1642">
        <v>259</v>
      </c>
      <c r="G39" s="515"/>
      <c r="H39" s="515"/>
      <c r="P39" s="515"/>
      <c r="Q39" s="515"/>
      <c r="R39" s="515"/>
      <c r="S39" s="515"/>
      <c r="T39" s="515"/>
      <c r="U39" s="515"/>
    </row>
    <row r="40" spans="1:21" ht="21.5">
      <c r="A40" s="1133">
        <v>34</v>
      </c>
      <c r="B40" s="1643">
        <v>275</v>
      </c>
      <c r="C40" s="1642">
        <v>261</v>
      </c>
      <c r="G40" s="515"/>
      <c r="H40" s="515"/>
      <c r="P40" s="515"/>
      <c r="Q40" s="515"/>
      <c r="R40" s="515"/>
      <c r="S40" s="515"/>
      <c r="T40" s="515"/>
      <c r="U40" s="515"/>
    </row>
    <row r="41" spans="1:21" ht="21.5">
      <c r="A41" s="1133">
        <v>35</v>
      </c>
      <c r="B41" s="1643">
        <v>277</v>
      </c>
      <c r="C41" s="1642">
        <v>263</v>
      </c>
      <c r="G41" s="515"/>
      <c r="H41" s="515"/>
      <c r="P41" s="515"/>
      <c r="Q41" s="515"/>
      <c r="R41" s="515"/>
      <c r="S41" s="515"/>
      <c r="T41" s="515"/>
      <c r="U41" s="515"/>
    </row>
    <row r="42" spans="1:21" ht="21.5">
      <c r="A42" s="1133">
        <v>36</v>
      </c>
      <c r="B42" s="1643">
        <v>280</v>
      </c>
      <c r="C42" s="1642">
        <v>265</v>
      </c>
      <c r="G42" s="515"/>
      <c r="H42" s="515"/>
      <c r="P42" s="515"/>
      <c r="Q42" s="515"/>
      <c r="R42" s="515"/>
      <c r="S42" s="515"/>
      <c r="T42" s="515"/>
      <c r="U42" s="515"/>
    </row>
    <row r="43" spans="1:21" ht="21.5">
      <c r="A43" s="1133">
        <v>37</v>
      </c>
      <c r="B43" s="1643">
        <v>282</v>
      </c>
      <c r="C43" s="1642">
        <v>267</v>
      </c>
      <c r="G43" s="515"/>
      <c r="H43" s="515"/>
      <c r="P43" s="515"/>
      <c r="Q43" s="515"/>
      <c r="R43" s="515"/>
      <c r="S43" s="515"/>
      <c r="T43" s="515"/>
      <c r="U43" s="515"/>
    </row>
    <row r="44" spans="1:21" ht="21.5">
      <c r="A44" s="1133">
        <v>38</v>
      </c>
      <c r="B44" s="1643">
        <v>285</v>
      </c>
      <c r="C44" s="1642">
        <v>270</v>
      </c>
      <c r="G44" s="515"/>
      <c r="H44" s="515"/>
      <c r="P44" s="515"/>
      <c r="Q44" s="515"/>
      <c r="R44" s="515"/>
      <c r="S44" s="515"/>
      <c r="T44" s="515"/>
      <c r="U44" s="515"/>
    </row>
    <row r="45" spans="1:21" ht="21.5">
      <c r="A45" s="1133">
        <v>39</v>
      </c>
      <c r="B45" s="1643">
        <v>288</v>
      </c>
      <c r="C45" s="1642">
        <v>273</v>
      </c>
      <c r="G45" s="515"/>
      <c r="H45" s="515"/>
      <c r="P45" s="515"/>
      <c r="Q45" s="515"/>
      <c r="R45" s="515"/>
      <c r="S45" s="515"/>
      <c r="T45" s="515"/>
      <c r="U45" s="515"/>
    </row>
    <row r="46" spans="1:21" ht="21.5">
      <c r="A46" s="1133">
        <v>40</v>
      </c>
      <c r="B46" s="1643">
        <v>290</v>
      </c>
      <c r="C46" s="1642">
        <v>276</v>
      </c>
      <c r="G46" s="515"/>
      <c r="H46" s="515"/>
      <c r="P46" s="515"/>
      <c r="Q46" s="515"/>
      <c r="R46" s="515"/>
      <c r="S46" s="515"/>
      <c r="T46" s="515"/>
      <c r="U46" s="515"/>
    </row>
    <row r="47" spans="1:21" ht="21.5">
      <c r="A47" s="1133">
        <v>41</v>
      </c>
      <c r="B47" s="1643">
        <v>293</v>
      </c>
      <c r="C47" s="1642">
        <v>278</v>
      </c>
      <c r="G47" s="515"/>
      <c r="H47" s="515"/>
      <c r="P47" s="515"/>
      <c r="Q47" s="515"/>
      <c r="R47" s="515"/>
      <c r="S47" s="515"/>
      <c r="T47" s="515"/>
      <c r="U47" s="515"/>
    </row>
    <row r="48" spans="1:21" ht="21.5">
      <c r="A48" s="1133">
        <v>42</v>
      </c>
      <c r="B48" s="1643">
        <v>296</v>
      </c>
      <c r="C48" s="1642">
        <v>281</v>
      </c>
      <c r="G48" s="515"/>
      <c r="H48" s="515"/>
      <c r="P48" s="515"/>
      <c r="Q48" s="515"/>
      <c r="R48" s="515"/>
      <c r="S48" s="515"/>
      <c r="T48" s="515"/>
      <c r="U48" s="515"/>
    </row>
    <row r="49" spans="1:21" ht="21.5">
      <c r="A49" s="1133">
        <v>43</v>
      </c>
      <c r="B49" s="1643">
        <v>299</v>
      </c>
      <c r="C49" s="1642">
        <v>284</v>
      </c>
      <c r="G49" s="515"/>
      <c r="H49" s="515"/>
      <c r="P49" s="515"/>
      <c r="Q49" s="515"/>
      <c r="R49" s="515"/>
      <c r="S49" s="515"/>
      <c r="T49" s="515"/>
      <c r="U49" s="515"/>
    </row>
    <row r="50" spans="1:21" ht="21.5">
      <c r="A50" s="1133">
        <v>44</v>
      </c>
      <c r="B50" s="1643">
        <v>302</v>
      </c>
      <c r="C50" s="1642">
        <v>287</v>
      </c>
      <c r="G50" s="515"/>
      <c r="H50" s="515"/>
      <c r="P50" s="515"/>
      <c r="Q50" s="515"/>
      <c r="R50" s="515"/>
      <c r="S50" s="515"/>
      <c r="T50" s="515"/>
      <c r="U50" s="515"/>
    </row>
    <row r="51" spans="1:21" ht="21.5">
      <c r="A51" s="1133">
        <v>45</v>
      </c>
      <c r="B51" s="1643">
        <v>305</v>
      </c>
      <c r="C51" s="1642">
        <v>289</v>
      </c>
      <c r="G51" s="515"/>
      <c r="H51" s="515"/>
      <c r="P51" s="515"/>
      <c r="Q51" s="515"/>
      <c r="R51" s="515"/>
      <c r="S51" s="515"/>
      <c r="T51" s="515"/>
      <c r="U51" s="515"/>
    </row>
    <row r="52" spans="1:21" ht="21.5">
      <c r="A52" s="1133">
        <v>46</v>
      </c>
      <c r="B52" s="1643">
        <v>309</v>
      </c>
      <c r="C52" s="1642">
        <v>292</v>
      </c>
      <c r="G52" s="515"/>
      <c r="H52" s="515"/>
      <c r="P52" s="515"/>
      <c r="Q52" s="515"/>
      <c r="R52" s="515"/>
      <c r="S52" s="515"/>
      <c r="T52" s="515"/>
      <c r="U52" s="515"/>
    </row>
    <row r="53" spans="1:21" ht="21.5">
      <c r="A53" s="1133">
        <v>47</v>
      </c>
      <c r="B53" s="1643">
        <v>313</v>
      </c>
      <c r="C53" s="1642">
        <v>295</v>
      </c>
      <c r="G53" s="515"/>
      <c r="H53" s="515"/>
      <c r="P53" s="515"/>
      <c r="Q53" s="515"/>
      <c r="R53" s="515"/>
      <c r="S53" s="515"/>
      <c r="T53" s="515"/>
      <c r="U53" s="515"/>
    </row>
    <row r="54" spans="1:21" ht="21.5">
      <c r="A54" s="1133">
        <v>48</v>
      </c>
      <c r="B54" s="1643">
        <v>316</v>
      </c>
      <c r="C54" s="1642">
        <v>299</v>
      </c>
      <c r="G54" s="515"/>
      <c r="H54" s="515"/>
      <c r="P54" s="515"/>
      <c r="Q54" s="515"/>
      <c r="R54" s="515"/>
      <c r="S54" s="515"/>
      <c r="T54" s="515"/>
      <c r="U54" s="515"/>
    </row>
    <row r="55" spans="1:21" ht="21.5">
      <c r="A55" s="1133">
        <v>49</v>
      </c>
      <c r="B55" s="1643">
        <v>319</v>
      </c>
      <c r="C55" s="1642">
        <v>303</v>
      </c>
      <c r="G55" s="515"/>
      <c r="H55" s="515"/>
      <c r="P55" s="515"/>
      <c r="Q55" s="515"/>
      <c r="R55" s="515"/>
      <c r="S55" s="515"/>
      <c r="T55" s="515"/>
      <c r="U55" s="515"/>
    </row>
    <row r="56" spans="1:21" ht="21.5">
      <c r="A56" s="1133">
        <v>50</v>
      </c>
      <c r="B56" s="1643">
        <v>323</v>
      </c>
      <c r="C56" s="1642">
        <v>307</v>
      </c>
      <c r="G56" s="515"/>
      <c r="H56" s="515"/>
      <c r="P56" s="515"/>
      <c r="Q56" s="515"/>
      <c r="R56" s="515"/>
      <c r="S56" s="515"/>
      <c r="T56" s="515"/>
      <c r="U56" s="515"/>
    </row>
    <row r="57" spans="1:21" ht="21.5">
      <c r="A57" s="1133">
        <v>51</v>
      </c>
      <c r="B57" s="1643">
        <v>327</v>
      </c>
      <c r="C57" s="1642">
        <v>311</v>
      </c>
      <c r="G57" s="515"/>
      <c r="H57" s="515"/>
      <c r="P57" s="515"/>
      <c r="Q57" s="515"/>
      <c r="R57" s="515"/>
      <c r="S57" s="515"/>
      <c r="T57" s="515"/>
      <c r="U57" s="515"/>
    </row>
    <row r="58" spans="1:21" ht="21.5">
      <c r="A58" s="1133">
        <v>52</v>
      </c>
      <c r="B58" s="1643">
        <v>330</v>
      </c>
      <c r="C58" s="1642">
        <v>315</v>
      </c>
      <c r="G58" s="515"/>
      <c r="H58" s="515"/>
      <c r="P58" s="515"/>
      <c r="Q58" s="515"/>
      <c r="R58" s="515"/>
      <c r="S58" s="515"/>
      <c r="T58" s="515"/>
      <c r="U58" s="515"/>
    </row>
    <row r="59" spans="1:21" ht="21.5">
      <c r="A59" s="1133">
        <v>53</v>
      </c>
      <c r="B59" s="1643">
        <v>334</v>
      </c>
      <c r="C59" s="1642">
        <v>319</v>
      </c>
      <c r="G59" s="515"/>
      <c r="H59" s="515"/>
    </row>
    <row r="60" spans="1:21" ht="21.5">
      <c r="A60" s="1133">
        <v>54</v>
      </c>
      <c r="B60" s="1643">
        <v>338</v>
      </c>
      <c r="C60" s="1642">
        <v>323</v>
      </c>
      <c r="G60" s="515"/>
      <c r="H60" s="515"/>
    </row>
    <row r="61" spans="1:21" ht="21.5">
      <c r="A61" s="1133">
        <v>55</v>
      </c>
      <c r="B61" s="1643">
        <v>347</v>
      </c>
      <c r="C61" s="1642">
        <v>327</v>
      </c>
      <c r="G61" s="515"/>
      <c r="H61" s="515"/>
    </row>
    <row r="62" spans="1:21" ht="21.5">
      <c r="A62" s="1133">
        <v>56</v>
      </c>
      <c r="B62" s="1643">
        <v>365</v>
      </c>
      <c r="C62" s="1642">
        <v>332</v>
      </c>
      <c r="G62" s="515"/>
      <c r="H62" s="515"/>
    </row>
    <row r="63" spans="1:21" ht="21.5">
      <c r="A63" s="1133">
        <v>57</v>
      </c>
      <c r="B63" s="1643">
        <v>389</v>
      </c>
      <c r="C63" s="1642">
        <v>338</v>
      </c>
      <c r="G63" s="515"/>
      <c r="H63" s="515"/>
    </row>
    <row r="64" spans="1:21" ht="21.5">
      <c r="A64" s="1133">
        <v>58</v>
      </c>
      <c r="B64" s="1643">
        <v>414</v>
      </c>
      <c r="C64" s="1642">
        <v>345</v>
      </c>
      <c r="G64" s="515"/>
      <c r="H64" s="515"/>
    </row>
    <row r="65" spans="1:8" ht="21.5">
      <c r="A65" s="1133">
        <v>59</v>
      </c>
      <c r="B65" s="1643">
        <v>439</v>
      </c>
      <c r="C65" s="1642">
        <v>355</v>
      </c>
      <c r="G65" s="515"/>
      <c r="H65" s="515"/>
    </row>
    <row r="66" spans="1:8" ht="21.5">
      <c r="A66" s="1133">
        <v>60</v>
      </c>
      <c r="B66" s="1643">
        <v>469</v>
      </c>
      <c r="C66" s="1642">
        <v>375</v>
      </c>
      <c r="G66" s="515"/>
      <c r="H66" s="515"/>
    </row>
    <row r="67" spans="1:8" ht="21.5">
      <c r="A67" s="1133">
        <v>61</v>
      </c>
      <c r="B67" s="1643">
        <v>504</v>
      </c>
      <c r="C67" s="1642">
        <v>405</v>
      </c>
      <c r="G67" s="515"/>
      <c r="H67" s="515"/>
    </row>
    <row r="68" spans="1:8" ht="21.5">
      <c r="A68" s="1133">
        <v>62</v>
      </c>
      <c r="B68" s="1643">
        <v>539</v>
      </c>
      <c r="C68" s="1642">
        <v>440</v>
      </c>
      <c r="G68" s="515"/>
      <c r="H68" s="515"/>
    </row>
    <row r="69" spans="1:8" ht="21.5">
      <c r="A69" s="1133">
        <v>63</v>
      </c>
      <c r="B69" s="1643">
        <v>574</v>
      </c>
      <c r="C69" s="1642">
        <v>475</v>
      </c>
      <c r="G69" s="515"/>
      <c r="H69" s="515"/>
    </row>
    <row r="70" spans="1:8" ht="21.5">
      <c r="A70" s="1133">
        <v>64</v>
      </c>
      <c r="B70" s="1643">
        <v>609</v>
      </c>
      <c r="C70" s="1642">
        <v>510</v>
      </c>
      <c r="G70" s="515"/>
      <c r="H70" s="515"/>
    </row>
    <row r="71" spans="1:8" ht="21.5">
      <c r="A71" s="1133">
        <v>65</v>
      </c>
      <c r="B71" s="1643">
        <v>644</v>
      </c>
      <c r="C71" s="1642">
        <v>545</v>
      </c>
      <c r="G71" s="515"/>
      <c r="H71" s="515"/>
    </row>
    <row r="72" spans="1:8">
      <c r="A72" s="1133">
        <v>66</v>
      </c>
      <c r="B72" s="1136" t="s">
        <v>561</v>
      </c>
      <c r="C72" s="1138" t="s">
        <v>561</v>
      </c>
      <c r="G72" s="515"/>
      <c r="H72" s="515"/>
    </row>
    <row r="73" spans="1:8">
      <c r="A73" s="1133">
        <v>67</v>
      </c>
      <c r="B73" s="1136" t="s">
        <v>561</v>
      </c>
      <c r="C73" s="1138" t="s">
        <v>561</v>
      </c>
      <c r="G73" s="515"/>
      <c r="H73" s="515"/>
    </row>
    <row r="74" spans="1:8">
      <c r="A74" s="1133">
        <v>68</v>
      </c>
      <c r="B74" s="1136" t="s">
        <v>561</v>
      </c>
      <c r="C74" s="1138" t="s">
        <v>561</v>
      </c>
      <c r="G74" s="515"/>
      <c r="H74" s="515"/>
    </row>
    <row r="75" spans="1:8">
      <c r="A75" s="1133">
        <v>69</v>
      </c>
      <c r="B75" s="1136" t="s">
        <v>561</v>
      </c>
      <c r="C75" s="1138" t="s">
        <v>561</v>
      </c>
    </row>
    <row r="76" spans="1:8">
      <c r="A76" s="1133">
        <v>70</v>
      </c>
      <c r="B76" s="1136" t="s">
        <v>561</v>
      </c>
      <c r="C76" s="1138" t="s">
        <v>561</v>
      </c>
    </row>
    <row r="77" spans="1:8">
      <c r="A77" s="1133">
        <v>71</v>
      </c>
      <c r="B77" s="1136" t="s">
        <v>561</v>
      </c>
      <c r="C77" s="1138" t="s">
        <v>561</v>
      </c>
    </row>
    <row r="78" spans="1:8">
      <c r="A78" s="1133">
        <v>72</v>
      </c>
      <c r="B78" s="1136" t="s">
        <v>561</v>
      </c>
      <c r="C78" s="1138" t="s">
        <v>561</v>
      </c>
    </row>
    <row r="79" spans="1:8">
      <c r="A79" s="1133">
        <v>73</v>
      </c>
      <c r="B79" s="1136" t="s">
        <v>561</v>
      </c>
      <c r="C79" s="1138" t="s">
        <v>561</v>
      </c>
    </row>
    <row r="80" spans="1:8">
      <c r="A80" s="1133">
        <v>74</v>
      </c>
      <c r="B80" s="1136" t="s">
        <v>561</v>
      </c>
      <c r="C80" s="1138" t="s">
        <v>561</v>
      </c>
    </row>
    <row r="81" spans="1:3">
      <c r="A81" s="1133">
        <v>75</v>
      </c>
      <c r="B81" s="1136" t="s">
        <v>561</v>
      </c>
      <c r="C81" s="1138" t="s">
        <v>561</v>
      </c>
    </row>
    <row r="82" spans="1:3">
      <c r="A82" s="1133">
        <v>76</v>
      </c>
      <c r="B82" s="1136" t="s">
        <v>561</v>
      </c>
      <c r="C82" s="1138" t="s">
        <v>561</v>
      </c>
    </row>
    <row r="83" spans="1:3">
      <c r="A83" s="1133">
        <v>77</v>
      </c>
      <c r="B83" s="1136" t="s">
        <v>561</v>
      </c>
      <c r="C83" s="1138" t="s">
        <v>561</v>
      </c>
    </row>
    <row r="84" spans="1:3">
      <c r="A84" s="1133">
        <v>78</v>
      </c>
      <c r="B84" s="1136" t="s">
        <v>561</v>
      </c>
      <c r="C84" s="1138" t="s">
        <v>561</v>
      </c>
    </row>
    <row r="85" spans="1:3">
      <c r="A85" s="1133">
        <v>79</v>
      </c>
      <c r="B85" s="1136" t="s">
        <v>561</v>
      </c>
      <c r="C85" s="1138" t="s">
        <v>561</v>
      </c>
    </row>
    <row r="86" spans="1:3">
      <c r="A86" s="1133">
        <v>80</v>
      </c>
      <c r="B86" s="1136" t="s">
        <v>561</v>
      </c>
      <c r="C86" s="1138" t="s">
        <v>561</v>
      </c>
    </row>
    <row r="87" spans="1:3">
      <c r="A87" s="1133"/>
      <c r="B87" s="1136"/>
      <c r="C87" s="1138"/>
    </row>
    <row r="88" spans="1:3">
      <c r="A88" s="1133"/>
      <c r="B88" s="1136"/>
      <c r="C88" s="1138"/>
    </row>
    <row r="89" spans="1:3">
      <c r="A89" s="1133"/>
      <c r="B89" s="1136"/>
      <c r="C89" s="1138"/>
    </row>
    <row r="90" spans="1:3">
      <c r="A90" s="1133"/>
      <c r="B90" s="1136"/>
      <c r="C90" s="1138"/>
    </row>
    <row r="91" spans="1:3">
      <c r="A91" s="1133"/>
      <c r="B91" s="1136"/>
      <c r="C91" s="1138"/>
    </row>
    <row r="92" spans="1:3">
      <c r="A92" s="1133"/>
      <c r="B92" s="1136"/>
      <c r="C92" s="1138"/>
    </row>
    <row r="93" spans="1:3">
      <c r="A93" s="1133"/>
      <c r="B93" s="1136"/>
      <c r="C93" s="1138"/>
    </row>
    <row r="94" spans="1:3">
      <c r="A94" s="1133"/>
      <c r="B94" s="1136"/>
      <c r="C94" s="1138"/>
    </row>
    <row r="95" spans="1:3">
      <c r="A95" s="1133"/>
      <c r="B95" s="1136"/>
      <c r="C95" s="1138"/>
    </row>
    <row r="96" spans="1:3">
      <c r="A96" s="1133"/>
      <c r="B96" s="1136"/>
      <c r="C96" s="1138"/>
    </row>
    <row r="97" spans="1:3">
      <c r="A97" s="1133"/>
      <c r="B97" s="1136"/>
      <c r="C97" s="1138"/>
    </row>
    <row r="98" spans="1:3">
      <c r="A98" s="1133"/>
      <c r="B98" s="1136"/>
      <c r="C98" s="1138"/>
    </row>
    <row r="99" spans="1:3">
      <c r="A99" s="1133"/>
      <c r="B99" s="1136"/>
      <c r="C99" s="1138"/>
    </row>
    <row r="100" spans="1:3">
      <c r="A100" s="1133"/>
      <c r="B100" s="1136"/>
      <c r="C100" s="1138"/>
    </row>
    <row r="101" spans="1:3">
      <c r="A101" s="1133"/>
      <c r="B101" s="1136"/>
      <c r="C101" s="1138"/>
    </row>
    <row r="102" spans="1:3">
      <c r="A102" s="1133"/>
      <c r="B102" s="1136"/>
      <c r="C102" s="1138"/>
    </row>
    <row r="103" spans="1:3">
      <c r="A103" s="1133"/>
      <c r="B103" s="1136"/>
      <c r="C103" s="1138"/>
    </row>
    <row r="104" spans="1:3">
      <c r="A104" s="1133"/>
      <c r="B104" s="1136"/>
      <c r="C104" s="1138"/>
    </row>
    <row r="105" spans="1:3">
      <c r="A105" s="1133"/>
      <c r="B105" s="1136"/>
      <c r="C105" s="1138"/>
    </row>
    <row r="106" spans="1:3">
      <c r="A106" s="1133"/>
      <c r="B106" s="1136"/>
      <c r="C106" s="1138"/>
    </row>
    <row r="107" spans="1:3">
      <c r="A107" s="1133"/>
      <c r="B107" s="1136"/>
      <c r="C107" s="1138"/>
    </row>
    <row r="108" spans="1:3">
      <c r="A108" s="1133"/>
      <c r="B108" s="1136"/>
      <c r="C108" s="1138"/>
    </row>
    <row r="109" spans="1:3">
      <c r="A109" s="1133"/>
      <c r="B109" s="1136"/>
      <c r="C109" s="1138"/>
    </row>
    <row r="110" spans="1:3">
      <c r="A110" s="1133"/>
      <c r="B110" s="1136"/>
      <c r="C110" s="1138"/>
    </row>
    <row r="111" spans="1:3">
      <c r="A111" s="1133"/>
      <c r="B111" s="1136"/>
      <c r="C111" s="1138"/>
    </row>
    <row r="112" spans="1:3">
      <c r="A112" s="1133"/>
      <c r="B112" s="1136"/>
      <c r="C112" s="1138"/>
    </row>
    <row r="113" spans="1:3">
      <c r="A113" s="1133"/>
      <c r="B113" s="1136"/>
      <c r="C113" s="1138"/>
    </row>
    <row r="114" spans="1:3">
      <c r="A114" s="1133"/>
      <c r="B114" s="1136"/>
      <c r="C114" s="1138"/>
    </row>
    <row r="115" spans="1:3">
      <c r="A115" s="1133"/>
      <c r="B115" s="1136"/>
      <c r="C115" s="1138"/>
    </row>
    <row r="116" spans="1:3">
      <c r="A116" s="1133"/>
      <c r="B116" s="1136"/>
      <c r="C116" s="1138"/>
    </row>
    <row r="117" spans="1:3">
      <c r="A117" s="1133"/>
      <c r="B117" s="1136"/>
      <c r="C117" s="1138"/>
    </row>
    <row r="118" spans="1:3">
      <c r="A118" s="1133"/>
      <c r="B118" s="1136"/>
      <c r="C118" s="1138"/>
    </row>
    <row r="119" spans="1:3">
      <c r="A119" s="1133"/>
      <c r="B119" s="1136"/>
      <c r="C119" s="1138"/>
    </row>
    <row r="120" spans="1:3">
      <c r="A120" s="1133"/>
      <c r="B120" s="1136"/>
      <c r="C120" s="1138"/>
    </row>
    <row r="121" spans="1:3">
      <c r="A121" s="1133"/>
      <c r="B121" s="1136"/>
      <c r="C121" s="1138"/>
    </row>
    <row r="122" spans="1:3">
      <c r="A122" s="1133"/>
      <c r="B122" s="1136"/>
      <c r="C122" s="1138"/>
    </row>
    <row r="123" spans="1:3">
      <c r="A123" s="1133"/>
      <c r="B123" s="1136"/>
      <c r="C123" s="1138"/>
    </row>
    <row r="124" spans="1:3">
      <c r="A124" s="1133"/>
      <c r="B124" s="1136"/>
      <c r="C124" s="1138"/>
    </row>
    <row r="125" spans="1:3">
      <c r="A125" s="1133"/>
      <c r="B125" s="1136"/>
      <c r="C125" s="1138"/>
    </row>
    <row r="126" spans="1:3">
      <c r="A126" s="1133"/>
      <c r="B126" s="1136"/>
      <c r="C126" s="1138"/>
    </row>
    <row r="127" spans="1:3">
      <c r="A127" s="1133"/>
      <c r="B127" s="1136"/>
      <c r="C127" s="1138"/>
    </row>
    <row r="128" spans="1:3">
      <c r="A128" s="1133"/>
      <c r="B128" s="1136"/>
      <c r="C128" s="1138"/>
    </row>
    <row r="129" spans="1:3">
      <c r="A129" s="1133"/>
      <c r="B129" s="1136"/>
      <c r="C129" s="1138"/>
    </row>
    <row r="130" spans="1:3">
      <c r="A130" s="1133"/>
      <c r="B130" s="1136"/>
      <c r="C130" s="1138"/>
    </row>
    <row r="131" spans="1:3">
      <c r="A131" s="1133"/>
      <c r="B131" s="1136"/>
      <c r="C131" s="1138"/>
    </row>
    <row r="132" spans="1:3">
      <c r="A132" s="1133"/>
      <c r="B132" s="1136"/>
      <c r="C132" s="1138"/>
    </row>
    <row r="133" spans="1:3">
      <c r="A133" s="1133"/>
      <c r="B133" s="1136"/>
      <c r="C133" s="1138"/>
    </row>
    <row r="134" spans="1:3">
      <c r="A134" s="1133"/>
      <c r="B134" s="1136"/>
      <c r="C134" s="1138"/>
    </row>
    <row r="135" spans="1:3">
      <c r="A135" s="1133"/>
      <c r="B135" s="1136"/>
      <c r="C135" s="1138"/>
    </row>
    <row r="136" spans="1:3">
      <c r="A136" s="1133"/>
      <c r="B136" s="1136"/>
      <c r="C136" s="1138"/>
    </row>
    <row r="137" spans="1:3">
      <c r="A137" s="1133"/>
      <c r="B137" s="1136"/>
      <c r="C137" s="1138"/>
    </row>
    <row r="138" spans="1:3">
      <c r="A138" s="1133"/>
      <c r="B138" s="1136"/>
      <c r="C138" s="1138"/>
    </row>
    <row r="139" spans="1:3">
      <c r="A139" s="1133"/>
      <c r="B139" s="1136"/>
      <c r="C139" s="1138"/>
    </row>
    <row r="140" spans="1:3">
      <c r="A140" s="1133"/>
      <c r="B140" s="1136"/>
      <c r="C140" s="1138"/>
    </row>
    <row r="141" spans="1:3">
      <c r="A141" s="1133"/>
      <c r="B141" s="1136"/>
      <c r="C141" s="1138"/>
    </row>
    <row r="142" spans="1:3">
      <c r="A142" s="1133"/>
      <c r="B142" s="1136"/>
      <c r="C142" s="1138"/>
    </row>
    <row r="143" spans="1:3">
      <c r="A143" s="1133"/>
      <c r="B143" s="1136"/>
      <c r="C143" s="1138"/>
    </row>
    <row r="144" spans="1:3">
      <c r="A144" s="1133"/>
      <c r="B144" s="1136"/>
      <c r="C144" s="1138"/>
    </row>
    <row r="145" spans="1:3">
      <c r="A145" s="1133"/>
      <c r="B145" s="1136"/>
      <c r="C145" s="1138"/>
    </row>
    <row r="146" spans="1:3">
      <c r="A146" s="1133"/>
      <c r="B146" s="1136"/>
      <c r="C146" s="1138"/>
    </row>
    <row r="147" spans="1:3">
      <c r="A147" s="1133"/>
      <c r="B147" s="1136"/>
      <c r="C147" s="1138"/>
    </row>
    <row r="148" spans="1:3">
      <c r="A148" s="1133"/>
      <c r="B148" s="1136"/>
      <c r="C148" s="1138"/>
    </row>
    <row r="149" spans="1:3">
      <c r="A149" s="1133"/>
      <c r="B149" s="1136"/>
      <c r="C149" s="1138"/>
    </row>
    <row r="150" spans="1:3">
      <c r="A150" s="1133"/>
      <c r="B150" s="1136"/>
      <c r="C150" s="1138"/>
    </row>
    <row r="151" spans="1:3">
      <c r="A151" s="1133"/>
      <c r="B151" s="1136"/>
      <c r="C151" s="1138"/>
    </row>
    <row r="152" spans="1:3">
      <c r="A152" s="1133"/>
      <c r="B152" s="1136"/>
      <c r="C152" s="1138"/>
    </row>
    <row r="153" spans="1:3">
      <c r="A153" s="1133"/>
      <c r="B153" s="1136"/>
      <c r="C153" s="1138"/>
    </row>
    <row r="154" spans="1:3">
      <c r="A154" s="1133"/>
      <c r="B154" s="1136"/>
      <c r="C154" s="1138"/>
    </row>
    <row r="155" spans="1:3">
      <c r="A155" s="1133"/>
      <c r="B155" s="1136"/>
      <c r="C155" s="1138"/>
    </row>
    <row r="156" spans="1:3">
      <c r="A156" s="1133"/>
      <c r="B156" s="1136"/>
      <c r="C156" s="1138"/>
    </row>
    <row r="157" spans="1:3">
      <c r="A157" s="1133"/>
      <c r="B157" s="1136"/>
      <c r="C157" s="1138"/>
    </row>
    <row r="158" spans="1:3">
      <c r="A158" s="1133"/>
      <c r="B158" s="1136"/>
      <c r="C158" s="1138"/>
    </row>
    <row r="159" spans="1:3">
      <c r="A159" s="1133"/>
      <c r="B159" s="1136"/>
      <c r="C159" s="1138"/>
    </row>
    <row r="160" spans="1:3">
      <c r="A160" s="1133"/>
      <c r="B160" s="1136"/>
      <c r="C160" s="1138"/>
    </row>
    <row r="161" spans="1:3">
      <c r="A161" s="1133"/>
      <c r="B161" s="1136"/>
      <c r="C161" s="1138"/>
    </row>
    <row r="162" spans="1:3">
      <c r="A162" s="1133"/>
      <c r="B162" s="1136"/>
      <c r="C162" s="1138"/>
    </row>
    <row r="163" spans="1:3">
      <c r="A163" s="1133"/>
      <c r="B163" s="1136"/>
      <c r="C163" s="1138"/>
    </row>
    <row r="164" spans="1:3">
      <c r="A164" s="1133"/>
      <c r="B164" s="1136"/>
      <c r="C164" s="1138"/>
    </row>
    <row r="165" spans="1:3">
      <c r="A165" s="1133"/>
      <c r="B165" s="1136"/>
      <c r="C165" s="1138"/>
    </row>
    <row r="166" spans="1:3">
      <c r="A166" s="1133"/>
      <c r="B166" s="1136"/>
      <c r="C166" s="1138"/>
    </row>
    <row r="167" spans="1:3">
      <c r="A167" s="1133"/>
      <c r="B167" s="1136"/>
      <c r="C167" s="1138"/>
    </row>
    <row r="168" spans="1:3">
      <c r="A168" s="1133"/>
      <c r="B168" s="1136"/>
      <c r="C168" s="1138"/>
    </row>
    <row r="169" spans="1:3">
      <c r="A169" s="1133"/>
      <c r="B169" s="1136"/>
      <c r="C169" s="1138"/>
    </row>
    <row r="170" spans="1:3">
      <c r="A170" s="1133"/>
      <c r="B170" s="1136"/>
      <c r="C170" s="1138"/>
    </row>
    <row r="171" spans="1:3">
      <c r="A171" s="1133"/>
      <c r="B171" s="1136"/>
      <c r="C171" s="1138"/>
    </row>
    <row r="172" spans="1:3">
      <c r="A172" s="1133"/>
      <c r="B172" s="1136"/>
      <c r="C172" s="1138"/>
    </row>
    <row r="173" spans="1:3">
      <c r="A173" s="1133"/>
      <c r="B173" s="1136"/>
      <c r="C173" s="1138"/>
    </row>
    <row r="174" spans="1:3">
      <c r="A174" s="1133"/>
      <c r="B174" s="1136"/>
      <c r="C174" s="1138"/>
    </row>
    <row r="175" spans="1:3">
      <c r="A175" s="1133"/>
      <c r="B175" s="1136"/>
      <c r="C175" s="1138"/>
    </row>
    <row r="176" spans="1:3">
      <c r="A176" s="1133"/>
      <c r="B176" s="1136"/>
      <c r="C176" s="1138"/>
    </row>
    <row r="177" spans="1:3">
      <c r="A177" s="1133"/>
      <c r="B177" s="1136"/>
      <c r="C177" s="1138"/>
    </row>
    <row r="178" spans="1:3">
      <c r="A178" s="1133"/>
      <c r="B178" s="1136"/>
      <c r="C178" s="1138"/>
    </row>
    <row r="179" spans="1:3">
      <c r="A179" s="1133"/>
      <c r="B179" s="1136"/>
      <c r="C179" s="1138"/>
    </row>
    <row r="180" spans="1:3">
      <c r="A180" s="1133"/>
      <c r="B180" s="1136"/>
      <c r="C180" s="1138"/>
    </row>
    <row r="181" spans="1:3">
      <c r="A181" s="1133"/>
      <c r="B181" s="1136"/>
      <c r="C181" s="1138"/>
    </row>
    <row r="182" spans="1:3">
      <c r="A182" s="1133"/>
      <c r="B182" s="1136"/>
      <c r="C182" s="1138"/>
    </row>
    <row r="183" spans="1:3">
      <c r="A183" s="1133"/>
      <c r="B183" s="1136"/>
      <c r="C183" s="1138"/>
    </row>
    <row r="184" spans="1:3">
      <c r="A184" s="1133"/>
      <c r="B184" s="1136"/>
      <c r="C184" s="1138"/>
    </row>
    <row r="185" spans="1:3">
      <c r="A185" s="1133"/>
      <c r="B185" s="1136"/>
      <c r="C185" s="1138"/>
    </row>
    <row r="186" spans="1:3">
      <c r="A186" s="1133"/>
      <c r="B186" s="1136"/>
      <c r="C186" s="1138"/>
    </row>
    <row r="187" spans="1:3">
      <c r="A187" s="1133"/>
      <c r="B187" s="1136"/>
      <c r="C187" s="1138"/>
    </row>
    <row r="188" spans="1:3">
      <c r="A188" s="1133"/>
      <c r="B188" s="1136"/>
      <c r="C188" s="1138"/>
    </row>
    <row r="189" spans="1:3">
      <c r="A189" s="1133"/>
      <c r="B189" s="1136"/>
      <c r="C189" s="1138"/>
    </row>
    <row r="190" spans="1:3">
      <c r="A190" s="1133"/>
      <c r="B190" s="1136"/>
      <c r="C190" s="1138"/>
    </row>
    <row r="191" spans="1:3">
      <c r="A191" s="1133"/>
      <c r="B191" s="1136"/>
      <c r="C191" s="1138"/>
    </row>
    <row r="192" spans="1:3">
      <c r="A192" s="1133"/>
      <c r="B192" s="1136"/>
      <c r="C192" s="1138"/>
    </row>
    <row r="193" spans="1:3">
      <c r="A193" s="1133"/>
      <c r="B193" s="1136"/>
      <c r="C193" s="1138"/>
    </row>
    <row r="194" spans="1:3">
      <c r="A194" s="1133"/>
      <c r="B194" s="1136"/>
      <c r="C194" s="1138"/>
    </row>
    <row r="195" spans="1:3">
      <c r="A195" s="1133"/>
      <c r="B195" s="1136"/>
      <c r="C195" s="1138"/>
    </row>
    <row r="196" spans="1:3">
      <c r="A196" s="1133"/>
      <c r="B196" s="1136"/>
      <c r="C196" s="1138"/>
    </row>
    <row r="197" spans="1:3">
      <c r="A197" s="1133"/>
      <c r="B197" s="1136"/>
      <c r="C197" s="1138"/>
    </row>
    <row r="198" spans="1:3">
      <c r="A198" s="1133"/>
      <c r="B198" s="1136"/>
      <c r="C198" s="1138"/>
    </row>
    <row r="199" spans="1:3">
      <c r="A199" s="1133"/>
      <c r="B199" s="1136"/>
      <c r="C199" s="1138"/>
    </row>
    <row r="200" spans="1:3">
      <c r="A200" s="1133"/>
      <c r="B200" s="1136"/>
      <c r="C200" s="1138"/>
    </row>
    <row r="201" spans="1:3">
      <c r="A201" s="1133"/>
      <c r="B201" s="1136"/>
      <c r="C201" s="1138"/>
    </row>
    <row r="202" spans="1:3">
      <c r="A202" s="1133"/>
      <c r="B202" s="1136"/>
      <c r="C202" s="1138"/>
    </row>
    <row r="203" spans="1:3">
      <c r="A203" s="1133"/>
      <c r="B203" s="1136"/>
      <c r="C203" s="1138"/>
    </row>
    <row r="204" spans="1:3">
      <c r="A204" s="1133"/>
      <c r="B204" s="1136"/>
      <c r="C204" s="1138"/>
    </row>
    <row r="205" spans="1:3">
      <c r="A205" s="1133"/>
      <c r="B205" s="1136"/>
      <c r="C205" s="1138"/>
    </row>
    <row r="206" spans="1:3">
      <c r="A206" s="1133"/>
      <c r="B206" s="1136"/>
      <c r="C206" s="1138"/>
    </row>
    <row r="207" spans="1:3">
      <c r="A207" s="1133"/>
      <c r="B207" s="1136"/>
      <c r="C207" s="1138"/>
    </row>
    <row r="208" spans="1:3">
      <c r="A208" s="1133"/>
      <c r="B208" s="1136"/>
      <c r="C208" s="1138"/>
    </row>
    <row r="209" spans="1:3">
      <c r="A209" s="1133"/>
      <c r="B209" s="1136"/>
      <c r="C209" s="1138"/>
    </row>
    <row r="210" spans="1:3">
      <c r="A210" s="1133"/>
      <c r="B210" s="1136"/>
      <c r="C210" s="1138"/>
    </row>
    <row r="211" spans="1:3">
      <c r="A211" s="1133"/>
      <c r="B211" s="1136"/>
      <c r="C211" s="1138"/>
    </row>
    <row r="212" spans="1:3">
      <c r="A212" s="1133"/>
      <c r="B212" s="1136"/>
      <c r="C212" s="1138"/>
    </row>
    <row r="213" spans="1:3">
      <c r="A213" s="1133"/>
      <c r="B213" s="1136"/>
      <c r="C213" s="1138"/>
    </row>
    <row r="214" spans="1:3">
      <c r="A214" s="1133"/>
      <c r="B214" s="1136"/>
      <c r="C214" s="1138"/>
    </row>
    <row r="215" spans="1:3">
      <c r="A215" s="1133"/>
      <c r="B215" s="1136"/>
      <c r="C215" s="1138"/>
    </row>
    <row r="216" spans="1:3">
      <c r="A216" s="1133"/>
      <c r="B216" s="1136"/>
      <c r="C216" s="1138"/>
    </row>
    <row r="217" spans="1:3">
      <c r="A217" s="1133"/>
      <c r="B217" s="1136"/>
      <c r="C217" s="1138"/>
    </row>
    <row r="218" spans="1:3">
      <c r="A218" s="1133"/>
      <c r="B218" s="1136"/>
      <c r="C218" s="1138"/>
    </row>
    <row r="219" spans="1:3">
      <c r="A219" s="1133"/>
      <c r="B219" s="1136"/>
      <c r="C219" s="1138"/>
    </row>
    <row r="220" spans="1:3">
      <c r="A220" s="1133"/>
      <c r="B220" s="1136"/>
      <c r="C220" s="1138"/>
    </row>
    <row r="221" spans="1:3">
      <c r="A221" s="1133"/>
      <c r="B221" s="1136"/>
      <c r="C221" s="1138"/>
    </row>
    <row r="222" spans="1:3">
      <c r="A222" s="1133"/>
      <c r="B222" s="1136"/>
      <c r="C222" s="1138"/>
    </row>
    <row r="223" spans="1:3">
      <c r="A223" s="1133"/>
      <c r="B223" s="1136"/>
      <c r="C223" s="1138"/>
    </row>
    <row r="224" spans="1:3">
      <c r="A224" s="1133"/>
      <c r="B224" s="1136"/>
      <c r="C224" s="1138"/>
    </row>
    <row r="225" spans="1:3">
      <c r="A225" s="1133"/>
      <c r="B225" s="1136"/>
      <c r="C225" s="1138"/>
    </row>
    <row r="226" spans="1:3">
      <c r="A226" s="1133"/>
      <c r="B226" s="1136"/>
      <c r="C226" s="1138"/>
    </row>
    <row r="227" spans="1:3">
      <c r="A227" s="1133"/>
      <c r="B227" s="1136"/>
      <c r="C227" s="1138"/>
    </row>
    <row r="228" spans="1:3">
      <c r="A228" s="1133"/>
      <c r="B228" s="1136"/>
      <c r="C228" s="1138"/>
    </row>
    <row r="229" spans="1:3">
      <c r="A229" s="1133"/>
      <c r="B229" s="1136"/>
      <c r="C229" s="1138"/>
    </row>
    <row r="230" spans="1:3">
      <c r="A230" s="1133"/>
      <c r="B230" s="1136"/>
      <c r="C230" s="1138"/>
    </row>
    <row r="231" spans="1:3">
      <c r="A231" s="1133"/>
      <c r="B231" s="1136"/>
      <c r="C231" s="1138"/>
    </row>
    <row r="232" spans="1:3">
      <c r="A232" s="1133"/>
      <c r="B232" s="1136"/>
      <c r="C232" s="1138"/>
    </row>
    <row r="233" spans="1:3">
      <c r="A233" s="1133"/>
      <c r="B233" s="1136"/>
      <c r="C233" s="1138"/>
    </row>
    <row r="234" spans="1:3">
      <c r="A234" s="1133"/>
      <c r="B234" s="1136"/>
      <c r="C234" s="1138"/>
    </row>
    <row r="235" spans="1:3">
      <c r="A235" s="1133"/>
      <c r="B235" s="1136"/>
      <c r="C235" s="1138"/>
    </row>
    <row r="236" spans="1:3">
      <c r="A236" s="1133"/>
      <c r="B236" s="1136"/>
      <c r="C236" s="1138"/>
    </row>
    <row r="237" spans="1:3">
      <c r="A237" s="1133"/>
      <c r="B237" s="1136"/>
      <c r="C237" s="1138"/>
    </row>
    <row r="238" spans="1:3">
      <c r="A238" s="1133"/>
      <c r="B238" s="1136"/>
      <c r="C238" s="1138"/>
    </row>
    <row r="239" spans="1:3">
      <c r="A239" s="1133"/>
      <c r="B239" s="1136"/>
      <c r="C239" s="1138"/>
    </row>
    <row r="240" spans="1:3">
      <c r="A240" s="1133"/>
      <c r="B240" s="1136"/>
      <c r="C240" s="1138"/>
    </row>
    <row r="241" spans="1:3">
      <c r="A241" s="1133"/>
      <c r="B241" s="1136"/>
      <c r="C241" s="1138"/>
    </row>
    <row r="242" spans="1:3">
      <c r="A242" s="1133"/>
      <c r="B242" s="1136"/>
      <c r="C242" s="1138"/>
    </row>
    <row r="243" spans="1:3">
      <c r="A243" s="1133"/>
      <c r="B243" s="1136"/>
      <c r="C243" s="1138"/>
    </row>
    <row r="244" spans="1:3">
      <c r="A244" s="1133"/>
      <c r="B244" s="1136"/>
      <c r="C244" s="1138"/>
    </row>
    <row r="245" spans="1:3">
      <c r="A245" s="1133"/>
      <c r="B245" s="1136"/>
      <c r="C245" s="1138"/>
    </row>
    <row r="246" spans="1:3">
      <c r="A246" s="1133"/>
      <c r="B246" s="1136"/>
      <c r="C246" s="1138"/>
    </row>
    <row r="247" spans="1:3">
      <c r="A247" s="1133"/>
      <c r="B247" s="1136"/>
      <c r="C247" s="1138"/>
    </row>
    <row r="248" spans="1:3">
      <c r="A248" s="1133"/>
      <c r="B248" s="1136"/>
      <c r="C248" s="1138"/>
    </row>
    <row r="249" spans="1:3">
      <c r="A249" s="1133"/>
      <c r="B249" s="1136"/>
      <c r="C249" s="1138"/>
    </row>
    <row r="250" spans="1:3">
      <c r="A250" s="1133"/>
      <c r="B250" s="1136"/>
      <c r="C250" s="1138"/>
    </row>
    <row r="251" spans="1:3">
      <c r="A251" s="1133"/>
      <c r="B251" s="1136"/>
      <c r="C251" s="1138"/>
    </row>
    <row r="252" spans="1:3">
      <c r="A252" s="1133"/>
      <c r="B252" s="1136"/>
      <c r="C252" s="1138"/>
    </row>
    <row r="253" spans="1:3">
      <c r="A253" s="1133"/>
      <c r="B253" s="1136"/>
      <c r="C253" s="1138"/>
    </row>
    <row r="254" spans="1:3">
      <c r="A254" s="1133"/>
      <c r="B254" s="1136"/>
      <c r="C254" s="1138"/>
    </row>
    <row r="255" spans="1:3">
      <c r="A255" s="1133"/>
      <c r="B255" s="1136"/>
      <c r="C255" s="1138"/>
    </row>
    <row r="256" spans="1:3">
      <c r="A256" s="1133"/>
      <c r="B256" s="1136"/>
      <c r="C256" s="1138"/>
    </row>
    <row r="257" spans="1:3">
      <c r="A257" s="1133"/>
      <c r="B257" s="1136"/>
      <c r="C257" s="1138"/>
    </row>
    <row r="258" spans="1:3">
      <c r="A258" s="1133"/>
      <c r="B258" s="1136"/>
      <c r="C258" s="1138"/>
    </row>
    <row r="259" spans="1:3">
      <c r="A259" s="1133"/>
      <c r="B259" s="1136"/>
      <c r="C259" s="1138"/>
    </row>
    <row r="260" spans="1:3">
      <c r="A260" s="1133"/>
      <c r="B260" s="1136"/>
      <c r="C260" s="1138"/>
    </row>
    <row r="261" spans="1:3">
      <c r="A261" s="1133"/>
      <c r="B261" s="1136"/>
      <c r="C261" s="1138"/>
    </row>
    <row r="262" spans="1:3">
      <c r="A262" s="1133"/>
      <c r="B262" s="1136"/>
      <c r="C262" s="1138"/>
    </row>
    <row r="263" spans="1:3">
      <c r="A263" s="1133"/>
      <c r="B263" s="1136"/>
      <c r="C263" s="1138"/>
    </row>
    <row r="264" spans="1:3">
      <c r="A264" s="1133"/>
      <c r="B264" s="1136"/>
      <c r="C264" s="1138"/>
    </row>
    <row r="265" spans="1:3">
      <c r="A265" s="1133"/>
      <c r="B265" s="1136"/>
      <c r="C265" s="1138"/>
    </row>
    <row r="266" spans="1:3">
      <c r="A266" s="1133"/>
      <c r="B266" s="1136"/>
      <c r="C266" s="1138"/>
    </row>
    <row r="267" spans="1:3">
      <c r="A267" s="1133"/>
      <c r="B267" s="1136"/>
      <c r="C267" s="1138"/>
    </row>
    <row r="268" spans="1:3">
      <c r="A268" s="1133"/>
      <c r="B268" s="1136"/>
      <c r="C268" s="1138"/>
    </row>
    <row r="269" spans="1:3">
      <c r="A269" s="1133"/>
      <c r="B269" s="1136"/>
      <c r="C269" s="1138"/>
    </row>
    <row r="270" spans="1:3">
      <c r="A270" s="1133"/>
      <c r="B270" s="1136"/>
      <c r="C270" s="1138"/>
    </row>
    <row r="271" spans="1:3">
      <c r="A271" s="1133"/>
      <c r="B271" s="1136"/>
      <c r="C271" s="1138"/>
    </row>
    <row r="272" spans="1:3">
      <c r="A272" s="1133"/>
      <c r="B272" s="1136"/>
      <c r="C272" s="1138"/>
    </row>
    <row r="273" spans="1:3">
      <c r="A273" s="1133"/>
      <c r="B273" s="1136"/>
      <c r="C273" s="1138"/>
    </row>
    <row r="274" spans="1:3">
      <c r="A274" s="1133"/>
      <c r="B274" s="1136"/>
      <c r="C274" s="1138"/>
    </row>
    <row r="275" spans="1:3">
      <c r="A275" s="1133"/>
      <c r="B275" s="1136"/>
      <c r="C275" s="1138"/>
    </row>
    <row r="276" spans="1:3">
      <c r="A276" s="1133"/>
      <c r="B276" s="1136"/>
      <c r="C276" s="1138"/>
    </row>
    <row r="277" spans="1:3">
      <c r="A277" s="1133"/>
      <c r="B277" s="1136"/>
      <c r="C277" s="1138"/>
    </row>
    <row r="278" spans="1:3">
      <c r="A278" s="1133"/>
      <c r="B278" s="1136"/>
      <c r="C278" s="1138"/>
    </row>
    <row r="279" spans="1:3">
      <c r="A279" s="1133"/>
      <c r="B279" s="1136"/>
      <c r="C279" s="1138"/>
    </row>
    <row r="280" spans="1:3">
      <c r="A280" s="1133"/>
      <c r="B280" s="1136"/>
      <c r="C280" s="1138"/>
    </row>
    <row r="281" spans="1:3">
      <c r="A281" s="1133"/>
      <c r="B281" s="1136"/>
      <c r="C281" s="1138"/>
    </row>
    <row r="282" spans="1:3">
      <c r="A282" s="1133"/>
      <c r="B282" s="1136"/>
      <c r="C282" s="1138"/>
    </row>
    <row r="283" spans="1:3">
      <c r="A283" s="1133"/>
      <c r="B283" s="1136"/>
      <c r="C283" s="1138"/>
    </row>
    <row r="284" spans="1:3">
      <c r="A284" s="1133"/>
      <c r="B284" s="1136"/>
      <c r="C284" s="1138"/>
    </row>
    <row r="285" spans="1:3">
      <c r="A285" s="1133"/>
      <c r="B285" s="1136"/>
      <c r="C285" s="1138"/>
    </row>
    <row r="286" spans="1:3">
      <c r="A286" s="1133"/>
      <c r="B286" s="1136"/>
      <c r="C286" s="1138"/>
    </row>
    <row r="287" spans="1:3">
      <c r="A287" s="1133"/>
      <c r="B287" s="1136"/>
      <c r="C287" s="1138"/>
    </row>
    <row r="288" spans="1:3">
      <c r="A288" s="1133"/>
      <c r="B288" s="1136"/>
      <c r="C288" s="1138"/>
    </row>
    <row r="289" spans="1:3">
      <c r="A289" s="1133"/>
      <c r="B289" s="1136"/>
      <c r="C289" s="1138"/>
    </row>
    <row r="290" spans="1:3">
      <c r="A290" s="1133"/>
      <c r="B290" s="1136"/>
      <c r="C290" s="1138"/>
    </row>
    <row r="291" spans="1:3">
      <c r="A291" s="1133"/>
      <c r="B291" s="1136"/>
      <c r="C291" s="1138"/>
    </row>
    <row r="292" spans="1:3">
      <c r="A292" s="1133"/>
      <c r="B292" s="1136"/>
      <c r="C292" s="1138"/>
    </row>
    <row r="293" spans="1:3">
      <c r="A293" s="1133"/>
      <c r="B293" s="1136"/>
      <c r="C293" s="1138"/>
    </row>
    <row r="294" spans="1:3">
      <c r="A294" s="1133"/>
      <c r="B294" s="1136"/>
      <c r="C294" s="1138"/>
    </row>
    <row r="295" spans="1:3">
      <c r="A295" s="1133"/>
      <c r="B295" s="1136"/>
      <c r="C295" s="1138"/>
    </row>
    <row r="296" spans="1:3">
      <c r="A296" s="1133"/>
      <c r="B296" s="1136"/>
      <c r="C296" s="1138"/>
    </row>
    <row r="297" spans="1:3">
      <c r="A297" s="1133"/>
      <c r="B297" s="1136"/>
      <c r="C297" s="1138"/>
    </row>
    <row r="298" spans="1:3">
      <c r="A298" s="1133"/>
      <c r="B298" s="1136"/>
      <c r="C298" s="1138"/>
    </row>
    <row r="299" spans="1:3">
      <c r="A299" s="1133"/>
      <c r="B299" s="1136"/>
      <c r="C299" s="1138"/>
    </row>
    <row r="300" spans="1:3">
      <c r="A300" s="1133"/>
      <c r="B300" s="1136"/>
      <c r="C300" s="1138"/>
    </row>
    <row r="301" spans="1:3">
      <c r="A301" s="1133"/>
      <c r="B301" s="1136"/>
      <c r="C301" s="1138"/>
    </row>
    <row r="302" spans="1:3">
      <c r="A302" s="1133"/>
      <c r="B302" s="1136"/>
      <c r="C302" s="1138"/>
    </row>
    <row r="303" spans="1:3">
      <c r="A303" s="1133"/>
      <c r="B303" s="1136"/>
      <c r="C303" s="1138"/>
    </row>
    <row r="304" spans="1:3">
      <c r="A304" s="1133"/>
      <c r="B304" s="1136"/>
      <c r="C304" s="1138"/>
    </row>
    <row r="305" spans="1:3">
      <c r="A305" s="1133"/>
      <c r="B305" s="1136"/>
      <c r="C305" s="1138"/>
    </row>
    <row r="306" spans="1:3">
      <c r="A306" s="1133"/>
      <c r="B306" s="1136"/>
      <c r="C306" s="1138"/>
    </row>
    <row r="307" spans="1:3">
      <c r="A307" s="1133"/>
      <c r="B307" s="1136"/>
      <c r="C307" s="1138"/>
    </row>
    <row r="308" spans="1:3">
      <c r="A308" s="1133"/>
      <c r="B308" s="1136"/>
      <c r="C308" s="1138"/>
    </row>
    <row r="309" spans="1:3">
      <c r="A309" s="1133"/>
      <c r="B309" s="1136"/>
      <c r="C309" s="1138"/>
    </row>
    <row r="310" spans="1:3">
      <c r="A310" s="1133"/>
      <c r="B310" s="1136"/>
      <c r="C310" s="1138"/>
    </row>
    <row r="311" spans="1:3">
      <c r="A311" s="1133"/>
      <c r="B311" s="1136"/>
      <c r="C311" s="1138"/>
    </row>
    <row r="312" spans="1:3">
      <c r="A312" s="1133"/>
      <c r="B312" s="1136"/>
      <c r="C312" s="1138"/>
    </row>
    <row r="313" spans="1:3">
      <c r="A313" s="1133"/>
      <c r="B313" s="1136"/>
      <c r="C313" s="1138"/>
    </row>
    <row r="314" spans="1:3">
      <c r="A314" s="1133"/>
      <c r="B314" s="1136"/>
      <c r="C314" s="1138"/>
    </row>
    <row r="315" spans="1:3">
      <c r="A315" s="1133"/>
      <c r="B315" s="1136"/>
      <c r="C315" s="1138"/>
    </row>
    <row r="316" spans="1:3">
      <c r="A316" s="1133"/>
      <c r="B316" s="1136"/>
      <c r="C316" s="1138"/>
    </row>
    <row r="317" spans="1:3">
      <c r="A317" s="1133"/>
      <c r="B317" s="1136"/>
      <c r="C317" s="1138"/>
    </row>
    <row r="318" spans="1:3">
      <c r="A318" s="1133"/>
      <c r="B318" s="1136"/>
      <c r="C318" s="1138"/>
    </row>
    <row r="319" spans="1:3">
      <c r="A319" s="1133"/>
      <c r="B319" s="1136"/>
      <c r="C319" s="1138"/>
    </row>
    <row r="320" spans="1:3">
      <c r="A320" s="1133"/>
      <c r="B320" s="1136"/>
      <c r="C320" s="1138"/>
    </row>
    <row r="321" spans="1:3">
      <c r="A321" s="1133"/>
      <c r="B321" s="1136"/>
      <c r="C321" s="1138"/>
    </row>
    <row r="322" spans="1:3">
      <c r="A322" s="1133"/>
      <c r="B322" s="1136"/>
      <c r="C322" s="1138"/>
    </row>
    <row r="323" spans="1:3">
      <c r="A323" s="1133"/>
      <c r="B323" s="1136"/>
      <c r="C323" s="1138"/>
    </row>
    <row r="324" spans="1:3">
      <c r="A324" s="1133"/>
      <c r="B324" s="1136"/>
      <c r="C324" s="1138"/>
    </row>
    <row r="325" spans="1:3">
      <c r="A325" s="1133"/>
      <c r="B325" s="1136"/>
      <c r="C325" s="1138"/>
    </row>
    <row r="326" spans="1:3">
      <c r="A326" s="1133"/>
      <c r="B326" s="1136"/>
      <c r="C326" s="1138"/>
    </row>
    <row r="327" spans="1:3">
      <c r="A327" s="1133"/>
      <c r="B327" s="1136"/>
      <c r="C327" s="1138"/>
    </row>
    <row r="328" spans="1:3">
      <c r="A328" s="1133"/>
      <c r="B328" s="1136"/>
      <c r="C328" s="1138"/>
    </row>
    <row r="329" spans="1:3">
      <c r="A329" s="1133"/>
      <c r="B329" s="1136"/>
      <c r="C329" s="1138"/>
    </row>
    <row r="330" spans="1:3">
      <c r="A330" s="1133"/>
      <c r="B330" s="1136"/>
      <c r="C330" s="1138"/>
    </row>
    <row r="331" spans="1:3">
      <c r="A331" s="1133"/>
      <c r="B331" s="1136"/>
      <c r="C331" s="1138"/>
    </row>
    <row r="332" spans="1:3">
      <c r="A332" s="1133"/>
      <c r="B332" s="1136"/>
      <c r="C332" s="1138"/>
    </row>
    <row r="333" spans="1:3">
      <c r="A333" s="1133"/>
      <c r="B333" s="1136"/>
      <c r="C333" s="1138"/>
    </row>
    <row r="334" spans="1:3">
      <c r="A334" s="1133"/>
      <c r="B334" s="1136"/>
      <c r="C334" s="1138"/>
    </row>
    <row r="335" spans="1:3">
      <c r="A335" s="1133"/>
      <c r="B335" s="1136"/>
      <c r="C335" s="1138"/>
    </row>
    <row r="336" spans="1:3">
      <c r="A336" s="1133"/>
      <c r="B336" s="1136"/>
      <c r="C336" s="1138"/>
    </row>
    <row r="337" spans="1:3">
      <c r="A337" s="1133"/>
      <c r="B337" s="1136"/>
      <c r="C337" s="1138"/>
    </row>
    <row r="338" spans="1:3">
      <c r="A338" s="1133"/>
      <c r="B338" s="1136"/>
      <c r="C338" s="1138"/>
    </row>
    <row r="339" spans="1:3">
      <c r="A339" s="1133"/>
      <c r="B339" s="1136"/>
      <c r="C339" s="1138"/>
    </row>
    <row r="340" spans="1:3">
      <c r="A340" s="1133"/>
      <c r="B340" s="1136"/>
      <c r="C340" s="1138"/>
    </row>
    <row r="341" spans="1:3">
      <c r="A341" s="1133"/>
      <c r="B341" s="1136"/>
      <c r="C341" s="1138"/>
    </row>
    <row r="342" spans="1:3">
      <c r="A342" s="1133"/>
      <c r="B342" s="1136"/>
      <c r="C342" s="1138"/>
    </row>
    <row r="343" spans="1:3">
      <c r="A343" s="1133"/>
      <c r="B343" s="1136"/>
      <c r="C343" s="1138"/>
    </row>
    <row r="344" spans="1:3">
      <c r="A344" s="1133"/>
      <c r="B344" s="1136"/>
      <c r="C344" s="1138"/>
    </row>
    <row r="345" spans="1:3">
      <c r="A345" s="1133"/>
      <c r="B345" s="1136"/>
      <c r="C345" s="1138"/>
    </row>
    <row r="346" spans="1:3">
      <c r="A346" s="1133"/>
      <c r="B346" s="1136"/>
      <c r="C346" s="1138"/>
    </row>
    <row r="347" spans="1:3">
      <c r="A347" s="1133"/>
      <c r="B347" s="1136"/>
      <c r="C347" s="1138"/>
    </row>
    <row r="348" spans="1:3">
      <c r="A348" s="1133"/>
      <c r="B348" s="1136"/>
      <c r="C348" s="1138"/>
    </row>
    <row r="349" spans="1:3">
      <c r="A349" s="1133"/>
      <c r="B349" s="1136"/>
      <c r="C349" s="1138"/>
    </row>
    <row r="350" spans="1:3">
      <c r="A350" s="1133"/>
      <c r="B350" s="1136"/>
      <c r="C350" s="1138"/>
    </row>
    <row r="351" spans="1:3">
      <c r="A351" s="1133"/>
      <c r="B351" s="1136"/>
      <c r="C351" s="1138"/>
    </row>
    <row r="352" spans="1:3">
      <c r="A352" s="1133"/>
      <c r="B352" s="1136"/>
      <c r="C352" s="1138"/>
    </row>
    <row r="353" spans="1:3">
      <c r="A353" s="1133"/>
      <c r="B353" s="1136"/>
      <c r="C353" s="1138"/>
    </row>
    <row r="354" spans="1:3">
      <c r="A354" s="1133"/>
      <c r="B354" s="1136"/>
      <c r="C354" s="1138"/>
    </row>
    <row r="355" spans="1:3">
      <c r="A355" s="1133"/>
      <c r="B355" s="1136"/>
      <c r="C355" s="1138"/>
    </row>
    <row r="356" spans="1:3">
      <c r="A356" s="1133"/>
      <c r="B356" s="1136"/>
      <c r="C356" s="1138"/>
    </row>
    <row r="357" spans="1:3">
      <c r="A357" s="1133"/>
      <c r="B357" s="1136"/>
      <c r="C357" s="1138"/>
    </row>
    <row r="358" spans="1:3">
      <c r="A358" s="1133"/>
      <c r="B358" s="1136"/>
      <c r="C358" s="1138"/>
    </row>
    <row r="359" spans="1:3">
      <c r="A359" s="1133"/>
      <c r="B359" s="1136"/>
      <c r="C359" s="1138"/>
    </row>
    <row r="360" spans="1:3">
      <c r="A360" s="1133"/>
      <c r="B360" s="1136"/>
      <c r="C360" s="1138"/>
    </row>
    <row r="361" spans="1:3">
      <c r="A361" s="1133"/>
      <c r="B361" s="1136"/>
      <c r="C361" s="1138"/>
    </row>
    <row r="362" spans="1:3">
      <c r="A362" s="1133"/>
      <c r="B362" s="1136"/>
      <c r="C362" s="1138"/>
    </row>
    <row r="363" spans="1:3">
      <c r="A363" s="1133"/>
      <c r="B363" s="1136"/>
      <c r="C363" s="1138"/>
    </row>
    <row r="364" spans="1:3">
      <c r="A364" s="1133"/>
      <c r="B364" s="1136"/>
      <c r="C364" s="1138"/>
    </row>
    <row r="365" spans="1:3">
      <c r="A365" s="1133"/>
      <c r="B365" s="1136"/>
      <c r="C365" s="1138"/>
    </row>
    <row r="366" spans="1:3">
      <c r="A366" s="1133"/>
      <c r="B366" s="1136"/>
      <c r="C366" s="1138"/>
    </row>
    <row r="367" spans="1:3">
      <c r="A367" s="1133"/>
      <c r="B367" s="1136"/>
      <c r="C367" s="1138"/>
    </row>
    <row r="368" spans="1:3">
      <c r="A368" s="1133"/>
      <c r="B368" s="1136"/>
      <c r="C368" s="1138"/>
    </row>
    <row r="369" spans="1:3">
      <c r="A369" s="1133"/>
      <c r="B369" s="1136"/>
      <c r="C369" s="1138"/>
    </row>
    <row r="370" spans="1:3">
      <c r="A370" s="1133"/>
      <c r="B370" s="1136"/>
      <c r="C370" s="1138"/>
    </row>
    <row r="371" spans="1:3">
      <c r="A371" s="1133"/>
      <c r="B371" s="1136"/>
      <c r="C371" s="1138"/>
    </row>
    <row r="372" spans="1:3">
      <c r="A372" s="1133"/>
      <c r="B372" s="1136"/>
      <c r="C372" s="1138"/>
    </row>
    <row r="373" spans="1:3">
      <c r="A373" s="1133"/>
      <c r="B373" s="1136"/>
      <c r="C373" s="1138"/>
    </row>
    <row r="374" spans="1:3">
      <c r="A374" s="1133"/>
      <c r="B374" s="1136"/>
      <c r="C374" s="1138"/>
    </row>
    <row r="375" spans="1:3">
      <c r="A375" s="1133"/>
      <c r="B375" s="1136"/>
      <c r="C375" s="1138"/>
    </row>
    <row r="376" spans="1:3">
      <c r="A376" s="1133"/>
      <c r="B376" s="1136"/>
      <c r="C376" s="1138"/>
    </row>
    <row r="377" spans="1:3">
      <c r="A377" s="1133"/>
      <c r="B377" s="1136"/>
      <c r="C377" s="1138"/>
    </row>
    <row r="378" spans="1:3">
      <c r="A378" s="1133"/>
      <c r="B378" s="1136"/>
      <c r="C378" s="1138"/>
    </row>
    <row r="379" spans="1:3">
      <c r="A379" s="1133"/>
      <c r="B379" s="1136"/>
      <c r="C379" s="1138"/>
    </row>
    <row r="380" spans="1:3">
      <c r="A380" s="1133"/>
      <c r="B380" s="1136"/>
      <c r="C380" s="1138"/>
    </row>
    <row r="381" spans="1:3">
      <c r="A381" s="1133"/>
      <c r="B381" s="1136"/>
      <c r="C381" s="1138"/>
    </row>
    <row r="382" spans="1:3">
      <c r="A382" s="1133"/>
      <c r="B382" s="1136"/>
      <c r="C382" s="1138"/>
    </row>
    <row r="383" spans="1:3">
      <c r="A383" s="1133"/>
      <c r="B383" s="1136"/>
      <c r="C383" s="1138"/>
    </row>
    <row r="384" spans="1:3">
      <c r="A384" s="1133"/>
      <c r="B384" s="1136"/>
      <c r="C384" s="1138"/>
    </row>
    <row r="385" spans="1:3">
      <c r="A385" s="1133"/>
      <c r="B385" s="1136"/>
      <c r="C385" s="1138"/>
    </row>
    <row r="386" spans="1:3">
      <c r="A386" s="1133"/>
      <c r="B386" s="1136"/>
      <c r="C386" s="1138"/>
    </row>
    <row r="387" spans="1:3">
      <c r="A387" s="1133"/>
      <c r="B387" s="1136"/>
      <c r="C387" s="1138"/>
    </row>
    <row r="388" spans="1:3">
      <c r="A388" s="1133"/>
      <c r="B388" s="1136"/>
      <c r="C388" s="1138"/>
    </row>
    <row r="389" spans="1:3">
      <c r="A389" s="1133"/>
      <c r="B389" s="1136"/>
      <c r="C389" s="1138"/>
    </row>
    <row r="390" spans="1:3">
      <c r="A390" s="1133"/>
      <c r="B390" s="1136"/>
      <c r="C390" s="1138"/>
    </row>
    <row r="391" spans="1:3">
      <c r="A391" s="1133"/>
      <c r="B391" s="1136"/>
      <c r="C391" s="1138"/>
    </row>
    <row r="392" spans="1:3">
      <c r="A392" s="1133"/>
      <c r="B392" s="1136"/>
      <c r="C392" s="1138"/>
    </row>
    <row r="393" spans="1:3">
      <c r="A393" s="1133"/>
      <c r="B393" s="1136"/>
      <c r="C393" s="1138"/>
    </row>
    <row r="394" spans="1:3">
      <c r="A394" s="1133"/>
      <c r="B394" s="1136"/>
      <c r="C394" s="1138"/>
    </row>
    <row r="395" spans="1:3">
      <c r="A395" s="1133"/>
      <c r="B395" s="1136"/>
      <c r="C395" s="1138"/>
    </row>
    <row r="396" spans="1:3">
      <c r="A396" s="1133"/>
      <c r="B396" s="1136"/>
      <c r="C396" s="1138"/>
    </row>
    <row r="397" spans="1:3">
      <c r="A397" s="1133"/>
      <c r="B397" s="1136"/>
      <c r="C397" s="1138"/>
    </row>
    <row r="398" spans="1:3">
      <c r="A398" s="1133"/>
      <c r="B398" s="1136"/>
      <c r="C398" s="1138"/>
    </row>
    <row r="399" spans="1:3">
      <c r="A399" s="1133"/>
      <c r="B399" s="1136"/>
      <c r="C399" s="1138"/>
    </row>
    <row r="400" spans="1:3">
      <c r="A400" s="1133"/>
      <c r="B400" s="1136"/>
      <c r="C400" s="1138"/>
    </row>
    <row r="401" spans="1:3">
      <c r="A401" s="1133"/>
      <c r="B401" s="1136"/>
      <c r="C401" s="1138"/>
    </row>
    <row r="402" spans="1:3">
      <c r="A402" s="1133"/>
      <c r="B402" s="1136"/>
      <c r="C402" s="1138"/>
    </row>
    <row r="403" spans="1:3">
      <c r="A403" s="1133"/>
      <c r="B403" s="1136"/>
      <c r="C403" s="1138"/>
    </row>
    <row r="404" spans="1:3">
      <c r="A404" s="1133"/>
      <c r="B404" s="1136"/>
      <c r="C404" s="1138"/>
    </row>
    <row r="405" spans="1:3">
      <c r="A405" s="1133"/>
      <c r="B405" s="1136"/>
      <c r="C405" s="1138"/>
    </row>
    <row r="406" spans="1:3">
      <c r="A406" s="1133"/>
      <c r="B406" s="1136"/>
      <c r="C406" s="1138"/>
    </row>
    <row r="407" spans="1:3">
      <c r="A407" s="1133"/>
      <c r="B407" s="1136"/>
      <c r="C407" s="1138"/>
    </row>
    <row r="408" spans="1:3">
      <c r="A408" s="1133"/>
      <c r="B408" s="1136"/>
      <c r="C408" s="1138"/>
    </row>
    <row r="409" spans="1:3">
      <c r="A409" s="1133"/>
      <c r="B409" s="1136"/>
      <c r="C409" s="1138"/>
    </row>
    <row r="410" spans="1:3">
      <c r="A410" s="1133"/>
      <c r="B410" s="1136"/>
      <c r="C410" s="1138"/>
    </row>
    <row r="411" spans="1:3">
      <c r="A411" s="1133"/>
      <c r="B411" s="1136"/>
      <c r="C411" s="1138"/>
    </row>
    <row r="412" spans="1:3">
      <c r="A412" s="1133"/>
      <c r="B412" s="1136"/>
      <c r="C412" s="1138"/>
    </row>
    <row r="413" spans="1:3">
      <c r="A413" s="1133"/>
      <c r="B413" s="1136"/>
      <c r="C413" s="1138"/>
    </row>
    <row r="414" spans="1:3">
      <c r="A414" s="1133"/>
      <c r="B414" s="1136"/>
      <c r="C414" s="1138"/>
    </row>
    <row r="415" spans="1:3">
      <c r="A415" s="1133"/>
      <c r="B415" s="1136"/>
      <c r="C415" s="1138"/>
    </row>
    <row r="416" spans="1:3">
      <c r="A416" s="1133"/>
      <c r="B416" s="1136"/>
      <c r="C416" s="1138"/>
    </row>
    <row r="417" spans="1:3">
      <c r="A417" s="1133"/>
      <c r="B417" s="1136"/>
      <c r="C417" s="1138"/>
    </row>
    <row r="418" spans="1:3">
      <c r="A418" s="1133"/>
      <c r="B418" s="1136"/>
      <c r="C418" s="1138"/>
    </row>
    <row r="419" spans="1:3">
      <c r="A419" s="1133"/>
      <c r="B419" s="1136"/>
      <c r="C419" s="1138"/>
    </row>
    <row r="420" spans="1:3">
      <c r="A420" s="1133"/>
      <c r="B420" s="1136"/>
      <c r="C420" s="1138"/>
    </row>
    <row r="421" spans="1:3">
      <c r="A421" s="1133"/>
      <c r="B421" s="1136"/>
      <c r="C421" s="1138"/>
    </row>
    <row r="422" spans="1:3">
      <c r="A422" s="1133"/>
      <c r="B422" s="1136"/>
      <c r="C422" s="1138"/>
    </row>
    <row r="423" spans="1:3">
      <c r="A423" s="1133"/>
      <c r="B423" s="1136"/>
      <c r="C423" s="1138"/>
    </row>
    <row r="424" spans="1:3">
      <c r="A424" s="1133"/>
      <c r="B424" s="1136"/>
      <c r="C424" s="1138"/>
    </row>
    <row r="425" spans="1:3">
      <c r="A425" s="1133"/>
      <c r="B425" s="1136"/>
      <c r="C425" s="1138"/>
    </row>
    <row r="426" spans="1:3">
      <c r="A426" s="1133"/>
      <c r="B426" s="1136"/>
      <c r="C426" s="1138"/>
    </row>
    <row r="427" spans="1:3">
      <c r="A427" s="1133"/>
      <c r="B427" s="1136"/>
      <c r="C427" s="1138"/>
    </row>
    <row r="428" spans="1:3">
      <c r="A428" s="1133"/>
      <c r="B428" s="1136"/>
      <c r="C428" s="1138"/>
    </row>
    <row r="429" spans="1:3">
      <c r="A429" s="1133"/>
      <c r="B429" s="1136"/>
      <c r="C429" s="1138"/>
    </row>
    <row r="430" spans="1:3">
      <c r="A430" s="1133"/>
      <c r="B430" s="1136"/>
      <c r="C430" s="1138"/>
    </row>
    <row r="431" spans="1:3">
      <c r="A431" s="1133"/>
      <c r="B431" s="1136"/>
      <c r="C431" s="1138"/>
    </row>
    <row r="432" spans="1:3">
      <c r="A432" s="1133"/>
      <c r="B432" s="1136"/>
      <c r="C432" s="1138"/>
    </row>
    <row r="433" spans="1:3">
      <c r="A433" s="1133"/>
      <c r="B433" s="1136"/>
      <c r="C433" s="1138"/>
    </row>
    <row r="434" spans="1:3">
      <c r="A434" s="1133"/>
      <c r="B434" s="1136"/>
      <c r="C434" s="1138"/>
    </row>
    <row r="435" spans="1:3">
      <c r="A435" s="1133"/>
      <c r="B435" s="1136"/>
      <c r="C435" s="1138"/>
    </row>
    <row r="436" spans="1:3">
      <c r="A436" s="1133"/>
      <c r="B436" s="1136"/>
      <c r="C436" s="1138"/>
    </row>
    <row r="437" spans="1:3">
      <c r="A437" s="1133"/>
      <c r="B437" s="1136"/>
      <c r="C437" s="1138"/>
    </row>
    <row r="438" spans="1:3">
      <c r="A438" s="1133"/>
      <c r="B438" s="1136"/>
      <c r="C438" s="1138"/>
    </row>
    <row r="439" spans="1:3">
      <c r="A439" s="1133"/>
      <c r="B439" s="1136"/>
      <c r="C439" s="1138"/>
    </row>
    <row r="440" spans="1:3">
      <c r="A440" s="1133"/>
      <c r="B440" s="1136"/>
      <c r="C440" s="1138"/>
    </row>
    <row r="441" spans="1:3">
      <c r="A441" s="1133"/>
      <c r="B441" s="1136"/>
      <c r="C441" s="1138"/>
    </row>
    <row r="442" spans="1:3">
      <c r="A442" s="1133"/>
      <c r="B442" s="1136"/>
      <c r="C442" s="1138"/>
    </row>
    <row r="443" spans="1:3">
      <c r="A443" s="1133"/>
      <c r="B443" s="1136"/>
      <c r="C443" s="1138"/>
    </row>
    <row r="444" spans="1:3">
      <c r="A444" s="1133"/>
      <c r="B444" s="1136"/>
      <c r="C444" s="1138"/>
    </row>
    <row r="445" spans="1:3">
      <c r="A445" s="1133"/>
      <c r="B445" s="1136"/>
      <c r="C445" s="1138"/>
    </row>
    <row r="446" spans="1:3">
      <c r="A446" s="1133"/>
      <c r="B446" s="1136"/>
      <c r="C446" s="1138"/>
    </row>
    <row r="447" spans="1:3">
      <c r="A447" s="1133"/>
      <c r="B447" s="1136"/>
      <c r="C447" s="1138"/>
    </row>
    <row r="448" spans="1:3">
      <c r="A448" s="1133"/>
      <c r="B448" s="1136"/>
      <c r="C448" s="1138"/>
    </row>
    <row r="449" spans="1:3">
      <c r="A449" s="1133"/>
      <c r="B449" s="1136"/>
      <c r="C449" s="1138"/>
    </row>
    <row r="450" spans="1:3">
      <c r="A450" s="1133"/>
      <c r="B450" s="1136"/>
      <c r="C450" s="1138"/>
    </row>
    <row r="451" spans="1:3">
      <c r="A451" s="1133"/>
      <c r="B451" s="1136"/>
      <c r="C451" s="1138"/>
    </row>
    <row r="452" spans="1:3">
      <c r="A452" s="1133"/>
      <c r="B452" s="1136"/>
      <c r="C452" s="1138"/>
    </row>
    <row r="453" spans="1:3">
      <c r="A453" s="1133"/>
      <c r="B453" s="1136"/>
      <c r="C453" s="1138"/>
    </row>
    <row r="454" spans="1:3">
      <c r="A454" s="1133"/>
      <c r="B454" s="1136"/>
      <c r="C454" s="1138"/>
    </row>
    <row r="455" spans="1:3">
      <c r="A455" s="1133"/>
      <c r="B455" s="1136"/>
      <c r="C455" s="1138"/>
    </row>
    <row r="456" spans="1:3">
      <c r="A456" s="1133"/>
      <c r="B456" s="1136"/>
      <c r="C456" s="1138"/>
    </row>
    <row r="457" spans="1:3">
      <c r="A457" s="1133"/>
      <c r="B457" s="1136"/>
      <c r="C457" s="1138"/>
    </row>
    <row r="458" spans="1:3">
      <c r="A458" s="1133"/>
      <c r="B458" s="1136"/>
      <c r="C458" s="1138"/>
    </row>
    <row r="459" spans="1:3">
      <c r="A459" s="1133"/>
      <c r="B459" s="1136"/>
      <c r="C459" s="1138"/>
    </row>
    <row r="460" spans="1:3">
      <c r="A460" s="1133"/>
      <c r="B460" s="1136"/>
      <c r="C460" s="1138"/>
    </row>
    <row r="461" spans="1:3">
      <c r="A461" s="1133"/>
      <c r="B461" s="1136"/>
      <c r="C461" s="1138"/>
    </row>
    <row r="462" spans="1:3">
      <c r="A462" s="1133"/>
      <c r="B462" s="1136"/>
      <c r="C462" s="1138"/>
    </row>
    <row r="463" spans="1:3">
      <c r="A463" s="1133"/>
      <c r="B463" s="1136"/>
      <c r="C463" s="1138"/>
    </row>
    <row r="464" spans="1:3">
      <c r="A464" s="1133"/>
      <c r="B464" s="1136"/>
      <c r="C464" s="1138"/>
    </row>
    <row r="465" spans="1:3">
      <c r="A465" s="1133"/>
      <c r="B465" s="1136"/>
      <c r="C465" s="1138"/>
    </row>
    <row r="466" spans="1:3">
      <c r="A466" s="1133"/>
      <c r="B466" s="1136"/>
      <c r="C466" s="1138"/>
    </row>
    <row r="467" spans="1:3">
      <c r="A467" s="1133"/>
      <c r="B467" s="1136"/>
      <c r="C467" s="1138"/>
    </row>
    <row r="468" spans="1:3">
      <c r="A468" s="1133"/>
      <c r="B468" s="1136"/>
      <c r="C468" s="1138"/>
    </row>
    <row r="469" spans="1:3">
      <c r="A469" s="1133"/>
      <c r="B469" s="1136"/>
      <c r="C469" s="1138"/>
    </row>
    <row r="470" spans="1:3">
      <c r="A470" s="1133"/>
      <c r="B470" s="1136"/>
      <c r="C470" s="1138"/>
    </row>
    <row r="471" spans="1:3">
      <c r="A471" s="1133"/>
      <c r="B471" s="1136"/>
      <c r="C471" s="1138"/>
    </row>
    <row r="472" spans="1:3">
      <c r="A472" s="1133"/>
      <c r="B472" s="1136"/>
      <c r="C472" s="1138"/>
    </row>
    <row r="473" spans="1:3">
      <c r="A473" s="1133"/>
      <c r="B473" s="1136"/>
      <c r="C473" s="1138"/>
    </row>
    <row r="474" spans="1:3">
      <c r="A474" s="1133"/>
      <c r="B474" s="1136"/>
      <c r="C474" s="1138"/>
    </row>
    <row r="475" spans="1:3">
      <c r="A475" s="1133"/>
      <c r="B475" s="1136"/>
      <c r="C475" s="1138"/>
    </row>
    <row r="476" spans="1:3">
      <c r="A476" s="1133"/>
      <c r="B476" s="1136"/>
      <c r="C476" s="1138"/>
    </row>
    <row r="477" spans="1:3">
      <c r="A477" s="1133"/>
      <c r="B477" s="1136"/>
      <c r="C477" s="1138"/>
    </row>
    <row r="478" spans="1:3">
      <c r="A478" s="1133"/>
      <c r="B478" s="1136"/>
      <c r="C478" s="1138"/>
    </row>
    <row r="479" spans="1:3">
      <c r="A479" s="1133"/>
      <c r="B479" s="1136"/>
      <c r="C479" s="1138"/>
    </row>
    <row r="480" spans="1:3">
      <c r="A480" s="1133"/>
      <c r="B480" s="1136"/>
      <c r="C480" s="1138"/>
    </row>
    <row r="481" spans="1:3">
      <c r="A481" s="1133"/>
      <c r="B481" s="1136"/>
      <c r="C481" s="1138"/>
    </row>
    <row r="482" spans="1:3">
      <c r="A482" s="1133"/>
      <c r="B482" s="1136"/>
      <c r="C482" s="1138"/>
    </row>
    <row r="483" spans="1:3">
      <c r="A483" s="1133"/>
      <c r="B483" s="1136"/>
      <c r="C483" s="1138"/>
    </row>
    <row r="484" spans="1:3">
      <c r="A484" s="1133"/>
      <c r="B484" s="1136"/>
      <c r="C484" s="1138"/>
    </row>
    <row r="485" spans="1:3">
      <c r="A485" s="1133"/>
      <c r="B485" s="1136"/>
      <c r="C485" s="1138"/>
    </row>
    <row r="486" spans="1:3">
      <c r="A486" s="1133"/>
      <c r="B486" s="1136"/>
      <c r="C486" s="1138"/>
    </row>
    <row r="487" spans="1:3">
      <c r="A487" s="1133"/>
      <c r="B487" s="1136"/>
      <c r="C487" s="1138"/>
    </row>
    <row r="488" spans="1:3">
      <c r="A488" s="1133"/>
      <c r="B488" s="1136"/>
      <c r="C488" s="1138"/>
    </row>
    <row r="489" spans="1:3">
      <c r="A489" s="1133"/>
      <c r="B489" s="1136"/>
      <c r="C489" s="1138"/>
    </row>
    <row r="490" spans="1:3">
      <c r="A490" s="1133"/>
      <c r="B490" s="1136"/>
      <c r="C490" s="1138"/>
    </row>
    <row r="491" spans="1:3">
      <c r="A491" s="1133"/>
      <c r="B491" s="1136"/>
      <c r="C491" s="1138"/>
    </row>
    <row r="492" spans="1:3">
      <c r="A492" s="1133"/>
      <c r="B492" s="1136"/>
      <c r="C492" s="1138"/>
    </row>
    <row r="493" spans="1:3">
      <c r="A493" s="1133"/>
      <c r="B493" s="1136"/>
      <c r="C493" s="1138"/>
    </row>
    <row r="494" spans="1:3">
      <c r="A494" s="1133"/>
      <c r="B494" s="1136"/>
      <c r="C494" s="1138"/>
    </row>
    <row r="495" spans="1:3">
      <c r="A495" s="1133"/>
      <c r="B495" s="1136"/>
      <c r="C495" s="1138"/>
    </row>
    <row r="496" spans="1:3">
      <c r="A496" s="1133"/>
      <c r="B496" s="1136"/>
      <c r="C496" s="1138"/>
    </row>
    <row r="497" spans="1:3">
      <c r="A497" s="1133"/>
      <c r="B497" s="1136"/>
      <c r="C497" s="1138"/>
    </row>
    <row r="498" spans="1:3">
      <c r="A498" s="1133"/>
      <c r="B498" s="1136"/>
      <c r="C498" s="1138"/>
    </row>
    <row r="499" spans="1:3">
      <c r="A499" s="1133"/>
      <c r="B499" s="1136"/>
      <c r="C499" s="1138"/>
    </row>
    <row r="500" spans="1:3">
      <c r="A500" s="1133"/>
      <c r="B500" s="1136"/>
      <c r="C500" s="1138"/>
    </row>
    <row r="501" spans="1:3">
      <c r="A501" s="1133"/>
      <c r="B501" s="1136"/>
      <c r="C501" s="1138"/>
    </row>
    <row r="502" spans="1:3">
      <c r="A502" s="1133"/>
      <c r="B502" s="1136"/>
      <c r="C502" s="1138"/>
    </row>
    <row r="503" spans="1:3">
      <c r="A503" s="1133"/>
      <c r="B503" s="1136"/>
      <c r="C503" s="1138"/>
    </row>
    <row r="504" spans="1:3">
      <c r="A504" s="1133"/>
      <c r="B504" s="1136"/>
      <c r="C504" s="1138"/>
    </row>
    <row r="505" spans="1:3">
      <c r="A505" s="1133"/>
      <c r="B505" s="1136"/>
      <c r="C505" s="1138"/>
    </row>
    <row r="506" spans="1:3">
      <c r="A506" s="1133"/>
      <c r="B506" s="1136"/>
      <c r="C506" s="1138"/>
    </row>
    <row r="507" spans="1:3">
      <c r="A507" s="1133"/>
      <c r="B507" s="1136"/>
      <c r="C507" s="1138"/>
    </row>
    <row r="508" spans="1:3">
      <c r="A508" s="1133"/>
      <c r="B508" s="1136"/>
      <c r="C508" s="1138"/>
    </row>
    <row r="509" spans="1:3">
      <c r="A509" s="1133"/>
      <c r="B509" s="1136"/>
      <c r="C509" s="1138"/>
    </row>
    <row r="510" spans="1:3">
      <c r="A510" s="1133"/>
      <c r="B510" s="1136"/>
      <c r="C510" s="1138"/>
    </row>
    <row r="511" spans="1:3">
      <c r="A511" s="1133"/>
      <c r="B511" s="1136"/>
      <c r="C511" s="1138"/>
    </row>
    <row r="512" spans="1:3">
      <c r="A512" s="1133"/>
      <c r="B512" s="1136"/>
      <c r="C512" s="1138"/>
    </row>
    <row r="513" spans="1:3">
      <c r="A513" s="1133"/>
      <c r="B513" s="1136"/>
      <c r="C513" s="1138"/>
    </row>
    <row r="514" spans="1:3">
      <c r="A514" s="1133"/>
      <c r="B514" s="1136"/>
      <c r="C514" s="1138"/>
    </row>
    <row r="515" spans="1:3">
      <c r="A515" s="1133"/>
      <c r="B515" s="1136"/>
      <c r="C515" s="1138"/>
    </row>
    <row r="516" spans="1:3">
      <c r="A516" s="1133"/>
      <c r="B516" s="1136"/>
      <c r="C516" s="1138"/>
    </row>
    <row r="517" spans="1:3">
      <c r="A517" s="1133"/>
      <c r="B517" s="1136"/>
      <c r="C517" s="1138"/>
    </row>
    <row r="518" spans="1:3">
      <c r="A518" s="1133"/>
      <c r="B518" s="1136"/>
      <c r="C518" s="1138"/>
    </row>
    <row r="519" spans="1:3">
      <c r="A519" s="1133"/>
      <c r="B519" s="1136"/>
      <c r="C519" s="1138"/>
    </row>
    <row r="520" spans="1:3">
      <c r="A520" s="1133"/>
      <c r="B520" s="1136"/>
      <c r="C520" s="1138"/>
    </row>
    <row r="521" spans="1:3">
      <c r="A521" s="1133"/>
      <c r="B521" s="1136"/>
      <c r="C521" s="1138"/>
    </row>
    <row r="522" spans="1:3">
      <c r="A522" s="1133"/>
      <c r="B522" s="1136"/>
      <c r="C522" s="1138"/>
    </row>
    <row r="523" spans="1:3">
      <c r="A523" s="1133"/>
      <c r="B523" s="1136"/>
      <c r="C523" s="1138"/>
    </row>
    <row r="524" spans="1:3">
      <c r="A524" s="1133"/>
      <c r="B524" s="1136"/>
      <c r="C524" s="1138"/>
    </row>
    <row r="525" spans="1:3">
      <c r="A525" s="1133"/>
      <c r="B525" s="1136"/>
      <c r="C525" s="1138"/>
    </row>
    <row r="526" spans="1:3">
      <c r="A526" s="1133"/>
      <c r="B526" s="1136"/>
      <c r="C526" s="1138"/>
    </row>
    <row r="527" spans="1:3">
      <c r="A527" s="1133"/>
      <c r="B527" s="1136"/>
      <c r="C527" s="1138"/>
    </row>
    <row r="528" spans="1:3">
      <c r="A528" s="1133"/>
      <c r="B528" s="1136"/>
      <c r="C528" s="1138"/>
    </row>
    <row r="529" spans="1:3">
      <c r="A529" s="1133"/>
      <c r="B529" s="1136"/>
      <c r="C529" s="1138"/>
    </row>
    <row r="530" spans="1:3">
      <c r="A530" s="1133"/>
      <c r="B530" s="1136"/>
      <c r="C530" s="1138"/>
    </row>
    <row r="531" spans="1:3">
      <c r="A531" s="1133"/>
      <c r="B531" s="1136"/>
      <c r="C531" s="1138"/>
    </row>
    <row r="532" spans="1:3">
      <c r="A532" s="1133"/>
      <c r="B532" s="1136"/>
      <c r="C532" s="1138"/>
    </row>
    <row r="533" spans="1:3">
      <c r="A533" s="1133"/>
      <c r="B533" s="1136"/>
      <c r="C533" s="1138"/>
    </row>
    <row r="534" spans="1:3">
      <c r="A534" s="1133"/>
      <c r="B534" s="1136"/>
      <c r="C534" s="1138"/>
    </row>
    <row r="535" spans="1:3">
      <c r="A535" s="1133"/>
      <c r="B535" s="1136"/>
      <c r="C535" s="1138"/>
    </row>
    <row r="536" spans="1:3">
      <c r="A536" s="1133"/>
      <c r="B536" s="1136"/>
      <c r="C536" s="1138"/>
    </row>
    <row r="537" spans="1:3">
      <c r="A537" s="1133"/>
      <c r="B537" s="1136"/>
      <c r="C537" s="1138"/>
    </row>
    <row r="538" spans="1:3">
      <c r="A538" s="1133"/>
      <c r="B538" s="1136"/>
      <c r="C538" s="1138"/>
    </row>
    <row r="539" spans="1:3">
      <c r="A539" s="1133"/>
      <c r="B539" s="1136"/>
      <c r="C539" s="1138"/>
    </row>
    <row r="540" spans="1:3">
      <c r="A540" s="1133"/>
      <c r="B540" s="1136"/>
      <c r="C540" s="1138"/>
    </row>
    <row r="541" spans="1:3">
      <c r="A541" s="1133"/>
      <c r="B541" s="1136"/>
      <c r="C541" s="1138"/>
    </row>
    <row r="542" spans="1:3">
      <c r="A542" s="1133"/>
      <c r="B542" s="1136"/>
      <c r="C542" s="1138"/>
    </row>
    <row r="543" spans="1:3">
      <c r="A543" s="1133"/>
      <c r="B543" s="1136"/>
      <c r="C543" s="1138"/>
    </row>
    <row r="544" spans="1:3">
      <c r="A544" s="1133"/>
      <c r="B544" s="1136"/>
      <c r="C544" s="1138"/>
    </row>
    <row r="545" spans="1:3">
      <c r="A545" s="1133"/>
      <c r="B545" s="1136"/>
      <c r="C545" s="1138"/>
    </row>
    <row r="546" spans="1:3">
      <c r="A546" s="1133"/>
      <c r="B546" s="1136"/>
      <c r="C546" s="1138"/>
    </row>
    <row r="547" spans="1:3">
      <c r="A547" s="1133"/>
      <c r="B547" s="1136"/>
      <c r="C547" s="1138"/>
    </row>
    <row r="548" spans="1:3">
      <c r="A548" s="1133"/>
      <c r="B548" s="1136"/>
      <c r="C548" s="1138"/>
    </row>
    <row r="549" spans="1:3">
      <c r="A549" s="1133"/>
      <c r="B549" s="1136"/>
      <c r="C549" s="1138"/>
    </row>
    <row r="550" spans="1:3">
      <c r="A550" s="1133"/>
      <c r="B550" s="1136"/>
      <c r="C550" s="1138"/>
    </row>
    <row r="551" spans="1:3">
      <c r="A551" s="1133"/>
      <c r="B551" s="1136"/>
      <c r="C551" s="1138"/>
    </row>
    <row r="552" spans="1:3">
      <c r="A552" s="1133"/>
      <c r="B552" s="1136"/>
      <c r="C552" s="1138"/>
    </row>
    <row r="553" spans="1:3">
      <c r="A553" s="1133"/>
      <c r="B553" s="1136"/>
      <c r="C553" s="1138"/>
    </row>
    <row r="554" spans="1:3">
      <c r="A554" s="1133"/>
      <c r="B554" s="1136"/>
      <c r="C554" s="1138"/>
    </row>
    <row r="555" spans="1:3">
      <c r="A555" s="1133"/>
      <c r="B555" s="1136"/>
      <c r="C555" s="1138"/>
    </row>
    <row r="556" spans="1:3">
      <c r="A556" s="1133"/>
      <c r="B556" s="1136"/>
      <c r="C556" s="1138"/>
    </row>
    <row r="557" spans="1:3">
      <c r="A557" s="1133"/>
      <c r="B557" s="1136"/>
      <c r="C557" s="1138"/>
    </row>
    <row r="558" spans="1:3">
      <c r="A558" s="1133"/>
      <c r="B558" s="1136"/>
      <c r="C558" s="1138"/>
    </row>
    <row r="559" spans="1:3">
      <c r="A559" s="1133"/>
      <c r="B559" s="1136"/>
      <c r="C559" s="1138"/>
    </row>
    <row r="560" spans="1:3">
      <c r="A560" s="1133"/>
      <c r="B560" s="1136"/>
      <c r="C560" s="1138"/>
    </row>
    <row r="561" spans="1:3">
      <c r="A561" s="1133"/>
      <c r="B561" s="1136"/>
      <c r="C561" s="1138"/>
    </row>
    <row r="562" spans="1:3">
      <c r="A562" s="1133"/>
      <c r="B562" s="1136"/>
      <c r="C562" s="1138"/>
    </row>
    <row r="563" spans="1:3">
      <c r="A563" s="1133"/>
      <c r="B563" s="1136"/>
      <c r="C563" s="1138"/>
    </row>
    <row r="564" spans="1:3">
      <c r="A564" s="1133"/>
      <c r="B564" s="1136"/>
      <c r="C564" s="1138"/>
    </row>
    <row r="565" spans="1:3">
      <c r="A565" s="1133"/>
      <c r="B565" s="1136"/>
      <c r="C565" s="1138"/>
    </row>
    <row r="566" spans="1:3">
      <c r="A566" s="1133"/>
      <c r="B566" s="1136"/>
      <c r="C566" s="1138"/>
    </row>
    <row r="567" spans="1:3">
      <c r="A567" s="1133"/>
      <c r="B567" s="1136"/>
      <c r="C567" s="1138"/>
    </row>
    <row r="568" spans="1:3">
      <c r="A568" s="1133"/>
      <c r="B568" s="1136"/>
      <c r="C568" s="1138"/>
    </row>
    <row r="569" spans="1:3">
      <c r="A569" s="1133"/>
      <c r="B569" s="1136"/>
      <c r="C569" s="1138"/>
    </row>
    <row r="570" spans="1:3">
      <c r="A570" s="1133"/>
      <c r="B570" s="1136"/>
      <c r="C570" s="1138"/>
    </row>
    <row r="571" spans="1:3">
      <c r="A571" s="1133"/>
      <c r="B571" s="1136"/>
      <c r="C571" s="1138"/>
    </row>
    <row r="572" spans="1:3">
      <c r="A572" s="1133"/>
      <c r="B572" s="1136"/>
      <c r="C572" s="1138"/>
    </row>
    <row r="573" spans="1:3">
      <c r="A573" s="1133"/>
      <c r="B573" s="1136"/>
      <c r="C573" s="1138"/>
    </row>
    <row r="574" spans="1:3">
      <c r="A574" s="1133"/>
      <c r="B574" s="1136"/>
      <c r="C574" s="1138"/>
    </row>
    <row r="575" spans="1:3">
      <c r="A575" s="1133"/>
      <c r="B575" s="1136"/>
      <c r="C575" s="1138"/>
    </row>
    <row r="576" spans="1:3">
      <c r="A576" s="1133"/>
      <c r="B576" s="1136"/>
      <c r="C576" s="1138"/>
    </row>
    <row r="577" spans="1:3">
      <c r="A577" s="1133"/>
      <c r="B577" s="1136"/>
      <c r="C577" s="1138"/>
    </row>
    <row r="578" spans="1:3">
      <c r="A578" s="1133"/>
      <c r="B578" s="1136"/>
      <c r="C578" s="1138"/>
    </row>
    <row r="579" spans="1:3">
      <c r="A579" s="1133"/>
      <c r="B579" s="1136"/>
      <c r="C579" s="1138"/>
    </row>
    <row r="580" spans="1:3">
      <c r="A580" s="1133"/>
      <c r="B580" s="1136"/>
      <c r="C580" s="1138"/>
    </row>
    <row r="581" spans="1:3">
      <c r="A581" s="1133"/>
      <c r="B581" s="1136"/>
      <c r="C581" s="1138"/>
    </row>
    <row r="582" spans="1:3">
      <c r="A582" s="1133"/>
      <c r="B582" s="1136"/>
      <c r="C582" s="1138"/>
    </row>
    <row r="583" spans="1:3">
      <c r="A583" s="1133"/>
      <c r="B583" s="1136"/>
      <c r="C583" s="1138"/>
    </row>
    <row r="584" spans="1:3">
      <c r="A584" s="1133"/>
      <c r="B584" s="1136"/>
      <c r="C584" s="1138"/>
    </row>
    <row r="585" spans="1:3">
      <c r="A585" s="1133"/>
      <c r="B585" s="1136"/>
      <c r="C585" s="1138"/>
    </row>
    <row r="586" spans="1:3">
      <c r="A586" s="1133"/>
      <c r="B586" s="1136"/>
      <c r="C586" s="1138"/>
    </row>
    <row r="587" spans="1:3">
      <c r="A587" s="1133"/>
      <c r="B587" s="1136"/>
      <c r="C587" s="1138"/>
    </row>
    <row r="588" spans="1:3">
      <c r="A588" s="1133"/>
      <c r="B588" s="1136"/>
      <c r="C588" s="1138"/>
    </row>
    <row r="589" spans="1:3">
      <c r="A589" s="1133"/>
      <c r="B589" s="1136"/>
      <c r="C589" s="1138"/>
    </row>
    <row r="590" spans="1:3">
      <c r="A590" s="1133"/>
      <c r="B590" s="1136"/>
      <c r="C590" s="1138"/>
    </row>
    <row r="591" spans="1:3">
      <c r="A591" s="1133"/>
      <c r="B591" s="1136"/>
      <c r="C591" s="1138"/>
    </row>
    <row r="592" spans="1:3">
      <c r="A592" s="1133"/>
      <c r="B592" s="1136"/>
      <c r="C592" s="1138"/>
    </row>
    <row r="593" spans="1:3">
      <c r="A593" s="1133"/>
      <c r="B593" s="1136"/>
      <c r="C593" s="1138"/>
    </row>
    <row r="594" spans="1:3">
      <c r="A594" s="1133"/>
      <c r="B594" s="1136"/>
      <c r="C594" s="1138"/>
    </row>
    <row r="595" spans="1:3">
      <c r="A595" s="1133"/>
      <c r="B595" s="1136"/>
      <c r="C595" s="1138"/>
    </row>
    <row r="596" spans="1:3">
      <c r="A596" s="1133"/>
      <c r="B596" s="1136"/>
      <c r="C596" s="1138"/>
    </row>
    <row r="597" spans="1:3">
      <c r="A597" s="1133"/>
      <c r="B597" s="1136"/>
      <c r="C597" s="1138"/>
    </row>
    <row r="598" spans="1:3">
      <c r="A598" s="1133"/>
      <c r="B598" s="1136"/>
      <c r="C598" s="1138"/>
    </row>
    <row r="599" spans="1:3">
      <c r="A599" s="1133"/>
      <c r="B599" s="1136"/>
      <c r="C599" s="1138"/>
    </row>
    <row r="600" spans="1:3">
      <c r="A600" s="1133"/>
      <c r="B600" s="1136"/>
      <c r="C600" s="1138"/>
    </row>
    <row r="601" spans="1:3">
      <c r="A601" s="1133"/>
      <c r="B601" s="1136"/>
      <c r="C601" s="1138"/>
    </row>
    <row r="602" spans="1:3">
      <c r="A602" s="1133"/>
      <c r="B602" s="1136"/>
      <c r="C602" s="1138"/>
    </row>
    <row r="603" spans="1:3">
      <c r="A603" s="1133"/>
      <c r="B603" s="1136"/>
      <c r="C603" s="1138"/>
    </row>
    <row r="604" spans="1:3">
      <c r="A604" s="1133"/>
      <c r="B604" s="1136"/>
      <c r="C604" s="1138"/>
    </row>
    <row r="605" spans="1:3">
      <c r="A605" s="1133"/>
      <c r="B605" s="1136"/>
      <c r="C605" s="1138"/>
    </row>
    <row r="606" spans="1:3">
      <c r="A606" s="1133"/>
      <c r="B606" s="1136"/>
      <c r="C606" s="1138"/>
    </row>
    <row r="607" spans="1:3">
      <c r="A607" s="1133"/>
      <c r="B607" s="1136"/>
      <c r="C607" s="1138"/>
    </row>
    <row r="608" spans="1:3">
      <c r="A608" s="1133"/>
      <c r="B608" s="1136"/>
      <c r="C608" s="1138"/>
    </row>
    <row r="609" spans="1:3">
      <c r="A609" s="1133"/>
      <c r="B609" s="1136"/>
      <c r="C609" s="1138"/>
    </row>
    <row r="610" spans="1:3">
      <c r="A610" s="1133"/>
      <c r="B610" s="1136"/>
      <c r="C610" s="1138"/>
    </row>
    <row r="611" spans="1:3">
      <c r="A611" s="1133"/>
      <c r="B611" s="1136"/>
      <c r="C611" s="1138"/>
    </row>
    <row r="612" spans="1:3">
      <c r="A612" s="1133"/>
      <c r="B612" s="1136"/>
      <c r="C612" s="1138"/>
    </row>
    <row r="613" spans="1:3">
      <c r="A613" s="1133"/>
      <c r="B613" s="1136"/>
      <c r="C613" s="1138"/>
    </row>
    <row r="614" spans="1:3">
      <c r="A614" s="1133"/>
      <c r="B614" s="1136"/>
      <c r="C614" s="1138"/>
    </row>
    <row r="615" spans="1:3">
      <c r="A615" s="1133"/>
      <c r="B615" s="1136"/>
      <c r="C615" s="1138"/>
    </row>
    <row r="616" spans="1:3">
      <c r="A616" s="1133"/>
      <c r="B616" s="1136"/>
      <c r="C616" s="1138"/>
    </row>
    <row r="617" spans="1:3">
      <c r="A617" s="1133"/>
      <c r="B617" s="1136"/>
      <c r="C617" s="1138"/>
    </row>
    <row r="618" spans="1:3">
      <c r="A618" s="1133"/>
      <c r="B618" s="1136"/>
      <c r="C618" s="1138"/>
    </row>
    <row r="619" spans="1:3">
      <c r="A619" s="1133"/>
      <c r="B619" s="1136"/>
      <c r="C619" s="1138"/>
    </row>
    <row r="620" spans="1:3">
      <c r="A620" s="1133"/>
      <c r="B620" s="1136"/>
      <c r="C620" s="1138"/>
    </row>
    <row r="621" spans="1:3">
      <c r="A621" s="1133"/>
      <c r="B621" s="1136"/>
      <c r="C621" s="1138"/>
    </row>
    <row r="622" spans="1:3">
      <c r="A622" s="1133"/>
      <c r="B622" s="1136"/>
      <c r="C622" s="1138"/>
    </row>
    <row r="623" spans="1:3">
      <c r="A623" s="1133"/>
      <c r="B623" s="1136"/>
      <c r="C623" s="1138"/>
    </row>
    <row r="624" spans="1:3">
      <c r="A624" s="1133"/>
      <c r="B624" s="1136"/>
      <c r="C624" s="1138"/>
    </row>
    <row r="625" spans="1:3">
      <c r="A625" s="1133"/>
      <c r="B625" s="1136"/>
      <c r="C625" s="1138"/>
    </row>
    <row r="626" spans="1:3">
      <c r="A626" s="1133"/>
      <c r="B626" s="1136"/>
      <c r="C626" s="1138"/>
    </row>
    <row r="627" spans="1:3">
      <c r="A627" s="1133"/>
      <c r="B627" s="1136"/>
      <c r="C627" s="1138"/>
    </row>
    <row r="628" spans="1:3">
      <c r="A628" s="1133"/>
      <c r="B628" s="1136"/>
      <c r="C628" s="1138"/>
    </row>
    <row r="629" spans="1:3">
      <c r="A629" s="1133"/>
      <c r="B629" s="1136"/>
      <c r="C629" s="1138"/>
    </row>
    <row r="630" spans="1:3">
      <c r="A630" s="1133"/>
      <c r="B630" s="1136"/>
      <c r="C630" s="1138"/>
    </row>
    <row r="631" spans="1:3">
      <c r="A631" s="1133"/>
      <c r="B631" s="1136"/>
      <c r="C631" s="1138"/>
    </row>
    <row r="632" spans="1:3">
      <c r="A632" s="1133"/>
      <c r="B632" s="1136"/>
      <c r="C632" s="1138"/>
    </row>
    <row r="633" spans="1:3">
      <c r="A633" s="1133"/>
      <c r="B633" s="1136"/>
      <c r="C633" s="1138"/>
    </row>
    <row r="634" spans="1:3">
      <c r="A634" s="1133"/>
      <c r="B634" s="1136"/>
      <c r="C634" s="1138"/>
    </row>
    <row r="635" spans="1:3">
      <c r="A635" s="1133"/>
      <c r="B635" s="1136"/>
      <c r="C635" s="1138"/>
    </row>
    <row r="636" spans="1:3">
      <c r="A636" s="1133"/>
      <c r="B636" s="1136"/>
      <c r="C636" s="1138"/>
    </row>
    <row r="637" spans="1:3">
      <c r="A637" s="1133"/>
      <c r="B637" s="1136"/>
      <c r="C637" s="1138"/>
    </row>
    <row r="638" spans="1:3">
      <c r="A638" s="1133"/>
      <c r="B638" s="1136"/>
      <c r="C638" s="1138"/>
    </row>
    <row r="639" spans="1:3">
      <c r="A639" s="1133"/>
      <c r="B639" s="1136"/>
      <c r="C639" s="1138"/>
    </row>
    <row r="640" spans="1:3">
      <c r="A640" s="1133"/>
      <c r="B640" s="1136"/>
      <c r="C640" s="1138"/>
    </row>
    <row r="641" spans="1:3">
      <c r="A641" s="1133"/>
      <c r="B641" s="1136"/>
      <c r="C641" s="1138"/>
    </row>
    <row r="642" spans="1:3">
      <c r="A642" s="1133"/>
      <c r="B642" s="1136"/>
      <c r="C642" s="1138"/>
    </row>
    <row r="643" spans="1:3">
      <c r="A643" s="1133"/>
      <c r="B643" s="1136"/>
      <c r="C643" s="1138"/>
    </row>
    <row r="644" spans="1:3">
      <c r="A644" s="1133"/>
      <c r="B644" s="1136"/>
      <c r="C644" s="1138"/>
    </row>
    <row r="645" spans="1:3">
      <c r="A645" s="1133"/>
      <c r="B645" s="1136"/>
      <c r="C645" s="1138"/>
    </row>
    <row r="646" spans="1:3">
      <c r="A646" s="1133"/>
      <c r="B646" s="1136"/>
      <c r="C646" s="1138"/>
    </row>
    <row r="647" spans="1:3">
      <c r="A647" s="1133"/>
      <c r="B647" s="1136"/>
      <c r="C647" s="1138"/>
    </row>
    <row r="648" spans="1:3">
      <c r="A648" s="1133"/>
      <c r="B648" s="1136"/>
      <c r="C648" s="1138"/>
    </row>
    <row r="649" spans="1:3">
      <c r="A649" s="1133"/>
      <c r="B649" s="1136"/>
      <c r="C649" s="1138"/>
    </row>
    <row r="650" spans="1:3">
      <c r="A650" s="1133"/>
      <c r="B650" s="1136"/>
      <c r="C650" s="1138"/>
    </row>
    <row r="651" spans="1:3">
      <c r="A651" s="1133"/>
      <c r="B651" s="1136"/>
      <c r="C651" s="1138"/>
    </row>
    <row r="652" spans="1:3">
      <c r="A652" s="1133"/>
      <c r="B652" s="1136"/>
      <c r="C652" s="1138"/>
    </row>
    <row r="653" spans="1:3">
      <c r="A653" s="1133"/>
      <c r="B653" s="1136"/>
      <c r="C653" s="1138"/>
    </row>
    <row r="654" spans="1:3">
      <c r="A654" s="1133"/>
      <c r="B654" s="1136"/>
      <c r="C654" s="1138"/>
    </row>
    <row r="655" spans="1:3">
      <c r="A655" s="1133"/>
      <c r="B655" s="1136"/>
      <c r="C655" s="1138"/>
    </row>
    <row r="656" spans="1:3">
      <c r="A656" s="1133"/>
      <c r="B656" s="1136"/>
      <c r="C656" s="1138"/>
    </row>
    <row r="657" spans="1:3">
      <c r="A657" s="1133"/>
      <c r="B657" s="1136"/>
      <c r="C657" s="1138"/>
    </row>
    <row r="658" spans="1:3">
      <c r="A658" s="1133"/>
      <c r="B658" s="1136"/>
      <c r="C658" s="1138"/>
    </row>
    <row r="659" spans="1:3">
      <c r="A659" s="1133"/>
      <c r="B659" s="1136"/>
      <c r="C659" s="1138"/>
    </row>
    <row r="660" spans="1:3">
      <c r="A660" s="1133"/>
      <c r="B660" s="1136"/>
      <c r="C660" s="1138"/>
    </row>
    <row r="661" spans="1:3">
      <c r="A661" s="1133"/>
      <c r="B661" s="1136"/>
      <c r="C661" s="1138"/>
    </row>
    <row r="662" spans="1:3">
      <c r="A662" s="1133"/>
      <c r="B662" s="1136"/>
      <c r="C662" s="1138"/>
    </row>
    <row r="663" spans="1:3">
      <c r="A663" s="1133"/>
      <c r="B663" s="1136"/>
      <c r="C663" s="1138"/>
    </row>
    <row r="664" spans="1:3">
      <c r="A664" s="1133"/>
      <c r="B664" s="1136"/>
      <c r="C664" s="1138"/>
    </row>
    <row r="665" spans="1:3">
      <c r="A665" s="1133"/>
      <c r="B665" s="1136"/>
      <c r="C665" s="1138"/>
    </row>
    <row r="666" spans="1:3">
      <c r="A666" s="1133"/>
      <c r="B666" s="1136"/>
      <c r="C666" s="1138"/>
    </row>
    <row r="667" spans="1:3">
      <c r="A667" s="1133"/>
      <c r="B667" s="1136"/>
      <c r="C667" s="1138"/>
    </row>
    <row r="668" spans="1:3">
      <c r="A668" s="1133"/>
      <c r="B668" s="1136"/>
      <c r="C668" s="1138"/>
    </row>
    <row r="669" spans="1:3">
      <c r="A669" s="1133"/>
      <c r="B669" s="1136"/>
      <c r="C669" s="1138"/>
    </row>
    <row r="670" spans="1:3">
      <c r="A670" s="1133"/>
      <c r="B670" s="1136"/>
      <c r="C670" s="1138"/>
    </row>
    <row r="671" spans="1:3">
      <c r="A671" s="1133"/>
      <c r="B671" s="1136"/>
      <c r="C671" s="1138"/>
    </row>
    <row r="672" spans="1:3">
      <c r="A672" s="1133"/>
      <c r="B672" s="1136"/>
      <c r="C672" s="1138"/>
    </row>
    <row r="673" spans="1:3">
      <c r="A673" s="1133"/>
      <c r="B673" s="1136"/>
      <c r="C673" s="1138"/>
    </row>
    <row r="674" spans="1:3">
      <c r="A674" s="1133"/>
      <c r="B674" s="1136"/>
      <c r="C674" s="1138"/>
    </row>
    <row r="675" spans="1:3">
      <c r="A675" s="1133"/>
      <c r="B675" s="1136"/>
      <c r="C675" s="1138"/>
    </row>
    <row r="676" spans="1:3">
      <c r="A676" s="1133"/>
      <c r="B676" s="1136"/>
      <c r="C676" s="1138"/>
    </row>
    <row r="677" spans="1:3">
      <c r="A677" s="1133"/>
      <c r="B677" s="1136"/>
      <c r="C677" s="1138"/>
    </row>
    <row r="678" spans="1:3">
      <c r="A678" s="1133"/>
      <c r="B678" s="1136"/>
      <c r="C678" s="1138"/>
    </row>
    <row r="679" spans="1:3">
      <c r="A679" s="1133"/>
      <c r="B679" s="1136"/>
      <c r="C679" s="1138"/>
    </row>
    <row r="680" spans="1:3">
      <c r="A680" s="1133"/>
      <c r="B680" s="1136"/>
      <c r="C680" s="1138"/>
    </row>
    <row r="681" spans="1:3">
      <c r="A681" s="1133"/>
      <c r="B681" s="1136"/>
      <c r="C681" s="1138"/>
    </row>
    <row r="682" spans="1:3">
      <c r="A682" s="1133"/>
      <c r="B682" s="1136"/>
      <c r="C682" s="1138"/>
    </row>
    <row r="683" spans="1:3">
      <c r="A683" s="1133"/>
      <c r="B683" s="1136"/>
      <c r="C683" s="1138"/>
    </row>
    <row r="684" spans="1:3">
      <c r="A684" s="1133"/>
      <c r="B684" s="1136"/>
      <c r="C684" s="1138"/>
    </row>
    <row r="685" spans="1:3">
      <c r="A685" s="1133"/>
      <c r="B685" s="1136"/>
      <c r="C685" s="1138"/>
    </row>
    <row r="686" spans="1:3">
      <c r="A686" s="1133"/>
      <c r="B686" s="1136"/>
      <c r="C686" s="1138"/>
    </row>
    <row r="687" spans="1:3">
      <c r="A687" s="1133"/>
      <c r="B687" s="1136"/>
      <c r="C687" s="1138"/>
    </row>
    <row r="688" spans="1:3">
      <c r="A688" s="1133"/>
      <c r="B688" s="1136"/>
      <c r="C688" s="1138"/>
    </row>
    <row r="689" spans="1:3">
      <c r="A689" s="1133"/>
      <c r="B689" s="1136"/>
      <c r="C689" s="1138"/>
    </row>
    <row r="690" spans="1:3">
      <c r="A690" s="1133"/>
      <c r="B690" s="1136"/>
      <c r="C690" s="1138"/>
    </row>
    <row r="691" spans="1:3">
      <c r="A691" s="1133"/>
      <c r="B691" s="1136"/>
      <c r="C691" s="1138"/>
    </row>
    <row r="692" spans="1:3">
      <c r="A692" s="1133"/>
      <c r="B692" s="1136"/>
      <c r="C692" s="1138"/>
    </row>
    <row r="693" spans="1:3">
      <c r="A693" s="1133"/>
      <c r="B693" s="1136"/>
      <c r="C693" s="1138"/>
    </row>
    <row r="694" spans="1:3">
      <c r="A694" s="1133"/>
      <c r="B694" s="1136"/>
      <c r="C694" s="1138"/>
    </row>
    <row r="695" spans="1:3">
      <c r="A695" s="1133"/>
      <c r="B695" s="1136"/>
      <c r="C695" s="1138"/>
    </row>
    <row r="696" spans="1:3">
      <c r="A696" s="1133"/>
      <c r="B696" s="1136"/>
      <c r="C696" s="1138"/>
    </row>
    <row r="697" spans="1:3">
      <c r="A697" s="1133"/>
      <c r="B697" s="1136"/>
      <c r="C697" s="1138"/>
    </row>
    <row r="698" spans="1:3">
      <c r="A698" s="1133"/>
      <c r="B698" s="1136"/>
      <c r="C698" s="1138"/>
    </row>
    <row r="699" spans="1:3">
      <c r="A699" s="1133"/>
      <c r="B699" s="1136"/>
      <c r="C699" s="1138"/>
    </row>
    <row r="700" spans="1:3">
      <c r="A700" s="1133"/>
      <c r="B700" s="1136"/>
      <c r="C700" s="1138"/>
    </row>
    <row r="701" spans="1:3">
      <c r="A701" s="1133"/>
      <c r="B701" s="1136"/>
      <c r="C701" s="1138"/>
    </row>
    <row r="702" spans="1:3">
      <c r="A702" s="1133"/>
      <c r="B702" s="1136"/>
      <c r="C702" s="1138"/>
    </row>
    <row r="703" spans="1:3">
      <c r="A703" s="1133"/>
      <c r="B703" s="1136"/>
      <c r="C703" s="1138"/>
    </row>
    <row r="704" spans="1:3">
      <c r="A704" s="1133"/>
      <c r="B704" s="1136"/>
      <c r="C704" s="1138"/>
    </row>
    <row r="705" spans="1:3">
      <c r="A705" s="1133"/>
      <c r="B705" s="1136"/>
      <c r="C705" s="1138"/>
    </row>
    <row r="706" spans="1:3">
      <c r="A706" s="1133"/>
      <c r="B706" s="1136"/>
      <c r="C706" s="1138"/>
    </row>
    <row r="707" spans="1:3">
      <c r="A707" s="1133"/>
      <c r="B707" s="1136"/>
      <c r="C707" s="1138"/>
    </row>
    <row r="708" spans="1:3">
      <c r="A708" s="1133"/>
      <c r="B708" s="1136"/>
      <c r="C708" s="1138"/>
    </row>
    <row r="709" spans="1:3">
      <c r="A709" s="1133"/>
      <c r="B709" s="1136"/>
      <c r="C709" s="1138"/>
    </row>
    <row r="710" spans="1:3">
      <c r="A710" s="1133"/>
      <c r="B710" s="1136"/>
      <c r="C710" s="1138"/>
    </row>
    <row r="711" spans="1:3">
      <c r="A711" s="1133"/>
      <c r="B711" s="1136"/>
      <c r="C711" s="1138"/>
    </row>
    <row r="712" spans="1:3">
      <c r="A712" s="1133"/>
      <c r="B712" s="1136"/>
      <c r="C712" s="1138"/>
    </row>
    <row r="713" spans="1:3">
      <c r="A713" s="1133"/>
      <c r="B713" s="1136"/>
      <c r="C713" s="1138"/>
    </row>
    <row r="714" spans="1:3">
      <c r="A714" s="1133"/>
      <c r="B714" s="1136"/>
      <c r="C714" s="1138"/>
    </row>
    <row r="715" spans="1:3">
      <c r="A715" s="1133"/>
      <c r="B715" s="1136"/>
      <c r="C715" s="1138"/>
    </row>
    <row r="716" spans="1:3">
      <c r="A716" s="1133"/>
      <c r="B716" s="1136"/>
      <c r="C716" s="1138"/>
    </row>
    <row r="717" spans="1:3">
      <c r="A717" s="1133"/>
      <c r="B717" s="1136"/>
      <c r="C717" s="1138"/>
    </row>
    <row r="718" spans="1:3">
      <c r="A718" s="1133"/>
      <c r="B718" s="1136"/>
      <c r="C718" s="1138"/>
    </row>
    <row r="719" spans="1:3">
      <c r="A719" s="1133"/>
      <c r="B719" s="1136"/>
      <c r="C719" s="1138"/>
    </row>
    <row r="720" spans="1:3">
      <c r="A720" s="1133"/>
      <c r="B720" s="1136"/>
      <c r="C720" s="1138"/>
    </row>
    <row r="721" spans="1:3">
      <c r="A721" s="1133"/>
      <c r="B721" s="1136"/>
      <c r="C721" s="1138"/>
    </row>
    <row r="722" spans="1:3">
      <c r="A722" s="1133"/>
      <c r="B722" s="1136"/>
      <c r="C722" s="1138"/>
    </row>
    <row r="723" spans="1:3">
      <c r="A723" s="1133"/>
      <c r="B723" s="1136"/>
      <c r="C723" s="1138"/>
    </row>
    <row r="724" spans="1:3">
      <c r="A724" s="1133"/>
      <c r="B724" s="1136"/>
      <c r="C724" s="1138"/>
    </row>
    <row r="725" spans="1:3">
      <c r="A725" s="1133"/>
      <c r="B725" s="1136"/>
      <c r="C725" s="1138"/>
    </row>
    <row r="726" spans="1:3">
      <c r="A726" s="1133"/>
      <c r="B726" s="1136"/>
      <c r="C726" s="1138"/>
    </row>
    <row r="727" spans="1:3">
      <c r="A727" s="1133"/>
      <c r="B727" s="1136"/>
      <c r="C727" s="1138"/>
    </row>
    <row r="728" spans="1:3">
      <c r="A728" s="1133"/>
      <c r="B728" s="1136"/>
      <c r="C728" s="1138"/>
    </row>
    <row r="729" spans="1:3">
      <c r="A729" s="1133"/>
      <c r="B729" s="1136"/>
      <c r="C729" s="1138"/>
    </row>
    <row r="730" spans="1:3">
      <c r="A730" s="1133"/>
      <c r="B730" s="1136"/>
      <c r="C730" s="1138"/>
    </row>
    <row r="731" spans="1:3">
      <c r="A731" s="1133"/>
      <c r="B731" s="1136"/>
      <c r="C731" s="1138"/>
    </row>
    <row r="732" spans="1:3">
      <c r="A732" s="1133"/>
      <c r="B732" s="1136"/>
      <c r="C732" s="1138"/>
    </row>
    <row r="733" spans="1:3">
      <c r="A733" s="1133"/>
      <c r="B733" s="1136"/>
      <c r="C733" s="1138"/>
    </row>
    <row r="734" spans="1:3">
      <c r="A734" s="1133"/>
      <c r="B734" s="1136"/>
      <c r="C734" s="1138"/>
    </row>
    <row r="735" spans="1:3">
      <c r="A735" s="1133"/>
      <c r="B735" s="1136"/>
      <c r="C735" s="1138"/>
    </row>
    <row r="736" spans="1:3">
      <c r="A736" s="1133"/>
      <c r="B736" s="1136"/>
      <c r="C736" s="1138"/>
    </row>
    <row r="737" spans="1:3">
      <c r="A737" s="1133"/>
      <c r="B737" s="1136"/>
      <c r="C737" s="1138"/>
    </row>
    <row r="738" spans="1:3">
      <c r="A738" s="1133"/>
      <c r="B738" s="1136"/>
      <c r="C738" s="1138"/>
    </row>
    <row r="739" spans="1:3">
      <c r="A739" s="1133"/>
      <c r="B739" s="1136"/>
      <c r="C739" s="1138"/>
    </row>
    <row r="740" spans="1:3">
      <c r="A740" s="1133"/>
      <c r="B740" s="1136"/>
      <c r="C740" s="1138"/>
    </row>
    <row r="741" spans="1:3">
      <c r="A741" s="1133"/>
      <c r="B741" s="1136"/>
      <c r="C741" s="1138"/>
    </row>
    <row r="742" spans="1:3">
      <c r="A742" s="1133"/>
      <c r="B742" s="1136"/>
      <c r="C742" s="1138"/>
    </row>
    <row r="743" spans="1:3">
      <c r="A743" s="1133"/>
      <c r="B743" s="1136"/>
      <c r="C743" s="1138"/>
    </row>
    <row r="744" spans="1:3">
      <c r="A744" s="1133"/>
      <c r="B744" s="1136"/>
      <c r="C744" s="1138"/>
    </row>
    <row r="745" spans="1:3">
      <c r="A745" s="1133"/>
      <c r="B745" s="1136"/>
      <c r="C745" s="1138"/>
    </row>
    <row r="746" spans="1:3">
      <c r="A746" s="1133"/>
      <c r="B746" s="1136"/>
      <c r="C746" s="1138"/>
    </row>
    <row r="747" spans="1:3">
      <c r="A747" s="1133"/>
      <c r="B747" s="1136"/>
      <c r="C747" s="1138"/>
    </row>
    <row r="748" spans="1:3">
      <c r="A748" s="1133"/>
      <c r="B748" s="1136"/>
      <c r="C748" s="1138"/>
    </row>
    <row r="749" spans="1:3">
      <c r="A749" s="1133"/>
      <c r="B749" s="1136"/>
      <c r="C749" s="1138"/>
    </row>
    <row r="750" spans="1:3">
      <c r="A750" s="1133"/>
      <c r="B750" s="1136"/>
      <c r="C750" s="1138"/>
    </row>
    <row r="751" spans="1:3">
      <c r="A751" s="1133"/>
      <c r="B751" s="1136"/>
      <c r="C751" s="1138"/>
    </row>
    <row r="752" spans="1:3">
      <c r="A752" s="1133"/>
      <c r="B752" s="1136"/>
      <c r="C752" s="1138"/>
    </row>
    <row r="753" spans="1:3">
      <c r="A753" s="1133"/>
      <c r="B753" s="1136"/>
      <c r="C753" s="1138"/>
    </row>
    <row r="754" spans="1:3">
      <c r="A754" s="1133"/>
      <c r="B754" s="1136"/>
      <c r="C754" s="1138"/>
    </row>
    <row r="755" spans="1:3">
      <c r="A755" s="1133"/>
      <c r="B755" s="1136"/>
      <c r="C755" s="1138"/>
    </row>
    <row r="756" spans="1:3">
      <c r="A756" s="1133"/>
      <c r="B756" s="1136"/>
      <c r="C756" s="1138"/>
    </row>
    <row r="757" spans="1:3">
      <c r="A757" s="1133"/>
      <c r="B757" s="1136"/>
      <c r="C757" s="1138"/>
    </row>
    <row r="758" spans="1:3">
      <c r="A758" s="1133"/>
      <c r="B758" s="1136"/>
      <c r="C758" s="1138"/>
    </row>
    <row r="759" spans="1:3">
      <c r="A759" s="1133"/>
      <c r="B759" s="1136"/>
      <c r="C759" s="1138"/>
    </row>
    <row r="760" spans="1:3">
      <c r="A760" s="1133"/>
      <c r="B760" s="1136"/>
      <c r="C760" s="1138"/>
    </row>
    <row r="761" spans="1:3">
      <c r="A761" s="1133"/>
      <c r="B761" s="1136"/>
      <c r="C761" s="1138"/>
    </row>
    <row r="762" spans="1:3">
      <c r="A762" s="1133"/>
      <c r="B762" s="1136"/>
      <c r="C762" s="1138"/>
    </row>
    <row r="763" spans="1:3">
      <c r="A763" s="1133"/>
      <c r="B763" s="1136"/>
      <c r="C763" s="1138"/>
    </row>
    <row r="764" spans="1:3">
      <c r="A764" s="1133"/>
      <c r="B764" s="1136"/>
      <c r="C764" s="1138"/>
    </row>
    <row r="765" spans="1:3">
      <c r="A765" s="1133"/>
      <c r="B765" s="1136"/>
      <c r="C765" s="1138"/>
    </row>
    <row r="766" spans="1:3">
      <c r="A766" s="1133"/>
      <c r="B766" s="1136"/>
      <c r="C766" s="1138"/>
    </row>
    <row r="767" spans="1:3">
      <c r="A767" s="1133"/>
      <c r="B767" s="1136"/>
      <c r="C767" s="1138"/>
    </row>
    <row r="768" spans="1:3">
      <c r="A768" s="1133"/>
      <c r="B768" s="1136"/>
      <c r="C768" s="1138"/>
    </row>
    <row r="769" spans="1:3">
      <c r="A769" s="1133"/>
      <c r="B769" s="1136"/>
      <c r="C769" s="1138"/>
    </row>
    <row r="770" spans="1:3">
      <c r="A770" s="1133"/>
      <c r="B770" s="1136"/>
      <c r="C770" s="1138"/>
    </row>
    <row r="771" spans="1:3">
      <c r="A771" s="1133"/>
      <c r="B771" s="1136"/>
      <c r="C771" s="1138"/>
    </row>
    <row r="772" spans="1:3">
      <c r="A772" s="1133"/>
      <c r="B772" s="1136"/>
      <c r="C772" s="1138"/>
    </row>
    <row r="773" spans="1:3">
      <c r="A773" s="1133"/>
      <c r="B773" s="1136"/>
      <c r="C773" s="1138"/>
    </row>
    <row r="774" spans="1:3">
      <c r="A774" s="1133"/>
      <c r="B774" s="1136"/>
      <c r="C774" s="1138"/>
    </row>
    <row r="775" spans="1:3">
      <c r="A775" s="1133"/>
      <c r="B775" s="1136"/>
      <c r="C775" s="1138"/>
    </row>
    <row r="776" spans="1:3">
      <c r="A776" s="1133"/>
      <c r="B776" s="1136"/>
      <c r="C776" s="1138"/>
    </row>
    <row r="777" spans="1:3">
      <c r="A777" s="1133"/>
      <c r="B777" s="1136"/>
      <c r="C777" s="1138"/>
    </row>
    <row r="778" spans="1:3">
      <c r="A778" s="1133"/>
      <c r="B778" s="1136"/>
      <c r="C778" s="1138"/>
    </row>
    <row r="779" spans="1:3">
      <c r="A779" s="1133"/>
      <c r="B779" s="1136"/>
      <c r="C779" s="1138"/>
    </row>
    <row r="780" spans="1:3">
      <c r="A780" s="1133"/>
      <c r="B780" s="1136"/>
      <c r="C780" s="1138"/>
    </row>
    <row r="781" spans="1:3">
      <c r="A781" s="1133"/>
      <c r="B781" s="1136"/>
      <c r="C781" s="1138"/>
    </row>
    <row r="782" spans="1:3">
      <c r="A782" s="1133"/>
      <c r="B782" s="1136"/>
      <c r="C782" s="1138"/>
    </row>
    <row r="783" spans="1:3">
      <c r="A783" s="1133"/>
      <c r="B783" s="1136"/>
      <c r="C783" s="1138"/>
    </row>
    <row r="784" spans="1:3">
      <c r="A784" s="1133"/>
      <c r="B784" s="1136"/>
      <c r="C784" s="1138"/>
    </row>
    <row r="785" spans="1:3">
      <c r="A785" s="1133"/>
      <c r="B785" s="1136"/>
      <c r="C785" s="1138"/>
    </row>
    <row r="786" spans="1:3">
      <c r="A786" s="1133"/>
      <c r="B786" s="1136"/>
      <c r="C786" s="1138"/>
    </row>
    <row r="787" spans="1:3">
      <c r="A787" s="1133"/>
      <c r="B787" s="1136"/>
      <c r="C787" s="1138"/>
    </row>
    <row r="788" spans="1:3">
      <c r="A788" s="1133"/>
      <c r="B788" s="1136"/>
      <c r="C788" s="1138"/>
    </row>
    <row r="789" spans="1:3">
      <c r="A789" s="1133"/>
      <c r="B789" s="1136"/>
      <c r="C789" s="1138"/>
    </row>
    <row r="790" spans="1:3">
      <c r="A790" s="1133"/>
      <c r="B790" s="1136"/>
      <c r="C790" s="1138"/>
    </row>
    <row r="791" spans="1:3">
      <c r="A791" s="1133"/>
      <c r="B791" s="1136"/>
      <c r="C791" s="1138"/>
    </row>
    <row r="792" spans="1:3">
      <c r="A792" s="1133"/>
      <c r="B792" s="1136"/>
      <c r="C792" s="1138"/>
    </row>
    <row r="793" spans="1:3">
      <c r="A793" s="1133"/>
      <c r="B793" s="1136"/>
      <c r="C793" s="1138"/>
    </row>
    <row r="794" spans="1:3">
      <c r="A794" s="1133"/>
      <c r="B794" s="1136"/>
      <c r="C794" s="1138"/>
    </row>
    <row r="795" spans="1:3">
      <c r="A795" s="1133"/>
      <c r="B795" s="1136"/>
      <c r="C795" s="1138"/>
    </row>
    <row r="796" spans="1:3">
      <c r="A796" s="1133"/>
      <c r="B796" s="1136"/>
      <c r="C796" s="1138"/>
    </row>
    <row r="797" spans="1:3">
      <c r="A797" s="1133"/>
      <c r="B797" s="1136"/>
      <c r="C797" s="1138"/>
    </row>
    <row r="798" spans="1:3">
      <c r="A798" s="1133"/>
      <c r="B798" s="1136"/>
      <c r="C798" s="1138"/>
    </row>
    <row r="799" spans="1:3">
      <c r="A799" s="1133"/>
      <c r="B799" s="1136"/>
      <c r="C799" s="1138"/>
    </row>
    <row r="800" spans="1:3">
      <c r="A800" s="1133"/>
      <c r="B800" s="1136"/>
      <c r="C800" s="1138"/>
    </row>
    <row r="801" spans="1:3">
      <c r="A801" s="1133"/>
      <c r="B801" s="1136"/>
      <c r="C801" s="1138"/>
    </row>
    <row r="802" spans="1:3">
      <c r="A802" s="1133"/>
      <c r="B802" s="1136"/>
      <c r="C802" s="1138"/>
    </row>
    <row r="803" spans="1:3">
      <c r="A803" s="1133"/>
      <c r="B803" s="1136"/>
      <c r="C803" s="1138"/>
    </row>
    <row r="804" spans="1:3">
      <c r="A804" s="1133"/>
      <c r="B804" s="1136"/>
      <c r="C804" s="1138"/>
    </row>
    <row r="805" spans="1:3">
      <c r="A805" s="1133"/>
      <c r="B805" s="1136"/>
      <c r="C805" s="1138"/>
    </row>
    <row r="806" spans="1:3">
      <c r="A806" s="1133"/>
      <c r="B806" s="1136"/>
      <c r="C806" s="1138"/>
    </row>
    <row r="807" spans="1:3">
      <c r="A807" s="1133"/>
      <c r="B807" s="1136"/>
      <c r="C807" s="1138"/>
    </row>
    <row r="808" spans="1:3">
      <c r="A808" s="1133"/>
      <c r="B808" s="1136"/>
      <c r="C808" s="1138"/>
    </row>
    <row r="809" spans="1:3">
      <c r="A809" s="1133"/>
      <c r="B809" s="1136"/>
      <c r="C809" s="1138"/>
    </row>
    <row r="810" spans="1:3">
      <c r="A810" s="1133"/>
      <c r="B810" s="1136"/>
      <c r="C810" s="1138"/>
    </row>
    <row r="811" spans="1:3">
      <c r="A811" s="1133"/>
      <c r="B811" s="1136"/>
      <c r="C811" s="1138"/>
    </row>
    <row r="812" spans="1:3">
      <c r="A812" s="1133"/>
      <c r="B812" s="1136"/>
      <c r="C812" s="1138"/>
    </row>
    <row r="813" spans="1:3">
      <c r="A813" s="1133"/>
      <c r="B813" s="1136"/>
      <c r="C813" s="1138"/>
    </row>
    <row r="814" spans="1:3">
      <c r="A814" s="1133"/>
      <c r="B814" s="1136"/>
      <c r="C814" s="1138"/>
    </row>
    <row r="815" spans="1:3">
      <c r="A815" s="1133"/>
      <c r="B815" s="1136"/>
      <c r="C815" s="1138"/>
    </row>
    <row r="816" spans="1:3">
      <c r="A816" s="1133"/>
      <c r="B816" s="1136"/>
      <c r="C816" s="1138"/>
    </row>
    <row r="817" spans="1:3">
      <c r="A817" s="1133"/>
      <c r="B817" s="1136"/>
      <c r="C817" s="1138"/>
    </row>
    <row r="818" spans="1:3">
      <c r="A818" s="1133"/>
      <c r="B818" s="1136"/>
      <c r="C818" s="1138"/>
    </row>
    <row r="819" spans="1:3">
      <c r="A819" s="1133"/>
      <c r="B819" s="1136"/>
      <c r="C819" s="1138"/>
    </row>
    <row r="820" spans="1:3">
      <c r="A820" s="1133"/>
      <c r="B820" s="1136"/>
      <c r="C820" s="1138"/>
    </row>
    <row r="821" spans="1:3">
      <c r="A821" s="1133"/>
      <c r="B821" s="1136"/>
      <c r="C821" s="1138"/>
    </row>
    <row r="822" spans="1:3">
      <c r="A822" s="1133"/>
      <c r="B822" s="1136"/>
      <c r="C822" s="1138"/>
    </row>
    <row r="823" spans="1:3">
      <c r="A823" s="1133"/>
      <c r="B823" s="1136"/>
      <c r="C823" s="1138"/>
    </row>
    <row r="824" spans="1:3">
      <c r="A824" s="1133"/>
      <c r="B824" s="1136"/>
      <c r="C824" s="1138"/>
    </row>
    <row r="825" spans="1:3">
      <c r="A825" s="1133"/>
      <c r="B825" s="1136"/>
      <c r="C825" s="1138"/>
    </row>
    <row r="826" spans="1:3">
      <c r="A826" s="1133"/>
      <c r="B826" s="1136"/>
      <c r="C826" s="1138"/>
    </row>
    <row r="827" spans="1:3">
      <c r="A827" s="1133"/>
      <c r="B827" s="1136"/>
      <c r="C827" s="1138"/>
    </row>
    <row r="828" spans="1:3">
      <c r="A828" s="1133"/>
      <c r="B828" s="1136"/>
      <c r="C828" s="1138"/>
    </row>
    <row r="829" spans="1:3">
      <c r="A829" s="1133"/>
      <c r="B829" s="1136"/>
      <c r="C829" s="1138"/>
    </row>
    <row r="830" spans="1:3">
      <c r="A830" s="1133"/>
      <c r="B830" s="1136"/>
      <c r="C830" s="1138"/>
    </row>
    <row r="831" spans="1:3">
      <c r="A831" s="1133"/>
      <c r="B831" s="1136"/>
      <c r="C831" s="1138"/>
    </row>
    <row r="832" spans="1:3">
      <c r="A832" s="1133"/>
      <c r="B832" s="1136"/>
      <c r="C832" s="1138"/>
    </row>
    <row r="833" spans="1:3">
      <c r="A833" s="1133"/>
      <c r="B833" s="1136"/>
      <c r="C833" s="1138"/>
    </row>
    <row r="834" spans="1:3">
      <c r="A834" s="1133"/>
      <c r="B834" s="1136"/>
      <c r="C834" s="1138"/>
    </row>
    <row r="835" spans="1:3">
      <c r="A835" s="1133"/>
      <c r="B835" s="1136"/>
      <c r="C835" s="1138"/>
    </row>
    <row r="836" spans="1:3">
      <c r="A836" s="1133"/>
      <c r="B836" s="1136"/>
      <c r="C836" s="1138"/>
    </row>
    <row r="837" spans="1:3">
      <c r="A837" s="1133"/>
      <c r="B837" s="1136"/>
      <c r="C837" s="1138"/>
    </row>
    <row r="838" spans="1:3">
      <c r="A838" s="1133"/>
      <c r="B838" s="1136"/>
      <c r="C838" s="1138"/>
    </row>
    <row r="839" spans="1:3">
      <c r="A839" s="1133"/>
      <c r="B839" s="1136"/>
      <c r="C839" s="1138"/>
    </row>
    <row r="840" spans="1:3">
      <c r="A840" s="1133"/>
      <c r="B840" s="1136"/>
      <c r="C840" s="1138"/>
    </row>
    <row r="841" spans="1:3">
      <c r="A841" s="1133"/>
      <c r="B841" s="1136"/>
      <c r="C841" s="1138"/>
    </row>
    <row r="842" spans="1:3">
      <c r="A842" s="1133"/>
      <c r="B842" s="1136"/>
      <c r="C842" s="1138"/>
    </row>
    <row r="843" spans="1:3">
      <c r="A843" s="1133"/>
      <c r="B843" s="1136"/>
      <c r="C843" s="1138"/>
    </row>
    <row r="844" spans="1:3">
      <c r="A844" s="1133"/>
      <c r="B844" s="1136"/>
      <c r="C844" s="1138"/>
    </row>
    <row r="845" spans="1:3">
      <c r="A845" s="1133"/>
      <c r="B845" s="1136"/>
      <c r="C845" s="1138"/>
    </row>
    <row r="846" spans="1:3">
      <c r="A846" s="1133"/>
      <c r="B846" s="1136"/>
      <c r="C846" s="1138"/>
    </row>
    <row r="847" spans="1:3">
      <c r="A847" s="1133"/>
      <c r="B847" s="1136"/>
      <c r="C847" s="1138"/>
    </row>
    <row r="848" spans="1:3">
      <c r="A848" s="1133"/>
      <c r="B848" s="1136"/>
      <c r="C848" s="1138"/>
    </row>
    <row r="849" spans="1:3">
      <c r="A849" s="1133"/>
      <c r="B849" s="1136"/>
      <c r="C849" s="1138"/>
    </row>
    <row r="850" spans="1:3">
      <c r="A850" s="1133"/>
      <c r="B850" s="1136"/>
      <c r="C850" s="1138"/>
    </row>
    <row r="851" spans="1:3">
      <c r="A851" s="1133"/>
      <c r="B851" s="1136"/>
      <c r="C851" s="1138"/>
    </row>
    <row r="852" spans="1:3">
      <c r="A852" s="1133"/>
      <c r="B852" s="1136"/>
      <c r="C852" s="1138"/>
    </row>
    <row r="853" spans="1:3">
      <c r="A853" s="1133"/>
      <c r="B853" s="1136"/>
      <c r="C853" s="1138"/>
    </row>
    <row r="854" spans="1:3">
      <c r="A854" s="1133"/>
      <c r="B854" s="1136"/>
      <c r="C854" s="1138"/>
    </row>
    <row r="855" spans="1:3">
      <c r="A855" s="1133"/>
      <c r="B855" s="1136"/>
      <c r="C855" s="1138"/>
    </row>
    <row r="856" spans="1:3">
      <c r="A856" s="1133"/>
      <c r="B856" s="1136"/>
      <c r="C856" s="1138"/>
    </row>
    <row r="857" spans="1:3">
      <c r="A857" s="1133"/>
      <c r="B857" s="1136"/>
      <c r="C857" s="1138"/>
    </row>
    <row r="858" spans="1:3">
      <c r="A858" s="1133"/>
      <c r="B858" s="1136"/>
      <c r="C858" s="1138"/>
    </row>
    <row r="859" spans="1:3">
      <c r="A859" s="1133"/>
      <c r="B859" s="1136"/>
      <c r="C859" s="1138"/>
    </row>
    <row r="860" spans="1:3">
      <c r="A860" s="1133"/>
      <c r="B860" s="1136"/>
      <c r="C860" s="1138"/>
    </row>
    <row r="861" spans="1:3">
      <c r="A861" s="1133"/>
      <c r="B861" s="1136"/>
      <c r="C861" s="1138"/>
    </row>
    <row r="862" spans="1:3">
      <c r="A862" s="1133"/>
      <c r="B862" s="1136"/>
      <c r="C862" s="1138"/>
    </row>
    <row r="863" spans="1:3">
      <c r="A863" s="1133"/>
      <c r="B863" s="1136"/>
      <c r="C863" s="1138"/>
    </row>
    <row r="864" spans="1:3">
      <c r="A864" s="1133"/>
      <c r="B864" s="1136"/>
      <c r="C864" s="1138"/>
    </row>
    <row r="865" spans="1:3">
      <c r="A865" s="1133"/>
      <c r="B865" s="1136"/>
      <c r="C865" s="1138"/>
    </row>
    <row r="866" spans="1:3">
      <c r="A866" s="1133"/>
      <c r="B866" s="1136"/>
      <c r="C866" s="1138"/>
    </row>
    <row r="867" spans="1:3">
      <c r="A867" s="1133"/>
      <c r="B867" s="1136"/>
      <c r="C867" s="1138"/>
    </row>
    <row r="868" spans="1:3">
      <c r="A868" s="1133"/>
      <c r="B868" s="1136"/>
      <c r="C868" s="1138"/>
    </row>
    <row r="869" spans="1:3">
      <c r="A869" s="1133"/>
      <c r="B869" s="1136"/>
      <c r="C869" s="1138"/>
    </row>
    <row r="870" spans="1:3">
      <c r="A870" s="1133"/>
      <c r="B870" s="1136"/>
      <c r="C870" s="1138"/>
    </row>
    <row r="871" spans="1:3">
      <c r="A871" s="1133"/>
      <c r="B871" s="1136"/>
      <c r="C871" s="1138"/>
    </row>
    <row r="872" spans="1:3">
      <c r="A872" s="1133"/>
      <c r="B872" s="1136"/>
      <c r="C872" s="1138"/>
    </row>
    <row r="873" spans="1:3">
      <c r="A873" s="1133"/>
      <c r="B873" s="1136"/>
      <c r="C873" s="1138"/>
    </row>
    <row r="874" spans="1:3">
      <c r="A874" s="1133"/>
      <c r="B874" s="1136"/>
      <c r="C874" s="1138"/>
    </row>
    <row r="875" spans="1:3">
      <c r="A875" s="1133"/>
      <c r="B875" s="1136"/>
      <c r="C875" s="1138"/>
    </row>
    <row r="876" spans="1:3">
      <c r="A876" s="1133"/>
      <c r="B876" s="1136"/>
      <c r="C876" s="1138"/>
    </row>
    <row r="877" spans="1:3">
      <c r="A877" s="1133"/>
      <c r="B877" s="1136"/>
      <c r="C877" s="1138"/>
    </row>
    <row r="878" spans="1:3">
      <c r="A878" s="1133"/>
      <c r="B878" s="1136"/>
      <c r="C878" s="1138"/>
    </row>
    <row r="879" spans="1:3">
      <c r="A879" s="1133"/>
      <c r="B879" s="1136"/>
      <c r="C879" s="1138"/>
    </row>
    <row r="880" spans="1:3">
      <c r="A880" s="1133"/>
      <c r="B880" s="1136"/>
      <c r="C880" s="1138"/>
    </row>
    <row r="881" spans="1:3">
      <c r="A881" s="1133"/>
      <c r="B881" s="1136"/>
      <c r="C881" s="1138"/>
    </row>
    <row r="882" spans="1:3">
      <c r="A882" s="1133"/>
      <c r="B882" s="1136"/>
      <c r="C882" s="1138"/>
    </row>
    <row r="883" spans="1:3">
      <c r="A883" s="1133"/>
      <c r="B883" s="1136"/>
      <c r="C883" s="1138"/>
    </row>
    <row r="884" spans="1:3">
      <c r="A884" s="1133"/>
      <c r="B884" s="1136"/>
      <c r="C884" s="1138"/>
    </row>
    <row r="885" spans="1:3">
      <c r="A885" s="1133"/>
      <c r="B885" s="1136"/>
      <c r="C885" s="1138"/>
    </row>
    <row r="886" spans="1:3">
      <c r="A886" s="1133"/>
      <c r="B886" s="1136"/>
      <c r="C886" s="1138"/>
    </row>
    <row r="887" spans="1:3">
      <c r="A887" s="1133"/>
      <c r="B887" s="1136"/>
      <c r="C887" s="1138"/>
    </row>
    <row r="888" spans="1:3">
      <c r="A888" s="1133"/>
      <c r="B888" s="1136"/>
      <c r="C888" s="1138"/>
    </row>
    <row r="889" spans="1:3">
      <c r="A889" s="1133"/>
      <c r="B889" s="1136"/>
      <c r="C889" s="1138"/>
    </row>
    <row r="890" spans="1:3">
      <c r="A890" s="1133"/>
      <c r="B890" s="1136"/>
      <c r="C890" s="1138"/>
    </row>
    <row r="891" spans="1:3">
      <c r="A891" s="1133"/>
      <c r="B891" s="1136"/>
      <c r="C891" s="1138"/>
    </row>
    <row r="892" spans="1:3">
      <c r="A892" s="1133"/>
      <c r="B892" s="1136"/>
      <c r="C892" s="1138"/>
    </row>
    <row r="893" spans="1:3">
      <c r="A893" s="1133"/>
      <c r="B893" s="1136"/>
      <c r="C893" s="1138"/>
    </row>
    <row r="894" spans="1:3">
      <c r="A894" s="1133"/>
      <c r="B894" s="1136"/>
      <c r="C894" s="1138"/>
    </row>
    <row r="895" spans="1:3">
      <c r="A895" s="1133"/>
      <c r="B895" s="1136"/>
      <c r="C895" s="1138"/>
    </row>
    <row r="896" spans="1:3">
      <c r="A896" s="1133"/>
      <c r="B896" s="1136"/>
      <c r="C896" s="1138"/>
    </row>
    <row r="897" spans="1:3">
      <c r="A897" s="1133"/>
      <c r="B897" s="1136"/>
      <c r="C897" s="1138"/>
    </row>
    <row r="898" spans="1:3">
      <c r="A898" s="1133"/>
      <c r="B898" s="1136"/>
      <c r="C898" s="1138"/>
    </row>
    <row r="899" spans="1:3">
      <c r="A899" s="1133"/>
      <c r="B899" s="1136"/>
      <c r="C899" s="1138"/>
    </row>
    <row r="900" spans="1:3">
      <c r="A900" s="1133"/>
      <c r="B900" s="1136"/>
      <c r="C900" s="1138"/>
    </row>
    <row r="901" spans="1:3">
      <c r="A901" s="1133"/>
      <c r="B901" s="1136"/>
      <c r="C901" s="1138"/>
    </row>
    <row r="902" spans="1:3">
      <c r="A902" s="1133"/>
      <c r="B902" s="1136"/>
      <c r="C902" s="1138"/>
    </row>
    <row r="903" spans="1:3">
      <c r="A903" s="1133"/>
      <c r="B903" s="1136"/>
      <c r="C903" s="1138"/>
    </row>
    <row r="904" spans="1:3">
      <c r="A904" s="1133"/>
      <c r="B904" s="1136"/>
      <c r="C904" s="1138"/>
    </row>
    <row r="905" spans="1:3">
      <c r="A905" s="1133"/>
      <c r="B905" s="1136"/>
      <c r="C905" s="1138"/>
    </row>
    <row r="906" spans="1:3">
      <c r="A906" s="1133"/>
      <c r="B906" s="1136"/>
      <c r="C906" s="1138"/>
    </row>
    <row r="907" spans="1:3">
      <c r="A907" s="1133"/>
      <c r="B907" s="1136"/>
      <c r="C907" s="1138"/>
    </row>
    <row r="908" spans="1:3">
      <c r="A908" s="1133"/>
      <c r="B908" s="1136"/>
      <c r="C908" s="1138"/>
    </row>
    <row r="909" spans="1:3">
      <c r="A909" s="1133"/>
      <c r="B909" s="1136"/>
      <c r="C909" s="1138"/>
    </row>
    <row r="910" spans="1:3">
      <c r="A910" s="1133"/>
      <c r="B910" s="1136"/>
      <c r="C910" s="1138"/>
    </row>
    <row r="911" spans="1:3">
      <c r="A911" s="1133"/>
      <c r="B911" s="1136"/>
      <c r="C911" s="1138"/>
    </row>
    <row r="912" spans="1:3">
      <c r="A912" s="1133"/>
      <c r="B912" s="1136"/>
      <c r="C912" s="1138"/>
    </row>
    <row r="913" spans="1:3">
      <c r="A913" s="1133"/>
      <c r="B913" s="1136"/>
      <c r="C913" s="1138"/>
    </row>
    <row r="914" spans="1:3">
      <c r="A914" s="1133"/>
      <c r="B914" s="1136"/>
      <c r="C914" s="1138"/>
    </row>
    <row r="915" spans="1:3">
      <c r="A915" s="1133"/>
      <c r="B915" s="1136"/>
      <c r="C915" s="1138"/>
    </row>
    <row r="916" spans="1:3">
      <c r="A916" s="1133"/>
      <c r="B916" s="1136"/>
      <c r="C916" s="1138"/>
    </row>
    <row r="917" spans="1:3">
      <c r="A917" s="1133"/>
      <c r="B917" s="1136"/>
      <c r="C917" s="1138"/>
    </row>
    <row r="918" spans="1:3">
      <c r="A918" s="1133"/>
      <c r="B918" s="1136"/>
      <c r="C918" s="1138"/>
    </row>
    <row r="919" spans="1:3">
      <c r="A919" s="1133"/>
      <c r="B919" s="1136"/>
      <c r="C919" s="1138"/>
    </row>
    <row r="920" spans="1:3">
      <c r="A920" s="1133"/>
      <c r="B920" s="1136"/>
      <c r="C920" s="1138"/>
    </row>
    <row r="921" spans="1:3">
      <c r="A921" s="1133"/>
      <c r="B921" s="1136"/>
      <c r="C921" s="1138"/>
    </row>
    <row r="922" spans="1:3">
      <c r="A922" s="1133"/>
      <c r="B922" s="1136"/>
      <c r="C922" s="1138"/>
    </row>
    <row r="923" spans="1:3">
      <c r="A923" s="1133"/>
      <c r="B923" s="1136"/>
      <c r="C923" s="1138"/>
    </row>
    <row r="924" spans="1:3">
      <c r="A924" s="1133"/>
      <c r="B924" s="1136"/>
      <c r="C924" s="1138"/>
    </row>
    <row r="925" spans="1:3">
      <c r="A925" s="1133"/>
      <c r="B925" s="1136"/>
      <c r="C925" s="1138"/>
    </row>
    <row r="926" spans="1:3">
      <c r="A926" s="1133"/>
      <c r="B926" s="1136"/>
      <c r="C926" s="1138"/>
    </row>
    <row r="927" spans="1:3">
      <c r="A927" s="1133"/>
      <c r="B927" s="1136"/>
      <c r="C927" s="1138"/>
    </row>
    <row r="928" spans="1:3">
      <c r="A928" s="1133"/>
      <c r="B928" s="1136"/>
      <c r="C928" s="1138"/>
    </row>
    <row r="929" spans="1:3">
      <c r="A929" s="1133"/>
      <c r="B929" s="1136"/>
      <c r="C929" s="1138"/>
    </row>
    <row r="930" spans="1:3">
      <c r="A930" s="1133"/>
      <c r="B930" s="1136"/>
      <c r="C930" s="1138"/>
    </row>
    <row r="931" spans="1:3">
      <c r="A931" s="1133"/>
      <c r="B931" s="1136"/>
      <c r="C931" s="1138"/>
    </row>
    <row r="932" spans="1:3">
      <c r="A932" s="1133"/>
      <c r="B932" s="1136"/>
      <c r="C932" s="1138"/>
    </row>
    <row r="933" spans="1:3">
      <c r="A933" s="1133"/>
      <c r="B933" s="1136"/>
      <c r="C933" s="1138"/>
    </row>
    <row r="934" spans="1:3">
      <c r="A934" s="1133"/>
      <c r="B934" s="1136"/>
      <c r="C934" s="1138"/>
    </row>
    <row r="935" spans="1:3">
      <c r="A935" s="1133"/>
      <c r="B935" s="1136"/>
      <c r="C935" s="1138"/>
    </row>
    <row r="936" spans="1:3">
      <c r="A936" s="1133"/>
      <c r="B936" s="1136"/>
      <c r="C936" s="1138"/>
    </row>
    <row r="937" spans="1:3">
      <c r="A937" s="1133"/>
      <c r="B937" s="1136"/>
      <c r="C937" s="1138"/>
    </row>
    <row r="938" spans="1:3">
      <c r="A938" s="1133"/>
      <c r="B938" s="1136"/>
      <c r="C938" s="1138"/>
    </row>
    <row r="939" spans="1:3">
      <c r="A939" s="1133"/>
      <c r="B939" s="1136"/>
      <c r="C939" s="1138"/>
    </row>
    <row r="940" spans="1:3">
      <c r="A940" s="1133"/>
      <c r="B940" s="1136"/>
      <c r="C940" s="1138"/>
    </row>
    <row r="941" spans="1:3">
      <c r="A941" s="1133"/>
      <c r="B941" s="1136"/>
      <c r="C941" s="1138"/>
    </row>
    <row r="942" spans="1:3">
      <c r="A942" s="1133"/>
      <c r="B942" s="1136"/>
      <c r="C942" s="1138"/>
    </row>
    <row r="943" spans="1:3">
      <c r="A943" s="1133"/>
      <c r="B943" s="1136"/>
      <c r="C943" s="1138"/>
    </row>
    <row r="944" spans="1:3">
      <c r="A944" s="1133"/>
      <c r="B944" s="1136"/>
      <c r="C944" s="1138"/>
    </row>
    <row r="945" spans="1:3">
      <c r="A945" s="1133"/>
      <c r="B945" s="1136"/>
      <c r="C945" s="1138"/>
    </row>
    <row r="946" spans="1:3">
      <c r="A946" s="1133"/>
      <c r="B946" s="1136"/>
      <c r="C946" s="1138"/>
    </row>
    <row r="947" spans="1:3">
      <c r="A947" s="1133"/>
      <c r="B947" s="1136"/>
      <c r="C947" s="1138"/>
    </row>
    <row r="948" spans="1:3">
      <c r="A948" s="1133"/>
      <c r="B948" s="1136"/>
      <c r="C948" s="1138"/>
    </row>
    <row r="949" spans="1:3">
      <c r="A949" s="1133"/>
      <c r="B949" s="1136"/>
      <c r="C949" s="1138"/>
    </row>
    <row r="950" spans="1:3">
      <c r="A950" s="1133"/>
      <c r="B950" s="1136"/>
      <c r="C950" s="1138"/>
    </row>
    <row r="951" spans="1:3">
      <c r="A951" s="1133"/>
      <c r="B951" s="1136"/>
      <c r="C951" s="1138"/>
    </row>
    <row r="952" spans="1:3">
      <c r="A952" s="1133"/>
      <c r="B952" s="1136"/>
      <c r="C952" s="1138"/>
    </row>
    <row r="953" spans="1:3">
      <c r="A953" s="1133"/>
      <c r="B953" s="1136"/>
      <c r="C953" s="1138"/>
    </row>
    <row r="954" spans="1:3">
      <c r="A954" s="1133"/>
      <c r="B954" s="1136"/>
      <c r="C954" s="1138"/>
    </row>
    <row r="955" spans="1:3">
      <c r="A955" s="1133"/>
      <c r="B955" s="1136"/>
      <c r="C955" s="1138"/>
    </row>
    <row r="956" spans="1:3">
      <c r="A956" s="1133"/>
      <c r="B956" s="1136"/>
      <c r="C956" s="1138"/>
    </row>
    <row r="957" spans="1:3">
      <c r="A957" s="1133"/>
      <c r="B957" s="1136"/>
      <c r="C957" s="1138"/>
    </row>
    <row r="958" spans="1:3">
      <c r="A958" s="1133"/>
      <c r="B958" s="1136"/>
      <c r="C958" s="1138"/>
    </row>
    <row r="959" spans="1:3">
      <c r="A959" s="1133"/>
      <c r="B959" s="1136"/>
      <c r="C959" s="1138"/>
    </row>
    <row r="960" spans="1:3">
      <c r="A960" s="1133"/>
      <c r="B960" s="1136"/>
      <c r="C960" s="1138"/>
    </row>
    <row r="961" spans="1:3">
      <c r="A961" s="1133"/>
      <c r="B961" s="1136"/>
      <c r="C961" s="1138"/>
    </row>
    <row r="962" spans="1:3">
      <c r="A962" s="1133"/>
      <c r="B962" s="1136"/>
      <c r="C962" s="1138"/>
    </row>
    <row r="963" spans="1:3">
      <c r="A963" s="1133"/>
      <c r="B963" s="1136"/>
      <c r="C963" s="1138"/>
    </row>
    <row r="964" spans="1:3">
      <c r="A964" s="1133"/>
      <c r="B964" s="1136"/>
      <c r="C964" s="1138"/>
    </row>
    <row r="965" spans="1:3">
      <c r="A965" s="1133"/>
      <c r="B965" s="1136"/>
      <c r="C965" s="1138"/>
    </row>
    <row r="966" spans="1:3">
      <c r="A966" s="1133"/>
      <c r="B966" s="1136"/>
      <c r="C966" s="1138"/>
    </row>
    <row r="967" spans="1:3">
      <c r="A967" s="1133"/>
      <c r="B967" s="1136"/>
      <c r="C967" s="1138"/>
    </row>
    <row r="968" spans="1:3">
      <c r="A968" s="1133"/>
      <c r="B968" s="1136"/>
      <c r="C968" s="1138"/>
    </row>
    <row r="969" spans="1:3">
      <c r="A969" s="1133"/>
      <c r="B969" s="1136"/>
      <c r="C969" s="1138"/>
    </row>
    <row r="970" spans="1:3">
      <c r="A970" s="1133"/>
      <c r="B970" s="1136"/>
      <c r="C970" s="1138"/>
    </row>
    <row r="971" spans="1:3">
      <c r="A971" s="1133"/>
      <c r="B971" s="1136"/>
      <c r="C971" s="1138"/>
    </row>
    <row r="972" spans="1:3">
      <c r="A972" s="1133"/>
      <c r="B972" s="1136"/>
      <c r="C972" s="1138"/>
    </row>
    <row r="973" spans="1:3">
      <c r="A973" s="1133"/>
      <c r="B973" s="1136"/>
      <c r="C973" s="1138"/>
    </row>
    <row r="974" spans="1:3">
      <c r="A974" s="1133"/>
      <c r="B974" s="1136"/>
      <c r="C974" s="1138"/>
    </row>
    <row r="975" spans="1:3">
      <c r="A975" s="1133"/>
      <c r="B975" s="1136"/>
      <c r="C975" s="1138"/>
    </row>
    <row r="976" spans="1:3">
      <c r="A976" s="1133"/>
      <c r="B976" s="1136"/>
      <c r="C976" s="1138"/>
    </row>
    <row r="977" spans="1:3">
      <c r="A977" s="1133"/>
      <c r="B977" s="1136"/>
      <c r="C977" s="1138"/>
    </row>
    <row r="978" spans="1:3">
      <c r="A978" s="1133"/>
      <c r="B978" s="1136"/>
      <c r="C978" s="1138"/>
    </row>
    <row r="979" spans="1:3">
      <c r="A979" s="1133"/>
      <c r="B979" s="1136"/>
      <c r="C979" s="1138"/>
    </row>
    <row r="980" spans="1:3">
      <c r="A980" s="1133"/>
      <c r="B980" s="1136"/>
      <c r="C980" s="1138"/>
    </row>
    <row r="981" spans="1:3">
      <c r="A981" s="1133"/>
      <c r="B981" s="1136"/>
      <c r="C981" s="1138"/>
    </row>
    <row r="982" spans="1:3">
      <c r="A982" s="1133"/>
      <c r="B982" s="1136"/>
      <c r="C982" s="1138"/>
    </row>
    <row r="983" spans="1:3">
      <c r="A983" s="1133"/>
      <c r="B983" s="1136"/>
      <c r="C983" s="1138"/>
    </row>
    <row r="984" spans="1:3">
      <c r="A984" s="1133"/>
      <c r="B984" s="1136"/>
      <c r="C984" s="1138"/>
    </row>
    <row r="985" spans="1:3">
      <c r="A985" s="1133"/>
      <c r="B985" s="1136"/>
      <c r="C985" s="1138"/>
    </row>
    <row r="986" spans="1:3">
      <c r="A986" s="1133"/>
      <c r="B986" s="1136"/>
      <c r="C986" s="1138"/>
    </row>
    <row r="987" spans="1:3">
      <c r="A987" s="1133"/>
      <c r="B987" s="1136"/>
      <c r="C987" s="1138"/>
    </row>
    <row r="988" spans="1:3">
      <c r="A988" s="1133"/>
      <c r="B988" s="1136"/>
      <c r="C988" s="1138"/>
    </row>
    <row r="989" spans="1:3">
      <c r="A989" s="1133"/>
      <c r="B989" s="1136"/>
      <c r="C989" s="1138"/>
    </row>
    <row r="990" spans="1:3">
      <c r="A990" s="1133"/>
      <c r="B990" s="1136"/>
      <c r="C990" s="1138"/>
    </row>
    <row r="991" spans="1:3">
      <c r="A991" s="1133"/>
      <c r="B991" s="1136"/>
      <c r="C991" s="1138"/>
    </row>
    <row r="992" spans="1:3">
      <c r="A992" s="1133"/>
      <c r="B992" s="1136"/>
      <c r="C992" s="1138"/>
    </row>
    <row r="993" spans="1:3">
      <c r="A993" s="1133"/>
      <c r="B993" s="1136"/>
      <c r="C993" s="1138"/>
    </row>
    <row r="994" spans="1:3">
      <c r="A994" s="1133"/>
      <c r="B994" s="1136"/>
      <c r="C994" s="1138"/>
    </row>
    <row r="995" spans="1:3">
      <c r="A995" s="1133"/>
      <c r="B995" s="1136"/>
      <c r="C995" s="1138"/>
    </row>
    <row r="996" spans="1:3">
      <c r="A996" s="1133"/>
      <c r="B996" s="1136"/>
      <c r="C996" s="1138"/>
    </row>
    <row r="997" spans="1:3">
      <c r="A997" s="1133"/>
      <c r="B997" s="1136"/>
      <c r="C997" s="1138"/>
    </row>
    <row r="998" spans="1:3">
      <c r="A998" s="1133"/>
      <c r="B998" s="1136"/>
      <c r="C998" s="1138"/>
    </row>
    <row r="999" spans="1:3">
      <c r="A999" s="1133"/>
      <c r="B999" s="1136"/>
      <c r="C999" s="1138"/>
    </row>
    <row r="1000" spans="1:3">
      <c r="A1000" s="1133"/>
      <c r="B1000" s="1136"/>
      <c r="C1000" s="1138"/>
    </row>
    <row r="1001" spans="1:3">
      <c r="A1001" s="1133"/>
      <c r="B1001" s="1136"/>
      <c r="C1001" s="1138"/>
    </row>
    <row r="1002" spans="1:3">
      <c r="A1002" s="1133"/>
      <c r="B1002" s="1136"/>
      <c r="C1002" s="1138"/>
    </row>
    <row r="1003" spans="1:3">
      <c r="A1003" s="1133"/>
      <c r="B1003" s="1136"/>
      <c r="C1003" s="1138"/>
    </row>
    <row r="1004" spans="1:3">
      <c r="A1004" s="1133"/>
      <c r="B1004" s="1136"/>
      <c r="C1004" s="1138"/>
    </row>
    <row r="1005" spans="1:3">
      <c r="A1005" s="1133"/>
      <c r="B1005" s="1136"/>
      <c r="C1005" s="1138"/>
    </row>
    <row r="1006" spans="1:3">
      <c r="A1006" s="1133"/>
      <c r="B1006" s="1136"/>
      <c r="C1006" s="1138"/>
    </row>
    <row r="1007" spans="1:3">
      <c r="A1007" s="1133"/>
      <c r="B1007" s="1136"/>
      <c r="C1007" s="1138"/>
    </row>
    <row r="1008" spans="1:3">
      <c r="A1008" s="1133"/>
      <c r="B1008" s="1136"/>
      <c r="C1008" s="1138"/>
    </row>
    <row r="1009" spans="1:3">
      <c r="A1009" s="1133"/>
      <c r="B1009" s="1136"/>
      <c r="C1009" s="1138"/>
    </row>
    <row r="1010" spans="1:3">
      <c r="A1010" s="1133"/>
      <c r="B1010" s="1136"/>
      <c r="C1010" s="1138"/>
    </row>
    <row r="1011" spans="1:3">
      <c r="A1011" s="1133"/>
      <c r="B1011" s="1136"/>
      <c r="C1011" s="1138"/>
    </row>
    <row r="1012" spans="1:3">
      <c r="A1012" s="1133"/>
      <c r="B1012" s="1136"/>
      <c r="C1012" s="1138"/>
    </row>
    <row r="1013" spans="1:3">
      <c r="A1013" s="1133"/>
      <c r="B1013" s="1136"/>
      <c r="C1013" s="1138"/>
    </row>
    <row r="1014" spans="1:3">
      <c r="A1014" s="1133"/>
      <c r="B1014" s="1136"/>
      <c r="C1014" s="1138"/>
    </row>
    <row r="1015" spans="1:3">
      <c r="A1015" s="1133"/>
      <c r="B1015" s="1136"/>
      <c r="C1015" s="1138"/>
    </row>
    <row r="1016" spans="1:3">
      <c r="A1016" s="1133"/>
      <c r="B1016" s="1136"/>
      <c r="C1016" s="1138"/>
    </row>
    <row r="1017" spans="1:3">
      <c r="A1017" s="1133"/>
      <c r="B1017" s="1136"/>
      <c r="C1017" s="1138"/>
    </row>
    <row r="1018" spans="1:3">
      <c r="A1018" s="1133"/>
      <c r="B1018" s="1136"/>
      <c r="C1018" s="1138"/>
    </row>
    <row r="1019" spans="1:3">
      <c r="A1019" s="1133"/>
      <c r="B1019" s="1136"/>
      <c r="C1019" s="1138"/>
    </row>
    <row r="1020" spans="1:3">
      <c r="A1020" s="1133"/>
      <c r="B1020" s="1136"/>
      <c r="C1020" s="1138"/>
    </row>
    <row r="1021" spans="1:3">
      <c r="A1021" s="1133"/>
      <c r="B1021" s="1136"/>
      <c r="C1021" s="1138"/>
    </row>
    <row r="1022" spans="1:3">
      <c r="A1022" s="1133"/>
      <c r="B1022" s="1136"/>
      <c r="C1022" s="1138"/>
    </row>
    <row r="1023" spans="1:3">
      <c r="A1023" s="1133"/>
      <c r="B1023" s="1136"/>
      <c r="C1023" s="1138"/>
    </row>
    <row r="1024" spans="1:3">
      <c r="A1024" s="1133"/>
      <c r="B1024" s="1136"/>
      <c r="C1024" s="1138"/>
    </row>
    <row r="1025" spans="1:3">
      <c r="A1025" s="1133"/>
      <c r="B1025" s="1136"/>
      <c r="C1025" s="1138"/>
    </row>
    <row r="1026" spans="1:3">
      <c r="A1026" s="1133"/>
      <c r="B1026" s="1136"/>
      <c r="C1026" s="1138"/>
    </row>
    <row r="1027" spans="1:3">
      <c r="A1027" s="1133"/>
      <c r="B1027" s="1136"/>
      <c r="C1027" s="1138"/>
    </row>
    <row r="1028" spans="1:3">
      <c r="A1028" s="1133"/>
      <c r="B1028" s="1136"/>
      <c r="C1028" s="1138"/>
    </row>
    <row r="1029" spans="1:3">
      <c r="A1029" s="1133"/>
      <c r="B1029" s="1136"/>
      <c r="C1029" s="1138"/>
    </row>
    <row r="1030" spans="1:3">
      <c r="A1030" s="1133"/>
      <c r="B1030" s="1136"/>
      <c r="C1030" s="1138"/>
    </row>
    <row r="1031" spans="1:3">
      <c r="A1031" s="1133"/>
      <c r="B1031" s="1136"/>
      <c r="C1031" s="1138"/>
    </row>
    <row r="1032" spans="1:3">
      <c r="A1032" s="1133"/>
      <c r="B1032" s="1136"/>
      <c r="C1032" s="1138"/>
    </row>
    <row r="1033" spans="1:3">
      <c r="A1033" s="1133"/>
      <c r="B1033" s="1136"/>
      <c r="C1033" s="1138"/>
    </row>
    <row r="1034" spans="1:3">
      <c r="A1034" s="1133"/>
      <c r="B1034" s="1136"/>
      <c r="C1034" s="1138"/>
    </row>
    <row r="1035" spans="1:3">
      <c r="A1035" s="1133"/>
      <c r="B1035" s="1136"/>
      <c r="C1035" s="1138"/>
    </row>
    <row r="1036" spans="1:3">
      <c r="A1036" s="1133"/>
      <c r="B1036" s="1136"/>
      <c r="C1036" s="1138"/>
    </row>
    <row r="1037" spans="1:3">
      <c r="A1037" s="1133"/>
      <c r="B1037" s="1136"/>
      <c r="C1037" s="1138"/>
    </row>
    <row r="1038" spans="1:3">
      <c r="A1038" s="1133"/>
      <c r="B1038" s="1136"/>
      <c r="C1038" s="1138"/>
    </row>
    <row r="1039" spans="1:3">
      <c r="A1039" s="1133"/>
      <c r="B1039" s="1136"/>
      <c r="C1039" s="1138"/>
    </row>
    <row r="1040" spans="1:3">
      <c r="A1040" s="1133"/>
      <c r="B1040" s="1136"/>
      <c r="C1040" s="1138"/>
    </row>
    <row r="1041" spans="1:3">
      <c r="A1041" s="1133"/>
      <c r="B1041" s="1136"/>
      <c r="C1041" s="1138"/>
    </row>
    <row r="1042" spans="1:3">
      <c r="A1042" s="1133"/>
      <c r="B1042" s="1136"/>
      <c r="C1042" s="1138"/>
    </row>
    <row r="1043" spans="1:3">
      <c r="A1043" s="1133"/>
      <c r="B1043" s="1136"/>
      <c r="C1043" s="1138"/>
    </row>
    <row r="1044" spans="1:3">
      <c r="A1044" s="1133"/>
      <c r="B1044" s="1136"/>
      <c r="C1044" s="1138"/>
    </row>
    <row r="1045" spans="1:3">
      <c r="A1045" s="1133"/>
      <c r="B1045" s="1136"/>
      <c r="C1045" s="1138"/>
    </row>
    <row r="1046" spans="1:3">
      <c r="A1046" s="1133"/>
      <c r="B1046" s="1136"/>
      <c r="C1046" s="1138"/>
    </row>
    <row r="1047" spans="1:3">
      <c r="A1047" s="1133"/>
      <c r="B1047" s="1136"/>
      <c r="C1047" s="1138"/>
    </row>
    <row r="1048" spans="1:3">
      <c r="A1048" s="1133"/>
      <c r="B1048" s="1136"/>
      <c r="C1048" s="1138"/>
    </row>
    <row r="1049" spans="1:3">
      <c r="A1049" s="1133"/>
      <c r="B1049" s="1136"/>
      <c r="C1049" s="1138"/>
    </row>
    <row r="1050" spans="1:3">
      <c r="A1050" s="1133"/>
      <c r="B1050" s="1136"/>
      <c r="C1050" s="1138"/>
    </row>
    <row r="1051" spans="1:3">
      <c r="A1051" s="1133"/>
      <c r="B1051" s="1136"/>
      <c r="C1051" s="1138"/>
    </row>
    <row r="1052" spans="1:3">
      <c r="A1052" s="1133"/>
      <c r="B1052" s="1136"/>
      <c r="C1052" s="1138"/>
    </row>
    <row r="1053" spans="1:3">
      <c r="A1053" s="1133"/>
      <c r="B1053" s="1136"/>
      <c r="C1053" s="1138"/>
    </row>
    <row r="1054" spans="1:3">
      <c r="A1054" s="1133"/>
      <c r="B1054" s="1136"/>
      <c r="C1054" s="1138"/>
    </row>
    <row r="1055" spans="1:3">
      <c r="A1055" s="1133"/>
      <c r="B1055" s="1136"/>
      <c r="C1055" s="1138"/>
    </row>
    <row r="1056" spans="1:3">
      <c r="A1056" s="1133"/>
      <c r="B1056" s="1136"/>
      <c r="C1056" s="1138"/>
    </row>
    <row r="1057" spans="1:3">
      <c r="A1057" s="1133"/>
      <c r="B1057" s="1136"/>
      <c r="C1057" s="1138"/>
    </row>
    <row r="1058" spans="1:3">
      <c r="A1058" s="1133"/>
      <c r="B1058" s="1136"/>
      <c r="C1058" s="1138"/>
    </row>
    <row r="1059" spans="1:3">
      <c r="A1059" s="1133"/>
      <c r="B1059" s="1136"/>
      <c r="C1059" s="1138"/>
    </row>
    <row r="1060" spans="1:3">
      <c r="A1060" s="1133"/>
      <c r="B1060" s="1136"/>
      <c r="C1060" s="1138"/>
    </row>
    <row r="1061" spans="1:3">
      <c r="A1061" s="1133"/>
      <c r="B1061" s="1136"/>
      <c r="C1061" s="1138"/>
    </row>
    <row r="1062" spans="1:3">
      <c r="A1062" s="1133"/>
      <c r="B1062" s="1136"/>
      <c r="C1062" s="1138"/>
    </row>
    <row r="1063" spans="1:3">
      <c r="A1063" s="1133"/>
      <c r="B1063" s="1136"/>
      <c r="C1063" s="1138"/>
    </row>
    <row r="1064" spans="1:3">
      <c r="A1064" s="1133"/>
      <c r="B1064" s="1136"/>
      <c r="C1064" s="1138"/>
    </row>
    <row r="1065" spans="1:3">
      <c r="A1065" s="1133"/>
      <c r="B1065" s="1136"/>
      <c r="C1065" s="1138"/>
    </row>
    <row r="1066" spans="1:3">
      <c r="A1066" s="1133"/>
      <c r="B1066" s="1136"/>
      <c r="C1066" s="1138"/>
    </row>
    <row r="1067" spans="1:3">
      <c r="A1067" s="1133"/>
      <c r="B1067" s="1136"/>
      <c r="C1067" s="1138"/>
    </row>
    <row r="1068" spans="1:3">
      <c r="A1068" s="1133"/>
      <c r="B1068" s="1136"/>
      <c r="C1068" s="1138"/>
    </row>
    <row r="1069" spans="1:3">
      <c r="A1069" s="1133"/>
      <c r="B1069" s="1136"/>
      <c r="C1069" s="1138"/>
    </row>
    <row r="1070" spans="1:3">
      <c r="A1070" s="1133"/>
      <c r="B1070" s="1136"/>
      <c r="C1070" s="1138"/>
    </row>
    <row r="1071" spans="1:3">
      <c r="A1071" s="1133"/>
      <c r="B1071" s="1136"/>
      <c r="C1071" s="1138"/>
    </row>
    <row r="1072" spans="1:3">
      <c r="A1072" s="1133"/>
      <c r="B1072" s="1136"/>
      <c r="C1072" s="1138"/>
    </row>
    <row r="1073" spans="1:3">
      <c r="A1073" s="1133"/>
      <c r="B1073" s="1136"/>
      <c r="C1073" s="1138"/>
    </row>
    <row r="1074" spans="1:3">
      <c r="A1074" s="1133"/>
      <c r="B1074" s="1136"/>
      <c r="C1074" s="1138"/>
    </row>
    <row r="1075" spans="1:3">
      <c r="A1075" s="1133"/>
      <c r="B1075" s="1136"/>
      <c r="C1075" s="1138"/>
    </row>
    <row r="1076" spans="1:3">
      <c r="A1076" s="1133"/>
      <c r="B1076" s="1136"/>
      <c r="C1076" s="1138"/>
    </row>
    <row r="1077" spans="1:3">
      <c r="A1077" s="1133"/>
      <c r="B1077" s="1136"/>
      <c r="C1077" s="1138"/>
    </row>
    <row r="1078" spans="1:3">
      <c r="A1078" s="1133"/>
      <c r="B1078" s="1136"/>
      <c r="C1078" s="1138"/>
    </row>
    <row r="1079" spans="1:3">
      <c r="A1079" s="1133"/>
      <c r="B1079" s="1136"/>
      <c r="C1079" s="1138"/>
    </row>
    <row r="1080" spans="1:3">
      <c r="A1080" s="1133"/>
      <c r="B1080" s="1136"/>
      <c r="C1080" s="1138"/>
    </row>
    <row r="1081" spans="1:3">
      <c r="A1081" s="1133"/>
      <c r="B1081" s="1136"/>
      <c r="C1081" s="1138"/>
    </row>
    <row r="1082" spans="1:3">
      <c r="A1082" s="1133"/>
      <c r="B1082" s="1136"/>
      <c r="C1082" s="1138"/>
    </row>
    <row r="1083" spans="1:3">
      <c r="A1083" s="1133"/>
      <c r="B1083" s="1136"/>
      <c r="C1083" s="1138"/>
    </row>
    <row r="1084" spans="1:3">
      <c r="A1084" s="1133"/>
      <c r="B1084" s="1136"/>
      <c r="C1084" s="1138"/>
    </row>
    <row r="1085" spans="1:3">
      <c r="A1085" s="1133"/>
      <c r="B1085" s="1136"/>
      <c r="C1085" s="1138"/>
    </row>
    <row r="1086" spans="1:3">
      <c r="A1086" s="1133"/>
      <c r="B1086" s="1136"/>
      <c r="C1086" s="1138"/>
    </row>
    <row r="1087" spans="1:3">
      <c r="A1087" s="1133"/>
      <c r="B1087" s="1136"/>
      <c r="C1087" s="1138"/>
    </row>
    <row r="1088" spans="1:3">
      <c r="A1088" s="1133"/>
      <c r="B1088" s="1136"/>
      <c r="C1088" s="1138"/>
    </row>
    <row r="1089" spans="1:3">
      <c r="A1089" s="1133"/>
      <c r="B1089" s="1136"/>
      <c r="C1089" s="1138"/>
    </row>
    <row r="1090" spans="1:3">
      <c r="A1090" s="1133"/>
      <c r="B1090" s="1136"/>
      <c r="C1090" s="1138"/>
    </row>
    <row r="1091" spans="1:3">
      <c r="A1091" s="1133"/>
      <c r="B1091" s="1136"/>
      <c r="C1091" s="1138"/>
    </row>
    <row r="1092" spans="1:3">
      <c r="A1092" s="1133"/>
      <c r="B1092" s="1136"/>
      <c r="C1092" s="1138"/>
    </row>
    <row r="1093" spans="1:3">
      <c r="A1093" s="1133"/>
      <c r="B1093" s="1136"/>
      <c r="C1093" s="1138"/>
    </row>
    <row r="1094" spans="1:3">
      <c r="A1094" s="1133"/>
      <c r="B1094" s="1136"/>
      <c r="C1094" s="1138"/>
    </row>
    <row r="1095" spans="1:3">
      <c r="A1095" s="1133"/>
      <c r="B1095" s="1136"/>
      <c r="C1095" s="1138"/>
    </row>
    <row r="1096" spans="1:3">
      <c r="A1096" s="1133"/>
      <c r="B1096" s="1136"/>
      <c r="C1096" s="1138"/>
    </row>
    <row r="1097" spans="1:3">
      <c r="A1097" s="1133"/>
      <c r="B1097" s="1136"/>
      <c r="C1097" s="1138"/>
    </row>
    <row r="1098" spans="1:3">
      <c r="A1098" s="1133"/>
      <c r="B1098" s="1136"/>
      <c r="C1098" s="1138"/>
    </row>
    <row r="1099" spans="1:3">
      <c r="A1099" s="1133"/>
      <c r="B1099" s="1136"/>
      <c r="C1099" s="1138"/>
    </row>
    <row r="1100" spans="1:3">
      <c r="A1100" s="1133"/>
      <c r="B1100" s="1136"/>
      <c r="C1100" s="1138"/>
    </row>
    <row r="1101" spans="1:3">
      <c r="A1101" s="1133"/>
      <c r="B1101" s="1136"/>
      <c r="C1101" s="1138"/>
    </row>
    <row r="1102" spans="1:3">
      <c r="A1102" s="1133"/>
      <c r="B1102" s="1136"/>
      <c r="C1102" s="1138"/>
    </row>
    <row r="1103" spans="1:3">
      <c r="A1103" s="1133"/>
      <c r="B1103" s="1136"/>
      <c r="C1103" s="1138"/>
    </row>
    <row r="1104" spans="1:3">
      <c r="A1104" s="1133"/>
      <c r="B1104" s="1136"/>
      <c r="C1104" s="1138"/>
    </row>
    <row r="1105" spans="1:3">
      <c r="A1105" s="1133"/>
      <c r="B1105" s="1136"/>
      <c r="C1105" s="1138"/>
    </row>
    <row r="1106" spans="1:3">
      <c r="A1106" s="1133"/>
      <c r="B1106" s="1136"/>
      <c r="C1106" s="1138"/>
    </row>
    <row r="1107" spans="1:3">
      <c r="A1107" s="1133"/>
      <c r="B1107" s="1136"/>
      <c r="C1107" s="1138"/>
    </row>
    <row r="1108" spans="1:3">
      <c r="A1108" s="1133"/>
      <c r="B1108" s="1136"/>
      <c r="C1108" s="1138"/>
    </row>
    <row r="1109" spans="1:3">
      <c r="A1109" s="1133"/>
      <c r="B1109" s="1136"/>
      <c r="C1109" s="1138"/>
    </row>
    <row r="1110" spans="1:3">
      <c r="A1110" s="1133"/>
      <c r="B1110" s="1136"/>
      <c r="C1110" s="1138"/>
    </row>
    <row r="1111" spans="1:3">
      <c r="A1111" s="1133"/>
      <c r="B1111" s="1136"/>
      <c r="C1111" s="1138"/>
    </row>
    <row r="1112" spans="1:3">
      <c r="A1112" s="1133"/>
      <c r="B1112" s="1136"/>
      <c r="C1112" s="1138"/>
    </row>
    <row r="1113" spans="1:3">
      <c r="A1113" s="1133"/>
      <c r="B1113" s="1136"/>
      <c r="C1113" s="1138"/>
    </row>
    <row r="1114" spans="1:3">
      <c r="A1114" s="1133"/>
      <c r="B1114" s="1136"/>
      <c r="C1114" s="1138"/>
    </row>
    <row r="1115" spans="1:3">
      <c r="A1115" s="1133"/>
      <c r="B1115" s="1136"/>
      <c r="C1115" s="1138"/>
    </row>
    <row r="1116" spans="1:3">
      <c r="A1116" s="1133"/>
      <c r="B1116" s="1136"/>
      <c r="C1116" s="1138"/>
    </row>
    <row r="1117" spans="1:3">
      <c r="A1117" s="1133"/>
      <c r="B1117" s="1136"/>
      <c r="C1117" s="1138"/>
    </row>
    <row r="1118" spans="1:3">
      <c r="A1118" s="1133"/>
      <c r="B1118" s="1136"/>
      <c r="C1118" s="1138"/>
    </row>
    <row r="1119" spans="1:3">
      <c r="A1119" s="1133"/>
      <c r="B1119" s="1136"/>
      <c r="C1119" s="1138"/>
    </row>
    <row r="1120" spans="1:3">
      <c r="A1120" s="1133"/>
      <c r="B1120" s="1136"/>
      <c r="C1120" s="1138"/>
    </row>
    <row r="1121" spans="1:3">
      <c r="A1121" s="1133"/>
      <c r="B1121" s="1136"/>
      <c r="C1121" s="1138"/>
    </row>
    <row r="1122" spans="1:3">
      <c r="A1122" s="1133"/>
      <c r="B1122" s="1136"/>
      <c r="C1122" s="1138"/>
    </row>
    <row r="1123" spans="1:3">
      <c r="A1123" s="1133"/>
      <c r="B1123" s="1136"/>
      <c r="C1123" s="1138"/>
    </row>
    <row r="1124" spans="1:3">
      <c r="A1124" s="1133"/>
      <c r="B1124" s="1136"/>
      <c r="C1124" s="1138"/>
    </row>
    <row r="1125" spans="1:3">
      <c r="A1125" s="1133"/>
      <c r="B1125" s="1136"/>
      <c r="C1125" s="1138"/>
    </row>
    <row r="1126" spans="1:3">
      <c r="A1126" s="1133"/>
      <c r="B1126" s="1136"/>
      <c r="C1126" s="1138"/>
    </row>
    <row r="1127" spans="1:3">
      <c r="A1127" s="1133"/>
      <c r="B1127" s="1136"/>
      <c r="C1127" s="1138"/>
    </row>
    <row r="1128" spans="1:3">
      <c r="A1128" s="1133"/>
      <c r="B1128" s="1136"/>
      <c r="C1128" s="1138"/>
    </row>
    <row r="1129" spans="1:3">
      <c r="A1129" s="1133"/>
      <c r="B1129" s="1136"/>
      <c r="C1129" s="1138"/>
    </row>
    <row r="1130" spans="1:3">
      <c r="A1130" s="1133"/>
      <c r="B1130" s="1136"/>
      <c r="C1130" s="1138"/>
    </row>
    <row r="1131" spans="1:3">
      <c r="A1131" s="1133"/>
      <c r="B1131" s="1136"/>
      <c r="C1131" s="1138"/>
    </row>
    <row r="1132" spans="1:3">
      <c r="A1132" s="1133"/>
      <c r="B1132" s="1136"/>
      <c r="C1132" s="1138"/>
    </row>
    <row r="1133" spans="1:3">
      <c r="A1133" s="1133"/>
      <c r="B1133" s="1136"/>
      <c r="C1133" s="1138"/>
    </row>
    <row r="1134" spans="1:3">
      <c r="A1134" s="1133"/>
      <c r="B1134" s="1136"/>
      <c r="C1134" s="1138"/>
    </row>
    <row r="1135" spans="1:3">
      <c r="A1135" s="1133"/>
      <c r="B1135" s="1136"/>
      <c r="C1135" s="1138"/>
    </row>
    <row r="1136" spans="1:3">
      <c r="A1136" s="1133"/>
      <c r="B1136" s="1136"/>
      <c r="C1136" s="1138"/>
    </row>
    <row r="1137" spans="1:3">
      <c r="A1137" s="1133"/>
      <c r="B1137" s="1136"/>
      <c r="C1137" s="1138"/>
    </row>
    <row r="1138" spans="1:3">
      <c r="A1138" s="1133"/>
      <c r="B1138" s="1136"/>
      <c r="C1138" s="1138"/>
    </row>
    <row r="1139" spans="1:3">
      <c r="A1139" s="1133"/>
      <c r="B1139" s="1136"/>
      <c r="C1139" s="1138"/>
    </row>
    <row r="1140" spans="1:3">
      <c r="A1140" s="1133"/>
      <c r="B1140" s="1136"/>
      <c r="C1140" s="1138"/>
    </row>
    <row r="1141" spans="1:3">
      <c r="A1141" s="1133"/>
      <c r="B1141" s="1136"/>
      <c r="C1141" s="1138"/>
    </row>
    <row r="1142" spans="1:3">
      <c r="A1142" s="1133"/>
      <c r="B1142" s="1136"/>
      <c r="C1142" s="1138"/>
    </row>
    <row r="1143" spans="1:3">
      <c r="A1143" s="1133"/>
      <c r="B1143" s="1136"/>
      <c r="C1143" s="1138"/>
    </row>
    <row r="1144" spans="1:3">
      <c r="A1144" s="1133"/>
      <c r="B1144" s="1136"/>
      <c r="C1144" s="1138"/>
    </row>
    <row r="1145" spans="1:3">
      <c r="A1145" s="1133"/>
      <c r="B1145" s="1136"/>
      <c r="C1145" s="1138"/>
    </row>
    <row r="1146" spans="1:3">
      <c r="A1146" s="1133"/>
      <c r="B1146" s="1136"/>
      <c r="C1146" s="1138"/>
    </row>
    <row r="1147" spans="1:3">
      <c r="A1147" s="1133"/>
      <c r="B1147" s="1136"/>
      <c r="C1147" s="1138"/>
    </row>
    <row r="1148" spans="1:3">
      <c r="A1148" s="1133"/>
      <c r="B1148" s="1136"/>
      <c r="C1148" s="1138"/>
    </row>
    <row r="1149" spans="1:3">
      <c r="A1149" s="1133"/>
      <c r="B1149" s="1136"/>
      <c r="C1149" s="1138"/>
    </row>
    <row r="1150" spans="1:3">
      <c r="A1150" s="1133"/>
      <c r="B1150" s="1136"/>
      <c r="C1150" s="1138"/>
    </row>
    <row r="1151" spans="1:3">
      <c r="A1151" s="1133"/>
      <c r="B1151" s="1136"/>
      <c r="C1151" s="1138"/>
    </row>
    <row r="1152" spans="1:3">
      <c r="A1152" s="1133"/>
      <c r="B1152" s="1136"/>
      <c r="C1152" s="1138"/>
    </row>
    <row r="1153" spans="1:3">
      <c r="A1153" s="1133"/>
      <c r="B1153" s="1136"/>
      <c r="C1153" s="1138"/>
    </row>
    <row r="1154" spans="1:3">
      <c r="A1154" s="1133"/>
      <c r="B1154" s="1136"/>
      <c r="C1154" s="1138"/>
    </row>
    <row r="1155" spans="1:3">
      <c r="A1155" s="1133"/>
      <c r="B1155" s="1136"/>
      <c r="C1155" s="1138"/>
    </row>
    <row r="1156" spans="1:3">
      <c r="A1156" s="1133"/>
      <c r="B1156" s="1136"/>
      <c r="C1156" s="1138"/>
    </row>
    <row r="1157" spans="1:3">
      <c r="A1157" s="1133"/>
      <c r="B1157" s="1136"/>
      <c r="C1157" s="1138"/>
    </row>
    <row r="1158" spans="1:3">
      <c r="A1158" s="1133"/>
      <c r="B1158" s="1136"/>
      <c r="C1158" s="1138"/>
    </row>
    <row r="1159" spans="1:3">
      <c r="A1159" s="1133"/>
      <c r="B1159" s="1136"/>
      <c r="C1159" s="1138"/>
    </row>
    <row r="1160" spans="1:3">
      <c r="A1160" s="1133"/>
      <c r="B1160" s="1136"/>
      <c r="C1160" s="1138"/>
    </row>
    <row r="1161" spans="1:3">
      <c r="A1161" s="1133"/>
      <c r="B1161" s="1136"/>
      <c r="C1161" s="1138"/>
    </row>
    <row r="1162" spans="1:3">
      <c r="A1162" s="1133"/>
      <c r="B1162" s="1136"/>
      <c r="C1162" s="1138"/>
    </row>
    <row r="1163" spans="1:3">
      <c r="A1163" s="1133"/>
      <c r="B1163" s="1136"/>
      <c r="C1163" s="1138"/>
    </row>
    <row r="1164" spans="1:3">
      <c r="A1164" s="1133"/>
      <c r="B1164" s="1136"/>
      <c r="C1164" s="1138"/>
    </row>
    <row r="1165" spans="1:3">
      <c r="A1165" s="1133"/>
      <c r="B1165" s="1136"/>
      <c r="C1165" s="1138"/>
    </row>
    <row r="1166" spans="1:3">
      <c r="A1166" s="1133"/>
      <c r="B1166" s="1136"/>
      <c r="C1166" s="1138"/>
    </row>
    <row r="1167" spans="1:3">
      <c r="A1167" s="1133"/>
      <c r="B1167" s="1136"/>
      <c r="C1167" s="1138"/>
    </row>
    <row r="1168" spans="1:3">
      <c r="A1168" s="1133"/>
      <c r="B1168" s="1136"/>
      <c r="C1168" s="1138"/>
    </row>
    <row r="1169" spans="1:3">
      <c r="A1169" s="1133"/>
      <c r="B1169" s="1136"/>
      <c r="C1169" s="1138"/>
    </row>
    <row r="1170" spans="1:3">
      <c r="A1170" s="1133"/>
      <c r="B1170" s="1136"/>
      <c r="C1170" s="1138"/>
    </row>
    <row r="1171" spans="1:3">
      <c r="A1171" s="1133"/>
      <c r="B1171" s="1136"/>
      <c r="C1171" s="1138"/>
    </row>
    <row r="1172" spans="1:3">
      <c r="A1172" s="1133"/>
      <c r="B1172" s="1136"/>
      <c r="C1172" s="1138"/>
    </row>
    <row r="1173" spans="1:3">
      <c r="A1173" s="1133"/>
      <c r="B1173" s="1136"/>
      <c r="C1173" s="1138"/>
    </row>
    <row r="1174" spans="1:3">
      <c r="A1174" s="1133"/>
      <c r="B1174" s="1136"/>
      <c r="C1174" s="1138"/>
    </row>
    <row r="1175" spans="1:3">
      <c r="A1175" s="1133"/>
      <c r="B1175" s="1136"/>
      <c r="C1175" s="1138"/>
    </row>
    <row r="1176" spans="1:3">
      <c r="A1176" s="1133"/>
      <c r="B1176" s="1136"/>
      <c r="C1176" s="1138"/>
    </row>
    <row r="1177" spans="1:3">
      <c r="A1177" s="1133"/>
      <c r="B1177" s="1136"/>
      <c r="C1177" s="1138"/>
    </row>
    <row r="1178" spans="1:3">
      <c r="A1178" s="1133"/>
      <c r="B1178" s="1136"/>
      <c r="C1178" s="1138"/>
    </row>
    <row r="1179" spans="1:3">
      <c r="A1179" s="1133"/>
      <c r="B1179" s="1136"/>
      <c r="C1179" s="1138"/>
    </row>
    <row r="1180" spans="1:3">
      <c r="A1180" s="1133"/>
      <c r="B1180" s="1136"/>
      <c r="C1180" s="1138"/>
    </row>
    <row r="1181" spans="1:3">
      <c r="A1181" s="1133"/>
      <c r="B1181" s="1136"/>
      <c r="C1181" s="1138"/>
    </row>
    <row r="1182" spans="1:3">
      <c r="A1182" s="1133"/>
      <c r="B1182" s="1136"/>
      <c r="C1182" s="1138"/>
    </row>
    <row r="1183" spans="1:3">
      <c r="A1183" s="1133"/>
      <c r="B1183" s="1136"/>
      <c r="C1183" s="1138"/>
    </row>
    <row r="1184" spans="1:3">
      <c r="A1184" s="1133"/>
      <c r="B1184" s="1136"/>
      <c r="C1184" s="1138"/>
    </row>
    <row r="1185" spans="1:3">
      <c r="A1185" s="1133"/>
      <c r="B1185" s="1136"/>
      <c r="C1185" s="1138"/>
    </row>
    <row r="1186" spans="1:3">
      <c r="A1186" s="1133"/>
      <c r="B1186" s="1136"/>
      <c r="C1186" s="1138"/>
    </row>
    <row r="1187" spans="1:3">
      <c r="A1187" s="1133"/>
      <c r="B1187" s="1136"/>
      <c r="C1187" s="1138"/>
    </row>
    <row r="1188" spans="1:3">
      <c r="A1188" s="1133"/>
      <c r="B1188" s="1136"/>
      <c r="C1188" s="1138"/>
    </row>
    <row r="1189" spans="1:3">
      <c r="A1189" s="1133"/>
      <c r="B1189" s="1136"/>
      <c r="C1189" s="1138"/>
    </row>
    <row r="1190" spans="1:3">
      <c r="A1190" s="1133"/>
      <c r="B1190" s="1136"/>
      <c r="C1190" s="1138"/>
    </row>
    <row r="1191" spans="1:3">
      <c r="A1191" s="1133"/>
      <c r="B1191" s="1136"/>
      <c r="C1191" s="1138"/>
    </row>
    <row r="1192" spans="1:3">
      <c r="A1192" s="1133"/>
      <c r="B1192" s="1136"/>
      <c r="C1192" s="1138"/>
    </row>
    <row r="1193" spans="1:3">
      <c r="A1193" s="1133"/>
      <c r="B1193" s="1136"/>
      <c r="C1193" s="1138"/>
    </row>
    <row r="1194" spans="1:3">
      <c r="A1194" s="1133"/>
      <c r="B1194" s="1136"/>
      <c r="C1194" s="1138"/>
    </row>
    <row r="1195" spans="1:3">
      <c r="A1195" s="1133"/>
      <c r="B1195" s="1136"/>
      <c r="C1195" s="1138"/>
    </row>
    <row r="1196" spans="1:3">
      <c r="A1196" s="1133"/>
      <c r="B1196" s="1136"/>
      <c r="C1196" s="1138"/>
    </row>
    <row r="1197" spans="1:3">
      <c r="A1197" s="1133"/>
      <c r="B1197" s="1136"/>
      <c r="C1197" s="1138"/>
    </row>
    <row r="1198" spans="1:3">
      <c r="A1198" s="1133"/>
      <c r="B1198" s="1136"/>
      <c r="C1198" s="1138"/>
    </row>
    <row r="1199" spans="1:3">
      <c r="A1199" s="1133"/>
      <c r="B1199" s="1136"/>
      <c r="C1199" s="1138"/>
    </row>
    <row r="1200" spans="1:3">
      <c r="A1200" s="1133"/>
      <c r="B1200" s="1136"/>
      <c r="C1200" s="1138"/>
    </row>
    <row r="1201" spans="1:3">
      <c r="A1201" s="1133"/>
      <c r="B1201" s="1136"/>
      <c r="C1201" s="1138"/>
    </row>
    <row r="1202" spans="1:3">
      <c r="A1202" s="1133"/>
      <c r="B1202" s="1136"/>
      <c r="C1202" s="1138"/>
    </row>
    <row r="1203" spans="1:3">
      <c r="A1203" s="1133"/>
      <c r="B1203" s="1136"/>
      <c r="C1203" s="1138"/>
    </row>
    <row r="1204" spans="1:3">
      <c r="A1204" s="1133"/>
      <c r="B1204" s="1136"/>
      <c r="C1204" s="1138"/>
    </row>
    <row r="1205" spans="1:3">
      <c r="A1205" s="1133"/>
      <c r="B1205" s="1136"/>
      <c r="C1205" s="1138"/>
    </row>
    <row r="1206" spans="1:3">
      <c r="A1206" s="1133"/>
      <c r="B1206" s="1136"/>
      <c r="C1206" s="1138"/>
    </row>
    <row r="1207" spans="1:3">
      <c r="A1207" s="1133"/>
      <c r="B1207" s="1136"/>
      <c r="C1207" s="1138"/>
    </row>
    <row r="1208" spans="1:3">
      <c r="A1208" s="1133"/>
      <c r="B1208" s="1136"/>
      <c r="C1208" s="1138"/>
    </row>
    <row r="1209" spans="1:3">
      <c r="A1209" s="1133"/>
      <c r="B1209" s="1136"/>
      <c r="C1209" s="1138"/>
    </row>
    <row r="1210" spans="1:3">
      <c r="A1210" s="1133"/>
      <c r="B1210" s="1136"/>
      <c r="C1210" s="1138"/>
    </row>
    <row r="1211" spans="1:3">
      <c r="A1211" s="1133"/>
      <c r="B1211" s="1136"/>
      <c r="C1211" s="1138"/>
    </row>
    <row r="1212" spans="1:3">
      <c r="A1212" s="1133"/>
      <c r="B1212" s="1136"/>
      <c r="C1212" s="1138"/>
    </row>
    <row r="1213" spans="1:3">
      <c r="A1213" s="1133"/>
      <c r="B1213" s="1136"/>
      <c r="C1213" s="1138"/>
    </row>
    <row r="1214" spans="1:3">
      <c r="A1214" s="1133"/>
      <c r="B1214" s="1136"/>
      <c r="C1214" s="1138"/>
    </row>
    <row r="1215" spans="1:3">
      <c r="A1215" s="1133"/>
      <c r="B1215" s="1136"/>
      <c r="C1215" s="1138"/>
    </row>
    <row r="1216" spans="1:3">
      <c r="A1216" s="1133"/>
      <c r="B1216" s="1136"/>
      <c r="C1216" s="1138"/>
    </row>
    <row r="1217" spans="1:3">
      <c r="A1217" s="1133"/>
      <c r="B1217" s="1136"/>
      <c r="C1217" s="1138"/>
    </row>
    <row r="1218" spans="1:3">
      <c r="A1218" s="1133"/>
      <c r="B1218" s="1136"/>
      <c r="C1218" s="1138"/>
    </row>
    <row r="1219" spans="1:3">
      <c r="A1219" s="1133"/>
      <c r="B1219" s="1136"/>
      <c r="C1219" s="1138"/>
    </row>
    <row r="1220" spans="1:3">
      <c r="A1220" s="1133"/>
      <c r="B1220" s="1136"/>
      <c r="C1220" s="1138"/>
    </row>
    <row r="1221" spans="1:3">
      <c r="A1221" s="1133"/>
      <c r="B1221" s="1136"/>
      <c r="C1221" s="1138"/>
    </row>
    <row r="1222" spans="1:3">
      <c r="A1222" s="1133"/>
      <c r="B1222" s="1136"/>
      <c r="C1222" s="1138"/>
    </row>
    <row r="1223" spans="1:3">
      <c r="A1223" s="1133"/>
      <c r="B1223" s="1136"/>
      <c r="C1223" s="1138"/>
    </row>
    <row r="1224" spans="1:3">
      <c r="A1224" s="1133"/>
      <c r="B1224" s="1136"/>
      <c r="C1224" s="1138"/>
    </row>
    <row r="1225" spans="1:3">
      <c r="A1225" s="1133"/>
      <c r="B1225" s="1136"/>
      <c r="C1225" s="1138"/>
    </row>
    <row r="1226" spans="1:3">
      <c r="A1226" s="1133"/>
      <c r="B1226" s="1136"/>
      <c r="C1226" s="1138"/>
    </row>
    <row r="1227" spans="1:3">
      <c r="A1227" s="1133"/>
      <c r="B1227" s="1136"/>
      <c r="C1227" s="1138"/>
    </row>
    <row r="1228" spans="1:3">
      <c r="A1228" s="1133"/>
      <c r="B1228" s="1136"/>
      <c r="C1228" s="1138"/>
    </row>
    <row r="1229" spans="1:3">
      <c r="A1229" s="1133"/>
      <c r="B1229" s="1136"/>
      <c r="C1229" s="1138"/>
    </row>
    <row r="1230" spans="1:3">
      <c r="A1230" s="1133"/>
      <c r="B1230" s="1136"/>
      <c r="C1230" s="1138"/>
    </row>
    <row r="1231" spans="1:3">
      <c r="A1231" s="1133"/>
      <c r="B1231" s="1136"/>
      <c r="C1231" s="1138"/>
    </row>
    <row r="1232" spans="1:3">
      <c r="A1232" s="1133"/>
      <c r="B1232" s="1136"/>
      <c r="C1232" s="1138"/>
    </row>
    <row r="1233" spans="1:3">
      <c r="A1233" s="1133"/>
      <c r="B1233" s="1136"/>
      <c r="C1233" s="1138"/>
    </row>
    <row r="1234" spans="1:3">
      <c r="A1234" s="1133"/>
      <c r="B1234" s="1136"/>
      <c r="C1234" s="1138"/>
    </row>
    <row r="1235" spans="1:3">
      <c r="A1235" s="1133"/>
      <c r="B1235" s="1136"/>
      <c r="C1235" s="1138"/>
    </row>
    <row r="1236" spans="1:3">
      <c r="A1236" s="1133"/>
      <c r="B1236" s="1136"/>
      <c r="C1236" s="1138"/>
    </row>
    <row r="1237" spans="1:3">
      <c r="A1237" s="1133"/>
      <c r="B1237" s="1136"/>
      <c r="C1237" s="1138"/>
    </row>
    <row r="1238" spans="1:3">
      <c r="A1238" s="1133"/>
      <c r="B1238" s="1136"/>
      <c r="C1238" s="1138"/>
    </row>
    <row r="1239" spans="1:3">
      <c r="A1239" s="1133"/>
      <c r="B1239" s="1136"/>
      <c r="C1239" s="1138"/>
    </row>
    <row r="1240" spans="1:3">
      <c r="A1240" s="1133"/>
      <c r="B1240" s="1136"/>
      <c r="C1240" s="1138"/>
    </row>
    <row r="1241" spans="1:3">
      <c r="A1241" s="1133"/>
      <c r="B1241" s="1136"/>
      <c r="C1241" s="1138"/>
    </row>
    <row r="1242" spans="1:3">
      <c r="A1242" s="1133"/>
      <c r="B1242" s="1136"/>
      <c r="C1242" s="1138"/>
    </row>
    <row r="1243" spans="1:3">
      <c r="A1243" s="1133"/>
      <c r="B1243" s="1136"/>
      <c r="C1243" s="1138"/>
    </row>
    <row r="1244" spans="1:3">
      <c r="A1244" s="1133"/>
      <c r="B1244" s="1136"/>
      <c r="C1244" s="1138"/>
    </row>
    <row r="1245" spans="1:3">
      <c r="A1245" s="1133"/>
      <c r="B1245" s="1136"/>
      <c r="C1245" s="1138"/>
    </row>
    <row r="1246" spans="1:3">
      <c r="A1246" s="1133"/>
      <c r="B1246" s="1136"/>
      <c r="C1246" s="1138"/>
    </row>
    <row r="1247" spans="1:3">
      <c r="A1247" s="1133"/>
      <c r="B1247" s="1136"/>
      <c r="C1247" s="1138"/>
    </row>
    <row r="1248" spans="1:3">
      <c r="A1248" s="1133"/>
      <c r="B1248" s="1136"/>
      <c r="C1248" s="1138"/>
    </row>
    <row r="1249" spans="1:3">
      <c r="A1249" s="1133"/>
      <c r="B1249" s="1136"/>
      <c r="C1249" s="1138"/>
    </row>
    <row r="1250" spans="1:3">
      <c r="A1250" s="1133"/>
      <c r="B1250" s="1136"/>
      <c r="C1250" s="1138"/>
    </row>
    <row r="1251" spans="1:3">
      <c r="A1251" s="1133"/>
      <c r="B1251" s="1136"/>
      <c r="C1251" s="1138"/>
    </row>
    <row r="1252" spans="1:3">
      <c r="A1252" s="1133"/>
      <c r="B1252" s="1136"/>
      <c r="C1252" s="1138"/>
    </row>
    <row r="1253" spans="1:3">
      <c r="A1253" s="1133"/>
      <c r="B1253" s="1136"/>
      <c r="C1253" s="1138"/>
    </row>
    <row r="1254" spans="1:3">
      <c r="A1254" s="1133"/>
      <c r="B1254" s="1136"/>
      <c r="C1254" s="1138"/>
    </row>
    <row r="1255" spans="1:3">
      <c r="A1255" s="1133"/>
      <c r="B1255" s="1136"/>
      <c r="C1255" s="1138"/>
    </row>
    <row r="1256" spans="1:3">
      <c r="A1256" s="1133"/>
      <c r="B1256" s="1136"/>
      <c r="C1256" s="1138"/>
    </row>
    <row r="1257" spans="1:3">
      <c r="A1257" s="1133"/>
      <c r="B1257" s="1136"/>
      <c r="C1257" s="1138"/>
    </row>
    <row r="1258" spans="1:3">
      <c r="A1258" s="1133"/>
      <c r="B1258" s="1136"/>
      <c r="C1258" s="1138"/>
    </row>
    <row r="1259" spans="1:3">
      <c r="A1259" s="1133"/>
      <c r="B1259" s="1136"/>
      <c r="C1259" s="1138"/>
    </row>
    <row r="1260" spans="1:3">
      <c r="A1260" s="1133"/>
      <c r="B1260" s="1136"/>
      <c r="C1260" s="1138"/>
    </row>
    <row r="1261" spans="1:3">
      <c r="A1261" s="1133"/>
      <c r="B1261" s="1136"/>
      <c r="C1261" s="1138"/>
    </row>
    <row r="1262" spans="1:3">
      <c r="A1262" s="1133"/>
      <c r="B1262" s="1136"/>
      <c r="C1262" s="1138"/>
    </row>
    <row r="1263" spans="1:3">
      <c r="A1263" s="1133"/>
      <c r="B1263" s="1136"/>
      <c r="C1263" s="1138"/>
    </row>
    <row r="1264" spans="1:3">
      <c r="A1264" s="1133"/>
      <c r="B1264" s="1136"/>
      <c r="C1264" s="1138"/>
    </row>
    <row r="1265" spans="1:3">
      <c r="A1265" s="1133"/>
      <c r="B1265" s="1136"/>
      <c r="C1265" s="1138"/>
    </row>
    <row r="1266" spans="1:3">
      <c r="A1266" s="1133"/>
      <c r="B1266" s="1136"/>
      <c r="C1266" s="1138"/>
    </row>
    <row r="1267" spans="1:3">
      <c r="A1267" s="1133"/>
      <c r="B1267" s="1136"/>
      <c r="C1267" s="1138"/>
    </row>
    <row r="1268" spans="1:3">
      <c r="A1268" s="1133"/>
      <c r="B1268" s="1136"/>
      <c r="C1268" s="1138"/>
    </row>
    <row r="1269" spans="1:3">
      <c r="A1269" s="1133"/>
      <c r="B1269" s="1136"/>
      <c r="C1269" s="1138"/>
    </row>
    <row r="1270" spans="1:3">
      <c r="A1270" s="1133"/>
      <c r="B1270" s="1136"/>
      <c r="C1270" s="1138"/>
    </row>
    <row r="1271" spans="1:3">
      <c r="A1271" s="1133"/>
      <c r="B1271" s="1136"/>
      <c r="C1271" s="1138"/>
    </row>
    <row r="1272" spans="1:3">
      <c r="A1272" s="1133"/>
      <c r="B1272" s="1136"/>
      <c r="C1272" s="1138"/>
    </row>
    <row r="1273" spans="1:3">
      <c r="A1273" s="1133"/>
      <c r="B1273" s="1136"/>
      <c r="C1273" s="1138"/>
    </row>
    <row r="1274" spans="1:3">
      <c r="A1274" s="1133"/>
      <c r="B1274" s="1136"/>
      <c r="C1274" s="1138"/>
    </row>
    <row r="1275" spans="1:3">
      <c r="A1275" s="1133"/>
      <c r="B1275" s="1136"/>
      <c r="C1275" s="1138"/>
    </row>
    <row r="1276" spans="1:3">
      <c r="A1276" s="1133"/>
      <c r="B1276" s="1136"/>
      <c r="C1276" s="1138"/>
    </row>
    <row r="1277" spans="1:3">
      <c r="A1277" s="1133"/>
      <c r="B1277" s="1136"/>
      <c r="C1277" s="1138"/>
    </row>
    <row r="1278" spans="1:3">
      <c r="A1278" s="1133"/>
      <c r="B1278" s="1136"/>
      <c r="C1278" s="1138"/>
    </row>
    <row r="1279" spans="1:3">
      <c r="A1279" s="1133"/>
      <c r="B1279" s="1136"/>
      <c r="C1279" s="1138"/>
    </row>
    <row r="1280" spans="1:3">
      <c r="A1280" s="1133"/>
      <c r="B1280" s="1136"/>
      <c r="C1280" s="1138"/>
    </row>
    <row r="1281" spans="1:3">
      <c r="A1281" s="1133"/>
      <c r="B1281" s="1136"/>
      <c r="C1281" s="1138"/>
    </row>
    <row r="1282" spans="1:3">
      <c r="A1282" s="1133"/>
      <c r="B1282" s="1136"/>
      <c r="C1282" s="1138"/>
    </row>
    <row r="1283" spans="1:3">
      <c r="A1283" s="1133"/>
      <c r="B1283" s="1136"/>
      <c r="C1283" s="1138"/>
    </row>
    <row r="1284" spans="1:3">
      <c r="A1284" s="1133"/>
      <c r="B1284" s="1136"/>
      <c r="C1284" s="1138"/>
    </row>
    <row r="1285" spans="1:3">
      <c r="A1285" s="1133"/>
      <c r="B1285" s="1136"/>
      <c r="C1285" s="1138"/>
    </row>
    <row r="1286" spans="1:3">
      <c r="A1286" s="1133"/>
      <c r="B1286" s="1136"/>
      <c r="C1286" s="1138"/>
    </row>
    <row r="1287" spans="1:3">
      <c r="A1287" s="1133"/>
      <c r="B1287" s="1136"/>
      <c r="C1287" s="1138"/>
    </row>
    <row r="1288" spans="1:3">
      <c r="A1288" s="1133"/>
      <c r="B1288" s="1136"/>
      <c r="C1288" s="1138"/>
    </row>
    <row r="1289" spans="1:3">
      <c r="A1289" s="1133"/>
      <c r="B1289" s="1136"/>
      <c r="C1289" s="1138"/>
    </row>
    <row r="1290" spans="1:3">
      <c r="A1290" s="1133"/>
      <c r="B1290" s="1136"/>
      <c r="C1290" s="1138"/>
    </row>
    <row r="1291" spans="1:3">
      <c r="A1291" s="1133"/>
      <c r="B1291" s="1136"/>
      <c r="C1291" s="1138"/>
    </row>
    <row r="1292" spans="1:3">
      <c r="A1292" s="1133"/>
      <c r="B1292" s="1136"/>
      <c r="C1292" s="1138"/>
    </row>
    <row r="1293" spans="1:3">
      <c r="A1293" s="1133"/>
      <c r="B1293" s="1136"/>
      <c r="C1293" s="1138"/>
    </row>
    <row r="1294" spans="1:3">
      <c r="A1294" s="1133"/>
      <c r="B1294" s="1136"/>
      <c r="C1294" s="1138"/>
    </row>
    <row r="1295" spans="1:3">
      <c r="A1295" s="1133"/>
      <c r="B1295" s="1136"/>
      <c r="C1295" s="1138"/>
    </row>
    <row r="1296" spans="1:3">
      <c r="A1296" s="1133"/>
      <c r="B1296" s="1136"/>
      <c r="C1296" s="1138"/>
    </row>
    <row r="1297" spans="1:3">
      <c r="A1297" s="1133"/>
      <c r="B1297" s="1136"/>
      <c r="C1297" s="1138"/>
    </row>
    <row r="1298" spans="1:3">
      <c r="A1298" s="1133"/>
      <c r="B1298" s="1136"/>
      <c r="C1298" s="1138"/>
    </row>
    <row r="1299" spans="1:3">
      <c r="A1299" s="1133"/>
      <c r="B1299" s="1136"/>
      <c r="C1299" s="1138"/>
    </row>
    <row r="1300" spans="1:3">
      <c r="A1300" s="1133"/>
      <c r="B1300" s="1136"/>
      <c r="C1300" s="1138"/>
    </row>
    <row r="1301" spans="1:3">
      <c r="A1301" s="1133"/>
      <c r="B1301" s="1136"/>
      <c r="C1301" s="1138"/>
    </row>
    <row r="1302" spans="1:3">
      <c r="A1302" s="1133"/>
      <c r="B1302" s="1136"/>
      <c r="C1302" s="1138"/>
    </row>
    <row r="1303" spans="1:3">
      <c r="A1303" s="1133"/>
      <c r="B1303" s="1136"/>
      <c r="C1303" s="1138"/>
    </row>
    <row r="1304" spans="1:3">
      <c r="A1304" s="1133"/>
      <c r="B1304" s="1136"/>
      <c r="C1304" s="1138"/>
    </row>
    <row r="1305" spans="1:3">
      <c r="A1305" s="1133"/>
      <c r="B1305" s="1136"/>
      <c r="C1305" s="1138"/>
    </row>
    <row r="1306" spans="1:3">
      <c r="A1306" s="1133"/>
      <c r="B1306" s="1136"/>
      <c r="C1306" s="1138"/>
    </row>
    <row r="1307" spans="1:3">
      <c r="A1307" s="1133"/>
      <c r="B1307" s="1136"/>
      <c r="C1307" s="1138"/>
    </row>
    <row r="1308" spans="1:3">
      <c r="A1308" s="1133"/>
      <c r="B1308" s="1136"/>
      <c r="C1308" s="1138"/>
    </row>
    <row r="1309" spans="1:3">
      <c r="A1309" s="1133"/>
      <c r="B1309" s="1136"/>
      <c r="C1309" s="1138"/>
    </row>
    <row r="1310" spans="1:3">
      <c r="A1310" s="1133"/>
      <c r="B1310" s="1136"/>
      <c r="C1310" s="1138"/>
    </row>
    <row r="1311" spans="1:3">
      <c r="A1311" s="1133"/>
      <c r="B1311" s="1136"/>
      <c r="C1311" s="1138"/>
    </row>
    <row r="1312" spans="1:3">
      <c r="A1312" s="1133"/>
      <c r="B1312" s="1136"/>
      <c r="C1312" s="1138"/>
    </row>
    <row r="1313" spans="1:3">
      <c r="A1313" s="1133"/>
      <c r="B1313" s="1136"/>
      <c r="C1313" s="1138"/>
    </row>
    <row r="1314" spans="1:3">
      <c r="A1314" s="1133"/>
      <c r="B1314" s="1136"/>
      <c r="C1314" s="1138"/>
    </row>
    <row r="1315" spans="1:3">
      <c r="A1315" s="1133"/>
      <c r="B1315" s="1136"/>
      <c r="C1315" s="1138"/>
    </row>
    <row r="1316" spans="1:3">
      <c r="A1316" s="1133"/>
      <c r="B1316" s="1136"/>
      <c r="C1316" s="1138"/>
    </row>
    <row r="1317" spans="1:3">
      <c r="A1317" s="1133"/>
      <c r="B1317" s="1136"/>
      <c r="C1317" s="1138"/>
    </row>
    <row r="1318" spans="1:3">
      <c r="A1318" s="1133"/>
      <c r="B1318" s="1136"/>
      <c r="C1318" s="1138"/>
    </row>
    <row r="1319" spans="1:3">
      <c r="A1319" s="1133"/>
      <c r="B1319" s="1136"/>
      <c r="C1319" s="1138"/>
    </row>
    <row r="1320" spans="1:3">
      <c r="A1320" s="1133"/>
      <c r="B1320" s="1136"/>
      <c r="C1320" s="1138"/>
    </row>
    <row r="1321" spans="1:3">
      <c r="A1321" s="1133"/>
      <c r="B1321" s="1136"/>
      <c r="C1321" s="1138"/>
    </row>
    <row r="1322" spans="1:3">
      <c r="A1322" s="1133"/>
      <c r="B1322" s="1136"/>
      <c r="C1322" s="1138"/>
    </row>
    <row r="1323" spans="1:3">
      <c r="A1323" s="1133"/>
      <c r="B1323" s="1136"/>
      <c r="C1323" s="1138"/>
    </row>
    <row r="1324" spans="1:3">
      <c r="A1324" s="1133"/>
      <c r="B1324" s="1136"/>
      <c r="C1324" s="1138"/>
    </row>
    <row r="1325" spans="1:3">
      <c r="A1325" s="1133"/>
      <c r="B1325" s="1136"/>
      <c r="C1325" s="1138"/>
    </row>
    <row r="1326" spans="1:3">
      <c r="A1326" s="1133"/>
      <c r="B1326" s="1136"/>
      <c r="C1326" s="1138"/>
    </row>
    <row r="1327" spans="1:3">
      <c r="A1327" s="1133"/>
      <c r="B1327" s="1136"/>
      <c r="C1327" s="1138"/>
    </row>
    <row r="1328" spans="1:3">
      <c r="A1328" s="1133"/>
      <c r="B1328" s="1136"/>
      <c r="C1328" s="1138"/>
    </row>
    <row r="1329" spans="1:3">
      <c r="A1329" s="1133"/>
      <c r="B1329" s="1136"/>
      <c r="C1329" s="1138"/>
    </row>
    <row r="1330" spans="1:3">
      <c r="A1330" s="1133"/>
      <c r="B1330" s="1136"/>
      <c r="C1330" s="1138"/>
    </row>
    <row r="1331" spans="1:3">
      <c r="A1331" s="1133"/>
      <c r="B1331" s="1136"/>
      <c r="C1331" s="1138"/>
    </row>
    <row r="1332" spans="1:3">
      <c r="A1332" s="1133"/>
      <c r="B1332" s="1136"/>
      <c r="C1332" s="1138"/>
    </row>
    <row r="1333" spans="1:3">
      <c r="A1333" s="1133"/>
      <c r="B1333" s="1136"/>
      <c r="C1333" s="1138"/>
    </row>
    <row r="1334" spans="1:3">
      <c r="A1334" s="1133"/>
      <c r="B1334" s="1136"/>
      <c r="C1334" s="1138"/>
    </row>
    <row r="1335" spans="1:3">
      <c r="A1335" s="1133"/>
      <c r="B1335" s="1136"/>
      <c r="C1335" s="1138"/>
    </row>
    <row r="1336" spans="1:3">
      <c r="A1336" s="1133"/>
      <c r="B1336" s="1136"/>
      <c r="C1336" s="1138"/>
    </row>
    <row r="1337" spans="1:3">
      <c r="A1337" s="1133"/>
      <c r="B1337" s="1136"/>
      <c r="C1337" s="1138"/>
    </row>
    <row r="1338" spans="1:3">
      <c r="A1338" s="1133"/>
      <c r="B1338" s="1136"/>
      <c r="C1338" s="1138"/>
    </row>
    <row r="1339" spans="1:3">
      <c r="A1339" s="1133"/>
      <c r="B1339" s="1136"/>
      <c r="C1339" s="1138"/>
    </row>
    <row r="1340" spans="1:3">
      <c r="A1340" s="1133"/>
      <c r="B1340" s="1136"/>
      <c r="C1340" s="1138"/>
    </row>
    <row r="1341" spans="1:3">
      <c r="A1341" s="1133"/>
      <c r="B1341" s="1136"/>
      <c r="C1341" s="1138"/>
    </row>
    <row r="1342" spans="1:3">
      <c r="A1342" s="1133"/>
      <c r="B1342" s="1136"/>
      <c r="C1342" s="1138"/>
    </row>
    <row r="1343" spans="1:3">
      <c r="A1343" s="1133"/>
      <c r="B1343" s="1136"/>
      <c r="C1343" s="1138"/>
    </row>
    <row r="1344" spans="1:3">
      <c r="A1344" s="1133"/>
      <c r="B1344" s="1136"/>
      <c r="C1344" s="1138"/>
    </row>
    <row r="1345" spans="1:3">
      <c r="A1345" s="1133"/>
      <c r="B1345" s="1136"/>
      <c r="C1345" s="1138"/>
    </row>
    <row r="1346" spans="1:3">
      <c r="A1346" s="1133"/>
      <c r="B1346" s="1136"/>
      <c r="C1346" s="1138"/>
    </row>
    <row r="1347" spans="1:3">
      <c r="A1347" s="1133"/>
      <c r="B1347" s="1136"/>
      <c r="C1347" s="1138"/>
    </row>
    <row r="1348" spans="1:3">
      <c r="A1348" s="1133"/>
      <c r="B1348" s="1136"/>
      <c r="C1348" s="1138"/>
    </row>
    <row r="1349" spans="1:3">
      <c r="A1349" s="1133"/>
      <c r="B1349" s="1136"/>
      <c r="C1349" s="1138"/>
    </row>
    <row r="1350" spans="1:3">
      <c r="A1350" s="1133"/>
      <c r="B1350" s="1136"/>
      <c r="C1350" s="1138"/>
    </row>
    <row r="1351" spans="1:3">
      <c r="A1351" s="1133"/>
      <c r="B1351" s="1136"/>
      <c r="C1351" s="1138"/>
    </row>
    <row r="1352" spans="1:3">
      <c r="A1352" s="1133"/>
      <c r="B1352" s="1136"/>
      <c r="C1352" s="1138"/>
    </row>
    <row r="1353" spans="1:3">
      <c r="A1353" s="1133"/>
      <c r="B1353" s="1136"/>
      <c r="C1353" s="1138"/>
    </row>
    <row r="1354" spans="1:3">
      <c r="A1354" s="1133"/>
      <c r="B1354" s="1136"/>
      <c r="C1354" s="1138"/>
    </row>
    <row r="1355" spans="1:3">
      <c r="A1355" s="1133"/>
      <c r="B1355" s="1136"/>
      <c r="C1355" s="1138"/>
    </row>
    <row r="1356" spans="1:3">
      <c r="A1356" s="1133"/>
      <c r="B1356" s="1136"/>
      <c r="C1356" s="1138"/>
    </row>
    <row r="1357" spans="1:3">
      <c r="A1357" s="1133"/>
      <c r="B1357" s="1136"/>
      <c r="C1357" s="1138"/>
    </row>
    <row r="1358" spans="1:3">
      <c r="A1358" s="1133"/>
      <c r="B1358" s="1136"/>
      <c r="C1358" s="1138"/>
    </row>
    <row r="1359" spans="1:3">
      <c r="A1359" s="1133"/>
      <c r="B1359" s="1136"/>
      <c r="C1359" s="1138"/>
    </row>
    <row r="1360" spans="1:3">
      <c r="A1360" s="1133"/>
      <c r="B1360" s="1136"/>
      <c r="C1360" s="1138"/>
    </row>
    <row r="1361" spans="1:3">
      <c r="A1361" s="1133"/>
      <c r="B1361" s="1136"/>
      <c r="C1361" s="1138"/>
    </row>
    <row r="1362" spans="1:3">
      <c r="A1362" s="1133"/>
      <c r="B1362" s="1136"/>
      <c r="C1362" s="1138"/>
    </row>
    <row r="1363" spans="1:3">
      <c r="A1363" s="1133"/>
      <c r="B1363" s="1136"/>
      <c r="C1363" s="1138"/>
    </row>
    <row r="1364" spans="1:3">
      <c r="A1364" s="1133"/>
      <c r="B1364" s="1136"/>
      <c r="C1364" s="1138"/>
    </row>
    <row r="1365" spans="1:3">
      <c r="A1365" s="1133"/>
      <c r="B1365" s="1136"/>
      <c r="C1365" s="1138"/>
    </row>
    <row r="1366" spans="1:3">
      <c r="A1366" s="1133"/>
      <c r="B1366" s="1136"/>
      <c r="C1366" s="1138"/>
    </row>
    <row r="1367" spans="1:3">
      <c r="A1367" s="1133"/>
      <c r="B1367" s="1136"/>
      <c r="C1367" s="1138"/>
    </row>
    <row r="1368" spans="1:3">
      <c r="A1368" s="1133"/>
      <c r="B1368" s="1136"/>
      <c r="C1368" s="1138"/>
    </row>
    <row r="1369" spans="1:3">
      <c r="A1369" s="1133"/>
      <c r="B1369" s="1136"/>
      <c r="C1369" s="1138"/>
    </row>
    <row r="1370" spans="1:3">
      <c r="A1370" s="1133"/>
      <c r="B1370" s="1136"/>
      <c r="C1370" s="1138"/>
    </row>
    <row r="1371" spans="1:3">
      <c r="A1371" s="1133"/>
      <c r="B1371" s="1136"/>
      <c r="C1371" s="1138"/>
    </row>
    <row r="1372" spans="1:3">
      <c r="A1372" s="1133"/>
      <c r="B1372" s="1136"/>
      <c r="C1372" s="1138"/>
    </row>
    <row r="1373" spans="1:3">
      <c r="A1373" s="1133"/>
      <c r="B1373" s="1136"/>
      <c r="C1373" s="1138"/>
    </row>
    <row r="1374" spans="1:3">
      <c r="A1374" s="1133"/>
      <c r="B1374" s="1136"/>
      <c r="C1374" s="1138"/>
    </row>
    <row r="1375" spans="1:3">
      <c r="A1375" s="1133"/>
      <c r="B1375" s="1136"/>
      <c r="C1375" s="1138"/>
    </row>
    <row r="1376" spans="1:3">
      <c r="A1376" s="1133"/>
      <c r="B1376" s="1136"/>
      <c r="C1376" s="1138"/>
    </row>
    <row r="1377" spans="1:3">
      <c r="A1377" s="1133"/>
      <c r="B1377" s="1136"/>
      <c r="C1377" s="1138"/>
    </row>
    <row r="1378" spans="1:3">
      <c r="A1378" s="1133"/>
      <c r="B1378" s="1136"/>
      <c r="C1378" s="1138"/>
    </row>
    <row r="1379" spans="1:3">
      <c r="A1379" s="1133"/>
      <c r="B1379" s="1136"/>
      <c r="C1379" s="1138"/>
    </row>
    <row r="1380" spans="1:3">
      <c r="A1380" s="1133"/>
      <c r="B1380" s="1136"/>
      <c r="C1380" s="1138"/>
    </row>
    <row r="1381" spans="1:3">
      <c r="A1381" s="1133"/>
      <c r="B1381" s="1136"/>
      <c r="C1381" s="1138"/>
    </row>
    <row r="1382" spans="1:3">
      <c r="A1382" s="1133"/>
      <c r="B1382" s="1136"/>
      <c r="C1382" s="1138"/>
    </row>
    <row r="1383" spans="1:3">
      <c r="A1383" s="1133"/>
      <c r="B1383" s="1136"/>
      <c r="C1383" s="1138"/>
    </row>
    <row r="1384" spans="1:3">
      <c r="A1384" s="1133"/>
      <c r="B1384" s="1136"/>
      <c r="C1384" s="1138"/>
    </row>
    <row r="1385" spans="1:3">
      <c r="A1385" s="1133"/>
      <c r="B1385" s="1136"/>
      <c r="C1385" s="1138"/>
    </row>
    <row r="1386" spans="1:3">
      <c r="A1386" s="1133"/>
      <c r="B1386" s="1136"/>
      <c r="C1386" s="1138"/>
    </row>
    <row r="1387" spans="1:3">
      <c r="A1387" s="1133"/>
      <c r="B1387" s="1136"/>
      <c r="C1387" s="1138"/>
    </row>
    <row r="1388" spans="1:3">
      <c r="A1388" s="1133"/>
      <c r="B1388" s="1136"/>
      <c r="C1388" s="1138"/>
    </row>
    <row r="1389" spans="1:3">
      <c r="A1389" s="1133"/>
      <c r="B1389" s="1136"/>
      <c r="C1389" s="1138"/>
    </row>
    <row r="1390" spans="1:3">
      <c r="A1390" s="1133"/>
      <c r="B1390" s="1136"/>
      <c r="C1390" s="1138"/>
    </row>
    <row r="1391" spans="1:3">
      <c r="A1391" s="1133"/>
      <c r="B1391" s="1136"/>
      <c r="C1391" s="1138"/>
    </row>
    <row r="1392" spans="1:3">
      <c r="A1392" s="1133"/>
      <c r="B1392" s="1136"/>
      <c r="C1392" s="1138"/>
    </row>
    <row r="1393" spans="1:3">
      <c r="A1393" s="1133"/>
      <c r="B1393" s="1136"/>
      <c r="C1393" s="1138"/>
    </row>
    <row r="1394" spans="1:3">
      <c r="A1394" s="1133"/>
      <c r="B1394" s="1136"/>
      <c r="C1394" s="1138"/>
    </row>
    <row r="1395" spans="1:3">
      <c r="A1395" s="1133"/>
      <c r="B1395" s="1136"/>
      <c r="C1395" s="1138"/>
    </row>
    <row r="1396" spans="1:3">
      <c r="A1396" s="1133"/>
      <c r="B1396" s="1136"/>
      <c r="C1396" s="1138"/>
    </row>
    <row r="1397" spans="1:3">
      <c r="A1397" s="1133"/>
      <c r="B1397" s="1136"/>
      <c r="C1397" s="1138"/>
    </row>
    <row r="1398" spans="1:3">
      <c r="A1398" s="1133"/>
      <c r="B1398" s="1136"/>
      <c r="C1398" s="1138"/>
    </row>
    <row r="1399" spans="1:3">
      <c r="A1399" s="1133"/>
      <c r="B1399" s="1136"/>
      <c r="C1399" s="1138"/>
    </row>
    <row r="1400" spans="1:3">
      <c r="A1400" s="1133"/>
      <c r="B1400" s="1136"/>
      <c r="C1400" s="1138"/>
    </row>
    <row r="1401" spans="1:3">
      <c r="A1401" s="1133"/>
      <c r="B1401" s="1136"/>
      <c r="C1401" s="1138"/>
    </row>
    <row r="1402" spans="1:3">
      <c r="A1402" s="1133"/>
      <c r="B1402" s="1136"/>
      <c r="C1402" s="1138"/>
    </row>
    <row r="1403" spans="1:3">
      <c r="A1403" s="1133"/>
      <c r="B1403" s="1136"/>
      <c r="C1403" s="1138"/>
    </row>
    <row r="1404" spans="1:3">
      <c r="A1404" s="1133"/>
      <c r="B1404" s="1136"/>
      <c r="C1404" s="1138"/>
    </row>
    <row r="1405" spans="1:3">
      <c r="A1405" s="1133"/>
      <c r="B1405" s="1136"/>
      <c r="C1405" s="1138"/>
    </row>
    <row r="1406" spans="1:3">
      <c r="A1406" s="1133"/>
      <c r="B1406" s="1136"/>
      <c r="C1406" s="1138"/>
    </row>
    <row r="1407" spans="1:3">
      <c r="A1407" s="1133"/>
      <c r="B1407" s="1136"/>
      <c r="C1407" s="1138"/>
    </row>
    <row r="1408" spans="1:3">
      <c r="A1408" s="1133"/>
      <c r="B1408" s="1136"/>
      <c r="C1408" s="1138"/>
    </row>
    <row r="1409" spans="1:3">
      <c r="A1409" s="1133"/>
      <c r="B1409" s="1136"/>
      <c r="C1409" s="1138"/>
    </row>
    <row r="1410" spans="1:3">
      <c r="A1410" s="1133"/>
      <c r="B1410" s="1136"/>
      <c r="C1410" s="1138"/>
    </row>
    <row r="1411" spans="1:3">
      <c r="A1411" s="1133"/>
      <c r="B1411" s="1136"/>
      <c r="C1411" s="1138"/>
    </row>
    <row r="1412" spans="1:3">
      <c r="A1412" s="1133"/>
      <c r="B1412" s="1136"/>
      <c r="C1412" s="1138"/>
    </row>
    <row r="1413" spans="1:3">
      <c r="A1413" s="1133"/>
      <c r="B1413" s="1136"/>
      <c r="C1413" s="1138"/>
    </row>
    <row r="1414" spans="1:3">
      <c r="A1414" s="1133"/>
      <c r="B1414" s="1136"/>
      <c r="C1414" s="1138"/>
    </row>
    <row r="1415" spans="1:3">
      <c r="A1415" s="1133"/>
      <c r="B1415" s="1136"/>
      <c r="C1415" s="1138"/>
    </row>
    <row r="1416" spans="1:3">
      <c r="A1416" s="1133"/>
      <c r="B1416" s="1136"/>
      <c r="C1416" s="1138"/>
    </row>
    <row r="1417" spans="1:3">
      <c r="A1417" s="1133"/>
      <c r="B1417" s="1136"/>
      <c r="C1417" s="1138"/>
    </row>
    <row r="1418" spans="1:3">
      <c r="A1418" s="1133"/>
      <c r="B1418" s="1136"/>
      <c r="C1418" s="1138"/>
    </row>
    <row r="1419" spans="1:3">
      <c r="A1419" s="1133"/>
      <c r="B1419" s="1136"/>
      <c r="C1419" s="1138"/>
    </row>
    <row r="1420" spans="1:3">
      <c r="A1420" s="1133"/>
      <c r="B1420" s="1136"/>
      <c r="C1420" s="1138"/>
    </row>
    <row r="1421" spans="1:3">
      <c r="A1421" s="1133"/>
      <c r="B1421" s="1136"/>
      <c r="C1421" s="1138"/>
    </row>
    <row r="1422" spans="1:3">
      <c r="A1422" s="1133"/>
      <c r="B1422" s="1136"/>
      <c r="C1422" s="1138"/>
    </row>
    <row r="1423" spans="1:3">
      <c r="A1423" s="1133"/>
      <c r="B1423" s="1136"/>
      <c r="C1423" s="1138"/>
    </row>
    <row r="1424" spans="1:3">
      <c r="A1424" s="1133"/>
      <c r="B1424" s="1136"/>
      <c r="C1424" s="1138"/>
    </row>
    <row r="1425" spans="1:3">
      <c r="A1425" s="1133"/>
      <c r="B1425" s="1136"/>
      <c r="C1425" s="1138"/>
    </row>
    <row r="1426" spans="1:3">
      <c r="A1426" s="1133"/>
      <c r="B1426" s="1136"/>
      <c r="C1426" s="1138"/>
    </row>
    <row r="1427" spans="1:3">
      <c r="A1427" s="1133"/>
      <c r="B1427" s="1136"/>
      <c r="C1427" s="1138"/>
    </row>
    <row r="1428" spans="1:3">
      <c r="A1428" s="1133"/>
      <c r="B1428" s="1136"/>
      <c r="C1428" s="1138"/>
    </row>
    <row r="1429" spans="1:3">
      <c r="A1429" s="1133"/>
      <c r="B1429" s="1136"/>
      <c r="C1429" s="1138"/>
    </row>
    <row r="1430" spans="1:3">
      <c r="A1430" s="1133"/>
      <c r="B1430" s="1136"/>
      <c r="C1430" s="1138"/>
    </row>
    <row r="1431" spans="1:3">
      <c r="A1431" s="1133"/>
      <c r="B1431" s="1136"/>
      <c r="C1431" s="1138"/>
    </row>
    <row r="1432" spans="1:3">
      <c r="A1432" s="1133"/>
      <c r="B1432" s="1136"/>
      <c r="C1432" s="1138"/>
    </row>
    <row r="1433" spans="1:3">
      <c r="A1433" s="1133"/>
      <c r="B1433" s="1136"/>
      <c r="C1433" s="1138"/>
    </row>
    <row r="1434" spans="1:3">
      <c r="A1434" s="1133"/>
      <c r="B1434" s="1136"/>
      <c r="C1434" s="1138"/>
    </row>
    <row r="1435" spans="1:3">
      <c r="A1435" s="1133"/>
      <c r="B1435" s="1136"/>
      <c r="C1435" s="1138"/>
    </row>
    <row r="1436" spans="1:3">
      <c r="A1436" s="1133"/>
      <c r="B1436" s="1136"/>
      <c r="C1436" s="1138"/>
    </row>
    <row r="1437" spans="1:3">
      <c r="A1437" s="1133"/>
      <c r="B1437" s="1136"/>
      <c r="C1437" s="1138"/>
    </row>
    <row r="1438" spans="1:3">
      <c r="A1438" s="1133"/>
      <c r="B1438" s="1136"/>
      <c r="C1438" s="1138"/>
    </row>
    <row r="1439" spans="1:3">
      <c r="A1439" s="1133"/>
      <c r="B1439" s="1136"/>
      <c r="C1439" s="1138"/>
    </row>
    <row r="1440" spans="1:3">
      <c r="A1440" s="1133"/>
      <c r="B1440" s="1136"/>
      <c r="C1440" s="1138"/>
    </row>
    <row r="1441" spans="1:3">
      <c r="A1441" s="1133"/>
      <c r="B1441" s="1136"/>
      <c r="C1441" s="1138"/>
    </row>
    <row r="1442" spans="1:3">
      <c r="A1442" s="1133"/>
      <c r="B1442" s="1136"/>
      <c r="C1442" s="1138"/>
    </row>
    <row r="1443" spans="1:3">
      <c r="A1443" s="1133"/>
      <c r="B1443" s="1136"/>
      <c r="C1443" s="1138"/>
    </row>
    <row r="1444" spans="1:3">
      <c r="A1444" s="1133"/>
      <c r="B1444" s="1136"/>
      <c r="C1444" s="1138"/>
    </row>
    <row r="1445" spans="1:3">
      <c r="A1445" s="1133"/>
      <c r="B1445" s="1136"/>
      <c r="C1445" s="1138"/>
    </row>
    <row r="1446" spans="1:3">
      <c r="A1446" s="1133"/>
      <c r="B1446" s="1136"/>
      <c r="C1446" s="1138"/>
    </row>
    <row r="1447" spans="1:3">
      <c r="A1447" s="1133"/>
      <c r="B1447" s="1136"/>
      <c r="C1447" s="1138"/>
    </row>
    <row r="1448" spans="1:3">
      <c r="A1448" s="1133"/>
      <c r="B1448" s="1136"/>
      <c r="C1448" s="1138"/>
    </row>
    <row r="1449" spans="1:3">
      <c r="A1449" s="1133"/>
      <c r="B1449" s="1136"/>
      <c r="C1449" s="1138"/>
    </row>
    <row r="1450" spans="1:3">
      <c r="A1450" s="1133"/>
      <c r="B1450" s="1136"/>
      <c r="C1450" s="1138"/>
    </row>
    <row r="1451" spans="1:3">
      <c r="A1451" s="1133"/>
      <c r="B1451" s="1136"/>
      <c r="C1451" s="1138"/>
    </row>
    <row r="1452" spans="1:3">
      <c r="A1452" s="1133"/>
      <c r="B1452" s="1136"/>
      <c r="C1452" s="1138"/>
    </row>
    <row r="1453" spans="1:3">
      <c r="A1453" s="1133"/>
      <c r="B1453" s="1136"/>
      <c r="C1453" s="1138"/>
    </row>
    <row r="1454" spans="1:3">
      <c r="A1454" s="1133"/>
      <c r="B1454" s="1136"/>
      <c r="C1454" s="1138"/>
    </row>
    <row r="1455" spans="1:3">
      <c r="A1455" s="1133"/>
      <c r="B1455" s="1136"/>
      <c r="C1455" s="1138"/>
    </row>
    <row r="1456" spans="1:3">
      <c r="A1456" s="1133"/>
      <c r="B1456" s="1136"/>
      <c r="C1456" s="1138"/>
    </row>
    <row r="1457" spans="1:3">
      <c r="A1457" s="1133"/>
      <c r="B1457" s="1136"/>
      <c r="C1457" s="1138"/>
    </row>
    <row r="1458" spans="1:3">
      <c r="A1458" s="1133"/>
      <c r="B1458" s="1136"/>
      <c r="C1458" s="1138"/>
    </row>
    <row r="1459" spans="1:3">
      <c r="A1459" s="1133"/>
      <c r="B1459" s="1136"/>
      <c r="C1459" s="1138"/>
    </row>
    <row r="1460" spans="1:3">
      <c r="A1460" s="1133"/>
      <c r="B1460" s="1136"/>
      <c r="C1460" s="1138"/>
    </row>
    <row r="1461" spans="1:3">
      <c r="A1461" s="1133"/>
      <c r="B1461" s="1136"/>
      <c r="C1461" s="1138"/>
    </row>
    <row r="1462" spans="1:3">
      <c r="A1462" s="1133"/>
      <c r="B1462" s="1136"/>
      <c r="C1462" s="1138"/>
    </row>
    <row r="1463" spans="1:3">
      <c r="A1463" s="1133"/>
      <c r="B1463" s="1136"/>
      <c r="C1463" s="1138"/>
    </row>
    <row r="1464" spans="1:3">
      <c r="A1464" s="1133"/>
      <c r="B1464" s="1136"/>
      <c r="C1464" s="1138"/>
    </row>
    <row r="1465" spans="1:3">
      <c r="A1465" s="1133"/>
      <c r="B1465" s="1136"/>
      <c r="C1465" s="1138"/>
    </row>
    <row r="1466" spans="1:3">
      <c r="A1466" s="1133"/>
      <c r="B1466" s="1136"/>
      <c r="C1466" s="1138"/>
    </row>
    <row r="1467" spans="1:3">
      <c r="A1467" s="1133"/>
      <c r="B1467" s="1136"/>
      <c r="C1467" s="1138"/>
    </row>
    <row r="1468" spans="1:3">
      <c r="A1468" s="1133"/>
      <c r="B1468" s="1136"/>
      <c r="C1468" s="1138"/>
    </row>
    <row r="1469" spans="1:3">
      <c r="A1469" s="1133"/>
      <c r="B1469" s="1136"/>
      <c r="C1469" s="1138"/>
    </row>
    <row r="1470" spans="1:3">
      <c r="A1470" s="1133"/>
      <c r="B1470" s="1136"/>
      <c r="C1470" s="1138"/>
    </row>
    <row r="1471" spans="1:3">
      <c r="A1471" s="1133"/>
      <c r="B1471" s="1136"/>
      <c r="C1471" s="1138"/>
    </row>
    <row r="1472" spans="1:3">
      <c r="A1472" s="1133"/>
      <c r="B1472" s="1136"/>
      <c r="C1472" s="1138"/>
    </row>
    <row r="1473" spans="1:3">
      <c r="A1473" s="1133"/>
      <c r="B1473" s="1136"/>
      <c r="C1473" s="1138"/>
    </row>
    <row r="1474" spans="1:3">
      <c r="A1474" s="1133"/>
      <c r="B1474" s="1136"/>
      <c r="C1474" s="1138"/>
    </row>
    <row r="1475" spans="1:3">
      <c r="A1475" s="1133"/>
      <c r="B1475" s="1136"/>
      <c r="C1475" s="1138"/>
    </row>
    <row r="1476" spans="1:3">
      <c r="A1476" s="1133"/>
      <c r="B1476" s="1136"/>
      <c r="C1476" s="1138"/>
    </row>
    <row r="1477" spans="1:3">
      <c r="A1477" s="1133"/>
      <c r="B1477" s="1136"/>
      <c r="C1477" s="1138"/>
    </row>
    <row r="1478" spans="1:3">
      <c r="A1478" s="1133"/>
      <c r="B1478" s="1136"/>
      <c r="C1478" s="1138"/>
    </row>
    <row r="1479" spans="1:3">
      <c r="A1479" s="1133"/>
      <c r="B1479" s="1136"/>
      <c r="C1479" s="1138"/>
    </row>
    <row r="1480" spans="1:3">
      <c r="A1480" s="1133"/>
      <c r="B1480" s="1136"/>
      <c r="C1480" s="1138"/>
    </row>
    <row r="1481" spans="1:3">
      <c r="A1481" s="1133"/>
      <c r="B1481" s="1136"/>
      <c r="C1481" s="1138"/>
    </row>
    <row r="1482" spans="1:3">
      <c r="A1482" s="1133"/>
      <c r="B1482" s="1136"/>
      <c r="C1482" s="1138"/>
    </row>
    <row r="1483" spans="1:3">
      <c r="A1483" s="1133"/>
      <c r="B1483" s="1136"/>
      <c r="C1483" s="1138"/>
    </row>
    <row r="1484" spans="1:3">
      <c r="A1484" s="1133"/>
      <c r="B1484" s="1136"/>
      <c r="C1484" s="1138"/>
    </row>
    <row r="1485" spans="1:3">
      <c r="A1485" s="1133"/>
      <c r="B1485" s="1136"/>
      <c r="C1485" s="1138"/>
    </row>
    <row r="1486" spans="1:3">
      <c r="A1486" s="1133"/>
      <c r="B1486" s="1136"/>
      <c r="C1486" s="1138"/>
    </row>
    <row r="1487" spans="1:3">
      <c r="A1487" s="1133"/>
      <c r="B1487" s="1136"/>
      <c r="C1487" s="1138"/>
    </row>
    <row r="1488" spans="1:3">
      <c r="A1488" s="1133"/>
      <c r="B1488" s="1136"/>
      <c r="C1488" s="1138"/>
    </row>
    <row r="1489" spans="1:3">
      <c r="A1489" s="1133"/>
      <c r="B1489" s="1136"/>
      <c r="C1489" s="1138"/>
    </row>
    <row r="1490" spans="1:3">
      <c r="A1490" s="1133"/>
      <c r="B1490" s="1136"/>
      <c r="C1490" s="1138"/>
    </row>
    <row r="1491" spans="1:3">
      <c r="A1491" s="1133"/>
      <c r="B1491" s="1136"/>
      <c r="C1491" s="1138"/>
    </row>
    <row r="1492" spans="1:3">
      <c r="A1492" s="1133"/>
      <c r="B1492" s="1136"/>
      <c r="C1492" s="1138"/>
    </row>
    <row r="1493" spans="1:3">
      <c r="A1493" s="1133"/>
      <c r="B1493" s="1136"/>
      <c r="C1493" s="1138"/>
    </row>
    <row r="1494" spans="1:3">
      <c r="A1494" s="1133"/>
      <c r="B1494" s="1136"/>
      <c r="C1494" s="1138"/>
    </row>
    <row r="1495" spans="1:3">
      <c r="A1495" s="1133"/>
      <c r="B1495" s="1136"/>
      <c r="C1495" s="1138"/>
    </row>
    <row r="1496" spans="1:3">
      <c r="A1496" s="1133"/>
      <c r="B1496" s="1136"/>
      <c r="C1496" s="1138"/>
    </row>
    <row r="1497" spans="1:3">
      <c r="A1497" s="1133"/>
      <c r="B1497" s="1136"/>
      <c r="C1497" s="1138"/>
    </row>
    <row r="1498" spans="1:3">
      <c r="A1498" s="1133"/>
      <c r="B1498" s="1136"/>
      <c r="C1498" s="1138"/>
    </row>
    <row r="1499" spans="1:3">
      <c r="A1499" s="1133"/>
      <c r="B1499" s="1136"/>
      <c r="C1499" s="1138"/>
    </row>
    <row r="1500" spans="1:3">
      <c r="A1500" s="1133"/>
      <c r="B1500" s="1136"/>
      <c r="C1500" s="1138"/>
    </row>
    <row r="1501" spans="1:3">
      <c r="A1501" s="1133"/>
      <c r="B1501" s="1136"/>
      <c r="C1501" s="1138"/>
    </row>
    <row r="1502" spans="1:3">
      <c r="A1502" s="1133"/>
      <c r="B1502" s="1136"/>
      <c r="C1502" s="1138"/>
    </row>
    <row r="1503" spans="1:3">
      <c r="A1503" s="1133"/>
      <c r="B1503" s="1136"/>
      <c r="C1503" s="1138"/>
    </row>
    <row r="1504" spans="1:3">
      <c r="A1504" s="1133"/>
      <c r="B1504" s="1136"/>
      <c r="C1504" s="1138"/>
    </row>
    <row r="1505" spans="1:3">
      <c r="A1505" s="1133"/>
      <c r="B1505" s="1136"/>
      <c r="C1505" s="1138"/>
    </row>
    <row r="1506" spans="1:3">
      <c r="A1506" s="1133"/>
      <c r="B1506" s="1136"/>
      <c r="C1506" s="1138"/>
    </row>
    <row r="1507" spans="1:3">
      <c r="A1507" s="1133"/>
      <c r="B1507" s="1136"/>
      <c r="C1507" s="1138"/>
    </row>
    <row r="1508" spans="1:3">
      <c r="A1508" s="1133"/>
      <c r="B1508" s="1136"/>
      <c r="C1508" s="1138"/>
    </row>
    <row r="1509" spans="1:3">
      <c r="A1509" s="1133"/>
      <c r="B1509" s="1136"/>
      <c r="C1509" s="1138"/>
    </row>
    <row r="1510" spans="1:3">
      <c r="A1510" s="1133"/>
      <c r="B1510" s="1136"/>
      <c r="C1510" s="1138"/>
    </row>
    <row r="1511" spans="1:3">
      <c r="A1511" s="1133"/>
      <c r="B1511" s="1136"/>
      <c r="C1511" s="1138"/>
    </row>
    <row r="1512" spans="1:3">
      <c r="A1512" s="1133"/>
      <c r="B1512" s="1136"/>
      <c r="C1512" s="1138"/>
    </row>
    <row r="1513" spans="1:3">
      <c r="A1513" s="1133"/>
      <c r="B1513" s="1136"/>
      <c r="C1513" s="1138"/>
    </row>
    <row r="1514" spans="1:3">
      <c r="A1514" s="1133"/>
      <c r="B1514" s="1136"/>
      <c r="C1514" s="1138"/>
    </row>
    <row r="1515" spans="1:3">
      <c r="A1515" s="1133"/>
      <c r="B1515" s="1136"/>
      <c r="C1515" s="1138"/>
    </row>
    <row r="1516" spans="1:3">
      <c r="A1516" s="1133"/>
      <c r="B1516" s="1136"/>
      <c r="C1516" s="1138"/>
    </row>
    <row r="1517" spans="1:3">
      <c r="A1517" s="1133"/>
      <c r="B1517" s="1136"/>
      <c r="C1517" s="1138"/>
    </row>
    <row r="1518" spans="1:3">
      <c r="A1518" s="1133"/>
      <c r="B1518" s="1136"/>
      <c r="C1518" s="1138"/>
    </row>
    <row r="1519" spans="1:3">
      <c r="A1519" s="1133"/>
      <c r="B1519" s="1136"/>
      <c r="C1519" s="1138"/>
    </row>
    <row r="1520" spans="1:3">
      <c r="A1520" s="1133"/>
      <c r="B1520" s="1136"/>
      <c r="C1520" s="1138"/>
    </row>
    <row r="1521" spans="1:3">
      <c r="A1521" s="1133"/>
      <c r="B1521" s="1136"/>
      <c r="C1521" s="1138"/>
    </row>
    <row r="1522" spans="1:3">
      <c r="A1522" s="1133"/>
      <c r="B1522" s="1136"/>
      <c r="C1522" s="1138"/>
    </row>
    <row r="1523" spans="1:3">
      <c r="A1523" s="1133"/>
      <c r="B1523" s="1136"/>
      <c r="C1523" s="1138"/>
    </row>
    <row r="1524" spans="1:3">
      <c r="A1524" s="1133"/>
      <c r="B1524" s="1136"/>
      <c r="C1524" s="1138"/>
    </row>
    <row r="1525" spans="1:3">
      <c r="A1525" s="1133"/>
      <c r="B1525" s="1136"/>
      <c r="C1525" s="1138"/>
    </row>
    <row r="1526" spans="1:3">
      <c r="A1526" s="1133"/>
      <c r="B1526" s="1136"/>
      <c r="C1526" s="1138"/>
    </row>
    <row r="1527" spans="1:3">
      <c r="A1527" s="1133"/>
      <c r="B1527" s="1136"/>
      <c r="C1527" s="1138"/>
    </row>
    <row r="1528" spans="1:3">
      <c r="A1528" s="1133"/>
      <c r="B1528" s="1136"/>
      <c r="C1528" s="1138"/>
    </row>
    <row r="1529" spans="1:3">
      <c r="A1529" s="1133"/>
      <c r="B1529" s="1136"/>
      <c r="C1529" s="1138"/>
    </row>
    <row r="1530" spans="1:3">
      <c r="A1530" s="1133"/>
      <c r="B1530" s="1136"/>
      <c r="C1530" s="1138"/>
    </row>
    <row r="1531" spans="1:3">
      <c r="A1531" s="1133"/>
      <c r="B1531" s="1136"/>
      <c r="C1531" s="1138"/>
    </row>
    <row r="1532" spans="1:3">
      <c r="A1532" s="1133"/>
      <c r="B1532" s="1136"/>
      <c r="C1532" s="1138"/>
    </row>
    <row r="1533" spans="1:3">
      <c r="A1533" s="1133"/>
      <c r="B1533" s="1136"/>
      <c r="C1533" s="1138"/>
    </row>
    <row r="1534" spans="1:3">
      <c r="A1534" s="1133"/>
      <c r="B1534" s="1136"/>
      <c r="C1534" s="1138"/>
    </row>
    <row r="1535" spans="1:3">
      <c r="A1535" s="1133"/>
      <c r="B1535" s="1136"/>
      <c r="C1535" s="1138"/>
    </row>
    <row r="1536" spans="1:3">
      <c r="A1536" s="1133"/>
      <c r="B1536" s="1136"/>
      <c r="C1536" s="1138"/>
    </row>
    <row r="1537" spans="1:3">
      <c r="A1537" s="1133"/>
      <c r="B1537" s="1136"/>
      <c r="C1537" s="1138"/>
    </row>
    <row r="1538" spans="1:3">
      <c r="A1538" s="1133"/>
      <c r="B1538" s="1136"/>
      <c r="C1538" s="1138"/>
    </row>
    <row r="1539" spans="1:3">
      <c r="A1539" s="1133"/>
      <c r="B1539" s="1136"/>
      <c r="C1539" s="1138"/>
    </row>
    <row r="1540" spans="1:3">
      <c r="A1540" s="1133"/>
      <c r="B1540" s="1136"/>
      <c r="C1540" s="1138"/>
    </row>
    <row r="1541" spans="1:3">
      <c r="A1541" s="1133"/>
      <c r="B1541" s="1136"/>
      <c r="C1541" s="1138"/>
    </row>
    <row r="1542" spans="1:3">
      <c r="A1542" s="1133"/>
      <c r="B1542" s="1136"/>
      <c r="C1542" s="1138"/>
    </row>
    <row r="1543" spans="1:3">
      <c r="A1543" s="1133"/>
      <c r="B1543" s="1136"/>
      <c r="C1543" s="1138"/>
    </row>
    <row r="1544" spans="1:3">
      <c r="A1544" s="1133"/>
      <c r="B1544" s="1136"/>
      <c r="C1544" s="1138"/>
    </row>
    <row r="1545" spans="1:3">
      <c r="A1545" s="1133"/>
      <c r="B1545" s="1136"/>
      <c r="C1545" s="1138"/>
    </row>
    <row r="1546" spans="1:3">
      <c r="A1546" s="1133"/>
      <c r="B1546" s="1136"/>
      <c r="C1546" s="1138"/>
    </row>
    <row r="1547" spans="1:3">
      <c r="A1547" s="1133"/>
      <c r="B1547" s="1136"/>
      <c r="C1547" s="1138"/>
    </row>
    <row r="1548" spans="1:3">
      <c r="A1548" s="1133"/>
      <c r="B1548" s="1136"/>
      <c r="C1548" s="1138"/>
    </row>
    <row r="1549" spans="1:3">
      <c r="A1549" s="1133"/>
      <c r="B1549" s="1136"/>
      <c r="C1549" s="1138"/>
    </row>
    <row r="1550" spans="1:3">
      <c r="A1550" s="1133"/>
      <c r="B1550" s="1136"/>
      <c r="C1550" s="1138"/>
    </row>
    <row r="1551" spans="1:3">
      <c r="A1551" s="1133"/>
      <c r="B1551" s="1136"/>
      <c r="C1551" s="1138"/>
    </row>
    <row r="1552" spans="1:3">
      <c r="A1552" s="1133"/>
      <c r="B1552" s="1136"/>
      <c r="C1552" s="1138"/>
    </row>
    <row r="1553" spans="1:3">
      <c r="A1553" s="1133"/>
      <c r="B1553" s="1136"/>
      <c r="C1553" s="1138"/>
    </row>
    <row r="1554" spans="1:3">
      <c r="A1554" s="1133"/>
      <c r="B1554" s="1136"/>
      <c r="C1554" s="1138"/>
    </row>
    <row r="1555" spans="1:3">
      <c r="A1555" s="1133"/>
      <c r="B1555" s="1136"/>
      <c r="C1555" s="1138"/>
    </row>
    <row r="1556" spans="1:3">
      <c r="A1556" s="1133"/>
      <c r="B1556" s="1136"/>
      <c r="C1556" s="1138"/>
    </row>
    <row r="1557" spans="1:3">
      <c r="A1557" s="1133"/>
      <c r="B1557" s="1136"/>
      <c r="C1557" s="1138"/>
    </row>
    <row r="1558" spans="1:3">
      <c r="A1558" s="1133"/>
      <c r="B1558" s="1136"/>
      <c r="C1558" s="1138"/>
    </row>
    <row r="1559" spans="1:3">
      <c r="A1559" s="1133"/>
      <c r="B1559" s="1136"/>
      <c r="C1559" s="1138"/>
    </row>
    <row r="1560" spans="1:3">
      <c r="A1560" s="1133"/>
      <c r="B1560" s="1136"/>
      <c r="C1560" s="1138"/>
    </row>
    <row r="1561" spans="1:3">
      <c r="A1561" s="1133"/>
      <c r="B1561" s="1136"/>
      <c r="C1561" s="1138"/>
    </row>
    <row r="1562" spans="1:3">
      <c r="A1562" s="1133"/>
      <c r="B1562" s="1136"/>
      <c r="C1562" s="1138"/>
    </row>
    <row r="1563" spans="1:3">
      <c r="A1563" s="1133"/>
      <c r="B1563" s="1136"/>
      <c r="C1563" s="1138"/>
    </row>
    <row r="1564" spans="1:3">
      <c r="A1564" s="1133"/>
      <c r="B1564" s="1136"/>
      <c r="C1564" s="1138"/>
    </row>
    <row r="1565" spans="1:3">
      <c r="A1565" s="1133"/>
      <c r="B1565" s="1136"/>
      <c r="C1565" s="1138"/>
    </row>
    <row r="1566" spans="1:3">
      <c r="A1566" s="1133"/>
      <c r="B1566" s="1136"/>
      <c r="C1566" s="1138"/>
    </row>
    <row r="1567" spans="1:3">
      <c r="A1567" s="1133"/>
      <c r="B1567" s="1136"/>
      <c r="C1567" s="1138"/>
    </row>
    <row r="1568" spans="1:3">
      <c r="A1568" s="1133"/>
      <c r="B1568" s="1136"/>
      <c r="C1568" s="1138"/>
    </row>
    <row r="1569" spans="1:3">
      <c r="A1569" s="1133"/>
      <c r="B1569" s="1136"/>
      <c r="C1569" s="1138"/>
    </row>
    <row r="1570" spans="1:3">
      <c r="A1570" s="1133"/>
      <c r="B1570" s="1136"/>
      <c r="C1570" s="1138"/>
    </row>
    <row r="1571" spans="1:3">
      <c r="A1571" s="1133"/>
      <c r="B1571" s="1136"/>
      <c r="C1571" s="1138"/>
    </row>
    <row r="1572" spans="1:3">
      <c r="A1572" s="1133"/>
      <c r="B1572" s="1136"/>
      <c r="C1572" s="1138"/>
    </row>
    <row r="1573" spans="1:3">
      <c r="A1573" s="1133"/>
      <c r="B1573" s="1136"/>
      <c r="C1573" s="1138"/>
    </row>
    <row r="1574" spans="1:3">
      <c r="A1574" s="1133"/>
      <c r="B1574" s="1136"/>
      <c r="C1574" s="1138"/>
    </row>
    <row r="1575" spans="1:3">
      <c r="A1575" s="1133"/>
      <c r="B1575" s="1136"/>
      <c r="C1575" s="1138"/>
    </row>
    <row r="1576" spans="1:3">
      <c r="A1576" s="1133"/>
      <c r="B1576" s="1136"/>
      <c r="C1576" s="1138"/>
    </row>
    <row r="1577" spans="1:3">
      <c r="A1577" s="1133"/>
      <c r="B1577" s="1136"/>
      <c r="C1577" s="1138"/>
    </row>
    <row r="1578" spans="1:3">
      <c r="A1578" s="1133"/>
      <c r="B1578" s="1136"/>
      <c r="C1578" s="1138"/>
    </row>
    <row r="1579" spans="1:3">
      <c r="A1579" s="1133"/>
      <c r="B1579" s="1136"/>
      <c r="C1579" s="1138"/>
    </row>
    <row r="1580" spans="1:3">
      <c r="A1580" s="1133"/>
      <c r="B1580" s="1136"/>
      <c r="C1580" s="1138"/>
    </row>
    <row r="1581" spans="1:3">
      <c r="A1581" s="1133"/>
      <c r="B1581" s="1136"/>
      <c r="C1581" s="1138"/>
    </row>
    <row r="1582" spans="1:3">
      <c r="A1582" s="1133"/>
      <c r="B1582" s="1136"/>
      <c r="C1582" s="1138"/>
    </row>
    <row r="1583" spans="1:3">
      <c r="A1583" s="1133"/>
      <c r="B1583" s="1136"/>
      <c r="C1583" s="1138"/>
    </row>
    <row r="1584" spans="1:3">
      <c r="A1584" s="1133"/>
      <c r="B1584" s="1136"/>
      <c r="C1584" s="1138"/>
    </row>
    <row r="1585" spans="1:3">
      <c r="A1585" s="1133"/>
      <c r="B1585" s="1136"/>
      <c r="C1585" s="1138"/>
    </row>
    <row r="1586" spans="1:3">
      <c r="A1586" s="1133"/>
      <c r="B1586" s="1136"/>
      <c r="C1586" s="1138"/>
    </row>
    <row r="1587" spans="1:3">
      <c r="A1587" s="1133"/>
      <c r="B1587" s="1136"/>
      <c r="C1587" s="1138"/>
    </row>
    <row r="1588" spans="1:3">
      <c r="A1588" s="1133"/>
      <c r="B1588" s="1136"/>
      <c r="C1588" s="1138"/>
    </row>
    <row r="1589" spans="1:3">
      <c r="A1589" s="1133"/>
      <c r="B1589" s="1136"/>
      <c r="C1589" s="1138"/>
    </row>
    <row r="1590" spans="1:3">
      <c r="A1590" s="1133"/>
      <c r="B1590" s="1136"/>
      <c r="C1590" s="1138"/>
    </row>
    <row r="1591" spans="1:3">
      <c r="A1591" s="1133"/>
      <c r="B1591" s="1136"/>
      <c r="C1591" s="1138"/>
    </row>
    <row r="1592" spans="1:3">
      <c r="A1592" s="1133"/>
      <c r="B1592" s="1136"/>
      <c r="C1592" s="1138"/>
    </row>
    <row r="1593" spans="1:3">
      <c r="A1593" s="1133"/>
      <c r="B1593" s="1136"/>
      <c r="C1593" s="1138"/>
    </row>
    <row r="1594" spans="1:3">
      <c r="A1594" s="1133"/>
      <c r="B1594" s="1136"/>
      <c r="C1594" s="1138"/>
    </row>
    <row r="1595" spans="1:3">
      <c r="A1595" s="1133"/>
      <c r="B1595" s="1136"/>
      <c r="C1595" s="1138"/>
    </row>
    <row r="1596" spans="1:3">
      <c r="A1596" s="1133"/>
      <c r="B1596" s="1136"/>
      <c r="C1596" s="1138"/>
    </row>
    <row r="1597" spans="1:3">
      <c r="A1597" s="1133"/>
      <c r="B1597" s="1136"/>
      <c r="C1597" s="1138"/>
    </row>
    <row r="1598" spans="1:3">
      <c r="A1598" s="1133"/>
      <c r="B1598" s="1136"/>
      <c r="C1598" s="1138"/>
    </row>
    <row r="1599" spans="1:3">
      <c r="A1599" s="1133"/>
      <c r="B1599" s="1136"/>
      <c r="C1599" s="1138"/>
    </row>
    <row r="1600" spans="1:3">
      <c r="A1600" s="1133"/>
      <c r="B1600" s="1136"/>
      <c r="C1600" s="1138"/>
    </row>
    <row r="1601" spans="1:3">
      <c r="A1601" s="1133"/>
      <c r="B1601" s="1136"/>
      <c r="C1601" s="1138"/>
    </row>
    <row r="1602" spans="1:3">
      <c r="A1602" s="1133"/>
      <c r="B1602" s="1136"/>
      <c r="C1602" s="1138"/>
    </row>
    <row r="1603" spans="1:3">
      <c r="A1603" s="1133"/>
      <c r="B1603" s="1136"/>
      <c r="C1603" s="1138"/>
    </row>
    <row r="1604" spans="1:3">
      <c r="A1604" s="1133"/>
      <c r="B1604" s="1136"/>
      <c r="C1604" s="1138"/>
    </row>
    <row r="1605" spans="1:3">
      <c r="A1605" s="1133"/>
      <c r="B1605" s="1136"/>
      <c r="C1605" s="1138"/>
    </row>
    <row r="1606" spans="1:3">
      <c r="A1606" s="1133"/>
      <c r="B1606" s="1136"/>
      <c r="C1606" s="1138"/>
    </row>
    <row r="1607" spans="1:3">
      <c r="A1607" s="1133"/>
      <c r="B1607" s="1136"/>
      <c r="C1607" s="1138"/>
    </row>
    <row r="1608" spans="1:3">
      <c r="A1608" s="1133"/>
      <c r="B1608" s="1136"/>
      <c r="C1608" s="1138"/>
    </row>
    <row r="1609" spans="1:3">
      <c r="A1609" s="1133"/>
      <c r="B1609" s="1136"/>
      <c r="C1609" s="1138"/>
    </row>
    <row r="1610" spans="1:3">
      <c r="A1610" s="1133"/>
      <c r="B1610" s="1136"/>
      <c r="C1610" s="1138"/>
    </row>
    <row r="1611" spans="1:3">
      <c r="A1611" s="1133"/>
      <c r="B1611" s="1136"/>
      <c r="C1611" s="1138"/>
    </row>
    <row r="1612" spans="1:3">
      <c r="A1612" s="1133"/>
      <c r="B1612" s="1136"/>
      <c r="C1612" s="1138"/>
    </row>
    <row r="1613" spans="1:3">
      <c r="A1613" s="1133"/>
      <c r="B1613" s="1136"/>
      <c r="C1613" s="1138"/>
    </row>
    <row r="1614" spans="1:3">
      <c r="A1614" s="1133"/>
      <c r="B1614" s="1136"/>
      <c r="C1614" s="1138"/>
    </row>
    <row r="1615" spans="1:3">
      <c r="A1615" s="1133"/>
      <c r="B1615" s="1136"/>
      <c r="C1615" s="1138"/>
    </row>
    <row r="1616" spans="1:3">
      <c r="A1616" s="1133"/>
      <c r="B1616" s="1136"/>
      <c r="C1616" s="1138"/>
    </row>
    <row r="1617" spans="1:3">
      <c r="A1617" s="1133"/>
      <c r="B1617" s="1136"/>
      <c r="C1617" s="1138"/>
    </row>
    <row r="1618" spans="1:3">
      <c r="A1618" s="1133"/>
      <c r="B1618" s="1136"/>
      <c r="C1618" s="1138"/>
    </row>
    <row r="1619" spans="1:3">
      <c r="A1619" s="1133"/>
      <c r="B1619" s="1136"/>
      <c r="C1619" s="1138"/>
    </row>
    <row r="1620" spans="1:3">
      <c r="A1620" s="1133"/>
      <c r="B1620" s="1136"/>
      <c r="C1620" s="1138"/>
    </row>
    <row r="1621" spans="1:3">
      <c r="A1621" s="1133"/>
      <c r="B1621" s="1136"/>
      <c r="C1621" s="1138"/>
    </row>
    <row r="1622" spans="1:3">
      <c r="A1622" s="1133"/>
      <c r="B1622" s="1136"/>
      <c r="C1622" s="1138"/>
    </row>
    <row r="1623" spans="1:3">
      <c r="A1623" s="1133"/>
      <c r="B1623" s="1136"/>
      <c r="C1623" s="1138"/>
    </row>
    <row r="1624" spans="1:3">
      <c r="A1624" s="1133"/>
      <c r="B1624" s="1136"/>
      <c r="C1624" s="1138"/>
    </row>
    <row r="1625" spans="1:3">
      <c r="A1625" s="1133"/>
      <c r="B1625" s="1136"/>
      <c r="C1625" s="1138"/>
    </row>
    <row r="1626" spans="1:3">
      <c r="A1626" s="1133"/>
      <c r="B1626" s="1136"/>
      <c r="C1626" s="1138"/>
    </row>
    <row r="1627" spans="1:3">
      <c r="A1627" s="1133"/>
      <c r="B1627" s="1136"/>
      <c r="C1627" s="1138"/>
    </row>
    <row r="1628" spans="1:3">
      <c r="A1628" s="1133"/>
      <c r="B1628" s="1136"/>
      <c r="C1628" s="1138"/>
    </row>
    <row r="1629" spans="1:3">
      <c r="A1629" s="1133"/>
      <c r="B1629" s="1136"/>
      <c r="C1629" s="1138"/>
    </row>
    <row r="1630" spans="1:3">
      <c r="A1630" s="1133"/>
      <c r="B1630" s="1136"/>
      <c r="C1630" s="1138"/>
    </row>
    <row r="1631" spans="1:3">
      <c r="A1631" s="1133"/>
      <c r="B1631" s="1136"/>
      <c r="C1631" s="1138"/>
    </row>
    <row r="1632" spans="1:3">
      <c r="A1632" s="1133"/>
      <c r="B1632" s="1136"/>
      <c r="C1632" s="1138"/>
    </row>
    <row r="1633" spans="1:3">
      <c r="A1633" s="1133"/>
      <c r="B1633" s="1136"/>
      <c r="C1633" s="1138"/>
    </row>
    <row r="1634" spans="1:3">
      <c r="A1634" s="1133"/>
      <c r="B1634" s="1136"/>
      <c r="C1634" s="1138"/>
    </row>
    <row r="1635" spans="1:3">
      <c r="A1635" s="1133"/>
      <c r="B1635" s="1136"/>
      <c r="C1635" s="1138"/>
    </row>
    <row r="1636" spans="1:3">
      <c r="A1636" s="1133"/>
      <c r="B1636" s="1136"/>
      <c r="C1636" s="1138"/>
    </row>
    <row r="1637" spans="1:3">
      <c r="A1637" s="1133"/>
      <c r="B1637" s="1136"/>
      <c r="C1637" s="1138"/>
    </row>
    <row r="1638" spans="1:3">
      <c r="A1638" s="1133"/>
      <c r="B1638" s="1136"/>
      <c r="C1638" s="1138"/>
    </row>
    <row r="1639" spans="1:3">
      <c r="A1639" s="1133"/>
      <c r="B1639" s="1136"/>
      <c r="C1639" s="1138"/>
    </row>
    <row r="1640" spans="1:3">
      <c r="A1640" s="1133"/>
      <c r="B1640" s="1136"/>
      <c r="C1640" s="1138"/>
    </row>
    <row r="1641" spans="1:3">
      <c r="A1641" s="1133"/>
      <c r="B1641" s="1136"/>
      <c r="C1641" s="1138"/>
    </row>
    <row r="1642" spans="1:3">
      <c r="A1642" s="1133"/>
      <c r="B1642" s="1136"/>
      <c r="C1642" s="1138"/>
    </row>
    <row r="1643" spans="1:3">
      <c r="A1643" s="1133"/>
      <c r="B1643" s="1136"/>
      <c r="C1643" s="1138"/>
    </row>
    <row r="1644" spans="1:3">
      <c r="A1644" s="1133"/>
      <c r="B1644" s="1136"/>
      <c r="C1644" s="1138"/>
    </row>
    <row r="1645" spans="1:3">
      <c r="A1645" s="1133"/>
      <c r="B1645" s="1136"/>
      <c r="C1645" s="1138"/>
    </row>
    <row r="1646" spans="1:3">
      <c r="A1646" s="1133"/>
      <c r="B1646" s="1136"/>
      <c r="C1646" s="1138"/>
    </row>
    <row r="1647" spans="1:3">
      <c r="A1647" s="1133"/>
      <c r="B1647" s="1136"/>
      <c r="C1647" s="1138"/>
    </row>
    <row r="1648" spans="1:3">
      <c r="A1648" s="1133"/>
      <c r="B1648" s="1136"/>
      <c r="C1648" s="1138"/>
    </row>
    <row r="1649" spans="1:3">
      <c r="A1649" s="1133"/>
      <c r="B1649" s="1136"/>
      <c r="C1649" s="1138"/>
    </row>
    <row r="1650" spans="1:3">
      <c r="A1650" s="1133"/>
      <c r="B1650" s="1136"/>
      <c r="C1650" s="1138"/>
    </row>
    <row r="1651" spans="1:3">
      <c r="A1651" s="1133"/>
      <c r="B1651" s="1136"/>
      <c r="C1651" s="1138"/>
    </row>
    <row r="1652" spans="1:3">
      <c r="A1652" s="1133"/>
      <c r="B1652" s="1136"/>
      <c r="C1652" s="1138"/>
    </row>
    <row r="1653" spans="1:3">
      <c r="A1653" s="1133"/>
      <c r="B1653" s="1136"/>
      <c r="C1653" s="1138"/>
    </row>
    <row r="1654" spans="1:3">
      <c r="A1654" s="1133"/>
      <c r="B1654" s="1136"/>
      <c r="C1654" s="1138"/>
    </row>
    <row r="1655" spans="1:3">
      <c r="A1655" s="1133"/>
      <c r="B1655" s="1136"/>
      <c r="C1655" s="1138"/>
    </row>
    <row r="1656" spans="1:3">
      <c r="A1656" s="1133"/>
      <c r="B1656" s="1136"/>
      <c r="C1656" s="1138"/>
    </row>
    <row r="1657" spans="1:3">
      <c r="A1657" s="1133"/>
      <c r="B1657" s="1136"/>
      <c r="C1657" s="1138"/>
    </row>
    <row r="1658" spans="1:3">
      <c r="A1658" s="1133"/>
      <c r="B1658" s="1136"/>
      <c r="C1658" s="1138"/>
    </row>
    <row r="1659" spans="1:3">
      <c r="A1659" s="1133"/>
      <c r="B1659" s="1136"/>
      <c r="C1659" s="1138"/>
    </row>
    <row r="1660" spans="1:3">
      <c r="A1660" s="1133"/>
      <c r="B1660" s="1136"/>
      <c r="C1660" s="1138"/>
    </row>
    <row r="1661" spans="1:3">
      <c r="A1661" s="1133"/>
      <c r="B1661" s="1136"/>
      <c r="C1661" s="1138"/>
    </row>
    <row r="1662" spans="1:3">
      <c r="A1662" s="1133"/>
      <c r="B1662" s="1136"/>
      <c r="C1662" s="1138"/>
    </row>
    <row r="1663" spans="1:3">
      <c r="A1663" s="1133"/>
      <c r="B1663" s="1136"/>
      <c r="C1663" s="1138"/>
    </row>
    <row r="1664" spans="1:3">
      <c r="A1664" s="1133"/>
      <c r="B1664" s="1136"/>
      <c r="C1664" s="1138"/>
    </row>
    <row r="1665" spans="1:3">
      <c r="A1665" s="1133"/>
      <c r="B1665" s="1136"/>
      <c r="C1665" s="1138"/>
    </row>
    <row r="1666" spans="1:3">
      <c r="A1666" s="1133"/>
      <c r="B1666" s="1136"/>
      <c r="C1666" s="1138"/>
    </row>
    <row r="1667" spans="1:3">
      <c r="A1667" s="1133"/>
      <c r="B1667" s="1136"/>
      <c r="C1667" s="1138"/>
    </row>
    <row r="1668" spans="1:3">
      <c r="A1668" s="1133"/>
      <c r="B1668" s="1136"/>
      <c r="C1668" s="1138"/>
    </row>
    <row r="1669" spans="1:3">
      <c r="A1669" s="1133"/>
      <c r="B1669" s="1136"/>
      <c r="C1669" s="1138"/>
    </row>
    <row r="1670" spans="1:3">
      <c r="A1670" s="1133"/>
      <c r="B1670" s="1136"/>
      <c r="C1670" s="1138"/>
    </row>
    <row r="1671" spans="1:3">
      <c r="A1671" s="1133"/>
      <c r="B1671" s="1136"/>
      <c r="C1671" s="1138"/>
    </row>
    <row r="1672" spans="1:3">
      <c r="A1672" s="1133"/>
      <c r="B1672" s="1136"/>
      <c r="C1672" s="1138"/>
    </row>
    <row r="1673" spans="1:3">
      <c r="A1673" s="1133"/>
      <c r="B1673" s="1136"/>
      <c r="C1673" s="1138"/>
    </row>
    <row r="1674" spans="1:3">
      <c r="A1674" s="1133"/>
      <c r="B1674" s="1136"/>
      <c r="C1674" s="1138"/>
    </row>
    <row r="1675" spans="1:3">
      <c r="A1675" s="1133"/>
      <c r="B1675" s="1136"/>
      <c r="C1675" s="1138"/>
    </row>
    <row r="1676" spans="1:3">
      <c r="A1676" s="1133"/>
      <c r="B1676" s="1136"/>
      <c r="C1676" s="1138"/>
    </row>
    <row r="1677" spans="1:3">
      <c r="A1677" s="1133"/>
      <c r="B1677" s="1136"/>
      <c r="C1677" s="1138"/>
    </row>
    <row r="1678" spans="1:3">
      <c r="A1678" s="1133"/>
      <c r="B1678" s="1136"/>
      <c r="C1678" s="1138"/>
    </row>
    <row r="1679" spans="1:3">
      <c r="A1679" s="1133"/>
      <c r="B1679" s="1136"/>
      <c r="C1679" s="1138"/>
    </row>
    <row r="1680" spans="1:3">
      <c r="A1680" s="1133"/>
      <c r="B1680" s="1136"/>
      <c r="C1680" s="1138"/>
    </row>
    <row r="1681" spans="1:3">
      <c r="A1681" s="1133"/>
      <c r="B1681" s="1136"/>
      <c r="C1681" s="1138"/>
    </row>
    <row r="1682" spans="1:3">
      <c r="A1682" s="1133"/>
      <c r="B1682" s="1136"/>
      <c r="C1682" s="1138"/>
    </row>
    <row r="1683" spans="1:3">
      <c r="A1683" s="1133"/>
      <c r="B1683" s="1136"/>
      <c r="C1683" s="1138"/>
    </row>
    <row r="1684" spans="1:3">
      <c r="A1684" s="1133"/>
      <c r="B1684" s="1136"/>
      <c r="C1684" s="1138"/>
    </row>
    <row r="1685" spans="1:3">
      <c r="A1685" s="1133"/>
      <c r="B1685" s="1136"/>
      <c r="C1685" s="1138"/>
    </row>
    <row r="1686" spans="1:3">
      <c r="A1686" s="1133"/>
      <c r="B1686" s="1136"/>
      <c r="C1686" s="1138"/>
    </row>
    <row r="1687" spans="1:3">
      <c r="A1687" s="1133"/>
      <c r="B1687" s="1136"/>
      <c r="C1687" s="1138"/>
    </row>
    <row r="1688" spans="1:3">
      <c r="A1688" s="1133"/>
      <c r="B1688" s="1136"/>
      <c r="C1688" s="1138"/>
    </row>
    <row r="1689" spans="1:3">
      <c r="A1689" s="1133"/>
      <c r="B1689" s="1136"/>
      <c r="C1689" s="1138"/>
    </row>
    <row r="1690" spans="1:3">
      <c r="A1690" s="1133"/>
      <c r="B1690" s="1136"/>
      <c r="C1690" s="1138"/>
    </row>
    <row r="1691" spans="1:3">
      <c r="A1691" s="1133"/>
      <c r="B1691" s="1136"/>
      <c r="C1691" s="1138"/>
    </row>
    <row r="1692" spans="1:3">
      <c r="A1692" s="1133"/>
      <c r="B1692" s="1136"/>
      <c r="C1692" s="1138"/>
    </row>
    <row r="1693" spans="1:3">
      <c r="A1693" s="1133"/>
      <c r="B1693" s="1136"/>
      <c r="C1693" s="1138"/>
    </row>
    <row r="1694" spans="1:3">
      <c r="A1694" s="1133"/>
      <c r="B1694" s="1136"/>
      <c r="C1694" s="1138"/>
    </row>
    <row r="1695" spans="1:3">
      <c r="A1695" s="1133"/>
      <c r="B1695" s="1136"/>
      <c r="C1695" s="1138"/>
    </row>
    <row r="1696" spans="1:3">
      <c r="A1696" s="1133"/>
      <c r="B1696" s="1136"/>
      <c r="C1696" s="1138"/>
    </row>
    <row r="1697" spans="1:3">
      <c r="A1697" s="1133"/>
      <c r="B1697" s="1136"/>
      <c r="C1697" s="1138"/>
    </row>
    <row r="1698" spans="1:3">
      <c r="A1698" s="1133"/>
      <c r="B1698" s="1136"/>
      <c r="C1698" s="1138"/>
    </row>
    <row r="1699" spans="1:3">
      <c r="A1699" s="1133"/>
      <c r="B1699" s="1136"/>
      <c r="C1699" s="1138"/>
    </row>
    <row r="1700" spans="1:3">
      <c r="A1700" s="1133"/>
      <c r="B1700" s="1136"/>
      <c r="C1700" s="1138"/>
    </row>
    <row r="1701" spans="1:3">
      <c r="A1701" s="1133"/>
      <c r="B1701" s="1136"/>
      <c r="C1701" s="1138"/>
    </row>
    <row r="1702" spans="1:3">
      <c r="A1702" s="1133"/>
      <c r="B1702" s="1136"/>
      <c r="C1702" s="1138"/>
    </row>
    <row r="1703" spans="1:3">
      <c r="A1703" s="1133"/>
      <c r="B1703" s="1136"/>
      <c r="C1703" s="1138"/>
    </row>
    <row r="1704" spans="1:3">
      <c r="A1704" s="1133"/>
      <c r="B1704" s="1136"/>
      <c r="C1704" s="1138"/>
    </row>
    <row r="1705" spans="1:3">
      <c r="A1705" s="1133"/>
      <c r="B1705" s="1136"/>
      <c r="C1705" s="1138"/>
    </row>
    <row r="1706" spans="1:3">
      <c r="A1706" s="1133"/>
      <c r="B1706" s="1136"/>
      <c r="C1706" s="1138"/>
    </row>
    <row r="1707" spans="1:3">
      <c r="A1707" s="1133"/>
      <c r="B1707" s="1136"/>
      <c r="C1707" s="1138"/>
    </row>
    <row r="1708" spans="1:3">
      <c r="A1708" s="1133"/>
      <c r="B1708" s="1136"/>
      <c r="C1708" s="1138"/>
    </row>
    <row r="1709" spans="1:3">
      <c r="A1709" s="1133"/>
      <c r="B1709" s="1136"/>
      <c r="C1709" s="1138"/>
    </row>
    <row r="1710" spans="1:3">
      <c r="A1710" s="1133"/>
      <c r="B1710" s="1136"/>
      <c r="C1710" s="1138"/>
    </row>
    <row r="1711" spans="1:3">
      <c r="A1711" s="1133"/>
      <c r="B1711" s="1136"/>
      <c r="C1711" s="1138"/>
    </row>
    <row r="1712" spans="1:3">
      <c r="A1712" s="1133"/>
      <c r="B1712" s="1136"/>
      <c r="C1712" s="1138"/>
    </row>
    <row r="1713" spans="1:3">
      <c r="A1713" s="1133"/>
      <c r="B1713" s="1136"/>
      <c r="C1713" s="1138"/>
    </row>
    <row r="1714" spans="1:3">
      <c r="A1714" s="1133"/>
      <c r="B1714" s="1136"/>
      <c r="C1714" s="1138"/>
    </row>
    <row r="1715" spans="1:3">
      <c r="A1715" s="1133"/>
      <c r="B1715" s="1136"/>
      <c r="C1715" s="1138"/>
    </row>
    <row r="1716" spans="1:3">
      <c r="A1716" s="1133"/>
      <c r="B1716" s="1136"/>
      <c r="C1716" s="1138"/>
    </row>
    <row r="1717" spans="1:3">
      <c r="A1717" s="1133"/>
      <c r="B1717" s="1136"/>
      <c r="C1717" s="1138"/>
    </row>
    <row r="1718" spans="1:3">
      <c r="A1718" s="1133"/>
      <c r="B1718" s="1136"/>
      <c r="C1718" s="1138"/>
    </row>
    <row r="1719" spans="1:3">
      <c r="A1719" s="1133"/>
      <c r="B1719" s="1136"/>
      <c r="C1719" s="1138"/>
    </row>
    <row r="1720" spans="1:3">
      <c r="A1720" s="1133"/>
      <c r="B1720" s="1136"/>
      <c r="C1720" s="1138"/>
    </row>
    <row r="1721" spans="1:3">
      <c r="A1721" s="1133"/>
      <c r="B1721" s="1136"/>
      <c r="C1721" s="1138"/>
    </row>
    <row r="1722" spans="1:3">
      <c r="A1722" s="1133"/>
      <c r="B1722" s="1136"/>
      <c r="C1722" s="1138"/>
    </row>
    <row r="1723" spans="1:3">
      <c r="A1723" s="1133"/>
      <c r="B1723" s="1136"/>
      <c r="C1723" s="1138"/>
    </row>
    <row r="1724" spans="1:3">
      <c r="A1724" s="1133"/>
      <c r="B1724" s="1136"/>
      <c r="C1724" s="1138"/>
    </row>
    <row r="1725" spans="1:3">
      <c r="A1725" s="1133"/>
      <c r="B1725" s="1136"/>
      <c r="C1725" s="1138"/>
    </row>
    <row r="1726" spans="1:3">
      <c r="A1726" s="1133"/>
      <c r="B1726" s="1136"/>
      <c r="C1726" s="1138"/>
    </row>
    <row r="1727" spans="1:3">
      <c r="A1727" s="1133"/>
      <c r="B1727" s="1136"/>
      <c r="C1727" s="1138"/>
    </row>
    <row r="1728" spans="1:3">
      <c r="A1728" s="1133"/>
      <c r="B1728" s="1136"/>
      <c r="C1728" s="1138"/>
    </row>
    <row r="1729" spans="1:3">
      <c r="A1729" s="1133"/>
      <c r="B1729" s="1136"/>
      <c r="C1729" s="1138"/>
    </row>
    <row r="1730" spans="1:3">
      <c r="A1730" s="1133"/>
      <c r="B1730" s="1136"/>
      <c r="C1730" s="1138"/>
    </row>
    <row r="1731" spans="1:3">
      <c r="A1731" s="1133"/>
      <c r="B1731" s="1136"/>
      <c r="C1731" s="1138"/>
    </row>
    <row r="1732" spans="1:3">
      <c r="A1732" s="1133"/>
      <c r="B1732" s="1136"/>
      <c r="C1732" s="1138"/>
    </row>
    <row r="1733" spans="1:3">
      <c r="A1733" s="1133"/>
      <c r="B1733" s="1136"/>
      <c r="C1733" s="1138"/>
    </row>
    <row r="1734" spans="1:3">
      <c r="A1734" s="1133"/>
      <c r="B1734" s="1136"/>
      <c r="C1734" s="1138"/>
    </row>
    <row r="1735" spans="1:3">
      <c r="A1735" s="1133"/>
      <c r="B1735" s="1136"/>
      <c r="C1735" s="1138"/>
    </row>
    <row r="1736" spans="1:3">
      <c r="A1736" s="1133"/>
      <c r="B1736" s="1136"/>
      <c r="C1736" s="1138"/>
    </row>
    <row r="1737" spans="1:3">
      <c r="A1737" s="1133"/>
      <c r="B1737" s="1136"/>
      <c r="C1737" s="1138"/>
    </row>
    <row r="1738" spans="1:3">
      <c r="A1738" s="1133"/>
      <c r="B1738" s="1136"/>
      <c r="C1738" s="1138"/>
    </row>
    <row r="1739" spans="1:3">
      <c r="A1739" s="1133"/>
      <c r="B1739" s="1136"/>
      <c r="C1739" s="1138"/>
    </row>
    <row r="1740" spans="1:3">
      <c r="A1740" s="1133"/>
      <c r="B1740" s="1136"/>
      <c r="C1740" s="1138"/>
    </row>
    <row r="1741" spans="1:3">
      <c r="A1741" s="1133"/>
      <c r="B1741" s="1136"/>
      <c r="C1741" s="1138"/>
    </row>
    <row r="1742" spans="1:3">
      <c r="A1742" s="1133"/>
      <c r="B1742" s="1136"/>
      <c r="C1742" s="1138"/>
    </row>
    <row r="1743" spans="1:3">
      <c r="A1743" s="1133"/>
      <c r="B1743" s="1136"/>
      <c r="C1743" s="1138"/>
    </row>
    <row r="1744" spans="1:3">
      <c r="A1744" s="1133"/>
      <c r="B1744" s="1136"/>
      <c r="C1744" s="1138"/>
    </row>
    <row r="1745" spans="1:3">
      <c r="A1745" s="1133"/>
      <c r="B1745" s="1136"/>
      <c r="C1745" s="1138"/>
    </row>
    <row r="1746" spans="1:3">
      <c r="A1746" s="1133"/>
      <c r="B1746" s="1136"/>
      <c r="C1746" s="1138"/>
    </row>
    <row r="1747" spans="1:3">
      <c r="A1747" s="1133"/>
      <c r="B1747" s="1136"/>
      <c r="C1747" s="1138"/>
    </row>
    <row r="1748" spans="1:3">
      <c r="A1748" s="1133"/>
      <c r="B1748" s="1136"/>
      <c r="C1748" s="1138"/>
    </row>
    <row r="1749" spans="1:3">
      <c r="A1749" s="1133"/>
      <c r="B1749" s="1136"/>
      <c r="C1749" s="1138"/>
    </row>
    <row r="1750" spans="1:3">
      <c r="A1750" s="1133"/>
      <c r="B1750" s="1136"/>
      <c r="C1750" s="1138"/>
    </row>
    <row r="1751" spans="1:3">
      <c r="A1751" s="1133"/>
      <c r="B1751" s="1136"/>
      <c r="C1751" s="1138"/>
    </row>
    <row r="1752" spans="1:3">
      <c r="A1752" s="1133"/>
      <c r="B1752" s="1136"/>
      <c r="C1752" s="1138"/>
    </row>
    <row r="1753" spans="1:3">
      <c r="A1753" s="1133"/>
      <c r="B1753" s="1136"/>
      <c r="C1753" s="1138"/>
    </row>
    <row r="1754" spans="1:3">
      <c r="A1754" s="1133"/>
      <c r="B1754" s="1136"/>
      <c r="C1754" s="1138"/>
    </row>
    <row r="1755" spans="1:3">
      <c r="A1755" s="1133"/>
      <c r="B1755" s="1136"/>
      <c r="C1755" s="1138"/>
    </row>
    <row r="1756" spans="1:3">
      <c r="A1756" s="1133"/>
      <c r="B1756" s="1136"/>
      <c r="C1756" s="1138"/>
    </row>
    <row r="1757" spans="1:3">
      <c r="A1757" s="1133"/>
      <c r="B1757" s="1136"/>
      <c r="C1757" s="1138"/>
    </row>
    <row r="1758" spans="1:3">
      <c r="A1758" s="1133"/>
      <c r="B1758" s="1136"/>
      <c r="C1758" s="1138"/>
    </row>
    <row r="1759" spans="1:3">
      <c r="A1759" s="1133"/>
      <c r="B1759" s="1136"/>
      <c r="C1759" s="1138"/>
    </row>
    <row r="1760" spans="1:3">
      <c r="A1760" s="1133"/>
      <c r="B1760" s="1136"/>
      <c r="C1760" s="1138"/>
    </row>
    <row r="1761" spans="1:3">
      <c r="A1761" s="1133"/>
      <c r="B1761" s="1136"/>
      <c r="C1761" s="1138"/>
    </row>
    <row r="1762" spans="1:3">
      <c r="A1762" s="1133"/>
      <c r="B1762" s="1136"/>
      <c r="C1762" s="1138"/>
    </row>
    <row r="1763" spans="1:3">
      <c r="A1763" s="1133"/>
      <c r="B1763" s="1136"/>
      <c r="C1763" s="1138"/>
    </row>
    <row r="1764" spans="1:3">
      <c r="A1764" s="1133"/>
      <c r="B1764" s="1136"/>
      <c r="C1764" s="1138"/>
    </row>
    <row r="1765" spans="1:3">
      <c r="A1765" s="1133"/>
      <c r="B1765" s="1136"/>
      <c r="C1765" s="1138"/>
    </row>
    <row r="1766" spans="1:3">
      <c r="A1766" s="1133"/>
      <c r="B1766" s="1136"/>
      <c r="C1766" s="1138"/>
    </row>
    <row r="1767" spans="1:3">
      <c r="A1767" s="1133"/>
      <c r="B1767" s="1136"/>
      <c r="C1767" s="1138"/>
    </row>
    <row r="1768" spans="1:3">
      <c r="A1768" s="1133"/>
      <c r="B1768" s="1136"/>
      <c r="C1768" s="1138"/>
    </row>
    <row r="1769" spans="1:3">
      <c r="A1769" s="1133"/>
      <c r="B1769" s="1136"/>
      <c r="C1769" s="1138"/>
    </row>
    <row r="1770" spans="1:3">
      <c r="A1770" s="1133"/>
      <c r="B1770" s="1136"/>
      <c r="C1770" s="1138"/>
    </row>
    <row r="1771" spans="1:3">
      <c r="A1771" s="1133"/>
      <c r="B1771" s="1136"/>
      <c r="C1771" s="1138"/>
    </row>
    <row r="1772" spans="1:3">
      <c r="A1772" s="1133"/>
      <c r="B1772" s="1136"/>
      <c r="C1772" s="1138"/>
    </row>
    <row r="1773" spans="1:3">
      <c r="A1773" s="1133"/>
      <c r="B1773" s="1136"/>
      <c r="C1773" s="1138"/>
    </row>
    <row r="1774" spans="1:3">
      <c r="A1774" s="1133"/>
      <c r="B1774" s="1136"/>
      <c r="C1774" s="1138"/>
    </row>
    <row r="1775" spans="1:3">
      <c r="A1775" s="1133"/>
      <c r="B1775" s="1136"/>
      <c r="C1775" s="1138"/>
    </row>
    <row r="1776" spans="1:3">
      <c r="A1776" s="1133"/>
      <c r="B1776" s="1136"/>
      <c r="C1776" s="1138"/>
    </row>
    <row r="1777" spans="1:3">
      <c r="A1777" s="1133"/>
      <c r="B1777" s="1136"/>
      <c r="C1777" s="1138"/>
    </row>
    <row r="1778" spans="1:3">
      <c r="A1778" s="1133"/>
      <c r="B1778" s="1136"/>
      <c r="C1778" s="1138"/>
    </row>
    <row r="1779" spans="1:3">
      <c r="A1779" s="1133"/>
      <c r="B1779" s="1136"/>
      <c r="C1779" s="1138"/>
    </row>
    <row r="1780" spans="1:3">
      <c r="A1780" s="1133"/>
      <c r="B1780" s="1136"/>
      <c r="C1780" s="1138"/>
    </row>
    <row r="1781" spans="1:3">
      <c r="A1781" s="1133"/>
      <c r="B1781" s="1136"/>
      <c r="C1781" s="1138"/>
    </row>
    <row r="1782" spans="1:3">
      <c r="A1782" s="1133"/>
      <c r="B1782" s="1136"/>
      <c r="C1782" s="1138"/>
    </row>
    <row r="1783" spans="1:3">
      <c r="A1783" s="1133"/>
      <c r="B1783" s="1136"/>
      <c r="C1783" s="1138"/>
    </row>
    <row r="1784" spans="1:3">
      <c r="A1784" s="1133"/>
      <c r="B1784" s="1136"/>
      <c r="C1784" s="1138"/>
    </row>
    <row r="1785" spans="1:3">
      <c r="A1785" s="1133"/>
      <c r="B1785" s="1136"/>
      <c r="C1785" s="1138"/>
    </row>
    <row r="1786" spans="1:3">
      <c r="A1786" s="1133"/>
      <c r="B1786" s="1136"/>
      <c r="C1786" s="1138"/>
    </row>
    <row r="1787" spans="1:3">
      <c r="A1787" s="1133"/>
      <c r="B1787" s="1136"/>
      <c r="C1787" s="1138"/>
    </row>
    <row r="1788" spans="1:3">
      <c r="A1788" s="1133"/>
      <c r="B1788" s="1136"/>
      <c r="C1788" s="1138"/>
    </row>
    <row r="1789" spans="1:3">
      <c r="A1789" s="1133"/>
      <c r="B1789" s="1136"/>
      <c r="C1789" s="1138"/>
    </row>
    <row r="1790" spans="1:3">
      <c r="A1790" s="1133"/>
      <c r="B1790" s="1136"/>
      <c r="C1790" s="1138"/>
    </row>
    <row r="1791" spans="1:3">
      <c r="A1791" s="1133"/>
      <c r="B1791" s="1136"/>
      <c r="C1791" s="1138"/>
    </row>
    <row r="1792" spans="1:3">
      <c r="A1792" s="1133"/>
      <c r="B1792" s="1136"/>
      <c r="C1792" s="1138"/>
    </row>
    <row r="1793" spans="1:3">
      <c r="A1793" s="1133"/>
      <c r="B1793" s="1136"/>
      <c r="C1793" s="1138"/>
    </row>
    <row r="1794" spans="1:3">
      <c r="A1794" s="1133"/>
      <c r="B1794" s="1136"/>
      <c r="C1794" s="1138"/>
    </row>
    <row r="1795" spans="1:3">
      <c r="A1795" s="1133"/>
      <c r="B1795" s="1136"/>
      <c r="C1795" s="1138"/>
    </row>
    <row r="1796" spans="1:3">
      <c r="A1796" s="1133"/>
      <c r="B1796" s="1136"/>
      <c r="C1796" s="1138"/>
    </row>
    <row r="1797" spans="1:3">
      <c r="A1797" s="1133"/>
      <c r="B1797" s="1136"/>
      <c r="C1797" s="1138"/>
    </row>
    <row r="1798" spans="1:3">
      <c r="A1798" s="1133"/>
      <c r="B1798" s="1136"/>
      <c r="C1798" s="1138"/>
    </row>
    <row r="1799" spans="1:3">
      <c r="A1799" s="1133"/>
      <c r="B1799" s="1136"/>
      <c r="C1799" s="1138"/>
    </row>
    <row r="1800" spans="1:3">
      <c r="A1800" s="1133"/>
      <c r="B1800" s="1136"/>
      <c r="C1800" s="1138"/>
    </row>
    <row r="1801" spans="1:3">
      <c r="A1801" s="1133"/>
      <c r="B1801" s="1136"/>
      <c r="C1801" s="1138"/>
    </row>
    <row r="1802" spans="1:3">
      <c r="A1802" s="1133"/>
      <c r="B1802" s="1136"/>
      <c r="C1802" s="1138"/>
    </row>
    <row r="1803" spans="1:3">
      <c r="A1803" s="1133"/>
      <c r="B1803" s="1136"/>
      <c r="C1803" s="1138"/>
    </row>
    <row r="1804" spans="1:3">
      <c r="A1804" s="1133"/>
      <c r="B1804" s="1136"/>
      <c r="C1804" s="1138"/>
    </row>
    <row r="1805" spans="1:3">
      <c r="A1805" s="1133"/>
      <c r="B1805" s="1136"/>
      <c r="C1805" s="1138"/>
    </row>
    <row r="1806" spans="1:3">
      <c r="A1806" s="1133"/>
      <c r="B1806" s="1136"/>
      <c r="C1806" s="1138"/>
    </row>
    <row r="1807" spans="1:3">
      <c r="A1807" s="1133"/>
      <c r="B1807" s="1136"/>
      <c r="C1807" s="1138"/>
    </row>
    <row r="1808" spans="1:3">
      <c r="A1808" s="1133"/>
      <c r="B1808" s="1136"/>
      <c r="C1808" s="1138"/>
    </row>
    <row r="1809" spans="1:3">
      <c r="A1809" s="1133"/>
      <c r="B1809" s="1136"/>
      <c r="C1809" s="1138"/>
    </row>
    <row r="1810" spans="1:3">
      <c r="A1810" s="1133"/>
      <c r="B1810" s="1136"/>
      <c r="C1810" s="1138"/>
    </row>
    <row r="1811" spans="1:3">
      <c r="A1811" s="1133"/>
      <c r="B1811" s="1136"/>
      <c r="C1811" s="1138"/>
    </row>
    <row r="1812" spans="1:3">
      <c r="A1812" s="1133"/>
      <c r="B1812" s="1136"/>
      <c r="C1812" s="1138"/>
    </row>
    <row r="1813" spans="1:3">
      <c r="A1813" s="1133"/>
      <c r="B1813" s="1136"/>
      <c r="C1813" s="1138"/>
    </row>
    <row r="1814" spans="1:3">
      <c r="A1814" s="1133"/>
      <c r="B1814" s="1136"/>
      <c r="C1814" s="1138"/>
    </row>
    <row r="1815" spans="1:3">
      <c r="A1815" s="1133"/>
      <c r="B1815" s="1136"/>
      <c r="C1815" s="1138"/>
    </row>
    <row r="1816" spans="1:3">
      <c r="A1816" s="1133"/>
      <c r="B1816" s="1136"/>
      <c r="C1816" s="1138"/>
    </row>
    <row r="1817" spans="1:3">
      <c r="A1817" s="1133"/>
      <c r="B1817" s="1136"/>
      <c r="C1817" s="1138"/>
    </row>
    <row r="1818" spans="1:3">
      <c r="A1818" s="1133"/>
      <c r="B1818" s="1136"/>
      <c r="C1818" s="1138"/>
    </row>
    <row r="1819" spans="1:3">
      <c r="A1819" s="1133"/>
      <c r="B1819" s="1136"/>
      <c r="C1819" s="1138"/>
    </row>
    <row r="1820" spans="1:3">
      <c r="A1820" s="1133"/>
      <c r="B1820" s="1136"/>
      <c r="C1820" s="1138"/>
    </row>
    <row r="1821" spans="1:3">
      <c r="A1821" s="1133"/>
      <c r="B1821" s="1136"/>
      <c r="C1821" s="1138"/>
    </row>
    <row r="1822" spans="1:3">
      <c r="A1822" s="1133"/>
      <c r="B1822" s="1136"/>
      <c r="C1822" s="1138"/>
    </row>
    <row r="1823" spans="1:3">
      <c r="A1823" s="1133"/>
      <c r="B1823" s="1136"/>
      <c r="C1823" s="1138"/>
    </row>
    <row r="1824" spans="1:3">
      <c r="A1824" s="1133"/>
      <c r="B1824" s="1136"/>
      <c r="C1824" s="1138"/>
    </row>
    <row r="1825" spans="1:3">
      <c r="A1825" s="1133"/>
      <c r="B1825" s="1136"/>
      <c r="C1825" s="1138"/>
    </row>
    <row r="1826" spans="1:3">
      <c r="A1826" s="1133"/>
      <c r="B1826" s="1136"/>
      <c r="C1826" s="1138"/>
    </row>
    <row r="1827" spans="1:3">
      <c r="A1827" s="1133"/>
      <c r="B1827" s="1136"/>
      <c r="C1827" s="1138"/>
    </row>
    <row r="1828" spans="1:3">
      <c r="A1828" s="1133"/>
      <c r="B1828" s="1136"/>
      <c r="C1828" s="1138"/>
    </row>
    <row r="1829" spans="1:3">
      <c r="A1829" s="1133"/>
      <c r="B1829" s="1136"/>
      <c r="C1829" s="1138"/>
    </row>
    <row r="1830" spans="1:3">
      <c r="A1830" s="1133"/>
      <c r="B1830" s="1136"/>
      <c r="C1830" s="1138"/>
    </row>
    <row r="1831" spans="1:3">
      <c r="A1831" s="1133"/>
      <c r="B1831" s="1136"/>
      <c r="C1831" s="1138"/>
    </row>
    <row r="1832" spans="1:3">
      <c r="A1832" s="1133"/>
      <c r="B1832" s="1136"/>
      <c r="C1832" s="1138"/>
    </row>
    <row r="1833" spans="1:3">
      <c r="A1833" s="1133"/>
      <c r="B1833" s="1136"/>
      <c r="C1833" s="1138"/>
    </row>
    <row r="1834" spans="1:3">
      <c r="A1834" s="1133"/>
      <c r="B1834" s="1136"/>
      <c r="C1834" s="1138"/>
    </row>
    <row r="1835" spans="1:3">
      <c r="A1835" s="1133"/>
      <c r="B1835" s="1136"/>
      <c r="C1835" s="1138"/>
    </row>
    <row r="1836" spans="1:3">
      <c r="A1836" s="1133"/>
      <c r="B1836" s="1136"/>
      <c r="C1836" s="1138"/>
    </row>
    <row r="1837" spans="1:3">
      <c r="A1837" s="1133"/>
      <c r="B1837" s="1136"/>
      <c r="C1837" s="1138"/>
    </row>
    <row r="1838" spans="1:3">
      <c r="A1838" s="1133"/>
      <c r="B1838" s="1136"/>
      <c r="C1838" s="1138"/>
    </row>
    <row r="1839" spans="1:3">
      <c r="A1839" s="1133"/>
      <c r="B1839" s="1136"/>
      <c r="C1839" s="1138"/>
    </row>
    <row r="1840" spans="1:3">
      <c r="A1840" s="1133"/>
      <c r="B1840" s="1136"/>
      <c r="C1840" s="1138"/>
    </row>
    <row r="1841" spans="1:3">
      <c r="A1841" s="1133"/>
      <c r="B1841" s="1136"/>
      <c r="C1841" s="1138"/>
    </row>
    <row r="1842" spans="1:3">
      <c r="A1842" s="1133"/>
      <c r="B1842" s="1136"/>
      <c r="C1842" s="1138"/>
    </row>
    <row r="1843" spans="1:3">
      <c r="A1843" s="1133"/>
      <c r="B1843" s="1136"/>
      <c r="C1843" s="1138"/>
    </row>
    <row r="1844" spans="1:3">
      <c r="A1844" s="1133"/>
      <c r="B1844" s="1136"/>
      <c r="C1844" s="1138"/>
    </row>
    <row r="1845" spans="1:3">
      <c r="A1845" s="1133"/>
      <c r="B1845" s="1136"/>
      <c r="C1845" s="1138"/>
    </row>
    <row r="1846" spans="1:3">
      <c r="A1846" s="1133"/>
      <c r="B1846" s="1136"/>
      <c r="C1846" s="1138"/>
    </row>
    <row r="1847" spans="1:3">
      <c r="A1847" s="1133"/>
      <c r="B1847" s="1136"/>
      <c r="C1847" s="1138"/>
    </row>
    <row r="1848" spans="1:3">
      <c r="A1848" s="1133"/>
      <c r="B1848" s="1136"/>
      <c r="C1848" s="1138"/>
    </row>
    <row r="1849" spans="1:3">
      <c r="A1849" s="1133"/>
      <c r="B1849" s="1136"/>
      <c r="C1849" s="1138"/>
    </row>
    <row r="1850" spans="1:3">
      <c r="A1850" s="1133"/>
      <c r="B1850" s="1136"/>
      <c r="C1850" s="1138"/>
    </row>
    <row r="1851" spans="1:3">
      <c r="A1851" s="1133"/>
      <c r="B1851" s="1136"/>
      <c r="C1851" s="1138"/>
    </row>
    <row r="1852" spans="1:3">
      <c r="A1852" s="1133"/>
      <c r="B1852" s="1136"/>
      <c r="C1852" s="1138"/>
    </row>
    <row r="1853" spans="1:3">
      <c r="A1853" s="1133"/>
      <c r="B1853" s="1136"/>
      <c r="C1853" s="1138"/>
    </row>
    <row r="1854" spans="1:3">
      <c r="A1854" s="1133"/>
      <c r="B1854" s="1136"/>
      <c r="C1854" s="1138"/>
    </row>
    <row r="1855" spans="1:3">
      <c r="A1855" s="1133"/>
      <c r="B1855" s="1136"/>
      <c r="C1855" s="1138"/>
    </row>
    <row r="1856" spans="1:3">
      <c r="A1856" s="1133"/>
      <c r="B1856" s="1136"/>
      <c r="C1856" s="1138"/>
    </row>
    <row r="1857" spans="1:3">
      <c r="A1857" s="1133"/>
      <c r="B1857" s="1136"/>
      <c r="C1857" s="1138"/>
    </row>
    <row r="1858" spans="1:3">
      <c r="A1858" s="1133"/>
      <c r="B1858" s="1136"/>
      <c r="C1858" s="1138"/>
    </row>
    <row r="1859" spans="1:3">
      <c r="A1859" s="1133"/>
      <c r="B1859" s="1136"/>
      <c r="C1859" s="1138"/>
    </row>
    <row r="1860" spans="1:3">
      <c r="A1860" s="1133"/>
      <c r="B1860" s="1136"/>
      <c r="C1860" s="1138"/>
    </row>
    <row r="1861" spans="1:3">
      <c r="A1861" s="1133"/>
      <c r="B1861" s="1136"/>
      <c r="C1861" s="1138"/>
    </row>
    <row r="1862" spans="1:3">
      <c r="A1862" s="1133"/>
      <c r="B1862" s="1136"/>
      <c r="C1862" s="1138"/>
    </row>
    <row r="1863" spans="1:3">
      <c r="A1863" s="1133"/>
      <c r="B1863" s="1136"/>
      <c r="C1863" s="1138"/>
    </row>
    <row r="1864" spans="1:3">
      <c r="A1864" s="1133"/>
      <c r="B1864" s="1136"/>
      <c r="C1864" s="1138"/>
    </row>
    <row r="1865" spans="1:3">
      <c r="A1865" s="1133"/>
      <c r="B1865" s="1136"/>
      <c r="C1865" s="1138"/>
    </row>
    <row r="1866" spans="1:3">
      <c r="A1866" s="1133"/>
      <c r="B1866" s="1136"/>
      <c r="C1866" s="1138"/>
    </row>
    <row r="1867" spans="1:3">
      <c r="A1867" s="1133"/>
      <c r="B1867" s="1136"/>
      <c r="C1867" s="1138"/>
    </row>
    <row r="1868" spans="1:3">
      <c r="A1868" s="1133"/>
      <c r="B1868" s="1136"/>
      <c r="C1868" s="1138"/>
    </row>
    <row r="1869" spans="1:3">
      <c r="A1869" s="1133"/>
      <c r="B1869" s="1136"/>
      <c r="C1869" s="1138"/>
    </row>
    <row r="1870" spans="1:3">
      <c r="A1870" s="1133"/>
      <c r="B1870" s="1136"/>
      <c r="C1870" s="1138"/>
    </row>
    <row r="1871" spans="1:3">
      <c r="A1871" s="1133"/>
      <c r="B1871" s="1136"/>
      <c r="C1871" s="1138"/>
    </row>
    <row r="1872" spans="1:3">
      <c r="A1872" s="1133"/>
      <c r="B1872" s="1136"/>
      <c r="C1872" s="1138"/>
    </row>
    <row r="1873" spans="1:3">
      <c r="A1873" s="1133"/>
      <c r="B1873" s="1136"/>
      <c r="C1873" s="1138"/>
    </row>
    <row r="1874" spans="1:3">
      <c r="A1874" s="1133"/>
      <c r="B1874" s="1136"/>
      <c r="C1874" s="1138"/>
    </row>
    <row r="1875" spans="1:3">
      <c r="A1875" s="1133"/>
      <c r="B1875" s="1136"/>
      <c r="C1875" s="1138"/>
    </row>
    <row r="1876" spans="1:3">
      <c r="A1876" s="1133"/>
      <c r="B1876" s="1136"/>
      <c r="C1876" s="1138"/>
    </row>
    <row r="1877" spans="1:3">
      <c r="A1877" s="1133"/>
      <c r="B1877" s="1136"/>
      <c r="C1877" s="1138"/>
    </row>
    <row r="1878" spans="1:3">
      <c r="A1878" s="1133"/>
      <c r="B1878" s="1136"/>
      <c r="C1878" s="1138"/>
    </row>
    <row r="1879" spans="1:3">
      <c r="A1879" s="1133"/>
      <c r="B1879" s="1136"/>
      <c r="C1879" s="1138"/>
    </row>
    <row r="1880" spans="1:3">
      <c r="A1880" s="1133"/>
      <c r="B1880" s="1136"/>
      <c r="C1880" s="1138"/>
    </row>
    <row r="1881" spans="1:3">
      <c r="A1881" s="1133"/>
      <c r="B1881" s="1136"/>
      <c r="C1881" s="1138"/>
    </row>
    <row r="1882" spans="1:3">
      <c r="A1882" s="1133"/>
      <c r="B1882" s="1136"/>
      <c r="C1882" s="1138"/>
    </row>
    <row r="1883" spans="1:3">
      <c r="A1883" s="1133"/>
      <c r="B1883" s="1136"/>
      <c r="C1883" s="1138"/>
    </row>
    <row r="1884" spans="1:3">
      <c r="A1884" s="1133"/>
      <c r="B1884" s="1136"/>
      <c r="C1884" s="1138"/>
    </row>
    <row r="1885" spans="1:3">
      <c r="A1885" s="1133"/>
      <c r="B1885" s="1136"/>
      <c r="C1885" s="1138"/>
    </row>
    <row r="1886" spans="1:3">
      <c r="A1886" s="1133"/>
      <c r="B1886" s="1136"/>
      <c r="C1886" s="1138"/>
    </row>
    <row r="1887" spans="1:3">
      <c r="A1887" s="1133"/>
      <c r="B1887" s="1136"/>
      <c r="C1887" s="1138"/>
    </row>
    <row r="1888" spans="1:3">
      <c r="A1888" s="1133"/>
      <c r="B1888" s="1136"/>
      <c r="C1888" s="1138"/>
    </row>
    <row r="1889" spans="1:3">
      <c r="A1889" s="1133"/>
      <c r="B1889" s="1136"/>
      <c r="C1889" s="1138"/>
    </row>
    <row r="1890" spans="1:3">
      <c r="A1890" s="1133"/>
      <c r="B1890" s="1136"/>
      <c r="C1890" s="1138"/>
    </row>
    <row r="1891" spans="1:3">
      <c r="A1891" s="1133"/>
      <c r="B1891" s="1136"/>
      <c r="C1891" s="1138"/>
    </row>
    <row r="1892" spans="1:3">
      <c r="A1892" s="1133"/>
      <c r="B1892" s="1136"/>
      <c r="C1892" s="1138"/>
    </row>
    <row r="1893" spans="1:3">
      <c r="A1893" s="1133"/>
      <c r="B1893" s="1136"/>
      <c r="C1893" s="1138"/>
    </row>
    <row r="1894" spans="1:3">
      <c r="A1894" s="1133"/>
      <c r="B1894" s="1136"/>
      <c r="C1894" s="1138"/>
    </row>
    <row r="1895" spans="1:3">
      <c r="A1895" s="1133"/>
      <c r="B1895" s="1136"/>
      <c r="C1895" s="1138"/>
    </row>
    <row r="1896" spans="1:3">
      <c r="A1896" s="1133"/>
      <c r="B1896" s="1136"/>
      <c r="C1896" s="1138"/>
    </row>
    <row r="1897" spans="1:3">
      <c r="A1897" s="1133"/>
      <c r="B1897" s="1136"/>
      <c r="C1897" s="1138"/>
    </row>
    <row r="1898" spans="1:3">
      <c r="A1898" s="1133"/>
      <c r="B1898" s="1136"/>
      <c r="C1898" s="1138"/>
    </row>
    <row r="1899" spans="1:3">
      <c r="A1899" s="1133"/>
      <c r="B1899" s="1136"/>
      <c r="C1899" s="1138"/>
    </row>
    <row r="1900" spans="1:3">
      <c r="A1900" s="1133"/>
      <c r="B1900" s="1136"/>
      <c r="C1900" s="1138"/>
    </row>
    <row r="1901" spans="1:3">
      <c r="A1901" s="1133"/>
      <c r="B1901" s="1136"/>
      <c r="C1901" s="1138"/>
    </row>
    <row r="1902" spans="1:3">
      <c r="A1902" s="1133"/>
      <c r="B1902" s="1136"/>
      <c r="C1902" s="1138"/>
    </row>
    <row r="1903" spans="1:3">
      <c r="A1903" s="1133"/>
      <c r="B1903" s="1136"/>
      <c r="C1903" s="1138"/>
    </row>
    <row r="1904" spans="1:3">
      <c r="A1904" s="1133"/>
      <c r="B1904" s="1136"/>
      <c r="C1904" s="1138"/>
    </row>
    <row r="1905" spans="1:3">
      <c r="A1905" s="1133"/>
      <c r="B1905" s="1136"/>
      <c r="C1905" s="1138"/>
    </row>
    <row r="1906" spans="1:3">
      <c r="A1906" s="1133"/>
      <c r="B1906" s="1136"/>
      <c r="C1906" s="1138"/>
    </row>
    <row r="1907" spans="1:3">
      <c r="A1907" s="1133"/>
      <c r="B1907" s="1136"/>
      <c r="C1907" s="1138"/>
    </row>
    <row r="1908" spans="1:3">
      <c r="A1908" s="1133"/>
      <c r="B1908" s="1136"/>
      <c r="C1908" s="1138"/>
    </row>
    <row r="1909" spans="1:3">
      <c r="A1909" s="1133"/>
      <c r="B1909" s="1136"/>
      <c r="C1909" s="1138"/>
    </row>
    <row r="1910" spans="1:3">
      <c r="A1910" s="1133"/>
      <c r="B1910" s="1136"/>
      <c r="C1910" s="1138"/>
    </row>
    <row r="1911" spans="1:3">
      <c r="A1911" s="1133"/>
      <c r="B1911" s="1136"/>
      <c r="C1911" s="1138"/>
    </row>
    <row r="1912" spans="1:3">
      <c r="A1912" s="1133"/>
      <c r="B1912" s="1136"/>
      <c r="C1912" s="1138"/>
    </row>
    <row r="1913" spans="1:3">
      <c r="A1913" s="1133"/>
      <c r="B1913" s="1136"/>
      <c r="C1913" s="1138"/>
    </row>
    <row r="1914" spans="1:3">
      <c r="A1914" s="1133"/>
      <c r="B1914" s="1136"/>
      <c r="C1914" s="1138"/>
    </row>
    <row r="1915" spans="1:3">
      <c r="A1915" s="1133"/>
      <c r="B1915" s="1136"/>
      <c r="C1915" s="1138"/>
    </row>
    <row r="1916" spans="1:3">
      <c r="A1916" s="1133"/>
      <c r="B1916" s="1136"/>
      <c r="C1916" s="1138"/>
    </row>
    <row r="1917" spans="1:3">
      <c r="A1917" s="1133"/>
      <c r="B1917" s="1136"/>
      <c r="C1917" s="1138"/>
    </row>
    <row r="1918" spans="1:3">
      <c r="A1918" s="1133"/>
      <c r="B1918" s="1136"/>
      <c r="C1918" s="1138"/>
    </row>
    <row r="1919" spans="1:3">
      <c r="A1919" s="1133"/>
      <c r="B1919" s="1136"/>
      <c r="C1919" s="1138"/>
    </row>
    <row r="1920" spans="1:3">
      <c r="A1920" s="1133"/>
      <c r="B1920" s="1136"/>
      <c r="C1920" s="1138"/>
    </row>
    <row r="1921" spans="1:3">
      <c r="A1921" s="1133"/>
      <c r="B1921" s="1136"/>
      <c r="C1921" s="1138"/>
    </row>
    <row r="1922" spans="1:3">
      <c r="A1922" s="1133"/>
      <c r="B1922" s="1136"/>
      <c r="C1922" s="1138"/>
    </row>
    <row r="1923" spans="1:3">
      <c r="A1923" s="1133"/>
      <c r="B1923" s="1136"/>
      <c r="C1923" s="1138"/>
    </row>
    <row r="1924" spans="1:3">
      <c r="A1924" s="1133"/>
      <c r="B1924" s="1136"/>
      <c r="C1924" s="1138"/>
    </row>
    <row r="1925" spans="1:3">
      <c r="A1925" s="1133"/>
      <c r="B1925" s="1136"/>
      <c r="C1925" s="1138"/>
    </row>
    <row r="1926" spans="1:3">
      <c r="A1926" s="1133"/>
      <c r="B1926" s="1136"/>
      <c r="C1926" s="1138"/>
    </row>
    <row r="1927" spans="1:3">
      <c r="A1927" s="1133"/>
      <c r="B1927" s="1136"/>
      <c r="C1927" s="1138"/>
    </row>
    <row r="1928" spans="1:3">
      <c r="A1928" s="1133"/>
      <c r="B1928" s="1136"/>
      <c r="C1928" s="1138"/>
    </row>
    <row r="1929" spans="1:3">
      <c r="A1929" s="1133"/>
      <c r="B1929" s="1136"/>
      <c r="C1929" s="1138"/>
    </row>
    <row r="1930" spans="1:3">
      <c r="A1930" s="1133"/>
      <c r="B1930" s="1136"/>
      <c r="C1930" s="1138"/>
    </row>
    <row r="1931" spans="1:3">
      <c r="A1931" s="1133"/>
      <c r="B1931" s="1136"/>
      <c r="C1931" s="1138"/>
    </row>
    <row r="1932" spans="1:3">
      <c r="A1932" s="1133"/>
      <c r="B1932" s="1136"/>
      <c r="C1932" s="1138"/>
    </row>
    <row r="1933" spans="1:3">
      <c r="A1933" s="1133"/>
      <c r="B1933" s="1136"/>
      <c r="C1933" s="1138"/>
    </row>
    <row r="1934" spans="1:3">
      <c r="A1934" s="1133"/>
      <c r="B1934" s="1136"/>
      <c r="C1934" s="1138"/>
    </row>
    <row r="1935" spans="1:3">
      <c r="A1935" s="1133"/>
      <c r="B1935" s="1136"/>
      <c r="C1935" s="1138"/>
    </row>
    <row r="1936" spans="1:3">
      <c r="A1936" s="1133"/>
      <c r="B1936" s="1136"/>
      <c r="C1936" s="1138"/>
    </row>
    <row r="1937" spans="1:3">
      <c r="A1937" s="1133"/>
      <c r="B1937" s="1136"/>
      <c r="C1937" s="1138"/>
    </row>
    <row r="1938" spans="1:3">
      <c r="A1938" s="1133"/>
      <c r="B1938" s="1136"/>
      <c r="C1938" s="1138"/>
    </row>
    <row r="1939" spans="1:3">
      <c r="A1939" s="1133"/>
      <c r="B1939" s="1136"/>
      <c r="C1939" s="1138"/>
    </row>
    <row r="1940" spans="1:3">
      <c r="A1940" s="1133"/>
      <c r="B1940" s="1136"/>
      <c r="C1940" s="1138"/>
    </row>
    <row r="1941" spans="1:3">
      <c r="A1941" s="1133"/>
      <c r="B1941" s="1136"/>
      <c r="C1941" s="1138"/>
    </row>
    <row r="1942" spans="1:3">
      <c r="A1942" s="1133"/>
      <c r="B1942" s="1136"/>
      <c r="C1942" s="1138"/>
    </row>
    <row r="1943" spans="1:3">
      <c r="A1943" s="1133"/>
      <c r="B1943" s="1136"/>
      <c r="C1943" s="1138"/>
    </row>
    <row r="1944" spans="1:3">
      <c r="A1944" s="1133"/>
      <c r="B1944" s="1136"/>
      <c r="C1944" s="1138"/>
    </row>
    <row r="1945" spans="1:3">
      <c r="A1945" s="1133"/>
      <c r="B1945" s="1136"/>
      <c r="C1945" s="1138"/>
    </row>
    <row r="1946" spans="1:3">
      <c r="A1946" s="1133"/>
      <c r="B1946" s="1136"/>
      <c r="C1946" s="1138"/>
    </row>
    <row r="1947" spans="1:3">
      <c r="A1947" s="1133"/>
      <c r="B1947" s="1136"/>
      <c r="C1947" s="1138"/>
    </row>
    <row r="1948" spans="1:3">
      <c r="A1948" s="1133"/>
      <c r="B1948" s="1136"/>
      <c r="C1948" s="1138"/>
    </row>
    <row r="1949" spans="1:3">
      <c r="A1949" s="1133"/>
      <c r="B1949" s="1136"/>
      <c r="C1949" s="1138"/>
    </row>
    <row r="1950" spans="1:3">
      <c r="A1950" s="1133"/>
      <c r="B1950" s="1136"/>
      <c r="C1950" s="1138"/>
    </row>
    <row r="1951" spans="1:3">
      <c r="A1951" s="1133"/>
      <c r="B1951" s="1136"/>
      <c r="C1951" s="1138"/>
    </row>
    <row r="1952" spans="1:3">
      <c r="A1952" s="1133"/>
      <c r="B1952" s="1136"/>
      <c r="C1952" s="1138"/>
    </row>
    <row r="1953" spans="1:3">
      <c r="A1953" s="1133"/>
      <c r="B1953" s="1136"/>
      <c r="C1953" s="1138"/>
    </row>
    <row r="1954" spans="1:3">
      <c r="A1954" s="1133"/>
      <c r="B1954" s="1136"/>
      <c r="C1954" s="1138"/>
    </row>
    <row r="1955" spans="1:3">
      <c r="A1955" s="1133"/>
      <c r="B1955" s="1136"/>
      <c r="C1955" s="1138"/>
    </row>
    <row r="1956" spans="1:3">
      <c r="A1956" s="1133"/>
      <c r="B1956" s="1136"/>
      <c r="C1956" s="1138"/>
    </row>
    <row r="1957" spans="1:3">
      <c r="A1957" s="1133"/>
      <c r="B1957" s="1136"/>
      <c r="C1957" s="1138"/>
    </row>
    <row r="1958" spans="1:3">
      <c r="A1958" s="1133"/>
      <c r="B1958" s="1136"/>
      <c r="C1958" s="1138"/>
    </row>
    <row r="1959" spans="1:3">
      <c r="A1959" s="1133"/>
      <c r="B1959" s="1136"/>
      <c r="C1959" s="1138"/>
    </row>
    <row r="1960" spans="1:3">
      <c r="A1960" s="1133"/>
      <c r="B1960" s="1136"/>
      <c r="C1960" s="1138"/>
    </row>
    <row r="1961" spans="1:3">
      <c r="A1961" s="1133"/>
      <c r="B1961" s="1136"/>
      <c r="C1961" s="1138"/>
    </row>
    <row r="1962" spans="1:3">
      <c r="A1962" s="1133"/>
      <c r="B1962" s="1136"/>
      <c r="C1962" s="1138"/>
    </row>
    <row r="1963" spans="1:3">
      <c r="A1963" s="1133"/>
      <c r="B1963" s="1136"/>
      <c r="C1963" s="1138"/>
    </row>
    <row r="1964" spans="1:3">
      <c r="A1964" s="1133"/>
      <c r="B1964" s="1136"/>
      <c r="C1964" s="1138"/>
    </row>
    <row r="1965" spans="1:3">
      <c r="A1965" s="1133"/>
      <c r="B1965" s="1136"/>
      <c r="C1965" s="1138"/>
    </row>
    <row r="1966" spans="1:3">
      <c r="A1966" s="1133"/>
      <c r="B1966" s="1136"/>
      <c r="C1966" s="1138"/>
    </row>
    <row r="1967" spans="1:3">
      <c r="A1967" s="1133"/>
      <c r="B1967" s="1136"/>
      <c r="C1967" s="1138"/>
    </row>
    <row r="1968" spans="1:3">
      <c r="A1968" s="1133"/>
      <c r="B1968" s="1136"/>
      <c r="C1968" s="1138"/>
    </row>
    <row r="1969" spans="1:3">
      <c r="A1969" s="1133"/>
      <c r="B1969" s="1136"/>
      <c r="C1969" s="1138"/>
    </row>
    <row r="1970" spans="1:3">
      <c r="A1970" s="1133"/>
      <c r="B1970" s="1136"/>
      <c r="C1970" s="1138"/>
    </row>
    <row r="1971" spans="1:3">
      <c r="A1971" s="1133"/>
      <c r="B1971" s="1136"/>
      <c r="C1971" s="1138"/>
    </row>
    <row r="1972" spans="1:3">
      <c r="A1972" s="1133"/>
      <c r="B1972" s="1136"/>
      <c r="C1972" s="1138"/>
    </row>
    <row r="1973" spans="1:3">
      <c r="A1973" s="1133"/>
      <c r="B1973" s="1136"/>
      <c r="C1973" s="1138"/>
    </row>
    <row r="1974" spans="1:3">
      <c r="A1974" s="1133"/>
      <c r="B1974" s="1136"/>
      <c r="C1974" s="1138"/>
    </row>
    <row r="1975" spans="1:3">
      <c r="A1975" s="1133"/>
      <c r="B1975" s="1136"/>
      <c r="C1975" s="1138"/>
    </row>
    <row r="1976" spans="1:3">
      <c r="A1976" s="1133"/>
      <c r="B1976" s="1136"/>
      <c r="C1976" s="1138"/>
    </row>
    <row r="1977" spans="1:3">
      <c r="A1977" s="1133"/>
      <c r="B1977" s="1136"/>
      <c r="C1977" s="1138"/>
    </row>
    <row r="1978" spans="1:3">
      <c r="A1978" s="1133"/>
      <c r="B1978" s="1136"/>
      <c r="C1978" s="1138"/>
    </row>
    <row r="1979" spans="1:3">
      <c r="A1979" s="1133"/>
      <c r="B1979" s="1136"/>
      <c r="C1979" s="1138"/>
    </row>
    <row r="1980" spans="1:3">
      <c r="A1980" s="1133"/>
      <c r="B1980" s="1136"/>
      <c r="C1980" s="1138"/>
    </row>
    <row r="1981" spans="1:3">
      <c r="A1981" s="1133"/>
      <c r="B1981" s="1136"/>
      <c r="C1981" s="1138"/>
    </row>
    <row r="1982" spans="1:3">
      <c r="A1982" s="1133"/>
      <c r="B1982" s="1136"/>
      <c r="C1982" s="1138"/>
    </row>
    <row r="1983" spans="1:3">
      <c r="A1983" s="1133"/>
      <c r="B1983" s="1136"/>
      <c r="C1983" s="1138"/>
    </row>
    <row r="1984" spans="1:3">
      <c r="A1984" s="1133"/>
      <c r="B1984" s="1136"/>
      <c r="C1984" s="1138"/>
    </row>
    <row r="1985" spans="1:3">
      <c r="A1985" s="1133"/>
      <c r="B1985" s="1136"/>
      <c r="C1985" s="1138"/>
    </row>
    <row r="1986" spans="1:3">
      <c r="A1986" s="1133"/>
      <c r="B1986" s="1136"/>
      <c r="C1986" s="1138"/>
    </row>
    <row r="1987" spans="1:3">
      <c r="A1987" s="1133"/>
      <c r="B1987" s="1136"/>
      <c r="C1987" s="1138"/>
    </row>
    <row r="1988" spans="1:3">
      <c r="A1988" s="1133"/>
      <c r="B1988" s="1136"/>
      <c r="C1988" s="1138"/>
    </row>
    <row r="1989" spans="1:3">
      <c r="A1989" s="1133"/>
      <c r="B1989" s="1136"/>
      <c r="C1989" s="1138"/>
    </row>
    <row r="1990" spans="1:3">
      <c r="A1990" s="1133"/>
      <c r="B1990" s="1136"/>
      <c r="C1990" s="1138"/>
    </row>
    <row r="1991" spans="1:3">
      <c r="A1991" s="1133"/>
      <c r="B1991" s="1136"/>
      <c r="C1991" s="1138"/>
    </row>
    <row r="1992" spans="1:3">
      <c r="A1992" s="1133"/>
      <c r="B1992" s="1136"/>
      <c r="C1992" s="1138"/>
    </row>
    <row r="1993" spans="1:3">
      <c r="A1993" s="1133"/>
      <c r="B1993" s="1136"/>
      <c r="C1993" s="1138"/>
    </row>
    <row r="1994" spans="1:3">
      <c r="A1994" s="1133"/>
      <c r="B1994" s="1136"/>
      <c r="C1994" s="1138"/>
    </row>
    <row r="1995" spans="1:3">
      <c r="A1995" s="1133"/>
      <c r="B1995" s="1136"/>
      <c r="C1995" s="1138"/>
    </row>
    <row r="1996" spans="1:3">
      <c r="A1996" s="1133"/>
      <c r="B1996" s="1136"/>
      <c r="C1996" s="1138"/>
    </row>
    <row r="1997" spans="1:3">
      <c r="A1997" s="1133"/>
      <c r="B1997" s="1136"/>
      <c r="C1997" s="1138"/>
    </row>
    <row r="1998" spans="1:3">
      <c r="A1998" s="1133"/>
      <c r="B1998" s="1136"/>
      <c r="C1998" s="1138"/>
    </row>
    <row r="1999" spans="1:3">
      <c r="A1999" s="1133"/>
      <c r="B1999" s="1136"/>
      <c r="C1999" s="1138"/>
    </row>
    <row r="2000" spans="1:3">
      <c r="A2000" s="1133"/>
      <c r="B2000" s="1136"/>
      <c r="C2000" s="1138"/>
    </row>
    <row r="2001" spans="1:3">
      <c r="A2001" s="1133"/>
      <c r="B2001" s="1136"/>
      <c r="C2001" s="1138"/>
    </row>
    <row r="2002" spans="1:3">
      <c r="A2002" s="1133"/>
      <c r="B2002" s="1136"/>
      <c r="C2002" s="1138"/>
    </row>
    <row r="2003" spans="1:3">
      <c r="A2003" s="1133"/>
      <c r="B2003" s="1136"/>
      <c r="C2003" s="1138"/>
    </row>
    <row r="2004" spans="1:3">
      <c r="A2004" s="1133"/>
      <c r="B2004" s="1136"/>
      <c r="C2004" s="1138"/>
    </row>
    <row r="2005" spans="1:3">
      <c r="A2005" s="1133"/>
      <c r="B2005" s="1136"/>
      <c r="C2005" s="1138"/>
    </row>
    <row r="2006" spans="1:3">
      <c r="A2006" s="1133"/>
      <c r="B2006" s="1136"/>
      <c r="C2006" s="1138"/>
    </row>
    <row r="2007" spans="1:3">
      <c r="A2007" s="1133"/>
      <c r="B2007" s="1136"/>
      <c r="C2007" s="1138"/>
    </row>
    <row r="2008" spans="1:3">
      <c r="A2008" s="1133"/>
      <c r="B2008" s="1136"/>
      <c r="C2008" s="1138"/>
    </row>
    <row r="2009" spans="1:3">
      <c r="A2009" s="1133"/>
      <c r="B2009" s="1136"/>
      <c r="C2009" s="1138"/>
    </row>
    <row r="2010" spans="1:3">
      <c r="A2010" s="1133"/>
      <c r="B2010" s="1136"/>
      <c r="C2010" s="1138"/>
    </row>
    <row r="2011" spans="1:3">
      <c r="A2011" s="1133"/>
      <c r="B2011" s="1136"/>
      <c r="C2011" s="1138"/>
    </row>
    <row r="2012" spans="1:3">
      <c r="A2012" s="1133"/>
      <c r="B2012" s="1136"/>
      <c r="C2012" s="1138"/>
    </row>
    <row r="2013" spans="1:3">
      <c r="A2013" s="1133"/>
      <c r="B2013" s="1136"/>
      <c r="C2013" s="1138"/>
    </row>
    <row r="2014" spans="1:3">
      <c r="A2014" s="1133"/>
      <c r="B2014" s="1136"/>
      <c r="C2014" s="1138"/>
    </row>
    <row r="2015" spans="1:3">
      <c r="A2015" s="1133"/>
      <c r="B2015" s="1136"/>
      <c r="C2015" s="1138"/>
    </row>
    <row r="2016" spans="1:3">
      <c r="A2016" s="1133"/>
      <c r="B2016" s="1136"/>
      <c r="C2016" s="1138"/>
    </row>
    <row r="2017" spans="1:3">
      <c r="A2017" s="1133"/>
      <c r="B2017" s="1136"/>
      <c r="C2017" s="1138"/>
    </row>
    <row r="2018" spans="1:3">
      <c r="A2018" s="1133"/>
      <c r="B2018" s="1136"/>
      <c r="C2018" s="1138"/>
    </row>
    <row r="2019" spans="1:3">
      <c r="A2019" s="1133"/>
      <c r="B2019" s="1136"/>
      <c r="C2019" s="1138"/>
    </row>
    <row r="2020" spans="1:3">
      <c r="A2020" s="1133"/>
      <c r="B2020" s="1136"/>
      <c r="C2020" s="1138"/>
    </row>
    <row r="2021" spans="1:3">
      <c r="A2021" s="1133"/>
      <c r="B2021" s="1136"/>
      <c r="C2021" s="1138"/>
    </row>
    <row r="2022" spans="1:3">
      <c r="A2022" s="1133"/>
      <c r="B2022" s="1136"/>
      <c r="C2022" s="1138"/>
    </row>
    <row r="2023" spans="1:3">
      <c r="A2023" s="1133"/>
      <c r="B2023" s="1136"/>
      <c r="C2023" s="1138"/>
    </row>
    <row r="2024" spans="1:3">
      <c r="A2024" s="1133"/>
      <c r="B2024" s="1136"/>
      <c r="C2024" s="1138"/>
    </row>
    <row r="2025" spans="1:3">
      <c r="A2025" s="1133"/>
      <c r="B2025" s="1136"/>
      <c r="C2025" s="1138"/>
    </row>
    <row r="2026" spans="1:3">
      <c r="A2026" s="1133"/>
      <c r="B2026" s="1136"/>
      <c r="C2026" s="1138"/>
    </row>
    <row r="2027" spans="1:3">
      <c r="A2027" s="1133"/>
      <c r="B2027" s="1136"/>
      <c r="C2027" s="1138"/>
    </row>
    <row r="2028" spans="1:3">
      <c r="A2028" s="1133"/>
      <c r="B2028" s="1136"/>
      <c r="C2028" s="1138"/>
    </row>
    <row r="2029" spans="1:3">
      <c r="A2029" s="1133"/>
      <c r="B2029" s="1136"/>
      <c r="C2029" s="1138"/>
    </row>
    <row r="2030" spans="1:3">
      <c r="A2030" s="1133"/>
      <c r="B2030" s="1136"/>
      <c r="C2030" s="1138"/>
    </row>
    <row r="2031" spans="1:3">
      <c r="A2031" s="1133"/>
      <c r="B2031" s="1136"/>
      <c r="C2031" s="1138"/>
    </row>
    <row r="2032" spans="1:3">
      <c r="A2032" s="1133"/>
      <c r="B2032" s="1136"/>
      <c r="C2032" s="1138"/>
    </row>
    <row r="2033" spans="1:3">
      <c r="A2033" s="1133"/>
      <c r="B2033" s="1136"/>
      <c r="C2033" s="1138"/>
    </row>
    <row r="2034" spans="1:3">
      <c r="A2034" s="1133"/>
      <c r="B2034" s="1136"/>
      <c r="C2034" s="1138"/>
    </row>
    <row r="2035" spans="1:3">
      <c r="A2035" s="1133"/>
      <c r="B2035" s="1136"/>
      <c r="C2035" s="1138"/>
    </row>
    <row r="2036" spans="1:3">
      <c r="A2036" s="1133"/>
      <c r="B2036" s="1136"/>
      <c r="C2036" s="1138"/>
    </row>
    <row r="2037" spans="1:3">
      <c r="A2037" s="1133"/>
      <c r="B2037" s="1136"/>
      <c r="C2037" s="1138"/>
    </row>
    <row r="2038" spans="1:3">
      <c r="A2038" s="1133"/>
      <c r="B2038" s="1136"/>
      <c r="C2038" s="1138"/>
    </row>
    <row r="2039" spans="1:3">
      <c r="A2039" s="1133"/>
      <c r="B2039" s="1136"/>
      <c r="C2039" s="1138"/>
    </row>
    <row r="2040" spans="1:3">
      <c r="A2040" s="1133"/>
      <c r="B2040" s="1136"/>
      <c r="C2040" s="1138"/>
    </row>
    <row r="2041" spans="1:3">
      <c r="A2041" s="1133"/>
      <c r="B2041" s="1136"/>
      <c r="C2041" s="1138"/>
    </row>
    <row r="2042" spans="1:3">
      <c r="A2042" s="1133"/>
      <c r="B2042" s="1136"/>
      <c r="C2042" s="1138"/>
    </row>
    <row r="2043" spans="1:3">
      <c r="A2043" s="1133"/>
      <c r="B2043" s="1136"/>
      <c r="C2043" s="1138"/>
    </row>
    <row r="2044" spans="1:3">
      <c r="A2044" s="1133"/>
      <c r="B2044" s="1136"/>
      <c r="C2044" s="1138"/>
    </row>
    <row r="2045" spans="1:3">
      <c r="A2045" s="1133"/>
      <c r="B2045" s="1136"/>
      <c r="C2045" s="1138"/>
    </row>
    <row r="2046" spans="1:3">
      <c r="A2046" s="1133"/>
      <c r="B2046" s="1136"/>
      <c r="C2046" s="1138"/>
    </row>
    <row r="2047" spans="1:3">
      <c r="A2047" s="1133"/>
      <c r="B2047" s="1136"/>
      <c r="C2047" s="1138"/>
    </row>
    <row r="2048" spans="1:3">
      <c r="A2048" s="1133"/>
      <c r="B2048" s="1136"/>
      <c r="C2048" s="1138"/>
    </row>
    <row r="2049" spans="1:3">
      <c r="A2049" s="1133"/>
      <c r="B2049" s="1136"/>
      <c r="C2049" s="1138"/>
    </row>
    <row r="2050" spans="1:3">
      <c r="A2050" s="1133"/>
      <c r="B2050" s="1136"/>
      <c r="C2050" s="1138"/>
    </row>
    <row r="2051" spans="1:3">
      <c r="A2051" s="1133"/>
      <c r="B2051" s="1136"/>
      <c r="C2051" s="1138"/>
    </row>
    <row r="2052" spans="1:3">
      <c r="A2052" s="1133"/>
      <c r="B2052" s="1136"/>
      <c r="C2052" s="1138"/>
    </row>
    <row r="2053" spans="1:3">
      <c r="A2053" s="1133"/>
      <c r="B2053" s="1136"/>
      <c r="C2053" s="1138"/>
    </row>
    <row r="2054" spans="1:3">
      <c r="A2054" s="1133"/>
      <c r="B2054" s="1136"/>
      <c r="C2054" s="1138"/>
    </row>
    <row r="2055" spans="1:3">
      <c r="A2055" s="1133"/>
      <c r="B2055" s="1136"/>
      <c r="C2055" s="1138"/>
    </row>
    <row r="2056" spans="1:3">
      <c r="A2056" s="1133"/>
      <c r="B2056" s="1136"/>
      <c r="C2056" s="1138"/>
    </row>
    <row r="2057" spans="1:3">
      <c r="A2057" s="1133"/>
      <c r="B2057" s="1136"/>
      <c r="C2057" s="1138"/>
    </row>
    <row r="2058" spans="1:3">
      <c r="A2058" s="1133"/>
      <c r="B2058" s="1136"/>
      <c r="C2058" s="1138"/>
    </row>
    <row r="2059" spans="1:3">
      <c r="A2059" s="1133"/>
      <c r="B2059" s="1136"/>
      <c r="C2059" s="1138"/>
    </row>
    <row r="2060" spans="1:3">
      <c r="A2060" s="1133"/>
      <c r="B2060" s="1136"/>
      <c r="C2060" s="1138"/>
    </row>
    <row r="2061" spans="1:3">
      <c r="A2061" s="1133"/>
      <c r="B2061" s="1136"/>
      <c r="C2061" s="1138"/>
    </row>
    <row r="2062" spans="1:3">
      <c r="A2062" s="1133"/>
      <c r="B2062" s="1136"/>
      <c r="C2062" s="1138"/>
    </row>
    <row r="2063" spans="1:3">
      <c r="A2063" s="1133"/>
      <c r="B2063" s="1136"/>
      <c r="C2063" s="1138"/>
    </row>
    <row r="2064" spans="1:3">
      <c r="A2064" s="1133"/>
      <c r="B2064" s="1136"/>
      <c r="C2064" s="1138"/>
    </row>
    <row r="2065" spans="1:3">
      <c r="A2065" s="1133"/>
      <c r="B2065" s="1136"/>
      <c r="C2065" s="1138"/>
    </row>
    <row r="2066" spans="1:3">
      <c r="A2066" s="1133"/>
      <c r="B2066" s="1136"/>
      <c r="C2066" s="1138"/>
    </row>
    <row r="2067" spans="1:3">
      <c r="A2067" s="1133"/>
      <c r="B2067" s="1136"/>
      <c r="C2067" s="1138"/>
    </row>
    <row r="2068" spans="1:3">
      <c r="A2068" s="1133"/>
      <c r="B2068" s="1136"/>
      <c r="C2068" s="1138"/>
    </row>
    <row r="2069" spans="1:3">
      <c r="A2069" s="1133"/>
      <c r="B2069" s="1136"/>
      <c r="C2069" s="1138"/>
    </row>
    <row r="2070" spans="1:3">
      <c r="A2070" s="1133"/>
      <c r="B2070" s="1136"/>
      <c r="C2070" s="1138"/>
    </row>
    <row r="2071" spans="1:3">
      <c r="A2071" s="1133"/>
      <c r="B2071" s="1136"/>
      <c r="C2071" s="1138"/>
    </row>
    <row r="2072" spans="1:3">
      <c r="A2072" s="1133"/>
      <c r="B2072" s="1136"/>
      <c r="C2072" s="1138"/>
    </row>
    <row r="2073" spans="1:3">
      <c r="A2073" s="1133"/>
      <c r="B2073" s="1136"/>
      <c r="C2073" s="1138"/>
    </row>
    <row r="2074" spans="1:3">
      <c r="A2074" s="1133"/>
      <c r="B2074" s="1136"/>
      <c r="C2074" s="1138"/>
    </row>
    <row r="2075" spans="1:3">
      <c r="A2075" s="1133"/>
      <c r="B2075" s="1136"/>
      <c r="C2075" s="1138"/>
    </row>
    <row r="2076" spans="1:3">
      <c r="A2076" s="1133"/>
      <c r="B2076" s="1136"/>
      <c r="C2076" s="1138"/>
    </row>
    <row r="2077" spans="1:3">
      <c r="A2077" s="1133"/>
      <c r="B2077" s="1136"/>
      <c r="C2077" s="1138"/>
    </row>
    <row r="2078" spans="1:3">
      <c r="A2078" s="1133"/>
      <c r="B2078" s="1136"/>
      <c r="C2078" s="1138"/>
    </row>
    <row r="2079" spans="1:3">
      <c r="A2079" s="1133"/>
      <c r="B2079" s="1136"/>
      <c r="C2079" s="1138"/>
    </row>
    <row r="2080" spans="1:3">
      <c r="A2080" s="1133"/>
      <c r="B2080" s="1136"/>
      <c r="C2080" s="1138"/>
    </row>
    <row r="2081" spans="1:3">
      <c r="A2081" s="1133"/>
      <c r="B2081" s="1136"/>
      <c r="C2081" s="1138"/>
    </row>
    <row r="2082" spans="1:3">
      <c r="A2082" s="1133"/>
      <c r="B2082" s="1136"/>
      <c r="C2082" s="1138"/>
    </row>
    <row r="2083" spans="1:3">
      <c r="A2083" s="1133"/>
      <c r="B2083" s="1136"/>
      <c r="C2083" s="1138"/>
    </row>
    <row r="2084" spans="1:3">
      <c r="A2084" s="1133"/>
      <c r="B2084" s="1136"/>
      <c r="C2084" s="1138"/>
    </row>
    <row r="2085" spans="1:3">
      <c r="A2085" s="1133"/>
      <c r="B2085" s="1136"/>
      <c r="C2085" s="1138"/>
    </row>
    <row r="2086" spans="1:3">
      <c r="A2086" s="1133"/>
      <c r="B2086" s="1136"/>
      <c r="C2086" s="1138"/>
    </row>
    <row r="2087" spans="1:3">
      <c r="A2087" s="1133"/>
      <c r="B2087" s="1136"/>
      <c r="C2087" s="1138"/>
    </row>
    <row r="2088" spans="1:3">
      <c r="A2088" s="1133"/>
      <c r="B2088" s="1136"/>
      <c r="C2088" s="1138"/>
    </row>
    <row r="2089" spans="1:3">
      <c r="A2089" s="1133"/>
      <c r="B2089" s="1136"/>
      <c r="C2089" s="1138"/>
    </row>
    <row r="2090" spans="1:3">
      <c r="A2090" s="1133"/>
      <c r="B2090" s="1136"/>
      <c r="C2090" s="1138"/>
    </row>
    <row r="2091" spans="1:3">
      <c r="A2091" s="1133"/>
      <c r="B2091" s="1136"/>
      <c r="C2091" s="1138"/>
    </row>
    <row r="2092" spans="1:3">
      <c r="A2092" s="1133"/>
      <c r="B2092" s="1136"/>
      <c r="C2092" s="1138"/>
    </row>
    <row r="2093" spans="1:3">
      <c r="A2093" s="1133"/>
      <c r="B2093" s="1136"/>
      <c r="C2093" s="1138"/>
    </row>
    <row r="2094" spans="1:3">
      <c r="A2094" s="1133"/>
      <c r="B2094" s="1136"/>
      <c r="C2094" s="1138"/>
    </row>
    <row r="2095" spans="1:3">
      <c r="A2095" s="1133"/>
      <c r="B2095" s="1136"/>
      <c r="C2095" s="1138"/>
    </row>
    <row r="2096" spans="1:3">
      <c r="A2096" s="1133"/>
      <c r="B2096" s="1136"/>
      <c r="C2096" s="1138"/>
    </row>
    <row r="2097" spans="1:3">
      <c r="A2097" s="1133"/>
      <c r="B2097" s="1136"/>
      <c r="C2097" s="1138"/>
    </row>
    <row r="2098" spans="1:3">
      <c r="A2098" s="1133"/>
      <c r="B2098" s="1136"/>
      <c r="C2098" s="1138"/>
    </row>
    <row r="2099" spans="1:3">
      <c r="A2099" s="1133"/>
      <c r="B2099" s="1136"/>
      <c r="C2099" s="1138"/>
    </row>
    <row r="2100" spans="1:3">
      <c r="A2100" s="1133"/>
      <c r="B2100" s="1136"/>
      <c r="C2100" s="1138"/>
    </row>
    <row r="2101" spans="1:3">
      <c r="A2101" s="1133"/>
      <c r="B2101" s="1136"/>
      <c r="C2101" s="1138"/>
    </row>
    <row r="2102" spans="1:3">
      <c r="A2102" s="1133"/>
      <c r="B2102" s="1136"/>
      <c r="C2102" s="1138"/>
    </row>
    <row r="2103" spans="1:3">
      <c r="A2103" s="1133"/>
      <c r="B2103" s="1136"/>
      <c r="C2103" s="1138"/>
    </row>
    <row r="2104" spans="1:3">
      <c r="A2104" s="1133"/>
      <c r="B2104" s="1136"/>
      <c r="C2104" s="1138"/>
    </row>
    <row r="2105" spans="1:3">
      <c r="A2105" s="1133"/>
      <c r="B2105" s="1136"/>
      <c r="C2105" s="1138"/>
    </row>
    <row r="2106" spans="1:3">
      <c r="A2106" s="1133"/>
      <c r="B2106" s="1136"/>
      <c r="C2106" s="1138"/>
    </row>
    <row r="2107" spans="1:3">
      <c r="A2107" s="1133"/>
      <c r="B2107" s="1136"/>
      <c r="C2107" s="1138"/>
    </row>
    <row r="2108" spans="1:3">
      <c r="A2108" s="1133"/>
      <c r="B2108" s="1136"/>
      <c r="C2108" s="1138"/>
    </row>
    <row r="2109" spans="1:3">
      <c r="A2109" s="1133"/>
      <c r="B2109" s="1136"/>
      <c r="C2109" s="1138"/>
    </row>
    <row r="2110" spans="1:3">
      <c r="A2110" s="1133"/>
      <c r="B2110" s="1136"/>
      <c r="C2110" s="1138"/>
    </row>
    <row r="2111" spans="1:3">
      <c r="A2111" s="1133"/>
      <c r="B2111" s="1136"/>
      <c r="C2111" s="1138"/>
    </row>
    <row r="2112" spans="1:3">
      <c r="A2112" s="1133"/>
      <c r="B2112" s="1136"/>
      <c r="C2112" s="1138"/>
    </row>
    <row r="2113" spans="1:3">
      <c r="A2113" s="1133"/>
      <c r="B2113" s="1136"/>
      <c r="C2113" s="1138"/>
    </row>
    <row r="2114" spans="1:3">
      <c r="A2114" s="1133"/>
      <c r="B2114" s="1136"/>
      <c r="C2114" s="1138"/>
    </row>
    <row r="2115" spans="1:3">
      <c r="A2115" s="1133"/>
      <c r="B2115" s="1136"/>
      <c r="C2115" s="1138"/>
    </row>
    <row r="2116" spans="1:3">
      <c r="A2116" s="1133"/>
      <c r="B2116" s="1136"/>
      <c r="C2116" s="1138"/>
    </row>
    <row r="2117" spans="1:3">
      <c r="A2117" s="1133"/>
      <c r="B2117" s="1136"/>
      <c r="C2117" s="1138"/>
    </row>
    <row r="2118" spans="1:3">
      <c r="A2118" s="1133"/>
      <c r="B2118" s="1136"/>
      <c r="C2118" s="1138"/>
    </row>
    <row r="2119" spans="1:3">
      <c r="A2119" s="1133"/>
      <c r="B2119" s="1136"/>
      <c r="C2119" s="1138"/>
    </row>
    <row r="2120" spans="1:3">
      <c r="A2120" s="1133"/>
      <c r="B2120" s="1136"/>
      <c r="C2120" s="1138"/>
    </row>
    <row r="2121" spans="1:3">
      <c r="A2121" s="1133"/>
      <c r="B2121" s="1136"/>
      <c r="C2121" s="1138"/>
    </row>
    <row r="2122" spans="1:3">
      <c r="A2122" s="1133"/>
      <c r="B2122" s="1136"/>
      <c r="C2122" s="1138"/>
    </row>
    <row r="2123" spans="1:3">
      <c r="A2123" s="1133"/>
      <c r="B2123" s="1136"/>
      <c r="C2123" s="1138"/>
    </row>
    <row r="2124" spans="1:3">
      <c r="A2124" s="1133"/>
      <c r="B2124" s="1136"/>
      <c r="C2124" s="1138"/>
    </row>
    <row r="2125" spans="1:3">
      <c r="A2125" s="1133"/>
      <c r="B2125" s="1136"/>
      <c r="C2125" s="1138"/>
    </row>
    <row r="2126" spans="1:3">
      <c r="A2126" s="1133"/>
      <c r="B2126" s="1136"/>
      <c r="C2126" s="1138"/>
    </row>
    <row r="2127" spans="1:3">
      <c r="A2127" s="1133"/>
      <c r="B2127" s="1136"/>
      <c r="C2127" s="1138"/>
    </row>
    <row r="2128" spans="1:3">
      <c r="A2128" s="1133"/>
      <c r="B2128" s="1136"/>
      <c r="C2128" s="1138"/>
    </row>
    <row r="2129" spans="1:3">
      <c r="A2129" s="1133"/>
      <c r="B2129" s="1136"/>
      <c r="C2129" s="1138"/>
    </row>
    <row r="2130" spans="1:3">
      <c r="A2130" s="1133"/>
      <c r="B2130" s="1136"/>
      <c r="C2130" s="1138"/>
    </row>
    <row r="2131" spans="1:3">
      <c r="A2131" s="1133"/>
      <c r="B2131" s="1136"/>
      <c r="C2131" s="1138"/>
    </row>
    <row r="2132" spans="1:3">
      <c r="A2132" s="1133"/>
      <c r="B2132" s="1136"/>
      <c r="C2132" s="1138"/>
    </row>
    <row r="2133" spans="1:3">
      <c r="A2133" s="1133"/>
      <c r="B2133" s="1136"/>
      <c r="C2133" s="1138"/>
    </row>
    <row r="2134" spans="1:3">
      <c r="A2134" s="1133"/>
      <c r="B2134" s="1136"/>
      <c r="C2134" s="1138"/>
    </row>
    <row r="2135" spans="1:3">
      <c r="A2135" s="1133"/>
      <c r="B2135" s="1136"/>
      <c r="C2135" s="1138"/>
    </row>
    <row r="2136" spans="1:3">
      <c r="A2136" s="1133"/>
      <c r="B2136" s="1136"/>
      <c r="C2136" s="1138"/>
    </row>
    <row r="2137" spans="1:3">
      <c r="A2137" s="1133"/>
      <c r="B2137" s="1136"/>
      <c r="C2137" s="1138"/>
    </row>
    <row r="2138" spans="1:3">
      <c r="A2138" s="1133"/>
      <c r="B2138" s="1136"/>
      <c r="C2138" s="1138"/>
    </row>
    <row r="2139" spans="1:3">
      <c r="A2139" s="1133"/>
      <c r="B2139" s="1136"/>
      <c r="C2139" s="1138"/>
    </row>
    <row r="2140" spans="1:3">
      <c r="A2140" s="1133"/>
      <c r="B2140" s="1136"/>
      <c r="C2140" s="1138"/>
    </row>
    <row r="2141" spans="1:3">
      <c r="A2141" s="1133"/>
      <c r="B2141" s="1136"/>
      <c r="C2141" s="1138"/>
    </row>
    <row r="2142" spans="1:3">
      <c r="A2142" s="1133"/>
      <c r="B2142" s="1136"/>
      <c r="C2142" s="1138"/>
    </row>
    <row r="2143" spans="1:3">
      <c r="A2143" s="1133"/>
      <c r="B2143" s="1136"/>
      <c r="C2143" s="1138"/>
    </row>
    <row r="2144" spans="1:3">
      <c r="A2144" s="1133"/>
      <c r="B2144" s="1136"/>
      <c r="C2144" s="1138"/>
    </row>
    <row r="2145" spans="1:3">
      <c r="A2145" s="1133"/>
      <c r="B2145" s="1136"/>
      <c r="C2145" s="1138"/>
    </row>
    <row r="2146" spans="1:3">
      <c r="A2146" s="1133"/>
      <c r="B2146" s="1136"/>
      <c r="C2146" s="1138"/>
    </row>
    <row r="2147" spans="1:3">
      <c r="A2147" s="1133"/>
      <c r="B2147" s="1136"/>
      <c r="C2147" s="1138"/>
    </row>
    <row r="2148" spans="1:3">
      <c r="A2148" s="1133"/>
      <c r="B2148" s="1136"/>
      <c r="C2148" s="1138"/>
    </row>
    <row r="2149" spans="1:3">
      <c r="A2149" s="1133"/>
      <c r="B2149" s="1136"/>
      <c r="C2149" s="1138"/>
    </row>
    <row r="2150" spans="1:3">
      <c r="A2150" s="1133"/>
      <c r="B2150" s="1136"/>
      <c r="C2150" s="1138"/>
    </row>
    <row r="2151" spans="1:3">
      <c r="A2151" s="1133"/>
      <c r="B2151" s="1136"/>
      <c r="C2151" s="1138"/>
    </row>
    <row r="2152" spans="1:3">
      <c r="A2152" s="1133"/>
      <c r="B2152" s="1136"/>
      <c r="C2152" s="1138"/>
    </row>
    <row r="2153" spans="1:3">
      <c r="A2153" s="1133"/>
      <c r="B2153" s="1136"/>
      <c r="C2153" s="1138"/>
    </row>
    <row r="2154" spans="1:3">
      <c r="A2154" s="1133"/>
      <c r="B2154" s="1136"/>
      <c r="C2154" s="1138"/>
    </row>
    <row r="2155" spans="1:3">
      <c r="A2155" s="1133"/>
      <c r="B2155" s="1136"/>
      <c r="C2155" s="1138"/>
    </row>
    <row r="2156" spans="1:3">
      <c r="A2156" s="1133"/>
      <c r="B2156" s="1136"/>
      <c r="C2156" s="1138"/>
    </row>
    <row r="2157" spans="1:3">
      <c r="A2157" s="1133"/>
      <c r="B2157" s="1136"/>
      <c r="C2157" s="1138"/>
    </row>
    <row r="2158" spans="1:3">
      <c r="A2158" s="1133"/>
      <c r="B2158" s="1136"/>
      <c r="C2158" s="1138"/>
    </row>
    <row r="2159" spans="1:3">
      <c r="A2159" s="1133"/>
      <c r="B2159" s="1136"/>
      <c r="C2159" s="1138"/>
    </row>
    <row r="2160" spans="1:3">
      <c r="A2160" s="1133"/>
      <c r="B2160" s="1136"/>
      <c r="C2160" s="1138"/>
    </row>
    <row r="2161" spans="1:3">
      <c r="A2161" s="1133"/>
      <c r="B2161" s="1136"/>
      <c r="C2161" s="1138"/>
    </row>
    <row r="2162" spans="1:3">
      <c r="A2162" s="1133"/>
      <c r="B2162" s="1136"/>
      <c r="C2162" s="1138"/>
    </row>
    <row r="2163" spans="1:3">
      <c r="A2163" s="1133"/>
      <c r="B2163" s="1136"/>
      <c r="C2163" s="1138"/>
    </row>
    <row r="2164" spans="1:3">
      <c r="A2164" s="1133"/>
      <c r="B2164" s="1136"/>
      <c r="C2164" s="1138"/>
    </row>
    <row r="2165" spans="1:3">
      <c r="A2165" s="1133"/>
      <c r="B2165" s="1136"/>
      <c r="C2165" s="1138"/>
    </row>
    <row r="2166" spans="1:3">
      <c r="A2166" s="1133"/>
      <c r="B2166" s="1136"/>
      <c r="C2166" s="1138"/>
    </row>
    <row r="2167" spans="1:3">
      <c r="A2167" s="1133"/>
      <c r="B2167" s="1136"/>
      <c r="C2167" s="1138"/>
    </row>
    <row r="2168" spans="1:3">
      <c r="A2168" s="1133"/>
      <c r="B2168" s="1136"/>
      <c r="C2168" s="1138"/>
    </row>
    <row r="2169" spans="1:3">
      <c r="A2169" s="1133"/>
      <c r="B2169" s="1136"/>
      <c r="C2169" s="1138"/>
    </row>
    <row r="2170" spans="1:3">
      <c r="A2170" s="1133"/>
      <c r="B2170" s="1136"/>
      <c r="C2170" s="1138"/>
    </row>
    <row r="2171" spans="1:3">
      <c r="A2171" s="1133"/>
      <c r="B2171" s="1136"/>
      <c r="C2171" s="1138"/>
    </row>
    <row r="2172" spans="1:3">
      <c r="A2172" s="1133"/>
      <c r="B2172" s="1136"/>
      <c r="C2172" s="1138"/>
    </row>
    <row r="2173" spans="1:3">
      <c r="A2173" s="1133"/>
      <c r="B2173" s="1136"/>
      <c r="C2173" s="1138"/>
    </row>
    <row r="2174" spans="1:3">
      <c r="A2174" s="1133"/>
      <c r="B2174" s="1136"/>
      <c r="C2174" s="1138"/>
    </row>
    <row r="2175" spans="1:3">
      <c r="A2175" s="1133"/>
      <c r="B2175" s="1136"/>
      <c r="C2175" s="1138"/>
    </row>
    <row r="2176" spans="1:3">
      <c r="A2176" s="1133"/>
      <c r="B2176" s="1136"/>
      <c r="C2176" s="1138"/>
    </row>
    <row r="2177" spans="1:3">
      <c r="A2177" s="1133"/>
      <c r="B2177" s="1136"/>
      <c r="C2177" s="1138"/>
    </row>
    <row r="2178" spans="1:3">
      <c r="A2178" s="1133"/>
      <c r="B2178" s="1136"/>
      <c r="C2178" s="1138"/>
    </row>
    <row r="2179" spans="1:3">
      <c r="A2179" s="1133"/>
      <c r="B2179" s="1136"/>
      <c r="C2179" s="1138"/>
    </row>
    <row r="2180" spans="1:3">
      <c r="A2180" s="1133"/>
      <c r="B2180" s="1136"/>
      <c r="C2180" s="1138"/>
    </row>
    <row r="2181" spans="1:3">
      <c r="A2181" s="1133"/>
      <c r="B2181" s="1136"/>
      <c r="C2181" s="1138"/>
    </row>
    <row r="2182" spans="1:3">
      <c r="A2182" s="1133"/>
      <c r="B2182" s="1136"/>
      <c r="C2182" s="1138"/>
    </row>
    <row r="2183" spans="1:3">
      <c r="A2183" s="1133"/>
      <c r="B2183" s="1136"/>
      <c r="C2183" s="1138"/>
    </row>
    <row r="2184" spans="1:3">
      <c r="A2184" s="1133"/>
      <c r="B2184" s="1136"/>
      <c r="C2184" s="1138"/>
    </row>
    <row r="2185" spans="1:3">
      <c r="A2185" s="1133"/>
      <c r="B2185" s="1136"/>
      <c r="C2185" s="1138"/>
    </row>
    <row r="2186" spans="1:3">
      <c r="A2186" s="1133"/>
      <c r="B2186" s="1136"/>
      <c r="C2186" s="1138"/>
    </row>
    <row r="2187" spans="1:3">
      <c r="A2187" s="1133"/>
      <c r="B2187" s="1136"/>
      <c r="C2187" s="1138"/>
    </row>
    <row r="2188" spans="1:3">
      <c r="A2188" s="1133"/>
      <c r="B2188" s="1136"/>
      <c r="C2188" s="1138"/>
    </row>
    <row r="2189" spans="1:3">
      <c r="A2189" s="1133"/>
      <c r="B2189" s="1136"/>
      <c r="C2189" s="1138"/>
    </row>
    <row r="2190" spans="1:3">
      <c r="A2190" s="1133"/>
      <c r="B2190" s="1136"/>
      <c r="C2190" s="1138"/>
    </row>
    <row r="2191" spans="1:3">
      <c r="A2191" s="1133"/>
      <c r="B2191" s="1136"/>
      <c r="C2191" s="1138"/>
    </row>
    <row r="2192" spans="1:3">
      <c r="A2192" s="1133"/>
      <c r="B2192" s="1136"/>
      <c r="C2192" s="1138"/>
    </row>
    <row r="2193" spans="1:3">
      <c r="A2193" s="1133"/>
      <c r="B2193" s="1136"/>
      <c r="C2193" s="1138"/>
    </row>
    <row r="2194" spans="1:3">
      <c r="A2194" s="1133"/>
      <c r="B2194" s="1136"/>
      <c r="C2194" s="1138"/>
    </row>
    <row r="2195" spans="1:3">
      <c r="A2195" s="1133"/>
      <c r="B2195" s="1136"/>
      <c r="C2195" s="1138"/>
    </row>
    <row r="2196" spans="1:3">
      <c r="A2196" s="1133"/>
      <c r="B2196" s="1136"/>
      <c r="C2196" s="1138"/>
    </row>
    <row r="2197" spans="1:3">
      <c r="A2197" s="1133"/>
      <c r="B2197" s="1136"/>
      <c r="C2197" s="1138"/>
    </row>
    <row r="2198" spans="1:3">
      <c r="A2198" s="1133"/>
      <c r="B2198" s="1136"/>
      <c r="C2198" s="1138"/>
    </row>
    <row r="2199" spans="1:3">
      <c r="A2199" s="1133"/>
      <c r="B2199" s="1136"/>
      <c r="C2199" s="1138"/>
    </row>
    <row r="2200" spans="1:3">
      <c r="A2200" s="1133"/>
      <c r="B2200" s="1136"/>
      <c r="C2200" s="1138"/>
    </row>
    <row r="2201" spans="1:3">
      <c r="A2201" s="1133"/>
      <c r="B2201" s="1136"/>
      <c r="C2201" s="1138"/>
    </row>
    <row r="2202" spans="1:3">
      <c r="A2202" s="1133"/>
      <c r="B2202" s="1136"/>
      <c r="C2202" s="1138"/>
    </row>
    <row r="2203" spans="1:3">
      <c r="A2203" s="1133"/>
      <c r="B2203" s="1136"/>
      <c r="C2203" s="1138"/>
    </row>
    <row r="2204" spans="1:3">
      <c r="A2204" s="1133"/>
      <c r="B2204" s="1136"/>
      <c r="C2204" s="1138"/>
    </row>
    <row r="2205" spans="1:3">
      <c r="A2205" s="1133"/>
      <c r="B2205" s="1136"/>
      <c r="C2205" s="1138"/>
    </row>
    <row r="2206" spans="1:3">
      <c r="A2206" s="1133"/>
      <c r="B2206" s="1136"/>
      <c r="C2206" s="1138"/>
    </row>
    <row r="2207" spans="1:3">
      <c r="A2207" s="1133"/>
      <c r="B2207" s="1136"/>
      <c r="C2207" s="1138"/>
    </row>
    <row r="2208" spans="1:3">
      <c r="A2208" s="1133"/>
      <c r="B2208" s="1136"/>
      <c r="C2208" s="1138"/>
    </row>
    <row r="2209" spans="1:3">
      <c r="A2209" s="1133"/>
      <c r="B2209" s="1136"/>
      <c r="C2209" s="1138"/>
    </row>
    <row r="2210" spans="1:3">
      <c r="A2210" s="1133"/>
      <c r="B2210" s="1136"/>
      <c r="C2210" s="1138"/>
    </row>
    <row r="2211" spans="1:3">
      <c r="A2211" s="1133"/>
      <c r="B2211" s="1136"/>
      <c r="C2211" s="1138"/>
    </row>
    <row r="2212" spans="1:3">
      <c r="A2212" s="1133"/>
      <c r="B2212" s="1136"/>
      <c r="C2212" s="1138"/>
    </row>
    <row r="2213" spans="1:3">
      <c r="A2213" s="1133"/>
      <c r="B2213" s="1136"/>
      <c r="C2213" s="1138"/>
    </row>
    <row r="2214" spans="1:3">
      <c r="A2214" s="1133"/>
      <c r="B2214" s="1136"/>
      <c r="C2214" s="1138"/>
    </row>
    <row r="2215" spans="1:3">
      <c r="A2215" s="1133"/>
      <c r="B2215" s="1136"/>
      <c r="C2215" s="1138"/>
    </row>
    <row r="2216" spans="1:3">
      <c r="A2216" s="1133"/>
      <c r="B2216" s="1136"/>
      <c r="C2216" s="1138"/>
    </row>
    <row r="2217" spans="1:3">
      <c r="A2217" s="1133"/>
      <c r="B2217" s="1136"/>
      <c r="C2217" s="1138"/>
    </row>
    <row r="2218" spans="1:3">
      <c r="A2218" s="1133"/>
      <c r="B2218" s="1136"/>
      <c r="C2218" s="1138"/>
    </row>
    <row r="2219" spans="1:3">
      <c r="A2219" s="1133"/>
      <c r="B2219" s="1136"/>
      <c r="C2219" s="1138"/>
    </row>
    <row r="2220" spans="1:3">
      <c r="A2220" s="1133"/>
      <c r="B2220" s="1136"/>
      <c r="C2220" s="1138"/>
    </row>
    <row r="2221" spans="1:3">
      <c r="A2221" s="1133"/>
      <c r="B2221" s="1136"/>
      <c r="C2221" s="1138"/>
    </row>
    <row r="2222" spans="1:3">
      <c r="A2222" s="1133"/>
      <c r="B2222" s="1136"/>
      <c r="C2222" s="1138"/>
    </row>
    <row r="2223" spans="1:3">
      <c r="A2223" s="1133"/>
      <c r="B2223" s="1136"/>
      <c r="C2223" s="1138"/>
    </row>
    <row r="2224" spans="1:3">
      <c r="A2224" s="1133"/>
      <c r="B2224" s="1136"/>
      <c r="C2224" s="1138"/>
    </row>
    <row r="2225" spans="1:3">
      <c r="A2225" s="1133"/>
      <c r="B2225" s="1136"/>
      <c r="C2225" s="1138"/>
    </row>
    <row r="2226" spans="1:3">
      <c r="A2226" s="1133"/>
      <c r="B2226" s="1136"/>
      <c r="C2226" s="1138"/>
    </row>
    <row r="2227" spans="1:3">
      <c r="A2227" s="1133"/>
      <c r="B2227" s="1136"/>
      <c r="C2227" s="1138"/>
    </row>
    <row r="2228" spans="1:3">
      <c r="A2228" s="1133"/>
      <c r="B2228" s="1136"/>
      <c r="C2228" s="1138"/>
    </row>
    <row r="2229" spans="1:3">
      <c r="A2229" s="1133"/>
      <c r="B2229" s="1136"/>
      <c r="C2229" s="1138"/>
    </row>
    <row r="2230" spans="1:3">
      <c r="A2230" s="1133"/>
      <c r="B2230" s="1136"/>
      <c r="C2230" s="1138"/>
    </row>
    <row r="2231" spans="1:3">
      <c r="A2231" s="1133"/>
      <c r="B2231" s="1136"/>
      <c r="C2231" s="1138"/>
    </row>
    <row r="2232" spans="1:3">
      <c r="A2232" s="1133"/>
      <c r="B2232" s="1136"/>
      <c r="C2232" s="1138"/>
    </row>
    <row r="2233" spans="1:3">
      <c r="A2233" s="1133"/>
      <c r="B2233" s="1136"/>
      <c r="C2233" s="1138"/>
    </row>
    <row r="2234" spans="1:3">
      <c r="A2234" s="1133"/>
      <c r="B2234" s="1136"/>
      <c r="C2234" s="1138"/>
    </row>
    <row r="2235" spans="1:3">
      <c r="A2235" s="1133"/>
      <c r="B2235" s="1136"/>
      <c r="C2235" s="1138"/>
    </row>
    <row r="2236" spans="1:3">
      <c r="A2236" s="1133"/>
      <c r="B2236" s="1136"/>
      <c r="C2236" s="1138"/>
    </row>
    <row r="2237" spans="1:3">
      <c r="A2237" s="1133"/>
      <c r="B2237" s="1136"/>
      <c r="C2237" s="1138"/>
    </row>
    <row r="2238" spans="1:3">
      <c r="A2238" s="1133"/>
      <c r="B2238" s="1136"/>
      <c r="C2238" s="1138"/>
    </row>
    <row r="2239" spans="1:3">
      <c r="A2239" s="1133"/>
      <c r="B2239" s="1136"/>
      <c r="C2239" s="1138"/>
    </row>
    <row r="2240" spans="1:3">
      <c r="A2240" s="1133"/>
      <c r="B2240" s="1136"/>
      <c r="C2240" s="1138"/>
    </row>
    <row r="2241" spans="1:3">
      <c r="A2241" s="1133"/>
      <c r="B2241" s="1136"/>
      <c r="C2241" s="1138"/>
    </row>
    <row r="2242" spans="1:3">
      <c r="A2242" s="1133"/>
      <c r="B2242" s="1136"/>
      <c r="C2242" s="1138"/>
    </row>
    <row r="2243" spans="1:3">
      <c r="A2243" s="1133"/>
      <c r="B2243" s="1136"/>
      <c r="C2243" s="1138"/>
    </row>
    <row r="2244" spans="1:3">
      <c r="A2244" s="1133"/>
      <c r="B2244" s="1136"/>
      <c r="C2244" s="1138"/>
    </row>
    <row r="2245" spans="1:3">
      <c r="A2245" s="1133"/>
      <c r="B2245" s="1136"/>
      <c r="C2245" s="1138"/>
    </row>
    <row r="2246" spans="1:3">
      <c r="A2246" s="1133"/>
      <c r="B2246" s="1136"/>
      <c r="C2246" s="1138"/>
    </row>
    <row r="2247" spans="1:3">
      <c r="A2247" s="1133"/>
      <c r="B2247" s="1136"/>
      <c r="C2247" s="1138"/>
    </row>
    <row r="2248" spans="1:3">
      <c r="A2248" s="1133"/>
      <c r="B2248" s="1136"/>
      <c r="C2248" s="1138"/>
    </row>
    <row r="2249" spans="1:3">
      <c r="A2249" s="1133"/>
      <c r="B2249" s="1136"/>
      <c r="C2249" s="1138"/>
    </row>
    <row r="2250" spans="1:3">
      <c r="A2250" s="1133"/>
      <c r="B2250" s="1136"/>
      <c r="C2250" s="1138"/>
    </row>
    <row r="2251" spans="1:3">
      <c r="A2251" s="1133"/>
      <c r="B2251" s="1136"/>
      <c r="C2251" s="1138"/>
    </row>
    <row r="2252" spans="1:3">
      <c r="A2252" s="1133"/>
      <c r="B2252" s="1136"/>
      <c r="C2252" s="1138"/>
    </row>
    <row r="2253" spans="1:3">
      <c r="A2253" s="1133"/>
      <c r="B2253" s="1136"/>
      <c r="C2253" s="1138"/>
    </row>
    <row r="2254" spans="1:3">
      <c r="A2254" s="1133"/>
      <c r="B2254" s="1136"/>
      <c r="C2254" s="1138"/>
    </row>
    <row r="2255" spans="1:3">
      <c r="A2255" s="1133"/>
      <c r="B2255" s="1136"/>
      <c r="C2255" s="1138"/>
    </row>
    <row r="2256" spans="1:3">
      <c r="A2256" s="1133"/>
      <c r="B2256" s="1136"/>
      <c r="C2256" s="1138"/>
    </row>
    <row r="2257" spans="1:3">
      <c r="A2257" s="1133"/>
      <c r="B2257" s="1136"/>
      <c r="C2257" s="1138"/>
    </row>
    <row r="2258" spans="1:3">
      <c r="A2258" s="1133"/>
      <c r="B2258" s="1136"/>
      <c r="C2258" s="1138"/>
    </row>
    <row r="2259" spans="1:3">
      <c r="A2259" s="1133"/>
      <c r="B2259" s="1136"/>
      <c r="C2259" s="1138"/>
    </row>
    <row r="2260" spans="1:3">
      <c r="A2260" s="1133"/>
      <c r="B2260" s="1136"/>
      <c r="C2260" s="1138"/>
    </row>
    <row r="2261" spans="1:3">
      <c r="A2261" s="1133"/>
      <c r="B2261" s="1136"/>
      <c r="C2261" s="1138"/>
    </row>
    <row r="2262" spans="1:3">
      <c r="A2262" s="1133"/>
      <c r="B2262" s="1136"/>
      <c r="C2262" s="1138"/>
    </row>
    <row r="2263" spans="1:3">
      <c r="A2263" s="1133"/>
      <c r="B2263" s="1136"/>
      <c r="C2263" s="1138"/>
    </row>
    <row r="2264" spans="1:3">
      <c r="A2264" s="1133"/>
      <c r="B2264" s="1136"/>
      <c r="C2264" s="1138"/>
    </row>
    <row r="2265" spans="1:3">
      <c r="A2265" s="1133"/>
      <c r="B2265" s="1136"/>
      <c r="C2265" s="1138"/>
    </row>
    <row r="2266" spans="1:3">
      <c r="A2266" s="1133"/>
      <c r="B2266" s="1136"/>
      <c r="C2266" s="1138"/>
    </row>
    <row r="2267" spans="1:3">
      <c r="A2267" s="1133"/>
      <c r="B2267" s="1136"/>
      <c r="C2267" s="1138"/>
    </row>
    <row r="2268" spans="1:3">
      <c r="A2268" s="1133"/>
      <c r="B2268" s="1136"/>
      <c r="C2268" s="1138"/>
    </row>
    <row r="2269" spans="1:3">
      <c r="A2269" s="1133"/>
      <c r="B2269" s="1136"/>
      <c r="C2269" s="1138"/>
    </row>
    <row r="2270" spans="1:3">
      <c r="A2270" s="1133"/>
      <c r="B2270" s="1136"/>
      <c r="C2270" s="1138"/>
    </row>
    <row r="2271" spans="1:3">
      <c r="A2271" s="1133"/>
      <c r="B2271" s="1136"/>
      <c r="C2271" s="1138"/>
    </row>
    <row r="2272" spans="1:3">
      <c r="A2272" s="1133"/>
      <c r="B2272" s="1136"/>
      <c r="C2272" s="1138"/>
    </row>
    <row r="2273" spans="1:3">
      <c r="A2273" s="1133"/>
      <c r="B2273" s="1136"/>
      <c r="C2273" s="1138"/>
    </row>
    <row r="2274" spans="1:3">
      <c r="A2274" s="1133"/>
      <c r="B2274" s="1136"/>
      <c r="C2274" s="1138"/>
    </row>
    <row r="2275" spans="1:3">
      <c r="A2275" s="1133"/>
      <c r="B2275" s="1136"/>
      <c r="C2275" s="1138"/>
    </row>
    <row r="2276" spans="1:3">
      <c r="A2276" s="1133"/>
      <c r="B2276" s="1136"/>
      <c r="C2276" s="1138"/>
    </row>
    <row r="2277" spans="1:3">
      <c r="A2277" s="1133"/>
      <c r="B2277" s="1136"/>
      <c r="C2277" s="1138"/>
    </row>
    <row r="2278" spans="1:3">
      <c r="A2278" s="1133"/>
      <c r="B2278" s="1136"/>
      <c r="C2278" s="1138"/>
    </row>
    <row r="2279" spans="1:3">
      <c r="A2279" s="1133"/>
      <c r="B2279" s="1136"/>
      <c r="C2279" s="1138"/>
    </row>
    <row r="2280" spans="1:3">
      <c r="A2280" s="1133"/>
      <c r="B2280" s="1136"/>
      <c r="C2280" s="1138"/>
    </row>
    <row r="2281" spans="1:3">
      <c r="A2281" s="1133"/>
      <c r="B2281" s="1136"/>
      <c r="C2281" s="1138"/>
    </row>
    <row r="2282" spans="1:3">
      <c r="A2282" s="1133"/>
      <c r="B2282" s="1136"/>
      <c r="C2282" s="1138"/>
    </row>
    <row r="2283" spans="1:3">
      <c r="A2283" s="1133"/>
      <c r="B2283" s="1136"/>
      <c r="C2283" s="1138"/>
    </row>
    <row r="2284" spans="1:3">
      <c r="A2284" s="1133"/>
      <c r="B2284" s="1136"/>
      <c r="C2284" s="1138"/>
    </row>
    <row r="2285" spans="1:3">
      <c r="A2285" s="1133"/>
      <c r="B2285" s="1136"/>
      <c r="C2285" s="1138"/>
    </row>
    <row r="2286" spans="1:3">
      <c r="A2286" s="1133"/>
      <c r="B2286" s="1136"/>
      <c r="C2286" s="1138"/>
    </row>
    <row r="2287" spans="1:3">
      <c r="A2287" s="1133"/>
      <c r="B2287" s="1136"/>
      <c r="C2287" s="1138"/>
    </row>
    <row r="2288" spans="1:3">
      <c r="A2288" s="1133"/>
      <c r="B2288" s="1136"/>
      <c r="C2288" s="1138"/>
    </row>
    <row r="2289" spans="1:3">
      <c r="A2289" s="1133"/>
      <c r="B2289" s="1136"/>
      <c r="C2289" s="1138"/>
    </row>
    <row r="2290" spans="1:3">
      <c r="A2290" s="1133"/>
      <c r="B2290" s="1136"/>
      <c r="C2290" s="1138"/>
    </row>
    <row r="2291" spans="1:3">
      <c r="A2291" s="1133"/>
      <c r="B2291" s="1136"/>
      <c r="C2291" s="1138"/>
    </row>
    <row r="2292" spans="1:3">
      <c r="A2292" s="1133"/>
      <c r="B2292" s="1136"/>
      <c r="C2292" s="1138"/>
    </row>
    <row r="2293" spans="1:3">
      <c r="A2293" s="1133"/>
      <c r="B2293" s="1136"/>
      <c r="C2293" s="1138"/>
    </row>
    <row r="2294" spans="1:3">
      <c r="A2294" s="1133"/>
      <c r="B2294" s="1136"/>
      <c r="C2294" s="1138"/>
    </row>
    <row r="2295" spans="1:3">
      <c r="A2295" s="1133"/>
      <c r="B2295" s="1136"/>
      <c r="C2295" s="1138"/>
    </row>
    <row r="2296" spans="1:3">
      <c r="A2296" s="1133"/>
      <c r="B2296" s="1136"/>
      <c r="C2296" s="1138"/>
    </row>
    <row r="2297" spans="1:3">
      <c r="A2297" s="1133"/>
      <c r="B2297" s="1136"/>
      <c r="C2297" s="1138"/>
    </row>
    <row r="2298" spans="1:3">
      <c r="A2298" s="1133"/>
      <c r="B2298" s="1136"/>
      <c r="C2298" s="1138"/>
    </row>
    <row r="2299" spans="1:3">
      <c r="A2299" s="1133"/>
      <c r="B2299" s="1136"/>
      <c r="C2299" s="1138"/>
    </row>
    <row r="2300" spans="1:3">
      <c r="A2300" s="1133"/>
      <c r="B2300" s="1136"/>
      <c r="C2300" s="1138"/>
    </row>
    <row r="2301" spans="1:3">
      <c r="A2301" s="1133"/>
      <c r="B2301" s="1136"/>
      <c r="C2301" s="1138"/>
    </row>
    <row r="2302" spans="1:3">
      <c r="A2302" s="1133"/>
      <c r="B2302" s="1136"/>
      <c r="C2302" s="1138"/>
    </row>
    <row r="2303" spans="1:3">
      <c r="A2303" s="1133"/>
      <c r="B2303" s="1136"/>
      <c r="C2303" s="1138"/>
    </row>
    <row r="2304" spans="1:3">
      <c r="A2304" s="1133"/>
      <c r="B2304" s="1136"/>
      <c r="C2304" s="1138"/>
    </row>
    <row r="2305" spans="1:3">
      <c r="A2305" s="1133"/>
      <c r="B2305" s="1136"/>
      <c r="C2305" s="1138"/>
    </row>
    <row r="2306" spans="1:3">
      <c r="A2306" s="1133"/>
      <c r="B2306" s="1136"/>
      <c r="C2306" s="1138"/>
    </row>
    <row r="2307" spans="1:3">
      <c r="A2307" s="1133"/>
      <c r="B2307" s="1136"/>
      <c r="C2307" s="1138"/>
    </row>
    <row r="2308" spans="1:3">
      <c r="A2308" s="1133"/>
      <c r="B2308" s="1136"/>
      <c r="C2308" s="1138"/>
    </row>
    <row r="2309" spans="1:3">
      <c r="A2309" s="1133"/>
      <c r="B2309" s="1136"/>
      <c r="C2309" s="1138"/>
    </row>
    <row r="2310" spans="1:3">
      <c r="A2310" s="1133"/>
      <c r="B2310" s="1136"/>
      <c r="C2310" s="1138"/>
    </row>
    <row r="2311" spans="1:3">
      <c r="A2311" s="1133"/>
      <c r="B2311" s="1136"/>
      <c r="C2311" s="1138"/>
    </row>
    <row r="2312" spans="1:3">
      <c r="A2312" s="1133"/>
      <c r="B2312" s="1136"/>
      <c r="C2312" s="1138"/>
    </row>
    <row r="2313" spans="1:3">
      <c r="A2313" s="1133"/>
      <c r="B2313" s="1136"/>
      <c r="C2313" s="1138"/>
    </row>
    <row r="2314" spans="1:3">
      <c r="A2314" s="1133"/>
      <c r="B2314" s="1136"/>
      <c r="C2314" s="1138"/>
    </row>
    <row r="2315" spans="1:3">
      <c r="A2315" s="1133"/>
      <c r="B2315" s="1136"/>
      <c r="C2315" s="1138"/>
    </row>
    <row r="2316" spans="1:3">
      <c r="A2316" s="1133"/>
      <c r="B2316" s="1136"/>
      <c r="C2316" s="1138"/>
    </row>
    <row r="2317" spans="1:3">
      <c r="A2317" s="1133"/>
      <c r="B2317" s="1136"/>
      <c r="C2317" s="1138"/>
    </row>
    <row r="2318" spans="1:3">
      <c r="A2318" s="1133"/>
      <c r="B2318" s="1136"/>
      <c r="C2318" s="1138"/>
    </row>
    <row r="2319" spans="1:3">
      <c r="A2319" s="1133"/>
      <c r="B2319" s="1136"/>
      <c r="C2319" s="1138"/>
    </row>
    <row r="2320" spans="1:3">
      <c r="A2320" s="1133"/>
      <c r="B2320" s="1136"/>
      <c r="C2320" s="1138"/>
    </row>
    <row r="2321" spans="1:3">
      <c r="A2321" s="1133"/>
      <c r="B2321" s="1136"/>
      <c r="C2321" s="1138"/>
    </row>
    <row r="2322" spans="1:3">
      <c r="A2322" s="1133"/>
      <c r="B2322" s="1136"/>
      <c r="C2322" s="1138"/>
    </row>
    <row r="2323" spans="1:3">
      <c r="A2323" s="1133"/>
      <c r="B2323" s="1136"/>
      <c r="C2323" s="1138"/>
    </row>
    <row r="2324" spans="1:3">
      <c r="A2324" s="1133"/>
      <c r="B2324" s="1136"/>
      <c r="C2324" s="1138"/>
    </row>
    <row r="2325" spans="1:3">
      <c r="A2325" s="1133"/>
      <c r="B2325" s="1136"/>
      <c r="C2325" s="1138"/>
    </row>
    <row r="2326" spans="1:3">
      <c r="A2326" s="1133"/>
      <c r="B2326" s="1136"/>
      <c r="C2326" s="1138"/>
    </row>
    <row r="2327" spans="1:3">
      <c r="A2327" s="1133"/>
      <c r="B2327" s="1136"/>
      <c r="C2327" s="1138"/>
    </row>
    <row r="2328" spans="1:3">
      <c r="A2328" s="1133"/>
      <c r="B2328" s="1136"/>
      <c r="C2328" s="1138"/>
    </row>
    <row r="2329" spans="1:3">
      <c r="A2329" s="1133"/>
      <c r="B2329" s="1136"/>
      <c r="C2329" s="1138"/>
    </row>
    <row r="2330" spans="1:3">
      <c r="A2330" s="1133"/>
      <c r="B2330" s="1136"/>
      <c r="C2330" s="1138"/>
    </row>
    <row r="2331" spans="1:3">
      <c r="A2331" s="1133"/>
      <c r="B2331" s="1136"/>
      <c r="C2331" s="1138"/>
    </row>
    <row r="2332" spans="1:3">
      <c r="A2332" s="1133"/>
      <c r="B2332" s="1136"/>
      <c r="C2332" s="1138"/>
    </row>
    <row r="2333" spans="1:3">
      <c r="A2333" s="1133"/>
      <c r="B2333" s="1136"/>
      <c r="C2333" s="1138"/>
    </row>
    <row r="2334" spans="1:3">
      <c r="A2334" s="1133"/>
      <c r="B2334" s="1136"/>
      <c r="C2334" s="1138"/>
    </row>
    <row r="2335" spans="1:3">
      <c r="A2335" s="1133"/>
      <c r="B2335" s="1136"/>
      <c r="C2335" s="1138"/>
    </row>
    <row r="2336" spans="1:3">
      <c r="A2336" s="1133"/>
      <c r="B2336" s="1136"/>
      <c r="C2336" s="1138"/>
    </row>
    <row r="2337" spans="1:3">
      <c r="A2337" s="1133"/>
      <c r="B2337" s="1136"/>
      <c r="C2337" s="1138"/>
    </row>
    <row r="2338" spans="1:3">
      <c r="A2338" s="1133"/>
      <c r="B2338" s="1136"/>
      <c r="C2338" s="1138"/>
    </row>
    <row r="2339" spans="1:3">
      <c r="A2339" s="1133"/>
      <c r="B2339" s="1136"/>
      <c r="C2339" s="1138"/>
    </row>
    <row r="2340" spans="1:3">
      <c r="A2340" s="1133"/>
      <c r="B2340" s="1136"/>
      <c r="C2340" s="1138"/>
    </row>
    <row r="2341" spans="1:3">
      <c r="A2341" s="1133"/>
      <c r="B2341" s="1136"/>
      <c r="C2341" s="1138"/>
    </row>
    <row r="2342" spans="1:3">
      <c r="A2342" s="1133"/>
      <c r="B2342" s="1136"/>
      <c r="C2342" s="1138"/>
    </row>
    <row r="2343" spans="1:3">
      <c r="A2343" s="1133"/>
      <c r="B2343" s="1136"/>
      <c r="C2343" s="1138"/>
    </row>
    <row r="2344" spans="1:3">
      <c r="A2344" s="1133"/>
      <c r="B2344" s="1136"/>
      <c r="C2344" s="1138"/>
    </row>
    <row r="2345" spans="1:3">
      <c r="A2345" s="1133"/>
      <c r="B2345" s="1136"/>
      <c r="C2345" s="1138"/>
    </row>
    <row r="2346" spans="1:3">
      <c r="A2346" s="1133"/>
      <c r="B2346" s="1136"/>
      <c r="C2346" s="1138"/>
    </row>
    <row r="2347" spans="1:3">
      <c r="A2347" s="1133"/>
      <c r="B2347" s="1136"/>
      <c r="C2347" s="1138"/>
    </row>
    <row r="2348" spans="1:3">
      <c r="A2348" s="1133"/>
      <c r="B2348" s="1136"/>
      <c r="C2348" s="1138"/>
    </row>
    <row r="2349" spans="1:3">
      <c r="A2349" s="1133"/>
      <c r="B2349" s="1136"/>
      <c r="C2349" s="1138"/>
    </row>
    <row r="2350" spans="1:3">
      <c r="A2350" s="1133"/>
      <c r="B2350" s="1136"/>
      <c r="C2350" s="1138"/>
    </row>
    <row r="2351" spans="1:3">
      <c r="A2351" s="1133"/>
      <c r="B2351" s="1136"/>
      <c r="C2351" s="1138"/>
    </row>
    <row r="2352" spans="1:3">
      <c r="A2352" s="1133"/>
      <c r="B2352" s="1136"/>
      <c r="C2352" s="1138"/>
    </row>
    <row r="2353" spans="1:3">
      <c r="A2353" s="1133"/>
      <c r="B2353" s="1136"/>
      <c r="C2353" s="1138"/>
    </row>
    <row r="2354" spans="1:3">
      <c r="A2354" s="1133"/>
      <c r="B2354" s="1136"/>
      <c r="C2354" s="1138"/>
    </row>
    <row r="2355" spans="1:3">
      <c r="A2355" s="1133"/>
      <c r="B2355" s="1136"/>
      <c r="C2355" s="1138"/>
    </row>
    <row r="2356" spans="1:3">
      <c r="A2356" s="1133"/>
      <c r="B2356" s="1136"/>
      <c r="C2356" s="1138"/>
    </row>
    <row r="2357" spans="1:3">
      <c r="A2357" s="1133"/>
      <c r="B2357" s="1136"/>
      <c r="C2357" s="1138"/>
    </row>
    <row r="2358" spans="1:3">
      <c r="A2358" s="1133"/>
      <c r="B2358" s="1136"/>
      <c r="C2358" s="1138"/>
    </row>
    <row r="2359" spans="1:3">
      <c r="A2359" s="1133"/>
      <c r="B2359" s="1136"/>
      <c r="C2359" s="1138"/>
    </row>
    <row r="2360" spans="1:3">
      <c r="A2360" s="1133"/>
      <c r="B2360" s="1136"/>
      <c r="C2360" s="1138"/>
    </row>
    <row r="2361" spans="1:3">
      <c r="A2361" s="1133"/>
      <c r="B2361" s="1136"/>
      <c r="C2361" s="1138"/>
    </row>
    <row r="2362" spans="1:3">
      <c r="A2362" s="1133"/>
      <c r="B2362" s="1136"/>
      <c r="C2362" s="1138"/>
    </row>
    <row r="2363" spans="1:3">
      <c r="A2363" s="1133"/>
      <c r="B2363" s="1136"/>
      <c r="C2363" s="1138"/>
    </row>
    <row r="2364" spans="1:3">
      <c r="A2364" s="1133"/>
      <c r="B2364" s="1136"/>
      <c r="C2364" s="1138"/>
    </row>
    <row r="2365" spans="1:3">
      <c r="A2365" s="1133"/>
      <c r="B2365" s="1136"/>
      <c r="C2365" s="1138"/>
    </row>
    <row r="2366" spans="1:3">
      <c r="A2366" s="1133"/>
      <c r="B2366" s="1136"/>
      <c r="C2366" s="1138"/>
    </row>
    <row r="2367" spans="1:3">
      <c r="A2367" s="1133"/>
      <c r="B2367" s="1136"/>
      <c r="C2367" s="1138"/>
    </row>
    <row r="2368" spans="1:3">
      <c r="A2368" s="1133"/>
      <c r="B2368" s="1136"/>
      <c r="C2368" s="1138"/>
    </row>
    <row r="2369" spans="1:3">
      <c r="A2369" s="1133"/>
      <c r="B2369" s="1136"/>
      <c r="C2369" s="1138"/>
    </row>
    <row r="2370" spans="1:3">
      <c r="A2370" s="1133"/>
      <c r="B2370" s="1136"/>
      <c r="C2370" s="1138"/>
    </row>
    <row r="2371" spans="1:3">
      <c r="A2371" s="1133"/>
      <c r="B2371" s="1136"/>
      <c r="C2371" s="1138"/>
    </row>
    <row r="2372" spans="1:3">
      <c r="A2372" s="1133"/>
      <c r="B2372" s="1136"/>
      <c r="C2372" s="1138"/>
    </row>
    <row r="2373" spans="1:3">
      <c r="A2373" s="1133"/>
      <c r="B2373" s="1136"/>
      <c r="C2373" s="1138"/>
    </row>
    <row r="2374" spans="1:3">
      <c r="A2374" s="1133"/>
      <c r="B2374" s="1136"/>
      <c r="C2374" s="1138"/>
    </row>
    <row r="2375" spans="1:3">
      <c r="A2375" s="1133"/>
      <c r="B2375" s="1136"/>
      <c r="C2375" s="1138"/>
    </row>
    <row r="2376" spans="1:3">
      <c r="A2376" s="1133"/>
      <c r="B2376" s="1136"/>
      <c r="C2376" s="1138"/>
    </row>
    <row r="2377" spans="1:3">
      <c r="A2377" s="1133"/>
      <c r="B2377" s="1136"/>
      <c r="C2377" s="1138"/>
    </row>
    <row r="2378" spans="1:3">
      <c r="A2378" s="1133"/>
      <c r="B2378" s="1136"/>
      <c r="C2378" s="1138"/>
    </row>
    <row r="2379" spans="1:3">
      <c r="A2379" s="1133"/>
      <c r="B2379" s="1136"/>
      <c r="C2379" s="1138"/>
    </row>
    <row r="2380" spans="1:3">
      <c r="A2380" s="1133"/>
      <c r="B2380" s="1136"/>
      <c r="C2380" s="1138"/>
    </row>
    <row r="2381" spans="1:3">
      <c r="A2381" s="1133"/>
      <c r="B2381" s="1136"/>
      <c r="C2381" s="1138"/>
    </row>
    <row r="2382" spans="1:3">
      <c r="A2382" s="1133"/>
      <c r="B2382" s="1136"/>
      <c r="C2382" s="1138"/>
    </row>
    <row r="2383" spans="1:3">
      <c r="A2383" s="1133"/>
      <c r="B2383" s="1136"/>
      <c r="C2383" s="1138"/>
    </row>
    <row r="2384" spans="1:3">
      <c r="A2384" s="1133"/>
      <c r="B2384" s="1136"/>
      <c r="C2384" s="1138"/>
    </row>
    <row r="2385" spans="1:3">
      <c r="A2385" s="1133"/>
      <c r="B2385" s="1136"/>
      <c r="C2385" s="1138"/>
    </row>
    <row r="2386" spans="1:3">
      <c r="A2386" s="1133"/>
      <c r="B2386" s="1136"/>
      <c r="C2386" s="1138"/>
    </row>
    <row r="2387" spans="1:3">
      <c r="A2387" s="1133"/>
      <c r="B2387" s="1136"/>
      <c r="C2387" s="1138"/>
    </row>
    <row r="2388" spans="1:3">
      <c r="A2388" s="1133"/>
      <c r="B2388" s="1136"/>
      <c r="C2388" s="1138"/>
    </row>
    <row r="2389" spans="1:3">
      <c r="A2389" s="1133"/>
      <c r="B2389" s="1136"/>
      <c r="C2389" s="1138"/>
    </row>
    <row r="2390" spans="1:3">
      <c r="A2390" s="1133"/>
      <c r="B2390" s="1136"/>
      <c r="C2390" s="1138"/>
    </row>
    <row r="2391" spans="1:3">
      <c r="A2391" s="1133"/>
      <c r="B2391" s="1136"/>
      <c r="C2391" s="1138"/>
    </row>
    <row r="2392" spans="1:3">
      <c r="A2392" s="1133"/>
      <c r="B2392" s="1136"/>
      <c r="C2392" s="1138"/>
    </row>
    <row r="2393" spans="1:3">
      <c r="A2393" s="1133"/>
      <c r="B2393" s="1136"/>
      <c r="C2393" s="1138"/>
    </row>
    <row r="2394" spans="1:3">
      <c r="A2394" s="1133"/>
      <c r="B2394" s="1136"/>
      <c r="C2394" s="1138"/>
    </row>
    <row r="2395" spans="1:3">
      <c r="A2395" s="1133"/>
      <c r="B2395" s="1136"/>
      <c r="C2395" s="1138"/>
    </row>
    <row r="2396" spans="1:3">
      <c r="A2396" s="1133"/>
      <c r="B2396" s="1136"/>
      <c r="C2396" s="1138"/>
    </row>
    <row r="2397" spans="1:3">
      <c r="A2397" s="1133"/>
      <c r="B2397" s="1136"/>
      <c r="C2397" s="1138"/>
    </row>
    <row r="2398" spans="1:3">
      <c r="A2398" s="1133"/>
      <c r="B2398" s="1136"/>
      <c r="C2398" s="1138"/>
    </row>
    <row r="2399" spans="1:3">
      <c r="A2399" s="1133"/>
      <c r="B2399" s="1136"/>
      <c r="C2399" s="1138"/>
    </row>
    <row r="2400" spans="1:3">
      <c r="A2400" s="1133"/>
      <c r="B2400" s="1136"/>
      <c r="C2400" s="1138"/>
    </row>
    <row r="2401" spans="1:3">
      <c r="A2401" s="1133"/>
      <c r="B2401" s="1136"/>
      <c r="C2401" s="1138"/>
    </row>
    <row r="2402" spans="1:3">
      <c r="A2402" s="1133"/>
      <c r="B2402" s="1136"/>
      <c r="C2402" s="1138"/>
    </row>
    <row r="2403" spans="1:3">
      <c r="A2403" s="1133"/>
      <c r="B2403" s="1136"/>
      <c r="C2403" s="1138"/>
    </row>
    <row r="2404" spans="1:3">
      <c r="A2404" s="1133"/>
      <c r="B2404" s="1136"/>
      <c r="C2404" s="1138"/>
    </row>
    <row r="2405" spans="1:3">
      <c r="A2405" s="1133"/>
      <c r="B2405" s="1136"/>
      <c r="C2405" s="1138"/>
    </row>
    <row r="2406" spans="1:3">
      <c r="A2406" s="1133"/>
      <c r="B2406" s="1136"/>
      <c r="C2406" s="1138"/>
    </row>
    <row r="2407" spans="1:3">
      <c r="A2407" s="1133"/>
      <c r="B2407" s="1136"/>
      <c r="C2407" s="1138"/>
    </row>
    <row r="2408" spans="1:3">
      <c r="A2408" s="1133"/>
      <c r="B2408" s="1136"/>
      <c r="C2408" s="1138"/>
    </row>
    <row r="2409" spans="1:3">
      <c r="A2409" s="1133"/>
      <c r="B2409" s="1136"/>
      <c r="C2409" s="1138"/>
    </row>
    <row r="2410" spans="1:3">
      <c r="A2410" s="1133"/>
      <c r="B2410" s="1136"/>
      <c r="C2410" s="1138"/>
    </row>
    <row r="2411" spans="1:3">
      <c r="A2411" s="1133"/>
      <c r="B2411" s="1136"/>
      <c r="C2411" s="1138"/>
    </row>
    <row r="2412" spans="1:3">
      <c r="A2412" s="1133"/>
      <c r="B2412" s="1136"/>
      <c r="C2412" s="1138"/>
    </row>
    <row r="2413" spans="1:3">
      <c r="A2413" s="1133"/>
      <c r="B2413" s="1136"/>
      <c r="C2413" s="1138"/>
    </row>
    <row r="2414" spans="1:3">
      <c r="A2414" s="1133"/>
      <c r="B2414" s="1136"/>
      <c r="C2414" s="1138"/>
    </row>
    <row r="2415" spans="1:3">
      <c r="A2415" s="1133"/>
      <c r="B2415" s="1136"/>
      <c r="C2415" s="1138"/>
    </row>
    <row r="2416" spans="1:3">
      <c r="A2416" s="1133"/>
      <c r="B2416" s="1136"/>
      <c r="C2416" s="1138"/>
    </row>
    <row r="2417" spans="1:3">
      <c r="A2417" s="1133"/>
      <c r="B2417" s="1136"/>
      <c r="C2417" s="1138"/>
    </row>
    <row r="2418" spans="1:3">
      <c r="A2418" s="1133"/>
      <c r="B2418" s="1136"/>
      <c r="C2418" s="1138"/>
    </row>
    <row r="2419" spans="1:3">
      <c r="A2419" s="1133"/>
      <c r="B2419" s="1136"/>
      <c r="C2419" s="1138"/>
    </row>
    <row r="2420" spans="1:3">
      <c r="A2420" s="1133"/>
      <c r="B2420" s="1136"/>
      <c r="C2420" s="1138"/>
    </row>
    <row r="2421" spans="1:3">
      <c r="A2421" s="1133"/>
      <c r="B2421" s="1136"/>
      <c r="C2421" s="1138"/>
    </row>
    <row r="2422" spans="1:3">
      <c r="A2422" s="1133"/>
      <c r="B2422" s="1136"/>
      <c r="C2422" s="1138"/>
    </row>
    <row r="2423" spans="1:3">
      <c r="A2423" s="1133"/>
      <c r="B2423" s="1136"/>
      <c r="C2423" s="1138"/>
    </row>
    <row r="2424" spans="1:3">
      <c r="A2424" s="1133"/>
      <c r="B2424" s="1136"/>
      <c r="C2424" s="1138"/>
    </row>
    <row r="2425" spans="1:3">
      <c r="A2425" s="1133"/>
      <c r="B2425" s="1136"/>
      <c r="C2425" s="1138"/>
    </row>
    <row r="2426" spans="1:3">
      <c r="A2426" s="1133"/>
      <c r="B2426" s="1136"/>
      <c r="C2426" s="1138"/>
    </row>
    <row r="2427" spans="1:3">
      <c r="A2427" s="1133"/>
      <c r="B2427" s="1136"/>
      <c r="C2427" s="1138"/>
    </row>
    <row r="2428" spans="1:3">
      <c r="A2428" s="1133"/>
      <c r="B2428" s="1136"/>
      <c r="C2428" s="1138"/>
    </row>
    <row r="2429" spans="1:3">
      <c r="A2429" s="1133"/>
      <c r="B2429" s="1136"/>
      <c r="C2429" s="1138"/>
    </row>
    <row r="2430" spans="1:3">
      <c r="A2430" s="1133"/>
      <c r="B2430" s="1136"/>
      <c r="C2430" s="1138"/>
    </row>
    <row r="2431" spans="1:3">
      <c r="A2431" s="1133"/>
      <c r="B2431" s="1136"/>
      <c r="C2431" s="1138"/>
    </row>
    <row r="2432" spans="1:3">
      <c r="A2432" s="1133"/>
      <c r="B2432" s="1136"/>
      <c r="C2432" s="1138"/>
    </row>
    <row r="2433" spans="1:3">
      <c r="A2433" s="1133"/>
      <c r="B2433" s="1136"/>
      <c r="C2433" s="1138"/>
    </row>
    <row r="2434" spans="1:3">
      <c r="A2434" s="1133"/>
      <c r="B2434" s="1136"/>
      <c r="C2434" s="1138"/>
    </row>
    <row r="2435" spans="1:3">
      <c r="A2435" s="1133"/>
      <c r="B2435" s="1136"/>
      <c r="C2435" s="1138"/>
    </row>
    <row r="2436" spans="1:3">
      <c r="A2436" s="1133"/>
      <c r="B2436" s="1136"/>
      <c r="C2436" s="1138"/>
    </row>
    <row r="2437" spans="1:3">
      <c r="A2437" s="1133"/>
      <c r="B2437" s="1136"/>
      <c r="C2437" s="1138"/>
    </row>
    <row r="2438" spans="1:3">
      <c r="A2438" s="1133"/>
      <c r="B2438" s="1136"/>
      <c r="C2438" s="1138"/>
    </row>
    <row r="2439" spans="1:3">
      <c r="A2439" s="1133"/>
      <c r="B2439" s="1136"/>
      <c r="C2439" s="1138"/>
    </row>
    <row r="2440" spans="1:3">
      <c r="A2440" s="1133"/>
      <c r="B2440" s="1136"/>
      <c r="C2440" s="1138"/>
    </row>
    <row r="2441" spans="1:3">
      <c r="A2441" s="1133"/>
      <c r="B2441" s="1136"/>
      <c r="C2441" s="1138"/>
    </row>
    <row r="2442" spans="1:3">
      <c r="A2442" s="1133"/>
      <c r="B2442" s="1136"/>
      <c r="C2442" s="1138"/>
    </row>
    <row r="2443" spans="1:3">
      <c r="A2443" s="1133"/>
      <c r="B2443" s="1136"/>
      <c r="C2443" s="1138"/>
    </row>
    <row r="2444" spans="1:3">
      <c r="A2444" s="1133"/>
      <c r="B2444" s="1136"/>
      <c r="C2444" s="1138"/>
    </row>
    <row r="2445" spans="1:3">
      <c r="A2445" s="1133"/>
      <c r="B2445" s="1136"/>
      <c r="C2445" s="1138"/>
    </row>
    <row r="2446" spans="1:3">
      <c r="A2446" s="1133"/>
      <c r="B2446" s="1136"/>
      <c r="C2446" s="1138"/>
    </row>
    <row r="2447" spans="1:3">
      <c r="A2447" s="1133"/>
      <c r="B2447" s="1136"/>
      <c r="C2447" s="1138"/>
    </row>
    <row r="2448" spans="1:3">
      <c r="A2448" s="1133"/>
      <c r="B2448" s="1136"/>
      <c r="C2448" s="1138"/>
    </row>
    <row r="2449" spans="1:3">
      <c r="A2449" s="1133"/>
      <c r="B2449" s="1136"/>
      <c r="C2449" s="1138"/>
    </row>
    <row r="2450" spans="1:3">
      <c r="A2450" s="1133"/>
      <c r="B2450" s="1136"/>
      <c r="C2450" s="1138"/>
    </row>
    <row r="2451" spans="1:3">
      <c r="A2451" s="1133"/>
      <c r="B2451" s="1136"/>
      <c r="C2451" s="1138"/>
    </row>
    <row r="2452" spans="1:3">
      <c r="A2452" s="1133"/>
      <c r="B2452" s="1136"/>
      <c r="C2452" s="1138"/>
    </row>
    <row r="2453" spans="1:3">
      <c r="A2453" s="1133"/>
      <c r="B2453" s="1136"/>
      <c r="C2453" s="1138"/>
    </row>
    <row r="2454" spans="1:3">
      <c r="A2454" s="1133"/>
      <c r="B2454" s="1136"/>
      <c r="C2454" s="1138"/>
    </row>
    <row r="2455" spans="1:3">
      <c r="A2455" s="1133"/>
      <c r="B2455" s="1136"/>
      <c r="C2455" s="1138"/>
    </row>
    <row r="2456" spans="1:3">
      <c r="A2456" s="1133"/>
      <c r="B2456" s="1136"/>
      <c r="C2456" s="1138"/>
    </row>
    <row r="2457" spans="1:3">
      <c r="A2457" s="1133"/>
      <c r="B2457" s="1136"/>
      <c r="C2457" s="1138"/>
    </row>
    <row r="2458" spans="1:3">
      <c r="A2458" s="1133"/>
      <c r="B2458" s="1136"/>
      <c r="C2458" s="1138"/>
    </row>
    <row r="2459" spans="1:3">
      <c r="A2459" s="1133"/>
      <c r="B2459" s="1136"/>
      <c r="C2459" s="1138"/>
    </row>
    <row r="2460" spans="1:3">
      <c r="A2460" s="1133"/>
      <c r="B2460" s="1136"/>
      <c r="C2460" s="1138"/>
    </row>
    <row r="2461" spans="1:3">
      <c r="A2461" s="1133"/>
      <c r="B2461" s="1136"/>
      <c r="C2461" s="1138"/>
    </row>
    <row r="2462" spans="1:3">
      <c r="A2462" s="1133"/>
      <c r="B2462" s="1136"/>
      <c r="C2462" s="1138"/>
    </row>
    <row r="2463" spans="1:3">
      <c r="A2463" s="1133"/>
      <c r="B2463" s="1136"/>
      <c r="C2463" s="1138"/>
    </row>
    <row r="2464" spans="1:3">
      <c r="A2464" s="1133"/>
      <c r="B2464" s="1136"/>
      <c r="C2464" s="1138"/>
    </row>
    <row r="2465" spans="1:3">
      <c r="A2465" s="1133"/>
      <c r="B2465" s="1136"/>
      <c r="C2465" s="1138"/>
    </row>
    <row r="2466" spans="1:3">
      <c r="A2466" s="1133"/>
      <c r="B2466" s="1136"/>
      <c r="C2466" s="1138"/>
    </row>
    <row r="2467" spans="1:3">
      <c r="A2467" s="1133"/>
      <c r="B2467" s="1136"/>
      <c r="C2467" s="1138"/>
    </row>
    <row r="2468" spans="1:3">
      <c r="A2468" s="1133"/>
      <c r="B2468" s="1136"/>
      <c r="C2468" s="1138"/>
    </row>
    <row r="2469" spans="1:3">
      <c r="A2469" s="1133"/>
      <c r="B2469" s="1136"/>
      <c r="C2469" s="1138"/>
    </row>
    <row r="2470" spans="1:3">
      <c r="A2470" s="1133"/>
      <c r="B2470" s="1136"/>
      <c r="C2470" s="1138"/>
    </row>
    <row r="2471" spans="1:3">
      <c r="A2471" s="1133"/>
      <c r="B2471" s="1136"/>
      <c r="C2471" s="1138"/>
    </row>
    <row r="2472" spans="1:3">
      <c r="A2472" s="1133"/>
      <c r="B2472" s="1136"/>
      <c r="C2472" s="1138"/>
    </row>
    <row r="2473" spans="1:3">
      <c r="A2473" s="1133"/>
      <c r="B2473" s="1136"/>
      <c r="C2473" s="1138"/>
    </row>
    <row r="2474" spans="1:3">
      <c r="A2474" s="1133"/>
      <c r="B2474" s="1136"/>
      <c r="C2474" s="1138"/>
    </row>
    <row r="2475" spans="1:3">
      <c r="A2475" s="1133"/>
      <c r="B2475" s="1136"/>
      <c r="C2475" s="1138"/>
    </row>
    <row r="2476" spans="1:3">
      <c r="A2476" s="1133"/>
      <c r="B2476" s="1136"/>
      <c r="C2476" s="1138"/>
    </row>
    <row r="2477" spans="1:3">
      <c r="A2477" s="1133"/>
      <c r="B2477" s="1136"/>
      <c r="C2477" s="1138"/>
    </row>
    <row r="2478" spans="1:3">
      <c r="A2478" s="1133"/>
      <c r="B2478" s="1136"/>
      <c r="C2478" s="1138"/>
    </row>
    <row r="2479" spans="1:3">
      <c r="A2479" s="1133"/>
      <c r="B2479" s="1136"/>
      <c r="C2479" s="1138"/>
    </row>
    <row r="2480" spans="1:3">
      <c r="A2480" s="1133"/>
      <c r="B2480" s="1136"/>
      <c r="C2480" s="1138"/>
    </row>
    <row r="2481" spans="1:3">
      <c r="A2481" s="1133"/>
      <c r="B2481" s="1136"/>
      <c r="C2481" s="1138"/>
    </row>
    <row r="2482" spans="1:3">
      <c r="A2482" s="1133"/>
      <c r="B2482" s="1136"/>
      <c r="C2482" s="1138"/>
    </row>
    <row r="2483" spans="1:3">
      <c r="A2483" s="1133"/>
      <c r="B2483" s="1136"/>
      <c r="C2483" s="1138"/>
    </row>
    <row r="2484" spans="1:3">
      <c r="A2484" s="1133"/>
      <c r="B2484" s="1136"/>
      <c r="C2484" s="1138"/>
    </row>
    <row r="2485" spans="1:3">
      <c r="A2485" s="1133"/>
      <c r="B2485" s="1136"/>
      <c r="C2485" s="1138"/>
    </row>
    <row r="2486" spans="1:3">
      <c r="A2486" s="1133"/>
      <c r="B2486" s="1136"/>
      <c r="C2486" s="1138"/>
    </row>
    <row r="2487" spans="1:3">
      <c r="A2487" s="1133"/>
      <c r="B2487" s="1136"/>
      <c r="C2487" s="1138"/>
    </row>
    <row r="2488" spans="1:3">
      <c r="A2488" s="1133"/>
      <c r="B2488" s="1136"/>
      <c r="C2488" s="1138"/>
    </row>
    <row r="2489" spans="1:3">
      <c r="A2489" s="1133"/>
      <c r="B2489" s="1136"/>
      <c r="C2489" s="1138"/>
    </row>
    <row r="2490" spans="1:3">
      <c r="A2490" s="1133"/>
      <c r="B2490" s="1136"/>
      <c r="C2490" s="1138"/>
    </row>
    <row r="2491" spans="1:3">
      <c r="A2491" s="1133"/>
      <c r="B2491" s="1136"/>
      <c r="C2491" s="1138"/>
    </row>
    <row r="2492" spans="1:3">
      <c r="A2492" s="1133"/>
      <c r="B2492" s="1136"/>
      <c r="C2492" s="1138"/>
    </row>
    <row r="2493" spans="1:3">
      <c r="A2493" s="1133"/>
      <c r="B2493" s="1136"/>
      <c r="C2493" s="1138"/>
    </row>
    <row r="2494" spans="1:3">
      <c r="A2494" s="1133"/>
      <c r="B2494" s="1136"/>
      <c r="C2494" s="1138"/>
    </row>
    <row r="2495" spans="1:3">
      <c r="A2495" s="1133"/>
      <c r="B2495" s="1136"/>
      <c r="C2495" s="1138"/>
    </row>
    <row r="2496" spans="1:3">
      <c r="A2496" s="1133"/>
      <c r="B2496" s="1136"/>
      <c r="C2496" s="1138"/>
    </row>
    <row r="2497" spans="1:3">
      <c r="A2497" s="1133"/>
      <c r="B2497" s="1136"/>
      <c r="C2497" s="1138"/>
    </row>
    <row r="2498" spans="1:3">
      <c r="A2498" s="1133"/>
      <c r="B2498" s="1136"/>
      <c r="C2498" s="1138"/>
    </row>
    <row r="2499" spans="1:3">
      <c r="A2499" s="1133"/>
      <c r="B2499" s="1136"/>
      <c r="C2499" s="1138"/>
    </row>
    <row r="2500" spans="1:3">
      <c r="A2500" s="1133"/>
      <c r="B2500" s="1136"/>
      <c r="C2500" s="1138"/>
    </row>
    <row r="2501" spans="1:3">
      <c r="A2501" s="1133"/>
      <c r="B2501" s="1136"/>
      <c r="C2501" s="1138"/>
    </row>
    <row r="2502" spans="1:3">
      <c r="A2502" s="1133"/>
      <c r="B2502" s="1136"/>
      <c r="C2502" s="1138"/>
    </row>
    <row r="2503" spans="1:3">
      <c r="A2503" s="1133"/>
      <c r="B2503" s="1136"/>
      <c r="C2503" s="1138"/>
    </row>
    <row r="2504" spans="1:3">
      <c r="A2504" s="1133"/>
      <c r="B2504" s="1136"/>
      <c r="C2504" s="1138"/>
    </row>
    <row r="2505" spans="1:3">
      <c r="A2505" s="1133"/>
      <c r="B2505" s="1136"/>
      <c r="C2505" s="1138"/>
    </row>
    <row r="2506" spans="1:3">
      <c r="A2506" s="1133"/>
      <c r="B2506" s="1136"/>
      <c r="C2506" s="1138"/>
    </row>
    <row r="2507" spans="1:3">
      <c r="A2507" s="1133"/>
      <c r="B2507" s="1136"/>
      <c r="C2507" s="1138"/>
    </row>
    <row r="2508" spans="1:3">
      <c r="A2508" s="1133"/>
      <c r="B2508" s="1136"/>
      <c r="C2508" s="1138"/>
    </row>
    <row r="2509" spans="1:3">
      <c r="A2509" s="1133"/>
      <c r="B2509" s="1136"/>
      <c r="C2509" s="1138"/>
    </row>
    <row r="2510" spans="1:3">
      <c r="A2510" s="1133"/>
      <c r="B2510" s="1136"/>
      <c r="C2510" s="1138"/>
    </row>
    <row r="2511" spans="1:3">
      <c r="A2511" s="1133"/>
      <c r="B2511" s="1136"/>
      <c r="C2511" s="1138"/>
    </row>
    <row r="2512" spans="1:3">
      <c r="A2512" s="1133"/>
      <c r="B2512" s="1136"/>
      <c r="C2512" s="1138"/>
    </row>
    <row r="2513" spans="1:3">
      <c r="A2513" s="1133"/>
      <c r="B2513" s="1136"/>
      <c r="C2513" s="1138"/>
    </row>
    <row r="2514" spans="1:3">
      <c r="A2514" s="1133"/>
      <c r="B2514" s="1136"/>
      <c r="C2514" s="1138"/>
    </row>
    <row r="2515" spans="1:3">
      <c r="A2515" s="1133"/>
      <c r="B2515" s="1136"/>
      <c r="C2515" s="1138"/>
    </row>
    <row r="2516" spans="1:3">
      <c r="A2516" s="1133"/>
      <c r="B2516" s="1136"/>
      <c r="C2516" s="1138"/>
    </row>
    <row r="2517" spans="1:3">
      <c r="A2517" s="1133"/>
      <c r="B2517" s="1136"/>
      <c r="C2517" s="1138"/>
    </row>
    <row r="2518" spans="1:3">
      <c r="A2518" s="1133"/>
      <c r="B2518" s="1136"/>
      <c r="C2518" s="1138"/>
    </row>
    <row r="2519" spans="1:3">
      <c r="A2519" s="1133"/>
      <c r="B2519" s="1136"/>
      <c r="C2519" s="1138"/>
    </row>
    <row r="2520" spans="1:3">
      <c r="A2520" s="1133"/>
      <c r="B2520" s="1136"/>
      <c r="C2520" s="1138"/>
    </row>
    <row r="2521" spans="1:3">
      <c r="A2521" s="1133"/>
      <c r="B2521" s="1136"/>
      <c r="C2521" s="1138"/>
    </row>
    <row r="2522" spans="1:3">
      <c r="A2522" s="1133"/>
      <c r="B2522" s="1136"/>
      <c r="C2522" s="1138"/>
    </row>
    <row r="2523" spans="1:3">
      <c r="A2523" s="1133"/>
      <c r="B2523" s="1136"/>
      <c r="C2523" s="1138"/>
    </row>
    <row r="2524" spans="1:3">
      <c r="A2524" s="1133"/>
      <c r="B2524" s="1136"/>
      <c r="C2524" s="1138"/>
    </row>
    <row r="2525" spans="1:3">
      <c r="A2525" s="1133"/>
      <c r="B2525" s="1136"/>
      <c r="C2525" s="1138"/>
    </row>
    <row r="2526" spans="1:3">
      <c r="A2526" s="1133"/>
      <c r="B2526" s="1136"/>
      <c r="C2526" s="1138"/>
    </row>
    <row r="2527" spans="1:3">
      <c r="A2527" s="1133"/>
      <c r="B2527" s="1136"/>
      <c r="C2527" s="1138"/>
    </row>
    <row r="2528" spans="1:3">
      <c r="A2528" s="1133"/>
      <c r="B2528" s="1136"/>
      <c r="C2528" s="1138"/>
    </row>
    <row r="2529" spans="1:3">
      <c r="A2529" s="1133"/>
      <c r="B2529" s="1136"/>
      <c r="C2529" s="1138"/>
    </row>
    <row r="2530" spans="1:3">
      <c r="A2530" s="1133"/>
      <c r="B2530" s="1136"/>
      <c r="C2530" s="1138"/>
    </row>
    <row r="2531" spans="1:3">
      <c r="A2531" s="1133"/>
      <c r="B2531" s="1136"/>
      <c r="C2531" s="1138"/>
    </row>
    <row r="2532" spans="1:3">
      <c r="A2532" s="1133"/>
      <c r="B2532" s="1136"/>
      <c r="C2532" s="1138"/>
    </row>
    <row r="2533" spans="1:3">
      <c r="A2533" s="1133"/>
      <c r="B2533" s="1136"/>
      <c r="C2533" s="1138"/>
    </row>
    <row r="2534" spans="1:3">
      <c r="A2534" s="1133"/>
      <c r="B2534" s="1136"/>
      <c r="C2534" s="1138"/>
    </row>
    <row r="2535" spans="1:3">
      <c r="A2535" s="1133"/>
      <c r="B2535" s="1136"/>
      <c r="C2535" s="1138"/>
    </row>
    <row r="2536" spans="1:3">
      <c r="A2536" s="1133"/>
      <c r="B2536" s="1136"/>
      <c r="C2536" s="1138"/>
    </row>
    <row r="2537" spans="1:3">
      <c r="A2537" s="1133"/>
      <c r="B2537" s="1136"/>
      <c r="C2537" s="1138"/>
    </row>
    <row r="2538" spans="1:3">
      <c r="A2538" s="1133"/>
      <c r="B2538" s="1136"/>
      <c r="C2538" s="1138"/>
    </row>
    <row r="2539" spans="1:3">
      <c r="A2539" s="1133"/>
      <c r="B2539" s="1136"/>
      <c r="C2539" s="1138"/>
    </row>
    <row r="2540" spans="1:3">
      <c r="A2540" s="1133"/>
      <c r="B2540" s="1136"/>
      <c r="C2540" s="1138"/>
    </row>
    <row r="2541" spans="1:3">
      <c r="A2541" s="1133"/>
      <c r="B2541" s="1136"/>
      <c r="C2541" s="1138"/>
    </row>
    <row r="2542" spans="1:3">
      <c r="A2542" s="1133"/>
      <c r="B2542" s="1136"/>
      <c r="C2542" s="1138"/>
    </row>
    <row r="2543" spans="1:3">
      <c r="A2543" s="1133"/>
      <c r="B2543" s="1136"/>
      <c r="C2543" s="1138"/>
    </row>
    <row r="2544" spans="1:3">
      <c r="A2544" s="1133"/>
      <c r="B2544" s="1136"/>
      <c r="C2544" s="1138"/>
    </row>
    <row r="2545" spans="1:3">
      <c r="A2545" s="1133"/>
      <c r="B2545" s="1136"/>
      <c r="C2545" s="1138"/>
    </row>
    <row r="2546" spans="1:3">
      <c r="A2546" s="1133"/>
      <c r="B2546" s="1136"/>
      <c r="C2546" s="1138"/>
    </row>
    <row r="2547" spans="1:3">
      <c r="A2547" s="1133"/>
      <c r="B2547" s="1136"/>
      <c r="C2547" s="1138"/>
    </row>
    <row r="2548" spans="1:3">
      <c r="A2548" s="1133"/>
      <c r="B2548" s="1136"/>
      <c r="C2548" s="1138"/>
    </row>
    <row r="2549" spans="1:3">
      <c r="A2549" s="1133"/>
      <c r="B2549" s="1136"/>
      <c r="C2549" s="1138"/>
    </row>
    <row r="2550" spans="1:3">
      <c r="A2550" s="1133"/>
      <c r="B2550" s="1136"/>
      <c r="C2550" s="1138"/>
    </row>
    <row r="2551" spans="1:3">
      <c r="A2551" s="1133"/>
      <c r="B2551" s="1136"/>
      <c r="C2551" s="1138"/>
    </row>
    <row r="2552" spans="1:3">
      <c r="A2552" s="1133"/>
      <c r="B2552" s="1136"/>
      <c r="C2552" s="1138"/>
    </row>
    <row r="2553" spans="1:3">
      <c r="A2553" s="1133"/>
      <c r="B2553" s="1136"/>
      <c r="C2553" s="1138"/>
    </row>
    <row r="2554" spans="1:3">
      <c r="A2554" s="1133"/>
      <c r="B2554" s="1136"/>
      <c r="C2554" s="1138"/>
    </row>
    <row r="2555" spans="1:3">
      <c r="A2555" s="1133"/>
      <c r="B2555" s="1136"/>
      <c r="C2555" s="1138"/>
    </row>
    <row r="2556" spans="1:3">
      <c r="A2556" s="1133"/>
      <c r="B2556" s="1136"/>
      <c r="C2556" s="1138"/>
    </row>
    <row r="2557" spans="1:3">
      <c r="A2557" s="1133"/>
      <c r="B2557" s="1136"/>
      <c r="C2557" s="1138"/>
    </row>
    <row r="2558" spans="1:3">
      <c r="A2558" s="1133"/>
      <c r="B2558" s="1136"/>
      <c r="C2558" s="1138"/>
    </row>
    <row r="2559" spans="1:3">
      <c r="A2559" s="1133"/>
      <c r="B2559" s="1136"/>
      <c r="C2559" s="1138"/>
    </row>
    <row r="2560" spans="1:3">
      <c r="A2560" s="1133"/>
      <c r="B2560" s="1136"/>
      <c r="C2560" s="1138"/>
    </row>
    <row r="2561" spans="1:3">
      <c r="A2561" s="1133"/>
      <c r="B2561" s="1136"/>
      <c r="C2561" s="1138"/>
    </row>
    <row r="2562" spans="1:3">
      <c r="A2562" s="1133"/>
      <c r="B2562" s="1136"/>
      <c r="C2562" s="1138"/>
    </row>
    <row r="2563" spans="1:3">
      <c r="A2563" s="1133"/>
      <c r="B2563" s="1136"/>
      <c r="C2563" s="1138"/>
    </row>
    <row r="2564" spans="1:3">
      <c r="A2564" s="1133"/>
      <c r="B2564" s="1136"/>
      <c r="C2564" s="1138"/>
    </row>
    <row r="2565" spans="1:3">
      <c r="A2565" s="1133"/>
      <c r="B2565" s="1136"/>
      <c r="C2565" s="1138"/>
    </row>
    <row r="2566" spans="1:3">
      <c r="A2566" s="1133"/>
      <c r="B2566" s="1136"/>
      <c r="C2566" s="1138"/>
    </row>
    <row r="2567" spans="1:3">
      <c r="A2567" s="1133"/>
      <c r="B2567" s="1136"/>
      <c r="C2567" s="1138"/>
    </row>
    <row r="2568" spans="1:3">
      <c r="A2568" s="1133"/>
      <c r="B2568" s="1136"/>
      <c r="C2568" s="1138"/>
    </row>
    <row r="2569" spans="1:3">
      <c r="A2569" s="1133"/>
      <c r="B2569" s="1136"/>
      <c r="C2569" s="1138"/>
    </row>
    <row r="2570" spans="1:3">
      <c r="A2570" s="1133"/>
      <c r="B2570" s="1136"/>
      <c r="C2570" s="1138"/>
    </row>
    <row r="2571" spans="1:3">
      <c r="A2571" s="1133"/>
      <c r="B2571" s="1136"/>
      <c r="C2571" s="1138"/>
    </row>
    <row r="2572" spans="1:3">
      <c r="A2572" s="1133"/>
      <c r="B2572" s="1136"/>
      <c r="C2572" s="1138"/>
    </row>
    <row r="2573" spans="1:3">
      <c r="A2573" s="1133"/>
      <c r="B2573" s="1136"/>
      <c r="C2573" s="1138"/>
    </row>
    <row r="2574" spans="1:3">
      <c r="A2574" s="1133"/>
      <c r="B2574" s="1136"/>
      <c r="C2574" s="1138"/>
    </row>
    <row r="2575" spans="1:3">
      <c r="A2575" s="1133"/>
      <c r="B2575" s="1136"/>
      <c r="C2575" s="1138"/>
    </row>
    <row r="2576" spans="1:3">
      <c r="A2576" s="1133"/>
      <c r="B2576" s="1136"/>
      <c r="C2576" s="1138"/>
    </row>
    <row r="2577" spans="1:3">
      <c r="A2577" s="1133"/>
      <c r="B2577" s="1136"/>
      <c r="C2577" s="1138"/>
    </row>
    <row r="2578" spans="1:3">
      <c r="A2578" s="1133"/>
      <c r="B2578" s="1136"/>
      <c r="C2578" s="1138"/>
    </row>
    <row r="2579" spans="1:3">
      <c r="A2579" s="1133"/>
      <c r="B2579" s="1136"/>
      <c r="C2579" s="1138"/>
    </row>
    <row r="2580" spans="1:3">
      <c r="A2580" s="1133"/>
      <c r="B2580" s="1136"/>
      <c r="C2580" s="1138"/>
    </row>
    <row r="2581" spans="1:3">
      <c r="A2581" s="1133"/>
      <c r="B2581" s="1136"/>
      <c r="C2581" s="1138"/>
    </row>
    <row r="2582" spans="1:3">
      <c r="A2582" s="1133"/>
      <c r="B2582" s="1136"/>
      <c r="C2582" s="1138"/>
    </row>
    <row r="2583" spans="1:3">
      <c r="A2583" s="1133"/>
      <c r="B2583" s="1136"/>
      <c r="C2583" s="1138"/>
    </row>
    <row r="2584" spans="1:3">
      <c r="A2584" s="1133"/>
      <c r="B2584" s="1136"/>
      <c r="C2584" s="1138"/>
    </row>
    <row r="2585" spans="1:3">
      <c r="A2585" s="1133"/>
      <c r="B2585" s="1136"/>
      <c r="C2585" s="1138"/>
    </row>
    <row r="2586" spans="1:3">
      <c r="A2586" s="1133"/>
      <c r="B2586" s="1136"/>
      <c r="C2586" s="1138"/>
    </row>
    <row r="2587" spans="1:3">
      <c r="A2587" s="1133"/>
      <c r="B2587" s="1136"/>
      <c r="C2587" s="1138"/>
    </row>
    <row r="2588" spans="1:3">
      <c r="A2588" s="1133"/>
      <c r="B2588" s="1136"/>
      <c r="C2588" s="1138"/>
    </row>
    <row r="2589" spans="1:3">
      <c r="A2589" s="1133"/>
      <c r="B2589" s="1136"/>
      <c r="C2589" s="1138"/>
    </row>
    <row r="2590" spans="1:3">
      <c r="A2590" s="1133"/>
      <c r="B2590" s="1136"/>
      <c r="C2590" s="1138"/>
    </row>
    <row r="2591" spans="1:3">
      <c r="A2591" s="1133"/>
      <c r="B2591" s="1136"/>
      <c r="C2591" s="1138"/>
    </row>
    <row r="2592" spans="1:3">
      <c r="A2592" s="1133"/>
      <c r="B2592" s="1136"/>
      <c r="C2592" s="1138"/>
    </row>
    <row r="2593" spans="1:3">
      <c r="A2593" s="1133"/>
      <c r="B2593" s="1136"/>
      <c r="C2593" s="1138"/>
    </row>
    <row r="2594" spans="1:3">
      <c r="A2594" s="1133"/>
      <c r="B2594" s="1136"/>
      <c r="C2594" s="1138"/>
    </row>
    <row r="2595" spans="1:3">
      <c r="A2595" s="1133"/>
      <c r="B2595" s="1136"/>
      <c r="C2595" s="1138"/>
    </row>
    <row r="2596" spans="1:3">
      <c r="A2596" s="1133"/>
      <c r="B2596" s="1136"/>
      <c r="C2596" s="1138"/>
    </row>
    <row r="2597" spans="1:3">
      <c r="A2597" s="1133"/>
      <c r="B2597" s="1136"/>
      <c r="C2597" s="1138"/>
    </row>
    <row r="2598" spans="1:3">
      <c r="A2598" s="1133"/>
      <c r="B2598" s="1136"/>
      <c r="C2598" s="1138"/>
    </row>
    <row r="2599" spans="1:3">
      <c r="A2599" s="1133"/>
      <c r="B2599" s="1136"/>
      <c r="C2599" s="1138"/>
    </row>
    <row r="2600" spans="1:3">
      <c r="A2600" s="1133"/>
      <c r="B2600" s="1136"/>
      <c r="C2600" s="1138"/>
    </row>
    <row r="2601" spans="1:3">
      <c r="A2601" s="1133"/>
      <c r="B2601" s="1136"/>
      <c r="C2601" s="1138"/>
    </row>
    <row r="2602" spans="1:3">
      <c r="A2602" s="1133"/>
      <c r="B2602" s="1136"/>
      <c r="C2602" s="1138"/>
    </row>
    <row r="2603" spans="1:3">
      <c r="A2603" s="1133"/>
      <c r="B2603" s="1136"/>
      <c r="C2603" s="1138"/>
    </row>
    <row r="2604" spans="1:3">
      <c r="A2604" s="1133"/>
      <c r="B2604" s="1136"/>
      <c r="C2604" s="1138"/>
    </row>
    <row r="2605" spans="1:3">
      <c r="A2605" s="1133"/>
      <c r="B2605" s="1136"/>
      <c r="C2605" s="1138"/>
    </row>
    <row r="2606" spans="1:3">
      <c r="A2606" s="1133"/>
      <c r="B2606" s="1136"/>
      <c r="C2606" s="1138"/>
    </row>
    <row r="2607" spans="1:3">
      <c r="A2607" s="1133"/>
      <c r="B2607" s="1136"/>
      <c r="C2607" s="1138"/>
    </row>
    <row r="2608" spans="1:3">
      <c r="A2608" s="1133"/>
      <c r="B2608" s="1136"/>
      <c r="C2608" s="1138"/>
    </row>
    <row r="2609" spans="1:3">
      <c r="A2609" s="1133"/>
      <c r="B2609" s="1136"/>
      <c r="C2609" s="1138"/>
    </row>
    <row r="2610" spans="1:3">
      <c r="A2610" s="1133"/>
      <c r="B2610" s="1136"/>
      <c r="C2610" s="1138"/>
    </row>
    <row r="2611" spans="1:3">
      <c r="A2611" s="1133"/>
      <c r="B2611" s="1136"/>
      <c r="C2611" s="1138"/>
    </row>
    <row r="2612" spans="1:3">
      <c r="A2612" s="1133"/>
      <c r="B2612" s="1136"/>
      <c r="C2612" s="1138"/>
    </row>
    <row r="2613" spans="1:3">
      <c r="A2613" s="1133"/>
      <c r="B2613" s="1136"/>
      <c r="C2613" s="1138"/>
    </row>
    <row r="2614" spans="1:3">
      <c r="A2614" s="1133"/>
      <c r="B2614" s="1136"/>
      <c r="C2614" s="1138"/>
    </row>
    <row r="2615" spans="1:3">
      <c r="A2615" s="1133"/>
      <c r="B2615" s="1136"/>
      <c r="C2615" s="1138"/>
    </row>
    <row r="2616" spans="1:3">
      <c r="A2616" s="1133"/>
      <c r="B2616" s="1136"/>
      <c r="C2616" s="1138"/>
    </row>
    <row r="2617" spans="1:3">
      <c r="A2617" s="1133"/>
      <c r="B2617" s="1136"/>
      <c r="C2617" s="1138"/>
    </row>
    <row r="2618" spans="1:3">
      <c r="A2618" s="1133"/>
      <c r="B2618" s="1136"/>
      <c r="C2618" s="1138"/>
    </row>
    <row r="2619" spans="1:3">
      <c r="A2619" s="1133"/>
      <c r="B2619" s="1136"/>
      <c r="C2619" s="1138"/>
    </row>
    <row r="2620" spans="1:3">
      <c r="A2620" s="1133"/>
      <c r="B2620" s="1136"/>
      <c r="C2620" s="1138"/>
    </row>
    <row r="2621" spans="1:3">
      <c r="A2621" s="1133"/>
      <c r="B2621" s="1136"/>
      <c r="C2621" s="1138"/>
    </row>
    <row r="2622" spans="1:3">
      <c r="A2622" s="1133"/>
      <c r="B2622" s="1136"/>
      <c r="C2622" s="1138"/>
    </row>
    <row r="2623" spans="1:3">
      <c r="A2623" s="1133"/>
      <c r="B2623" s="1136"/>
      <c r="C2623" s="1138"/>
    </row>
    <row r="2624" spans="1:3">
      <c r="A2624" s="1133"/>
      <c r="B2624" s="1136"/>
      <c r="C2624" s="1138"/>
    </row>
    <row r="2625" spans="1:3">
      <c r="A2625" s="1133"/>
      <c r="B2625" s="1136"/>
      <c r="C2625" s="1138"/>
    </row>
    <row r="2626" spans="1:3">
      <c r="A2626" s="1133"/>
      <c r="B2626" s="1136"/>
      <c r="C2626" s="1138"/>
    </row>
    <row r="2627" spans="1:3">
      <c r="A2627" s="1133"/>
      <c r="B2627" s="1136"/>
      <c r="C2627" s="1138"/>
    </row>
    <row r="2628" spans="1:3">
      <c r="A2628" s="1133"/>
      <c r="B2628" s="1136"/>
      <c r="C2628" s="1138"/>
    </row>
    <row r="2629" spans="1:3">
      <c r="A2629" s="1133"/>
      <c r="B2629" s="1136"/>
      <c r="C2629" s="1138"/>
    </row>
    <row r="2630" spans="1:3">
      <c r="A2630" s="1133"/>
      <c r="B2630" s="1136"/>
      <c r="C2630" s="1138"/>
    </row>
    <row r="2631" spans="1:3">
      <c r="A2631" s="1133"/>
      <c r="B2631" s="1136"/>
      <c r="C2631" s="1138"/>
    </row>
    <row r="2632" spans="1:3">
      <c r="A2632" s="1133"/>
      <c r="B2632" s="1136"/>
      <c r="C2632" s="1138"/>
    </row>
    <row r="2633" spans="1:3">
      <c r="A2633" s="1133"/>
      <c r="B2633" s="1136"/>
      <c r="C2633" s="1138"/>
    </row>
    <row r="2634" spans="1:3">
      <c r="A2634" s="1133"/>
      <c r="B2634" s="1136"/>
      <c r="C2634" s="1138"/>
    </row>
    <row r="2635" spans="1:3">
      <c r="A2635" s="1133"/>
      <c r="B2635" s="1136"/>
      <c r="C2635" s="1138"/>
    </row>
    <row r="2636" spans="1:3">
      <c r="A2636" s="1133"/>
      <c r="B2636" s="1136"/>
      <c r="C2636" s="1138"/>
    </row>
    <row r="2637" spans="1:3">
      <c r="A2637" s="1133"/>
      <c r="B2637" s="1136"/>
      <c r="C2637" s="1138"/>
    </row>
    <row r="2638" spans="1:3">
      <c r="A2638" s="1133"/>
      <c r="B2638" s="1136"/>
      <c r="C2638" s="1138"/>
    </row>
    <row r="2639" spans="1:3">
      <c r="A2639" s="1133"/>
      <c r="B2639" s="1136"/>
      <c r="C2639" s="1138"/>
    </row>
    <row r="2640" spans="1:3">
      <c r="A2640" s="1133"/>
      <c r="B2640" s="1136"/>
      <c r="C2640" s="1138"/>
    </row>
    <row r="2641" spans="1:3">
      <c r="A2641" s="1133"/>
      <c r="B2641" s="1136"/>
      <c r="C2641" s="1138"/>
    </row>
    <row r="2642" spans="1:3">
      <c r="A2642" s="1133"/>
      <c r="B2642" s="1136"/>
      <c r="C2642" s="1138"/>
    </row>
    <row r="2643" spans="1:3">
      <c r="A2643" s="1133"/>
      <c r="B2643" s="1136"/>
      <c r="C2643" s="1138"/>
    </row>
    <row r="2644" spans="1:3">
      <c r="A2644" s="1133"/>
      <c r="B2644" s="1136"/>
      <c r="C2644" s="1138"/>
    </row>
    <row r="2645" spans="1:3">
      <c r="A2645" s="1133"/>
      <c r="B2645" s="1136"/>
      <c r="C2645" s="1138"/>
    </row>
    <row r="2646" spans="1:3">
      <c r="A2646" s="1133"/>
      <c r="B2646" s="1136"/>
      <c r="C2646" s="1138"/>
    </row>
    <row r="2647" spans="1:3">
      <c r="A2647" s="1133"/>
      <c r="B2647" s="1136"/>
      <c r="C2647" s="1138"/>
    </row>
    <row r="2648" spans="1:3">
      <c r="A2648" s="1133"/>
      <c r="B2648" s="1136"/>
      <c r="C2648" s="1138"/>
    </row>
    <row r="2649" spans="1:3">
      <c r="A2649" s="1133"/>
      <c r="B2649" s="1136"/>
      <c r="C2649" s="1138"/>
    </row>
    <row r="2650" spans="1:3">
      <c r="A2650" s="1133"/>
      <c r="B2650" s="1136"/>
      <c r="C2650" s="1138"/>
    </row>
    <row r="2651" spans="1:3">
      <c r="A2651" s="1133"/>
      <c r="B2651" s="1136"/>
      <c r="C2651" s="1138"/>
    </row>
    <row r="2652" spans="1:3">
      <c r="A2652" s="1133"/>
      <c r="B2652" s="1136"/>
      <c r="C2652" s="1138"/>
    </row>
    <row r="2653" spans="1:3">
      <c r="A2653" s="1133"/>
      <c r="B2653" s="1136"/>
      <c r="C2653" s="1138"/>
    </row>
    <row r="2654" spans="1:3">
      <c r="A2654" s="1133"/>
      <c r="B2654" s="1136"/>
      <c r="C2654" s="1138"/>
    </row>
    <row r="2655" spans="1:3">
      <c r="A2655" s="1133"/>
      <c r="B2655" s="1136"/>
      <c r="C2655" s="1138"/>
    </row>
    <row r="2656" spans="1:3">
      <c r="A2656" s="1133"/>
      <c r="B2656" s="1136"/>
      <c r="C2656" s="1138"/>
    </row>
    <row r="2657" spans="1:3">
      <c r="A2657" s="1133"/>
      <c r="B2657" s="1136"/>
      <c r="C2657" s="1138"/>
    </row>
    <row r="2658" spans="1:3">
      <c r="A2658" s="1133"/>
      <c r="B2658" s="1136"/>
      <c r="C2658" s="1138"/>
    </row>
    <row r="2659" spans="1:3">
      <c r="A2659" s="1133"/>
      <c r="B2659" s="1136"/>
      <c r="C2659" s="1138"/>
    </row>
    <row r="2660" spans="1:3">
      <c r="A2660" s="1133"/>
      <c r="B2660" s="1136"/>
      <c r="C2660" s="1138"/>
    </row>
    <row r="2661" spans="1:3">
      <c r="A2661" s="1133"/>
      <c r="B2661" s="1136"/>
      <c r="C2661" s="1138"/>
    </row>
    <row r="2662" spans="1:3">
      <c r="A2662" s="1133"/>
      <c r="B2662" s="1136"/>
      <c r="C2662" s="1138"/>
    </row>
    <row r="2663" spans="1:3">
      <c r="A2663" s="1133"/>
      <c r="B2663" s="1136"/>
      <c r="C2663" s="1138"/>
    </row>
    <row r="2664" spans="1:3">
      <c r="A2664" s="1133"/>
      <c r="B2664" s="1136"/>
      <c r="C2664" s="1138"/>
    </row>
    <row r="2665" spans="1:3">
      <c r="A2665" s="1133"/>
      <c r="B2665" s="1136"/>
      <c r="C2665" s="1138"/>
    </row>
    <row r="2666" spans="1:3">
      <c r="A2666" s="1133"/>
      <c r="B2666" s="1136"/>
      <c r="C2666" s="1138"/>
    </row>
    <row r="2667" spans="1:3">
      <c r="A2667" s="1133"/>
      <c r="B2667" s="1136"/>
      <c r="C2667" s="1138"/>
    </row>
    <row r="2668" spans="1:3">
      <c r="A2668" s="1133"/>
      <c r="B2668" s="1136"/>
      <c r="C2668" s="1138"/>
    </row>
    <row r="2669" spans="1:3">
      <c r="A2669" s="1133"/>
      <c r="B2669" s="1136"/>
      <c r="C2669" s="1138"/>
    </row>
    <row r="2670" spans="1:3">
      <c r="A2670" s="1133"/>
      <c r="B2670" s="1136"/>
      <c r="C2670" s="1138"/>
    </row>
    <row r="2671" spans="1:3">
      <c r="A2671" s="1133"/>
      <c r="B2671" s="1136"/>
      <c r="C2671" s="1138"/>
    </row>
    <row r="2672" spans="1:3">
      <c r="A2672" s="1133"/>
      <c r="B2672" s="1136"/>
      <c r="C2672" s="1138"/>
    </row>
    <row r="2673" spans="1:3">
      <c r="A2673" s="1133"/>
      <c r="B2673" s="1136"/>
      <c r="C2673" s="1138"/>
    </row>
    <row r="2674" spans="1:3">
      <c r="A2674" s="1133"/>
      <c r="B2674" s="1136"/>
      <c r="C2674" s="1138"/>
    </row>
    <row r="2675" spans="1:3">
      <c r="A2675" s="1133"/>
      <c r="B2675" s="1136"/>
      <c r="C2675" s="1138"/>
    </row>
    <row r="2676" spans="1:3">
      <c r="A2676" s="1133"/>
      <c r="B2676" s="1136"/>
      <c r="C2676" s="1138"/>
    </row>
    <row r="2677" spans="1:3">
      <c r="A2677" s="1133"/>
      <c r="B2677" s="1136"/>
      <c r="C2677" s="1138"/>
    </row>
    <row r="2678" spans="1:3">
      <c r="A2678" s="1133"/>
      <c r="B2678" s="1136"/>
      <c r="C2678" s="1138"/>
    </row>
    <row r="2679" spans="1:3">
      <c r="A2679" s="1133"/>
      <c r="B2679" s="1136"/>
      <c r="C2679" s="1138"/>
    </row>
    <row r="2680" spans="1:3">
      <c r="A2680" s="1133"/>
      <c r="B2680" s="1136"/>
      <c r="C2680" s="1138"/>
    </row>
    <row r="2681" spans="1:3">
      <c r="A2681" s="1133"/>
      <c r="B2681" s="1136"/>
      <c r="C2681" s="1138"/>
    </row>
    <row r="2682" spans="1:3">
      <c r="A2682" s="1133"/>
      <c r="B2682" s="1136"/>
      <c r="C2682" s="1138"/>
    </row>
    <row r="2683" spans="1:3">
      <c r="A2683" s="1133"/>
      <c r="B2683" s="1136"/>
      <c r="C2683" s="1138"/>
    </row>
    <row r="2684" spans="1:3">
      <c r="A2684" s="1133"/>
      <c r="B2684" s="1136"/>
      <c r="C2684" s="1138"/>
    </row>
    <row r="2685" spans="1:3">
      <c r="A2685" s="1133"/>
      <c r="B2685" s="1136"/>
      <c r="C2685" s="1138"/>
    </row>
    <row r="2686" spans="1:3">
      <c r="A2686" s="1133"/>
      <c r="B2686" s="1136"/>
      <c r="C2686" s="1138"/>
    </row>
    <row r="2687" spans="1:3">
      <c r="A2687" s="1133"/>
      <c r="B2687" s="1136"/>
      <c r="C2687" s="1138"/>
    </row>
    <row r="2688" spans="1:3">
      <c r="A2688" s="1133"/>
      <c r="B2688" s="1136"/>
      <c r="C2688" s="1138"/>
    </row>
    <row r="2689" spans="1:3">
      <c r="A2689" s="1133"/>
      <c r="B2689" s="1136"/>
      <c r="C2689" s="1138"/>
    </row>
    <row r="2690" spans="1:3">
      <c r="A2690" s="1133"/>
      <c r="B2690" s="1136"/>
      <c r="C2690" s="1138"/>
    </row>
    <row r="2691" spans="1:3">
      <c r="A2691" s="1133"/>
      <c r="B2691" s="1136"/>
      <c r="C2691" s="1138"/>
    </row>
    <row r="2692" spans="1:3">
      <c r="A2692" s="1133"/>
      <c r="B2692" s="1136"/>
      <c r="C2692" s="1138"/>
    </row>
    <row r="2693" spans="1:3">
      <c r="A2693" s="1133"/>
      <c r="B2693" s="1136"/>
      <c r="C2693" s="1138"/>
    </row>
    <row r="2694" spans="1:3">
      <c r="A2694" s="1133"/>
      <c r="B2694" s="1136"/>
      <c r="C2694" s="1138"/>
    </row>
    <row r="2695" spans="1:3">
      <c r="A2695" s="1133"/>
      <c r="B2695" s="1136"/>
      <c r="C2695" s="1138"/>
    </row>
    <row r="2696" spans="1:3">
      <c r="A2696" s="1133"/>
      <c r="B2696" s="1136"/>
      <c r="C2696" s="1138"/>
    </row>
    <row r="2697" spans="1:3">
      <c r="A2697" s="1133"/>
      <c r="B2697" s="1136"/>
      <c r="C2697" s="1138"/>
    </row>
    <row r="2698" spans="1:3">
      <c r="A2698" s="1133"/>
      <c r="B2698" s="1136"/>
      <c r="C2698" s="1138"/>
    </row>
    <row r="2699" spans="1:3">
      <c r="A2699" s="1133"/>
      <c r="B2699" s="1136"/>
      <c r="C2699" s="1138"/>
    </row>
    <row r="2700" spans="1:3">
      <c r="A2700" s="1133"/>
      <c r="B2700" s="1136"/>
      <c r="C2700" s="1138"/>
    </row>
    <row r="2701" spans="1:3">
      <c r="A2701" s="1133"/>
      <c r="B2701" s="1136"/>
      <c r="C2701" s="1138"/>
    </row>
    <row r="2702" spans="1:3">
      <c r="A2702" s="1133"/>
      <c r="B2702" s="1136"/>
      <c r="C2702" s="1138"/>
    </row>
    <row r="2703" spans="1:3">
      <c r="A2703" s="1133"/>
      <c r="B2703" s="1136"/>
      <c r="C2703" s="1138"/>
    </row>
    <row r="2704" spans="1:3">
      <c r="A2704" s="1133"/>
      <c r="B2704" s="1136"/>
      <c r="C2704" s="1138"/>
    </row>
    <row r="2705" spans="1:3">
      <c r="A2705" s="1133"/>
      <c r="B2705" s="1136"/>
      <c r="C2705" s="1138"/>
    </row>
    <row r="2706" spans="1:3">
      <c r="A2706" s="1133"/>
      <c r="B2706" s="1136"/>
      <c r="C2706" s="1138"/>
    </row>
    <row r="2707" spans="1:3">
      <c r="A2707" s="1133"/>
      <c r="B2707" s="1136"/>
      <c r="C2707" s="1138"/>
    </row>
    <row r="2708" spans="1:3">
      <c r="A2708" s="1133"/>
      <c r="B2708" s="1136"/>
      <c r="C2708" s="1138"/>
    </row>
    <row r="2709" spans="1:3">
      <c r="A2709" s="1133"/>
      <c r="B2709" s="1136"/>
      <c r="C2709" s="1138"/>
    </row>
    <row r="2710" spans="1:3">
      <c r="A2710" s="1133"/>
      <c r="B2710" s="1136"/>
      <c r="C2710" s="1138"/>
    </row>
    <row r="2711" spans="1:3">
      <c r="A2711" s="1133"/>
      <c r="B2711" s="1136"/>
      <c r="C2711" s="1138"/>
    </row>
    <row r="2712" spans="1:3">
      <c r="A2712" s="1133"/>
      <c r="B2712" s="1136"/>
      <c r="C2712" s="1138"/>
    </row>
    <row r="2713" spans="1:3">
      <c r="A2713" s="1133"/>
      <c r="B2713" s="1136"/>
      <c r="C2713" s="1138"/>
    </row>
    <row r="2714" spans="1:3">
      <c r="A2714" s="1133"/>
      <c r="B2714" s="1136"/>
      <c r="C2714" s="1138"/>
    </row>
    <row r="2715" spans="1:3">
      <c r="A2715" s="1133"/>
      <c r="B2715" s="1136"/>
      <c r="C2715" s="1138"/>
    </row>
    <row r="2716" spans="1:3">
      <c r="A2716" s="1133"/>
      <c r="B2716" s="1136"/>
      <c r="C2716" s="1138"/>
    </row>
    <row r="2717" spans="1:3">
      <c r="A2717" s="1133"/>
      <c r="B2717" s="1136"/>
      <c r="C2717" s="1138"/>
    </row>
    <row r="2718" spans="1:3">
      <c r="A2718" s="1133"/>
      <c r="B2718" s="1136"/>
      <c r="C2718" s="1138"/>
    </row>
    <row r="2719" spans="1:3">
      <c r="A2719" s="1133"/>
      <c r="B2719" s="1136"/>
      <c r="C2719" s="1138"/>
    </row>
    <row r="2720" spans="1:3">
      <c r="A2720" s="1133"/>
      <c r="B2720" s="1136"/>
      <c r="C2720" s="1138"/>
    </row>
    <row r="2721" spans="1:3">
      <c r="A2721" s="1133"/>
      <c r="B2721" s="1136"/>
      <c r="C2721" s="1138"/>
    </row>
    <row r="2722" spans="1:3">
      <c r="A2722" s="1133"/>
      <c r="B2722" s="1136"/>
      <c r="C2722" s="1138"/>
    </row>
    <row r="2723" spans="1:3">
      <c r="A2723" s="1133"/>
      <c r="B2723" s="1136"/>
      <c r="C2723" s="1138"/>
    </row>
    <row r="2724" spans="1:3">
      <c r="A2724" s="1133"/>
      <c r="B2724" s="1136"/>
      <c r="C2724" s="1138"/>
    </row>
    <row r="2725" spans="1:3">
      <c r="A2725" s="1133"/>
      <c r="B2725" s="1136"/>
      <c r="C2725" s="1138"/>
    </row>
    <row r="2726" spans="1:3">
      <c r="A2726" s="1133"/>
      <c r="B2726" s="1136"/>
      <c r="C2726" s="1138"/>
    </row>
    <row r="2727" spans="1:3">
      <c r="A2727" s="1133"/>
      <c r="B2727" s="1136"/>
      <c r="C2727" s="1138"/>
    </row>
    <row r="2728" spans="1:3">
      <c r="A2728" s="1133"/>
      <c r="B2728" s="1136"/>
      <c r="C2728" s="1138"/>
    </row>
    <row r="2729" spans="1:3">
      <c r="A2729" s="1133"/>
      <c r="B2729" s="1136"/>
      <c r="C2729" s="1138"/>
    </row>
    <row r="2730" spans="1:3">
      <c r="A2730" s="1133"/>
      <c r="B2730" s="1136"/>
      <c r="C2730" s="1138"/>
    </row>
    <row r="2731" spans="1:3">
      <c r="A2731" s="1133"/>
      <c r="B2731" s="1136"/>
      <c r="C2731" s="1138"/>
    </row>
    <row r="2732" spans="1:3">
      <c r="A2732" s="1133"/>
      <c r="B2732" s="1136"/>
      <c r="C2732" s="1138"/>
    </row>
    <row r="2733" spans="1:3">
      <c r="A2733" s="1133"/>
      <c r="B2733" s="1136"/>
      <c r="C2733" s="1138"/>
    </row>
    <row r="2734" spans="1:3">
      <c r="A2734" s="1133"/>
      <c r="B2734" s="1136"/>
      <c r="C2734" s="1138"/>
    </row>
    <row r="2735" spans="1:3">
      <c r="A2735" s="1133"/>
      <c r="B2735" s="1136"/>
      <c r="C2735" s="1138"/>
    </row>
    <row r="2736" spans="1:3">
      <c r="A2736" s="1133"/>
      <c r="B2736" s="1136"/>
      <c r="C2736" s="1138"/>
    </row>
    <row r="2737" spans="1:3">
      <c r="A2737" s="1133"/>
      <c r="B2737" s="1136"/>
      <c r="C2737" s="1138"/>
    </row>
    <row r="2738" spans="1:3">
      <c r="A2738" s="1133"/>
      <c r="B2738" s="1136"/>
      <c r="C2738" s="1138"/>
    </row>
    <row r="2739" spans="1:3">
      <c r="A2739" s="1133"/>
      <c r="B2739" s="1136"/>
      <c r="C2739" s="1138"/>
    </row>
    <row r="2740" spans="1:3">
      <c r="A2740" s="1133"/>
      <c r="B2740" s="1136"/>
      <c r="C2740" s="1138"/>
    </row>
    <row r="2741" spans="1:3">
      <c r="A2741" s="1133"/>
      <c r="B2741" s="1136"/>
      <c r="C2741" s="1138"/>
    </row>
    <row r="2742" spans="1:3">
      <c r="A2742" s="1133"/>
      <c r="B2742" s="1136"/>
      <c r="C2742" s="1138"/>
    </row>
    <row r="2743" spans="1:3">
      <c r="A2743" s="1133"/>
      <c r="B2743" s="1136"/>
      <c r="C2743" s="1138"/>
    </row>
    <row r="2744" spans="1:3">
      <c r="A2744" s="1133"/>
      <c r="B2744" s="1136"/>
      <c r="C2744" s="1138"/>
    </row>
    <row r="2745" spans="1:3">
      <c r="A2745" s="1133"/>
      <c r="B2745" s="1136"/>
      <c r="C2745" s="1138"/>
    </row>
    <row r="2746" spans="1:3">
      <c r="A2746" s="1133"/>
      <c r="B2746" s="1136"/>
      <c r="C2746" s="1138"/>
    </row>
    <row r="2747" spans="1:3">
      <c r="A2747" s="1133"/>
      <c r="B2747" s="1136"/>
      <c r="C2747" s="1138"/>
    </row>
    <row r="2748" spans="1:3">
      <c r="A2748" s="1133"/>
      <c r="B2748" s="1136"/>
      <c r="C2748" s="1138"/>
    </row>
    <row r="2749" spans="1:3">
      <c r="A2749" s="1133"/>
      <c r="B2749" s="1136"/>
      <c r="C2749" s="1138"/>
    </row>
    <row r="2750" spans="1:3">
      <c r="A2750" s="1133"/>
      <c r="B2750" s="1136"/>
      <c r="C2750" s="1138"/>
    </row>
    <row r="2751" spans="1:3">
      <c r="A2751" s="1133"/>
      <c r="B2751" s="1136"/>
      <c r="C2751" s="1138"/>
    </row>
    <row r="2752" spans="1:3">
      <c r="A2752" s="1133"/>
      <c r="B2752" s="1136"/>
      <c r="C2752" s="1138"/>
    </row>
    <row r="2753" spans="1:3">
      <c r="A2753" s="1133"/>
      <c r="B2753" s="1136"/>
      <c r="C2753" s="1138"/>
    </row>
    <row r="2754" spans="1:3">
      <c r="A2754" s="1133"/>
      <c r="B2754" s="1136"/>
      <c r="C2754" s="1138"/>
    </row>
    <row r="2755" spans="1:3">
      <c r="A2755" s="1133"/>
      <c r="B2755" s="1136"/>
      <c r="C2755" s="1138"/>
    </row>
    <row r="2756" spans="1:3">
      <c r="A2756" s="1133"/>
      <c r="B2756" s="1136"/>
      <c r="C2756" s="1138"/>
    </row>
    <row r="2757" spans="1:3">
      <c r="A2757" s="1133"/>
      <c r="B2757" s="1136"/>
      <c r="C2757" s="1138"/>
    </row>
    <row r="2758" spans="1:3">
      <c r="A2758" s="1133"/>
      <c r="B2758" s="1136"/>
      <c r="C2758" s="1138"/>
    </row>
    <row r="2759" spans="1:3">
      <c r="A2759" s="1133"/>
      <c r="B2759" s="1136"/>
      <c r="C2759" s="1138"/>
    </row>
    <row r="2760" spans="1:3">
      <c r="A2760" s="1133"/>
      <c r="B2760" s="1136"/>
      <c r="C2760" s="1138"/>
    </row>
    <row r="2761" spans="1:3">
      <c r="A2761" s="1133"/>
      <c r="B2761" s="1136"/>
      <c r="C2761" s="1138"/>
    </row>
    <row r="2762" spans="1:3">
      <c r="A2762" s="1133"/>
      <c r="B2762" s="1136"/>
      <c r="C2762" s="1138"/>
    </row>
    <row r="2763" spans="1:3">
      <c r="A2763" s="1133"/>
      <c r="B2763" s="1136"/>
      <c r="C2763" s="1138"/>
    </row>
    <row r="2764" spans="1:3">
      <c r="A2764" s="1133"/>
      <c r="B2764" s="1136"/>
      <c r="C2764" s="1138"/>
    </row>
    <row r="2765" spans="1:3">
      <c r="A2765" s="1133"/>
      <c r="B2765" s="1136"/>
      <c r="C2765" s="1138"/>
    </row>
    <row r="2766" spans="1:3">
      <c r="A2766" s="1133"/>
      <c r="B2766" s="1136"/>
      <c r="C2766" s="1138"/>
    </row>
    <row r="2767" spans="1:3">
      <c r="A2767" s="1133"/>
      <c r="B2767" s="1136"/>
      <c r="C2767" s="1138"/>
    </row>
    <row r="2768" spans="1:3">
      <c r="A2768" s="1133"/>
      <c r="B2768" s="1136"/>
      <c r="C2768" s="1138"/>
    </row>
    <row r="2769" spans="1:3">
      <c r="A2769" s="1133"/>
      <c r="B2769" s="1136"/>
      <c r="C2769" s="1138"/>
    </row>
    <row r="2770" spans="1:3">
      <c r="A2770" s="1133"/>
      <c r="B2770" s="1136"/>
      <c r="C2770" s="1138"/>
    </row>
    <row r="2771" spans="1:3">
      <c r="A2771" s="1133"/>
      <c r="B2771" s="1136"/>
      <c r="C2771" s="1138"/>
    </row>
    <row r="2772" spans="1:3">
      <c r="A2772" s="1133"/>
      <c r="B2772" s="1136"/>
      <c r="C2772" s="1138"/>
    </row>
    <row r="2773" spans="1:3">
      <c r="A2773" s="1133"/>
      <c r="B2773" s="1136"/>
      <c r="C2773" s="1138"/>
    </row>
    <row r="2774" spans="1:3">
      <c r="A2774" s="1133"/>
      <c r="B2774" s="1136"/>
      <c r="C2774" s="1138"/>
    </row>
    <row r="2775" spans="1:3">
      <c r="A2775" s="1133"/>
      <c r="B2775" s="1136"/>
      <c r="C2775" s="1138"/>
    </row>
    <row r="2776" spans="1:3">
      <c r="A2776" s="1133"/>
      <c r="B2776" s="1136"/>
      <c r="C2776" s="1138"/>
    </row>
    <row r="2777" spans="1:3">
      <c r="A2777" s="1133"/>
      <c r="B2777" s="1136"/>
      <c r="C2777" s="1138"/>
    </row>
    <row r="2778" spans="1:3">
      <c r="A2778" s="1133"/>
      <c r="B2778" s="1136"/>
      <c r="C2778" s="1138"/>
    </row>
    <row r="2779" spans="1:3">
      <c r="A2779" s="1133"/>
      <c r="B2779" s="1136"/>
      <c r="C2779" s="1138"/>
    </row>
    <row r="2780" spans="1:3">
      <c r="A2780" s="1133"/>
      <c r="B2780" s="1136"/>
      <c r="C2780" s="1138"/>
    </row>
    <row r="2781" spans="1:3">
      <c r="A2781" s="1133"/>
      <c r="B2781" s="1136"/>
      <c r="C2781" s="1138"/>
    </row>
    <row r="2782" spans="1:3">
      <c r="A2782" s="1133"/>
      <c r="B2782" s="1136"/>
      <c r="C2782" s="1138"/>
    </row>
    <row r="2783" spans="1:3">
      <c r="A2783" s="1133"/>
      <c r="B2783" s="1136"/>
      <c r="C2783" s="1138"/>
    </row>
    <row r="2784" spans="1:3">
      <c r="A2784" s="1133"/>
      <c r="B2784" s="1136"/>
      <c r="C2784" s="1138"/>
    </row>
    <row r="2785" spans="1:3">
      <c r="A2785" s="1133"/>
      <c r="B2785" s="1136"/>
      <c r="C2785" s="1138"/>
    </row>
    <row r="2786" spans="1:3">
      <c r="A2786" s="1133"/>
      <c r="B2786" s="1136"/>
      <c r="C2786" s="1138"/>
    </row>
    <row r="2787" spans="1:3">
      <c r="A2787" s="1133"/>
      <c r="B2787" s="1136"/>
      <c r="C2787" s="1138"/>
    </row>
    <row r="2788" spans="1:3">
      <c r="A2788" s="1133"/>
      <c r="B2788" s="1136"/>
      <c r="C2788" s="1138"/>
    </row>
    <row r="2789" spans="1:3">
      <c r="A2789" s="1133"/>
      <c r="B2789" s="1136"/>
      <c r="C2789" s="1138"/>
    </row>
    <row r="2790" spans="1:3">
      <c r="A2790" s="1133"/>
      <c r="B2790" s="1136"/>
      <c r="C2790" s="1138"/>
    </row>
    <row r="2791" spans="1:3">
      <c r="A2791" s="1133"/>
      <c r="B2791" s="1136"/>
      <c r="C2791" s="1138"/>
    </row>
    <row r="2792" spans="1:3">
      <c r="A2792" s="1133"/>
      <c r="B2792" s="1136"/>
      <c r="C2792" s="1138"/>
    </row>
    <row r="2793" spans="1:3">
      <c r="A2793" s="1133"/>
      <c r="B2793" s="1136"/>
      <c r="C2793" s="1138"/>
    </row>
    <row r="2794" spans="1:3">
      <c r="A2794" s="1133"/>
      <c r="B2794" s="1136"/>
      <c r="C2794" s="1138"/>
    </row>
    <row r="2795" spans="1:3">
      <c r="A2795" s="1133"/>
      <c r="B2795" s="1136"/>
      <c r="C2795" s="1138"/>
    </row>
    <row r="2796" spans="1:3">
      <c r="A2796" s="1133"/>
      <c r="B2796" s="1136"/>
      <c r="C2796" s="1138"/>
    </row>
    <row r="2797" spans="1:3">
      <c r="A2797" s="1133"/>
      <c r="B2797" s="1136"/>
      <c r="C2797" s="1138"/>
    </row>
    <row r="2798" spans="1:3">
      <c r="A2798" s="1133"/>
      <c r="B2798" s="1136"/>
      <c r="C2798" s="1138"/>
    </row>
    <row r="2799" spans="1:3">
      <c r="A2799" s="1133"/>
      <c r="B2799" s="1136"/>
      <c r="C2799" s="1138"/>
    </row>
    <row r="2800" spans="1:3">
      <c r="A2800" s="1133"/>
      <c r="B2800" s="1136"/>
      <c r="C2800" s="1138"/>
    </row>
    <row r="2801" spans="1:3">
      <c r="A2801" s="1133"/>
      <c r="B2801" s="1136"/>
      <c r="C2801" s="1138"/>
    </row>
    <row r="2802" spans="1:3">
      <c r="A2802" s="1133"/>
      <c r="B2802" s="1136"/>
      <c r="C2802" s="1138"/>
    </row>
    <row r="2803" spans="1:3">
      <c r="A2803" s="1133"/>
      <c r="B2803" s="1136"/>
      <c r="C2803" s="1138"/>
    </row>
    <row r="2804" spans="1:3">
      <c r="A2804" s="1133"/>
      <c r="B2804" s="1136"/>
      <c r="C2804" s="1138"/>
    </row>
    <row r="2805" spans="1:3">
      <c r="A2805" s="1133"/>
      <c r="B2805" s="1136"/>
      <c r="C2805" s="1138"/>
    </row>
    <row r="2806" spans="1:3">
      <c r="A2806" s="1133"/>
      <c r="B2806" s="1136"/>
      <c r="C2806" s="1138"/>
    </row>
    <row r="2807" spans="1:3">
      <c r="A2807" s="1133"/>
      <c r="B2807" s="1136"/>
      <c r="C2807" s="1138"/>
    </row>
    <row r="2808" spans="1:3">
      <c r="A2808" s="1133"/>
      <c r="B2808" s="1136"/>
      <c r="C2808" s="1138"/>
    </row>
    <row r="2809" spans="1:3">
      <c r="A2809" s="1133"/>
      <c r="B2809" s="1136"/>
      <c r="C2809" s="1138"/>
    </row>
    <row r="2810" spans="1:3">
      <c r="A2810" s="1133"/>
      <c r="B2810" s="1136"/>
      <c r="C2810" s="1138"/>
    </row>
    <row r="2811" spans="1:3">
      <c r="A2811" s="1133"/>
      <c r="B2811" s="1136"/>
      <c r="C2811" s="1138"/>
    </row>
    <row r="2812" spans="1:3">
      <c r="A2812" s="1133"/>
      <c r="B2812" s="1136"/>
      <c r="C2812" s="1138"/>
    </row>
    <row r="2813" spans="1:3">
      <c r="A2813" s="1133"/>
      <c r="B2813" s="1136"/>
      <c r="C2813" s="1138"/>
    </row>
    <row r="2814" spans="1:3">
      <c r="A2814" s="1133"/>
      <c r="B2814" s="1136"/>
      <c r="C2814" s="1138"/>
    </row>
    <row r="2815" spans="1:3">
      <c r="A2815" s="1133"/>
      <c r="B2815" s="1136"/>
      <c r="C2815" s="1138"/>
    </row>
    <row r="2816" spans="1:3">
      <c r="A2816" s="1133"/>
      <c r="B2816" s="1136"/>
      <c r="C2816" s="1138"/>
    </row>
    <row r="2817" spans="1:3">
      <c r="A2817" s="1133"/>
      <c r="B2817" s="1136"/>
      <c r="C2817" s="1138"/>
    </row>
    <row r="2818" spans="1:3">
      <c r="A2818" s="1133"/>
      <c r="B2818" s="1136"/>
      <c r="C2818" s="1138"/>
    </row>
    <row r="2819" spans="1:3">
      <c r="A2819" s="1133"/>
      <c r="B2819" s="1136"/>
      <c r="C2819" s="1138"/>
    </row>
    <row r="2820" spans="1:3">
      <c r="A2820" s="1133"/>
      <c r="B2820" s="1136"/>
      <c r="C2820" s="1138"/>
    </row>
    <row r="2821" spans="1:3">
      <c r="A2821" s="1133"/>
      <c r="B2821" s="1136"/>
      <c r="C2821" s="1138"/>
    </row>
    <row r="2822" spans="1:3">
      <c r="A2822" s="1133"/>
      <c r="B2822" s="1136"/>
      <c r="C2822" s="1138"/>
    </row>
    <row r="2823" spans="1:3">
      <c r="A2823" s="1133"/>
      <c r="B2823" s="1136"/>
      <c r="C2823" s="1138"/>
    </row>
    <row r="2824" spans="1:3">
      <c r="A2824" s="1133"/>
      <c r="B2824" s="1136"/>
      <c r="C2824" s="1138"/>
    </row>
    <row r="2825" spans="1:3">
      <c r="A2825" s="1133"/>
      <c r="B2825" s="1136"/>
      <c r="C2825" s="1138"/>
    </row>
    <row r="2826" spans="1:3">
      <c r="A2826" s="1133"/>
      <c r="B2826" s="1136"/>
      <c r="C2826" s="1138"/>
    </row>
    <row r="2827" spans="1:3">
      <c r="A2827" s="1133"/>
      <c r="B2827" s="1136"/>
      <c r="C2827" s="1138"/>
    </row>
    <row r="2828" spans="1:3">
      <c r="A2828" s="1133"/>
      <c r="B2828" s="1136"/>
      <c r="C2828" s="1138"/>
    </row>
    <row r="2829" spans="1:3">
      <c r="A2829" s="1133"/>
      <c r="B2829" s="1136"/>
      <c r="C2829" s="1138"/>
    </row>
    <row r="2830" spans="1:3">
      <c r="A2830" s="1133"/>
      <c r="B2830" s="1136"/>
      <c r="C2830" s="1138"/>
    </row>
    <row r="2831" spans="1:3">
      <c r="A2831" s="1133"/>
      <c r="B2831" s="1136"/>
      <c r="C2831" s="1138"/>
    </row>
    <row r="2832" spans="1:3">
      <c r="A2832" s="1133"/>
      <c r="B2832" s="1136"/>
      <c r="C2832" s="1138"/>
    </row>
    <row r="2833" spans="1:3">
      <c r="A2833" s="1133"/>
      <c r="B2833" s="1136"/>
      <c r="C2833" s="1138"/>
    </row>
    <row r="2834" spans="1:3">
      <c r="A2834" s="1133"/>
      <c r="B2834" s="1136"/>
      <c r="C2834" s="1138"/>
    </row>
    <row r="2835" spans="1:3">
      <c r="A2835" s="1133"/>
      <c r="B2835" s="1136"/>
      <c r="C2835" s="1138"/>
    </row>
    <row r="2836" spans="1:3">
      <c r="A2836" s="1133"/>
      <c r="B2836" s="1136"/>
      <c r="C2836" s="1138"/>
    </row>
    <row r="2837" spans="1:3">
      <c r="A2837" s="1133"/>
      <c r="B2837" s="1136"/>
      <c r="C2837" s="1138"/>
    </row>
    <row r="2838" spans="1:3">
      <c r="A2838" s="1133"/>
      <c r="B2838" s="1136"/>
      <c r="C2838" s="1138"/>
    </row>
    <row r="2839" spans="1:3">
      <c r="A2839" s="1133"/>
      <c r="B2839" s="1136"/>
      <c r="C2839" s="1138"/>
    </row>
    <row r="2840" spans="1:3">
      <c r="A2840" s="1133"/>
      <c r="B2840" s="1136"/>
      <c r="C2840" s="1138"/>
    </row>
    <row r="2841" spans="1:3">
      <c r="A2841" s="1133"/>
      <c r="B2841" s="1136"/>
      <c r="C2841" s="1138"/>
    </row>
    <row r="2842" spans="1:3">
      <c r="A2842" s="1133"/>
      <c r="B2842" s="1136"/>
      <c r="C2842" s="1138"/>
    </row>
    <row r="2843" spans="1:3">
      <c r="A2843" s="1133"/>
      <c r="B2843" s="1136"/>
      <c r="C2843" s="1138"/>
    </row>
    <row r="2844" spans="1:3">
      <c r="A2844" s="1133"/>
      <c r="B2844" s="1136"/>
      <c r="C2844" s="1138"/>
    </row>
    <row r="2845" spans="1:3">
      <c r="A2845" s="1133"/>
      <c r="B2845" s="1136"/>
      <c r="C2845" s="1138"/>
    </row>
    <row r="2846" spans="1:3">
      <c r="A2846" s="1133"/>
      <c r="B2846" s="1136"/>
      <c r="C2846" s="1138"/>
    </row>
    <row r="2847" spans="1:3">
      <c r="A2847" s="1133"/>
      <c r="B2847" s="1136"/>
      <c r="C2847" s="1138"/>
    </row>
    <row r="2848" spans="1:3">
      <c r="A2848" s="1133"/>
      <c r="B2848" s="1136"/>
      <c r="C2848" s="1138"/>
    </row>
    <row r="2849" spans="1:3">
      <c r="A2849" s="1133"/>
      <c r="B2849" s="1136"/>
      <c r="C2849" s="1138"/>
    </row>
    <row r="2850" spans="1:3">
      <c r="A2850" s="1133"/>
      <c r="B2850" s="1136"/>
      <c r="C2850" s="1138"/>
    </row>
    <row r="2851" spans="1:3">
      <c r="A2851" s="1133"/>
      <c r="B2851" s="1136"/>
      <c r="C2851" s="1138"/>
    </row>
    <row r="2852" spans="1:3">
      <c r="A2852" s="1133"/>
      <c r="B2852" s="1136"/>
      <c r="C2852" s="1138"/>
    </row>
    <row r="2853" spans="1:3">
      <c r="A2853" s="1133"/>
      <c r="B2853" s="1136"/>
      <c r="C2853" s="1138"/>
    </row>
    <row r="2854" spans="1:3">
      <c r="A2854" s="1133"/>
      <c r="B2854" s="1136"/>
      <c r="C2854" s="1138"/>
    </row>
    <row r="2855" spans="1:3">
      <c r="A2855" s="1133"/>
      <c r="B2855" s="1136"/>
      <c r="C2855" s="1138"/>
    </row>
    <row r="2856" spans="1:3">
      <c r="A2856" s="1133"/>
      <c r="B2856" s="1136"/>
      <c r="C2856" s="1138"/>
    </row>
    <row r="2857" spans="1:3">
      <c r="A2857" s="1133"/>
      <c r="B2857" s="1136"/>
      <c r="C2857" s="1138"/>
    </row>
    <row r="2858" spans="1:3">
      <c r="A2858" s="1133"/>
      <c r="B2858" s="1136"/>
      <c r="C2858" s="1138"/>
    </row>
    <row r="2859" spans="1:3">
      <c r="A2859" s="1133"/>
      <c r="B2859" s="1136"/>
      <c r="C2859" s="1138"/>
    </row>
    <row r="2860" spans="1:3">
      <c r="A2860" s="1133"/>
      <c r="B2860" s="1136"/>
      <c r="C2860" s="1138"/>
    </row>
    <row r="2861" spans="1:3">
      <c r="A2861" s="1133"/>
      <c r="B2861" s="1136"/>
      <c r="C2861" s="1138"/>
    </row>
    <row r="2862" spans="1:3">
      <c r="A2862" s="1133"/>
      <c r="B2862" s="1136"/>
      <c r="C2862" s="1138"/>
    </row>
    <row r="2863" spans="1:3">
      <c r="A2863" s="1133"/>
      <c r="B2863" s="1136"/>
      <c r="C2863" s="1138"/>
    </row>
    <row r="2864" spans="1:3">
      <c r="A2864" s="1133"/>
      <c r="B2864" s="1136"/>
      <c r="C2864" s="1138"/>
    </row>
    <row r="2865" spans="1:3">
      <c r="A2865" s="1133"/>
      <c r="B2865" s="1136"/>
      <c r="C2865" s="1138"/>
    </row>
    <row r="2866" spans="1:3">
      <c r="A2866" s="1133"/>
      <c r="B2866" s="1136"/>
      <c r="C2866" s="1138"/>
    </row>
    <row r="2867" spans="1:3">
      <c r="A2867" s="1133"/>
      <c r="B2867" s="1136"/>
      <c r="C2867" s="1138"/>
    </row>
    <row r="2868" spans="1:3">
      <c r="A2868" s="1133"/>
      <c r="B2868" s="1136"/>
      <c r="C2868" s="1138"/>
    </row>
    <row r="2869" spans="1:3">
      <c r="A2869" s="1133"/>
      <c r="B2869" s="1136"/>
      <c r="C2869" s="1138"/>
    </row>
    <row r="2870" spans="1:3">
      <c r="A2870" s="1133"/>
      <c r="B2870" s="1136"/>
      <c r="C2870" s="1138"/>
    </row>
    <row r="2871" spans="1:3">
      <c r="A2871" s="1133"/>
      <c r="B2871" s="1136"/>
      <c r="C2871" s="1138"/>
    </row>
    <row r="2872" spans="1:3">
      <c r="A2872" s="1133"/>
      <c r="B2872" s="1136"/>
      <c r="C2872" s="1138"/>
    </row>
    <row r="2873" spans="1:3">
      <c r="A2873" s="1133"/>
      <c r="B2873" s="1136"/>
      <c r="C2873" s="1138"/>
    </row>
    <row r="2874" spans="1:3">
      <c r="A2874" s="1133"/>
      <c r="B2874" s="1136"/>
      <c r="C2874" s="1138"/>
    </row>
    <row r="2875" spans="1:3">
      <c r="A2875" s="1133"/>
      <c r="B2875" s="1136"/>
      <c r="C2875" s="1138"/>
    </row>
    <row r="2876" spans="1:3">
      <c r="A2876" s="1133"/>
      <c r="B2876" s="1136"/>
      <c r="C2876" s="1138"/>
    </row>
    <row r="2877" spans="1:3">
      <c r="A2877" s="1133"/>
      <c r="B2877" s="1136"/>
      <c r="C2877" s="1138"/>
    </row>
    <row r="2878" spans="1:3">
      <c r="A2878" s="1133"/>
      <c r="B2878" s="1136"/>
      <c r="C2878" s="1138"/>
    </row>
    <row r="2879" spans="1:3">
      <c r="A2879" s="1133"/>
      <c r="B2879" s="1136"/>
      <c r="C2879" s="1138"/>
    </row>
    <row r="2880" spans="1:3">
      <c r="A2880" s="1133"/>
      <c r="B2880" s="1136"/>
      <c r="C2880" s="1138"/>
    </row>
    <row r="2881" spans="1:3">
      <c r="A2881" s="1133"/>
      <c r="B2881" s="1136"/>
      <c r="C2881" s="1138"/>
    </row>
    <row r="2882" spans="1:3">
      <c r="A2882" s="1133"/>
      <c r="B2882" s="1136"/>
      <c r="C2882" s="1138"/>
    </row>
    <row r="2883" spans="1:3">
      <c r="A2883" s="1133"/>
      <c r="B2883" s="1136"/>
      <c r="C2883" s="1138"/>
    </row>
    <row r="2884" spans="1:3">
      <c r="A2884" s="1133"/>
      <c r="B2884" s="1136"/>
      <c r="C2884" s="1138"/>
    </row>
    <row r="2885" spans="1:3">
      <c r="A2885" s="1133"/>
      <c r="B2885" s="1136"/>
      <c r="C2885" s="1138"/>
    </row>
    <row r="2886" spans="1:3">
      <c r="A2886" s="1133"/>
      <c r="B2886" s="1136"/>
      <c r="C2886" s="1138"/>
    </row>
    <row r="2887" spans="1:3">
      <c r="A2887" s="1133"/>
      <c r="B2887" s="1136"/>
      <c r="C2887" s="1138"/>
    </row>
    <row r="2888" spans="1:3">
      <c r="A2888" s="1133"/>
      <c r="B2888" s="1136"/>
      <c r="C2888" s="1138"/>
    </row>
    <row r="2889" spans="1:3">
      <c r="A2889" s="1133"/>
      <c r="B2889" s="1136"/>
      <c r="C2889" s="1138"/>
    </row>
    <row r="2890" spans="1:3">
      <c r="A2890" s="1133"/>
      <c r="B2890" s="1136"/>
      <c r="C2890" s="1138"/>
    </row>
    <row r="2891" spans="1:3">
      <c r="A2891" s="1133"/>
      <c r="B2891" s="1136"/>
      <c r="C2891" s="1138"/>
    </row>
    <row r="2892" spans="1:3">
      <c r="A2892" s="1133"/>
      <c r="B2892" s="1136"/>
      <c r="C2892" s="1138"/>
    </row>
    <row r="2893" spans="1:3">
      <c r="A2893" s="1133"/>
      <c r="B2893" s="1136"/>
      <c r="C2893" s="1138"/>
    </row>
    <row r="2894" spans="1:3">
      <c r="A2894" s="1133"/>
      <c r="B2894" s="1136"/>
      <c r="C2894" s="1138"/>
    </row>
    <row r="2895" spans="1:3">
      <c r="A2895" s="1133"/>
      <c r="B2895" s="1136"/>
      <c r="C2895" s="1138"/>
    </row>
    <row r="2896" spans="1:3">
      <c r="A2896" s="1133"/>
      <c r="B2896" s="1136"/>
      <c r="C2896" s="1138"/>
    </row>
    <row r="2897" spans="1:3">
      <c r="A2897" s="1133"/>
      <c r="B2897" s="1136"/>
      <c r="C2897" s="1138"/>
    </row>
    <row r="2898" spans="1:3">
      <c r="A2898" s="1133"/>
      <c r="B2898" s="1136"/>
      <c r="C2898" s="1138"/>
    </row>
    <row r="2899" spans="1:3">
      <c r="A2899" s="1133"/>
      <c r="B2899" s="1136"/>
      <c r="C2899" s="1138"/>
    </row>
    <row r="2900" spans="1:3">
      <c r="A2900" s="1133"/>
      <c r="B2900" s="1136"/>
      <c r="C2900" s="1138"/>
    </row>
    <row r="2901" spans="1:3">
      <c r="A2901" s="1133"/>
      <c r="B2901" s="1136"/>
      <c r="C2901" s="1138"/>
    </row>
    <row r="2902" spans="1:3">
      <c r="A2902" s="1133"/>
      <c r="B2902" s="1136"/>
      <c r="C2902" s="1138"/>
    </row>
    <row r="2903" spans="1:3">
      <c r="A2903" s="1133"/>
      <c r="B2903" s="1136"/>
      <c r="C2903" s="1138"/>
    </row>
    <row r="2904" spans="1:3">
      <c r="A2904" s="1133"/>
      <c r="B2904" s="1136"/>
      <c r="C2904" s="1138"/>
    </row>
    <row r="2905" spans="1:3">
      <c r="A2905" s="1133"/>
      <c r="B2905" s="1136"/>
      <c r="C2905" s="1138"/>
    </row>
    <row r="2906" spans="1:3">
      <c r="A2906" s="1133"/>
      <c r="B2906" s="1136"/>
      <c r="C2906" s="1138"/>
    </row>
    <row r="2907" spans="1:3">
      <c r="A2907" s="1133"/>
      <c r="B2907" s="1136"/>
      <c r="C2907" s="1138"/>
    </row>
    <row r="2908" spans="1:3">
      <c r="A2908" s="1133"/>
      <c r="B2908" s="1136"/>
      <c r="C2908" s="1138"/>
    </row>
    <row r="2909" spans="1:3">
      <c r="A2909" s="1133"/>
      <c r="B2909" s="1136"/>
      <c r="C2909" s="1138"/>
    </row>
    <row r="2910" spans="1:3">
      <c r="A2910" s="1133"/>
      <c r="B2910" s="1136"/>
      <c r="C2910" s="1138"/>
    </row>
    <row r="2911" spans="1:3">
      <c r="A2911" s="1133"/>
      <c r="B2911" s="1136"/>
      <c r="C2911" s="1138"/>
    </row>
    <row r="2912" spans="1:3">
      <c r="A2912" s="1133"/>
      <c r="B2912" s="1136"/>
      <c r="C2912" s="1138"/>
    </row>
    <row r="2913" spans="1:3">
      <c r="A2913" s="1133"/>
      <c r="B2913" s="1136"/>
      <c r="C2913" s="1138"/>
    </row>
    <row r="2914" spans="1:3">
      <c r="A2914" s="1133"/>
      <c r="B2914" s="1136"/>
      <c r="C2914" s="1138"/>
    </row>
    <row r="2915" spans="1:3">
      <c r="A2915" s="1133"/>
      <c r="B2915" s="1136"/>
      <c r="C2915" s="1138"/>
    </row>
    <row r="2916" spans="1:3">
      <c r="A2916" s="1133"/>
      <c r="B2916" s="1136"/>
      <c r="C2916" s="1138"/>
    </row>
    <row r="2917" spans="1:3">
      <c r="A2917" s="1133"/>
      <c r="B2917" s="1136"/>
      <c r="C2917" s="1138"/>
    </row>
    <row r="2918" spans="1:3">
      <c r="A2918" s="1133"/>
      <c r="B2918" s="1136"/>
      <c r="C2918" s="1138"/>
    </row>
    <row r="2919" spans="1:3">
      <c r="A2919" s="1133"/>
      <c r="B2919" s="1136"/>
      <c r="C2919" s="1138"/>
    </row>
    <row r="2920" spans="1:3">
      <c r="A2920" s="1133"/>
      <c r="B2920" s="1136"/>
      <c r="C2920" s="1138"/>
    </row>
    <row r="2921" spans="1:3">
      <c r="A2921" s="1133"/>
      <c r="B2921" s="1136"/>
      <c r="C2921" s="1138"/>
    </row>
    <row r="2922" spans="1:3">
      <c r="A2922" s="1133"/>
      <c r="B2922" s="1136"/>
      <c r="C2922" s="1138"/>
    </row>
    <row r="2923" spans="1:3">
      <c r="A2923" s="1133"/>
      <c r="B2923" s="1136"/>
      <c r="C2923" s="1138"/>
    </row>
    <row r="2924" spans="1:3">
      <c r="A2924" s="1133"/>
      <c r="B2924" s="1136"/>
      <c r="C2924" s="1138"/>
    </row>
    <row r="2925" spans="1:3">
      <c r="A2925" s="1133"/>
      <c r="B2925" s="1136"/>
      <c r="C2925" s="1138"/>
    </row>
    <row r="2926" spans="1:3">
      <c r="A2926" s="1133"/>
      <c r="B2926" s="1136"/>
      <c r="C2926" s="1138"/>
    </row>
    <row r="2927" spans="1:3">
      <c r="A2927" s="1133"/>
      <c r="B2927" s="1136"/>
      <c r="C2927" s="1138"/>
    </row>
    <row r="2928" spans="1:3">
      <c r="A2928" s="1133"/>
      <c r="B2928" s="1136"/>
      <c r="C2928" s="1138"/>
    </row>
    <row r="2929" spans="1:3">
      <c r="A2929" s="1133"/>
      <c r="B2929" s="1136"/>
      <c r="C2929" s="1138"/>
    </row>
    <row r="2930" spans="1:3">
      <c r="A2930" s="1133"/>
      <c r="B2930" s="1136"/>
      <c r="C2930" s="1138"/>
    </row>
    <row r="2931" spans="1:3">
      <c r="A2931" s="1133"/>
      <c r="B2931" s="1136"/>
      <c r="C2931" s="1138"/>
    </row>
    <row r="2932" spans="1:3">
      <c r="A2932" s="1133"/>
      <c r="B2932" s="1136"/>
      <c r="C2932" s="1138"/>
    </row>
    <row r="2933" spans="1:3">
      <c r="A2933" s="1133"/>
      <c r="B2933" s="1136"/>
      <c r="C2933" s="1138"/>
    </row>
    <row r="2934" spans="1:3">
      <c r="A2934" s="1133"/>
      <c r="B2934" s="1136"/>
      <c r="C2934" s="1138"/>
    </row>
    <row r="2935" spans="1:3">
      <c r="A2935" s="1133"/>
      <c r="B2935" s="1136"/>
      <c r="C2935" s="1138"/>
    </row>
    <row r="2936" spans="1:3">
      <c r="A2936" s="1133"/>
      <c r="B2936" s="1136"/>
      <c r="C2936" s="1138"/>
    </row>
    <row r="2937" spans="1:3">
      <c r="A2937" s="1133"/>
      <c r="B2937" s="1136"/>
      <c r="C2937" s="1138"/>
    </row>
    <row r="2938" spans="1:3">
      <c r="A2938" s="1133"/>
      <c r="B2938" s="1136"/>
      <c r="C2938" s="1138"/>
    </row>
    <row r="2939" spans="1:3">
      <c r="A2939" s="1133"/>
      <c r="B2939" s="1136"/>
      <c r="C2939" s="1138"/>
    </row>
    <row r="2940" spans="1:3">
      <c r="A2940" s="1133"/>
      <c r="B2940" s="1136"/>
      <c r="C2940" s="1138"/>
    </row>
    <row r="2941" spans="1:3">
      <c r="A2941" s="1133"/>
      <c r="B2941" s="1136"/>
      <c r="C2941" s="1138"/>
    </row>
    <row r="2942" spans="1:3">
      <c r="A2942" s="1133"/>
      <c r="B2942" s="1136"/>
      <c r="C2942" s="1138"/>
    </row>
    <row r="2943" spans="1:3">
      <c r="A2943" s="1133"/>
      <c r="B2943" s="1136"/>
      <c r="C2943" s="1138"/>
    </row>
    <row r="2944" spans="1:3">
      <c r="A2944" s="1133"/>
      <c r="B2944" s="1136"/>
      <c r="C2944" s="1138"/>
    </row>
    <row r="2945" spans="1:3">
      <c r="A2945" s="1133"/>
      <c r="B2945" s="1136"/>
      <c r="C2945" s="1138"/>
    </row>
    <row r="2946" spans="1:3">
      <c r="A2946" s="1133"/>
      <c r="B2946" s="1136"/>
      <c r="C2946" s="1138"/>
    </row>
    <row r="2947" spans="1:3">
      <c r="A2947" s="1133"/>
      <c r="B2947" s="1136"/>
      <c r="C2947" s="1138"/>
    </row>
    <row r="2948" spans="1:3">
      <c r="A2948" s="1133"/>
      <c r="B2948" s="1136"/>
      <c r="C2948" s="1138"/>
    </row>
    <row r="2949" spans="1:3">
      <c r="A2949" s="1133"/>
      <c r="B2949" s="1136"/>
      <c r="C2949" s="1138"/>
    </row>
    <row r="2950" spans="1:3">
      <c r="A2950" s="1133"/>
      <c r="B2950" s="1136"/>
      <c r="C2950" s="1138"/>
    </row>
    <row r="2951" spans="1:3">
      <c r="A2951" s="1133"/>
      <c r="B2951" s="1136"/>
      <c r="C2951" s="1138"/>
    </row>
    <row r="2952" spans="1:3">
      <c r="A2952" s="1133"/>
      <c r="B2952" s="1136"/>
      <c r="C2952" s="1138"/>
    </row>
    <row r="2953" spans="1:3">
      <c r="A2953" s="1133"/>
      <c r="B2953" s="1136"/>
      <c r="C2953" s="1138"/>
    </row>
    <row r="2954" spans="1:3">
      <c r="A2954" s="1133"/>
      <c r="B2954" s="1136"/>
      <c r="C2954" s="1138"/>
    </row>
    <row r="2955" spans="1:3">
      <c r="A2955" s="1133"/>
      <c r="B2955" s="1136"/>
      <c r="C2955" s="1138"/>
    </row>
    <row r="2956" spans="1:3">
      <c r="A2956" s="1133"/>
      <c r="B2956" s="1136"/>
      <c r="C2956" s="1138"/>
    </row>
    <row r="2957" spans="1:3">
      <c r="A2957" s="1133"/>
      <c r="B2957" s="1136"/>
      <c r="C2957" s="1138"/>
    </row>
    <row r="2958" spans="1:3">
      <c r="A2958" s="1133"/>
      <c r="B2958" s="1136"/>
      <c r="C2958" s="1138"/>
    </row>
    <row r="2959" spans="1:3">
      <c r="A2959" s="1133"/>
      <c r="B2959" s="1136"/>
      <c r="C2959" s="1138"/>
    </row>
    <row r="2960" spans="1:3">
      <c r="A2960" s="1133"/>
      <c r="B2960" s="1136"/>
      <c r="C2960" s="1138"/>
    </row>
    <row r="2961" spans="1:3">
      <c r="A2961" s="1133"/>
      <c r="B2961" s="1136"/>
      <c r="C2961" s="1138"/>
    </row>
    <row r="2962" spans="1:3">
      <c r="A2962" s="1133"/>
      <c r="B2962" s="1136"/>
      <c r="C2962" s="1138"/>
    </row>
    <row r="2963" spans="1:3">
      <c r="A2963" s="1133"/>
      <c r="B2963" s="1136"/>
      <c r="C2963" s="1138"/>
    </row>
    <row r="2964" spans="1:3">
      <c r="A2964" s="1133"/>
      <c r="B2964" s="1136"/>
      <c r="C2964" s="1138"/>
    </row>
    <row r="2965" spans="1:3">
      <c r="A2965" s="1133"/>
      <c r="B2965" s="1136"/>
      <c r="C2965" s="1138"/>
    </row>
    <row r="2966" spans="1:3">
      <c r="A2966" s="1133"/>
      <c r="B2966" s="1136"/>
      <c r="C2966" s="1138"/>
    </row>
    <row r="2967" spans="1:3">
      <c r="A2967" s="1133"/>
      <c r="B2967" s="1136"/>
      <c r="C2967" s="1138"/>
    </row>
    <row r="2968" spans="1:3">
      <c r="A2968" s="1133"/>
      <c r="B2968" s="1136"/>
      <c r="C2968" s="1138"/>
    </row>
    <row r="2969" spans="1:3">
      <c r="A2969" s="1133"/>
      <c r="B2969" s="1136"/>
      <c r="C2969" s="1138"/>
    </row>
    <row r="2970" spans="1:3">
      <c r="A2970" s="1133"/>
      <c r="B2970" s="1136"/>
      <c r="C2970" s="1138"/>
    </row>
    <row r="2971" spans="1:3">
      <c r="A2971" s="1133"/>
      <c r="B2971" s="1136"/>
      <c r="C2971" s="1138"/>
    </row>
    <row r="2972" spans="1:3">
      <c r="A2972" s="1133"/>
      <c r="B2972" s="1136"/>
      <c r="C2972" s="1138"/>
    </row>
    <row r="2973" spans="1:3">
      <c r="A2973" s="1133"/>
      <c r="B2973" s="1136"/>
      <c r="C2973" s="1138"/>
    </row>
    <row r="2974" spans="1:3">
      <c r="A2974" s="1133"/>
      <c r="B2974" s="1136"/>
      <c r="C2974" s="1138"/>
    </row>
    <row r="2975" spans="1:3">
      <c r="A2975" s="1133"/>
      <c r="B2975" s="1136"/>
      <c r="C2975" s="1138"/>
    </row>
    <row r="2976" spans="1:3">
      <c r="A2976" s="1133"/>
      <c r="B2976" s="1136"/>
      <c r="C2976" s="1138"/>
    </row>
    <row r="2977" spans="1:3">
      <c r="A2977" s="1133"/>
      <c r="B2977" s="1136"/>
      <c r="C2977" s="1138"/>
    </row>
    <row r="2978" spans="1:3">
      <c r="A2978" s="1133"/>
      <c r="B2978" s="1136"/>
      <c r="C2978" s="1138"/>
    </row>
    <row r="2979" spans="1:3">
      <c r="A2979" s="1133"/>
      <c r="B2979" s="1136"/>
      <c r="C2979" s="1138"/>
    </row>
    <row r="2980" spans="1:3">
      <c r="A2980" s="1133"/>
      <c r="B2980" s="1136"/>
      <c r="C2980" s="1138"/>
    </row>
    <row r="2981" spans="1:3">
      <c r="A2981" s="1133"/>
      <c r="B2981" s="1136"/>
      <c r="C2981" s="1138"/>
    </row>
    <row r="2982" spans="1:3">
      <c r="A2982" s="1133"/>
      <c r="B2982" s="1136"/>
      <c r="C2982" s="1138"/>
    </row>
    <row r="2983" spans="1:3">
      <c r="A2983" s="1133"/>
      <c r="B2983" s="1136"/>
      <c r="C2983" s="1138"/>
    </row>
    <row r="2984" spans="1:3">
      <c r="A2984" s="1133"/>
      <c r="B2984" s="1136"/>
      <c r="C2984" s="1138"/>
    </row>
    <row r="2985" spans="1:3">
      <c r="A2985" s="1133"/>
      <c r="B2985" s="1136"/>
      <c r="C2985" s="1138"/>
    </row>
    <row r="2986" spans="1:3">
      <c r="A2986" s="1133"/>
      <c r="B2986" s="1136"/>
      <c r="C2986" s="1138"/>
    </row>
    <row r="2987" spans="1:3">
      <c r="A2987" s="1133"/>
      <c r="B2987" s="1136"/>
      <c r="C2987" s="1138"/>
    </row>
    <row r="2988" spans="1:3">
      <c r="A2988" s="1133"/>
      <c r="B2988" s="1136"/>
      <c r="C2988" s="1138"/>
    </row>
    <row r="2989" spans="1:3">
      <c r="A2989" s="1133"/>
      <c r="B2989" s="1136"/>
      <c r="C2989" s="1138"/>
    </row>
    <row r="2990" spans="1:3">
      <c r="A2990" s="1133"/>
      <c r="B2990" s="1136"/>
      <c r="C2990" s="1138"/>
    </row>
    <row r="2991" spans="1:3">
      <c r="A2991" s="1133"/>
      <c r="B2991" s="1136"/>
      <c r="C2991" s="1138"/>
    </row>
    <row r="2992" spans="1:3">
      <c r="A2992" s="1133"/>
      <c r="B2992" s="1136"/>
      <c r="C2992" s="1138"/>
    </row>
    <row r="2993" spans="1:3">
      <c r="A2993" s="1133"/>
      <c r="B2993" s="1136"/>
      <c r="C2993" s="1138"/>
    </row>
    <row r="2994" spans="1:3">
      <c r="A2994" s="1133"/>
      <c r="B2994" s="1136"/>
      <c r="C2994" s="1138"/>
    </row>
    <row r="2995" spans="1:3">
      <c r="A2995" s="1133"/>
      <c r="B2995" s="1136"/>
      <c r="C2995" s="1138"/>
    </row>
    <row r="2996" spans="1:3">
      <c r="A2996" s="1133"/>
      <c r="B2996" s="1136"/>
      <c r="C2996" s="1138"/>
    </row>
    <row r="2997" spans="1:3">
      <c r="A2997" s="1133"/>
      <c r="B2997" s="1136"/>
      <c r="C2997" s="1138"/>
    </row>
    <row r="2998" spans="1:3">
      <c r="A2998" s="1133"/>
      <c r="B2998" s="1136"/>
      <c r="C2998" s="1138"/>
    </row>
    <row r="2999" spans="1:3">
      <c r="A2999" s="1133"/>
      <c r="B2999" s="1136"/>
      <c r="C2999" s="1138"/>
    </row>
    <row r="3000" spans="1:3">
      <c r="A3000" s="1133"/>
      <c r="B3000" s="1136"/>
      <c r="C3000" s="1138"/>
    </row>
    <row r="3001" spans="1:3">
      <c r="A3001" s="1133"/>
      <c r="B3001" s="1136"/>
      <c r="C3001" s="1138"/>
    </row>
    <row r="3002" spans="1:3">
      <c r="A3002" s="1133"/>
      <c r="B3002" s="1136"/>
      <c r="C3002" s="1138"/>
    </row>
    <row r="3003" spans="1:3">
      <c r="A3003" s="1133"/>
      <c r="B3003" s="1136"/>
      <c r="C3003" s="1138"/>
    </row>
    <row r="3004" spans="1:3">
      <c r="A3004" s="1133"/>
      <c r="B3004" s="1136"/>
      <c r="C3004" s="1138"/>
    </row>
    <row r="3005" spans="1:3">
      <c r="A3005" s="1133"/>
      <c r="B3005" s="1136"/>
      <c r="C3005" s="1138"/>
    </row>
    <row r="3006" spans="1:3">
      <c r="A3006" s="1133"/>
      <c r="B3006" s="1136"/>
      <c r="C3006" s="1138"/>
    </row>
    <row r="3007" spans="1:3">
      <c r="A3007" s="1133"/>
      <c r="B3007" s="1136"/>
      <c r="C3007" s="1138"/>
    </row>
    <row r="3008" spans="1:3">
      <c r="A3008" s="1133"/>
      <c r="B3008" s="1136"/>
      <c r="C3008" s="1138"/>
    </row>
    <row r="3009" spans="1:3">
      <c r="A3009" s="1133"/>
      <c r="B3009" s="1136"/>
      <c r="C3009" s="1138"/>
    </row>
    <row r="3010" spans="1:3">
      <c r="A3010" s="1133"/>
      <c r="B3010" s="1136"/>
      <c r="C3010" s="1138"/>
    </row>
    <row r="3011" spans="1:3">
      <c r="A3011" s="1133"/>
      <c r="B3011" s="1136"/>
      <c r="C3011" s="1138"/>
    </row>
    <row r="3012" spans="1:3">
      <c r="A3012" s="1133"/>
      <c r="B3012" s="1136"/>
      <c r="C3012" s="1138"/>
    </row>
    <row r="3013" spans="1:3">
      <c r="A3013" s="1133"/>
      <c r="B3013" s="1136"/>
      <c r="C3013" s="1138"/>
    </row>
    <row r="3014" spans="1:3">
      <c r="A3014" s="1133"/>
      <c r="B3014" s="1136"/>
      <c r="C3014" s="1138"/>
    </row>
    <row r="3015" spans="1:3">
      <c r="A3015" s="1133"/>
      <c r="B3015" s="1136"/>
      <c r="C3015" s="1138"/>
    </row>
    <row r="3016" spans="1:3">
      <c r="A3016" s="1133"/>
      <c r="B3016" s="1136"/>
      <c r="C3016" s="1138"/>
    </row>
    <row r="3017" spans="1:3">
      <c r="A3017" s="1133"/>
      <c r="B3017" s="1136"/>
      <c r="C3017" s="1138"/>
    </row>
    <row r="3018" spans="1:3">
      <c r="A3018" s="1133"/>
      <c r="B3018" s="1136"/>
      <c r="C3018" s="1138"/>
    </row>
    <row r="3019" spans="1:3">
      <c r="A3019" s="1133"/>
      <c r="B3019" s="1136"/>
      <c r="C3019" s="1138"/>
    </row>
    <row r="3020" spans="1:3">
      <c r="A3020" s="1133"/>
      <c r="B3020" s="1136"/>
      <c r="C3020" s="1138"/>
    </row>
    <row r="3021" spans="1:3">
      <c r="A3021" s="1133"/>
      <c r="B3021" s="1136"/>
      <c r="C3021" s="1138"/>
    </row>
    <row r="3022" spans="1:3">
      <c r="A3022" s="1133"/>
      <c r="B3022" s="1136"/>
      <c r="C3022" s="1138"/>
    </row>
    <row r="3023" spans="1:3">
      <c r="A3023" s="1133"/>
      <c r="B3023" s="1136"/>
      <c r="C3023" s="1138"/>
    </row>
    <row r="3024" spans="1:3">
      <c r="A3024" s="1133"/>
      <c r="B3024" s="1136"/>
      <c r="C3024" s="1138"/>
    </row>
    <row r="3025" spans="1:3">
      <c r="A3025" s="1133"/>
      <c r="B3025" s="1136"/>
      <c r="C3025" s="1138"/>
    </row>
    <row r="3026" spans="1:3">
      <c r="A3026" s="1133"/>
      <c r="B3026" s="1136"/>
      <c r="C3026" s="1138"/>
    </row>
    <row r="3027" spans="1:3">
      <c r="A3027" s="1133"/>
      <c r="B3027" s="1136"/>
      <c r="C3027" s="1138"/>
    </row>
    <row r="3028" spans="1:3">
      <c r="A3028" s="1133"/>
      <c r="B3028" s="1136"/>
      <c r="C3028" s="1138"/>
    </row>
    <row r="3029" spans="1:3">
      <c r="A3029" s="1133"/>
      <c r="B3029" s="1136"/>
      <c r="C3029" s="1138"/>
    </row>
    <row r="3030" spans="1:3">
      <c r="A3030" s="1133"/>
      <c r="B3030" s="1136"/>
      <c r="C3030" s="1138"/>
    </row>
    <row r="3031" spans="1:3">
      <c r="A3031" s="1133"/>
      <c r="B3031" s="1136"/>
      <c r="C3031" s="1138"/>
    </row>
    <row r="3032" spans="1:3">
      <c r="A3032" s="1133"/>
      <c r="B3032" s="1136"/>
      <c r="C3032" s="1138"/>
    </row>
    <row r="3033" spans="1:3">
      <c r="A3033" s="1133"/>
      <c r="B3033" s="1136"/>
      <c r="C3033" s="1138"/>
    </row>
    <row r="3034" spans="1:3">
      <c r="A3034" s="1133"/>
      <c r="B3034" s="1136"/>
      <c r="C3034" s="1138"/>
    </row>
    <row r="3035" spans="1:3">
      <c r="A3035" s="1133"/>
      <c r="B3035" s="1136"/>
      <c r="C3035" s="1138"/>
    </row>
    <row r="3036" spans="1:3">
      <c r="A3036" s="1133"/>
      <c r="B3036" s="1136"/>
      <c r="C3036" s="1138"/>
    </row>
    <row r="3037" spans="1:3">
      <c r="A3037" s="1133"/>
      <c r="B3037" s="1136"/>
      <c r="C3037" s="1138"/>
    </row>
    <row r="3038" spans="1:3">
      <c r="A3038" s="1133"/>
      <c r="B3038" s="1136"/>
      <c r="C3038" s="1138"/>
    </row>
    <row r="3039" spans="1:3">
      <c r="A3039" s="1133"/>
      <c r="B3039" s="1136"/>
      <c r="C3039" s="1138"/>
    </row>
    <row r="3040" spans="1:3">
      <c r="A3040" s="1133"/>
      <c r="B3040" s="1136"/>
      <c r="C3040" s="1138"/>
    </row>
    <row r="3041" spans="1:3">
      <c r="A3041" s="1133"/>
      <c r="B3041" s="1136"/>
      <c r="C3041" s="1138"/>
    </row>
    <row r="3042" spans="1:3">
      <c r="A3042" s="1133"/>
      <c r="B3042" s="1136"/>
      <c r="C3042" s="1138"/>
    </row>
    <row r="3043" spans="1:3">
      <c r="A3043" s="1133"/>
      <c r="B3043" s="1136"/>
      <c r="C3043" s="1138"/>
    </row>
    <row r="3044" spans="1:3">
      <c r="A3044" s="1133"/>
      <c r="B3044" s="1136"/>
      <c r="C3044" s="1138"/>
    </row>
    <row r="3045" spans="1:3">
      <c r="A3045" s="1133"/>
      <c r="B3045" s="1136"/>
      <c r="C3045" s="1138"/>
    </row>
    <row r="3046" spans="1:3">
      <c r="A3046" s="1133"/>
      <c r="B3046" s="1136"/>
      <c r="C3046" s="1138"/>
    </row>
    <row r="3047" spans="1:3">
      <c r="A3047" s="1133"/>
      <c r="B3047" s="1136"/>
      <c r="C3047" s="1138"/>
    </row>
    <row r="3048" spans="1:3">
      <c r="A3048" s="1133"/>
      <c r="B3048" s="1136"/>
      <c r="C3048" s="1138"/>
    </row>
    <row r="3049" spans="1:3">
      <c r="A3049" s="1133"/>
      <c r="B3049" s="1136"/>
      <c r="C3049" s="1138"/>
    </row>
    <row r="3050" spans="1:3">
      <c r="A3050" s="1133"/>
      <c r="B3050" s="1136"/>
      <c r="C3050" s="1138"/>
    </row>
    <row r="3051" spans="1:3">
      <c r="A3051" s="1133"/>
      <c r="B3051" s="1136"/>
      <c r="C3051" s="1138"/>
    </row>
    <row r="3052" spans="1:3">
      <c r="A3052" s="1133"/>
      <c r="B3052" s="1136"/>
      <c r="C3052" s="1138"/>
    </row>
    <row r="3053" spans="1:3">
      <c r="A3053" s="1133"/>
      <c r="B3053" s="1136"/>
      <c r="C3053" s="1138"/>
    </row>
    <row r="3054" spans="1:3">
      <c r="A3054" s="1133"/>
      <c r="B3054" s="1136"/>
      <c r="C3054" s="1138"/>
    </row>
    <row r="3055" spans="1:3">
      <c r="A3055" s="1133"/>
      <c r="B3055" s="1136"/>
      <c r="C3055" s="1138"/>
    </row>
    <row r="3056" spans="1:3">
      <c r="A3056" s="1133"/>
      <c r="B3056" s="1136"/>
      <c r="C3056" s="1138"/>
    </row>
    <row r="3057" spans="1:3">
      <c r="A3057" s="1133"/>
      <c r="B3057" s="1136"/>
      <c r="C3057" s="1138"/>
    </row>
    <row r="3058" spans="1:3">
      <c r="A3058" s="1133"/>
      <c r="B3058" s="1136"/>
      <c r="C3058" s="1138"/>
    </row>
    <row r="3059" spans="1:3">
      <c r="A3059" s="1133"/>
      <c r="B3059" s="1136"/>
      <c r="C3059" s="1138"/>
    </row>
    <row r="3060" spans="1:3">
      <c r="A3060" s="1133"/>
      <c r="B3060" s="1136"/>
      <c r="C3060" s="1138"/>
    </row>
    <row r="3061" spans="1:3">
      <c r="A3061" s="1133"/>
      <c r="B3061" s="1136"/>
      <c r="C3061" s="1138"/>
    </row>
    <row r="3062" spans="1:3">
      <c r="A3062" s="1133"/>
      <c r="B3062" s="1136"/>
      <c r="C3062" s="1138"/>
    </row>
    <row r="3063" spans="1:3">
      <c r="A3063" s="1133"/>
      <c r="B3063" s="1136"/>
      <c r="C3063" s="1138"/>
    </row>
    <row r="3064" spans="1:3">
      <c r="A3064" s="1133"/>
      <c r="B3064" s="1136"/>
      <c r="C3064" s="1138"/>
    </row>
    <row r="3065" spans="1:3">
      <c r="A3065" s="1133"/>
      <c r="B3065" s="1136"/>
      <c r="C3065" s="1138"/>
    </row>
    <row r="3066" spans="1:3">
      <c r="A3066" s="1133"/>
      <c r="B3066" s="1136"/>
      <c r="C3066" s="1138"/>
    </row>
    <row r="3067" spans="1:3">
      <c r="A3067" s="1133"/>
      <c r="B3067" s="1136"/>
      <c r="C3067" s="1138"/>
    </row>
    <row r="3068" spans="1:3">
      <c r="A3068" s="1133"/>
      <c r="B3068" s="1136"/>
      <c r="C3068" s="1138"/>
    </row>
    <row r="3069" spans="1:3">
      <c r="A3069" s="1133"/>
      <c r="B3069" s="1136"/>
      <c r="C3069" s="1138"/>
    </row>
    <row r="3070" spans="1:3">
      <c r="A3070" s="1133"/>
      <c r="B3070" s="1136"/>
      <c r="C3070" s="1138"/>
    </row>
    <row r="3071" spans="1:3">
      <c r="A3071" s="1133"/>
      <c r="B3071" s="1136"/>
      <c r="C3071" s="1138"/>
    </row>
    <row r="3072" spans="1:3">
      <c r="A3072" s="1133"/>
      <c r="B3072" s="1136"/>
      <c r="C3072" s="1138"/>
    </row>
    <row r="3073" spans="1:3">
      <c r="A3073" s="1133"/>
      <c r="B3073" s="1136"/>
      <c r="C3073" s="1138"/>
    </row>
    <row r="3074" spans="1:3">
      <c r="A3074" s="1133"/>
      <c r="B3074" s="1136"/>
      <c r="C3074" s="1138"/>
    </row>
    <row r="3075" spans="1:3">
      <c r="A3075" s="1133"/>
      <c r="B3075" s="1136"/>
      <c r="C3075" s="1138"/>
    </row>
    <row r="3076" spans="1:3">
      <c r="A3076" s="1133"/>
      <c r="B3076" s="1136"/>
      <c r="C3076" s="1138"/>
    </row>
    <row r="3077" spans="1:3">
      <c r="A3077" s="1133"/>
      <c r="B3077" s="1136"/>
      <c r="C3077" s="1138"/>
    </row>
    <row r="3078" spans="1:3">
      <c r="A3078" s="1133"/>
      <c r="B3078" s="1136"/>
      <c r="C3078" s="1138"/>
    </row>
    <row r="3079" spans="1:3">
      <c r="A3079" s="1133"/>
      <c r="B3079" s="1136"/>
      <c r="C3079" s="1138"/>
    </row>
    <row r="3080" spans="1:3">
      <c r="A3080" s="1133"/>
      <c r="B3080" s="1136"/>
      <c r="C3080" s="1138"/>
    </row>
    <row r="3081" spans="1:3">
      <c r="A3081" s="1133"/>
      <c r="B3081" s="1136"/>
      <c r="C3081" s="1138"/>
    </row>
    <row r="3082" spans="1:3">
      <c r="A3082" s="1133"/>
      <c r="B3082" s="1136"/>
      <c r="C3082" s="1138"/>
    </row>
    <row r="3083" spans="1:3">
      <c r="A3083" s="1133"/>
      <c r="B3083" s="1136"/>
      <c r="C3083" s="1138"/>
    </row>
    <row r="3084" spans="1:3">
      <c r="A3084" s="1133"/>
      <c r="B3084" s="1136"/>
      <c r="C3084" s="1138"/>
    </row>
    <row r="3085" spans="1:3">
      <c r="A3085" s="1133"/>
      <c r="B3085" s="1136"/>
      <c r="C3085" s="1138"/>
    </row>
    <row r="3086" spans="1:3">
      <c r="A3086" s="1133"/>
      <c r="B3086" s="1136"/>
      <c r="C3086" s="1138"/>
    </row>
    <row r="3087" spans="1:3">
      <c r="A3087" s="1133"/>
      <c r="B3087" s="1136"/>
      <c r="C3087" s="1138"/>
    </row>
    <row r="3088" spans="1:3">
      <c r="A3088" s="1133"/>
      <c r="B3088" s="1136"/>
      <c r="C3088" s="1138"/>
    </row>
    <row r="3089" spans="1:3">
      <c r="A3089" s="1133"/>
      <c r="B3089" s="1136"/>
      <c r="C3089" s="1138"/>
    </row>
    <row r="3090" spans="1:3">
      <c r="A3090" s="1133"/>
      <c r="B3090" s="1136"/>
      <c r="C3090" s="1138"/>
    </row>
    <row r="3091" spans="1:3">
      <c r="A3091" s="1133"/>
      <c r="B3091" s="1136"/>
      <c r="C3091" s="1138"/>
    </row>
    <row r="3092" spans="1:3">
      <c r="A3092" s="1133"/>
      <c r="B3092" s="1136"/>
      <c r="C3092" s="1138"/>
    </row>
    <row r="3093" spans="1:3">
      <c r="A3093" s="1133"/>
      <c r="B3093" s="1136"/>
      <c r="C3093" s="1138"/>
    </row>
    <row r="3094" spans="1:3">
      <c r="A3094" s="1133"/>
      <c r="B3094" s="1136"/>
      <c r="C3094" s="1138"/>
    </row>
    <row r="3095" spans="1:3">
      <c r="A3095" s="1133"/>
      <c r="B3095" s="1136"/>
      <c r="C3095" s="1138"/>
    </row>
    <row r="3096" spans="1:3">
      <c r="A3096" s="1133"/>
      <c r="B3096" s="1136"/>
      <c r="C3096" s="1138"/>
    </row>
    <row r="3097" spans="1:3">
      <c r="A3097" s="1133"/>
      <c r="B3097" s="1136"/>
      <c r="C3097" s="1138"/>
    </row>
    <row r="3098" spans="1:3">
      <c r="A3098" s="1133"/>
      <c r="B3098" s="1136"/>
      <c r="C3098" s="1138"/>
    </row>
    <row r="3099" spans="1:3">
      <c r="A3099" s="1133"/>
      <c r="B3099" s="1136"/>
      <c r="C3099" s="1138"/>
    </row>
    <row r="3100" spans="1:3">
      <c r="A3100" s="1133"/>
      <c r="B3100" s="1136"/>
      <c r="C3100" s="1138"/>
    </row>
    <row r="3101" spans="1:3">
      <c r="A3101" s="1133"/>
      <c r="B3101" s="1136"/>
      <c r="C3101" s="1138"/>
    </row>
    <row r="3102" spans="1:3">
      <c r="A3102" s="1133"/>
      <c r="B3102" s="1136"/>
      <c r="C3102" s="1138"/>
    </row>
    <row r="3103" spans="1:3">
      <c r="A3103" s="1133"/>
      <c r="B3103" s="1136"/>
      <c r="C3103" s="1138"/>
    </row>
    <row r="3104" spans="1:3">
      <c r="A3104" s="1133"/>
      <c r="B3104" s="1136"/>
      <c r="C3104" s="1138"/>
    </row>
    <row r="3105" spans="1:3">
      <c r="A3105" s="1133"/>
      <c r="B3105" s="1136"/>
      <c r="C3105" s="1138"/>
    </row>
    <row r="3106" spans="1:3">
      <c r="A3106" s="1133"/>
      <c r="B3106" s="1136"/>
      <c r="C3106" s="1138"/>
    </row>
    <row r="3107" spans="1:3">
      <c r="A3107" s="1133"/>
      <c r="B3107" s="1136"/>
      <c r="C3107" s="1138"/>
    </row>
    <row r="3108" spans="1:3">
      <c r="A3108" s="1133"/>
      <c r="B3108" s="1136"/>
      <c r="C3108" s="1138"/>
    </row>
    <row r="3109" spans="1:3">
      <c r="A3109" s="1133"/>
      <c r="B3109" s="1136"/>
      <c r="C3109" s="1138"/>
    </row>
    <row r="3110" spans="1:3">
      <c r="A3110" s="1133"/>
      <c r="B3110" s="1136"/>
      <c r="C3110" s="1138"/>
    </row>
    <row r="3111" spans="1:3">
      <c r="A3111" s="1133"/>
      <c r="B3111" s="1136"/>
      <c r="C3111" s="1138"/>
    </row>
    <row r="3112" spans="1:3">
      <c r="A3112" s="1133"/>
      <c r="B3112" s="1136"/>
      <c r="C3112" s="1138"/>
    </row>
    <row r="3113" spans="1:3">
      <c r="A3113" s="1133"/>
      <c r="B3113" s="1136"/>
      <c r="C3113" s="1138"/>
    </row>
    <row r="3114" spans="1:3">
      <c r="A3114" s="1133"/>
      <c r="B3114" s="1136"/>
      <c r="C3114" s="1138"/>
    </row>
    <row r="3115" spans="1:3">
      <c r="A3115" s="1133"/>
      <c r="B3115" s="1136"/>
      <c r="C3115" s="1138"/>
    </row>
    <row r="3116" spans="1:3">
      <c r="A3116" s="1133"/>
      <c r="B3116" s="1136"/>
      <c r="C3116" s="1138"/>
    </row>
    <row r="3117" spans="1:3">
      <c r="A3117" s="1133"/>
      <c r="B3117" s="1136"/>
      <c r="C3117" s="1138"/>
    </row>
    <row r="3118" spans="1:3">
      <c r="A3118" s="1133"/>
      <c r="B3118" s="1136"/>
      <c r="C3118" s="1138"/>
    </row>
    <row r="3119" spans="1:3">
      <c r="A3119" s="1133"/>
      <c r="B3119" s="1136"/>
      <c r="C3119" s="1138"/>
    </row>
    <row r="3120" spans="1:3">
      <c r="A3120" s="1133"/>
      <c r="B3120" s="1136"/>
      <c r="C3120" s="1138"/>
    </row>
    <row r="3121" spans="1:3">
      <c r="A3121" s="1133"/>
      <c r="B3121" s="1136"/>
      <c r="C3121" s="1138"/>
    </row>
    <row r="3122" spans="1:3">
      <c r="A3122" s="1133"/>
      <c r="B3122" s="1136"/>
      <c r="C3122" s="1138"/>
    </row>
    <row r="3123" spans="1:3">
      <c r="A3123" s="1133"/>
      <c r="B3123" s="1136"/>
      <c r="C3123" s="1138"/>
    </row>
    <row r="3124" spans="1:3">
      <c r="A3124" s="1133"/>
      <c r="B3124" s="1136"/>
      <c r="C3124" s="1138"/>
    </row>
    <row r="3125" spans="1:3">
      <c r="A3125" s="1133"/>
      <c r="B3125" s="1136"/>
      <c r="C3125" s="1138"/>
    </row>
    <row r="3126" spans="1:3">
      <c r="A3126" s="1133"/>
      <c r="B3126" s="1136"/>
      <c r="C3126" s="1138"/>
    </row>
    <row r="3127" spans="1:3">
      <c r="A3127" s="1133"/>
      <c r="B3127" s="1136"/>
      <c r="C3127" s="1138"/>
    </row>
    <row r="3128" spans="1:3">
      <c r="A3128" s="1133"/>
      <c r="B3128" s="1136"/>
      <c r="C3128" s="1138"/>
    </row>
    <row r="3129" spans="1:3">
      <c r="A3129" s="1133"/>
      <c r="B3129" s="1136"/>
      <c r="C3129" s="1138"/>
    </row>
    <row r="3130" spans="1:3">
      <c r="A3130" s="1133"/>
      <c r="B3130" s="1136"/>
      <c r="C3130" s="1138"/>
    </row>
    <row r="3131" spans="1:3">
      <c r="A3131" s="1133"/>
      <c r="B3131" s="1136"/>
      <c r="C3131" s="1138"/>
    </row>
    <row r="3132" spans="1:3">
      <c r="A3132" s="1133"/>
      <c r="B3132" s="1136"/>
      <c r="C3132" s="1138"/>
    </row>
    <row r="3133" spans="1:3">
      <c r="A3133" s="1133"/>
      <c r="B3133" s="1136"/>
      <c r="C3133" s="1138"/>
    </row>
    <row r="3134" spans="1:3">
      <c r="A3134" s="1133"/>
      <c r="B3134" s="1136"/>
      <c r="C3134" s="1138"/>
    </row>
    <row r="3135" spans="1:3">
      <c r="A3135" s="1133"/>
      <c r="B3135" s="1136"/>
      <c r="C3135" s="1138"/>
    </row>
    <row r="3136" spans="1:3">
      <c r="A3136" s="1133"/>
      <c r="B3136" s="1136"/>
      <c r="C3136" s="1138"/>
    </row>
    <row r="3137" spans="1:3">
      <c r="A3137" s="1133"/>
      <c r="B3137" s="1136"/>
      <c r="C3137" s="1138"/>
    </row>
    <row r="3138" spans="1:3">
      <c r="A3138" s="1133"/>
      <c r="B3138" s="1136"/>
      <c r="C3138" s="1138"/>
    </row>
    <row r="3139" spans="1:3">
      <c r="A3139" s="1133"/>
      <c r="B3139" s="1136"/>
      <c r="C3139" s="1138"/>
    </row>
    <row r="3140" spans="1:3">
      <c r="A3140" s="1133"/>
      <c r="B3140" s="1136"/>
      <c r="C3140" s="1138"/>
    </row>
    <row r="3141" spans="1:3">
      <c r="A3141" s="1133"/>
      <c r="B3141" s="1136"/>
      <c r="C3141" s="1138"/>
    </row>
    <row r="3142" spans="1:3">
      <c r="A3142" s="1133"/>
      <c r="B3142" s="1136"/>
      <c r="C3142" s="1138"/>
    </row>
    <row r="3143" spans="1:3">
      <c r="A3143" s="1133"/>
      <c r="B3143" s="1136"/>
      <c r="C3143" s="1138"/>
    </row>
    <row r="3144" spans="1:3">
      <c r="A3144" s="1133"/>
      <c r="B3144" s="1136"/>
      <c r="C3144" s="1138"/>
    </row>
    <row r="3145" spans="1:3">
      <c r="A3145" s="1133"/>
      <c r="B3145" s="1136"/>
      <c r="C3145" s="1138"/>
    </row>
    <row r="3146" spans="1:3">
      <c r="A3146" s="1133"/>
      <c r="B3146" s="1136"/>
      <c r="C3146" s="1138"/>
    </row>
    <row r="3147" spans="1:3">
      <c r="A3147" s="1133"/>
      <c r="B3147" s="1136"/>
      <c r="C3147" s="1138"/>
    </row>
    <row r="3148" spans="1:3">
      <c r="A3148" s="1133"/>
      <c r="B3148" s="1136"/>
      <c r="C3148" s="1138"/>
    </row>
    <row r="3149" spans="1:3">
      <c r="A3149" s="1133"/>
      <c r="B3149" s="1136"/>
      <c r="C3149" s="1138"/>
    </row>
    <row r="3150" spans="1:3">
      <c r="A3150" s="1133"/>
      <c r="B3150" s="1136"/>
      <c r="C3150" s="1138"/>
    </row>
    <row r="3151" spans="1:3">
      <c r="A3151" s="1133"/>
      <c r="B3151" s="1136"/>
      <c r="C3151" s="1138"/>
    </row>
    <row r="3152" spans="1:3">
      <c r="A3152" s="1133"/>
      <c r="B3152" s="1136"/>
      <c r="C3152" s="1138"/>
    </row>
    <row r="3153" spans="1:3">
      <c r="A3153" s="1133"/>
      <c r="B3153" s="1136"/>
      <c r="C3153" s="1138"/>
    </row>
    <row r="3154" spans="1:3">
      <c r="A3154" s="1133"/>
      <c r="B3154" s="1136"/>
      <c r="C3154" s="1138"/>
    </row>
    <row r="3155" spans="1:3">
      <c r="A3155" s="1133"/>
      <c r="B3155" s="1136"/>
      <c r="C3155" s="1138"/>
    </row>
    <row r="3156" spans="1:3">
      <c r="A3156" s="1133"/>
      <c r="B3156" s="1136"/>
      <c r="C3156" s="1138"/>
    </row>
    <row r="3157" spans="1:3">
      <c r="A3157" s="1133"/>
      <c r="B3157" s="1136"/>
      <c r="C3157" s="1138"/>
    </row>
    <row r="3158" spans="1:3">
      <c r="A3158" s="1133"/>
      <c r="B3158" s="1136"/>
      <c r="C3158" s="1138"/>
    </row>
    <row r="3159" spans="1:3">
      <c r="A3159" s="1133"/>
      <c r="B3159" s="1136"/>
      <c r="C3159" s="1138"/>
    </row>
    <row r="3160" spans="1:3">
      <c r="A3160" s="1133"/>
      <c r="B3160" s="1136"/>
      <c r="C3160" s="1138"/>
    </row>
    <row r="3161" spans="1:3">
      <c r="A3161" s="1133"/>
      <c r="B3161" s="1136"/>
      <c r="C3161" s="1138"/>
    </row>
    <row r="3162" spans="1:3">
      <c r="A3162" s="1133"/>
      <c r="B3162" s="1136"/>
      <c r="C3162" s="1138"/>
    </row>
    <row r="3163" spans="1:3">
      <c r="A3163" s="1133"/>
      <c r="B3163" s="1136"/>
      <c r="C3163" s="1138"/>
    </row>
    <row r="3164" spans="1:3">
      <c r="A3164" s="1133"/>
      <c r="B3164" s="1136"/>
      <c r="C3164" s="1138"/>
    </row>
    <row r="3165" spans="1:3">
      <c r="A3165" s="1133"/>
      <c r="B3165" s="1136"/>
      <c r="C3165" s="1138"/>
    </row>
    <row r="3166" spans="1:3">
      <c r="A3166" s="1133"/>
      <c r="B3166" s="1136"/>
      <c r="C3166" s="1138"/>
    </row>
    <row r="3167" spans="1:3">
      <c r="A3167" s="1133"/>
      <c r="B3167" s="1136"/>
      <c r="C3167" s="1138"/>
    </row>
    <row r="3168" spans="1:3">
      <c r="A3168" s="1133"/>
      <c r="B3168" s="1136"/>
      <c r="C3168" s="1138"/>
    </row>
    <row r="3169" spans="1:3">
      <c r="A3169" s="1133"/>
      <c r="B3169" s="1136"/>
      <c r="C3169" s="1138"/>
    </row>
    <row r="3170" spans="1:3">
      <c r="A3170" s="1133"/>
      <c r="B3170" s="1136"/>
      <c r="C3170" s="1138"/>
    </row>
    <row r="3171" spans="1:3">
      <c r="A3171" s="1133"/>
      <c r="B3171" s="1136"/>
      <c r="C3171" s="1138"/>
    </row>
    <row r="3172" spans="1:3">
      <c r="A3172" s="1133"/>
      <c r="B3172" s="1136"/>
      <c r="C3172" s="1138"/>
    </row>
    <row r="3173" spans="1:3">
      <c r="A3173" s="1133"/>
      <c r="B3173" s="1136"/>
      <c r="C3173" s="1138"/>
    </row>
    <row r="3174" spans="1:3">
      <c r="A3174" s="1133"/>
      <c r="B3174" s="1136"/>
      <c r="C3174" s="1138"/>
    </row>
    <row r="3175" spans="1:3">
      <c r="A3175" s="1133"/>
      <c r="B3175" s="1136"/>
      <c r="C3175" s="1138"/>
    </row>
    <row r="3176" spans="1:3">
      <c r="A3176" s="1133"/>
      <c r="B3176" s="1136"/>
      <c r="C3176" s="1138"/>
    </row>
    <row r="3177" spans="1:3">
      <c r="A3177" s="1133"/>
      <c r="B3177" s="1136"/>
      <c r="C3177" s="1138"/>
    </row>
    <row r="3178" spans="1:3">
      <c r="A3178" s="1133"/>
      <c r="B3178" s="1136"/>
      <c r="C3178" s="1138"/>
    </row>
    <row r="3179" spans="1:3">
      <c r="A3179" s="1133"/>
      <c r="B3179" s="1136"/>
      <c r="C3179" s="1138"/>
    </row>
    <row r="3180" spans="1:3">
      <c r="A3180" s="1133"/>
      <c r="B3180" s="1136"/>
      <c r="C3180" s="1138"/>
    </row>
    <row r="3181" spans="1:3">
      <c r="A3181" s="1133"/>
      <c r="B3181" s="1136"/>
      <c r="C3181" s="1138"/>
    </row>
    <row r="3182" spans="1:3">
      <c r="A3182" s="1133"/>
      <c r="B3182" s="1136"/>
      <c r="C3182" s="1138"/>
    </row>
    <row r="3183" spans="1:3">
      <c r="A3183" s="1133"/>
      <c r="B3183" s="1136"/>
      <c r="C3183" s="1138"/>
    </row>
    <row r="3184" spans="1:3">
      <c r="A3184" s="1133"/>
      <c r="B3184" s="1136"/>
      <c r="C3184" s="1138"/>
    </row>
    <row r="3185" spans="1:3">
      <c r="A3185" s="1133"/>
      <c r="B3185" s="1136"/>
      <c r="C3185" s="1138"/>
    </row>
    <row r="3186" spans="1:3">
      <c r="A3186" s="1133"/>
      <c r="B3186" s="1136"/>
      <c r="C3186" s="1138"/>
    </row>
    <row r="3187" spans="1:3">
      <c r="A3187" s="1133"/>
      <c r="B3187" s="1136"/>
      <c r="C3187" s="1138"/>
    </row>
    <row r="3188" spans="1:3">
      <c r="A3188" s="1133"/>
      <c r="B3188" s="1136"/>
      <c r="C3188" s="1138"/>
    </row>
    <row r="3189" spans="1:3">
      <c r="A3189" s="1133"/>
      <c r="B3189" s="1136"/>
      <c r="C3189" s="1138"/>
    </row>
    <row r="3190" spans="1:3">
      <c r="A3190" s="1133"/>
      <c r="B3190" s="1136"/>
      <c r="C3190" s="1138"/>
    </row>
    <row r="3191" spans="1:3">
      <c r="A3191" s="1133"/>
      <c r="B3191" s="1136"/>
      <c r="C3191" s="1138"/>
    </row>
    <row r="3192" spans="1:3">
      <c r="A3192" s="1133"/>
      <c r="B3192" s="1136"/>
      <c r="C3192" s="1138"/>
    </row>
    <row r="3193" spans="1:3">
      <c r="A3193" s="1133"/>
      <c r="B3193" s="1136"/>
      <c r="C3193" s="1138"/>
    </row>
    <row r="3194" spans="1:3">
      <c r="A3194" s="1133"/>
      <c r="B3194" s="1136"/>
      <c r="C3194" s="1138"/>
    </row>
    <row r="3195" spans="1:3">
      <c r="A3195" s="1133"/>
      <c r="B3195" s="1136"/>
      <c r="C3195" s="1138"/>
    </row>
    <row r="3196" spans="1:3">
      <c r="A3196" s="1133"/>
      <c r="B3196" s="1136"/>
      <c r="C3196" s="1138"/>
    </row>
    <row r="3197" spans="1:3">
      <c r="A3197" s="1133"/>
      <c r="B3197" s="1136"/>
      <c r="C3197" s="1138"/>
    </row>
    <row r="3198" spans="1:3">
      <c r="A3198" s="1133"/>
      <c r="B3198" s="1136"/>
      <c r="C3198" s="1138"/>
    </row>
    <row r="3199" spans="1:3">
      <c r="A3199" s="1133"/>
      <c r="B3199" s="1136"/>
      <c r="C3199" s="1138"/>
    </row>
    <row r="3200" spans="1:3">
      <c r="A3200" s="1133"/>
      <c r="B3200" s="1136"/>
      <c r="C3200" s="1138"/>
    </row>
    <row r="3201" spans="1:3">
      <c r="A3201" s="1133"/>
      <c r="B3201" s="1136"/>
      <c r="C3201" s="1138"/>
    </row>
    <row r="3202" spans="1:3">
      <c r="A3202" s="1133"/>
      <c r="B3202" s="1136"/>
      <c r="C3202" s="1138"/>
    </row>
    <row r="3203" spans="1:3">
      <c r="A3203" s="1133"/>
      <c r="B3203" s="1136"/>
      <c r="C3203" s="1138"/>
    </row>
    <row r="3204" spans="1:3">
      <c r="A3204" s="1133"/>
      <c r="B3204" s="1136"/>
      <c r="C3204" s="1138"/>
    </row>
    <row r="3205" spans="1:3">
      <c r="A3205" s="1133"/>
      <c r="B3205" s="1136"/>
      <c r="C3205" s="1138"/>
    </row>
    <row r="3206" spans="1:3">
      <c r="A3206" s="1133"/>
      <c r="B3206" s="1136"/>
      <c r="C3206" s="1138"/>
    </row>
    <row r="3207" spans="1:3">
      <c r="A3207" s="1133"/>
      <c r="B3207" s="1136"/>
      <c r="C3207" s="1138"/>
    </row>
    <row r="3208" spans="1:3">
      <c r="A3208" s="1133"/>
      <c r="B3208" s="1136"/>
      <c r="C3208" s="1138"/>
    </row>
    <row r="3209" spans="1:3">
      <c r="A3209" s="1133"/>
      <c r="B3209" s="1136"/>
      <c r="C3209" s="1138"/>
    </row>
    <row r="3210" spans="1:3">
      <c r="A3210" s="1133"/>
      <c r="B3210" s="1136"/>
      <c r="C3210" s="1138"/>
    </row>
    <row r="3211" spans="1:3">
      <c r="A3211" s="1133"/>
      <c r="B3211" s="1136"/>
      <c r="C3211" s="1138"/>
    </row>
    <row r="3212" spans="1:3">
      <c r="A3212" s="1133"/>
      <c r="B3212" s="1136"/>
      <c r="C3212" s="1138"/>
    </row>
    <row r="3213" spans="1:3">
      <c r="A3213" s="1133"/>
      <c r="B3213" s="1136"/>
      <c r="C3213" s="1138"/>
    </row>
    <row r="3214" spans="1:3">
      <c r="A3214" s="1133"/>
      <c r="B3214" s="1136"/>
      <c r="C3214" s="1138"/>
    </row>
    <row r="3215" spans="1:3">
      <c r="A3215" s="1133"/>
      <c r="B3215" s="1136"/>
      <c r="C3215" s="1138"/>
    </row>
    <row r="3216" spans="1:3">
      <c r="A3216" s="1133"/>
      <c r="B3216" s="1136"/>
      <c r="C3216" s="1138"/>
    </row>
    <row r="3217" spans="1:3">
      <c r="A3217" s="1133"/>
      <c r="B3217" s="1136"/>
      <c r="C3217" s="1138"/>
    </row>
    <row r="3218" spans="1:3">
      <c r="A3218" s="1133"/>
      <c r="B3218" s="1136"/>
      <c r="C3218" s="1138"/>
    </row>
    <row r="3219" spans="1:3">
      <c r="A3219" s="1133"/>
      <c r="B3219" s="1136"/>
      <c r="C3219" s="1138"/>
    </row>
    <row r="3220" spans="1:3">
      <c r="A3220" s="1133"/>
      <c r="B3220" s="1136"/>
      <c r="C3220" s="1138"/>
    </row>
    <row r="3221" spans="1:3">
      <c r="A3221" s="1133"/>
      <c r="B3221" s="1136"/>
      <c r="C3221" s="1138"/>
    </row>
    <row r="3222" spans="1:3">
      <c r="A3222" s="1133"/>
      <c r="B3222" s="1136"/>
      <c r="C3222" s="1138"/>
    </row>
    <row r="3223" spans="1:3">
      <c r="A3223" s="1133"/>
      <c r="B3223" s="1136"/>
      <c r="C3223" s="1138"/>
    </row>
    <row r="3224" spans="1:3">
      <c r="A3224" s="1133"/>
      <c r="B3224" s="1136"/>
      <c r="C3224" s="1138"/>
    </row>
    <row r="3225" spans="1:3">
      <c r="A3225" s="1133"/>
      <c r="B3225" s="1136"/>
      <c r="C3225" s="1138"/>
    </row>
    <row r="3226" spans="1:3">
      <c r="A3226" s="1133"/>
      <c r="B3226" s="1136"/>
      <c r="C3226" s="1138"/>
    </row>
    <row r="3227" spans="1:3">
      <c r="A3227" s="1133"/>
      <c r="B3227" s="1136"/>
      <c r="C3227" s="1138"/>
    </row>
    <row r="3228" spans="1:3">
      <c r="A3228" s="1133"/>
      <c r="B3228" s="1136"/>
      <c r="C3228" s="1138"/>
    </row>
    <row r="3229" spans="1:3">
      <c r="A3229" s="1133"/>
      <c r="B3229" s="1136"/>
      <c r="C3229" s="1138"/>
    </row>
    <row r="3230" spans="1:3">
      <c r="A3230" s="1133"/>
      <c r="B3230" s="1136"/>
      <c r="C3230" s="1138"/>
    </row>
    <row r="3231" spans="1:3">
      <c r="A3231" s="1133"/>
      <c r="B3231" s="1136"/>
      <c r="C3231" s="1138"/>
    </row>
    <row r="3232" spans="1:3">
      <c r="A3232" s="1133"/>
      <c r="B3232" s="1136"/>
      <c r="C3232" s="1138"/>
    </row>
    <row r="3233" spans="1:3">
      <c r="A3233" s="1133"/>
      <c r="B3233" s="1136"/>
      <c r="C3233" s="1138"/>
    </row>
    <row r="3234" spans="1:3">
      <c r="A3234" s="1133"/>
      <c r="B3234" s="1136"/>
      <c r="C3234" s="1138"/>
    </row>
    <row r="3235" spans="1:3">
      <c r="A3235" s="1133"/>
      <c r="B3235" s="1136"/>
      <c r="C3235" s="1138"/>
    </row>
    <row r="3236" spans="1:3">
      <c r="A3236" s="1133"/>
      <c r="B3236" s="1136"/>
      <c r="C3236" s="1138"/>
    </row>
    <row r="3237" spans="1:3">
      <c r="A3237" s="1133"/>
      <c r="B3237" s="1136"/>
      <c r="C3237" s="1138"/>
    </row>
    <row r="3238" spans="1:3">
      <c r="A3238" s="1133"/>
      <c r="B3238" s="1136"/>
      <c r="C3238" s="1138"/>
    </row>
    <row r="3239" spans="1:3">
      <c r="A3239" s="1133"/>
      <c r="B3239" s="1136"/>
      <c r="C3239" s="1138"/>
    </row>
    <row r="3240" spans="1:3">
      <c r="A3240" s="1133"/>
      <c r="B3240" s="1136"/>
      <c r="C3240" s="1138"/>
    </row>
    <row r="3241" spans="1:3">
      <c r="A3241" s="1133"/>
      <c r="B3241" s="1136"/>
      <c r="C3241" s="1138"/>
    </row>
    <row r="3242" spans="1:3">
      <c r="A3242" s="1133"/>
      <c r="B3242" s="1136"/>
      <c r="C3242" s="1138"/>
    </row>
    <row r="3243" spans="1:3">
      <c r="A3243" s="1133"/>
      <c r="B3243" s="1136"/>
      <c r="C3243" s="1138"/>
    </row>
    <row r="3244" spans="1:3">
      <c r="A3244" s="1133"/>
      <c r="B3244" s="1136"/>
      <c r="C3244" s="1138"/>
    </row>
    <row r="3245" spans="1:3">
      <c r="A3245" s="1133"/>
      <c r="B3245" s="1136"/>
      <c r="C3245" s="1138"/>
    </row>
    <row r="3246" spans="1:3">
      <c r="A3246" s="1133"/>
      <c r="B3246" s="1136"/>
      <c r="C3246" s="1138"/>
    </row>
    <row r="3247" spans="1:3">
      <c r="A3247" s="1133"/>
      <c r="B3247" s="1136"/>
      <c r="C3247" s="1138"/>
    </row>
    <row r="3248" spans="1:3">
      <c r="A3248" s="1133"/>
      <c r="B3248" s="1136"/>
      <c r="C3248" s="1138"/>
    </row>
    <row r="3249" spans="1:3">
      <c r="A3249" s="1133"/>
      <c r="B3249" s="1136"/>
      <c r="C3249" s="1138"/>
    </row>
    <row r="3250" spans="1:3">
      <c r="A3250" s="1133"/>
      <c r="B3250" s="1136"/>
      <c r="C3250" s="1138"/>
    </row>
    <row r="3251" spans="1:3">
      <c r="A3251" s="1133"/>
      <c r="B3251" s="1136"/>
      <c r="C3251" s="1138"/>
    </row>
    <row r="3252" spans="1:3">
      <c r="A3252" s="1133"/>
      <c r="B3252" s="1136"/>
      <c r="C3252" s="1138"/>
    </row>
    <row r="3253" spans="1:3">
      <c r="A3253" s="1133"/>
      <c r="B3253" s="1136"/>
      <c r="C3253" s="1138"/>
    </row>
    <row r="3254" spans="1:3">
      <c r="A3254" s="1133"/>
      <c r="B3254" s="1136"/>
      <c r="C3254" s="1138"/>
    </row>
    <row r="3255" spans="1:3">
      <c r="A3255" s="1133"/>
      <c r="B3255" s="1136"/>
      <c r="C3255" s="1138"/>
    </row>
    <row r="3256" spans="1:3">
      <c r="A3256" s="1133"/>
      <c r="B3256" s="1136"/>
      <c r="C3256" s="1138"/>
    </row>
    <row r="3257" spans="1:3">
      <c r="A3257" s="1133"/>
      <c r="B3257" s="1136"/>
      <c r="C3257" s="1138"/>
    </row>
    <row r="3258" spans="1:3">
      <c r="A3258" s="1133"/>
      <c r="B3258" s="1136"/>
      <c r="C3258" s="1138"/>
    </row>
    <row r="3259" spans="1:3">
      <c r="A3259" s="1133"/>
      <c r="B3259" s="1136"/>
      <c r="C3259" s="1138"/>
    </row>
    <row r="3260" spans="1:3">
      <c r="A3260" s="1133"/>
      <c r="B3260" s="1136"/>
      <c r="C3260" s="1138"/>
    </row>
    <row r="3261" spans="1:3">
      <c r="A3261" s="1133"/>
      <c r="B3261" s="1136"/>
      <c r="C3261" s="1138"/>
    </row>
    <row r="3262" spans="1:3">
      <c r="A3262" s="1133"/>
      <c r="B3262" s="1136"/>
      <c r="C3262" s="1138"/>
    </row>
    <row r="3263" spans="1:3">
      <c r="A3263" s="1133"/>
      <c r="B3263" s="1136"/>
      <c r="C3263" s="1138"/>
    </row>
    <row r="3264" spans="1:3">
      <c r="A3264" s="1133"/>
      <c r="B3264" s="1136"/>
      <c r="C3264" s="1138"/>
    </row>
    <row r="3265" spans="1:3">
      <c r="A3265" s="1133"/>
      <c r="B3265" s="1136"/>
      <c r="C3265" s="1138"/>
    </row>
    <row r="3266" spans="1:3">
      <c r="A3266" s="1133"/>
      <c r="B3266" s="1136"/>
      <c r="C3266" s="1138"/>
    </row>
    <row r="3267" spans="1:3">
      <c r="A3267" s="1133"/>
      <c r="B3267" s="1136"/>
      <c r="C3267" s="1138"/>
    </row>
    <row r="3268" spans="1:3">
      <c r="A3268" s="1133"/>
      <c r="B3268" s="1136"/>
      <c r="C3268" s="1138"/>
    </row>
    <row r="3269" spans="1:3">
      <c r="A3269" s="1133"/>
      <c r="B3269" s="1136"/>
      <c r="C3269" s="1138"/>
    </row>
    <row r="3270" spans="1:3">
      <c r="A3270" s="1133"/>
      <c r="B3270" s="1136"/>
      <c r="C3270" s="1138"/>
    </row>
    <row r="3271" spans="1:3">
      <c r="A3271" s="1133"/>
      <c r="B3271" s="1136"/>
      <c r="C3271" s="1138"/>
    </row>
    <row r="3272" spans="1:3">
      <c r="A3272" s="1133"/>
      <c r="B3272" s="1136"/>
      <c r="C3272" s="1138"/>
    </row>
    <row r="3273" spans="1:3">
      <c r="A3273" s="1133"/>
      <c r="B3273" s="1136"/>
      <c r="C3273" s="1138"/>
    </row>
    <row r="3274" spans="1:3">
      <c r="A3274" s="1133"/>
      <c r="B3274" s="1136"/>
      <c r="C3274" s="1138"/>
    </row>
    <row r="3275" spans="1:3">
      <c r="A3275" s="1133"/>
      <c r="B3275" s="1136"/>
      <c r="C3275" s="1138"/>
    </row>
    <row r="3276" spans="1:3">
      <c r="A3276" s="1133"/>
      <c r="B3276" s="1136"/>
      <c r="C3276" s="1138"/>
    </row>
    <row r="3277" spans="1:3">
      <c r="A3277" s="1133"/>
      <c r="B3277" s="1136"/>
      <c r="C3277" s="1138"/>
    </row>
    <row r="3278" spans="1:3">
      <c r="A3278" s="1133"/>
      <c r="B3278" s="1136"/>
      <c r="C3278" s="1138"/>
    </row>
    <row r="3279" spans="1:3">
      <c r="A3279" s="1133"/>
      <c r="B3279" s="1136"/>
      <c r="C3279" s="1138"/>
    </row>
    <row r="3280" spans="1:3">
      <c r="A3280" s="1133"/>
      <c r="B3280" s="1136"/>
      <c r="C3280" s="1138"/>
    </row>
    <row r="3281" spans="1:3">
      <c r="A3281" s="1133"/>
      <c r="B3281" s="1136"/>
      <c r="C3281" s="1138"/>
    </row>
    <row r="3282" spans="1:3">
      <c r="A3282" s="1133"/>
      <c r="B3282" s="1136"/>
      <c r="C3282" s="1138"/>
    </row>
    <row r="3283" spans="1:3">
      <c r="A3283" s="1133"/>
      <c r="B3283" s="1136"/>
      <c r="C3283" s="1138"/>
    </row>
    <row r="3284" spans="1:3">
      <c r="A3284" s="1133"/>
      <c r="B3284" s="1136"/>
      <c r="C3284" s="1138"/>
    </row>
    <row r="3285" spans="1:3">
      <c r="A3285" s="1133"/>
      <c r="B3285" s="1136"/>
      <c r="C3285" s="1138"/>
    </row>
    <row r="3286" spans="1:3">
      <c r="A3286" s="1133"/>
      <c r="B3286" s="1136"/>
      <c r="C3286" s="1138"/>
    </row>
    <row r="3287" spans="1:3">
      <c r="A3287" s="1133"/>
      <c r="B3287" s="1136"/>
      <c r="C3287" s="1138"/>
    </row>
    <row r="3288" spans="1:3">
      <c r="A3288" s="1133"/>
      <c r="B3288" s="1136"/>
      <c r="C3288" s="1138"/>
    </row>
    <row r="3289" spans="1:3">
      <c r="A3289" s="1133"/>
      <c r="B3289" s="1136"/>
      <c r="C3289" s="1138"/>
    </row>
    <row r="3290" spans="1:3">
      <c r="A3290" s="1133"/>
      <c r="B3290" s="1136"/>
      <c r="C3290" s="1138"/>
    </row>
    <row r="3291" spans="1:3">
      <c r="A3291" s="1133"/>
      <c r="B3291" s="1136"/>
      <c r="C3291" s="1138"/>
    </row>
    <row r="3292" spans="1:3">
      <c r="A3292" s="1133"/>
      <c r="B3292" s="1136"/>
      <c r="C3292" s="1138"/>
    </row>
    <row r="3293" spans="1:3">
      <c r="A3293" s="1133"/>
      <c r="B3293" s="1136"/>
      <c r="C3293" s="1138"/>
    </row>
    <row r="3294" spans="1:3">
      <c r="A3294" s="1133"/>
      <c r="B3294" s="1136"/>
      <c r="C3294" s="1138"/>
    </row>
    <row r="3295" spans="1:3">
      <c r="A3295" s="1133"/>
      <c r="B3295" s="1136"/>
      <c r="C3295" s="1138"/>
    </row>
    <row r="3296" spans="1:3">
      <c r="A3296" s="1133"/>
      <c r="B3296" s="1136"/>
      <c r="C3296" s="1138"/>
    </row>
    <row r="3297" spans="1:3">
      <c r="A3297" s="1133"/>
      <c r="B3297" s="1136"/>
      <c r="C3297" s="1138"/>
    </row>
    <row r="3298" spans="1:3">
      <c r="A3298" s="1133"/>
      <c r="B3298" s="1136"/>
      <c r="C3298" s="1138"/>
    </row>
    <row r="3299" spans="1:3">
      <c r="A3299" s="1133"/>
      <c r="B3299" s="1136"/>
      <c r="C3299" s="1138"/>
    </row>
    <row r="3300" spans="1:3">
      <c r="A3300" s="1133"/>
      <c r="B3300" s="1136"/>
      <c r="C3300" s="1138"/>
    </row>
    <row r="3301" spans="1:3">
      <c r="A3301" s="1133"/>
      <c r="B3301" s="1136"/>
      <c r="C3301" s="1138"/>
    </row>
    <row r="3302" spans="1:3">
      <c r="A3302" s="1133"/>
      <c r="B3302" s="1136"/>
      <c r="C3302" s="1138"/>
    </row>
    <row r="3303" spans="1:3">
      <c r="A3303" s="1133"/>
      <c r="B3303" s="1136"/>
      <c r="C3303" s="1138"/>
    </row>
    <row r="3304" spans="1:3">
      <c r="A3304" s="1133"/>
      <c r="B3304" s="1136"/>
      <c r="C3304" s="1138"/>
    </row>
    <row r="3305" spans="1:3">
      <c r="A3305" s="1133"/>
      <c r="B3305" s="1136"/>
      <c r="C3305" s="1138"/>
    </row>
    <row r="3306" spans="1:3">
      <c r="A3306" s="1133"/>
      <c r="B3306" s="1136"/>
      <c r="C3306" s="1138"/>
    </row>
    <row r="3307" spans="1:3">
      <c r="A3307" s="1133"/>
      <c r="B3307" s="1136"/>
      <c r="C3307" s="1138"/>
    </row>
    <row r="3308" spans="1:3">
      <c r="A3308" s="1133"/>
      <c r="B3308" s="1136"/>
      <c r="C3308" s="1138"/>
    </row>
    <row r="3309" spans="1:3">
      <c r="A3309" s="1133"/>
      <c r="B3309" s="1136"/>
      <c r="C3309" s="1138"/>
    </row>
    <row r="3310" spans="1:3">
      <c r="A3310" s="1133"/>
      <c r="B3310" s="1136"/>
      <c r="C3310" s="1138"/>
    </row>
    <row r="3311" spans="1:3">
      <c r="A3311" s="1133"/>
      <c r="B3311" s="1136"/>
      <c r="C3311" s="1138"/>
    </row>
    <row r="3312" spans="1:3">
      <c r="A3312" s="1133"/>
      <c r="B3312" s="1136"/>
      <c r="C3312" s="1138"/>
    </row>
    <row r="3313" spans="1:3">
      <c r="A3313" s="1133"/>
      <c r="B3313" s="1136"/>
      <c r="C3313" s="1138"/>
    </row>
    <row r="3314" spans="1:3">
      <c r="A3314" s="1133"/>
      <c r="B3314" s="1136"/>
      <c r="C3314" s="1138"/>
    </row>
    <row r="3315" spans="1:3">
      <c r="A3315" s="1133"/>
      <c r="B3315" s="1136"/>
      <c r="C3315" s="1138"/>
    </row>
    <row r="3316" spans="1:3">
      <c r="A3316" s="1133"/>
      <c r="B3316" s="1136"/>
      <c r="C3316" s="1138"/>
    </row>
    <row r="3317" spans="1:3">
      <c r="A3317" s="1133"/>
      <c r="B3317" s="1136"/>
      <c r="C3317" s="1138"/>
    </row>
    <row r="3318" spans="1:3">
      <c r="A3318" s="1133"/>
      <c r="B3318" s="1136"/>
      <c r="C3318" s="1138"/>
    </row>
    <row r="3319" spans="1:3">
      <c r="A3319" s="1133"/>
      <c r="B3319" s="1136"/>
      <c r="C3319" s="1138"/>
    </row>
    <row r="3320" spans="1:3">
      <c r="A3320" s="1133"/>
      <c r="B3320" s="1136"/>
      <c r="C3320" s="1138"/>
    </row>
    <row r="3321" spans="1:3">
      <c r="A3321" s="1133"/>
      <c r="B3321" s="1136"/>
      <c r="C3321" s="1138"/>
    </row>
    <row r="3322" spans="1:3">
      <c r="A3322" s="1133"/>
      <c r="B3322" s="1136"/>
      <c r="C3322" s="1138"/>
    </row>
    <row r="3323" spans="1:3">
      <c r="A3323" s="1133"/>
      <c r="B3323" s="1136"/>
      <c r="C3323" s="1138"/>
    </row>
    <row r="3324" spans="1:3">
      <c r="A3324" s="1133"/>
      <c r="B3324" s="1136"/>
      <c r="C3324" s="1138"/>
    </row>
    <row r="3325" spans="1:3">
      <c r="A3325" s="1133"/>
      <c r="B3325" s="1136"/>
      <c r="C3325" s="1138"/>
    </row>
    <row r="3326" spans="1:3">
      <c r="A3326" s="1133"/>
      <c r="B3326" s="1136"/>
      <c r="C3326" s="1138"/>
    </row>
    <row r="3327" spans="1:3">
      <c r="A3327" s="1133"/>
      <c r="B3327" s="1136"/>
      <c r="C3327" s="1138"/>
    </row>
    <row r="3328" spans="1:3">
      <c r="A3328" s="1133"/>
      <c r="B3328" s="1136"/>
      <c r="C3328" s="1138"/>
    </row>
    <row r="3329" spans="1:3">
      <c r="A3329" s="1133"/>
      <c r="B3329" s="1136"/>
      <c r="C3329" s="1138"/>
    </row>
    <row r="3330" spans="1:3">
      <c r="A3330" s="1133"/>
      <c r="B3330" s="1136"/>
      <c r="C3330" s="1138"/>
    </row>
    <row r="3331" spans="1:3">
      <c r="A3331" s="1133"/>
      <c r="B3331" s="1136"/>
      <c r="C3331" s="1138"/>
    </row>
    <row r="3332" spans="1:3">
      <c r="A3332" s="1133"/>
      <c r="B3332" s="1136"/>
      <c r="C3332" s="1138"/>
    </row>
    <row r="3333" spans="1:3">
      <c r="A3333" s="1133"/>
      <c r="B3333" s="1136"/>
      <c r="C3333" s="1138"/>
    </row>
    <row r="3334" spans="1:3">
      <c r="A3334" s="1133"/>
      <c r="B3334" s="1136"/>
      <c r="C3334" s="1138"/>
    </row>
    <row r="3335" spans="1:3">
      <c r="A3335" s="1133"/>
      <c r="B3335" s="1136"/>
      <c r="C3335" s="1138"/>
    </row>
    <row r="3336" spans="1:3">
      <c r="A3336" s="1133"/>
      <c r="B3336" s="1136"/>
      <c r="C3336" s="1138"/>
    </row>
    <row r="3337" spans="1:3">
      <c r="A3337" s="1133"/>
      <c r="B3337" s="1136"/>
      <c r="C3337" s="1138"/>
    </row>
    <row r="3338" spans="1:3">
      <c r="A3338" s="1133"/>
      <c r="B3338" s="1136"/>
      <c r="C3338" s="1138"/>
    </row>
    <row r="3339" spans="1:3">
      <c r="A3339" s="1133"/>
      <c r="B3339" s="1136"/>
      <c r="C3339" s="1138"/>
    </row>
    <row r="3340" spans="1:3">
      <c r="A3340" s="1133"/>
      <c r="B3340" s="1136"/>
      <c r="C3340" s="1138"/>
    </row>
    <row r="3341" spans="1:3">
      <c r="A3341" s="1133"/>
      <c r="B3341" s="1136"/>
      <c r="C3341" s="1138"/>
    </row>
    <row r="3342" spans="1:3">
      <c r="A3342" s="1133"/>
      <c r="B3342" s="1136"/>
      <c r="C3342" s="1138"/>
    </row>
    <row r="3343" spans="1:3">
      <c r="A3343" s="1133"/>
      <c r="B3343" s="1136"/>
      <c r="C3343" s="1138"/>
    </row>
    <row r="3344" spans="1:3">
      <c r="A3344" s="1133"/>
      <c r="B3344" s="1136"/>
      <c r="C3344" s="1138"/>
    </row>
    <row r="3345" spans="1:3">
      <c r="A3345" s="1133"/>
      <c r="B3345" s="1136"/>
      <c r="C3345" s="1138"/>
    </row>
    <row r="3346" spans="1:3">
      <c r="A3346" s="1133"/>
      <c r="B3346" s="1136"/>
      <c r="C3346" s="1138"/>
    </row>
    <row r="3347" spans="1:3">
      <c r="A3347" s="1133"/>
      <c r="B3347" s="1136"/>
      <c r="C3347" s="1138"/>
    </row>
    <row r="3348" spans="1:3">
      <c r="A3348" s="1133"/>
      <c r="B3348" s="1136"/>
      <c r="C3348" s="1138"/>
    </row>
    <row r="3349" spans="1:3">
      <c r="A3349" s="1133"/>
      <c r="B3349" s="1136"/>
      <c r="C3349" s="1138"/>
    </row>
    <row r="3350" spans="1:3">
      <c r="A3350" s="1133"/>
      <c r="B3350" s="1136"/>
      <c r="C3350" s="1138"/>
    </row>
    <row r="3351" spans="1:3">
      <c r="A3351" s="1133"/>
      <c r="B3351" s="1136"/>
      <c r="C3351" s="1138"/>
    </row>
    <row r="3352" spans="1:3">
      <c r="A3352" s="1133"/>
      <c r="B3352" s="1136"/>
      <c r="C3352" s="1138"/>
    </row>
    <row r="3353" spans="1:3">
      <c r="A3353" s="1133"/>
      <c r="B3353" s="1136"/>
      <c r="C3353" s="1138"/>
    </row>
    <row r="3354" spans="1:3">
      <c r="A3354" s="1133"/>
      <c r="B3354" s="1136"/>
      <c r="C3354" s="1138"/>
    </row>
    <row r="3355" spans="1:3">
      <c r="A3355" s="1133"/>
      <c r="B3355" s="1136"/>
      <c r="C3355" s="1138"/>
    </row>
    <row r="3356" spans="1:3">
      <c r="A3356" s="1133"/>
      <c r="B3356" s="1136"/>
      <c r="C3356" s="1138"/>
    </row>
    <row r="3357" spans="1:3">
      <c r="A3357" s="1133"/>
      <c r="B3357" s="1136"/>
      <c r="C3357" s="1138"/>
    </row>
    <row r="3358" spans="1:3">
      <c r="A3358" s="1133"/>
      <c r="B3358" s="1136"/>
      <c r="C3358" s="1138"/>
    </row>
    <row r="3359" spans="1:3">
      <c r="A3359" s="1133"/>
      <c r="B3359" s="1136"/>
      <c r="C3359" s="1138"/>
    </row>
    <row r="3360" spans="1:3">
      <c r="A3360" s="1133"/>
      <c r="B3360" s="1136"/>
      <c r="C3360" s="1138"/>
    </row>
    <row r="3361" spans="1:3">
      <c r="A3361" s="1133"/>
      <c r="B3361" s="1136"/>
      <c r="C3361" s="1138"/>
    </row>
    <row r="3362" spans="1:3">
      <c r="A3362" s="1133"/>
      <c r="B3362" s="1136"/>
      <c r="C3362" s="1138"/>
    </row>
    <row r="3363" spans="1:3">
      <c r="A3363" s="1133"/>
      <c r="B3363" s="1136"/>
      <c r="C3363" s="1138"/>
    </row>
    <row r="3364" spans="1:3">
      <c r="A3364" s="1133"/>
      <c r="B3364" s="1136"/>
      <c r="C3364" s="1138"/>
    </row>
    <row r="3365" spans="1:3">
      <c r="A3365" s="1133"/>
      <c r="B3365" s="1136"/>
      <c r="C3365" s="1138"/>
    </row>
    <row r="3366" spans="1:3">
      <c r="A3366" s="1133"/>
      <c r="B3366" s="1136"/>
      <c r="C3366" s="1138"/>
    </row>
    <row r="3367" spans="1:3">
      <c r="A3367" s="1133"/>
      <c r="B3367" s="1136"/>
      <c r="C3367" s="1138"/>
    </row>
    <row r="3368" spans="1:3">
      <c r="A3368" s="1133"/>
      <c r="B3368" s="1136"/>
      <c r="C3368" s="1138"/>
    </row>
    <row r="3369" spans="1:3">
      <c r="A3369" s="1133"/>
      <c r="B3369" s="1136"/>
      <c r="C3369" s="1138"/>
    </row>
    <row r="3370" spans="1:3">
      <c r="A3370" s="1133"/>
      <c r="B3370" s="1136"/>
      <c r="C3370" s="1138"/>
    </row>
    <row r="3371" spans="1:3">
      <c r="A3371" s="1133"/>
      <c r="B3371" s="1136"/>
      <c r="C3371" s="1138"/>
    </row>
    <row r="3372" spans="1:3">
      <c r="A3372" s="1133"/>
      <c r="B3372" s="1136"/>
      <c r="C3372" s="1138"/>
    </row>
    <row r="3373" spans="1:3">
      <c r="A3373" s="1133"/>
      <c r="B3373" s="1136"/>
      <c r="C3373" s="1138"/>
    </row>
    <row r="3374" spans="1:3">
      <c r="A3374" s="1133"/>
      <c r="B3374" s="1136"/>
      <c r="C3374" s="1138"/>
    </row>
    <row r="3375" spans="1:3">
      <c r="A3375" s="1133"/>
      <c r="B3375" s="1136"/>
      <c r="C3375" s="1138"/>
    </row>
    <row r="3376" spans="1:3">
      <c r="A3376" s="1133"/>
      <c r="B3376" s="1136"/>
      <c r="C3376" s="1138"/>
    </row>
    <row r="3377" spans="1:3">
      <c r="A3377" s="1133"/>
      <c r="B3377" s="1136"/>
      <c r="C3377" s="1138"/>
    </row>
    <row r="3378" spans="1:3">
      <c r="A3378" s="1133"/>
      <c r="B3378" s="1136"/>
      <c r="C3378" s="1138"/>
    </row>
    <row r="3379" spans="1:3">
      <c r="A3379" s="1133"/>
      <c r="B3379" s="1136"/>
      <c r="C3379" s="1138"/>
    </row>
    <row r="3380" spans="1:3">
      <c r="A3380" s="1133"/>
      <c r="B3380" s="1136"/>
      <c r="C3380" s="1138"/>
    </row>
    <row r="3381" spans="1:3">
      <c r="A3381" s="1133"/>
      <c r="B3381" s="1136"/>
      <c r="C3381" s="1138"/>
    </row>
    <row r="3382" spans="1:3">
      <c r="A3382" s="1133"/>
      <c r="B3382" s="1136"/>
      <c r="C3382" s="1138"/>
    </row>
    <row r="3383" spans="1:3">
      <c r="A3383" s="1133"/>
      <c r="B3383" s="1136"/>
      <c r="C3383" s="1138"/>
    </row>
    <row r="3384" spans="1:3">
      <c r="A3384" s="1133"/>
      <c r="B3384" s="1136"/>
      <c r="C3384" s="1138"/>
    </row>
    <row r="3385" spans="1:3">
      <c r="A3385" s="1133"/>
      <c r="B3385" s="1136"/>
      <c r="C3385" s="1138"/>
    </row>
    <row r="3386" spans="1:3">
      <c r="A3386" s="1133"/>
      <c r="B3386" s="1136"/>
      <c r="C3386" s="1138"/>
    </row>
    <row r="3387" spans="1:3">
      <c r="A3387" s="1133"/>
      <c r="B3387" s="1136"/>
      <c r="C3387" s="1138"/>
    </row>
    <row r="3388" spans="1:3">
      <c r="A3388" s="1133"/>
      <c r="B3388" s="1136"/>
      <c r="C3388" s="1138"/>
    </row>
    <row r="3389" spans="1:3">
      <c r="A3389" s="1133"/>
      <c r="B3389" s="1136"/>
      <c r="C3389" s="1138"/>
    </row>
    <row r="3390" spans="1:3">
      <c r="A3390" s="1133"/>
      <c r="B3390" s="1136"/>
      <c r="C3390" s="1138"/>
    </row>
    <row r="3391" spans="1:3">
      <c r="A3391" s="1133"/>
      <c r="B3391" s="1136"/>
      <c r="C3391" s="1138"/>
    </row>
    <row r="3392" spans="1:3">
      <c r="A3392" s="1133"/>
      <c r="B3392" s="1136"/>
      <c r="C3392" s="1138"/>
    </row>
    <row r="3393" spans="1:3">
      <c r="A3393" s="1133"/>
      <c r="B3393" s="1136"/>
      <c r="C3393" s="1138"/>
    </row>
    <row r="3394" spans="1:3">
      <c r="A3394" s="1133"/>
      <c r="B3394" s="1136"/>
      <c r="C3394" s="1138"/>
    </row>
    <row r="3395" spans="1:3">
      <c r="A3395" s="1133"/>
      <c r="B3395" s="1136"/>
      <c r="C3395" s="1138"/>
    </row>
    <row r="3396" spans="1:3">
      <c r="A3396" s="1133"/>
      <c r="B3396" s="1136"/>
      <c r="C3396" s="1138"/>
    </row>
    <row r="3397" spans="1:3">
      <c r="A3397" s="1133"/>
      <c r="B3397" s="1136"/>
      <c r="C3397" s="1138"/>
    </row>
    <row r="3398" spans="1:3">
      <c r="A3398" s="1133"/>
      <c r="B3398" s="1136"/>
      <c r="C3398" s="1138"/>
    </row>
    <row r="3399" spans="1:3">
      <c r="A3399" s="1133"/>
      <c r="B3399" s="1136"/>
      <c r="C3399" s="1138"/>
    </row>
    <row r="3400" spans="1:3">
      <c r="A3400" s="1133"/>
      <c r="B3400" s="1136"/>
      <c r="C3400" s="1138"/>
    </row>
    <row r="3401" spans="1:3">
      <c r="A3401" s="1133"/>
      <c r="B3401" s="1136"/>
      <c r="C3401" s="1138"/>
    </row>
    <row r="3402" spans="1:3">
      <c r="A3402" s="1133"/>
      <c r="B3402" s="1136"/>
      <c r="C3402" s="1138"/>
    </row>
    <row r="3403" spans="1:3">
      <c r="A3403" s="1133"/>
      <c r="B3403" s="1136"/>
      <c r="C3403" s="1138"/>
    </row>
    <row r="3404" spans="1:3">
      <c r="A3404" s="1133"/>
      <c r="B3404" s="1136"/>
      <c r="C3404" s="1138"/>
    </row>
    <row r="3405" spans="1:3">
      <c r="A3405" s="1133"/>
      <c r="B3405" s="1136"/>
      <c r="C3405" s="1138"/>
    </row>
    <row r="3406" spans="1:3">
      <c r="A3406" s="1133"/>
      <c r="B3406" s="1136"/>
      <c r="C3406" s="1138"/>
    </row>
    <row r="3407" spans="1:3">
      <c r="A3407" s="1133"/>
      <c r="B3407" s="1136"/>
      <c r="C3407" s="1138"/>
    </row>
    <row r="3408" spans="1:3">
      <c r="A3408" s="1133"/>
      <c r="B3408" s="1136"/>
      <c r="C3408" s="1138"/>
    </row>
    <row r="3409" spans="1:3">
      <c r="A3409" s="1133"/>
      <c r="B3409" s="1136"/>
      <c r="C3409" s="1138"/>
    </row>
    <row r="3410" spans="1:3">
      <c r="A3410" s="1133"/>
      <c r="B3410" s="1136"/>
      <c r="C3410" s="1138"/>
    </row>
    <row r="3411" spans="1:3">
      <c r="A3411" s="1133"/>
      <c r="B3411" s="1136"/>
      <c r="C3411" s="1138"/>
    </row>
    <row r="3412" spans="1:3">
      <c r="A3412" s="1133"/>
      <c r="B3412" s="1136"/>
      <c r="C3412" s="1138"/>
    </row>
    <row r="3413" spans="1:3">
      <c r="A3413" s="1133"/>
      <c r="B3413" s="1136"/>
      <c r="C3413" s="1138"/>
    </row>
    <row r="3414" spans="1:3">
      <c r="A3414" s="1133"/>
      <c r="B3414" s="1136"/>
      <c r="C3414" s="1138"/>
    </row>
    <row r="3415" spans="1:3">
      <c r="A3415" s="1133"/>
      <c r="B3415" s="1136"/>
      <c r="C3415" s="1138"/>
    </row>
    <row r="3416" spans="1:3">
      <c r="A3416" s="1133"/>
      <c r="B3416" s="1136"/>
      <c r="C3416" s="1138"/>
    </row>
    <row r="3417" spans="1:3">
      <c r="A3417" s="1133"/>
      <c r="B3417" s="1136"/>
      <c r="C3417" s="1138"/>
    </row>
    <row r="3418" spans="1:3">
      <c r="A3418" s="1133"/>
      <c r="B3418" s="1136"/>
      <c r="C3418" s="1138"/>
    </row>
    <row r="3419" spans="1:3">
      <c r="A3419" s="1133"/>
      <c r="B3419" s="1136"/>
      <c r="C3419" s="1138"/>
    </row>
    <row r="3420" spans="1:3">
      <c r="A3420" s="1133"/>
      <c r="B3420" s="1136"/>
      <c r="C3420" s="1138"/>
    </row>
    <row r="3421" spans="1:3">
      <c r="A3421" s="1133"/>
      <c r="B3421" s="1136"/>
      <c r="C3421" s="1138"/>
    </row>
    <row r="3422" spans="1:3">
      <c r="A3422" s="1133"/>
      <c r="B3422" s="1136"/>
      <c r="C3422" s="1138"/>
    </row>
    <row r="3423" spans="1:3">
      <c r="A3423" s="1133"/>
      <c r="B3423" s="1136"/>
      <c r="C3423" s="1138"/>
    </row>
    <row r="3424" spans="1:3">
      <c r="A3424" s="1133"/>
      <c r="B3424" s="1136"/>
      <c r="C3424" s="1138"/>
    </row>
    <row r="3425" spans="1:3">
      <c r="A3425" s="1133"/>
      <c r="B3425" s="1136"/>
      <c r="C3425" s="1138"/>
    </row>
    <row r="3426" spans="1:3">
      <c r="A3426" s="1133"/>
      <c r="B3426" s="1136"/>
      <c r="C3426" s="1138"/>
    </row>
    <row r="3427" spans="1:3">
      <c r="A3427" s="1133"/>
      <c r="B3427" s="1136"/>
      <c r="C3427" s="1138"/>
    </row>
    <row r="3428" spans="1:3">
      <c r="A3428" s="1133"/>
      <c r="B3428" s="1136"/>
      <c r="C3428" s="1138"/>
    </row>
    <row r="3429" spans="1:3">
      <c r="A3429" s="1133"/>
      <c r="B3429" s="1136"/>
      <c r="C3429" s="1138"/>
    </row>
    <row r="3430" spans="1:3">
      <c r="A3430" s="1133"/>
      <c r="B3430" s="1136"/>
      <c r="C3430" s="1138"/>
    </row>
    <row r="3431" spans="1:3">
      <c r="A3431" s="1133"/>
      <c r="B3431" s="1136"/>
      <c r="C3431" s="1138"/>
    </row>
    <row r="3432" spans="1:3">
      <c r="A3432" s="1133"/>
      <c r="B3432" s="1136"/>
      <c r="C3432" s="1138"/>
    </row>
    <row r="3433" spans="1:3">
      <c r="A3433" s="1133"/>
      <c r="B3433" s="1136"/>
      <c r="C3433" s="1138"/>
    </row>
    <row r="3434" spans="1:3">
      <c r="A3434" s="1133"/>
      <c r="B3434" s="1136"/>
      <c r="C3434" s="1138"/>
    </row>
    <row r="3435" spans="1:3">
      <c r="A3435" s="1133"/>
      <c r="B3435" s="1136"/>
      <c r="C3435" s="1138"/>
    </row>
    <row r="3436" spans="1:3">
      <c r="A3436" s="1133"/>
      <c r="B3436" s="1136"/>
      <c r="C3436" s="1138"/>
    </row>
    <row r="3437" spans="1:3">
      <c r="A3437" s="1133"/>
      <c r="B3437" s="1136"/>
      <c r="C3437" s="1138"/>
    </row>
    <row r="3438" spans="1:3">
      <c r="A3438" s="1133"/>
      <c r="B3438" s="1136"/>
      <c r="C3438" s="1138"/>
    </row>
    <row r="3439" spans="1:3">
      <c r="A3439" s="1133"/>
      <c r="B3439" s="1136"/>
      <c r="C3439" s="1138"/>
    </row>
    <row r="3440" spans="1:3">
      <c r="A3440" s="1133"/>
      <c r="B3440" s="1136"/>
      <c r="C3440" s="1138"/>
    </row>
    <row r="3441" spans="1:3">
      <c r="A3441" s="1133"/>
      <c r="B3441" s="1136"/>
      <c r="C3441" s="1138"/>
    </row>
    <row r="3442" spans="1:3">
      <c r="A3442" s="1133"/>
      <c r="B3442" s="1136"/>
      <c r="C3442" s="1138"/>
    </row>
    <row r="3443" spans="1:3">
      <c r="A3443" s="1133"/>
      <c r="B3443" s="1136"/>
      <c r="C3443" s="1138"/>
    </row>
    <row r="3444" spans="1:3">
      <c r="A3444" s="1133"/>
      <c r="B3444" s="1136"/>
      <c r="C3444" s="1138"/>
    </row>
    <row r="3445" spans="1:3">
      <c r="A3445" s="1133"/>
      <c r="B3445" s="1136"/>
      <c r="C3445" s="1138"/>
    </row>
    <row r="3446" spans="1:3">
      <c r="A3446" s="1133"/>
      <c r="B3446" s="1136"/>
      <c r="C3446" s="1138"/>
    </row>
    <row r="3447" spans="1:3">
      <c r="A3447" s="1133"/>
      <c r="B3447" s="1136"/>
      <c r="C3447" s="1138"/>
    </row>
    <row r="3448" spans="1:3">
      <c r="A3448" s="1133"/>
      <c r="B3448" s="1136"/>
      <c r="C3448" s="1138"/>
    </row>
    <row r="3449" spans="1:3">
      <c r="A3449" s="1133"/>
      <c r="B3449" s="1136"/>
      <c r="C3449" s="1138"/>
    </row>
    <row r="3450" spans="1:3">
      <c r="A3450" s="1133"/>
      <c r="B3450" s="1136"/>
      <c r="C3450" s="1138"/>
    </row>
    <row r="3451" spans="1:3">
      <c r="A3451" s="1133"/>
      <c r="B3451" s="1136"/>
      <c r="C3451" s="1138"/>
    </row>
    <row r="3452" spans="1:3">
      <c r="A3452" s="1133"/>
      <c r="B3452" s="1136"/>
      <c r="C3452" s="1138"/>
    </row>
    <row r="3453" spans="1:3">
      <c r="A3453" s="1133"/>
      <c r="B3453" s="1136"/>
      <c r="C3453" s="1138"/>
    </row>
    <row r="3454" spans="1:3">
      <c r="A3454" s="1133"/>
      <c r="B3454" s="1136"/>
      <c r="C3454" s="1138"/>
    </row>
    <row r="3455" spans="1:3">
      <c r="A3455" s="1133"/>
      <c r="B3455" s="1136"/>
      <c r="C3455" s="1138"/>
    </row>
    <row r="3456" spans="1:3">
      <c r="A3456" s="1133"/>
      <c r="B3456" s="1136"/>
      <c r="C3456" s="1138"/>
    </row>
    <row r="3457" spans="1:3">
      <c r="A3457" s="1133"/>
      <c r="B3457" s="1136"/>
      <c r="C3457" s="1138"/>
    </row>
    <row r="3458" spans="1:3">
      <c r="A3458" s="1133"/>
      <c r="B3458" s="1136"/>
      <c r="C3458" s="1138"/>
    </row>
    <row r="3459" spans="1:3">
      <c r="A3459" s="1133"/>
      <c r="B3459" s="1136"/>
      <c r="C3459" s="1138"/>
    </row>
    <row r="3460" spans="1:3">
      <c r="A3460" s="1133"/>
      <c r="B3460" s="1136"/>
      <c r="C3460" s="1138"/>
    </row>
    <row r="3461" spans="1:3">
      <c r="A3461" s="1133"/>
      <c r="B3461" s="1136"/>
      <c r="C3461" s="1138"/>
    </row>
    <row r="3462" spans="1:3">
      <c r="A3462" s="1133"/>
      <c r="B3462" s="1136"/>
      <c r="C3462" s="1138"/>
    </row>
    <row r="3463" spans="1:3">
      <c r="A3463" s="1133"/>
      <c r="B3463" s="1136"/>
      <c r="C3463" s="1138"/>
    </row>
    <row r="3464" spans="1:3">
      <c r="A3464" s="1133"/>
      <c r="B3464" s="1136"/>
      <c r="C3464" s="1138"/>
    </row>
    <row r="3465" spans="1:3">
      <c r="A3465" s="1133"/>
      <c r="B3465" s="1136"/>
      <c r="C3465" s="1138"/>
    </row>
    <row r="3466" spans="1:3">
      <c r="A3466" s="1133"/>
      <c r="B3466" s="1136"/>
      <c r="C3466" s="1138"/>
    </row>
    <row r="3467" spans="1:3">
      <c r="A3467" s="1133"/>
      <c r="B3467" s="1136"/>
      <c r="C3467" s="1138"/>
    </row>
    <row r="3468" spans="1:3">
      <c r="A3468" s="1133"/>
      <c r="B3468" s="1136"/>
      <c r="C3468" s="1138"/>
    </row>
    <row r="3469" spans="1:3">
      <c r="A3469" s="1133"/>
      <c r="B3469" s="1136"/>
      <c r="C3469" s="1138"/>
    </row>
    <row r="3470" spans="1:3">
      <c r="A3470" s="1133"/>
      <c r="B3470" s="1136"/>
      <c r="C3470" s="1138"/>
    </row>
    <row r="3471" spans="1:3">
      <c r="A3471" s="1133"/>
      <c r="B3471" s="1136"/>
      <c r="C3471" s="1138"/>
    </row>
    <row r="3472" spans="1:3">
      <c r="A3472" s="1133"/>
      <c r="B3472" s="1136"/>
      <c r="C3472" s="1138"/>
    </row>
    <row r="3473" spans="1:3">
      <c r="A3473" s="1133"/>
      <c r="B3473" s="1136"/>
      <c r="C3473" s="1138"/>
    </row>
    <row r="3474" spans="1:3">
      <c r="A3474" s="1133"/>
      <c r="B3474" s="1136"/>
      <c r="C3474" s="1138"/>
    </row>
    <row r="3475" spans="1:3">
      <c r="A3475" s="1133"/>
      <c r="B3475" s="1136"/>
      <c r="C3475" s="1138"/>
    </row>
    <row r="3476" spans="1:3">
      <c r="A3476" s="1133"/>
      <c r="B3476" s="1136"/>
      <c r="C3476" s="1138"/>
    </row>
    <row r="3477" spans="1:3">
      <c r="A3477" s="1133"/>
      <c r="B3477" s="1136"/>
      <c r="C3477" s="1138"/>
    </row>
    <row r="3478" spans="1:3">
      <c r="A3478" s="1133"/>
      <c r="B3478" s="1136"/>
      <c r="C3478" s="1138"/>
    </row>
    <row r="3479" spans="1:3">
      <c r="A3479" s="1133"/>
      <c r="B3479" s="1136"/>
      <c r="C3479" s="1138"/>
    </row>
    <row r="3480" spans="1:3">
      <c r="A3480" s="1133"/>
      <c r="B3480" s="1136"/>
      <c r="C3480" s="1138"/>
    </row>
    <row r="3481" spans="1:3">
      <c r="A3481" s="1133"/>
      <c r="B3481" s="1136"/>
      <c r="C3481" s="1138"/>
    </row>
    <row r="3482" spans="1:3">
      <c r="A3482" s="1133"/>
      <c r="B3482" s="1136"/>
      <c r="C3482" s="1138"/>
    </row>
    <row r="3483" spans="1:3">
      <c r="A3483" s="1133"/>
      <c r="B3483" s="1136"/>
      <c r="C3483" s="1138"/>
    </row>
    <row r="3484" spans="1:3">
      <c r="A3484" s="1133"/>
      <c r="B3484" s="1136"/>
      <c r="C3484" s="1138"/>
    </row>
    <row r="3485" spans="1:3">
      <c r="A3485" s="1133"/>
      <c r="B3485" s="1136"/>
      <c r="C3485" s="1138"/>
    </row>
    <row r="3486" spans="1:3">
      <c r="A3486" s="1133"/>
      <c r="B3486" s="1136"/>
      <c r="C3486" s="1138"/>
    </row>
    <row r="3487" spans="1:3">
      <c r="A3487" s="1133"/>
      <c r="B3487" s="1136"/>
      <c r="C3487" s="1138"/>
    </row>
    <row r="3488" spans="1:3">
      <c r="A3488" s="1133"/>
      <c r="B3488" s="1136"/>
      <c r="C3488" s="1138"/>
    </row>
    <row r="3489" spans="1:3">
      <c r="A3489" s="1133"/>
      <c r="B3489" s="1136"/>
      <c r="C3489" s="1138"/>
    </row>
    <row r="3490" spans="1:3">
      <c r="A3490" s="1133"/>
      <c r="B3490" s="1136"/>
      <c r="C3490" s="1138"/>
    </row>
    <row r="3491" spans="1:3">
      <c r="A3491" s="1133"/>
      <c r="B3491" s="1136"/>
      <c r="C3491" s="1138"/>
    </row>
    <row r="3492" spans="1:3">
      <c r="A3492" s="1133"/>
      <c r="B3492" s="1136"/>
      <c r="C3492" s="1138"/>
    </row>
    <row r="3493" spans="1:3">
      <c r="A3493" s="1133"/>
      <c r="B3493" s="1136"/>
      <c r="C3493" s="1138"/>
    </row>
    <row r="3494" spans="1:3">
      <c r="A3494" s="1133"/>
      <c r="B3494" s="1136"/>
      <c r="C3494" s="1138"/>
    </row>
    <row r="3495" spans="1:3">
      <c r="A3495" s="1133"/>
      <c r="B3495" s="1136"/>
      <c r="C3495" s="1138"/>
    </row>
    <row r="3496" spans="1:3">
      <c r="A3496" s="1133"/>
      <c r="B3496" s="1136"/>
      <c r="C3496" s="1138"/>
    </row>
    <row r="3497" spans="1:3">
      <c r="A3497" s="1133"/>
      <c r="B3497" s="1136"/>
      <c r="C3497" s="1138"/>
    </row>
    <row r="3498" spans="1:3">
      <c r="A3498" s="1133"/>
      <c r="B3498" s="1136"/>
      <c r="C3498" s="1138"/>
    </row>
    <row r="3499" spans="1:3">
      <c r="A3499" s="1133"/>
      <c r="B3499" s="1136"/>
      <c r="C3499" s="1138"/>
    </row>
    <row r="3500" spans="1:3">
      <c r="A3500" s="1133"/>
      <c r="B3500" s="1136"/>
      <c r="C3500" s="1138"/>
    </row>
    <row r="3501" spans="1:3">
      <c r="A3501" s="1133"/>
      <c r="B3501" s="1136"/>
      <c r="C3501" s="1138"/>
    </row>
    <row r="3502" spans="1:3">
      <c r="A3502" s="1133"/>
      <c r="B3502" s="1136"/>
      <c r="C3502" s="1138"/>
    </row>
    <row r="3503" spans="1:3">
      <c r="A3503" s="1133"/>
      <c r="B3503" s="1136"/>
      <c r="C3503" s="1138"/>
    </row>
    <row r="3504" spans="1:3">
      <c r="A3504" s="1133"/>
      <c r="B3504" s="1136"/>
      <c r="C3504" s="1138"/>
    </row>
    <row r="3505" spans="1:3">
      <c r="A3505" s="1133"/>
      <c r="B3505" s="1136"/>
      <c r="C3505" s="1138"/>
    </row>
    <row r="3506" spans="1:3">
      <c r="A3506" s="1133"/>
      <c r="B3506" s="1136"/>
      <c r="C3506" s="1138"/>
    </row>
    <row r="3507" spans="1:3">
      <c r="A3507" s="1133"/>
      <c r="B3507" s="1136"/>
      <c r="C3507" s="1138"/>
    </row>
    <row r="3508" spans="1:3">
      <c r="A3508" s="1133"/>
      <c r="B3508" s="1136"/>
      <c r="C3508" s="1138"/>
    </row>
    <row r="3509" spans="1:3">
      <c r="A3509" s="1133"/>
      <c r="B3509" s="1136"/>
      <c r="C3509" s="1138"/>
    </row>
    <row r="3510" spans="1:3">
      <c r="A3510" s="1133"/>
      <c r="B3510" s="1136"/>
      <c r="C3510" s="1138"/>
    </row>
    <row r="3511" spans="1:3">
      <c r="A3511" s="1133"/>
      <c r="B3511" s="1136"/>
      <c r="C3511" s="1138"/>
    </row>
    <row r="3512" spans="1:3">
      <c r="A3512" s="1133"/>
      <c r="B3512" s="1136"/>
      <c r="C3512" s="1138"/>
    </row>
    <row r="3513" spans="1:3">
      <c r="A3513" s="1133"/>
      <c r="B3513" s="1136"/>
      <c r="C3513" s="1138"/>
    </row>
    <row r="3514" spans="1:3">
      <c r="A3514" s="1133"/>
      <c r="B3514" s="1136"/>
      <c r="C3514" s="1138"/>
    </row>
    <row r="3515" spans="1:3">
      <c r="A3515" s="1133"/>
      <c r="B3515" s="1136"/>
      <c r="C3515" s="1138"/>
    </row>
    <row r="3516" spans="1:3">
      <c r="A3516" s="1133"/>
      <c r="B3516" s="1136"/>
      <c r="C3516" s="1138"/>
    </row>
    <row r="3517" spans="1:3">
      <c r="A3517" s="1133"/>
      <c r="B3517" s="1136"/>
      <c r="C3517" s="1138"/>
    </row>
    <row r="3518" spans="1:3">
      <c r="A3518" s="1133"/>
      <c r="B3518" s="1136"/>
      <c r="C3518" s="1138"/>
    </row>
    <row r="3519" spans="1:3">
      <c r="A3519" s="1133"/>
      <c r="B3519" s="1136"/>
      <c r="C3519" s="1138"/>
    </row>
    <row r="3520" spans="1:3">
      <c r="A3520" s="1133"/>
      <c r="B3520" s="1136"/>
      <c r="C3520" s="1138"/>
    </row>
    <row r="3521" spans="1:3">
      <c r="A3521" s="1133"/>
      <c r="B3521" s="1136"/>
      <c r="C3521" s="1138"/>
    </row>
    <row r="3522" spans="1:3">
      <c r="A3522" s="1133"/>
      <c r="B3522" s="1136"/>
      <c r="C3522" s="1138"/>
    </row>
    <row r="3523" spans="1:3">
      <c r="A3523" s="1133"/>
      <c r="B3523" s="1136"/>
      <c r="C3523" s="1138"/>
    </row>
    <row r="3524" spans="1:3">
      <c r="A3524" s="1133"/>
      <c r="B3524" s="1136"/>
      <c r="C3524" s="1138"/>
    </row>
    <row r="3525" spans="1:3">
      <c r="A3525" s="1133"/>
      <c r="B3525" s="1136"/>
      <c r="C3525" s="1138"/>
    </row>
    <row r="3526" spans="1:3">
      <c r="A3526" s="1133"/>
      <c r="B3526" s="1136"/>
      <c r="C3526" s="1138"/>
    </row>
    <row r="3527" spans="1:3">
      <c r="A3527" s="1133"/>
      <c r="B3527" s="1136"/>
      <c r="C3527" s="1138"/>
    </row>
    <row r="3528" spans="1:3">
      <c r="A3528" s="1133"/>
      <c r="B3528" s="1136"/>
      <c r="C3528" s="1138"/>
    </row>
    <row r="3529" spans="1:3">
      <c r="A3529" s="1133"/>
      <c r="B3529" s="1136"/>
      <c r="C3529" s="1138"/>
    </row>
    <row r="3530" spans="1:3">
      <c r="A3530" s="1133"/>
      <c r="B3530" s="1136"/>
      <c r="C3530" s="1138"/>
    </row>
    <row r="3531" spans="1:3">
      <c r="A3531" s="1133"/>
      <c r="B3531" s="1136"/>
      <c r="C3531" s="1138"/>
    </row>
    <row r="3532" spans="1:3">
      <c r="A3532" s="1133"/>
      <c r="B3532" s="1136"/>
      <c r="C3532" s="1138"/>
    </row>
    <row r="3533" spans="1:3">
      <c r="A3533" s="1133"/>
      <c r="B3533" s="1136"/>
      <c r="C3533" s="1138"/>
    </row>
    <row r="3534" spans="1:3">
      <c r="A3534" s="1133"/>
      <c r="B3534" s="1136"/>
      <c r="C3534" s="1138"/>
    </row>
    <row r="3535" spans="1:3">
      <c r="A3535" s="1133"/>
      <c r="B3535" s="1136"/>
      <c r="C3535" s="1138"/>
    </row>
    <row r="3536" spans="1:3">
      <c r="A3536" s="1133"/>
      <c r="B3536" s="1136"/>
      <c r="C3536" s="1138"/>
    </row>
    <row r="3537" spans="1:3">
      <c r="A3537" s="1133"/>
      <c r="B3537" s="1136"/>
      <c r="C3537" s="1138"/>
    </row>
    <row r="3538" spans="1:3">
      <c r="A3538" s="1133"/>
      <c r="B3538" s="1136"/>
      <c r="C3538" s="1138"/>
    </row>
    <row r="3539" spans="1:3">
      <c r="A3539" s="1133"/>
      <c r="B3539" s="1136"/>
      <c r="C3539" s="1138"/>
    </row>
    <row r="3540" spans="1:3">
      <c r="A3540" s="1133"/>
      <c r="B3540" s="1136"/>
      <c r="C3540" s="1138"/>
    </row>
    <row r="3541" spans="1:3">
      <c r="A3541" s="1133"/>
      <c r="B3541" s="1136"/>
      <c r="C3541" s="1138"/>
    </row>
    <row r="3542" spans="1:3">
      <c r="A3542" s="1133"/>
      <c r="B3542" s="1136"/>
      <c r="C3542" s="1138"/>
    </row>
    <row r="3543" spans="1:3">
      <c r="A3543" s="1133"/>
      <c r="B3543" s="1136"/>
      <c r="C3543" s="1138"/>
    </row>
    <row r="3544" spans="1:3">
      <c r="A3544" s="1133"/>
      <c r="B3544" s="1136"/>
      <c r="C3544" s="1138"/>
    </row>
    <row r="3545" spans="1:3">
      <c r="A3545" s="1133"/>
      <c r="B3545" s="1136"/>
      <c r="C3545" s="1138"/>
    </row>
    <row r="3546" spans="1:3">
      <c r="A3546" s="1133"/>
      <c r="B3546" s="1136"/>
      <c r="C3546" s="1138"/>
    </row>
    <row r="3547" spans="1:3">
      <c r="A3547" s="1133"/>
      <c r="B3547" s="1136"/>
      <c r="C3547" s="1138"/>
    </row>
    <row r="3548" spans="1:3">
      <c r="A3548" s="1133"/>
      <c r="B3548" s="1136"/>
      <c r="C3548" s="1138"/>
    </row>
    <row r="3549" spans="1:3">
      <c r="A3549" s="1133"/>
      <c r="B3549" s="1136"/>
      <c r="C3549" s="1138"/>
    </row>
    <row r="3550" spans="1:3">
      <c r="A3550" s="1133"/>
      <c r="B3550" s="1136"/>
      <c r="C3550" s="1138"/>
    </row>
    <row r="3551" spans="1:3">
      <c r="A3551" s="1133"/>
      <c r="B3551" s="1136"/>
      <c r="C3551" s="1138"/>
    </row>
    <row r="3552" spans="1:3">
      <c r="A3552" s="1133"/>
      <c r="B3552" s="1136"/>
      <c r="C3552" s="1138"/>
    </row>
    <row r="3553" spans="1:3">
      <c r="A3553" s="1133"/>
      <c r="B3553" s="1136"/>
      <c r="C3553" s="1138"/>
    </row>
    <row r="3554" spans="1:3">
      <c r="A3554" s="1133"/>
      <c r="B3554" s="1136"/>
      <c r="C3554" s="1138"/>
    </row>
    <row r="3555" spans="1:3">
      <c r="A3555" s="1133"/>
      <c r="B3555" s="1136"/>
      <c r="C3555" s="1138"/>
    </row>
    <row r="3556" spans="1:3">
      <c r="A3556" s="1133"/>
      <c r="B3556" s="1136"/>
      <c r="C3556" s="1138"/>
    </row>
    <row r="3557" spans="1:3">
      <c r="A3557" s="1133"/>
      <c r="B3557" s="1136"/>
      <c r="C3557" s="1138"/>
    </row>
    <row r="3558" spans="1:3">
      <c r="A3558" s="1133"/>
      <c r="B3558" s="1136"/>
      <c r="C3558" s="1138"/>
    </row>
    <row r="3559" spans="1:3">
      <c r="A3559" s="1133"/>
      <c r="B3559" s="1136"/>
      <c r="C3559" s="1138"/>
    </row>
    <row r="3560" spans="1:3">
      <c r="A3560" s="1133"/>
      <c r="B3560" s="1136"/>
      <c r="C3560" s="1138"/>
    </row>
    <row r="3561" spans="1:3">
      <c r="A3561" s="1133"/>
      <c r="B3561" s="1136"/>
      <c r="C3561" s="1138"/>
    </row>
    <row r="3562" spans="1:3">
      <c r="A3562" s="1133"/>
      <c r="B3562" s="1136"/>
      <c r="C3562" s="1138"/>
    </row>
    <row r="3563" spans="1:3">
      <c r="A3563" s="1133"/>
      <c r="B3563" s="1136"/>
      <c r="C3563" s="1138"/>
    </row>
    <row r="3564" spans="1:3">
      <c r="A3564" s="1133"/>
      <c r="B3564" s="1136"/>
      <c r="C3564" s="1138"/>
    </row>
    <row r="3565" spans="1:3">
      <c r="A3565" s="1133"/>
      <c r="B3565" s="1136"/>
      <c r="C3565" s="1138"/>
    </row>
    <row r="3566" spans="1:3">
      <c r="A3566" s="1133"/>
      <c r="B3566" s="1136"/>
      <c r="C3566" s="1138"/>
    </row>
    <row r="3567" spans="1:3">
      <c r="A3567" s="1133"/>
      <c r="B3567" s="1136"/>
      <c r="C3567" s="1138"/>
    </row>
    <row r="3568" spans="1:3">
      <c r="A3568" s="1133"/>
      <c r="B3568" s="1136"/>
      <c r="C3568" s="1138"/>
    </row>
    <row r="3569" spans="1:3">
      <c r="A3569" s="1133"/>
      <c r="B3569" s="1136"/>
      <c r="C3569" s="1138"/>
    </row>
    <row r="3570" spans="1:3">
      <c r="A3570" s="1133"/>
      <c r="B3570" s="1136"/>
      <c r="C3570" s="1138"/>
    </row>
    <row r="3571" spans="1:3">
      <c r="A3571" s="1133"/>
      <c r="B3571" s="1136"/>
      <c r="C3571" s="1138"/>
    </row>
    <row r="3572" spans="1:3">
      <c r="A3572" s="1133"/>
      <c r="B3572" s="1136"/>
      <c r="C3572" s="1138"/>
    </row>
    <row r="3573" spans="1:3">
      <c r="A3573" s="1133"/>
      <c r="B3573" s="1136"/>
      <c r="C3573" s="1138"/>
    </row>
    <row r="3574" spans="1:3">
      <c r="A3574" s="1133"/>
      <c r="B3574" s="1136"/>
      <c r="C3574" s="1138"/>
    </row>
    <row r="3575" spans="1:3">
      <c r="A3575" s="1133"/>
      <c r="B3575" s="1136"/>
      <c r="C3575" s="1138"/>
    </row>
    <row r="3576" spans="1:3">
      <c r="A3576" s="1133"/>
      <c r="B3576" s="1136"/>
      <c r="C3576" s="1138"/>
    </row>
    <row r="3577" spans="1:3">
      <c r="A3577" s="1133"/>
      <c r="B3577" s="1136"/>
      <c r="C3577" s="1138"/>
    </row>
    <row r="3578" spans="1:3">
      <c r="A3578" s="1133"/>
      <c r="B3578" s="1136"/>
      <c r="C3578" s="1138"/>
    </row>
    <row r="3579" spans="1:3">
      <c r="A3579" s="1133"/>
      <c r="B3579" s="1136"/>
      <c r="C3579" s="1138"/>
    </row>
    <row r="3580" spans="1:3">
      <c r="A3580" s="1133"/>
      <c r="B3580" s="1136"/>
      <c r="C3580" s="1138"/>
    </row>
    <row r="3581" spans="1:3">
      <c r="A3581" s="1133"/>
      <c r="B3581" s="1136"/>
      <c r="C3581" s="1138"/>
    </row>
    <row r="3582" spans="1:3">
      <c r="A3582" s="1133"/>
      <c r="B3582" s="1136"/>
      <c r="C3582" s="1138"/>
    </row>
    <row r="3583" spans="1:3">
      <c r="A3583" s="1133"/>
      <c r="B3583" s="1136"/>
      <c r="C3583" s="1138"/>
    </row>
    <row r="3584" spans="1:3">
      <c r="A3584" s="1133"/>
      <c r="B3584" s="1136"/>
      <c r="C3584" s="1138"/>
    </row>
    <row r="3585" spans="1:3">
      <c r="A3585" s="1133"/>
      <c r="B3585" s="1136"/>
      <c r="C3585" s="1138"/>
    </row>
    <row r="3586" spans="1:3">
      <c r="A3586" s="1133"/>
      <c r="B3586" s="1136"/>
      <c r="C3586" s="1138"/>
    </row>
    <row r="3587" spans="1:3">
      <c r="A3587" s="1133"/>
      <c r="B3587" s="1136"/>
      <c r="C3587" s="1138"/>
    </row>
    <row r="3588" spans="1:3">
      <c r="A3588" s="1133"/>
      <c r="B3588" s="1136"/>
      <c r="C3588" s="1138"/>
    </row>
    <row r="3589" spans="1:3">
      <c r="A3589" s="1133"/>
      <c r="B3589" s="1136"/>
      <c r="C3589" s="1138"/>
    </row>
    <row r="3590" spans="1:3">
      <c r="A3590" s="1133"/>
      <c r="B3590" s="1136"/>
      <c r="C3590" s="1138"/>
    </row>
    <row r="3591" spans="1:3">
      <c r="A3591" s="1133"/>
      <c r="B3591" s="1136"/>
      <c r="C3591" s="1138"/>
    </row>
    <row r="3592" spans="1:3">
      <c r="A3592" s="1133"/>
      <c r="B3592" s="1136"/>
      <c r="C3592" s="1138"/>
    </row>
    <row r="3593" spans="1:3">
      <c r="A3593" s="1133"/>
      <c r="B3593" s="1136"/>
      <c r="C3593" s="1138"/>
    </row>
    <row r="3594" spans="1:3">
      <c r="A3594" s="1133"/>
      <c r="B3594" s="1136"/>
      <c r="C3594" s="1138"/>
    </row>
    <row r="3595" spans="1:3">
      <c r="A3595" s="1133"/>
      <c r="B3595" s="1136"/>
      <c r="C3595" s="1138"/>
    </row>
    <row r="3596" spans="1:3">
      <c r="A3596" s="1133"/>
      <c r="B3596" s="1136"/>
      <c r="C3596" s="1138"/>
    </row>
    <row r="3597" spans="1:3">
      <c r="A3597" s="1133"/>
      <c r="B3597" s="1136"/>
      <c r="C3597" s="1138"/>
    </row>
    <row r="3598" spans="1:3">
      <c r="A3598" s="1133"/>
      <c r="B3598" s="1136"/>
      <c r="C3598" s="1138"/>
    </row>
    <row r="3599" spans="1:3">
      <c r="A3599" s="1133"/>
      <c r="B3599" s="1136"/>
      <c r="C3599" s="1138"/>
    </row>
    <row r="3600" spans="1:3">
      <c r="A3600" s="1133"/>
      <c r="B3600" s="1136"/>
      <c r="C3600" s="1138"/>
    </row>
    <row r="3601" spans="1:3">
      <c r="A3601" s="1133"/>
      <c r="B3601" s="1136"/>
      <c r="C3601" s="1138"/>
    </row>
    <row r="3602" spans="1:3">
      <c r="A3602" s="1133"/>
      <c r="B3602" s="1136"/>
      <c r="C3602" s="1138"/>
    </row>
    <row r="3603" spans="1:3">
      <c r="A3603" s="1133"/>
      <c r="B3603" s="1136"/>
      <c r="C3603" s="1138"/>
    </row>
    <row r="3604" spans="1:3">
      <c r="A3604" s="1133"/>
      <c r="B3604" s="1136"/>
      <c r="C3604" s="1138"/>
    </row>
    <row r="3605" spans="1:3">
      <c r="A3605" s="1133"/>
      <c r="B3605" s="1136"/>
      <c r="C3605" s="1138"/>
    </row>
    <row r="3606" spans="1:3">
      <c r="A3606" s="1133"/>
      <c r="B3606" s="1136"/>
      <c r="C3606" s="1138"/>
    </row>
    <row r="3607" spans="1:3">
      <c r="A3607" s="1133"/>
      <c r="B3607" s="1136"/>
      <c r="C3607" s="1138"/>
    </row>
    <row r="3608" spans="1:3">
      <c r="A3608" s="1133"/>
      <c r="B3608" s="1136"/>
      <c r="C3608" s="1138"/>
    </row>
    <row r="3609" spans="1:3">
      <c r="A3609" s="1133"/>
      <c r="B3609" s="1136"/>
      <c r="C3609" s="1138"/>
    </row>
    <row r="3610" spans="1:3">
      <c r="A3610" s="1133"/>
      <c r="B3610" s="1136"/>
      <c r="C3610" s="1138"/>
    </row>
    <row r="3611" spans="1:3">
      <c r="A3611" s="1133"/>
      <c r="B3611" s="1136"/>
      <c r="C3611" s="1138"/>
    </row>
    <row r="3612" spans="1:3">
      <c r="A3612" s="1133"/>
      <c r="B3612" s="1136"/>
      <c r="C3612" s="1138"/>
    </row>
    <row r="3613" spans="1:3">
      <c r="A3613" s="1133"/>
      <c r="B3613" s="1136"/>
      <c r="C3613" s="1138"/>
    </row>
    <row r="3614" spans="1:3">
      <c r="A3614" s="1133"/>
      <c r="B3614" s="1136"/>
      <c r="C3614" s="1138"/>
    </row>
    <row r="3615" spans="1:3">
      <c r="A3615" s="1133"/>
      <c r="B3615" s="1136"/>
      <c r="C3615" s="1138"/>
    </row>
    <row r="3616" spans="1:3">
      <c r="A3616" s="1133"/>
      <c r="B3616" s="1136"/>
      <c r="C3616" s="1138"/>
    </row>
    <row r="3617" spans="1:3">
      <c r="A3617" s="1133"/>
      <c r="B3617" s="1136"/>
      <c r="C3617" s="1138"/>
    </row>
    <row r="3618" spans="1:3">
      <c r="A3618" s="1133"/>
      <c r="B3618" s="1136"/>
      <c r="C3618" s="1138"/>
    </row>
    <row r="3619" spans="1:3">
      <c r="A3619" s="1133"/>
      <c r="B3619" s="1136"/>
      <c r="C3619" s="1138"/>
    </row>
    <row r="3620" spans="1:3">
      <c r="A3620" s="1133"/>
      <c r="B3620" s="1136"/>
      <c r="C3620" s="1138"/>
    </row>
    <row r="3621" spans="1:3">
      <c r="A3621" s="1133"/>
      <c r="B3621" s="1136"/>
      <c r="C3621" s="1138"/>
    </row>
    <row r="3622" spans="1:3">
      <c r="A3622" s="1133"/>
      <c r="B3622" s="1136"/>
      <c r="C3622" s="1138"/>
    </row>
    <row r="3623" spans="1:3">
      <c r="A3623" s="1133"/>
      <c r="B3623" s="1136"/>
      <c r="C3623" s="1138"/>
    </row>
    <row r="3624" spans="1:3">
      <c r="A3624" s="1133"/>
      <c r="B3624" s="1136"/>
      <c r="C3624" s="1138"/>
    </row>
    <row r="3625" spans="1:3">
      <c r="A3625" s="1133"/>
      <c r="B3625" s="1136"/>
      <c r="C3625" s="1138"/>
    </row>
    <row r="3626" spans="1:3">
      <c r="A3626" s="1133"/>
      <c r="B3626" s="1136"/>
      <c r="C3626" s="1138"/>
    </row>
    <row r="3627" spans="1:3">
      <c r="A3627" s="1133"/>
      <c r="B3627" s="1136"/>
      <c r="C3627" s="1138"/>
    </row>
    <row r="3628" spans="1:3">
      <c r="A3628" s="1133"/>
      <c r="B3628" s="1136"/>
      <c r="C3628" s="1138"/>
    </row>
    <row r="3629" spans="1:3">
      <c r="A3629" s="1133"/>
      <c r="B3629" s="1136"/>
      <c r="C3629" s="1138"/>
    </row>
    <row r="3630" spans="1:3">
      <c r="A3630" s="1133"/>
      <c r="B3630" s="1136"/>
      <c r="C3630" s="1138"/>
    </row>
    <row r="3631" spans="1:3">
      <c r="A3631" s="1133"/>
      <c r="B3631" s="1136"/>
      <c r="C3631" s="1138"/>
    </row>
    <row r="3632" spans="1:3">
      <c r="A3632" s="1133"/>
      <c r="B3632" s="1136"/>
      <c r="C3632" s="1138"/>
    </row>
    <row r="3633" spans="1:3">
      <c r="A3633" s="1133"/>
      <c r="B3633" s="1136"/>
      <c r="C3633" s="1138"/>
    </row>
    <row r="3634" spans="1:3">
      <c r="A3634" s="1133"/>
      <c r="B3634" s="1136"/>
      <c r="C3634" s="1138"/>
    </row>
    <row r="3635" spans="1:3">
      <c r="A3635" s="1133"/>
      <c r="B3635" s="1136"/>
      <c r="C3635" s="1138"/>
    </row>
    <row r="3636" spans="1:3">
      <c r="A3636" s="1133"/>
      <c r="B3636" s="1136"/>
      <c r="C3636" s="1138"/>
    </row>
    <row r="3637" spans="1:3">
      <c r="A3637" s="1133"/>
      <c r="B3637" s="1136"/>
      <c r="C3637" s="1138"/>
    </row>
    <row r="3638" spans="1:3">
      <c r="A3638" s="1133"/>
      <c r="B3638" s="1136"/>
      <c r="C3638" s="1138"/>
    </row>
    <row r="3639" spans="1:3">
      <c r="A3639" s="1133"/>
      <c r="B3639" s="1136"/>
      <c r="C3639" s="1138"/>
    </row>
    <row r="3640" spans="1:3">
      <c r="A3640" s="1133"/>
      <c r="B3640" s="1136"/>
      <c r="C3640" s="1138"/>
    </row>
    <row r="3641" spans="1:3">
      <c r="A3641" s="1133"/>
      <c r="B3641" s="1136"/>
      <c r="C3641" s="1138"/>
    </row>
    <row r="3642" spans="1:3">
      <c r="A3642" s="1133"/>
      <c r="B3642" s="1136"/>
      <c r="C3642" s="1138"/>
    </row>
    <row r="3643" spans="1:3">
      <c r="A3643" s="1133"/>
      <c r="B3643" s="1136"/>
      <c r="C3643" s="1138"/>
    </row>
    <row r="3644" spans="1:3">
      <c r="A3644" s="1133"/>
      <c r="B3644" s="1136"/>
      <c r="C3644" s="1138"/>
    </row>
    <row r="3645" spans="1:3">
      <c r="A3645" s="1133"/>
      <c r="B3645" s="1136"/>
      <c r="C3645" s="1138"/>
    </row>
    <row r="3646" spans="1:3">
      <c r="A3646" s="1133"/>
      <c r="B3646" s="1136"/>
      <c r="C3646" s="1138"/>
    </row>
    <row r="3647" spans="1:3">
      <c r="A3647" s="1133"/>
      <c r="B3647" s="1136"/>
      <c r="C3647" s="1138"/>
    </row>
    <row r="3648" spans="1:3">
      <c r="A3648" s="1133"/>
      <c r="B3648" s="1136"/>
      <c r="C3648" s="1138"/>
    </row>
    <row r="3649" spans="1:3">
      <c r="A3649" s="1133"/>
      <c r="B3649" s="1136"/>
      <c r="C3649" s="1138"/>
    </row>
    <row r="3650" spans="1:3">
      <c r="A3650" s="1133"/>
      <c r="B3650" s="1136"/>
      <c r="C3650" s="1138"/>
    </row>
    <row r="3651" spans="1:3">
      <c r="A3651" s="1133"/>
      <c r="B3651" s="1136"/>
      <c r="C3651" s="1138"/>
    </row>
    <row r="3652" spans="1:3">
      <c r="A3652" s="1133"/>
      <c r="B3652" s="1136"/>
      <c r="C3652" s="1138"/>
    </row>
    <row r="3653" spans="1:3">
      <c r="A3653" s="1133"/>
      <c r="B3653" s="1136"/>
      <c r="C3653" s="1138"/>
    </row>
    <row r="3654" spans="1:3">
      <c r="A3654" s="1133"/>
      <c r="B3654" s="1136"/>
      <c r="C3654" s="1138"/>
    </row>
    <row r="3655" spans="1:3">
      <c r="A3655" s="1133"/>
      <c r="B3655" s="1136"/>
      <c r="C3655" s="1138"/>
    </row>
    <row r="3656" spans="1:3">
      <c r="A3656" s="1133"/>
      <c r="B3656" s="1136"/>
      <c r="C3656" s="1138"/>
    </row>
    <row r="3657" spans="1:3">
      <c r="A3657" s="1133"/>
      <c r="B3657" s="1136"/>
      <c r="C3657" s="1138"/>
    </row>
    <row r="3658" spans="1:3">
      <c r="A3658" s="1133"/>
      <c r="B3658" s="1136"/>
      <c r="C3658" s="1138"/>
    </row>
    <row r="3659" spans="1:3">
      <c r="A3659" s="1133"/>
      <c r="B3659" s="1136"/>
      <c r="C3659" s="1138"/>
    </row>
    <row r="3660" spans="1:3">
      <c r="A3660" s="1133"/>
      <c r="B3660" s="1136"/>
      <c r="C3660" s="1138"/>
    </row>
    <row r="3661" spans="1:3">
      <c r="A3661" s="1133"/>
      <c r="B3661" s="1136"/>
      <c r="C3661" s="1138"/>
    </row>
    <row r="3662" spans="1:3">
      <c r="A3662" s="1133"/>
      <c r="B3662" s="1136"/>
      <c r="C3662" s="1138"/>
    </row>
    <row r="3663" spans="1:3">
      <c r="A3663" s="1133"/>
      <c r="B3663" s="1136"/>
      <c r="C3663" s="1138"/>
    </row>
    <row r="3664" spans="1:3">
      <c r="A3664" s="1133"/>
      <c r="B3664" s="1136"/>
      <c r="C3664" s="1138"/>
    </row>
    <row r="3665" spans="1:3">
      <c r="A3665" s="1133"/>
      <c r="B3665" s="1136"/>
      <c r="C3665" s="1138"/>
    </row>
    <row r="3666" spans="1:3">
      <c r="A3666" s="1133"/>
      <c r="B3666" s="1136"/>
      <c r="C3666" s="1138"/>
    </row>
    <row r="3667" spans="1:3">
      <c r="A3667" s="1133"/>
      <c r="B3667" s="1136"/>
      <c r="C3667" s="1138"/>
    </row>
    <row r="3668" spans="1:3">
      <c r="A3668" s="1133"/>
      <c r="B3668" s="1136"/>
      <c r="C3668" s="1138"/>
    </row>
    <row r="3669" spans="1:3">
      <c r="A3669" s="1133"/>
      <c r="B3669" s="1136"/>
      <c r="C3669" s="1138"/>
    </row>
    <row r="3670" spans="1:3">
      <c r="A3670" s="1133"/>
      <c r="B3670" s="1136"/>
      <c r="C3670" s="1138"/>
    </row>
    <row r="3671" spans="1:3">
      <c r="A3671" s="1133"/>
      <c r="B3671" s="1136"/>
      <c r="C3671" s="1138"/>
    </row>
    <row r="3672" spans="1:3">
      <c r="A3672" s="1133"/>
      <c r="B3672" s="1136"/>
      <c r="C3672" s="1138"/>
    </row>
    <row r="3673" spans="1:3">
      <c r="A3673" s="1133"/>
      <c r="B3673" s="1136"/>
      <c r="C3673" s="1138"/>
    </row>
    <row r="3674" spans="1:3">
      <c r="A3674" s="1133"/>
      <c r="B3674" s="1136"/>
      <c r="C3674" s="1138"/>
    </row>
    <row r="3675" spans="1:3">
      <c r="A3675" s="1133"/>
      <c r="B3675" s="1136"/>
      <c r="C3675" s="1138"/>
    </row>
    <row r="3676" spans="1:3">
      <c r="A3676" s="1133"/>
      <c r="B3676" s="1136"/>
      <c r="C3676" s="1138"/>
    </row>
    <row r="3677" spans="1:3">
      <c r="A3677" s="1133"/>
      <c r="B3677" s="1136"/>
      <c r="C3677" s="1138"/>
    </row>
    <row r="3678" spans="1:3">
      <c r="A3678" s="1133"/>
      <c r="B3678" s="1136"/>
      <c r="C3678" s="1138"/>
    </row>
    <row r="3679" spans="1:3">
      <c r="A3679" s="1133"/>
      <c r="B3679" s="1136"/>
      <c r="C3679" s="1138"/>
    </row>
    <row r="3680" spans="1:3">
      <c r="A3680" s="1133"/>
      <c r="B3680" s="1136"/>
      <c r="C3680" s="1138"/>
    </row>
    <row r="3681" spans="1:3">
      <c r="A3681" s="1133"/>
      <c r="B3681" s="1136"/>
      <c r="C3681" s="1138"/>
    </row>
    <row r="3682" spans="1:3">
      <c r="A3682" s="1133"/>
      <c r="B3682" s="1136"/>
      <c r="C3682" s="1138"/>
    </row>
    <row r="3683" spans="1:3">
      <c r="A3683" s="1133"/>
      <c r="B3683" s="1136"/>
      <c r="C3683" s="1138"/>
    </row>
    <row r="3684" spans="1:3">
      <c r="A3684" s="1133"/>
      <c r="B3684" s="1136"/>
      <c r="C3684" s="1138"/>
    </row>
    <row r="3685" spans="1:3">
      <c r="A3685" s="1133"/>
      <c r="B3685" s="1136"/>
      <c r="C3685" s="1138"/>
    </row>
    <row r="3686" spans="1:3">
      <c r="A3686" s="1133"/>
      <c r="B3686" s="1136"/>
      <c r="C3686" s="1138"/>
    </row>
    <row r="3687" spans="1:3">
      <c r="A3687" s="1133"/>
      <c r="B3687" s="1136"/>
      <c r="C3687" s="1138"/>
    </row>
    <row r="3688" spans="1:3">
      <c r="A3688" s="1133"/>
      <c r="B3688" s="1136"/>
      <c r="C3688" s="1138"/>
    </row>
    <row r="3689" spans="1:3">
      <c r="A3689" s="1133"/>
      <c r="B3689" s="1136"/>
      <c r="C3689" s="1138"/>
    </row>
    <row r="3690" spans="1:3">
      <c r="A3690" s="1133"/>
      <c r="B3690" s="1136"/>
      <c r="C3690" s="1138"/>
    </row>
    <row r="3691" spans="1:3">
      <c r="A3691" s="1133"/>
      <c r="B3691" s="1136"/>
      <c r="C3691" s="1138"/>
    </row>
    <row r="3692" spans="1:3">
      <c r="A3692" s="1133"/>
      <c r="B3692" s="1136"/>
      <c r="C3692" s="1138"/>
    </row>
    <row r="3693" spans="1:3">
      <c r="A3693" s="1133"/>
      <c r="B3693" s="1136"/>
      <c r="C3693" s="1138"/>
    </row>
    <row r="3694" spans="1:3">
      <c r="A3694" s="1133"/>
      <c r="B3694" s="1136"/>
      <c r="C3694" s="1138"/>
    </row>
    <row r="3695" spans="1:3">
      <c r="A3695" s="1133"/>
      <c r="B3695" s="1136"/>
      <c r="C3695" s="1138"/>
    </row>
    <row r="3696" spans="1:3">
      <c r="A3696" s="1133"/>
      <c r="B3696" s="1136"/>
      <c r="C3696" s="1138"/>
    </row>
    <row r="3697" spans="1:3">
      <c r="A3697" s="1133"/>
      <c r="B3697" s="1136"/>
      <c r="C3697" s="1138"/>
    </row>
    <row r="3698" spans="1:3">
      <c r="A3698" s="1133"/>
      <c r="B3698" s="1136"/>
      <c r="C3698" s="1138"/>
    </row>
    <row r="3699" spans="1:3">
      <c r="A3699" s="1133"/>
      <c r="B3699" s="1136"/>
      <c r="C3699" s="1138"/>
    </row>
    <row r="3700" spans="1:3">
      <c r="A3700" s="1133"/>
      <c r="B3700" s="1136"/>
      <c r="C3700" s="1138"/>
    </row>
    <row r="3701" spans="1:3">
      <c r="A3701" s="1133"/>
      <c r="B3701" s="1136"/>
      <c r="C3701" s="1138"/>
    </row>
    <row r="3702" spans="1:3">
      <c r="A3702" s="1133"/>
      <c r="B3702" s="1136"/>
      <c r="C3702" s="1138"/>
    </row>
    <row r="3703" spans="1:3">
      <c r="A3703" s="1133"/>
      <c r="B3703" s="1136"/>
      <c r="C3703" s="1138"/>
    </row>
    <row r="3704" spans="1:3">
      <c r="A3704" s="1133"/>
      <c r="B3704" s="1136"/>
      <c r="C3704" s="1138"/>
    </row>
    <row r="3705" spans="1:3">
      <c r="A3705" s="1133"/>
      <c r="B3705" s="1136"/>
      <c r="C3705" s="1138"/>
    </row>
    <row r="3706" spans="1:3">
      <c r="A3706" s="1133"/>
      <c r="B3706" s="1136"/>
      <c r="C3706" s="1138"/>
    </row>
    <row r="3707" spans="1:3">
      <c r="A3707" s="1133"/>
      <c r="B3707" s="1136"/>
      <c r="C3707" s="1138"/>
    </row>
    <row r="3708" spans="1:3">
      <c r="A3708" s="1133"/>
      <c r="B3708" s="1136"/>
      <c r="C3708" s="1138"/>
    </row>
    <row r="3709" spans="1:3">
      <c r="A3709" s="1133"/>
      <c r="B3709" s="1136"/>
      <c r="C3709" s="1138"/>
    </row>
    <row r="3710" spans="1:3">
      <c r="A3710" s="1133"/>
      <c r="B3710" s="1136"/>
      <c r="C3710" s="1138"/>
    </row>
    <row r="3711" spans="1:3">
      <c r="A3711" s="1133"/>
      <c r="B3711" s="1136"/>
      <c r="C3711" s="1138"/>
    </row>
    <row r="3712" spans="1:3">
      <c r="A3712" s="1133"/>
      <c r="B3712" s="1136"/>
      <c r="C3712" s="1138"/>
    </row>
    <row r="3713" spans="1:3">
      <c r="A3713" s="1133"/>
      <c r="B3713" s="1136"/>
      <c r="C3713" s="1138"/>
    </row>
    <row r="3714" spans="1:3">
      <c r="A3714" s="1133"/>
      <c r="B3714" s="1136"/>
      <c r="C3714" s="1138"/>
    </row>
    <row r="3715" spans="1:3">
      <c r="A3715" s="1133"/>
      <c r="B3715" s="1136"/>
      <c r="C3715" s="1138"/>
    </row>
    <row r="3716" spans="1:3">
      <c r="A3716" s="1133"/>
      <c r="B3716" s="1136"/>
      <c r="C3716" s="1138"/>
    </row>
    <row r="3717" spans="1:3">
      <c r="A3717" s="1133"/>
      <c r="B3717" s="1136"/>
      <c r="C3717" s="1138"/>
    </row>
    <row r="3718" spans="1:3">
      <c r="A3718" s="1133"/>
      <c r="B3718" s="1136"/>
      <c r="C3718" s="1138"/>
    </row>
    <row r="3719" spans="1:3">
      <c r="A3719" s="1133"/>
      <c r="B3719" s="1136"/>
      <c r="C3719" s="1138"/>
    </row>
    <row r="3720" spans="1:3">
      <c r="A3720" s="1133"/>
      <c r="B3720" s="1136"/>
      <c r="C3720" s="1138"/>
    </row>
    <row r="3721" spans="1:3">
      <c r="A3721" s="1133"/>
      <c r="B3721" s="1136"/>
      <c r="C3721" s="1138"/>
    </row>
    <row r="3722" spans="1:3">
      <c r="A3722" s="1133"/>
      <c r="B3722" s="1136"/>
      <c r="C3722" s="1138"/>
    </row>
    <row r="3723" spans="1:3">
      <c r="A3723" s="1133"/>
      <c r="B3723" s="1136"/>
      <c r="C3723" s="1138"/>
    </row>
    <row r="3724" spans="1:3">
      <c r="A3724" s="1133"/>
      <c r="B3724" s="1136"/>
      <c r="C3724" s="1138"/>
    </row>
    <row r="3725" spans="1:3">
      <c r="A3725" s="1133"/>
      <c r="B3725" s="1136"/>
      <c r="C3725" s="1138"/>
    </row>
    <row r="3726" spans="1:3">
      <c r="A3726" s="1133"/>
      <c r="B3726" s="1136"/>
      <c r="C3726" s="1138"/>
    </row>
    <row r="3727" spans="1:3">
      <c r="A3727" s="1133"/>
      <c r="B3727" s="1136"/>
      <c r="C3727" s="1138"/>
    </row>
    <row r="3728" spans="1:3">
      <c r="A3728" s="1133"/>
      <c r="B3728" s="1136"/>
      <c r="C3728" s="1138"/>
    </row>
    <row r="3729" spans="1:3">
      <c r="A3729" s="1133"/>
      <c r="B3729" s="1136"/>
      <c r="C3729" s="1138"/>
    </row>
    <row r="3730" spans="1:3">
      <c r="A3730" s="1133"/>
      <c r="B3730" s="1136"/>
      <c r="C3730" s="1138"/>
    </row>
    <row r="3731" spans="1:3">
      <c r="A3731" s="1133"/>
      <c r="B3731" s="1136"/>
      <c r="C3731" s="1138"/>
    </row>
    <row r="3732" spans="1:3">
      <c r="A3732" s="1133"/>
      <c r="B3732" s="1136"/>
      <c r="C3732" s="1138"/>
    </row>
    <row r="3733" spans="1:3">
      <c r="A3733" s="1133"/>
      <c r="B3733" s="1136"/>
      <c r="C3733" s="1138"/>
    </row>
    <row r="3734" spans="1:3">
      <c r="A3734" s="1133"/>
      <c r="B3734" s="1136"/>
      <c r="C3734" s="1138"/>
    </row>
    <row r="3735" spans="1:3">
      <c r="A3735" s="1133"/>
      <c r="B3735" s="1136"/>
      <c r="C3735" s="1138"/>
    </row>
    <row r="3736" spans="1:3">
      <c r="A3736" s="1133"/>
      <c r="B3736" s="1136"/>
      <c r="C3736" s="1138"/>
    </row>
    <row r="3737" spans="1:3">
      <c r="A3737" s="1133"/>
      <c r="B3737" s="1136"/>
      <c r="C3737" s="1138"/>
    </row>
    <row r="3738" spans="1:3">
      <c r="A3738" s="1133"/>
      <c r="B3738" s="1136"/>
      <c r="C3738" s="1138"/>
    </row>
    <row r="3739" spans="1:3">
      <c r="A3739" s="1133"/>
      <c r="B3739" s="1136"/>
      <c r="C3739" s="1138"/>
    </row>
    <row r="3740" spans="1:3">
      <c r="A3740" s="1133"/>
      <c r="B3740" s="1136"/>
      <c r="C3740" s="1138"/>
    </row>
    <row r="3741" spans="1:3">
      <c r="A3741" s="1133"/>
      <c r="B3741" s="1136"/>
      <c r="C3741" s="1138"/>
    </row>
    <row r="3742" spans="1:3">
      <c r="A3742" s="1133"/>
      <c r="B3742" s="1136"/>
      <c r="C3742" s="1138"/>
    </row>
    <row r="3743" spans="1:3">
      <c r="A3743" s="1133"/>
      <c r="B3743" s="1136"/>
      <c r="C3743" s="1138"/>
    </row>
    <row r="3744" spans="1:3">
      <c r="A3744" s="1133"/>
      <c r="B3744" s="1136"/>
      <c r="C3744" s="1138"/>
    </row>
    <row r="3745" spans="1:3">
      <c r="A3745" s="1133"/>
      <c r="B3745" s="1136"/>
      <c r="C3745" s="1138"/>
    </row>
    <row r="3746" spans="1:3">
      <c r="A3746" s="1133"/>
      <c r="B3746" s="1136"/>
      <c r="C3746" s="1138"/>
    </row>
    <row r="3747" spans="1:3">
      <c r="A3747" s="1133"/>
      <c r="B3747" s="1136"/>
      <c r="C3747" s="1138"/>
    </row>
    <row r="3748" spans="1:3">
      <c r="A3748" s="1133"/>
      <c r="B3748" s="1136"/>
      <c r="C3748" s="1138"/>
    </row>
    <row r="3749" spans="1:3">
      <c r="A3749" s="1133"/>
      <c r="B3749" s="1136"/>
      <c r="C3749" s="1138"/>
    </row>
    <row r="3750" spans="1:3">
      <c r="A3750" s="1133"/>
      <c r="B3750" s="1136"/>
      <c r="C3750" s="1138"/>
    </row>
    <row r="3751" spans="1:3">
      <c r="A3751" s="1133"/>
      <c r="B3751" s="1136"/>
      <c r="C3751" s="1138"/>
    </row>
    <row r="3752" spans="1:3">
      <c r="A3752" s="1133"/>
      <c r="B3752" s="1136"/>
      <c r="C3752" s="1138"/>
    </row>
    <row r="3753" spans="1:3">
      <c r="A3753" s="1133"/>
      <c r="B3753" s="1136"/>
      <c r="C3753" s="1138"/>
    </row>
    <row r="3754" spans="1:3">
      <c r="A3754" s="1133"/>
      <c r="B3754" s="1136"/>
      <c r="C3754" s="1138"/>
    </row>
    <row r="3755" spans="1:3">
      <c r="A3755" s="1133"/>
      <c r="B3755" s="1136"/>
      <c r="C3755" s="1138"/>
    </row>
    <row r="3756" spans="1:3">
      <c r="A3756" s="1133"/>
      <c r="B3756" s="1136"/>
      <c r="C3756" s="1138"/>
    </row>
    <row r="3757" spans="1:3">
      <c r="A3757" s="1133"/>
      <c r="B3757" s="1136"/>
      <c r="C3757" s="1138"/>
    </row>
    <row r="3758" spans="1:3">
      <c r="A3758" s="1133"/>
      <c r="B3758" s="1136"/>
      <c r="C3758" s="1138"/>
    </row>
    <row r="3759" spans="1:3">
      <c r="A3759" s="1133"/>
      <c r="B3759" s="1136"/>
      <c r="C3759" s="1138"/>
    </row>
    <row r="3760" spans="1:3">
      <c r="A3760" s="1133"/>
      <c r="B3760" s="1136"/>
      <c r="C3760" s="1138"/>
    </row>
    <row r="3761" spans="1:3">
      <c r="A3761" s="1133"/>
      <c r="B3761" s="1136"/>
      <c r="C3761" s="1138"/>
    </row>
    <row r="3762" spans="1:3">
      <c r="A3762" s="1133"/>
      <c r="B3762" s="1136"/>
      <c r="C3762" s="1138"/>
    </row>
    <row r="3763" spans="1:3">
      <c r="A3763" s="1133"/>
      <c r="B3763" s="1136"/>
      <c r="C3763" s="1138"/>
    </row>
    <row r="3764" spans="1:3">
      <c r="A3764" s="1133"/>
      <c r="B3764" s="1136"/>
      <c r="C3764" s="1138"/>
    </row>
    <row r="3765" spans="1:3">
      <c r="A3765" s="1133"/>
      <c r="B3765" s="1136"/>
      <c r="C3765" s="1138"/>
    </row>
    <row r="3766" spans="1:3">
      <c r="A3766" s="1133"/>
      <c r="B3766" s="1136"/>
      <c r="C3766" s="1138"/>
    </row>
    <row r="3767" spans="1:3">
      <c r="A3767" s="1133"/>
      <c r="B3767" s="1136"/>
      <c r="C3767" s="1138"/>
    </row>
    <row r="3768" spans="1:3">
      <c r="A3768" s="1133"/>
      <c r="B3768" s="1136"/>
      <c r="C3768" s="1138"/>
    </row>
    <row r="3769" spans="1:3">
      <c r="A3769" s="1133"/>
      <c r="B3769" s="1136"/>
      <c r="C3769" s="1138"/>
    </row>
    <row r="3770" spans="1:3">
      <c r="A3770" s="1133"/>
      <c r="B3770" s="1136"/>
      <c r="C3770" s="1138"/>
    </row>
    <row r="3771" spans="1:3">
      <c r="A3771" s="1133"/>
      <c r="B3771" s="1136"/>
      <c r="C3771" s="1138"/>
    </row>
    <row r="3772" spans="1:3">
      <c r="A3772" s="1133"/>
      <c r="B3772" s="1136"/>
      <c r="C3772" s="1138"/>
    </row>
    <row r="3773" spans="1:3">
      <c r="A3773" s="1133"/>
      <c r="B3773" s="1136"/>
      <c r="C3773" s="1138"/>
    </row>
    <row r="3774" spans="1:3">
      <c r="A3774" s="1133"/>
      <c r="B3774" s="1136"/>
      <c r="C3774" s="1138"/>
    </row>
    <row r="3775" spans="1:3">
      <c r="A3775" s="1133"/>
      <c r="B3775" s="1136"/>
      <c r="C3775" s="1138"/>
    </row>
    <row r="3776" spans="1:3">
      <c r="A3776" s="1133"/>
      <c r="B3776" s="1136"/>
      <c r="C3776" s="1138"/>
    </row>
    <row r="3777" spans="1:3">
      <c r="A3777" s="1133"/>
      <c r="B3777" s="1136"/>
      <c r="C3777" s="1138"/>
    </row>
    <row r="3778" spans="1:3">
      <c r="A3778" s="1133"/>
      <c r="B3778" s="1136"/>
      <c r="C3778" s="1138"/>
    </row>
    <row r="3779" spans="1:3">
      <c r="A3779" s="1133"/>
      <c r="B3779" s="1136"/>
      <c r="C3779" s="1138"/>
    </row>
    <row r="3780" spans="1:3">
      <c r="A3780" s="1133"/>
      <c r="B3780" s="1136"/>
      <c r="C3780" s="1138"/>
    </row>
    <row r="3781" spans="1:3">
      <c r="A3781" s="1133"/>
      <c r="B3781" s="1136"/>
      <c r="C3781" s="1138"/>
    </row>
    <row r="3782" spans="1:3">
      <c r="A3782" s="1133"/>
      <c r="B3782" s="1136"/>
      <c r="C3782" s="1138"/>
    </row>
    <row r="3783" spans="1:3">
      <c r="A3783" s="1133"/>
      <c r="B3783" s="1136"/>
      <c r="C3783" s="1138"/>
    </row>
    <row r="3784" spans="1:3">
      <c r="A3784" s="1133"/>
      <c r="B3784" s="1136"/>
      <c r="C3784" s="1138"/>
    </row>
    <row r="3785" spans="1:3">
      <c r="A3785" s="1133"/>
      <c r="B3785" s="1136"/>
      <c r="C3785" s="1138"/>
    </row>
    <row r="3786" spans="1:3">
      <c r="A3786" s="1133"/>
      <c r="B3786" s="1136"/>
      <c r="C3786" s="1138"/>
    </row>
    <row r="3787" spans="1:3">
      <c r="A3787" s="1133"/>
      <c r="B3787" s="1136"/>
      <c r="C3787" s="1138"/>
    </row>
    <row r="3788" spans="1:3">
      <c r="A3788" s="1133"/>
      <c r="B3788" s="1136"/>
      <c r="C3788" s="1138"/>
    </row>
    <row r="3789" spans="1:3">
      <c r="A3789" s="1133"/>
      <c r="B3789" s="1136"/>
      <c r="C3789" s="1138"/>
    </row>
    <row r="3790" spans="1:3">
      <c r="A3790" s="1133"/>
      <c r="B3790" s="1136"/>
      <c r="C3790" s="1138"/>
    </row>
    <row r="3791" spans="1:3">
      <c r="A3791" s="1133"/>
      <c r="B3791" s="1136"/>
      <c r="C3791" s="1138"/>
    </row>
    <row r="3792" spans="1:3">
      <c r="A3792" s="1133"/>
      <c r="B3792" s="1136"/>
      <c r="C3792" s="1138"/>
    </row>
    <row r="3793" spans="1:3">
      <c r="A3793" s="1133"/>
      <c r="B3793" s="1136"/>
      <c r="C3793" s="1138"/>
    </row>
    <row r="3794" spans="1:3">
      <c r="A3794" s="1133"/>
      <c r="B3794" s="1136"/>
      <c r="C3794" s="1138"/>
    </row>
    <row r="3795" spans="1:3">
      <c r="A3795" s="1133"/>
      <c r="B3795" s="1136"/>
      <c r="C3795" s="1138"/>
    </row>
    <row r="3796" spans="1:3">
      <c r="A3796" s="1133"/>
      <c r="B3796" s="1136"/>
      <c r="C3796" s="1138"/>
    </row>
    <row r="3797" spans="1:3">
      <c r="A3797" s="1133"/>
      <c r="B3797" s="1136"/>
      <c r="C3797" s="1138"/>
    </row>
    <row r="3798" spans="1:3">
      <c r="A3798" s="1133"/>
      <c r="B3798" s="1136"/>
      <c r="C3798" s="1138"/>
    </row>
    <row r="3799" spans="1:3">
      <c r="A3799" s="1133"/>
      <c r="B3799" s="1136"/>
      <c r="C3799" s="1138"/>
    </row>
    <row r="3800" spans="1:3">
      <c r="A3800" s="1133"/>
      <c r="B3800" s="1136"/>
      <c r="C3800" s="1138"/>
    </row>
    <row r="3801" spans="1:3">
      <c r="A3801" s="1133"/>
      <c r="B3801" s="1136"/>
      <c r="C3801" s="1138"/>
    </row>
    <row r="3802" spans="1:3">
      <c r="A3802" s="1133"/>
      <c r="B3802" s="1136"/>
      <c r="C3802" s="1138"/>
    </row>
    <row r="3803" spans="1:3">
      <c r="A3803" s="1133"/>
      <c r="B3803" s="1136"/>
      <c r="C3803" s="1138"/>
    </row>
    <row r="3804" spans="1:3">
      <c r="A3804" s="1133"/>
      <c r="B3804" s="1136"/>
      <c r="C3804" s="1138"/>
    </row>
    <row r="3805" spans="1:3">
      <c r="A3805" s="1133"/>
      <c r="B3805" s="1136"/>
      <c r="C3805" s="1138"/>
    </row>
    <row r="3806" spans="1:3">
      <c r="A3806" s="1133"/>
      <c r="B3806" s="1136"/>
      <c r="C3806" s="1138"/>
    </row>
    <row r="3807" spans="1:3">
      <c r="A3807" s="1133"/>
      <c r="B3807" s="1136"/>
      <c r="C3807" s="1138"/>
    </row>
    <row r="3808" spans="1:3">
      <c r="A3808" s="1133"/>
      <c r="B3808" s="1136"/>
      <c r="C3808" s="1138"/>
    </row>
    <row r="3809" spans="1:3">
      <c r="A3809" s="1133"/>
      <c r="B3809" s="1136"/>
      <c r="C3809" s="1138"/>
    </row>
    <row r="3810" spans="1:3">
      <c r="A3810" s="1133"/>
      <c r="B3810" s="1136"/>
      <c r="C3810" s="1138"/>
    </row>
    <row r="3811" spans="1:3">
      <c r="A3811" s="1133"/>
      <c r="B3811" s="1136"/>
      <c r="C3811" s="1138"/>
    </row>
    <row r="3812" spans="1:3">
      <c r="A3812" s="1133"/>
      <c r="B3812" s="1136"/>
      <c r="C3812" s="1138"/>
    </row>
    <row r="3813" spans="1:3">
      <c r="A3813" s="1133"/>
      <c r="B3813" s="1136"/>
      <c r="C3813" s="1138"/>
    </row>
    <row r="3814" spans="1:3">
      <c r="A3814" s="1133"/>
      <c r="B3814" s="1136"/>
      <c r="C3814" s="1138"/>
    </row>
    <row r="3815" spans="1:3">
      <c r="A3815" s="1133"/>
      <c r="B3815" s="1136"/>
      <c r="C3815" s="1138"/>
    </row>
    <row r="3816" spans="1:3">
      <c r="A3816" s="1133"/>
      <c r="B3816" s="1136"/>
      <c r="C3816" s="1138"/>
    </row>
    <row r="3817" spans="1:3">
      <c r="A3817" s="1133"/>
      <c r="B3817" s="1136"/>
      <c r="C3817" s="1138"/>
    </row>
    <row r="3818" spans="1:3">
      <c r="A3818" s="1133"/>
      <c r="B3818" s="1136"/>
      <c r="C3818" s="1138"/>
    </row>
    <row r="3819" spans="1:3">
      <c r="A3819" s="1133"/>
      <c r="B3819" s="1136"/>
      <c r="C3819" s="1138"/>
    </row>
    <row r="3820" spans="1:3">
      <c r="A3820" s="1133"/>
      <c r="B3820" s="1136"/>
      <c r="C3820" s="1138"/>
    </row>
    <row r="3821" spans="1:3">
      <c r="A3821" s="1133"/>
      <c r="B3821" s="1136"/>
      <c r="C3821" s="1138"/>
    </row>
    <row r="3822" spans="1:3">
      <c r="A3822" s="1133"/>
      <c r="B3822" s="1136"/>
      <c r="C3822" s="1138"/>
    </row>
    <row r="3823" spans="1:3">
      <c r="A3823" s="1133"/>
      <c r="B3823" s="1136"/>
      <c r="C3823" s="1138"/>
    </row>
    <row r="3824" spans="1:3">
      <c r="A3824" s="1133"/>
      <c r="B3824" s="1136"/>
      <c r="C3824" s="1138"/>
    </row>
    <row r="3825" spans="1:3">
      <c r="A3825" s="1133"/>
      <c r="B3825" s="1136"/>
      <c r="C3825" s="1138"/>
    </row>
    <row r="3826" spans="1:3">
      <c r="A3826" s="1133"/>
      <c r="B3826" s="1136"/>
      <c r="C3826" s="1138"/>
    </row>
    <row r="3827" spans="1:3">
      <c r="A3827" s="1133"/>
      <c r="B3827" s="1136"/>
      <c r="C3827" s="1138"/>
    </row>
    <row r="3828" spans="1:3">
      <c r="A3828" s="1133"/>
      <c r="B3828" s="1136"/>
      <c r="C3828" s="1138"/>
    </row>
    <row r="3829" spans="1:3">
      <c r="A3829" s="1133"/>
      <c r="B3829" s="1136"/>
      <c r="C3829" s="1138"/>
    </row>
    <row r="3830" spans="1:3">
      <c r="A3830" s="1133"/>
      <c r="B3830" s="1136"/>
      <c r="C3830" s="1138"/>
    </row>
    <row r="3831" spans="1:3">
      <c r="A3831" s="1133"/>
      <c r="B3831" s="1136"/>
      <c r="C3831" s="1138"/>
    </row>
    <row r="3832" spans="1:3">
      <c r="A3832" s="1133"/>
      <c r="B3832" s="1136"/>
      <c r="C3832" s="1138"/>
    </row>
    <row r="3833" spans="1:3">
      <c r="A3833" s="1133"/>
      <c r="B3833" s="1136"/>
      <c r="C3833" s="1138"/>
    </row>
    <row r="3834" spans="1:3">
      <c r="A3834" s="1133"/>
      <c r="B3834" s="1136"/>
      <c r="C3834" s="1138"/>
    </row>
    <row r="3835" spans="1:3">
      <c r="A3835" s="1133"/>
      <c r="B3835" s="1136"/>
      <c r="C3835" s="1138"/>
    </row>
    <row r="3836" spans="1:3">
      <c r="A3836" s="1133"/>
      <c r="B3836" s="1136"/>
      <c r="C3836" s="1138"/>
    </row>
    <row r="3837" spans="1:3">
      <c r="A3837" s="1133"/>
      <c r="B3837" s="1136"/>
      <c r="C3837" s="1138"/>
    </row>
    <row r="3838" spans="1:3">
      <c r="A3838" s="1133"/>
      <c r="B3838" s="1136"/>
      <c r="C3838" s="1138"/>
    </row>
    <row r="3839" spans="1:3">
      <c r="A3839" s="1133"/>
      <c r="B3839" s="1136"/>
      <c r="C3839" s="1138"/>
    </row>
    <row r="3840" spans="1:3">
      <c r="A3840" s="1133"/>
      <c r="B3840" s="1136"/>
      <c r="C3840" s="1138"/>
    </row>
    <row r="3841" spans="1:3">
      <c r="A3841" s="1133"/>
      <c r="B3841" s="1136"/>
      <c r="C3841" s="1138"/>
    </row>
    <row r="3842" spans="1:3">
      <c r="A3842" s="1133"/>
      <c r="B3842" s="1136"/>
      <c r="C3842" s="1138"/>
    </row>
    <row r="3843" spans="1:3">
      <c r="A3843" s="1133"/>
      <c r="B3843" s="1136"/>
      <c r="C3843" s="1138"/>
    </row>
    <row r="3844" spans="1:3">
      <c r="A3844" s="1133"/>
      <c r="B3844" s="1136"/>
      <c r="C3844" s="1138"/>
    </row>
    <row r="3845" spans="1:3">
      <c r="A3845" s="1133"/>
      <c r="B3845" s="1136"/>
      <c r="C3845" s="1138"/>
    </row>
    <row r="3846" spans="1:3">
      <c r="A3846" s="1133"/>
      <c r="B3846" s="1136"/>
      <c r="C3846" s="1138"/>
    </row>
    <row r="3847" spans="1:3">
      <c r="A3847" s="1133"/>
      <c r="B3847" s="1136"/>
      <c r="C3847" s="1138"/>
    </row>
    <row r="3848" spans="1:3">
      <c r="A3848" s="1133"/>
      <c r="B3848" s="1136"/>
      <c r="C3848" s="1138"/>
    </row>
    <row r="3849" spans="1:3">
      <c r="A3849" s="1133"/>
      <c r="B3849" s="1136"/>
      <c r="C3849" s="1138"/>
    </row>
    <row r="3850" spans="1:3">
      <c r="A3850" s="1133"/>
      <c r="B3850" s="1136"/>
      <c r="C3850" s="1138"/>
    </row>
    <row r="3851" spans="1:3">
      <c r="A3851" s="1133"/>
      <c r="B3851" s="1136"/>
      <c r="C3851" s="1138"/>
    </row>
    <row r="3852" spans="1:3">
      <c r="A3852" s="1133"/>
      <c r="B3852" s="1136"/>
      <c r="C3852" s="1138"/>
    </row>
    <row r="3853" spans="1:3">
      <c r="A3853" s="1133"/>
      <c r="B3853" s="1136"/>
      <c r="C3853" s="1138"/>
    </row>
    <row r="3854" spans="1:3">
      <c r="A3854" s="1133"/>
      <c r="B3854" s="1136"/>
      <c r="C3854" s="1138"/>
    </row>
    <row r="3855" spans="1:3">
      <c r="A3855" s="1133"/>
      <c r="B3855" s="1136"/>
      <c r="C3855" s="1138"/>
    </row>
    <row r="3856" spans="1:3">
      <c r="A3856" s="1133"/>
      <c r="B3856" s="1136"/>
      <c r="C3856" s="1138"/>
    </row>
    <row r="3857" spans="1:3">
      <c r="A3857" s="1133"/>
      <c r="B3857" s="1136"/>
      <c r="C3857" s="1138"/>
    </row>
    <row r="3858" spans="1:3">
      <c r="A3858" s="1133"/>
      <c r="B3858" s="1136"/>
      <c r="C3858" s="1138"/>
    </row>
    <row r="3859" spans="1:3">
      <c r="A3859" s="1133"/>
      <c r="B3859" s="1136"/>
      <c r="C3859" s="1138"/>
    </row>
    <row r="3860" spans="1:3">
      <c r="A3860" s="1133"/>
      <c r="B3860" s="1136"/>
      <c r="C3860" s="1138"/>
    </row>
    <row r="3861" spans="1:3">
      <c r="A3861" s="1133"/>
      <c r="B3861" s="1136"/>
      <c r="C3861" s="1138"/>
    </row>
    <row r="3862" spans="1:3">
      <c r="A3862" s="1133"/>
      <c r="B3862" s="1136"/>
      <c r="C3862" s="1138"/>
    </row>
    <row r="3863" spans="1:3">
      <c r="A3863" s="1133"/>
      <c r="B3863" s="1136"/>
      <c r="C3863" s="1138"/>
    </row>
    <row r="3864" spans="1:3">
      <c r="A3864" s="1133"/>
      <c r="B3864" s="1136"/>
      <c r="C3864" s="1138"/>
    </row>
    <row r="3865" spans="1:3">
      <c r="A3865" s="1133"/>
      <c r="B3865" s="1136"/>
      <c r="C3865" s="1138"/>
    </row>
    <row r="3866" spans="1:3">
      <c r="A3866" s="1133"/>
      <c r="B3866" s="1136"/>
      <c r="C3866" s="1138"/>
    </row>
    <row r="3867" spans="1:3">
      <c r="A3867" s="1133"/>
      <c r="B3867" s="1136"/>
      <c r="C3867" s="1138"/>
    </row>
    <row r="3868" spans="1:3">
      <c r="A3868" s="1133"/>
      <c r="B3868" s="1136"/>
      <c r="C3868" s="1138"/>
    </row>
    <row r="3869" spans="1:3">
      <c r="A3869" s="1133"/>
      <c r="B3869" s="1136"/>
      <c r="C3869" s="1138"/>
    </row>
    <row r="3870" spans="1:3">
      <c r="A3870" s="1133"/>
      <c r="B3870" s="1136"/>
      <c r="C3870" s="1138"/>
    </row>
    <row r="3871" spans="1:3">
      <c r="A3871" s="1133"/>
      <c r="B3871" s="1136"/>
      <c r="C3871" s="1138"/>
    </row>
    <row r="3872" spans="1:3">
      <c r="A3872" s="1133"/>
      <c r="B3872" s="1136"/>
      <c r="C3872" s="1138"/>
    </row>
    <row r="3873" spans="1:3">
      <c r="A3873" s="1133"/>
      <c r="B3873" s="1136"/>
      <c r="C3873" s="1138"/>
    </row>
    <row r="3874" spans="1:3">
      <c r="A3874" s="1133"/>
      <c r="B3874" s="1136"/>
      <c r="C3874" s="1138"/>
    </row>
    <row r="3875" spans="1:3">
      <c r="A3875" s="1133"/>
      <c r="B3875" s="1136"/>
      <c r="C3875" s="1138"/>
    </row>
    <row r="3876" spans="1:3">
      <c r="A3876" s="1133"/>
      <c r="B3876" s="1136"/>
      <c r="C3876" s="1138"/>
    </row>
    <row r="3877" spans="1:3">
      <c r="A3877" s="1133"/>
      <c r="B3877" s="1136"/>
      <c r="C3877" s="1138"/>
    </row>
    <row r="3878" spans="1:3">
      <c r="A3878" s="1133"/>
      <c r="B3878" s="1136"/>
      <c r="C3878" s="1138"/>
    </row>
    <row r="3879" spans="1:3">
      <c r="A3879" s="1133"/>
      <c r="B3879" s="1136"/>
      <c r="C3879" s="1138"/>
    </row>
    <row r="3880" spans="1:3">
      <c r="A3880" s="1133"/>
      <c r="B3880" s="1136"/>
      <c r="C3880" s="1138"/>
    </row>
    <row r="3881" spans="1:3">
      <c r="A3881" s="1133"/>
      <c r="B3881" s="1136"/>
      <c r="C3881" s="1138"/>
    </row>
    <row r="3882" spans="1:3">
      <c r="A3882" s="1133"/>
      <c r="B3882" s="1136"/>
      <c r="C3882" s="1138"/>
    </row>
    <row r="3883" spans="1:3">
      <c r="A3883" s="1133"/>
      <c r="B3883" s="1136"/>
      <c r="C3883" s="1138"/>
    </row>
    <row r="3884" spans="1:3">
      <c r="A3884" s="1133"/>
      <c r="B3884" s="1136"/>
      <c r="C3884" s="1138"/>
    </row>
    <row r="3885" spans="1:3">
      <c r="A3885" s="1133"/>
      <c r="B3885" s="1136"/>
      <c r="C3885" s="1138"/>
    </row>
    <row r="3886" spans="1:3">
      <c r="A3886" s="1133"/>
      <c r="B3886" s="1136"/>
      <c r="C3886" s="1138"/>
    </row>
    <row r="3887" spans="1:3">
      <c r="A3887" s="1133"/>
      <c r="B3887" s="1136"/>
      <c r="C3887" s="1138"/>
    </row>
    <row r="3888" spans="1:3">
      <c r="A3888" s="1133"/>
      <c r="B3888" s="1136"/>
      <c r="C3888" s="1138"/>
    </row>
    <row r="3889" spans="1:3">
      <c r="A3889" s="1133"/>
      <c r="B3889" s="1136"/>
      <c r="C3889" s="1138"/>
    </row>
    <row r="3890" spans="1:3">
      <c r="A3890" s="1133"/>
      <c r="B3890" s="1136"/>
      <c r="C3890" s="1138"/>
    </row>
    <row r="3891" spans="1:3">
      <c r="A3891" s="1133"/>
      <c r="B3891" s="1136"/>
      <c r="C3891" s="1138"/>
    </row>
    <row r="3892" spans="1:3">
      <c r="A3892" s="1133"/>
      <c r="B3892" s="1136"/>
      <c r="C3892" s="1138"/>
    </row>
    <row r="3893" spans="1:3">
      <c r="A3893" s="1133"/>
      <c r="B3893" s="1136"/>
      <c r="C3893" s="1138"/>
    </row>
    <row r="3894" spans="1:3">
      <c r="A3894" s="1133"/>
      <c r="B3894" s="1136"/>
      <c r="C3894" s="1138"/>
    </row>
    <row r="3895" spans="1:3">
      <c r="A3895" s="1133"/>
      <c r="B3895" s="1136"/>
      <c r="C3895" s="1138"/>
    </row>
    <row r="3896" spans="1:3">
      <c r="A3896" s="1133"/>
      <c r="B3896" s="1136"/>
      <c r="C3896" s="1138"/>
    </row>
    <row r="3897" spans="1:3">
      <c r="A3897" s="1133"/>
      <c r="B3897" s="1136"/>
      <c r="C3897" s="1138"/>
    </row>
    <row r="3898" spans="1:3">
      <c r="A3898" s="1133"/>
      <c r="B3898" s="1136"/>
      <c r="C3898" s="1138"/>
    </row>
    <row r="3899" spans="1:3">
      <c r="A3899" s="1133"/>
      <c r="B3899" s="1136"/>
      <c r="C3899" s="1138"/>
    </row>
    <row r="3900" spans="1:3">
      <c r="A3900" s="1133"/>
      <c r="B3900" s="1136"/>
      <c r="C3900" s="1138"/>
    </row>
    <row r="3901" spans="1:3">
      <c r="A3901" s="1133"/>
      <c r="B3901" s="1136"/>
      <c r="C3901" s="1138"/>
    </row>
    <row r="3902" spans="1:3">
      <c r="A3902" s="1133"/>
      <c r="B3902" s="1136"/>
      <c r="C3902" s="1138"/>
    </row>
    <row r="3903" spans="1:3">
      <c r="A3903" s="1133"/>
      <c r="B3903" s="1136"/>
      <c r="C3903" s="1138"/>
    </row>
    <row r="3904" spans="1:3">
      <c r="A3904" s="1133"/>
      <c r="B3904" s="1136"/>
      <c r="C3904" s="1138"/>
    </row>
    <row r="3905" spans="1:3">
      <c r="A3905" s="1133"/>
      <c r="B3905" s="1136"/>
      <c r="C3905" s="1138"/>
    </row>
    <row r="3906" spans="1:3">
      <c r="A3906" s="1133"/>
      <c r="B3906" s="1136"/>
      <c r="C3906" s="1138"/>
    </row>
    <row r="3907" spans="1:3">
      <c r="A3907" s="1133"/>
      <c r="B3907" s="1136"/>
      <c r="C3907" s="1138"/>
    </row>
    <row r="3908" spans="1:3">
      <c r="A3908" s="1133"/>
      <c r="B3908" s="1136"/>
      <c r="C3908" s="1138"/>
    </row>
    <row r="3909" spans="1:3">
      <c r="A3909" s="1133"/>
      <c r="B3909" s="1136"/>
      <c r="C3909" s="1138"/>
    </row>
    <row r="3910" spans="1:3">
      <c r="A3910" s="1133"/>
      <c r="B3910" s="1136"/>
      <c r="C3910" s="1138"/>
    </row>
    <row r="3911" spans="1:3">
      <c r="A3911" s="1133"/>
      <c r="B3911" s="1136"/>
      <c r="C3911" s="1138"/>
    </row>
    <row r="3912" spans="1:3">
      <c r="A3912" s="1133"/>
      <c r="B3912" s="1136"/>
      <c r="C3912" s="1138"/>
    </row>
    <row r="3913" spans="1:3">
      <c r="A3913" s="1133"/>
      <c r="B3913" s="1136"/>
      <c r="C3913" s="1138"/>
    </row>
    <row r="3914" spans="1:3">
      <c r="A3914" s="1133"/>
      <c r="B3914" s="1136"/>
      <c r="C3914" s="1138"/>
    </row>
    <row r="3915" spans="1:3">
      <c r="A3915" s="1133"/>
      <c r="B3915" s="1136"/>
      <c r="C3915" s="1138"/>
    </row>
    <row r="3916" spans="1:3">
      <c r="A3916" s="1133"/>
      <c r="B3916" s="1136"/>
      <c r="C3916" s="1138"/>
    </row>
    <row r="3917" spans="1:3">
      <c r="A3917" s="1133"/>
      <c r="B3917" s="1136"/>
      <c r="C3917" s="1138"/>
    </row>
    <row r="3918" spans="1:3">
      <c r="A3918" s="1133"/>
      <c r="B3918" s="1136"/>
      <c r="C3918" s="1138"/>
    </row>
    <row r="3919" spans="1:3">
      <c r="A3919" s="1133"/>
      <c r="B3919" s="1136"/>
      <c r="C3919" s="1138"/>
    </row>
    <row r="3920" spans="1:3">
      <c r="A3920" s="1133"/>
      <c r="B3920" s="1136"/>
      <c r="C3920" s="1138"/>
    </row>
    <row r="3921" spans="1:3">
      <c r="A3921" s="1133"/>
      <c r="B3921" s="1136"/>
      <c r="C3921" s="1138"/>
    </row>
    <row r="3922" spans="1:3">
      <c r="A3922" s="1133"/>
      <c r="B3922" s="1136"/>
      <c r="C3922" s="1138"/>
    </row>
    <row r="3923" spans="1:3">
      <c r="A3923" s="1133"/>
      <c r="B3923" s="1136"/>
      <c r="C3923" s="1138"/>
    </row>
    <row r="3924" spans="1:3">
      <c r="A3924" s="1133"/>
      <c r="B3924" s="1136"/>
      <c r="C3924" s="1138"/>
    </row>
    <row r="3925" spans="1:3">
      <c r="A3925" s="1133"/>
      <c r="B3925" s="1136"/>
      <c r="C3925" s="1138"/>
    </row>
    <row r="3926" spans="1:3">
      <c r="A3926" s="1133"/>
      <c r="B3926" s="1136"/>
      <c r="C3926" s="1138"/>
    </row>
    <row r="3927" spans="1:3">
      <c r="A3927" s="1133"/>
      <c r="B3927" s="1136"/>
      <c r="C3927" s="1138"/>
    </row>
    <row r="3928" spans="1:3">
      <c r="A3928" s="1133"/>
      <c r="B3928" s="1136"/>
      <c r="C3928" s="1138"/>
    </row>
    <row r="3929" spans="1:3">
      <c r="A3929" s="1133"/>
      <c r="B3929" s="1136"/>
      <c r="C3929" s="1138"/>
    </row>
    <row r="3930" spans="1:3">
      <c r="A3930" s="1133"/>
      <c r="B3930" s="1136"/>
      <c r="C3930" s="1138"/>
    </row>
    <row r="3931" spans="1:3">
      <c r="A3931" s="1133"/>
      <c r="B3931" s="1136"/>
      <c r="C3931" s="1138"/>
    </row>
    <row r="3932" spans="1:3">
      <c r="A3932" s="1133"/>
      <c r="B3932" s="1136"/>
      <c r="C3932" s="1138"/>
    </row>
    <row r="3933" spans="1:3">
      <c r="A3933" s="1133"/>
      <c r="B3933" s="1136"/>
      <c r="C3933" s="1138"/>
    </row>
    <row r="3934" spans="1:3">
      <c r="A3934" s="1133"/>
      <c r="B3934" s="1136"/>
      <c r="C3934" s="1138"/>
    </row>
    <row r="3935" spans="1:3">
      <c r="A3935" s="1133"/>
      <c r="B3935" s="1136"/>
      <c r="C3935" s="1138"/>
    </row>
    <row r="3936" spans="1:3">
      <c r="A3936" s="1133"/>
      <c r="B3936" s="1136"/>
      <c r="C3936" s="1138"/>
    </row>
    <row r="3937" spans="1:3">
      <c r="A3937" s="1133"/>
      <c r="B3937" s="1136"/>
      <c r="C3937" s="1138"/>
    </row>
    <row r="3938" spans="1:3">
      <c r="A3938" s="1133"/>
      <c r="B3938" s="1136"/>
      <c r="C3938" s="1138"/>
    </row>
    <row r="3939" spans="1:3">
      <c r="A3939" s="1133"/>
      <c r="B3939" s="1136"/>
      <c r="C3939" s="1138"/>
    </row>
    <row r="3940" spans="1:3">
      <c r="A3940" s="1133"/>
      <c r="B3940" s="1136"/>
      <c r="C3940" s="1138"/>
    </row>
    <row r="3941" spans="1:3">
      <c r="A3941" s="1133"/>
      <c r="B3941" s="1136"/>
      <c r="C3941" s="1138"/>
    </row>
    <row r="3942" spans="1:3">
      <c r="A3942" s="1133"/>
      <c r="B3942" s="1136"/>
      <c r="C3942" s="1138"/>
    </row>
    <row r="3943" spans="1:3">
      <c r="A3943" s="1133"/>
      <c r="B3943" s="1136"/>
      <c r="C3943" s="1138"/>
    </row>
    <row r="3944" spans="1:3">
      <c r="A3944" s="1133"/>
      <c r="B3944" s="1136"/>
      <c r="C3944" s="1138"/>
    </row>
    <row r="3945" spans="1:3">
      <c r="A3945" s="1133"/>
      <c r="B3945" s="1136"/>
      <c r="C3945" s="1138"/>
    </row>
    <row r="3946" spans="1:3">
      <c r="A3946" s="1133"/>
      <c r="B3946" s="1136"/>
      <c r="C3946" s="1138"/>
    </row>
    <row r="3947" spans="1:3">
      <c r="A3947" s="1133"/>
      <c r="B3947" s="1136"/>
      <c r="C3947" s="1138"/>
    </row>
    <row r="3948" spans="1:3">
      <c r="A3948" s="1133"/>
      <c r="B3948" s="1136"/>
      <c r="C3948" s="1138"/>
    </row>
    <row r="3949" spans="1:3">
      <c r="A3949" s="1133"/>
      <c r="B3949" s="1136"/>
      <c r="C3949" s="1138"/>
    </row>
    <row r="3950" spans="1:3">
      <c r="A3950" s="1133"/>
      <c r="B3950" s="1136"/>
      <c r="C3950" s="1138"/>
    </row>
    <row r="3951" spans="1:3">
      <c r="A3951" s="1133"/>
      <c r="B3951" s="1136"/>
      <c r="C3951" s="1138"/>
    </row>
    <row r="3952" spans="1:3">
      <c r="A3952" s="1133"/>
      <c r="B3952" s="1136"/>
      <c r="C3952" s="1138"/>
    </row>
    <row r="3953" spans="1:3">
      <c r="A3953" s="1133"/>
      <c r="B3953" s="1136"/>
      <c r="C3953" s="1138"/>
    </row>
    <row r="3954" spans="1:3">
      <c r="A3954" s="1133"/>
      <c r="B3954" s="1136"/>
      <c r="C3954" s="1138"/>
    </row>
    <row r="3955" spans="1:3">
      <c r="A3955" s="1133"/>
      <c r="B3955" s="1136"/>
      <c r="C3955" s="1138"/>
    </row>
    <row r="3956" spans="1:3">
      <c r="A3956" s="1133"/>
      <c r="B3956" s="1136"/>
      <c r="C3956" s="1138"/>
    </row>
    <row r="3957" spans="1:3">
      <c r="A3957" s="1133"/>
      <c r="B3957" s="1136"/>
      <c r="C3957" s="1138"/>
    </row>
    <row r="3958" spans="1:3">
      <c r="A3958" s="1133"/>
      <c r="B3958" s="1136"/>
      <c r="C3958" s="1138"/>
    </row>
    <row r="3959" spans="1:3">
      <c r="A3959" s="1133"/>
      <c r="B3959" s="1136"/>
      <c r="C3959" s="1138"/>
    </row>
    <row r="3960" spans="1:3">
      <c r="A3960" s="1133"/>
      <c r="B3960" s="1136"/>
      <c r="C3960" s="1138"/>
    </row>
    <row r="3961" spans="1:3">
      <c r="A3961" s="1133"/>
      <c r="B3961" s="1136"/>
      <c r="C3961" s="1138"/>
    </row>
    <row r="3962" spans="1:3">
      <c r="A3962" s="1133"/>
      <c r="B3962" s="1136"/>
      <c r="C3962" s="1138"/>
    </row>
    <row r="3963" spans="1:3">
      <c r="A3963" s="1133"/>
      <c r="B3963" s="1136"/>
      <c r="C3963" s="1138"/>
    </row>
    <row r="3964" spans="1:3">
      <c r="A3964" s="1133"/>
      <c r="B3964" s="1136"/>
      <c r="C3964" s="1138"/>
    </row>
    <row r="3965" spans="1:3">
      <c r="A3965" s="1133"/>
      <c r="B3965" s="1136"/>
      <c r="C3965" s="1138"/>
    </row>
    <row r="3966" spans="1:3">
      <c r="A3966" s="1133"/>
      <c r="B3966" s="1136"/>
      <c r="C3966" s="1138"/>
    </row>
    <row r="3967" spans="1:3">
      <c r="A3967" s="1133"/>
      <c r="B3967" s="1136"/>
      <c r="C3967" s="1138"/>
    </row>
    <row r="3968" spans="1:3">
      <c r="A3968" s="1133"/>
      <c r="B3968" s="1136"/>
      <c r="C3968" s="1138"/>
    </row>
    <row r="3969" spans="1:3">
      <c r="A3969" s="1133"/>
      <c r="B3969" s="1136"/>
      <c r="C3969" s="1138"/>
    </row>
    <row r="3970" spans="1:3">
      <c r="A3970" s="1133"/>
      <c r="B3970" s="1136"/>
      <c r="C3970" s="1138"/>
    </row>
    <row r="3971" spans="1:3">
      <c r="A3971" s="1133"/>
      <c r="B3971" s="1136"/>
      <c r="C3971" s="1138"/>
    </row>
    <row r="3972" spans="1:3">
      <c r="A3972" s="1133"/>
      <c r="B3972" s="1136"/>
      <c r="C3972" s="1138"/>
    </row>
    <row r="3973" spans="1:3">
      <c r="A3973" s="1133"/>
      <c r="B3973" s="1136"/>
      <c r="C3973" s="1138"/>
    </row>
    <row r="3974" spans="1:3">
      <c r="A3974" s="1133"/>
      <c r="B3974" s="1136"/>
      <c r="C3974" s="1138"/>
    </row>
    <row r="3975" spans="1:3">
      <c r="A3975" s="1133"/>
      <c r="B3975" s="1136"/>
      <c r="C3975" s="1138"/>
    </row>
    <row r="3976" spans="1:3">
      <c r="A3976" s="1133"/>
      <c r="B3976" s="1136"/>
      <c r="C3976" s="1138"/>
    </row>
    <row r="3977" spans="1:3">
      <c r="A3977" s="1133"/>
      <c r="B3977" s="1136"/>
      <c r="C3977" s="1138"/>
    </row>
    <row r="3978" spans="1:3">
      <c r="A3978" s="1133"/>
      <c r="B3978" s="1136"/>
      <c r="C3978" s="1138"/>
    </row>
    <row r="3979" spans="1:3">
      <c r="A3979" s="1133"/>
      <c r="B3979" s="1136"/>
      <c r="C3979" s="1138"/>
    </row>
    <row r="3980" spans="1:3">
      <c r="A3980" s="1133"/>
      <c r="B3980" s="1136"/>
      <c r="C3980" s="1138"/>
    </row>
    <row r="3981" spans="1:3">
      <c r="A3981" s="1133"/>
      <c r="B3981" s="1136"/>
      <c r="C3981" s="1138"/>
    </row>
    <row r="3982" spans="1:3">
      <c r="A3982" s="1133"/>
      <c r="B3982" s="1136"/>
      <c r="C3982" s="1138"/>
    </row>
    <row r="3983" spans="1:3">
      <c r="A3983" s="1133"/>
      <c r="B3983" s="1136"/>
      <c r="C3983" s="1138"/>
    </row>
    <row r="3984" spans="1:3">
      <c r="A3984" s="1133"/>
      <c r="B3984" s="1136"/>
      <c r="C3984" s="1138"/>
    </row>
    <row r="3985" spans="1:3">
      <c r="A3985" s="1133"/>
      <c r="B3985" s="1136"/>
      <c r="C3985" s="1138"/>
    </row>
    <row r="3986" spans="1:3">
      <c r="A3986" s="1133"/>
      <c r="B3986" s="1136"/>
      <c r="C3986" s="1138"/>
    </row>
    <row r="3987" spans="1:3">
      <c r="A3987" s="1133"/>
      <c r="B3987" s="1136"/>
      <c r="C3987" s="1138"/>
    </row>
    <row r="3988" spans="1:3">
      <c r="A3988" s="1133"/>
      <c r="B3988" s="1136"/>
      <c r="C3988" s="1138"/>
    </row>
    <row r="3989" spans="1:3">
      <c r="A3989" s="1133"/>
      <c r="B3989" s="1136"/>
      <c r="C3989" s="1138"/>
    </row>
    <row r="3990" spans="1:3">
      <c r="A3990" s="1133"/>
      <c r="B3990" s="1136"/>
      <c r="C3990" s="1138"/>
    </row>
    <row r="3991" spans="1:3">
      <c r="A3991" s="1133"/>
      <c r="B3991" s="1136"/>
      <c r="C3991" s="1138"/>
    </row>
    <row r="3992" spans="1:3">
      <c r="A3992" s="1133"/>
      <c r="B3992" s="1136"/>
      <c r="C3992" s="1138"/>
    </row>
    <row r="3993" spans="1:3">
      <c r="A3993" s="1133"/>
      <c r="B3993" s="1136"/>
      <c r="C3993" s="1138"/>
    </row>
    <row r="3994" spans="1:3">
      <c r="A3994" s="1133"/>
      <c r="B3994" s="1136"/>
      <c r="C3994" s="1138"/>
    </row>
    <row r="3995" spans="1:3">
      <c r="A3995" s="1133"/>
      <c r="B3995" s="1136"/>
      <c r="C3995" s="1138"/>
    </row>
    <row r="3996" spans="1:3">
      <c r="A3996" s="1133"/>
      <c r="B3996" s="1136"/>
      <c r="C3996" s="1138"/>
    </row>
    <row r="3997" spans="1:3">
      <c r="A3997" s="1133"/>
      <c r="B3997" s="1136"/>
      <c r="C3997" s="1138"/>
    </row>
    <row r="3998" spans="1:3">
      <c r="A3998" s="1133"/>
      <c r="B3998" s="1136"/>
      <c r="C3998" s="1138"/>
    </row>
    <row r="3999" spans="1:3">
      <c r="A3999" s="1133"/>
      <c r="B3999" s="1136"/>
      <c r="C3999" s="1138"/>
    </row>
    <row r="4000" spans="1:3">
      <c r="A4000" s="1133"/>
      <c r="B4000" s="1136"/>
      <c r="C4000" s="1138"/>
    </row>
    <row r="4001" spans="1:3">
      <c r="A4001" s="1133"/>
      <c r="B4001" s="1136"/>
      <c r="C4001" s="1138"/>
    </row>
    <row r="4002" spans="1:3">
      <c r="A4002" s="1133"/>
      <c r="B4002" s="1136"/>
      <c r="C4002" s="1138"/>
    </row>
    <row r="4003" spans="1:3">
      <c r="A4003" s="1133"/>
      <c r="B4003" s="1136"/>
      <c r="C4003" s="1138"/>
    </row>
    <row r="4004" spans="1:3">
      <c r="A4004" s="1133"/>
      <c r="B4004" s="1136"/>
      <c r="C4004" s="1138"/>
    </row>
    <row r="4005" spans="1:3">
      <c r="A4005" s="1133"/>
      <c r="B4005" s="1136"/>
      <c r="C4005" s="1138"/>
    </row>
    <row r="4006" spans="1:3">
      <c r="A4006" s="1133"/>
      <c r="B4006" s="1136"/>
      <c r="C4006" s="1138"/>
    </row>
    <row r="4007" spans="1:3">
      <c r="A4007" s="1133"/>
      <c r="B4007" s="1136"/>
      <c r="C4007" s="1138"/>
    </row>
    <row r="4008" spans="1:3">
      <c r="A4008" s="1133"/>
      <c r="B4008" s="1136"/>
      <c r="C4008" s="1138"/>
    </row>
    <row r="4009" spans="1:3">
      <c r="A4009" s="1133"/>
      <c r="B4009" s="1136"/>
      <c r="C4009" s="1138"/>
    </row>
    <row r="4010" spans="1:3">
      <c r="A4010" s="1133"/>
      <c r="B4010" s="1136"/>
      <c r="C4010" s="1138"/>
    </row>
    <row r="4011" spans="1:3">
      <c r="A4011" s="1133"/>
      <c r="B4011" s="1136"/>
      <c r="C4011" s="1138"/>
    </row>
    <row r="4012" spans="1:3">
      <c r="A4012" s="1133"/>
      <c r="B4012" s="1136"/>
      <c r="C4012" s="1138"/>
    </row>
    <row r="4013" spans="1:3">
      <c r="A4013" s="1133"/>
      <c r="B4013" s="1136"/>
      <c r="C4013" s="1138"/>
    </row>
    <row r="4014" spans="1:3">
      <c r="A4014" s="1133"/>
      <c r="B4014" s="1136"/>
      <c r="C4014" s="1138"/>
    </row>
    <row r="4015" spans="1:3">
      <c r="A4015" s="1133"/>
      <c r="B4015" s="1136"/>
      <c r="C4015" s="1138"/>
    </row>
    <row r="4016" spans="1:3">
      <c r="A4016" s="1133"/>
      <c r="B4016" s="1136"/>
      <c r="C4016" s="1138"/>
    </row>
    <row r="4017" spans="1:3">
      <c r="A4017" s="1133"/>
      <c r="B4017" s="1136"/>
      <c r="C4017" s="1138"/>
    </row>
    <row r="4018" spans="1:3">
      <c r="A4018" s="1133"/>
      <c r="B4018" s="1136"/>
      <c r="C4018" s="1138"/>
    </row>
    <row r="4019" spans="1:3">
      <c r="A4019" s="1133"/>
      <c r="B4019" s="1136"/>
      <c r="C4019" s="1138"/>
    </row>
    <row r="4020" spans="1:3">
      <c r="A4020" s="1133"/>
      <c r="B4020" s="1136"/>
      <c r="C4020" s="1138"/>
    </row>
    <row r="4021" spans="1:3">
      <c r="A4021" s="1133"/>
      <c r="B4021" s="1136"/>
      <c r="C4021" s="1138"/>
    </row>
    <row r="4022" spans="1:3">
      <c r="A4022" s="1133"/>
      <c r="B4022" s="1136"/>
      <c r="C4022" s="1138"/>
    </row>
    <row r="4023" spans="1:3">
      <c r="A4023" s="1133"/>
      <c r="B4023" s="1136"/>
      <c r="C4023" s="1138"/>
    </row>
    <row r="4024" spans="1:3">
      <c r="A4024" s="1133"/>
      <c r="B4024" s="1136"/>
      <c r="C4024" s="1138"/>
    </row>
    <row r="4025" spans="1:3">
      <c r="A4025" s="1133"/>
      <c r="B4025" s="1136"/>
      <c r="C4025" s="1138"/>
    </row>
    <row r="4026" spans="1:3">
      <c r="A4026" s="1133"/>
      <c r="B4026" s="1136"/>
      <c r="C4026" s="1138"/>
    </row>
    <row r="4027" spans="1:3">
      <c r="A4027" s="1133"/>
      <c r="B4027" s="1136"/>
      <c r="C4027" s="1138"/>
    </row>
    <row r="4028" spans="1:3">
      <c r="A4028" s="1133"/>
      <c r="B4028" s="1136"/>
      <c r="C4028" s="1138"/>
    </row>
    <row r="4029" spans="1:3">
      <c r="A4029" s="1133"/>
      <c r="B4029" s="1136"/>
      <c r="C4029" s="1138"/>
    </row>
    <row r="4030" spans="1:3">
      <c r="A4030" s="1133"/>
      <c r="B4030" s="1136"/>
      <c r="C4030" s="1138"/>
    </row>
    <row r="4031" spans="1:3">
      <c r="A4031" s="1133"/>
      <c r="B4031" s="1136"/>
      <c r="C4031" s="1138"/>
    </row>
    <row r="4032" spans="1:3">
      <c r="A4032" s="1133"/>
      <c r="B4032" s="1136"/>
      <c r="C4032" s="1138"/>
    </row>
    <row r="4033" spans="1:3">
      <c r="A4033" s="1133"/>
      <c r="B4033" s="1136"/>
      <c r="C4033" s="1138"/>
    </row>
    <row r="4034" spans="1:3">
      <c r="A4034" s="1133"/>
      <c r="B4034" s="1136"/>
      <c r="C4034" s="1138"/>
    </row>
    <row r="4035" spans="1:3">
      <c r="A4035" s="1133"/>
      <c r="B4035" s="1136"/>
      <c r="C4035" s="1138"/>
    </row>
    <row r="4036" spans="1:3">
      <c r="A4036" s="1133"/>
      <c r="B4036" s="1136"/>
      <c r="C4036" s="1138"/>
    </row>
    <row r="4037" spans="1:3">
      <c r="A4037" s="1133"/>
      <c r="B4037" s="1136"/>
      <c r="C4037" s="1138"/>
    </row>
    <row r="4038" spans="1:3">
      <c r="A4038" s="1133"/>
      <c r="B4038" s="1136"/>
      <c r="C4038" s="1138"/>
    </row>
    <row r="4039" spans="1:3">
      <c r="A4039" s="1133"/>
      <c r="B4039" s="1136"/>
      <c r="C4039" s="1138"/>
    </row>
    <row r="4040" spans="1:3">
      <c r="A4040" s="1133"/>
      <c r="B4040" s="1136"/>
      <c r="C4040" s="1138"/>
    </row>
    <row r="4041" spans="1:3">
      <c r="A4041" s="1133"/>
      <c r="B4041" s="1136"/>
      <c r="C4041" s="1138"/>
    </row>
    <row r="4042" spans="1:3">
      <c r="A4042" s="1133"/>
      <c r="B4042" s="1136"/>
      <c r="C4042" s="1138"/>
    </row>
    <row r="4043" spans="1:3">
      <c r="A4043" s="1133"/>
      <c r="B4043" s="1136"/>
      <c r="C4043" s="1138"/>
    </row>
    <row r="4044" spans="1:3">
      <c r="A4044" s="1133"/>
      <c r="B4044" s="1136"/>
      <c r="C4044" s="1138"/>
    </row>
    <row r="4045" spans="1:3">
      <c r="A4045" s="1133"/>
      <c r="B4045" s="1136"/>
      <c r="C4045" s="1138"/>
    </row>
    <row r="4046" spans="1:3">
      <c r="A4046" s="1133"/>
      <c r="B4046" s="1136"/>
      <c r="C4046" s="1138"/>
    </row>
    <row r="4047" spans="1:3">
      <c r="A4047" s="1133"/>
      <c r="B4047" s="1136"/>
      <c r="C4047" s="1138"/>
    </row>
    <row r="4048" spans="1:3">
      <c r="A4048" s="1133"/>
      <c r="B4048" s="1136"/>
      <c r="C4048" s="1138"/>
    </row>
    <row r="4049" spans="1:3">
      <c r="A4049" s="1133"/>
      <c r="B4049" s="1136"/>
      <c r="C4049" s="1138"/>
    </row>
    <row r="4050" spans="1:3">
      <c r="A4050" s="1133"/>
      <c r="B4050" s="1136"/>
      <c r="C4050" s="1138"/>
    </row>
    <row r="4051" spans="1:3">
      <c r="A4051" s="1133"/>
      <c r="B4051" s="1136"/>
      <c r="C4051" s="1138"/>
    </row>
    <row r="4052" spans="1:3">
      <c r="A4052" s="1133"/>
      <c r="B4052" s="1136"/>
      <c r="C4052" s="1138"/>
    </row>
    <row r="4053" spans="1:3">
      <c r="A4053" s="1133"/>
      <c r="B4053" s="1136"/>
      <c r="C4053" s="1138"/>
    </row>
    <row r="4054" spans="1:3">
      <c r="A4054" s="1133"/>
      <c r="B4054" s="1136"/>
      <c r="C4054" s="1138"/>
    </row>
    <row r="4055" spans="1:3">
      <c r="A4055" s="1133"/>
      <c r="B4055" s="1136"/>
      <c r="C4055" s="1138"/>
    </row>
    <row r="4056" spans="1:3">
      <c r="A4056" s="1133"/>
      <c r="B4056" s="1136"/>
      <c r="C4056" s="1138"/>
    </row>
    <row r="4057" spans="1:3">
      <c r="A4057" s="1133"/>
      <c r="B4057" s="1136"/>
      <c r="C4057" s="1138"/>
    </row>
    <row r="4058" spans="1:3">
      <c r="A4058" s="1133"/>
      <c r="B4058" s="1136"/>
      <c r="C4058" s="1138"/>
    </row>
    <row r="4059" spans="1:3">
      <c r="A4059" s="1133"/>
      <c r="B4059" s="1136"/>
      <c r="C4059" s="1138"/>
    </row>
    <row r="4060" spans="1:3">
      <c r="A4060" s="1133"/>
      <c r="B4060" s="1136"/>
      <c r="C4060" s="1138"/>
    </row>
    <row r="4061" spans="1:3">
      <c r="A4061" s="1133"/>
      <c r="B4061" s="1136"/>
      <c r="C4061" s="1138"/>
    </row>
    <row r="4062" spans="1:3">
      <c r="A4062" s="1133"/>
      <c r="B4062" s="1136"/>
      <c r="C4062" s="1138"/>
    </row>
    <row r="4063" spans="1:3">
      <c r="A4063" s="1133"/>
      <c r="B4063" s="1136"/>
      <c r="C4063" s="1138"/>
    </row>
    <row r="4064" spans="1:3">
      <c r="A4064" s="1133"/>
      <c r="B4064" s="1136"/>
      <c r="C4064" s="1138"/>
    </row>
    <row r="4065" spans="1:3">
      <c r="A4065" s="1133"/>
      <c r="B4065" s="1136"/>
      <c r="C4065" s="1138"/>
    </row>
    <row r="4066" spans="1:3">
      <c r="A4066" s="1133"/>
      <c r="B4066" s="1136"/>
      <c r="C4066" s="1138"/>
    </row>
    <row r="4067" spans="1:3">
      <c r="A4067" s="1133"/>
      <c r="B4067" s="1136"/>
      <c r="C4067" s="1138"/>
    </row>
    <row r="4068" spans="1:3">
      <c r="A4068" s="1133"/>
      <c r="B4068" s="1136"/>
      <c r="C4068" s="1138"/>
    </row>
    <row r="4069" spans="1:3">
      <c r="A4069" s="1133"/>
      <c r="B4069" s="1136"/>
      <c r="C4069" s="1138"/>
    </row>
    <row r="4070" spans="1:3">
      <c r="A4070" s="1133"/>
      <c r="B4070" s="1136"/>
      <c r="C4070" s="1138"/>
    </row>
    <row r="4071" spans="1:3">
      <c r="A4071" s="1133"/>
      <c r="B4071" s="1136"/>
      <c r="C4071" s="1138"/>
    </row>
    <row r="4072" spans="1:3">
      <c r="A4072" s="1133"/>
      <c r="B4072" s="1136"/>
      <c r="C4072" s="1138"/>
    </row>
    <row r="4073" spans="1:3">
      <c r="A4073" s="1133"/>
      <c r="B4073" s="1136"/>
      <c r="C4073" s="1138"/>
    </row>
    <row r="4074" spans="1:3">
      <c r="A4074" s="1133"/>
      <c r="B4074" s="1136"/>
      <c r="C4074" s="1138"/>
    </row>
    <row r="4075" spans="1:3">
      <c r="A4075" s="1133"/>
      <c r="B4075" s="1136"/>
      <c r="C4075" s="1138"/>
    </row>
    <row r="4076" spans="1:3">
      <c r="A4076" s="1133"/>
      <c r="B4076" s="1136"/>
      <c r="C4076" s="1138"/>
    </row>
    <row r="4077" spans="1:3">
      <c r="A4077" s="1133"/>
      <c r="B4077" s="1136"/>
      <c r="C4077" s="1138"/>
    </row>
    <row r="4078" spans="1:3">
      <c r="A4078" s="1133"/>
      <c r="B4078" s="1136"/>
      <c r="C4078" s="1138"/>
    </row>
    <row r="4079" spans="1:3">
      <c r="A4079" s="1133"/>
      <c r="B4079" s="1136"/>
      <c r="C4079" s="1138"/>
    </row>
    <row r="4080" spans="1:3">
      <c r="A4080" s="1133"/>
      <c r="B4080" s="1136"/>
      <c r="C4080" s="1138"/>
    </row>
    <row r="4081" spans="1:3">
      <c r="A4081" s="1133"/>
      <c r="B4081" s="1136"/>
      <c r="C4081" s="1138"/>
    </row>
    <row r="4082" spans="1:3">
      <c r="A4082" s="1133"/>
      <c r="B4082" s="1136"/>
      <c r="C4082" s="1138"/>
    </row>
    <row r="4083" spans="1:3">
      <c r="A4083" s="1133"/>
      <c r="B4083" s="1136"/>
      <c r="C4083" s="1138"/>
    </row>
    <row r="4084" spans="1:3">
      <c r="A4084" s="1133"/>
      <c r="B4084" s="1136"/>
      <c r="C4084" s="1138"/>
    </row>
    <row r="4085" spans="1:3">
      <c r="A4085" s="1133"/>
      <c r="B4085" s="1136"/>
      <c r="C4085" s="1138"/>
    </row>
    <row r="4086" spans="1:3">
      <c r="A4086" s="1133"/>
      <c r="B4086" s="1136"/>
      <c r="C4086" s="1138"/>
    </row>
    <row r="4087" spans="1:3">
      <c r="A4087" s="1133"/>
      <c r="B4087" s="1136"/>
      <c r="C4087" s="1138"/>
    </row>
    <row r="4088" spans="1:3">
      <c r="A4088" s="1133"/>
      <c r="B4088" s="1136"/>
      <c r="C4088" s="1138"/>
    </row>
    <row r="4089" spans="1:3">
      <c r="A4089" s="1133"/>
      <c r="B4089" s="1136"/>
      <c r="C4089" s="1138"/>
    </row>
    <row r="4090" spans="1:3">
      <c r="A4090" s="1133"/>
      <c r="B4090" s="1136"/>
      <c r="C4090" s="1138"/>
    </row>
    <row r="4091" spans="1:3">
      <c r="A4091" s="1133"/>
      <c r="B4091" s="1136"/>
      <c r="C4091" s="1138"/>
    </row>
    <row r="4092" spans="1:3">
      <c r="A4092" s="1133"/>
      <c r="B4092" s="1136"/>
      <c r="C4092" s="1138"/>
    </row>
    <row r="4093" spans="1:3">
      <c r="A4093" s="1133"/>
      <c r="B4093" s="1136"/>
      <c r="C4093" s="1138"/>
    </row>
    <row r="4094" spans="1:3">
      <c r="A4094" s="1133"/>
      <c r="B4094" s="1136"/>
      <c r="C4094" s="1138"/>
    </row>
    <row r="4095" spans="1:3">
      <c r="A4095" s="1133"/>
      <c r="B4095" s="1136"/>
      <c r="C4095" s="1138"/>
    </row>
    <row r="4096" spans="1:3">
      <c r="A4096" s="1133"/>
      <c r="B4096" s="1136"/>
      <c r="C4096" s="1138"/>
    </row>
    <row r="4097" spans="1:3">
      <c r="A4097" s="1133"/>
      <c r="B4097" s="1136"/>
      <c r="C4097" s="1138"/>
    </row>
    <row r="4098" spans="1:3">
      <c r="A4098" s="1133"/>
      <c r="B4098" s="1136"/>
      <c r="C4098" s="1138"/>
    </row>
    <row r="4099" spans="1:3">
      <c r="A4099" s="1133"/>
      <c r="B4099" s="1136"/>
      <c r="C4099" s="1138"/>
    </row>
    <row r="4100" spans="1:3">
      <c r="A4100" s="1133"/>
      <c r="B4100" s="1136"/>
      <c r="C4100" s="1138"/>
    </row>
    <row r="4101" spans="1:3">
      <c r="A4101" s="1133"/>
      <c r="B4101" s="1136"/>
      <c r="C4101" s="1138"/>
    </row>
    <row r="4102" spans="1:3">
      <c r="A4102" s="1133"/>
      <c r="B4102" s="1136"/>
      <c r="C4102" s="1138"/>
    </row>
    <row r="4103" spans="1:3">
      <c r="A4103" s="1133"/>
      <c r="B4103" s="1136"/>
      <c r="C4103" s="1138"/>
    </row>
    <row r="4104" spans="1:3">
      <c r="A4104" s="1133"/>
      <c r="B4104" s="1136"/>
      <c r="C4104" s="1138"/>
    </row>
    <row r="4105" spans="1:3">
      <c r="A4105" s="1133"/>
      <c r="B4105" s="1136"/>
      <c r="C4105" s="1138"/>
    </row>
    <row r="4106" spans="1:3">
      <c r="A4106" s="1133"/>
      <c r="B4106" s="1136"/>
      <c r="C4106" s="1138"/>
    </row>
    <row r="4107" spans="1:3">
      <c r="A4107" s="1133"/>
      <c r="B4107" s="1136"/>
      <c r="C4107" s="1138"/>
    </row>
    <row r="4108" spans="1:3">
      <c r="A4108" s="1133"/>
      <c r="B4108" s="1136"/>
      <c r="C4108" s="1138"/>
    </row>
    <row r="4109" spans="1:3">
      <c r="A4109" s="1133"/>
      <c r="B4109" s="1136"/>
      <c r="C4109" s="1138"/>
    </row>
    <row r="4110" spans="1:3">
      <c r="A4110" s="1133"/>
      <c r="B4110" s="1136"/>
      <c r="C4110" s="1138"/>
    </row>
    <row r="4111" spans="1:3">
      <c r="A4111" s="1133"/>
      <c r="B4111" s="1136"/>
      <c r="C4111" s="1138"/>
    </row>
    <row r="4112" spans="1:3">
      <c r="A4112" s="1133"/>
      <c r="B4112" s="1136"/>
      <c r="C4112" s="1138"/>
    </row>
    <row r="4113" spans="1:3">
      <c r="A4113" s="1133"/>
      <c r="B4113" s="1136"/>
      <c r="C4113" s="1138"/>
    </row>
    <row r="4114" spans="1:3">
      <c r="A4114" s="1133"/>
      <c r="B4114" s="1136"/>
      <c r="C4114" s="1138"/>
    </row>
    <row r="4115" spans="1:3">
      <c r="A4115" s="1133"/>
      <c r="B4115" s="1136"/>
      <c r="C4115" s="1138"/>
    </row>
    <row r="4116" spans="1:3">
      <c r="A4116" s="1133"/>
      <c r="B4116" s="1136"/>
      <c r="C4116" s="1138"/>
    </row>
    <row r="4117" spans="1:3">
      <c r="A4117" s="1133"/>
      <c r="B4117" s="1136"/>
      <c r="C4117" s="1138"/>
    </row>
    <row r="4118" spans="1:3">
      <c r="A4118" s="1133"/>
      <c r="B4118" s="1136"/>
      <c r="C4118" s="1138"/>
    </row>
    <row r="4119" spans="1:3">
      <c r="A4119" s="1133"/>
      <c r="B4119" s="1136"/>
      <c r="C4119" s="1138"/>
    </row>
    <row r="4120" spans="1:3">
      <c r="A4120" s="1133"/>
      <c r="B4120" s="1136"/>
      <c r="C4120" s="1138"/>
    </row>
    <row r="4121" spans="1:3">
      <c r="A4121" s="1133"/>
      <c r="B4121" s="1136"/>
      <c r="C4121" s="1138"/>
    </row>
    <row r="4122" spans="1:3">
      <c r="A4122" s="1133"/>
      <c r="B4122" s="1136"/>
      <c r="C4122" s="1138"/>
    </row>
    <row r="4123" spans="1:3">
      <c r="A4123" s="1133"/>
      <c r="B4123" s="1136"/>
      <c r="C4123" s="1138"/>
    </row>
    <row r="4124" spans="1:3">
      <c r="A4124" s="1133"/>
      <c r="B4124" s="1136"/>
      <c r="C4124" s="1138"/>
    </row>
    <row r="4125" spans="1:3">
      <c r="A4125" s="1133"/>
      <c r="B4125" s="1136"/>
      <c r="C4125" s="1138"/>
    </row>
    <row r="4126" spans="1:3">
      <c r="A4126" s="1133"/>
      <c r="B4126" s="1136"/>
      <c r="C4126" s="1138"/>
    </row>
    <row r="4127" spans="1:3">
      <c r="A4127" s="1133"/>
      <c r="B4127" s="1136"/>
      <c r="C4127" s="1138"/>
    </row>
    <row r="4128" spans="1:3">
      <c r="A4128" s="1133"/>
      <c r="B4128" s="1136"/>
      <c r="C4128" s="1138"/>
    </row>
    <row r="4129" spans="1:3">
      <c r="A4129" s="1133"/>
      <c r="B4129" s="1136"/>
      <c r="C4129" s="1138"/>
    </row>
    <row r="4130" spans="1:3">
      <c r="A4130" s="1133"/>
      <c r="B4130" s="1136"/>
      <c r="C4130" s="1138"/>
    </row>
    <row r="4131" spans="1:3">
      <c r="A4131" s="1133"/>
      <c r="B4131" s="1136"/>
      <c r="C4131" s="1138"/>
    </row>
    <row r="4132" spans="1:3">
      <c r="A4132" s="1133"/>
      <c r="B4132" s="1136"/>
      <c r="C4132" s="1138"/>
    </row>
    <row r="4133" spans="1:3">
      <c r="A4133" s="1133"/>
      <c r="B4133" s="1136"/>
      <c r="C4133" s="1138"/>
    </row>
    <row r="4134" spans="1:3">
      <c r="A4134" s="1133"/>
      <c r="B4134" s="1136"/>
      <c r="C4134" s="1138"/>
    </row>
    <row r="4135" spans="1:3">
      <c r="A4135" s="1133"/>
      <c r="B4135" s="1136"/>
      <c r="C4135" s="1138"/>
    </row>
    <row r="4136" spans="1:3">
      <c r="A4136" s="1133"/>
      <c r="B4136" s="1136"/>
      <c r="C4136" s="1138"/>
    </row>
    <row r="4137" spans="1:3">
      <c r="A4137" s="1133"/>
      <c r="B4137" s="1136"/>
      <c r="C4137" s="1138"/>
    </row>
    <row r="4138" spans="1:3">
      <c r="A4138" s="1133"/>
      <c r="B4138" s="1136"/>
      <c r="C4138" s="1138"/>
    </row>
    <row r="4139" spans="1:3">
      <c r="A4139" s="1133"/>
      <c r="B4139" s="1136"/>
      <c r="C4139" s="1138"/>
    </row>
    <row r="4140" spans="1:3">
      <c r="A4140" s="1133"/>
      <c r="B4140" s="1136"/>
      <c r="C4140" s="1138"/>
    </row>
    <row r="4141" spans="1:3">
      <c r="A4141" s="1133"/>
      <c r="B4141" s="1136"/>
      <c r="C4141" s="1138"/>
    </row>
    <row r="4142" spans="1:3">
      <c r="A4142" s="1133"/>
      <c r="B4142" s="1136"/>
      <c r="C4142" s="1138"/>
    </row>
    <row r="4143" spans="1:3">
      <c r="A4143" s="1133"/>
      <c r="B4143" s="1136"/>
      <c r="C4143" s="1138"/>
    </row>
    <row r="4144" spans="1:3">
      <c r="A4144" s="1133"/>
      <c r="B4144" s="1136"/>
      <c r="C4144" s="1138"/>
    </row>
    <row r="4145" spans="1:3">
      <c r="A4145" s="1133"/>
      <c r="B4145" s="1136"/>
      <c r="C4145" s="1138"/>
    </row>
    <row r="4146" spans="1:3">
      <c r="A4146" s="1133"/>
      <c r="B4146" s="1136"/>
      <c r="C4146" s="1138"/>
    </row>
    <row r="4147" spans="1:3">
      <c r="A4147" s="1133"/>
      <c r="B4147" s="1136"/>
      <c r="C4147" s="1138"/>
    </row>
    <row r="4148" spans="1:3">
      <c r="A4148" s="1133"/>
      <c r="B4148" s="1136"/>
      <c r="C4148" s="1138"/>
    </row>
    <row r="4149" spans="1:3">
      <c r="A4149" s="1133"/>
      <c r="B4149" s="1136"/>
      <c r="C4149" s="1138"/>
    </row>
    <row r="4150" spans="1:3">
      <c r="A4150" s="1133"/>
      <c r="B4150" s="1136"/>
      <c r="C4150" s="1138"/>
    </row>
    <row r="4151" spans="1:3">
      <c r="A4151" s="1133"/>
      <c r="B4151" s="1136"/>
      <c r="C4151" s="1138"/>
    </row>
    <row r="4152" spans="1:3">
      <c r="A4152" s="1133"/>
      <c r="B4152" s="1136"/>
      <c r="C4152" s="1138"/>
    </row>
    <row r="4153" spans="1:3">
      <c r="A4153" s="1133"/>
      <c r="B4153" s="1136"/>
      <c r="C4153" s="1138"/>
    </row>
    <row r="4154" spans="1:3">
      <c r="A4154" s="1133"/>
      <c r="B4154" s="1136"/>
      <c r="C4154" s="1138"/>
    </row>
    <row r="4155" spans="1:3">
      <c r="A4155" s="1133"/>
      <c r="B4155" s="1136"/>
      <c r="C4155" s="1138"/>
    </row>
    <row r="4156" spans="1:3">
      <c r="A4156" s="1133"/>
      <c r="B4156" s="1136"/>
      <c r="C4156" s="1138"/>
    </row>
    <row r="4157" spans="1:3">
      <c r="A4157" s="1133"/>
      <c r="B4157" s="1136"/>
      <c r="C4157" s="1138"/>
    </row>
    <row r="4158" spans="1:3">
      <c r="A4158" s="1133"/>
      <c r="B4158" s="1136"/>
      <c r="C4158" s="1138"/>
    </row>
    <row r="4159" spans="1:3">
      <c r="A4159" s="1133"/>
      <c r="B4159" s="1136"/>
      <c r="C4159" s="1138"/>
    </row>
    <row r="4160" spans="1:3">
      <c r="A4160" s="1133"/>
      <c r="B4160" s="1136"/>
      <c r="C4160" s="1138"/>
    </row>
    <row r="4161" spans="1:3">
      <c r="A4161" s="1133"/>
      <c r="B4161" s="1136"/>
      <c r="C4161" s="1138"/>
    </row>
    <row r="4162" spans="1:3">
      <c r="A4162" s="1133"/>
      <c r="B4162" s="1136"/>
      <c r="C4162" s="1138"/>
    </row>
    <row r="4163" spans="1:3">
      <c r="A4163" s="1133"/>
      <c r="B4163" s="1136"/>
      <c r="C4163" s="1138"/>
    </row>
    <row r="4164" spans="1:3">
      <c r="A4164" s="1133"/>
      <c r="B4164" s="1136"/>
      <c r="C4164" s="1138"/>
    </row>
    <row r="4165" spans="1:3">
      <c r="A4165" s="1133"/>
      <c r="B4165" s="1136"/>
      <c r="C4165" s="1138"/>
    </row>
    <row r="4166" spans="1:3">
      <c r="A4166" s="1133"/>
      <c r="B4166" s="1136"/>
      <c r="C4166" s="1138"/>
    </row>
    <row r="4167" spans="1:3">
      <c r="A4167" s="1133"/>
      <c r="B4167" s="1136"/>
      <c r="C4167" s="1138"/>
    </row>
    <row r="4168" spans="1:3">
      <c r="A4168" s="1133"/>
      <c r="B4168" s="1136"/>
      <c r="C4168" s="1138"/>
    </row>
    <row r="4169" spans="1:3">
      <c r="A4169" s="1133"/>
      <c r="B4169" s="1136"/>
      <c r="C4169" s="1138"/>
    </row>
    <row r="4170" spans="1:3">
      <c r="A4170" s="1133"/>
      <c r="B4170" s="1136"/>
      <c r="C4170" s="1138"/>
    </row>
    <row r="4171" spans="1:3">
      <c r="A4171" s="1133"/>
      <c r="B4171" s="1136"/>
      <c r="C4171" s="1138"/>
    </row>
    <row r="4172" spans="1:3">
      <c r="A4172" s="1133"/>
      <c r="B4172" s="1136"/>
      <c r="C4172" s="1138"/>
    </row>
    <row r="4173" spans="1:3">
      <c r="A4173" s="1133"/>
      <c r="B4173" s="1136"/>
      <c r="C4173" s="1138"/>
    </row>
    <row r="4174" spans="1:3">
      <c r="A4174" s="1133"/>
      <c r="B4174" s="1136"/>
      <c r="C4174" s="1138"/>
    </row>
    <row r="4175" spans="1:3">
      <c r="A4175" s="1133"/>
      <c r="B4175" s="1136"/>
      <c r="C4175" s="1138"/>
    </row>
    <row r="4176" spans="1:3">
      <c r="A4176" s="1133"/>
      <c r="B4176" s="1136"/>
      <c r="C4176" s="1138"/>
    </row>
    <row r="4177" spans="1:3">
      <c r="A4177" s="1133"/>
      <c r="B4177" s="1136"/>
      <c r="C4177" s="1138"/>
    </row>
    <row r="4178" spans="1:3">
      <c r="A4178" s="1133"/>
      <c r="B4178" s="1136"/>
      <c r="C4178" s="1138"/>
    </row>
    <row r="4179" spans="1:3">
      <c r="A4179" s="1133"/>
      <c r="B4179" s="1136"/>
      <c r="C4179" s="1138"/>
    </row>
    <row r="4180" spans="1:3">
      <c r="A4180" s="1133"/>
      <c r="B4180" s="1136"/>
      <c r="C4180" s="1138"/>
    </row>
    <row r="4181" spans="1:3">
      <c r="A4181" s="1133"/>
      <c r="B4181" s="1136"/>
      <c r="C4181" s="1138"/>
    </row>
    <row r="4182" spans="1:3">
      <c r="A4182" s="1133"/>
      <c r="B4182" s="1136"/>
      <c r="C4182" s="1138"/>
    </row>
    <row r="4183" spans="1:3">
      <c r="A4183" s="1133"/>
      <c r="B4183" s="1136"/>
      <c r="C4183" s="1138"/>
    </row>
    <row r="4184" spans="1:3">
      <c r="A4184" s="1133"/>
      <c r="B4184" s="1136"/>
      <c r="C4184" s="1138"/>
    </row>
    <row r="4185" spans="1:3">
      <c r="A4185" s="1133"/>
      <c r="B4185" s="1136"/>
      <c r="C4185" s="1138"/>
    </row>
    <row r="4186" spans="1:3">
      <c r="A4186" s="1133"/>
      <c r="B4186" s="1136"/>
      <c r="C4186" s="1138"/>
    </row>
    <row r="4187" spans="1:3">
      <c r="A4187" s="1133"/>
      <c r="B4187" s="1136"/>
      <c r="C4187" s="1138"/>
    </row>
    <row r="4188" spans="1:3">
      <c r="A4188" s="1133"/>
      <c r="B4188" s="1136"/>
      <c r="C4188" s="1138"/>
    </row>
    <row r="4189" spans="1:3">
      <c r="A4189" s="1133"/>
      <c r="B4189" s="1136"/>
      <c r="C4189" s="1138"/>
    </row>
    <row r="4190" spans="1:3">
      <c r="A4190" s="1133"/>
      <c r="B4190" s="1136"/>
      <c r="C4190" s="1138"/>
    </row>
    <row r="4191" spans="1:3">
      <c r="A4191" s="1133"/>
      <c r="B4191" s="1136"/>
      <c r="C4191" s="1138"/>
    </row>
    <row r="4192" spans="1:3">
      <c r="A4192" s="1133"/>
      <c r="B4192" s="1136"/>
      <c r="C4192" s="1138"/>
    </row>
    <row r="4193" spans="1:3">
      <c r="A4193" s="1133"/>
      <c r="B4193" s="1136"/>
      <c r="C4193" s="1138"/>
    </row>
    <row r="4194" spans="1:3">
      <c r="A4194" s="1133"/>
      <c r="B4194" s="1136"/>
      <c r="C4194" s="1138"/>
    </row>
    <row r="4195" spans="1:3">
      <c r="A4195" s="1133"/>
      <c r="B4195" s="1136"/>
      <c r="C4195" s="1138"/>
    </row>
    <row r="4196" spans="1:3">
      <c r="A4196" s="1133"/>
      <c r="B4196" s="1136"/>
      <c r="C4196" s="1138"/>
    </row>
    <row r="4197" spans="1:3">
      <c r="A4197" s="1133"/>
      <c r="B4197" s="1136"/>
      <c r="C4197" s="1138"/>
    </row>
    <row r="4198" spans="1:3">
      <c r="A4198" s="1133"/>
      <c r="B4198" s="1136"/>
      <c r="C4198" s="1138"/>
    </row>
    <row r="4199" spans="1:3">
      <c r="A4199" s="1133"/>
      <c r="B4199" s="1136"/>
      <c r="C4199" s="1138"/>
    </row>
    <row r="4200" spans="1:3">
      <c r="A4200" s="1133"/>
      <c r="B4200" s="1136"/>
      <c r="C4200" s="1138"/>
    </row>
    <row r="4201" spans="1:3">
      <c r="A4201" s="1133"/>
      <c r="B4201" s="1136"/>
      <c r="C4201" s="1138"/>
    </row>
    <row r="4202" spans="1:3">
      <c r="A4202" s="1133"/>
      <c r="B4202" s="1136"/>
      <c r="C4202" s="1138"/>
    </row>
    <row r="4203" spans="1:3">
      <c r="A4203" s="1133"/>
      <c r="B4203" s="1136"/>
      <c r="C4203" s="1138"/>
    </row>
    <row r="4204" spans="1:3">
      <c r="A4204" s="1133"/>
      <c r="B4204" s="1136"/>
      <c r="C4204" s="1138"/>
    </row>
    <row r="4205" spans="1:3">
      <c r="A4205" s="1133"/>
      <c r="B4205" s="1136"/>
      <c r="C4205" s="1138"/>
    </row>
    <row r="4206" spans="1:3">
      <c r="A4206" s="1133"/>
      <c r="B4206" s="1136"/>
      <c r="C4206" s="1138"/>
    </row>
    <row r="4207" spans="1:3">
      <c r="A4207" s="1133"/>
      <c r="B4207" s="1136"/>
      <c r="C4207" s="1138"/>
    </row>
    <row r="4208" spans="1:3">
      <c r="A4208" s="1133"/>
      <c r="B4208" s="1136"/>
      <c r="C4208" s="1138"/>
    </row>
    <row r="4209" spans="1:3">
      <c r="A4209" s="1133"/>
      <c r="B4209" s="1136"/>
      <c r="C4209" s="1138"/>
    </row>
    <row r="4210" spans="1:3">
      <c r="A4210" s="1133"/>
      <c r="B4210" s="1136"/>
      <c r="C4210" s="1138"/>
    </row>
    <row r="4211" spans="1:3">
      <c r="A4211" s="1133"/>
      <c r="B4211" s="1136"/>
      <c r="C4211" s="1138"/>
    </row>
    <row r="4212" spans="1:3">
      <c r="A4212" s="1133"/>
      <c r="B4212" s="1136"/>
      <c r="C4212" s="1138"/>
    </row>
    <row r="4213" spans="1:3">
      <c r="A4213" s="1133"/>
      <c r="B4213" s="1136"/>
      <c r="C4213" s="1138"/>
    </row>
    <row r="4214" spans="1:3">
      <c r="A4214" s="1133"/>
      <c r="B4214" s="1136"/>
      <c r="C4214" s="1138"/>
    </row>
    <row r="4215" spans="1:3">
      <c r="A4215" s="1133"/>
      <c r="B4215" s="1136"/>
      <c r="C4215" s="1138"/>
    </row>
    <row r="4216" spans="1:3">
      <c r="A4216" s="1133"/>
      <c r="B4216" s="1136"/>
      <c r="C4216" s="1138"/>
    </row>
    <row r="4217" spans="1:3">
      <c r="A4217" s="1133"/>
      <c r="B4217" s="1136"/>
      <c r="C4217" s="1138"/>
    </row>
    <row r="4218" spans="1:3">
      <c r="A4218" s="1133"/>
      <c r="B4218" s="1136"/>
      <c r="C4218" s="1138"/>
    </row>
    <row r="4219" spans="1:3">
      <c r="A4219" s="1133"/>
      <c r="B4219" s="1136"/>
      <c r="C4219" s="1138"/>
    </row>
    <row r="4220" spans="1:3">
      <c r="A4220" s="1133"/>
      <c r="B4220" s="1136"/>
      <c r="C4220" s="1138"/>
    </row>
    <row r="4221" spans="1:3">
      <c r="A4221" s="1133"/>
      <c r="B4221" s="1136"/>
      <c r="C4221" s="1138"/>
    </row>
    <row r="4222" spans="1:3">
      <c r="A4222" s="1133"/>
      <c r="B4222" s="1136"/>
      <c r="C4222" s="1138"/>
    </row>
    <row r="4223" spans="1:3">
      <c r="A4223" s="1133"/>
      <c r="B4223" s="1136"/>
      <c r="C4223" s="1138"/>
    </row>
    <row r="4224" spans="1:3">
      <c r="A4224" s="1133"/>
      <c r="B4224" s="1136"/>
      <c r="C4224" s="1138"/>
    </row>
    <row r="4225" spans="1:3">
      <c r="A4225" s="1133"/>
      <c r="B4225" s="1136"/>
      <c r="C4225" s="1138"/>
    </row>
    <row r="4226" spans="1:3">
      <c r="A4226" s="1133"/>
      <c r="B4226" s="1136"/>
      <c r="C4226" s="1138"/>
    </row>
    <row r="4227" spans="1:3">
      <c r="A4227" s="1133"/>
      <c r="B4227" s="1136"/>
      <c r="C4227" s="1138"/>
    </row>
    <row r="4228" spans="1:3">
      <c r="A4228" s="1133"/>
      <c r="B4228" s="1136"/>
      <c r="C4228" s="1138"/>
    </row>
    <row r="4229" spans="1:3">
      <c r="A4229" s="1133"/>
      <c r="B4229" s="1136"/>
      <c r="C4229" s="1138"/>
    </row>
    <row r="4230" spans="1:3">
      <c r="A4230" s="1133"/>
      <c r="B4230" s="1136"/>
      <c r="C4230" s="1138"/>
    </row>
    <row r="4231" spans="1:3">
      <c r="A4231" s="1133"/>
      <c r="B4231" s="1136"/>
      <c r="C4231" s="1138"/>
    </row>
    <row r="4232" spans="1:3">
      <c r="A4232" s="1133"/>
      <c r="B4232" s="1136"/>
      <c r="C4232" s="1138"/>
    </row>
    <row r="4233" spans="1:3">
      <c r="A4233" s="1133"/>
      <c r="B4233" s="1136"/>
      <c r="C4233" s="1138"/>
    </row>
    <row r="4234" spans="1:3">
      <c r="A4234" s="1133"/>
      <c r="B4234" s="1136"/>
      <c r="C4234" s="1138"/>
    </row>
    <row r="4235" spans="1:3">
      <c r="A4235" s="1133"/>
      <c r="B4235" s="1136"/>
      <c r="C4235" s="1138"/>
    </row>
    <row r="4236" spans="1:3">
      <c r="A4236" s="1133"/>
      <c r="B4236" s="1136"/>
      <c r="C4236" s="1138"/>
    </row>
    <row r="4237" spans="1:3">
      <c r="A4237" s="1133"/>
      <c r="B4237" s="1136"/>
      <c r="C4237" s="1138"/>
    </row>
    <row r="4238" spans="1:3">
      <c r="A4238" s="1133"/>
      <c r="B4238" s="1136"/>
      <c r="C4238" s="1138"/>
    </row>
    <row r="4239" spans="1:3">
      <c r="A4239" s="1133"/>
      <c r="B4239" s="1136"/>
      <c r="C4239" s="1138"/>
    </row>
    <row r="4240" spans="1:3">
      <c r="A4240" s="1133"/>
      <c r="B4240" s="1136"/>
      <c r="C4240" s="1138"/>
    </row>
    <row r="4241" spans="1:3">
      <c r="A4241" s="1133"/>
      <c r="B4241" s="1136"/>
      <c r="C4241" s="1138"/>
    </row>
    <row r="4242" spans="1:3">
      <c r="A4242" s="1133"/>
      <c r="B4242" s="1136"/>
      <c r="C4242" s="1138"/>
    </row>
    <row r="4243" spans="1:3">
      <c r="A4243" s="1133"/>
      <c r="B4243" s="1136"/>
      <c r="C4243" s="1138"/>
    </row>
    <row r="4244" spans="1:3">
      <c r="A4244" s="1133"/>
      <c r="B4244" s="1136"/>
      <c r="C4244" s="1138"/>
    </row>
    <row r="4245" spans="1:3">
      <c r="A4245" s="1133"/>
      <c r="B4245" s="1136"/>
      <c r="C4245" s="1138"/>
    </row>
    <row r="4246" spans="1:3">
      <c r="A4246" s="1133"/>
      <c r="B4246" s="1136"/>
      <c r="C4246" s="1138"/>
    </row>
    <row r="4247" spans="1:3">
      <c r="A4247" s="1133"/>
      <c r="B4247" s="1136"/>
      <c r="C4247" s="1138"/>
    </row>
    <row r="4248" spans="1:3">
      <c r="A4248" s="1133"/>
      <c r="B4248" s="1136"/>
      <c r="C4248" s="1138"/>
    </row>
    <row r="4249" spans="1:3">
      <c r="A4249" s="1133"/>
      <c r="B4249" s="1136"/>
      <c r="C4249" s="1138"/>
    </row>
    <row r="4250" spans="1:3">
      <c r="A4250" s="1133"/>
      <c r="B4250" s="1136"/>
      <c r="C4250" s="1138"/>
    </row>
    <row r="4251" spans="1:3">
      <c r="A4251" s="1133"/>
      <c r="B4251" s="1136"/>
      <c r="C4251" s="1138"/>
    </row>
    <row r="4252" spans="1:3">
      <c r="A4252" s="1133"/>
      <c r="B4252" s="1136"/>
      <c r="C4252" s="1138"/>
    </row>
    <row r="4253" spans="1:3">
      <c r="A4253" s="1133"/>
      <c r="B4253" s="1136"/>
      <c r="C4253" s="1138"/>
    </row>
    <row r="4254" spans="1:3">
      <c r="A4254" s="1133"/>
      <c r="B4254" s="1136"/>
      <c r="C4254" s="1138"/>
    </row>
    <row r="4255" spans="1:3">
      <c r="A4255" s="1133"/>
      <c r="B4255" s="1136"/>
      <c r="C4255" s="1138"/>
    </row>
    <row r="4256" spans="1:3">
      <c r="A4256" s="1133"/>
      <c r="B4256" s="1136"/>
      <c r="C4256" s="1138"/>
    </row>
    <row r="4257" spans="1:3">
      <c r="A4257" s="1133"/>
      <c r="B4257" s="1136"/>
      <c r="C4257" s="1138"/>
    </row>
    <row r="4258" spans="1:3">
      <c r="A4258" s="1133"/>
      <c r="B4258" s="1136"/>
      <c r="C4258" s="1138"/>
    </row>
    <row r="4259" spans="1:3">
      <c r="A4259" s="1133"/>
      <c r="B4259" s="1136"/>
      <c r="C4259" s="1138"/>
    </row>
    <row r="4260" spans="1:3">
      <c r="A4260" s="1133"/>
      <c r="B4260" s="1136"/>
      <c r="C4260" s="1138"/>
    </row>
    <row r="4261" spans="1:3">
      <c r="A4261" s="1133"/>
      <c r="B4261" s="1136"/>
      <c r="C4261" s="1138"/>
    </row>
    <row r="4262" spans="1:3">
      <c r="A4262" s="1133"/>
      <c r="B4262" s="1136"/>
      <c r="C4262" s="1138"/>
    </row>
    <row r="4263" spans="1:3">
      <c r="A4263" s="1133"/>
      <c r="B4263" s="1136"/>
      <c r="C4263" s="1138"/>
    </row>
    <row r="4264" spans="1:3">
      <c r="A4264" s="1133"/>
      <c r="B4264" s="1136"/>
      <c r="C4264" s="1138"/>
    </row>
    <row r="4265" spans="1:3">
      <c r="A4265" s="1133"/>
      <c r="B4265" s="1136"/>
      <c r="C4265" s="1138"/>
    </row>
    <row r="4266" spans="1:3">
      <c r="A4266" s="1133"/>
      <c r="B4266" s="1136"/>
      <c r="C4266" s="1138"/>
    </row>
    <row r="4267" spans="1:3">
      <c r="A4267" s="1133"/>
      <c r="B4267" s="1136"/>
      <c r="C4267" s="1138"/>
    </row>
    <row r="4268" spans="1:3">
      <c r="A4268" s="1133"/>
      <c r="B4268" s="1136"/>
      <c r="C4268" s="1138"/>
    </row>
    <row r="4269" spans="1:3">
      <c r="A4269" s="1133"/>
      <c r="B4269" s="1136"/>
      <c r="C4269" s="1138"/>
    </row>
    <row r="4270" spans="1:3">
      <c r="A4270" s="1133"/>
      <c r="B4270" s="1136"/>
      <c r="C4270" s="1138"/>
    </row>
    <row r="4271" spans="1:3">
      <c r="A4271" s="1133"/>
      <c r="B4271" s="1136"/>
      <c r="C4271" s="1138"/>
    </row>
    <row r="4272" spans="1:3">
      <c r="A4272" s="1133"/>
      <c r="B4272" s="1136"/>
      <c r="C4272" s="1138"/>
    </row>
    <row r="4273" spans="1:3">
      <c r="A4273" s="1133"/>
      <c r="B4273" s="1136"/>
      <c r="C4273" s="1138"/>
    </row>
    <row r="4274" spans="1:3">
      <c r="A4274" s="1133"/>
      <c r="B4274" s="1136"/>
      <c r="C4274" s="1138"/>
    </row>
    <row r="4275" spans="1:3">
      <c r="A4275" s="1133"/>
      <c r="B4275" s="1136"/>
      <c r="C4275" s="1138"/>
    </row>
    <row r="4276" spans="1:3">
      <c r="A4276" s="1133"/>
      <c r="B4276" s="1136"/>
      <c r="C4276" s="1138"/>
    </row>
    <row r="4277" spans="1:3">
      <c r="A4277" s="1133"/>
      <c r="B4277" s="1136"/>
      <c r="C4277" s="1138"/>
    </row>
    <row r="4278" spans="1:3">
      <c r="A4278" s="1133"/>
      <c r="B4278" s="1136"/>
      <c r="C4278" s="1138"/>
    </row>
    <row r="4279" spans="1:3">
      <c r="A4279" s="1133"/>
      <c r="B4279" s="1136"/>
      <c r="C4279" s="1138"/>
    </row>
    <row r="4280" spans="1:3">
      <c r="A4280" s="1133"/>
      <c r="B4280" s="1136"/>
      <c r="C4280" s="1138"/>
    </row>
    <row r="4281" spans="1:3">
      <c r="A4281" s="1133"/>
      <c r="B4281" s="1136"/>
      <c r="C4281" s="1138"/>
    </row>
    <row r="4282" spans="1:3">
      <c r="A4282" s="1133"/>
      <c r="B4282" s="1136"/>
      <c r="C4282" s="1138"/>
    </row>
    <row r="4283" spans="1:3">
      <c r="A4283" s="1133"/>
      <c r="B4283" s="1136"/>
      <c r="C4283" s="1138"/>
    </row>
    <row r="4284" spans="1:3">
      <c r="A4284" s="1133"/>
      <c r="B4284" s="1136"/>
      <c r="C4284" s="1138"/>
    </row>
    <row r="4285" spans="1:3">
      <c r="A4285" s="1133"/>
      <c r="B4285" s="1136"/>
      <c r="C4285" s="1138"/>
    </row>
    <row r="4286" spans="1:3">
      <c r="A4286" s="1133"/>
      <c r="B4286" s="1136"/>
      <c r="C4286" s="1138"/>
    </row>
    <row r="4287" spans="1:3">
      <c r="A4287" s="1133"/>
      <c r="B4287" s="1136"/>
      <c r="C4287" s="1138"/>
    </row>
    <row r="4288" spans="1:3">
      <c r="A4288" s="1133"/>
      <c r="B4288" s="1136"/>
      <c r="C4288" s="1138"/>
    </row>
    <row r="4289" spans="1:3">
      <c r="A4289" s="1133"/>
      <c r="B4289" s="1136"/>
      <c r="C4289" s="1138"/>
    </row>
    <row r="4290" spans="1:3">
      <c r="A4290" s="1133"/>
      <c r="B4290" s="1136"/>
      <c r="C4290" s="1138"/>
    </row>
    <row r="4291" spans="1:3">
      <c r="A4291" s="1133"/>
      <c r="B4291" s="1136"/>
      <c r="C4291" s="1138"/>
    </row>
    <row r="4292" spans="1:3">
      <c r="A4292" s="1133"/>
      <c r="B4292" s="1136"/>
      <c r="C4292" s="1138"/>
    </row>
    <row r="4293" spans="1:3">
      <c r="A4293" s="1133"/>
      <c r="B4293" s="1136"/>
      <c r="C4293" s="1138"/>
    </row>
    <row r="4294" spans="1:3">
      <c r="A4294" s="1133"/>
      <c r="B4294" s="1136"/>
      <c r="C4294" s="1138"/>
    </row>
    <row r="4295" spans="1:3">
      <c r="A4295" s="1133"/>
      <c r="B4295" s="1136"/>
      <c r="C4295" s="1138"/>
    </row>
    <row r="4296" spans="1:3">
      <c r="A4296" s="1133"/>
      <c r="B4296" s="1136"/>
      <c r="C4296" s="1138"/>
    </row>
    <row r="4297" spans="1:3">
      <c r="A4297" s="1133"/>
      <c r="B4297" s="1136"/>
      <c r="C4297" s="1138"/>
    </row>
    <row r="4298" spans="1:3">
      <c r="A4298" s="1133"/>
      <c r="B4298" s="1136"/>
      <c r="C4298" s="1138"/>
    </row>
    <row r="4299" spans="1:3">
      <c r="A4299" s="1133"/>
      <c r="B4299" s="1136"/>
      <c r="C4299" s="1138"/>
    </row>
    <row r="4300" spans="1:3">
      <c r="A4300" s="1133"/>
      <c r="B4300" s="1136"/>
      <c r="C4300" s="1138"/>
    </row>
    <row r="4301" spans="1:3">
      <c r="A4301" s="1133"/>
      <c r="B4301" s="1136"/>
      <c r="C4301" s="1138"/>
    </row>
    <row r="4302" spans="1:3">
      <c r="A4302" s="1133"/>
      <c r="B4302" s="1136"/>
      <c r="C4302" s="1138"/>
    </row>
    <row r="4303" spans="1:3">
      <c r="A4303" s="1133"/>
      <c r="B4303" s="1136"/>
      <c r="C4303" s="1138"/>
    </row>
    <row r="4304" spans="1:3">
      <c r="A4304" s="1133"/>
      <c r="B4304" s="1136"/>
      <c r="C4304" s="1138"/>
    </row>
    <row r="4305" spans="1:3">
      <c r="A4305" s="1133"/>
      <c r="B4305" s="1136"/>
      <c r="C4305" s="1138"/>
    </row>
    <row r="4306" spans="1:3">
      <c r="A4306" s="1133"/>
      <c r="B4306" s="1136"/>
      <c r="C4306" s="1138"/>
    </row>
    <row r="4307" spans="1:3">
      <c r="A4307" s="1133"/>
      <c r="B4307" s="1136"/>
      <c r="C4307" s="1138"/>
    </row>
    <row r="4308" spans="1:3">
      <c r="A4308" s="1133"/>
      <c r="B4308" s="1136"/>
      <c r="C4308" s="1138"/>
    </row>
    <row r="4309" spans="1:3">
      <c r="A4309" s="1133"/>
      <c r="B4309" s="1136"/>
      <c r="C4309" s="1138"/>
    </row>
    <row r="4310" spans="1:3">
      <c r="A4310" s="1133"/>
      <c r="B4310" s="1136"/>
      <c r="C4310" s="1138"/>
    </row>
    <row r="4311" spans="1:3">
      <c r="A4311" s="1133"/>
      <c r="B4311" s="1136"/>
      <c r="C4311" s="1138"/>
    </row>
    <row r="4312" spans="1:3">
      <c r="A4312" s="1133"/>
      <c r="B4312" s="1136"/>
      <c r="C4312" s="1138"/>
    </row>
    <row r="4313" spans="1:3">
      <c r="A4313" s="1133"/>
      <c r="B4313" s="1136"/>
      <c r="C4313" s="1138"/>
    </row>
    <row r="4314" spans="1:3">
      <c r="A4314" s="1133"/>
      <c r="B4314" s="1136"/>
      <c r="C4314" s="1138"/>
    </row>
    <row r="4315" spans="1:3">
      <c r="A4315" s="1133"/>
      <c r="B4315" s="1136"/>
      <c r="C4315" s="1138"/>
    </row>
    <row r="4316" spans="1:3">
      <c r="A4316" s="1133"/>
      <c r="B4316" s="1136"/>
      <c r="C4316" s="1138"/>
    </row>
    <row r="4317" spans="1:3">
      <c r="A4317" s="1133"/>
      <c r="B4317" s="1136"/>
      <c r="C4317" s="1138"/>
    </row>
    <row r="4318" spans="1:3">
      <c r="A4318" s="1133"/>
      <c r="B4318" s="1136"/>
      <c r="C4318" s="1138"/>
    </row>
    <row r="4319" spans="1:3">
      <c r="A4319" s="1133"/>
      <c r="B4319" s="1136"/>
      <c r="C4319" s="1138"/>
    </row>
    <row r="4320" spans="1:3">
      <c r="A4320" s="1133"/>
      <c r="B4320" s="1136"/>
      <c r="C4320" s="1138"/>
    </row>
    <row r="4321" spans="1:3">
      <c r="A4321" s="1133"/>
      <c r="B4321" s="1136"/>
      <c r="C4321" s="1138"/>
    </row>
    <row r="4322" spans="1:3">
      <c r="A4322" s="1133"/>
      <c r="B4322" s="1136"/>
      <c r="C4322" s="1138"/>
    </row>
    <row r="4323" spans="1:3">
      <c r="A4323" s="1133"/>
      <c r="B4323" s="1136"/>
      <c r="C4323" s="1138"/>
    </row>
    <row r="4324" spans="1:3">
      <c r="A4324" s="1133"/>
      <c r="B4324" s="1136"/>
      <c r="C4324" s="1138"/>
    </row>
    <row r="4325" spans="1:3">
      <c r="A4325" s="1133"/>
      <c r="B4325" s="1136"/>
      <c r="C4325" s="1138"/>
    </row>
    <row r="4326" spans="1:3">
      <c r="A4326" s="1133"/>
      <c r="B4326" s="1136"/>
      <c r="C4326" s="1138"/>
    </row>
    <row r="4327" spans="1:3">
      <c r="A4327" s="1133"/>
      <c r="B4327" s="1136"/>
      <c r="C4327" s="1138"/>
    </row>
    <row r="4328" spans="1:3">
      <c r="A4328" s="1133"/>
      <c r="B4328" s="1136"/>
      <c r="C4328" s="1138"/>
    </row>
    <row r="4329" spans="1:3">
      <c r="A4329" s="1133"/>
      <c r="B4329" s="1136"/>
      <c r="C4329" s="1138"/>
    </row>
    <row r="4330" spans="1:3">
      <c r="A4330" s="1133"/>
      <c r="B4330" s="1136"/>
      <c r="C4330" s="1138"/>
    </row>
    <row r="4331" spans="1:3">
      <c r="A4331" s="1133"/>
      <c r="B4331" s="1136"/>
      <c r="C4331" s="1138"/>
    </row>
    <row r="4332" spans="1:3">
      <c r="A4332" s="1133"/>
      <c r="B4332" s="1136"/>
      <c r="C4332" s="1138"/>
    </row>
    <row r="4333" spans="1:3">
      <c r="A4333" s="1133"/>
      <c r="B4333" s="1136"/>
      <c r="C4333" s="1138"/>
    </row>
    <row r="4334" spans="1:3">
      <c r="A4334" s="1133"/>
      <c r="B4334" s="1136"/>
      <c r="C4334" s="1138"/>
    </row>
    <row r="4335" spans="1:3">
      <c r="A4335" s="1133"/>
      <c r="B4335" s="1136"/>
      <c r="C4335" s="1138"/>
    </row>
    <row r="4336" spans="1:3">
      <c r="A4336" s="1133"/>
      <c r="B4336" s="1136"/>
      <c r="C4336" s="1138"/>
    </row>
    <row r="4337" spans="1:3">
      <c r="A4337" s="1133"/>
      <c r="B4337" s="1136"/>
      <c r="C4337" s="1138"/>
    </row>
    <row r="4338" spans="1:3">
      <c r="A4338" s="1133"/>
      <c r="B4338" s="1136"/>
      <c r="C4338" s="1138"/>
    </row>
    <row r="4339" spans="1:3">
      <c r="A4339" s="1133"/>
      <c r="B4339" s="1136"/>
      <c r="C4339" s="1138"/>
    </row>
    <row r="4340" spans="1:3">
      <c r="A4340" s="1133"/>
      <c r="B4340" s="1136"/>
      <c r="C4340" s="1138"/>
    </row>
    <row r="4341" spans="1:3">
      <c r="A4341" s="1133"/>
      <c r="B4341" s="1136"/>
      <c r="C4341" s="1138"/>
    </row>
    <row r="4342" spans="1:3">
      <c r="A4342" s="1133"/>
      <c r="B4342" s="1136"/>
      <c r="C4342" s="1138"/>
    </row>
    <row r="4343" spans="1:3">
      <c r="A4343" s="1133"/>
      <c r="B4343" s="1136"/>
      <c r="C4343" s="1138"/>
    </row>
    <row r="4344" spans="1:3">
      <c r="A4344" s="1133"/>
      <c r="B4344" s="1136"/>
      <c r="C4344" s="1138"/>
    </row>
    <row r="4345" spans="1:3">
      <c r="A4345" s="1133"/>
      <c r="B4345" s="1136"/>
      <c r="C4345" s="1138"/>
    </row>
    <row r="4346" spans="1:3">
      <c r="A4346" s="1133"/>
      <c r="B4346" s="1136"/>
      <c r="C4346" s="1138"/>
    </row>
    <row r="4347" spans="1:3">
      <c r="A4347" s="1133"/>
      <c r="B4347" s="1136"/>
      <c r="C4347" s="1138"/>
    </row>
    <row r="4348" spans="1:3">
      <c r="A4348" s="1133"/>
      <c r="B4348" s="1136"/>
      <c r="C4348" s="1138"/>
    </row>
    <row r="4349" spans="1:3">
      <c r="A4349" s="1133"/>
      <c r="B4349" s="1136"/>
      <c r="C4349" s="1138"/>
    </row>
    <row r="4350" spans="1:3">
      <c r="A4350" s="1133"/>
      <c r="B4350" s="1136"/>
      <c r="C4350" s="1138"/>
    </row>
    <row r="4351" spans="1:3">
      <c r="A4351" s="1133"/>
      <c r="B4351" s="1136"/>
      <c r="C4351" s="1138"/>
    </row>
    <row r="4352" spans="1:3">
      <c r="A4352" s="1133"/>
      <c r="B4352" s="1136"/>
      <c r="C4352" s="1138"/>
    </row>
    <row r="4353" spans="1:3">
      <c r="A4353" s="1133"/>
      <c r="B4353" s="1136"/>
      <c r="C4353" s="1138"/>
    </row>
    <row r="4354" spans="1:3">
      <c r="A4354" s="1133"/>
      <c r="B4354" s="1136"/>
      <c r="C4354" s="1138"/>
    </row>
    <row r="4355" spans="1:3">
      <c r="A4355" s="1133"/>
      <c r="B4355" s="1136"/>
      <c r="C4355" s="1138"/>
    </row>
    <row r="4356" spans="1:3">
      <c r="A4356" s="1133"/>
      <c r="B4356" s="1136"/>
      <c r="C4356" s="1138"/>
    </row>
    <row r="4357" spans="1:3">
      <c r="A4357" s="1133"/>
      <c r="B4357" s="1136"/>
      <c r="C4357" s="1138"/>
    </row>
    <row r="4358" spans="1:3">
      <c r="A4358" s="1133"/>
      <c r="B4358" s="1136"/>
      <c r="C4358" s="1138"/>
    </row>
    <row r="4359" spans="1:3">
      <c r="A4359" s="1133"/>
      <c r="B4359" s="1136"/>
      <c r="C4359" s="1138"/>
    </row>
    <row r="4360" spans="1:3">
      <c r="A4360" s="1133"/>
      <c r="B4360" s="1136"/>
      <c r="C4360" s="1138"/>
    </row>
    <row r="4361" spans="1:3">
      <c r="A4361" s="1133"/>
      <c r="B4361" s="1136"/>
      <c r="C4361" s="1138"/>
    </row>
    <row r="4362" spans="1:3">
      <c r="A4362" s="1133"/>
      <c r="B4362" s="1136"/>
      <c r="C4362" s="1138"/>
    </row>
    <row r="4363" spans="1:3">
      <c r="A4363" s="1133"/>
      <c r="B4363" s="1136"/>
      <c r="C4363" s="1138"/>
    </row>
    <row r="4364" spans="1:3">
      <c r="A4364" s="1133"/>
      <c r="B4364" s="1136"/>
      <c r="C4364" s="1138"/>
    </row>
    <row r="4365" spans="1:3">
      <c r="A4365" s="1133"/>
      <c r="B4365" s="1136"/>
      <c r="C4365" s="1138"/>
    </row>
    <row r="4366" spans="1:3">
      <c r="A4366" s="1133"/>
      <c r="B4366" s="1136"/>
      <c r="C4366" s="1138"/>
    </row>
    <row r="4367" spans="1:3">
      <c r="A4367" s="1133"/>
      <c r="B4367" s="1136"/>
      <c r="C4367" s="1138"/>
    </row>
    <row r="4368" spans="1:3">
      <c r="A4368" s="1133"/>
      <c r="B4368" s="1136"/>
      <c r="C4368" s="1138"/>
    </row>
    <row r="4369" spans="1:3">
      <c r="A4369" s="1133"/>
      <c r="B4369" s="1136"/>
      <c r="C4369" s="1138"/>
    </row>
    <row r="4370" spans="1:3">
      <c r="A4370" s="1133"/>
      <c r="B4370" s="1136"/>
      <c r="C4370" s="1138"/>
    </row>
    <row r="4371" spans="1:3">
      <c r="A4371" s="1133"/>
      <c r="B4371" s="1136"/>
      <c r="C4371" s="1138"/>
    </row>
    <row r="4372" spans="1:3">
      <c r="A4372" s="1133"/>
      <c r="B4372" s="1136"/>
      <c r="C4372" s="1138"/>
    </row>
    <row r="4373" spans="1:3">
      <c r="A4373" s="1133"/>
      <c r="B4373" s="1136"/>
      <c r="C4373" s="1138"/>
    </row>
    <row r="4374" spans="1:3">
      <c r="A4374" s="1133"/>
      <c r="B4374" s="1136"/>
      <c r="C4374" s="1138"/>
    </row>
    <row r="4375" spans="1:3">
      <c r="A4375" s="1133"/>
      <c r="B4375" s="1136"/>
      <c r="C4375" s="1138"/>
    </row>
    <row r="4376" spans="1:3">
      <c r="A4376" s="1133"/>
      <c r="B4376" s="1136"/>
      <c r="C4376" s="1138"/>
    </row>
    <row r="4377" spans="1:3">
      <c r="A4377" s="1133"/>
      <c r="B4377" s="1136"/>
      <c r="C4377" s="1138"/>
    </row>
    <row r="4378" spans="1:3">
      <c r="A4378" s="1133"/>
      <c r="B4378" s="1136"/>
      <c r="C4378" s="1138"/>
    </row>
    <row r="4379" spans="1:3">
      <c r="A4379" s="1133"/>
      <c r="B4379" s="1136"/>
      <c r="C4379" s="1138"/>
    </row>
    <row r="4380" spans="1:3">
      <c r="A4380" s="1133"/>
      <c r="B4380" s="1136"/>
      <c r="C4380" s="1138"/>
    </row>
    <row r="4381" spans="1:3">
      <c r="A4381" s="1133"/>
      <c r="B4381" s="1136"/>
      <c r="C4381" s="1138"/>
    </row>
    <row r="4382" spans="1:3">
      <c r="A4382" s="1133"/>
      <c r="B4382" s="1136"/>
      <c r="C4382" s="1138"/>
    </row>
    <row r="4383" spans="1:3">
      <c r="A4383" s="1133"/>
      <c r="B4383" s="1136"/>
      <c r="C4383" s="1138"/>
    </row>
    <row r="4384" spans="1:3">
      <c r="A4384" s="1133"/>
      <c r="B4384" s="1136"/>
      <c r="C4384" s="1138"/>
    </row>
    <row r="4385" spans="1:3">
      <c r="A4385" s="1133"/>
      <c r="B4385" s="1136"/>
      <c r="C4385" s="1138"/>
    </row>
    <row r="4386" spans="1:3">
      <c r="A4386" s="1133"/>
      <c r="B4386" s="1136"/>
      <c r="C4386" s="1138"/>
    </row>
    <row r="4387" spans="1:3">
      <c r="A4387" s="1133"/>
      <c r="B4387" s="1136"/>
      <c r="C4387" s="1138"/>
    </row>
    <row r="4388" spans="1:3">
      <c r="A4388" s="1133"/>
      <c r="B4388" s="1136"/>
      <c r="C4388" s="1138"/>
    </row>
    <row r="4389" spans="1:3">
      <c r="A4389" s="1133"/>
      <c r="B4389" s="1136"/>
      <c r="C4389" s="1138"/>
    </row>
    <row r="4390" spans="1:3">
      <c r="A4390" s="1133"/>
      <c r="B4390" s="1136"/>
      <c r="C4390" s="1138"/>
    </row>
    <row r="4391" spans="1:3">
      <c r="A4391" s="1133"/>
      <c r="B4391" s="1136"/>
      <c r="C4391" s="1138"/>
    </row>
    <row r="4392" spans="1:3">
      <c r="A4392" s="1133"/>
      <c r="B4392" s="1136"/>
      <c r="C4392" s="1138"/>
    </row>
    <row r="4393" spans="1:3">
      <c r="A4393" s="1133"/>
      <c r="B4393" s="1136"/>
      <c r="C4393" s="1138"/>
    </row>
    <row r="4394" spans="1:3">
      <c r="A4394" s="1133"/>
      <c r="B4394" s="1136"/>
      <c r="C4394" s="1138"/>
    </row>
    <row r="4395" spans="1:3">
      <c r="A4395" s="1133"/>
      <c r="B4395" s="1136"/>
      <c r="C4395" s="1138"/>
    </row>
    <row r="4396" spans="1:3">
      <c r="A4396" s="1133"/>
      <c r="B4396" s="1136"/>
      <c r="C4396" s="1138"/>
    </row>
    <row r="4397" spans="1:3">
      <c r="A4397" s="1133"/>
      <c r="B4397" s="1136"/>
      <c r="C4397" s="1138"/>
    </row>
    <row r="4398" spans="1:3">
      <c r="A4398" s="1133"/>
      <c r="B4398" s="1136"/>
      <c r="C4398" s="1138"/>
    </row>
    <row r="4399" spans="1:3">
      <c r="A4399" s="1133"/>
      <c r="B4399" s="1136"/>
      <c r="C4399" s="1138"/>
    </row>
    <row r="4400" spans="1:3">
      <c r="A4400" s="1133"/>
      <c r="B4400" s="1136"/>
      <c r="C4400" s="1138"/>
    </row>
    <row r="4401" spans="1:3">
      <c r="A4401" s="1133"/>
      <c r="B4401" s="1136"/>
      <c r="C4401" s="1138"/>
    </row>
    <row r="4402" spans="1:3">
      <c r="A4402" s="1133"/>
      <c r="B4402" s="1136"/>
      <c r="C4402" s="1138"/>
    </row>
    <row r="4403" spans="1:3">
      <c r="A4403" s="1133"/>
      <c r="B4403" s="1136"/>
      <c r="C4403" s="1138"/>
    </row>
    <row r="4404" spans="1:3">
      <c r="A4404" s="1133"/>
      <c r="B4404" s="1136"/>
      <c r="C4404" s="1138"/>
    </row>
    <row r="4405" spans="1:3">
      <c r="A4405" s="1133"/>
      <c r="B4405" s="1136"/>
      <c r="C4405" s="1138"/>
    </row>
    <row r="4406" spans="1:3">
      <c r="A4406" s="1133"/>
      <c r="B4406" s="1136"/>
      <c r="C4406" s="1138"/>
    </row>
    <row r="4407" spans="1:3">
      <c r="A4407" s="1133"/>
      <c r="B4407" s="1136"/>
      <c r="C4407" s="1138"/>
    </row>
    <row r="4408" spans="1:3">
      <c r="A4408" s="1133"/>
      <c r="B4408" s="1136"/>
      <c r="C4408" s="1138"/>
    </row>
    <row r="4409" spans="1:3">
      <c r="A4409" s="1133"/>
      <c r="B4409" s="1136"/>
      <c r="C4409" s="1138"/>
    </row>
    <row r="4410" spans="1:3">
      <c r="A4410" s="1133"/>
      <c r="B4410" s="1136"/>
      <c r="C4410" s="1138"/>
    </row>
    <row r="4411" spans="1:3">
      <c r="A4411" s="1133"/>
      <c r="B4411" s="1136"/>
      <c r="C4411" s="1138"/>
    </row>
    <row r="4412" spans="1:3">
      <c r="A4412" s="1133"/>
      <c r="B4412" s="1136"/>
      <c r="C4412" s="1138"/>
    </row>
    <row r="4413" spans="1:3">
      <c r="A4413" s="1133"/>
      <c r="B4413" s="1136"/>
      <c r="C4413" s="1138"/>
    </row>
    <row r="4414" spans="1:3">
      <c r="A4414" s="1133"/>
      <c r="B4414" s="1136"/>
      <c r="C4414" s="1138"/>
    </row>
    <row r="4415" spans="1:3">
      <c r="A4415" s="1133"/>
      <c r="B4415" s="1136"/>
      <c r="C4415" s="1138"/>
    </row>
    <row r="4416" spans="1:3">
      <c r="A4416" s="1133"/>
      <c r="B4416" s="1136"/>
      <c r="C4416" s="1138"/>
    </row>
    <row r="4417" spans="1:3">
      <c r="A4417" s="1133"/>
      <c r="B4417" s="1136"/>
      <c r="C4417" s="1138"/>
    </row>
    <row r="4418" spans="1:3">
      <c r="A4418" s="1133"/>
      <c r="B4418" s="1136"/>
      <c r="C4418" s="1138"/>
    </row>
    <row r="4419" spans="1:3">
      <c r="A4419" s="1133"/>
      <c r="B4419" s="1136"/>
      <c r="C4419" s="1138"/>
    </row>
    <row r="4420" spans="1:3">
      <c r="A4420" s="1133"/>
      <c r="B4420" s="1136"/>
      <c r="C4420" s="1138"/>
    </row>
    <row r="4421" spans="1:3">
      <c r="A4421" s="1133"/>
      <c r="B4421" s="1136"/>
      <c r="C4421" s="1138"/>
    </row>
    <row r="4422" spans="1:3">
      <c r="A4422" s="1133"/>
      <c r="B4422" s="1136"/>
      <c r="C4422" s="1138"/>
    </row>
    <row r="4423" spans="1:3">
      <c r="A4423" s="1133"/>
      <c r="B4423" s="1136"/>
      <c r="C4423" s="1138"/>
    </row>
    <row r="4424" spans="1:3">
      <c r="A4424" s="1133"/>
      <c r="B4424" s="1136"/>
      <c r="C4424" s="1138"/>
    </row>
    <row r="4425" spans="1:3">
      <c r="A4425" s="1133"/>
      <c r="B4425" s="1136"/>
      <c r="C4425" s="1138"/>
    </row>
    <row r="4426" spans="1:3">
      <c r="A4426" s="1133"/>
      <c r="B4426" s="1136"/>
      <c r="C4426" s="1138"/>
    </row>
    <row r="4427" spans="1:3">
      <c r="A4427" s="1133"/>
      <c r="B4427" s="1136"/>
      <c r="C4427" s="1138"/>
    </row>
    <row r="4428" spans="1:3">
      <c r="A4428" s="1133"/>
      <c r="B4428" s="1136"/>
      <c r="C4428" s="1138"/>
    </row>
    <row r="4429" spans="1:3">
      <c r="A4429" s="1133"/>
      <c r="B4429" s="1136"/>
      <c r="C4429" s="1138"/>
    </row>
    <row r="4430" spans="1:3">
      <c r="A4430" s="1133"/>
      <c r="B4430" s="1136"/>
      <c r="C4430" s="1138"/>
    </row>
    <row r="4431" spans="1:3">
      <c r="A4431" s="1133"/>
      <c r="B4431" s="1136"/>
      <c r="C4431" s="1138"/>
    </row>
    <row r="4432" spans="1:3">
      <c r="A4432" s="1133"/>
      <c r="B4432" s="1136"/>
      <c r="C4432" s="1138"/>
    </row>
    <row r="4433" spans="1:3">
      <c r="A4433" s="1133"/>
      <c r="B4433" s="1136"/>
      <c r="C4433" s="1138"/>
    </row>
    <row r="4434" spans="1:3">
      <c r="A4434" s="1133"/>
      <c r="B4434" s="1136"/>
      <c r="C4434" s="1138"/>
    </row>
    <row r="4435" spans="1:3">
      <c r="A4435" s="1133"/>
      <c r="B4435" s="1136"/>
      <c r="C4435" s="1138"/>
    </row>
    <row r="4436" spans="1:3">
      <c r="A4436" s="1133"/>
      <c r="B4436" s="1136"/>
      <c r="C4436" s="1138"/>
    </row>
    <row r="4437" spans="1:3">
      <c r="A4437" s="1133"/>
      <c r="B4437" s="1136"/>
      <c r="C4437" s="1138"/>
    </row>
    <row r="4438" spans="1:3">
      <c r="A4438" s="1133"/>
      <c r="B4438" s="1136"/>
      <c r="C4438" s="1138"/>
    </row>
    <row r="4439" spans="1:3">
      <c r="A4439" s="1133"/>
      <c r="B4439" s="1136"/>
      <c r="C4439" s="1138"/>
    </row>
    <row r="4440" spans="1:3">
      <c r="A4440" s="1133"/>
      <c r="B4440" s="1136"/>
      <c r="C4440" s="1138"/>
    </row>
    <row r="4441" spans="1:3">
      <c r="A4441" s="1133"/>
      <c r="B4441" s="1136"/>
      <c r="C4441" s="1138"/>
    </row>
    <row r="4442" spans="1:3">
      <c r="A4442" s="1133"/>
      <c r="B4442" s="1136"/>
      <c r="C4442" s="1138"/>
    </row>
    <row r="4443" spans="1:3">
      <c r="A4443" s="1133"/>
      <c r="B4443" s="1136"/>
      <c r="C4443" s="1138"/>
    </row>
    <row r="4444" spans="1:3">
      <c r="A4444" s="1133"/>
      <c r="B4444" s="1136"/>
      <c r="C4444" s="1138"/>
    </row>
    <row r="4445" spans="1:3">
      <c r="A4445" s="1133"/>
      <c r="B4445" s="1136"/>
      <c r="C4445" s="1138"/>
    </row>
    <row r="4446" spans="1:3">
      <c r="A4446" s="1133"/>
      <c r="B4446" s="1136"/>
      <c r="C4446" s="1138"/>
    </row>
    <row r="4447" spans="1:3">
      <c r="A4447" s="1133"/>
      <c r="B4447" s="1136"/>
      <c r="C4447" s="1138"/>
    </row>
    <row r="4448" spans="1:3">
      <c r="A4448" s="1133"/>
      <c r="B4448" s="1136"/>
      <c r="C4448" s="1138"/>
    </row>
    <row r="4449" spans="1:3">
      <c r="A4449" s="1133"/>
      <c r="B4449" s="1136"/>
      <c r="C4449" s="1138"/>
    </row>
    <row r="4450" spans="1:3">
      <c r="A4450" s="1133"/>
      <c r="B4450" s="1136"/>
      <c r="C4450" s="1138"/>
    </row>
    <row r="4451" spans="1:3">
      <c r="A4451" s="1133"/>
      <c r="B4451" s="1136"/>
      <c r="C4451" s="1138"/>
    </row>
    <row r="4452" spans="1:3">
      <c r="A4452" s="1133"/>
      <c r="B4452" s="1136"/>
      <c r="C4452" s="1138"/>
    </row>
    <row r="4453" spans="1:3">
      <c r="A4453" s="1133"/>
      <c r="B4453" s="1136"/>
      <c r="C4453" s="1138"/>
    </row>
    <row r="4454" spans="1:3">
      <c r="A4454" s="1133"/>
      <c r="B4454" s="1136"/>
      <c r="C4454" s="1138"/>
    </row>
    <row r="4455" spans="1:3">
      <c r="A4455" s="1133"/>
      <c r="B4455" s="1136"/>
      <c r="C4455" s="1138"/>
    </row>
    <row r="4456" spans="1:3">
      <c r="A4456" s="1133"/>
      <c r="B4456" s="1136"/>
      <c r="C4456" s="1138"/>
    </row>
    <row r="4457" spans="1:3">
      <c r="A4457" s="1133"/>
      <c r="B4457" s="1136"/>
      <c r="C4457" s="1138"/>
    </row>
    <row r="4458" spans="1:3">
      <c r="A4458" s="1133"/>
      <c r="B4458" s="1136"/>
      <c r="C4458" s="1138"/>
    </row>
    <row r="4459" spans="1:3">
      <c r="A4459" s="1133"/>
      <c r="B4459" s="1136"/>
      <c r="C4459" s="1138"/>
    </row>
    <row r="4460" spans="1:3">
      <c r="A4460" s="1133"/>
      <c r="B4460" s="1136"/>
      <c r="C4460" s="1138"/>
    </row>
    <row r="4461" spans="1:3">
      <c r="A4461" s="1133"/>
      <c r="B4461" s="1136"/>
      <c r="C4461" s="1138"/>
    </row>
    <row r="4462" spans="1:3">
      <c r="A4462" s="1133"/>
      <c r="B4462" s="1136"/>
      <c r="C4462" s="1138"/>
    </row>
    <row r="4463" spans="1:3">
      <c r="A4463" s="1133"/>
      <c r="B4463" s="1136"/>
      <c r="C4463" s="1138"/>
    </row>
    <row r="4464" spans="1:3">
      <c r="A4464" s="1133"/>
      <c r="B4464" s="1136"/>
      <c r="C4464" s="1138"/>
    </row>
    <row r="4465" spans="1:3">
      <c r="A4465" s="1133"/>
      <c r="B4465" s="1136"/>
      <c r="C4465" s="1138"/>
    </row>
    <row r="4466" spans="1:3">
      <c r="A4466" s="1133"/>
      <c r="B4466" s="1136"/>
      <c r="C4466" s="1138"/>
    </row>
    <row r="4467" spans="1:3">
      <c r="A4467" s="1133"/>
      <c r="B4467" s="1136"/>
      <c r="C4467" s="1138"/>
    </row>
    <row r="4468" spans="1:3">
      <c r="A4468" s="1133"/>
      <c r="B4468" s="1136"/>
      <c r="C4468" s="1138"/>
    </row>
    <row r="4469" spans="1:3">
      <c r="A4469" s="1133"/>
      <c r="B4469" s="1136"/>
      <c r="C4469" s="1138"/>
    </row>
    <row r="4470" spans="1:3">
      <c r="A4470" s="1133"/>
      <c r="B4470" s="1136"/>
      <c r="C4470" s="1138"/>
    </row>
    <row r="4471" spans="1:3">
      <c r="A4471" s="1133"/>
      <c r="B4471" s="1136"/>
      <c r="C4471" s="1138"/>
    </row>
    <row r="4472" spans="1:3">
      <c r="A4472" s="1133"/>
      <c r="B4472" s="1136"/>
      <c r="C4472" s="1138"/>
    </row>
    <row r="4473" spans="1:3">
      <c r="A4473" s="1133"/>
      <c r="B4473" s="1136"/>
      <c r="C4473" s="1138"/>
    </row>
    <row r="4474" spans="1:3">
      <c r="A4474" s="1133"/>
      <c r="B4474" s="1136"/>
      <c r="C4474" s="1138"/>
    </row>
    <row r="4475" spans="1:3">
      <c r="A4475" s="1133"/>
      <c r="B4475" s="1136"/>
      <c r="C4475" s="1138"/>
    </row>
    <row r="4476" spans="1:3">
      <c r="A4476" s="1133"/>
      <c r="B4476" s="1136"/>
      <c r="C4476" s="1138"/>
    </row>
    <row r="4477" spans="1:3">
      <c r="A4477" s="1133"/>
      <c r="B4477" s="1136"/>
      <c r="C4477" s="1138"/>
    </row>
    <row r="4478" spans="1:3">
      <c r="A4478" s="1133"/>
      <c r="B4478" s="1136"/>
      <c r="C4478" s="1138"/>
    </row>
    <row r="4479" spans="1:3">
      <c r="A4479" s="1133"/>
      <c r="B4479" s="1136"/>
      <c r="C4479" s="1138"/>
    </row>
    <row r="4480" spans="1:3">
      <c r="A4480" s="1133"/>
      <c r="B4480" s="1136"/>
      <c r="C4480" s="1138"/>
    </row>
    <row r="4481" spans="1:3">
      <c r="A4481" s="1133"/>
      <c r="B4481" s="1136"/>
      <c r="C4481" s="1138"/>
    </row>
    <row r="4482" spans="1:3">
      <c r="A4482" s="1133"/>
      <c r="B4482" s="1136"/>
      <c r="C4482" s="1138"/>
    </row>
    <row r="4483" spans="1:3">
      <c r="A4483" s="1133"/>
      <c r="B4483" s="1136"/>
      <c r="C4483" s="1138"/>
    </row>
    <row r="4484" spans="1:3">
      <c r="A4484" s="1133"/>
      <c r="B4484" s="1136"/>
      <c r="C4484" s="1138"/>
    </row>
    <row r="4485" spans="1:3">
      <c r="A4485" s="1133"/>
      <c r="B4485" s="1136"/>
      <c r="C4485" s="1138"/>
    </row>
    <row r="4486" spans="1:3">
      <c r="A4486" s="1133"/>
      <c r="B4486" s="1136"/>
      <c r="C4486" s="1138"/>
    </row>
    <row r="4487" spans="1:3">
      <c r="A4487" s="1133"/>
      <c r="B4487" s="1136"/>
      <c r="C4487" s="1138"/>
    </row>
    <row r="4488" spans="1:3">
      <c r="A4488" s="1133"/>
      <c r="B4488" s="1136"/>
      <c r="C4488" s="1138"/>
    </row>
    <row r="4489" spans="1:3">
      <c r="A4489" s="1133"/>
      <c r="B4489" s="1136"/>
      <c r="C4489" s="1138"/>
    </row>
    <row r="4490" spans="1:3">
      <c r="A4490" s="1133"/>
      <c r="B4490" s="1136"/>
      <c r="C4490" s="1138"/>
    </row>
    <row r="4491" spans="1:3">
      <c r="A4491" s="1133"/>
      <c r="B4491" s="1136"/>
      <c r="C4491" s="1138"/>
    </row>
    <row r="4492" spans="1:3">
      <c r="A4492" s="1133"/>
      <c r="B4492" s="1136"/>
      <c r="C4492" s="1138"/>
    </row>
    <row r="4493" spans="1:3">
      <c r="A4493" s="1133"/>
      <c r="B4493" s="1136"/>
      <c r="C4493" s="1138"/>
    </row>
    <row r="4494" spans="1:3">
      <c r="A4494" s="1133"/>
      <c r="B4494" s="1136"/>
      <c r="C4494" s="1138"/>
    </row>
    <row r="4495" spans="1:3">
      <c r="A4495" s="1133"/>
      <c r="B4495" s="1136"/>
      <c r="C4495" s="1138"/>
    </row>
    <row r="4496" spans="1:3">
      <c r="A4496" s="1133"/>
      <c r="B4496" s="1136"/>
      <c r="C4496" s="1138"/>
    </row>
    <row r="4497" spans="1:3">
      <c r="A4497" s="1133"/>
      <c r="B4497" s="1136"/>
      <c r="C4497" s="1138"/>
    </row>
    <row r="4498" spans="1:3">
      <c r="A4498" s="1133"/>
      <c r="B4498" s="1136"/>
      <c r="C4498" s="1138"/>
    </row>
    <row r="4499" spans="1:3">
      <c r="A4499" s="1133"/>
      <c r="B4499" s="1136"/>
      <c r="C4499" s="1138"/>
    </row>
    <row r="4500" spans="1:3">
      <c r="A4500" s="1133"/>
      <c r="B4500" s="1136"/>
      <c r="C4500" s="1138"/>
    </row>
    <row r="4501" spans="1:3">
      <c r="A4501" s="1133"/>
      <c r="B4501" s="1136"/>
      <c r="C4501" s="1138"/>
    </row>
    <row r="4502" spans="1:3">
      <c r="A4502" s="1133"/>
      <c r="B4502" s="1136"/>
      <c r="C4502" s="1138"/>
    </row>
    <row r="4503" spans="1:3">
      <c r="A4503" s="1133"/>
      <c r="B4503" s="1136"/>
      <c r="C4503" s="1138"/>
    </row>
    <row r="4504" spans="1:3">
      <c r="A4504" s="1133"/>
      <c r="B4504" s="1136"/>
      <c r="C4504" s="1138"/>
    </row>
    <row r="4505" spans="1:3">
      <c r="A4505" s="1133"/>
      <c r="B4505" s="1136"/>
      <c r="C4505" s="1138"/>
    </row>
    <row r="4506" spans="1:3">
      <c r="A4506" s="1133"/>
      <c r="B4506" s="1136"/>
      <c r="C4506" s="1138"/>
    </row>
    <row r="4507" spans="1:3">
      <c r="A4507" s="1133"/>
      <c r="B4507" s="1136"/>
      <c r="C4507" s="1138"/>
    </row>
    <row r="4508" spans="1:3">
      <c r="A4508" s="1133"/>
      <c r="B4508" s="1136"/>
      <c r="C4508" s="1138"/>
    </row>
    <row r="4509" spans="1:3">
      <c r="A4509" s="1133"/>
      <c r="B4509" s="1136"/>
      <c r="C4509" s="1138"/>
    </row>
    <row r="4510" spans="1:3">
      <c r="A4510" s="1133"/>
      <c r="B4510" s="1136"/>
      <c r="C4510" s="1138"/>
    </row>
    <row r="4511" spans="1:3">
      <c r="A4511" s="1133"/>
      <c r="B4511" s="1136"/>
      <c r="C4511" s="1138"/>
    </row>
    <row r="4512" spans="1:3">
      <c r="A4512" s="1133"/>
      <c r="B4512" s="1136"/>
      <c r="C4512" s="1138"/>
    </row>
    <row r="4513" spans="1:3">
      <c r="A4513" s="1133"/>
      <c r="B4513" s="1136"/>
      <c r="C4513" s="1138"/>
    </row>
    <row r="4514" spans="1:3">
      <c r="A4514" s="1133"/>
      <c r="B4514" s="1136"/>
      <c r="C4514" s="1138"/>
    </row>
    <row r="4515" spans="1:3">
      <c r="A4515" s="1133"/>
      <c r="B4515" s="1136"/>
      <c r="C4515" s="1138"/>
    </row>
    <row r="4516" spans="1:3">
      <c r="A4516" s="1133"/>
      <c r="B4516" s="1136"/>
      <c r="C4516" s="1138"/>
    </row>
    <row r="4517" spans="1:3">
      <c r="A4517" s="1133"/>
      <c r="B4517" s="1136"/>
      <c r="C4517" s="1138"/>
    </row>
    <row r="4518" spans="1:3">
      <c r="A4518" s="1133"/>
      <c r="B4518" s="1136"/>
      <c r="C4518" s="1138"/>
    </row>
    <row r="4519" spans="1:3">
      <c r="A4519" s="1133"/>
      <c r="B4519" s="1136"/>
      <c r="C4519" s="1138"/>
    </row>
    <row r="4520" spans="1:3">
      <c r="A4520" s="1133"/>
      <c r="B4520" s="1136"/>
      <c r="C4520" s="1138"/>
    </row>
    <row r="4521" spans="1:3">
      <c r="A4521" s="1133"/>
      <c r="B4521" s="1136"/>
      <c r="C4521" s="1138"/>
    </row>
    <row r="4522" spans="1:3">
      <c r="A4522" s="1133"/>
      <c r="B4522" s="1136"/>
      <c r="C4522" s="1138"/>
    </row>
    <row r="4523" spans="1:3">
      <c r="A4523" s="1133"/>
      <c r="B4523" s="1136"/>
      <c r="C4523" s="1138"/>
    </row>
    <row r="4524" spans="1:3">
      <c r="A4524" s="1133"/>
      <c r="B4524" s="1136"/>
      <c r="C4524" s="1138"/>
    </row>
    <row r="4525" spans="1:3">
      <c r="A4525" s="1133"/>
      <c r="B4525" s="1136"/>
      <c r="C4525" s="1138"/>
    </row>
    <row r="4526" spans="1:3">
      <c r="A4526" s="1133"/>
      <c r="B4526" s="1136"/>
      <c r="C4526" s="1138"/>
    </row>
    <row r="4527" spans="1:3">
      <c r="A4527" s="1133"/>
      <c r="B4527" s="1136"/>
      <c r="C4527" s="1138"/>
    </row>
    <row r="4528" spans="1:3">
      <c r="A4528" s="1133"/>
      <c r="B4528" s="1136"/>
      <c r="C4528" s="1138"/>
    </row>
    <row r="4529" spans="1:3">
      <c r="A4529" s="1133"/>
      <c r="B4529" s="1136"/>
      <c r="C4529" s="1138"/>
    </row>
    <row r="4530" spans="1:3">
      <c r="A4530" s="1133"/>
      <c r="B4530" s="1136"/>
      <c r="C4530" s="1138"/>
    </row>
    <row r="4531" spans="1:3">
      <c r="A4531" s="1133"/>
      <c r="B4531" s="1136"/>
      <c r="C4531" s="1138"/>
    </row>
    <row r="4532" spans="1:3">
      <c r="A4532" s="1133"/>
      <c r="B4532" s="1136"/>
      <c r="C4532" s="1138"/>
    </row>
    <row r="4533" spans="1:3">
      <c r="A4533" s="1133"/>
      <c r="B4533" s="1136"/>
      <c r="C4533" s="1138"/>
    </row>
    <row r="4534" spans="1:3">
      <c r="A4534" s="1133"/>
      <c r="B4534" s="1136"/>
      <c r="C4534" s="1138"/>
    </row>
    <row r="4535" spans="1:3">
      <c r="A4535" s="1133"/>
      <c r="B4535" s="1136"/>
      <c r="C4535" s="1138"/>
    </row>
    <row r="4536" spans="1:3">
      <c r="A4536" s="1133"/>
      <c r="B4536" s="1136"/>
      <c r="C4536" s="1138"/>
    </row>
    <row r="4537" spans="1:3">
      <c r="A4537" s="1133"/>
      <c r="B4537" s="1136"/>
      <c r="C4537" s="1138"/>
    </row>
    <row r="4538" spans="1:3">
      <c r="A4538" s="1133"/>
      <c r="B4538" s="1136"/>
      <c r="C4538" s="1138"/>
    </row>
    <row r="4539" spans="1:3">
      <c r="A4539" s="1133"/>
      <c r="B4539" s="1136"/>
      <c r="C4539" s="1138"/>
    </row>
    <row r="4540" spans="1:3">
      <c r="A4540" s="1133"/>
      <c r="B4540" s="1136"/>
      <c r="C4540" s="1138"/>
    </row>
    <row r="4541" spans="1:3">
      <c r="A4541" s="1133"/>
      <c r="B4541" s="1136"/>
      <c r="C4541" s="1138"/>
    </row>
    <row r="4542" spans="1:3">
      <c r="A4542" s="1133"/>
      <c r="B4542" s="1136"/>
      <c r="C4542" s="1138"/>
    </row>
    <row r="4543" spans="1:3">
      <c r="A4543" s="1133"/>
      <c r="B4543" s="1136"/>
      <c r="C4543" s="1138"/>
    </row>
    <row r="4544" spans="1:3">
      <c r="A4544" s="1133"/>
      <c r="B4544" s="1136"/>
      <c r="C4544" s="1138"/>
    </row>
    <row r="4545" spans="1:3">
      <c r="A4545" s="1133"/>
      <c r="B4545" s="1136"/>
      <c r="C4545" s="1138"/>
    </row>
    <row r="4546" spans="1:3">
      <c r="A4546" s="1133"/>
      <c r="B4546" s="1136"/>
      <c r="C4546" s="1138"/>
    </row>
    <row r="4547" spans="1:3">
      <c r="A4547" s="1133"/>
      <c r="B4547" s="1136"/>
      <c r="C4547" s="1138"/>
    </row>
    <row r="4548" spans="1:3">
      <c r="A4548" s="1133"/>
      <c r="B4548" s="1136"/>
      <c r="C4548" s="1138"/>
    </row>
    <row r="4549" spans="1:3">
      <c r="A4549" s="1133"/>
      <c r="B4549" s="1136"/>
      <c r="C4549" s="1138"/>
    </row>
    <row r="4550" spans="1:3">
      <c r="A4550" s="1133"/>
      <c r="B4550" s="1136"/>
      <c r="C4550" s="1138"/>
    </row>
    <row r="4551" spans="1:3">
      <c r="A4551" s="1133"/>
      <c r="B4551" s="1136"/>
      <c r="C4551" s="1138"/>
    </row>
    <row r="4552" spans="1:3">
      <c r="A4552" s="1133"/>
      <c r="B4552" s="1136"/>
      <c r="C4552" s="1138"/>
    </row>
    <row r="4553" spans="1:3">
      <c r="A4553" s="1133"/>
      <c r="B4553" s="1136"/>
      <c r="C4553" s="1138"/>
    </row>
    <row r="4554" spans="1:3">
      <c r="A4554" s="1133"/>
      <c r="B4554" s="1136"/>
      <c r="C4554" s="1138"/>
    </row>
    <row r="4555" spans="1:3">
      <c r="A4555" s="1133"/>
      <c r="B4555" s="1136"/>
      <c r="C4555" s="1138"/>
    </row>
    <row r="4556" spans="1:3">
      <c r="A4556" s="1133"/>
      <c r="B4556" s="1136"/>
      <c r="C4556" s="1138"/>
    </row>
    <row r="4557" spans="1:3">
      <c r="A4557" s="1133"/>
      <c r="B4557" s="1136"/>
      <c r="C4557" s="1138"/>
    </row>
    <row r="4558" spans="1:3">
      <c r="A4558" s="1133"/>
      <c r="B4558" s="1136"/>
      <c r="C4558" s="1138"/>
    </row>
    <row r="4559" spans="1:3">
      <c r="A4559" s="1133"/>
      <c r="B4559" s="1136"/>
      <c r="C4559" s="1138"/>
    </row>
    <row r="4560" spans="1:3">
      <c r="A4560" s="1133"/>
      <c r="B4560" s="1136"/>
      <c r="C4560" s="1138"/>
    </row>
    <row r="4561" spans="1:3">
      <c r="A4561" s="1133"/>
      <c r="B4561" s="1136"/>
      <c r="C4561" s="1138"/>
    </row>
    <row r="4562" spans="1:3">
      <c r="A4562" s="1133"/>
      <c r="B4562" s="1136"/>
      <c r="C4562" s="1138"/>
    </row>
    <row r="4563" spans="1:3">
      <c r="A4563" s="1133"/>
      <c r="B4563" s="1136"/>
      <c r="C4563" s="1138"/>
    </row>
    <row r="4564" spans="1:3">
      <c r="A4564" s="1133"/>
      <c r="B4564" s="1136"/>
      <c r="C4564" s="1138"/>
    </row>
    <row r="4565" spans="1:3">
      <c r="A4565" s="1133"/>
      <c r="B4565" s="1136"/>
      <c r="C4565" s="1138"/>
    </row>
    <row r="4566" spans="1:3">
      <c r="A4566" s="1133"/>
      <c r="B4566" s="1136"/>
      <c r="C4566" s="1138"/>
    </row>
    <row r="4567" spans="1:3">
      <c r="A4567" s="1133"/>
      <c r="B4567" s="1136"/>
      <c r="C4567" s="1138"/>
    </row>
    <row r="4568" spans="1:3">
      <c r="A4568" s="1133"/>
      <c r="B4568" s="1136"/>
      <c r="C4568" s="1138"/>
    </row>
    <row r="4569" spans="1:3">
      <c r="A4569" s="1133"/>
      <c r="B4569" s="1136"/>
      <c r="C4569" s="1138"/>
    </row>
    <row r="4570" spans="1:3">
      <c r="A4570" s="1133"/>
      <c r="B4570" s="1136"/>
      <c r="C4570" s="1138"/>
    </row>
    <row r="4571" spans="1:3">
      <c r="A4571" s="1133"/>
      <c r="B4571" s="1136"/>
      <c r="C4571" s="1138"/>
    </row>
    <row r="4572" spans="1:3">
      <c r="A4572" s="1133"/>
      <c r="B4572" s="1136"/>
      <c r="C4572" s="1138"/>
    </row>
    <row r="4573" spans="1:3">
      <c r="A4573" s="1133"/>
      <c r="B4573" s="1136"/>
      <c r="C4573" s="1138"/>
    </row>
    <row r="4574" spans="1:3">
      <c r="A4574" s="1133"/>
      <c r="B4574" s="1136"/>
      <c r="C4574" s="1138"/>
    </row>
    <row r="4575" spans="1:3">
      <c r="A4575" s="1133"/>
      <c r="B4575" s="1136"/>
      <c r="C4575" s="1138"/>
    </row>
    <row r="4576" spans="1:3">
      <c r="A4576" s="1133"/>
      <c r="B4576" s="1136"/>
      <c r="C4576" s="1138"/>
    </row>
    <row r="4577" spans="1:3">
      <c r="A4577" s="1133"/>
      <c r="B4577" s="1136"/>
      <c r="C4577" s="1138"/>
    </row>
    <row r="4578" spans="1:3">
      <c r="A4578" s="1133"/>
      <c r="B4578" s="1136"/>
      <c r="C4578" s="1138"/>
    </row>
    <row r="4579" spans="1:3">
      <c r="A4579" s="1133"/>
      <c r="B4579" s="1136"/>
      <c r="C4579" s="1138"/>
    </row>
    <row r="4580" spans="1:3">
      <c r="A4580" s="1133"/>
      <c r="B4580" s="1136"/>
      <c r="C4580" s="1138"/>
    </row>
    <row r="4581" spans="1:3">
      <c r="A4581" s="1133"/>
      <c r="B4581" s="1136"/>
      <c r="C4581" s="1138"/>
    </row>
    <row r="4582" spans="1:3">
      <c r="A4582" s="1133"/>
      <c r="B4582" s="1136"/>
      <c r="C4582" s="1138"/>
    </row>
    <row r="4583" spans="1:3">
      <c r="A4583" s="1133"/>
      <c r="B4583" s="1136"/>
      <c r="C4583" s="1138"/>
    </row>
    <row r="4584" spans="1:3">
      <c r="A4584" s="1133"/>
      <c r="B4584" s="1136"/>
      <c r="C4584" s="1138"/>
    </row>
    <row r="4585" spans="1:3">
      <c r="A4585" s="1133"/>
      <c r="B4585" s="1136"/>
      <c r="C4585" s="1138"/>
    </row>
    <row r="4586" spans="1:3">
      <c r="A4586" s="1133"/>
      <c r="B4586" s="1136"/>
      <c r="C4586" s="1138"/>
    </row>
    <row r="4587" spans="1:3">
      <c r="A4587" s="1133"/>
      <c r="B4587" s="1136"/>
      <c r="C4587" s="1138"/>
    </row>
    <row r="4588" spans="1:3">
      <c r="A4588" s="1133"/>
      <c r="B4588" s="1136"/>
      <c r="C4588" s="1138"/>
    </row>
    <row r="4589" spans="1:3">
      <c r="A4589" s="1133"/>
      <c r="B4589" s="1136"/>
      <c r="C4589" s="1138"/>
    </row>
    <row r="4590" spans="1:3">
      <c r="A4590" s="1133"/>
      <c r="B4590" s="1136"/>
      <c r="C4590" s="1138"/>
    </row>
    <row r="4591" spans="1:3">
      <c r="A4591" s="1133"/>
      <c r="B4591" s="1136"/>
      <c r="C4591" s="1138"/>
    </row>
    <row r="4592" spans="1:3">
      <c r="A4592" s="1133"/>
      <c r="B4592" s="1136"/>
      <c r="C4592" s="1138"/>
    </row>
    <row r="4593" spans="1:3">
      <c r="A4593" s="1133"/>
      <c r="B4593" s="1136"/>
      <c r="C4593" s="1138"/>
    </row>
    <row r="4594" spans="1:3">
      <c r="A4594" s="1133"/>
      <c r="B4594" s="1136"/>
      <c r="C4594" s="1138"/>
    </row>
    <row r="4595" spans="1:3">
      <c r="A4595" s="1133"/>
      <c r="B4595" s="1136"/>
      <c r="C4595" s="1138"/>
    </row>
    <row r="4596" spans="1:3">
      <c r="A4596" s="1133"/>
      <c r="B4596" s="1136"/>
      <c r="C4596" s="1138"/>
    </row>
    <row r="4597" spans="1:3">
      <c r="A4597" s="1133"/>
      <c r="B4597" s="1136"/>
      <c r="C4597" s="1138"/>
    </row>
    <row r="4598" spans="1:3">
      <c r="A4598" s="1133"/>
      <c r="B4598" s="1136"/>
      <c r="C4598" s="1138"/>
    </row>
    <row r="4599" spans="1:3">
      <c r="A4599" s="1133"/>
      <c r="B4599" s="1136"/>
      <c r="C4599" s="1138"/>
    </row>
    <row r="4600" spans="1:3">
      <c r="A4600" s="1133"/>
      <c r="B4600" s="1136"/>
      <c r="C4600" s="1138"/>
    </row>
    <row r="4601" spans="1:3">
      <c r="A4601" s="1133"/>
      <c r="B4601" s="1136"/>
      <c r="C4601" s="1138"/>
    </row>
    <row r="4602" spans="1:3">
      <c r="A4602" s="1133"/>
      <c r="B4602" s="1136"/>
      <c r="C4602" s="1138"/>
    </row>
    <row r="4603" spans="1:3">
      <c r="A4603" s="1133"/>
      <c r="B4603" s="1136"/>
      <c r="C4603" s="1138"/>
    </row>
    <row r="4604" spans="1:3">
      <c r="A4604" s="1133"/>
      <c r="B4604" s="1136"/>
      <c r="C4604" s="1138"/>
    </row>
    <row r="4605" spans="1:3">
      <c r="A4605" s="1133"/>
      <c r="B4605" s="1136"/>
      <c r="C4605" s="1138"/>
    </row>
    <row r="4606" spans="1:3">
      <c r="A4606" s="1133"/>
      <c r="B4606" s="1136"/>
      <c r="C4606" s="1138"/>
    </row>
    <row r="4607" spans="1:3">
      <c r="A4607" s="1133"/>
      <c r="B4607" s="1136"/>
      <c r="C4607" s="1138"/>
    </row>
    <row r="4608" spans="1:3">
      <c r="A4608" s="1133"/>
      <c r="B4608" s="1136"/>
      <c r="C4608" s="1138"/>
    </row>
    <row r="4609" spans="1:3">
      <c r="A4609" s="1133"/>
      <c r="B4609" s="1136"/>
      <c r="C4609" s="1138"/>
    </row>
    <row r="4610" spans="1:3">
      <c r="A4610" s="1133"/>
      <c r="B4610" s="1136"/>
      <c r="C4610" s="1138"/>
    </row>
    <row r="4611" spans="1:3">
      <c r="A4611" s="1133"/>
      <c r="B4611" s="1136"/>
      <c r="C4611" s="1138"/>
    </row>
    <row r="4612" spans="1:3">
      <c r="A4612" s="1133"/>
      <c r="B4612" s="1136"/>
      <c r="C4612" s="1138"/>
    </row>
    <row r="4613" spans="1:3">
      <c r="A4613" s="1133"/>
      <c r="B4613" s="1136"/>
      <c r="C4613" s="1138"/>
    </row>
    <row r="4614" spans="1:3">
      <c r="A4614" s="1133"/>
      <c r="B4614" s="1136"/>
      <c r="C4614" s="1138"/>
    </row>
    <row r="4615" spans="1:3">
      <c r="A4615" s="1133"/>
      <c r="B4615" s="1136"/>
      <c r="C4615" s="1138"/>
    </row>
    <row r="4616" spans="1:3">
      <c r="A4616" s="1133"/>
      <c r="B4616" s="1136"/>
      <c r="C4616" s="1138"/>
    </row>
    <row r="4617" spans="1:3">
      <c r="A4617" s="1133"/>
      <c r="B4617" s="1136"/>
      <c r="C4617" s="1138"/>
    </row>
    <row r="4618" spans="1:3">
      <c r="A4618" s="1133"/>
      <c r="B4618" s="1136"/>
      <c r="C4618" s="1138"/>
    </row>
    <row r="4619" spans="1:3">
      <c r="A4619" s="1133"/>
      <c r="B4619" s="1136"/>
      <c r="C4619" s="1138"/>
    </row>
    <row r="4620" spans="1:3">
      <c r="A4620" s="1133"/>
      <c r="B4620" s="1136"/>
      <c r="C4620" s="1138"/>
    </row>
    <row r="4621" spans="1:3">
      <c r="A4621" s="1133"/>
      <c r="B4621" s="1136"/>
      <c r="C4621" s="1138"/>
    </row>
    <row r="4622" spans="1:3">
      <c r="A4622" s="1133"/>
      <c r="B4622" s="1136"/>
      <c r="C4622" s="1138"/>
    </row>
    <row r="4623" spans="1:3">
      <c r="A4623" s="1133"/>
      <c r="B4623" s="1136"/>
      <c r="C4623" s="1138"/>
    </row>
    <row r="4624" spans="1:3">
      <c r="A4624" s="1133"/>
      <c r="B4624" s="1136"/>
      <c r="C4624" s="1138"/>
    </row>
    <row r="4625" spans="1:3">
      <c r="A4625" s="1133"/>
      <c r="B4625" s="1136"/>
      <c r="C4625" s="1138"/>
    </row>
    <row r="4626" spans="1:3">
      <c r="A4626" s="1133"/>
      <c r="B4626" s="1136"/>
      <c r="C4626" s="1138"/>
    </row>
    <row r="4627" spans="1:3">
      <c r="A4627" s="1133"/>
      <c r="B4627" s="1136"/>
      <c r="C4627" s="1138"/>
    </row>
    <row r="4628" spans="1:3">
      <c r="A4628" s="1133"/>
      <c r="B4628" s="1136"/>
      <c r="C4628" s="1138"/>
    </row>
    <row r="4629" spans="1:3">
      <c r="A4629" s="1133"/>
      <c r="B4629" s="1136"/>
      <c r="C4629" s="1138"/>
    </row>
    <row r="4630" spans="1:3">
      <c r="A4630" s="1133"/>
      <c r="B4630" s="1136"/>
      <c r="C4630" s="1138"/>
    </row>
    <row r="4631" spans="1:3">
      <c r="A4631" s="1133"/>
      <c r="B4631" s="1136"/>
      <c r="C4631" s="1138"/>
    </row>
    <row r="4632" spans="1:3">
      <c r="A4632" s="1133"/>
      <c r="B4632" s="1136"/>
      <c r="C4632" s="1138"/>
    </row>
    <row r="4633" spans="1:3">
      <c r="A4633" s="1133"/>
      <c r="B4633" s="1136"/>
      <c r="C4633" s="1138"/>
    </row>
    <row r="4634" spans="1:3">
      <c r="A4634" s="1133"/>
      <c r="B4634" s="1136"/>
      <c r="C4634" s="1138"/>
    </row>
    <row r="4635" spans="1:3">
      <c r="A4635" s="1133"/>
      <c r="B4635" s="1136"/>
      <c r="C4635" s="1138"/>
    </row>
    <row r="4636" spans="1:3">
      <c r="A4636" s="1133"/>
      <c r="B4636" s="1136"/>
      <c r="C4636" s="1138"/>
    </row>
    <row r="4637" spans="1:3">
      <c r="A4637" s="1133"/>
      <c r="B4637" s="1136"/>
      <c r="C4637" s="1138"/>
    </row>
    <row r="4638" spans="1:3">
      <c r="A4638" s="1133"/>
      <c r="B4638" s="1136"/>
      <c r="C4638" s="1138"/>
    </row>
    <row r="4639" spans="1:3">
      <c r="A4639" s="1133"/>
      <c r="B4639" s="1136"/>
      <c r="C4639" s="1138"/>
    </row>
    <row r="4640" spans="1:3">
      <c r="A4640" s="1133"/>
      <c r="B4640" s="1136"/>
      <c r="C4640" s="1138"/>
    </row>
    <row r="4641" spans="1:3">
      <c r="A4641" s="1133"/>
      <c r="B4641" s="1136"/>
      <c r="C4641" s="1138"/>
    </row>
    <row r="4642" spans="1:3">
      <c r="A4642" s="1133"/>
      <c r="B4642" s="1136"/>
      <c r="C4642" s="1138"/>
    </row>
    <row r="4643" spans="1:3">
      <c r="A4643" s="1133"/>
      <c r="B4643" s="1136"/>
      <c r="C4643" s="1138"/>
    </row>
    <row r="4644" spans="1:3">
      <c r="A4644" s="1133"/>
      <c r="B4644" s="1136"/>
      <c r="C4644" s="1138"/>
    </row>
    <row r="4645" spans="1:3">
      <c r="A4645" s="1133"/>
      <c r="B4645" s="1136"/>
      <c r="C4645" s="1138"/>
    </row>
    <row r="4646" spans="1:3">
      <c r="A4646" s="1133"/>
      <c r="B4646" s="1136"/>
      <c r="C4646" s="1138"/>
    </row>
    <row r="4647" spans="1:3">
      <c r="A4647" s="1133"/>
      <c r="B4647" s="1136"/>
      <c r="C4647" s="1138"/>
    </row>
    <row r="4648" spans="1:3">
      <c r="A4648" s="1133"/>
      <c r="B4648" s="1136"/>
      <c r="C4648" s="1138"/>
    </row>
    <row r="4649" spans="1:3">
      <c r="A4649" s="1133"/>
      <c r="B4649" s="1136"/>
      <c r="C4649" s="1138"/>
    </row>
    <row r="4650" spans="1:3">
      <c r="A4650" s="1133"/>
      <c r="B4650" s="1136"/>
      <c r="C4650" s="1138"/>
    </row>
    <row r="4651" spans="1:3">
      <c r="A4651" s="1133"/>
      <c r="B4651" s="1136"/>
      <c r="C4651" s="1138"/>
    </row>
    <row r="4652" spans="1:3">
      <c r="A4652" s="1133"/>
      <c r="B4652" s="1136"/>
      <c r="C4652" s="1138"/>
    </row>
    <row r="4653" spans="1:3">
      <c r="A4653" s="1133"/>
      <c r="B4653" s="1136"/>
      <c r="C4653" s="1138"/>
    </row>
    <row r="4654" spans="1:3">
      <c r="A4654" s="1133"/>
      <c r="B4654" s="1136"/>
      <c r="C4654" s="1138"/>
    </row>
    <row r="4655" spans="1:3">
      <c r="A4655" s="1133"/>
      <c r="B4655" s="1136"/>
      <c r="C4655" s="1138"/>
    </row>
    <row r="4656" spans="1:3">
      <c r="A4656" s="1133"/>
      <c r="B4656" s="1136"/>
      <c r="C4656" s="1138"/>
    </row>
    <row r="4657" spans="1:3">
      <c r="A4657" s="1133"/>
      <c r="B4657" s="1136"/>
      <c r="C4657" s="1138"/>
    </row>
    <row r="4658" spans="1:3">
      <c r="A4658" s="1133"/>
      <c r="B4658" s="1136"/>
      <c r="C4658" s="1138"/>
    </row>
    <row r="4659" spans="1:3">
      <c r="A4659" s="1133"/>
      <c r="B4659" s="1136"/>
      <c r="C4659" s="1138"/>
    </row>
    <row r="4660" spans="1:3">
      <c r="A4660" s="1133"/>
      <c r="B4660" s="1136"/>
      <c r="C4660" s="1138"/>
    </row>
    <row r="4661" spans="1:3">
      <c r="A4661" s="1133"/>
      <c r="B4661" s="1136"/>
      <c r="C4661" s="1138"/>
    </row>
    <row r="4662" spans="1:3">
      <c r="A4662" s="1133"/>
      <c r="B4662" s="1136"/>
      <c r="C4662" s="1138"/>
    </row>
    <row r="4663" spans="1:3">
      <c r="A4663" s="1133"/>
      <c r="B4663" s="1136"/>
      <c r="C4663" s="1138"/>
    </row>
    <row r="4664" spans="1:3">
      <c r="A4664" s="1133"/>
      <c r="B4664" s="1136"/>
      <c r="C4664" s="1138"/>
    </row>
    <row r="4665" spans="1:3">
      <c r="A4665" s="1133"/>
      <c r="B4665" s="1136"/>
      <c r="C4665" s="1138"/>
    </row>
    <row r="4666" spans="1:3">
      <c r="A4666" s="1133"/>
      <c r="B4666" s="1136"/>
      <c r="C4666" s="1138"/>
    </row>
    <row r="4667" spans="1:3">
      <c r="A4667" s="1133"/>
      <c r="B4667" s="1136"/>
      <c r="C4667" s="1138"/>
    </row>
    <row r="4668" spans="1:3">
      <c r="A4668" s="1133"/>
      <c r="B4668" s="1136"/>
      <c r="C4668" s="1138"/>
    </row>
    <row r="4669" spans="1:3">
      <c r="A4669" s="1133"/>
      <c r="B4669" s="1136"/>
      <c r="C4669" s="1138"/>
    </row>
    <row r="4670" spans="1:3">
      <c r="A4670" s="1133"/>
      <c r="B4670" s="1136"/>
      <c r="C4670" s="1138"/>
    </row>
    <row r="4671" spans="1:3">
      <c r="A4671" s="1133"/>
      <c r="B4671" s="1136"/>
      <c r="C4671" s="1138"/>
    </row>
    <row r="4672" spans="1:3">
      <c r="A4672" s="1133"/>
      <c r="B4672" s="1136"/>
      <c r="C4672" s="1138"/>
    </row>
    <row r="4673" spans="1:3">
      <c r="A4673" s="1133"/>
      <c r="B4673" s="1136"/>
      <c r="C4673" s="1138"/>
    </row>
    <row r="4674" spans="1:3">
      <c r="A4674" s="1133"/>
      <c r="B4674" s="1136"/>
      <c r="C4674" s="1138"/>
    </row>
    <row r="4675" spans="1:3">
      <c r="A4675" s="1133"/>
      <c r="B4675" s="1136"/>
      <c r="C4675" s="1138"/>
    </row>
    <row r="4676" spans="1:3">
      <c r="A4676" s="1133"/>
      <c r="B4676" s="1136"/>
      <c r="C4676" s="1138"/>
    </row>
    <row r="4677" spans="1:3">
      <c r="A4677" s="1133"/>
      <c r="B4677" s="1136"/>
      <c r="C4677" s="1138"/>
    </row>
    <row r="4678" spans="1:3">
      <c r="A4678" s="1133"/>
      <c r="B4678" s="1136"/>
      <c r="C4678" s="1138"/>
    </row>
    <row r="4679" spans="1:3">
      <c r="A4679" s="1133"/>
      <c r="B4679" s="1136"/>
      <c r="C4679" s="1138"/>
    </row>
    <row r="4680" spans="1:3">
      <c r="A4680" s="1133"/>
      <c r="B4680" s="1136"/>
      <c r="C4680" s="1138"/>
    </row>
    <row r="4681" spans="1:3">
      <c r="A4681" s="1133"/>
      <c r="B4681" s="1136"/>
      <c r="C4681" s="1138"/>
    </row>
    <row r="4682" spans="1:3">
      <c r="A4682" s="1133"/>
      <c r="B4682" s="1136"/>
      <c r="C4682" s="1138"/>
    </row>
    <row r="4683" spans="1:3">
      <c r="A4683" s="1133"/>
      <c r="B4683" s="1136"/>
      <c r="C4683" s="1138"/>
    </row>
    <row r="4684" spans="1:3">
      <c r="A4684" s="1133"/>
      <c r="B4684" s="1136"/>
      <c r="C4684" s="1138"/>
    </row>
    <row r="4685" spans="1:3">
      <c r="A4685" s="1133"/>
      <c r="B4685" s="1136"/>
      <c r="C4685" s="1138"/>
    </row>
    <row r="4686" spans="1:3">
      <c r="A4686" s="1133"/>
      <c r="B4686" s="1136"/>
      <c r="C4686" s="1138"/>
    </row>
    <row r="4687" spans="1:3">
      <c r="A4687" s="1133"/>
      <c r="B4687" s="1136"/>
      <c r="C4687" s="1138"/>
    </row>
    <row r="4688" spans="1:3">
      <c r="A4688" s="1133"/>
      <c r="B4688" s="1136"/>
      <c r="C4688" s="1138"/>
    </row>
    <row r="4689" spans="1:3">
      <c r="A4689" s="1133"/>
      <c r="B4689" s="1136"/>
      <c r="C4689" s="1138"/>
    </row>
    <row r="4690" spans="1:3">
      <c r="A4690" s="1133"/>
      <c r="B4690" s="1136"/>
      <c r="C4690" s="1138"/>
    </row>
    <row r="4691" spans="1:3">
      <c r="A4691" s="1133"/>
      <c r="B4691" s="1136"/>
      <c r="C4691" s="1138"/>
    </row>
    <row r="4692" spans="1:3">
      <c r="A4692" s="1133"/>
      <c r="B4692" s="1136"/>
      <c r="C4692" s="1138"/>
    </row>
    <row r="4693" spans="1:3">
      <c r="A4693" s="1133"/>
      <c r="B4693" s="1136"/>
      <c r="C4693" s="1138"/>
    </row>
    <row r="4694" spans="1:3">
      <c r="A4694" s="1133"/>
      <c r="B4694" s="1136"/>
      <c r="C4694" s="1138"/>
    </row>
    <row r="4695" spans="1:3">
      <c r="A4695" s="1133"/>
      <c r="B4695" s="1136"/>
      <c r="C4695" s="1138"/>
    </row>
    <row r="4696" spans="1:3">
      <c r="A4696" s="1133"/>
      <c r="B4696" s="1136"/>
      <c r="C4696" s="1138"/>
    </row>
    <row r="4697" spans="1:3">
      <c r="A4697" s="1133"/>
      <c r="B4697" s="1136"/>
      <c r="C4697" s="1138"/>
    </row>
    <row r="4698" spans="1:3">
      <c r="A4698" s="1133"/>
      <c r="B4698" s="1136"/>
      <c r="C4698" s="1138"/>
    </row>
    <row r="4699" spans="1:3">
      <c r="A4699" s="1133"/>
      <c r="B4699" s="1136"/>
      <c r="C4699" s="1138"/>
    </row>
    <row r="4700" spans="1:3">
      <c r="A4700" s="1133"/>
      <c r="B4700" s="1136"/>
      <c r="C4700" s="1138"/>
    </row>
    <row r="4701" spans="1:3">
      <c r="A4701" s="1133"/>
      <c r="B4701" s="1136"/>
      <c r="C4701" s="1138"/>
    </row>
    <row r="4702" spans="1:3">
      <c r="A4702" s="1133"/>
      <c r="B4702" s="1136"/>
      <c r="C4702" s="1138"/>
    </row>
    <row r="4703" spans="1:3">
      <c r="A4703" s="1133"/>
      <c r="B4703" s="1136"/>
      <c r="C4703" s="1138"/>
    </row>
    <row r="4704" spans="1:3">
      <c r="A4704" s="1133"/>
      <c r="B4704" s="1136"/>
      <c r="C4704" s="1138"/>
    </row>
    <row r="4705" spans="1:3">
      <c r="A4705" s="1133"/>
      <c r="B4705" s="1136"/>
      <c r="C4705" s="1138"/>
    </row>
    <row r="4706" spans="1:3">
      <c r="A4706" s="1133"/>
      <c r="B4706" s="1136"/>
      <c r="C4706" s="1138"/>
    </row>
    <row r="4707" spans="1:3">
      <c r="A4707" s="1133"/>
      <c r="B4707" s="1136"/>
      <c r="C4707" s="1138"/>
    </row>
    <row r="4708" spans="1:3">
      <c r="A4708" s="1133"/>
      <c r="B4708" s="1136"/>
      <c r="C4708" s="1138"/>
    </row>
    <row r="4709" spans="1:3">
      <c r="A4709" s="1133"/>
      <c r="B4709" s="1136"/>
      <c r="C4709" s="1138"/>
    </row>
    <row r="4710" spans="1:3">
      <c r="A4710" s="1133"/>
      <c r="B4710" s="1136"/>
      <c r="C4710" s="1138"/>
    </row>
    <row r="4711" spans="1:3">
      <c r="A4711" s="1133"/>
      <c r="B4711" s="1136"/>
      <c r="C4711" s="1138"/>
    </row>
    <row r="4712" spans="1:3">
      <c r="A4712" s="1133"/>
      <c r="B4712" s="1136"/>
      <c r="C4712" s="1138"/>
    </row>
    <row r="4713" spans="1:3">
      <c r="A4713" s="1133"/>
      <c r="B4713" s="1136"/>
      <c r="C4713" s="1138"/>
    </row>
    <row r="4714" spans="1:3">
      <c r="A4714" s="1133"/>
      <c r="B4714" s="1136"/>
      <c r="C4714" s="1138"/>
    </row>
    <row r="4715" spans="1:3">
      <c r="A4715" s="1133"/>
      <c r="B4715" s="1136"/>
      <c r="C4715" s="1138"/>
    </row>
    <row r="4716" spans="1:3">
      <c r="A4716" s="1133"/>
      <c r="B4716" s="1136"/>
      <c r="C4716" s="1138"/>
    </row>
    <row r="4717" spans="1:3">
      <c r="A4717" s="1133"/>
      <c r="B4717" s="1136"/>
      <c r="C4717" s="1138"/>
    </row>
    <row r="4718" spans="1:3">
      <c r="A4718" s="1133"/>
      <c r="B4718" s="1136"/>
      <c r="C4718" s="1138"/>
    </row>
    <row r="4719" spans="1:3">
      <c r="A4719" s="1133"/>
      <c r="B4719" s="1136"/>
      <c r="C4719" s="1138"/>
    </row>
    <row r="4720" spans="1:3">
      <c r="A4720" s="1133"/>
      <c r="B4720" s="1136"/>
      <c r="C4720" s="1138"/>
    </row>
    <row r="4721" spans="1:3">
      <c r="A4721" s="1133"/>
      <c r="B4721" s="1136"/>
      <c r="C4721" s="1138"/>
    </row>
    <row r="4722" spans="1:3">
      <c r="A4722" s="1133"/>
      <c r="B4722" s="1136"/>
      <c r="C4722" s="1138"/>
    </row>
    <row r="4723" spans="1:3">
      <c r="A4723" s="1133"/>
      <c r="B4723" s="1136"/>
      <c r="C4723" s="1138"/>
    </row>
    <row r="4724" spans="1:3">
      <c r="A4724" s="1133"/>
      <c r="B4724" s="1136"/>
      <c r="C4724" s="1138"/>
    </row>
    <row r="4725" spans="1:3">
      <c r="A4725" s="1133"/>
      <c r="B4725" s="1136"/>
      <c r="C4725" s="1138"/>
    </row>
    <row r="4726" spans="1:3">
      <c r="A4726" s="1133"/>
      <c r="B4726" s="1136"/>
      <c r="C4726" s="1138"/>
    </row>
    <row r="4727" spans="1:3">
      <c r="A4727" s="1133"/>
      <c r="B4727" s="1136"/>
      <c r="C4727" s="1138"/>
    </row>
    <row r="4728" spans="1:3">
      <c r="A4728" s="1133"/>
      <c r="B4728" s="1136"/>
      <c r="C4728" s="1138"/>
    </row>
    <row r="4729" spans="1:3">
      <c r="A4729" s="1133"/>
      <c r="B4729" s="1136"/>
      <c r="C4729" s="1138"/>
    </row>
    <row r="4730" spans="1:3">
      <c r="A4730" s="1133"/>
      <c r="B4730" s="1136"/>
      <c r="C4730" s="1138"/>
    </row>
    <row r="4731" spans="1:3">
      <c r="A4731" s="1133"/>
      <c r="B4731" s="1136"/>
      <c r="C4731" s="1138"/>
    </row>
    <row r="4732" spans="1:3">
      <c r="A4732" s="1133"/>
      <c r="B4732" s="1136"/>
      <c r="C4732" s="1138"/>
    </row>
    <row r="4733" spans="1:3">
      <c r="A4733" s="1133"/>
      <c r="B4733" s="1136"/>
      <c r="C4733" s="1138"/>
    </row>
    <row r="4734" spans="1:3">
      <c r="A4734" s="1133"/>
      <c r="B4734" s="1136"/>
      <c r="C4734" s="1138"/>
    </row>
    <row r="4735" spans="1:3">
      <c r="A4735" s="1133"/>
      <c r="B4735" s="1136"/>
      <c r="C4735" s="1138"/>
    </row>
    <row r="4736" spans="1:3">
      <c r="A4736" s="1133"/>
      <c r="B4736" s="1136"/>
      <c r="C4736" s="1138"/>
    </row>
    <row r="4737" spans="1:3">
      <c r="A4737" s="1133"/>
      <c r="B4737" s="1136"/>
      <c r="C4737" s="1138"/>
    </row>
    <row r="4738" spans="1:3">
      <c r="A4738" s="1133"/>
      <c r="B4738" s="1136"/>
      <c r="C4738" s="1138"/>
    </row>
    <row r="4739" spans="1:3">
      <c r="A4739" s="1133"/>
      <c r="B4739" s="1136"/>
      <c r="C4739" s="1138"/>
    </row>
    <row r="4740" spans="1:3">
      <c r="A4740" s="1133"/>
      <c r="B4740" s="1136"/>
      <c r="C4740" s="1138"/>
    </row>
    <row r="4741" spans="1:3">
      <c r="A4741" s="1133"/>
      <c r="B4741" s="1136"/>
      <c r="C4741" s="1138"/>
    </row>
    <row r="4742" spans="1:3">
      <c r="A4742" s="1133"/>
      <c r="B4742" s="1136"/>
      <c r="C4742" s="1138"/>
    </row>
    <row r="4743" spans="1:3">
      <c r="A4743" s="1133"/>
      <c r="B4743" s="1136"/>
      <c r="C4743" s="1138"/>
    </row>
    <row r="4744" spans="1:3">
      <c r="A4744" s="1133"/>
      <c r="B4744" s="1136"/>
      <c r="C4744" s="1138"/>
    </row>
    <row r="4745" spans="1:3">
      <c r="A4745" s="1133"/>
      <c r="B4745" s="1136"/>
      <c r="C4745" s="1138"/>
    </row>
    <row r="4746" spans="1:3">
      <c r="A4746" s="1133"/>
      <c r="B4746" s="1136"/>
      <c r="C4746" s="1138"/>
    </row>
    <row r="4747" spans="1:3">
      <c r="A4747" s="1133"/>
      <c r="B4747" s="1136"/>
      <c r="C4747" s="1138"/>
    </row>
    <row r="4748" spans="1:3">
      <c r="A4748" s="1133"/>
      <c r="B4748" s="1136"/>
      <c r="C4748" s="1138"/>
    </row>
    <row r="4749" spans="1:3">
      <c r="A4749" s="1133"/>
      <c r="B4749" s="1136"/>
      <c r="C4749" s="1138"/>
    </row>
    <row r="4750" spans="1:3">
      <c r="A4750" s="1133"/>
      <c r="B4750" s="1136"/>
      <c r="C4750" s="1138"/>
    </row>
    <row r="4751" spans="1:3">
      <c r="A4751" s="1133"/>
      <c r="B4751" s="1136"/>
      <c r="C4751" s="1138"/>
    </row>
    <row r="4752" spans="1:3">
      <c r="A4752" s="1133"/>
      <c r="B4752" s="1136"/>
      <c r="C4752" s="1138"/>
    </row>
    <row r="4753" spans="1:3">
      <c r="A4753" s="1133"/>
      <c r="B4753" s="1136"/>
      <c r="C4753" s="1138"/>
    </row>
    <row r="4754" spans="1:3">
      <c r="A4754" s="1133"/>
      <c r="B4754" s="1136"/>
      <c r="C4754" s="1138"/>
    </row>
    <row r="4755" spans="1:3">
      <c r="A4755" s="1133"/>
      <c r="B4755" s="1136"/>
      <c r="C4755" s="1138"/>
    </row>
    <row r="4756" spans="1:3">
      <c r="A4756" s="1133"/>
      <c r="B4756" s="1136"/>
      <c r="C4756" s="1138"/>
    </row>
    <row r="4757" spans="1:3">
      <c r="A4757" s="1133"/>
      <c r="B4757" s="1136"/>
      <c r="C4757" s="1138"/>
    </row>
    <row r="4758" spans="1:3">
      <c r="A4758" s="1133"/>
      <c r="B4758" s="1136"/>
      <c r="C4758" s="1138"/>
    </row>
    <row r="4759" spans="1:3">
      <c r="A4759" s="1133"/>
      <c r="B4759" s="1136"/>
      <c r="C4759" s="1138"/>
    </row>
    <row r="4760" spans="1:3">
      <c r="A4760" s="1133"/>
      <c r="B4760" s="1136"/>
      <c r="C4760" s="1138"/>
    </row>
    <row r="4761" spans="1:3">
      <c r="A4761" s="1133"/>
      <c r="B4761" s="1136"/>
      <c r="C4761" s="1138"/>
    </row>
    <row r="4762" spans="1:3">
      <c r="A4762" s="1133"/>
      <c r="B4762" s="1136"/>
      <c r="C4762" s="1138"/>
    </row>
    <row r="4763" spans="1:3">
      <c r="A4763" s="1133"/>
      <c r="B4763" s="1136"/>
      <c r="C4763" s="1138"/>
    </row>
    <row r="4764" spans="1:3">
      <c r="A4764" s="1133"/>
      <c r="B4764" s="1136"/>
      <c r="C4764" s="1138"/>
    </row>
    <row r="4765" spans="1:3">
      <c r="A4765" s="1133"/>
      <c r="B4765" s="1136"/>
      <c r="C4765" s="1138"/>
    </row>
    <row r="4766" spans="1:3">
      <c r="A4766" s="1133"/>
      <c r="B4766" s="1136"/>
      <c r="C4766" s="1138"/>
    </row>
    <row r="4767" spans="1:3">
      <c r="A4767" s="1133"/>
      <c r="B4767" s="1136"/>
      <c r="C4767" s="1138"/>
    </row>
    <row r="4768" spans="1:3">
      <c r="A4768" s="1133"/>
      <c r="B4768" s="1136"/>
      <c r="C4768" s="1138"/>
    </row>
    <row r="4769" spans="1:3">
      <c r="A4769" s="1133"/>
      <c r="B4769" s="1136"/>
      <c r="C4769" s="1138"/>
    </row>
    <row r="4770" spans="1:3">
      <c r="A4770" s="1133"/>
      <c r="B4770" s="1136"/>
      <c r="C4770" s="1138"/>
    </row>
    <row r="4771" spans="1:3">
      <c r="A4771" s="1133"/>
      <c r="B4771" s="1136"/>
      <c r="C4771" s="1138"/>
    </row>
    <row r="4772" spans="1:3">
      <c r="A4772" s="1133"/>
      <c r="B4772" s="1136"/>
      <c r="C4772" s="1138"/>
    </row>
    <row r="4773" spans="1:3">
      <c r="A4773" s="1133"/>
      <c r="B4773" s="1136"/>
      <c r="C4773" s="1138"/>
    </row>
    <row r="4774" spans="1:3">
      <c r="A4774" s="1133"/>
      <c r="B4774" s="1136"/>
      <c r="C4774" s="1138"/>
    </row>
    <row r="4775" spans="1:3">
      <c r="A4775" s="1133"/>
      <c r="B4775" s="1136"/>
      <c r="C4775" s="1138"/>
    </row>
    <row r="4776" spans="1:3">
      <c r="A4776" s="1133"/>
      <c r="B4776" s="1136"/>
      <c r="C4776" s="1138"/>
    </row>
    <row r="4777" spans="1:3">
      <c r="A4777" s="1133"/>
      <c r="B4777" s="1136"/>
      <c r="C4777" s="1138"/>
    </row>
    <row r="4778" spans="1:3">
      <c r="A4778" s="1133"/>
      <c r="B4778" s="1136"/>
      <c r="C4778" s="1138"/>
    </row>
    <row r="4779" spans="1:3">
      <c r="A4779" s="1133"/>
      <c r="B4779" s="1136"/>
      <c r="C4779" s="1138"/>
    </row>
    <row r="4780" spans="1:3">
      <c r="A4780" s="1133"/>
      <c r="B4780" s="1136"/>
      <c r="C4780" s="1138"/>
    </row>
    <row r="4781" spans="1:3">
      <c r="A4781" s="1133"/>
      <c r="B4781" s="1136"/>
      <c r="C4781" s="1138"/>
    </row>
    <row r="4782" spans="1:3">
      <c r="A4782" s="1133"/>
      <c r="B4782" s="1136"/>
      <c r="C4782" s="1138"/>
    </row>
    <row r="4783" spans="1:3">
      <c r="A4783" s="1133"/>
      <c r="B4783" s="1136"/>
      <c r="C4783" s="1138"/>
    </row>
    <row r="4784" spans="1:3">
      <c r="A4784" s="1133"/>
      <c r="B4784" s="1136"/>
      <c r="C4784" s="1138"/>
    </row>
    <row r="4785" spans="1:3">
      <c r="A4785" s="1133"/>
      <c r="B4785" s="1136"/>
      <c r="C4785" s="1138"/>
    </row>
    <row r="4786" spans="1:3">
      <c r="A4786" s="1133"/>
      <c r="B4786" s="1136"/>
      <c r="C4786" s="1138"/>
    </row>
    <row r="4787" spans="1:3">
      <c r="A4787" s="1133"/>
      <c r="B4787" s="1136"/>
      <c r="C4787" s="1138"/>
    </row>
    <row r="4788" spans="1:3">
      <c r="A4788" s="1133"/>
      <c r="B4788" s="1136"/>
      <c r="C4788" s="1138"/>
    </row>
    <row r="4789" spans="1:3">
      <c r="A4789" s="1133"/>
      <c r="B4789" s="1136"/>
      <c r="C4789" s="1138"/>
    </row>
    <row r="4790" spans="1:3">
      <c r="A4790" s="1133"/>
      <c r="B4790" s="1136"/>
      <c r="C4790" s="1138"/>
    </row>
    <row r="4791" spans="1:3">
      <c r="A4791" s="1133"/>
      <c r="B4791" s="1136"/>
      <c r="C4791" s="1138"/>
    </row>
    <row r="4792" spans="1:3">
      <c r="A4792" s="1133"/>
      <c r="B4792" s="1136"/>
      <c r="C4792" s="1138"/>
    </row>
    <row r="4793" spans="1:3">
      <c r="A4793" s="1133"/>
      <c r="B4793" s="1136"/>
      <c r="C4793" s="1138"/>
    </row>
    <row r="4794" spans="1:3">
      <c r="A4794" s="1133"/>
      <c r="B4794" s="1136"/>
      <c r="C4794" s="1138"/>
    </row>
    <row r="4795" spans="1:3">
      <c r="A4795" s="1133"/>
      <c r="B4795" s="1136"/>
      <c r="C4795" s="1138"/>
    </row>
    <row r="4796" spans="1:3">
      <c r="A4796" s="1133"/>
      <c r="B4796" s="1136"/>
      <c r="C4796" s="1138"/>
    </row>
    <row r="4797" spans="1:3">
      <c r="A4797" s="1133"/>
      <c r="B4797" s="1136"/>
      <c r="C4797" s="1138"/>
    </row>
    <row r="4798" spans="1:3">
      <c r="A4798" s="1133"/>
      <c r="B4798" s="1136"/>
      <c r="C4798" s="1138"/>
    </row>
    <row r="4799" spans="1:3">
      <c r="A4799" s="1133"/>
      <c r="B4799" s="1136"/>
      <c r="C4799" s="1138"/>
    </row>
    <row r="4800" spans="1:3">
      <c r="A4800" s="1133"/>
      <c r="B4800" s="1136"/>
      <c r="C4800" s="1138"/>
    </row>
    <row r="4801" spans="1:3">
      <c r="A4801" s="1133"/>
      <c r="B4801" s="1136"/>
      <c r="C4801" s="1138"/>
    </row>
    <row r="4802" spans="1:3">
      <c r="A4802" s="1133"/>
      <c r="B4802" s="1136"/>
      <c r="C4802" s="1138"/>
    </row>
    <row r="4803" spans="1:3">
      <c r="A4803" s="1133"/>
      <c r="B4803" s="1136"/>
      <c r="C4803" s="1138"/>
    </row>
    <row r="4804" spans="1:3">
      <c r="A4804" s="1133"/>
      <c r="B4804" s="1136"/>
      <c r="C4804" s="1138"/>
    </row>
    <row r="4805" spans="1:3">
      <c r="A4805" s="1133"/>
      <c r="B4805" s="1136"/>
      <c r="C4805" s="1138"/>
    </row>
    <row r="4806" spans="1:3">
      <c r="A4806" s="1133"/>
      <c r="B4806" s="1136"/>
      <c r="C4806" s="1138"/>
    </row>
    <row r="4807" spans="1:3">
      <c r="A4807" s="1133"/>
      <c r="B4807" s="1136"/>
      <c r="C4807" s="1138"/>
    </row>
    <row r="4808" spans="1:3">
      <c r="A4808" s="1133"/>
      <c r="B4808" s="1136"/>
      <c r="C4808" s="1138"/>
    </row>
    <row r="4809" spans="1:3">
      <c r="A4809" s="1133"/>
      <c r="B4809" s="1136"/>
      <c r="C4809" s="1138"/>
    </row>
    <row r="4810" spans="1:3">
      <c r="A4810" s="1133"/>
      <c r="B4810" s="1136"/>
      <c r="C4810" s="1138"/>
    </row>
    <row r="4811" spans="1:3">
      <c r="A4811" s="1133"/>
      <c r="B4811" s="1136"/>
      <c r="C4811" s="1138"/>
    </row>
    <row r="4812" spans="1:3">
      <c r="A4812" s="1133"/>
      <c r="B4812" s="1136"/>
      <c r="C4812" s="1138"/>
    </row>
    <row r="4813" spans="1:3">
      <c r="A4813" s="1133"/>
      <c r="B4813" s="1136"/>
      <c r="C4813" s="1138"/>
    </row>
    <row r="4814" spans="1:3">
      <c r="A4814" s="1133"/>
      <c r="B4814" s="1136"/>
      <c r="C4814" s="1138"/>
    </row>
    <row r="4815" spans="1:3">
      <c r="A4815" s="1133"/>
      <c r="B4815" s="1136"/>
      <c r="C4815" s="1138"/>
    </row>
    <row r="4816" spans="1:3">
      <c r="A4816" s="1133"/>
      <c r="B4816" s="1136"/>
      <c r="C4816" s="1138"/>
    </row>
    <row r="4817" spans="1:3">
      <c r="A4817" s="1133"/>
      <c r="B4817" s="1136"/>
      <c r="C4817" s="1138"/>
    </row>
    <row r="4818" spans="1:3">
      <c r="A4818" s="1133"/>
      <c r="B4818" s="1136"/>
      <c r="C4818" s="1138"/>
    </row>
    <row r="4819" spans="1:3">
      <c r="A4819" s="1133"/>
      <c r="B4819" s="1136"/>
      <c r="C4819" s="1138"/>
    </row>
    <row r="4820" spans="1:3">
      <c r="A4820" s="1133"/>
      <c r="B4820" s="1136"/>
      <c r="C4820" s="1138"/>
    </row>
    <row r="4821" spans="1:3">
      <c r="A4821" s="1133"/>
      <c r="B4821" s="1136"/>
      <c r="C4821" s="1138"/>
    </row>
    <row r="4822" spans="1:3">
      <c r="A4822" s="1133"/>
      <c r="B4822" s="1136"/>
      <c r="C4822" s="1138"/>
    </row>
    <row r="4823" spans="1:3">
      <c r="A4823" s="1133"/>
      <c r="B4823" s="1136"/>
      <c r="C4823" s="1138"/>
    </row>
    <row r="4824" spans="1:3">
      <c r="A4824" s="1133"/>
      <c r="B4824" s="1136"/>
      <c r="C4824" s="1138"/>
    </row>
    <row r="4825" spans="1:3">
      <c r="A4825" s="1133"/>
      <c r="B4825" s="1136"/>
      <c r="C4825" s="1138"/>
    </row>
    <row r="4826" spans="1:3">
      <c r="A4826" s="1133"/>
      <c r="B4826" s="1136"/>
      <c r="C4826" s="1138"/>
    </row>
    <row r="4827" spans="1:3">
      <c r="A4827" s="1133"/>
      <c r="B4827" s="1136"/>
      <c r="C4827" s="1138"/>
    </row>
    <row r="4828" spans="1:3">
      <c r="A4828" s="1133"/>
      <c r="B4828" s="1136"/>
      <c r="C4828" s="1138"/>
    </row>
    <row r="4829" spans="1:3">
      <c r="A4829" s="1133"/>
      <c r="B4829" s="1136"/>
      <c r="C4829" s="1138"/>
    </row>
    <row r="4830" spans="1:3">
      <c r="A4830" s="1133"/>
      <c r="B4830" s="1136"/>
      <c r="C4830" s="1138"/>
    </row>
    <row r="4831" spans="1:3">
      <c r="A4831" s="1133"/>
      <c r="B4831" s="1136"/>
      <c r="C4831" s="1138"/>
    </row>
    <row r="4832" spans="1:3">
      <c r="A4832" s="1133"/>
      <c r="B4832" s="1136"/>
      <c r="C4832" s="1138"/>
    </row>
    <row r="4833" spans="1:3">
      <c r="A4833" s="1133"/>
      <c r="B4833" s="1136"/>
      <c r="C4833" s="1138"/>
    </row>
    <row r="4834" spans="1:3">
      <c r="A4834" s="1133"/>
      <c r="B4834" s="1136"/>
      <c r="C4834" s="1138"/>
    </row>
    <row r="4835" spans="1:3">
      <c r="A4835" s="1133"/>
      <c r="B4835" s="1136"/>
      <c r="C4835" s="1138"/>
    </row>
    <row r="4836" spans="1:3">
      <c r="A4836" s="1133"/>
      <c r="B4836" s="1136"/>
      <c r="C4836" s="1138"/>
    </row>
    <row r="4837" spans="1:3">
      <c r="A4837" s="1133"/>
      <c r="B4837" s="1136"/>
      <c r="C4837" s="1138"/>
    </row>
    <row r="4838" spans="1:3">
      <c r="A4838" s="1133"/>
      <c r="B4838" s="1136"/>
      <c r="C4838" s="1138"/>
    </row>
    <row r="4839" spans="1:3">
      <c r="A4839" s="1133"/>
      <c r="B4839" s="1136"/>
      <c r="C4839" s="1138"/>
    </row>
    <row r="4840" spans="1:3">
      <c r="A4840" s="1133"/>
      <c r="B4840" s="1136"/>
      <c r="C4840" s="1138"/>
    </row>
    <row r="4841" spans="1:3">
      <c r="A4841" s="1133"/>
      <c r="B4841" s="1136"/>
      <c r="C4841" s="1138"/>
    </row>
    <row r="4842" spans="1:3">
      <c r="A4842" s="1133"/>
      <c r="B4842" s="1136"/>
      <c r="C4842" s="1138"/>
    </row>
    <row r="4843" spans="1:3">
      <c r="A4843" s="1133"/>
      <c r="B4843" s="1136"/>
      <c r="C4843" s="1138"/>
    </row>
    <row r="4844" spans="1:3">
      <c r="A4844" s="1133"/>
      <c r="B4844" s="1136"/>
      <c r="C4844" s="1138"/>
    </row>
    <row r="4845" spans="1:3">
      <c r="A4845" s="1133"/>
      <c r="B4845" s="1136"/>
      <c r="C4845" s="1138"/>
    </row>
    <row r="4846" spans="1:3">
      <c r="A4846" s="1133"/>
      <c r="B4846" s="1136"/>
      <c r="C4846" s="1138"/>
    </row>
    <row r="4847" spans="1:3">
      <c r="A4847" s="1133"/>
      <c r="B4847" s="1136"/>
      <c r="C4847" s="1138"/>
    </row>
    <row r="4848" spans="1:3">
      <c r="A4848" s="1133"/>
      <c r="B4848" s="1136"/>
      <c r="C4848" s="1138"/>
    </row>
    <row r="4849" spans="1:3">
      <c r="A4849" s="1133"/>
      <c r="B4849" s="1136"/>
      <c r="C4849" s="1138"/>
    </row>
    <row r="4850" spans="1:3">
      <c r="A4850" s="1133"/>
      <c r="B4850" s="1136"/>
      <c r="C4850" s="1138"/>
    </row>
    <row r="4851" spans="1:3">
      <c r="A4851" s="1133"/>
      <c r="B4851" s="1136"/>
      <c r="C4851" s="1138"/>
    </row>
    <row r="4852" spans="1:3">
      <c r="A4852" s="1133"/>
      <c r="B4852" s="1136"/>
      <c r="C4852" s="1138"/>
    </row>
    <row r="4853" spans="1:3">
      <c r="A4853" s="1133"/>
      <c r="B4853" s="1136"/>
      <c r="C4853" s="1138"/>
    </row>
    <row r="4854" spans="1:3">
      <c r="A4854" s="1133"/>
      <c r="B4854" s="1136"/>
      <c r="C4854" s="1138"/>
    </row>
    <row r="4855" spans="1:3">
      <c r="A4855" s="1133"/>
      <c r="B4855" s="1136"/>
      <c r="C4855" s="1138"/>
    </row>
    <row r="4856" spans="1:3">
      <c r="A4856" s="1133"/>
      <c r="B4856" s="1136"/>
      <c r="C4856" s="1138"/>
    </row>
    <row r="4857" spans="1:3">
      <c r="A4857" s="1133"/>
      <c r="B4857" s="1136"/>
      <c r="C4857" s="1138"/>
    </row>
    <row r="4858" spans="1:3">
      <c r="A4858" s="1133"/>
      <c r="B4858" s="1136"/>
      <c r="C4858" s="1138"/>
    </row>
    <row r="4859" spans="1:3">
      <c r="A4859" s="1133"/>
      <c r="B4859" s="1136"/>
      <c r="C4859" s="1138"/>
    </row>
    <row r="4860" spans="1:3">
      <c r="A4860" s="1133"/>
      <c r="B4860" s="1136"/>
      <c r="C4860" s="1138"/>
    </row>
    <row r="4861" spans="1:3">
      <c r="A4861" s="1133"/>
      <c r="B4861" s="1136"/>
      <c r="C4861" s="1138"/>
    </row>
    <row r="4862" spans="1:3">
      <c r="A4862" s="1133"/>
      <c r="B4862" s="1136"/>
      <c r="C4862" s="1138"/>
    </row>
    <row r="4863" spans="1:3">
      <c r="A4863" s="1133"/>
      <c r="B4863" s="1136"/>
      <c r="C4863" s="1138"/>
    </row>
    <row r="4864" spans="1:3">
      <c r="A4864" s="1133"/>
      <c r="B4864" s="1136"/>
      <c r="C4864" s="1138"/>
    </row>
    <row r="4865" spans="1:3">
      <c r="A4865" s="1133"/>
      <c r="B4865" s="1136"/>
      <c r="C4865" s="1138"/>
    </row>
    <row r="4866" spans="1:3">
      <c r="A4866" s="1133"/>
      <c r="B4866" s="1136"/>
      <c r="C4866" s="1138"/>
    </row>
    <row r="4867" spans="1:3">
      <c r="A4867" s="1133"/>
      <c r="B4867" s="1136"/>
      <c r="C4867" s="1138"/>
    </row>
    <row r="4868" spans="1:3">
      <c r="A4868" s="1133"/>
      <c r="B4868" s="1136"/>
      <c r="C4868" s="1138"/>
    </row>
    <row r="4869" spans="1:3">
      <c r="A4869" s="1133"/>
      <c r="B4869" s="1136"/>
      <c r="C4869" s="1138"/>
    </row>
    <row r="4870" spans="1:3">
      <c r="A4870" s="1133"/>
      <c r="B4870" s="1136"/>
      <c r="C4870" s="1138"/>
    </row>
    <row r="4871" spans="1:3">
      <c r="A4871" s="1133"/>
      <c r="B4871" s="1136"/>
      <c r="C4871" s="1138"/>
    </row>
    <row r="4872" spans="1:3">
      <c r="A4872" s="1133"/>
      <c r="B4872" s="1136"/>
      <c r="C4872" s="1138"/>
    </row>
    <row r="4873" spans="1:3">
      <c r="A4873" s="1133"/>
      <c r="B4873" s="1136"/>
      <c r="C4873" s="1138"/>
    </row>
    <row r="4874" spans="1:3">
      <c r="A4874" s="1133"/>
      <c r="B4874" s="1136"/>
      <c r="C4874" s="1138"/>
    </row>
    <row r="4875" spans="1:3">
      <c r="A4875" s="1133"/>
      <c r="B4875" s="1136"/>
      <c r="C4875" s="1138"/>
    </row>
    <row r="4876" spans="1:3">
      <c r="A4876" s="1133"/>
      <c r="B4876" s="1136"/>
      <c r="C4876" s="1138"/>
    </row>
    <row r="4877" spans="1:3">
      <c r="A4877" s="1133"/>
      <c r="B4877" s="1136"/>
      <c r="C4877" s="1138"/>
    </row>
    <row r="4878" spans="1:3">
      <c r="A4878" s="1133"/>
      <c r="B4878" s="1136"/>
      <c r="C4878" s="1138"/>
    </row>
    <row r="4879" spans="1:3">
      <c r="A4879" s="1133"/>
      <c r="B4879" s="1136"/>
      <c r="C4879" s="1138"/>
    </row>
    <row r="4880" spans="1:3">
      <c r="A4880" s="1133"/>
      <c r="B4880" s="1136"/>
      <c r="C4880" s="1138"/>
    </row>
    <row r="4881" spans="1:3">
      <c r="A4881" s="1133"/>
      <c r="B4881" s="1136"/>
      <c r="C4881" s="1138"/>
    </row>
    <row r="4882" spans="1:3">
      <c r="A4882" s="1133"/>
      <c r="B4882" s="1136"/>
      <c r="C4882" s="1138"/>
    </row>
    <row r="4883" spans="1:3">
      <c r="A4883" s="1133"/>
      <c r="B4883" s="1136"/>
      <c r="C4883" s="1138"/>
    </row>
    <row r="4884" spans="1:3">
      <c r="A4884" s="1133"/>
      <c r="B4884" s="1136"/>
      <c r="C4884" s="1138"/>
    </row>
    <row r="4885" spans="1:3">
      <c r="A4885" s="1133"/>
      <c r="B4885" s="1136"/>
      <c r="C4885" s="1138"/>
    </row>
    <row r="4886" spans="1:3">
      <c r="A4886" s="1133"/>
      <c r="B4886" s="1136"/>
      <c r="C4886" s="1138"/>
    </row>
    <row r="4887" spans="1:3">
      <c r="A4887" s="1133"/>
      <c r="B4887" s="1136"/>
      <c r="C4887" s="1138"/>
    </row>
    <row r="4888" spans="1:3">
      <c r="A4888" s="1133"/>
      <c r="B4888" s="1136"/>
      <c r="C4888" s="1138"/>
    </row>
    <row r="4889" spans="1:3">
      <c r="A4889" s="1133"/>
      <c r="B4889" s="1136"/>
      <c r="C4889" s="1138"/>
    </row>
    <row r="4890" spans="1:3">
      <c r="A4890" s="1133"/>
      <c r="B4890" s="1136"/>
      <c r="C4890" s="1138"/>
    </row>
    <row r="4891" spans="1:3">
      <c r="A4891" s="1133"/>
      <c r="B4891" s="1136"/>
      <c r="C4891" s="1138"/>
    </row>
    <row r="4892" spans="1:3">
      <c r="A4892" s="1133"/>
      <c r="B4892" s="1136"/>
      <c r="C4892" s="1138"/>
    </row>
    <row r="4893" spans="1:3">
      <c r="A4893" s="1133"/>
      <c r="B4893" s="1136"/>
      <c r="C4893" s="1138"/>
    </row>
    <row r="4894" spans="1:3">
      <c r="A4894" s="1133"/>
      <c r="B4894" s="1136"/>
      <c r="C4894" s="1138"/>
    </row>
    <row r="4895" spans="1:3">
      <c r="A4895" s="1133"/>
      <c r="B4895" s="1136"/>
      <c r="C4895" s="1138"/>
    </row>
    <row r="4896" spans="1:3">
      <c r="A4896" s="1133"/>
      <c r="B4896" s="1136"/>
      <c r="C4896" s="1138"/>
    </row>
    <row r="4897" spans="1:3">
      <c r="A4897" s="1133"/>
      <c r="B4897" s="1136"/>
      <c r="C4897" s="1138"/>
    </row>
    <row r="4898" spans="1:3">
      <c r="A4898" s="1133"/>
      <c r="B4898" s="1136"/>
      <c r="C4898" s="1138"/>
    </row>
    <row r="4899" spans="1:3">
      <c r="A4899" s="1133"/>
      <c r="B4899" s="1136"/>
      <c r="C4899" s="1138"/>
    </row>
    <row r="4900" spans="1:3">
      <c r="A4900" s="1133"/>
      <c r="B4900" s="1136"/>
      <c r="C4900" s="1138"/>
    </row>
    <row r="4901" spans="1:3">
      <c r="A4901" s="1133"/>
      <c r="B4901" s="1136"/>
      <c r="C4901" s="1138"/>
    </row>
    <row r="4902" spans="1:3">
      <c r="A4902" s="1133"/>
      <c r="B4902" s="1136"/>
      <c r="C4902" s="1138"/>
    </row>
    <row r="4903" spans="1:3">
      <c r="A4903" s="1133"/>
      <c r="B4903" s="1136"/>
      <c r="C4903" s="1138"/>
    </row>
    <row r="4904" spans="1:3">
      <c r="A4904" s="1133"/>
      <c r="B4904" s="1136"/>
      <c r="C4904" s="1138"/>
    </row>
    <row r="4905" spans="1:3">
      <c r="A4905" s="1133"/>
      <c r="B4905" s="1136"/>
      <c r="C4905" s="1138"/>
    </row>
    <row r="4906" spans="1:3">
      <c r="A4906" s="1133"/>
      <c r="B4906" s="1136"/>
      <c r="C4906" s="1138"/>
    </row>
    <row r="4907" spans="1:3">
      <c r="A4907" s="1133"/>
      <c r="B4907" s="1136"/>
      <c r="C4907" s="1138"/>
    </row>
    <row r="4908" spans="1:3">
      <c r="A4908" s="1133"/>
      <c r="B4908" s="1136"/>
      <c r="C4908" s="1138"/>
    </row>
    <row r="4909" spans="1:3">
      <c r="A4909" s="1133"/>
      <c r="B4909" s="1136"/>
      <c r="C4909" s="1138"/>
    </row>
    <row r="4910" spans="1:3">
      <c r="A4910" s="1133"/>
      <c r="B4910" s="1136"/>
      <c r="C4910" s="1138"/>
    </row>
    <row r="4911" spans="1:3">
      <c r="A4911" s="1133"/>
      <c r="B4911" s="1136"/>
      <c r="C4911" s="1138"/>
    </row>
    <row r="4912" spans="1:3">
      <c r="A4912" s="1133"/>
      <c r="B4912" s="1136"/>
      <c r="C4912" s="1138"/>
    </row>
    <row r="4913" spans="1:3">
      <c r="A4913" s="1133"/>
      <c r="B4913" s="1136"/>
      <c r="C4913" s="1138"/>
    </row>
    <row r="4914" spans="1:3">
      <c r="A4914" s="1133"/>
      <c r="B4914" s="1136"/>
      <c r="C4914" s="1138"/>
    </row>
    <row r="4915" spans="1:3">
      <c r="A4915" s="1133"/>
      <c r="B4915" s="1136"/>
      <c r="C4915" s="1138"/>
    </row>
    <row r="4916" spans="1:3">
      <c r="A4916" s="1133"/>
      <c r="B4916" s="1136"/>
      <c r="C4916" s="1138"/>
    </row>
    <row r="4917" spans="1:3">
      <c r="A4917" s="1133"/>
      <c r="B4917" s="1136"/>
      <c r="C4917" s="1138"/>
    </row>
    <row r="4918" spans="1:3">
      <c r="A4918" s="1133"/>
      <c r="B4918" s="1136"/>
      <c r="C4918" s="1138"/>
    </row>
    <row r="4919" spans="1:3">
      <c r="A4919" s="1133"/>
      <c r="B4919" s="1136"/>
      <c r="C4919" s="1138"/>
    </row>
    <row r="4920" spans="1:3">
      <c r="A4920" s="1133"/>
      <c r="B4920" s="1136"/>
      <c r="C4920" s="1138"/>
    </row>
    <row r="4921" spans="1:3">
      <c r="A4921" s="1133"/>
      <c r="B4921" s="1136"/>
      <c r="C4921" s="1138"/>
    </row>
    <row r="4922" spans="1:3">
      <c r="A4922" s="1133"/>
      <c r="B4922" s="1136"/>
      <c r="C4922" s="1138"/>
    </row>
    <row r="4923" spans="1:3">
      <c r="A4923" s="1133"/>
      <c r="B4923" s="1136"/>
      <c r="C4923" s="1138"/>
    </row>
    <row r="4924" spans="1:3">
      <c r="A4924" s="1133"/>
      <c r="B4924" s="1136"/>
      <c r="C4924" s="1138"/>
    </row>
    <row r="4925" spans="1:3">
      <c r="A4925" s="1133"/>
      <c r="B4925" s="1136"/>
      <c r="C4925" s="1138"/>
    </row>
    <row r="4926" spans="1:3">
      <c r="A4926" s="1133"/>
      <c r="B4926" s="1136"/>
      <c r="C4926" s="1138"/>
    </row>
    <row r="4927" spans="1:3">
      <c r="A4927" s="1133"/>
      <c r="B4927" s="1136"/>
      <c r="C4927" s="1138"/>
    </row>
    <row r="4928" spans="1:3">
      <c r="A4928" s="1133"/>
      <c r="B4928" s="1136"/>
      <c r="C4928" s="1138"/>
    </row>
    <row r="4929" spans="1:3">
      <c r="A4929" s="1133"/>
      <c r="B4929" s="1136"/>
      <c r="C4929" s="1138"/>
    </row>
    <row r="4930" spans="1:3">
      <c r="A4930" s="1133"/>
      <c r="B4930" s="1136"/>
      <c r="C4930" s="1138"/>
    </row>
    <row r="4931" spans="1:3">
      <c r="A4931" s="1133"/>
      <c r="B4931" s="1136"/>
      <c r="C4931" s="1138"/>
    </row>
    <row r="4932" spans="1:3">
      <c r="A4932" s="1133"/>
      <c r="B4932" s="1136"/>
      <c r="C4932" s="1138"/>
    </row>
    <row r="4933" spans="1:3">
      <c r="A4933" s="1133"/>
      <c r="B4933" s="1136"/>
      <c r="C4933" s="1138"/>
    </row>
    <row r="4934" spans="1:3">
      <c r="A4934" s="1133"/>
      <c r="B4934" s="1136"/>
      <c r="C4934" s="1138"/>
    </row>
    <row r="4935" spans="1:3">
      <c r="A4935" s="1133"/>
      <c r="B4935" s="1136"/>
      <c r="C4935" s="1138"/>
    </row>
    <row r="4936" spans="1:3">
      <c r="A4936" s="1133"/>
      <c r="B4936" s="1136"/>
      <c r="C4936" s="1138"/>
    </row>
    <row r="4937" spans="1:3">
      <c r="A4937" s="1133"/>
      <c r="B4937" s="1136"/>
      <c r="C4937" s="1138"/>
    </row>
    <row r="4938" spans="1:3">
      <c r="A4938" s="1133"/>
      <c r="B4938" s="1136"/>
      <c r="C4938" s="1138"/>
    </row>
    <row r="4939" spans="1:3">
      <c r="A4939" s="1133"/>
      <c r="B4939" s="1136"/>
      <c r="C4939" s="1138"/>
    </row>
    <row r="4940" spans="1:3">
      <c r="A4940" s="1133"/>
      <c r="B4940" s="1136"/>
      <c r="C4940" s="1138"/>
    </row>
    <row r="4941" spans="1:3">
      <c r="A4941" s="1133"/>
      <c r="B4941" s="1136"/>
      <c r="C4941" s="1138"/>
    </row>
    <row r="4942" spans="1:3">
      <c r="A4942" s="1133"/>
      <c r="B4942" s="1136"/>
      <c r="C4942" s="1138"/>
    </row>
    <row r="4943" spans="1:3">
      <c r="A4943" s="1133"/>
      <c r="B4943" s="1136"/>
      <c r="C4943" s="1138"/>
    </row>
    <row r="4944" spans="1:3">
      <c r="A4944" s="1133"/>
      <c r="B4944" s="1136"/>
      <c r="C4944" s="1138"/>
    </row>
    <row r="4945" spans="1:3">
      <c r="A4945" s="1133"/>
      <c r="B4945" s="1136"/>
      <c r="C4945" s="1138"/>
    </row>
    <row r="4946" spans="1:3">
      <c r="A4946" s="1133"/>
      <c r="B4946" s="1136"/>
      <c r="C4946" s="1138"/>
    </row>
    <row r="4947" spans="1:3">
      <c r="A4947" s="1133"/>
      <c r="B4947" s="1136"/>
      <c r="C4947" s="1138"/>
    </row>
    <row r="4948" spans="1:3">
      <c r="A4948" s="1133"/>
      <c r="B4948" s="1136"/>
      <c r="C4948" s="1138"/>
    </row>
    <row r="4949" spans="1:3">
      <c r="A4949" s="1133"/>
      <c r="B4949" s="1136"/>
      <c r="C4949" s="1138"/>
    </row>
    <row r="4950" spans="1:3">
      <c r="A4950" s="1133"/>
      <c r="B4950" s="1136"/>
      <c r="C4950" s="1138"/>
    </row>
    <row r="4951" spans="1:3">
      <c r="A4951" s="1133"/>
      <c r="B4951" s="1136"/>
      <c r="C4951" s="1138"/>
    </row>
    <row r="4952" spans="1:3">
      <c r="A4952" s="1133"/>
      <c r="B4952" s="1136"/>
      <c r="C4952" s="1138"/>
    </row>
    <row r="4953" spans="1:3">
      <c r="A4953" s="1133"/>
      <c r="B4953" s="1136"/>
      <c r="C4953" s="1138"/>
    </row>
    <row r="4954" spans="1:3">
      <c r="A4954" s="1133"/>
      <c r="B4954" s="1136"/>
      <c r="C4954" s="1138"/>
    </row>
    <row r="4955" spans="1:3">
      <c r="A4955" s="1133"/>
      <c r="B4955" s="1136"/>
      <c r="C4955" s="1138"/>
    </row>
    <row r="4956" spans="1:3">
      <c r="A4956" s="1133"/>
      <c r="B4956" s="1136"/>
      <c r="C4956" s="1138"/>
    </row>
    <row r="4957" spans="1:3">
      <c r="A4957" s="1133"/>
      <c r="B4957" s="1136"/>
      <c r="C4957" s="1138"/>
    </row>
    <row r="4958" spans="1:3">
      <c r="A4958" s="1133"/>
      <c r="B4958" s="1136"/>
      <c r="C4958" s="1138"/>
    </row>
    <row r="4959" spans="1:3">
      <c r="A4959" s="1133"/>
      <c r="B4959" s="1136"/>
      <c r="C4959" s="1138"/>
    </row>
    <row r="4960" spans="1:3">
      <c r="A4960" s="1133"/>
      <c r="B4960" s="1136"/>
      <c r="C4960" s="1138"/>
    </row>
    <row r="4961" spans="1:3">
      <c r="A4961" s="1133"/>
      <c r="B4961" s="1136"/>
      <c r="C4961" s="1138"/>
    </row>
    <row r="4962" spans="1:3">
      <c r="A4962" s="1133"/>
      <c r="B4962" s="1136"/>
      <c r="C4962" s="1138"/>
    </row>
    <row r="4963" spans="1:3">
      <c r="A4963" s="1133"/>
      <c r="B4963" s="1136"/>
      <c r="C4963" s="1138"/>
    </row>
    <row r="4964" spans="1:3">
      <c r="A4964" s="1133"/>
      <c r="B4964" s="1136"/>
      <c r="C4964" s="1138"/>
    </row>
    <row r="4965" spans="1:3">
      <c r="A4965" s="1133"/>
      <c r="B4965" s="1136"/>
      <c r="C4965" s="1138"/>
    </row>
    <row r="4966" spans="1:3">
      <c r="A4966" s="1133"/>
      <c r="B4966" s="1136"/>
      <c r="C4966" s="1138"/>
    </row>
    <row r="4967" spans="1:3">
      <c r="A4967" s="1133"/>
      <c r="B4967" s="1136"/>
      <c r="C4967" s="1138"/>
    </row>
    <row r="4968" spans="1:3">
      <c r="A4968" s="1133"/>
      <c r="B4968" s="1136"/>
      <c r="C4968" s="1138"/>
    </row>
    <row r="4969" spans="1:3">
      <c r="A4969" s="1133"/>
      <c r="B4969" s="1136"/>
      <c r="C4969" s="1138"/>
    </row>
    <row r="4970" spans="1:3">
      <c r="A4970" s="1133"/>
      <c r="B4970" s="1136"/>
      <c r="C4970" s="1138"/>
    </row>
    <row r="4971" spans="1:3">
      <c r="A4971" s="1133"/>
      <c r="B4971" s="1136"/>
      <c r="C4971" s="1138"/>
    </row>
    <row r="4972" spans="1:3">
      <c r="A4972" s="1133"/>
      <c r="B4972" s="1136"/>
      <c r="C4972" s="1138"/>
    </row>
    <row r="4973" spans="1:3">
      <c r="A4973" s="1133"/>
      <c r="B4973" s="1136"/>
      <c r="C4973" s="1138"/>
    </row>
    <row r="4974" spans="1:3">
      <c r="A4974" s="1133"/>
      <c r="B4974" s="1136"/>
      <c r="C4974" s="1138"/>
    </row>
    <row r="4975" spans="1:3">
      <c r="A4975" s="1133"/>
      <c r="B4975" s="1136"/>
      <c r="C4975" s="1138"/>
    </row>
    <row r="4976" spans="1:3">
      <c r="A4976" s="1133"/>
      <c r="B4976" s="1136"/>
      <c r="C4976" s="1138"/>
    </row>
    <row r="4977" spans="1:3">
      <c r="A4977" s="1133"/>
      <c r="B4977" s="1136"/>
      <c r="C4977" s="1138"/>
    </row>
    <row r="4978" spans="1:3">
      <c r="A4978" s="1133"/>
      <c r="B4978" s="1136"/>
      <c r="C4978" s="1138"/>
    </row>
    <row r="4979" spans="1:3">
      <c r="A4979" s="1133"/>
      <c r="B4979" s="1136"/>
      <c r="C4979" s="1138"/>
    </row>
    <row r="4980" spans="1:3">
      <c r="A4980" s="1133"/>
      <c r="B4980" s="1136"/>
      <c r="C4980" s="1138"/>
    </row>
    <row r="4981" spans="1:3">
      <c r="A4981" s="1133"/>
      <c r="B4981" s="1136"/>
      <c r="C4981" s="1138"/>
    </row>
    <row r="4982" spans="1:3">
      <c r="A4982" s="1133"/>
      <c r="B4982" s="1136"/>
      <c r="C4982" s="1138"/>
    </row>
    <row r="4983" spans="1:3">
      <c r="A4983" s="1133"/>
      <c r="B4983" s="1136"/>
      <c r="C4983" s="1138"/>
    </row>
    <row r="4984" spans="1:3">
      <c r="A4984" s="1133"/>
      <c r="B4984" s="1136"/>
      <c r="C4984" s="1138"/>
    </row>
    <row r="4985" spans="1:3">
      <c r="A4985" s="1133"/>
      <c r="B4985" s="1136"/>
      <c r="C4985" s="1138"/>
    </row>
    <row r="4986" spans="1:3">
      <c r="A4986" s="1133"/>
      <c r="B4986" s="1136"/>
      <c r="C4986" s="1138"/>
    </row>
    <row r="4987" spans="1:3">
      <c r="A4987" s="1133"/>
      <c r="B4987" s="1136"/>
      <c r="C4987" s="1138"/>
    </row>
    <row r="4988" spans="1:3">
      <c r="A4988" s="1133"/>
      <c r="B4988" s="1136"/>
      <c r="C4988" s="1138"/>
    </row>
    <row r="4989" spans="1:3">
      <c r="A4989" s="1133"/>
      <c r="B4989" s="1136"/>
      <c r="C4989" s="1138"/>
    </row>
    <row r="4990" spans="1:3">
      <c r="A4990" s="1133"/>
      <c r="B4990" s="1136"/>
      <c r="C4990" s="1138"/>
    </row>
    <row r="4991" spans="1:3">
      <c r="A4991" s="1133"/>
      <c r="B4991" s="1136"/>
      <c r="C4991" s="1138"/>
    </row>
    <row r="4992" spans="1:3">
      <c r="A4992" s="1133"/>
      <c r="B4992" s="1136"/>
      <c r="C4992" s="1138"/>
    </row>
    <row r="4993" spans="1:3">
      <c r="A4993" s="1133"/>
      <c r="B4993" s="1136"/>
      <c r="C4993" s="1138"/>
    </row>
    <row r="4994" spans="1:3">
      <c r="A4994" s="1133"/>
      <c r="B4994" s="1136"/>
      <c r="C4994" s="1138"/>
    </row>
    <row r="4995" spans="1:3">
      <c r="A4995" s="1133"/>
      <c r="B4995" s="1136"/>
      <c r="C4995" s="1138"/>
    </row>
    <row r="4996" spans="1:3">
      <c r="A4996" s="1133"/>
      <c r="B4996" s="1136"/>
      <c r="C4996" s="1138"/>
    </row>
    <row r="4997" spans="1:3">
      <c r="A4997" s="1133"/>
      <c r="B4997" s="1136"/>
      <c r="C4997" s="1138"/>
    </row>
    <row r="4998" spans="1:3">
      <c r="A4998" s="1133"/>
      <c r="B4998" s="1136"/>
      <c r="C4998" s="1138"/>
    </row>
    <row r="4999" spans="1:3">
      <c r="A4999" s="1133"/>
      <c r="B4999" s="1136"/>
      <c r="C4999" s="1138"/>
    </row>
    <row r="5000" spans="1:3">
      <c r="A5000" s="1133"/>
      <c r="B5000" s="1136"/>
      <c r="C5000" s="1138"/>
    </row>
    <row r="5001" spans="1:3">
      <c r="A5001" s="1133"/>
      <c r="B5001" s="1136"/>
      <c r="C5001" s="1138"/>
    </row>
    <row r="5002" spans="1:3">
      <c r="A5002" s="1133"/>
      <c r="B5002" s="1136"/>
      <c r="C5002" s="1138"/>
    </row>
    <row r="5003" spans="1:3">
      <c r="A5003" s="1133"/>
      <c r="B5003" s="1136"/>
      <c r="C5003" s="1138"/>
    </row>
    <row r="5004" spans="1:3">
      <c r="A5004" s="1133"/>
      <c r="B5004" s="1136"/>
      <c r="C5004" s="1138"/>
    </row>
    <row r="5005" spans="1:3">
      <c r="A5005" s="1133"/>
      <c r="B5005" s="1136"/>
      <c r="C5005" s="1138"/>
    </row>
    <row r="5006" spans="1:3">
      <c r="A5006" s="1133"/>
      <c r="B5006" s="1136"/>
      <c r="C5006" s="1138"/>
    </row>
    <row r="5007" spans="1:3">
      <c r="A5007" s="1133"/>
      <c r="B5007" s="1136"/>
      <c r="C5007" s="1138"/>
    </row>
    <row r="5008" spans="1:3">
      <c r="A5008" s="1133"/>
      <c r="B5008" s="1136"/>
      <c r="C5008" s="1138"/>
    </row>
    <row r="5009" spans="1:3">
      <c r="A5009" s="1133"/>
      <c r="B5009" s="1136"/>
      <c r="C5009" s="1138"/>
    </row>
    <row r="5010" spans="1:3">
      <c r="A5010" s="1133"/>
      <c r="B5010" s="1136"/>
      <c r="C5010" s="1138"/>
    </row>
    <row r="5011" spans="1:3">
      <c r="A5011" s="1133"/>
      <c r="B5011" s="1136"/>
      <c r="C5011" s="1138"/>
    </row>
    <row r="5012" spans="1:3">
      <c r="A5012" s="1133"/>
      <c r="B5012" s="1136"/>
      <c r="C5012" s="1138"/>
    </row>
    <row r="5013" spans="1:3">
      <c r="A5013" s="1133"/>
      <c r="B5013" s="1136"/>
      <c r="C5013" s="1138"/>
    </row>
    <row r="5014" spans="1:3">
      <c r="A5014" s="1133"/>
      <c r="B5014" s="1136"/>
      <c r="C5014" s="1138"/>
    </row>
    <row r="5015" spans="1:3">
      <c r="A5015" s="1133"/>
      <c r="B5015" s="1136"/>
      <c r="C5015" s="1138"/>
    </row>
    <row r="5016" spans="1:3">
      <c r="A5016" s="1133"/>
      <c r="B5016" s="1136"/>
      <c r="C5016" s="1138"/>
    </row>
    <row r="5017" spans="1:3">
      <c r="A5017" s="1133"/>
      <c r="B5017" s="1136"/>
      <c r="C5017" s="1138"/>
    </row>
    <row r="5018" spans="1:3">
      <c r="A5018" s="1133"/>
      <c r="B5018" s="1136"/>
      <c r="C5018" s="1138"/>
    </row>
    <row r="5019" spans="1:3">
      <c r="A5019" s="1133"/>
      <c r="B5019" s="1136"/>
      <c r="C5019" s="1138"/>
    </row>
    <row r="5020" spans="1:3">
      <c r="A5020" s="1133"/>
      <c r="B5020" s="1136"/>
      <c r="C5020" s="1138"/>
    </row>
    <row r="5021" spans="1:3">
      <c r="A5021" s="1133"/>
      <c r="B5021" s="1136"/>
      <c r="C5021" s="1138"/>
    </row>
    <row r="5022" spans="1:3">
      <c r="A5022" s="1133"/>
      <c r="B5022" s="1136"/>
      <c r="C5022" s="1138"/>
    </row>
    <row r="5023" spans="1:3">
      <c r="A5023" s="1133"/>
      <c r="B5023" s="1136"/>
      <c r="C5023" s="1138"/>
    </row>
    <row r="5024" spans="1:3">
      <c r="A5024" s="1133"/>
      <c r="B5024" s="1136"/>
      <c r="C5024" s="1138"/>
    </row>
    <row r="5025" spans="1:3">
      <c r="A5025" s="1133"/>
      <c r="B5025" s="1136"/>
      <c r="C5025" s="1138"/>
    </row>
    <row r="5026" spans="1:3">
      <c r="A5026" s="1133"/>
      <c r="B5026" s="1136"/>
      <c r="C5026" s="1138"/>
    </row>
    <row r="5027" spans="1:3">
      <c r="A5027" s="1133"/>
      <c r="B5027" s="1136"/>
      <c r="C5027" s="1138"/>
    </row>
    <row r="5028" spans="1:3">
      <c r="A5028" s="1133"/>
      <c r="B5028" s="1136"/>
      <c r="C5028" s="1138"/>
    </row>
    <row r="5029" spans="1:3">
      <c r="A5029" s="1133"/>
      <c r="B5029" s="1136"/>
      <c r="C5029" s="1138"/>
    </row>
    <row r="5030" spans="1:3">
      <c r="A5030" s="1133"/>
      <c r="B5030" s="1136"/>
      <c r="C5030" s="1138"/>
    </row>
    <row r="5031" spans="1:3">
      <c r="A5031" s="1133"/>
      <c r="B5031" s="1136"/>
      <c r="C5031" s="1138"/>
    </row>
    <row r="5032" spans="1:3">
      <c r="A5032" s="1133"/>
      <c r="B5032" s="1136"/>
      <c r="C5032" s="1138"/>
    </row>
    <row r="5033" spans="1:3">
      <c r="A5033" s="1133"/>
      <c r="B5033" s="1136"/>
      <c r="C5033" s="1138"/>
    </row>
    <row r="5034" spans="1:3">
      <c r="A5034" s="1133"/>
      <c r="B5034" s="1136"/>
      <c r="C5034" s="1138"/>
    </row>
    <row r="5035" spans="1:3">
      <c r="A5035" s="1133"/>
      <c r="B5035" s="1136"/>
      <c r="C5035" s="1138"/>
    </row>
    <row r="5036" spans="1:3">
      <c r="A5036" s="1133"/>
      <c r="B5036" s="1136"/>
      <c r="C5036" s="1138"/>
    </row>
    <row r="5037" spans="1:3">
      <c r="A5037" s="1133"/>
      <c r="B5037" s="1136"/>
      <c r="C5037" s="1138"/>
    </row>
    <row r="5038" spans="1:3">
      <c r="A5038" s="1133"/>
      <c r="B5038" s="1136"/>
      <c r="C5038" s="1138"/>
    </row>
    <row r="5039" spans="1:3">
      <c r="A5039" s="1133"/>
      <c r="B5039" s="1136"/>
      <c r="C5039" s="1138"/>
    </row>
    <row r="5040" spans="1:3">
      <c r="A5040" s="1133"/>
      <c r="B5040" s="1136"/>
      <c r="C5040" s="1138"/>
    </row>
    <row r="5041" spans="1:3">
      <c r="A5041" s="1133"/>
      <c r="B5041" s="1136"/>
      <c r="C5041" s="1138"/>
    </row>
    <row r="5042" spans="1:3">
      <c r="A5042" s="1133"/>
      <c r="B5042" s="1136"/>
      <c r="C5042" s="1138"/>
    </row>
    <row r="5043" spans="1:3">
      <c r="A5043" s="1133"/>
      <c r="B5043" s="1136"/>
      <c r="C5043" s="1138"/>
    </row>
    <row r="5044" spans="1:3">
      <c r="A5044" s="1133"/>
      <c r="B5044" s="1136"/>
      <c r="C5044" s="1138"/>
    </row>
    <row r="5045" spans="1:3">
      <c r="A5045" s="1133"/>
      <c r="B5045" s="1136"/>
      <c r="C5045" s="1138"/>
    </row>
    <row r="5046" spans="1:3">
      <c r="A5046" s="1133"/>
      <c r="B5046" s="1136"/>
      <c r="C5046" s="1138"/>
    </row>
    <row r="5047" spans="1:3">
      <c r="A5047" s="1133"/>
      <c r="B5047" s="1136"/>
      <c r="C5047" s="1138"/>
    </row>
    <row r="5048" spans="1:3">
      <c r="A5048" s="1133"/>
      <c r="B5048" s="1136"/>
      <c r="C5048" s="1138"/>
    </row>
    <row r="5049" spans="1:3">
      <c r="A5049" s="1133"/>
      <c r="B5049" s="1136"/>
      <c r="C5049" s="1138"/>
    </row>
    <row r="5050" spans="1:3">
      <c r="A5050" s="1133"/>
      <c r="B5050" s="1136"/>
      <c r="C5050" s="1138"/>
    </row>
    <row r="5051" spans="1:3">
      <c r="A5051" s="1133"/>
      <c r="B5051" s="1136"/>
      <c r="C5051" s="1138"/>
    </row>
    <row r="5052" spans="1:3">
      <c r="A5052" s="1133"/>
      <c r="B5052" s="1136"/>
      <c r="C5052" s="1138"/>
    </row>
    <row r="5053" spans="1:3">
      <c r="A5053" s="1133"/>
      <c r="B5053" s="1136"/>
      <c r="C5053" s="1138"/>
    </row>
    <row r="5054" spans="1:3">
      <c r="A5054" s="1133"/>
      <c r="B5054" s="1136"/>
      <c r="C5054" s="1138"/>
    </row>
    <row r="5055" spans="1:3">
      <c r="A5055" s="1133"/>
      <c r="B5055" s="1136"/>
      <c r="C5055" s="1138"/>
    </row>
    <row r="5056" spans="1:3">
      <c r="A5056" s="1133"/>
      <c r="B5056" s="1136"/>
      <c r="C5056" s="1138"/>
    </row>
    <row r="5057" spans="1:3">
      <c r="A5057" s="1133"/>
      <c r="B5057" s="1136"/>
      <c r="C5057" s="1138"/>
    </row>
    <row r="5058" spans="1:3">
      <c r="A5058" s="1133"/>
      <c r="B5058" s="1136"/>
      <c r="C5058" s="1138"/>
    </row>
    <row r="5059" spans="1:3">
      <c r="A5059" s="1133"/>
      <c r="B5059" s="1136"/>
      <c r="C5059" s="1138"/>
    </row>
    <row r="5060" spans="1:3">
      <c r="A5060" s="1133"/>
      <c r="B5060" s="1136"/>
      <c r="C5060" s="1138"/>
    </row>
    <row r="5061" spans="1:3">
      <c r="A5061" s="1133"/>
      <c r="B5061" s="1136"/>
      <c r="C5061" s="1138"/>
    </row>
    <row r="5062" spans="1:3">
      <c r="A5062" s="1133"/>
      <c r="B5062" s="1136"/>
      <c r="C5062" s="1138"/>
    </row>
    <row r="5063" spans="1:3">
      <c r="A5063" s="1133"/>
      <c r="B5063" s="1136"/>
      <c r="C5063" s="1138"/>
    </row>
    <row r="5064" spans="1:3">
      <c r="A5064" s="1133"/>
      <c r="B5064" s="1136"/>
      <c r="C5064" s="1138"/>
    </row>
    <row r="5065" spans="1:3">
      <c r="A5065" s="1133"/>
      <c r="B5065" s="1136"/>
      <c r="C5065" s="1138"/>
    </row>
    <row r="5066" spans="1:3">
      <c r="A5066" s="1133"/>
      <c r="B5066" s="1136"/>
      <c r="C5066" s="1138"/>
    </row>
    <row r="5067" spans="1:3">
      <c r="A5067" s="1133"/>
      <c r="B5067" s="1136"/>
      <c r="C5067" s="1138"/>
    </row>
    <row r="5068" spans="1:3">
      <c r="A5068" s="1133"/>
      <c r="B5068" s="1136"/>
      <c r="C5068" s="1138"/>
    </row>
    <row r="5069" spans="1:3">
      <c r="A5069" s="1133"/>
      <c r="B5069" s="1136"/>
      <c r="C5069" s="1138"/>
    </row>
    <row r="5070" spans="1:3">
      <c r="A5070" s="1133"/>
      <c r="B5070" s="1136"/>
      <c r="C5070" s="1138"/>
    </row>
    <row r="5071" spans="1:3">
      <c r="A5071" s="1133"/>
      <c r="B5071" s="1136"/>
      <c r="C5071" s="1138"/>
    </row>
    <row r="5072" spans="1:3">
      <c r="A5072" s="1133"/>
      <c r="B5072" s="1136"/>
      <c r="C5072" s="1138"/>
    </row>
    <row r="5073" spans="1:3">
      <c r="A5073" s="1133"/>
      <c r="B5073" s="1136"/>
      <c r="C5073" s="1138"/>
    </row>
    <row r="5074" spans="1:3">
      <c r="A5074" s="1133"/>
      <c r="B5074" s="1136"/>
      <c r="C5074" s="1138"/>
    </row>
    <row r="5075" spans="1:3">
      <c r="A5075" s="1133"/>
      <c r="B5075" s="1136"/>
      <c r="C5075" s="1138"/>
    </row>
    <row r="5076" spans="1:3">
      <c r="A5076" s="1133"/>
      <c r="B5076" s="1136"/>
      <c r="C5076" s="1138"/>
    </row>
    <row r="5077" spans="1:3">
      <c r="A5077" s="1133"/>
      <c r="B5077" s="1136"/>
      <c r="C5077" s="1138"/>
    </row>
    <row r="5078" spans="1:3">
      <c r="A5078" s="1133"/>
      <c r="B5078" s="1136"/>
      <c r="C5078" s="1138"/>
    </row>
    <row r="5079" spans="1:3">
      <c r="A5079" s="1133"/>
      <c r="B5079" s="1136"/>
      <c r="C5079" s="1138"/>
    </row>
    <row r="5080" spans="1:3">
      <c r="A5080" s="1133"/>
      <c r="B5080" s="1136"/>
      <c r="C5080" s="1138"/>
    </row>
    <row r="5081" spans="1:3">
      <c r="A5081" s="1133"/>
      <c r="B5081" s="1136"/>
      <c r="C5081" s="1138"/>
    </row>
    <row r="5082" spans="1:3">
      <c r="A5082" s="1133"/>
      <c r="B5082" s="1136"/>
      <c r="C5082" s="1138"/>
    </row>
    <row r="5083" spans="1:3">
      <c r="A5083" s="1133"/>
      <c r="B5083" s="1136"/>
      <c r="C5083" s="1138"/>
    </row>
    <row r="5084" spans="1:3">
      <c r="A5084" s="1133"/>
      <c r="B5084" s="1136"/>
      <c r="C5084" s="1138"/>
    </row>
    <row r="5085" spans="1:3">
      <c r="A5085" s="1133"/>
      <c r="B5085" s="1136"/>
      <c r="C5085" s="1138"/>
    </row>
    <row r="5086" spans="1:3">
      <c r="A5086" s="1133"/>
      <c r="B5086" s="1136"/>
      <c r="C5086" s="1138"/>
    </row>
    <row r="5087" spans="1:3">
      <c r="A5087" s="1133"/>
      <c r="B5087" s="1136"/>
      <c r="C5087" s="1138"/>
    </row>
    <row r="5088" spans="1:3">
      <c r="A5088" s="1133"/>
      <c r="B5088" s="1136"/>
      <c r="C5088" s="1138"/>
    </row>
    <row r="5089" spans="1:3">
      <c r="A5089" s="1133"/>
      <c r="B5089" s="1136"/>
      <c r="C5089" s="1138"/>
    </row>
    <row r="5090" spans="1:3">
      <c r="A5090" s="1133"/>
      <c r="B5090" s="1136"/>
      <c r="C5090" s="1138"/>
    </row>
    <row r="5091" spans="1:3">
      <c r="A5091" s="1133"/>
      <c r="B5091" s="1136"/>
      <c r="C5091" s="1138"/>
    </row>
    <row r="5092" spans="1:3">
      <c r="A5092" s="1133"/>
      <c r="B5092" s="1136"/>
      <c r="C5092" s="1138"/>
    </row>
    <row r="5093" spans="1:3">
      <c r="A5093" s="1133"/>
      <c r="B5093" s="1136"/>
      <c r="C5093" s="1138"/>
    </row>
    <row r="5094" spans="1:3">
      <c r="A5094" s="1133"/>
      <c r="B5094" s="1136"/>
      <c r="C5094" s="1138"/>
    </row>
    <row r="5095" spans="1:3">
      <c r="A5095" s="1133"/>
      <c r="B5095" s="1136"/>
      <c r="C5095" s="1138"/>
    </row>
    <row r="5096" spans="1:3">
      <c r="A5096" s="1133"/>
      <c r="B5096" s="1136"/>
      <c r="C5096" s="1138"/>
    </row>
    <row r="5097" spans="1:3">
      <c r="A5097" s="1133"/>
      <c r="B5097" s="1136"/>
      <c r="C5097" s="1138"/>
    </row>
    <row r="5098" spans="1:3">
      <c r="A5098" s="1133"/>
      <c r="B5098" s="1136"/>
      <c r="C5098" s="1138"/>
    </row>
    <row r="5099" spans="1:3">
      <c r="A5099" s="1133"/>
      <c r="B5099" s="1136"/>
      <c r="C5099" s="1138"/>
    </row>
    <row r="5100" spans="1:3">
      <c r="A5100" s="1133"/>
      <c r="B5100" s="1136"/>
      <c r="C5100" s="1138"/>
    </row>
    <row r="5101" spans="1:3">
      <c r="A5101" s="1133"/>
      <c r="B5101" s="1136"/>
      <c r="C5101" s="1138"/>
    </row>
    <row r="5102" spans="1:3">
      <c r="A5102" s="1133"/>
      <c r="B5102" s="1136"/>
      <c r="C5102" s="1138"/>
    </row>
    <row r="5103" spans="1:3">
      <c r="A5103" s="1133"/>
      <c r="B5103" s="1136"/>
      <c r="C5103" s="1138"/>
    </row>
    <row r="5104" spans="1:3">
      <c r="A5104" s="1133"/>
      <c r="B5104" s="1136"/>
      <c r="C5104" s="1138"/>
    </row>
    <row r="5105" spans="1:3">
      <c r="A5105" s="1133"/>
      <c r="B5105" s="1136"/>
      <c r="C5105" s="1138"/>
    </row>
    <row r="5106" spans="1:3">
      <c r="A5106" s="1133"/>
      <c r="B5106" s="1136"/>
      <c r="C5106" s="1138"/>
    </row>
    <row r="5107" spans="1:3">
      <c r="A5107" s="1133"/>
      <c r="B5107" s="1136"/>
      <c r="C5107" s="1138"/>
    </row>
    <row r="5108" spans="1:3">
      <c r="A5108" s="1133"/>
      <c r="B5108" s="1136"/>
      <c r="C5108" s="1138"/>
    </row>
    <row r="5109" spans="1:3">
      <c r="A5109" s="1133"/>
      <c r="B5109" s="1136"/>
      <c r="C5109" s="1138"/>
    </row>
    <row r="5110" spans="1:3">
      <c r="A5110" s="1133"/>
      <c r="B5110" s="1136"/>
      <c r="C5110" s="1138"/>
    </row>
    <row r="5111" spans="1:3">
      <c r="A5111" s="1133"/>
      <c r="B5111" s="1136"/>
      <c r="C5111" s="1138"/>
    </row>
    <row r="5112" spans="1:3">
      <c r="A5112" s="1133"/>
      <c r="B5112" s="1136"/>
      <c r="C5112" s="1138"/>
    </row>
    <row r="5113" spans="1:3">
      <c r="A5113" s="1133"/>
      <c r="B5113" s="1136"/>
      <c r="C5113" s="1138"/>
    </row>
    <row r="5114" spans="1:3">
      <c r="A5114" s="1133"/>
      <c r="B5114" s="1136"/>
      <c r="C5114" s="1138"/>
    </row>
    <row r="5115" spans="1:3">
      <c r="A5115" s="1133"/>
      <c r="B5115" s="1136"/>
      <c r="C5115" s="1138"/>
    </row>
    <row r="5116" spans="1:3">
      <c r="A5116" s="1133"/>
      <c r="B5116" s="1136"/>
      <c r="C5116" s="1138"/>
    </row>
    <row r="5117" spans="1:3">
      <c r="A5117" s="1133"/>
      <c r="B5117" s="1136"/>
      <c r="C5117" s="1138"/>
    </row>
    <row r="5118" spans="1:3">
      <c r="A5118" s="1133"/>
      <c r="B5118" s="1136"/>
      <c r="C5118" s="1138"/>
    </row>
    <row r="5119" spans="1:3">
      <c r="A5119" s="1133"/>
      <c r="B5119" s="1136"/>
      <c r="C5119" s="1138"/>
    </row>
    <row r="5120" spans="1:3">
      <c r="A5120" s="1133"/>
      <c r="B5120" s="1136"/>
      <c r="C5120" s="1138"/>
    </row>
    <row r="5121" spans="1:3">
      <c r="A5121" s="1133"/>
      <c r="B5121" s="1136"/>
      <c r="C5121" s="1138"/>
    </row>
    <row r="5122" spans="1:3">
      <c r="A5122" s="1133"/>
      <c r="B5122" s="1136"/>
      <c r="C5122" s="1138"/>
    </row>
    <row r="5123" spans="1:3">
      <c r="A5123" s="1133"/>
      <c r="B5123" s="1136"/>
      <c r="C5123" s="1138"/>
    </row>
    <row r="5124" spans="1:3">
      <c r="A5124" s="1133"/>
      <c r="B5124" s="1136"/>
      <c r="C5124" s="1138"/>
    </row>
    <row r="5125" spans="1:3">
      <c r="A5125" s="1133"/>
      <c r="B5125" s="1136"/>
      <c r="C5125" s="1138"/>
    </row>
    <row r="5126" spans="1:3">
      <c r="A5126" s="1133"/>
      <c r="B5126" s="1136"/>
      <c r="C5126" s="1138"/>
    </row>
    <row r="5127" spans="1:3">
      <c r="A5127" s="1133"/>
      <c r="B5127" s="1136"/>
      <c r="C5127" s="1138"/>
    </row>
    <row r="5128" spans="1:3">
      <c r="A5128" s="1133"/>
      <c r="B5128" s="1136"/>
      <c r="C5128" s="1138"/>
    </row>
    <row r="5129" spans="1:3">
      <c r="A5129" s="1133"/>
      <c r="B5129" s="1136"/>
      <c r="C5129" s="1138"/>
    </row>
    <row r="5130" spans="1:3">
      <c r="A5130" s="1133"/>
      <c r="B5130" s="1136"/>
      <c r="C5130" s="1138"/>
    </row>
    <row r="5131" spans="1:3">
      <c r="A5131" s="1133"/>
      <c r="B5131" s="1136"/>
      <c r="C5131" s="1138"/>
    </row>
    <row r="5132" spans="1:3">
      <c r="A5132" s="1133"/>
      <c r="B5132" s="1136"/>
      <c r="C5132" s="1138"/>
    </row>
    <row r="5133" spans="1:3">
      <c r="A5133" s="1133"/>
      <c r="B5133" s="1136"/>
      <c r="C5133" s="1138"/>
    </row>
    <row r="5134" spans="1:3">
      <c r="A5134" s="1133"/>
      <c r="B5134" s="1136"/>
      <c r="C5134" s="1138"/>
    </row>
    <row r="5135" spans="1:3">
      <c r="A5135" s="1133"/>
      <c r="B5135" s="1136"/>
      <c r="C5135" s="1138"/>
    </row>
    <row r="5136" spans="1:3">
      <c r="A5136" s="1133"/>
      <c r="B5136" s="1136"/>
      <c r="C5136" s="1138"/>
    </row>
    <row r="5137" spans="1:3">
      <c r="A5137" s="1133"/>
      <c r="B5137" s="1136"/>
      <c r="C5137" s="1138"/>
    </row>
    <row r="5138" spans="1:3">
      <c r="A5138" s="1133"/>
      <c r="B5138" s="1136"/>
      <c r="C5138" s="1138"/>
    </row>
    <row r="5139" spans="1:3">
      <c r="A5139" s="1133"/>
      <c r="B5139" s="1136"/>
      <c r="C5139" s="1138"/>
    </row>
    <row r="5140" spans="1:3">
      <c r="A5140" s="1133"/>
      <c r="B5140" s="1136"/>
      <c r="C5140" s="1138"/>
    </row>
    <row r="5141" spans="1:3">
      <c r="A5141" s="1133"/>
      <c r="B5141" s="1136"/>
      <c r="C5141" s="1138"/>
    </row>
    <row r="5142" spans="1:3">
      <c r="A5142" s="1133"/>
      <c r="B5142" s="1136"/>
      <c r="C5142" s="1138"/>
    </row>
    <row r="5143" spans="1:3">
      <c r="A5143" s="1133"/>
      <c r="B5143" s="1136"/>
      <c r="C5143" s="1138"/>
    </row>
    <row r="5144" spans="1:3">
      <c r="A5144" s="1133"/>
      <c r="B5144" s="1136"/>
      <c r="C5144" s="1138"/>
    </row>
    <row r="5145" spans="1:3">
      <c r="A5145" s="1133"/>
      <c r="B5145" s="1136"/>
      <c r="C5145" s="1138"/>
    </row>
    <row r="5146" spans="1:3">
      <c r="A5146" s="1133"/>
      <c r="B5146" s="1136"/>
      <c r="C5146" s="1138"/>
    </row>
    <row r="5147" spans="1:3">
      <c r="A5147" s="1133"/>
      <c r="B5147" s="1136"/>
      <c r="C5147" s="1138"/>
    </row>
    <row r="5148" spans="1:3">
      <c r="A5148" s="1133"/>
      <c r="B5148" s="1136"/>
      <c r="C5148" s="1138"/>
    </row>
    <row r="5149" spans="1:3">
      <c r="A5149" s="1133"/>
      <c r="B5149" s="1136"/>
      <c r="C5149" s="1138"/>
    </row>
    <row r="5150" spans="1:3">
      <c r="A5150" s="1133"/>
      <c r="B5150" s="1136"/>
      <c r="C5150" s="1138"/>
    </row>
    <row r="5151" spans="1:3">
      <c r="A5151" s="1133"/>
      <c r="B5151" s="1136"/>
      <c r="C5151" s="1138"/>
    </row>
    <row r="5152" spans="1:3">
      <c r="A5152" s="1133"/>
      <c r="B5152" s="1136"/>
      <c r="C5152" s="1138"/>
    </row>
    <row r="5153" spans="1:3">
      <c r="A5153" s="1133"/>
      <c r="B5153" s="1136"/>
      <c r="C5153" s="1138"/>
    </row>
    <row r="5154" spans="1:3">
      <c r="A5154" s="1133"/>
      <c r="B5154" s="1136"/>
      <c r="C5154" s="1138"/>
    </row>
    <row r="5155" spans="1:3">
      <c r="A5155" s="1133"/>
      <c r="B5155" s="1136"/>
      <c r="C5155" s="1138"/>
    </row>
    <row r="5156" spans="1:3">
      <c r="A5156" s="1133"/>
      <c r="B5156" s="1136"/>
      <c r="C5156" s="1138"/>
    </row>
    <row r="5157" spans="1:3">
      <c r="A5157" s="1133"/>
      <c r="B5157" s="1136"/>
      <c r="C5157" s="1138"/>
    </row>
    <row r="5158" spans="1:3">
      <c r="A5158" s="1133"/>
      <c r="B5158" s="1136"/>
      <c r="C5158" s="1138"/>
    </row>
    <row r="5159" spans="1:3">
      <c r="A5159" s="1133"/>
      <c r="B5159" s="1136"/>
      <c r="C5159" s="1138"/>
    </row>
    <row r="5160" spans="1:3">
      <c r="A5160" s="1133"/>
      <c r="B5160" s="1136"/>
      <c r="C5160" s="1138"/>
    </row>
    <row r="5161" spans="1:3">
      <c r="A5161" s="1133"/>
      <c r="B5161" s="1136"/>
      <c r="C5161" s="1138"/>
    </row>
    <row r="5162" spans="1:3">
      <c r="A5162" s="1133"/>
      <c r="B5162" s="1136"/>
      <c r="C5162" s="1138"/>
    </row>
    <row r="5163" spans="1:3">
      <c r="A5163" s="1133"/>
      <c r="B5163" s="1136"/>
      <c r="C5163" s="1138"/>
    </row>
    <row r="5164" spans="1:3">
      <c r="A5164" s="1133"/>
      <c r="B5164" s="1136"/>
      <c r="C5164" s="1138"/>
    </row>
    <row r="5165" spans="1:3">
      <c r="A5165" s="1133"/>
      <c r="B5165" s="1136"/>
      <c r="C5165" s="1138"/>
    </row>
    <row r="5166" spans="1:3">
      <c r="A5166" s="1133"/>
      <c r="B5166" s="1136"/>
      <c r="C5166" s="1138"/>
    </row>
    <row r="5167" spans="1:3">
      <c r="A5167" s="1133"/>
      <c r="B5167" s="1136"/>
      <c r="C5167" s="1138"/>
    </row>
    <row r="5168" spans="1:3">
      <c r="A5168" s="1133"/>
      <c r="B5168" s="1136"/>
      <c r="C5168" s="1138"/>
    </row>
    <row r="5169" spans="1:3">
      <c r="A5169" s="1133"/>
      <c r="B5169" s="1136"/>
      <c r="C5169" s="1138"/>
    </row>
    <row r="5170" spans="1:3">
      <c r="A5170" s="1133"/>
      <c r="B5170" s="1136"/>
      <c r="C5170" s="1138"/>
    </row>
    <row r="5171" spans="1:3">
      <c r="A5171" s="1133"/>
      <c r="B5171" s="1136"/>
      <c r="C5171" s="1138"/>
    </row>
    <row r="5172" spans="1:3">
      <c r="A5172" s="1133"/>
      <c r="B5172" s="1136"/>
      <c r="C5172" s="1138"/>
    </row>
    <row r="5173" spans="1:3">
      <c r="A5173" s="1133"/>
      <c r="B5173" s="1136"/>
      <c r="C5173" s="1138"/>
    </row>
    <row r="5174" spans="1:3">
      <c r="A5174" s="1133"/>
      <c r="B5174" s="1136"/>
      <c r="C5174" s="1138"/>
    </row>
    <row r="5175" spans="1:3">
      <c r="A5175" s="1133"/>
      <c r="B5175" s="1136"/>
      <c r="C5175" s="1138"/>
    </row>
    <row r="5176" spans="1:3">
      <c r="A5176" s="1133"/>
      <c r="B5176" s="1136"/>
      <c r="C5176" s="1138"/>
    </row>
    <row r="5177" spans="1:3">
      <c r="A5177" s="1133"/>
      <c r="B5177" s="1136"/>
      <c r="C5177" s="1138"/>
    </row>
    <row r="5178" spans="1:3">
      <c r="A5178" s="1133"/>
      <c r="B5178" s="1136"/>
      <c r="C5178" s="1138"/>
    </row>
    <row r="5179" spans="1:3">
      <c r="A5179" s="1133"/>
      <c r="B5179" s="1136"/>
      <c r="C5179" s="1138"/>
    </row>
    <row r="5180" spans="1:3">
      <c r="A5180" s="1133"/>
      <c r="B5180" s="1136"/>
      <c r="C5180" s="1138"/>
    </row>
    <row r="5181" spans="1:3">
      <c r="A5181" s="1133"/>
      <c r="B5181" s="1136"/>
      <c r="C5181" s="1138"/>
    </row>
    <row r="5182" spans="1:3">
      <c r="A5182" s="1133"/>
      <c r="B5182" s="1136"/>
      <c r="C5182" s="1138"/>
    </row>
    <row r="5183" spans="1:3">
      <c r="A5183" s="1133"/>
      <c r="B5183" s="1136"/>
      <c r="C5183" s="1138"/>
    </row>
    <row r="5184" spans="1:3">
      <c r="A5184" s="1133"/>
      <c r="B5184" s="1136"/>
      <c r="C5184" s="1138"/>
    </row>
    <row r="5185" spans="1:3">
      <c r="A5185" s="1133"/>
      <c r="B5185" s="1136"/>
      <c r="C5185" s="1138"/>
    </row>
    <row r="5186" spans="1:3">
      <c r="A5186" s="1133"/>
      <c r="B5186" s="1136"/>
      <c r="C5186" s="1138"/>
    </row>
    <row r="5187" spans="1:3">
      <c r="A5187" s="1133"/>
      <c r="B5187" s="1136"/>
      <c r="C5187" s="1138"/>
    </row>
    <row r="5188" spans="1:3">
      <c r="A5188" s="1133"/>
      <c r="B5188" s="1136"/>
      <c r="C5188" s="1138"/>
    </row>
    <row r="5189" spans="1:3">
      <c r="A5189" s="1133"/>
      <c r="B5189" s="1136"/>
      <c r="C5189" s="1138"/>
    </row>
    <row r="5190" spans="1:3">
      <c r="A5190" s="1133"/>
      <c r="B5190" s="1136"/>
      <c r="C5190" s="1138"/>
    </row>
    <row r="5191" spans="1:3">
      <c r="A5191" s="1133"/>
      <c r="B5191" s="1136"/>
      <c r="C5191" s="1138"/>
    </row>
    <row r="5192" spans="1:3">
      <c r="A5192" s="1133"/>
      <c r="B5192" s="1136"/>
      <c r="C5192" s="1138"/>
    </row>
    <row r="5193" spans="1:3">
      <c r="A5193" s="1133"/>
      <c r="B5193" s="1136"/>
      <c r="C5193" s="1138"/>
    </row>
    <row r="5194" spans="1:3">
      <c r="A5194" s="1133"/>
      <c r="B5194" s="1136"/>
      <c r="C5194" s="1138"/>
    </row>
    <row r="5195" spans="1:3">
      <c r="A5195" s="1133"/>
      <c r="B5195" s="1136"/>
      <c r="C5195" s="1138"/>
    </row>
    <row r="5196" spans="1:3">
      <c r="A5196" s="1133"/>
      <c r="B5196" s="1136"/>
      <c r="C5196" s="1138"/>
    </row>
    <row r="5197" spans="1:3">
      <c r="A5197" s="1133"/>
      <c r="B5197" s="1136"/>
      <c r="C5197" s="1138"/>
    </row>
    <row r="5198" spans="1:3">
      <c r="A5198" s="1133"/>
      <c r="B5198" s="1136"/>
      <c r="C5198" s="1138"/>
    </row>
    <row r="5199" spans="1:3">
      <c r="A5199" s="1133"/>
      <c r="B5199" s="1136"/>
      <c r="C5199" s="1138"/>
    </row>
    <row r="5200" spans="1:3">
      <c r="A5200" s="1133"/>
      <c r="B5200" s="1136"/>
      <c r="C5200" s="1138"/>
    </row>
    <row r="5201" spans="1:3">
      <c r="A5201" s="1133"/>
      <c r="B5201" s="1136"/>
      <c r="C5201" s="1138"/>
    </row>
    <row r="5202" spans="1:3">
      <c r="A5202" s="1133"/>
      <c r="B5202" s="1136"/>
      <c r="C5202" s="1138"/>
    </row>
    <row r="5203" spans="1:3">
      <c r="A5203" s="1133"/>
      <c r="B5203" s="1136"/>
      <c r="C5203" s="1138"/>
    </row>
    <row r="5204" spans="1:3">
      <c r="A5204" s="1133"/>
      <c r="B5204" s="1136"/>
      <c r="C5204" s="1138"/>
    </row>
    <row r="5205" spans="1:3">
      <c r="A5205" s="1133"/>
      <c r="B5205" s="1136"/>
      <c r="C5205" s="1138"/>
    </row>
    <row r="5206" spans="1:3">
      <c r="A5206" s="1133"/>
      <c r="B5206" s="1136"/>
      <c r="C5206" s="1138"/>
    </row>
    <row r="5207" spans="1:3">
      <c r="A5207" s="1133"/>
      <c r="B5207" s="1136"/>
      <c r="C5207" s="1138"/>
    </row>
    <row r="5208" spans="1:3">
      <c r="A5208" s="1133"/>
      <c r="B5208" s="1136"/>
      <c r="C5208" s="1138"/>
    </row>
    <row r="5209" spans="1:3">
      <c r="A5209" s="1133"/>
      <c r="B5209" s="1136"/>
      <c r="C5209" s="1138"/>
    </row>
    <row r="5210" spans="1:3">
      <c r="A5210" s="1133"/>
      <c r="B5210" s="1136"/>
      <c r="C5210" s="1138"/>
    </row>
    <row r="5211" spans="1:3">
      <c r="A5211" s="1133"/>
      <c r="B5211" s="1136"/>
      <c r="C5211" s="1138"/>
    </row>
    <row r="5212" spans="1:3">
      <c r="A5212" s="1133"/>
      <c r="B5212" s="1136"/>
      <c r="C5212" s="1138"/>
    </row>
    <row r="5213" spans="1:3">
      <c r="A5213" s="1133"/>
      <c r="B5213" s="1136"/>
      <c r="C5213" s="1138"/>
    </row>
    <row r="5214" spans="1:3">
      <c r="A5214" s="1133"/>
      <c r="B5214" s="1136"/>
      <c r="C5214" s="1138"/>
    </row>
    <row r="5215" spans="1:3">
      <c r="A5215" s="1133"/>
      <c r="B5215" s="1136"/>
      <c r="C5215" s="1138"/>
    </row>
    <row r="5216" spans="1:3">
      <c r="A5216" s="1133"/>
      <c r="B5216" s="1136"/>
      <c r="C5216" s="1138"/>
    </row>
    <row r="5217" spans="1:3">
      <c r="A5217" s="1133"/>
      <c r="B5217" s="1136"/>
      <c r="C5217" s="1138"/>
    </row>
    <row r="5218" spans="1:3">
      <c r="A5218" s="1133"/>
      <c r="B5218" s="1136"/>
      <c r="C5218" s="1138"/>
    </row>
    <row r="5219" spans="1:3">
      <c r="A5219" s="1133"/>
      <c r="B5219" s="1136"/>
      <c r="C5219" s="1138"/>
    </row>
    <row r="5220" spans="1:3">
      <c r="A5220" s="1133"/>
      <c r="B5220" s="1136"/>
      <c r="C5220" s="1138"/>
    </row>
    <row r="5221" spans="1:3">
      <c r="A5221" s="1133"/>
      <c r="B5221" s="1136"/>
      <c r="C5221" s="1138"/>
    </row>
    <row r="5222" spans="1:3">
      <c r="A5222" s="1133"/>
      <c r="B5222" s="1136"/>
      <c r="C5222" s="1138"/>
    </row>
    <row r="5223" spans="1:3">
      <c r="A5223" s="1133"/>
      <c r="B5223" s="1136"/>
      <c r="C5223" s="1138"/>
    </row>
    <row r="5224" spans="1:3">
      <c r="A5224" s="1133"/>
      <c r="B5224" s="1136"/>
      <c r="C5224" s="1138"/>
    </row>
    <row r="5225" spans="1:3">
      <c r="A5225" s="1133"/>
      <c r="B5225" s="1136"/>
      <c r="C5225" s="1138"/>
    </row>
    <row r="5226" spans="1:3">
      <c r="A5226" s="1133"/>
      <c r="B5226" s="1136"/>
      <c r="C5226" s="1138"/>
    </row>
    <row r="5227" spans="1:3">
      <c r="A5227" s="1133"/>
      <c r="B5227" s="1136"/>
      <c r="C5227" s="1138"/>
    </row>
    <row r="5228" spans="1:3">
      <c r="A5228" s="1133"/>
      <c r="B5228" s="1136"/>
      <c r="C5228" s="1138"/>
    </row>
    <row r="5229" spans="1:3">
      <c r="A5229" s="1133"/>
      <c r="B5229" s="1136"/>
      <c r="C5229" s="1138"/>
    </row>
    <row r="5230" spans="1:3">
      <c r="A5230" s="1133"/>
      <c r="B5230" s="1136"/>
      <c r="C5230" s="1138"/>
    </row>
    <row r="5231" spans="1:3">
      <c r="A5231" s="1133"/>
      <c r="B5231" s="1136"/>
      <c r="C5231" s="1138"/>
    </row>
    <row r="5232" spans="1:3">
      <c r="A5232" s="1133"/>
      <c r="B5232" s="1136"/>
      <c r="C5232" s="1138"/>
    </row>
    <row r="5233" spans="1:3">
      <c r="A5233" s="1133"/>
      <c r="B5233" s="1136"/>
      <c r="C5233" s="1138"/>
    </row>
    <row r="5234" spans="1:3">
      <c r="A5234" s="1133"/>
      <c r="B5234" s="1136"/>
      <c r="C5234" s="1138"/>
    </row>
    <row r="5235" spans="1:3">
      <c r="A5235" s="1133"/>
      <c r="B5235" s="1136"/>
      <c r="C5235" s="1138"/>
    </row>
    <row r="5236" spans="1:3">
      <c r="A5236" s="1133"/>
      <c r="B5236" s="1136"/>
      <c r="C5236" s="1138"/>
    </row>
    <row r="5237" spans="1:3">
      <c r="A5237" s="1133"/>
      <c r="B5237" s="1136"/>
      <c r="C5237" s="1138"/>
    </row>
    <row r="5238" spans="1:3">
      <c r="A5238" s="1133"/>
      <c r="B5238" s="1136"/>
      <c r="C5238" s="1138"/>
    </row>
    <row r="5239" spans="1:3">
      <c r="A5239" s="1133"/>
      <c r="B5239" s="1136"/>
      <c r="C5239" s="1138"/>
    </row>
    <row r="5240" spans="1:3">
      <c r="A5240" s="1133"/>
      <c r="B5240" s="1136"/>
      <c r="C5240" s="1138"/>
    </row>
    <row r="5241" spans="1:3">
      <c r="A5241" s="1133"/>
      <c r="B5241" s="1136"/>
      <c r="C5241" s="1138"/>
    </row>
    <row r="5242" spans="1:3">
      <c r="A5242" s="1133"/>
      <c r="B5242" s="1136"/>
      <c r="C5242" s="1138"/>
    </row>
    <row r="5243" spans="1:3">
      <c r="A5243" s="1133"/>
      <c r="B5243" s="1136"/>
      <c r="C5243" s="1138"/>
    </row>
    <row r="5244" spans="1:3">
      <c r="A5244" s="1133"/>
      <c r="B5244" s="1136"/>
      <c r="C5244" s="1138"/>
    </row>
    <row r="5245" spans="1:3">
      <c r="A5245" s="1133"/>
      <c r="B5245" s="1136"/>
      <c r="C5245" s="1138"/>
    </row>
    <row r="5246" spans="1:3">
      <c r="A5246" s="1133"/>
      <c r="B5246" s="1136"/>
      <c r="C5246" s="1138"/>
    </row>
    <row r="5247" spans="1:3">
      <c r="A5247" s="1133"/>
      <c r="B5247" s="1136"/>
      <c r="C5247" s="1138"/>
    </row>
    <row r="5248" spans="1:3">
      <c r="A5248" s="1133"/>
      <c r="B5248" s="1136"/>
      <c r="C5248" s="1138"/>
    </row>
    <row r="5249" spans="1:3">
      <c r="A5249" s="1133"/>
      <c r="B5249" s="1136"/>
      <c r="C5249" s="1138"/>
    </row>
    <row r="5250" spans="1:3">
      <c r="A5250" s="1133"/>
      <c r="B5250" s="1136"/>
      <c r="C5250" s="1138"/>
    </row>
    <row r="5251" spans="1:3">
      <c r="A5251" s="1133"/>
      <c r="B5251" s="1136"/>
      <c r="C5251" s="1138"/>
    </row>
    <row r="5252" spans="1:3">
      <c r="A5252" s="1133"/>
      <c r="B5252" s="1136"/>
      <c r="C5252" s="1138"/>
    </row>
    <row r="5253" spans="1:3">
      <c r="A5253" s="1133"/>
      <c r="B5253" s="1136"/>
      <c r="C5253" s="1138"/>
    </row>
    <row r="5254" spans="1:3">
      <c r="A5254" s="1133"/>
      <c r="B5254" s="1136"/>
      <c r="C5254" s="1138"/>
    </row>
    <row r="5255" spans="1:3">
      <c r="A5255" s="1133"/>
      <c r="B5255" s="1136"/>
      <c r="C5255" s="1138"/>
    </row>
    <row r="5256" spans="1:3">
      <c r="A5256" s="1133"/>
      <c r="B5256" s="1136"/>
      <c r="C5256" s="1138"/>
    </row>
    <row r="5257" spans="1:3">
      <c r="A5257" s="1133"/>
      <c r="B5257" s="1136"/>
      <c r="C5257" s="1138"/>
    </row>
    <row r="5258" spans="1:3">
      <c r="A5258" s="1133"/>
      <c r="B5258" s="1136"/>
      <c r="C5258" s="1138"/>
    </row>
    <row r="5259" spans="1:3">
      <c r="A5259" s="1133"/>
      <c r="B5259" s="1136"/>
      <c r="C5259" s="1138"/>
    </row>
    <row r="5260" spans="1:3">
      <c r="A5260" s="1133"/>
      <c r="B5260" s="1136"/>
      <c r="C5260" s="1138"/>
    </row>
    <row r="5261" spans="1:3">
      <c r="A5261" s="1133"/>
      <c r="B5261" s="1136"/>
      <c r="C5261" s="1138"/>
    </row>
    <row r="5262" spans="1:3">
      <c r="A5262" s="1133"/>
      <c r="B5262" s="1136"/>
      <c r="C5262" s="1138"/>
    </row>
    <row r="5263" spans="1:3">
      <c r="A5263" s="1133"/>
      <c r="B5263" s="1136"/>
      <c r="C5263" s="1138"/>
    </row>
    <row r="5264" spans="1:3">
      <c r="A5264" s="1133"/>
      <c r="B5264" s="1136"/>
      <c r="C5264" s="1138"/>
    </row>
    <row r="5265" spans="1:3">
      <c r="A5265" s="1133"/>
      <c r="B5265" s="1136"/>
      <c r="C5265" s="1138"/>
    </row>
    <row r="5266" spans="1:3">
      <c r="A5266" s="1133"/>
      <c r="B5266" s="1136"/>
      <c r="C5266" s="1138"/>
    </row>
    <row r="5267" spans="1:3">
      <c r="A5267" s="1133"/>
      <c r="B5267" s="1136"/>
      <c r="C5267" s="1138"/>
    </row>
    <row r="5268" spans="1:3">
      <c r="A5268" s="1133"/>
      <c r="B5268" s="1136"/>
      <c r="C5268" s="1138"/>
    </row>
    <row r="5269" spans="1:3">
      <c r="A5269" s="1133"/>
      <c r="B5269" s="1136"/>
      <c r="C5269" s="1138"/>
    </row>
    <row r="5270" spans="1:3">
      <c r="A5270" s="1133"/>
      <c r="B5270" s="1136"/>
      <c r="C5270" s="1138"/>
    </row>
    <row r="5271" spans="1:3">
      <c r="A5271" s="1133"/>
      <c r="B5271" s="1136"/>
      <c r="C5271" s="1138"/>
    </row>
    <row r="5272" spans="1:3">
      <c r="A5272" s="1133"/>
      <c r="B5272" s="1136"/>
      <c r="C5272" s="1138"/>
    </row>
    <row r="5273" spans="1:3">
      <c r="A5273" s="1133"/>
      <c r="B5273" s="1136"/>
      <c r="C5273" s="1138"/>
    </row>
    <row r="5274" spans="1:3">
      <c r="A5274" s="1133"/>
      <c r="B5274" s="1136"/>
      <c r="C5274" s="1138"/>
    </row>
    <row r="5275" spans="1:3">
      <c r="A5275" s="1133"/>
      <c r="B5275" s="1136"/>
      <c r="C5275" s="1138"/>
    </row>
    <row r="5276" spans="1:3">
      <c r="A5276" s="1133"/>
      <c r="B5276" s="1136"/>
      <c r="C5276" s="1138"/>
    </row>
    <row r="5277" spans="1:3">
      <c r="A5277" s="1133"/>
      <c r="B5277" s="1136"/>
      <c r="C5277" s="1138"/>
    </row>
    <row r="5278" spans="1:3">
      <c r="A5278" s="1133"/>
      <c r="B5278" s="1136"/>
      <c r="C5278" s="1138"/>
    </row>
    <row r="5279" spans="1:3">
      <c r="A5279" s="1133"/>
      <c r="B5279" s="1136"/>
      <c r="C5279" s="1138"/>
    </row>
    <row r="5280" spans="1:3">
      <c r="A5280" s="1133"/>
      <c r="B5280" s="1136"/>
      <c r="C5280" s="1138"/>
    </row>
    <row r="5281" spans="1:3">
      <c r="A5281" s="1133"/>
      <c r="B5281" s="1136"/>
      <c r="C5281" s="1138"/>
    </row>
    <row r="5282" spans="1:3">
      <c r="A5282" s="1133"/>
      <c r="B5282" s="1136"/>
      <c r="C5282" s="1138"/>
    </row>
    <row r="5283" spans="1:3">
      <c r="A5283" s="1133"/>
      <c r="B5283" s="1136"/>
      <c r="C5283" s="1138"/>
    </row>
    <row r="5284" spans="1:3">
      <c r="A5284" s="1133"/>
      <c r="B5284" s="1136"/>
      <c r="C5284" s="1138"/>
    </row>
    <row r="5285" spans="1:3">
      <c r="A5285" s="1133"/>
      <c r="B5285" s="1136"/>
      <c r="C5285" s="1138"/>
    </row>
    <row r="5286" spans="1:3">
      <c r="A5286" s="1133"/>
      <c r="B5286" s="1136"/>
      <c r="C5286" s="1138"/>
    </row>
    <row r="5287" spans="1:3">
      <c r="A5287" s="1133"/>
      <c r="B5287" s="1136"/>
      <c r="C5287" s="1138"/>
    </row>
    <row r="5288" spans="1:3">
      <c r="A5288" s="1133"/>
      <c r="B5288" s="1136"/>
      <c r="C5288" s="1138"/>
    </row>
    <row r="5289" spans="1:3">
      <c r="A5289" s="1133"/>
      <c r="B5289" s="1136"/>
      <c r="C5289" s="1138"/>
    </row>
    <row r="5290" spans="1:3">
      <c r="A5290" s="1133"/>
      <c r="B5290" s="1136"/>
      <c r="C5290" s="1138"/>
    </row>
    <row r="5291" spans="1:3">
      <c r="A5291" s="1133"/>
      <c r="B5291" s="1136"/>
      <c r="C5291" s="1138"/>
    </row>
    <row r="5292" spans="1:3">
      <c r="A5292" s="1133"/>
      <c r="B5292" s="1136"/>
      <c r="C5292" s="1138"/>
    </row>
    <row r="5293" spans="1:3">
      <c r="A5293" s="1133"/>
      <c r="B5293" s="1136"/>
      <c r="C5293" s="1138"/>
    </row>
    <row r="5294" spans="1:3">
      <c r="A5294" s="1133"/>
      <c r="B5294" s="1136"/>
      <c r="C5294" s="1138"/>
    </row>
    <row r="5295" spans="1:3">
      <c r="A5295" s="1133"/>
      <c r="B5295" s="1136"/>
      <c r="C5295" s="1138"/>
    </row>
    <row r="5296" spans="1:3">
      <c r="A5296" s="1133"/>
      <c r="B5296" s="1136"/>
      <c r="C5296" s="1138"/>
    </row>
    <row r="5297" spans="1:3">
      <c r="A5297" s="1133"/>
      <c r="B5297" s="1136"/>
      <c r="C5297" s="1138"/>
    </row>
    <row r="5298" spans="1:3">
      <c r="A5298" s="1133"/>
      <c r="B5298" s="1136"/>
      <c r="C5298" s="1138"/>
    </row>
    <row r="5299" spans="1:3">
      <c r="A5299" s="1133"/>
      <c r="B5299" s="1136"/>
      <c r="C5299" s="1138"/>
    </row>
    <row r="5300" spans="1:3">
      <c r="A5300" s="1133"/>
      <c r="B5300" s="1136"/>
      <c r="C5300" s="1138"/>
    </row>
    <row r="5301" spans="1:3">
      <c r="A5301" s="1133"/>
      <c r="B5301" s="1136"/>
      <c r="C5301" s="1138"/>
    </row>
    <row r="5302" spans="1:3">
      <c r="A5302" s="1133"/>
      <c r="B5302" s="1136"/>
      <c r="C5302" s="1138"/>
    </row>
    <row r="5303" spans="1:3">
      <c r="A5303" s="1133"/>
      <c r="B5303" s="1136"/>
      <c r="C5303" s="1138"/>
    </row>
    <row r="5304" spans="1:3">
      <c r="A5304" s="1133"/>
      <c r="B5304" s="1136"/>
      <c r="C5304" s="1138"/>
    </row>
    <row r="5305" spans="1:3">
      <c r="A5305" s="1133"/>
      <c r="B5305" s="1136"/>
      <c r="C5305" s="1138"/>
    </row>
    <row r="5306" spans="1:3">
      <c r="A5306" s="1133"/>
      <c r="B5306" s="1136"/>
      <c r="C5306" s="1138"/>
    </row>
    <row r="5307" spans="1:3">
      <c r="A5307" s="1133"/>
      <c r="B5307" s="1136"/>
      <c r="C5307" s="1138"/>
    </row>
    <row r="5308" spans="1:3">
      <c r="A5308" s="1133"/>
      <c r="B5308" s="1136"/>
      <c r="C5308" s="1138"/>
    </row>
    <row r="5309" spans="1:3">
      <c r="A5309" s="1133"/>
      <c r="B5309" s="1136"/>
      <c r="C5309" s="1138"/>
    </row>
    <row r="5310" spans="1:3">
      <c r="A5310" s="1133"/>
      <c r="B5310" s="1136"/>
      <c r="C5310" s="1138"/>
    </row>
    <row r="5311" spans="1:3">
      <c r="A5311" s="1133"/>
      <c r="B5311" s="1136"/>
      <c r="C5311" s="1138"/>
    </row>
    <row r="5312" spans="1:3">
      <c r="A5312" s="1133"/>
      <c r="B5312" s="1136"/>
      <c r="C5312" s="1138"/>
    </row>
    <row r="5313" spans="1:3">
      <c r="A5313" s="1133"/>
      <c r="B5313" s="1136"/>
      <c r="C5313" s="1138"/>
    </row>
    <row r="5314" spans="1:3">
      <c r="A5314" s="1133"/>
      <c r="B5314" s="1136"/>
      <c r="C5314" s="1138"/>
    </row>
    <row r="5315" spans="1:3">
      <c r="A5315" s="1133"/>
      <c r="B5315" s="1136"/>
      <c r="C5315" s="1138"/>
    </row>
    <row r="5316" spans="1:3">
      <c r="A5316" s="1133"/>
      <c r="B5316" s="1136"/>
      <c r="C5316" s="1138"/>
    </row>
    <row r="5317" spans="1:3">
      <c r="A5317" s="1133"/>
      <c r="B5317" s="1136"/>
      <c r="C5317" s="1138"/>
    </row>
    <row r="5318" spans="1:3">
      <c r="A5318" s="1133"/>
      <c r="B5318" s="1136"/>
      <c r="C5318" s="1138"/>
    </row>
    <row r="5319" spans="1:3">
      <c r="A5319" s="1133"/>
      <c r="B5319" s="1136"/>
      <c r="C5319" s="1138"/>
    </row>
    <row r="5320" spans="1:3">
      <c r="A5320" s="1133"/>
      <c r="B5320" s="1136"/>
      <c r="C5320" s="1138"/>
    </row>
    <row r="5321" spans="1:3">
      <c r="A5321" s="1133"/>
      <c r="B5321" s="1136"/>
      <c r="C5321" s="1138"/>
    </row>
    <row r="5322" spans="1:3">
      <c r="A5322" s="1133"/>
      <c r="B5322" s="1136"/>
      <c r="C5322" s="1138"/>
    </row>
    <row r="5323" spans="1:3">
      <c r="A5323" s="1133"/>
      <c r="B5323" s="1136"/>
      <c r="C5323" s="1138"/>
    </row>
    <row r="5324" spans="1:3">
      <c r="A5324" s="1133"/>
      <c r="B5324" s="1136"/>
      <c r="C5324" s="1138"/>
    </row>
    <row r="5325" spans="1:3">
      <c r="A5325" s="1133"/>
      <c r="B5325" s="1136"/>
      <c r="C5325" s="1138"/>
    </row>
    <row r="5326" spans="1:3">
      <c r="A5326" s="1133"/>
      <c r="B5326" s="1136"/>
      <c r="C5326" s="1138"/>
    </row>
    <row r="5327" spans="1:3">
      <c r="A5327" s="1133"/>
      <c r="B5327" s="1136"/>
      <c r="C5327" s="1138"/>
    </row>
    <row r="5328" spans="1:3">
      <c r="A5328" s="1133"/>
      <c r="B5328" s="1136"/>
      <c r="C5328" s="1138"/>
    </row>
    <row r="5329" spans="1:3">
      <c r="A5329" s="1133"/>
      <c r="B5329" s="1136"/>
      <c r="C5329" s="1138"/>
    </row>
    <row r="5330" spans="1:3">
      <c r="A5330" s="1133"/>
      <c r="B5330" s="1136"/>
      <c r="C5330" s="1138"/>
    </row>
    <row r="5331" spans="1:3">
      <c r="A5331" s="1133"/>
      <c r="B5331" s="1136"/>
      <c r="C5331" s="1138"/>
    </row>
    <row r="5332" spans="1:3">
      <c r="A5332" s="1133"/>
      <c r="B5332" s="1136"/>
      <c r="C5332" s="1138"/>
    </row>
    <row r="5333" spans="1:3">
      <c r="A5333" s="1133"/>
      <c r="B5333" s="1136"/>
      <c r="C5333" s="1138"/>
    </row>
    <row r="5334" spans="1:3">
      <c r="A5334" s="1133"/>
      <c r="B5334" s="1136"/>
      <c r="C5334" s="1138"/>
    </row>
    <row r="5335" spans="1:3">
      <c r="A5335" s="1133"/>
      <c r="B5335" s="1136"/>
      <c r="C5335" s="1138"/>
    </row>
    <row r="5336" spans="1:3">
      <c r="A5336" s="1133"/>
      <c r="B5336" s="1136"/>
      <c r="C5336" s="1138"/>
    </row>
    <row r="5337" spans="1:3">
      <c r="A5337" s="1133"/>
      <c r="B5337" s="1136"/>
      <c r="C5337" s="1138"/>
    </row>
    <row r="5338" spans="1:3">
      <c r="A5338" s="1133"/>
      <c r="B5338" s="1136"/>
      <c r="C5338" s="1138"/>
    </row>
    <row r="5339" spans="1:3">
      <c r="A5339" s="1133"/>
      <c r="B5339" s="1136"/>
      <c r="C5339" s="1138"/>
    </row>
    <row r="5340" spans="1:3">
      <c r="A5340" s="1133"/>
      <c r="B5340" s="1136"/>
      <c r="C5340" s="1138"/>
    </row>
    <row r="5341" spans="1:3">
      <c r="A5341" s="1133"/>
      <c r="B5341" s="1136"/>
      <c r="C5341" s="1138"/>
    </row>
    <row r="5342" spans="1:3">
      <c r="A5342" s="1133"/>
      <c r="B5342" s="1136"/>
      <c r="C5342" s="1138"/>
    </row>
    <row r="5343" spans="1:3">
      <c r="A5343" s="1133"/>
      <c r="B5343" s="1136"/>
      <c r="C5343" s="1138"/>
    </row>
    <row r="5344" spans="1:3">
      <c r="A5344" s="1133"/>
      <c r="B5344" s="1136"/>
      <c r="C5344" s="1138"/>
    </row>
    <row r="5345" spans="1:3">
      <c r="A5345" s="1133"/>
      <c r="B5345" s="1136"/>
      <c r="C5345" s="1138"/>
    </row>
    <row r="5346" spans="1:3">
      <c r="A5346" s="1133"/>
      <c r="B5346" s="1136"/>
      <c r="C5346" s="1138"/>
    </row>
    <row r="5347" spans="1:3">
      <c r="A5347" s="1133"/>
      <c r="B5347" s="1136"/>
      <c r="C5347" s="1138"/>
    </row>
    <row r="5348" spans="1:3">
      <c r="A5348" s="1133"/>
      <c r="B5348" s="1136"/>
      <c r="C5348" s="1138"/>
    </row>
    <row r="5349" spans="1:3">
      <c r="A5349" s="1133"/>
      <c r="B5349" s="1136"/>
      <c r="C5349" s="1138"/>
    </row>
    <row r="5350" spans="1:3">
      <c r="A5350" s="1133"/>
      <c r="B5350" s="1136"/>
      <c r="C5350" s="1138"/>
    </row>
    <row r="5351" spans="1:3">
      <c r="A5351" s="1133"/>
      <c r="B5351" s="1136"/>
      <c r="C5351" s="1138"/>
    </row>
    <row r="5352" spans="1:3">
      <c r="A5352" s="1133"/>
      <c r="B5352" s="1136"/>
      <c r="C5352" s="1138"/>
    </row>
    <row r="5353" spans="1:3">
      <c r="A5353" s="1133"/>
      <c r="B5353" s="1136"/>
      <c r="C5353" s="1138"/>
    </row>
    <row r="5354" spans="1:3">
      <c r="A5354" s="1133"/>
      <c r="B5354" s="1136"/>
      <c r="C5354" s="1138"/>
    </row>
    <row r="5355" spans="1:3">
      <c r="A5355" s="1133"/>
      <c r="B5355" s="1136"/>
      <c r="C5355" s="1138"/>
    </row>
    <row r="5356" spans="1:3">
      <c r="A5356" s="1133"/>
      <c r="B5356" s="1136"/>
      <c r="C5356" s="1138"/>
    </row>
    <row r="5357" spans="1:3">
      <c r="A5357" s="1133"/>
      <c r="B5357" s="1136"/>
      <c r="C5357" s="1138"/>
    </row>
    <row r="5358" spans="1:3">
      <c r="A5358" s="1133"/>
      <c r="B5358" s="1136"/>
      <c r="C5358" s="1138"/>
    </row>
    <row r="5359" spans="1:3">
      <c r="A5359" s="1133"/>
      <c r="B5359" s="1136"/>
      <c r="C5359" s="1138"/>
    </row>
    <row r="5360" spans="1:3">
      <c r="A5360" s="1133"/>
      <c r="B5360" s="1136"/>
      <c r="C5360" s="1138"/>
    </row>
    <row r="5361" spans="1:3">
      <c r="A5361" s="1133"/>
      <c r="B5361" s="1136"/>
      <c r="C5361" s="1138"/>
    </row>
    <row r="5362" spans="1:3">
      <c r="A5362" s="1133"/>
      <c r="B5362" s="1136"/>
      <c r="C5362" s="1138"/>
    </row>
    <row r="5363" spans="1:3">
      <c r="A5363" s="1133"/>
      <c r="B5363" s="1136"/>
      <c r="C5363" s="1138"/>
    </row>
    <row r="5364" spans="1:3">
      <c r="A5364" s="1133"/>
      <c r="B5364" s="1136"/>
      <c r="C5364" s="1138"/>
    </row>
    <row r="5365" spans="1:3">
      <c r="A5365" s="1133"/>
      <c r="B5365" s="1136"/>
      <c r="C5365" s="1138"/>
    </row>
    <row r="5366" spans="1:3">
      <c r="A5366" s="1133"/>
      <c r="B5366" s="1136"/>
      <c r="C5366" s="1138"/>
    </row>
    <row r="5367" spans="1:3">
      <c r="A5367" s="1133"/>
      <c r="B5367" s="1136"/>
      <c r="C5367" s="1138"/>
    </row>
    <row r="5368" spans="1:3">
      <c r="A5368" s="1133"/>
      <c r="B5368" s="1136"/>
      <c r="C5368" s="1138"/>
    </row>
    <row r="5369" spans="1:3">
      <c r="A5369" s="1133"/>
      <c r="B5369" s="1136"/>
      <c r="C5369" s="1138"/>
    </row>
    <row r="5370" spans="1:3">
      <c r="A5370" s="1133"/>
      <c r="B5370" s="1136"/>
      <c r="C5370" s="1138"/>
    </row>
    <row r="5371" spans="1:3">
      <c r="A5371" s="1133"/>
      <c r="B5371" s="1136"/>
      <c r="C5371" s="1138"/>
    </row>
    <row r="5372" spans="1:3">
      <c r="A5372" s="1133"/>
      <c r="B5372" s="1136"/>
      <c r="C5372" s="1138"/>
    </row>
    <row r="5373" spans="1:3">
      <c r="A5373" s="1133"/>
      <c r="B5373" s="1136"/>
      <c r="C5373" s="1138"/>
    </row>
    <row r="5374" spans="1:3">
      <c r="A5374" s="1133"/>
      <c r="B5374" s="1136"/>
      <c r="C5374" s="1138"/>
    </row>
    <row r="5375" spans="1:3">
      <c r="A5375" s="1133"/>
      <c r="B5375" s="1136"/>
      <c r="C5375" s="1138"/>
    </row>
    <row r="5376" spans="1:3">
      <c r="A5376" s="1133"/>
      <c r="B5376" s="1136"/>
      <c r="C5376" s="1138"/>
    </row>
    <row r="5377" spans="1:3">
      <c r="A5377" s="1133"/>
      <c r="B5377" s="1136"/>
      <c r="C5377" s="1138"/>
    </row>
    <row r="5378" spans="1:3">
      <c r="A5378" s="1133"/>
      <c r="B5378" s="1136"/>
      <c r="C5378" s="1138"/>
    </row>
    <row r="5379" spans="1:3">
      <c r="A5379" s="1133"/>
      <c r="B5379" s="1136"/>
      <c r="C5379" s="1138"/>
    </row>
    <row r="5380" spans="1:3">
      <c r="A5380" s="1133"/>
      <c r="B5380" s="1136"/>
      <c r="C5380" s="1138"/>
    </row>
    <row r="5381" spans="1:3">
      <c r="A5381" s="1133"/>
      <c r="B5381" s="1136"/>
      <c r="C5381" s="1138"/>
    </row>
    <row r="5382" spans="1:3">
      <c r="A5382" s="1133"/>
      <c r="B5382" s="1136"/>
      <c r="C5382" s="1138"/>
    </row>
    <row r="5383" spans="1:3">
      <c r="A5383" s="1133"/>
      <c r="B5383" s="1136"/>
      <c r="C5383" s="1138"/>
    </row>
    <row r="5384" spans="1:3">
      <c r="A5384" s="1133"/>
      <c r="B5384" s="1136"/>
      <c r="C5384" s="1138"/>
    </row>
    <row r="5385" spans="1:3">
      <c r="A5385" s="1133"/>
      <c r="B5385" s="1136"/>
      <c r="C5385" s="1138"/>
    </row>
    <row r="5386" spans="1:3">
      <c r="A5386" s="1133"/>
      <c r="B5386" s="1136"/>
      <c r="C5386" s="1138"/>
    </row>
    <row r="5387" spans="1:3">
      <c r="A5387" s="1133"/>
      <c r="B5387" s="1136"/>
      <c r="C5387" s="1138"/>
    </row>
    <row r="5388" spans="1:3">
      <c r="A5388" s="1133"/>
      <c r="B5388" s="1136"/>
      <c r="C5388" s="1138"/>
    </row>
    <row r="5389" spans="1:3">
      <c r="A5389" s="1133"/>
      <c r="B5389" s="1136"/>
      <c r="C5389" s="1138"/>
    </row>
    <row r="5390" spans="1:3">
      <c r="A5390" s="1133"/>
      <c r="B5390" s="1136"/>
      <c r="C5390" s="1138"/>
    </row>
    <row r="5391" spans="1:3">
      <c r="A5391" s="1133"/>
      <c r="B5391" s="1136"/>
      <c r="C5391" s="1138"/>
    </row>
    <row r="5392" spans="1:3">
      <c r="A5392" s="1133"/>
      <c r="B5392" s="1136"/>
      <c r="C5392" s="1138"/>
    </row>
    <row r="5393" spans="1:3">
      <c r="A5393" s="1133"/>
      <c r="B5393" s="1136"/>
      <c r="C5393" s="1138"/>
    </row>
    <row r="5394" spans="1:3">
      <c r="A5394" s="1133"/>
      <c r="B5394" s="1136"/>
      <c r="C5394" s="1138"/>
    </row>
    <row r="5395" spans="1:3">
      <c r="A5395" s="1133"/>
      <c r="B5395" s="1136"/>
      <c r="C5395" s="1138"/>
    </row>
    <row r="5396" spans="1:3">
      <c r="A5396" s="1133"/>
      <c r="B5396" s="1136"/>
      <c r="C5396" s="1138"/>
    </row>
    <row r="5397" spans="1:3">
      <c r="A5397" s="1133"/>
      <c r="B5397" s="1136"/>
      <c r="C5397" s="1138"/>
    </row>
    <row r="5398" spans="1:3">
      <c r="A5398" s="1133"/>
      <c r="B5398" s="1136"/>
      <c r="C5398" s="1138"/>
    </row>
    <row r="5399" spans="1:3">
      <c r="A5399" s="1133"/>
      <c r="B5399" s="1136"/>
      <c r="C5399" s="1138"/>
    </row>
    <row r="5400" spans="1:3">
      <c r="A5400" s="1133"/>
      <c r="B5400" s="1136"/>
      <c r="C5400" s="1138"/>
    </row>
    <row r="5401" spans="1:3">
      <c r="A5401" s="1133"/>
      <c r="B5401" s="1136"/>
      <c r="C5401" s="1138"/>
    </row>
    <row r="5402" spans="1:3">
      <c r="A5402" s="1133"/>
      <c r="B5402" s="1136"/>
      <c r="C5402" s="1138"/>
    </row>
    <row r="5403" spans="1:3">
      <c r="A5403" s="1133"/>
      <c r="B5403" s="1136"/>
      <c r="C5403" s="1138"/>
    </row>
    <row r="5404" spans="1:3">
      <c r="A5404" s="1133"/>
      <c r="B5404" s="1136"/>
      <c r="C5404" s="1138"/>
    </row>
    <row r="5405" spans="1:3">
      <c r="A5405" s="1133"/>
      <c r="B5405" s="1136"/>
      <c r="C5405" s="1138"/>
    </row>
    <row r="5406" spans="1:3">
      <c r="A5406" s="1133"/>
      <c r="B5406" s="1136"/>
      <c r="C5406" s="1138"/>
    </row>
    <row r="5407" spans="1:3">
      <c r="A5407" s="1133"/>
      <c r="B5407" s="1136"/>
      <c r="C5407" s="1138"/>
    </row>
    <row r="5408" spans="1:3">
      <c r="A5408" s="1133"/>
      <c r="B5408" s="1136"/>
      <c r="C5408" s="1138"/>
    </row>
    <row r="5409" spans="1:3">
      <c r="A5409" s="1133"/>
      <c r="B5409" s="1136"/>
      <c r="C5409" s="1138"/>
    </row>
    <row r="5410" spans="1:3">
      <c r="A5410" s="1133"/>
      <c r="B5410" s="1136"/>
      <c r="C5410" s="1138"/>
    </row>
    <row r="5411" spans="1:3">
      <c r="A5411" s="1133"/>
      <c r="B5411" s="1136"/>
      <c r="C5411" s="1138"/>
    </row>
    <row r="5412" spans="1:3">
      <c r="A5412" s="1133"/>
      <c r="B5412" s="1136"/>
      <c r="C5412" s="1138"/>
    </row>
    <row r="5413" spans="1:3">
      <c r="A5413" s="1133"/>
      <c r="B5413" s="1136"/>
      <c r="C5413" s="1138"/>
    </row>
    <row r="5414" spans="1:3">
      <c r="A5414" s="1133"/>
      <c r="B5414" s="1136"/>
      <c r="C5414" s="1138"/>
    </row>
    <row r="5415" spans="1:3">
      <c r="A5415" s="1133"/>
      <c r="B5415" s="1136"/>
      <c r="C5415" s="1138"/>
    </row>
    <row r="5416" spans="1:3">
      <c r="A5416" s="1133"/>
      <c r="B5416" s="1136"/>
      <c r="C5416" s="1138"/>
    </row>
    <row r="5417" spans="1:3">
      <c r="A5417" s="1133"/>
      <c r="B5417" s="1136"/>
      <c r="C5417" s="1138"/>
    </row>
    <row r="5418" spans="1:3">
      <c r="A5418" s="1133"/>
      <c r="B5418" s="1136"/>
      <c r="C5418" s="1138"/>
    </row>
    <row r="5419" spans="1:3">
      <c r="A5419" s="1133"/>
      <c r="B5419" s="1136"/>
      <c r="C5419" s="1138"/>
    </row>
    <row r="5420" spans="1:3">
      <c r="A5420" s="1133"/>
      <c r="B5420" s="1136"/>
      <c r="C5420" s="1138"/>
    </row>
    <row r="5421" spans="1:3">
      <c r="A5421" s="1133"/>
      <c r="B5421" s="1136"/>
      <c r="C5421" s="1138"/>
    </row>
    <row r="5422" spans="1:3">
      <c r="A5422" s="1133"/>
      <c r="B5422" s="1136"/>
      <c r="C5422" s="1138"/>
    </row>
    <row r="5423" spans="1:3">
      <c r="A5423" s="1133"/>
      <c r="B5423" s="1136"/>
      <c r="C5423" s="1138"/>
    </row>
    <row r="5424" spans="1:3">
      <c r="A5424" s="1133"/>
      <c r="B5424" s="1136"/>
      <c r="C5424" s="1138"/>
    </row>
    <row r="5425" spans="1:3">
      <c r="A5425" s="1133"/>
      <c r="B5425" s="1136"/>
      <c r="C5425" s="1138"/>
    </row>
    <row r="5426" spans="1:3">
      <c r="A5426" s="1133"/>
      <c r="B5426" s="1136"/>
      <c r="C5426" s="1138"/>
    </row>
    <row r="5427" spans="1:3">
      <c r="A5427" s="1133"/>
      <c r="B5427" s="1136"/>
      <c r="C5427" s="1138"/>
    </row>
    <row r="5428" spans="1:3">
      <c r="A5428" s="1133"/>
      <c r="B5428" s="1136"/>
      <c r="C5428" s="1138"/>
    </row>
    <row r="5429" spans="1:3">
      <c r="A5429" s="1133"/>
      <c r="B5429" s="1136"/>
      <c r="C5429" s="1138"/>
    </row>
    <row r="5430" spans="1:3">
      <c r="A5430" s="1133"/>
      <c r="B5430" s="1136"/>
      <c r="C5430" s="1138"/>
    </row>
    <row r="5431" spans="1:3">
      <c r="A5431" s="1133"/>
      <c r="B5431" s="1136"/>
      <c r="C5431" s="1138"/>
    </row>
    <row r="5432" spans="1:3">
      <c r="A5432" s="1133"/>
      <c r="B5432" s="1136"/>
      <c r="C5432" s="1138"/>
    </row>
    <row r="5433" spans="1:3">
      <c r="A5433" s="1133"/>
      <c r="B5433" s="1136"/>
      <c r="C5433" s="1138"/>
    </row>
    <row r="5434" spans="1:3">
      <c r="A5434" s="1133"/>
      <c r="B5434" s="1136"/>
      <c r="C5434" s="1138"/>
    </row>
    <row r="5435" spans="1:3">
      <c r="A5435" s="1133"/>
      <c r="B5435" s="1136"/>
      <c r="C5435" s="1138"/>
    </row>
    <row r="5436" spans="1:3">
      <c r="A5436" s="1133"/>
      <c r="B5436" s="1136"/>
      <c r="C5436" s="1138"/>
    </row>
    <row r="5437" spans="1:3">
      <c r="A5437" s="1133"/>
      <c r="B5437" s="1136"/>
      <c r="C5437" s="1138"/>
    </row>
    <row r="5438" spans="1:3">
      <c r="A5438" s="1133"/>
      <c r="B5438" s="1136"/>
      <c r="C5438" s="1138"/>
    </row>
    <row r="5439" spans="1:3">
      <c r="A5439" s="1133"/>
      <c r="B5439" s="1136"/>
      <c r="C5439" s="1138"/>
    </row>
    <row r="5440" spans="1:3">
      <c r="A5440" s="1133"/>
      <c r="B5440" s="1136"/>
      <c r="C5440" s="1138"/>
    </row>
    <row r="5441" spans="1:3">
      <c r="A5441" s="1133"/>
      <c r="B5441" s="1136"/>
      <c r="C5441" s="1138"/>
    </row>
    <row r="5442" spans="1:3">
      <c r="A5442" s="1133"/>
      <c r="B5442" s="1136"/>
      <c r="C5442" s="1138"/>
    </row>
    <row r="5443" spans="1:3">
      <c r="A5443" s="1133"/>
      <c r="B5443" s="1136"/>
      <c r="C5443" s="1138"/>
    </row>
    <row r="5444" spans="1:3">
      <c r="A5444" s="1133"/>
      <c r="B5444" s="1136"/>
      <c r="C5444" s="1138"/>
    </row>
    <row r="5445" spans="1:3">
      <c r="A5445" s="1133"/>
      <c r="B5445" s="1136"/>
      <c r="C5445" s="1138"/>
    </row>
    <row r="5446" spans="1:3">
      <c r="A5446" s="1133"/>
      <c r="B5446" s="1136"/>
      <c r="C5446" s="1138"/>
    </row>
    <row r="5447" spans="1:3">
      <c r="A5447" s="1133"/>
      <c r="B5447" s="1136"/>
      <c r="C5447" s="1138"/>
    </row>
    <row r="5448" spans="1:3">
      <c r="A5448" s="1133"/>
      <c r="B5448" s="1136"/>
      <c r="C5448" s="1138"/>
    </row>
    <row r="5449" spans="1:3">
      <c r="A5449" s="1133"/>
      <c r="B5449" s="1136"/>
      <c r="C5449" s="1138"/>
    </row>
    <row r="5450" spans="1:3">
      <c r="A5450" s="1133"/>
      <c r="B5450" s="1136"/>
      <c r="C5450" s="1138"/>
    </row>
    <row r="5451" spans="1:3">
      <c r="A5451" s="1133"/>
      <c r="B5451" s="1136"/>
      <c r="C5451" s="1138"/>
    </row>
    <row r="5452" spans="1:3">
      <c r="A5452" s="1133"/>
      <c r="B5452" s="1136"/>
      <c r="C5452" s="1138"/>
    </row>
    <row r="5453" spans="1:3">
      <c r="A5453" s="1133"/>
      <c r="B5453" s="1136"/>
      <c r="C5453" s="1138"/>
    </row>
    <row r="5454" spans="1:3">
      <c r="A5454" s="1133"/>
      <c r="B5454" s="1136"/>
      <c r="C5454" s="1138"/>
    </row>
    <row r="5455" spans="1:3">
      <c r="A5455" s="1133"/>
      <c r="B5455" s="1136"/>
      <c r="C5455" s="1138"/>
    </row>
    <row r="5456" spans="1:3">
      <c r="A5456" s="1133"/>
      <c r="B5456" s="1136"/>
      <c r="C5456" s="1138"/>
    </row>
    <row r="5457" spans="1:3">
      <c r="A5457" s="1133"/>
      <c r="B5457" s="1136"/>
      <c r="C5457" s="1138"/>
    </row>
    <row r="5458" spans="1:3">
      <c r="A5458" s="1133"/>
      <c r="B5458" s="1136"/>
      <c r="C5458" s="1138"/>
    </row>
    <row r="5459" spans="1:3">
      <c r="A5459" s="1133"/>
      <c r="B5459" s="1136"/>
      <c r="C5459" s="1138"/>
    </row>
    <row r="5460" spans="1:3">
      <c r="A5460" s="1133"/>
      <c r="B5460" s="1136"/>
      <c r="C5460" s="1138"/>
    </row>
    <row r="5461" spans="1:3">
      <c r="A5461" s="1133"/>
      <c r="B5461" s="1136"/>
      <c r="C5461" s="1138"/>
    </row>
    <row r="5462" spans="1:3">
      <c r="A5462" s="1133"/>
      <c r="B5462" s="1136"/>
      <c r="C5462" s="1138"/>
    </row>
    <row r="5463" spans="1:3">
      <c r="A5463" s="1133"/>
      <c r="B5463" s="1136"/>
      <c r="C5463" s="1138"/>
    </row>
    <row r="5464" spans="1:3">
      <c r="A5464" s="1133"/>
      <c r="B5464" s="1136"/>
      <c r="C5464" s="1138"/>
    </row>
    <row r="5465" spans="1:3">
      <c r="A5465" s="1133"/>
      <c r="B5465" s="1136"/>
      <c r="C5465" s="1138"/>
    </row>
    <row r="5466" spans="1:3">
      <c r="A5466" s="1133"/>
      <c r="B5466" s="1136"/>
      <c r="C5466" s="1138"/>
    </row>
    <row r="5467" spans="1:3">
      <c r="A5467" s="1133"/>
      <c r="B5467" s="1136"/>
      <c r="C5467" s="1138"/>
    </row>
    <row r="5468" spans="1:3">
      <c r="A5468" s="1133"/>
      <c r="B5468" s="1136"/>
      <c r="C5468" s="1138"/>
    </row>
    <row r="5469" spans="1:3">
      <c r="A5469" s="1133"/>
      <c r="B5469" s="1136"/>
      <c r="C5469" s="1138"/>
    </row>
    <row r="5470" spans="1:3">
      <c r="A5470" s="1133"/>
      <c r="B5470" s="1136"/>
      <c r="C5470" s="1138"/>
    </row>
    <row r="5471" spans="1:3">
      <c r="A5471" s="1133"/>
      <c r="B5471" s="1136"/>
      <c r="C5471" s="1138"/>
    </row>
    <row r="5472" spans="1:3">
      <c r="A5472" s="1133"/>
      <c r="B5472" s="1136"/>
      <c r="C5472" s="1138"/>
    </row>
    <row r="5473" spans="1:3">
      <c r="A5473" s="1133"/>
      <c r="B5473" s="1136"/>
      <c r="C5473" s="1138"/>
    </row>
    <row r="5474" spans="1:3">
      <c r="A5474" s="1133"/>
      <c r="B5474" s="1136"/>
      <c r="C5474" s="1138"/>
    </row>
    <row r="5475" spans="1:3">
      <c r="A5475" s="1133"/>
      <c r="B5475" s="1136"/>
      <c r="C5475" s="1138"/>
    </row>
    <row r="5476" spans="1:3">
      <c r="A5476" s="1133"/>
      <c r="B5476" s="1136"/>
      <c r="C5476" s="1138"/>
    </row>
    <row r="5477" spans="1:3">
      <c r="A5477" s="1133"/>
      <c r="B5477" s="1136"/>
      <c r="C5477" s="1138"/>
    </row>
    <row r="5478" spans="1:3">
      <c r="A5478" s="1133"/>
      <c r="B5478" s="1136"/>
      <c r="C5478" s="1138"/>
    </row>
    <row r="5479" spans="1:3">
      <c r="A5479" s="1133"/>
      <c r="B5479" s="1136"/>
      <c r="C5479" s="1138"/>
    </row>
    <row r="5480" spans="1:3">
      <c r="A5480" s="1133"/>
      <c r="B5480" s="1136"/>
      <c r="C5480" s="1138"/>
    </row>
    <row r="5481" spans="1:3">
      <c r="A5481" s="1133"/>
      <c r="B5481" s="1136"/>
      <c r="C5481" s="1138"/>
    </row>
    <row r="5482" spans="1:3">
      <c r="A5482" s="1133"/>
      <c r="B5482" s="1136"/>
      <c r="C5482" s="1138"/>
    </row>
    <row r="5483" spans="1:3">
      <c r="A5483" s="1133"/>
      <c r="B5483" s="1136"/>
      <c r="C5483" s="1138"/>
    </row>
    <row r="5484" spans="1:3">
      <c r="A5484" s="1133"/>
      <c r="B5484" s="1136"/>
      <c r="C5484" s="1138"/>
    </row>
    <row r="5485" spans="1:3">
      <c r="A5485" s="1133"/>
      <c r="B5485" s="1136"/>
      <c r="C5485" s="1138"/>
    </row>
    <row r="5486" spans="1:3">
      <c r="A5486" s="1133"/>
      <c r="B5486" s="1136"/>
      <c r="C5486" s="1138"/>
    </row>
    <row r="5487" spans="1:3">
      <c r="A5487" s="1133"/>
      <c r="B5487" s="1136"/>
      <c r="C5487" s="1138"/>
    </row>
    <row r="5488" spans="1:3">
      <c r="A5488" s="1133"/>
      <c r="B5488" s="1136"/>
      <c r="C5488" s="1138"/>
    </row>
    <row r="5489" spans="1:3">
      <c r="A5489" s="1133"/>
      <c r="B5489" s="1136"/>
      <c r="C5489" s="1138"/>
    </row>
    <row r="5490" spans="1:3">
      <c r="A5490" s="1133"/>
      <c r="B5490" s="1136"/>
      <c r="C5490" s="1138"/>
    </row>
    <row r="5491" spans="1:3">
      <c r="A5491" s="1133"/>
      <c r="B5491" s="1136"/>
      <c r="C5491" s="1138"/>
    </row>
    <row r="5492" spans="1:3">
      <c r="A5492" s="1133"/>
      <c r="B5492" s="1136"/>
      <c r="C5492" s="1138"/>
    </row>
    <row r="5493" spans="1:3">
      <c r="A5493" s="1133"/>
      <c r="B5493" s="1136"/>
      <c r="C5493" s="1138"/>
    </row>
    <row r="5494" spans="1:3">
      <c r="A5494" s="1133"/>
      <c r="B5494" s="1136"/>
      <c r="C5494" s="1138"/>
    </row>
    <row r="5495" spans="1:3">
      <c r="A5495" s="1133"/>
      <c r="B5495" s="1136"/>
      <c r="C5495" s="1138"/>
    </row>
    <row r="5496" spans="1:3">
      <c r="A5496" s="1133"/>
      <c r="B5496" s="1136"/>
      <c r="C5496" s="1138"/>
    </row>
    <row r="5497" spans="1:3">
      <c r="A5497" s="1133"/>
      <c r="B5497" s="1136"/>
      <c r="C5497" s="1138"/>
    </row>
    <row r="5498" spans="1:3">
      <c r="A5498" s="1133"/>
      <c r="B5498" s="1136"/>
      <c r="C5498" s="1138"/>
    </row>
    <row r="5499" spans="1:3">
      <c r="A5499" s="1133"/>
      <c r="B5499" s="1136"/>
      <c r="C5499" s="1138"/>
    </row>
    <row r="5500" spans="1:3">
      <c r="A5500" s="1133"/>
      <c r="B5500" s="1136"/>
      <c r="C5500" s="1138"/>
    </row>
    <row r="5501" spans="1:3">
      <c r="A5501" s="1133"/>
      <c r="B5501" s="1136"/>
      <c r="C5501" s="1138"/>
    </row>
    <row r="5502" spans="1:3">
      <c r="A5502" s="1133"/>
      <c r="B5502" s="1136"/>
      <c r="C5502" s="1138"/>
    </row>
    <row r="5503" spans="1:3">
      <c r="A5503" s="1133"/>
      <c r="B5503" s="1136"/>
      <c r="C5503" s="1138"/>
    </row>
    <row r="5504" spans="1:3">
      <c r="A5504" s="1133"/>
      <c r="B5504" s="1136"/>
      <c r="C5504" s="1138"/>
    </row>
    <row r="5505" spans="1:3">
      <c r="A5505" s="1133"/>
      <c r="B5505" s="1136"/>
      <c r="C5505" s="1138"/>
    </row>
    <row r="5506" spans="1:3">
      <c r="A5506" s="1133"/>
      <c r="B5506" s="1136"/>
      <c r="C5506" s="1138"/>
    </row>
    <row r="5507" spans="1:3">
      <c r="A5507" s="1133"/>
      <c r="B5507" s="1136"/>
      <c r="C5507" s="1138"/>
    </row>
    <row r="5508" spans="1:3">
      <c r="A5508" s="1133"/>
      <c r="B5508" s="1136"/>
      <c r="C5508" s="1138"/>
    </row>
    <row r="5509" spans="1:3">
      <c r="A5509" s="1133"/>
      <c r="B5509" s="1136"/>
      <c r="C5509" s="1138"/>
    </row>
    <row r="5510" spans="1:3">
      <c r="A5510" s="1133"/>
      <c r="B5510" s="1136"/>
      <c r="C5510" s="1138"/>
    </row>
    <row r="5511" spans="1:3">
      <c r="A5511" s="1133"/>
      <c r="B5511" s="1136"/>
      <c r="C5511" s="1138"/>
    </row>
    <row r="5512" spans="1:3">
      <c r="A5512" s="1133"/>
      <c r="B5512" s="1136"/>
      <c r="C5512" s="1138"/>
    </row>
    <row r="5513" spans="1:3">
      <c r="A5513" s="1133"/>
      <c r="B5513" s="1136"/>
      <c r="C5513" s="1138"/>
    </row>
    <row r="5514" spans="1:3">
      <c r="A5514" s="1133"/>
      <c r="B5514" s="1136"/>
      <c r="C5514" s="1138"/>
    </row>
    <row r="5515" spans="1:3">
      <c r="A5515" s="1133"/>
      <c r="B5515" s="1136"/>
      <c r="C5515" s="1138"/>
    </row>
    <row r="5516" spans="1:3">
      <c r="A5516" s="1133"/>
      <c r="B5516" s="1136"/>
      <c r="C5516" s="1138"/>
    </row>
    <row r="5517" spans="1:3">
      <c r="A5517" s="1133"/>
      <c r="B5517" s="1136"/>
      <c r="C5517" s="1138"/>
    </row>
    <row r="5518" spans="1:3">
      <c r="A5518" s="1133"/>
      <c r="B5518" s="1136"/>
      <c r="C5518" s="1138"/>
    </row>
    <row r="5519" spans="1:3">
      <c r="A5519" s="1133"/>
      <c r="B5519" s="1136"/>
      <c r="C5519" s="1138"/>
    </row>
    <row r="5520" spans="1:3">
      <c r="A5520" s="1133"/>
      <c r="B5520" s="1136"/>
      <c r="C5520" s="1138"/>
    </row>
    <row r="5521" spans="1:3">
      <c r="A5521" s="1133"/>
      <c r="B5521" s="1136"/>
      <c r="C5521" s="1138"/>
    </row>
    <row r="5522" spans="1:3">
      <c r="A5522" s="1133"/>
      <c r="B5522" s="1136"/>
      <c r="C5522" s="1138"/>
    </row>
    <row r="5523" spans="1:3">
      <c r="A5523" s="1133"/>
      <c r="B5523" s="1136"/>
      <c r="C5523" s="1138"/>
    </row>
    <row r="5524" spans="1:3">
      <c r="A5524" s="1133"/>
      <c r="B5524" s="1136"/>
      <c r="C5524" s="1138"/>
    </row>
    <row r="5525" spans="1:3">
      <c r="A5525" s="1133"/>
      <c r="B5525" s="1136"/>
      <c r="C5525" s="1138"/>
    </row>
    <row r="5526" spans="1:3">
      <c r="A5526" s="1133"/>
      <c r="B5526" s="1136"/>
      <c r="C5526" s="1138"/>
    </row>
    <row r="5527" spans="1:3">
      <c r="A5527" s="1133"/>
      <c r="B5527" s="1136"/>
      <c r="C5527" s="1138"/>
    </row>
    <row r="5528" spans="1:3">
      <c r="A5528" s="1133"/>
      <c r="B5528" s="1136"/>
      <c r="C5528" s="1138"/>
    </row>
    <row r="5529" spans="1:3">
      <c r="A5529" s="1133"/>
      <c r="B5529" s="1136"/>
      <c r="C5529" s="1138"/>
    </row>
    <row r="5530" spans="1:3">
      <c r="A5530" s="1133"/>
      <c r="B5530" s="1136"/>
      <c r="C5530" s="1138"/>
    </row>
    <row r="5531" spans="1:3">
      <c r="A5531" s="1133"/>
      <c r="B5531" s="1136"/>
      <c r="C5531" s="1138"/>
    </row>
    <row r="5532" spans="1:3">
      <c r="A5532" s="1133"/>
      <c r="B5532" s="1136"/>
      <c r="C5532" s="1138"/>
    </row>
    <row r="5533" spans="1:3">
      <c r="A5533" s="1133"/>
      <c r="B5533" s="1136"/>
      <c r="C5533" s="1138"/>
    </row>
    <row r="5534" spans="1:3">
      <c r="A5534" s="1133"/>
      <c r="B5534" s="1136"/>
      <c r="C5534" s="1138"/>
    </row>
    <row r="5535" spans="1:3">
      <c r="A5535" s="1133"/>
      <c r="B5535" s="1136"/>
      <c r="C5535" s="1138"/>
    </row>
    <row r="5536" spans="1:3">
      <c r="A5536" s="1133"/>
      <c r="B5536" s="1136"/>
      <c r="C5536" s="1138"/>
    </row>
    <row r="5537" spans="1:3">
      <c r="A5537" s="1133"/>
      <c r="B5537" s="1136"/>
      <c r="C5537" s="1138"/>
    </row>
    <row r="5538" spans="1:3">
      <c r="A5538" s="1133"/>
      <c r="B5538" s="1136"/>
      <c r="C5538" s="1138"/>
    </row>
    <row r="5539" spans="1:3">
      <c r="A5539" s="1133"/>
      <c r="B5539" s="1136"/>
      <c r="C5539" s="1138"/>
    </row>
    <row r="5540" spans="1:3">
      <c r="A5540" s="1133"/>
      <c r="B5540" s="1136"/>
      <c r="C5540" s="1138"/>
    </row>
    <row r="5541" spans="1:3">
      <c r="A5541" s="1133"/>
      <c r="B5541" s="1136"/>
      <c r="C5541" s="1138"/>
    </row>
    <row r="5542" spans="1:3">
      <c r="A5542" s="1133"/>
      <c r="B5542" s="1136"/>
      <c r="C5542" s="1138"/>
    </row>
    <row r="5543" spans="1:3">
      <c r="A5543" s="1133"/>
      <c r="B5543" s="1136"/>
      <c r="C5543" s="1138"/>
    </row>
    <row r="5544" spans="1:3">
      <c r="A5544" s="1133"/>
      <c r="B5544" s="1136"/>
      <c r="C5544" s="1138"/>
    </row>
    <row r="5545" spans="1:3">
      <c r="A5545" s="1133"/>
      <c r="B5545" s="1136"/>
      <c r="C5545" s="1138"/>
    </row>
    <row r="5546" spans="1:3">
      <c r="A5546" s="1133"/>
      <c r="B5546" s="1136"/>
      <c r="C5546" s="1138"/>
    </row>
    <row r="5547" spans="1:3">
      <c r="A5547" s="1133"/>
      <c r="B5547" s="1136"/>
      <c r="C5547" s="1138"/>
    </row>
    <row r="5548" spans="1:3">
      <c r="A5548" s="1133"/>
      <c r="B5548" s="1136"/>
      <c r="C5548" s="1138"/>
    </row>
    <row r="5549" spans="1:3">
      <c r="A5549" s="1133"/>
      <c r="B5549" s="1136"/>
      <c r="C5549" s="1138"/>
    </row>
    <row r="5550" spans="1:3">
      <c r="A5550" s="1133"/>
      <c r="B5550" s="1136"/>
      <c r="C5550" s="1138"/>
    </row>
    <row r="5551" spans="1:3">
      <c r="A5551" s="1133"/>
      <c r="B5551" s="1136"/>
      <c r="C5551" s="1138"/>
    </row>
    <row r="5552" spans="1:3">
      <c r="A5552" s="1133"/>
      <c r="B5552" s="1136"/>
      <c r="C5552" s="1138"/>
    </row>
    <row r="5553" spans="1:3">
      <c r="A5553" s="1133"/>
      <c r="B5553" s="1136"/>
      <c r="C5553" s="1138"/>
    </row>
    <row r="5554" spans="1:3">
      <c r="A5554" s="1133"/>
      <c r="B5554" s="1136"/>
      <c r="C5554" s="1138"/>
    </row>
    <row r="5555" spans="1:3">
      <c r="A5555" s="1133"/>
      <c r="B5555" s="1136"/>
      <c r="C5555" s="1138"/>
    </row>
    <row r="5556" spans="1:3">
      <c r="A5556" s="1133"/>
      <c r="B5556" s="1136"/>
      <c r="C5556" s="1138"/>
    </row>
    <row r="5557" spans="1:3">
      <c r="A5557" s="1133"/>
      <c r="B5557" s="1136"/>
      <c r="C5557" s="1138"/>
    </row>
    <row r="5558" spans="1:3">
      <c r="A5558" s="1133"/>
      <c r="B5558" s="1136"/>
      <c r="C5558" s="1138"/>
    </row>
    <row r="5559" spans="1:3">
      <c r="A5559" s="1133"/>
      <c r="B5559" s="1136"/>
      <c r="C5559" s="1138"/>
    </row>
    <row r="5560" spans="1:3">
      <c r="A5560" s="1133"/>
      <c r="B5560" s="1136"/>
      <c r="C5560" s="1138"/>
    </row>
    <row r="5561" spans="1:3">
      <c r="A5561" s="1133"/>
      <c r="B5561" s="1136"/>
      <c r="C5561" s="1138"/>
    </row>
    <row r="5562" spans="1:3">
      <c r="A5562" s="1133"/>
      <c r="B5562" s="1136"/>
      <c r="C5562" s="1138"/>
    </row>
    <row r="5563" spans="1:3">
      <c r="A5563" s="1133"/>
      <c r="B5563" s="1136"/>
      <c r="C5563" s="1138"/>
    </row>
    <row r="5564" spans="1:3">
      <c r="A5564" s="1133"/>
      <c r="B5564" s="1136"/>
      <c r="C5564" s="1138"/>
    </row>
    <row r="5565" spans="1:3">
      <c r="A5565" s="1133"/>
      <c r="B5565" s="1136"/>
      <c r="C5565" s="1138"/>
    </row>
    <row r="5566" spans="1:3">
      <c r="A5566" s="1133"/>
      <c r="B5566" s="1136"/>
      <c r="C5566" s="1138"/>
    </row>
    <row r="5567" spans="1:3">
      <c r="A5567" s="1133"/>
      <c r="B5567" s="1136"/>
      <c r="C5567" s="1138"/>
    </row>
    <row r="5568" spans="1:3">
      <c r="A5568" s="1133"/>
      <c r="B5568" s="1136"/>
      <c r="C5568" s="1138"/>
    </row>
    <row r="5569" spans="1:3">
      <c r="A5569" s="1133"/>
      <c r="B5569" s="1136"/>
      <c r="C5569" s="1138"/>
    </row>
    <row r="5570" spans="1:3">
      <c r="A5570" s="1133"/>
      <c r="B5570" s="1136"/>
      <c r="C5570" s="1138"/>
    </row>
    <row r="5571" spans="1:3">
      <c r="A5571" s="1133"/>
      <c r="B5571" s="1136"/>
      <c r="C5571" s="1138"/>
    </row>
    <row r="5572" spans="1:3">
      <c r="A5572" s="1133"/>
      <c r="B5572" s="1136"/>
      <c r="C5572" s="1138"/>
    </row>
    <row r="5573" spans="1:3">
      <c r="A5573" s="1133"/>
      <c r="B5573" s="1136"/>
      <c r="C5573" s="1138"/>
    </row>
    <row r="5574" spans="1:3">
      <c r="A5574" s="1133"/>
      <c r="B5574" s="1136"/>
      <c r="C5574" s="1138"/>
    </row>
    <row r="5575" spans="1:3">
      <c r="A5575" s="1133"/>
      <c r="B5575" s="1136"/>
      <c r="C5575" s="1138"/>
    </row>
    <row r="5576" spans="1:3">
      <c r="A5576" s="1133"/>
      <c r="B5576" s="1136"/>
      <c r="C5576" s="1138"/>
    </row>
    <row r="5577" spans="1:3">
      <c r="A5577" s="1133"/>
      <c r="B5577" s="1136"/>
      <c r="C5577" s="1138"/>
    </row>
    <row r="5578" spans="1:3">
      <c r="A5578" s="1133"/>
      <c r="B5578" s="1136"/>
      <c r="C5578" s="1138"/>
    </row>
    <row r="5579" spans="1:3">
      <c r="A5579" s="1133"/>
      <c r="B5579" s="1136"/>
      <c r="C5579" s="1138"/>
    </row>
    <row r="5580" spans="1:3">
      <c r="A5580" s="1133"/>
      <c r="B5580" s="1136"/>
      <c r="C5580" s="1138"/>
    </row>
    <row r="5581" spans="1:3">
      <c r="A5581" s="1133"/>
      <c r="B5581" s="1136"/>
      <c r="C5581" s="1138"/>
    </row>
    <row r="5582" spans="1:3">
      <c r="A5582" s="1133"/>
      <c r="B5582" s="1136"/>
      <c r="C5582" s="1138"/>
    </row>
    <row r="5583" spans="1:3">
      <c r="A5583" s="1133"/>
      <c r="B5583" s="1136"/>
      <c r="C5583" s="1138"/>
    </row>
    <row r="5584" spans="1:3">
      <c r="A5584" s="1133"/>
      <c r="B5584" s="1136"/>
      <c r="C5584" s="1138"/>
    </row>
    <row r="5585" spans="1:3">
      <c r="A5585" s="1133"/>
      <c r="B5585" s="1136"/>
      <c r="C5585" s="1138"/>
    </row>
    <row r="5586" spans="1:3">
      <c r="A5586" s="1133"/>
      <c r="B5586" s="1136"/>
      <c r="C5586" s="1138"/>
    </row>
    <row r="5587" spans="1:3">
      <c r="A5587" s="1133"/>
      <c r="B5587" s="1136"/>
      <c r="C5587" s="1138"/>
    </row>
    <row r="5588" spans="1:3">
      <c r="A5588" s="1133"/>
      <c r="B5588" s="1136"/>
      <c r="C5588" s="1138"/>
    </row>
    <row r="5589" spans="1:3">
      <c r="A5589" s="1133"/>
      <c r="B5589" s="1136"/>
      <c r="C5589" s="1138"/>
    </row>
    <row r="5590" spans="1:3">
      <c r="A5590" s="1133"/>
      <c r="B5590" s="1136"/>
      <c r="C5590" s="1138"/>
    </row>
    <row r="5591" spans="1:3">
      <c r="A5591" s="1133"/>
      <c r="B5591" s="1136"/>
      <c r="C5591" s="1138"/>
    </row>
    <row r="5592" spans="1:3">
      <c r="A5592" s="1133"/>
      <c r="B5592" s="1136"/>
      <c r="C5592" s="1138"/>
    </row>
    <row r="5593" spans="1:3">
      <c r="A5593" s="1133"/>
      <c r="B5593" s="1136"/>
      <c r="C5593" s="1138"/>
    </row>
    <row r="5594" spans="1:3">
      <c r="A5594" s="1133"/>
      <c r="B5594" s="1136"/>
      <c r="C5594" s="1138"/>
    </row>
    <row r="5595" spans="1:3">
      <c r="A5595" s="1133"/>
      <c r="B5595" s="1136"/>
      <c r="C5595" s="1138"/>
    </row>
    <row r="5596" spans="1:3">
      <c r="A5596" s="1133"/>
      <c r="B5596" s="1136"/>
      <c r="C5596" s="1138"/>
    </row>
    <row r="5597" spans="1:3">
      <c r="A5597" s="1133"/>
      <c r="B5597" s="1136"/>
      <c r="C5597" s="1138"/>
    </row>
    <row r="5598" spans="1:3">
      <c r="A5598" s="1133"/>
      <c r="B5598" s="1136"/>
      <c r="C5598" s="1138"/>
    </row>
    <row r="5599" spans="1:3">
      <c r="A5599" s="1133"/>
      <c r="B5599" s="1136"/>
      <c r="C5599" s="1138"/>
    </row>
    <row r="5600" spans="1:3">
      <c r="A5600" s="1133"/>
      <c r="B5600" s="1136"/>
      <c r="C5600" s="1138"/>
    </row>
    <row r="5601" spans="1:3">
      <c r="A5601" s="1133"/>
      <c r="B5601" s="1136"/>
      <c r="C5601" s="1138"/>
    </row>
    <row r="5602" spans="1:3">
      <c r="A5602" s="1133"/>
      <c r="B5602" s="1136"/>
      <c r="C5602" s="1138"/>
    </row>
    <row r="5603" spans="1:3">
      <c r="A5603" s="1133"/>
      <c r="B5603" s="1136"/>
      <c r="C5603" s="1138"/>
    </row>
    <row r="5604" spans="1:3">
      <c r="A5604" s="1133"/>
      <c r="B5604" s="1136"/>
      <c r="C5604" s="1138"/>
    </row>
    <row r="5605" spans="1:3">
      <c r="A5605" s="1133"/>
      <c r="B5605" s="1136"/>
      <c r="C5605" s="1138"/>
    </row>
    <row r="5606" spans="1:3">
      <c r="A5606" s="1133"/>
      <c r="B5606" s="1136"/>
      <c r="C5606" s="1138"/>
    </row>
    <row r="5607" spans="1:3">
      <c r="A5607" s="1133"/>
      <c r="B5607" s="1136"/>
      <c r="C5607" s="1138"/>
    </row>
    <row r="5608" spans="1:3">
      <c r="A5608" s="1133"/>
      <c r="B5608" s="1136"/>
      <c r="C5608" s="1138"/>
    </row>
    <row r="5609" spans="1:3">
      <c r="A5609" s="1133"/>
      <c r="B5609" s="1136"/>
      <c r="C5609" s="1138"/>
    </row>
    <row r="5610" spans="1:3">
      <c r="A5610" s="1133"/>
      <c r="B5610" s="1136"/>
      <c r="C5610" s="1138"/>
    </row>
    <row r="5611" spans="1:3">
      <c r="A5611" s="1133"/>
      <c r="B5611" s="1136"/>
      <c r="C5611" s="1138"/>
    </row>
    <row r="5612" spans="1:3">
      <c r="A5612" s="1133"/>
      <c r="B5612" s="1136"/>
      <c r="C5612" s="1138"/>
    </row>
    <row r="5613" spans="1:3">
      <c r="A5613" s="1133"/>
      <c r="B5613" s="1136"/>
      <c r="C5613" s="1138"/>
    </row>
    <row r="5614" spans="1:3">
      <c r="A5614" s="1133"/>
      <c r="B5614" s="1136"/>
      <c r="C5614" s="1138"/>
    </row>
    <row r="5615" spans="1:3">
      <c r="A5615" s="1133"/>
      <c r="B5615" s="1136"/>
      <c r="C5615" s="1138"/>
    </row>
    <row r="5616" spans="1:3">
      <c r="A5616" s="1133"/>
      <c r="B5616" s="1136"/>
      <c r="C5616" s="1138"/>
    </row>
    <row r="5617" spans="1:3">
      <c r="A5617" s="1133"/>
      <c r="B5617" s="1136"/>
      <c r="C5617" s="1138"/>
    </row>
    <row r="5618" spans="1:3">
      <c r="A5618" s="1133"/>
      <c r="B5618" s="1136"/>
      <c r="C5618" s="1138"/>
    </row>
    <row r="5619" spans="1:3">
      <c r="A5619" s="1133"/>
      <c r="B5619" s="1136"/>
      <c r="C5619" s="1138"/>
    </row>
    <row r="5620" spans="1:3">
      <c r="A5620" s="1133"/>
      <c r="B5620" s="1136"/>
      <c r="C5620" s="1138"/>
    </row>
    <row r="5621" spans="1:3">
      <c r="A5621" s="1133"/>
      <c r="B5621" s="1136"/>
      <c r="C5621" s="1138"/>
    </row>
    <row r="5622" spans="1:3">
      <c r="A5622" s="1133"/>
      <c r="B5622" s="1136"/>
      <c r="C5622" s="1138"/>
    </row>
    <row r="5623" spans="1:3">
      <c r="A5623" s="1133"/>
      <c r="B5623" s="1136"/>
      <c r="C5623" s="1138"/>
    </row>
    <row r="5624" spans="1:3">
      <c r="A5624" s="1133"/>
      <c r="B5624" s="1136"/>
      <c r="C5624" s="1138"/>
    </row>
    <row r="5625" spans="1:3">
      <c r="A5625" s="1133"/>
      <c r="B5625" s="1136"/>
      <c r="C5625" s="1138"/>
    </row>
    <row r="5626" spans="1:3">
      <c r="A5626" s="1133"/>
      <c r="B5626" s="1136"/>
      <c r="C5626" s="1138"/>
    </row>
    <row r="5627" spans="1:3">
      <c r="A5627" s="1133"/>
      <c r="B5627" s="1136"/>
      <c r="C5627" s="1138"/>
    </row>
    <row r="5628" spans="1:3">
      <c r="A5628" s="1133"/>
      <c r="B5628" s="1136"/>
      <c r="C5628" s="1138"/>
    </row>
    <row r="5629" spans="1:3">
      <c r="A5629" s="1133"/>
      <c r="B5629" s="1136"/>
      <c r="C5629" s="1138"/>
    </row>
    <row r="5630" spans="1:3">
      <c r="A5630" s="1133"/>
      <c r="B5630" s="1136"/>
      <c r="C5630" s="1138"/>
    </row>
    <row r="5631" spans="1:3">
      <c r="A5631" s="1133"/>
      <c r="B5631" s="1136"/>
      <c r="C5631" s="1138"/>
    </row>
    <row r="5632" spans="1:3">
      <c r="A5632" s="1133"/>
      <c r="B5632" s="1136"/>
      <c r="C5632" s="1138"/>
    </row>
    <row r="5633" spans="1:3">
      <c r="A5633" s="1133"/>
      <c r="B5633" s="1136"/>
      <c r="C5633" s="1138"/>
    </row>
    <row r="5634" spans="1:3">
      <c r="A5634" s="1133"/>
      <c r="B5634" s="1136"/>
      <c r="C5634" s="1138"/>
    </row>
    <row r="5635" spans="1:3">
      <c r="A5635" s="1133"/>
      <c r="B5635" s="1136"/>
      <c r="C5635" s="1138"/>
    </row>
    <row r="5636" spans="1:3">
      <c r="A5636" s="1133"/>
      <c r="B5636" s="1136"/>
      <c r="C5636" s="1138"/>
    </row>
    <row r="5637" spans="1:3">
      <c r="A5637" s="1133"/>
      <c r="B5637" s="1136"/>
      <c r="C5637" s="1138"/>
    </row>
    <row r="5638" spans="1:3">
      <c r="A5638" s="1133"/>
      <c r="B5638" s="1136"/>
      <c r="C5638" s="1138"/>
    </row>
    <row r="5639" spans="1:3">
      <c r="A5639" s="1133"/>
      <c r="B5639" s="1136"/>
      <c r="C5639" s="1138"/>
    </row>
    <row r="5640" spans="1:3">
      <c r="A5640" s="1133"/>
      <c r="B5640" s="1136"/>
      <c r="C5640" s="1138"/>
    </row>
    <row r="5641" spans="1:3">
      <c r="A5641" s="1133"/>
      <c r="B5641" s="1136"/>
      <c r="C5641" s="1138"/>
    </row>
    <row r="5642" spans="1:3">
      <c r="A5642" s="1133"/>
      <c r="B5642" s="1136"/>
      <c r="C5642" s="1138"/>
    </row>
    <row r="5643" spans="1:3">
      <c r="A5643" s="1133"/>
      <c r="B5643" s="1136"/>
      <c r="C5643" s="1138"/>
    </row>
    <row r="5644" spans="1:3">
      <c r="A5644" s="1133"/>
      <c r="B5644" s="1136"/>
      <c r="C5644" s="1138"/>
    </row>
    <row r="5645" spans="1:3">
      <c r="A5645" s="1133"/>
      <c r="B5645" s="1136"/>
      <c r="C5645" s="1138"/>
    </row>
    <row r="5646" spans="1:3">
      <c r="A5646" s="1133"/>
      <c r="B5646" s="1136"/>
      <c r="C5646" s="1138"/>
    </row>
    <row r="5647" spans="1:3">
      <c r="A5647" s="1133"/>
      <c r="B5647" s="1136"/>
      <c r="C5647" s="1138"/>
    </row>
    <row r="5648" spans="1:3">
      <c r="A5648" s="1133"/>
      <c r="B5648" s="1136"/>
      <c r="C5648" s="1138"/>
    </row>
    <row r="5649" spans="1:3">
      <c r="A5649" s="1133"/>
      <c r="B5649" s="1136"/>
      <c r="C5649" s="1138"/>
    </row>
    <row r="5650" spans="1:3">
      <c r="A5650" s="1133"/>
      <c r="B5650" s="1136"/>
      <c r="C5650" s="1138"/>
    </row>
    <row r="5651" spans="1:3">
      <c r="A5651" s="1133"/>
      <c r="B5651" s="1136"/>
      <c r="C5651" s="1138"/>
    </row>
    <row r="5652" spans="1:3">
      <c r="A5652" s="1133"/>
      <c r="B5652" s="1136"/>
      <c r="C5652" s="1138"/>
    </row>
    <row r="5653" spans="1:3">
      <c r="A5653" s="1133"/>
      <c r="B5653" s="1136"/>
      <c r="C5653" s="1138"/>
    </row>
    <row r="5654" spans="1:3">
      <c r="A5654" s="1133"/>
      <c r="B5654" s="1136"/>
      <c r="C5654" s="1138"/>
    </row>
    <row r="5655" spans="1:3">
      <c r="A5655" s="1133"/>
      <c r="B5655" s="1136"/>
      <c r="C5655" s="1138"/>
    </row>
    <row r="5656" spans="1:3">
      <c r="A5656" s="1133"/>
      <c r="B5656" s="1136"/>
      <c r="C5656" s="1138"/>
    </row>
    <row r="5657" spans="1:3">
      <c r="A5657" s="1133"/>
      <c r="B5657" s="1136"/>
      <c r="C5657" s="1138"/>
    </row>
    <row r="5658" spans="1:3">
      <c r="A5658" s="1133"/>
      <c r="B5658" s="1136"/>
      <c r="C5658" s="1138"/>
    </row>
    <row r="5659" spans="1:3">
      <c r="A5659" s="1133"/>
      <c r="B5659" s="1136"/>
      <c r="C5659" s="1138"/>
    </row>
    <row r="5660" spans="1:3">
      <c r="A5660" s="1133"/>
      <c r="B5660" s="1136"/>
      <c r="C5660" s="1138"/>
    </row>
    <row r="5661" spans="1:3">
      <c r="A5661" s="1133"/>
      <c r="B5661" s="1136"/>
      <c r="C5661" s="1138"/>
    </row>
    <row r="5662" spans="1:3">
      <c r="A5662" s="1133"/>
      <c r="B5662" s="1136"/>
      <c r="C5662" s="1138"/>
    </row>
    <row r="5663" spans="1:3">
      <c r="A5663" s="1133"/>
      <c r="B5663" s="1136"/>
      <c r="C5663" s="1138"/>
    </row>
    <row r="5664" spans="1:3">
      <c r="A5664" s="1133"/>
      <c r="B5664" s="1136"/>
      <c r="C5664" s="1138"/>
    </row>
    <row r="5665" spans="1:3">
      <c r="A5665" s="1133"/>
      <c r="B5665" s="1136"/>
      <c r="C5665" s="1138"/>
    </row>
    <row r="5666" spans="1:3">
      <c r="A5666" s="1133"/>
      <c r="B5666" s="1136"/>
      <c r="C5666" s="1138"/>
    </row>
    <row r="5667" spans="1:3">
      <c r="A5667" s="1133"/>
      <c r="B5667" s="1136"/>
      <c r="C5667" s="1138"/>
    </row>
    <row r="5668" spans="1:3">
      <c r="A5668" s="1133"/>
      <c r="B5668" s="1136"/>
      <c r="C5668" s="1138"/>
    </row>
    <row r="5669" spans="1:3">
      <c r="A5669" s="1133"/>
      <c r="B5669" s="1136"/>
      <c r="C5669" s="1138"/>
    </row>
    <row r="5670" spans="1:3">
      <c r="A5670" s="1133"/>
      <c r="B5670" s="1136"/>
      <c r="C5670" s="1138"/>
    </row>
    <row r="5671" spans="1:3">
      <c r="A5671" s="1133"/>
      <c r="B5671" s="1136"/>
      <c r="C5671" s="1138"/>
    </row>
    <row r="5672" spans="1:3">
      <c r="A5672" s="1133"/>
      <c r="B5672" s="1136"/>
      <c r="C5672" s="1138"/>
    </row>
    <row r="5673" spans="1:3">
      <c r="A5673" s="1133"/>
      <c r="B5673" s="1136"/>
      <c r="C5673" s="1138"/>
    </row>
    <row r="5674" spans="1:3">
      <c r="A5674" s="1133"/>
      <c r="B5674" s="1136"/>
      <c r="C5674" s="1138"/>
    </row>
    <row r="5675" spans="1:3">
      <c r="A5675" s="1133"/>
      <c r="B5675" s="1136"/>
      <c r="C5675" s="1138"/>
    </row>
    <row r="5676" spans="1:3">
      <c r="A5676" s="1133"/>
      <c r="B5676" s="1136"/>
      <c r="C5676" s="1138"/>
    </row>
    <row r="5677" spans="1:3">
      <c r="A5677" s="1133"/>
      <c r="B5677" s="1136"/>
      <c r="C5677" s="1138"/>
    </row>
    <row r="5678" spans="1:3">
      <c r="A5678" s="1133"/>
      <c r="B5678" s="1136"/>
      <c r="C5678" s="1138"/>
    </row>
    <row r="5679" spans="1:3">
      <c r="A5679" s="1133"/>
      <c r="B5679" s="1136"/>
      <c r="C5679" s="1138"/>
    </row>
    <row r="5680" spans="1:3">
      <c r="A5680" s="1133"/>
      <c r="B5680" s="1136"/>
      <c r="C5680" s="1138"/>
    </row>
    <row r="5681" spans="1:3">
      <c r="A5681" s="1133"/>
      <c r="B5681" s="1136"/>
      <c r="C5681" s="1138"/>
    </row>
    <row r="5682" spans="1:3">
      <c r="A5682" s="1133"/>
      <c r="B5682" s="1136"/>
      <c r="C5682" s="1138"/>
    </row>
    <row r="5683" spans="1:3">
      <c r="A5683" s="1133"/>
      <c r="B5683" s="1136"/>
      <c r="C5683" s="1138"/>
    </row>
    <row r="5684" spans="1:3">
      <c r="A5684" s="1133"/>
      <c r="B5684" s="1136"/>
      <c r="C5684" s="1138"/>
    </row>
    <row r="5685" spans="1:3">
      <c r="A5685" s="1133"/>
      <c r="B5685" s="1136"/>
      <c r="C5685" s="1138"/>
    </row>
    <row r="5686" spans="1:3">
      <c r="A5686" s="1133"/>
      <c r="B5686" s="1136"/>
      <c r="C5686" s="1138"/>
    </row>
    <row r="5687" spans="1:3">
      <c r="A5687" s="1133"/>
      <c r="B5687" s="1136"/>
      <c r="C5687" s="1138"/>
    </row>
    <row r="5688" spans="1:3">
      <c r="A5688" s="1133"/>
      <c r="B5688" s="1136"/>
      <c r="C5688" s="1138"/>
    </row>
    <row r="5689" spans="1:3">
      <c r="A5689" s="1133"/>
      <c r="B5689" s="1136"/>
      <c r="C5689" s="1138"/>
    </row>
    <row r="5690" spans="1:3">
      <c r="A5690" s="1133"/>
      <c r="B5690" s="1136"/>
      <c r="C5690" s="1138"/>
    </row>
    <row r="5691" spans="1:3">
      <c r="A5691" s="1133"/>
      <c r="B5691" s="1136"/>
      <c r="C5691" s="1138"/>
    </row>
    <row r="5692" spans="1:3">
      <c r="A5692" s="1133"/>
      <c r="B5692" s="1136"/>
      <c r="C5692" s="1138"/>
    </row>
    <row r="5693" spans="1:3">
      <c r="A5693" s="1133"/>
      <c r="B5693" s="1136"/>
      <c r="C5693" s="1138"/>
    </row>
    <row r="5694" spans="1:3">
      <c r="A5694" s="1133"/>
      <c r="B5694" s="1136"/>
      <c r="C5694" s="1138"/>
    </row>
    <row r="5695" spans="1:3">
      <c r="A5695" s="1133"/>
      <c r="B5695" s="1136"/>
      <c r="C5695" s="1138"/>
    </row>
    <row r="5696" spans="1:3">
      <c r="A5696" s="1133"/>
      <c r="B5696" s="1136"/>
      <c r="C5696" s="1138"/>
    </row>
    <row r="5697" spans="1:3">
      <c r="A5697" s="1133"/>
      <c r="B5697" s="1136"/>
      <c r="C5697" s="1138"/>
    </row>
    <row r="5698" spans="1:3">
      <c r="A5698" s="1133"/>
      <c r="B5698" s="1136"/>
      <c r="C5698" s="1138"/>
    </row>
    <row r="5699" spans="1:3">
      <c r="A5699" s="1133"/>
      <c r="B5699" s="1136"/>
      <c r="C5699" s="1138"/>
    </row>
    <row r="5700" spans="1:3">
      <c r="A5700" s="1133"/>
      <c r="B5700" s="1136"/>
      <c r="C5700" s="1138"/>
    </row>
    <row r="5701" spans="1:3">
      <c r="A5701" s="1133"/>
      <c r="B5701" s="1136"/>
      <c r="C5701" s="1138"/>
    </row>
    <row r="5702" spans="1:3">
      <c r="A5702" s="1133"/>
      <c r="B5702" s="1136"/>
      <c r="C5702" s="1138"/>
    </row>
    <row r="5703" spans="1:3">
      <c r="A5703" s="1133"/>
      <c r="B5703" s="1136"/>
      <c r="C5703" s="1138"/>
    </row>
    <row r="5704" spans="1:3">
      <c r="A5704" s="1133"/>
      <c r="B5704" s="1136"/>
      <c r="C5704" s="1138"/>
    </row>
    <row r="5705" spans="1:3">
      <c r="A5705" s="1133"/>
      <c r="B5705" s="1136"/>
      <c r="C5705" s="1138"/>
    </row>
    <row r="5706" spans="1:3">
      <c r="A5706" s="1133"/>
      <c r="B5706" s="1136"/>
      <c r="C5706" s="1138"/>
    </row>
    <row r="5707" spans="1:3">
      <c r="A5707" s="1133"/>
      <c r="B5707" s="1136"/>
      <c r="C5707" s="1138"/>
    </row>
    <row r="5708" spans="1:3">
      <c r="A5708" s="1133"/>
      <c r="B5708" s="1136"/>
      <c r="C5708" s="1138"/>
    </row>
    <row r="5709" spans="1:3">
      <c r="A5709" s="1133"/>
      <c r="B5709" s="1136"/>
      <c r="C5709" s="1138"/>
    </row>
    <row r="5710" spans="1:3">
      <c r="A5710" s="1133"/>
      <c r="B5710" s="1136"/>
      <c r="C5710" s="1138"/>
    </row>
    <row r="5711" spans="1:3">
      <c r="A5711" s="1133"/>
      <c r="B5711" s="1136"/>
      <c r="C5711" s="1138"/>
    </row>
    <row r="5712" spans="1:3">
      <c r="A5712" s="1133"/>
      <c r="B5712" s="1136"/>
      <c r="C5712" s="1138"/>
    </row>
    <row r="5713" spans="1:3">
      <c r="A5713" s="1133"/>
      <c r="B5713" s="1136"/>
      <c r="C5713" s="1138"/>
    </row>
    <row r="5714" spans="1:3">
      <c r="A5714" s="1133"/>
      <c r="B5714" s="1136"/>
      <c r="C5714" s="1138"/>
    </row>
    <row r="5715" spans="1:3">
      <c r="A5715" s="1133"/>
      <c r="B5715" s="1136"/>
      <c r="C5715" s="1138"/>
    </row>
    <row r="5716" spans="1:3">
      <c r="A5716" s="1133"/>
      <c r="B5716" s="1136"/>
      <c r="C5716" s="1138"/>
    </row>
    <row r="5717" spans="1:3">
      <c r="A5717" s="1133"/>
      <c r="B5717" s="1136"/>
      <c r="C5717" s="1138"/>
    </row>
    <row r="5718" spans="1:3">
      <c r="A5718" s="1133"/>
      <c r="B5718" s="1136"/>
      <c r="C5718" s="1138"/>
    </row>
    <row r="5719" spans="1:3">
      <c r="A5719" s="1133"/>
      <c r="B5719" s="1136"/>
      <c r="C5719" s="1138"/>
    </row>
    <row r="5720" spans="1:3">
      <c r="A5720" s="1133"/>
      <c r="B5720" s="1136"/>
      <c r="C5720" s="1138"/>
    </row>
    <row r="5721" spans="1:3">
      <c r="A5721" s="1133"/>
      <c r="B5721" s="1136"/>
      <c r="C5721" s="1138"/>
    </row>
    <row r="5722" spans="1:3">
      <c r="A5722" s="1133"/>
      <c r="B5722" s="1136"/>
      <c r="C5722" s="1138"/>
    </row>
    <row r="5723" spans="1:3">
      <c r="A5723" s="1133"/>
      <c r="B5723" s="1136"/>
      <c r="C5723" s="1138"/>
    </row>
    <row r="5724" spans="1:3">
      <c r="A5724" s="1133"/>
      <c r="B5724" s="1136"/>
      <c r="C5724" s="1138"/>
    </row>
    <row r="5725" spans="1:3">
      <c r="A5725" s="1133"/>
      <c r="B5725" s="1136"/>
      <c r="C5725" s="1138"/>
    </row>
    <row r="5726" spans="1:3">
      <c r="A5726" s="1133"/>
      <c r="B5726" s="1136"/>
      <c r="C5726" s="1138"/>
    </row>
    <row r="5727" spans="1:3">
      <c r="A5727" s="1133"/>
      <c r="B5727" s="1136"/>
      <c r="C5727" s="1138"/>
    </row>
    <row r="5728" spans="1:3">
      <c r="A5728" s="1133"/>
      <c r="B5728" s="1136"/>
      <c r="C5728" s="1138"/>
    </row>
    <row r="5729" spans="1:3">
      <c r="A5729" s="1133"/>
      <c r="B5729" s="1136"/>
      <c r="C5729" s="1138"/>
    </row>
    <row r="5730" spans="1:3">
      <c r="A5730" s="1133"/>
      <c r="B5730" s="1136"/>
      <c r="C5730" s="1138"/>
    </row>
    <row r="5731" spans="1:3">
      <c r="A5731" s="1133"/>
      <c r="B5731" s="1136"/>
      <c r="C5731" s="1138"/>
    </row>
    <row r="5732" spans="1:3">
      <c r="A5732" s="1133"/>
      <c r="B5732" s="1136"/>
      <c r="C5732" s="1138"/>
    </row>
    <row r="5733" spans="1:3">
      <c r="A5733" s="1133"/>
      <c r="B5733" s="1136"/>
      <c r="C5733" s="1138"/>
    </row>
    <row r="5734" spans="1:3">
      <c r="A5734" s="1133"/>
      <c r="B5734" s="1136"/>
      <c r="C5734" s="1138"/>
    </row>
    <row r="5735" spans="1:3">
      <c r="A5735" s="1133"/>
      <c r="B5735" s="1136"/>
      <c r="C5735" s="1138"/>
    </row>
    <row r="5736" spans="1:3">
      <c r="A5736" s="1133"/>
      <c r="B5736" s="1136"/>
      <c r="C5736" s="1138"/>
    </row>
    <row r="5737" spans="1:3">
      <c r="A5737" s="1133"/>
      <c r="B5737" s="1136"/>
      <c r="C5737" s="1138"/>
    </row>
    <row r="5738" spans="1:3">
      <c r="A5738" s="1133"/>
      <c r="B5738" s="1136"/>
      <c r="C5738" s="1138"/>
    </row>
    <row r="5739" spans="1:3">
      <c r="A5739" s="1133"/>
      <c r="B5739" s="1136"/>
      <c r="C5739" s="1138"/>
    </row>
    <row r="5740" spans="1:3">
      <c r="A5740" s="1133"/>
      <c r="B5740" s="1136"/>
      <c r="C5740" s="1138"/>
    </row>
    <row r="5741" spans="1:3">
      <c r="A5741" s="1133"/>
      <c r="B5741" s="1136"/>
      <c r="C5741" s="1138"/>
    </row>
    <row r="5742" spans="1:3">
      <c r="A5742" s="1133"/>
      <c r="B5742" s="1136"/>
      <c r="C5742" s="1138"/>
    </row>
    <row r="5743" spans="1:3">
      <c r="A5743" s="1133"/>
      <c r="B5743" s="1136"/>
      <c r="C5743" s="1138"/>
    </row>
    <row r="5744" spans="1:3">
      <c r="A5744" s="1133"/>
      <c r="B5744" s="1136"/>
      <c r="C5744" s="1138"/>
    </row>
    <row r="5745" spans="1:3">
      <c r="A5745" s="1133"/>
      <c r="B5745" s="1136"/>
      <c r="C5745" s="1138"/>
    </row>
    <row r="5746" spans="1:3">
      <c r="A5746" s="1133"/>
      <c r="B5746" s="1136"/>
      <c r="C5746" s="1138"/>
    </row>
    <row r="5747" spans="1:3">
      <c r="A5747" s="1133"/>
      <c r="B5747" s="1136"/>
      <c r="C5747" s="1138"/>
    </row>
    <row r="5748" spans="1:3">
      <c r="A5748" s="1133"/>
      <c r="B5748" s="1136"/>
      <c r="C5748" s="1138"/>
    </row>
    <row r="5749" spans="1:3">
      <c r="A5749" s="1133"/>
      <c r="B5749" s="1136"/>
      <c r="C5749" s="1138"/>
    </row>
    <row r="5750" spans="1:3">
      <c r="A5750" s="1133"/>
      <c r="B5750" s="1136"/>
      <c r="C5750" s="1138"/>
    </row>
    <row r="5751" spans="1:3">
      <c r="A5751" s="1133"/>
      <c r="B5751" s="1136"/>
      <c r="C5751" s="1138"/>
    </row>
    <row r="5752" spans="1:3">
      <c r="A5752" s="1133"/>
      <c r="B5752" s="1136"/>
      <c r="C5752" s="1138"/>
    </row>
    <row r="5753" spans="1:3">
      <c r="A5753" s="1133"/>
      <c r="B5753" s="1136"/>
      <c r="C5753" s="1138"/>
    </row>
    <row r="5754" spans="1:3">
      <c r="A5754" s="1133"/>
      <c r="B5754" s="1136"/>
      <c r="C5754" s="1138"/>
    </row>
    <row r="5755" spans="1:3">
      <c r="A5755" s="1133"/>
      <c r="B5755" s="1136"/>
      <c r="C5755" s="1138"/>
    </row>
    <row r="5756" spans="1:3">
      <c r="A5756" s="1133"/>
      <c r="B5756" s="1136"/>
      <c r="C5756" s="1138"/>
    </row>
    <row r="5757" spans="1:3">
      <c r="A5757" s="1133"/>
      <c r="B5757" s="1136"/>
      <c r="C5757" s="1138"/>
    </row>
    <row r="5758" spans="1:3">
      <c r="A5758" s="1133"/>
      <c r="B5758" s="1136"/>
      <c r="C5758" s="1138"/>
    </row>
    <row r="5759" spans="1:3">
      <c r="A5759" s="1133"/>
      <c r="B5759" s="1136"/>
      <c r="C5759" s="1138"/>
    </row>
    <row r="5760" spans="1:3">
      <c r="A5760" s="1133"/>
      <c r="B5760" s="1136"/>
      <c r="C5760" s="1138"/>
    </row>
    <row r="5761" spans="1:3">
      <c r="A5761" s="1133"/>
      <c r="B5761" s="1136"/>
      <c r="C5761" s="1138"/>
    </row>
    <row r="5762" spans="1:3">
      <c r="A5762" s="1133"/>
      <c r="B5762" s="1136"/>
      <c r="C5762" s="1138"/>
    </row>
    <row r="5763" spans="1:3">
      <c r="A5763" s="1133"/>
      <c r="B5763" s="1136"/>
      <c r="C5763" s="1138"/>
    </row>
    <row r="5764" spans="1:3">
      <c r="A5764" s="1133"/>
      <c r="B5764" s="1136"/>
      <c r="C5764" s="1138"/>
    </row>
    <row r="5765" spans="1:3">
      <c r="A5765" s="1133"/>
      <c r="B5765" s="1136"/>
      <c r="C5765" s="1138"/>
    </row>
    <row r="5766" spans="1:3">
      <c r="A5766" s="1133"/>
      <c r="B5766" s="1136"/>
      <c r="C5766" s="1138"/>
    </row>
    <row r="5767" spans="1:3">
      <c r="A5767" s="1133"/>
      <c r="B5767" s="1136"/>
      <c r="C5767" s="1138"/>
    </row>
    <row r="5768" spans="1:3">
      <c r="A5768" s="1133"/>
      <c r="B5768" s="1136"/>
      <c r="C5768" s="1138"/>
    </row>
    <row r="5769" spans="1:3">
      <c r="A5769" s="1133"/>
      <c r="B5769" s="1136"/>
      <c r="C5769" s="1138"/>
    </row>
    <row r="5770" spans="1:3">
      <c r="A5770" s="1133"/>
      <c r="B5770" s="1136"/>
      <c r="C5770" s="1138"/>
    </row>
    <row r="5771" spans="1:3">
      <c r="A5771" s="1133"/>
      <c r="B5771" s="1136"/>
      <c r="C5771" s="1138"/>
    </row>
    <row r="5772" spans="1:3">
      <c r="A5772" s="1133"/>
      <c r="B5772" s="1136"/>
      <c r="C5772" s="1138"/>
    </row>
    <row r="5773" spans="1:3">
      <c r="A5773" s="1133"/>
      <c r="B5773" s="1136"/>
      <c r="C5773" s="1138"/>
    </row>
    <row r="5774" spans="1:3">
      <c r="A5774" s="1133"/>
      <c r="B5774" s="1136"/>
      <c r="C5774" s="1138"/>
    </row>
    <row r="5775" spans="1:3">
      <c r="A5775" s="1133"/>
      <c r="B5775" s="1136"/>
      <c r="C5775" s="1138"/>
    </row>
    <row r="5776" spans="1:3">
      <c r="A5776" s="1133"/>
      <c r="B5776" s="1136"/>
      <c r="C5776" s="1138"/>
    </row>
    <row r="5777" spans="1:3">
      <c r="A5777" s="1133"/>
      <c r="B5777" s="1136"/>
      <c r="C5777" s="1138"/>
    </row>
    <row r="5778" spans="1:3">
      <c r="A5778" s="1133"/>
      <c r="B5778" s="1136"/>
      <c r="C5778" s="1138"/>
    </row>
    <row r="5779" spans="1:3">
      <c r="A5779" s="1133"/>
      <c r="B5779" s="1136"/>
      <c r="C5779" s="1138"/>
    </row>
    <row r="5780" spans="1:3">
      <c r="A5780" s="1133"/>
      <c r="B5780" s="1136"/>
      <c r="C5780" s="1138"/>
    </row>
    <row r="5781" spans="1:3">
      <c r="A5781" s="1133"/>
      <c r="B5781" s="1136"/>
      <c r="C5781" s="1138"/>
    </row>
    <row r="5782" spans="1:3">
      <c r="A5782" s="1133"/>
      <c r="B5782" s="1136"/>
      <c r="C5782" s="1138"/>
    </row>
    <row r="5783" spans="1:3">
      <c r="A5783" s="1133"/>
      <c r="B5783" s="1136"/>
      <c r="C5783" s="1138"/>
    </row>
    <row r="5784" spans="1:3">
      <c r="A5784" s="1133"/>
      <c r="B5784" s="1136"/>
      <c r="C5784" s="1138"/>
    </row>
    <row r="5785" spans="1:3">
      <c r="A5785" s="1133"/>
      <c r="B5785" s="1136"/>
      <c r="C5785" s="1138"/>
    </row>
    <row r="5786" spans="1:3">
      <c r="A5786" s="1133"/>
      <c r="B5786" s="1136"/>
      <c r="C5786" s="1138"/>
    </row>
    <row r="5787" spans="1:3">
      <c r="A5787" s="1133"/>
      <c r="B5787" s="1136"/>
      <c r="C5787" s="1138"/>
    </row>
    <row r="5788" spans="1:3">
      <c r="A5788" s="1133"/>
      <c r="B5788" s="1136"/>
      <c r="C5788" s="1138"/>
    </row>
    <row r="5789" spans="1:3">
      <c r="A5789" s="1133"/>
      <c r="B5789" s="1136"/>
      <c r="C5789" s="1138"/>
    </row>
    <row r="5790" spans="1:3">
      <c r="A5790" s="1133"/>
      <c r="B5790" s="1136"/>
      <c r="C5790" s="1138"/>
    </row>
    <row r="5791" spans="1:3">
      <c r="A5791" s="1133"/>
      <c r="B5791" s="1136"/>
      <c r="C5791" s="1138"/>
    </row>
    <row r="5792" spans="1:3">
      <c r="A5792" s="1133"/>
      <c r="B5792" s="1136"/>
      <c r="C5792" s="1138"/>
    </row>
    <row r="5793" spans="1:3">
      <c r="A5793" s="1133"/>
      <c r="B5793" s="1136"/>
      <c r="C5793" s="1138"/>
    </row>
    <row r="5794" spans="1:3">
      <c r="A5794" s="1133"/>
      <c r="B5794" s="1136"/>
      <c r="C5794" s="1138"/>
    </row>
    <row r="5795" spans="1:3">
      <c r="A5795" s="1133"/>
      <c r="B5795" s="1136"/>
      <c r="C5795" s="1138"/>
    </row>
    <row r="5796" spans="1:3">
      <c r="A5796" s="1133"/>
      <c r="B5796" s="1136"/>
      <c r="C5796" s="1138"/>
    </row>
    <row r="5797" spans="1:3">
      <c r="A5797" s="1133"/>
      <c r="B5797" s="1136"/>
      <c r="C5797" s="1138"/>
    </row>
    <row r="5798" spans="1:3">
      <c r="A5798" s="1133"/>
      <c r="B5798" s="1136"/>
      <c r="C5798" s="1138"/>
    </row>
    <row r="5799" spans="1:3">
      <c r="A5799" s="1133"/>
      <c r="B5799" s="1136"/>
      <c r="C5799" s="1138"/>
    </row>
    <row r="5800" spans="1:3">
      <c r="A5800" s="1133"/>
      <c r="B5800" s="1136"/>
      <c r="C5800" s="1138"/>
    </row>
    <row r="5801" spans="1:3">
      <c r="A5801" s="1133"/>
      <c r="B5801" s="1136"/>
      <c r="C5801" s="1138"/>
    </row>
    <row r="5802" spans="1:3">
      <c r="A5802" s="1133"/>
      <c r="B5802" s="1136"/>
      <c r="C5802" s="1138"/>
    </row>
    <row r="5803" spans="1:3">
      <c r="A5803" s="1133"/>
      <c r="B5803" s="1136"/>
      <c r="C5803" s="1138"/>
    </row>
    <row r="5804" spans="1:3">
      <c r="A5804" s="1133"/>
      <c r="B5804" s="1136"/>
      <c r="C5804" s="1138"/>
    </row>
    <row r="5805" spans="1:3">
      <c r="A5805" s="1133"/>
      <c r="B5805" s="1136"/>
      <c r="C5805" s="1138"/>
    </row>
    <row r="5806" spans="1:3">
      <c r="A5806" s="1133"/>
      <c r="B5806" s="1136"/>
      <c r="C5806" s="1138"/>
    </row>
    <row r="5807" spans="1:3">
      <c r="A5807" s="1133"/>
      <c r="B5807" s="1136"/>
      <c r="C5807" s="1138"/>
    </row>
    <row r="5808" spans="1:3">
      <c r="A5808" s="1133"/>
      <c r="B5808" s="1136"/>
      <c r="C5808" s="1138"/>
    </row>
    <row r="5809" spans="1:3">
      <c r="A5809" s="1133"/>
      <c r="B5809" s="1136"/>
      <c r="C5809" s="1138"/>
    </row>
    <row r="5810" spans="1:3">
      <c r="A5810" s="1133"/>
      <c r="B5810" s="1136"/>
      <c r="C5810" s="1138"/>
    </row>
    <row r="5811" spans="1:3">
      <c r="A5811" s="1133"/>
      <c r="B5811" s="1136"/>
      <c r="C5811" s="1138"/>
    </row>
    <row r="5812" spans="1:3">
      <c r="A5812" s="1133"/>
      <c r="B5812" s="1136"/>
      <c r="C5812" s="1138"/>
    </row>
    <row r="5813" spans="1:3">
      <c r="A5813" s="1133"/>
      <c r="B5813" s="1136"/>
      <c r="C5813" s="1138"/>
    </row>
    <row r="5814" spans="1:3">
      <c r="A5814" s="1133"/>
      <c r="B5814" s="1136"/>
      <c r="C5814" s="1138"/>
    </row>
    <row r="5815" spans="1:3">
      <c r="A5815" s="1133"/>
      <c r="B5815" s="1136"/>
      <c r="C5815" s="1138"/>
    </row>
    <row r="5816" spans="1:3">
      <c r="A5816" s="1133"/>
      <c r="B5816" s="1136"/>
      <c r="C5816" s="1138"/>
    </row>
    <row r="5817" spans="1:3">
      <c r="A5817" s="1133"/>
      <c r="B5817" s="1136"/>
      <c r="C5817" s="1138"/>
    </row>
    <row r="5818" spans="1:3">
      <c r="A5818" s="1133"/>
      <c r="B5818" s="1136"/>
      <c r="C5818" s="1138"/>
    </row>
    <row r="5819" spans="1:3">
      <c r="A5819" s="1133"/>
      <c r="B5819" s="1136"/>
      <c r="C5819" s="1138"/>
    </row>
    <row r="5820" spans="1:3">
      <c r="A5820" s="1133"/>
      <c r="B5820" s="1136"/>
      <c r="C5820" s="1138"/>
    </row>
    <row r="5821" spans="1:3">
      <c r="A5821" s="1133"/>
      <c r="B5821" s="1136"/>
      <c r="C5821" s="1138"/>
    </row>
    <row r="5822" spans="1:3">
      <c r="A5822" s="1133"/>
      <c r="B5822" s="1136"/>
      <c r="C5822" s="1138"/>
    </row>
    <row r="5823" spans="1:3">
      <c r="A5823" s="1133"/>
      <c r="B5823" s="1136"/>
      <c r="C5823" s="1138"/>
    </row>
    <row r="5824" spans="1:3">
      <c r="A5824" s="1133"/>
      <c r="B5824" s="1136"/>
      <c r="C5824" s="1138"/>
    </row>
    <row r="5825" spans="1:3">
      <c r="A5825" s="1133"/>
      <c r="B5825" s="1136"/>
      <c r="C5825" s="1138"/>
    </row>
    <row r="5826" spans="1:3">
      <c r="A5826" s="1133"/>
      <c r="B5826" s="1136"/>
      <c r="C5826" s="1138"/>
    </row>
    <row r="5827" spans="1:3">
      <c r="A5827" s="1133"/>
      <c r="B5827" s="1136"/>
      <c r="C5827" s="1138"/>
    </row>
    <row r="5828" spans="1:3">
      <c r="A5828" s="1133"/>
      <c r="B5828" s="1136"/>
      <c r="C5828" s="1138"/>
    </row>
    <row r="5829" spans="1:3">
      <c r="A5829" s="1133"/>
      <c r="B5829" s="1136"/>
      <c r="C5829" s="1138"/>
    </row>
    <row r="5830" spans="1:3">
      <c r="A5830" s="1133"/>
      <c r="B5830" s="1136"/>
      <c r="C5830" s="1138"/>
    </row>
    <row r="5831" spans="1:3">
      <c r="A5831" s="1133"/>
      <c r="B5831" s="1136"/>
      <c r="C5831" s="1138"/>
    </row>
    <row r="5832" spans="1:3">
      <c r="A5832" s="1133"/>
      <c r="B5832" s="1136"/>
      <c r="C5832" s="1138"/>
    </row>
    <row r="5833" spans="1:3">
      <c r="A5833" s="1133"/>
      <c r="B5833" s="1136"/>
      <c r="C5833" s="1138"/>
    </row>
    <row r="5834" spans="1:3">
      <c r="A5834" s="1133"/>
      <c r="B5834" s="1136"/>
      <c r="C5834" s="1138"/>
    </row>
    <row r="5835" spans="1:3">
      <c r="A5835" s="1133"/>
      <c r="B5835" s="1136"/>
      <c r="C5835" s="1138"/>
    </row>
    <row r="5836" spans="1:3">
      <c r="A5836" s="1133"/>
      <c r="B5836" s="1136"/>
      <c r="C5836" s="1138"/>
    </row>
    <row r="5837" spans="1:3">
      <c r="A5837" s="1133"/>
      <c r="B5837" s="1136"/>
      <c r="C5837" s="1138"/>
    </row>
    <row r="5838" spans="1:3">
      <c r="A5838" s="1133"/>
      <c r="B5838" s="1136"/>
      <c r="C5838" s="1138"/>
    </row>
    <row r="5839" spans="1:3">
      <c r="A5839" s="1133"/>
      <c r="B5839" s="1136"/>
      <c r="C5839" s="1138"/>
    </row>
    <row r="5840" spans="1:3">
      <c r="A5840" s="1133"/>
      <c r="B5840" s="1136"/>
      <c r="C5840" s="1138"/>
    </row>
    <row r="5841" spans="1:3">
      <c r="A5841" s="1133"/>
      <c r="B5841" s="1136"/>
      <c r="C5841" s="1138"/>
    </row>
    <row r="5842" spans="1:3">
      <c r="A5842" s="1133"/>
      <c r="B5842" s="1136"/>
      <c r="C5842" s="1138"/>
    </row>
    <row r="5843" spans="1:3">
      <c r="A5843" s="1133"/>
      <c r="B5843" s="1136"/>
      <c r="C5843" s="1138"/>
    </row>
    <row r="5844" spans="1:3">
      <c r="A5844" s="1133"/>
      <c r="B5844" s="1136"/>
      <c r="C5844" s="1138"/>
    </row>
    <row r="5845" spans="1:3">
      <c r="A5845" s="1133"/>
      <c r="B5845" s="1136"/>
      <c r="C5845" s="1138"/>
    </row>
    <row r="5846" spans="1:3">
      <c r="A5846" s="1133"/>
      <c r="B5846" s="1136"/>
      <c r="C5846" s="1138"/>
    </row>
    <row r="5847" spans="1:3">
      <c r="A5847" s="1133"/>
      <c r="B5847" s="1136"/>
      <c r="C5847" s="1138"/>
    </row>
    <row r="5848" spans="1:3">
      <c r="A5848" s="1133"/>
      <c r="B5848" s="1136"/>
      <c r="C5848" s="1138"/>
    </row>
    <row r="5849" spans="1:3">
      <c r="A5849" s="1133"/>
      <c r="B5849" s="1136"/>
      <c r="C5849" s="1138"/>
    </row>
    <row r="5850" spans="1:3">
      <c r="A5850" s="1133"/>
      <c r="B5850" s="1136"/>
      <c r="C5850" s="1138"/>
    </row>
    <row r="5851" spans="1:3">
      <c r="A5851" s="1133"/>
      <c r="B5851" s="1136"/>
      <c r="C5851" s="1138"/>
    </row>
    <row r="5852" spans="1:3">
      <c r="A5852" s="1133"/>
      <c r="B5852" s="1136"/>
      <c r="C5852" s="1138"/>
    </row>
    <row r="5853" spans="1:3">
      <c r="A5853" s="1133"/>
      <c r="B5853" s="1136"/>
      <c r="C5853" s="1138"/>
    </row>
    <row r="5854" spans="1:3">
      <c r="A5854" s="1133"/>
      <c r="B5854" s="1136"/>
      <c r="C5854" s="1138"/>
    </row>
    <row r="5855" spans="1:3">
      <c r="A5855" s="1133"/>
      <c r="B5855" s="1136"/>
      <c r="C5855" s="1138"/>
    </row>
    <row r="5856" spans="1:3">
      <c r="A5856" s="1133"/>
      <c r="B5856" s="1136"/>
      <c r="C5856" s="1138"/>
    </row>
    <row r="5857" spans="1:3">
      <c r="A5857" s="1133"/>
      <c r="B5857" s="1136"/>
      <c r="C5857" s="1138"/>
    </row>
    <row r="5858" spans="1:3">
      <c r="A5858" s="1133"/>
      <c r="B5858" s="1136"/>
      <c r="C5858" s="1138"/>
    </row>
    <row r="5859" spans="1:3">
      <c r="A5859" s="1133"/>
      <c r="B5859" s="1136"/>
      <c r="C5859" s="1138"/>
    </row>
    <row r="5860" spans="1:3">
      <c r="A5860" s="1133"/>
      <c r="B5860" s="1136"/>
      <c r="C5860" s="1138"/>
    </row>
    <row r="5861" spans="1:3">
      <c r="A5861" s="1133"/>
      <c r="B5861" s="1136"/>
      <c r="C5861" s="1138"/>
    </row>
    <row r="5862" spans="1:3">
      <c r="A5862" s="1133"/>
      <c r="B5862" s="1136"/>
      <c r="C5862" s="1138"/>
    </row>
    <row r="5863" spans="1:3">
      <c r="A5863" s="1133"/>
      <c r="B5863" s="1136"/>
      <c r="C5863" s="1138"/>
    </row>
    <row r="5864" spans="1:3">
      <c r="A5864" s="1133"/>
      <c r="B5864" s="1136"/>
      <c r="C5864" s="1138"/>
    </row>
    <row r="5865" spans="1:3">
      <c r="A5865" s="1133"/>
      <c r="B5865" s="1136"/>
      <c r="C5865" s="1138"/>
    </row>
    <row r="5866" spans="1:3">
      <c r="A5866" s="1133"/>
      <c r="B5866" s="1136"/>
      <c r="C5866" s="1138"/>
    </row>
    <row r="5867" spans="1:3">
      <c r="A5867" s="1133"/>
      <c r="B5867" s="1136"/>
      <c r="C5867" s="1138"/>
    </row>
    <row r="5868" spans="1:3">
      <c r="A5868" s="1133"/>
      <c r="B5868" s="1136"/>
      <c r="C5868" s="1138"/>
    </row>
    <row r="5869" spans="1:3">
      <c r="A5869" s="1133"/>
      <c r="B5869" s="1136"/>
      <c r="C5869" s="1138"/>
    </row>
    <row r="5870" spans="1:3">
      <c r="A5870" s="1133"/>
      <c r="B5870" s="1136"/>
      <c r="C5870" s="1138"/>
    </row>
    <row r="5871" spans="1:3">
      <c r="A5871" s="1133"/>
      <c r="B5871" s="1136"/>
      <c r="C5871" s="1138"/>
    </row>
    <row r="5872" spans="1:3">
      <c r="A5872" s="1133"/>
      <c r="B5872" s="1136"/>
      <c r="C5872" s="1138"/>
    </row>
    <row r="5873" spans="1:3">
      <c r="A5873" s="1133"/>
      <c r="B5873" s="1136"/>
      <c r="C5873" s="1138"/>
    </row>
    <row r="5874" spans="1:3">
      <c r="A5874" s="1133"/>
      <c r="B5874" s="1136"/>
      <c r="C5874" s="1138"/>
    </row>
    <row r="5875" spans="1:3">
      <c r="A5875" s="1133"/>
      <c r="B5875" s="1136"/>
      <c r="C5875" s="1138"/>
    </row>
    <row r="5876" spans="1:3">
      <c r="A5876" s="1133"/>
      <c r="B5876" s="1136"/>
      <c r="C5876" s="1138"/>
    </row>
    <row r="5877" spans="1:3">
      <c r="A5877" s="1133"/>
      <c r="B5877" s="1136"/>
      <c r="C5877" s="1138"/>
    </row>
    <row r="5878" spans="1:3">
      <c r="A5878" s="1133"/>
      <c r="B5878" s="1136"/>
      <c r="C5878" s="1138"/>
    </row>
    <row r="5879" spans="1:3">
      <c r="A5879" s="1133"/>
      <c r="B5879" s="1136"/>
      <c r="C5879" s="1138"/>
    </row>
    <row r="5880" spans="1:3">
      <c r="A5880" s="1133"/>
      <c r="B5880" s="1136"/>
      <c r="C5880" s="1138"/>
    </row>
    <row r="5881" spans="1:3">
      <c r="A5881" s="1133"/>
      <c r="B5881" s="1136"/>
      <c r="C5881" s="1138"/>
    </row>
    <row r="5882" spans="1:3">
      <c r="A5882" s="1133"/>
      <c r="B5882" s="1136"/>
      <c r="C5882" s="1138"/>
    </row>
    <row r="5883" spans="1:3">
      <c r="A5883" s="1133"/>
      <c r="B5883" s="1136"/>
      <c r="C5883" s="1138"/>
    </row>
    <row r="5884" spans="1:3">
      <c r="A5884" s="1133"/>
      <c r="B5884" s="1136"/>
      <c r="C5884" s="1138"/>
    </row>
    <row r="5885" spans="1:3">
      <c r="A5885" s="1133"/>
      <c r="B5885" s="1136"/>
      <c r="C5885" s="1138"/>
    </row>
    <row r="5886" spans="1:3">
      <c r="A5886" s="1133"/>
      <c r="B5886" s="1136"/>
      <c r="C5886" s="1138"/>
    </row>
    <row r="5887" spans="1:3">
      <c r="A5887" s="1133"/>
      <c r="B5887" s="1136"/>
      <c r="C5887" s="1138"/>
    </row>
    <row r="5888" spans="1:3">
      <c r="A5888" s="1133"/>
      <c r="B5888" s="1136"/>
      <c r="C5888" s="1138"/>
    </row>
    <row r="5889" spans="1:3">
      <c r="A5889" s="1133"/>
      <c r="B5889" s="1136"/>
      <c r="C5889" s="1138"/>
    </row>
    <row r="5890" spans="1:3">
      <c r="A5890" s="1133"/>
      <c r="B5890" s="1136"/>
      <c r="C5890" s="1138"/>
    </row>
    <row r="5891" spans="1:3">
      <c r="A5891" s="1133"/>
      <c r="B5891" s="1136"/>
      <c r="C5891" s="1138"/>
    </row>
    <row r="5892" spans="1:3">
      <c r="A5892" s="1133"/>
      <c r="B5892" s="1136"/>
      <c r="C5892" s="1138"/>
    </row>
    <row r="5893" spans="1:3">
      <c r="A5893" s="1133"/>
      <c r="B5893" s="1136"/>
      <c r="C5893" s="1138"/>
    </row>
    <row r="5894" spans="1:3">
      <c r="A5894" s="1133"/>
      <c r="B5894" s="1136"/>
      <c r="C5894" s="1138"/>
    </row>
    <row r="5895" spans="1:3">
      <c r="A5895" s="1133"/>
      <c r="B5895" s="1136"/>
      <c r="C5895" s="1138"/>
    </row>
    <row r="5896" spans="1:3">
      <c r="A5896" s="1133"/>
      <c r="B5896" s="1136"/>
      <c r="C5896" s="1138"/>
    </row>
    <row r="5897" spans="1:3">
      <c r="A5897" s="1133"/>
      <c r="B5897" s="1136"/>
      <c r="C5897" s="1138"/>
    </row>
    <row r="5898" spans="1:3">
      <c r="A5898" s="1133"/>
      <c r="B5898" s="1136"/>
      <c r="C5898" s="1138"/>
    </row>
    <row r="5899" spans="1:3">
      <c r="A5899" s="1133"/>
      <c r="B5899" s="1136"/>
      <c r="C5899" s="1138"/>
    </row>
    <row r="5900" spans="1:3">
      <c r="A5900" s="1133"/>
      <c r="B5900" s="1136"/>
      <c r="C5900" s="1138"/>
    </row>
    <row r="5901" spans="1:3">
      <c r="A5901" s="1133"/>
      <c r="B5901" s="1136"/>
      <c r="C5901" s="1138"/>
    </row>
    <row r="5902" spans="1:3">
      <c r="A5902" s="1133"/>
      <c r="B5902" s="1136"/>
      <c r="C5902" s="1138"/>
    </row>
    <row r="5903" spans="1:3">
      <c r="A5903" s="1133"/>
      <c r="B5903" s="1136"/>
      <c r="C5903" s="1138"/>
    </row>
    <row r="5904" spans="1:3">
      <c r="A5904" s="1133"/>
      <c r="B5904" s="1136"/>
      <c r="C5904" s="1138"/>
    </row>
    <row r="5905" spans="1:3">
      <c r="A5905" s="1133"/>
      <c r="B5905" s="1136"/>
      <c r="C5905" s="1138"/>
    </row>
    <row r="5906" spans="1:3">
      <c r="A5906" s="1133"/>
      <c r="B5906" s="1136"/>
      <c r="C5906" s="1138"/>
    </row>
    <row r="5907" spans="1:3">
      <c r="A5907" s="1133"/>
      <c r="B5907" s="1136"/>
      <c r="C5907" s="1138"/>
    </row>
    <row r="5908" spans="1:3">
      <c r="A5908" s="1133"/>
      <c r="B5908" s="1136"/>
      <c r="C5908" s="1138"/>
    </row>
    <row r="5909" spans="1:3">
      <c r="A5909" s="1133"/>
      <c r="B5909" s="1136"/>
      <c r="C5909" s="1138"/>
    </row>
    <row r="5910" spans="1:3">
      <c r="A5910" s="1133"/>
      <c r="B5910" s="1136"/>
      <c r="C5910" s="1138"/>
    </row>
    <row r="5911" spans="1:3">
      <c r="A5911" s="1133"/>
      <c r="B5911" s="1136"/>
      <c r="C5911" s="1138"/>
    </row>
    <row r="5912" spans="1:3">
      <c r="A5912" s="1133"/>
      <c r="B5912" s="1136"/>
      <c r="C5912" s="1138"/>
    </row>
    <row r="5913" spans="1:3">
      <c r="A5913" s="1133"/>
      <c r="B5913" s="1136"/>
      <c r="C5913" s="1138"/>
    </row>
    <row r="5914" spans="1:3">
      <c r="A5914" s="1133"/>
      <c r="B5914" s="1136"/>
      <c r="C5914" s="1138"/>
    </row>
    <row r="5915" spans="1:3">
      <c r="A5915" s="1133"/>
      <c r="B5915" s="1136"/>
      <c r="C5915" s="1138"/>
    </row>
    <row r="5916" spans="1:3">
      <c r="A5916" s="1133"/>
      <c r="B5916" s="1136"/>
      <c r="C5916" s="1138"/>
    </row>
    <row r="5917" spans="1:3">
      <c r="A5917" s="1133"/>
      <c r="B5917" s="1136"/>
      <c r="C5917" s="1138"/>
    </row>
    <row r="5918" spans="1:3">
      <c r="A5918" s="1133"/>
      <c r="B5918" s="1136"/>
      <c r="C5918" s="1138"/>
    </row>
    <row r="5919" spans="1:3">
      <c r="A5919" s="1133"/>
      <c r="B5919" s="1136"/>
      <c r="C5919" s="1138"/>
    </row>
    <row r="5920" spans="1:3">
      <c r="A5920" s="1133"/>
      <c r="B5920" s="1136"/>
      <c r="C5920" s="1138"/>
    </row>
    <row r="5921" spans="1:3">
      <c r="A5921" s="1133"/>
      <c r="B5921" s="1136"/>
      <c r="C5921" s="1138"/>
    </row>
    <row r="5922" spans="1:3">
      <c r="A5922" s="1133"/>
      <c r="B5922" s="1136"/>
      <c r="C5922" s="1138"/>
    </row>
    <row r="5923" spans="1:3">
      <c r="A5923" s="1133"/>
      <c r="B5923" s="1136"/>
      <c r="C5923" s="1138"/>
    </row>
    <row r="5924" spans="1:3">
      <c r="A5924" s="1133"/>
      <c r="B5924" s="1136"/>
      <c r="C5924" s="1138"/>
    </row>
    <row r="5925" spans="1:3">
      <c r="A5925" s="1133"/>
      <c r="B5925" s="1136"/>
      <c r="C5925" s="1138"/>
    </row>
    <row r="5926" spans="1:3">
      <c r="A5926" s="1133"/>
      <c r="B5926" s="1136"/>
      <c r="C5926" s="1138"/>
    </row>
    <row r="5927" spans="1:3">
      <c r="A5927" s="1133"/>
      <c r="B5927" s="1136"/>
      <c r="C5927" s="1138"/>
    </row>
    <row r="5928" spans="1:3">
      <c r="A5928" s="1133"/>
      <c r="B5928" s="1136"/>
      <c r="C5928" s="1138"/>
    </row>
    <row r="5929" spans="1:3">
      <c r="A5929" s="1133"/>
      <c r="B5929" s="1136"/>
      <c r="C5929" s="1138"/>
    </row>
    <row r="5930" spans="1:3">
      <c r="A5930" s="1133"/>
      <c r="B5930" s="1136"/>
      <c r="C5930" s="1138"/>
    </row>
    <row r="5931" spans="1:3">
      <c r="A5931" s="1133"/>
      <c r="B5931" s="1136"/>
      <c r="C5931" s="1138"/>
    </row>
    <row r="5932" spans="1:3">
      <c r="A5932" s="1133"/>
      <c r="B5932" s="1136"/>
      <c r="C5932" s="1138"/>
    </row>
    <row r="5933" spans="1:3">
      <c r="A5933" s="1133"/>
      <c r="B5933" s="1136"/>
      <c r="C5933" s="1138"/>
    </row>
    <row r="5934" spans="1:3">
      <c r="A5934" s="1133"/>
      <c r="B5934" s="1136"/>
      <c r="C5934" s="1138"/>
    </row>
    <row r="5935" spans="1:3">
      <c r="A5935" s="1133"/>
      <c r="B5935" s="1136"/>
      <c r="C5935" s="1138"/>
    </row>
    <row r="5936" spans="1:3">
      <c r="A5936" s="1133"/>
      <c r="B5936" s="1136"/>
      <c r="C5936" s="1138"/>
    </row>
    <row r="5937" spans="1:3">
      <c r="A5937" s="1133"/>
      <c r="B5937" s="1136"/>
      <c r="C5937" s="1138"/>
    </row>
    <row r="5938" spans="1:3">
      <c r="A5938" s="1133"/>
      <c r="B5938" s="1136"/>
      <c r="C5938" s="1138"/>
    </row>
    <row r="5939" spans="1:3">
      <c r="A5939" s="1133"/>
      <c r="B5939" s="1136"/>
      <c r="C5939" s="1138"/>
    </row>
    <row r="5940" spans="1:3">
      <c r="A5940" s="1133"/>
      <c r="B5940" s="1136"/>
      <c r="C5940" s="1138"/>
    </row>
    <row r="5941" spans="1:3">
      <c r="A5941" s="1133"/>
      <c r="B5941" s="1136"/>
      <c r="C5941" s="1138"/>
    </row>
    <row r="5942" spans="1:3">
      <c r="A5942" s="1133"/>
      <c r="B5942" s="1136"/>
      <c r="C5942" s="1138"/>
    </row>
    <row r="5943" spans="1:3">
      <c r="A5943" s="1133"/>
      <c r="B5943" s="1136"/>
      <c r="C5943" s="1138"/>
    </row>
    <row r="5944" spans="1:3">
      <c r="A5944" s="1133"/>
      <c r="B5944" s="1136"/>
      <c r="C5944" s="1138"/>
    </row>
    <row r="5945" spans="1:3">
      <c r="A5945" s="1133"/>
      <c r="B5945" s="1136"/>
      <c r="C5945" s="1138"/>
    </row>
    <row r="5946" spans="1:3">
      <c r="A5946" s="1133"/>
      <c r="B5946" s="1136"/>
      <c r="C5946" s="1138"/>
    </row>
    <row r="5947" spans="1:3">
      <c r="A5947" s="1133"/>
      <c r="B5947" s="1136"/>
      <c r="C5947" s="1138"/>
    </row>
    <row r="5948" spans="1:3">
      <c r="A5948" s="1133"/>
      <c r="B5948" s="1136"/>
      <c r="C5948" s="1138"/>
    </row>
    <row r="5949" spans="1:3">
      <c r="A5949" s="1133"/>
      <c r="B5949" s="1136"/>
      <c r="C5949" s="1138"/>
    </row>
    <row r="5950" spans="1:3">
      <c r="A5950" s="1133"/>
      <c r="B5950" s="1136"/>
      <c r="C5950" s="1138"/>
    </row>
    <row r="5951" spans="1:3">
      <c r="A5951" s="1133"/>
      <c r="B5951" s="1136"/>
      <c r="C5951" s="1138"/>
    </row>
    <row r="5952" spans="1:3">
      <c r="A5952" s="1133"/>
      <c r="B5952" s="1136"/>
      <c r="C5952" s="1138"/>
    </row>
    <row r="5953" spans="1:3">
      <c r="A5953" s="1133"/>
      <c r="B5953" s="1136"/>
      <c r="C5953" s="1138"/>
    </row>
    <row r="5954" spans="1:3">
      <c r="A5954" s="1133"/>
      <c r="B5954" s="1136"/>
      <c r="C5954" s="1138"/>
    </row>
    <row r="5955" spans="1:3">
      <c r="A5955" s="1133"/>
      <c r="B5955" s="1136"/>
      <c r="C5955" s="1138"/>
    </row>
    <row r="5956" spans="1:3">
      <c r="A5956" s="1133"/>
      <c r="B5956" s="1136"/>
      <c r="C5956" s="1138"/>
    </row>
    <row r="5957" spans="1:3">
      <c r="A5957" s="1133"/>
      <c r="B5957" s="1136"/>
      <c r="C5957" s="1138"/>
    </row>
    <row r="5958" spans="1:3">
      <c r="A5958" s="1133"/>
      <c r="B5958" s="1136"/>
      <c r="C5958" s="1138"/>
    </row>
    <row r="5959" spans="1:3">
      <c r="A5959" s="1133"/>
      <c r="B5959" s="1136"/>
      <c r="C5959" s="1138"/>
    </row>
    <row r="5960" spans="1:3">
      <c r="A5960" s="1133"/>
      <c r="B5960" s="1136"/>
      <c r="C5960" s="1138"/>
    </row>
    <row r="5961" spans="1:3">
      <c r="A5961" s="1133"/>
      <c r="B5961" s="1136"/>
      <c r="C5961" s="1138"/>
    </row>
    <row r="5962" spans="1:3">
      <c r="A5962" s="1133"/>
      <c r="B5962" s="1136"/>
      <c r="C5962" s="1138"/>
    </row>
    <row r="5963" spans="1:3">
      <c r="A5963" s="1133"/>
      <c r="B5963" s="1136"/>
      <c r="C5963" s="1138"/>
    </row>
    <row r="5964" spans="1:3">
      <c r="A5964" s="1133"/>
      <c r="B5964" s="1136"/>
      <c r="C5964" s="1138"/>
    </row>
    <row r="5965" spans="1:3">
      <c r="A5965" s="1133"/>
      <c r="B5965" s="1136"/>
      <c r="C5965" s="1138"/>
    </row>
    <row r="5966" spans="1:3">
      <c r="A5966" s="1133"/>
      <c r="B5966" s="1136"/>
      <c r="C5966" s="1138"/>
    </row>
    <row r="5967" spans="1:3">
      <c r="A5967" s="1133"/>
      <c r="B5967" s="1136"/>
      <c r="C5967" s="1138"/>
    </row>
    <row r="5968" spans="1:3">
      <c r="A5968" s="1133"/>
      <c r="B5968" s="1136"/>
      <c r="C5968" s="1138"/>
    </row>
    <row r="5969" spans="1:3">
      <c r="A5969" s="1133"/>
      <c r="B5969" s="1136"/>
      <c r="C5969" s="1138"/>
    </row>
    <row r="5970" spans="1:3">
      <c r="A5970" s="1133"/>
      <c r="B5970" s="1136"/>
      <c r="C5970" s="1138"/>
    </row>
    <row r="5971" spans="1:3">
      <c r="A5971" s="1133"/>
      <c r="B5971" s="1136"/>
      <c r="C5971" s="1138"/>
    </row>
    <row r="5972" spans="1:3">
      <c r="A5972" s="1133"/>
      <c r="B5972" s="1136"/>
      <c r="C5972" s="1138"/>
    </row>
    <row r="5973" spans="1:3">
      <c r="A5973" s="1133"/>
      <c r="B5973" s="1136"/>
      <c r="C5973" s="1138"/>
    </row>
    <row r="5974" spans="1:3">
      <c r="A5974" s="1133"/>
      <c r="B5974" s="1136"/>
      <c r="C5974" s="1138"/>
    </row>
    <row r="5975" spans="1:3">
      <c r="A5975" s="1133"/>
      <c r="B5975" s="1136"/>
      <c r="C5975" s="1138"/>
    </row>
    <row r="5976" spans="1:3">
      <c r="A5976" s="1133"/>
      <c r="B5976" s="1136"/>
      <c r="C5976" s="1138"/>
    </row>
    <row r="5977" spans="1:3">
      <c r="A5977" s="1133"/>
      <c r="B5977" s="1136"/>
      <c r="C5977" s="1138"/>
    </row>
    <row r="5978" spans="1:3">
      <c r="A5978" s="1133"/>
      <c r="B5978" s="1136"/>
      <c r="C5978" s="1138"/>
    </row>
    <row r="5979" spans="1:3">
      <c r="A5979" s="1133"/>
      <c r="B5979" s="1136"/>
      <c r="C5979" s="1138"/>
    </row>
    <row r="5980" spans="1:3">
      <c r="A5980" s="1133"/>
      <c r="B5980" s="1136"/>
      <c r="C5980" s="1138"/>
    </row>
    <row r="5981" spans="1:3">
      <c r="A5981" s="1133"/>
      <c r="B5981" s="1136"/>
      <c r="C5981" s="1138"/>
    </row>
    <row r="5982" spans="1:3">
      <c r="A5982" s="1133"/>
      <c r="B5982" s="1136"/>
      <c r="C5982" s="1138"/>
    </row>
    <row r="5983" spans="1:3">
      <c r="A5983" s="1133"/>
      <c r="B5983" s="1136"/>
      <c r="C5983" s="1138"/>
    </row>
    <row r="5984" spans="1:3">
      <c r="A5984" s="1133"/>
      <c r="B5984" s="1136"/>
      <c r="C5984" s="1138"/>
    </row>
    <row r="5985" spans="1:3">
      <c r="A5985" s="1133"/>
      <c r="B5985" s="1136"/>
      <c r="C5985" s="1138"/>
    </row>
    <row r="5986" spans="1:3">
      <c r="A5986" s="1133"/>
      <c r="B5986" s="1136"/>
      <c r="C5986" s="1138"/>
    </row>
    <row r="5987" spans="1:3">
      <c r="A5987" s="1133"/>
      <c r="B5987" s="1136"/>
      <c r="C5987" s="1138"/>
    </row>
    <row r="5988" spans="1:3">
      <c r="A5988" s="1133"/>
      <c r="B5988" s="1136"/>
      <c r="C5988" s="1138"/>
    </row>
    <row r="5989" spans="1:3">
      <c r="A5989" s="1133"/>
      <c r="B5989" s="1136"/>
      <c r="C5989" s="1138"/>
    </row>
    <row r="5990" spans="1:3">
      <c r="A5990" s="1133"/>
      <c r="B5990" s="1136"/>
      <c r="C5990" s="1138"/>
    </row>
    <row r="5991" spans="1:3">
      <c r="A5991" s="1133"/>
      <c r="B5991" s="1136"/>
      <c r="C5991" s="1138"/>
    </row>
    <row r="5992" spans="1:3">
      <c r="A5992" s="1133"/>
      <c r="B5992" s="1136"/>
      <c r="C5992" s="1138"/>
    </row>
    <row r="5993" spans="1:3">
      <c r="A5993" s="1133"/>
      <c r="B5993" s="1136"/>
      <c r="C5993" s="1138"/>
    </row>
    <row r="5994" spans="1:3">
      <c r="A5994" s="1133"/>
      <c r="B5994" s="1136"/>
      <c r="C5994" s="1138"/>
    </row>
    <row r="5995" spans="1:3">
      <c r="A5995" s="1133"/>
      <c r="B5995" s="1136"/>
      <c r="C5995" s="1138"/>
    </row>
    <row r="5996" spans="1:3">
      <c r="A5996" s="1133"/>
      <c r="B5996" s="1136"/>
      <c r="C5996" s="1138"/>
    </row>
    <row r="5997" spans="1:3">
      <c r="A5997" s="1133"/>
      <c r="B5997" s="1136"/>
      <c r="C5997" s="1138"/>
    </row>
    <row r="5998" spans="1:3">
      <c r="A5998" s="1133"/>
      <c r="B5998" s="1136"/>
      <c r="C5998" s="1138"/>
    </row>
    <row r="5999" spans="1:3">
      <c r="A5999" s="1133"/>
      <c r="B5999" s="1136"/>
      <c r="C5999" s="1138"/>
    </row>
    <row r="6000" spans="1:3">
      <c r="A6000" s="1133"/>
      <c r="B6000" s="1136"/>
      <c r="C6000" s="1138"/>
    </row>
    <row r="6001" spans="1:3">
      <c r="A6001" s="1133"/>
      <c r="B6001" s="1136"/>
      <c r="C6001" s="1138"/>
    </row>
    <row r="6002" spans="1:3">
      <c r="A6002" s="1133"/>
      <c r="B6002" s="1136"/>
      <c r="C6002" s="1138"/>
    </row>
    <row r="6003" spans="1:3">
      <c r="A6003" s="1133"/>
      <c r="B6003" s="1136"/>
      <c r="C6003" s="1138"/>
    </row>
    <row r="6004" spans="1:3">
      <c r="A6004" s="1133"/>
      <c r="B6004" s="1136"/>
      <c r="C6004" s="1138"/>
    </row>
    <row r="6005" spans="1:3">
      <c r="A6005" s="1133"/>
      <c r="B6005" s="1136"/>
      <c r="C6005" s="1138"/>
    </row>
    <row r="6006" spans="1:3">
      <c r="A6006" s="1133"/>
      <c r="B6006" s="1136"/>
      <c r="C6006" s="1138"/>
    </row>
    <row r="6007" spans="1:3">
      <c r="A6007" s="1133"/>
      <c r="B6007" s="1136"/>
      <c r="C6007" s="1138"/>
    </row>
    <row r="6008" spans="1:3">
      <c r="A6008" s="1133"/>
      <c r="B6008" s="1136"/>
      <c r="C6008" s="1138"/>
    </row>
    <row r="6009" spans="1:3">
      <c r="A6009" s="1133"/>
      <c r="B6009" s="1136"/>
      <c r="C6009" s="1138"/>
    </row>
    <row r="6010" spans="1:3">
      <c r="A6010" s="1133"/>
      <c r="B6010" s="1136"/>
      <c r="C6010" s="1138"/>
    </row>
    <row r="6011" spans="1:3">
      <c r="A6011" s="1133"/>
      <c r="B6011" s="1136"/>
      <c r="C6011" s="1138"/>
    </row>
    <row r="6012" spans="1:3">
      <c r="A6012" s="1133"/>
      <c r="B6012" s="1136"/>
      <c r="C6012" s="1138"/>
    </row>
    <row r="6013" spans="1:3">
      <c r="A6013" s="1133"/>
      <c r="B6013" s="1136"/>
      <c r="C6013" s="1138"/>
    </row>
    <row r="6014" spans="1:3">
      <c r="A6014" s="1133"/>
      <c r="B6014" s="1136"/>
      <c r="C6014" s="1138"/>
    </row>
    <row r="6015" spans="1:3">
      <c r="A6015" s="1133"/>
      <c r="B6015" s="1136"/>
      <c r="C6015" s="1138"/>
    </row>
    <row r="6016" spans="1:3">
      <c r="A6016" s="1133"/>
      <c r="B6016" s="1136"/>
      <c r="C6016" s="1138"/>
    </row>
    <row r="6017" spans="1:3">
      <c r="A6017" s="1133"/>
      <c r="B6017" s="1136"/>
      <c r="C6017" s="1138"/>
    </row>
    <row r="6018" spans="1:3">
      <c r="A6018" s="1133"/>
      <c r="B6018" s="1136"/>
      <c r="C6018" s="1138"/>
    </row>
    <row r="6019" spans="1:3">
      <c r="A6019" s="1133"/>
      <c r="B6019" s="1136"/>
      <c r="C6019" s="1138"/>
    </row>
    <row r="6020" spans="1:3">
      <c r="A6020" s="1133"/>
      <c r="B6020" s="1136"/>
      <c r="C6020" s="1138"/>
    </row>
    <row r="6021" spans="1:3">
      <c r="A6021" s="1133"/>
      <c r="B6021" s="1136"/>
      <c r="C6021" s="1138"/>
    </row>
    <row r="6022" spans="1:3">
      <c r="A6022" s="1133"/>
      <c r="B6022" s="1136"/>
      <c r="C6022" s="1138"/>
    </row>
    <row r="6023" spans="1:3">
      <c r="A6023" s="1133"/>
      <c r="B6023" s="1136"/>
      <c r="C6023" s="1138"/>
    </row>
    <row r="6024" spans="1:3">
      <c r="A6024" s="1133"/>
      <c r="B6024" s="1136"/>
      <c r="C6024" s="1138"/>
    </row>
    <row r="6025" spans="1:3">
      <c r="A6025" s="1133"/>
      <c r="B6025" s="1136"/>
      <c r="C6025" s="1138"/>
    </row>
    <row r="6026" spans="1:3">
      <c r="A6026" s="1133"/>
      <c r="B6026" s="1136"/>
      <c r="C6026" s="1138"/>
    </row>
    <row r="6027" spans="1:3">
      <c r="A6027" s="1133"/>
      <c r="B6027" s="1136"/>
      <c r="C6027" s="1138"/>
    </row>
    <row r="6028" spans="1:3">
      <c r="A6028" s="1133"/>
      <c r="B6028" s="1136"/>
      <c r="C6028" s="1138"/>
    </row>
    <row r="6029" spans="1:3">
      <c r="A6029" s="1133"/>
      <c r="B6029" s="1136"/>
      <c r="C6029" s="1138"/>
    </row>
    <row r="6030" spans="1:3">
      <c r="A6030" s="1133"/>
      <c r="B6030" s="1136"/>
      <c r="C6030" s="1138"/>
    </row>
    <row r="6031" spans="1:3">
      <c r="A6031" s="1133"/>
      <c r="B6031" s="1136"/>
      <c r="C6031" s="1138"/>
    </row>
    <row r="6032" spans="1:3">
      <c r="A6032" s="1133"/>
      <c r="B6032" s="1136"/>
      <c r="C6032" s="1138"/>
    </row>
    <row r="6033" spans="1:3">
      <c r="A6033" s="1133"/>
      <c r="B6033" s="1136"/>
      <c r="C6033" s="1138"/>
    </row>
    <row r="6034" spans="1:3">
      <c r="A6034" s="1133"/>
      <c r="B6034" s="1136"/>
      <c r="C6034" s="1138"/>
    </row>
    <row r="6035" spans="1:3">
      <c r="A6035" s="1133"/>
      <c r="B6035" s="1136"/>
      <c r="C6035" s="1138"/>
    </row>
    <row r="6036" spans="1:3">
      <c r="A6036" s="1133"/>
      <c r="B6036" s="1136"/>
      <c r="C6036" s="1138"/>
    </row>
    <row r="6037" spans="1:3">
      <c r="A6037" s="1133"/>
      <c r="B6037" s="1136"/>
      <c r="C6037" s="1138"/>
    </row>
    <row r="6038" spans="1:3">
      <c r="A6038" s="1133"/>
      <c r="B6038" s="1136"/>
      <c r="C6038" s="1138"/>
    </row>
    <row r="6039" spans="1:3">
      <c r="A6039" s="1133"/>
      <c r="B6039" s="1136"/>
      <c r="C6039" s="1138"/>
    </row>
    <row r="6040" spans="1:3">
      <c r="A6040" s="1133"/>
      <c r="B6040" s="1136"/>
      <c r="C6040" s="1138"/>
    </row>
    <row r="6041" spans="1:3">
      <c r="A6041" s="1133"/>
      <c r="B6041" s="1136"/>
      <c r="C6041" s="1138"/>
    </row>
    <row r="6042" spans="1:3">
      <c r="A6042" s="1133"/>
      <c r="B6042" s="1136"/>
      <c r="C6042" s="1138"/>
    </row>
    <row r="6043" spans="1:3">
      <c r="A6043" s="1133"/>
      <c r="B6043" s="1136"/>
      <c r="C6043" s="1138"/>
    </row>
    <row r="6044" spans="1:3">
      <c r="A6044" s="1133"/>
      <c r="B6044" s="1136"/>
      <c r="C6044" s="1138"/>
    </row>
    <row r="6045" spans="1:3">
      <c r="A6045" s="1133"/>
      <c r="B6045" s="1136"/>
      <c r="C6045" s="1138"/>
    </row>
    <row r="6046" spans="1:3">
      <c r="A6046" s="1133"/>
      <c r="B6046" s="1136"/>
      <c r="C6046" s="1138"/>
    </row>
    <row r="6047" spans="1:3">
      <c r="A6047" s="1133"/>
      <c r="B6047" s="1136"/>
      <c r="C6047" s="1138"/>
    </row>
    <row r="6048" spans="1:3">
      <c r="A6048" s="1133"/>
      <c r="B6048" s="1136"/>
      <c r="C6048" s="1138"/>
    </row>
    <row r="6049" spans="1:3">
      <c r="A6049" s="1133"/>
      <c r="B6049" s="1136"/>
      <c r="C6049" s="1138"/>
    </row>
    <row r="6050" spans="1:3">
      <c r="A6050" s="1133"/>
      <c r="B6050" s="1136"/>
      <c r="C6050" s="1138"/>
    </row>
    <row r="6051" spans="1:3">
      <c r="A6051" s="1133"/>
      <c r="B6051" s="1136"/>
      <c r="C6051" s="1138"/>
    </row>
    <row r="6052" spans="1:3">
      <c r="A6052" s="1133"/>
      <c r="B6052" s="1136"/>
      <c r="C6052" s="1138"/>
    </row>
    <row r="6053" spans="1:3">
      <c r="A6053" s="1133"/>
      <c r="B6053" s="1136"/>
      <c r="C6053" s="1138"/>
    </row>
    <row r="6054" spans="1:3">
      <c r="A6054" s="1133"/>
      <c r="B6054" s="1136"/>
      <c r="C6054" s="1138"/>
    </row>
    <row r="6055" spans="1:3">
      <c r="A6055" s="1133"/>
      <c r="B6055" s="1136"/>
      <c r="C6055" s="1138"/>
    </row>
    <row r="6056" spans="1:3">
      <c r="A6056" s="1133"/>
      <c r="B6056" s="1136"/>
      <c r="C6056" s="1138"/>
    </row>
    <row r="6057" spans="1:3">
      <c r="A6057" s="1133"/>
      <c r="B6057" s="1136"/>
      <c r="C6057" s="1138"/>
    </row>
    <row r="6058" spans="1:3">
      <c r="A6058" s="1133"/>
      <c r="B6058" s="1136"/>
      <c r="C6058" s="1138"/>
    </row>
    <row r="6059" spans="1:3">
      <c r="A6059" s="1133"/>
      <c r="B6059" s="1136"/>
      <c r="C6059" s="1138"/>
    </row>
    <row r="6060" spans="1:3">
      <c r="A6060" s="1133"/>
      <c r="B6060" s="1136"/>
      <c r="C6060" s="1138"/>
    </row>
    <row r="6061" spans="1:3">
      <c r="A6061" s="1133"/>
      <c r="B6061" s="1136"/>
      <c r="C6061" s="1138"/>
    </row>
    <row r="6062" spans="1:3">
      <c r="A6062" s="1133"/>
      <c r="B6062" s="1136"/>
      <c r="C6062" s="1138"/>
    </row>
    <row r="6063" spans="1:3">
      <c r="A6063" s="1133"/>
      <c r="B6063" s="1136"/>
      <c r="C6063" s="1138"/>
    </row>
    <row r="6064" spans="1:3">
      <c r="A6064" s="1133"/>
      <c r="B6064" s="1136"/>
      <c r="C6064" s="1138"/>
    </row>
    <row r="6065" spans="1:3">
      <c r="A6065" s="1133"/>
      <c r="B6065" s="1136"/>
      <c r="C6065" s="1138"/>
    </row>
    <row r="6066" spans="1:3">
      <c r="A6066" s="1133"/>
      <c r="B6066" s="1136"/>
      <c r="C6066" s="1138"/>
    </row>
    <row r="6067" spans="1:3">
      <c r="A6067" s="1133"/>
      <c r="B6067" s="1136"/>
      <c r="C6067" s="1138"/>
    </row>
    <row r="6068" spans="1:3">
      <c r="A6068" s="1133"/>
      <c r="B6068" s="1136"/>
      <c r="C6068" s="1138"/>
    </row>
    <row r="6069" spans="1:3">
      <c r="A6069" s="1133"/>
      <c r="B6069" s="1136"/>
      <c r="C6069" s="1138"/>
    </row>
    <row r="6070" spans="1:3">
      <c r="A6070" s="1133"/>
      <c r="B6070" s="1136"/>
      <c r="C6070" s="1138"/>
    </row>
    <row r="6071" spans="1:3">
      <c r="A6071" s="1133"/>
      <c r="B6071" s="1136"/>
      <c r="C6071" s="1138"/>
    </row>
    <row r="6072" spans="1:3">
      <c r="A6072" s="1133"/>
      <c r="B6072" s="1136"/>
      <c r="C6072" s="1138"/>
    </row>
    <row r="6073" spans="1:3">
      <c r="A6073" s="1133"/>
      <c r="B6073" s="1136"/>
      <c r="C6073" s="1138"/>
    </row>
    <row r="6074" spans="1:3">
      <c r="A6074" s="1133"/>
      <c r="B6074" s="1136"/>
      <c r="C6074" s="1138"/>
    </row>
    <row r="6075" spans="1:3">
      <c r="A6075" s="1133"/>
      <c r="B6075" s="1136"/>
      <c r="C6075" s="1138"/>
    </row>
    <row r="6076" spans="1:3">
      <c r="A6076" s="1133"/>
      <c r="B6076" s="1136"/>
      <c r="C6076" s="1138"/>
    </row>
    <row r="6077" spans="1:3">
      <c r="A6077" s="1133"/>
      <c r="B6077" s="1136"/>
      <c r="C6077" s="1138"/>
    </row>
    <row r="6078" spans="1:3">
      <c r="A6078" s="1133"/>
      <c r="B6078" s="1136"/>
      <c r="C6078" s="1138"/>
    </row>
    <row r="6079" spans="1:3">
      <c r="A6079" s="1133"/>
      <c r="B6079" s="1136"/>
      <c r="C6079" s="1138"/>
    </row>
    <row r="6080" spans="1:3">
      <c r="A6080" s="1133"/>
      <c r="B6080" s="1136"/>
      <c r="C6080" s="1138"/>
    </row>
    <row r="6081" spans="1:3">
      <c r="A6081" s="1133"/>
      <c r="B6081" s="1136"/>
      <c r="C6081" s="1138"/>
    </row>
    <row r="6082" spans="1:3">
      <c r="A6082" s="1133"/>
      <c r="B6082" s="1136"/>
      <c r="C6082" s="1138"/>
    </row>
    <row r="6083" spans="1:3">
      <c r="A6083" s="1133"/>
      <c r="B6083" s="1136"/>
      <c r="C6083" s="1138"/>
    </row>
    <row r="6084" spans="1:3">
      <c r="A6084" s="1133"/>
      <c r="B6084" s="1136"/>
      <c r="C6084" s="1138"/>
    </row>
    <row r="6085" spans="1:3">
      <c r="A6085" s="1133"/>
      <c r="B6085" s="1136"/>
      <c r="C6085" s="1138"/>
    </row>
    <row r="6086" spans="1:3">
      <c r="A6086" s="1133"/>
      <c r="B6086" s="1136"/>
      <c r="C6086" s="1138"/>
    </row>
    <row r="6087" spans="1:3">
      <c r="A6087" s="1133"/>
      <c r="B6087" s="1136"/>
      <c r="C6087" s="1138"/>
    </row>
    <row r="6088" spans="1:3">
      <c r="A6088" s="1133"/>
      <c r="B6088" s="1136"/>
      <c r="C6088" s="1138"/>
    </row>
    <row r="6089" spans="1:3">
      <c r="A6089" s="1133"/>
      <c r="B6089" s="1136"/>
      <c r="C6089" s="1138"/>
    </row>
    <row r="6090" spans="1:3">
      <c r="A6090" s="1133"/>
      <c r="B6090" s="1136"/>
      <c r="C6090" s="1138"/>
    </row>
    <row r="6091" spans="1:3">
      <c r="A6091" s="1133"/>
      <c r="B6091" s="1136"/>
      <c r="C6091" s="1138"/>
    </row>
    <row r="6092" spans="1:3">
      <c r="A6092" s="1133"/>
      <c r="B6092" s="1136"/>
      <c r="C6092" s="1138"/>
    </row>
    <row r="6093" spans="1:3">
      <c r="A6093" s="1133"/>
      <c r="B6093" s="1136"/>
      <c r="C6093" s="1138"/>
    </row>
    <row r="6094" spans="1:3">
      <c r="A6094" s="1133"/>
      <c r="B6094" s="1136"/>
      <c r="C6094" s="1138"/>
    </row>
    <row r="6095" spans="1:3">
      <c r="A6095" s="1133"/>
      <c r="B6095" s="1136"/>
      <c r="C6095" s="1138"/>
    </row>
    <row r="6096" spans="1:3">
      <c r="A6096" s="1133"/>
      <c r="B6096" s="1136"/>
      <c r="C6096" s="1138"/>
    </row>
    <row r="6097" spans="1:3">
      <c r="A6097" s="1133"/>
      <c r="B6097" s="1136"/>
      <c r="C6097" s="1138"/>
    </row>
    <row r="6098" spans="1:3">
      <c r="A6098" s="1133"/>
      <c r="B6098" s="1136"/>
      <c r="C6098" s="1138"/>
    </row>
    <row r="6099" spans="1:3">
      <c r="A6099" s="1133"/>
      <c r="B6099" s="1136"/>
      <c r="C6099" s="1138"/>
    </row>
    <row r="6100" spans="1:3">
      <c r="A6100" s="1133"/>
      <c r="B6100" s="1136"/>
      <c r="C6100" s="1138"/>
    </row>
    <row r="6101" spans="1:3">
      <c r="A6101" s="1133"/>
      <c r="B6101" s="1136"/>
      <c r="C6101" s="1138"/>
    </row>
    <row r="6102" spans="1:3">
      <c r="A6102" s="1133"/>
      <c r="B6102" s="1136"/>
      <c r="C6102" s="1138"/>
    </row>
    <row r="6103" spans="1:3">
      <c r="A6103" s="1133"/>
      <c r="B6103" s="1136"/>
      <c r="C6103" s="1138"/>
    </row>
    <row r="6104" spans="1:3">
      <c r="A6104" s="1133"/>
      <c r="B6104" s="1136"/>
      <c r="C6104" s="1138"/>
    </row>
    <row r="6105" spans="1:3">
      <c r="A6105" s="1133"/>
      <c r="B6105" s="1136"/>
      <c r="C6105" s="1138"/>
    </row>
    <row r="6106" spans="1:3">
      <c r="A6106" s="1133"/>
      <c r="B6106" s="1136"/>
      <c r="C6106" s="1138"/>
    </row>
    <row r="6107" spans="1:3">
      <c r="A6107" s="1133"/>
      <c r="B6107" s="1136"/>
      <c r="C6107" s="1138"/>
    </row>
    <row r="6108" spans="1:3">
      <c r="A6108" s="1133"/>
      <c r="B6108" s="1136"/>
      <c r="C6108" s="1138"/>
    </row>
    <row r="6109" spans="1:3">
      <c r="A6109" s="1133"/>
      <c r="B6109" s="1136"/>
      <c r="C6109" s="1138"/>
    </row>
    <row r="6110" spans="1:3">
      <c r="A6110" s="1133"/>
      <c r="B6110" s="1136"/>
      <c r="C6110" s="1138"/>
    </row>
    <row r="6111" spans="1:3">
      <c r="A6111" s="1133"/>
      <c r="B6111" s="1136"/>
      <c r="C6111" s="1138"/>
    </row>
    <row r="6112" spans="1:3">
      <c r="A6112" s="1133"/>
      <c r="B6112" s="1136"/>
      <c r="C6112" s="1138"/>
    </row>
    <row r="6113" spans="1:3">
      <c r="A6113" s="1133"/>
      <c r="B6113" s="1136"/>
      <c r="C6113" s="1138"/>
    </row>
    <row r="6114" spans="1:3">
      <c r="A6114" s="1133"/>
      <c r="B6114" s="1136"/>
      <c r="C6114" s="1138"/>
    </row>
    <row r="6115" spans="1:3">
      <c r="A6115" s="1133"/>
      <c r="B6115" s="1136"/>
      <c r="C6115" s="1138"/>
    </row>
    <row r="6116" spans="1:3">
      <c r="A6116" s="1133"/>
      <c r="B6116" s="1136"/>
      <c r="C6116" s="1138"/>
    </row>
    <row r="6117" spans="1:3">
      <c r="A6117" s="1133"/>
      <c r="B6117" s="1136"/>
      <c r="C6117" s="1138"/>
    </row>
    <row r="6118" spans="1:3">
      <c r="A6118" s="1133"/>
      <c r="B6118" s="1136"/>
      <c r="C6118" s="1138"/>
    </row>
    <row r="6119" spans="1:3">
      <c r="A6119" s="1133"/>
      <c r="B6119" s="1136"/>
      <c r="C6119" s="1138"/>
    </row>
    <row r="6120" spans="1:3">
      <c r="A6120" s="1133"/>
      <c r="B6120" s="1136"/>
      <c r="C6120" s="1138"/>
    </row>
    <row r="6121" spans="1:3">
      <c r="A6121" s="1133"/>
      <c r="B6121" s="1136"/>
      <c r="C6121" s="1138"/>
    </row>
    <row r="6122" spans="1:3">
      <c r="A6122" s="1133"/>
      <c r="B6122" s="1136"/>
      <c r="C6122" s="1138"/>
    </row>
    <row r="6123" spans="1:3">
      <c r="A6123" s="1133"/>
      <c r="B6123" s="1136"/>
      <c r="C6123" s="1138"/>
    </row>
    <row r="6124" spans="1:3">
      <c r="A6124" s="1133"/>
      <c r="B6124" s="1136"/>
      <c r="C6124" s="1138"/>
    </row>
    <row r="6125" spans="1:3">
      <c r="A6125" s="1133"/>
      <c r="B6125" s="1136"/>
      <c r="C6125" s="1138"/>
    </row>
    <row r="6126" spans="1:3">
      <c r="A6126" s="1133"/>
      <c r="B6126" s="1136"/>
      <c r="C6126" s="1138"/>
    </row>
    <row r="6127" spans="1:3">
      <c r="A6127" s="1133"/>
      <c r="B6127" s="1136"/>
      <c r="C6127" s="1138"/>
    </row>
    <row r="6128" spans="1:3">
      <c r="A6128" s="1133"/>
      <c r="B6128" s="1136"/>
      <c r="C6128" s="1138"/>
    </row>
    <row r="6129" spans="1:3">
      <c r="A6129" s="1133"/>
      <c r="B6129" s="1136"/>
      <c r="C6129" s="1138"/>
    </row>
    <row r="6130" spans="1:3">
      <c r="A6130" s="1133"/>
      <c r="B6130" s="1136"/>
      <c r="C6130" s="1138"/>
    </row>
    <row r="6131" spans="1:3">
      <c r="A6131" s="1133"/>
      <c r="B6131" s="1136"/>
      <c r="C6131" s="1138"/>
    </row>
    <row r="6132" spans="1:3">
      <c r="A6132" s="1133"/>
      <c r="B6132" s="1136"/>
      <c r="C6132" s="1138"/>
    </row>
    <row r="6133" spans="1:3">
      <c r="A6133" s="1133"/>
      <c r="B6133" s="1136"/>
      <c r="C6133" s="1138"/>
    </row>
    <row r="6134" spans="1:3">
      <c r="A6134" s="1133"/>
      <c r="B6134" s="1136"/>
      <c r="C6134" s="1138"/>
    </row>
    <row r="6135" spans="1:3">
      <c r="A6135" s="1133"/>
      <c r="B6135" s="1136"/>
      <c r="C6135" s="1138"/>
    </row>
    <row r="6136" spans="1:3">
      <c r="A6136" s="1133"/>
      <c r="B6136" s="1136"/>
      <c r="C6136" s="1138"/>
    </row>
    <row r="6137" spans="1:3">
      <c r="A6137" s="1133"/>
      <c r="B6137" s="1136"/>
      <c r="C6137" s="1138"/>
    </row>
    <row r="6138" spans="1:3">
      <c r="A6138" s="1133"/>
      <c r="B6138" s="1136"/>
      <c r="C6138" s="1138"/>
    </row>
    <row r="6139" spans="1:3">
      <c r="A6139" s="1133"/>
      <c r="B6139" s="1136"/>
      <c r="C6139" s="1138"/>
    </row>
    <row r="6140" spans="1:3">
      <c r="A6140" s="1133"/>
      <c r="B6140" s="1136"/>
      <c r="C6140" s="1138"/>
    </row>
    <row r="6141" spans="1:3">
      <c r="A6141" s="1133"/>
      <c r="B6141" s="1136"/>
      <c r="C6141" s="1138"/>
    </row>
    <row r="6142" spans="1:3">
      <c r="A6142" s="1133"/>
      <c r="B6142" s="1136"/>
      <c r="C6142" s="1138"/>
    </row>
    <row r="6143" spans="1:3">
      <c r="A6143" s="1133"/>
      <c r="B6143" s="1136"/>
      <c r="C6143" s="1138"/>
    </row>
    <row r="6144" spans="1:3">
      <c r="A6144" s="1133"/>
      <c r="B6144" s="1136"/>
      <c r="C6144" s="1138"/>
    </row>
    <row r="6145" spans="1:3">
      <c r="A6145" s="1133"/>
      <c r="B6145" s="1136"/>
      <c r="C6145" s="1138"/>
    </row>
    <row r="6146" spans="1:3">
      <c r="A6146" s="1133"/>
      <c r="B6146" s="1136"/>
      <c r="C6146" s="1138"/>
    </row>
    <row r="6147" spans="1:3">
      <c r="A6147" s="1133"/>
      <c r="B6147" s="1136"/>
      <c r="C6147" s="1138"/>
    </row>
    <row r="6148" spans="1:3">
      <c r="A6148" s="1133"/>
      <c r="B6148" s="1136"/>
      <c r="C6148" s="1138"/>
    </row>
    <row r="6149" spans="1:3">
      <c r="A6149" s="1133"/>
      <c r="B6149" s="1136"/>
      <c r="C6149" s="1138"/>
    </row>
    <row r="6150" spans="1:3">
      <c r="A6150" s="1133"/>
      <c r="B6150" s="1136"/>
      <c r="C6150" s="1138"/>
    </row>
    <row r="6151" spans="1:3">
      <c r="A6151" s="1133"/>
      <c r="B6151" s="1136"/>
      <c r="C6151" s="1138"/>
    </row>
    <row r="6152" spans="1:3">
      <c r="A6152" s="1133"/>
      <c r="B6152" s="1136"/>
      <c r="C6152" s="1138"/>
    </row>
    <row r="6153" spans="1:3">
      <c r="A6153" s="1133"/>
      <c r="B6153" s="1136"/>
      <c r="C6153" s="1138"/>
    </row>
    <row r="6154" spans="1:3">
      <c r="A6154" s="1133"/>
      <c r="B6154" s="1136"/>
      <c r="C6154" s="1138"/>
    </row>
    <row r="6155" spans="1:3">
      <c r="A6155" s="1133"/>
      <c r="B6155" s="1136"/>
      <c r="C6155" s="1138"/>
    </row>
    <row r="6156" spans="1:3">
      <c r="A6156" s="1133"/>
      <c r="B6156" s="1136"/>
      <c r="C6156" s="1138"/>
    </row>
    <row r="6157" spans="1:3">
      <c r="A6157" s="1133"/>
      <c r="B6157" s="1136"/>
      <c r="C6157" s="1138"/>
    </row>
    <row r="6158" spans="1:3">
      <c r="A6158" s="1133"/>
      <c r="B6158" s="1136"/>
      <c r="C6158" s="1138"/>
    </row>
    <row r="6159" spans="1:3">
      <c r="A6159" s="1133"/>
      <c r="B6159" s="1136"/>
      <c r="C6159" s="1138"/>
    </row>
    <row r="6160" spans="1:3">
      <c r="A6160" s="1133"/>
      <c r="B6160" s="1136"/>
      <c r="C6160" s="1138"/>
    </row>
    <row r="6161" spans="1:3">
      <c r="A6161" s="1133"/>
      <c r="B6161" s="1136"/>
      <c r="C6161" s="1138"/>
    </row>
    <row r="6162" spans="1:3">
      <c r="A6162" s="1133"/>
      <c r="B6162" s="1136"/>
      <c r="C6162" s="1138"/>
    </row>
    <row r="6163" spans="1:3">
      <c r="A6163" s="1133"/>
      <c r="B6163" s="1136"/>
      <c r="C6163" s="1138"/>
    </row>
    <row r="6164" spans="1:3">
      <c r="A6164" s="1133"/>
      <c r="B6164" s="1136"/>
      <c r="C6164" s="1138"/>
    </row>
    <row r="6165" spans="1:3">
      <c r="A6165" s="1133"/>
      <c r="B6165" s="1136"/>
      <c r="C6165" s="1138"/>
    </row>
    <row r="6166" spans="1:3">
      <c r="A6166" s="1133"/>
      <c r="B6166" s="1136"/>
      <c r="C6166" s="1138"/>
    </row>
    <row r="6167" spans="1:3">
      <c r="A6167" s="1133"/>
      <c r="B6167" s="1136"/>
      <c r="C6167" s="1138"/>
    </row>
    <row r="6168" spans="1:3">
      <c r="A6168" s="1133"/>
      <c r="B6168" s="1136"/>
      <c r="C6168" s="1138"/>
    </row>
    <row r="6169" spans="1:3">
      <c r="A6169" s="1133"/>
      <c r="B6169" s="1136"/>
      <c r="C6169" s="1138"/>
    </row>
    <row r="6170" spans="1:3">
      <c r="A6170" s="1133"/>
      <c r="B6170" s="1136"/>
      <c r="C6170" s="1138"/>
    </row>
    <row r="6171" spans="1:3">
      <c r="A6171" s="1133"/>
      <c r="B6171" s="1136"/>
      <c r="C6171" s="1138"/>
    </row>
    <row r="6172" spans="1:3">
      <c r="A6172" s="1133"/>
      <c r="B6172" s="1136"/>
      <c r="C6172" s="1138"/>
    </row>
    <row r="6173" spans="1:3">
      <c r="A6173" s="1133"/>
      <c r="B6173" s="1136"/>
      <c r="C6173" s="1138"/>
    </row>
    <row r="6174" spans="1:3">
      <c r="A6174" s="1133"/>
      <c r="B6174" s="1136"/>
      <c r="C6174" s="1138"/>
    </row>
    <row r="6175" spans="1:3">
      <c r="A6175" s="1133"/>
      <c r="B6175" s="1136"/>
      <c r="C6175" s="1138"/>
    </row>
    <row r="6176" spans="1:3">
      <c r="A6176" s="1133"/>
      <c r="B6176" s="1136"/>
      <c r="C6176" s="1138"/>
    </row>
    <row r="6177" spans="1:3">
      <c r="A6177" s="1133"/>
      <c r="B6177" s="1136"/>
      <c r="C6177" s="1138"/>
    </row>
    <row r="6178" spans="1:3">
      <c r="A6178" s="1133"/>
      <c r="B6178" s="1136"/>
      <c r="C6178" s="1138"/>
    </row>
    <row r="6179" spans="1:3">
      <c r="A6179" s="1133"/>
      <c r="B6179" s="1136"/>
      <c r="C6179" s="1138"/>
    </row>
    <row r="6180" spans="1:3">
      <c r="A6180" s="1133"/>
      <c r="B6180" s="1136"/>
      <c r="C6180" s="1138"/>
    </row>
    <row r="6181" spans="1:3">
      <c r="A6181" s="1133"/>
      <c r="B6181" s="1136"/>
      <c r="C6181" s="1138"/>
    </row>
    <row r="6182" spans="1:3">
      <c r="A6182" s="1133"/>
      <c r="B6182" s="1136"/>
      <c r="C6182" s="1138"/>
    </row>
    <row r="6183" spans="1:3">
      <c r="A6183" s="1133"/>
      <c r="B6183" s="1136"/>
      <c r="C6183" s="1138"/>
    </row>
    <row r="6184" spans="1:3">
      <c r="A6184" s="1133"/>
      <c r="B6184" s="1136"/>
      <c r="C6184" s="1138"/>
    </row>
    <row r="6185" spans="1:3">
      <c r="A6185" s="1133"/>
      <c r="B6185" s="1136"/>
      <c r="C6185" s="1138"/>
    </row>
    <row r="6186" spans="1:3">
      <c r="A6186" s="1133"/>
      <c r="B6186" s="1136"/>
      <c r="C6186" s="1138"/>
    </row>
    <row r="6187" spans="1:3">
      <c r="A6187" s="1133"/>
      <c r="B6187" s="1136"/>
      <c r="C6187" s="1138"/>
    </row>
    <row r="6188" spans="1:3">
      <c r="A6188" s="1133"/>
      <c r="B6188" s="1136"/>
      <c r="C6188" s="1138"/>
    </row>
    <row r="6189" spans="1:3">
      <c r="A6189" s="1133"/>
      <c r="B6189" s="1136"/>
      <c r="C6189" s="1138"/>
    </row>
    <row r="6190" spans="1:3">
      <c r="A6190" s="1133"/>
      <c r="B6190" s="1136"/>
      <c r="C6190" s="1138"/>
    </row>
    <row r="6191" spans="1:3">
      <c r="A6191" s="1133"/>
      <c r="B6191" s="1136"/>
      <c r="C6191" s="1138"/>
    </row>
    <row r="6192" spans="1:3">
      <c r="A6192" s="1133"/>
      <c r="B6192" s="1136"/>
      <c r="C6192" s="1138"/>
    </row>
    <row r="6193" spans="1:3">
      <c r="A6193" s="1133"/>
      <c r="B6193" s="1136"/>
      <c r="C6193" s="1138"/>
    </row>
    <row r="6194" spans="1:3">
      <c r="A6194" s="1133"/>
      <c r="B6194" s="1136"/>
      <c r="C6194" s="1138"/>
    </row>
    <row r="6195" spans="1:3">
      <c r="A6195" s="1133"/>
      <c r="B6195" s="1136"/>
      <c r="C6195" s="1138"/>
    </row>
    <row r="6196" spans="1:3">
      <c r="A6196" s="1133"/>
      <c r="B6196" s="1136"/>
      <c r="C6196" s="1138"/>
    </row>
    <row r="6197" spans="1:3">
      <c r="A6197" s="1133"/>
      <c r="B6197" s="1136"/>
      <c r="C6197" s="1138"/>
    </row>
    <row r="6198" spans="1:3">
      <c r="A6198" s="1133"/>
      <c r="B6198" s="1136"/>
      <c r="C6198" s="1138"/>
    </row>
    <row r="6199" spans="1:3">
      <c r="A6199" s="1133"/>
      <c r="B6199" s="1136"/>
      <c r="C6199" s="1138"/>
    </row>
    <row r="6200" spans="1:3">
      <c r="A6200" s="1133"/>
      <c r="B6200" s="1136"/>
      <c r="C6200" s="1138"/>
    </row>
    <row r="6201" spans="1:3">
      <c r="A6201" s="1133"/>
      <c r="B6201" s="1136"/>
      <c r="C6201" s="1138"/>
    </row>
    <row r="6202" spans="1:3">
      <c r="A6202" s="1133"/>
      <c r="B6202" s="1136"/>
      <c r="C6202" s="1138"/>
    </row>
    <row r="6203" spans="1:3">
      <c r="A6203" s="1133"/>
      <c r="B6203" s="1136"/>
      <c r="C6203" s="1138"/>
    </row>
    <row r="6204" spans="1:3">
      <c r="A6204" s="1133"/>
      <c r="B6204" s="1136"/>
      <c r="C6204" s="1138"/>
    </row>
    <row r="6205" spans="1:3">
      <c r="A6205" s="1133"/>
      <c r="B6205" s="1136"/>
      <c r="C6205" s="1138"/>
    </row>
    <row r="6206" spans="1:3">
      <c r="A6206" s="1133"/>
      <c r="B6206" s="1136"/>
      <c r="C6206" s="1138"/>
    </row>
    <row r="6207" spans="1:3">
      <c r="A6207" s="1133"/>
      <c r="B6207" s="1136"/>
      <c r="C6207" s="1138"/>
    </row>
    <row r="6208" spans="1:3">
      <c r="A6208" s="1133"/>
      <c r="B6208" s="1136"/>
      <c r="C6208" s="1138"/>
    </row>
    <row r="6209" spans="1:3">
      <c r="A6209" s="1133"/>
      <c r="B6209" s="1136"/>
      <c r="C6209" s="1138"/>
    </row>
    <row r="6210" spans="1:3">
      <c r="A6210" s="1133"/>
      <c r="B6210" s="1136"/>
      <c r="C6210" s="1138"/>
    </row>
    <row r="6211" spans="1:3">
      <c r="A6211" s="1133"/>
      <c r="B6211" s="1136"/>
      <c r="C6211" s="1138"/>
    </row>
    <row r="6212" spans="1:3">
      <c r="A6212" s="1133"/>
      <c r="B6212" s="1136"/>
      <c r="C6212" s="1138"/>
    </row>
    <row r="6213" spans="1:3">
      <c r="A6213" s="1133"/>
      <c r="B6213" s="1136"/>
      <c r="C6213" s="1138"/>
    </row>
    <row r="6214" spans="1:3">
      <c r="A6214" s="1133"/>
      <c r="B6214" s="1136"/>
      <c r="C6214" s="1138"/>
    </row>
    <row r="6215" spans="1:3">
      <c r="A6215" s="1133"/>
      <c r="B6215" s="1136"/>
      <c r="C6215" s="1138"/>
    </row>
    <row r="6216" spans="1:3">
      <c r="A6216" s="1133"/>
      <c r="B6216" s="1136"/>
      <c r="C6216" s="1138"/>
    </row>
    <row r="6217" spans="1:3">
      <c r="A6217" s="1133"/>
      <c r="B6217" s="1136"/>
      <c r="C6217" s="1138"/>
    </row>
    <row r="6218" spans="1:3">
      <c r="A6218" s="1133"/>
      <c r="B6218" s="1136"/>
      <c r="C6218" s="1138"/>
    </row>
    <row r="6219" spans="1:3">
      <c r="A6219" s="1133"/>
      <c r="B6219" s="1136"/>
      <c r="C6219" s="1138"/>
    </row>
    <row r="6220" spans="1:3">
      <c r="A6220" s="1133"/>
      <c r="B6220" s="1136"/>
      <c r="C6220" s="1138"/>
    </row>
    <row r="6221" spans="1:3">
      <c r="A6221" s="1133"/>
      <c r="B6221" s="1136"/>
      <c r="C6221" s="1138"/>
    </row>
    <row r="6222" spans="1:3">
      <c r="A6222" s="1133"/>
      <c r="B6222" s="1136"/>
      <c r="C6222" s="1138"/>
    </row>
    <row r="6223" spans="1:3">
      <c r="A6223" s="1133"/>
      <c r="B6223" s="1136"/>
      <c r="C6223" s="1138"/>
    </row>
    <row r="6224" spans="1:3">
      <c r="A6224" s="1133"/>
      <c r="B6224" s="1136"/>
      <c r="C6224" s="1138"/>
    </row>
    <row r="6225" spans="1:3">
      <c r="A6225" s="1133"/>
      <c r="B6225" s="1136"/>
      <c r="C6225" s="1138"/>
    </row>
    <row r="6226" spans="1:3">
      <c r="A6226" s="1133"/>
      <c r="B6226" s="1136"/>
      <c r="C6226" s="1138"/>
    </row>
    <row r="6227" spans="1:3">
      <c r="A6227" s="1133"/>
      <c r="B6227" s="1136"/>
      <c r="C6227" s="1138"/>
    </row>
    <row r="6228" spans="1:3">
      <c r="A6228" s="1133"/>
      <c r="B6228" s="1136"/>
      <c r="C6228" s="1138"/>
    </row>
    <row r="6229" spans="1:3">
      <c r="A6229" s="1133"/>
      <c r="B6229" s="1136"/>
      <c r="C6229" s="1138"/>
    </row>
    <row r="6230" spans="1:3">
      <c r="A6230" s="1133"/>
      <c r="B6230" s="1136"/>
      <c r="C6230" s="1138"/>
    </row>
    <row r="6231" spans="1:3">
      <c r="A6231" s="1133"/>
      <c r="B6231" s="1136"/>
      <c r="C6231" s="1138"/>
    </row>
    <row r="6232" spans="1:3">
      <c r="A6232" s="1133"/>
      <c r="B6232" s="1136"/>
      <c r="C6232" s="1138"/>
    </row>
    <row r="6233" spans="1:3">
      <c r="A6233" s="1133"/>
      <c r="B6233" s="1136"/>
      <c r="C6233" s="1138"/>
    </row>
    <row r="6234" spans="1:3">
      <c r="A6234" s="1133"/>
      <c r="B6234" s="1136"/>
      <c r="C6234" s="1138"/>
    </row>
    <row r="6235" spans="1:3">
      <c r="A6235" s="1133"/>
      <c r="B6235" s="1136"/>
      <c r="C6235" s="1138"/>
    </row>
    <row r="6236" spans="1:3">
      <c r="A6236" s="1133"/>
      <c r="B6236" s="1136"/>
      <c r="C6236" s="1138"/>
    </row>
    <row r="6237" spans="1:3">
      <c r="A6237" s="1133"/>
      <c r="B6237" s="1136"/>
      <c r="C6237" s="1138"/>
    </row>
    <row r="6238" spans="1:3">
      <c r="A6238" s="1133"/>
      <c r="B6238" s="1136"/>
      <c r="C6238" s="1138"/>
    </row>
    <row r="6239" spans="1:3">
      <c r="A6239" s="1133"/>
      <c r="B6239" s="1136"/>
      <c r="C6239" s="1138"/>
    </row>
    <row r="6240" spans="1:3">
      <c r="A6240" s="1133"/>
      <c r="B6240" s="1136"/>
      <c r="C6240" s="1138"/>
    </row>
    <row r="6241" spans="1:3">
      <c r="A6241" s="1133"/>
      <c r="B6241" s="1136"/>
      <c r="C6241" s="1138"/>
    </row>
    <row r="6242" spans="1:3">
      <c r="A6242" s="1133"/>
      <c r="B6242" s="1136"/>
      <c r="C6242" s="1138"/>
    </row>
    <row r="6243" spans="1:3">
      <c r="A6243" s="1133"/>
      <c r="B6243" s="1136"/>
      <c r="C6243" s="1138"/>
    </row>
    <row r="6244" spans="1:3">
      <c r="A6244" s="1133"/>
      <c r="B6244" s="1136"/>
      <c r="C6244" s="1138"/>
    </row>
    <row r="6245" spans="1:3">
      <c r="A6245" s="1133"/>
      <c r="B6245" s="1136"/>
      <c r="C6245" s="1138"/>
    </row>
    <row r="6246" spans="1:3">
      <c r="A6246" s="1133"/>
      <c r="B6246" s="1136"/>
      <c r="C6246" s="1138"/>
    </row>
    <row r="6247" spans="1:3">
      <c r="A6247" s="1133"/>
      <c r="B6247" s="1136"/>
      <c r="C6247" s="1138"/>
    </row>
    <row r="6248" spans="1:3">
      <c r="A6248" s="1133"/>
      <c r="B6248" s="1136"/>
      <c r="C6248" s="1138"/>
    </row>
    <row r="6249" spans="1:3">
      <c r="A6249" s="1133"/>
      <c r="B6249" s="1136"/>
      <c r="C6249" s="1138"/>
    </row>
    <row r="6250" spans="1:3">
      <c r="A6250" s="1133"/>
      <c r="B6250" s="1136"/>
      <c r="C6250" s="1138"/>
    </row>
    <row r="6251" spans="1:3">
      <c r="A6251" s="1133"/>
      <c r="B6251" s="1136"/>
      <c r="C6251" s="1138"/>
    </row>
    <row r="6252" spans="1:3">
      <c r="A6252" s="1133"/>
      <c r="B6252" s="1136"/>
      <c r="C6252" s="1138"/>
    </row>
    <row r="6253" spans="1:3">
      <c r="A6253" s="1133"/>
      <c r="B6253" s="1136"/>
      <c r="C6253" s="1138"/>
    </row>
    <row r="6254" spans="1:3">
      <c r="A6254" s="1133"/>
      <c r="B6254" s="1136"/>
      <c r="C6254" s="1138"/>
    </row>
    <row r="6255" spans="1:3">
      <c r="A6255" s="1133"/>
      <c r="B6255" s="1136"/>
      <c r="C6255" s="1138"/>
    </row>
    <row r="6256" spans="1:3">
      <c r="A6256" s="1133"/>
      <c r="B6256" s="1136"/>
      <c r="C6256" s="1138"/>
    </row>
    <row r="6257" spans="1:3">
      <c r="A6257" s="1133"/>
      <c r="B6257" s="1136"/>
      <c r="C6257" s="1138"/>
    </row>
    <row r="6258" spans="1:3">
      <c r="A6258" s="1133"/>
      <c r="B6258" s="1136"/>
      <c r="C6258" s="1138"/>
    </row>
    <row r="6259" spans="1:3">
      <c r="A6259" s="1133"/>
      <c r="B6259" s="1136"/>
      <c r="C6259" s="1138"/>
    </row>
    <row r="6260" spans="1:3">
      <c r="A6260" s="1133"/>
      <c r="B6260" s="1136"/>
      <c r="C6260" s="1138"/>
    </row>
    <row r="6261" spans="1:3">
      <c r="A6261" s="1133"/>
      <c r="B6261" s="1136"/>
      <c r="C6261" s="1138"/>
    </row>
    <row r="6262" spans="1:3">
      <c r="A6262" s="1133"/>
      <c r="B6262" s="1136"/>
      <c r="C6262" s="1138"/>
    </row>
    <row r="6263" spans="1:3">
      <c r="A6263" s="1133"/>
      <c r="B6263" s="1136"/>
      <c r="C6263" s="1138"/>
    </row>
    <row r="6264" spans="1:3">
      <c r="A6264" s="1133"/>
      <c r="B6264" s="1136"/>
      <c r="C6264" s="1138"/>
    </row>
    <row r="6265" spans="1:3">
      <c r="A6265" s="1133"/>
      <c r="B6265" s="1136"/>
      <c r="C6265" s="1138"/>
    </row>
    <row r="6266" spans="1:3">
      <c r="A6266" s="1133"/>
      <c r="B6266" s="1136"/>
      <c r="C6266" s="1138"/>
    </row>
    <row r="6267" spans="1:3">
      <c r="A6267" s="1133"/>
      <c r="B6267" s="1136"/>
      <c r="C6267" s="1138"/>
    </row>
    <row r="6268" spans="1:3">
      <c r="A6268" s="1133"/>
      <c r="B6268" s="1136"/>
      <c r="C6268" s="1138"/>
    </row>
    <row r="6269" spans="1:3">
      <c r="A6269" s="1133"/>
      <c r="B6269" s="1136"/>
      <c r="C6269" s="1138"/>
    </row>
    <row r="6270" spans="1:3">
      <c r="A6270" s="1133"/>
      <c r="B6270" s="1136"/>
      <c r="C6270" s="1138"/>
    </row>
    <row r="6271" spans="1:3">
      <c r="A6271" s="1133"/>
      <c r="B6271" s="1136"/>
      <c r="C6271" s="1138"/>
    </row>
    <row r="6272" spans="1:3">
      <c r="A6272" s="1133"/>
      <c r="B6272" s="1136"/>
      <c r="C6272" s="1138"/>
    </row>
    <row r="6273" spans="1:3">
      <c r="A6273" s="1133"/>
      <c r="B6273" s="1136"/>
      <c r="C6273" s="1138"/>
    </row>
    <row r="6274" spans="1:3">
      <c r="A6274" s="1133"/>
      <c r="B6274" s="1136"/>
      <c r="C6274" s="1138"/>
    </row>
    <row r="6275" spans="1:3">
      <c r="A6275" s="1133"/>
      <c r="B6275" s="1136"/>
      <c r="C6275" s="1138"/>
    </row>
    <row r="6276" spans="1:3">
      <c r="A6276" s="1133"/>
      <c r="B6276" s="1136"/>
      <c r="C6276" s="1138"/>
    </row>
    <row r="6277" spans="1:3">
      <c r="A6277" s="1133"/>
      <c r="B6277" s="1136"/>
      <c r="C6277" s="1138"/>
    </row>
    <row r="6278" spans="1:3">
      <c r="A6278" s="1133"/>
      <c r="B6278" s="1136"/>
      <c r="C6278" s="1138"/>
    </row>
    <row r="6279" spans="1:3">
      <c r="A6279" s="1133"/>
      <c r="B6279" s="1136"/>
      <c r="C6279" s="1138"/>
    </row>
    <row r="6280" spans="1:3">
      <c r="A6280" s="1133"/>
      <c r="B6280" s="1136"/>
      <c r="C6280" s="1138"/>
    </row>
    <row r="6281" spans="1:3">
      <c r="A6281" s="1133"/>
      <c r="B6281" s="1136"/>
      <c r="C6281" s="1138"/>
    </row>
    <row r="6282" spans="1:3">
      <c r="A6282" s="1133"/>
      <c r="B6282" s="1136"/>
      <c r="C6282" s="1138"/>
    </row>
    <row r="6283" spans="1:3">
      <c r="A6283" s="1133"/>
      <c r="B6283" s="1136"/>
      <c r="C6283" s="1138"/>
    </row>
    <row r="6284" spans="1:3">
      <c r="A6284" s="1133"/>
      <c r="B6284" s="1136"/>
      <c r="C6284" s="1138"/>
    </row>
    <row r="6285" spans="1:3">
      <c r="A6285" s="1133"/>
      <c r="B6285" s="1136"/>
      <c r="C6285" s="1138"/>
    </row>
    <row r="6286" spans="1:3">
      <c r="A6286" s="1133"/>
      <c r="B6286" s="1136"/>
      <c r="C6286" s="1138"/>
    </row>
    <row r="6287" spans="1:3">
      <c r="A6287" s="1133"/>
      <c r="B6287" s="1136"/>
      <c r="C6287" s="1138"/>
    </row>
    <row r="6288" spans="1:3">
      <c r="A6288" s="1133"/>
      <c r="B6288" s="1136"/>
      <c r="C6288" s="1138"/>
    </row>
    <row r="6289" spans="1:3">
      <c r="A6289" s="1133"/>
      <c r="B6289" s="1136"/>
      <c r="C6289" s="1138"/>
    </row>
    <row r="6290" spans="1:3">
      <c r="A6290" s="1133"/>
      <c r="B6290" s="1136"/>
      <c r="C6290" s="1138"/>
    </row>
    <row r="6291" spans="1:3">
      <c r="A6291" s="1133"/>
      <c r="B6291" s="1136"/>
      <c r="C6291" s="1138"/>
    </row>
    <row r="6292" spans="1:3">
      <c r="A6292" s="1133"/>
      <c r="B6292" s="1136"/>
      <c r="C6292" s="1138"/>
    </row>
    <row r="6293" spans="1:3">
      <c r="A6293" s="1133"/>
      <c r="B6293" s="1136"/>
      <c r="C6293" s="1138"/>
    </row>
    <row r="6294" spans="1:3">
      <c r="A6294" s="1133"/>
      <c r="B6294" s="1136"/>
      <c r="C6294" s="1138"/>
    </row>
    <row r="6295" spans="1:3">
      <c r="A6295" s="1133"/>
      <c r="B6295" s="1136"/>
      <c r="C6295" s="1138"/>
    </row>
    <row r="6296" spans="1:3">
      <c r="A6296" s="1133"/>
      <c r="B6296" s="1136"/>
      <c r="C6296" s="1138"/>
    </row>
    <row r="6297" spans="1:3">
      <c r="A6297" s="1133"/>
      <c r="B6297" s="1136"/>
      <c r="C6297" s="1138"/>
    </row>
    <row r="6298" spans="1:3">
      <c r="A6298" s="1133"/>
      <c r="B6298" s="1136"/>
      <c r="C6298" s="1138"/>
    </row>
    <row r="6299" spans="1:3">
      <c r="A6299" s="1133"/>
      <c r="B6299" s="1136"/>
      <c r="C6299" s="1138"/>
    </row>
    <row r="6300" spans="1:3">
      <c r="A6300" s="1133"/>
      <c r="B6300" s="1136"/>
      <c r="C6300" s="1138"/>
    </row>
    <row r="6301" spans="1:3">
      <c r="A6301" s="1133"/>
      <c r="B6301" s="1136"/>
      <c r="C6301" s="1138"/>
    </row>
    <row r="6302" spans="1:3">
      <c r="A6302" s="1133"/>
      <c r="B6302" s="1136"/>
      <c r="C6302" s="1138"/>
    </row>
    <row r="6303" spans="1:3">
      <c r="A6303" s="1133"/>
      <c r="B6303" s="1136"/>
      <c r="C6303" s="1138"/>
    </row>
    <row r="6304" spans="1:3">
      <c r="A6304" s="1133"/>
      <c r="B6304" s="1136"/>
      <c r="C6304" s="1138"/>
    </row>
    <row r="6305" spans="1:3">
      <c r="A6305" s="1133"/>
      <c r="B6305" s="1136"/>
      <c r="C6305" s="1138"/>
    </row>
    <row r="6306" spans="1:3">
      <c r="A6306" s="1133"/>
      <c r="B6306" s="1136"/>
      <c r="C6306" s="1138"/>
    </row>
    <row r="6307" spans="1:3">
      <c r="A6307" s="1133"/>
      <c r="B6307" s="1136"/>
      <c r="C6307" s="1138"/>
    </row>
    <row r="6308" spans="1:3">
      <c r="A6308" s="1133"/>
      <c r="B6308" s="1136"/>
      <c r="C6308" s="1138"/>
    </row>
    <row r="6309" spans="1:3">
      <c r="A6309" s="1133"/>
      <c r="B6309" s="1136"/>
      <c r="C6309" s="1138"/>
    </row>
    <row r="6310" spans="1:3">
      <c r="A6310" s="1133"/>
      <c r="B6310" s="1136"/>
      <c r="C6310" s="1138"/>
    </row>
    <row r="6311" spans="1:3">
      <c r="A6311" s="1133"/>
      <c r="B6311" s="1136"/>
      <c r="C6311" s="1138"/>
    </row>
    <row r="6312" spans="1:3">
      <c r="A6312" s="1133"/>
      <c r="B6312" s="1136"/>
      <c r="C6312" s="1138"/>
    </row>
    <row r="6313" spans="1:3">
      <c r="A6313" s="1133"/>
      <c r="B6313" s="1136"/>
      <c r="C6313" s="1138"/>
    </row>
    <row r="6314" spans="1:3">
      <c r="A6314" s="1133"/>
      <c r="B6314" s="1136"/>
      <c r="C6314" s="1138"/>
    </row>
    <row r="6315" spans="1:3">
      <c r="A6315" s="1133"/>
      <c r="B6315" s="1136"/>
      <c r="C6315" s="1138"/>
    </row>
    <row r="6316" spans="1:3">
      <c r="A6316" s="1133"/>
      <c r="B6316" s="1136"/>
      <c r="C6316" s="1138"/>
    </row>
    <row r="6317" spans="1:3">
      <c r="A6317" s="1133"/>
      <c r="B6317" s="1136"/>
      <c r="C6317" s="1138"/>
    </row>
    <row r="6318" spans="1:3">
      <c r="A6318" s="1133"/>
      <c r="B6318" s="1136"/>
      <c r="C6318" s="1138"/>
    </row>
    <row r="6319" spans="1:3">
      <c r="A6319" s="1133"/>
      <c r="B6319" s="1136"/>
      <c r="C6319" s="1138"/>
    </row>
    <row r="6320" spans="1:3">
      <c r="A6320" s="1133"/>
      <c r="B6320" s="1136"/>
      <c r="C6320" s="1138"/>
    </row>
    <row r="6321" spans="1:3">
      <c r="A6321" s="1133"/>
      <c r="B6321" s="1136"/>
      <c r="C6321" s="1138"/>
    </row>
    <row r="6322" spans="1:3">
      <c r="A6322" s="1133"/>
      <c r="B6322" s="1136"/>
      <c r="C6322" s="1138"/>
    </row>
    <row r="6323" spans="1:3">
      <c r="A6323" s="1133"/>
      <c r="B6323" s="1136"/>
      <c r="C6323" s="1138"/>
    </row>
    <row r="6324" spans="1:3">
      <c r="A6324" s="1133"/>
      <c r="B6324" s="1136"/>
      <c r="C6324" s="1138"/>
    </row>
    <row r="6325" spans="1:3">
      <c r="A6325" s="1133"/>
      <c r="B6325" s="1136"/>
      <c r="C6325" s="1138"/>
    </row>
    <row r="6326" spans="1:3">
      <c r="A6326" s="1133"/>
      <c r="B6326" s="1136"/>
      <c r="C6326" s="1138"/>
    </row>
    <row r="6327" spans="1:3">
      <c r="A6327" s="1133"/>
      <c r="B6327" s="1136"/>
      <c r="C6327" s="1138"/>
    </row>
    <row r="6328" spans="1:3">
      <c r="A6328" s="1133"/>
      <c r="B6328" s="1136"/>
      <c r="C6328" s="1138"/>
    </row>
    <row r="6329" spans="1:3">
      <c r="A6329" s="1133"/>
      <c r="B6329" s="1136"/>
      <c r="C6329" s="1138"/>
    </row>
    <row r="6330" spans="1:3">
      <c r="A6330" s="1133"/>
      <c r="B6330" s="1136"/>
      <c r="C6330" s="1138"/>
    </row>
    <row r="6331" spans="1:3">
      <c r="A6331" s="1133"/>
      <c r="B6331" s="1136"/>
      <c r="C6331" s="1138"/>
    </row>
    <row r="6332" spans="1:3">
      <c r="A6332" s="1133"/>
      <c r="B6332" s="1136"/>
      <c r="C6332" s="1138"/>
    </row>
    <row r="6333" spans="1:3">
      <c r="A6333" s="1133"/>
      <c r="B6333" s="1136"/>
      <c r="C6333" s="1138"/>
    </row>
    <row r="6334" spans="1:3">
      <c r="A6334" s="1133"/>
      <c r="B6334" s="1136"/>
      <c r="C6334" s="1138"/>
    </row>
    <row r="6335" spans="1:3">
      <c r="A6335" s="1133"/>
      <c r="B6335" s="1136"/>
      <c r="C6335" s="1138"/>
    </row>
    <row r="6336" spans="1:3">
      <c r="A6336" s="1133"/>
      <c r="B6336" s="1136"/>
      <c r="C6336" s="1138"/>
    </row>
    <row r="6337" spans="1:3">
      <c r="A6337" s="1133"/>
      <c r="B6337" s="1136"/>
      <c r="C6337" s="1138"/>
    </row>
    <row r="6338" spans="1:3">
      <c r="A6338" s="1133"/>
      <c r="B6338" s="1136"/>
      <c r="C6338" s="1138"/>
    </row>
    <row r="6339" spans="1:3">
      <c r="A6339" s="1133"/>
      <c r="B6339" s="1136"/>
      <c r="C6339" s="1138"/>
    </row>
    <row r="6340" spans="1:3">
      <c r="A6340" s="1133"/>
      <c r="B6340" s="1136"/>
      <c r="C6340" s="1138"/>
    </row>
    <row r="6341" spans="1:3">
      <c r="A6341" s="1133"/>
      <c r="B6341" s="1136"/>
      <c r="C6341" s="1138"/>
    </row>
    <row r="6342" spans="1:3">
      <c r="A6342" s="1133"/>
      <c r="B6342" s="1136"/>
      <c r="C6342" s="1138"/>
    </row>
    <row r="6343" spans="1:3">
      <c r="A6343" s="1133"/>
      <c r="B6343" s="1136"/>
      <c r="C6343" s="1138"/>
    </row>
    <row r="6344" spans="1:3">
      <c r="A6344" s="1133"/>
      <c r="B6344" s="1136"/>
      <c r="C6344" s="1138"/>
    </row>
    <row r="6345" spans="1:3">
      <c r="A6345" s="1133"/>
      <c r="B6345" s="1136"/>
      <c r="C6345" s="1138"/>
    </row>
    <row r="6346" spans="1:3">
      <c r="A6346" s="1133"/>
      <c r="B6346" s="1136"/>
      <c r="C6346" s="1138"/>
    </row>
    <row r="6347" spans="1:3">
      <c r="A6347" s="1133"/>
      <c r="B6347" s="1136"/>
      <c r="C6347" s="1138"/>
    </row>
    <row r="6348" spans="1:3">
      <c r="A6348" s="1133"/>
      <c r="B6348" s="1136"/>
      <c r="C6348" s="1138"/>
    </row>
    <row r="6349" spans="1:3">
      <c r="A6349" s="1133"/>
      <c r="B6349" s="1136"/>
      <c r="C6349" s="1138"/>
    </row>
    <row r="6350" spans="1:3">
      <c r="A6350" s="1133"/>
      <c r="B6350" s="1136"/>
      <c r="C6350" s="1138"/>
    </row>
    <row r="6351" spans="1:3">
      <c r="A6351" s="1133"/>
      <c r="B6351" s="1136"/>
      <c r="C6351" s="1138"/>
    </row>
    <row r="6352" spans="1:3">
      <c r="A6352" s="1133"/>
      <c r="B6352" s="1136"/>
      <c r="C6352" s="1138"/>
    </row>
    <row r="6353" spans="1:3">
      <c r="A6353" s="1133"/>
      <c r="B6353" s="1136"/>
      <c r="C6353" s="1138"/>
    </row>
    <row r="6354" spans="1:3">
      <c r="A6354" s="1133"/>
      <c r="B6354" s="1136"/>
      <c r="C6354" s="1138"/>
    </row>
    <row r="6355" spans="1:3">
      <c r="A6355" s="1133"/>
      <c r="B6355" s="1136"/>
      <c r="C6355" s="1138"/>
    </row>
    <row r="6356" spans="1:3">
      <c r="A6356" s="1133"/>
      <c r="B6356" s="1136"/>
      <c r="C6356" s="1138"/>
    </row>
    <row r="6357" spans="1:3">
      <c r="A6357" s="1133"/>
      <c r="B6357" s="1136"/>
      <c r="C6357" s="1138"/>
    </row>
    <row r="6358" spans="1:3">
      <c r="A6358" s="1133"/>
      <c r="B6358" s="1136"/>
      <c r="C6358" s="1138"/>
    </row>
    <row r="6359" spans="1:3">
      <c r="A6359" s="1133"/>
      <c r="B6359" s="1136"/>
      <c r="C6359" s="1138"/>
    </row>
    <row r="6360" spans="1:3">
      <c r="A6360" s="1133"/>
      <c r="B6360" s="1136"/>
      <c r="C6360" s="1138"/>
    </row>
    <row r="6361" spans="1:3">
      <c r="A6361" s="1133"/>
      <c r="B6361" s="1136"/>
      <c r="C6361" s="1138"/>
    </row>
    <row r="6362" spans="1:3">
      <c r="A6362" s="1133"/>
      <c r="B6362" s="1136"/>
      <c r="C6362" s="1138"/>
    </row>
    <row r="6363" spans="1:3">
      <c r="A6363" s="1133"/>
      <c r="B6363" s="1136"/>
      <c r="C6363" s="1138"/>
    </row>
    <row r="6364" spans="1:3">
      <c r="A6364" s="1133"/>
      <c r="B6364" s="1136"/>
      <c r="C6364" s="1138"/>
    </row>
    <row r="6365" spans="1:3">
      <c r="A6365" s="1133"/>
      <c r="B6365" s="1136"/>
      <c r="C6365" s="1138"/>
    </row>
    <row r="6366" spans="1:3">
      <c r="A6366" s="1133"/>
      <c r="B6366" s="1136"/>
      <c r="C6366" s="1138"/>
    </row>
    <row r="6367" spans="1:3">
      <c r="A6367" s="1133"/>
      <c r="B6367" s="1136"/>
      <c r="C6367" s="1138"/>
    </row>
    <row r="6368" spans="1:3">
      <c r="A6368" s="1133"/>
      <c r="B6368" s="1136"/>
      <c r="C6368" s="1138"/>
    </row>
    <row r="6369" spans="1:3">
      <c r="A6369" s="1133"/>
      <c r="B6369" s="1136"/>
      <c r="C6369" s="1138"/>
    </row>
    <row r="6370" spans="1:3">
      <c r="A6370" s="1133"/>
      <c r="B6370" s="1136"/>
      <c r="C6370" s="1138"/>
    </row>
    <row r="6371" spans="1:3">
      <c r="A6371" s="1133"/>
      <c r="B6371" s="1136"/>
      <c r="C6371" s="1138"/>
    </row>
    <row r="6372" spans="1:3">
      <c r="A6372" s="1133"/>
      <c r="B6372" s="1136"/>
      <c r="C6372" s="1138"/>
    </row>
    <row r="6373" spans="1:3">
      <c r="A6373" s="1133"/>
      <c r="B6373" s="1136"/>
      <c r="C6373" s="1138"/>
    </row>
    <row r="6374" spans="1:3">
      <c r="A6374" s="1133"/>
      <c r="B6374" s="1136"/>
      <c r="C6374" s="1138"/>
    </row>
    <row r="6375" spans="1:3">
      <c r="A6375" s="1133"/>
      <c r="B6375" s="1136"/>
      <c r="C6375" s="1138"/>
    </row>
    <row r="6376" spans="1:3">
      <c r="A6376" s="1133"/>
      <c r="B6376" s="1136"/>
      <c r="C6376" s="1138"/>
    </row>
    <row r="6377" spans="1:3">
      <c r="A6377" s="1133"/>
      <c r="B6377" s="1136"/>
      <c r="C6377" s="1138"/>
    </row>
    <row r="6378" spans="1:3">
      <c r="A6378" s="1133"/>
      <c r="B6378" s="1136"/>
      <c r="C6378" s="1138"/>
    </row>
    <row r="6379" spans="1:3">
      <c r="A6379" s="1133"/>
      <c r="B6379" s="1136"/>
      <c r="C6379" s="1138"/>
    </row>
    <row r="6380" spans="1:3">
      <c r="A6380" s="1133"/>
      <c r="B6380" s="1136"/>
      <c r="C6380" s="1138"/>
    </row>
    <row r="6381" spans="1:3">
      <c r="A6381" s="1133"/>
      <c r="B6381" s="1136"/>
      <c r="C6381" s="1138"/>
    </row>
    <row r="6382" spans="1:3">
      <c r="A6382" s="1133"/>
      <c r="B6382" s="1136"/>
      <c r="C6382" s="1138"/>
    </row>
    <row r="6383" spans="1:3">
      <c r="A6383" s="1133"/>
      <c r="B6383" s="1136"/>
      <c r="C6383" s="1138"/>
    </row>
    <row r="6384" spans="1:3">
      <c r="A6384" s="1133"/>
      <c r="B6384" s="1136"/>
      <c r="C6384" s="1138"/>
    </row>
    <row r="6385" spans="1:3">
      <c r="A6385" s="1133"/>
      <c r="B6385" s="1136"/>
      <c r="C6385" s="1138"/>
    </row>
    <row r="6386" spans="1:3">
      <c r="A6386" s="1133"/>
      <c r="B6386" s="1136"/>
      <c r="C6386" s="1138"/>
    </row>
    <row r="6387" spans="1:3">
      <c r="A6387" s="1133"/>
      <c r="B6387" s="1136"/>
      <c r="C6387" s="1138"/>
    </row>
    <row r="6388" spans="1:3">
      <c r="A6388" s="1133"/>
      <c r="B6388" s="1136"/>
      <c r="C6388" s="1138"/>
    </row>
    <row r="6389" spans="1:3">
      <c r="A6389" s="1133"/>
      <c r="B6389" s="1136"/>
      <c r="C6389" s="1138"/>
    </row>
    <row r="6390" spans="1:3">
      <c r="A6390" s="1133"/>
      <c r="B6390" s="1136"/>
      <c r="C6390" s="1138"/>
    </row>
    <row r="6391" spans="1:3">
      <c r="A6391" s="1133"/>
      <c r="B6391" s="1136"/>
      <c r="C6391" s="1138"/>
    </row>
    <row r="6392" spans="1:3">
      <c r="A6392" s="1133"/>
      <c r="B6392" s="1136"/>
      <c r="C6392" s="1138"/>
    </row>
    <row r="6393" spans="1:3">
      <c r="A6393" s="1133"/>
      <c r="B6393" s="1136"/>
      <c r="C6393" s="1138"/>
    </row>
    <row r="6394" spans="1:3">
      <c r="A6394" s="1133"/>
      <c r="B6394" s="1136"/>
      <c r="C6394" s="1138"/>
    </row>
    <row r="6395" spans="1:3">
      <c r="A6395" s="1133"/>
      <c r="B6395" s="1136"/>
      <c r="C6395" s="1138"/>
    </row>
    <row r="6396" spans="1:3">
      <c r="A6396" s="1133"/>
      <c r="B6396" s="1136"/>
      <c r="C6396" s="1138"/>
    </row>
    <row r="6397" spans="1:3">
      <c r="A6397" s="1133"/>
      <c r="B6397" s="1136"/>
      <c r="C6397" s="1138"/>
    </row>
    <row r="6398" spans="1:3">
      <c r="A6398" s="1133"/>
      <c r="B6398" s="1136"/>
      <c r="C6398" s="1138"/>
    </row>
    <row r="6399" spans="1:3">
      <c r="A6399" s="1133"/>
      <c r="B6399" s="1136"/>
      <c r="C6399" s="1138"/>
    </row>
    <row r="6400" spans="1:3">
      <c r="A6400" s="1133"/>
      <c r="B6400" s="1136"/>
      <c r="C6400" s="1138"/>
    </row>
    <row r="6401" spans="1:3">
      <c r="A6401" s="1133"/>
      <c r="B6401" s="1136"/>
      <c r="C6401" s="1138"/>
    </row>
    <row r="6402" spans="1:3">
      <c r="A6402" s="1133"/>
      <c r="B6402" s="1136"/>
      <c r="C6402" s="1138"/>
    </row>
    <row r="6403" spans="1:3">
      <c r="A6403" s="1133"/>
      <c r="B6403" s="1136"/>
      <c r="C6403" s="1138"/>
    </row>
    <row r="6404" spans="1:3">
      <c r="A6404" s="1133"/>
      <c r="B6404" s="1136"/>
      <c r="C6404" s="1138"/>
    </row>
    <row r="6405" spans="1:3">
      <c r="A6405" s="1133"/>
      <c r="B6405" s="1136"/>
      <c r="C6405" s="1138"/>
    </row>
    <row r="6406" spans="1:3">
      <c r="A6406" s="1133"/>
      <c r="B6406" s="1136"/>
      <c r="C6406" s="1138"/>
    </row>
    <row r="6407" spans="1:3">
      <c r="A6407" s="1133"/>
      <c r="B6407" s="1136"/>
      <c r="C6407" s="1138"/>
    </row>
    <row r="6408" spans="1:3">
      <c r="A6408" s="1133"/>
      <c r="B6408" s="1136"/>
      <c r="C6408" s="1138"/>
    </row>
    <row r="6409" spans="1:3">
      <c r="A6409" s="1133"/>
      <c r="B6409" s="1136"/>
      <c r="C6409" s="1138"/>
    </row>
    <row r="6410" spans="1:3">
      <c r="A6410" s="1133"/>
      <c r="B6410" s="1136"/>
      <c r="C6410" s="1138"/>
    </row>
    <row r="6411" spans="1:3">
      <c r="A6411" s="1133"/>
      <c r="B6411" s="1136"/>
      <c r="C6411" s="1138"/>
    </row>
    <row r="6412" spans="1:3">
      <c r="A6412" s="1133"/>
      <c r="B6412" s="1136"/>
      <c r="C6412" s="1138"/>
    </row>
    <row r="6413" spans="1:3">
      <c r="A6413" s="1133"/>
      <c r="B6413" s="1136"/>
      <c r="C6413" s="1138"/>
    </row>
    <row r="6414" spans="1:3">
      <c r="A6414" s="1133"/>
      <c r="B6414" s="1136"/>
      <c r="C6414" s="1138"/>
    </row>
    <row r="6415" spans="1:3">
      <c r="A6415" s="1133"/>
      <c r="B6415" s="1136"/>
      <c r="C6415" s="1138"/>
    </row>
    <row r="6416" spans="1:3">
      <c r="A6416" s="1133"/>
      <c r="B6416" s="1136"/>
      <c r="C6416" s="1138"/>
    </row>
    <row r="6417" spans="1:3">
      <c r="A6417" s="1133"/>
      <c r="B6417" s="1136"/>
      <c r="C6417" s="1138"/>
    </row>
    <row r="6418" spans="1:3">
      <c r="A6418" s="1133"/>
      <c r="B6418" s="1136"/>
      <c r="C6418" s="1138"/>
    </row>
    <row r="6419" spans="1:3">
      <c r="A6419" s="1133"/>
      <c r="B6419" s="1136"/>
      <c r="C6419" s="1138"/>
    </row>
    <row r="6420" spans="1:3">
      <c r="A6420" s="1133"/>
      <c r="B6420" s="1136"/>
      <c r="C6420" s="1138"/>
    </row>
    <row r="6421" spans="1:3">
      <c r="A6421" s="1133"/>
      <c r="B6421" s="1136"/>
      <c r="C6421" s="1138"/>
    </row>
    <row r="6422" spans="1:3">
      <c r="A6422" s="1133"/>
      <c r="B6422" s="1136"/>
      <c r="C6422" s="1138"/>
    </row>
    <row r="6423" spans="1:3">
      <c r="A6423" s="1133"/>
      <c r="B6423" s="1136"/>
      <c r="C6423" s="1138"/>
    </row>
    <row r="6424" spans="1:3">
      <c r="A6424" s="1133"/>
      <c r="B6424" s="1136"/>
      <c r="C6424" s="1138"/>
    </row>
    <row r="6425" spans="1:3">
      <c r="A6425" s="1133"/>
      <c r="B6425" s="1136"/>
      <c r="C6425" s="1138"/>
    </row>
    <row r="6426" spans="1:3">
      <c r="A6426" s="1133"/>
      <c r="B6426" s="1136"/>
      <c r="C6426" s="1138"/>
    </row>
    <row r="6427" spans="1:3">
      <c r="A6427" s="1133"/>
      <c r="B6427" s="1136"/>
      <c r="C6427" s="1138"/>
    </row>
    <row r="6428" spans="1:3">
      <c r="A6428" s="1133"/>
      <c r="B6428" s="1136"/>
      <c r="C6428" s="1138"/>
    </row>
    <row r="6429" spans="1:3">
      <c r="A6429" s="1133"/>
      <c r="B6429" s="1136"/>
      <c r="C6429" s="1138"/>
    </row>
    <row r="6430" spans="1:3">
      <c r="A6430" s="1133"/>
      <c r="B6430" s="1136"/>
      <c r="C6430" s="1138"/>
    </row>
    <row r="6431" spans="1:3">
      <c r="A6431" s="1133"/>
      <c r="B6431" s="1136"/>
      <c r="C6431" s="1138"/>
    </row>
    <row r="6432" spans="1:3">
      <c r="A6432" s="1133"/>
      <c r="B6432" s="1136"/>
      <c r="C6432" s="1138"/>
    </row>
    <row r="6433" spans="1:3">
      <c r="A6433" s="1133"/>
      <c r="B6433" s="1136"/>
      <c r="C6433" s="1138"/>
    </row>
    <row r="6434" spans="1:3">
      <c r="A6434" s="1133"/>
      <c r="B6434" s="1136"/>
      <c r="C6434" s="1138"/>
    </row>
    <row r="6435" spans="1:3">
      <c r="A6435" s="1133"/>
      <c r="B6435" s="1136"/>
      <c r="C6435" s="1138"/>
    </row>
    <row r="6436" spans="1:3">
      <c r="A6436" s="1133"/>
      <c r="B6436" s="1136"/>
      <c r="C6436" s="1138"/>
    </row>
    <row r="6437" spans="1:3">
      <c r="A6437" s="1133"/>
      <c r="B6437" s="1136"/>
      <c r="C6437" s="1138"/>
    </row>
    <row r="6438" spans="1:3">
      <c r="A6438" s="1133"/>
      <c r="B6438" s="1136"/>
      <c r="C6438" s="1138"/>
    </row>
    <row r="6439" spans="1:3">
      <c r="A6439" s="1133"/>
      <c r="B6439" s="1136"/>
      <c r="C6439" s="1138"/>
    </row>
    <row r="6440" spans="1:3">
      <c r="A6440" s="1133"/>
      <c r="B6440" s="1136"/>
      <c r="C6440" s="1138"/>
    </row>
    <row r="6441" spans="1:3">
      <c r="A6441" s="1133"/>
      <c r="B6441" s="1136"/>
      <c r="C6441" s="1138"/>
    </row>
    <row r="6442" spans="1:3">
      <c r="A6442" s="1133"/>
      <c r="B6442" s="1136"/>
      <c r="C6442" s="1138"/>
    </row>
    <row r="6443" spans="1:3">
      <c r="A6443" s="1133"/>
      <c r="B6443" s="1136"/>
      <c r="C6443" s="1138"/>
    </row>
    <row r="6444" spans="1:3">
      <c r="A6444" s="1133"/>
      <c r="B6444" s="1136"/>
      <c r="C6444" s="1138"/>
    </row>
    <row r="6445" spans="1:3">
      <c r="A6445" s="1133"/>
      <c r="B6445" s="1136"/>
      <c r="C6445" s="1138"/>
    </row>
    <row r="6446" spans="1:3">
      <c r="A6446" s="1133"/>
      <c r="B6446" s="1136"/>
      <c r="C6446" s="1138"/>
    </row>
    <row r="6447" spans="1:3">
      <c r="A6447" s="1133"/>
      <c r="B6447" s="1136"/>
      <c r="C6447" s="1138"/>
    </row>
    <row r="6448" spans="1:3">
      <c r="A6448" s="1133"/>
      <c r="B6448" s="1136"/>
      <c r="C6448" s="1138"/>
    </row>
    <row r="6449" spans="1:3">
      <c r="A6449" s="1133"/>
      <c r="B6449" s="1136"/>
      <c r="C6449" s="1138"/>
    </row>
    <row r="6450" spans="1:3">
      <c r="A6450" s="1133"/>
      <c r="B6450" s="1136"/>
      <c r="C6450" s="1138"/>
    </row>
    <row r="6451" spans="1:3">
      <c r="A6451" s="1133"/>
      <c r="B6451" s="1136"/>
      <c r="C6451" s="1138"/>
    </row>
    <row r="6452" spans="1:3">
      <c r="A6452" s="1133"/>
      <c r="B6452" s="1136"/>
      <c r="C6452" s="1138"/>
    </row>
    <row r="6453" spans="1:3">
      <c r="A6453" s="1133"/>
      <c r="B6453" s="1136"/>
      <c r="C6453" s="1138"/>
    </row>
    <row r="6454" spans="1:3">
      <c r="A6454" s="1133"/>
      <c r="B6454" s="1136"/>
      <c r="C6454" s="1138"/>
    </row>
    <row r="6455" spans="1:3">
      <c r="A6455" s="1133"/>
      <c r="B6455" s="1136"/>
      <c r="C6455" s="1138"/>
    </row>
    <row r="6456" spans="1:3">
      <c r="A6456" s="1133"/>
      <c r="B6456" s="1136"/>
      <c r="C6456" s="1138"/>
    </row>
    <row r="6457" spans="1:3">
      <c r="A6457" s="1133"/>
      <c r="B6457" s="1136"/>
      <c r="C6457" s="1138"/>
    </row>
    <row r="6458" spans="1:3">
      <c r="A6458" s="1133"/>
      <c r="B6458" s="1136"/>
      <c r="C6458" s="1138"/>
    </row>
    <row r="6459" spans="1:3">
      <c r="A6459" s="1133"/>
      <c r="B6459" s="1136"/>
      <c r="C6459" s="1138"/>
    </row>
    <row r="6460" spans="1:3">
      <c r="A6460" s="1133"/>
      <c r="B6460" s="1136"/>
      <c r="C6460" s="1138"/>
    </row>
    <row r="6461" spans="1:3">
      <c r="A6461" s="1133"/>
      <c r="B6461" s="1136"/>
      <c r="C6461" s="1138"/>
    </row>
    <row r="6462" spans="1:3">
      <c r="A6462" s="1133"/>
      <c r="B6462" s="1136"/>
      <c r="C6462" s="1138"/>
    </row>
    <row r="6463" spans="1:3">
      <c r="A6463" s="1133"/>
      <c r="B6463" s="1136"/>
      <c r="C6463" s="1138"/>
    </row>
    <row r="6464" spans="1:3">
      <c r="A6464" s="1133"/>
      <c r="B6464" s="1136"/>
      <c r="C6464" s="1138"/>
    </row>
    <row r="6465" spans="1:3">
      <c r="A6465" s="1133"/>
      <c r="B6465" s="1136"/>
      <c r="C6465" s="1138"/>
    </row>
    <row r="6466" spans="1:3">
      <c r="A6466" s="1133"/>
      <c r="B6466" s="1136"/>
      <c r="C6466" s="1138"/>
    </row>
    <row r="6467" spans="1:3">
      <c r="A6467" s="1133"/>
      <c r="B6467" s="1136"/>
      <c r="C6467" s="1138"/>
    </row>
    <row r="6468" spans="1:3">
      <c r="A6468" s="1133"/>
      <c r="B6468" s="1136"/>
      <c r="C6468" s="1138"/>
    </row>
    <row r="6469" spans="1:3">
      <c r="A6469" s="1133"/>
      <c r="B6469" s="1136"/>
      <c r="C6469" s="1138"/>
    </row>
    <row r="6470" spans="1:3">
      <c r="A6470" s="1133"/>
      <c r="B6470" s="1136"/>
      <c r="C6470" s="1138"/>
    </row>
    <row r="6471" spans="1:3">
      <c r="A6471" s="1133"/>
      <c r="B6471" s="1136"/>
      <c r="C6471" s="1138"/>
    </row>
    <row r="6472" spans="1:3">
      <c r="A6472" s="1133"/>
      <c r="B6472" s="1136"/>
      <c r="C6472" s="1138"/>
    </row>
    <row r="6473" spans="1:3">
      <c r="A6473" s="1133"/>
      <c r="B6473" s="1136"/>
      <c r="C6473" s="1138"/>
    </row>
    <row r="6474" spans="1:3">
      <c r="A6474" s="1133"/>
      <c r="B6474" s="1136"/>
      <c r="C6474" s="1138"/>
    </row>
    <row r="6475" spans="1:3">
      <c r="A6475" s="1133"/>
      <c r="B6475" s="1136"/>
      <c r="C6475" s="1138"/>
    </row>
    <row r="6476" spans="1:3">
      <c r="A6476" s="1133"/>
      <c r="B6476" s="1136"/>
      <c r="C6476" s="1138"/>
    </row>
    <row r="6477" spans="1:3">
      <c r="A6477" s="1133"/>
      <c r="B6477" s="1136"/>
      <c r="C6477" s="1138"/>
    </row>
    <row r="6478" spans="1:3">
      <c r="A6478" s="1133"/>
      <c r="B6478" s="1136"/>
      <c r="C6478" s="1138"/>
    </row>
    <row r="6479" spans="1:3">
      <c r="A6479" s="1133"/>
      <c r="B6479" s="1136"/>
      <c r="C6479" s="1138"/>
    </row>
    <row r="6480" spans="1:3">
      <c r="A6480" s="1133"/>
      <c r="B6480" s="1136"/>
      <c r="C6480" s="1138"/>
    </row>
    <row r="6481" spans="1:3">
      <c r="A6481" s="1133"/>
      <c r="B6481" s="1136"/>
      <c r="C6481" s="1138"/>
    </row>
    <row r="6482" spans="1:3">
      <c r="A6482" s="1133"/>
      <c r="B6482" s="1136"/>
      <c r="C6482" s="1138"/>
    </row>
    <row r="6483" spans="1:3">
      <c r="A6483" s="1133"/>
      <c r="B6483" s="1136"/>
      <c r="C6483" s="1138"/>
    </row>
    <row r="6484" spans="1:3">
      <c r="A6484" s="1133"/>
      <c r="B6484" s="1136"/>
      <c r="C6484" s="1138"/>
    </row>
    <row r="6485" spans="1:3">
      <c r="A6485" s="1133"/>
      <c r="B6485" s="1136"/>
      <c r="C6485" s="1138"/>
    </row>
    <row r="6486" spans="1:3">
      <c r="A6486" s="1133"/>
      <c r="B6486" s="1136"/>
      <c r="C6486" s="1138"/>
    </row>
    <row r="6487" spans="1:3">
      <c r="A6487" s="1133"/>
      <c r="B6487" s="1136"/>
      <c r="C6487" s="1138"/>
    </row>
    <row r="6488" spans="1:3">
      <c r="A6488" s="1133"/>
      <c r="B6488" s="1136"/>
      <c r="C6488" s="1138"/>
    </row>
    <row r="6489" spans="1:3">
      <c r="A6489" s="1133"/>
      <c r="B6489" s="1136"/>
      <c r="C6489" s="1138"/>
    </row>
    <row r="6490" spans="1:3">
      <c r="A6490" s="1133"/>
      <c r="B6490" s="1136"/>
      <c r="C6490" s="1138"/>
    </row>
    <row r="6491" spans="1:3">
      <c r="A6491" s="1133"/>
      <c r="B6491" s="1136"/>
      <c r="C6491" s="1138"/>
    </row>
    <row r="6492" spans="1:3">
      <c r="A6492" s="1133"/>
      <c r="B6492" s="1136"/>
      <c r="C6492" s="1138"/>
    </row>
    <row r="6493" spans="1:3">
      <c r="A6493" s="1133"/>
      <c r="B6493" s="1136"/>
      <c r="C6493" s="1138"/>
    </row>
    <row r="6494" spans="1:3">
      <c r="A6494" s="1133"/>
      <c r="B6494" s="1136"/>
      <c r="C6494" s="1138"/>
    </row>
    <row r="6495" spans="1:3">
      <c r="A6495" s="1133"/>
      <c r="B6495" s="1136"/>
      <c r="C6495" s="1138"/>
    </row>
    <row r="6496" spans="1:3">
      <c r="A6496" s="1133"/>
      <c r="B6496" s="1136"/>
      <c r="C6496" s="1138"/>
    </row>
    <row r="6497" spans="1:3">
      <c r="A6497" s="1133"/>
      <c r="B6497" s="1136"/>
      <c r="C6497" s="1138"/>
    </row>
    <row r="6498" spans="1:3">
      <c r="A6498" s="1133"/>
      <c r="B6498" s="1136"/>
      <c r="C6498" s="1138"/>
    </row>
    <row r="6499" spans="1:3">
      <c r="A6499" s="1133"/>
      <c r="B6499" s="1136"/>
      <c r="C6499" s="1138"/>
    </row>
    <row r="6500" spans="1:3">
      <c r="A6500" s="1133"/>
      <c r="B6500" s="1136"/>
      <c r="C6500" s="1138"/>
    </row>
    <row r="6501" spans="1:3">
      <c r="A6501" s="1133"/>
      <c r="B6501" s="1136"/>
      <c r="C6501" s="1138"/>
    </row>
    <row r="6502" spans="1:3">
      <c r="A6502" s="1133"/>
      <c r="B6502" s="1136"/>
      <c r="C6502" s="1138"/>
    </row>
    <row r="6503" spans="1:3">
      <c r="A6503" s="1133"/>
      <c r="B6503" s="1136"/>
      <c r="C6503" s="1138"/>
    </row>
    <row r="6504" spans="1:3">
      <c r="A6504" s="1133"/>
      <c r="B6504" s="1136"/>
      <c r="C6504" s="1138"/>
    </row>
    <row r="6505" spans="1:3">
      <c r="A6505" s="1133"/>
      <c r="B6505" s="1136"/>
      <c r="C6505" s="1138"/>
    </row>
    <row r="6506" spans="1:3">
      <c r="A6506" s="1133"/>
      <c r="B6506" s="1136"/>
      <c r="C6506" s="1138"/>
    </row>
    <row r="6507" spans="1:3">
      <c r="A6507" s="1133"/>
      <c r="B6507" s="1136"/>
      <c r="C6507" s="1138"/>
    </row>
    <row r="6508" spans="1:3">
      <c r="A6508" s="1133"/>
      <c r="B6508" s="1136"/>
      <c r="C6508" s="1138"/>
    </row>
    <row r="6509" spans="1:3">
      <c r="A6509" s="1133"/>
      <c r="B6509" s="1136"/>
      <c r="C6509" s="1138"/>
    </row>
    <row r="6510" spans="1:3">
      <c r="A6510" s="1133"/>
      <c r="B6510" s="1136"/>
      <c r="C6510" s="1138"/>
    </row>
    <row r="6511" spans="1:3">
      <c r="A6511" s="1133"/>
      <c r="B6511" s="1136"/>
      <c r="C6511" s="1138"/>
    </row>
    <row r="6512" spans="1:3">
      <c r="A6512" s="1133"/>
      <c r="B6512" s="1136"/>
      <c r="C6512" s="1138"/>
    </row>
    <row r="6513" spans="1:3">
      <c r="A6513" s="1133"/>
      <c r="B6513" s="1136"/>
      <c r="C6513" s="1138"/>
    </row>
    <row r="6514" spans="1:3">
      <c r="A6514" s="1133"/>
      <c r="B6514" s="1136"/>
      <c r="C6514" s="1138"/>
    </row>
    <row r="6515" spans="1:3">
      <c r="A6515" s="1133"/>
      <c r="B6515" s="1136"/>
      <c r="C6515" s="1138"/>
    </row>
    <row r="6516" spans="1:3">
      <c r="A6516" s="1133"/>
      <c r="B6516" s="1136"/>
      <c r="C6516" s="1138"/>
    </row>
    <row r="6517" spans="1:3">
      <c r="A6517" s="1133"/>
      <c r="B6517" s="1136"/>
      <c r="C6517" s="1138"/>
    </row>
    <row r="6518" spans="1:3">
      <c r="A6518" s="1133"/>
      <c r="B6518" s="1136"/>
      <c r="C6518" s="1138"/>
    </row>
    <row r="6519" spans="1:3">
      <c r="A6519" s="1133"/>
      <c r="B6519" s="1136"/>
      <c r="C6519" s="1138"/>
    </row>
    <row r="6520" spans="1:3">
      <c r="A6520" s="1133"/>
      <c r="B6520" s="1136"/>
      <c r="C6520" s="1138"/>
    </row>
    <row r="6521" spans="1:3">
      <c r="A6521" s="1133"/>
      <c r="B6521" s="1136"/>
      <c r="C6521" s="1138"/>
    </row>
    <row r="6522" spans="1:3">
      <c r="A6522" s="1133"/>
      <c r="B6522" s="1136"/>
      <c r="C6522" s="1138"/>
    </row>
    <row r="6523" spans="1:3">
      <c r="A6523" s="1133"/>
      <c r="B6523" s="1136"/>
      <c r="C6523" s="1138"/>
    </row>
    <row r="6524" spans="1:3">
      <c r="A6524" s="1133"/>
      <c r="B6524" s="1136"/>
      <c r="C6524" s="1138"/>
    </row>
    <row r="6525" spans="1:3">
      <c r="A6525" s="1133"/>
      <c r="B6525" s="1136"/>
      <c r="C6525" s="1138"/>
    </row>
    <row r="6526" spans="1:3">
      <c r="A6526" s="1133"/>
      <c r="B6526" s="1136"/>
      <c r="C6526" s="1138"/>
    </row>
    <row r="6527" spans="1:3">
      <c r="A6527" s="1133"/>
      <c r="B6527" s="1136"/>
      <c r="C6527" s="1138"/>
    </row>
    <row r="6528" spans="1:3">
      <c r="A6528" s="1133"/>
      <c r="B6528" s="1136"/>
      <c r="C6528" s="1138"/>
    </row>
    <row r="6529" spans="1:3">
      <c r="A6529" s="1133"/>
      <c r="B6529" s="1136"/>
      <c r="C6529" s="1138"/>
    </row>
    <row r="6530" spans="1:3">
      <c r="A6530" s="1133"/>
      <c r="B6530" s="1136"/>
      <c r="C6530" s="1138"/>
    </row>
    <row r="6531" spans="1:3">
      <c r="A6531" s="1133"/>
      <c r="B6531" s="1136"/>
      <c r="C6531" s="1138"/>
    </row>
    <row r="6532" spans="1:3">
      <c r="A6532" s="1133"/>
      <c r="B6532" s="1136"/>
      <c r="C6532" s="1138"/>
    </row>
    <row r="6533" spans="1:3">
      <c r="A6533" s="1133"/>
      <c r="B6533" s="1136"/>
      <c r="C6533" s="1138"/>
    </row>
    <row r="6534" spans="1:3">
      <c r="A6534" s="1133"/>
      <c r="B6534" s="1136"/>
      <c r="C6534" s="1138"/>
    </row>
    <row r="6535" spans="1:3">
      <c r="A6535" s="1133"/>
      <c r="B6535" s="1136"/>
      <c r="C6535" s="1138"/>
    </row>
    <row r="6536" spans="1:3">
      <c r="A6536" s="1133"/>
      <c r="B6536" s="1136"/>
      <c r="C6536" s="1138"/>
    </row>
    <row r="6537" spans="1:3">
      <c r="A6537" s="1133"/>
      <c r="B6537" s="1136"/>
      <c r="C6537" s="1138"/>
    </row>
    <row r="6538" spans="1:3">
      <c r="A6538" s="1133"/>
      <c r="B6538" s="1136"/>
      <c r="C6538" s="1138"/>
    </row>
    <row r="6539" spans="1:3">
      <c r="A6539" s="1133"/>
      <c r="B6539" s="1136"/>
      <c r="C6539" s="1138"/>
    </row>
    <row r="6540" spans="1:3">
      <c r="A6540" s="1133"/>
      <c r="B6540" s="1136"/>
      <c r="C6540" s="1138"/>
    </row>
    <row r="6541" spans="1:3">
      <c r="A6541" s="1133"/>
      <c r="B6541" s="1136"/>
      <c r="C6541" s="1138"/>
    </row>
    <row r="6542" spans="1:3">
      <c r="A6542" s="1133"/>
      <c r="B6542" s="1136"/>
      <c r="C6542" s="1138"/>
    </row>
    <row r="6543" spans="1:3">
      <c r="A6543" s="1133"/>
      <c r="B6543" s="1136"/>
      <c r="C6543" s="1138"/>
    </row>
    <row r="6544" spans="1:3">
      <c r="A6544" s="1133"/>
      <c r="B6544" s="1136"/>
      <c r="C6544" s="1138"/>
    </row>
    <row r="6545" spans="1:3">
      <c r="A6545" s="1133"/>
      <c r="B6545" s="1136"/>
      <c r="C6545" s="1138"/>
    </row>
    <row r="6546" spans="1:3">
      <c r="A6546" s="1133"/>
      <c r="B6546" s="1136"/>
      <c r="C6546" s="1138"/>
    </row>
    <row r="6547" spans="1:3">
      <c r="A6547" s="1133"/>
      <c r="B6547" s="1136"/>
      <c r="C6547" s="1138"/>
    </row>
    <row r="6548" spans="1:3">
      <c r="A6548" s="1133"/>
      <c r="B6548" s="1136"/>
      <c r="C6548" s="1138"/>
    </row>
    <row r="6549" spans="1:3">
      <c r="A6549" s="1133"/>
      <c r="B6549" s="1136"/>
      <c r="C6549" s="1138"/>
    </row>
    <row r="6550" spans="1:3">
      <c r="A6550" s="1133"/>
      <c r="B6550" s="1136"/>
      <c r="C6550" s="1138"/>
    </row>
    <row r="6551" spans="1:3">
      <c r="A6551" s="1133"/>
      <c r="B6551" s="1136"/>
      <c r="C6551" s="1138"/>
    </row>
    <row r="6552" spans="1:3">
      <c r="A6552" s="1133"/>
      <c r="B6552" s="1136"/>
      <c r="C6552" s="1138"/>
    </row>
    <row r="6553" spans="1:3">
      <c r="A6553" s="1133"/>
      <c r="B6553" s="1136"/>
      <c r="C6553" s="1138"/>
    </row>
    <row r="6554" spans="1:3">
      <c r="A6554" s="1133"/>
      <c r="B6554" s="1136"/>
      <c r="C6554" s="1138"/>
    </row>
    <row r="6555" spans="1:3">
      <c r="A6555" s="1133"/>
      <c r="B6555" s="1136"/>
      <c r="C6555" s="1138"/>
    </row>
    <row r="6556" spans="1:3">
      <c r="A6556" s="1133"/>
      <c r="B6556" s="1136"/>
      <c r="C6556" s="1138"/>
    </row>
    <row r="6557" spans="1:3">
      <c r="A6557" s="1133"/>
      <c r="B6557" s="1136"/>
      <c r="C6557" s="1138"/>
    </row>
    <row r="6558" spans="1:3">
      <c r="A6558" s="1133"/>
      <c r="B6558" s="1136"/>
      <c r="C6558" s="1138"/>
    </row>
    <row r="6559" spans="1:3">
      <c r="A6559" s="1133"/>
      <c r="B6559" s="1136"/>
      <c r="C6559" s="1138"/>
    </row>
    <row r="6560" spans="1:3">
      <c r="A6560" s="1133"/>
      <c r="B6560" s="1136"/>
      <c r="C6560" s="1138"/>
    </row>
    <row r="6561" spans="1:3">
      <c r="A6561" s="1133"/>
      <c r="B6561" s="1136"/>
      <c r="C6561" s="1138"/>
    </row>
    <row r="6562" spans="1:3">
      <c r="A6562" s="1133"/>
      <c r="B6562" s="1136"/>
      <c r="C6562" s="1138"/>
    </row>
    <row r="6563" spans="1:3">
      <c r="A6563" s="1133"/>
      <c r="B6563" s="1136"/>
      <c r="C6563" s="1138"/>
    </row>
    <row r="6564" spans="1:3">
      <c r="A6564" s="1133"/>
      <c r="B6564" s="1136"/>
      <c r="C6564" s="1138"/>
    </row>
    <row r="6565" spans="1:3">
      <c r="A6565" s="1133"/>
      <c r="B6565" s="1136"/>
      <c r="C6565" s="1138"/>
    </row>
    <row r="6566" spans="1:3">
      <c r="A6566" s="1133"/>
      <c r="B6566" s="1136"/>
      <c r="C6566" s="1138"/>
    </row>
    <row r="6567" spans="1:3">
      <c r="A6567" s="1133"/>
      <c r="B6567" s="1136"/>
      <c r="C6567" s="1138"/>
    </row>
    <row r="6568" spans="1:3">
      <c r="A6568" s="1133"/>
      <c r="B6568" s="1136"/>
      <c r="C6568" s="1138"/>
    </row>
    <row r="6569" spans="1:3">
      <c r="A6569" s="1133"/>
      <c r="B6569" s="1136"/>
      <c r="C6569" s="1138"/>
    </row>
    <row r="6570" spans="1:3">
      <c r="A6570" s="1133"/>
      <c r="B6570" s="1136"/>
      <c r="C6570" s="1138"/>
    </row>
    <row r="6571" spans="1:3">
      <c r="A6571" s="1133"/>
      <c r="B6571" s="1136"/>
      <c r="C6571" s="1138"/>
    </row>
    <row r="6572" spans="1:3">
      <c r="A6572" s="1133"/>
      <c r="B6572" s="1136"/>
      <c r="C6572" s="1138"/>
    </row>
    <row r="6573" spans="1:3">
      <c r="A6573" s="1133"/>
      <c r="B6573" s="1136"/>
      <c r="C6573" s="1138"/>
    </row>
    <row r="6574" spans="1:3">
      <c r="A6574" s="1133"/>
      <c r="B6574" s="1136"/>
      <c r="C6574" s="1138"/>
    </row>
    <row r="6575" spans="1:3">
      <c r="A6575" s="1133"/>
      <c r="B6575" s="1136"/>
      <c r="C6575" s="1138"/>
    </row>
    <row r="6576" spans="1:3">
      <c r="A6576" s="1133"/>
      <c r="B6576" s="1136"/>
      <c r="C6576" s="1138"/>
    </row>
    <row r="6577" spans="1:3">
      <c r="A6577" s="1133"/>
      <c r="B6577" s="1136"/>
      <c r="C6577" s="1138"/>
    </row>
    <row r="6578" spans="1:3">
      <c r="A6578" s="1133"/>
      <c r="B6578" s="1136"/>
      <c r="C6578" s="1138"/>
    </row>
    <row r="6579" spans="1:3">
      <c r="A6579" s="1133"/>
      <c r="B6579" s="1136"/>
      <c r="C6579" s="1138"/>
    </row>
    <row r="6580" spans="1:3">
      <c r="A6580" s="1133"/>
      <c r="B6580" s="1136"/>
      <c r="C6580" s="1138"/>
    </row>
    <row r="6581" spans="1:3">
      <c r="A6581" s="1133"/>
      <c r="B6581" s="1136"/>
      <c r="C6581" s="1138"/>
    </row>
    <row r="6582" spans="1:3">
      <c r="A6582" s="1133"/>
      <c r="B6582" s="1136"/>
      <c r="C6582" s="1138"/>
    </row>
    <row r="6583" spans="1:3">
      <c r="A6583" s="1133"/>
      <c r="B6583" s="1136"/>
      <c r="C6583" s="1138"/>
    </row>
    <row r="6584" spans="1:3">
      <c r="A6584" s="1133"/>
      <c r="B6584" s="1136"/>
      <c r="C6584" s="1138"/>
    </row>
    <row r="6585" spans="1:3">
      <c r="A6585" s="1133"/>
      <c r="B6585" s="1136"/>
      <c r="C6585" s="1138"/>
    </row>
    <row r="6586" spans="1:3">
      <c r="A6586" s="1133"/>
      <c r="B6586" s="1136"/>
      <c r="C6586" s="1138"/>
    </row>
    <row r="6587" spans="1:3">
      <c r="A6587" s="1133"/>
      <c r="B6587" s="1136"/>
      <c r="C6587" s="1138"/>
    </row>
    <row r="6588" spans="1:3">
      <c r="A6588" s="1133"/>
      <c r="B6588" s="1136"/>
      <c r="C6588" s="1138"/>
    </row>
    <row r="6589" spans="1:3">
      <c r="A6589" s="1133"/>
      <c r="B6589" s="1136"/>
      <c r="C6589" s="1138"/>
    </row>
    <row r="6590" spans="1:3">
      <c r="A6590" s="1133"/>
      <c r="B6590" s="1136"/>
      <c r="C6590" s="1138"/>
    </row>
    <row r="6591" spans="1:3">
      <c r="A6591" s="1133"/>
      <c r="B6591" s="1136"/>
      <c r="C6591" s="1138"/>
    </row>
    <row r="6592" spans="1:3">
      <c r="A6592" s="1133"/>
      <c r="B6592" s="1136"/>
      <c r="C6592" s="1138"/>
    </row>
    <row r="6593" spans="1:3">
      <c r="A6593" s="1133"/>
      <c r="B6593" s="1136"/>
      <c r="C6593" s="1138"/>
    </row>
    <row r="6594" spans="1:3">
      <c r="A6594" s="1133"/>
      <c r="B6594" s="1136"/>
      <c r="C6594" s="1138"/>
    </row>
    <row r="6595" spans="1:3">
      <c r="A6595" s="1133"/>
      <c r="B6595" s="1136"/>
      <c r="C6595" s="1138"/>
    </row>
    <row r="6596" spans="1:3">
      <c r="A6596" s="1133"/>
      <c r="B6596" s="1136"/>
      <c r="C6596" s="1138"/>
    </row>
    <row r="6597" spans="1:3">
      <c r="A6597" s="1133"/>
      <c r="B6597" s="1136"/>
      <c r="C6597" s="1138"/>
    </row>
    <row r="6598" spans="1:3">
      <c r="A6598" s="1133"/>
      <c r="B6598" s="1136"/>
      <c r="C6598" s="1138"/>
    </row>
    <row r="6599" spans="1:3">
      <c r="A6599" s="1133"/>
      <c r="B6599" s="1136"/>
      <c r="C6599" s="1138"/>
    </row>
    <row r="6600" spans="1:3">
      <c r="A6600" s="1133"/>
      <c r="B6600" s="1136"/>
      <c r="C6600" s="1138"/>
    </row>
    <row r="6601" spans="1:3">
      <c r="A6601" s="1133"/>
      <c r="B6601" s="1136"/>
      <c r="C6601" s="1138"/>
    </row>
    <row r="6602" spans="1:3">
      <c r="A6602" s="1133"/>
      <c r="B6602" s="1136"/>
      <c r="C6602" s="1138"/>
    </row>
    <row r="6603" spans="1:3">
      <c r="A6603" s="1133"/>
      <c r="B6603" s="1136"/>
      <c r="C6603" s="1138"/>
    </row>
    <row r="6604" spans="1:3">
      <c r="A6604" s="1133"/>
      <c r="B6604" s="1136"/>
      <c r="C6604" s="1138"/>
    </row>
    <row r="6605" spans="1:3">
      <c r="A6605" s="1133"/>
      <c r="B6605" s="1136"/>
      <c r="C6605" s="1138"/>
    </row>
    <row r="6606" spans="1:3">
      <c r="A6606" s="1133"/>
      <c r="B6606" s="1136"/>
      <c r="C6606" s="1138"/>
    </row>
    <row r="6607" spans="1:3">
      <c r="A6607" s="1133"/>
      <c r="B6607" s="1136"/>
      <c r="C6607" s="1138"/>
    </row>
    <row r="6608" spans="1:3">
      <c r="A6608" s="1133"/>
      <c r="B6608" s="1136"/>
      <c r="C6608" s="1138"/>
    </row>
    <row r="6609" spans="1:3">
      <c r="A6609" s="1133"/>
      <c r="B6609" s="1136"/>
      <c r="C6609" s="1138"/>
    </row>
    <row r="6610" spans="1:3">
      <c r="A6610" s="1133"/>
      <c r="B6610" s="1136"/>
      <c r="C6610" s="1138"/>
    </row>
    <row r="6611" spans="1:3">
      <c r="A6611" s="1133"/>
      <c r="B6611" s="1136"/>
      <c r="C6611" s="1138"/>
    </row>
    <row r="6612" spans="1:3">
      <c r="A6612" s="1133"/>
      <c r="B6612" s="1136"/>
      <c r="C6612" s="1138"/>
    </row>
    <row r="6613" spans="1:3">
      <c r="A6613" s="1133"/>
      <c r="B6613" s="1136"/>
      <c r="C6613" s="1138"/>
    </row>
    <row r="6614" spans="1:3">
      <c r="A6614" s="1133"/>
      <c r="B6614" s="1136"/>
      <c r="C6614" s="1138"/>
    </row>
    <row r="6615" spans="1:3">
      <c r="A6615" s="1133"/>
      <c r="B6615" s="1136"/>
      <c r="C6615" s="1138"/>
    </row>
    <row r="6616" spans="1:3">
      <c r="A6616" s="1133"/>
      <c r="B6616" s="1136"/>
      <c r="C6616" s="1138"/>
    </row>
    <row r="6617" spans="1:3">
      <c r="A6617" s="1133"/>
      <c r="B6617" s="1136"/>
      <c r="C6617" s="1138"/>
    </row>
    <row r="6618" spans="1:3">
      <c r="A6618" s="1133"/>
      <c r="B6618" s="1136"/>
      <c r="C6618" s="1138"/>
    </row>
    <row r="6619" spans="1:3">
      <c r="A6619" s="1133"/>
      <c r="B6619" s="1136"/>
      <c r="C6619" s="1138"/>
    </row>
    <row r="6620" spans="1:3">
      <c r="A6620" s="1133"/>
      <c r="B6620" s="1136"/>
      <c r="C6620" s="1138"/>
    </row>
    <row r="6621" spans="1:3">
      <c r="A6621" s="1133"/>
      <c r="B6621" s="1136"/>
      <c r="C6621" s="1138"/>
    </row>
    <row r="6622" spans="1:3">
      <c r="A6622" s="1133"/>
      <c r="B6622" s="1136"/>
      <c r="C6622" s="1138"/>
    </row>
    <row r="6623" spans="1:3">
      <c r="A6623" s="1133"/>
      <c r="B6623" s="1136"/>
      <c r="C6623" s="1138"/>
    </row>
    <row r="6624" spans="1:3">
      <c r="A6624" s="1133"/>
      <c r="B6624" s="1136"/>
      <c r="C6624" s="1138"/>
    </row>
    <row r="6625" spans="1:3">
      <c r="A6625" s="1133"/>
      <c r="B6625" s="1136"/>
      <c r="C6625" s="1138"/>
    </row>
    <row r="6626" spans="1:3">
      <c r="A6626" s="1133"/>
      <c r="B6626" s="1136"/>
      <c r="C6626" s="1138"/>
    </row>
    <row r="6627" spans="1:3">
      <c r="A6627" s="1133"/>
      <c r="B6627" s="1136"/>
      <c r="C6627" s="1138"/>
    </row>
    <row r="6628" spans="1:3">
      <c r="A6628" s="1133"/>
      <c r="B6628" s="1136"/>
      <c r="C6628" s="1138"/>
    </row>
    <row r="6629" spans="1:3">
      <c r="A6629" s="1133"/>
      <c r="B6629" s="1136"/>
      <c r="C6629" s="1138"/>
    </row>
    <row r="6630" spans="1:3">
      <c r="A6630" s="1133"/>
      <c r="B6630" s="1136"/>
      <c r="C6630" s="1138"/>
    </row>
    <row r="6631" spans="1:3">
      <c r="A6631" s="1133"/>
      <c r="B6631" s="1136"/>
      <c r="C6631" s="1138"/>
    </row>
    <row r="6632" spans="1:3">
      <c r="A6632" s="1133"/>
      <c r="B6632" s="1136"/>
      <c r="C6632" s="1138"/>
    </row>
    <row r="6633" spans="1:3">
      <c r="A6633" s="1133"/>
      <c r="B6633" s="1136"/>
      <c r="C6633" s="1138"/>
    </row>
    <row r="6634" spans="1:3">
      <c r="A6634" s="1133"/>
      <c r="B6634" s="1136"/>
      <c r="C6634" s="1138"/>
    </row>
    <row r="6635" spans="1:3">
      <c r="A6635" s="1133"/>
      <c r="B6635" s="1136"/>
      <c r="C6635" s="1138"/>
    </row>
    <row r="6636" spans="1:3">
      <c r="A6636" s="1133"/>
      <c r="B6636" s="1136"/>
      <c r="C6636" s="1138"/>
    </row>
    <row r="6637" spans="1:3">
      <c r="A6637" s="1133"/>
      <c r="B6637" s="1136"/>
      <c r="C6637" s="1138"/>
    </row>
    <row r="6638" spans="1:3">
      <c r="A6638" s="1133"/>
      <c r="B6638" s="1136"/>
      <c r="C6638" s="1138"/>
    </row>
    <row r="6639" spans="1:3">
      <c r="A6639" s="1133"/>
      <c r="B6639" s="1136"/>
      <c r="C6639" s="1138"/>
    </row>
    <row r="6640" spans="1:3">
      <c r="A6640" s="1133"/>
      <c r="B6640" s="1136"/>
      <c r="C6640" s="1138"/>
    </row>
    <row r="6641" spans="1:3">
      <c r="A6641" s="1133"/>
      <c r="B6641" s="1136"/>
      <c r="C6641" s="1138"/>
    </row>
    <row r="6642" spans="1:3">
      <c r="A6642" s="1133"/>
      <c r="B6642" s="1136"/>
      <c r="C6642" s="1138"/>
    </row>
    <row r="6643" spans="1:3">
      <c r="A6643" s="1133"/>
      <c r="B6643" s="1136"/>
      <c r="C6643" s="1138"/>
    </row>
    <row r="6644" spans="1:3">
      <c r="A6644" s="1133"/>
      <c r="B6644" s="1136"/>
      <c r="C6644" s="1138"/>
    </row>
    <row r="6645" spans="1:3">
      <c r="A6645" s="1133"/>
      <c r="B6645" s="1136"/>
      <c r="C6645" s="1138"/>
    </row>
    <row r="6646" spans="1:3">
      <c r="A6646" s="1133"/>
      <c r="B6646" s="1136"/>
      <c r="C6646" s="1138"/>
    </row>
    <row r="6647" spans="1:3">
      <c r="A6647" s="1133"/>
      <c r="B6647" s="1136"/>
      <c r="C6647" s="1138"/>
    </row>
    <row r="6648" spans="1:3">
      <c r="A6648" s="1133"/>
      <c r="B6648" s="1136"/>
      <c r="C6648" s="1138"/>
    </row>
    <row r="6649" spans="1:3">
      <c r="A6649" s="1133"/>
      <c r="B6649" s="1136"/>
      <c r="C6649" s="1138"/>
    </row>
    <row r="6650" spans="1:3">
      <c r="A6650" s="1133"/>
      <c r="B6650" s="1136"/>
      <c r="C6650" s="1138"/>
    </row>
    <row r="6651" spans="1:3">
      <c r="A6651" s="1133"/>
      <c r="B6651" s="1136"/>
      <c r="C6651" s="1138"/>
    </row>
    <row r="6652" spans="1:3">
      <c r="A6652" s="1133"/>
      <c r="B6652" s="1136"/>
      <c r="C6652" s="1138"/>
    </row>
    <row r="6653" spans="1:3">
      <c r="A6653" s="1133"/>
      <c r="B6653" s="1136"/>
      <c r="C6653" s="1138"/>
    </row>
    <row r="6654" spans="1:3">
      <c r="A6654" s="1133"/>
      <c r="B6654" s="1136"/>
      <c r="C6654" s="1138"/>
    </row>
    <row r="6655" spans="1:3">
      <c r="A6655" s="1133"/>
      <c r="B6655" s="1136"/>
      <c r="C6655" s="1138"/>
    </row>
    <row r="6656" spans="1:3">
      <c r="A6656" s="1133"/>
      <c r="B6656" s="1136"/>
      <c r="C6656" s="1138"/>
    </row>
    <row r="6657" spans="1:3">
      <c r="A6657" s="1133"/>
      <c r="B6657" s="1136"/>
      <c r="C6657" s="1138"/>
    </row>
    <row r="6658" spans="1:3">
      <c r="A6658" s="1133"/>
      <c r="B6658" s="1136"/>
      <c r="C6658" s="1138"/>
    </row>
    <row r="6659" spans="1:3">
      <c r="A6659" s="1133"/>
      <c r="B6659" s="1136"/>
      <c r="C6659" s="1138"/>
    </row>
    <row r="6660" spans="1:3">
      <c r="A6660" s="1133"/>
      <c r="B6660" s="1136"/>
      <c r="C6660" s="1138"/>
    </row>
    <row r="6661" spans="1:3">
      <c r="A6661" s="1133"/>
      <c r="B6661" s="1136"/>
      <c r="C6661" s="1138"/>
    </row>
    <row r="6662" spans="1:3">
      <c r="A6662" s="1133"/>
      <c r="B6662" s="1136"/>
      <c r="C6662" s="1138"/>
    </row>
    <row r="6663" spans="1:3">
      <c r="A6663" s="1133"/>
      <c r="B6663" s="1136"/>
      <c r="C6663" s="1138"/>
    </row>
    <row r="6664" spans="1:3">
      <c r="A6664" s="1133"/>
      <c r="B6664" s="1136"/>
      <c r="C6664" s="1138"/>
    </row>
    <row r="6665" spans="1:3">
      <c r="A6665" s="1133"/>
      <c r="B6665" s="1136"/>
      <c r="C6665" s="1138"/>
    </row>
    <row r="6666" spans="1:3">
      <c r="A6666" s="1133"/>
      <c r="B6666" s="1136"/>
      <c r="C6666" s="1138"/>
    </row>
    <row r="6667" spans="1:3">
      <c r="A6667" s="1133"/>
      <c r="B6667" s="1136"/>
      <c r="C6667" s="1138"/>
    </row>
    <row r="6668" spans="1:3">
      <c r="A6668" s="1133"/>
      <c r="B6668" s="1136"/>
      <c r="C6668" s="1138"/>
    </row>
    <row r="6669" spans="1:3">
      <c r="A6669" s="1133"/>
      <c r="B6669" s="1136"/>
      <c r="C6669" s="1138"/>
    </row>
    <row r="6670" spans="1:3">
      <c r="A6670" s="1133"/>
      <c r="B6670" s="1136"/>
      <c r="C6670" s="1138"/>
    </row>
    <row r="6671" spans="1:3">
      <c r="A6671" s="1133"/>
      <c r="B6671" s="1136"/>
      <c r="C6671" s="1138"/>
    </row>
    <row r="6672" spans="1:3">
      <c r="A6672" s="1133"/>
      <c r="B6672" s="1136"/>
      <c r="C6672" s="1138"/>
    </row>
    <row r="6673" spans="1:3">
      <c r="A6673" s="1133"/>
      <c r="B6673" s="1136"/>
      <c r="C6673" s="1138"/>
    </row>
    <row r="6674" spans="1:3">
      <c r="A6674" s="1133"/>
      <c r="B6674" s="1136"/>
      <c r="C6674" s="1138"/>
    </row>
    <row r="6675" spans="1:3">
      <c r="A6675" s="1133"/>
      <c r="B6675" s="1136"/>
      <c r="C6675" s="1138"/>
    </row>
    <row r="6676" spans="1:3">
      <c r="A6676" s="1133"/>
      <c r="B6676" s="1136"/>
      <c r="C6676" s="1138"/>
    </row>
    <row r="6677" spans="1:3">
      <c r="A6677" s="1133"/>
      <c r="B6677" s="1136"/>
      <c r="C6677" s="1138"/>
    </row>
    <row r="6678" spans="1:3">
      <c r="A6678" s="1133"/>
      <c r="B6678" s="1136"/>
      <c r="C6678" s="1138"/>
    </row>
    <row r="6679" spans="1:3">
      <c r="A6679" s="1133"/>
      <c r="B6679" s="1136"/>
      <c r="C6679" s="1138"/>
    </row>
    <row r="6680" spans="1:3">
      <c r="A6680" s="1133"/>
      <c r="B6680" s="1136"/>
      <c r="C6680" s="1138"/>
    </row>
    <row r="6681" spans="1:3">
      <c r="A6681" s="1133"/>
      <c r="B6681" s="1136"/>
      <c r="C6681" s="1138"/>
    </row>
    <row r="6682" spans="1:3">
      <c r="A6682" s="1133"/>
      <c r="B6682" s="1136"/>
      <c r="C6682" s="1138"/>
    </row>
    <row r="6683" spans="1:3">
      <c r="A6683" s="1133"/>
      <c r="B6683" s="1136"/>
      <c r="C6683" s="1138"/>
    </row>
    <row r="6684" spans="1:3">
      <c r="A6684" s="1133"/>
      <c r="B6684" s="1136"/>
      <c r="C6684" s="1138"/>
    </row>
    <row r="6685" spans="1:3">
      <c r="A6685" s="1133"/>
      <c r="B6685" s="1136"/>
      <c r="C6685" s="1138"/>
    </row>
    <row r="6686" spans="1:3">
      <c r="A6686" s="1133"/>
      <c r="B6686" s="1136"/>
      <c r="C6686" s="1138"/>
    </row>
    <row r="6687" spans="1:3">
      <c r="A6687" s="1133"/>
      <c r="B6687" s="1136"/>
      <c r="C6687" s="1138"/>
    </row>
    <row r="6688" spans="1:3">
      <c r="A6688" s="1133"/>
      <c r="B6688" s="1136"/>
      <c r="C6688" s="1138"/>
    </row>
    <row r="6689" spans="1:3">
      <c r="A6689" s="1133"/>
      <c r="B6689" s="1136"/>
      <c r="C6689" s="1138"/>
    </row>
    <row r="6690" spans="1:3">
      <c r="A6690" s="1133"/>
      <c r="B6690" s="1136"/>
      <c r="C6690" s="1138"/>
    </row>
    <row r="6691" spans="1:3">
      <c r="A6691" s="1133"/>
      <c r="B6691" s="1136"/>
      <c r="C6691" s="1138"/>
    </row>
    <row r="6692" spans="1:3">
      <c r="A6692" s="1133"/>
      <c r="B6692" s="1136"/>
      <c r="C6692" s="1138"/>
    </row>
    <row r="6693" spans="1:3">
      <c r="A6693" s="1133"/>
      <c r="B6693" s="1136"/>
      <c r="C6693" s="1138"/>
    </row>
    <row r="6694" spans="1:3">
      <c r="A6694" s="1133"/>
      <c r="B6694" s="1136"/>
      <c r="C6694" s="1138"/>
    </row>
    <row r="6695" spans="1:3">
      <c r="A6695" s="1133"/>
      <c r="B6695" s="1136"/>
      <c r="C6695" s="1138"/>
    </row>
    <row r="6696" spans="1:3">
      <c r="A6696" s="1133"/>
      <c r="B6696" s="1136"/>
      <c r="C6696" s="1138"/>
    </row>
    <row r="6697" spans="1:3">
      <c r="A6697" s="1133"/>
      <c r="B6697" s="1136"/>
      <c r="C6697" s="1138"/>
    </row>
    <row r="6698" spans="1:3">
      <c r="A6698" s="1133"/>
      <c r="B6698" s="1136"/>
      <c r="C6698" s="1138"/>
    </row>
    <row r="6699" spans="1:3">
      <c r="A6699" s="1133"/>
      <c r="B6699" s="1136"/>
      <c r="C6699" s="1138"/>
    </row>
    <row r="6700" spans="1:3">
      <c r="A6700" s="1133"/>
      <c r="B6700" s="1136"/>
      <c r="C6700" s="1138"/>
    </row>
    <row r="6701" spans="1:3">
      <c r="A6701" s="1133"/>
      <c r="B6701" s="1136"/>
      <c r="C6701" s="1138"/>
    </row>
    <row r="6702" spans="1:3">
      <c r="A6702" s="1133"/>
      <c r="B6702" s="1136"/>
      <c r="C6702" s="1138"/>
    </row>
    <row r="6703" spans="1:3">
      <c r="A6703" s="1133"/>
      <c r="B6703" s="1136"/>
      <c r="C6703" s="1138"/>
    </row>
    <row r="6704" spans="1:3">
      <c r="A6704" s="1133"/>
      <c r="B6704" s="1136"/>
      <c r="C6704" s="1138"/>
    </row>
    <row r="6705" spans="1:3">
      <c r="A6705" s="1133"/>
      <c r="B6705" s="1136"/>
      <c r="C6705" s="1138"/>
    </row>
    <row r="6706" spans="1:3">
      <c r="A6706" s="1133"/>
      <c r="B6706" s="1136"/>
      <c r="C6706" s="1138"/>
    </row>
    <row r="6707" spans="1:3">
      <c r="A6707" s="1133"/>
      <c r="B6707" s="1136"/>
      <c r="C6707" s="1138"/>
    </row>
    <row r="6708" spans="1:3">
      <c r="A6708" s="1133"/>
      <c r="B6708" s="1136"/>
      <c r="C6708" s="1138"/>
    </row>
    <row r="6709" spans="1:3">
      <c r="A6709" s="1133"/>
      <c r="B6709" s="1136"/>
      <c r="C6709" s="1138"/>
    </row>
    <row r="6710" spans="1:3">
      <c r="A6710" s="1133"/>
      <c r="B6710" s="1136"/>
      <c r="C6710" s="1138"/>
    </row>
    <row r="6711" spans="1:3">
      <c r="A6711" s="1133"/>
      <c r="B6711" s="1136"/>
      <c r="C6711" s="1138"/>
    </row>
    <row r="6712" spans="1:3">
      <c r="A6712" s="1133"/>
      <c r="B6712" s="1136"/>
      <c r="C6712" s="1138"/>
    </row>
    <row r="6713" spans="1:3">
      <c r="A6713" s="1133"/>
      <c r="B6713" s="1136"/>
      <c r="C6713" s="1138"/>
    </row>
    <row r="6714" spans="1:3">
      <c r="A6714" s="1133"/>
      <c r="B6714" s="1136"/>
      <c r="C6714" s="1138"/>
    </row>
    <row r="6715" spans="1:3">
      <c r="A6715" s="1133"/>
      <c r="B6715" s="1136"/>
      <c r="C6715" s="1138"/>
    </row>
    <row r="6716" spans="1:3">
      <c r="A6716" s="1133"/>
      <c r="B6716" s="1136"/>
      <c r="C6716" s="1138"/>
    </row>
    <row r="6717" spans="1:3">
      <c r="A6717" s="1133"/>
      <c r="B6717" s="1136"/>
      <c r="C6717" s="1138"/>
    </row>
    <row r="6718" spans="1:3">
      <c r="A6718" s="1133"/>
      <c r="B6718" s="1136"/>
      <c r="C6718" s="1138"/>
    </row>
    <row r="6719" spans="1:3">
      <c r="A6719" s="1133"/>
      <c r="B6719" s="1136"/>
      <c r="C6719" s="1138"/>
    </row>
    <row r="6720" spans="1:3">
      <c r="A6720" s="1133"/>
      <c r="B6720" s="1136"/>
      <c r="C6720" s="1138"/>
    </row>
    <row r="6721" spans="1:3">
      <c r="A6721" s="1133"/>
      <c r="B6721" s="1136"/>
      <c r="C6721" s="1138"/>
    </row>
    <row r="6722" spans="1:3">
      <c r="A6722" s="1133"/>
      <c r="B6722" s="1136"/>
      <c r="C6722" s="1138"/>
    </row>
    <row r="6723" spans="1:3">
      <c r="A6723" s="1133"/>
      <c r="B6723" s="1136"/>
      <c r="C6723" s="1138"/>
    </row>
    <row r="6724" spans="1:3">
      <c r="A6724" s="1133"/>
      <c r="B6724" s="1136"/>
      <c r="C6724" s="1138"/>
    </row>
    <row r="6725" spans="1:3">
      <c r="A6725" s="1133"/>
      <c r="B6725" s="1136"/>
      <c r="C6725" s="1138"/>
    </row>
    <row r="6726" spans="1:3">
      <c r="A6726" s="1133"/>
      <c r="B6726" s="1136"/>
      <c r="C6726" s="1138"/>
    </row>
    <row r="6727" spans="1:3">
      <c r="A6727" s="1133"/>
      <c r="B6727" s="1136"/>
      <c r="C6727" s="1138"/>
    </row>
    <row r="6728" spans="1:3">
      <c r="A6728" s="1133"/>
      <c r="B6728" s="1136"/>
      <c r="C6728" s="1138"/>
    </row>
    <row r="6729" spans="1:3">
      <c r="A6729" s="1133"/>
      <c r="B6729" s="1136"/>
      <c r="C6729" s="1138"/>
    </row>
    <row r="6730" spans="1:3">
      <c r="A6730" s="1133"/>
      <c r="B6730" s="1136"/>
      <c r="C6730" s="1138"/>
    </row>
    <row r="6731" spans="1:3">
      <c r="A6731" s="1133"/>
      <c r="B6731" s="1136"/>
      <c r="C6731" s="1138"/>
    </row>
    <row r="6732" spans="1:3">
      <c r="A6732" s="1133"/>
      <c r="B6732" s="1136"/>
      <c r="C6732" s="1138"/>
    </row>
    <row r="6733" spans="1:3">
      <c r="A6733" s="1133"/>
      <c r="B6733" s="1136"/>
      <c r="C6733" s="1138"/>
    </row>
    <row r="6734" spans="1:3">
      <c r="A6734" s="1133"/>
      <c r="B6734" s="1136"/>
      <c r="C6734" s="1138"/>
    </row>
    <row r="6735" spans="1:3">
      <c r="A6735" s="1133"/>
      <c r="B6735" s="1136"/>
      <c r="C6735" s="1138"/>
    </row>
    <row r="6736" spans="1:3">
      <c r="A6736" s="1133"/>
      <c r="B6736" s="1136"/>
      <c r="C6736" s="1138"/>
    </row>
    <row r="6737" spans="1:3">
      <c r="A6737" s="1133"/>
      <c r="B6737" s="1136"/>
      <c r="C6737" s="1138"/>
    </row>
    <row r="6738" spans="1:3">
      <c r="A6738" s="1133"/>
      <c r="B6738" s="1136"/>
      <c r="C6738" s="1138"/>
    </row>
    <row r="6739" spans="1:3">
      <c r="A6739" s="1133"/>
      <c r="B6739" s="1136"/>
      <c r="C6739" s="1138"/>
    </row>
    <row r="6740" spans="1:3">
      <c r="A6740" s="1133"/>
      <c r="B6740" s="1136"/>
      <c r="C6740" s="1138"/>
    </row>
    <row r="6741" spans="1:3">
      <c r="A6741" s="1133"/>
      <c r="B6741" s="1136"/>
      <c r="C6741" s="1138"/>
    </row>
    <row r="6742" spans="1:3">
      <c r="A6742" s="1133"/>
      <c r="B6742" s="1136"/>
      <c r="C6742" s="1138"/>
    </row>
    <row r="6743" spans="1:3">
      <c r="A6743" s="1133"/>
      <c r="B6743" s="1136"/>
      <c r="C6743" s="1138"/>
    </row>
    <row r="6744" spans="1:3">
      <c r="A6744" s="1133"/>
      <c r="B6744" s="1136"/>
      <c r="C6744" s="1138"/>
    </row>
    <row r="6745" spans="1:3">
      <c r="A6745" s="1133"/>
      <c r="B6745" s="1136"/>
      <c r="C6745" s="1138"/>
    </row>
    <row r="6746" spans="1:3">
      <c r="A6746" s="1133"/>
      <c r="B6746" s="1136"/>
      <c r="C6746" s="1138"/>
    </row>
    <row r="6747" spans="1:3">
      <c r="A6747" s="1133"/>
      <c r="B6747" s="1136"/>
      <c r="C6747" s="1138"/>
    </row>
    <row r="6748" spans="1:3">
      <c r="A6748" s="1133"/>
      <c r="B6748" s="1136"/>
      <c r="C6748" s="1138"/>
    </row>
    <row r="6749" spans="1:3">
      <c r="A6749" s="1133"/>
      <c r="B6749" s="1136"/>
      <c r="C6749" s="1138"/>
    </row>
    <row r="6750" spans="1:3">
      <c r="A6750" s="1133"/>
      <c r="B6750" s="1136"/>
      <c r="C6750" s="1138"/>
    </row>
    <row r="6751" spans="1:3">
      <c r="A6751" s="1133"/>
      <c r="B6751" s="1136"/>
      <c r="C6751" s="1138"/>
    </row>
    <row r="6752" spans="1:3">
      <c r="A6752" s="1133"/>
      <c r="B6752" s="1136"/>
      <c r="C6752" s="1138"/>
    </row>
    <row r="6753" spans="1:3">
      <c r="A6753" s="1133"/>
      <c r="B6753" s="1136"/>
      <c r="C6753" s="1138"/>
    </row>
    <row r="6754" spans="1:3">
      <c r="A6754" s="1133"/>
      <c r="B6754" s="1136"/>
      <c r="C6754" s="1138"/>
    </row>
    <row r="6755" spans="1:3">
      <c r="A6755" s="1133"/>
      <c r="B6755" s="1136"/>
      <c r="C6755" s="1138"/>
    </row>
    <row r="6756" spans="1:3">
      <c r="A6756" s="1133"/>
      <c r="B6756" s="1136"/>
      <c r="C6756" s="1138"/>
    </row>
    <row r="6757" spans="1:3">
      <c r="A6757" s="1133"/>
      <c r="B6757" s="1136"/>
      <c r="C6757" s="1138"/>
    </row>
    <row r="6758" spans="1:3">
      <c r="A6758" s="1133"/>
      <c r="B6758" s="1136"/>
      <c r="C6758" s="1138"/>
    </row>
    <row r="6759" spans="1:3">
      <c r="A6759" s="1133"/>
      <c r="B6759" s="1136"/>
      <c r="C6759" s="1138"/>
    </row>
    <row r="6760" spans="1:3">
      <c r="A6760" s="1133"/>
      <c r="B6760" s="1136"/>
      <c r="C6760" s="1138"/>
    </row>
    <row r="6761" spans="1:3">
      <c r="A6761" s="1133"/>
      <c r="B6761" s="1136"/>
      <c r="C6761" s="1138"/>
    </row>
    <row r="6762" spans="1:3">
      <c r="A6762" s="1133"/>
      <c r="B6762" s="1136"/>
      <c r="C6762" s="1138"/>
    </row>
    <row r="6763" spans="1:3">
      <c r="A6763" s="1133"/>
      <c r="B6763" s="1136"/>
      <c r="C6763" s="1138"/>
    </row>
    <row r="6764" spans="1:3">
      <c r="A6764" s="1133"/>
      <c r="B6764" s="1136"/>
      <c r="C6764" s="1138"/>
    </row>
    <row r="6765" spans="1:3">
      <c r="A6765" s="1133"/>
      <c r="B6765" s="1136"/>
      <c r="C6765" s="1138"/>
    </row>
    <row r="6766" spans="1:3">
      <c r="A6766" s="1133"/>
      <c r="B6766" s="1136"/>
      <c r="C6766" s="1138"/>
    </row>
    <row r="6767" spans="1:3">
      <c r="A6767" s="1133"/>
      <c r="B6767" s="1136"/>
      <c r="C6767" s="1138"/>
    </row>
    <row r="6768" spans="1:3">
      <c r="A6768" s="1133"/>
      <c r="B6768" s="1136"/>
      <c r="C6768" s="1138"/>
    </row>
    <row r="6769" spans="1:3">
      <c r="A6769" s="1133"/>
      <c r="B6769" s="1136"/>
      <c r="C6769" s="1138"/>
    </row>
    <row r="6770" spans="1:3">
      <c r="A6770" s="1133"/>
      <c r="B6770" s="1136"/>
      <c r="C6770" s="1138"/>
    </row>
    <row r="6771" spans="1:3">
      <c r="A6771" s="1133"/>
      <c r="B6771" s="1136"/>
      <c r="C6771" s="1138"/>
    </row>
    <row r="6772" spans="1:3">
      <c r="A6772" s="1133"/>
      <c r="B6772" s="1136"/>
      <c r="C6772" s="1138"/>
    </row>
    <row r="6773" spans="1:3">
      <c r="A6773" s="1133"/>
      <c r="B6773" s="1136"/>
      <c r="C6773" s="1138"/>
    </row>
    <row r="6774" spans="1:3">
      <c r="A6774" s="1133"/>
      <c r="B6774" s="1136"/>
      <c r="C6774" s="1138"/>
    </row>
    <row r="6775" spans="1:3">
      <c r="A6775" s="1133"/>
      <c r="B6775" s="1136"/>
      <c r="C6775" s="1138"/>
    </row>
    <row r="6776" spans="1:3">
      <c r="A6776" s="1133"/>
      <c r="B6776" s="1136"/>
      <c r="C6776" s="1138"/>
    </row>
    <row r="6777" spans="1:3">
      <c r="A6777" s="1133"/>
      <c r="B6777" s="1136"/>
      <c r="C6777" s="1138"/>
    </row>
    <row r="6778" spans="1:3">
      <c r="A6778" s="1133"/>
      <c r="B6778" s="1136"/>
      <c r="C6778" s="1138"/>
    </row>
    <row r="6779" spans="1:3">
      <c r="A6779" s="1133"/>
      <c r="B6779" s="1136"/>
      <c r="C6779" s="1138"/>
    </row>
    <row r="6780" spans="1:3">
      <c r="A6780" s="1133"/>
      <c r="B6780" s="1136"/>
      <c r="C6780" s="1138"/>
    </row>
    <row r="6781" spans="1:3">
      <c r="A6781" s="1133"/>
      <c r="B6781" s="1136"/>
      <c r="C6781" s="1138"/>
    </row>
    <row r="6782" spans="1:3">
      <c r="A6782" s="1133"/>
      <c r="B6782" s="1136"/>
      <c r="C6782" s="1138"/>
    </row>
    <row r="6783" spans="1:3">
      <c r="A6783" s="1133"/>
      <c r="B6783" s="1136"/>
      <c r="C6783" s="1138"/>
    </row>
    <row r="6784" spans="1:3">
      <c r="A6784" s="1133"/>
      <c r="B6784" s="1136"/>
      <c r="C6784" s="1138"/>
    </row>
    <row r="6785" spans="1:3">
      <c r="A6785" s="1133"/>
      <c r="B6785" s="1136"/>
      <c r="C6785" s="1138"/>
    </row>
    <row r="6786" spans="1:3">
      <c r="A6786" s="1133"/>
      <c r="B6786" s="1136"/>
      <c r="C6786" s="1138"/>
    </row>
    <row r="6787" spans="1:3">
      <c r="A6787" s="1133"/>
      <c r="B6787" s="1136"/>
      <c r="C6787" s="1138"/>
    </row>
    <row r="6788" spans="1:3">
      <c r="A6788" s="1133"/>
      <c r="B6788" s="1136"/>
      <c r="C6788" s="1138"/>
    </row>
    <row r="6789" spans="1:3">
      <c r="A6789" s="1133"/>
      <c r="B6789" s="1136"/>
      <c r="C6789" s="1138"/>
    </row>
    <row r="6790" spans="1:3">
      <c r="A6790" s="1133"/>
      <c r="B6790" s="1136"/>
      <c r="C6790" s="1138"/>
    </row>
    <row r="6791" spans="1:3">
      <c r="A6791" s="1133"/>
      <c r="B6791" s="1136"/>
      <c r="C6791" s="1138"/>
    </row>
    <row r="6792" spans="1:3">
      <c r="A6792" s="1133"/>
      <c r="B6792" s="1136"/>
      <c r="C6792" s="1138"/>
    </row>
    <row r="6793" spans="1:3">
      <c r="A6793" s="1133"/>
      <c r="B6793" s="1136"/>
      <c r="C6793" s="1138"/>
    </row>
    <row r="6794" spans="1:3">
      <c r="A6794" s="1133"/>
      <c r="B6794" s="1136"/>
      <c r="C6794" s="1138"/>
    </row>
    <row r="6795" spans="1:3">
      <c r="A6795" s="1133"/>
      <c r="B6795" s="1136"/>
      <c r="C6795" s="1138"/>
    </row>
    <row r="6796" spans="1:3">
      <c r="A6796" s="1133"/>
      <c r="B6796" s="1136"/>
      <c r="C6796" s="1138"/>
    </row>
    <row r="6797" spans="1:3">
      <c r="A6797" s="1133"/>
      <c r="B6797" s="1136"/>
      <c r="C6797" s="1138"/>
    </row>
    <row r="6798" spans="1:3">
      <c r="A6798" s="1133"/>
      <c r="B6798" s="1136"/>
      <c r="C6798" s="1138"/>
    </row>
    <row r="6799" spans="1:3">
      <c r="A6799" s="1133"/>
      <c r="B6799" s="1136"/>
      <c r="C6799" s="1138"/>
    </row>
    <row r="6800" spans="1:3">
      <c r="A6800" s="1133"/>
      <c r="B6800" s="1136"/>
      <c r="C6800" s="1138"/>
    </row>
    <row r="6801" spans="1:3">
      <c r="A6801" s="1133"/>
      <c r="B6801" s="1136"/>
      <c r="C6801" s="1138"/>
    </row>
    <row r="6802" spans="1:3">
      <c r="A6802" s="1133"/>
      <c r="B6802" s="1136"/>
      <c r="C6802" s="1138"/>
    </row>
    <row r="6803" spans="1:3">
      <c r="A6803" s="1133"/>
      <c r="B6803" s="1136"/>
      <c r="C6803" s="1138"/>
    </row>
    <row r="6804" spans="1:3">
      <c r="A6804" s="1133"/>
      <c r="B6804" s="1136"/>
      <c r="C6804" s="1138"/>
    </row>
    <row r="6805" spans="1:3">
      <c r="A6805" s="1133"/>
      <c r="B6805" s="1136"/>
      <c r="C6805" s="1138"/>
    </row>
    <row r="6806" spans="1:3">
      <c r="A6806" s="1133"/>
      <c r="B6806" s="1136"/>
      <c r="C6806" s="1138"/>
    </row>
    <row r="6807" spans="1:3">
      <c r="A6807" s="1133"/>
      <c r="B6807" s="1136"/>
      <c r="C6807" s="1138"/>
    </row>
    <row r="6808" spans="1:3">
      <c r="A6808" s="1133"/>
      <c r="B6808" s="1136"/>
      <c r="C6808" s="1138"/>
    </row>
    <row r="6809" spans="1:3">
      <c r="A6809" s="1133"/>
      <c r="B6809" s="1136"/>
      <c r="C6809" s="1138"/>
    </row>
    <row r="6810" spans="1:3">
      <c r="A6810" s="1133"/>
      <c r="B6810" s="1136"/>
      <c r="C6810" s="1138"/>
    </row>
    <row r="6811" spans="1:3">
      <c r="A6811" s="1133"/>
      <c r="B6811" s="1136"/>
      <c r="C6811" s="1138"/>
    </row>
    <row r="6812" spans="1:3">
      <c r="A6812" s="1133"/>
      <c r="B6812" s="1136"/>
      <c r="C6812" s="1138"/>
    </row>
    <row r="6813" spans="1:3">
      <c r="A6813" s="1133"/>
      <c r="B6813" s="1136"/>
      <c r="C6813" s="1138"/>
    </row>
    <row r="6814" spans="1:3">
      <c r="A6814" s="1133"/>
      <c r="B6814" s="1136"/>
      <c r="C6814" s="1138"/>
    </row>
    <row r="6815" spans="1:3">
      <c r="A6815" s="1133"/>
      <c r="B6815" s="1136"/>
      <c r="C6815" s="1138"/>
    </row>
    <row r="6816" spans="1:3">
      <c r="A6816" s="1133"/>
      <c r="B6816" s="1136"/>
      <c r="C6816" s="1138"/>
    </row>
    <row r="6817" spans="1:3">
      <c r="A6817" s="1133"/>
      <c r="B6817" s="1136"/>
      <c r="C6817" s="1138"/>
    </row>
    <row r="6818" spans="1:3">
      <c r="A6818" s="1133"/>
      <c r="B6818" s="1136"/>
      <c r="C6818" s="1138"/>
    </row>
    <row r="6819" spans="1:3">
      <c r="A6819" s="1133"/>
      <c r="B6819" s="1136"/>
      <c r="C6819" s="1138"/>
    </row>
    <row r="6820" spans="1:3">
      <c r="A6820" s="1133"/>
      <c r="B6820" s="1136"/>
      <c r="C6820" s="1138"/>
    </row>
    <row r="6821" spans="1:3">
      <c r="A6821" s="1133"/>
      <c r="B6821" s="1136"/>
      <c r="C6821" s="1138"/>
    </row>
    <row r="6822" spans="1:3">
      <c r="A6822" s="1133"/>
      <c r="B6822" s="1136"/>
      <c r="C6822" s="1138"/>
    </row>
    <row r="6823" spans="1:3">
      <c r="A6823" s="1133"/>
      <c r="B6823" s="1136"/>
      <c r="C6823" s="1138"/>
    </row>
    <row r="6824" spans="1:3">
      <c r="A6824" s="1133"/>
      <c r="B6824" s="1136"/>
      <c r="C6824" s="1138"/>
    </row>
    <row r="6825" spans="1:3">
      <c r="A6825" s="1133"/>
      <c r="B6825" s="1136"/>
      <c r="C6825" s="1138"/>
    </row>
    <row r="6826" spans="1:3">
      <c r="A6826" s="1133"/>
      <c r="B6826" s="1136"/>
      <c r="C6826" s="1138"/>
    </row>
    <row r="6827" spans="1:3">
      <c r="A6827" s="1133"/>
      <c r="B6827" s="1136"/>
      <c r="C6827" s="1138"/>
    </row>
    <row r="6828" spans="1:3">
      <c r="A6828" s="1133"/>
      <c r="B6828" s="1136"/>
      <c r="C6828" s="1138"/>
    </row>
    <row r="6829" spans="1:3">
      <c r="A6829" s="1133"/>
      <c r="B6829" s="1136"/>
      <c r="C6829" s="1138"/>
    </row>
    <row r="6830" spans="1:3">
      <c r="A6830" s="1133"/>
      <c r="B6830" s="1136"/>
      <c r="C6830" s="1138"/>
    </row>
    <row r="6831" spans="1:3">
      <c r="A6831" s="1133"/>
      <c r="B6831" s="1136"/>
      <c r="C6831" s="1138"/>
    </row>
    <row r="6832" spans="1:3">
      <c r="A6832" s="1133"/>
      <c r="B6832" s="1136"/>
      <c r="C6832" s="1138"/>
    </row>
    <row r="6833" spans="1:3">
      <c r="A6833" s="1133"/>
      <c r="B6833" s="1136"/>
      <c r="C6833" s="1138"/>
    </row>
    <row r="6834" spans="1:3">
      <c r="A6834" s="1133"/>
      <c r="B6834" s="1136"/>
      <c r="C6834" s="1138"/>
    </row>
    <row r="6835" spans="1:3">
      <c r="A6835" s="1133"/>
      <c r="B6835" s="1136"/>
      <c r="C6835" s="1138"/>
    </row>
    <row r="6836" spans="1:3">
      <c r="A6836" s="1133"/>
      <c r="B6836" s="1136"/>
      <c r="C6836" s="1138"/>
    </row>
    <row r="6837" spans="1:3">
      <c r="A6837" s="1133"/>
      <c r="B6837" s="1136"/>
      <c r="C6837" s="1138"/>
    </row>
    <row r="6838" spans="1:3">
      <c r="A6838" s="1133"/>
      <c r="B6838" s="1136"/>
      <c r="C6838" s="1138"/>
    </row>
    <row r="6839" spans="1:3">
      <c r="A6839" s="1133"/>
      <c r="B6839" s="1136"/>
      <c r="C6839" s="1138"/>
    </row>
    <row r="6840" spans="1:3">
      <c r="A6840" s="1133"/>
      <c r="B6840" s="1136"/>
      <c r="C6840" s="1138"/>
    </row>
    <row r="6841" spans="1:3">
      <c r="A6841" s="1133"/>
      <c r="B6841" s="1136"/>
      <c r="C6841" s="1138"/>
    </row>
    <row r="6842" spans="1:3">
      <c r="A6842" s="1133"/>
      <c r="B6842" s="1136"/>
      <c r="C6842" s="1138"/>
    </row>
    <row r="6843" spans="1:3">
      <c r="A6843" s="1133"/>
      <c r="B6843" s="1136"/>
      <c r="C6843" s="1138"/>
    </row>
    <row r="6844" spans="1:3">
      <c r="A6844" s="1133"/>
      <c r="B6844" s="1136"/>
      <c r="C6844" s="1138"/>
    </row>
    <row r="6845" spans="1:3">
      <c r="A6845" s="1133"/>
      <c r="B6845" s="1136"/>
      <c r="C6845" s="1138"/>
    </row>
    <row r="6846" spans="1:3">
      <c r="A6846" s="1133"/>
      <c r="B6846" s="1136"/>
      <c r="C6846" s="1138"/>
    </row>
    <row r="6847" spans="1:3">
      <c r="A6847" s="1133"/>
      <c r="B6847" s="1136"/>
      <c r="C6847" s="1138"/>
    </row>
    <row r="6848" spans="1:3">
      <c r="A6848" s="1133"/>
      <c r="B6848" s="1136"/>
      <c r="C6848" s="1138"/>
    </row>
    <row r="6849" spans="1:3">
      <c r="A6849" s="1133"/>
      <c r="B6849" s="1136"/>
      <c r="C6849" s="1138"/>
    </row>
    <row r="6850" spans="1:3">
      <c r="A6850" s="1133"/>
      <c r="B6850" s="1136"/>
      <c r="C6850" s="1138"/>
    </row>
    <row r="6851" spans="1:3">
      <c r="A6851" s="1133"/>
      <c r="B6851" s="1136"/>
      <c r="C6851" s="1138"/>
    </row>
    <row r="6852" spans="1:3">
      <c r="A6852" s="1133"/>
      <c r="B6852" s="1136"/>
      <c r="C6852" s="1138"/>
    </row>
    <row r="6853" spans="1:3">
      <c r="A6853" s="1133"/>
      <c r="B6853" s="1136"/>
      <c r="C6853" s="1138"/>
    </row>
    <row r="6854" spans="1:3">
      <c r="A6854" s="1133"/>
      <c r="B6854" s="1136"/>
      <c r="C6854" s="1138"/>
    </row>
    <row r="6855" spans="1:3">
      <c r="A6855" s="1133"/>
      <c r="B6855" s="1136"/>
      <c r="C6855" s="1138"/>
    </row>
    <row r="6856" spans="1:3">
      <c r="A6856" s="1133"/>
      <c r="B6856" s="1136"/>
      <c r="C6856" s="1138"/>
    </row>
    <row r="6857" spans="1:3">
      <c r="A6857" s="1133"/>
      <c r="B6857" s="1136"/>
      <c r="C6857" s="1138"/>
    </row>
    <row r="6858" spans="1:3">
      <c r="A6858" s="1133"/>
      <c r="B6858" s="1136"/>
      <c r="C6858" s="1138"/>
    </row>
    <row r="6859" spans="1:3">
      <c r="A6859" s="1133"/>
      <c r="B6859" s="1136"/>
      <c r="C6859" s="1138"/>
    </row>
    <row r="6860" spans="1:3">
      <c r="A6860" s="1133"/>
      <c r="B6860" s="1136"/>
      <c r="C6860" s="1138"/>
    </row>
    <row r="6861" spans="1:3">
      <c r="A6861" s="1133"/>
      <c r="B6861" s="1136"/>
      <c r="C6861" s="1138"/>
    </row>
    <row r="6862" spans="1:3">
      <c r="A6862" s="1133"/>
      <c r="B6862" s="1136"/>
      <c r="C6862" s="1138"/>
    </row>
    <row r="6863" spans="1:3">
      <c r="A6863" s="1133"/>
      <c r="B6863" s="1136"/>
      <c r="C6863" s="1138"/>
    </row>
    <row r="6864" spans="1:3">
      <c r="A6864" s="1133"/>
      <c r="B6864" s="1136"/>
      <c r="C6864" s="1138"/>
    </row>
    <row r="6865" spans="1:3">
      <c r="A6865" s="1133"/>
      <c r="B6865" s="1136"/>
      <c r="C6865" s="1138"/>
    </row>
    <row r="6866" spans="1:3">
      <c r="A6866" s="1133"/>
      <c r="B6866" s="1136"/>
      <c r="C6866" s="1138"/>
    </row>
    <row r="6867" spans="1:3">
      <c r="A6867" s="1133"/>
      <c r="B6867" s="1136"/>
      <c r="C6867" s="1138"/>
    </row>
    <row r="6868" spans="1:3">
      <c r="A6868" s="1133"/>
      <c r="B6868" s="1136"/>
      <c r="C6868" s="1138"/>
    </row>
    <row r="6869" spans="1:3">
      <c r="A6869" s="1133"/>
      <c r="B6869" s="1136"/>
      <c r="C6869" s="1138"/>
    </row>
    <row r="6870" spans="1:3">
      <c r="A6870" s="1133"/>
      <c r="B6870" s="1136"/>
      <c r="C6870" s="1138"/>
    </row>
    <row r="6871" spans="1:3">
      <c r="A6871" s="1133"/>
      <c r="B6871" s="1136"/>
      <c r="C6871" s="1138"/>
    </row>
    <row r="6872" spans="1:3">
      <c r="A6872" s="1133"/>
      <c r="B6872" s="1136"/>
      <c r="C6872" s="1138"/>
    </row>
    <row r="6873" spans="1:3">
      <c r="A6873" s="1133"/>
      <c r="B6873" s="1136"/>
      <c r="C6873" s="1138"/>
    </row>
    <row r="6874" spans="1:3">
      <c r="A6874" s="1133"/>
      <c r="B6874" s="1136"/>
      <c r="C6874" s="1138"/>
    </row>
    <row r="6875" spans="1:3">
      <c r="A6875" s="1133"/>
      <c r="B6875" s="1136"/>
      <c r="C6875" s="1138"/>
    </row>
    <row r="6876" spans="1:3">
      <c r="A6876" s="1133"/>
      <c r="B6876" s="1136"/>
      <c r="C6876" s="1138"/>
    </row>
    <row r="6877" spans="1:3">
      <c r="A6877" s="1133"/>
      <c r="B6877" s="1136"/>
      <c r="C6877" s="1138"/>
    </row>
    <row r="6878" spans="1:3">
      <c r="A6878" s="1133"/>
      <c r="B6878" s="1136"/>
      <c r="C6878" s="1138"/>
    </row>
    <row r="6879" spans="1:3">
      <c r="A6879" s="1133"/>
      <c r="B6879" s="1136"/>
      <c r="C6879" s="1138"/>
    </row>
    <row r="6880" spans="1:3">
      <c r="A6880" s="1133"/>
      <c r="B6880" s="1136"/>
      <c r="C6880" s="1138"/>
    </row>
    <row r="6881" spans="1:3">
      <c r="A6881" s="1133"/>
      <c r="B6881" s="1136"/>
      <c r="C6881" s="1138"/>
    </row>
    <row r="6882" spans="1:3">
      <c r="A6882" s="1133"/>
      <c r="B6882" s="1136"/>
      <c r="C6882" s="1138"/>
    </row>
    <row r="6883" spans="1:3">
      <c r="A6883" s="1133"/>
      <c r="B6883" s="1136"/>
      <c r="C6883" s="1138"/>
    </row>
    <row r="6884" spans="1:3">
      <c r="A6884" s="1133"/>
      <c r="B6884" s="1136"/>
      <c r="C6884" s="1138"/>
    </row>
    <row r="6885" spans="1:3">
      <c r="A6885" s="1133"/>
      <c r="B6885" s="1136"/>
      <c r="C6885" s="1138"/>
    </row>
    <row r="6886" spans="1:3">
      <c r="A6886" s="1133"/>
      <c r="B6886" s="1136"/>
      <c r="C6886" s="1138"/>
    </row>
    <row r="6887" spans="1:3">
      <c r="A6887" s="1133"/>
      <c r="B6887" s="1136"/>
      <c r="C6887" s="1138"/>
    </row>
    <row r="6888" spans="1:3">
      <c r="A6888" s="1133"/>
      <c r="B6888" s="1136"/>
      <c r="C6888" s="1138"/>
    </row>
    <row r="6889" spans="1:3">
      <c r="A6889" s="1133"/>
      <c r="B6889" s="1136"/>
      <c r="C6889" s="1138"/>
    </row>
    <row r="6890" spans="1:3">
      <c r="A6890" s="1133"/>
      <c r="B6890" s="1136"/>
      <c r="C6890" s="1138"/>
    </row>
    <row r="6891" spans="1:3">
      <c r="A6891" s="1133"/>
      <c r="B6891" s="1136"/>
      <c r="C6891" s="1138"/>
    </row>
    <row r="6892" spans="1:3">
      <c r="A6892" s="1133"/>
      <c r="B6892" s="1136"/>
      <c r="C6892" s="1138"/>
    </row>
    <row r="6893" spans="1:3">
      <c r="A6893" s="1133"/>
      <c r="B6893" s="1136"/>
      <c r="C6893" s="1138"/>
    </row>
    <row r="6894" spans="1:3">
      <c r="A6894" s="1133"/>
      <c r="B6894" s="1136"/>
      <c r="C6894" s="1138"/>
    </row>
    <row r="6895" spans="1:3">
      <c r="A6895" s="1133"/>
      <c r="B6895" s="1136"/>
      <c r="C6895" s="1138"/>
    </row>
    <row r="6896" spans="1:3">
      <c r="A6896" s="1133"/>
      <c r="B6896" s="1136"/>
      <c r="C6896" s="1138"/>
    </row>
    <row r="6897" spans="1:3">
      <c r="A6897" s="1133"/>
      <c r="B6897" s="1136"/>
      <c r="C6897" s="1138"/>
    </row>
    <row r="6898" spans="1:3">
      <c r="A6898" s="1133"/>
      <c r="B6898" s="1136"/>
      <c r="C6898" s="1138"/>
    </row>
    <row r="6899" spans="1:3">
      <c r="A6899" s="1133"/>
      <c r="B6899" s="1136"/>
      <c r="C6899" s="1138"/>
    </row>
    <row r="6900" spans="1:3">
      <c r="A6900" s="1133"/>
      <c r="B6900" s="1136"/>
      <c r="C6900" s="1138"/>
    </row>
    <row r="6901" spans="1:3">
      <c r="A6901" s="1133"/>
      <c r="B6901" s="1136"/>
      <c r="C6901" s="1138"/>
    </row>
    <row r="6902" spans="1:3">
      <c r="A6902" s="1133"/>
      <c r="B6902" s="1136"/>
      <c r="C6902" s="1138"/>
    </row>
    <row r="6903" spans="1:3">
      <c r="A6903" s="1133"/>
      <c r="B6903" s="1136"/>
      <c r="C6903" s="1138"/>
    </row>
    <row r="6904" spans="1:3">
      <c r="A6904" s="1133"/>
      <c r="B6904" s="1136"/>
      <c r="C6904" s="1138"/>
    </row>
    <row r="6905" spans="1:3">
      <c r="A6905" s="1133"/>
      <c r="B6905" s="1136"/>
      <c r="C6905" s="1138"/>
    </row>
    <row r="6906" spans="1:3">
      <c r="A6906" s="1133"/>
      <c r="B6906" s="1136"/>
      <c r="C6906" s="1138"/>
    </row>
    <row r="6907" spans="1:3">
      <c r="A6907" s="1133"/>
      <c r="B6907" s="1136"/>
      <c r="C6907" s="1138"/>
    </row>
    <row r="6908" spans="1:3">
      <c r="A6908" s="1133"/>
      <c r="B6908" s="1136"/>
      <c r="C6908" s="1138"/>
    </row>
    <row r="6909" spans="1:3">
      <c r="A6909" s="1133"/>
      <c r="B6909" s="1136"/>
      <c r="C6909" s="1138"/>
    </row>
    <row r="6910" spans="1:3">
      <c r="A6910" s="1133"/>
      <c r="B6910" s="1136"/>
      <c r="C6910" s="1138"/>
    </row>
    <row r="6911" spans="1:3">
      <c r="A6911" s="1133"/>
      <c r="B6911" s="1136"/>
      <c r="C6911" s="1138"/>
    </row>
    <row r="6912" spans="1:3">
      <c r="A6912" s="1133"/>
      <c r="B6912" s="1136"/>
      <c r="C6912" s="1138"/>
    </row>
    <row r="6913" spans="1:3">
      <c r="A6913" s="1133"/>
      <c r="B6913" s="1136"/>
      <c r="C6913" s="1138"/>
    </row>
    <row r="6914" spans="1:3">
      <c r="A6914" s="1133"/>
      <c r="B6914" s="1136"/>
      <c r="C6914" s="1138"/>
    </row>
    <row r="6915" spans="1:3">
      <c r="A6915" s="1133"/>
      <c r="B6915" s="1136"/>
      <c r="C6915" s="1138"/>
    </row>
    <row r="6916" spans="1:3">
      <c r="A6916" s="1133"/>
      <c r="B6916" s="1136"/>
      <c r="C6916" s="1138"/>
    </row>
    <row r="6917" spans="1:3">
      <c r="A6917" s="1133"/>
      <c r="B6917" s="1136"/>
      <c r="C6917" s="1138"/>
    </row>
    <row r="6918" spans="1:3">
      <c r="A6918" s="1133"/>
      <c r="B6918" s="1136"/>
      <c r="C6918" s="1138"/>
    </row>
    <row r="6919" spans="1:3">
      <c r="A6919" s="1133"/>
      <c r="B6919" s="1136"/>
      <c r="C6919" s="1138"/>
    </row>
    <row r="6920" spans="1:3">
      <c r="A6920" s="1133"/>
      <c r="B6920" s="1136"/>
      <c r="C6920" s="1138"/>
    </row>
    <row r="6921" spans="1:3">
      <c r="A6921" s="1133"/>
      <c r="B6921" s="1136"/>
      <c r="C6921" s="1138"/>
    </row>
    <row r="6922" spans="1:3">
      <c r="A6922" s="1133"/>
      <c r="B6922" s="1136"/>
      <c r="C6922" s="1138"/>
    </row>
    <row r="6923" spans="1:3">
      <c r="A6923" s="1133"/>
      <c r="B6923" s="1136"/>
      <c r="C6923" s="1138"/>
    </row>
    <row r="6924" spans="1:3">
      <c r="A6924" s="1133"/>
      <c r="B6924" s="1136"/>
      <c r="C6924" s="1138"/>
    </row>
    <row r="6925" spans="1:3">
      <c r="A6925" s="1133"/>
      <c r="B6925" s="1136"/>
      <c r="C6925" s="1138"/>
    </row>
    <row r="6926" spans="1:3">
      <c r="A6926" s="1133"/>
      <c r="B6926" s="1136"/>
      <c r="C6926" s="1138"/>
    </row>
    <row r="6927" spans="1:3">
      <c r="A6927" s="1133"/>
      <c r="B6927" s="1136"/>
      <c r="C6927" s="1138"/>
    </row>
    <row r="6928" spans="1:3">
      <c r="A6928" s="1133"/>
      <c r="B6928" s="1136"/>
      <c r="C6928" s="1138"/>
    </row>
    <row r="6929" spans="1:3">
      <c r="A6929" s="1133"/>
      <c r="B6929" s="1136"/>
      <c r="C6929" s="1138"/>
    </row>
    <row r="6930" spans="1:3">
      <c r="A6930" s="1133"/>
      <c r="B6930" s="1136"/>
      <c r="C6930" s="1138"/>
    </row>
    <row r="6931" spans="1:3">
      <c r="A6931" s="1133"/>
      <c r="B6931" s="1136"/>
      <c r="C6931" s="1138"/>
    </row>
    <row r="6932" spans="1:3">
      <c r="A6932" s="1133"/>
      <c r="B6932" s="1136"/>
      <c r="C6932" s="1138"/>
    </row>
    <row r="6933" spans="1:3">
      <c r="A6933" s="1133"/>
      <c r="B6933" s="1136"/>
      <c r="C6933" s="1138"/>
    </row>
    <row r="6934" spans="1:3">
      <c r="A6934" s="1133"/>
      <c r="B6934" s="1136"/>
      <c r="C6934" s="1138"/>
    </row>
    <row r="6935" spans="1:3">
      <c r="A6935" s="1133"/>
      <c r="B6935" s="1136"/>
      <c r="C6935" s="1138"/>
    </row>
    <row r="6936" spans="1:3">
      <c r="A6936" s="1133"/>
      <c r="B6936" s="1136"/>
      <c r="C6936" s="1138"/>
    </row>
    <row r="6937" spans="1:3">
      <c r="A6937" s="1133"/>
      <c r="B6937" s="1136"/>
      <c r="C6937" s="1138"/>
    </row>
    <row r="6938" spans="1:3">
      <c r="A6938" s="1133"/>
      <c r="B6938" s="1136"/>
      <c r="C6938" s="1138"/>
    </row>
    <row r="6939" spans="1:3">
      <c r="A6939" s="1133"/>
      <c r="B6939" s="1136"/>
      <c r="C6939" s="1138"/>
    </row>
    <row r="6940" spans="1:3">
      <c r="A6940" s="1133"/>
      <c r="B6940" s="1136"/>
      <c r="C6940" s="1138"/>
    </row>
    <row r="6941" spans="1:3">
      <c r="A6941" s="1133"/>
      <c r="B6941" s="1136"/>
      <c r="C6941" s="1138"/>
    </row>
    <row r="6942" spans="1:3">
      <c r="A6942" s="1133"/>
      <c r="B6942" s="1136"/>
      <c r="C6942" s="1138"/>
    </row>
    <row r="6943" spans="1:3">
      <c r="A6943" s="1133"/>
      <c r="B6943" s="1136"/>
      <c r="C6943" s="1138"/>
    </row>
    <row r="6944" spans="1:3">
      <c r="A6944" s="1133"/>
      <c r="B6944" s="1136"/>
      <c r="C6944" s="1138"/>
    </row>
    <row r="6945" spans="1:3">
      <c r="A6945" s="1133"/>
      <c r="B6945" s="1136"/>
      <c r="C6945" s="1138"/>
    </row>
    <row r="6946" spans="1:3">
      <c r="A6946" s="1133"/>
      <c r="B6946" s="1136"/>
      <c r="C6946" s="1138"/>
    </row>
    <row r="6947" spans="1:3">
      <c r="A6947" s="1133"/>
      <c r="B6947" s="1136"/>
      <c r="C6947" s="1138"/>
    </row>
    <row r="6948" spans="1:3">
      <c r="A6948" s="1133"/>
      <c r="B6948" s="1136"/>
      <c r="C6948" s="1138"/>
    </row>
    <row r="6949" spans="1:3">
      <c r="A6949" s="1133"/>
      <c r="B6949" s="1136"/>
      <c r="C6949" s="1138"/>
    </row>
    <row r="6950" spans="1:3">
      <c r="A6950" s="1133"/>
      <c r="B6950" s="1136"/>
      <c r="C6950" s="1138"/>
    </row>
    <row r="6951" spans="1:3">
      <c r="A6951" s="1133"/>
      <c r="B6951" s="1136"/>
      <c r="C6951" s="1138"/>
    </row>
    <row r="6952" spans="1:3">
      <c r="A6952" s="1133"/>
      <c r="B6952" s="1136"/>
      <c r="C6952" s="1138"/>
    </row>
    <row r="6953" spans="1:3">
      <c r="A6953" s="1133"/>
      <c r="B6953" s="1136"/>
      <c r="C6953" s="1138"/>
    </row>
    <row r="6954" spans="1:3">
      <c r="A6954" s="1133"/>
      <c r="B6954" s="1136"/>
      <c r="C6954" s="1138"/>
    </row>
    <row r="6955" spans="1:3">
      <c r="A6955" s="1133"/>
      <c r="B6955" s="1136"/>
      <c r="C6955" s="1138"/>
    </row>
    <row r="6956" spans="1:3">
      <c r="A6956" s="1133"/>
      <c r="B6956" s="1136"/>
      <c r="C6956" s="1138"/>
    </row>
    <row r="6957" spans="1:3">
      <c r="A6957" s="1133"/>
      <c r="B6957" s="1136"/>
      <c r="C6957" s="1138"/>
    </row>
    <row r="6958" spans="1:3">
      <c r="A6958" s="1133"/>
      <c r="B6958" s="1136"/>
      <c r="C6958" s="1138"/>
    </row>
    <row r="6959" spans="1:3">
      <c r="A6959" s="1133"/>
      <c r="B6959" s="1136"/>
      <c r="C6959" s="1138"/>
    </row>
    <row r="6960" spans="1:3">
      <c r="A6960" s="1133"/>
      <c r="B6960" s="1136"/>
      <c r="C6960" s="1138"/>
    </row>
    <row r="6961" spans="1:3">
      <c r="A6961" s="1133"/>
      <c r="B6961" s="1136"/>
      <c r="C6961" s="1138"/>
    </row>
    <row r="6962" spans="1:3">
      <c r="A6962" s="1133"/>
      <c r="B6962" s="1136"/>
      <c r="C6962" s="1138"/>
    </row>
    <row r="6963" spans="1:3">
      <c r="A6963" s="1133"/>
      <c r="B6963" s="1136"/>
      <c r="C6963" s="1138"/>
    </row>
    <row r="6964" spans="1:3">
      <c r="A6964" s="1133"/>
      <c r="B6964" s="1136"/>
      <c r="C6964" s="1138"/>
    </row>
    <row r="6965" spans="1:3">
      <c r="A6965" s="1133"/>
      <c r="B6965" s="1136"/>
      <c r="C6965" s="1138"/>
    </row>
    <row r="6966" spans="1:3">
      <c r="A6966" s="1133"/>
      <c r="B6966" s="1136"/>
      <c r="C6966" s="1138"/>
    </row>
    <row r="6967" spans="1:3">
      <c r="A6967" s="1133"/>
      <c r="B6967" s="1136"/>
      <c r="C6967" s="1138"/>
    </row>
    <row r="6968" spans="1:3">
      <c r="A6968" s="1133"/>
      <c r="B6968" s="1136"/>
      <c r="C6968" s="1138"/>
    </row>
    <row r="6969" spans="1:3">
      <c r="A6969" s="1133"/>
      <c r="B6969" s="1136"/>
      <c r="C6969" s="1138"/>
    </row>
    <row r="6970" spans="1:3">
      <c r="A6970" s="1133"/>
      <c r="B6970" s="1136"/>
      <c r="C6970" s="1138"/>
    </row>
    <row r="6971" spans="1:3">
      <c r="A6971" s="1133"/>
      <c r="B6971" s="1136"/>
      <c r="C6971" s="1138"/>
    </row>
    <row r="6972" spans="1:3">
      <c r="A6972" s="1133"/>
      <c r="B6972" s="1136"/>
      <c r="C6972" s="1138"/>
    </row>
    <row r="6973" spans="1:3">
      <c r="A6973" s="1133"/>
      <c r="B6973" s="1136"/>
      <c r="C6973" s="1138"/>
    </row>
    <row r="6974" spans="1:3">
      <c r="A6974" s="1133"/>
      <c r="B6974" s="1136"/>
      <c r="C6974" s="1138"/>
    </row>
    <row r="6975" spans="1:3">
      <c r="A6975" s="1133"/>
      <c r="B6975" s="1136"/>
      <c r="C6975" s="1138"/>
    </row>
    <row r="6976" spans="1:3">
      <c r="A6976" s="1133"/>
      <c r="B6976" s="1136"/>
      <c r="C6976" s="1138"/>
    </row>
    <row r="6977" spans="1:3">
      <c r="A6977" s="1133"/>
      <c r="B6977" s="1136"/>
      <c r="C6977" s="1138"/>
    </row>
    <row r="6978" spans="1:3">
      <c r="A6978" s="1133"/>
      <c r="B6978" s="1136"/>
      <c r="C6978" s="1138"/>
    </row>
    <row r="6979" spans="1:3">
      <c r="A6979" s="1133"/>
      <c r="B6979" s="1136"/>
      <c r="C6979" s="1138"/>
    </row>
    <row r="6980" spans="1:3">
      <c r="A6980" s="1133"/>
      <c r="B6980" s="1136"/>
      <c r="C6980" s="1138"/>
    </row>
    <row r="6981" spans="1:3">
      <c r="A6981" s="1133"/>
      <c r="B6981" s="1136"/>
      <c r="C6981" s="1138"/>
    </row>
    <row r="6982" spans="1:3">
      <c r="A6982" s="1133"/>
      <c r="B6982" s="1136"/>
      <c r="C6982" s="1138"/>
    </row>
    <row r="6983" spans="1:3">
      <c r="A6983" s="1133"/>
      <c r="B6983" s="1136"/>
      <c r="C6983" s="1138"/>
    </row>
    <row r="6984" spans="1:3">
      <c r="A6984" s="1133"/>
      <c r="B6984" s="1136"/>
      <c r="C6984" s="1138"/>
    </row>
    <row r="6985" spans="1:3">
      <c r="A6985" s="1133"/>
      <c r="B6985" s="1136"/>
      <c r="C6985" s="1138"/>
    </row>
    <row r="6986" spans="1:3">
      <c r="A6986" s="1133"/>
      <c r="B6986" s="1136"/>
      <c r="C6986" s="1138"/>
    </row>
    <row r="6987" spans="1:3">
      <c r="A6987" s="1133"/>
      <c r="B6987" s="1136"/>
      <c r="C6987" s="1138"/>
    </row>
    <row r="6988" spans="1:3">
      <c r="A6988" s="1133"/>
      <c r="B6988" s="1136"/>
      <c r="C6988" s="1138"/>
    </row>
    <row r="6989" spans="1:3">
      <c r="A6989" s="1133"/>
      <c r="B6989" s="1136"/>
      <c r="C6989" s="1138"/>
    </row>
    <row r="6990" spans="1:3">
      <c r="A6990" s="1133"/>
      <c r="B6990" s="1136"/>
      <c r="C6990" s="1138"/>
    </row>
    <row r="6991" spans="1:3">
      <c r="A6991" s="1133"/>
      <c r="B6991" s="1136"/>
      <c r="C6991" s="1138"/>
    </row>
    <row r="6992" spans="1:3">
      <c r="A6992" s="1133"/>
      <c r="B6992" s="1136"/>
      <c r="C6992" s="1138"/>
    </row>
    <row r="6993" spans="1:3">
      <c r="A6993" s="1133"/>
      <c r="B6993" s="1136"/>
      <c r="C6993" s="1138"/>
    </row>
    <row r="6994" spans="1:3">
      <c r="A6994" s="1133"/>
      <c r="B6994" s="1136"/>
      <c r="C6994" s="1138"/>
    </row>
    <row r="6995" spans="1:3">
      <c r="A6995" s="1133"/>
      <c r="B6995" s="1136"/>
      <c r="C6995" s="1138"/>
    </row>
    <row r="6996" spans="1:3">
      <c r="A6996" s="1133"/>
      <c r="B6996" s="1136"/>
      <c r="C6996" s="1138"/>
    </row>
    <row r="6997" spans="1:3">
      <c r="A6997" s="1133"/>
      <c r="B6997" s="1136"/>
      <c r="C6997" s="1138"/>
    </row>
    <row r="6998" spans="1:3">
      <c r="A6998" s="1133"/>
      <c r="B6998" s="1136"/>
      <c r="C6998" s="1138"/>
    </row>
    <row r="6999" spans="1:3">
      <c r="A6999" s="1133"/>
      <c r="B6999" s="1136"/>
      <c r="C6999" s="1138"/>
    </row>
    <row r="7000" spans="1:3">
      <c r="A7000" s="1133"/>
      <c r="B7000" s="1136"/>
      <c r="C7000" s="1138"/>
    </row>
    <row r="7001" spans="1:3">
      <c r="A7001" s="1133"/>
      <c r="B7001" s="1136"/>
      <c r="C7001" s="1138"/>
    </row>
    <row r="7002" spans="1:3">
      <c r="A7002" s="1133"/>
      <c r="B7002" s="1136"/>
      <c r="C7002" s="1138"/>
    </row>
    <row r="7003" spans="1:3">
      <c r="A7003" s="1133"/>
      <c r="B7003" s="1136"/>
      <c r="C7003" s="1138"/>
    </row>
    <row r="7004" spans="1:3">
      <c r="A7004" s="1133"/>
      <c r="B7004" s="1136"/>
      <c r="C7004" s="1138"/>
    </row>
    <row r="7005" spans="1:3">
      <c r="A7005" s="1133"/>
      <c r="B7005" s="1136"/>
      <c r="C7005" s="1138"/>
    </row>
    <row r="7006" spans="1:3">
      <c r="A7006" s="1133"/>
      <c r="B7006" s="1136"/>
      <c r="C7006" s="1138"/>
    </row>
    <row r="7007" spans="1:3">
      <c r="A7007" s="1133"/>
      <c r="B7007" s="1136"/>
      <c r="C7007" s="1138"/>
    </row>
    <row r="7008" spans="1:3">
      <c r="A7008" s="1133"/>
      <c r="B7008" s="1136"/>
      <c r="C7008" s="1138"/>
    </row>
    <row r="7009" spans="1:3">
      <c r="A7009" s="1133"/>
      <c r="B7009" s="1136"/>
      <c r="C7009" s="1138"/>
    </row>
    <row r="7010" spans="1:3">
      <c r="A7010" s="1133"/>
      <c r="B7010" s="1136"/>
      <c r="C7010" s="1138"/>
    </row>
    <row r="7011" spans="1:3">
      <c r="A7011" s="1133"/>
      <c r="B7011" s="1136"/>
      <c r="C7011" s="1138"/>
    </row>
    <row r="7012" spans="1:3">
      <c r="A7012" s="1133"/>
      <c r="B7012" s="1136"/>
      <c r="C7012" s="1138"/>
    </row>
    <row r="7013" spans="1:3">
      <c r="A7013" s="1133"/>
      <c r="B7013" s="1136"/>
      <c r="C7013" s="1138"/>
    </row>
    <row r="7014" spans="1:3">
      <c r="A7014" s="1133"/>
      <c r="B7014" s="1136"/>
      <c r="C7014" s="1138"/>
    </row>
    <row r="7015" spans="1:3">
      <c r="A7015" s="1133"/>
      <c r="B7015" s="1136"/>
      <c r="C7015" s="1138"/>
    </row>
    <row r="7016" spans="1:3">
      <c r="A7016" s="1133"/>
      <c r="B7016" s="1136"/>
      <c r="C7016" s="1138"/>
    </row>
    <row r="7017" spans="1:3">
      <c r="A7017" s="1133"/>
      <c r="B7017" s="1136"/>
      <c r="C7017" s="1138"/>
    </row>
    <row r="7018" spans="1:3">
      <c r="A7018" s="1133"/>
      <c r="B7018" s="1136"/>
      <c r="C7018" s="1138"/>
    </row>
    <row r="7019" spans="1:3">
      <c r="A7019" s="1133"/>
      <c r="B7019" s="1136"/>
      <c r="C7019" s="1138"/>
    </row>
    <row r="7020" spans="1:3">
      <c r="A7020" s="1133"/>
      <c r="B7020" s="1136"/>
      <c r="C7020" s="1138"/>
    </row>
    <row r="7021" spans="1:3">
      <c r="A7021" s="1133"/>
      <c r="B7021" s="1136"/>
      <c r="C7021" s="1138"/>
    </row>
    <row r="7022" spans="1:3">
      <c r="A7022" s="1133"/>
      <c r="B7022" s="1136"/>
      <c r="C7022" s="1138"/>
    </row>
    <row r="7023" spans="1:3">
      <c r="A7023" s="1133"/>
      <c r="B7023" s="1136"/>
      <c r="C7023" s="1138"/>
    </row>
    <row r="7024" spans="1:3">
      <c r="A7024" s="1133"/>
      <c r="B7024" s="1136"/>
      <c r="C7024" s="1138"/>
    </row>
    <row r="7025" spans="1:3">
      <c r="A7025" s="1133"/>
      <c r="B7025" s="1136"/>
      <c r="C7025" s="1138"/>
    </row>
    <row r="7026" spans="1:3">
      <c r="A7026" s="1133"/>
      <c r="B7026" s="1136"/>
      <c r="C7026" s="1138"/>
    </row>
    <row r="7027" spans="1:3">
      <c r="A7027" s="1133"/>
      <c r="B7027" s="1136"/>
      <c r="C7027" s="1138"/>
    </row>
    <row r="7028" spans="1:3">
      <c r="A7028" s="1133"/>
      <c r="B7028" s="1136"/>
      <c r="C7028" s="1138"/>
    </row>
    <row r="7029" spans="1:3">
      <c r="A7029" s="1133"/>
      <c r="B7029" s="1136"/>
      <c r="C7029" s="1138"/>
    </row>
    <row r="7030" spans="1:3">
      <c r="A7030" s="1133"/>
      <c r="B7030" s="1136"/>
      <c r="C7030" s="1138"/>
    </row>
    <row r="7031" spans="1:3">
      <c r="A7031" s="1133"/>
      <c r="B7031" s="1136"/>
      <c r="C7031" s="1138"/>
    </row>
    <row r="7032" spans="1:3">
      <c r="A7032" s="1133"/>
      <c r="B7032" s="1136"/>
      <c r="C7032" s="1138"/>
    </row>
    <row r="7033" spans="1:3">
      <c r="A7033" s="1133"/>
      <c r="B7033" s="1136"/>
      <c r="C7033" s="1138"/>
    </row>
    <row r="7034" spans="1:3">
      <c r="A7034" s="1133"/>
      <c r="B7034" s="1136"/>
      <c r="C7034" s="1138"/>
    </row>
    <row r="7035" spans="1:3">
      <c r="A7035" s="1133"/>
      <c r="B7035" s="1136"/>
      <c r="C7035" s="1138"/>
    </row>
    <row r="7036" spans="1:3">
      <c r="A7036" s="1133"/>
      <c r="B7036" s="1136"/>
      <c r="C7036" s="1138"/>
    </row>
    <row r="7037" spans="1:3">
      <c r="A7037" s="1133"/>
      <c r="B7037" s="1136"/>
      <c r="C7037" s="1138"/>
    </row>
    <row r="7038" spans="1:3">
      <c r="A7038" s="1133"/>
      <c r="B7038" s="1136"/>
      <c r="C7038" s="1138"/>
    </row>
    <row r="7039" spans="1:3">
      <c r="A7039" s="1133"/>
      <c r="B7039" s="1136"/>
      <c r="C7039" s="1138"/>
    </row>
    <row r="7040" spans="1:3">
      <c r="A7040" s="1133"/>
      <c r="B7040" s="1136"/>
      <c r="C7040" s="1138"/>
    </row>
    <row r="7041" spans="1:3">
      <c r="A7041" s="1133"/>
      <c r="B7041" s="1136"/>
      <c r="C7041" s="1138"/>
    </row>
    <row r="7042" spans="1:3">
      <c r="A7042" s="1133"/>
      <c r="B7042" s="1136"/>
      <c r="C7042" s="1138"/>
    </row>
    <row r="7043" spans="1:3">
      <c r="A7043" s="1133"/>
      <c r="B7043" s="1136"/>
      <c r="C7043" s="1138"/>
    </row>
    <row r="7044" spans="1:3">
      <c r="A7044" s="1133"/>
      <c r="B7044" s="1136"/>
      <c r="C7044" s="1138"/>
    </row>
    <row r="7045" spans="1:3">
      <c r="A7045" s="1133"/>
      <c r="B7045" s="1136"/>
      <c r="C7045" s="1138"/>
    </row>
    <row r="7046" spans="1:3">
      <c r="A7046" s="1133"/>
      <c r="B7046" s="1136"/>
      <c r="C7046" s="1138"/>
    </row>
    <row r="7047" spans="1:3">
      <c r="A7047" s="1133"/>
      <c r="B7047" s="1136"/>
      <c r="C7047" s="1138"/>
    </row>
    <row r="7048" spans="1:3">
      <c r="A7048" s="1133"/>
      <c r="B7048" s="1136"/>
      <c r="C7048" s="1138"/>
    </row>
    <row r="7049" spans="1:3">
      <c r="A7049" s="1133"/>
      <c r="B7049" s="1136"/>
      <c r="C7049" s="1138"/>
    </row>
    <row r="7050" spans="1:3">
      <c r="A7050" s="1133"/>
      <c r="B7050" s="1136"/>
      <c r="C7050" s="1138"/>
    </row>
    <row r="7051" spans="1:3">
      <c r="A7051" s="1133"/>
      <c r="B7051" s="1136"/>
      <c r="C7051" s="1138"/>
    </row>
    <row r="7052" spans="1:3">
      <c r="A7052" s="1133"/>
      <c r="B7052" s="1136"/>
      <c r="C7052" s="1138"/>
    </row>
    <row r="7053" spans="1:3">
      <c r="A7053" s="1133"/>
      <c r="B7053" s="1136"/>
      <c r="C7053" s="1138"/>
    </row>
    <row r="7054" spans="1:3">
      <c r="A7054" s="1133"/>
      <c r="B7054" s="1136"/>
      <c r="C7054" s="1138"/>
    </row>
    <row r="7055" spans="1:3">
      <c r="A7055" s="1133"/>
      <c r="B7055" s="1136"/>
      <c r="C7055" s="1138"/>
    </row>
    <row r="7056" spans="1:3">
      <c r="A7056" s="1133"/>
      <c r="B7056" s="1136"/>
      <c r="C7056" s="1138"/>
    </row>
    <row r="7057" spans="1:3">
      <c r="A7057" s="1133"/>
      <c r="B7057" s="1136"/>
      <c r="C7057" s="1138"/>
    </row>
    <row r="7058" spans="1:3">
      <c r="A7058" s="1133"/>
      <c r="B7058" s="1136"/>
      <c r="C7058" s="1138"/>
    </row>
    <row r="7059" spans="1:3">
      <c r="A7059" s="1133"/>
      <c r="B7059" s="1136"/>
      <c r="C7059" s="1138"/>
    </row>
    <row r="7060" spans="1:3">
      <c r="A7060" s="1133"/>
      <c r="B7060" s="1136"/>
      <c r="C7060" s="1138"/>
    </row>
    <row r="7061" spans="1:3">
      <c r="A7061" s="1133"/>
      <c r="B7061" s="1136"/>
      <c r="C7061" s="1138"/>
    </row>
    <row r="7062" spans="1:3">
      <c r="A7062" s="1133"/>
      <c r="B7062" s="1136"/>
      <c r="C7062" s="1138"/>
    </row>
    <row r="7063" spans="1:3">
      <c r="A7063" s="1133"/>
      <c r="B7063" s="1136"/>
      <c r="C7063" s="1138"/>
    </row>
    <row r="7064" spans="1:3">
      <c r="A7064" s="1133"/>
      <c r="B7064" s="1136"/>
      <c r="C7064" s="1138"/>
    </row>
    <row r="7065" spans="1:3">
      <c r="A7065" s="1133"/>
      <c r="B7065" s="1136"/>
      <c r="C7065" s="1138"/>
    </row>
    <row r="7066" spans="1:3">
      <c r="A7066" s="1133"/>
      <c r="B7066" s="1136"/>
      <c r="C7066" s="1138"/>
    </row>
    <row r="7067" spans="1:3">
      <c r="A7067" s="1133"/>
      <c r="B7067" s="1136"/>
      <c r="C7067" s="1138"/>
    </row>
    <row r="7068" spans="1:3">
      <c r="A7068" s="1133"/>
      <c r="B7068" s="1136"/>
      <c r="C7068" s="1138"/>
    </row>
    <row r="7069" spans="1:3">
      <c r="A7069" s="1133"/>
      <c r="B7069" s="1136"/>
      <c r="C7069" s="1138"/>
    </row>
    <row r="7070" spans="1:3">
      <c r="A7070" s="1133"/>
      <c r="B7070" s="1136"/>
      <c r="C7070" s="1138"/>
    </row>
    <row r="7071" spans="1:3">
      <c r="A7071" s="1133"/>
      <c r="B7071" s="1136"/>
      <c r="C7071" s="1138"/>
    </row>
    <row r="7072" spans="1:3">
      <c r="A7072" s="1133"/>
      <c r="B7072" s="1136"/>
      <c r="C7072" s="1138"/>
    </row>
    <row r="7073" spans="1:3">
      <c r="A7073" s="1133"/>
      <c r="B7073" s="1136"/>
      <c r="C7073" s="1138"/>
    </row>
    <row r="7074" spans="1:3">
      <c r="A7074" s="1133"/>
      <c r="B7074" s="1136"/>
      <c r="C7074" s="1138"/>
    </row>
    <row r="7075" spans="1:3">
      <c r="A7075" s="1133"/>
      <c r="B7075" s="1136"/>
      <c r="C7075" s="1138"/>
    </row>
    <row r="7076" spans="1:3">
      <c r="A7076" s="1133"/>
      <c r="B7076" s="1136"/>
      <c r="C7076" s="1138"/>
    </row>
    <row r="7077" spans="1:3">
      <c r="A7077" s="1133"/>
      <c r="B7077" s="1136"/>
      <c r="C7077" s="1138"/>
    </row>
    <row r="7078" spans="1:3">
      <c r="A7078" s="1133"/>
      <c r="B7078" s="1136"/>
      <c r="C7078" s="1138"/>
    </row>
    <row r="7079" spans="1:3">
      <c r="A7079" s="1133"/>
      <c r="B7079" s="1136"/>
      <c r="C7079" s="1138"/>
    </row>
    <row r="7080" spans="1:3">
      <c r="A7080" s="1133"/>
      <c r="B7080" s="1136"/>
      <c r="C7080" s="1138"/>
    </row>
    <row r="7081" spans="1:3">
      <c r="A7081" s="1133"/>
      <c r="B7081" s="1136"/>
      <c r="C7081" s="1138"/>
    </row>
    <row r="7082" spans="1:3">
      <c r="A7082" s="1133"/>
      <c r="B7082" s="1136"/>
      <c r="C7082" s="1138"/>
    </row>
    <row r="7083" spans="1:3">
      <c r="A7083" s="1133"/>
      <c r="B7083" s="1136"/>
      <c r="C7083" s="1138"/>
    </row>
    <row r="7084" spans="1:3">
      <c r="A7084" s="1133"/>
      <c r="B7084" s="1136"/>
      <c r="C7084" s="1138"/>
    </row>
    <row r="7085" spans="1:3">
      <c r="A7085" s="1133"/>
      <c r="B7085" s="1136"/>
      <c r="C7085" s="1138"/>
    </row>
    <row r="7086" spans="1:3">
      <c r="A7086" s="1133"/>
      <c r="B7086" s="1136"/>
      <c r="C7086" s="1138"/>
    </row>
    <row r="7087" spans="1:3">
      <c r="A7087" s="1133"/>
      <c r="B7087" s="1136"/>
      <c r="C7087" s="1138"/>
    </row>
    <row r="7088" spans="1:3">
      <c r="A7088" s="1133"/>
      <c r="B7088" s="1136"/>
      <c r="C7088" s="1138"/>
    </row>
    <row r="7089" spans="1:3">
      <c r="A7089" s="1133"/>
      <c r="B7089" s="1136"/>
      <c r="C7089" s="1138"/>
    </row>
    <row r="7090" spans="1:3">
      <c r="A7090" s="1133"/>
      <c r="B7090" s="1136"/>
      <c r="C7090" s="1138"/>
    </row>
    <row r="7091" spans="1:3">
      <c r="A7091" s="1133"/>
      <c r="B7091" s="1136"/>
      <c r="C7091" s="1138"/>
    </row>
    <row r="7092" spans="1:3">
      <c r="A7092" s="1133"/>
      <c r="B7092" s="1136"/>
      <c r="C7092" s="1138"/>
    </row>
    <row r="7093" spans="1:3">
      <c r="A7093" s="1133"/>
      <c r="B7093" s="1136"/>
      <c r="C7093" s="1138"/>
    </row>
    <row r="7094" spans="1:3">
      <c r="A7094" s="1133"/>
      <c r="B7094" s="1136"/>
      <c r="C7094" s="1138"/>
    </row>
    <row r="7095" spans="1:3">
      <c r="A7095" s="1133"/>
      <c r="B7095" s="1136"/>
      <c r="C7095" s="1138"/>
    </row>
    <row r="7096" spans="1:3">
      <c r="A7096" s="1133"/>
      <c r="B7096" s="1136"/>
      <c r="C7096" s="1138"/>
    </row>
    <row r="7097" spans="1:3">
      <c r="A7097" s="1133"/>
      <c r="B7097" s="1136"/>
      <c r="C7097" s="1138"/>
    </row>
    <row r="7098" spans="1:3">
      <c r="A7098" s="1133"/>
      <c r="B7098" s="1136"/>
      <c r="C7098" s="1138"/>
    </row>
    <row r="7099" spans="1:3">
      <c r="A7099" s="1133"/>
      <c r="B7099" s="1136"/>
      <c r="C7099" s="1138"/>
    </row>
    <row r="7100" spans="1:3">
      <c r="A7100" s="1133"/>
      <c r="B7100" s="1136"/>
      <c r="C7100" s="1138"/>
    </row>
    <row r="7101" spans="1:3">
      <c r="A7101" s="1133"/>
      <c r="B7101" s="1136"/>
      <c r="C7101" s="1138"/>
    </row>
    <row r="7102" spans="1:3">
      <c r="A7102" s="1133"/>
      <c r="B7102" s="1136"/>
      <c r="C7102" s="1138"/>
    </row>
    <row r="7103" spans="1:3">
      <c r="A7103" s="1133"/>
      <c r="B7103" s="1136"/>
      <c r="C7103" s="1138"/>
    </row>
    <row r="7104" spans="1:3">
      <c r="A7104" s="1133"/>
      <c r="B7104" s="1136"/>
      <c r="C7104" s="1138"/>
    </row>
    <row r="7105" spans="1:3">
      <c r="A7105" s="1133"/>
      <c r="B7105" s="1136"/>
      <c r="C7105" s="1138"/>
    </row>
    <row r="7106" spans="1:3">
      <c r="A7106" s="1133"/>
      <c r="B7106" s="1136"/>
      <c r="C7106" s="1138"/>
    </row>
    <row r="7107" spans="1:3">
      <c r="A7107" s="1133"/>
      <c r="B7107" s="1136"/>
      <c r="C7107" s="1138"/>
    </row>
    <row r="7108" spans="1:3">
      <c r="A7108" s="1133"/>
      <c r="B7108" s="1136"/>
      <c r="C7108" s="1138"/>
    </row>
    <row r="7109" spans="1:3">
      <c r="A7109" s="1133"/>
      <c r="B7109" s="1136"/>
      <c r="C7109" s="1138"/>
    </row>
    <row r="7110" spans="1:3">
      <c r="A7110" s="1133"/>
      <c r="B7110" s="1136"/>
      <c r="C7110" s="1138"/>
    </row>
    <row r="7111" spans="1:3">
      <c r="A7111" s="1133"/>
      <c r="B7111" s="1136"/>
      <c r="C7111" s="1138"/>
    </row>
    <row r="7112" spans="1:3">
      <c r="A7112" s="1133"/>
      <c r="B7112" s="1136"/>
      <c r="C7112" s="1138"/>
    </row>
    <row r="7113" spans="1:3">
      <c r="A7113" s="1133"/>
      <c r="B7113" s="1136"/>
      <c r="C7113" s="1138"/>
    </row>
    <row r="7114" spans="1:3">
      <c r="A7114" s="1133"/>
      <c r="B7114" s="1136"/>
      <c r="C7114" s="1138"/>
    </row>
    <row r="7115" spans="1:3">
      <c r="A7115" s="1133"/>
      <c r="B7115" s="1136"/>
      <c r="C7115" s="1138"/>
    </row>
    <row r="7116" spans="1:3">
      <c r="A7116" s="1133"/>
      <c r="B7116" s="1136"/>
      <c r="C7116" s="1138"/>
    </row>
    <row r="7117" spans="1:3">
      <c r="A7117" s="1133"/>
      <c r="B7117" s="1136"/>
      <c r="C7117" s="1138"/>
    </row>
    <row r="7118" spans="1:3">
      <c r="A7118" s="1133"/>
      <c r="B7118" s="1136"/>
      <c r="C7118" s="1138"/>
    </row>
    <row r="7119" spans="1:3">
      <c r="A7119" s="1133"/>
      <c r="B7119" s="1136"/>
      <c r="C7119" s="1138"/>
    </row>
    <row r="7120" spans="1:3">
      <c r="A7120" s="1133"/>
      <c r="B7120" s="1136"/>
      <c r="C7120" s="1138"/>
    </row>
    <row r="7121" spans="1:3">
      <c r="A7121" s="1133"/>
      <c r="B7121" s="1136"/>
      <c r="C7121" s="1138"/>
    </row>
    <row r="7122" spans="1:3">
      <c r="A7122" s="1133"/>
      <c r="B7122" s="1136"/>
      <c r="C7122" s="1138"/>
    </row>
    <row r="7123" spans="1:3">
      <c r="A7123" s="1133"/>
      <c r="B7123" s="1136"/>
      <c r="C7123" s="1138"/>
    </row>
    <row r="7124" spans="1:3">
      <c r="A7124" s="1133"/>
      <c r="B7124" s="1136"/>
      <c r="C7124" s="1138"/>
    </row>
    <row r="7125" spans="1:3">
      <c r="A7125" s="1133"/>
      <c r="B7125" s="1136"/>
      <c r="C7125" s="1138"/>
    </row>
    <row r="7126" spans="1:3">
      <c r="A7126" s="1133"/>
      <c r="B7126" s="1136"/>
      <c r="C7126" s="1138"/>
    </row>
    <row r="7127" spans="1:3">
      <c r="A7127" s="1133"/>
      <c r="B7127" s="1136"/>
      <c r="C7127" s="1138"/>
    </row>
    <row r="7128" spans="1:3">
      <c r="A7128" s="1133"/>
      <c r="B7128" s="1136"/>
      <c r="C7128" s="1138"/>
    </row>
    <row r="7129" spans="1:3">
      <c r="A7129" s="1133"/>
      <c r="B7129" s="1136"/>
      <c r="C7129" s="1138"/>
    </row>
    <row r="7130" spans="1:3">
      <c r="A7130" s="1133"/>
      <c r="B7130" s="1136"/>
      <c r="C7130" s="1138"/>
    </row>
    <row r="7131" spans="1:3">
      <c r="A7131" s="1133"/>
      <c r="B7131" s="1136"/>
      <c r="C7131" s="1138"/>
    </row>
    <row r="7132" spans="1:3">
      <c r="A7132" s="1133"/>
      <c r="B7132" s="1136"/>
      <c r="C7132" s="1138"/>
    </row>
    <row r="7133" spans="1:3">
      <c r="A7133" s="1133"/>
      <c r="B7133" s="1136"/>
      <c r="C7133" s="1138"/>
    </row>
    <row r="7134" spans="1:3">
      <c r="A7134" s="1133"/>
      <c r="B7134" s="1136"/>
      <c r="C7134" s="1138"/>
    </row>
    <row r="7135" spans="1:3">
      <c r="A7135" s="1133"/>
      <c r="B7135" s="1136"/>
      <c r="C7135" s="1138"/>
    </row>
    <row r="7136" spans="1:3">
      <c r="A7136" s="1133"/>
      <c r="B7136" s="1136"/>
      <c r="C7136" s="1138"/>
    </row>
    <row r="7137" spans="1:3">
      <c r="A7137" s="1133"/>
      <c r="B7137" s="1136"/>
      <c r="C7137" s="1138"/>
    </row>
    <row r="7138" spans="1:3">
      <c r="A7138" s="1133"/>
      <c r="B7138" s="1136"/>
      <c r="C7138" s="1138"/>
    </row>
    <row r="7139" spans="1:3">
      <c r="A7139" s="1133"/>
      <c r="B7139" s="1136"/>
      <c r="C7139" s="1138"/>
    </row>
    <row r="7140" spans="1:3">
      <c r="A7140" s="1133"/>
      <c r="B7140" s="1136"/>
      <c r="C7140" s="1138"/>
    </row>
    <row r="7141" spans="1:3">
      <c r="A7141" s="1133"/>
      <c r="B7141" s="1136"/>
      <c r="C7141" s="1138"/>
    </row>
    <row r="7142" spans="1:3">
      <c r="A7142" s="1133"/>
      <c r="B7142" s="1136"/>
      <c r="C7142" s="1138"/>
    </row>
    <row r="7143" spans="1:3">
      <c r="A7143" s="1133"/>
      <c r="B7143" s="1136"/>
      <c r="C7143" s="1138"/>
    </row>
    <row r="7144" spans="1:3">
      <c r="A7144" s="1133"/>
      <c r="B7144" s="1136"/>
      <c r="C7144" s="1138"/>
    </row>
    <row r="7145" spans="1:3">
      <c r="A7145" s="1133"/>
      <c r="B7145" s="1136"/>
      <c r="C7145" s="1138"/>
    </row>
    <row r="7146" spans="1:3">
      <c r="A7146" s="1133"/>
      <c r="B7146" s="1136"/>
      <c r="C7146" s="1138"/>
    </row>
    <row r="7147" spans="1:3">
      <c r="A7147" s="1133"/>
      <c r="B7147" s="1136"/>
      <c r="C7147" s="1138"/>
    </row>
    <row r="7148" spans="1:3">
      <c r="A7148" s="1133"/>
      <c r="B7148" s="1136"/>
      <c r="C7148" s="1138"/>
    </row>
    <row r="7149" spans="1:3">
      <c r="A7149" s="1133"/>
      <c r="B7149" s="1136"/>
      <c r="C7149" s="1138"/>
    </row>
    <row r="7150" spans="1:3">
      <c r="A7150" s="1133"/>
      <c r="B7150" s="1136"/>
      <c r="C7150" s="1138"/>
    </row>
    <row r="7151" spans="1:3">
      <c r="A7151" s="1133"/>
      <c r="B7151" s="1136"/>
      <c r="C7151" s="1138"/>
    </row>
    <row r="7152" spans="1:3">
      <c r="A7152" s="1133"/>
      <c r="B7152" s="1136"/>
      <c r="C7152" s="1138"/>
    </row>
    <row r="7153" spans="1:3">
      <c r="A7153" s="1133"/>
      <c r="B7153" s="1136"/>
      <c r="C7153" s="1138"/>
    </row>
    <row r="7154" spans="1:3">
      <c r="A7154" s="1133"/>
      <c r="B7154" s="1136"/>
      <c r="C7154" s="1138"/>
    </row>
    <row r="7155" spans="1:3">
      <c r="A7155" s="1133"/>
      <c r="B7155" s="1136"/>
      <c r="C7155" s="1138"/>
    </row>
    <row r="7156" spans="1:3">
      <c r="A7156" s="1133"/>
      <c r="B7156" s="1136"/>
      <c r="C7156" s="1138"/>
    </row>
    <row r="7157" spans="1:3">
      <c r="A7157" s="1133"/>
      <c r="B7157" s="1136"/>
      <c r="C7157" s="1138"/>
    </row>
    <row r="7158" spans="1:3">
      <c r="A7158" s="1133"/>
      <c r="B7158" s="1136"/>
      <c r="C7158" s="1138"/>
    </row>
    <row r="7159" spans="1:3">
      <c r="A7159" s="1133"/>
      <c r="B7159" s="1136"/>
      <c r="C7159" s="1138"/>
    </row>
    <row r="7160" spans="1:3">
      <c r="A7160" s="1133"/>
      <c r="B7160" s="1136"/>
      <c r="C7160" s="1138"/>
    </row>
    <row r="7161" spans="1:3">
      <c r="A7161" s="1133"/>
      <c r="B7161" s="1136"/>
      <c r="C7161" s="1138"/>
    </row>
    <row r="7162" spans="1:3">
      <c r="A7162" s="1133"/>
      <c r="B7162" s="1136"/>
      <c r="C7162" s="1138"/>
    </row>
    <row r="7163" spans="1:3">
      <c r="A7163" s="1133"/>
      <c r="B7163" s="1136"/>
      <c r="C7163" s="1138"/>
    </row>
    <row r="7164" spans="1:3">
      <c r="A7164" s="1133"/>
      <c r="B7164" s="1136"/>
      <c r="C7164" s="1138"/>
    </row>
    <row r="7165" spans="1:3">
      <c r="A7165" s="1133"/>
      <c r="B7165" s="1136"/>
      <c r="C7165" s="1138"/>
    </row>
    <row r="7166" spans="1:3">
      <c r="A7166" s="1133"/>
      <c r="B7166" s="1136"/>
      <c r="C7166" s="1138"/>
    </row>
    <row r="7167" spans="1:3">
      <c r="A7167" s="1133"/>
      <c r="B7167" s="1136"/>
      <c r="C7167" s="1138"/>
    </row>
    <row r="7168" spans="1:3">
      <c r="A7168" s="1133"/>
      <c r="B7168" s="1136"/>
      <c r="C7168" s="1138"/>
    </row>
    <row r="7169" spans="1:3">
      <c r="A7169" s="1133"/>
      <c r="B7169" s="1136"/>
      <c r="C7169" s="1138"/>
    </row>
    <row r="7170" spans="1:3">
      <c r="A7170" s="1133"/>
      <c r="B7170" s="1136"/>
      <c r="C7170" s="1138"/>
    </row>
    <row r="7171" spans="1:3">
      <c r="A7171" s="1133"/>
      <c r="B7171" s="1136"/>
      <c r="C7171" s="1138"/>
    </row>
    <row r="7172" spans="1:3">
      <c r="A7172" s="1133"/>
      <c r="B7172" s="1136"/>
      <c r="C7172" s="1138"/>
    </row>
    <row r="7173" spans="1:3">
      <c r="A7173" s="1133"/>
      <c r="B7173" s="1136"/>
      <c r="C7173" s="1138"/>
    </row>
    <row r="7174" spans="1:3">
      <c r="A7174" s="1133"/>
      <c r="B7174" s="1136"/>
      <c r="C7174" s="1138"/>
    </row>
    <row r="7175" spans="1:3">
      <c r="A7175" s="1133"/>
      <c r="B7175" s="1136"/>
      <c r="C7175" s="1138"/>
    </row>
    <row r="7176" spans="1:3">
      <c r="A7176" s="1133"/>
      <c r="B7176" s="1136"/>
      <c r="C7176" s="1138"/>
    </row>
    <row r="7177" spans="1:3">
      <c r="A7177" s="1133"/>
      <c r="B7177" s="1136"/>
      <c r="C7177" s="1138"/>
    </row>
    <row r="7178" spans="1:3">
      <c r="A7178" s="1133"/>
      <c r="B7178" s="1136"/>
      <c r="C7178" s="1138"/>
    </row>
    <row r="7179" spans="1:3">
      <c r="A7179" s="1133"/>
      <c r="B7179" s="1136"/>
      <c r="C7179" s="1138"/>
    </row>
    <row r="7180" spans="1:3">
      <c r="A7180" s="1133"/>
      <c r="B7180" s="1136"/>
      <c r="C7180" s="1138"/>
    </row>
    <row r="7181" spans="1:3">
      <c r="A7181" s="1133"/>
      <c r="B7181" s="1136"/>
      <c r="C7181" s="1138"/>
    </row>
    <row r="7182" spans="1:3">
      <c r="A7182" s="1133"/>
      <c r="B7182" s="1136"/>
      <c r="C7182" s="1138"/>
    </row>
    <row r="7183" spans="1:3">
      <c r="A7183" s="1133"/>
      <c r="B7183" s="1136"/>
      <c r="C7183" s="1138"/>
    </row>
    <row r="7184" spans="1:3">
      <c r="A7184" s="1133"/>
      <c r="B7184" s="1136"/>
      <c r="C7184" s="1138"/>
    </row>
    <row r="7185" spans="1:3">
      <c r="A7185" s="1133"/>
      <c r="B7185" s="1136"/>
      <c r="C7185" s="1138"/>
    </row>
    <row r="7186" spans="1:3">
      <c r="A7186" s="1133"/>
      <c r="B7186" s="1136"/>
      <c r="C7186" s="1138"/>
    </row>
    <row r="7187" spans="1:3">
      <c r="A7187" s="1133"/>
      <c r="B7187" s="1136"/>
      <c r="C7187" s="1138"/>
    </row>
    <row r="7188" spans="1:3">
      <c r="A7188" s="1133"/>
      <c r="B7188" s="1136"/>
      <c r="C7188" s="1138"/>
    </row>
    <row r="7189" spans="1:3">
      <c r="A7189" s="1133"/>
      <c r="B7189" s="1136"/>
      <c r="C7189" s="1138"/>
    </row>
    <row r="7190" spans="1:3">
      <c r="A7190" s="1133"/>
      <c r="B7190" s="1136"/>
      <c r="C7190" s="1138"/>
    </row>
    <row r="7191" spans="1:3">
      <c r="A7191" s="1133"/>
      <c r="B7191" s="1136"/>
      <c r="C7191" s="1138"/>
    </row>
    <row r="7192" spans="1:3">
      <c r="A7192" s="1133"/>
      <c r="B7192" s="1136"/>
      <c r="C7192" s="1138"/>
    </row>
    <row r="7193" spans="1:3">
      <c r="A7193" s="1133"/>
      <c r="B7193" s="1136"/>
      <c r="C7193" s="1138"/>
    </row>
    <row r="7194" spans="1:3">
      <c r="A7194" s="1133"/>
      <c r="B7194" s="1136"/>
      <c r="C7194" s="1138"/>
    </row>
    <row r="7195" spans="1:3">
      <c r="A7195" s="1133"/>
      <c r="B7195" s="1136"/>
      <c r="C7195" s="1138"/>
    </row>
    <row r="7196" spans="1:3">
      <c r="A7196" s="1133"/>
      <c r="B7196" s="1136"/>
      <c r="C7196" s="1138"/>
    </row>
    <row r="7197" spans="1:3">
      <c r="A7197" s="1133"/>
      <c r="B7197" s="1136"/>
      <c r="C7197" s="1138"/>
    </row>
    <row r="7198" spans="1:3">
      <c r="A7198" s="1133"/>
      <c r="B7198" s="1136"/>
      <c r="C7198" s="1138"/>
    </row>
    <row r="7199" spans="1:3">
      <c r="A7199" s="1133"/>
      <c r="B7199" s="1136"/>
      <c r="C7199" s="1138"/>
    </row>
    <row r="7200" spans="1:3">
      <c r="A7200" s="1133"/>
      <c r="B7200" s="1136"/>
      <c r="C7200" s="1138"/>
    </row>
    <row r="7201" spans="1:3">
      <c r="A7201" s="1133"/>
      <c r="B7201" s="1136"/>
      <c r="C7201" s="1138"/>
    </row>
    <row r="7202" spans="1:3">
      <c r="A7202" s="1133"/>
      <c r="B7202" s="1136"/>
      <c r="C7202" s="1138"/>
    </row>
    <row r="7203" spans="1:3">
      <c r="A7203" s="1133"/>
      <c r="B7203" s="1136"/>
      <c r="C7203" s="1138"/>
    </row>
    <row r="7204" spans="1:3">
      <c r="A7204" s="1133"/>
      <c r="B7204" s="1136"/>
      <c r="C7204" s="1138"/>
    </row>
    <row r="7205" spans="1:3">
      <c r="A7205" s="1133"/>
      <c r="B7205" s="1136"/>
      <c r="C7205" s="1138"/>
    </row>
    <row r="7206" spans="1:3">
      <c r="A7206" s="1133"/>
      <c r="B7206" s="1136"/>
      <c r="C7206" s="1138"/>
    </row>
    <row r="7207" spans="1:3">
      <c r="A7207" s="1133"/>
      <c r="B7207" s="1136"/>
      <c r="C7207" s="1138"/>
    </row>
    <row r="7208" spans="1:3">
      <c r="A7208" s="1133"/>
      <c r="B7208" s="1136"/>
      <c r="C7208" s="1138"/>
    </row>
    <row r="7209" spans="1:3">
      <c r="A7209" s="1133"/>
      <c r="B7209" s="1136"/>
      <c r="C7209" s="1138"/>
    </row>
    <row r="7210" spans="1:3">
      <c r="A7210" s="1133"/>
      <c r="B7210" s="1136"/>
      <c r="C7210" s="1138"/>
    </row>
    <row r="7211" spans="1:3">
      <c r="A7211" s="1133"/>
      <c r="B7211" s="1136"/>
      <c r="C7211" s="1138"/>
    </row>
    <row r="7212" spans="1:3">
      <c r="A7212" s="1133"/>
      <c r="B7212" s="1136"/>
      <c r="C7212" s="1138"/>
    </row>
    <row r="7213" spans="1:3">
      <c r="A7213" s="1133"/>
      <c r="B7213" s="1136"/>
      <c r="C7213" s="1138"/>
    </row>
    <row r="7214" spans="1:3">
      <c r="A7214" s="1133"/>
      <c r="B7214" s="1136"/>
      <c r="C7214" s="1138"/>
    </row>
    <row r="7215" spans="1:3">
      <c r="A7215" s="1133"/>
      <c r="B7215" s="1136"/>
      <c r="C7215" s="1138"/>
    </row>
    <row r="7216" spans="1:3">
      <c r="A7216" s="1133"/>
      <c r="B7216" s="1136"/>
      <c r="C7216" s="1138"/>
    </row>
    <row r="7217" spans="1:3">
      <c r="A7217" s="1133"/>
      <c r="B7217" s="1136"/>
      <c r="C7217" s="1138"/>
    </row>
    <row r="7218" spans="1:3">
      <c r="A7218" s="1133"/>
      <c r="B7218" s="1136"/>
      <c r="C7218" s="1138"/>
    </row>
    <row r="7219" spans="1:3">
      <c r="A7219" s="1133"/>
      <c r="B7219" s="1136"/>
      <c r="C7219" s="1138"/>
    </row>
    <row r="7220" spans="1:3">
      <c r="A7220" s="1133"/>
      <c r="B7220" s="1136"/>
      <c r="C7220" s="1138"/>
    </row>
    <row r="7221" spans="1:3">
      <c r="A7221" s="1133"/>
      <c r="B7221" s="1136"/>
      <c r="C7221" s="1138"/>
    </row>
    <row r="7222" spans="1:3">
      <c r="A7222" s="1133"/>
      <c r="B7222" s="1136"/>
      <c r="C7222" s="1138"/>
    </row>
    <row r="7223" spans="1:3">
      <c r="A7223" s="1133"/>
      <c r="B7223" s="1136"/>
      <c r="C7223" s="1138"/>
    </row>
    <row r="7224" spans="1:3">
      <c r="A7224" s="1133"/>
      <c r="B7224" s="1136"/>
      <c r="C7224" s="1138"/>
    </row>
    <row r="7225" spans="1:3">
      <c r="A7225" s="1133"/>
      <c r="B7225" s="1136"/>
      <c r="C7225" s="1138"/>
    </row>
    <row r="7226" spans="1:3">
      <c r="A7226" s="1133"/>
      <c r="B7226" s="1136"/>
      <c r="C7226" s="1138"/>
    </row>
    <row r="7227" spans="1:3">
      <c r="A7227" s="1133"/>
      <c r="B7227" s="1136"/>
      <c r="C7227" s="1138"/>
    </row>
    <row r="7228" spans="1:3">
      <c r="A7228" s="1133"/>
      <c r="B7228" s="1136"/>
      <c r="C7228" s="1138"/>
    </row>
    <row r="7229" spans="1:3">
      <c r="A7229" s="1133"/>
      <c r="B7229" s="1136"/>
      <c r="C7229" s="1138"/>
    </row>
    <row r="7230" spans="1:3">
      <c r="A7230" s="1133"/>
      <c r="B7230" s="1136"/>
      <c r="C7230" s="1138"/>
    </row>
    <row r="7231" spans="1:3">
      <c r="A7231" s="1133"/>
      <c r="B7231" s="1136"/>
      <c r="C7231" s="1138"/>
    </row>
    <row r="7232" spans="1:3">
      <c r="A7232" s="1133"/>
      <c r="B7232" s="1136"/>
      <c r="C7232" s="1138"/>
    </row>
    <row r="7233" spans="1:3">
      <c r="A7233" s="1133"/>
      <c r="B7233" s="1136"/>
      <c r="C7233" s="1138"/>
    </row>
    <row r="7234" spans="1:3">
      <c r="A7234" s="1133"/>
      <c r="B7234" s="1136"/>
      <c r="C7234" s="1138"/>
    </row>
    <row r="7235" spans="1:3">
      <c r="A7235" s="1133"/>
      <c r="B7235" s="1136"/>
      <c r="C7235" s="1138"/>
    </row>
    <row r="7236" spans="1:3">
      <c r="A7236" s="1133"/>
      <c r="B7236" s="1136"/>
      <c r="C7236" s="1138"/>
    </row>
    <row r="7237" spans="1:3">
      <c r="A7237" s="1133"/>
      <c r="B7237" s="1136"/>
      <c r="C7237" s="1138"/>
    </row>
    <row r="7238" spans="1:3">
      <c r="A7238" s="1133"/>
      <c r="B7238" s="1136"/>
      <c r="C7238" s="1138"/>
    </row>
    <row r="7239" spans="1:3">
      <c r="A7239" s="1133"/>
      <c r="B7239" s="1136"/>
      <c r="C7239" s="1138"/>
    </row>
    <row r="7240" spans="1:3">
      <c r="A7240" s="1133"/>
      <c r="B7240" s="1136"/>
      <c r="C7240" s="1138"/>
    </row>
    <row r="7241" spans="1:3">
      <c r="A7241" s="1133"/>
      <c r="B7241" s="1136"/>
      <c r="C7241" s="1138"/>
    </row>
    <row r="7242" spans="1:3">
      <c r="A7242" s="1133"/>
      <c r="B7242" s="1136"/>
      <c r="C7242" s="1138"/>
    </row>
    <row r="7243" spans="1:3">
      <c r="A7243" s="1133"/>
      <c r="B7243" s="1136"/>
      <c r="C7243" s="1138"/>
    </row>
    <row r="7244" spans="1:3">
      <c r="A7244" s="1133"/>
      <c r="B7244" s="1136"/>
      <c r="C7244" s="1138"/>
    </row>
    <row r="7245" spans="1:3">
      <c r="A7245" s="1133"/>
      <c r="B7245" s="1136"/>
      <c r="C7245" s="1138"/>
    </row>
    <row r="7246" spans="1:3">
      <c r="A7246" s="1133"/>
      <c r="B7246" s="1136"/>
      <c r="C7246" s="1138"/>
    </row>
    <row r="7247" spans="1:3">
      <c r="A7247" s="1133"/>
      <c r="B7247" s="1136"/>
      <c r="C7247" s="1138"/>
    </row>
    <row r="7248" spans="1:3">
      <c r="A7248" s="1133"/>
      <c r="B7248" s="1136"/>
      <c r="C7248" s="1138"/>
    </row>
    <row r="7249" spans="1:3">
      <c r="A7249" s="1133"/>
      <c r="B7249" s="1136"/>
      <c r="C7249" s="1138"/>
    </row>
    <row r="7250" spans="1:3">
      <c r="A7250" s="1133"/>
      <c r="B7250" s="1136"/>
      <c r="C7250" s="1138"/>
    </row>
    <row r="7251" spans="1:3">
      <c r="A7251" s="1133"/>
      <c r="B7251" s="1136"/>
      <c r="C7251" s="1138"/>
    </row>
    <row r="7252" spans="1:3">
      <c r="A7252" s="1133"/>
      <c r="B7252" s="1136"/>
      <c r="C7252" s="1138"/>
    </row>
    <row r="7253" spans="1:3">
      <c r="A7253" s="1133"/>
      <c r="B7253" s="1136"/>
      <c r="C7253" s="1138"/>
    </row>
    <row r="7254" spans="1:3">
      <c r="A7254" s="1133"/>
      <c r="B7254" s="1136"/>
      <c r="C7254" s="1138"/>
    </row>
    <row r="7255" spans="1:3">
      <c r="A7255" s="1133"/>
      <c r="B7255" s="1136"/>
      <c r="C7255" s="1138"/>
    </row>
    <row r="7256" spans="1:3">
      <c r="A7256" s="1133"/>
      <c r="B7256" s="1136"/>
      <c r="C7256" s="1138"/>
    </row>
    <row r="7257" spans="1:3">
      <c r="A7257" s="1133"/>
      <c r="B7257" s="1136"/>
      <c r="C7257" s="1138"/>
    </row>
    <row r="7258" spans="1:3">
      <c r="A7258" s="1133"/>
      <c r="B7258" s="1136"/>
      <c r="C7258" s="1138"/>
    </row>
    <row r="7259" spans="1:3">
      <c r="A7259" s="1133"/>
      <c r="B7259" s="1136"/>
      <c r="C7259" s="1138"/>
    </row>
    <row r="7260" spans="1:3">
      <c r="A7260" s="1133"/>
      <c r="B7260" s="1136"/>
      <c r="C7260" s="1138"/>
    </row>
    <row r="7261" spans="1:3">
      <c r="A7261" s="1133"/>
      <c r="B7261" s="1136"/>
      <c r="C7261" s="1138"/>
    </row>
    <row r="7262" spans="1:3">
      <c r="A7262" s="1133"/>
      <c r="B7262" s="1136"/>
      <c r="C7262" s="1138"/>
    </row>
    <row r="7263" spans="1:3">
      <c r="A7263" s="1133"/>
      <c r="B7263" s="1136"/>
      <c r="C7263" s="1138"/>
    </row>
    <row r="7264" spans="1:3">
      <c r="A7264" s="1133"/>
      <c r="B7264" s="1136"/>
      <c r="C7264" s="1138"/>
    </row>
    <row r="7265" spans="1:3">
      <c r="A7265" s="1133"/>
      <c r="B7265" s="1136"/>
      <c r="C7265" s="1138"/>
    </row>
    <row r="7266" spans="1:3">
      <c r="A7266" s="1133"/>
      <c r="B7266" s="1136"/>
      <c r="C7266" s="1138"/>
    </row>
    <row r="7267" spans="1:3">
      <c r="A7267" s="1133"/>
      <c r="B7267" s="1136"/>
      <c r="C7267" s="1138"/>
    </row>
    <row r="7268" spans="1:3">
      <c r="A7268" s="1133"/>
      <c r="B7268" s="1136"/>
      <c r="C7268" s="1138"/>
    </row>
    <row r="7269" spans="1:3">
      <c r="A7269" s="1133"/>
      <c r="B7269" s="1136"/>
      <c r="C7269" s="1138"/>
    </row>
    <row r="7270" spans="1:3">
      <c r="A7270" s="1133"/>
      <c r="B7270" s="1136"/>
      <c r="C7270" s="1138"/>
    </row>
    <row r="7271" spans="1:3">
      <c r="A7271" s="1133"/>
      <c r="B7271" s="1136"/>
      <c r="C7271" s="1138"/>
    </row>
    <row r="7272" spans="1:3">
      <c r="A7272" s="1133"/>
      <c r="B7272" s="1136"/>
      <c r="C7272" s="1138"/>
    </row>
    <row r="7273" spans="1:3">
      <c r="A7273" s="1133"/>
      <c r="B7273" s="1136"/>
      <c r="C7273" s="1138"/>
    </row>
    <row r="7274" spans="1:3">
      <c r="A7274" s="1133"/>
      <c r="B7274" s="1136"/>
      <c r="C7274" s="1138"/>
    </row>
    <row r="7275" spans="1:3">
      <c r="A7275" s="1133"/>
      <c r="B7275" s="1136"/>
      <c r="C7275" s="1138"/>
    </row>
    <row r="7276" spans="1:3">
      <c r="A7276" s="1133"/>
      <c r="B7276" s="1136"/>
      <c r="C7276" s="1138"/>
    </row>
    <row r="7277" spans="1:3">
      <c r="A7277" s="1133"/>
      <c r="B7277" s="1136"/>
      <c r="C7277" s="1138"/>
    </row>
    <row r="7278" spans="1:3">
      <c r="A7278" s="1133"/>
      <c r="B7278" s="1136"/>
      <c r="C7278" s="1138"/>
    </row>
    <row r="7279" spans="1:3">
      <c r="A7279" s="1133"/>
      <c r="B7279" s="1136"/>
      <c r="C7279" s="1138"/>
    </row>
    <row r="7280" spans="1:3">
      <c r="A7280" s="1133"/>
      <c r="B7280" s="1136"/>
      <c r="C7280" s="1138"/>
    </row>
    <row r="7281" spans="1:3">
      <c r="A7281" s="1133"/>
      <c r="B7281" s="1136"/>
      <c r="C7281" s="1138"/>
    </row>
    <row r="7282" spans="1:3">
      <c r="A7282" s="1133"/>
      <c r="B7282" s="1136"/>
      <c r="C7282" s="1138"/>
    </row>
    <row r="7283" spans="1:3">
      <c r="A7283" s="1133"/>
      <c r="B7283" s="1136"/>
      <c r="C7283" s="1138"/>
    </row>
    <row r="7284" spans="1:3">
      <c r="A7284" s="1133"/>
      <c r="B7284" s="1136"/>
      <c r="C7284" s="1138"/>
    </row>
    <row r="7285" spans="1:3">
      <c r="A7285" s="1133"/>
      <c r="B7285" s="1136"/>
      <c r="C7285" s="1138"/>
    </row>
    <row r="7286" spans="1:3">
      <c r="A7286" s="1133"/>
      <c r="B7286" s="1136"/>
      <c r="C7286" s="1138"/>
    </row>
    <row r="7287" spans="1:3">
      <c r="A7287" s="1133"/>
      <c r="B7287" s="1136"/>
      <c r="C7287" s="1138"/>
    </row>
    <row r="7288" spans="1:3">
      <c r="A7288" s="1133"/>
      <c r="B7288" s="1136"/>
      <c r="C7288" s="1138"/>
    </row>
    <row r="7289" spans="1:3">
      <c r="A7289" s="1133"/>
      <c r="B7289" s="1136"/>
      <c r="C7289" s="1138"/>
    </row>
    <row r="7290" spans="1:3">
      <c r="A7290" s="1133"/>
      <c r="B7290" s="1136"/>
      <c r="C7290" s="1138"/>
    </row>
    <row r="7291" spans="1:3">
      <c r="A7291" s="1133"/>
      <c r="B7291" s="1136"/>
      <c r="C7291" s="1138"/>
    </row>
    <row r="7292" spans="1:3">
      <c r="A7292" s="1133"/>
      <c r="B7292" s="1136"/>
      <c r="C7292" s="1138"/>
    </row>
    <row r="7293" spans="1:3">
      <c r="A7293" s="1133"/>
      <c r="B7293" s="1136"/>
      <c r="C7293" s="1138"/>
    </row>
    <row r="7294" spans="1:3">
      <c r="A7294" s="1133"/>
      <c r="B7294" s="1136"/>
      <c r="C7294" s="1138"/>
    </row>
    <row r="7295" spans="1:3">
      <c r="A7295" s="1133"/>
      <c r="B7295" s="1136"/>
      <c r="C7295" s="1138"/>
    </row>
    <row r="7296" spans="1:3">
      <c r="A7296" s="1133"/>
      <c r="B7296" s="1136"/>
      <c r="C7296" s="1138"/>
    </row>
    <row r="7297" spans="1:3">
      <c r="A7297" s="1133"/>
      <c r="B7297" s="1136"/>
      <c r="C7297" s="1138"/>
    </row>
    <row r="7298" spans="1:3">
      <c r="A7298" s="1133"/>
      <c r="B7298" s="1136"/>
      <c r="C7298" s="1138"/>
    </row>
    <row r="7299" spans="1:3">
      <c r="A7299" s="1133"/>
      <c r="B7299" s="1136"/>
      <c r="C7299" s="1138"/>
    </row>
    <row r="7300" spans="1:3">
      <c r="A7300" s="1133"/>
      <c r="B7300" s="1136"/>
      <c r="C7300" s="1138"/>
    </row>
    <row r="7301" spans="1:3">
      <c r="A7301" s="1133"/>
      <c r="B7301" s="1136"/>
      <c r="C7301" s="1138"/>
    </row>
    <row r="7302" spans="1:3">
      <c r="A7302" s="1133"/>
      <c r="B7302" s="1136"/>
      <c r="C7302" s="1138"/>
    </row>
    <row r="7303" spans="1:3">
      <c r="A7303" s="1133"/>
      <c r="B7303" s="1136"/>
      <c r="C7303" s="1138"/>
    </row>
    <row r="7304" spans="1:3">
      <c r="A7304" s="1133"/>
      <c r="B7304" s="1136"/>
      <c r="C7304" s="1138"/>
    </row>
    <row r="7305" spans="1:3">
      <c r="A7305" s="1133"/>
      <c r="B7305" s="1136"/>
      <c r="C7305" s="1138"/>
    </row>
    <row r="7306" spans="1:3">
      <c r="A7306" s="1133"/>
      <c r="B7306" s="1136"/>
      <c r="C7306" s="1138"/>
    </row>
    <row r="7307" spans="1:3">
      <c r="A7307" s="1133"/>
      <c r="B7307" s="1136"/>
      <c r="C7307" s="1138"/>
    </row>
    <row r="7308" spans="1:3">
      <c r="A7308" s="1133"/>
      <c r="B7308" s="1136"/>
      <c r="C7308" s="1138"/>
    </row>
    <row r="7309" spans="1:3">
      <c r="A7309" s="1133"/>
      <c r="B7309" s="1136"/>
      <c r="C7309" s="1138"/>
    </row>
    <row r="7310" spans="1:3">
      <c r="A7310" s="1133"/>
      <c r="B7310" s="1136"/>
      <c r="C7310" s="1138"/>
    </row>
    <row r="7311" spans="1:3">
      <c r="A7311" s="1133"/>
      <c r="B7311" s="1136"/>
      <c r="C7311" s="1138"/>
    </row>
    <row r="7312" spans="1:3">
      <c r="A7312" s="1133"/>
      <c r="B7312" s="1136"/>
      <c r="C7312" s="1138"/>
    </row>
    <row r="7313" spans="1:3">
      <c r="A7313" s="1133"/>
      <c r="B7313" s="1136"/>
      <c r="C7313" s="1138"/>
    </row>
    <row r="7314" spans="1:3">
      <c r="A7314" s="1133"/>
      <c r="B7314" s="1136"/>
      <c r="C7314" s="1138"/>
    </row>
    <row r="7315" spans="1:3">
      <c r="A7315" s="1133"/>
      <c r="B7315" s="1136"/>
      <c r="C7315" s="1138"/>
    </row>
    <row r="7316" spans="1:3">
      <c r="A7316" s="1133"/>
      <c r="B7316" s="1136"/>
      <c r="C7316" s="1138"/>
    </row>
    <row r="7317" spans="1:3">
      <c r="A7317" s="1133"/>
      <c r="B7317" s="1136"/>
      <c r="C7317" s="1138"/>
    </row>
    <row r="7318" spans="1:3">
      <c r="A7318" s="1133"/>
      <c r="B7318" s="1136"/>
      <c r="C7318" s="1138"/>
    </row>
    <row r="7319" spans="1:3">
      <c r="A7319" s="1133"/>
      <c r="B7319" s="1136"/>
      <c r="C7319" s="1138"/>
    </row>
    <row r="7320" spans="1:3">
      <c r="A7320" s="1133"/>
      <c r="B7320" s="1136"/>
      <c r="C7320" s="1138"/>
    </row>
    <row r="7321" spans="1:3">
      <c r="A7321" s="1133"/>
      <c r="B7321" s="1136"/>
      <c r="C7321" s="1138"/>
    </row>
    <row r="7322" spans="1:3">
      <c r="A7322" s="1133"/>
      <c r="B7322" s="1136"/>
      <c r="C7322" s="1138"/>
    </row>
    <row r="7323" spans="1:3">
      <c r="A7323" s="1133"/>
      <c r="B7323" s="1136"/>
      <c r="C7323" s="1138"/>
    </row>
    <row r="7324" spans="1:3">
      <c r="A7324" s="1133"/>
      <c r="B7324" s="1136"/>
      <c r="C7324" s="1138"/>
    </row>
    <row r="7325" spans="1:3">
      <c r="A7325" s="1133"/>
      <c r="B7325" s="1136"/>
      <c r="C7325" s="1138"/>
    </row>
    <row r="7326" spans="1:3">
      <c r="A7326" s="1133"/>
      <c r="B7326" s="1136"/>
      <c r="C7326" s="1138"/>
    </row>
    <row r="7327" spans="1:3">
      <c r="A7327" s="1133"/>
      <c r="B7327" s="1136"/>
      <c r="C7327" s="1138"/>
    </row>
    <row r="7328" spans="1:3">
      <c r="A7328" s="1133"/>
      <c r="B7328" s="1136"/>
      <c r="C7328" s="1138"/>
    </row>
    <row r="7329" spans="1:3">
      <c r="A7329" s="1133"/>
      <c r="B7329" s="1136"/>
      <c r="C7329" s="1138"/>
    </row>
    <row r="7330" spans="1:3">
      <c r="A7330" s="1133"/>
      <c r="B7330" s="1136"/>
      <c r="C7330" s="1138"/>
    </row>
    <row r="7331" spans="1:3">
      <c r="A7331" s="1133"/>
      <c r="B7331" s="1136"/>
      <c r="C7331" s="1138"/>
    </row>
    <row r="7332" spans="1:3">
      <c r="A7332" s="1133"/>
      <c r="B7332" s="1136"/>
      <c r="C7332" s="1138"/>
    </row>
    <row r="7333" spans="1:3">
      <c r="A7333" s="1133"/>
      <c r="B7333" s="1136"/>
      <c r="C7333" s="1138"/>
    </row>
    <row r="7334" spans="1:3">
      <c r="A7334" s="1133"/>
      <c r="B7334" s="1136"/>
      <c r="C7334" s="1138"/>
    </row>
    <row r="7335" spans="1:3">
      <c r="A7335" s="1133"/>
      <c r="B7335" s="1136"/>
      <c r="C7335" s="1138"/>
    </row>
    <row r="7336" spans="1:3">
      <c r="A7336" s="1133"/>
      <c r="B7336" s="1136"/>
      <c r="C7336" s="1138"/>
    </row>
    <row r="7337" spans="1:3">
      <c r="A7337" s="1133"/>
      <c r="B7337" s="1136"/>
      <c r="C7337" s="1138"/>
    </row>
    <row r="7338" spans="1:3">
      <c r="A7338" s="1133"/>
      <c r="B7338" s="1136"/>
      <c r="C7338" s="1138"/>
    </row>
    <row r="7339" spans="1:3">
      <c r="A7339" s="1133"/>
      <c r="B7339" s="1136"/>
      <c r="C7339" s="1138"/>
    </row>
    <row r="7340" spans="1:3">
      <c r="A7340" s="1133"/>
      <c r="B7340" s="1136"/>
      <c r="C7340" s="1138"/>
    </row>
    <row r="7341" spans="1:3">
      <c r="A7341" s="1133"/>
      <c r="B7341" s="1136"/>
      <c r="C7341" s="1138"/>
    </row>
    <row r="7342" spans="1:3">
      <c r="A7342" s="1133"/>
      <c r="B7342" s="1136"/>
      <c r="C7342" s="1138"/>
    </row>
    <row r="7343" spans="1:3">
      <c r="A7343" s="1133"/>
      <c r="B7343" s="1136"/>
      <c r="C7343" s="1138"/>
    </row>
    <row r="7344" spans="1:3">
      <c r="A7344" s="1133"/>
      <c r="B7344" s="1136"/>
      <c r="C7344" s="1138"/>
    </row>
    <row r="7345" spans="1:3">
      <c r="A7345" s="1133"/>
      <c r="B7345" s="1136"/>
      <c r="C7345" s="1138"/>
    </row>
    <row r="7346" spans="1:3">
      <c r="A7346" s="1133"/>
      <c r="B7346" s="1136"/>
      <c r="C7346" s="1138"/>
    </row>
    <row r="7347" spans="1:3">
      <c r="A7347" s="1133"/>
      <c r="B7347" s="1136"/>
      <c r="C7347" s="1138"/>
    </row>
    <row r="7348" spans="1:3">
      <c r="A7348" s="1133"/>
      <c r="B7348" s="1136"/>
      <c r="C7348" s="1138"/>
    </row>
    <row r="7349" spans="1:3">
      <c r="A7349" s="1133"/>
      <c r="B7349" s="1136"/>
      <c r="C7349" s="1138"/>
    </row>
    <row r="7350" spans="1:3">
      <c r="A7350" s="1133"/>
      <c r="B7350" s="1136"/>
      <c r="C7350" s="1138"/>
    </row>
    <row r="7351" spans="1:3">
      <c r="A7351" s="1133"/>
      <c r="B7351" s="1136"/>
      <c r="C7351" s="1138"/>
    </row>
    <row r="7352" spans="1:3">
      <c r="A7352" s="1133"/>
      <c r="B7352" s="1136"/>
      <c r="C7352" s="1138"/>
    </row>
    <row r="7353" spans="1:3">
      <c r="A7353" s="1133"/>
      <c r="B7353" s="1136"/>
      <c r="C7353" s="1138"/>
    </row>
    <row r="7354" spans="1:3">
      <c r="A7354" s="1133"/>
      <c r="B7354" s="1136"/>
      <c r="C7354" s="1138"/>
    </row>
    <row r="7355" spans="1:3">
      <c r="A7355" s="1133"/>
      <c r="B7355" s="1136"/>
      <c r="C7355" s="1138"/>
    </row>
    <row r="7356" spans="1:3">
      <c r="A7356" s="1133"/>
      <c r="B7356" s="1136"/>
      <c r="C7356" s="1138"/>
    </row>
    <row r="7357" spans="1:3">
      <c r="A7357" s="1133"/>
      <c r="B7357" s="1136"/>
      <c r="C7357" s="1138"/>
    </row>
    <row r="7358" spans="1:3">
      <c r="A7358" s="1133"/>
      <c r="B7358" s="1136"/>
      <c r="C7358" s="1138"/>
    </row>
    <row r="7359" spans="1:3">
      <c r="A7359" s="1133"/>
      <c r="B7359" s="1136"/>
      <c r="C7359" s="1138"/>
    </row>
    <row r="7360" spans="1:3">
      <c r="A7360" s="1133"/>
      <c r="B7360" s="1136"/>
      <c r="C7360" s="1138"/>
    </row>
    <row r="7361" spans="1:3">
      <c r="A7361" s="1133"/>
      <c r="B7361" s="1136"/>
      <c r="C7361" s="1138"/>
    </row>
    <row r="7362" spans="1:3">
      <c r="A7362" s="1133"/>
      <c r="B7362" s="1136"/>
      <c r="C7362" s="1138"/>
    </row>
    <row r="7363" spans="1:3">
      <c r="A7363" s="1133"/>
      <c r="B7363" s="1136"/>
      <c r="C7363" s="1138"/>
    </row>
    <row r="7364" spans="1:3">
      <c r="A7364" s="1133"/>
      <c r="B7364" s="1136"/>
      <c r="C7364" s="1138"/>
    </row>
    <row r="7365" spans="1:3">
      <c r="A7365" s="1133"/>
      <c r="B7365" s="1136"/>
      <c r="C7365" s="1138"/>
    </row>
    <row r="7366" spans="1:3">
      <c r="A7366" s="1133"/>
      <c r="B7366" s="1136"/>
      <c r="C7366" s="1138"/>
    </row>
    <row r="7367" spans="1:3">
      <c r="A7367" s="1133"/>
      <c r="B7367" s="1136"/>
      <c r="C7367" s="1138"/>
    </row>
    <row r="7368" spans="1:3">
      <c r="A7368" s="1133"/>
      <c r="B7368" s="1136"/>
      <c r="C7368" s="1138"/>
    </row>
    <row r="7369" spans="1:3">
      <c r="A7369" s="1133"/>
      <c r="B7369" s="1136"/>
      <c r="C7369" s="1138"/>
    </row>
    <row r="7370" spans="1:3">
      <c r="A7370" s="1133"/>
      <c r="B7370" s="1136"/>
      <c r="C7370" s="1138"/>
    </row>
    <row r="7371" spans="1:3">
      <c r="A7371" s="1133"/>
      <c r="B7371" s="1136"/>
      <c r="C7371" s="1138"/>
    </row>
    <row r="7372" spans="1:3">
      <c r="A7372" s="1133"/>
      <c r="B7372" s="1136"/>
      <c r="C7372" s="1138"/>
    </row>
    <row r="7373" spans="1:3">
      <c r="A7373" s="1133"/>
      <c r="B7373" s="1136"/>
      <c r="C7373" s="1138"/>
    </row>
    <row r="7374" spans="1:3">
      <c r="A7374" s="1133"/>
      <c r="B7374" s="1136"/>
      <c r="C7374" s="1138"/>
    </row>
    <row r="7375" spans="1:3">
      <c r="A7375" s="1133"/>
      <c r="B7375" s="1136"/>
      <c r="C7375" s="1138"/>
    </row>
    <row r="7376" spans="1:3">
      <c r="A7376" s="1133"/>
      <c r="B7376" s="1136"/>
      <c r="C7376" s="1138"/>
    </row>
    <row r="7377" spans="1:3">
      <c r="A7377" s="1133"/>
      <c r="B7377" s="1136"/>
      <c r="C7377" s="1138"/>
    </row>
    <row r="7378" spans="1:3">
      <c r="A7378" s="1133"/>
      <c r="B7378" s="1136"/>
      <c r="C7378" s="1138"/>
    </row>
    <row r="7379" spans="1:3">
      <c r="A7379" s="1133"/>
      <c r="B7379" s="1136"/>
      <c r="C7379" s="1138"/>
    </row>
    <row r="7380" spans="1:3">
      <c r="A7380" s="1133"/>
      <c r="B7380" s="1136"/>
      <c r="C7380" s="1138"/>
    </row>
    <row r="7381" spans="1:3">
      <c r="A7381" s="1133"/>
      <c r="B7381" s="1136"/>
      <c r="C7381" s="1138"/>
    </row>
    <row r="7382" spans="1:3">
      <c r="A7382" s="1133"/>
      <c r="B7382" s="1136"/>
      <c r="C7382" s="1138"/>
    </row>
    <row r="7383" spans="1:3">
      <c r="A7383" s="1133"/>
      <c r="B7383" s="1136"/>
      <c r="C7383" s="1138"/>
    </row>
    <row r="7384" spans="1:3">
      <c r="A7384" s="1133"/>
      <c r="B7384" s="1136"/>
      <c r="C7384" s="1138"/>
    </row>
    <row r="7385" spans="1:3">
      <c r="A7385" s="1133"/>
      <c r="B7385" s="1136"/>
      <c r="C7385" s="1138"/>
    </row>
    <row r="7386" spans="1:3">
      <c r="A7386" s="1133"/>
      <c r="B7386" s="1136"/>
      <c r="C7386" s="1138"/>
    </row>
    <row r="7387" spans="1:3">
      <c r="A7387" s="1133"/>
      <c r="B7387" s="1136"/>
      <c r="C7387" s="1138"/>
    </row>
    <row r="7388" spans="1:3">
      <c r="A7388" s="1133"/>
      <c r="B7388" s="1136"/>
      <c r="C7388" s="1138"/>
    </row>
    <row r="7389" spans="1:3">
      <c r="A7389" s="1133"/>
      <c r="B7389" s="1136"/>
      <c r="C7389" s="1138"/>
    </row>
    <row r="7390" spans="1:3">
      <c r="A7390" s="1133"/>
      <c r="B7390" s="1136"/>
      <c r="C7390" s="1138"/>
    </row>
    <row r="7391" spans="1:3">
      <c r="A7391" s="1133"/>
      <c r="B7391" s="1136"/>
      <c r="C7391" s="1138"/>
    </row>
    <row r="7392" spans="1:3">
      <c r="A7392" s="1133"/>
      <c r="B7392" s="1136"/>
      <c r="C7392" s="1138"/>
    </row>
    <row r="7393" spans="1:3">
      <c r="A7393" s="1133"/>
      <c r="B7393" s="1136"/>
      <c r="C7393" s="1138"/>
    </row>
    <row r="7394" spans="1:3">
      <c r="A7394" s="1133"/>
      <c r="B7394" s="1136"/>
      <c r="C7394" s="1138"/>
    </row>
    <row r="7395" spans="1:3">
      <c r="A7395" s="1133"/>
      <c r="B7395" s="1136"/>
      <c r="C7395" s="1138"/>
    </row>
    <row r="7396" spans="1:3">
      <c r="A7396" s="1133"/>
      <c r="B7396" s="1136"/>
      <c r="C7396" s="1138"/>
    </row>
    <row r="7397" spans="1:3">
      <c r="A7397" s="1133"/>
      <c r="B7397" s="1136"/>
      <c r="C7397" s="1138"/>
    </row>
    <row r="7398" spans="1:3">
      <c r="A7398" s="1133"/>
      <c r="B7398" s="1136"/>
      <c r="C7398" s="1138"/>
    </row>
    <row r="7399" spans="1:3">
      <c r="A7399" s="1133"/>
      <c r="B7399" s="1136"/>
      <c r="C7399" s="1138"/>
    </row>
    <row r="7400" spans="1:3">
      <c r="A7400" s="1133"/>
      <c r="B7400" s="1136"/>
      <c r="C7400" s="1138"/>
    </row>
    <row r="7401" spans="1:3">
      <c r="A7401" s="1133"/>
      <c r="B7401" s="1136"/>
      <c r="C7401" s="1138"/>
    </row>
    <row r="7402" spans="1:3">
      <c r="A7402" s="1133"/>
      <c r="B7402" s="1136"/>
      <c r="C7402" s="1138"/>
    </row>
    <row r="7403" spans="1:3">
      <c r="A7403" s="1133"/>
      <c r="B7403" s="1136"/>
      <c r="C7403" s="1138"/>
    </row>
    <row r="7404" spans="1:3">
      <c r="A7404" s="1133"/>
      <c r="B7404" s="1136"/>
      <c r="C7404" s="1138"/>
    </row>
    <row r="7405" spans="1:3">
      <c r="A7405" s="1133"/>
      <c r="B7405" s="1136"/>
      <c r="C7405" s="1138"/>
    </row>
    <row r="7406" spans="1:3">
      <c r="A7406" s="1133"/>
      <c r="B7406" s="1136"/>
      <c r="C7406" s="1138"/>
    </row>
    <row r="7407" spans="1:3">
      <c r="A7407" s="1133"/>
      <c r="B7407" s="1136"/>
      <c r="C7407" s="1138"/>
    </row>
    <row r="7408" spans="1:3">
      <c r="A7408" s="1133"/>
      <c r="B7408" s="1136"/>
      <c r="C7408" s="1138"/>
    </row>
    <row r="7409" spans="1:3">
      <c r="A7409" s="1133"/>
      <c r="B7409" s="1136"/>
      <c r="C7409" s="1138"/>
    </row>
    <row r="7410" spans="1:3">
      <c r="A7410" s="1133"/>
      <c r="B7410" s="1136"/>
      <c r="C7410" s="1138"/>
    </row>
    <row r="7411" spans="1:3">
      <c r="A7411" s="1133"/>
      <c r="B7411" s="1136"/>
      <c r="C7411" s="1138"/>
    </row>
    <row r="7412" spans="1:3">
      <c r="A7412" s="1133"/>
      <c r="B7412" s="1136"/>
      <c r="C7412" s="1138"/>
    </row>
    <row r="7413" spans="1:3">
      <c r="A7413" s="1133"/>
      <c r="B7413" s="1136"/>
      <c r="C7413" s="1138"/>
    </row>
    <row r="7414" spans="1:3">
      <c r="A7414" s="1133"/>
      <c r="B7414" s="1136"/>
      <c r="C7414" s="1138"/>
    </row>
    <row r="7415" spans="1:3">
      <c r="A7415" s="1133"/>
      <c r="B7415" s="1136"/>
      <c r="C7415" s="1138"/>
    </row>
    <row r="7416" spans="1:3">
      <c r="A7416" s="1133"/>
      <c r="B7416" s="1136"/>
      <c r="C7416" s="1138"/>
    </row>
    <row r="7417" spans="1:3">
      <c r="A7417" s="1133"/>
      <c r="B7417" s="1136"/>
      <c r="C7417" s="1138"/>
    </row>
    <row r="7418" spans="1:3">
      <c r="A7418" s="1133"/>
      <c r="B7418" s="1136"/>
      <c r="C7418" s="1138"/>
    </row>
    <row r="7419" spans="1:3">
      <c r="A7419" s="1133"/>
      <c r="B7419" s="1136"/>
      <c r="C7419" s="1138"/>
    </row>
    <row r="7420" spans="1:3">
      <c r="A7420" s="1133"/>
      <c r="B7420" s="1136"/>
      <c r="C7420" s="1138"/>
    </row>
    <row r="7421" spans="1:3">
      <c r="A7421" s="1133"/>
      <c r="B7421" s="1136"/>
      <c r="C7421" s="1138"/>
    </row>
    <row r="7422" spans="1:3">
      <c r="A7422" s="1133"/>
      <c r="B7422" s="1136"/>
      <c r="C7422" s="1138"/>
    </row>
    <row r="7423" spans="1:3">
      <c r="A7423" s="1133"/>
      <c r="B7423" s="1136"/>
      <c r="C7423" s="1138"/>
    </row>
    <row r="7424" spans="1:3">
      <c r="A7424" s="1133"/>
      <c r="B7424" s="1136"/>
      <c r="C7424" s="1138"/>
    </row>
    <row r="7425" spans="1:3">
      <c r="A7425" s="1133"/>
      <c r="B7425" s="1136"/>
      <c r="C7425" s="1138"/>
    </row>
    <row r="7426" spans="1:3">
      <c r="A7426" s="1133"/>
      <c r="B7426" s="1136"/>
      <c r="C7426" s="1138"/>
    </row>
    <row r="7427" spans="1:3">
      <c r="A7427" s="1133"/>
      <c r="B7427" s="1136"/>
      <c r="C7427" s="1138"/>
    </row>
    <row r="7428" spans="1:3">
      <c r="A7428" s="1133"/>
      <c r="B7428" s="1136"/>
      <c r="C7428" s="1138"/>
    </row>
    <row r="7429" spans="1:3">
      <c r="A7429" s="1133"/>
      <c r="B7429" s="1136"/>
      <c r="C7429" s="1138"/>
    </row>
    <row r="7430" spans="1:3">
      <c r="A7430" s="1133"/>
      <c r="B7430" s="1136"/>
      <c r="C7430" s="1138"/>
    </row>
    <row r="7431" spans="1:3">
      <c r="A7431" s="1133"/>
      <c r="B7431" s="1136"/>
      <c r="C7431" s="1138"/>
    </row>
    <row r="7432" spans="1:3">
      <c r="A7432" s="1133"/>
      <c r="B7432" s="1136"/>
      <c r="C7432" s="1138"/>
    </row>
    <row r="7433" spans="1:3">
      <c r="A7433" s="1133"/>
      <c r="B7433" s="1136"/>
      <c r="C7433" s="1138"/>
    </row>
    <row r="7434" spans="1:3">
      <c r="A7434" s="1133"/>
      <c r="B7434" s="1136"/>
      <c r="C7434" s="1138"/>
    </row>
    <row r="7435" spans="1:3">
      <c r="A7435" s="1133"/>
      <c r="B7435" s="1136"/>
      <c r="C7435" s="1138"/>
    </row>
    <row r="7436" spans="1:3">
      <c r="A7436" s="1133"/>
      <c r="B7436" s="1136"/>
      <c r="C7436" s="1138"/>
    </row>
    <row r="7437" spans="1:3">
      <c r="A7437" s="1133"/>
      <c r="B7437" s="1136"/>
      <c r="C7437" s="1138"/>
    </row>
    <row r="7438" spans="1:3">
      <c r="A7438" s="1133"/>
      <c r="B7438" s="1136"/>
      <c r="C7438" s="1138"/>
    </row>
    <row r="7439" spans="1:3">
      <c r="A7439" s="1133"/>
      <c r="B7439" s="1136"/>
      <c r="C7439" s="1138"/>
    </row>
    <row r="7440" spans="1:3">
      <c r="A7440" s="1133"/>
      <c r="B7440" s="1136"/>
      <c r="C7440" s="1138"/>
    </row>
    <row r="7441" spans="1:3">
      <c r="A7441" s="1133"/>
      <c r="B7441" s="1136"/>
      <c r="C7441" s="1138"/>
    </row>
    <row r="7442" spans="1:3">
      <c r="A7442" s="1133"/>
      <c r="B7442" s="1136"/>
      <c r="C7442" s="1138"/>
    </row>
    <row r="7443" spans="1:3">
      <c r="A7443" s="1133"/>
      <c r="B7443" s="1136"/>
      <c r="C7443" s="1138"/>
    </row>
    <row r="7444" spans="1:3">
      <c r="A7444" s="1133"/>
      <c r="B7444" s="1136"/>
      <c r="C7444" s="1138"/>
    </row>
    <row r="7445" spans="1:3">
      <c r="A7445" s="1133"/>
      <c r="B7445" s="1136"/>
      <c r="C7445" s="1138"/>
    </row>
    <row r="7446" spans="1:3">
      <c r="A7446" s="1133"/>
      <c r="B7446" s="1136"/>
      <c r="C7446" s="1138"/>
    </row>
    <row r="7447" spans="1:3">
      <c r="A7447" s="1133"/>
      <c r="B7447" s="1136"/>
      <c r="C7447" s="1138"/>
    </row>
    <row r="7448" spans="1:3">
      <c r="A7448" s="1133"/>
      <c r="B7448" s="1136"/>
      <c r="C7448" s="1138"/>
    </row>
    <row r="7449" spans="1:3">
      <c r="A7449" s="1133"/>
      <c r="B7449" s="1136"/>
      <c r="C7449" s="1138"/>
    </row>
    <row r="7450" spans="1:3">
      <c r="A7450" s="1133"/>
      <c r="B7450" s="1136"/>
      <c r="C7450" s="1138"/>
    </row>
    <row r="7451" spans="1:3">
      <c r="A7451" s="1133"/>
      <c r="B7451" s="1136"/>
      <c r="C7451" s="1138"/>
    </row>
    <row r="7452" spans="1:3">
      <c r="A7452" s="1133"/>
      <c r="B7452" s="1136"/>
      <c r="C7452" s="1138"/>
    </row>
    <row r="7453" spans="1:3">
      <c r="A7453" s="1133"/>
      <c r="B7453" s="1136"/>
      <c r="C7453" s="1138"/>
    </row>
    <row r="7454" spans="1:3">
      <c r="A7454" s="1133"/>
      <c r="B7454" s="1136"/>
      <c r="C7454" s="1138"/>
    </row>
    <row r="7455" spans="1:3">
      <c r="A7455" s="1133"/>
      <c r="B7455" s="1136"/>
      <c r="C7455" s="1138"/>
    </row>
    <row r="7456" spans="1:3">
      <c r="A7456" s="1133"/>
      <c r="B7456" s="1136"/>
      <c r="C7456" s="1138"/>
    </row>
    <row r="7457" spans="1:3">
      <c r="A7457" s="1133"/>
      <c r="B7457" s="1136"/>
      <c r="C7457" s="1138"/>
    </row>
    <row r="7458" spans="1:3">
      <c r="A7458" s="1133"/>
      <c r="B7458" s="1136"/>
      <c r="C7458" s="1138"/>
    </row>
    <row r="7459" spans="1:3">
      <c r="A7459" s="1133"/>
      <c r="B7459" s="1136"/>
      <c r="C7459" s="1138"/>
    </row>
    <row r="7460" spans="1:3">
      <c r="A7460" s="1133"/>
      <c r="B7460" s="1136"/>
      <c r="C7460" s="1138"/>
    </row>
    <row r="7461" spans="1:3">
      <c r="A7461" s="1133"/>
      <c r="B7461" s="1136"/>
      <c r="C7461" s="1138"/>
    </row>
    <row r="7462" spans="1:3">
      <c r="A7462" s="1133"/>
      <c r="B7462" s="1136"/>
      <c r="C7462" s="1138"/>
    </row>
    <row r="7463" spans="1:3">
      <c r="A7463" s="1133"/>
      <c r="B7463" s="1136"/>
      <c r="C7463" s="1138"/>
    </row>
    <row r="7464" spans="1:3">
      <c r="A7464" s="1133"/>
      <c r="B7464" s="1136"/>
      <c r="C7464" s="1138"/>
    </row>
    <row r="7465" spans="1:3">
      <c r="A7465" s="1133"/>
      <c r="B7465" s="1136"/>
      <c r="C7465" s="1138"/>
    </row>
    <row r="7466" spans="1:3">
      <c r="A7466" s="1133"/>
      <c r="B7466" s="1136"/>
      <c r="C7466" s="1138"/>
    </row>
    <row r="7467" spans="1:3">
      <c r="A7467" s="1133"/>
      <c r="B7467" s="1136"/>
      <c r="C7467" s="1138"/>
    </row>
    <row r="7468" spans="1:3">
      <c r="A7468" s="1133"/>
      <c r="B7468" s="1136"/>
      <c r="C7468" s="1138"/>
    </row>
    <row r="7469" spans="1:3">
      <c r="A7469" s="1133"/>
      <c r="B7469" s="1136"/>
      <c r="C7469" s="1138"/>
    </row>
    <row r="7470" spans="1:3">
      <c r="A7470" s="1133"/>
      <c r="B7470" s="1136"/>
      <c r="C7470" s="1138"/>
    </row>
    <row r="7471" spans="1:3">
      <c r="A7471" s="1133"/>
      <c r="B7471" s="1136"/>
      <c r="C7471" s="1138"/>
    </row>
    <row r="7472" spans="1:3">
      <c r="A7472" s="1133"/>
      <c r="B7472" s="1136"/>
      <c r="C7472" s="1138"/>
    </row>
    <row r="7473" spans="1:3">
      <c r="A7473" s="1133"/>
      <c r="B7473" s="1136"/>
      <c r="C7473" s="1138"/>
    </row>
    <row r="7474" spans="1:3">
      <c r="A7474" s="1133"/>
      <c r="B7474" s="1136"/>
      <c r="C7474" s="1138"/>
    </row>
    <row r="7475" spans="1:3">
      <c r="A7475" s="1133"/>
      <c r="B7475" s="1136"/>
      <c r="C7475" s="1138"/>
    </row>
    <row r="7476" spans="1:3">
      <c r="A7476" s="1133"/>
      <c r="B7476" s="1136"/>
      <c r="C7476" s="1138"/>
    </row>
    <row r="7477" spans="1:3">
      <c r="A7477" s="1133"/>
      <c r="B7477" s="1136"/>
      <c r="C7477" s="1138"/>
    </row>
    <row r="7478" spans="1:3">
      <c r="A7478" s="1133"/>
      <c r="B7478" s="1136"/>
      <c r="C7478" s="1138"/>
    </row>
    <row r="7479" spans="1:3">
      <c r="A7479" s="1133"/>
      <c r="B7479" s="1136"/>
      <c r="C7479" s="1138"/>
    </row>
    <row r="7480" spans="1:3">
      <c r="A7480" s="1133"/>
      <c r="B7480" s="1136"/>
      <c r="C7480" s="1138"/>
    </row>
    <row r="7481" spans="1:3">
      <c r="A7481" s="1133"/>
      <c r="B7481" s="1136"/>
      <c r="C7481" s="1138"/>
    </row>
    <row r="7482" spans="1:3">
      <c r="A7482" s="1133"/>
      <c r="B7482" s="1136"/>
      <c r="C7482" s="1138"/>
    </row>
    <row r="7483" spans="1:3">
      <c r="A7483" s="1133"/>
      <c r="B7483" s="1136"/>
      <c r="C7483" s="1138"/>
    </row>
    <row r="7484" spans="1:3">
      <c r="A7484" s="1133"/>
      <c r="B7484" s="1136"/>
      <c r="C7484" s="1138"/>
    </row>
    <row r="7485" spans="1:3">
      <c r="A7485" s="1133"/>
      <c r="B7485" s="1136"/>
      <c r="C7485" s="1138"/>
    </row>
    <row r="7486" spans="1:3">
      <c r="A7486" s="1133"/>
      <c r="B7486" s="1136"/>
      <c r="C7486" s="1138"/>
    </row>
    <row r="7487" spans="1:3">
      <c r="A7487" s="1133"/>
      <c r="B7487" s="1136"/>
      <c r="C7487" s="1138"/>
    </row>
    <row r="7488" spans="1:3">
      <c r="A7488" s="1133"/>
      <c r="B7488" s="1136"/>
      <c r="C7488" s="1138"/>
    </row>
    <row r="7489" spans="1:3">
      <c r="A7489" s="1133"/>
      <c r="B7489" s="1136"/>
      <c r="C7489" s="1138"/>
    </row>
    <row r="7490" spans="1:3">
      <c r="A7490" s="1133"/>
      <c r="B7490" s="1136"/>
      <c r="C7490" s="1138"/>
    </row>
    <row r="7491" spans="1:3">
      <c r="A7491" s="1133"/>
      <c r="B7491" s="1136"/>
      <c r="C7491" s="1138"/>
    </row>
    <row r="7492" spans="1:3">
      <c r="A7492" s="1133"/>
      <c r="B7492" s="1136"/>
      <c r="C7492" s="1138"/>
    </row>
    <row r="7493" spans="1:3">
      <c r="A7493" s="1133"/>
      <c r="B7493" s="1136"/>
      <c r="C7493" s="1138"/>
    </row>
    <row r="7494" spans="1:3">
      <c r="A7494" s="1133"/>
      <c r="B7494" s="1136"/>
      <c r="C7494" s="1138"/>
    </row>
    <row r="7495" spans="1:3">
      <c r="A7495" s="1133"/>
      <c r="B7495" s="1136"/>
      <c r="C7495" s="1138"/>
    </row>
    <row r="7496" spans="1:3">
      <c r="A7496" s="1133"/>
      <c r="B7496" s="1136"/>
      <c r="C7496" s="1138"/>
    </row>
    <row r="7497" spans="1:3">
      <c r="A7497" s="1133"/>
      <c r="B7497" s="1136"/>
      <c r="C7497" s="1138"/>
    </row>
    <row r="7498" spans="1:3">
      <c r="A7498" s="1133"/>
      <c r="B7498" s="1136"/>
      <c r="C7498" s="1138"/>
    </row>
    <row r="7499" spans="1:3">
      <c r="A7499" s="1133"/>
      <c r="B7499" s="1136"/>
      <c r="C7499" s="1138"/>
    </row>
    <row r="7500" spans="1:3">
      <c r="A7500" s="1133"/>
      <c r="B7500" s="1136"/>
      <c r="C7500" s="1138"/>
    </row>
    <row r="7501" spans="1:3">
      <c r="A7501" s="1133"/>
      <c r="B7501" s="1136"/>
      <c r="C7501" s="1138"/>
    </row>
    <row r="7502" spans="1:3">
      <c r="A7502" s="1133"/>
      <c r="B7502" s="1136"/>
      <c r="C7502" s="1138"/>
    </row>
    <row r="7503" spans="1:3">
      <c r="A7503" s="1133"/>
      <c r="B7503" s="1136"/>
      <c r="C7503" s="1138"/>
    </row>
    <row r="7504" spans="1:3">
      <c r="A7504" s="1133"/>
      <c r="B7504" s="1136"/>
      <c r="C7504" s="1138"/>
    </row>
    <row r="7505" spans="1:3">
      <c r="A7505" s="1133"/>
      <c r="B7505" s="1136"/>
      <c r="C7505" s="1138"/>
    </row>
    <row r="7506" spans="1:3">
      <c r="A7506" s="1133"/>
      <c r="B7506" s="1136"/>
      <c r="C7506" s="1138"/>
    </row>
    <row r="7507" spans="1:3">
      <c r="A7507" s="1133"/>
      <c r="B7507" s="1136"/>
      <c r="C7507" s="1138"/>
    </row>
    <row r="7508" spans="1:3">
      <c r="A7508" s="1133"/>
      <c r="B7508" s="1136"/>
      <c r="C7508" s="1138"/>
    </row>
    <row r="7509" spans="1:3">
      <c r="A7509" s="1133"/>
      <c r="B7509" s="1136"/>
      <c r="C7509" s="1138"/>
    </row>
    <row r="7510" spans="1:3">
      <c r="A7510" s="1133"/>
      <c r="B7510" s="1136"/>
      <c r="C7510" s="1138"/>
    </row>
    <row r="7511" spans="1:3">
      <c r="A7511" s="1133"/>
      <c r="B7511" s="1136"/>
      <c r="C7511" s="1138"/>
    </row>
    <row r="7512" spans="1:3">
      <c r="A7512" s="1133"/>
      <c r="B7512" s="1136"/>
      <c r="C7512" s="1138"/>
    </row>
    <row r="7513" spans="1:3">
      <c r="A7513" s="1133"/>
      <c r="B7513" s="1136"/>
      <c r="C7513" s="1138"/>
    </row>
    <row r="7514" spans="1:3">
      <c r="A7514" s="1133"/>
      <c r="B7514" s="1136"/>
      <c r="C7514" s="1138"/>
    </row>
    <row r="7515" spans="1:3">
      <c r="A7515" s="1133"/>
      <c r="B7515" s="1136"/>
      <c r="C7515" s="1138"/>
    </row>
    <row r="7516" spans="1:3">
      <c r="A7516" s="1133"/>
      <c r="B7516" s="1136"/>
      <c r="C7516" s="1138"/>
    </row>
    <row r="7517" spans="1:3">
      <c r="A7517" s="1133"/>
      <c r="B7517" s="1136"/>
      <c r="C7517" s="1138"/>
    </row>
    <row r="7518" spans="1:3">
      <c r="A7518" s="1133"/>
      <c r="B7518" s="1136"/>
      <c r="C7518" s="1138"/>
    </row>
    <row r="7519" spans="1:3">
      <c r="A7519" s="1133"/>
      <c r="B7519" s="1136"/>
      <c r="C7519" s="1138"/>
    </row>
    <row r="7520" spans="1:3">
      <c r="A7520" s="1133"/>
      <c r="B7520" s="1136"/>
      <c r="C7520" s="1138"/>
    </row>
    <row r="7521" spans="1:3">
      <c r="A7521" s="1133"/>
      <c r="B7521" s="1136"/>
      <c r="C7521" s="1138"/>
    </row>
    <row r="7522" spans="1:3">
      <c r="A7522" s="1133"/>
      <c r="B7522" s="1136"/>
      <c r="C7522" s="1138"/>
    </row>
    <row r="7523" spans="1:3">
      <c r="A7523" s="1133"/>
      <c r="B7523" s="1136"/>
      <c r="C7523" s="1138"/>
    </row>
    <row r="7524" spans="1:3">
      <c r="A7524" s="1133"/>
      <c r="B7524" s="1136"/>
      <c r="C7524" s="1138"/>
    </row>
    <row r="7525" spans="1:3">
      <c r="A7525" s="1133"/>
      <c r="B7525" s="1136"/>
      <c r="C7525" s="1138"/>
    </row>
    <row r="7526" spans="1:3">
      <c r="A7526" s="1133"/>
      <c r="B7526" s="1136"/>
      <c r="C7526" s="1138"/>
    </row>
    <row r="7527" spans="1:3">
      <c r="A7527" s="1133"/>
      <c r="B7527" s="1136"/>
      <c r="C7527" s="1138"/>
    </row>
    <row r="7528" spans="1:3">
      <c r="A7528" s="1133"/>
      <c r="B7528" s="1136"/>
      <c r="C7528" s="1138"/>
    </row>
    <row r="7529" spans="1:3">
      <c r="A7529" s="1133"/>
      <c r="B7529" s="1136"/>
      <c r="C7529" s="1138"/>
    </row>
    <row r="7530" spans="1:3">
      <c r="A7530" s="1133"/>
      <c r="B7530" s="1136"/>
      <c r="C7530" s="1138"/>
    </row>
    <row r="7531" spans="1:3">
      <c r="A7531" s="1133"/>
      <c r="B7531" s="1136"/>
      <c r="C7531" s="1138"/>
    </row>
    <row r="7532" spans="1:3">
      <c r="A7532" s="1133"/>
      <c r="B7532" s="1136"/>
      <c r="C7532" s="1138"/>
    </row>
    <row r="7533" spans="1:3">
      <c r="A7533" s="1133"/>
      <c r="B7533" s="1136"/>
      <c r="C7533" s="1138"/>
    </row>
    <row r="7534" spans="1:3">
      <c r="A7534" s="1133"/>
      <c r="B7534" s="1136"/>
      <c r="C7534" s="1138"/>
    </row>
    <row r="7535" spans="1:3">
      <c r="A7535" s="1133"/>
      <c r="B7535" s="1136"/>
      <c r="C7535" s="1138"/>
    </row>
    <row r="7536" spans="1:3">
      <c r="A7536" s="1133"/>
      <c r="B7536" s="1136"/>
      <c r="C7536" s="1138"/>
    </row>
    <row r="7537" spans="1:3">
      <c r="A7537" s="1133"/>
      <c r="B7537" s="1136"/>
      <c r="C7537" s="1138"/>
    </row>
    <row r="7538" spans="1:3">
      <c r="A7538" s="1133"/>
      <c r="B7538" s="1136"/>
      <c r="C7538" s="1138"/>
    </row>
    <row r="7539" spans="1:3">
      <c r="A7539" s="1133"/>
      <c r="B7539" s="1136"/>
      <c r="C7539" s="1138"/>
    </row>
    <row r="7540" spans="1:3">
      <c r="A7540" s="1133"/>
      <c r="B7540" s="1136"/>
      <c r="C7540" s="1138"/>
    </row>
    <row r="7541" spans="1:3">
      <c r="A7541" s="1133"/>
      <c r="B7541" s="1136"/>
      <c r="C7541" s="1138"/>
    </row>
    <row r="7542" spans="1:3">
      <c r="A7542" s="1133"/>
      <c r="B7542" s="1136"/>
      <c r="C7542" s="1138"/>
    </row>
    <row r="7543" spans="1:3">
      <c r="A7543" s="1133"/>
      <c r="B7543" s="1136"/>
      <c r="C7543" s="1138"/>
    </row>
    <row r="7544" spans="1:3">
      <c r="A7544" s="1133"/>
      <c r="B7544" s="1136"/>
      <c r="C7544" s="1138"/>
    </row>
    <row r="7545" spans="1:3">
      <c r="A7545" s="1133"/>
      <c r="B7545" s="1136"/>
      <c r="C7545" s="1138"/>
    </row>
    <row r="7546" spans="1:3">
      <c r="A7546" s="1133"/>
      <c r="B7546" s="1136"/>
      <c r="C7546" s="1138"/>
    </row>
    <row r="7547" spans="1:3">
      <c r="A7547" s="1133"/>
      <c r="B7547" s="1136"/>
      <c r="C7547" s="1138"/>
    </row>
    <row r="7548" spans="1:3">
      <c r="A7548" s="1133"/>
      <c r="B7548" s="1136"/>
      <c r="C7548" s="1138"/>
    </row>
    <row r="7549" spans="1:3">
      <c r="A7549" s="1133"/>
      <c r="B7549" s="1136"/>
      <c r="C7549" s="1138"/>
    </row>
    <row r="7550" spans="1:3">
      <c r="A7550" s="1133"/>
      <c r="B7550" s="1136"/>
      <c r="C7550" s="1138"/>
    </row>
    <row r="7551" spans="1:3">
      <c r="A7551" s="1133"/>
      <c r="B7551" s="1136"/>
      <c r="C7551" s="1138"/>
    </row>
    <row r="7552" spans="1:3">
      <c r="A7552" s="1133"/>
      <c r="B7552" s="1136"/>
      <c r="C7552" s="1138"/>
    </row>
    <row r="7553" spans="1:3">
      <c r="A7553" s="1133"/>
      <c r="B7553" s="1136"/>
      <c r="C7553" s="1138"/>
    </row>
    <row r="7554" spans="1:3">
      <c r="A7554" s="1133"/>
      <c r="B7554" s="1136"/>
      <c r="C7554" s="1138"/>
    </row>
    <row r="7555" spans="1:3">
      <c r="A7555" s="1133"/>
      <c r="B7555" s="1136"/>
      <c r="C7555" s="1138"/>
    </row>
    <row r="7556" spans="1:3">
      <c r="A7556" s="1133"/>
      <c r="B7556" s="1136"/>
      <c r="C7556" s="1138"/>
    </row>
    <row r="7557" spans="1:3">
      <c r="A7557" s="1133"/>
      <c r="B7557" s="1136"/>
      <c r="C7557" s="1138"/>
    </row>
    <row r="7558" spans="1:3">
      <c r="A7558" s="1133"/>
      <c r="B7558" s="1136"/>
      <c r="C7558" s="1138"/>
    </row>
    <row r="7559" spans="1:3">
      <c r="A7559" s="1133"/>
      <c r="B7559" s="1136"/>
      <c r="C7559" s="1138"/>
    </row>
    <row r="7560" spans="1:3">
      <c r="A7560" s="1133"/>
      <c r="B7560" s="1136"/>
      <c r="C7560" s="1138"/>
    </row>
    <row r="7561" spans="1:3">
      <c r="A7561" s="1133"/>
      <c r="B7561" s="1136"/>
      <c r="C7561" s="1138"/>
    </row>
    <row r="7562" spans="1:3">
      <c r="A7562" s="1133"/>
      <c r="B7562" s="1136"/>
      <c r="C7562" s="1138"/>
    </row>
    <row r="7563" spans="1:3">
      <c r="A7563" s="1133"/>
      <c r="B7563" s="1136"/>
      <c r="C7563" s="1138"/>
    </row>
    <row r="7564" spans="1:3">
      <c r="A7564" s="1133"/>
      <c r="B7564" s="1136"/>
      <c r="C7564" s="1138"/>
    </row>
    <row r="7565" spans="1:3">
      <c r="A7565" s="1133"/>
      <c r="B7565" s="1136"/>
      <c r="C7565" s="1138"/>
    </row>
    <row r="7566" spans="1:3">
      <c r="A7566" s="1133"/>
      <c r="B7566" s="1136"/>
      <c r="C7566" s="1138"/>
    </row>
    <row r="7567" spans="1:3">
      <c r="A7567" s="1133"/>
      <c r="B7567" s="1136"/>
      <c r="C7567" s="1138"/>
    </row>
    <row r="7568" spans="1:3">
      <c r="A7568" s="1133"/>
      <c r="B7568" s="1136"/>
      <c r="C7568" s="1138"/>
    </row>
    <row r="7569" spans="1:3">
      <c r="A7569" s="1133"/>
      <c r="B7569" s="1136"/>
      <c r="C7569" s="1138"/>
    </row>
    <row r="7570" spans="1:3">
      <c r="A7570" s="1133"/>
      <c r="B7570" s="1136"/>
      <c r="C7570" s="1138"/>
    </row>
    <row r="7571" spans="1:3">
      <c r="A7571" s="1133"/>
      <c r="B7571" s="1136"/>
      <c r="C7571" s="1138"/>
    </row>
    <row r="7572" spans="1:3">
      <c r="A7572" s="1133"/>
      <c r="B7572" s="1136"/>
      <c r="C7572" s="1138"/>
    </row>
    <row r="7573" spans="1:3">
      <c r="A7573" s="1133"/>
      <c r="B7573" s="1136"/>
      <c r="C7573" s="1138"/>
    </row>
    <row r="7574" spans="1:3">
      <c r="A7574" s="1133"/>
      <c r="B7574" s="1136"/>
      <c r="C7574" s="1138"/>
    </row>
    <row r="7575" spans="1:3">
      <c r="A7575" s="1133"/>
      <c r="B7575" s="1136"/>
      <c r="C7575" s="1138"/>
    </row>
    <row r="7576" spans="1:3">
      <c r="A7576" s="1133"/>
      <c r="B7576" s="1136"/>
      <c r="C7576" s="1138"/>
    </row>
    <row r="7577" spans="1:3">
      <c r="A7577" s="1133"/>
      <c r="B7577" s="1136"/>
      <c r="C7577" s="1138"/>
    </row>
    <row r="7578" spans="1:3">
      <c r="A7578" s="1133"/>
      <c r="B7578" s="1136"/>
      <c r="C7578" s="1138"/>
    </row>
    <row r="7579" spans="1:3">
      <c r="A7579" s="1133"/>
      <c r="B7579" s="1136"/>
      <c r="C7579" s="1138"/>
    </row>
    <row r="7580" spans="1:3">
      <c r="A7580" s="1133"/>
      <c r="B7580" s="1136"/>
      <c r="C7580" s="1138"/>
    </row>
    <row r="7581" spans="1:3">
      <c r="A7581" s="1133"/>
      <c r="B7581" s="1136"/>
      <c r="C7581" s="1138"/>
    </row>
    <row r="7582" spans="1:3">
      <c r="A7582" s="1133"/>
      <c r="B7582" s="1136"/>
      <c r="C7582" s="1138"/>
    </row>
    <row r="7583" spans="1:3">
      <c r="A7583" s="1133"/>
      <c r="B7583" s="1136"/>
      <c r="C7583" s="1138"/>
    </row>
    <row r="7584" spans="1:3">
      <c r="A7584" s="1133"/>
      <c r="B7584" s="1136"/>
      <c r="C7584" s="1138"/>
    </row>
    <row r="7585" spans="1:3">
      <c r="A7585" s="1133"/>
      <c r="B7585" s="1136"/>
      <c r="C7585" s="1138"/>
    </row>
    <row r="7586" spans="1:3">
      <c r="A7586" s="1133"/>
      <c r="B7586" s="1136"/>
      <c r="C7586" s="1138"/>
    </row>
    <row r="7587" spans="1:3">
      <c r="A7587" s="1133"/>
      <c r="B7587" s="1136"/>
      <c r="C7587" s="1138"/>
    </row>
    <row r="7588" spans="1:3">
      <c r="A7588" s="1133"/>
      <c r="B7588" s="1136"/>
      <c r="C7588" s="1138"/>
    </row>
    <row r="7589" spans="1:3">
      <c r="A7589" s="1133"/>
      <c r="B7589" s="1136"/>
      <c r="C7589" s="1138"/>
    </row>
    <row r="7590" spans="1:3">
      <c r="A7590" s="1133"/>
      <c r="B7590" s="1136"/>
      <c r="C7590" s="1138"/>
    </row>
    <row r="7591" spans="1:3">
      <c r="A7591" s="1133"/>
      <c r="B7591" s="1136"/>
      <c r="C7591" s="1138"/>
    </row>
    <row r="7592" spans="1:3">
      <c r="A7592" s="1133"/>
      <c r="B7592" s="1136"/>
      <c r="C7592" s="1138"/>
    </row>
    <row r="7593" spans="1:3">
      <c r="A7593" s="1133"/>
      <c r="B7593" s="1136"/>
      <c r="C7593" s="1138"/>
    </row>
    <row r="7594" spans="1:3">
      <c r="A7594" s="1133"/>
      <c r="B7594" s="1136"/>
      <c r="C7594" s="1138"/>
    </row>
    <row r="7595" spans="1:3">
      <c r="A7595" s="1133"/>
      <c r="B7595" s="1136"/>
      <c r="C7595" s="1138"/>
    </row>
    <row r="7596" spans="1:3">
      <c r="A7596" s="1133"/>
      <c r="B7596" s="1136"/>
      <c r="C7596" s="1138"/>
    </row>
    <row r="7597" spans="1:3">
      <c r="A7597" s="1133"/>
      <c r="B7597" s="1136"/>
      <c r="C7597" s="1138"/>
    </row>
    <row r="7598" spans="1:3">
      <c r="A7598" s="1133"/>
      <c r="B7598" s="1136"/>
      <c r="C7598" s="1138"/>
    </row>
    <row r="7599" spans="1:3">
      <c r="A7599" s="1133"/>
      <c r="B7599" s="1136"/>
      <c r="C7599" s="1138"/>
    </row>
    <row r="7600" spans="1:3">
      <c r="A7600" s="1133"/>
      <c r="B7600" s="1136"/>
      <c r="C7600" s="1138"/>
    </row>
    <row r="7601" spans="1:3">
      <c r="A7601" s="1133"/>
      <c r="B7601" s="1136"/>
      <c r="C7601" s="1138"/>
    </row>
    <row r="7602" spans="1:3">
      <c r="A7602" s="1133"/>
      <c r="B7602" s="1136"/>
      <c r="C7602" s="1138"/>
    </row>
    <row r="7603" spans="1:3">
      <c r="A7603" s="1133"/>
      <c r="B7603" s="1136"/>
      <c r="C7603" s="1138"/>
    </row>
    <row r="7604" spans="1:3">
      <c r="A7604" s="1133"/>
      <c r="B7604" s="1136"/>
      <c r="C7604" s="1138"/>
    </row>
    <row r="7605" spans="1:3">
      <c r="A7605" s="1133"/>
      <c r="B7605" s="1136"/>
      <c r="C7605" s="1138"/>
    </row>
    <row r="7606" spans="1:3">
      <c r="A7606" s="1133"/>
      <c r="B7606" s="1136"/>
      <c r="C7606" s="1138"/>
    </row>
    <row r="7607" spans="1:3">
      <c r="A7607" s="1133"/>
      <c r="B7607" s="1136"/>
      <c r="C7607" s="1138"/>
    </row>
    <row r="7608" spans="1:3">
      <c r="A7608" s="1133"/>
      <c r="B7608" s="1136"/>
      <c r="C7608" s="1138"/>
    </row>
    <row r="7609" spans="1:3">
      <c r="A7609" s="1133"/>
      <c r="B7609" s="1136"/>
      <c r="C7609" s="1138"/>
    </row>
    <row r="7610" spans="1:3">
      <c r="A7610" s="1133"/>
      <c r="B7610" s="1136"/>
      <c r="C7610" s="1138"/>
    </row>
    <row r="7611" spans="1:3">
      <c r="A7611" s="1133"/>
      <c r="B7611" s="1136"/>
      <c r="C7611" s="1138"/>
    </row>
    <row r="7612" spans="1:3">
      <c r="A7612" s="1133"/>
      <c r="B7612" s="1136"/>
      <c r="C7612" s="1138"/>
    </row>
    <row r="7613" spans="1:3">
      <c r="A7613" s="1133"/>
      <c r="B7613" s="1136"/>
      <c r="C7613" s="1138"/>
    </row>
    <row r="7614" spans="1:3">
      <c r="A7614" s="1133"/>
      <c r="B7614" s="1136"/>
      <c r="C7614" s="1138"/>
    </row>
    <row r="7615" spans="1:3">
      <c r="A7615" s="1133"/>
      <c r="B7615" s="1136"/>
      <c r="C7615" s="1138"/>
    </row>
    <row r="7616" spans="1:3">
      <c r="A7616" s="1133"/>
      <c r="B7616" s="1136"/>
      <c r="C7616" s="1138"/>
    </row>
    <row r="7617" spans="1:3">
      <c r="A7617" s="1133"/>
      <c r="B7617" s="1136"/>
      <c r="C7617" s="1138"/>
    </row>
    <row r="7618" spans="1:3">
      <c r="A7618" s="1133"/>
      <c r="B7618" s="1136"/>
      <c r="C7618" s="1138"/>
    </row>
    <row r="7619" spans="1:3">
      <c r="A7619" s="1133"/>
      <c r="B7619" s="1136"/>
      <c r="C7619" s="1138"/>
    </row>
    <row r="7620" spans="1:3">
      <c r="A7620" s="1133"/>
      <c r="B7620" s="1136"/>
      <c r="C7620" s="1138"/>
    </row>
    <row r="7621" spans="1:3">
      <c r="A7621" s="1133"/>
      <c r="B7621" s="1136"/>
      <c r="C7621" s="1138"/>
    </row>
    <row r="7622" spans="1:3">
      <c r="A7622" s="1133"/>
      <c r="B7622" s="1136"/>
      <c r="C7622" s="1138"/>
    </row>
    <row r="7623" spans="1:3">
      <c r="A7623" s="1133"/>
      <c r="B7623" s="1136"/>
      <c r="C7623" s="1138"/>
    </row>
    <row r="7624" spans="1:3">
      <c r="A7624" s="1133"/>
      <c r="B7624" s="1136"/>
      <c r="C7624" s="1138"/>
    </row>
    <row r="7625" spans="1:3">
      <c r="A7625" s="1133"/>
      <c r="B7625" s="1136"/>
      <c r="C7625" s="1138"/>
    </row>
    <row r="7626" spans="1:3">
      <c r="A7626" s="1133"/>
      <c r="B7626" s="1136"/>
      <c r="C7626" s="1138"/>
    </row>
    <row r="7627" spans="1:3">
      <c r="A7627" s="1133"/>
      <c r="B7627" s="1136"/>
      <c r="C7627" s="1138"/>
    </row>
    <row r="7628" spans="1:3">
      <c r="A7628" s="1133"/>
      <c r="B7628" s="1136"/>
      <c r="C7628" s="1138"/>
    </row>
    <row r="7629" spans="1:3">
      <c r="A7629" s="1133"/>
      <c r="B7629" s="1136"/>
      <c r="C7629" s="1138"/>
    </row>
    <row r="7630" spans="1:3">
      <c r="A7630" s="1133"/>
      <c r="B7630" s="1136"/>
      <c r="C7630" s="1138"/>
    </row>
    <row r="7631" spans="1:3">
      <c r="A7631" s="1133"/>
      <c r="B7631" s="1136"/>
      <c r="C7631" s="1138"/>
    </row>
    <row r="7632" spans="1:3">
      <c r="A7632" s="1133"/>
      <c r="B7632" s="1136"/>
      <c r="C7632" s="1138"/>
    </row>
    <row r="7633" spans="1:3">
      <c r="A7633" s="1133"/>
      <c r="B7633" s="1136"/>
      <c r="C7633" s="1138"/>
    </row>
    <row r="7634" spans="1:3">
      <c r="A7634" s="1133"/>
      <c r="B7634" s="1136"/>
      <c r="C7634" s="1138"/>
    </row>
    <row r="7635" spans="1:3">
      <c r="A7635" s="1133"/>
      <c r="B7635" s="1136"/>
      <c r="C7635" s="1138"/>
    </row>
    <row r="7636" spans="1:3">
      <c r="A7636" s="1133"/>
      <c r="B7636" s="1136"/>
      <c r="C7636" s="1138"/>
    </row>
    <row r="7637" spans="1:3">
      <c r="A7637" s="1133"/>
      <c r="B7637" s="1136"/>
      <c r="C7637" s="1138"/>
    </row>
    <row r="7638" spans="1:3">
      <c r="A7638" s="1133"/>
      <c r="B7638" s="1136"/>
      <c r="C7638" s="1138"/>
    </row>
    <row r="7639" spans="1:3">
      <c r="A7639" s="1133"/>
      <c r="B7639" s="1136"/>
      <c r="C7639" s="1138"/>
    </row>
    <row r="7640" spans="1:3">
      <c r="A7640" s="1133"/>
      <c r="B7640" s="1136"/>
      <c r="C7640" s="1138"/>
    </row>
    <row r="7641" spans="1:3">
      <c r="A7641" s="1133"/>
      <c r="B7641" s="1136"/>
      <c r="C7641" s="1138"/>
    </row>
    <row r="7642" spans="1:3">
      <c r="A7642" s="1133"/>
      <c r="B7642" s="1136"/>
      <c r="C7642" s="1138"/>
    </row>
    <row r="7643" spans="1:3">
      <c r="A7643" s="1133"/>
      <c r="B7643" s="1136"/>
      <c r="C7643" s="1138"/>
    </row>
    <row r="7644" spans="1:3">
      <c r="A7644" s="1133"/>
      <c r="B7644" s="1136"/>
      <c r="C7644" s="1138"/>
    </row>
    <row r="7645" spans="1:3">
      <c r="A7645" s="1133"/>
      <c r="B7645" s="1136"/>
      <c r="C7645" s="1138"/>
    </row>
    <row r="7646" spans="1:3">
      <c r="A7646" s="1133"/>
      <c r="B7646" s="1136"/>
      <c r="C7646" s="1138"/>
    </row>
    <row r="7647" spans="1:3">
      <c r="A7647" s="1133"/>
      <c r="B7647" s="1136"/>
      <c r="C7647" s="1138"/>
    </row>
    <row r="7648" spans="1:3">
      <c r="A7648" s="1133"/>
      <c r="B7648" s="1136"/>
      <c r="C7648" s="1138"/>
    </row>
    <row r="7649" spans="1:3">
      <c r="A7649" s="1133"/>
      <c r="B7649" s="1136"/>
      <c r="C7649" s="1138"/>
    </row>
    <row r="7650" spans="1:3">
      <c r="A7650" s="1133"/>
      <c r="B7650" s="1136"/>
      <c r="C7650" s="1138"/>
    </row>
    <row r="7651" spans="1:3">
      <c r="A7651" s="1133"/>
      <c r="B7651" s="1136"/>
      <c r="C7651" s="1138"/>
    </row>
    <row r="7652" spans="1:3">
      <c r="A7652" s="1133"/>
      <c r="B7652" s="1136"/>
      <c r="C7652" s="1138"/>
    </row>
    <row r="7653" spans="1:3">
      <c r="A7653" s="1133"/>
      <c r="B7653" s="1136"/>
      <c r="C7653" s="1138"/>
    </row>
    <row r="7654" spans="1:3">
      <c r="A7654" s="1133"/>
      <c r="B7654" s="1136"/>
      <c r="C7654" s="1138"/>
    </row>
    <row r="7655" spans="1:3">
      <c r="A7655" s="1133"/>
      <c r="B7655" s="1136"/>
      <c r="C7655" s="1138"/>
    </row>
    <row r="7656" spans="1:3">
      <c r="A7656" s="1133"/>
      <c r="B7656" s="1136"/>
      <c r="C7656" s="1138"/>
    </row>
    <row r="7657" spans="1:3">
      <c r="A7657" s="1133"/>
      <c r="B7657" s="1136"/>
      <c r="C7657" s="1138"/>
    </row>
    <row r="7658" spans="1:3">
      <c r="A7658" s="1133"/>
      <c r="B7658" s="1136"/>
      <c r="C7658" s="1138"/>
    </row>
    <row r="7659" spans="1:3">
      <c r="A7659" s="1133"/>
      <c r="B7659" s="1136"/>
      <c r="C7659" s="1138"/>
    </row>
    <row r="7660" spans="1:3">
      <c r="A7660" s="1133"/>
      <c r="B7660" s="1136"/>
      <c r="C7660" s="1138"/>
    </row>
    <row r="7661" spans="1:3">
      <c r="A7661" s="1133"/>
      <c r="B7661" s="1136"/>
      <c r="C7661" s="1138"/>
    </row>
    <row r="7662" spans="1:3">
      <c r="A7662" s="1133"/>
      <c r="B7662" s="1136"/>
      <c r="C7662" s="1138"/>
    </row>
    <row r="7663" spans="1:3">
      <c r="A7663" s="1133"/>
      <c r="B7663" s="1136"/>
      <c r="C7663" s="1138"/>
    </row>
    <row r="7664" spans="1:3">
      <c r="A7664" s="1133"/>
      <c r="B7664" s="1136"/>
      <c r="C7664" s="1138"/>
    </row>
    <row r="7665" spans="1:3">
      <c r="A7665" s="1133"/>
      <c r="B7665" s="1136"/>
      <c r="C7665" s="1138"/>
    </row>
    <row r="7666" spans="1:3">
      <c r="A7666" s="1133"/>
      <c r="B7666" s="1136"/>
      <c r="C7666" s="1138"/>
    </row>
    <row r="7667" spans="1:3">
      <c r="A7667" s="1133"/>
      <c r="B7667" s="1136"/>
      <c r="C7667" s="1138"/>
    </row>
    <row r="7668" spans="1:3">
      <c r="A7668" s="1133"/>
      <c r="B7668" s="1136"/>
      <c r="C7668" s="1138"/>
    </row>
    <row r="7669" spans="1:3">
      <c r="A7669" s="1133"/>
      <c r="B7669" s="1136"/>
      <c r="C7669" s="1138"/>
    </row>
    <row r="7670" spans="1:3">
      <c r="A7670" s="1133"/>
      <c r="B7670" s="1136"/>
      <c r="C7670" s="1138"/>
    </row>
    <row r="7671" spans="1:3">
      <c r="A7671" s="1133"/>
      <c r="B7671" s="1136"/>
      <c r="C7671" s="1138"/>
    </row>
    <row r="7672" spans="1:3">
      <c r="A7672" s="1133"/>
      <c r="B7672" s="1136"/>
      <c r="C7672" s="1138"/>
    </row>
    <row r="7673" spans="1:3">
      <c r="A7673" s="1133"/>
      <c r="B7673" s="1136"/>
      <c r="C7673" s="1138"/>
    </row>
    <row r="7674" spans="1:3">
      <c r="A7674" s="1133"/>
      <c r="B7674" s="1136"/>
      <c r="C7674" s="1138"/>
    </row>
    <row r="7675" spans="1:3">
      <c r="A7675" s="1133"/>
      <c r="B7675" s="1136"/>
      <c r="C7675" s="1138"/>
    </row>
    <row r="7676" spans="1:3">
      <c r="A7676" s="1133"/>
      <c r="B7676" s="1136"/>
      <c r="C7676" s="1138"/>
    </row>
    <row r="7677" spans="1:3">
      <c r="A7677" s="1133"/>
      <c r="B7677" s="1136"/>
      <c r="C7677" s="1138"/>
    </row>
    <row r="7678" spans="1:3">
      <c r="A7678" s="1133"/>
      <c r="B7678" s="1136"/>
      <c r="C7678" s="1138"/>
    </row>
    <row r="7679" spans="1:3">
      <c r="A7679" s="1133"/>
      <c r="B7679" s="1136"/>
      <c r="C7679" s="1138"/>
    </row>
    <row r="7680" spans="1:3">
      <c r="A7680" s="1133"/>
      <c r="B7680" s="1136"/>
      <c r="C7680" s="1138"/>
    </row>
    <row r="7681" spans="1:3">
      <c r="A7681" s="1133"/>
      <c r="B7681" s="1136"/>
      <c r="C7681" s="1138"/>
    </row>
    <row r="7682" spans="1:3">
      <c r="A7682" s="1133"/>
      <c r="B7682" s="1136"/>
      <c r="C7682" s="1138"/>
    </row>
    <row r="7683" spans="1:3">
      <c r="A7683" s="1133"/>
      <c r="B7683" s="1136"/>
      <c r="C7683" s="1138"/>
    </row>
    <row r="7684" spans="1:3">
      <c r="A7684" s="1133"/>
      <c r="B7684" s="1136"/>
      <c r="C7684" s="1138"/>
    </row>
    <row r="7685" spans="1:3">
      <c r="A7685" s="1133"/>
      <c r="B7685" s="1136"/>
      <c r="C7685" s="1138"/>
    </row>
    <row r="7686" spans="1:3">
      <c r="A7686" s="1133"/>
      <c r="B7686" s="1136"/>
      <c r="C7686" s="1138"/>
    </row>
    <row r="7687" spans="1:3">
      <c r="A7687" s="1133"/>
      <c r="B7687" s="1136"/>
      <c r="C7687" s="1138"/>
    </row>
    <row r="7688" spans="1:3">
      <c r="A7688" s="1133"/>
      <c r="B7688" s="1136"/>
      <c r="C7688" s="1138"/>
    </row>
    <row r="7689" spans="1:3">
      <c r="A7689" s="1133"/>
      <c r="B7689" s="1136"/>
      <c r="C7689" s="1138"/>
    </row>
    <row r="7690" spans="1:3">
      <c r="A7690" s="1133"/>
      <c r="B7690" s="1136"/>
      <c r="C7690" s="1138"/>
    </row>
    <row r="7691" spans="1:3">
      <c r="A7691" s="1133"/>
      <c r="B7691" s="1136"/>
      <c r="C7691" s="1138"/>
    </row>
    <row r="7692" spans="1:3">
      <c r="A7692" s="1133"/>
      <c r="B7692" s="1136"/>
      <c r="C7692" s="1138"/>
    </row>
    <row r="7693" spans="1:3">
      <c r="A7693" s="1133"/>
      <c r="B7693" s="1136"/>
      <c r="C7693" s="1138"/>
    </row>
    <row r="7694" spans="1:3">
      <c r="A7694" s="1133"/>
      <c r="B7694" s="1136"/>
      <c r="C7694" s="1138"/>
    </row>
    <row r="7695" spans="1:3">
      <c r="A7695" s="1133"/>
      <c r="B7695" s="1136"/>
      <c r="C7695" s="1138"/>
    </row>
    <row r="7696" spans="1:3">
      <c r="A7696" s="1133"/>
      <c r="B7696" s="1136"/>
      <c r="C7696" s="1138"/>
    </row>
    <row r="7697" spans="1:3">
      <c r="A7697" s="1133"/>
      <c r="B7697" s="1136"/>
      <c r="C7697" s="1138"/>
    </row>
    <row r="7698" spans="1:3">
      <c r="A7698" s="1133"/>
      <c r="B7698" s="1136"/>
      <c r="C7698" s="1138"/>
    </row>
    <row r="7699" spans="1:3">
      <c r="A7699" s="1133"/>
      <c r="B7699" s="1136"/>
      <c r="C7699" s="1138"/>
    </row>
    <row r="7700" spans="1:3">
      <c r="A7700" s="1133"/>
      <c r="B7700" s="1136"/>
      <c r="C7700" s="1138"/>
    </row>
    <row r="7701" spans="1:3">
      <c r="A7701" s="1133"/>
      <c r="B7701" s="1136"/>
      <c r="C7701" s="1138"/>
    </row>
    <row r="7702" spans="1:3">
      <c r="A7702" s="1133"/>
      <c r="B7702" s="1136"/>
      <c r="C7702" s="1138"/>
    </row>
    <row r="7703" spans="1:3">
      <c r="A7703" s="1133"/>
      <c r="B7703" s="1136"/>
      <c r="C7703" s="1138"/>
    </row>
    <row r="7704" spans="1:3">
      <c r="A7704" s="1133"/>
      <c r="B7704" s="1136"/>
      <c r="C7704" s="1138"/>
    </row>
    <row r="7705" spans="1:3">
      <c r="A7705" s="1133"/>
      <c r="B7705" s="1136"/>
      <c r="C7705" s="1138"/>
    </row>
    <row r="7706" spans="1:3">
      <c r="A7706" s="1133"/>
      <c r="B7706" s="1136"/>
      <c r="C7706" s="1138"/>
    </row>
    <row r="7707" spans="1:3">
      <c r="A7707" s="1133"/>
      <c r="B7707" s="1136"/>
      <c r="C7707" s="1138"/>
    </row>
    <row r="7708" spans="1:3">
      <c r="A7708" s="1133"/>
      <c r="B7708" s="1136"/>
      <c r="C7708" s="1138"/>
    </row>
    <row r="7709" spans="1:3">
      <c r="A7709" s="1133"/>
      <c r="B7709" s="1136"/>
      <c r="C7709" s="1138"/>
    </row>
    <row r="7710" spans="1:3">
      <c r="A7710" s="1133"/>
      <c r="B7710" s="1136"/>
      <c r="C7710" s="1138"/>
    </row>
    <row r="7711" spans="1:3">
      <c r="A7711" s="1133"/>
      <c r="B7711" s="1136"/>
      <c r="C7711" s="1138"/>
    </row>
    <row r="7712" spans="1:3">
      <c r="A7712" s="1133"/>
      <c r="B7712" s="1136"/>
      <c r="C7712" s="1138"/>
    </row>
    <row r="7713" spans="1:3">
      <c r="A7713" s="1133"/>
      <c r="B7713" s="1136"/>
      <c r="C7713" s="1138"/>
    </row>
    <row r="7714" spans="1:3">
      <c r="A7714" s="1133"/>
      <c r="B7714" s="1136"/>
      <c r="C7714" s="1138"/>
    </row>
    <row r="7715" spans="1:3">
      <c r="A7715" s="1133"/>
      <c r="B7715" s="1136"/>
      <c r="C7715" s="1138"/>
    </row>
    <row r="7716" spans="1:3">
      <c r="A7716" s="1133"/>
      <c r="B7716" s="1136"/>
      <c r="C7716" s="1138"/>
    </row>
    <row r="7717" spans="1:3">
      <c r="A7717" s="1133"/>
      <c r="B7717" s="1136"/>
      <c r="C7717" s="1138"/>
    </row>
    <row r="7718" spans="1:3">
      <c r="A7718" s="1133"/>
      <c r="B7718" s="1136"/>
      <c r="C7718" s="1138"/>
    </row>
    <row r="7719" spans="1:3">
      <c r="A7719" s="1133"/>
      <c r="B7719" s="1136"/>
      <c r="C7719" s="1138"/>
    </row>
    <row r="7720" spans="1:3">
      <c r="A7720" s="1133"/>
      <c r="B7720" s="1136"/>
      <c r="C7720" s="1138"/>
    </row>
    <row r="7721" spans="1:3">
      <c r="A7721" s="1133"/>
      <c r="B7721" s="1136"/>
      <c r="C7721" s="1138"/>
    </row>
    <row r="7722" spans="1:3">
      <c r="A7722" s="1133"/>
      <c r="B7722" s="1136"/>
      <c r="C7722" s="1138"/>
    </row>
    <row r="7723" spans="1:3">
      <c r="A7723" s="1133"/>
      <c r="B7723" s="1136"/>
      <c r="C7723" s="1138"/>
    </row>
    <row r="7724" spans="1:3">
      <c r="A7724" s="1133"/>
      <c r="B7724" s="1136"/>
      <c r="C7724" s="1138"/>
    </row>
    <row r="7725" spans="1:3">
      <c r="A7725" s="1133"/>
      <c r="B7725" s="1136"/>
      <c r="C7725" s="1138"/>
    </row>
    <row r="7726" spans="1:3">
      <c r="A7726" s="1133"/>
      <c r="B7726" s="1136"/>
      <c r="C7726" s="1138"/>
    </row>
    <row r="7727" spans="1:3">
      <c r="A7727" s="1133"/>
      <c r="B7727" s="1136"/>
      <c r="C7727" s="1138"/>
    </row>
    <row r="7728" spans="1:3">
      <c r="A7728" s="1133"/>
      <c r="B7728" s="1136"/>
      <c r="C7728" s="1138"/>
    </row>
    <row r="7729" spans="1:3">
      <c r="A7729" s="1133"/>
      <c r="B7729" s="1136"/>
      <c r="C7729" s="1138"/>
    </row>
    <row r="7730" spans="1:3">
      <c r="A7730" s="1133"/>
      <c r="B7730" s="1136"/>
      <c r="C7730" s="1138"/>
    </row>
    <row r="7731" spans="1:3">
      <c r="A7731" s="1133"/>
      <c r="B7731" s="1136"/>
      <c r="C7731" s="1138"/>
    </row>
    <row r="7732" spans="1:3">
      <c r="A7732" s="1133"/>
      <c r="B7732" s="1136"/>
      <c r="C7732" s="1138"/>
    </row>
    <row r="7733" spans="1:3">
      <c r="A7733" s="1133"/>
      <c r="B7733" s="1136"/>
      <c r="C7733" s="1138"/>
    </row>
    <row r="7734" spans="1:3">
      <c r="A7734" s="1133"/>
      <c r="B7734" s="1136"/>
      <c r="C7734" s="1138"/>
    </row>
    <row r="7735" spans="1:3">
      <c r="A7735" s="1133"/>
      <c r="B7735" s="1136"/>
      <c r="C7735" s="1138"/>
    </row>
    <row r="7736" spans="1:3">
      <c r="A7736" s="1133"/>
      <c r="B7736" s="1136"/>
      <c r="C7736" s="1138"/>
    </row>
    <row r="7737" spans="1:3">
      <c r="A7737" s="1133"/>
      <c r="B7737" s="1136"/>
      <c r="C7737" s="1138"/>
    </row>
    <row r="7738" spans="1:3">
      <c r="A7738" s="1133"/>
      <c r="B7738" s="1136"/>
      <c r="C7738" s="1138"/>
    </row>
    <row r="7739" spans="1:3">
      <c r="A7739" s="1133"/>
      <c r="B7739" s="1136"/>
      <c r="C7739" s="1138"/>
    </row>
    <row r="7740" spans="1:3">
      <c r="A7740" s="1133"/>
      <c r="B7740" s="1136"/>
      <c r="C7740" s="1138"/>
    </row>
    <row r="7741" spans="1:3">
      <c r="A7741" s="1133"/>
      <c r="B7741" s="1136"/>
      <c r="C7741" s="1138"/>
    </row>
    <row r="7742" spans="1:3">
      <c r="A7742" s="1133"/>
      <c r="B7742" s="1136"/>
      <c r="C7742" s="1138"/>
    </row>
    <row r="7743" spans="1:3">
      <c r="A7743" s="1133"/>
      <c r="B7743" s="1136"/>
      <c r="C7743" s="1138"/>
    </row>
    <row r="7744" spans="1:3">
      <c r="A7744" s="1133"/>
      <c r="B7744" s="1136"/>
      <c r="C7744" s="1138"/>
    </row>
    <row r="7745" spans="1:3">
      <c r="A7745" s="1133"/>
      <c r="B7745" s="1136"/>
      <c r="C7745" s="1138"/>
    </row>
    <row r="7746" spans="1:3">
      <c r="A7746" s="1133"/>
      <c r="B7746" s="1136"/>
      <c r="C7746" s="1138"/>
    </row>
    <row r="7747" spans="1:3">
      <c r="A7747" s="1133"/>
      <c r="B7747" s="1136"/>
      <c r="C7747" s="1138"/>
    </row>
    <row r="7748" spans="1:3">
      <c r="A7748" s="1133"/>
      <c r="B7748" s="1136"/>
      <c r="C7748" s="1138"/>
    </row>
    <row r="7749" spans="1:3">
      <c r="A7749" s="1133"/>
      <c r="B7749" s="1136"/>
      <c r="C7749" s="1138"/>
    </row>
    <row r="7750" spans="1:3">
      <c r="A7750" s="1133"/>
      <c r="B7750" s="1136"/>
      <c r="C7750" s="1138"/>
    </row>
    <row r="7751" spans="1:3">
      <c r="A7751" s="1133"/>
      <c r="B7751" s="1136"/>
      <c r="C7751" s="1138"/>
    </row>
    <row r="7752" spans="1:3">
      <c r="A7752" s="1133"/>
      <c r="B7752" s="1136"/>
      <c r="C7752" s="1138"/>
    </row>
    <row r="7753" spans="1:3">
      <c r="A7753" s="1133"/>
      <c r="B7753" s="1136"/>
      <c r="C7753" s="1138"/>
    </row>
    <row r="7754" spans="1:3">
      <c r="A7754" s="1133"/>
      <c r="B7754" s="1136"/>
      <c r="C7754" s="1138"/>
    </row>
    <row r="7755" spans="1:3">
      <c r="A7755" s="1133"/>
      <c r="B7755" s="1136"/>
      <c r="C7755" s="1138"/>
    </row>
    <row r="7756" spans="1:3">
      <c r="A7756" s="1133"/>
      <c r="B7756" s="1136"/>
      <c r="C7756" s="1138"/>
    </row>
    <row r="7757" spans="1:3">
      <c r="A7757" s="1133"/>
      <c r="B7757" s="1136"/>
      <c r="C7757" s="1138"/>
    </row>
    <row r="7758" spans="1:3">
      <c r="A7758" s="1133"/>
      <c r="B7758" s="1136"/>
      <c r="C7758" s="1138"/>
    </row>
    <row r="7759" spans="1:3">
      <c r="A7759" s="1133"/>
      <c r="B7759" s="1136"/>
      <c r="C7759" s="1138"/>
    </row>
    <row r="7760" spans="1:3">
      <c r="A7760" s="1133"/>
      <c r="B7760" s="1136"/>
      <c r="C7760" s="1138"/>
    </row>
    <row r="7761" spans="1:3">
      <c r="A7761" s="1133"/>
      <c r="B7761" s="1136"/>
      <c r="C7761" s="1138"/>
    </row>
    <row r="7762" spans="1:3">
      <c r="A7762" s="1133"/>
      <c r="B7762" s="1136"/>
      <c r="C7762" s="1138"/>
    </row>
    <row r="7763" spans="1:3">
      <c r="A7763" s="1133"/>
      <c r="B7763" s="1136"/>
      <c r="C7763" s="1138"/>
    </row>
    <row r="7764" spans="1:3">
      <c r="A7764" s="1133"/>
      <c r="B7764" s="1136"/>
      <c r="C7764" s="1138"/>
    </row>
    <row r="7765" spans="1:3">
      <c r="A7765" s="1133"/>
      <c r="B7765" s="1136"/>
      <c r="C7765" s="1138"/>
    </row>
    <row r="7766" spans="1:3">
      <c r="A7766" s="1133"/>
      <c r="B7766" s="1136"/>
      <c r="C7766" s="1138"/>
    </row>
    <row r="7767" spans="1:3">
      <c r="A7767" s="1133"/>
      <c r="B7767" s="1136"/>
      <c r="C7767" s="1138"/>
    </row>
    <row r="7768" spans="1:3">
      <c r="A7768" s="1133"/>
      <c r="B7768" s="1136"/>
      <c r="C7768" s="1138"/>
    </row>
    <row r="7769" spans="1:3">
      <c r="A7769" s="1133"/>
      <c r="B7769" s="1136"/>
      <c r="C7769" s="1138"/>
    </row>
    <row r="7770" spans="1:3">
      <c r="A7770" s="1133"/>
      <c r="B7770" s="1136"/>
      <c r="C7770" s="1138"/>
    </row>
    <row r="7771" spans="1:3">
      <c r="A7771" s="1133"/>
      <c r="B7771" s="1136"/>
      <c r="C7771" s="1138"/>
    </row>
    <row r="7772" spans="1:3">
      <c r="A7772" s="1133"/>
      <c r="B7772" s="1136"/>
      <c r="C7772" s="1138"/>
    </row>
    <row r="7773" spans="1:3">
      <c r="A7773" s="1133"/>
      <c r="B7773" s="1136"/>
      <c r="C7773" s="1138"/>
    </row>
    <row r="7774" spans="1:3">
      <c r="A7774" s="1133"/>
      <c r="B7774" s="1136"/>
      <c r="C7774" s="1138"/>
    </row>
    <row r="7775" spans="1:3">
      <c r="A7775" s="1133"/>
      <c r="B7775" s="1136"/>
      <c r="C7775" s="1138"/>
    </row>
    <row r="7776" spans="1:3">
      <c r="A7776" s="1133"/>
      <c r="B7776" s="1136"/>
      <c r="C7776" s="1138"/>
    </row>
    <row r="7777" spans="1:3">
      <c r="A7777" s="1133"/>
      <c r="B7777" s="1136"/>
      <c r="C7777" s="1138"/>
    </row>
    <row r="7778" spans="1:3">
      <c r="A7778" s="1133"/>
      <c r="B7778" s="1136"/>
      <c r="C7778" s="1138"/>
    </row>
    <row r="7779" spans="1:3">
      <c r="A7779" s="1133"/>
      <c r="B7779" s="1136"/>
      <c r="C7779" s="1138"/>
    </row>
    <row r="7780" spans="1:3">
      <c r="A7780" s="1133"/>
      <c r="B7780" s="1136"/>
      <c r="C7780" s="1138"/>
    </row>
    <row r="7781" spans="1:3">
      <c r="A7781" s="1133"/>
      <c r="B7781" s="1136"/>
      <c r="C7781" s="1138"/>
    </row>
    <row r="7782" spans="1:3">
      <c r="A7782" s="1133"/>
      <c r="B7782" s="1136"/>
      <c r="C7782" s="1138"/>
    </row>
    <row r="7783" spans="1:3">
      <c r="A7783" s="1133"/>
      <c r="B7783" s="1136"/>
      <c r="C7783" s="1138"/>
    </row>
    <row r="7784" spans="1:3">
      <c r="A7784" s="1133"/>
      <c r="B7784" s="1136"/>
      <c r="C7784" s="1138"/>
    </row>
    <row r="7785" spans="1:3">
      <c r="A7785" s="1133"/>
      <c r="B7785" s="1136"/>
      <c r="C7785" s="1138"/>
    </row>
    <row r="7786" spans="1:3">
      <c r="A7786" s="1133"/>
      <c r="B7786" s="1136"/>
      <c r="C7786" s="1138"/>
    </row>
    <row r="7787" spans="1:3">
      <c r="A7787" s="1133"/>
      <c r="B7787" s="1136"/>
      <c r="C7787" s="1138"/>
    </row>
    <row r="7788" spans="1:3">
      <c r="A7788" s="1133"/>
      <c r="B7788" s="1136"/>
      <c r="C7788" s="1138"/>
    </row>
    <row r="7789" spans="1:3">
      <c r="A7789" s="1133"/>
      <c r="B7789" s="1136"/>
      <c r="C7789" s="1138"/>
    </row>
    <row r="7790" spans="1:3">
      <c r="A7790" s="1133"/>
      <c r="B7790" s="1136"/>
      <c r="C7790" s="1138"/>
    </row>
    <row r="7791" spans="1:3">
      <c r="A7791" s="1133"/>
      <c r="B7791" s="1136"/>
      <c r="C7791" s="1138"/>
    </row>
    <row r="7792" spans="1:3">
      <c r="A7792" s="1133"/>
      <c r="B7792" s="1136"/>
      <c r="C7792" s="1138"/>
    </row>
    <row r="7793" spans="1:3">
      <c r="A7793" s="1133"/>
      <c r="B7793" s="1136"/>
      <c r="C7793" s="1138"/>
    </row>
    <row r="7794" spans="1:3">
      <c r="A7794" s="1133"/>
      <c r="B7794" s="1136"/>
      <c r="C7794" s="1138"/>
    </row>
    <row r="7795" spans="1:3">
      <c r="A7795" s="1133"/>
      <c r="B7795" s="1136"/>
      <c r="C7795" s="1138"/>
    </row>
    <row r="7796" spans="1:3">
      <c r="A7796" s="1133"/>
      <c r="B7796" s="1136"/>
      <c r="C7796" s="1138"/>
    </row>
    <row r="7797" spans="1:3">
      <c r="A7797" s="1133"/>
      <c r="B7797" s="1136"/>
      <c r="C7797" s="1138"/>
    </row>
    <row r="7798" spans="1:3">
      <c r="A7798" s="1133"/>
      <c r="B7798" s="1136"/>
      <c r="C7798" s="1138"/>
    </row>
    <row r="7799" spans="1:3">
      <c r="A7799" s="1133"/>
      <c r="B7799" s="1136"/>
      <c r="C7799" s="1138"/>
    </row>
    <row r="7800" spans="1:3">
      <c r="A7800" s="1133"/>
      <c r="B7800" s="1136"/>
      <c r="C7800" s="1138"/>
    </row>
    <row r="7801" spans="1:3">
      <c r="A7801" s="1133"/>
      <c r="B7801" s="1136"/>
      <c r="C7801" s="1138"/>
    </row>
    <row r="7802" spans="1:3">
      <c r="A7802" s="1133"/>
      <c r="B7802" s="1136"/>
      <c r="C7802" s="1138"/>
    </row>
    <row r="7803" spans="1:3">
      <c r="A7803" s="1133"/>
      <c r="B7803" s="1136"/>
      <c r="C7803" s="1138"/>
    </row>
    <row r="7804" spans="1:3">
      <c r="A7804" s="1133"/>
      <c r="B7804" s="1136"/>
      <c r="C7804" s="1138"/>
    </row>
    <row r="7805" spans="1:3">
      <c r="A7805" s="1133"/>
      <c r="B7805" s="1136"/>
      <c r="C7805" s="1138"/>
    </row>
    <row r="7806" spans="1:3">
      <c r="A7806" s="1133"/>
      <c r="B7806" s="1136"/>
      <c r="C7806" s="1138"/>
    </row>
    <row r="7807" spans="1:3">
      <c r="A7807" s="1133"/>
      <c r="B7807" s="1136"/>
      <c r="C7807" s="1138"/>
    </row>
    <row r="7808" spans="1:3">
      <c r="A7808" s="1133"/>
      <c r="B7808" s="1136"/>
      <c r="C7808" s="1138"/>
    </row>
    <row r="7809" spans="1:3">
      <c r="A7809" s="1133"/>
      <c r="B7809" s="1136"/>
      <c r="C7809" s="1138"/>
    </row>
    <row r="7810" spans="1:3">
      <c r="A7810" s="1133"/>
      <c r="B7810" s="1136"/>
      <c r="C7810" s="1138"/>
    </row>
    <row r="7811" spans="1:3">
      <c r="A7811" s="1133"/>
      <c r="B7811" s="1136"/>
      <c r="C7811" s="1138"/>
    </row>
    <row r="7812" spans="1:3">
      <c r="A7812" s="1133"/>
      <c r="B7812" s="1136"/>
      <c r="C7812" s="1138"/>
    </row>
    <row r="7813" spans="1:3">
      <c r="A7813" s="1133"/>
      <c r="B7813" s="1136"/>
      <c r="C7813" s="1138"/>
    </row>
    <row r="7814" spans="1:3">
      <c r="A7814" s="1133"/>
      <c r="B7814" s="1136"/>
      <c r="C7814" s="1138"/>
    </row>
    <row r="7815" spans="1:3">
      <c r="A7815" s="1133"/>
      <c r="B7815" s="1136"/>
      <c r="C7815" s="1138"/>
    </row>
    <row r="7816" spans="1:3">
      <c r="A7816" s="1133"/>
      <c r="B7816" s="1136"/>
      <c r="C7816" s="1138"/>
    </row>
    <row r="7817" spans="1:3">
      <c r="A7817" s="1133"/>
      <c r="B7817" s="1136"/>
      <c r="C7817" s="1138"/>
    </row>
    <row r="7818" spans="1:3">
      <c r="A7818" s="1133"/>
      <c r="B7818" s="1136"/>
      <c r="C7818" s="1138"/>
    </row>
    <row r="7819" spans="1:3">
      <c r="A7819" s="1133"/>
      <c r="B7819" s="1136"/>
      <c r="C7819" s="1138"/>
    </row>
    <row r="7820" spans="1:3">
      <c r="A7820" s="1133"/>
      <c r="B7820" s="1136"/>
      <c r="C7820" s="1138"/>
    </row>
    <row r="7821" spans="1:3">
      <c r="A7821" s="1133"/>
      <c r="B7821" s="1136"/>
      <c r="C7821" s="1138"/>
    </row>
    <row r="7822" spans="1:3">
      <c r="A7822" s="1133"/>
      <c r="B7822" s="1136"/>
      <c r="C7822" s="1138"/>
    </row>
    <row r="7823" spans="1:3">
      <c r="A7823" s="1133"/>
      <c r="B7823" s="1136"/>
      <c r="C7823" s="1138"/>
    </row>
    <row r="7824" spans="1:3">
      <c r="A7824" s="1133"/>
      <c r="B7824" s="1136"/>
      <c r="C7824" s="1138"/>
    </row>
    <row r="7825" spans="1:3">
      <c r="A7825" s="1133"/>
      <c r="B7825" s="1136"/>
      <c r="C7825" s="1138"/>
    </row>
    <row r="7826" spans="1:3">
      <c r="A7826" s="1133"/>
      <c r="B7826" s="1136"/>
      <c r="C7826" s="1138"/>
    </row>
    <row r="7827" spans="1:3">
      <c r="A7827" s="1133"/>
      <c r="B7827" s="1136"/>
      <c r="C7827" s="1138"/>
    </row>
    <row r="7828" spans="1:3">
      <c r="A7828" s="1133"/>
      <c r="B7828" s="1136"/>
      <c r="C7828" s="1138"/>
    </row>
    <row r="7829" spans="1:3">
      <c r="A7829" s="1133"/>
      <c r="B7829" s="1136"/>
      <c r="C7829" s="1138"/>
    </row>
    <row r="7830" spans="1:3">
      <c r="A7830" s="1133"/>
      <c r="B7830" s="1136"/>
      <c r="C7830" s="1138"/>
    </row>
    <row r="7831" spans="1:3">
      <c r="A7831" s="1133"/>
      <c r="B7831" s="1136"/>
      <c r="C7831" s="1138"/>
    </row>
    <row r="7832" spans="1:3">
      <c r="A7832" s="1133"/>
      <c r="B7832" s="1136"/>
      <c r="C7832" s="1138"/>
    </row>
    <row r="7833" spans="1:3">
      <c r="A7833" s="1133"/>
      <c r="B7833" s="1136"/>
      <c r="C7833" s="1138"/>
    </row>
    <row r="7834" spans="1:3">
      <c r="A7834" s="1133"/>
      <c r="B7834" s="1136"/>
      <c r="C7834" s="1138"/>
    </row>
    <row r="7835" spans="1:3">
      <c r="A7835" s="1133"/>
      <c r="B7835" s="1136"/>
      <c r="C7835" s="1138"/>
    </row>
    <row r="7836" spans="1:3">
      <c r="A7836" s="1133"/>
      <c r="B7836" s="1136"/>
      <c r="C7836" s="1138"/>
    </row>
    <row r="7837" spans="1:3">
      <c r="A7837" s="1133"/>
      <c r="B7837" s="1136"/>
      <c r="C7837" s="1138"/>
    </row>
    <row r="7838" spans="1:3">
      <c r="A7838" s="1133"/>
      <c r="B7838" s="1136"/>
      <c r="C7838" s="1138"/>
    </row>
    <row r="7839" spans="1:3">
      <c r="A7839" s="1133"/>
      <c r="B7839" s="1136"/>
      <c r="C7839" s="1138"/>
    </row>
    <row r="7840" spans="1:3">
      <c r="A7840" s="1133"/>
      <c r="B7840" s="1136"/>
      <c r="C7840" s="1138"/>
    </row>
    <row r="7841" spans="1:3">
      <c r="A7841" s="1133"/>
      <c r="B7841" s="1136"/>
      <c r="C7841" s="1138"/>
    </row>
    <row r="7842" spans="1:3">
      <c r="A7842" s="1133"/>
      <c r="B7842" s="1136"/>
      <c r="C7842" s="1138"/>
    </row>
    <row r="7843" spans="1:3">
      <c r="A7843" s="1133"/>
      <c r="B7843" s="1136"/>
      <c r="C7843" s="1138"/>
    </row>
    <row r="7844" spans="1:3">
      <c r="A7844" s="1133"/>
      <c r="B7844" s="1136"/>
      <c r="C7844" s="1138"/>
    </row>
    <row r="7845" spans="1:3">
      <c r="A7845" s="1133"/>
      <c r="B7845" s="1136"/>
      <c r="C7845" s="1138"/>
    </row>
    <row r="7846" spans="1:3">
      <c r="A7846" s="1133"/>
      <c r="B7846" s="1136"/>
      <c r="C7846" s="1138"/>
    </row>
    <row r="7847" spans="1:3">
      <c r="A7847" s="1133"/>
      <c r="B7847" s="1136"/>
      <c r="C7847" s="1138"/>
    </row>
    <row r="7848" spans="1:3">
      <c r="A7848" s="1133"/>
      <c r="B7848" s="1136"/>
      <c r="C7848" s="1138"/>
    </row>
    <row r="7849" spans="1:3">
      <c r="A7849" s="1133"/>
      <c r="B7849" s="1136"/>
      <c r="C7849" s="1138"/>
    </row>
    <row r="7850" spans="1:3">
      <c r="A7850" s="1133"/>
      <c r="B7850" s="1136"/>
      <c r="C7850" s="1138"/>
    </row>
    <row r="7851" spans="1:3">
      <c r="A7851" s="1133"/>
      <c r="B7851" s="1136"/>
      <c r="C7851" s="1138"/>
    </row>
    <row r="7852" spans="1:3">
      <c r="A7852" s="1133"/>
      <c r="B7852" s="1136"/>
      <c r="C7852" s="1138"/>
    </row>
    <row r="7853" spans="1:3">
      <c r="A7853" s="1133"/>
      <c r="B7853" s="1136"/>
      <c r="C7853" s="1138"/>
    </row>
    <row r="7854" spans="1:3">
      <c r="A7854" s="1133"/>
      <c r="B7854" s="1136"/>
      <c r="C7854" s="1138"/>
    </row>
    <row r="7855" spans="1:3">
      <c r="A7855" s="1133"/>
      <c r="B7855" s="1136"/>
      <c r="C7855" s="1138"/>
    </row>
    <row r="7856" spans="1:3">
      <c r="A7856" s="1133"/>
      <c r="B7856" s="1136"/>
      <c r="C7856" s="1138"/>
    </row>
    <row r="7857" spans="1:3">
      <c r="A7857" s="1133"/>
      <c r="B7857" s="1136"/>
      <c r="C7857" s="1138"/>
    </row>
    <row r="7858" spans="1:3">
      <c r="A7858" s="1133"/>
      <c r="B7858" s="1136"/>
      <c r="C7858" s="1138"/>
    </row>
    <row r="7859" spans="1:3">
      <c r="A7859" s="1133"/>
      <c r="B7859" s="1136"/>
      <c r="C7859" s="1138"/>
    </row>
    <row r="7860" spans="1:3">
      <c r="A7860" s="1133"/>
      <c r="B7860" s="1136"/>
      <c r="C7860" s="1138"/>
    </row>
    <row r="7861" spans="1:3">
      <c r="A7861" s="1133"/>
      <c r="B7861" s="1136"/>
      <c r="C7861" s="1138"/>
    </row>
    <row r="7862" spans="1:3">
      <c r="A7862" s="1133"/>
      <c r="B7862" s="1136"/>
      <c r="C7862" s="1138"/>
    </row>
    <row r="7863" spans="1:3">
      <c r="A7863" s="1133"/>
      <c r="B7863" s="1136"/>
      <c r="C7863" s="1138"/>
    </row>
    <row r="7864" spans="1:3">
      <c r="A7864" s="1133"/>
      <c r="B7864" s="1136"/>
      <c r="C7864" s="1138"/>
    </row>
    <row r="7865" spans="1:3">
      <c r="A7865" s="1133"/>
      <c r="B7865" s="1136"/>
      <c r="C7865" s="1138"/>
    </row>
    <row r="7866" spans="1:3">
      <c r="A7866" s="1133"/>
      <c r="B7866" s="1136"/>
      <c r="C7866" s="1138"/>
    </row>
    <row r="7867" spans="1:3">
      <c r="A7867" s="1133"/>
      <c r="B7867" s="1136"/>
      <c r="C7867" s="1138"/>
    </row>
    <row r="7868" spans="1:3">
      <c r="A7868" s="1133"/>
      <c r="B7868" s="1136"/>
      <c r="C7868" s="1138"/>
    </row>
    <row r="7869" spans="1:3">
      <c r="A7869" s="1133"/>
      <c r="B7869" s="1136"/>
      <c r="C7869" s="1138"/>
    </row>
    <row r="7870" spans="1:3">
      <c r="A7870" s="1133"/>
      <c r="B7870" s="1136"/>
      <c r="C7870" s="1138"/>
    </row>
    <row r="7871" spans="1:3">
      <c r="A7871" s="1133"/>
      <c r="B7871" s="1136"/>
      <c r="C7871" s="1138"/>
    </row>
    <row r="7872" spans="1:3">
      <c r="A7872" s="1133"/>
      <c r="B7872" s="1136"/>
      <c r="C7872" s="1138"/>
    </row>
    <row r="7873" spans="1:3">
      <c r="A7873" s="1133"/>
      <c r="B7873" s="1136"/>
      <c r="C7873" s="1138"/>
    </row>
    <row r="7874" spans="1:3">
      <c r="A7874" s="1133"/>
      <c r="B7874" s="1136"/>
      <c r="C7874" s="1138"/>
    </row>
    <row r="7875" spans="1:3">
      <c r="A7875" s="1133"/>
      <c r="B7875" s="1136"/>
      <c r="C7875" s="1138"/>
    </row>
    <row r="7876" spans="1:3">
      <c r="A7876" s="1133"/>
      <c r="B7876" s="1136"/>
      <c r="C7876" s="1138"/>
    </row>
    <row r="7877" spans="1:3">
      <c r="A7877" s="1133"/>
      <c r="B7877" s="1136"/>
      <c r="C7877" s="1138"/>
    </row>
    <row r="7878" spans="1:3">
      <c r="A7878" s="1133"/>
      <c r="B7878" s="1136"/>
      <c r="C7878" s="1138"/>
    </row>
    <row r="7879" spans="1:3">
      <c r="A7879" s="1133"/>
      <c r="B7879" s="1136"/>
      <c r="C7879" s="1138"/>
    </row>
    <row r="7880" spans="1:3">
      <c r="A7880" s="1133"/>
      <c r="B7880" s="1136"/>
      <c r="C7880" s="1138"/>
    </row>
    <row r="7881" spans="1:3">
      <c r="A7881" s="1133"/>
      <c r="B7881" s="1136"/>
      <c r="C7881" s="1138"/>
    </row>
    <row r="7882" spans="1:3">
      <c r="A7882" s="1133"/>
      <c r="B7882" s="1136"/>
      <c r="C7882" s="1138"/>
    </row>
    <row r="7883" spans="1:3">
      <c r="A7883" s="1133"/>
      <c r="B7883" s="1136"/>
      <c r="C7883" s="1138"/>
    </row>
    <row r="7884" spans="1:3">
      <c r="A7884" s="1133"/>
      <c r="B7884" s="1136"/>
      <c r="C7884" s="1138"/>
    </row>
    <row r="7885" spans="1:3">
      <c r="A7885" s="1133"/>
      <c r="B7885" s="1136"/>
      <c r="C7885" s="1138"/>
    </row>
    <row r="7886" spans="1:3">
      <c r="A7886" s="1133"/>
      <c r="B7886" s="1136"/>
      <c r="C7886" s="1138"/>
    </row>
    <row r="7887" spans="1:3">
      <c r="A7887" s="1133"/>
      <c r="B7887" s="1136"/>
      <c r="C7887" s="1138"/>
    </row>
    <row r="7888" spans="1:3">
      <c r="A7888" s="1133"/>
      <c r="B7888" s="1136"/>
      <c r="C7888" s="1138"/>
    </row>
    <row r="7889" spans="1:3">
      <c r="A7889" s="1133"/>
      <c r="B7889" s="1136"/>
      <c r="C7889" s="1138"/>
    </row>
    <row r="7890" spans="1:3">
      <c r="A7890" s="1133"/>
      <c r="B7890" s="1136"/>
      <c r="C7890" s="1138"/>
    </row>
    <row r="7891" spans="1:3">
      <c r="A7891" s="1133"/>
      <c r="B7891" s="1136"/>
      <c r="C7891" s="1138"/>
    </row>
    <row r="7892" spans="1:3">
      <c r="A7892" s="1133"/>
      <c r="B7892" s="1136"/>
      <c r="C7892" s="1138"/>
    </row>
    <row r="7893" spans="1:3">
      <c r="A7893" s="1133"/>
      <c r="B7893" s="1136"/>
      <c r="C7893" s="1138"/>
    </row>
    <row r="7894" spans="1:3">
      <c r="A7894" s="1133"/>
      <c r="B7894" s="1136"/>
      <c r="C7894" s="1138"/>
    </row>
    <row r="7895" spans="1:3">
      <c r="A7895" s="1133"/>
      <c r="B7895" s="1136"/>
      <c r="C7895" s="1138"/>
    </row>
    <row r="7896" spans="1:3">
      <c r="A7896" s="1133"/>
      <c r="B7896" s="1136"/>
      <c r="C7896" s="1138"/>
    </row>
    <row r="7897" spans="1:3">
      <c r="A7897" s="1133"/>
      <c r="B7897" s="1136"/>
      <c r="C7897" s="1138"/>
    </row>
    <row r="7898" spans="1:3">
      <c r="A7898" s="1133"/>
      <c r="B7898" s="1136"/>
      <c r="C7898" s="1138"/>
    </row>
    <row r="7899" spans="1:3">
      <c r="A7899" s="1133"/>
      <c r="B7899" s="1136"/>
      <c r="C7899" s="1138"/>
    </row>
    <row r="7900" spans="1:3">
      <c r="A7900" s="1133"/>
      <c r="B7900" s="1136"/>
      <c r="C7900" s="1138"/>
    </row>
    <row r="7901" spans="1:3">
      <c r="A7901" s="1133"/>
      <c r="B7901" s="1136"/>
      <c r="C7901" s="1138"/>
    </row>
    <row r="7902" spans="1:3">
      <c r="A7902" s="1133"/>
      <c r="B7902" s="1136"/>
      <c r="C7902" s="1138"/>
    </row>
    <row r="7903" spans="1:3">
      <c r="A7903" s="1133"/>
      <c r="B7903" s="1136"/>
      <c r="C7903" s="1138"/>
    </row>
    <row r="7904" spans="1:3">
      <c r="A7904" s="1133"/>
      <c r="B7904" s="1136"/>
      <c r="C7904" s="1138"/>
    </row>
    <row r="7905" spans="1:3">
      <c r="A7905" s="1133"/>
      <c r="B7905" s="1136"/>
      <c r="C7905" s="1138"/>
    </row>
    <row r="7906" spans="1:3">
      <c r="A7906" s="1133"/>
      <c r="B7906" s="1136"/>
      <c r="C7906" s="1138"/>
    </row>
    <row r="7907" spans="1:3">
      <c r="A7907" s="1133"/>
      <c r="B7907" s="1136"/>
      <c r="C7907" s="1138"/>
    </row>
    <row r="7908" spans="1:3">
      <c r="A7908" s="1133"/>
      <c r="B7908" s="1136"/>
      <c r="C7908" s="1138"/>
    </row>
    <row r="7909" spans="1:3">
      <c r="A7909" s="1133"/>
      <c r="B7909" s="1136"/>
      <c r="C7909" s="1138"/>
    </row>
    <row r="7910" spans="1:3">
      <c r="A7910" s="1133"/>
      <c r="B7910" s="1136"/>
      <c r="C7910" s="1138"/>
    </row>
    <row r="7911" spans="1:3">
      <c r="A7911" s="1133"/>
      <c r="B7911" s="1136"/>
      <c r="C7911" s="1138"/>
    </row>
    <row r="7912" spans="1:3">
      <c r="A7912" s="1133"/>
      <c r="B7912" s="1136"/>
      <c r="C7912" s="1138"/>
    </row>
    <row r="7913" spans="1:3">
      <c r="A7913" s="1133"/>
      <c r="B7913" s="1136"/>
      <c r="C7913" s="1138"/>
    </row>
    <row r="7914" spans="1:3">
      <c r="A7914" s="1133"/>
      <c r="B7914" s="1136"/>
      <c r="C7914" s="1138"/>
    </row>
    <row r="7915" spans="1:3">
      <c r="A7915" s="1133"/>
      <c r="B7915" s="1136"/>
      <c r="C7915" s="1138"/>
    </row>
    <row r="7916" spans="1:3">
      <c r="A7916" s="1133"/>
      <c r="B7916" s="1136"/>
      <c r="C7916" s="1138"/>
    </row>
    <row r="7917" spans="1:3">
      <c r="A7917" s="1133"/>
      <c r="B7917" s="1136"/>
      <c r="C7917" s="1138"/>
    </row>
    <row r="7918" spans="1:3">
      <c r="A7918" s="1133"/>
      <c r="B7918" s="1136"/>
      <c r="C7918" s="1138"/>
    </row>
    <row r="7919" spans="1:3">
      <c r="A7919" s="1133"/>
      <c r="B7919" s="1136"/>
      <c r="C7919" s="1138"/>
    </row>
    <row r="7920" spans="1:3">
      <c r="A7920" s="1133"/>
      <c r="B7920" s="1136"/>
      <c r="C7920" s="1138"/>
    </row>
    <row r="7921" spans="1:3">
      <c r="A7921" s="1133"/>
      <c r="B7921" s="1136"/>
      <c r="C7921" s="1138"/>
    </row>
    <row r="7922" spans="1:3">
      <c r="A7922" s="1133"/>
      <c r="B7922" s="1136"/>
      <c r="C7922" s="1138"/>
    </row>
    <row r="7923" spans="1:3">
      <c r="A7923" s="1133"/>
      <c r="B7923" s="1136"/>
      <c r="C7923" s="1138"/>
    </row>
    <row r="7924" spans="1:3">
      <c r="A7924" s="1133"/>
      <c r="B7924" s="1136"/>
      <c r="C7924" s="1138"/>
    </row>
    <row r="7925" spans="1:3">
      <c r="A7925" s="1133"/>
      <c r="B7925" s="1136"/>
      <c r="C7925" s="1138"/>
    </row>
    <row r="7926" spans="1:3">
      <c r="A7926" s="1133"/>
      <c r="B7926" s="1136"/>
      <c r="C7926" s="1138"/>
    </row>
    <row r="7927" spans="1:3">
      <c r="A7927" s="1133"/>
      <c r="B7927" s="1136"/>
      <c r="C7927" s="1138"/>
    </row>
    <row r="7928" spans="1:3">
      <c r="A7928" s="1133"/>
      <c r="B7928" s="1136"/>
      <c r="C7928" s="1138"/>
    </row>
    <row r="7929" spans="1:3">
      <c r="A7929" s="1133"/>
      <c r="B7929" s="1136"/>
      <c r="C7929" s="1138"/>
    </row>
    <row r="7930" spans="1:3">
      <c r="A7930" s="1133"/>
      <c r="B7930" s="1136"/>
      <c r="C7930" s="1138"/>
    </row>
    <row r="7931" spans="1:3">
      <c r="A7931" s="1133"/>
      <c r="B7931" s="1136"/>
      <c r="C7931" s="1138"/>
    </row>
    <row r="7932" spans="1:3">
      <c r="A7932" s="1133"/>
      <c r="B7932" s="1136"/>
      <c r="C7932" s="1138"/>
    </row>
    <row r="7933" spans="1:3">
      <c r="A7933" s="1133"/>
      <c r="B7933" s="1136"/>
      <c r="C7933" s="1138"/>
    </row>
    <row r="7934" spans="1:3">
      <c r="A7934" s="1133"/>
      <c r="B7934" s="1136"/>
      <c r="C7934" s="1138"/>
    </row>
    <row r="7935" spans="1:3">
      <c r="A7935" s="1133"/>
      <c r="B7935" s="1136"/>
      <c r="C7935" s="1138"/>
    </row>
    <row r="7936" spans="1:3">
      <c r="A7936" s="1133"/>
      <c r="B7936" s="1136"/>
      <c r="C7936" s="1138"/>
    </row>
    <row r="7937" spans="1:3">
      <c r="A7937" s="1133"/>
      <c r="B7937" s="1136"/>
      <c r="C7937" s="1138"/>
    </row>
    <row r="7938" spans="1:3">
      <c r="A7938" s="1133"/>
      <c r="B7938" s="1136"/>
      <c r="C7938" s="1138"/>
    </row>
    <row r="7939" spans="1:3">
      <c r="A7939" s="1133"/>
      <c r="B7939" s="1136"/>
      <c r="C7939" s="1138"/>
    </row>
    <row r="7940" spans="1:3">
      <c r="A7940" s="1133"/>
      <c r="B7940" s="1136"/>
      <c r="C7940" s="1138"/>
    </row>
    <row r="7941" spans="1:3">
      <c r="A7941" s="1133"/>
      <c r="B7941" s="1136"/>
      <c r="C7941" s="1138"/>
    </row>
    <row r="7942" spans="1:3">
      <c r="A7942" s="1133"/>
      <c r="B7942" s="1136"/>
      <c r="C7942" s="1138"/>
    </row>
    <row r="7943" spans="1:3">
      <c r="A7943" s="1133"/>
      <c r="B7943" s="1136"/>
      <c r="C7943" s="1138"/>
    </row>
    <row r="7944" spans="1:3">
      <c r="A7944" s="1133"/>
      <c r="B7944" s="1136"/>
      <c r="C7944" s="1138"/>
    </row>
    <row r="7945" spans="1:3">
      <c r="A7945" s="1133"/>
      <c r="B7945" s="1136"/>
      <c r="C7945" s="1138"/>
    </row>
    <row r="7946" spans="1:3">
      <c r="A7946" s="1133"/>
      <c r="B7946" s="1136"/>
      <c r="C7946" s="1138"/>
    </row>
    <row r="7947" spans="1:3">
      <c r="A7947" s="1133"/>
      <c r="B7947" s="1136"/>
      <c r="C7947" s="1138"/>
    </row>
    <row r="7948" spans="1:3">
      <c r="A7948" s="1133"/>
      <c r="B7948" s="1136"/>
      <c r="C7948" s="1138"/>
    </row>
    <row r="7949" spans="1:3">
      <c r="A7949" s="1133"/>
      <c r="B7949" s="1136"/>
      <c r="C7949" s="1138"/>
    </row>
    <row r="7950" spans="1:3">
      <c r="A7950" s="1133"/>
      <c r="B7950" s="1136"/>
      <c r="C7950" s="1138"/>
    </row>
    <row r="7951" spans="1:3">
      <c r="A7951" s="1133"/>
      <c r="B7951" s="1136"/>
      <c r="C7951" s="1138"/>
    </row>
    <row r="7952" spans="1:3">
      <c r="A7952" s="1133"/>
      <c r="B7952" s="1136"/>
      <c r="C7952" s="1138"/>
    </row>
    <row r="7953" spans="1:3">
      <c r="A7953" s="1133"/>
      <c r="B7953" s="1136"/>
      <c r="C7953" s="1138"/>
    </row>
    <row r="7954" spans="1:3">
      <c r="A7954" s="1133"/>
      <c r="B7954" s="1136"/>
      <c r="C7954" s="1138"/>
    </row>
    <row r="7955" spans="1:3">
      <c r="A7955" s="1133"/>
      <c r="B7955" s="1136"/>
      <c r="C7955" s="1138"/>
    </row>
    <row r="7956" spans="1:3">
      <c r="A7956" s="1133"/>
      <c r="B7956" s="1136"/>
      <c r="C7956" s="1138"/>
    </row>
    <row r="7957" spans="1:3">
      <c r="A7957" s="1133"/>
      <c r="B7957" s="1136"/>
      <c r="C7957" s="1138"/>
    </row>
    <row r="7958" spans="1:3">
      <c r="A7958" s="1133"/>
      <c r="B7958" s="1136"/>
      <c r="C7958" s="1138"/>
    </row>
    <row r="7959" spans="1:3">
      <c r="A7959" s="1133"/>
      <c r="B7959" s="1136"/>
      <c r="C7959" s="1138"/>
    </row>
    <row r="7960" spans="1:3">
      <c r="A7960" s="1133"/>
      <c r="B7960" s="1136"/>
      <c r="C7960" s="1138"/>
    </row>
    <row r="7961" spans="1:3">
      <c r="A7961" s="1133"/>
      <c r="B7961" s="1136"/>
      <c r="C7961" s="1138"/>
    </row>
    <row r="7962" spans="1:3">
      <c r="A7962" s="1133"/>
      <c r="B7962" s="1136"/>
      <c r="C7962" s="1138"/>
    </row>
    <row r="7963" spans="1:3">
      <c r="A7963" s="1133"/>
      <c r="B7963" s="1136"/>
      <c r="C7963" s="1138"/>
    </row>
    <row r="7964" spans="1:3">
      <c r="A7964" s="1133"/>
      <c r="B7964" s="1136"/>
      <c r="C7964" s="1138"/>
    </row>
    <row r="7965" spans="1:3">
      <c r="A7965" s="1133"/>
      <c r="B7965" s="1136"/>
      <c r="C7965" s="1138"/>
    </row>
    <row r="7966" spans="1:3">
      <c r="A7966" s="1133"/>
      <c r="B7966" s="1136"/>
      <c r="C7966" s="1138"/>
    </row>
    <row r="7967" spans="1:3">
      <c r="A7967" s="1133"/>
      <c r="B7967" s="1136"/>
      <c r="C7967" s="1138"/>
    </row>
    <row r="7968" spans="1:3">
      <c r="A7968" s="1133"/>
      <c r="B7968" s="1136"/>
      <c r="C7968" s="1138"/>
    </row>
    <row r="7969" spans="1:3">
      <c r="A7969" s="1133"/>
      <c r="B7969" s="1136"/>
      <c r="C7969" s="1138"/>
    </row>
    <row r="7970" spans="1:3">
      <c r="A7970" s="1133"/>
      <c r="B7970" s="1136"/>
      <c r="C7970" s="1138"/>
    </row>
    <row r="7971" spans="1:3">
      <c r="A7971" s="1133"/>
      <c r="B7971" s="1136"/>
      <c r="C7971" s="1138"/>
    </row>
    <row r="7972" spans="1:3">
      <c r="A7972" s="1133"/>
      <c r="B7972" s="1136"/>
      <c r="C7972" s="1138"/>
    </row>
    <row r="7973" spans="1:3">
      <c r="A7973" s="1133"/>
      <c r="B7973" s="1136"/>
      <c r="C7973" s="1138"/>
    </row>
    <row r="7974" spans="1:3">
      <c r="A7974" s="1133"/>
      <c r="B7974" s="1136"/>
      <c r="C7974" s="1138"/>
    </row>
    <row r="7975" spans="1:3">
      <c r="A7975" s="1133"/>
      <c r="B7975" s="1136"/>
      <c r="C7975" s="1138"/>
    </row>
    <row r="7976" spans="1:3">
      <c r="A7976" s="1133"/>
      <c r="B7976" s="1136"/>
      <c r="C7976" s="1138"/>
    </row>
    <row r="7977" spans="1:3">
      <c r="A7977" s="1133"/>
      <c r="B7977" s="1136"/>
      <c r="C7977" s="1138"/>
    </row>
    <row r="7978" spans="1:3">
      <c r="A7978" s="1133"/>
      <c r="B7978" s="1136"/>
      <c r="C7978" s="1138"/>
    </row>
    <row r="7979" spans="1:3">
      <c r="A7979" s="1133"/>
      <c r="B7979" s="1136"/>
      <c r="C7979" s="1138"/>
    </row>
    <row r="7980" spans="1:3">
      <c r="A7980" s="1133"/>
      <c r="B7980" s="1136"/>
      <c r="C7980" s="1138"/>
    </row>
    <row r="7981" spans="1:3">
      <c r="A7981" s="1133"/>
      <c r="B7981" s="1136"/>
      <c r="C7981" s="1138"/>
    </row>
    <row r="7982" spans="1:3">
      <c r="A7982" s="1133"/>
      <c r="B7982" s="1136"/>
      <c r="C7982" s="1138"/>
    </row>
    <row r="7983" spans="1:3">
      <c r="A7983" s="1133"/>
      <c r="B7983" s="1136"/>
      <c r="C7983" s="1138"/>
    </row>
    <row r="7984" spans="1:3">
      <c r="A7984" s="1133"/>
      <c r="B7984" s="1136"/>
      <c r="C7984" s="1138"/>
    </row>
    <row r="7985" spans="1:3">
      <c r="A7985" s="1133"/>
      <c r="B7985" s="1136"/>
      <c r="C7985" s="1138"/>
    </row>
    <row r="7986" spans="1:3">
      <c r="A7986" s="1133"/>
      <c r="B7986" s="1136"/>
      <c r="C7986" s="1138"/>
    </row>
    <row r="7987" spans="1:3">
      <c r="A7987" s="1133"/>
      <c r="B7987" s="1136"/>
      <c r="C7987" s="1138"/>
    </row>
    <row r="7988" spans="1:3">
      <c r="A7988" s="1133"/>
      <c r="B7988" s="1136"/>
      <c r="C7988" s="1138"/>
    </row>
    <row r="7989" spans="1:3">
      <c r="A7989" s="1133"/>
      <c r="B7989" s="1136"/>
      <c r="C7989" s="1138"/>
    </row>
    <row r="7990" spans="1:3">
      <c r="A7990" s="1133"/>
      <c r="B7990" s="1136"/>
      <c r="C7990" s="1138"/>
    </row>
    <row r="7991" spans="1:3">
      <c r="A7991" s="1133"/>
      <c r="B7991" s="1136"/>
      <c r="C7991" s="1138"/>
    </row>
    <row r="7992" spans="1:3">
      <c r="A7992" s="1133"/>
      <c r="B7992" s="1136"/>
      <c r="C7992" s="1138"/>
    </row>
    <row r="7993" spans="1:3">
      <c r="A7993" s="1133"/>
      <c r="B7993" s="1136"/>
      <c r="C7993" s="1138"/>
    </row>
    <row r="7994" spans="1:3">
      <c r="A7994" s="1133"/>
      <c r="B7994" s="1136"/>
      <c r="C7994" s="1138"/>
    </row>
    <row r="7995" spans="1:3">
      <c r="A7995" s="1133"/>
      <c r="B7995" s="1136"/>
      <c r="C7995" s="1138"/>
    </row>
    <row r="7996" spans="1:3">
      <c r="A7996" s="1133"/>
      <c r="B7996" s="1136"/>
      <c r="C7996" s="1138"/>
    </row>
    <row r="7997" spans="1:3">
      <c r="A7997" s="1133"/>
      <c r="B7997" s="1136"/>
      <c r="C7997" s="1138"/>
    </row>
    <row r="7998" spans="1:3">
      <c r="A7998" s="1133"/>
      <c r="B7998" s="1136"/>
      <c r="C7998" s="1138"/>
    </row>
    <row r="7999" spans="1:3">
      <c r="A7999" s="1133"/>
      <c r="B7999" s="1136"/>
      <c r="C7999" s="1138"/>
    </row>
    <row r="8000" spans="1:3">
      <c r="A8000" s="1133"/>
      <c r="B8000" s="1136"/>
      <c r="C8000" s="1138"/>
    </row>
    <row r="8001" spans="1:3">
      <c r="A8001" s="1133"/>
      <c r="B8001" s="1136"/>
      <c r="C8001" s="1138"/>
    </row>
    <row r="8002" spans="1:3">
      <c r="A8002" s="1133"/>
      <c r="B8002" s="1136"/>
      <c r="C8002" s="1138"/>
    </row>
    <row r="8003" spans="1:3">
      <c r="A8003" s="1133"/>
      <c r="B8003" s="1136"/>
      <c r="C8003" s="1138"/>
    </row>
    <row r="8004" spans="1:3">
      <c r="A8004" s="1133"/>
      <c r="B8004" s="1136"/>
      <c r="C8004" s="1138"/>
    </row>
    <row r="8005" spans="1:3">
      <c r="A8005" s="1133"/>
      <c r="B8005" s="1136"/>
      <c r="C8005" s="1138"/>
    </row>
    <row r="8006" spans="1:3">
      <c r="A8006" s="1133"/>
      <c r="B8006" s="1136"/>
      <c r="C8006" s="1138"/>
    </row>
    <row r="8007" spans="1:3">
      <c r="A8007" s="1133"/>
      <c r="B8007" s="1136"/>
      <c r="C8007" s="1138"/>
    </row>
    <row r="8008" spans="1:3">
      <c r="A8008" s="1133"/>
      <c r="B8008" s="1136"/>
      <c r="C8008" s="1138"/>
    </row>
    <row r="8009" spans="1:3">
      <c r="A8009" s="1133"/>
      <c r="B8009" s="1136"/>
      <c r="C8009" s="1138"/>
    </row>
    <row r="8010" spans="1:3">
      <c r="A8010" s="1133"/>
      <c r="B8010" s="1136"/>
      <c r="C8010" s="1138"/>
    </row>
    <row r="8011" spans="1:3">
      <c r="A8011" s="1133"/>
      <c r="B8011" s="1136"/>
      <c r="C8011" s="1138"/>
    </row>
    <row r="8012" spans="1:3">
      <c r="A8012" s="1133"/>
      <c r="B8012" s="1136"/>
      <c r="C8012" s="1138"/>
    </row>
    <row r="8013" spans="1:3">
      <c r="A8013" s="1133"/>
      <c r="B8013" s="1136"/>
      <c r="C8013" s="1138"/>
    </row>
    <row r="8014" spans="1:3">
      <c r="A8014" s="1133"/>
      <c r="B8014" s="1136"/>
      <c r="C8014" s="1138"/>
    </row>
    <row r="8015" spans="1:3">
      <c r="A8015" s="1133"/>
      <c r="B8015" s="1136"/>
      <c r="C8015" s="1138"/>
    </row>
    <row r="8016" spans="1:3">
      <c r="A8016" s="1133"/>
      <c r="B8016" s="1136"/>
      <c r="C8016" s="1138"/>
    </row>
    <row r="8017" spans="1:3">
      <c r="A8017" s="1133"/>
      <c r="B8017" s="1136"/>
      <c r="C8017" s="1138"/>
    </row>
    <row r="8018" spans="1:3">
      <c r="A8018" s="1133"/>
      <c r="B8018" s="1136"/>
      <c r="C8018" s="1138"/>
    </row>
    <row r="8019" spans="1:3">
      <c r="A8019" s="1133"/>
      <c r="B8019" s="1136"/>
      <c r="C8019" s="1138"/>
    </row>
    <row r="8020" spans="1:3">
      <c r="A8020" s="1133"/>
      <c r="B8020" s="1136"/>
      <c r="C8020" s="1138"/>
    </row>
    <row r="8021" spans="1:3">
      <c r="A8021" s="1133"/>
      <c r="B8021" s="1136"/>
      <c r="C8021" s="1138"/>
    </row>
    <row r="8022" spans="1:3">
      <c r="A8022" s="1133"/>
      <c r="B8022" s="1136"/>
      <c r="C8022" s="1138"/>
    </row>
    <row r="8023" spans="1:3">
      <c r="A8023" s="1133"/>
      <c r="B8023" s="1136"/>
      <c r="C8023" s="1138"/>
    </row>
    <row r="8024" spans="1:3">
      <c r="A8024" s="1133"/>
      <c r="B8024" s="1136"/>
      <c r="C8024" s="1138"/>
    </row>
    <row r="8025" spans="1:3">
      <c r="A8025" s="1133"/>
      <c r="B8025" s="1136"/>
      <c r="C8025" s="1138"/>
    </row>
    <row r="8026" spans="1:3">
      <c r="A8026" s="1133"/>
      <c r="B8026" s="1136"/>
      <c r="C8026" s="1138"/>
    </row>
    <row r="8027" spans="1:3">
      <c r="A8027" s="1133"/>
      <c r="B8027" s="1136"/>
      <c r="C8027" s="1138"/>
    </row>
    <row r="8028" spans="1:3">
      <c r="A8028" s="1133"/>
      <c r="B8028" s="1136"/>
      <c r="C8028" s="1138"/>
    </row>
    <row r="8029" spans="1:3">
      <c r="A8029" s="1133"/>
      <c r="B8029" s="1136"/>
      <c r="C8029" s="1138"/>
    </row>
    <row r="8030" spans="1:3">
      <c r="A8030" s="1133"/>
      <c r="B8030" s="1136"/>
      <c r="C8030" s="1138"/>
    </row>
    <row r="8031" spans="1:3">
      <c r="A8031" s="1133"/>
      <c r="B8031" s="1136"/>
      <c r="C8031" s="1138"/>
    </row>
    <row r="8032" spans="1:3">
      <c r="A8032" s="1133"/>
      <c r="B8032" s="1136"/>
      <c r="C8032" s="1138"/>
    </row>
    <row r="8033" spans="1:3">
      <c r="A8033" s="1133"/>
      <c r="B8033" s="1136"/>
      <c r="C8033" s="1138"/>
    </row>
    <row r="8034" spans="1:3">
      <c r="A8034" s="1133"/>
      <c r="B8034" s="1136"/>
      <c r="C8034" s="1138"/>
    </row>
    <row r="8035" spans="1:3">
      <c r="A8035" s="1133"/>
      <c r="B8035" s="1136"/>
      <c r="C8035" s="1138"/>
    </row>
    <row r="8036" spans="1:3">
      <c r="A8036" s="1133"/>
      <c r="B8036" s="1136"/>
      <c r="C8036" s="1138"/>
    </row>
    <row r="8037" spans="1:3">
      <c r="A8037" s="1133"/>
      <c r="B8037" s="1136"/>
      <c r="C8037" s="1138"/>
    </row>
    <row r="8038" spans="1:3">
      <c r="A8038" s="1133"/>
      <c r="B8038" s="1136"/>
      <c r="C8038" s="1138"/>
    </row>
    <row r="8039" spans="1:3">
      <c r="A8039" s="1133"/>
      <c r="B8039" s="1136"/>
      <c r="C8039" s="1138"/>
    </row>
    <row r="8040" spans="1:3">
      <c r="A8040" s="1133"/>
      <c r="B8040" s="1136"/>
      <c r="C8040" s="1138"/>
    </row>
    <row r="8041" spans="1:3">
      <c r="A8041" s="1133"/>
      <c r="B8041" s="1136"/>
      <c r="C8041" s="1138"/>
    </row>
    <row r="8042" spans="1:3">
      <c r="A8042" s="1133"/>
      <c r="B8042" s="1136"/>
      <c r="C8042" s="1138"/>
    </row>
    <row r="8043" spans="1:3">
      <c r="A8043" s="1133"/>
      <c r="B8043" s="1136"/>
      <c r="C8043" s="1138"/>
    </row>
    <row r="8044" spans="1:3">
      <c r="A8044" s="1133"/>
      <c r="B8044" s="1136"/>
      <c r="C8044" s="1138"/>
    </row>
    <row r="8045" spans="1:3">
      <c r="A8045" s="1133"/>
      <c r="B8045" s="1136"/>
      <c r="C8045" s="1138"/>
    </row>
    <row r="8046" spans="1:3">
      <c r="A8046" s="1133"/>
      <c r="B8046" s="1136"/>
      <c r="C8046" s="1138"/>
    </row>
    <row r="8047" spans="1:3">
      <c r="A8047" s="1133"/>
      <c r="B8047" s="1136"/>
      <c r="C8047" s="1138"/>
    </row>
    <row r="8048" spans="1:3">
      <c r="A8048" s="1133"/>
      <c r="B8048" s="1136"/>
      <c r="C8048" s="1138"/>
    </row>
    <row r="8049" spans="1:3">
      <c r="A8049" s="1133"/>
      <c r="B8049" s="1136"/>
      <c r="C8049" s="1138"/>
    </row>
    <row r="8050" spans="1:3">
      <c r="A8050" s="1133"/>
      <c r="B8050" s="1136"/>
      <c r="C8050" s="1138"/>
    </row>
    <row r="8051" spans="1:3">
      <c r="A8051" s="1133"/>
      <c r="B8051" s="1136"/>
      <c r="C8051" s="1138"/>
    </row>
    <row r="8052" spans="1:3">
      <c r="A8052" s="1133"/>
      <c r="B8052" s="1136"/>
      <c r="C8052" s="1138"/>
    </row>
    <row r="8053" spans="1:3">
      <c r="A8053" s="1133"/>
      <c r="B8053" s="1136"/>
      <c r="C8053" s="1138"/>
    </row>
    <row r="8054" spans="1:3">
      <c r="A8054" s="1133"/>
      <c r="B8054" s="1136"/>
      <c r="C8054" s="1138"/>
    </row>
    <row r="8055" spans="1:3">
      <c r="A8055" s="1133"/>
      <c r="B8055" s="1136"/>
      <c r="C8055" s="1138"/>
    </row>
    <row r="8056" spans="1:3">
      <c r="A8056" s="1133"/>
      <c r="B8056" s="1136"/>
      <c r="C8056" s="1138"/>
    </row>
    <row r="8057" spans="1:3">
      <c r="A8057" s="1133"/>
      <c r="B8057" s="1136"/>
      <c r="C8057" s="1138"/>
    </row>
    <row r="8058" spans="1:3">
      <c r="A8058" s="1133"/>
      <c r="B8058" s="1136"/>
      <c r="C8058" s="1138"/>
    </row>
    <row r="8059" spans="1:3">
      <c r="A8059" s="1133"/>
      <c r="B8059" s="1136"/>
      <c r="C8059" s="1138"/>
    </row>
    <row r="8060" spans="1:3">
      <c r="A8060" s="1133"/>
      <c r="B8060" s="1136"/>
      <c r="C8060" s="1138"/>
    </row>
    <row r="8061" spans="1:3">
      <c r="A8061" s="1133"/>
      <c r="B8061" s="1136"/>
      <c r="C8061" s="1138"/>
    </row>
    <row r="8062" spans="1:3">
      <c r="A8062" s="1133"/>
      <c r="B8062" s="1136"/>
      <c r="C8062" s="1138"/>
    </row>
    <row r="8063" spans="1:3">
      <c r="A8063" s="1133"/>
      <c r="B8063" s="1136"/>
      <c r="C8063" s="1138"/>
    </row>
    <row r="8064" spans="1:3">
      <c r="A8064" s="1133"/>
      <c r="B8064" s="1136"/>
      <c r="C8064" s="1138"/>
    </row>
    <row r="8065" spans="1:3">
      <c r="A8065" s="1133"/>
      <c r="B8065" s="1136"/>
      <c r="C8065" s="1138"/>
    </row>
    <row r="8066" spans="1:3">
      <c r="A8066" s="1133"/>
      <c r="B8066" s="1136"/>
      <c r="C8066" s="1138"/>
    </row>
    <row r="8067" spans="1:3">
      <c r="A8067" s="1133"/>
      <c r="B8067" s="1136"/>
      <c r="C8067" s="1138"/>
    </row>
    <row r="8068" spans="1:3">
      <c r="A8068" s="1133"/>
      <c r="B8068" s="1136"/>
      <c r="C8068" s="1138"/>
    </row>
    <row r="8069" spans="1:3">
      <c r="A8069" s="1133"/>
      <c r="B8069" s="1136"/>
      <c r="C8069" s="1138"/>
    </row>
    <row r="8070" spans="1:3">
      <c r="A8070" s="1133"/>
      <c r="B8070" s="1136"/>
      <c r="C8070" s="1138"/>
    </row>
    <row r="8071" spans="1:3">
      <c r="A8071" s="1133"/>
      <c r="B8071" s="1136"/>
      <c r="C8071" s="1138"/>
    </row>
    <row r="8072" spans="1:3">
      <c r="A8072" s="1133"/>
      <c r="B8072" s="1136"/>
      <c r="C8072" s="1138"/>
    </row>
    <row r="8073" spans="1:3">
      <c r="A8073" s="1133"/>
      <c r="B8073" s="1136"/>
      <c r="C8073" s="1138"/>
    </row>
    <row r="8074" spans="1:3">
      <c r="A8074" s="1133"/>
      <c r="B8074" s="1136"/>
      <c r="C8074" s="1138"/>
    </row>
    <row r="8075" spans="1:3">
      <c r="A8075" s="1133"/>
      <c r="B8075" s="1136"/>
      <c r="C8075" s="1138"/>
    </row>
    <row r="8076" spans="1:3">
      <c r="A8076" s="1133"/>
      <c r="B8076" s="1136"/>
      <c r="C8076" s="1138"/>
    </row>
    <row r="8077" spans="1:3">
      <c r="A8077" s="1133"/>
      <c r="B8077" s="1136"/>
      <c r="C8077" s="1138"/>
    </row>
    <row r="8078" spans="1:3">
      <c r="A8078" s="1133"/>
      <c r="B8078" s="1136"/>
      <c r="C8078" s="1138"/>
    </row>
    <row r="8079" spans="1:3">
      <c r="A8079" s="1133"/>
      <c r="B8079" s="1136"/>
      <c r="C8079" s="1138"/>
    </row>
    <row r="8080" spans="1:3">
      <c r="A8080" s="1133"/>
      <c r="B8080" s="1136"/>
      <c r="C8080" s="1138"/>
    </row>
    <row r="8081" spans="1:3">
      <c r="A8081" s="1133"/>
      <c r="B8081" s="1136"/>
      <c r="C8081" s="1138"/>
    </row>
    <row r="8082" spans="1:3">
      <c r="A8082" s="1133"/>
      <c r="B8082" s="1136"/>
      <c r="C8082" s="1138"/>
    </row>
    <row r="8083" spans="1:3">
      <c r="A8083" s="1133"/>
      <c r="B8083" s="1136"/>
      <c r="C8083" s="1138"/>
    </row>
    <row r="8084" spans="1:3">
      <c r="A8084" s="1133"/>
      <c r="B8084" s="1136"/>
      <c r="C8084" s="1138"/>
    </row>
    <row r="8085" spans="1:3">
      <c r="A8085" s="1133"/>
      <c r="B8085" s="1136"/>
      <c r="C8085" s="1138"/>
    </row>
    <row r="8086" spans="1:3">
      <c r="A8086" s="1133"/>
      <c r="B8086" s="1136"/>
      <c r="C8086" s="1138"/>
    </row>
    <row r="8087" spans="1:3">
      <c r="A8087" s="1133"/>
      <c r="B8087" s="1136"/>
      <c r="C8087" s="1138"/>
    </row>
    <row r="8088" spans="1:3">
      <c r="A8088" s="1133"/>
      <c r="B8088" s="1136"/>
      <c r="C8088" s="1138"/>
    </row>
    <row r="8089" spans="1:3">
      <c r="A8089" s="1133"/>
      <c r="B8089" s="1136"/>
      <c r="C8089" s="1138"/>
    </row>
    <row r="8090" spans="1:3">
      <c r="A8090" s="1133"/>
      <c r="B8090" s="1136"/>
      <c r="C8090" s="1138"/>
    </row>
    <row r="8091" spans="1:3">
      <c r="A8091" s="1133"/>
      <c r="B8091" s="1136"/>
      <c r="C8091" s="1138"/>
    </row>
    <row r="8092" spans="1:3">
      <c r="A8092" s="1133"/>
      <c r="B8092" s="1136"/>
      <c r="C8092" s="1138"/>
    </row>
    <row r="8093" spans="1:3">
      <c r="A8093" s="1133"/>
      <c r="B8093" s="1136"/>
      <c r="C8093" s="1138"/>
    </row>
    <row r="8094" spans="1:3">
      <c r="A8094" s="1133"/>
      <c r="B8094" s="1136"/>
      <c r="C8094" s="1138"/>
    </row>
    <row r="8095" spans="1:3">
      <c r="A8095" s="1133"/>
      <c r="B8095" s="1136"/>
      <c r="C8095" s="1138"/>
    </row>
    <row r="8096" spans="1:3">
      <c r="A8096" s="1133"/>
      <c r="B8096" s="1136"/>
      <c r="C8096" s="1138"/>
    </row>
    <row r="8097" spans="1:3">
      <c r="A8097" s="1133"/>
      <c r="B8097" s="1136"/>
      <c r="C8097" s="1138"/>
    </row>
    <row r="8098" spans="1:3">
      <c r="A8098" s="1133"/>
      <c r="B8098" s="1136"/>
      <c r="C8098" s="1138"/>
    </row>
    <row r="8099" spans="1:3">
      <c r="A8099" s="1133"/>
      <c r="B8099" s="1136"/>
      <c r="C8099" s="1138"/>
    </row>
    <row r="8100" spans="1:3">
      <c r="A8100" s="1133"/>
      <c r="B8100" s="1136"/>
      <c r="C8100" s="1138"/>
    </row>
    <row r="8101" spans="1:3">
      <c r="A8101" s="1133"/>
      <c r="B8101" s="1136"/>
      <c r="C8101" s="1138"/>
    </row>
    <row r="8102" spans="1:3">
      <c r="A8102" s="1133"/>
      <c r="B8102" s="1136"/>
      <c r="C8102" s="1138"/>
    </row>
    <row r="8103" spans="1:3">
      <c r="A8103" s="1133"/>
      <c r="B8103" s="1136"/>
      <c r="C8103" s="1138"/>
    </row>
    <row r="8104" spans="1:3">
      <c r="A8104" s="1133"/>
      <c r="B8104" s="1136"/>
      <c r="C8104" s="1138"/>
    </row>
    <row r="8105" spans="1:3">
      <c r="A8105" s="1133"/>
      <c r="B8105" s="1136"/>
      <c r="C8105" s="1138"/>
    </row>
    <row r="8106" spans="1:3">
      <c r="A8106" s="1133"/>
      <c r="B8106" s="1136"/>
      <c r="C8106" s="1138"/>
    </row>
    <row r="8107" spans="1:3">
      <c r="A8107" s="1133"/>
      <c r="B8107" s="1136"/>
      <c r="C8107" s="1138"/>
    </row>
    <row r="8108" spans="1:3">
      <c r="A8108" s="1133"/>
      <c r="B8108" s="1136"/>
      <c r="C8108" s="1138"/>
    </row>
    <row r="8109" spans="1:3">
      <c r="A8109" s="1133"/>
      <c r="B8109" s="1136"/>
      <c r="C8109" s="1138"/>
    </row>
    <row r="8110" spans="1:3">
      <c r="A8110" s="1133"/>
      <c r="B8110" s="1136"/>
      <c r="C8110" s="1138"/>
    </row>
    <row r="8111" spans="1:3">
      <c r="A8111" s="1133"/>
      <c r="B8111" s="1136"/>
      <c r="C8111" s="1138"/>
    </row>
    <row r="8112" spans="1:3">
      <c r="A8112" s="1133"/>
      <c r="B8112" s="1136"/>
      <c r="C8112" s="1138"/>
    </row>
    <row r="8113" spans="1:3">
      <c r="A8113" s="1133"/>
      <c r="B8113" s="1136"/>
      <c r="C8113" s="1138"/>
    </row>
    <row r="8114" spans="1:3">
      <c r="A8114" s="1133"/>
      <c r="B8114" s="1136"/>
      <c r="C8114" s="1138"/>
    </row>
    <row r="8115" spans="1:3">
      <c r="A8115" s="1133"/>
      <c r="B8115" s="1136"/>
      <c r="C8115" s="1138"/>
    </row>
    <row r="8116" spans="1:3">
      <c r="A8116" s="1133"/>
      <c r="B8116" s="1136"/>
      <c r="C8116" s="1138"/>
    </row>
    <row r="8117" spans="1:3">
      <c r="A8117" s="1133"/>
      <c r="B8117" s="1136"/>
      <c r="C8117" s="1138"/>
    </row>
    <row r="8118" spans="1:3">
      <c r="A8118" s="1133"/>
      <c r="B8118" s="1136"/>
      <c r="C8118" s="1138"/>
    </row>
    <row r="8119" spans="1:3">
      <c r="A8119" s="1133"/>
      <c r="B8119" s="1136"/>
      <c r="C8119" s="1138"/>
    </row>
    <row r="8120" spans="1:3">
      <c r="A8120" s="1133"/>
      <c r="B8120" s="1136"/>
      <c r="C8120" s="1138"/>
    </row>
    <row r="8121" spans="1:3">
      <c r="A8121" s="1133"/>
      <c r="B8121" s="1136"/>
      <c r="C8121" s="1138"/>
    </row>
    <row r="8122" spans="1:3">
      <c r="A8122" s="1133"/>
      <c r="B8122" s="1136"/>
      <c r="C8122" s="1138"/>
    </row>
    <row r="8123" spans="1:3">
      <c r="A8123" s="1133"/>
      <c r="B8123" s="1136"/>
      <c r="C8123" s="1138"/>
    </row>
    <row r="8124" spans="1:3">
      <c r="A8124" s="1133"/>
      <c r="B8124" s="1136"/>
      <c r="C8124" s="1138"/>
    </row>
    <row r="8125" spans="1:3">
      <c r="A8125" s="1133"/>
      <c r="B8125" s="1136"/>
      <c r="C8125" s="1138"/>
    </row>
    <row r="8126" spans="1:3">
      <c r="A8126" s="1133"/>
      <c r="B8126" s="1136"/>
      <c r="C8126" s="1138"/>
    </row>
    <row r="8127" spans="1:3">
      <c r="A8127" s="1133"/>
      <c r="B8127" s="1136"/>
      <c r="C8127" s="1138"/>
    </row>
    <row r="8128" spans="1:3">
      <c r="A8128" s="1133"/>
      <c r="B8128" s="1136"/>
      <c r="C8128" s="1138"/>
    </row>
    <row r="8129" spans="1:3">
      <c r="A8129" s="1133"/>
      <c r="B8129" s="1136"/>
      <c r="C8129" s="1138"/>
    </row>
    <row r="8130" spans="1:3">
      <c r="A8130" s="1133"/>
      <c r="B8130" s="1136"/>
      <c r="C8130" s="1138"/>
    </row>
    <row r="8131" spans="1:3">
      <c r="A8131" s="1133"/>
      <c r="B8131" s="1136"/>
      <c r="C8131" s="1138"/>
    </row>
    <row r="8132" spans="1:3">
      <c r="A8132" s="1133"/>
      <c r="B8132" s="1136"/>
      <c r="C8132" s="1138"/>
    </row>
    <row r="8133" spans="1:3">
      <c r="A8133" s="1133"/>
      <c r="B8133" s="1136"/>
      <c r="C8133" s="1138"/>
    </row>
    <row r="8134" spans="1:3">
      <c r="A8134" s="1133"/>
      <c r="B8134" s="1136"/>
      <c r="C8134" s="1138"/>
    </row>
    <row r="8135" spans="1:3">
      <c r="A8135" s="1133"/>
      <c r="B8135" s="1136"/>
      <c r="C8135" s="1138"/>
    </row>
    <row r="8136" spans="1:3">
      <c r="A8136" s="1133"/>
      <c r="B8136" s="1136"/>
      <c r="C8136" s="1138"/>
    </row>
    <row r="8137" spans="1:3">
      <c r="A8137" s="1133"/>
      <c r="B8137" s="1136"/>
      <c r="C8137" s="1138"/>
    </row>
    <row r="8138" spans="1:3">
      <c r="A8138" s="1133"/>
      <c r="B8138" s="1136"/>
      <c r="C8138" s="1138"/>
    </row>
    <row r="8139" spans="1:3">
      <c r="A8139" s="1133"/>
      <c r="B8139" s="1136"/>
      <c r="C8139" s="1138"/>
    </row>
    <row r="8140" spans="1:3">
      <c r="A8140" s="1133"/>
      <c r="B8140" s="1136"/>
      <c r="C8140" s="1138"/>
    </row>
    <row r="8141" spans="1:3">
      <c r="A8141" s="1133"/>
      <c r="B8141" s="1136"/>
      <c r="C8141" s="1138"/>
    </row>
    <row r="8142" spans="1:3">
      <c r="A8142" s="1133"/>
      <c r="B8142" s="1136"/>
      <c r="C8142" s="1138"/>
    </row>
    <row r="8143" spans="1:3">
      <c r="A8143" s="1133"/>
      <c r="B8143" s="1136"/>
      <c r="C8143" s="1138"/>
    </row>
    <row r="8144" spans="1:3">
      <c r="A8144" s="1133"/>
      <c r="B8144" s="1136"/>
      <c r="C8144" s="1138"/>
    </row>
    <row r="8145" spans="1:3">
      <c r="A8145" s="1133"/>
      <c r="B8145" s="1136"/>
      <c r="C8145" s="1138"/>
    </row>
    <row r="8146" spans="1:3">
      <c r="A8146" s="1133"/>
      <c r="B8146" s="1136"/>
      <c r="C8146" s="1138"/>
    </row>
    <row r="8147" spans="1:3">
      <c r="A8147" s="1133"/>
      <c r="B8147" s="1136"/>
      <c r="C8147" s="1138"/>
    </row>
    <row r="8148" spans="1:3">
      <c r="A8148" s="1133"/>
      <c r="B8148" s="1136"/>
      <c r="C8148" s="1138"/>
    </row>
    <row r="8149" spans="1:3">
      <c r="A8149" s="1133"/>
      <c r="B8149" s="1136"/>
      <c r="C8149" s="1138"/>
    </row>
    <row r="8150" spans="1:3">
      <c r="A8150" s="1133"/>
      <c r="B8150" s="1136"/>
      <c r="C8150" s="1138"/>
    </row>
    <row r="8151" spans="1:3">
      <c r="A8151" s="1133"/>
      <c r="B8151" s="1136"/>
      <c r="C8151" s="1138"/>
    </row>
    <row r="8152" spans="1:3">
      <c r="A8152" s="1133"/>
      <c r="B8152" s="1136"/>
      <c r="C8152" s="1138"/>
    </row>
    <row r="8153" spans="1:3">
      <c r="A8153" s="1133"/>
      <c r="B8153" s="1136"/>
      <c r="C8153" s="1138"/>
    </row>
    <row r="8154" spans="1:3">
      <c r="A8154" s="1133"/>
      <c r="B8154" s="1136"/>
      <c r="C8154" s="1138"/>
    </row>
    <row r="8155" spans="1:3">
      <c r="A8155" s="1133"/>
      <c r="B8155" s="1136"/>
      <c r="C8155" s="1138"/>
    </row>
    <row r="8156" spans="1:3">
      <c r="A8156" s="1133"/>
      <c r="B8156" s="1136"/>
      <c r="C8156" s="1138"/>
    </row>
    <row r="8157" spans="1:3">
      <c r="A8157" s="1133"/>
      <c r="B8157" s="1136"/>
      <c r="C8157" s="1138"/>
    </row>
    <row r="8158" spans="1:3">
      <c r="A8158" s="1133"/>
      <c r="B8158" s="1136"/>
      <c r="C8158" s="1138"/>
    </row>
    <row r="8159" spans="1:3">
      <c r="A8159" s="1133"/>
      <c r="B8159" s="1136"/>
      <c r="C8159" s="1138"/>
    </row>
    <row r="8160" spans="1:3">
      <c r="A8160" s="1133"/>
      <c r="B8160" s="1136"/>
      <c r="C8160" s="1138"/>
    </row>
    <row r="8161" spans="1:3">
      <c r="A8161" s="1133"/>
      <c r="B8161" s="1136"/>
      <c r="C8161" s="1138"/>
    </row>
    <row r="8162" spans="1:3">
      <c r="A8162" s="1133"/>
      <c r="B8162" s="1136"/>
      <c r="C8162" s="1138"/>
    </row>
    <row r="8163" spans="1:3">
      <c r="A8163" s="1133"/>
      <c r="B8163" s="1136"/>
      <c r="C8163" s="1138"/>
    </row>
    <row r="8164" spans="1:3">
      <c r="A8164" s="1133"/>
      <c r="B8164" s="1136"/>
      <c r="C8164" s="1138"/>
    </row>
    <row r="8165" spans="1:3">
      <c r="A8165" s="1133"/>
      <c r="B8165" s="1136"/>
      <c r="C8165" s="1138"/>
    </row>
    <row r="8166" spans="1:3">
      <c r="A8166" s="1133"/>
      <c r="B8166" s="1136"/>
      <c r="C8166" s="1138"/>
    </row>
    <row r="8167" spans="1:3">
      <c r="A8167" s="1133"/>
      <c r="B8167" s="1136"/>
      <c r="C8167" s="1138"/>
    </row>
    <row r="8168" spans="1:3">
      <c r="A8168" s="1133"/>
      <c r="B8168" s="1136"/>
      <c r="C8168" s="1138"/>
    </row>
    <row r="8169" spans="1:3">
      <c r="A8169" s="1133"/>
      <c r="B8169" s="1136"/>
      <c r="C8169" s="1138"/>
    </row>
    <row r="8170" spans="1:3">
      <c r="A8170" s="1133"/>
      <c r="B8170" s="1136"/>
      <c r="C8170" s="1138"/>
    </row>
    <row r="8171" spans="1:3">
      <c r="A8171" s="1133"/>
      <c r="B8171" s="1136"/>
      <c r="C8171" s="1138"/>
    </row>
    <row r="8172" spans="1:3">
      <c r="A8172" s="1133"/>
      <c r="B8172" s="1136"/>
      <c r="C8172" s="1138"/>
    </row>
    <row r="8173" spans="1:3">
      <c r="A8173" s="1133"/>
      <c r="B8173" s="1136"/>
      <c r="C8173" s="1138"/>
    </row>
    <row r="8174" spans="1:3">
      <c r="A8174" s="1133"/>
      <c r="B8174" s="1136"/>
      <c r="C8174" s="1138"/>
    </row>
    <row r="8175" spans="1:3">
      <c r="A8175" s="1133"/>
      <c r="B8175" s="1136"/>
      <c r="C8175" s="1138"/>
    </row>
    <row r="8176" spans="1:3">
      <c r="A8176" s="1133"/>
      <c r="B8176" s="1136"/>
      <c r="C8176" s="1138"/>
    </row>
    <row r="8177" spans="1:3">
      <c r="A8177" s="1133"/>
      <c r="B8177" s="1136"/>
      <c r="C8177" s="1138"/>
    </row>
    <row r="8178" spans="1:3">
      <c r="A8178" s="1133"/>
      <c r="B8178" s="1136"/>
      <c r="C8178" s="1138"/>
    </row>
    <row r="8179" spans="1:3">
      <c r="A8179" s="1133"/>
      <c r="B8179" s="1136"/>
      <c r="C8179" s="1138"/>
    </row>
    <row r="8180" spans="1:3">
      <c r="A8180" s="1133"/>
      <c r="B8180" s="1136"/>
      <c r="C8180" s="1138"/>
    </row>
    <row r="8181" spans="1:3">
      <c r="A8181" s="1133"/>
      <c r="B8181" s="1136"/>
      <c r="C8181" s="1138"/>
    </row>
    <row r="8182" spans="1:3">
      <c r="A8182" s="1133"/>
      <c r="B8182" s="1136"/>
      <c r="C8182" s="1138"/>
    </row>
    <row r="8183" spans="1:3">
      <c r="A8183" s="1133"/>
      <c r="B8183" s="1136"/>
      <c r="C8183" s="1138"/>
    </row>
    <row r="8184" spans="1:3">
      <c r="A8184" s="1133"/>
      <c r="B8184" s="1136"/>
      <c r="C8184" s="1138"/>
    </row>
    <row r="8185" spans="1:3">
      <c r="A8185" s="1133"/>
      <c r="B8185" s="1136"/>
      <c r="C8185" s="1138"/>
    </row>
    <row r="8186" spans="1:3">
      <c r="A8186" s="1133"/>
      <c r="B8186" s="1136"/>
      <c r="C8186" s="1138"/>
    </row>
    <row r="8187" spans="1:3">
      <c r="A8187" s="1133"/>
      <c r="B8187" s="1136"/>
      <c r="C8187" s="1138"/>
    </row>
    <row r="8188" spans="1:3">
      <c r="A8188" s="1133"/>
      <c r="B8188" s="1136"/>
      <c r="C8188" s="1138"/>
    </row>
    <row r="8189" spans="1:3">
      <c r="A8189" s="1133"/>
      <c r="B8189" s="1136"/>
      <c r="C8189" s="1138"/>
    </row>
    <row r="8190" spans="1:3">
      <c r="A8190" s="1133"/>
      <c r="B8190" s="1136"/>
      <c r="C8190" s="1138"/>
    </row>
    <row r="8191" spans="1:3">
      <c r="A8191" s="1133"/>
      <c r="B8191" s="1136"/>
      <c r="C8191" s="1138"/>
    </row>
    <row r="8192" spans="1:3">
      <c r="A8192" s="1133"/>
      <c r="B8192" s="1136"/>
      <c r="C8192" s="1138"/>
    </row>
    <row r="8193" spans="1:3">
      <c r="A8193" s="1133"/>
      <c r="B8193" s="1136"/>
      <c r="C8193" s="1138"/>
    </row>
    <row r="8194" spans="1:3">
      <c r="A8194" s="1133"/>
      <c r="B8194" s="1136"/>
      <c r="C8194" s="1138"/>
    </row>
    <row r="8195" spans="1:3">
      <c r="A8195" s="1133"/>
      <c r="B8195" s="1136"/>
      <c r="C8195" s="1138"/>
    </row>
    <row r="8196" spans="1:3">
      <c r="A8196" s="1133"/>
      <c r="B8196" s="1136"/>
      <c r="C8196" s="1138"/>
    </row>
    <row r="8197" spans="1:3">
      <c r="A8197" s="1133"/>
      <c r="B8197" s="1136"/>
      <c r="C8197" s="1138"/>
    </row>
    <row r="8198" spans="1:3">
      <c r="A8198" s="1133"/>
      <c r="B8198" s="1136"/>
      <c r="C8198" s="1138"/>
    </row>
    <row r="8199" spans="1:3">
      <c r="A8199" s="1133"/>
      <c r="B8199" s="1136"/>
      <c r="C8199" s="1138"/>
    </row>
    <row r="8200" spans="1:3">
      <c r="A8200" s="1133"/>
      <c r="B8200" s="1136"/>
      <c r="C8200" s="1138"/>
    </row>
    <row r="8201" spans="1:3">
      <c r="A8201" s="1133"/>
      <c r="B8201" s="1136"/>
      <c r="C8201" s="1138"/>
    </row>
    <row r="8202" spans="1:3">
      <c r="A8202" s="1133"/>
      <c r="B8202" s="1136"/>
      <c r="C8202" s="1138"/>
    </row>
    <row r="8203" spans="1:3">
      <c r="A8203" s="1133"/>
      <c r="B8203" s="1136"/>
      <c r="C8203" s="1138"/>
    </row>
    <row r="8204" spans="1:3">
      <c r="A8204" s="1133"/>
      <c r="B8204" s="1136"/>
      <c r="C8204" s="1138"/>
    </row>
    <row r="8205" spans="1:3">
      <c r="A8205" s="1133"/>
      <c r="B8205" s="1136"/>
      <c r="C8205" s="1138"/>
    </row>
    <row r="8206" spans="1:3">
      <c r="A8206" s="1133"/>
      <c r="B8206" s="1136"/>
      <c r="C8206" s="1138"/>
    </row>
    <row r="8207" spans="1:3">
      <c r="A8207" s="1133"/>
      <c r="B8207" s="1136"/>
      <c r="C8207" s="1138"/>
    </row>
    <row r="8208" spans="1:3">
      <c r="A8208" s="1133"/>
      <c r="B8208" s="1136"/>
      <c r="C8208" s="1138"/>
    </row>
    <row r="8209" spans="1:3">
      <c r="A8209" s="1133"/>
      <c r="B8209" s="1136"/>
      <c r="C8209" s="1138"/>
    </row>
    <row r="8210" spans="1:3">
      <c r="A8210" s="1133"/>
      <c r="B8210" s="1136"/>
      <c r="C8210" s="1138"/>
    </row>
    <row r="8211" spans="1:3">
      <c r="A8211" s="1133"/>
      <c r="B8211" s="1136"/>
      <c r="C8211" s="1138"/>
    </row>
    <row r="8212" spans="1:3">
      <c r="A8212" s="1133"/>
      <c r="B8212" s="1136"/>
      <c r="C8212" s="1138"/>
    </row>
    <row r="8213" spans="1:3">
      <c r="A8213" s="1133"/>
      <c r="B8213" s="1136"/>
      <c r="C8213" s="1138"/>
    </row>
    <row r="8214" spans="1:3">
      <c r="A8214" s="1133"/>
      <c r="B8214" s="1136"/>
      <c r="C8214" s="1138"/>
    </row>
    <row r="8215" spans="1:3">
      <c r="A8215" s="1133"/>
      <c r="B8215" s="1136"/>
      <c r="C8215" s="1138"/>
    </row>
    <row r="8216" spans="1:3">
      <c r="A8216" s="1133"/>
      <c r="B8216" s="1136"/>
      <c r="C8216" s="1138"/>
    </row>
    <row r="8217" spans="1:3">
      <c r="A8217" s="1133"/>
      <c r="B8217" s="1136"/>
      <c r="C8217" s="1138"/>
    </row>
    <row r="8218" spans="1:3">
      <c r="A8218" s="1133"/>
      <c r="B8218" s="1136"/>
      <c r="C8218" s="1138"/>
    </row>
    <row r="8219" spans="1:3">
      <c r="A8219" s="1133"/>
      <c r="B8219" s="1136"/>
      <c r="C8219" s="1138"/>
    </row>
    <row r="8220" spans="1:3">
      <c r="A8220" s="1133"/>
      <c r="B8220" s="1136"/>
      <c r="C8220" s="1138"/>
    </row>
    <row r="8221" spans="1:3">
      <c r="A8221" s="1133"/>
      <c r="B8221" s="1136"/>
      <c r="C8221" s="1138"/>
    </row>
    <row r="8222" spans="1:3">
      <c r="A8222" s="1133"/>
      <c r="B8222" s="1136"/>
      <c r="C8222" s="1138"/>
    </row>
    <row r="8223" spans="1:3">
      <c r="A8223" s="1133"/>
      <c r="B8223" s="1136"/>
      <c r="C8223" s="1138"/>
    </row>
    <row r="8224" spans="1:3">
      <c r="A8224" s="1133"/>
      <c r="B8224" s="1136"/>
      <c r="C8224" s="1138"/>
    </row>
    <row r="8225" spans="1:3">
      <c r="A8225" s="1133"/>
      <c r="B8225" s="1136"/>
      <c r="C8225" s="1138"/>
    </row>
    <row r="8226" spans="1:3">
      <c r="A8226" s="1133"/>
      <c r="B8226" s="1136"/>
      <c r="C8226" s="1138"/>
    </row>
    <row r="8227" spans="1:3">
      <c r="A8227" s="1133"/>
      <c r="B8227" s="1136"/>
      <c r="C8227" s="1138"/>
    </row>
    <row r="8228" spans="1:3">
      <c r="A8228" s="1133"/>
      <c r="B8228" s="1136"/>
      <c r="C8228" s="1138"/>
    </row>
    <row r="8229" spans="1:3">
      <c r="A8229" s="1133"/>
      <c r="B8229" s="1136"/>
      <c r="C8229" s="1138"/>
    </row>
    <row r="8230" spans="1:3">
      <c r="A8230" s="1133"/>
      <c r="B8230" s="1136"/>
      <c r="C8230" s="1138"/>
    </row>
    <row r="8231" spans="1:3">
      <c r="A8231" s="1133"/>
      <c r="B8231" s="1136"/>
      <c r="C8231" s="1138"/>
    </row>
    <row r="8232" spans="1:3">
      <c r="A8232" s="1133"/>
      <c r="B8232" s="1136"/>
      <c r="C8232" s="1138"/>
    </row>
    <row r="8233" spans="1:3">
      <c r="A8233" s="1133"/>
      <c r="B8233" s="1136"/>
      <c r="C8233" s="1138"/>
    </row>
    <row r="8234" spans="1:3">
      <c r="A8234" s="1133"/>
      <c r="B8234" s="1136"/>
      <c r="C8234" s="1138"/>
    </row>
    <row r="8235" spans="1:3">
      <c r="A8235" s="1133"/>
      <c r="B8235" s="1136"/>
      <c r="C8235" s="1138"/>
    </row>
    <row r="8236" spans="1:3">
      <c r="A8236" s="1133"/>
      <c r="B8236" s="1136"/>
      <c r="C8236" s="1138"/>
    </row>
    <row r="8237" spans="1:3">
      <c r="A8237" s="1133"/>
      <c r="B8237" s="1136"/>
      <c r="C8237" s="1138"/>
    </row>
    <row r="8238" spans="1:3">
      <c r="A8238" s="1133"/>
      <c r="B8238" s="1136"/>
      <c r="C8238" s="1138"/>
    </row>
    <row r="8239" spans="1:3">
      <c r="A8239" s="1133"/>
      <c r="B8239" s="1136"/>
      <c r="C8239" s="1138"/>
    </row>
    <row r="8240" spans="1:3">
      <c r="A8240" s="1133"/>
      <c r="B8240" s="1136"/>
      <c r="C8240" s="1138"/>
    </row>
    <row r="8241" spans="1:3">
      <c r="A8241" s="1133"/>
      <c r="B8241" s="1136"/>
      <c r="C8241" s="1138"/>
    </row>
    <row r="8242" spans="1:3">
      <c r="A8242" s="1133"/>
      <c r="B8242" s="1136"/>
      <c r="C8242" s="1138"/>
    </row>
    <row r="8243" spans="1:3">
      <c r="A8243" s="1133"/>
      <c r="B8243" s="1136"/>
      <c r="C8243" s="1138"/>
    </row>
    <row r="8244" spans="1:3">
      <c r="A8244" s="1133"/>
      <c r="B8244" s="1136"/>
      <c r="C8244" s="1138"/>
    </row>
    <row r="8245" spans="1:3">
      <c r="A8245" s="1133"/>
      <c r="B8245" s="1136"/>
      <c r="C8245" s="1138"/>
    </row>
    <row r="8246" spans="1:3">
      <c r="A8246" s="1133"/>
      <c r="B8246" s="1136"/>
      <c r="C8246" s="1138"/>
    </row>
    <row r="8247" spans="1:3">
      <c r="A8247" s="1133"/>
      <c r="B8247" s="1136"/>
      <c r="C8247" s="1138"/>
    </row>
    <row r="8248" spans="1:3">
      <c r="A8248" s="1133"/>
      <c r="B8248" s="1136"/>
      <c r="C8248" s="1138"/>
    </row>
    <row r="8249" spans="1:3">
      <c r="A8249" s="1133"/>
      <c r="B8249" s="1136"/>
      <c r="C8249" s="1138"/>
    </row>
    <row r="8250" spans="1:3">
      <c r="A8250" s="1133"/>
      <c r="B8250" s="1136"/>
      <c r="C8250" s="1138"/>
    </row>
    <row r="8251" spans="1:3">
      <c r="A8251" s="1133"/>
      <c r="B8251" s="1136"/>
      <c r="C8251" s="1138"/>
    </row>
    <row r="8252" spans="1:3">
      <c r="A8252" s="1133"/>
      <c r="B8252" s="1136"/>
      <c r="C8252" s="1138"/>
    </row>
    <row r="8253" spans="1:3">
      <c r="A8253" s="1133"/>
      <c r="B8253" s="1136"/>
      <c r="C8253" s="1138"/>
    </row>
    <row r="8254" spans="1:3">
      <c r="A8254" s="1133"/>
      <c r="B8254" s="1136"/>
      <c r="C8254" s="1138"/>
    </row>
    <row r="8255" spans="1:3">
      <c r="A8255" s="1133"/>
      <c r="B8255" s="1136"/>
      <c r="C8255" s="1138"/>
    </row>
    <row r="8256" spans="1:3">
      <c r="A8256" s="1133"/>
      <c r="B8256" s="1136"/>
      <c r="C8256" s="1138"/>
    </row>
    <row r="8257" spans="1:3">
      <c r="A8257" s="1133"/>
      <c r="B8257" s="1136"/>
      <c r="C8257" s="1138"/>
    </row>
    <row r="8258" spans="1:3">
      <c r="A8258" s="1133"/>
      <c r="B8258" s="1136"/>
      <c r="C8258" s="1138"/>
    </row>
    <row r="8259" spans="1:3">
      <c r="A8259" s="1133"/>
      <c r="B8259" s="1136"/>
      <c r="C8259" s="1138"/>
    </row>
    <row r="8260" spans="1:3">
      <c r="A8260" s="1133"/>
      <c r="B8260" s="1136"/>
      <c r="C8260" s="1138"/>
    </row>
    <row r="8261" spans="1:3">
      <c r="A8261" s="1133"/>
      <c r="B8261" s="1136"/>
      <c r="C8261" s="1138"/>
    </row>
    <row r="8262" spans="1:3">
      <c r="A8262" s="1133"/>
      <c r="B8262" s="1136"/>
      <c r="C8262" s="1138"/>
    </row>
    <row r="8263" spans="1:3">
      <c r="A8263" s="1133"/>
      <c r="B8263" s="1136"/>
      <c r="C8263" s="1138"/>
    </row>
    <row r="8264" spans="1:3">
      <c r="A8264" s="1133"/>
      <c r="B8264" s="1136"/>
      <c r="C8264" s="1138"/>
    </row>
    <row r="8265" spans="1:3">
      <c r="A8265" s="1133"/>
      <c r="B8265" s="1136"/>
      <c r="C8265" s="1138"/>
    </row>
    <row r="8266" spans="1:3">
      <c r="A8266" s="1133"/>
      <c r="B8266" s="1136"/>
      <c r="C8266" s="1138"/>
    </row>
    <row r="8267" spans="1:3">
      <c r="A8267" s="1133"/>
      <c r="B8267" s="1136"/>
      <c r="C8267" s="1138"/>
    </row>
    <row r="8268" spans="1:3">
      <c r="A8268" s="1133"/>
      <c r="B8268" s="1136"/>
      <c r="C8268" s="1138"/>
    </row>
    <row r="8269" spans="1:3">
      <c r="A8269" s="1133"/>
      <c r="B8269" s="1136"/>
      <c r="C8269" s="1138"/>
    </row>
    <row r="8270" spans="1:3">
      <c r="A8270" s="1133"/>
      <c r="B8270" s="1136"/>
      <c r="C8270" s="1138"/>
    </row>
    <row r="8271" spans="1:3">
      <c r="A8271" s="1133"/>
      <c r="B8271" s="1136"/>
      <c r="C8271" s="1138"/>
    </row>
    <row r="8272" spans="1:3">
      <c r="A8272" s="1133"/>
      <c r="B8272" s="1136"/>
      <c r="C8272" s="1138"/>
    </row>
    <row r="8273" spans="1:3">
      <c r="A8273" s="1133"/>
      <c r="B8273" s="1136"/>
      <c r="C8273" s="1138"/>
    </row>
    <row r="8274" spans="1:3">
      <c r="A8274" s="1133"/>
      <c r="B8274" s="1136"/>
      <c r="C8274" s="1138"/>
    </row>
    <row r="8275" spans="1:3">
      <c r="A8275" s="1133"/>
      <c r="B8275" s="1136"/>
      <c r="C8275" s="1138"/>
    </row>
    <row r="8276" spans="1:3">
      <c r="A8276" s="1133"/>
      <c r="B8276" s="1136"/>
      <c r="C8276" s="1138"/>
    </row>
    <row r="8277" spans="1:3">
      <c r="A8277" s="1133"/>
      <c r="B8277" s="1136"/>
      <c r="C8277" s="1138"/>
    </row>
    <row r="8278" spans="1:3">
      <c r="A8278" s="1133"/>
      <c r="B8278" s="1136"/>
      <c r="C8278" s="1138"/>
    </row>
    <row r="8279" spans="1:3">
      <c r="A8279" s="1133"/>
      <c r="B8279" s="1136"/>
      <c r="C8279" s="1138"/>
    </row>
    <row r="8280" spans="1:3">
      <c r="A8280" s="1133"/>
      <c r="B8280" s="1136"/>
      <c r="C8280" s="1138"/>
    </row>
    <row r="8281" spans="1:3">
      <c r="A8281" s="1133"/>
      <c r="B8281" s="1136"/>
      <c r="C8281" s="1138"/>
    </row>
    <row r="8282" spans="1:3">
      <c r="A8282" s="1133"/>
      <c r="B8282" s="1136"/>
      <c r="C8282" s="1138"/>
    </row>
    <row r="8283" spans="1:3">
      <c r="A8283" s="1133"/>
      <c r="B8283" s="1136"/>
      <c r="C8283" s="1138"/>
    </row>
    <row r="8284" spans="1:3">
      <c r="A8284" s="1133"/>
      <c r="B8284" s="1136"/>
      <c r="C8284" s="1138"/>
    </row>
    <row r="8285" spans="1:3">
      <c r="A8285" s="1133"/>
      <c r="B8285" s="1136"/>
      <c r="C8285" s="1138"/>
    </row>
    <row r="8286" spans="1:3">
      <c r="A8286" s="1133"/>
      <c r="B8286" s="1136"/>
      <c r="C8286" s="1138"/>
    </row>
    <row r="8287" spans="1:3">
      <c r="A8287" s="1133"/>
      <c r="B8287" s="1136"/>
      <c r="C8287" s="1138"/>
    </row>
    <row r="8288" spans="1:3">
      <c r="A8288" s="1133"/>
      <c r="B8288" s="1136"/>
      <c r="C8288" s="1138"/>
    </row>
    <row r="8289" spans="1:3">
      <c r="A8289" s="1133"/>
      <c r="B8289" s="1136"/>
      <c r="C8289" s="1138"/>
    </row>
    <row r="8290" spans="1:3">
      <c r="A8290" s="1133"/>
      <c r="B8290" s="1136"/>
      <c r="C8290" s="1138"/>
    </row>
    <row r="8291" spans="1:3">
      <c r="A8291" s="1133"/>
      <c r="B8291" s="1136"/>
      <c r="C8291" s="1138"/>
    </row>
    <row r="8292" spans="1:3">
      <c r="A8292" s="1133"/>
      <c r="B8292" s="1136"/>
      <c r="C8292" s="1138"/>
    </row>
    <row r="8293" spans="1:3">
      <c r="A8293" s="1133"/>
      <c r="B8293" s="1136"/>
      <c r="C8293" s="1138"/>
    </row>
    <row r="8294" spans="1:3">
      <c r="A8294" s="1133"/>
      <c r="B8294" s="1136"/>
      <c r="C8294" s="1138"/>
    </row>
    <row r="8295" spans="1:3">
      <c r="A8295" s="1133"/>
      <c r="B8295" s="1136"/>
      <c r="C8295" s="1138"/>
    </row>
    <row r="8296" spans="1:3">
      <c r="A8296" s="1133"/>
      <c r="B8296" s="1136"/>
      <c r="C8296" s="1138"/>
    </row>
    <row r="8297" spans="1:3">
      <c r="A8297" s="1133"/>
      <c r="B8297" s="1136"/>
      <c r="C8297" s="1138"/>
    </row>
    <row r="8298" spans="1:3">
      <c r="A8298" s="1133"/>
      <c r="B8298" s="1136"/>
      <c r="C8298" s="1138"/>
    </row>
    <row r="8299" spans="1:3">
      <c r="A8299" s="1133"/>
      <c r="B8299" s="1136"/>
      <c r="C8299" s="1138"/>
    </row>
    <row r="8300" spans="1:3">
      <c r="A8300" s="1133"/>
      <c r="B8300" s="1136"/>
      <c r="C8300" s="1138"/>
    </row>
    <row r="8301" spans="1:3">
      <c r="A8301" s="1133"/>
      <c r="B8301" s="1136"/>
      <c r="C8301" s="1138"/>
    </row>
    <row r="8302" spans="1:3">
      <c r="A8302" s="1133"/>
      <c r="B8302" s="1136"/>
      <c r="C8302" s="1138"/>
    </row>
    <row r="8303" spans="1:3">
      <c r="A8303" s="1133"/>
      <c r="B8303" s="1136"/>
      <c r="C8303" s="1138"/>
    </row>
    <row r="8304" spans="1:3">
      <c r="A8304" s="1133"/>
      <c r="B8304" s="1136"/>
      <c r="C8304" s="1138"/>
    </row>
    <row r="8305" spans="1:3">
      <c r="A8305" s="1133"/>
      <c r="B8305" s="1136"/>
      <c r="C8305" s="1138"/>
    </row>
    <row r="8306" spans="1:3">
      <c r="A8306" s="1133"/>
      <c r="B8306" s="1136"/>
      <c r="C8306" s="1138"/>
    </row>
    <row r="8307" spans="1:3">
      <c r="A8307" s="1133"/>
      <c r="B8307" s="1136"/>
      <c r="C8307" s="1138"/>
    </row>
    <row r="8308" spans="1:3">
      <c r="A8308" s="1133"/>
      <c r="B8308" s="1136"/>
      <c r="C8308" s="1138"/>
    </row>
    <row r="8309" spans="1:3">
      <c r="A8309" s="1133"/>
      <c r="B8309" s="1136"/>
      <c r="C8309" s="1138"/>
    </row>
    <row r="8310" spans="1:3">
      <c r="A8310" s="1133"/>
      <c r="B8310" s="1136"/>
      <c r="C8310" s="1138"/>
    </row>
    <row r="8311" spans="1:3">
      <c r="A8311" s="1133"/>
      <c r="B8311" s="1136"/>
      <c r="C8311" s="1138"/>
    </row>
    <row r="8312" spans="1:3">
      <c r="A8312" s="1133"/>
      <c r="B8312" s="1136"/>
      <c r="C8312" s="1138"/>
    </row>
    <row r="8313" spans="1:3">
      <c r="A8313" s="1133"/>
      <c r="B8313" s="1136"/>
      <c r="C8313" s="1138"/>
    </row>
    <row r="8314" spans="1:3">
      <c r="A8314" s="1133"/>
      <c r="B8314" s="1136"/>
      <c r="C8314" s="1138"/>
    </row>
    <row r="8315" spans="1:3">
      <c r="A8315" s="1133"/>
      <c r="B8315" s="1136"/>
      <c r="C8315" s="1138"/>
    </row>
    <row r="8316" spans="1:3">
      <c r="A8316" s="1133"/>
      <c r="B8316" s="1136"/>
      <c r="C8316" s="1138"/>
    </row>
    <row r="8317" spans="1:3">
      <c r="A8317" s="1133"/>
      <c r="B8317" s="1136"/>
      <c r="C8317" s="1138"/>
    </row>
    <row r="8318" spans="1:3">
      <c r="A8318" s="1133"/>
      <c r="B8318" s="1136"/>
      <c r="C8318" s="1138"/>
    </row>
    <row r="8319" spans="1:3">
      <c r="A8319" s="1133"/>
      <c r="B8319" s="1136"/>
      <c r="C8319" s="1138"/>
    </row>
    <row r="8320" spans="1:3">
      <c r="A8320" s="1133"/>
      <c r="B8320" s="1136"/>
      <c r="C8320" s="1138"/>
    </row>
    <row r="8321" spans="1:3">
      <c r="A8321" s="1133"/>
      <c r="B8321" s="1136"/>
      <c r="C8321" s="1138"/>
    </row>
    <row r="8322" spans="1:3">
      <c r="A8322" s="1133"/>
      <c r="B8322" s="1136"/>
      <c r="C8322" s="1138"/>
    </row>
    <row r="8323" spans="1:3">
      <c r="A8323" s="1133"/>
      <c r="B8323" s="1136"/>
      <c r="C8323" s="1138"/>
    </row>
    <row r="8324" spans="1:3">
      <c r="A8324" s="1133"/>
      <c r="B8324" s="1136"/>
      <c r="C8324" s="1138"/>
    </row>
    <row r="8325" spans="1:3">
      <c r="A8325" s="1133"/>
      <c r="B8325" s="1136"/>
      <c r="C8325" s="1138"/>
    </row>
    <row r="8326" spans="1:3">
      <c r="A8326" s="1133"/>
      <c r="B8326" s="1136"/>
      <c r="C8326" s="1138"/>
    </row>
    <row r="8327" spans="1:3">
      <c r="A8327" s="1133"/>
      <c r="B8327" s="1136"/>
      <c r="C8327" s="1138"/>
    </row>
    <row r="8328" spans="1:3">
      <c r="A8328" s="1133"/>
      <c r="B8328" s="1136"/>
      <c r="C8328" s="1138"/>
    </row>
    <row r="8329" spans="1:3">
      <c r="A8329" s="1133"/>
      <c r="B8329" s="1136"/>
      <c r="C8329" s="1138"/>
    </row>
    <row r="8330" spans="1:3">
      <c r="A8330" s="1133"/>
      <c r="B8330" s="1136"/>
      <c r="C8330" s="1138"/>
    </row>
    <row r="8331" spans="1:3">
      <c r="A8331" s="1133"/>
      <c r="B8331" s="1136"/>
      <c r="C8331" s="1138"/>
    </row>
    <row r="8332" spans="1:3">
      <c r="A8332" s="1133"/>
      <c r="B8332" s="1136"/>
      <c r="C8332" s="1138"/>
    </row>
    <row r="8333" spans="1:3">
      <c r="A8333" s="1133"/>
      <c r="B8333" s="1136"/>
      <c r="C8333" s="1138"/>
    </row>
    <row r="8334" spans="1:3">
      <c r="A8334" s="1133"/>
      <c r="B8334" s="1136"/>
      <c r="C8334" s="1138"/>
    </row>
    <row r="8335" spans="1:3">
      <c r="A8335" s="1133"/>
      <c r="B8335" s="1136"/>
      <c r="C8335" s="1138"/>
    </row>
    <row r="8336" spans="1:3">
      <c r="A8336" s="1133"/>
      <c r="B8336" s="1136"/>
      <c r="C8336" s="1138"/>
    </row>
    <row r="8337" spans="1:3">
      <c r="A8337" s="1133"/>
      <c r="B8337" s="1136"/>
      <c r="C8337" s="1138"/>
    </row>
    <row r="8338" spans="1:3">
      <c r="A8338" s="1133"/>
      <c r="B8338" s="1136"/>
      <c r="C8338" s="1138"/>
    </row>
    <row r="8339" spans="1:3">
      <c r="A8339" s="1133"/>
      <c r="B8339" s="1136"/>
      <c r="C8339" s="1138"/>
    </row>
    <row r="8340" spans="1:3">
      <c r="A8340" s="1133"/>
      <c r="B8340" s="1136"/>
      <c r="C8340" s="1138"/>
    </row>
    <row r="8341" spans="1:3">
      <c r="A8341" s="1133"/>
      <c r="B8341" s="1136"/>
      <c r="C8341" s="1138"/>
    </row>
    <row r="8342" spans="1:3">
      <c r="A8342" s="1133"/>
      <c r="B8342" s="1136"/>
      <c r="C8342" s="1138"/>
    </row>
    <row r="8343" spans="1:3">
      <c r="A8343" s="1133"/>
      <c r="B8343" s="1136"/>
      <c r="C8343" s="1138"/>
    </row>
    <row r="8344" spans="1:3">
      <c r="A8344" s="1133"/>
      <c r="B8344" s="1136"/>
      <c r="C8344" s="1138"/>
    </row>
    <row r="8345" spans="1:3">
      <c r="A8345" s="1133"/>
      <c r="B8345" s="1136"/>
      <c r="C8345" s="1138"/>
    </row>
    <row r="8346" spans="1:3">
      <c r="A8346" s="1133"/>
      <c r="B8346" s="1136"/>
      <c r="C8346" s="1138"/>
    </row>
    <row r="8347" spans="1:3">
      <c r="A8347" s="1133"/>
      <c r="B8347" s="1136"/>
      <c r="C8347" s="1138"/>
    </row>
    <row r="8348" spans="1:3">
      <c r="A8348" s="1133"/>
      <c r="B8348" s="1136"/>
      <c r="C8348" s="1138"/>
    </row>
    <row r="8349" spans="1:3">
      <c r="A8349" s="1133"/>
      <c r="B8349" s="1136"/>
      <c r="C8349" s="1138"/>
    </row>
    <row r="8350" spans="1:3">
      <c r="A8350" s="1133"/>
      <c r="B8350" s="1136"/>
      <c r="C8350" s="1138"/>
    </row>
    <row r="8351" spans="1:3">
      <c r="A8351" s="1133"/>
      <c r="B8351" s="1136"/>
      <c r="C8351" s="1138"/>
    </row>
    <row r="8352" spans="1:3">
      <c r="A8352" s="1133"/>
      <c r="B8352" s="1136"/>
      <c r="C8352" s="1138"/>
    </row>
    <row r="8353" spans="1:3">
      <c r="A8353" s="1133"/>
      <c r="B8353" s="1136"/>
      <c r="C8353" s="1138"/>
    </row>
    <row r="8354" spans="1:3">
      <c r="A8354" s="1133"/>
      <c r="B8354" s="1136"/>
      <c r="C8354" s="1138"/>
    </row>
    <row r="8355" spans="1:3">
      <c r="A8355" s="1133"/>
      <c r="B8355" s="1136"/>
      <c r="C8355" s="1138"/>
    </row>
    <row r="8356" spans="1:3">
      <c r="A8356" s="1133"/>
      <c r="B8356" s="1136"/>
      <c r="C8356" s="1138"/>
    </row>
    <row r="8357" spans="1:3">
      <c r="A8357" s="1133"/>
      <c r="B8357" s="1136"/>
      <c r="C8357" s="1138"/>
    </row>
    <row r="8358" spans="1:3">
      <c r="A8358" s="1133"/>
      <c r="B8358" s="1136"/>
      <c r="C8358" s="1138"/>
    </row>
    <row r="8359" spans="1:3">
      <c r="A8359" s="1133"/>
      <c r="B8359" s="1136"/>
      <c r="C8359" s="1138"/>
    </row>
    <row r="8360" spans="1:3">
      <c r="A8360" s="1133"/>
      <c r="B8360" s="1136"/>
      <c r="C8360" s="1138"/>
    </row>
    <row r="8361" spans="1:3">
      <c r="A8361" s="1133"/>
      <c r="B8361" s="1136"/>
      <c r="C8361" s="1138"/>
    </row>
    <row r="8362" spans="1:3">
      <c r="A8362" s="1133"/>
      <c r="B8362" s="1136"/>
      <c r="C8362" s="1138"/>
    </row>
    <row r="8363" spans="1:3">
      <c r="A8363" s="1133"/>
      <c r="B8363" s="1136"/>
      <c r="C8363" s="1138"/>
    </row>
    <row r="8364" spans="1:3">
      <c r="A8364" s="1133"/>
      <c r="B8364" s="1136"/>
      <c r="C8364" s="1138"/>
    </row>
    <row r="8365" spans="1:3">
      <c r="A8365" s="1133"/>
      <c r="B8365" s="1136"/>
      <c r="C8365" s="1138"/>
    </row>
    <row r="8366" spans="1:3">
      <c r="A8366" s="1133"/>
      <c r="B8366" s="1136"/>
      <c r="C8366" s="1138"/>
    </row>
    <row r="8367" spans="1:3">
      <c r="A8367" s="1133"/>
      <c r="B8367" s="1136"/>
      <c r="C8367" s="1138"/>
    </row>
    <row r="8368" spans="1:3">
      <c r="A8368" s="1133"/>
      <c r="B8368" s="1136"/>
      <c r="C8368" s="1138"/>
    </row>
    <row r="8369" spans="1:3">
      <c r="A8369" s="1133"/>
      <c r="B8369" s="1136"/>
      <c r="C8369" s="1138"/>
    </row>
    <row r="8370" spans="1:3">
      <c r="A8370" s="1133"/>
      <c r="B8370" s="1136"/>
      <c r="C8370" s="1138"/>
    </row>
    <row r="8371" spans="1:3">
      <c r="A8371" s="1133"/>
      <c r="B8371" s="1136"/>
      <c r="C8371" s="1138"/>
    </row>
    <row r="8372" spans="1:3">
      <c r="A8372" s="1133"/>
      <c r="B8372" s="1136"/>
      <c r="C8372" s="1138"/>
    </row>
    <row r="8373" spans="1:3">
      <c r="A8373" s="1133"/>
      <c r="B8373" s="1136"/>
      <c r="C8373" s="1138"/>
    </row>
    <row r="8374" spans="1:3">
      <c r="A8374" s="1133"/>
      <c r="B8374" s="1136"/>
      <c r="C8374" s="1138"/>
    </row>
    <row r="8375" spans="1:3">
      <c r="A8375" s="1133"/>
      <c r="B8375" s="1136"/>
      <c r="C8375" s="1138"/>
    </row>
    <row r="8376" spans="1:3">
      <c r="A8376" s="1133"/>
      <c r="B8376" s="1136"/>
      <c r="C8376" s="1138"/>
    </row>
    <row r="8377" spans="1:3">
      <c r="A8377" s="1133"/>
      <c r="B8377" s="1136"/>
      <c r="C8377" s="1138"/>
    </row>
    <row r="8378" spans="1:3">
      <c r="A8378" s="1133"/>
      <c r="B8378" s="1136"/>
      <c r="C8378" s="1138"/>
    </row>
    <row r="8379" spans="1:3">
      <c r="A8379" s="1133"/>
      <c r="B8379" s="1136"/>
      <c r="C8379" s="1138"/>
    </row>
    <row r="8380" spans="1:3">
      <c r="A8380" s="1133"/>
      <c r="B8380" s="1136"/>
      <c r="C8380" s="1138"/>
    </row>
    <row r="8381" spans="1:3">
      <c r="A8381" s="1133"/>
      <c r="B8381" s="1136"/>
      <c r="C8381" s="1138"/>
    </row>
    <row r="8382" spans="1:3">
      <c r="A8382" s="1133"/>
      <c r="B8382" s="1136"/>
      <c r="C8382" s="1138"/>
    </row>
    <row r="8383" spans="1:3">
      <c r="A8383" s="1133"/>
      <c r="B8383" s="1136"/>
      <c r="C8383" s="1138"/>
    </row>
    <row r="8384" spans="1:3">
      <c r="A8384" s="1133"/>
      <c r="B8384" s="1136"/>
      <c r="C8384" s="1138"/>
    </row>
    <row r="8385" spans="1:3">
      <c r="A8385" s="1133"/>
      <c r="B8385" s="1136"/>
      <c r="C8385" s="1138"/>
    </row>
    <row r="8386" spans="1:3">
      <c r="A8386" s="1133"/>
      <c r="B8386" s="1136"/>
      <c r="C8386" s="1138"/>
    </row>
    <row r="8387" spans="1:3">
      <c r="A8387" s="1133"/>
      <c r="B8387" s="1136"/>
      <c r="C8387" s="1138"/>
    </row>
    <row r="8388" spans="1:3">
      <c r="A8388" s="1133"/>
      <c r="B8388" s="1136"/>
      <c r="C8388" s="1138"/>
    </row>
    <row r="8389" spans="1:3">
      <c r="A8389" s="1133"/>
      <c r="B8389" s="1136"/>
      <c r="C8389" s="1138"/>
    </row>
    <row r="8390" spans="1:3">
      <c r="A8390" s="1133"/>
      <c r="B8390" s="1136"/>
      <c r="C8390" s="1138"/>
    </row>
    <row r="8391" spans="1:3">
      <c r="A8391" s="1133"/>
      <c r="B8391" s="1136"/>
      <c r="C8391" s="1138"/>
    </row>
    <row r="8392" spans="1:3">
      <c r="A8392" s="1133"/>
      <c r="B8392" s="1136"/>
      <c r="C8392" s="1138"/>
    </row>
    <row r="8393" spans="1:3">
      <c r="A8393" s="1133"/>
      <c r="B8393" s="1136"/>
      <c r="C8393" s="1138"/>
    </row>
    <row r="8394" spans="1:3">
      <c r="A8394" s="1133"/>
      <c r="B8394" s="1136"/>
      <c r="C8394" s="1138"/>
    </row>
    <row r="8395" spans="1:3">
      <c r="A8395" s="1133"/>
      <c r="B8395" s="1136"/>
      <c r="C8395" s="1138"/>
    </row>
    <row r="8396" spans="1:3">
      <c r="A8396" s="1133"/>
      <c r="B8396" s="1136"/>
      <c r="C8396" s="1138"/>
    </row>
    <row r="8397" spans="1:3">
      <c r="A8397" s="1133"/>
      <c r="B8397" s="1136"/>
      <c r="C8397" s="1138"/>
    </row>
    <row r="8398" spans="1:3">
      <c r="A8398" s="1133"/>
      <c r="B8398" s="1136"/>
      <c r="C8398" s="1138"/>
    </row>
    <row r="8399" spans="1:3">
      <c r="A8399" s="1133"/>
      <c r="B8399" s="1136"/>
      <c r="C8399" s="1138"/>
    </row>
    <row r="8400" spans="1:3">
      <c r="A8400" s="1133"/>
      <c r="B8400" s="1136"/>
      <c r="C8400" s="1138"/>
    </row>
    <row r="8401" spans="1:3">
      <c r="A8401" s="1133"/>
      <c r="B8401" s="1136"/>
      <c r="C8401" s="1138"/>
    </row>
    <row r="8402" spans="1:3">
      <c r="A8402" s="1133"/>
      <c r="B8402" s="1136"/>
      <c r="C8402" s="1138"/>
    </row>
    <row r="8403" spans="1:3">
      <c r="A8403" s="1133"/>
      <c r="B8403" s="1136"/>
      <c r="C8403" s="1138"/>
    </row>
    <row r="8404" spans="1:3">
      <c r="A8404" s="1133"/>
      <c r="B8404" s="1136"/>
      <c r="C8404" s="1138"/>
    </row>
    <row r="8405" spans="1:3">
      <c r="A8405" s="1133"/>
      <c r="B8405" s="1136"/>
      <c r="C8405" s="1138"/>
    </row>
    <row r="8406" spans="1:3">
      <c r="A8406" s="1133"/>
      <c r="B8406" s="1136"/>
      <c r="C8406" s="1138"/>
    </row>
    <row r="8407" spans="1:3">
      <c r="A8407" s="1133"/>
      <c r="B8407" s="1136"/>
      <c r="C8407" s="1138"/>
    </row>
    <row r="8408" spans="1:3">
      <c r="A8408" s="1133"/>
      <c r="B8408" s="1136"/>
      <c r="C8408" s="1138"/>
    </row>
    <row r="8409" spans="1:3">
      <c r="A8409" s="1133"/>
      <c r="B8409" s="1136"/>
      <c r="C8409" s="1138"/>
    </row>
    <row r="8410" spans="1:3">
      <c r="A8410" s="1133"/>
      <c r="B8410" s="1136"/>
      <c r="C8410" s="1138"/>
    </row>
    <row r="8411" spans="1:3">
      <c r="A8411" s="1133"/>
      <c r="B8411" s="1136"/>
      <c r="C8411" s="1138"/>
    </row>
    <row r="8412" spans="1:3">
      <c r="A8412" s="1133"/>
      <c r="B8412" s="1136"/>
      <c r="C8412" s="1138"/>
    </row>
    <row r="8413" spans="1:3">
      <c r="A8413" s="1133"/>
      <c r="B8413" s="1136"/>
      <c r="C8413" s="1138"/>
    </row>
    <row r="8414" spans="1:3">
      <c r="A8414" s="1133"/>
      <c r="B8414" s="1136"/>
      <c r="C8414" s="1138"/>
    </row>
    <row r="8415" spans="1:3">
      <c r="A8415" s="1133"/>
      <c r="B8415" s="1136"/>
      <c r="C8415" s="1138"/>
    </row>
    <row r="8416" spans="1:3">
      <c r="A8416" s="1133"/>
      <c r="B8416" s="1136"/>
      <c r="C8416" s="1138"/>
    </row>
    <row r="8417" spans="1:3">
      <c r="A8417" s="1133"/>
      <c r="B8417" s="1136"/>
      <c r="C8417" s="1138"/>
    </row>
    <row r="8418" spans="1:3">
      <c r="A8418" s="1133"/>
      <c r="B8418" s="1136"/>
      <c r="C8418" s="1138"/>
    </row>
    <row r="8419" spans="1:3">
      <c r="A8419" s="1133"/>
      <c r="B8419" s="1136"/>
      <c r="C8419" s="1138"/>
    </row>
    <row r="8420" spans="1:3">
      <c r="A8420" s="1133"/>
      <c r="B8420" s="1136"/>
      <c r="C8420" s="1138"/>
    </row>
    <row r="8421" spans="1:3">
      <c r="A8421" s="1133"/>
      <c r="B8421" s="1136"/>
      <c r="C8421" s="1138"/>
    </row>
    <row r="8422" spans="1:3">
      <c r="A8422" s="1133"/>
      <c r="B8422" s="1136"/>
      <c r="C8422" s="1138"/>
    </row>
    <row r="8423" spans="1:3">
      <c r="A8423" s="1133"/>
      <c r="B8423" s="1136"/>
      <c r="C8423" s="1138"/>
    </row>
    <row r="8424" spans="1:3">
      <c r="A8424" s="1133"/>
      <c r="B8424" s="1136"/>
      <c r="C8424" s="1138"/>
    </row>
    <row r="8425" spans="1:3">
      <c r="A8425" s="1133"/>
      <c r="B8425" s="1136"/>
      <c r="C8425" s="1138"/>
    </row>
    <row r="8426" spans="1:3">
      <c r="A8426" s="1133"/>
      <c r="B8426" s="1136"/>
      <c r="C8426" s="1138"/>
    </row>
    <row r="8427" spans="1:3">
      <c r="A8427" s="1133"/>
      <c r="B8427" s="1136"/>
      <c r="C8427" s="1138"/>
    </row>
    <row r="8428" spans="1:3">
      <c r="A8428" s="1133"/>
      <c r="B8428" s="1136"/>
      <c r="C8428" s="1138"/>
    </row>
    <row r="8429" spans="1:3">
      <c r="A8429" s="1133"/>
      <c r="B8429" s="1136"/>
      <c r="C8429" s="1138"/>
    </row>
    <row r="8430" spans="1:3">
      <c r="A8430" s="1133"/>
      <c r="B8430" s="1136"/>
      <c r="C8430" s="1138"/>
    </row>
    <row r="8431" spans="1:3">
      <c r="A8431" s="1133"/>
      <c r="B8431" s="1136"/>
      <c r="C8431" s="1138"/>
    </row>
    <row r="8432" spans="1:3">
      <c r="A8432" s="1133"/>
      <c r="B8432" s="1136"/>
      <c r="C8432" s="1138"/>
    </row>
    <row r="8433" spans="1:3">
      <c r="A8433" s="1133"/>
      <c r="B8433" s="1136"/>
      <c r="C8433" s="1138"/>
    </row>
    <row r="8434" spans="1:3">
      <c r="A8434" s="1133"/>
      <c r="B8434" s="1136"/>
      <c r="C8434" s="1138"/>
    </row>
    <row r="8435" spans="1:3">
      <c r="A8435" s="1133"/>
      <c r="B8435" s="1136"/>
      <c r="C8435" s="1138"/>
    </row>
    <row r="8436" spans="1:3">
      <c r="A8436" s="1133"/>
      <c r="B8436" s="1136"/>
      <c r="C8436" s="1138"/>
    </row>
    <row r="8437" spans="1:3">
      <c r="A8437" s="1133"/>
      <c r="B8437" s="1136"/>
      <c r="C8437" s="1138"/>
    </row>
    <row r="8438" spans="1:3">
      <c r="A8438" s="1133"/>
      <c r="B8438" s="1136"/>
      <c r="C8438" s="1138"/>
    </row>
    <row r="8439" spans="1:3">
      <c r="A8439" s="1133"/>
      <c r="B8439" s="1136"/>
      <c r="C8439" s="1138"/>
    </row>
    <row r="8440" spans="1:3">
      <c r="A8440" s="1133"/>
      <c r="B8440" s="1136"/>
      <c r="C8440" s="1138"/>
    </row>
    <row r="8441" spans="1:3">
      <c r="A8441" s="1133"/>
      <c r="B8441" s="1136"/>
      <c r="C8441" s="1138"/>
    </row>
    <row r="8442" spans="1:3">
      <c r="A8442" s="1133"/>
      <c r="B8442" s="1136"/>
      <c r="C8442" s="1138"/>
    </row>
    <row r="8443" spans="1:3">
      <c r="A8443" s="1133"/>
      <c r="B8443" s="1136"/>
      <c r="C8443" s="1138"/>
    </row>
    <row r="8444" spans="1:3">
      <c r="A8444" s="1133"/>
      <c r="B8444" s="1136"/>
      <c r="C8444" s="1138"/>
    </row>
    <row r="8445" spans="1:3">
      <c r="A8445" s="1133"/>
      <c r="B8445" s="1136"/>
      <c r="C8445" s="1138"/>
    </row>
    <row r="8446" spans="1:3">
      <c r="A8446" s="1133"/>
      <c r="B8446" s="1136"/>
      <c r="C8446" s="1138"/>
    </row>
    <row r="8447" spans="1:3">
      <c r="A8447" s="1133"/>
      <c r="B8447" s="1136"/>
      <c r="C8447" s="1138"/>
    </row>
    <row r="8448" spans="1:3">
      <c r="A8448" s="1133"/>
      <c r="B8448" s="1136"/>
      <c r="C8448" s="1138"/>
    </row>
    <row r="8449" spans="1:3">
      <c r="A8449" s="1133"/>
      <c r="B8449" s="1136"/>
      <c r="C8449" s="1138"/>
    </row>
    <row r="8450" spans="1:3">
      <c r="A8450" s="1133"/>
      <c r="B8450" s="1136"/>
      <c r="C8450" s="1138"/>
    </row>
    <row r="8451" spans="1:3">
      <c r="A8451" s="1133"/>
      <c r="B8451" s="1136"/>
      <c r="C8451" s="1138"/>
    </row>
    <row r="8452" spans="1:3">
      <c r="A8452" s="1133"/>
      <c r="B8452" s="1136"/>
      <c r="C8452" s="1138"/>
    </row>
    <row r="8453" spans="1:3">
      <c r="A8453" s="1133"/>
      <c r="B8453" s="1136"/>
      <c r="C8453" s="1138"/>
    </row>
    <row r="8454" spans="1:3">
      <c r="A8454" s="1133"/>
      <c r="B8454" s="1136"/>
      <c r="C8454" s="1138"/>
    </row>
    <row r="8455" spans="1:3">
      <c r="A8455" s="1133"/>
      <c r="B8455" s="1136"/>
      <c r="C8455" s="1138"/>
    </row>
    <row r="8456" spans="1:3">
      <c r="A8456" s="1133"/>
      <c r="B8456" s="1136"/>
      <c r="C8456" s="1138"/>
    </row>
    <row r="8457" spans="1:3">
      <c r="A8457" s="1133"/>
      <c r="B8457" s="1136"/>
      <c r="C8457" s="1138"/>
    </row>
    <row r="8458" spans="1:3">
      <c r="A8458" s="1133"/>
      <c r="B8458" s="1136"/>
      <c r="C8458" s="1138"/>
    </row>
    <row r="8459" spans="1:3">
      <c r="A8459" s="1133"/>
      <c r="B8459" s="1136"/>
      <c r="C8459" s="1138"/>
    </row>
    <row r="8460" spans="1:3">
      <c r="A8460" s="1133"/>
      <c r="B8460" s="1136"/>
      <c r="C8460" s="1138"/>
    </row>
    <row r="8461" spans="1:3">
      <c r="A8461" s="1133"/>
      <c r="B8461" s="1136"/>
      <c r="C8461" s="1138"/>
    </row>
    <row r="8462" spans="1:3">
      <c r="A8462" s="1133"/>
      <c r="B8462" s="1136"/>
      <c r="C8462" s="1138"/>
    </row>
    <row r="8463" spans="1:3">
      <c r="A8463" s="1133"/>
      <c r="B8463" s="1136"/>
      <c r="C8463" s="1138"/>
    </row>
    <row r="8464" spans="1:3">
      <c r="A8464" s="1133"/>
      <c r="B8464" s="1136"/>
      <c r="C8464" s="1138"/>
    </row>
    <row r="8465" spans="1:3">
      <c r="A8465" s="1133"/>
      <c r="B8465" s="1136"/>
      <c r="C8465" s="1138"/>
    </row>
    <row r="8466" spans="1:3">
      <c r="A8466" s="1133"/>
      <c r="B8466" s="1136"/>
      <c r="C8466" s="1138"/>
    </row>
    <row r="8467" spans="1:3">
      <c r="A8467" s="1133"/>
      <c r="B8467" s="1136"/>
      <c r="C8467" s="1138"/>
    </row>
    <row r="8468" spans="1:3">
      <c r="A8468" s="1133"/>
      <c r="B8468" s="1136"/>
      <c r="C8468" s="1138"/>
    </row>
    <row r="8469" spans="1:3">
      <c r="A8469" s="1133"/>
      <c r="B8469" s="1136"/>
      <c r="C8469" s="1138"/>
    </row>
    <row r="8470" spans="1:3">
      <c r="A8470" s="1133"/>
      <c r="B8470" s="1136"/>
      <c r="C8470" s="1138"/>
    </row>
    <row r="8471" spans="1:3">
      <c r="A8471" s="1133"/>
      <c r="B8471" s="1136"/>
      <c r="C8471" s="1138"/>
    </row>
    <row r="8472" spans="1:3">
      <c r="A8472" s="1133"/>
      <c r="B8472" s="1136"/>
      <c r="C8472" s="1138"/>
    </row>
    <row r="8473" spans="1:3">
      <c r="A8473" s="1133"/>
      <c r="B8473" s="1136"/>
      <c r="C8473" s="1138"/>
    </row>
    <row r="8474" spans="1:3">
      <c r="A8474" s="1133"/>
      <c r="B8474" s="1136"/>
      <c r="C8474" s="1138"/>
    </row>
    <row r="8475" spans="1:3">
      <c r="A8475" s="1133"/>
      <c r="B8475" s="1136"/>
      <c r="C8475" s="1138"/>
    </row>
    <row r="8476" spans="1:3">
      <c r="A8476" s="1133"/>
      <c r="B8476" s="1136"/>
      <c r="C8476" s="1138"/>
    </row>
    <row r="8477" spans="1:3">
      <c r="A8477" s="1133"/>
      <c r="B8477" s="1136"/>
      <c r="C8477" s="1138"/>
    </row>
    <row r="8478" spans="1:3">
      <c r="A8478" s="1133"/>
      <c r="B8478" s="1136"/>
      <c r="C8478" s="1138"/>
    </row>
    <row r="8479" spans="1:3">
      <c r="A8479" s="1133"/>
      <c r="B8479" s="1136"/>
      <c r="C8479" s="1138"/>
    </row>
    <row r="8480" spans="1:3">
      <c r="A8480" s="1133"/>
      <c r="B8480" s="1136"/>
      <c r="C8480" s="1138"/>
    </row>
    <row r="8481" spans="1:3">
      <c r="A8481" s="1133"/>
      <c r="B8481" s="1136"/>
      <c r="C8481" s="1138"/>
    </row>
    <row r="8482" spans="1:3">
      <c r="A8482" s="1133"/>
      <c r="B8482" s="1136"/>
      <c r="C8482" s="1138"/>
    </row>
    <row r="8483" spans="1:3">
      <c r="A8483" s="1133"/>
      <c r="B8483" s="1136"/>
      <c r="C8483" s="1138"/>
    </row>
    <row r="8484" spans="1:3">
      <c r="A8484" s="1133"/>
      <c r="B8484" s="1136"/>
      <c r="C8484" s="1138"/>
    </row>
    <row r="8485" spans="1:3">
      <c r="A8485" s="1133"/>
      <c r="B8485" s="1136"/>
      <c r="C8485" s="1138"/>
    </row>
    <row r="8486" spans="1:3">
      <c r="A8486" s="1133"/>
      <c r="B8486" s="1136"/>
      <c r="C8486" s="1138"/>
    </row>
    <row r="8487" spans="1:3">
      <c r="A8487" s="1133"/>
      <c r="B8487" s="1136"/>
      <c r="C8487" s="1138"/>
    </row>
    <row r="8488" spans="1:3">
      <c r="A8488" s="1133"/>
      <c r="B8488" s="1136"/>
      <c r="C8488" s="1138"/>
    </row>
    <row r="8489" spans="1:3">
      <c r="A8489" s="1133"/>
      <c r="B8489" s="1136"/>
      <c r="C8489" s="1138"/>
    </row>
    <row r="8490" spans="1:3">
      <c r="A8490" s="1133"/>
      <c r="B8490" s="1136"/>
      <c r="C8490" s="1138"/>
    </row>
    <row r="8491" spans="1:3">
      <c r="A8491" s="1133"/>
      <c r="B8491" s="1136"/>
      <c r="C8491" s="1138"/>
    </row>
    <row r="8492" spans="1:3">
      <c r="A8492" s="1133"/>
      <c r="B8492" s="1136"/>
      <c r="C8492" s="1138"/>
    </row>
    <row r="8493" spans="1:3">
      <c r="A8493" s="1133"/>
      <c r="B8493" s="1136"/>
      <c r="C8493" s="1138"/>
    </row>
    <row r="8494" spans="1:3">
      <c r="A8494" s="1133"/>
      <c r="B8494" s="1136"/>
      <c r="C8494" s="1138"/>
    </row>
    <row r="8495" spans="1:3">
      <c r="A8495" s="1133"/>
      <c r="B8495" s="1136"/>
      <c r="C8495" s="1138"/>
    </row>
    <row r="8496" spans="1:3">
      <c r="A8496" s="1133"/>
      <c r="B8496" s="1136"/>
      <c r="C8496" s="1138"/>
    </row>
    <row r="8497" spans="1:3">
      <c r="A8497" s="1133"/>
      <c r="B8497" s="1136"/>
      <c r="C8497" s="1138"/>
    </row>
    <row r="8498" spans="1:3">
      <c r="A8498" s="1133"/>
      <c r="B8498" s="1136"/>
      <c r="C8498" s="1138"/>
    </row>
    <row r="8499" spans="1:3">
      <c r="A8499" s="1133"/>
      <c r="B8499" s="1136"/>
      <c r="C8499" s="1138"/>
    </row>
    <row r="8500" spans="1:3">
      <c r="A8500" s="1133"/>
      <c r="B8500" s="1136"/>
      <c r="C8500" s="1138"/>
    </row>
    <row r="8501" spans="1:3">
      <c r="A8501" s="1133"/>
      <c r="B8501" s="1136"/>
      <c r="C8501" s="1138"/>
    </row>
    <row r="8502" spans="1:3">
      <c r="A8502" s="1133"/>
      <c r="B8502" s="1136"/>
      <c r="C8502" s="1138"/>
    </row>
    <row r="8503" spans="1:3">
      <c r="A8503" s="1133"/>
      <c r="B8503" s="1136"/>
      <c r="C8503" s="1138"/>
    </row>
    <row r="8504" spans="1:3">
      <c r="A8504" s="1133"/>
      <c r="B8504" s="1136"/>
      <c r="C8504" s="1138"/>
    </row>
    <row r="8505" spans="1:3">
      <c r="A8505" s="1133"/>
      <c r="B8505" s="1136"/>
      <c r="C8505" s="1138"/>
    </row>
    <row r="8506" spans="1:3">
      <c r="A8506" s="1133"/>
      <c r="B8506" s="1136"/>
      <c r="C8506" s="1138"/>
    </row>
    <row r="8507" spans="1:3">
      <c r="A8507" s="1133"/>
      <c r="B8507" s="1136"/>
      <c r="C8507" s="1138"/>
    </row>
    <row r="8508" spans="1:3">
      <c r="A8508" s="1133"/>
      <c r="B8508" s="1136"/>
      <c r="C8508" s="1138"/>
    </row>
    <row r="8509" spans="1:3">
      <c r="A8509" s="1133"/>
      <c r="B8509" s="1136"/>
      <c r="C8509" s="1138"/>
    </row>
    <row r="8510" spans="1:3">
      <c r="A8510" s="1133"/>
      <c r="B8510" s="1136"/>
      <c r="C8510" s="1138"/>
    </row>
    <row r="8511" spans="1:3">
      <c r="A8511" s="1133"/>
      <c r="B8511" s="1136"/>
      <c r="C8511" s="1138"/>
    </row>
    <row r="8512" spans="1:3">
      <c r="A8512" s="1133"/>
      <c r="B8512" s="1136"/>
      <c r="C8512" s="1138"/>
    </row>
    <row r="8513" spans="1:3">
      <c r="A8513" s="1133"/>
      <c r="B8513" s="1136"/>
      <c r="C8513" s="1138"/>
    </row>
    <row r="8514" spans="1:3">
      <c r="A8514" s="1133"/>
      <c r="B8514" s="1136"/>
      <c r="C8514" s="1138"/>
    </row>
    <row r="8515" spans="1:3">
      <c r="A8515" s="1133"/>
      <c r="B8515" s="1136"/>
      <c r="C8515" s="1138"/>
    </row>
    <row r="8516" spans="1:3">
      <c r="A8516" s="1133"/>
      <c r="B8516" s="1136"/>
      <c r="C8516" s="1138"/>
    </row>
    <row r="8517" spans="1:3">
      <c r="A8517" s="1133"/>
      <c r="B8517" s="1136"/>
      <c r="C8517" s="1138"/>
    </row>
    <row r="8518" spans="1:3">
      <c r="A8518" s="1133"/>
      <c r="B8518" s="1136"/>
      <c r="C8518" s="1138"/>
    </row>
    <row r="8519" spans="1:3">
      <c r="A8519" s="1133"/>
      <c r="B8519" s="1136"/>
      <c r="C8519" s="1138"/>
    </row>
    <row r="8520" spans="1:3">
      <c r="A8520" s="1133"/>
      <c r="B8520" s="1136"/>
      <c r="C8520" s="1138"/>
    </row>
    <row r="8521" spans="1:3">
      <c r="A8521" s="1133"/>
      <c r="B8521" s="1136"/>
      <c r="C8521" s="1138"/>
    </row>
    <row r="8522" spans="1:3">
      <c r="A8522" s="1133"/>
      <c r="B8522" s="1136"/>
      <c r="C8522" s="1138"/>
    </row>
    <row r="8523" spans="1:3">
      <c r="A8523" s="1133"/>
      <c r="B8523" s="1136"/>
      <c r="C8523" s="1138"/>
    </row>
    <row r="8524" spans="1:3">
      <c r="A8524" s="1133"/>
      <c r="B8524" s="1136"/>
      <c r="C8524" s="1138"/>
    </row>
    <row r="8525" spans="1:3">
      <c r="A8525" s="1133"/>
      <c r="B8525" s="1136"/>
      <c r="C8525" s="1138"/>
    </row>
    <row r="8526" spans="1:3">
      <c r="A8526" s="1133"/>
      <c r="B8526" s="1136"/>
      <c r="C8526" s="1138"/>
    </row>
    <row r="8527" spans="1:3">
      <c r="A8527" s="1133"/>
      <c r="B8527" s="1136"/>
      <c r="C8527" s="1138"/>
    </row>
    <row r="8528" spans="1:3">
      <c r="A8528" s="1133"/>
      <c r="B8528" s="1136"/>
      <c r="C8528" s="1138"/>
    </row>
    <row r="8529" spans="1:3">
      <c r="A8529" s="1133"/>
      <c r="B8529" s="1136"/>
      <c r="C8529" s="1138"/>
    </row>
    <row r="8530" spans="1:3">
      <c r="A8530" s="1133"/>
      <c r="B8530" s="1136"/>
      <c r="C8530" s="1138"/>
    </row>
    <row r="8531" spans="1:3">
      <c r="A8531" s="1133"/>
      <c r="B8531" s="1136"/>
      <c r="C8531" s="1138"/>
    </row>
    <row r="8532" spans="1:3">
      <c r="A8532" s="1133"/>
      <c r="B8532" s="1136"/>
      <c r="C8532" s="1138"/>
    </row>
    <row r="8533" spans="1:3">
      <c r="A8533" s="1133"/>
      <c r="B8533" s="1136"/>
      <c r="C8533" s="1138"/>
    </row>
    <row r="8534" spans="1:3">
      <c r="A8534" s="1133"/>
      <c r="B8534" s="1136"/>
      <c r="C8534" s="1138"/>
    </row>
    <row r="8535" spans="1:3">
      <c r="A8535" s="1133"/>
      <c r="B8535" s="1136"/>
      <c r="C8535" s="1138"/>
    </row>
    <row r="8536" spans="1:3">
      <c r="A8536" s="1133"/>
      <c r="B8536" s="1136"/>
      <c r="C8536" s="1138"/>
    </row>
    <row r="8537" spans="1:3">
      <c r="A8537" s="1133"/>
      <c r="B8537" s="1136"/>
      <c r="C8537" s="1138"/>
    </row>
    <row r="8538" spans="1:3">
      <c r="A8538" s="1133"/>
      <c r="B8538" s="1136"/>
      <c r="C8538" s="1138"/>
    </row>
    <row r="8539" spans="1:3">
      <c r="A8539" s="1133"/>
      <c r="B8539" s="1136"/>
      <c r="C8539" s="1138"/>
    </row>
    <row r="8540" spans="1:3">
      <c r="A8540" s="1133"/>
      <c r="B8540" s="1136"/>
      <c r="C8540" s="1138"/>
    </row>
    <row r="8541" spans="1:3">
      <c r="A8541" s="1133"/>
      <c r="B8541" s="1136"/>
      <c r="C8541" s="1138"/>
    </row>
    <row r="8542" spans="1:3">
      <c r="A8542" s="1133"/>
      <c r="B8542" s="1136"/>
      <c r="C8542" s="1138"/>
    </row>
    <row r="8543" spans="1:3">
      <c r="A8543" s="1133"/>
      <c r="B8543" s="1136"/>
      <c r="C8543" s="1138"/>
    </row>
    <row r="8544" spans="1:3">
      <c r="A8544" s="1133"/>
      <c r="B8544" s="1136"/>
      <c r="C8544" s="1138"/>
    </row>
    <row r="8545" spans="1:3">
      <c r="A8545" s="1133"/>
      <c r="B8545" s="1136"/>
      <c r="C8545" s="1138"/>
    </row>
    <row r="8546" spans="1:3">
      <c r="A8546" s="1133"/>
      <c r="B8546" s="1136"/>
      <c r="C8546" s="1138"/>
    </row>
    <row r="8547" spans="1:3">
      <c r="A8547" s="1133"/>
      <c r="B8547" s="1136"/>
      <c r="C8547" s="1138"/>
    </row>
    <row r="8548" spans="1:3">
      <c r="A8548" s="1133"/>
      <c r="B8548" s="1136"/>
      <c r="C8548" s="1138"/>
    </row>
    <row r="8549" spans="1:3">
      <c r="A8549" s="1133"/>
      <c r="B8549" s="1136"/>
      <c r="C8549" s="1138"/>
    </row>
    <row r="8550" spans="1:3">
      <c r="A8550" s="1133"/>
      <c r="B8550" s="1136"/>
      <c r="C8550" s="1138"/>
    </row>
    <row r="8551" spans="1:3">
      <c r="A8551" s="1133"/>
      <c r="B8551" s="1136"/>
      <c r="C8551" s="1138"/>
    </row>
    <row r="8552" spans="1:3">
      <c r="A8552" s="1133"/>
      <c r="B8552" s="1136"/>
      <c r="C8552" s="1138"/>
    </row>
    <row r="8553" spans="1:3">
      <c r="A8553" s="1133"/>
      <c r="B8553" s="1136"/>
      <c r="C8553" s="1138"/>
    </row>
    <row r="8554" spans="1:3">
      <c r="A8554" s="1133"/>
      <c r="B8554" s="1136"/>
      <c r="C8554" s="1138"/>
    </row>
    <row r="8555" spans="1:3">
      <c r="A8555" s="1133"/>
      <c r="B8555" s="1136"/>
      <c r="C8555" s="1138"/>
    </row>
    <row r="8556" spans="1:3">
      <c r="A8556" s="1133"/>
      <c r="B8556" s="1136"/>
      <c r="C8556" s="1138"/>
    </row>
    <row r="8557" spans="1:3">
      <c r="A8557" s="1133"/>
      <c r="B8557" s="1136"/>
      <c r="C8557" s="1138"/>
    </row>
    <row r="8558" spans="1:3">
      <c r="A8558" s="1133"/>
      <c r="B8558" s="1136"/>
      <c r="C8558" s="1138"/>
    </row>
    <row r="8559" spans="1:3">
      <c r="A8559" s="1133"/>
      <c r="B8559" s="1136"/>
      <c r="C8559" s="1138"/>
    </row>
    <row r="8560" spans="1:3">
      <c r="A8560" s="1133"/>
      <c r="B8560" s="1136"/>
      <c r="C8560" s="1138"/>
    </row>
    <row r="8561" spans="1:3">
      <c r="A8561" s="1133"/>
      <c r="B8561" s="1136"/>
      <c r="C8561" s="1138"/>
    </row>
    <row r="8562" spans="1:3">
      <c r="A8562" s="1133"/>
      <c r="B8562" s="1136"/>
      <c r="C8562" s="1138"/>
    </row>
    <row r="8563" spans="1:3">
      <c r="A8563" s="1133"/>
      <c r="B8563" s="1136"/>
      <c r="C8563" s="1138"/>
    </row>
    <row r="8564" spans="1:3">
      <c r="A8564" s="1133"/>
      <c r="B8564" s="1136"/>
      <c r="C8564" s="1138"/>
    </row>
    <row r="8565" spans="1:3">
      <c r="A8565" s="1133"/>
      <c r="B8565" s="1136"/>
      <c r="C8565" s="1138"/>
    </row>
    <row r="8566" spans="1:3">
      <c r="A8566" s="1133"/>
      <c r="B8566" s="1136"/>
      <c r="C8566" s="1138"/>
    </row>
    <row r="8567" spans="1:3">
      <c r="A8567" s="1133"/>
      <c r="B8567" s="1136"/>
      <c r="C8567" s="1138"/>
    </row>
    <row r="8568" spans="1:3">
      <c r="A8568" s="1133"/>
      <c r="B8568" s="1136"/>
      <c r="C8568" s="1138"/>
    </row>
    <row r="8569" spans="1:3">
      <c r="A8569" s="1133"/>
      <c r="B8569" s="1136"/>
      <c r="C8569" s="1138"/>
    </row>
    <row r="8570" spans="1:3">
      <c r="A8570" s="1133"/>
      <c r="B8570" s="1136"/>
      <c r="C8570" s="1138"/>
    </row>
    <row r="8571" spans="1:3">
      <c r="A8571" s="1133"/>
      <c r="B8571" s="1136"/>
      <c r="C8571" s="1138"/>
    </row>
    <row r="8572" spans="1:3">
      <c r="A8572" s="1133"/>
      <c r="B8572" s="1136"/>
      <c r="C8572" s="1138"/>
    </row>
    <row r="8573" spans="1:3">
      <c r="A8573" s="1133"/>
      <c r="B8573" s="1136"/>
      <c r="C8573" s="1138"/>
    </row>
    <row r="8574" spans="1:3">
      <c r="A8574" s="1133"/>
      <c r="B8574" s="1136"/>
      <c r="C8574" s="1138"/>
    </row>
    <row r="8575" spans="1:3">
      <c r="A8575" s="1133"/>
      <c r="B8575" s="1136"/>
      <c r="C8575" s="1138"/>
    </row>
    <row r="8576" spans="1:3">
      <c r="A8576" s="1133"/>
      <c r="B8576" s="1136"/>
      <c r="C8576" s="1138"/>
    </row>
    <row r="8577" spans="1:3">
      <c r="A8577" s="1133"/>
      <c r="B8577" s="1136"/>
      <c r="C8577" s="1138"/>
    </row>
    <row r="8578" spans="1:3">
      <c r="A8578" s="1133"/>
      <c r="B8578" s="1136"/>
      <c r="C8578" s="1138"/>
    </row>
    <row r="8579" spans="1:3">
      <c r="A8579" s="1133"/>
      <c r="B8579" s="1136"/>
      <c r="C8579" s="1138"/>
    </row>
    <row r="8580" spans="1:3">
      <c r="A8580" s="1133"/>
      <c r="B8580" s="1136"/>
      <c r="C8580" s="1138"/>
    </row>
    <row r="8581" spans="1:3">
      <c r="A8581" s="1133"/>
      <c r="B8581" s="1136"/>
      <c r="C8581" s="1138"/>
    </row>
    <row r="8582" spans="1:3">
      <c r="A8582" s="1133"/>
      <c r="B8582" s="1136"/>
      <c r="C8582" s="1138"/>
    </row>
    <row r="8583" spans="1:3">
      <c r="A8583" s="1133"/>
      <c r="B8583" s="1136"/>
      <c r="C8583" s="1138"/>
    </row>
    <row r="8584" spans="1:3">
      <c r="A8584" s="1133"/>
      <c r="B8584" s="1136"/>
      <c r="C8584" s="1138"/>
    </row>
    <row r="8585" spans="1:3">
      <c r="A8585" s="1133"/>
      <c r="B8585" s="1136"/>
      <c r="C8585" s="1138"/>
    </row>
    <row r="8586" spans="1:3">
      <c r="A8586" s="1133"/>
      <c r="B8586" s="1136"/>
      <c r="C8586" s="1138"/>
    </row>
    <row r="8587" spans="1:3">
      <c r="A8587" s="1133"/>
      <c r="B8587" s="1136"/>
      <c r="C8587" s="1138"/>
    </row>
    <row r="8588" spans="1:3">
      <c r="A8588" s="1133"/>
      <c r="B8588" s="1136"/>
      <c r="C8588" s="1138"/>
    </row>
    <row r="8589" spans="1:3">
      <c r="A8589" s="1133"/>
      <c r="B8589" s="1136"/>
      <c r="C8589" s="1138"/>
    </row>
    <row r="8590" spans="1:3">
      <c r="A8590" s="1133"/>
      <c r="B8590" s="1136"/>
      <c r="C8590" s="1138"/>
    </row>
    <row r="8591" spans="1:3">
      <c r="A8591" s="1133"/>
      <c r="B8591" s="1136"/>
      <c r="C8591" s="1138"/>
    </row>
    <row r="8592" spans="1:3">
      <c r="A8592" s="1133"/>
      <c r="B8592" s="1136"/>
      <c r="C8592" s="1138"/>
    </row>
    <row r="8593" spans="1:3">
      <c r="A8593" s="1133"/>
      <c r="B8593" s="1136"/>
      <c r="C8593" s="1138"/>
    </row>
    <row r="8594" spans="1:3">
      <c r="A8594" s="1133"/>
      <c r="B8594" s="1136"/>
      <c r="C8594" s="1138"/>
    </row>
    <row r="8595" spans="1:3">
      <c r="A8595" s="1133"/>
      <c r="B8595" s="1136"/>
      <c r="C8595" s="1138"/>
    </row>
    <row r="8596" spans="1:3">
      <c r="A8596" s="1133"/>
      <c r="B8596" s="1136"/>
      <c r="C8596" s="1138"/>
    </row>
    <row r="8597" spans="1:3">
      <c r="A8597" s="1133"/>
      <c r="B8597" s="1136"/>
      <c r="C8597" s="1138"/>
    </row>
    <row r="8598" spans="1:3">
      <c r="A8598" s="1133"/>
      <c r="B8598" s="1136"/>
      <c r="C8598" s="1138"/>
    </row>
    <row r="8599" spans="1:3">
      <c r="A8599" s="1133"/>
      <c r="B8599" s="1136"/>
      <c r="C8599" s="1138"/>
    </row>
    <row r="8600" spans="1:3">
      <c r="A8600" s="1133"/>
      <c r="B8600" s="1136"/>
      <c r="C8600" s="1138"/>
    </row>
    <row r="8601" spans="1:3">
      <c r="A8601" s="1133"/>
      <c r="B8601" s="1136"/>
      <c r="C8601" s="1138"/>
    </row>
    <row r="8602" spans="1:3">
      <c r="A8602" s="1133"/>
      <c r="B8602" s="1136"/>
      <c r="C8602" s="1138"/>
    </row>
    <row r="8603" spans="1:3">
      <c r="A8603" s="1133"/>
      <c r="B8603" s="1136"/>
      <c r="C8603" s="1138"/>
    </row>
    <row r="8604" spans="1:3">
      <c r="A8604" s="1133"/>
      <c r="B8604" s="1136"/>
      <c r="C8604" s="1138"/>
    </row>
    <row r="8605" spans="1:3">
      <c r="A8605" s="1133"/>
      <c r="B8605" s="1136"/>
      <c r="C8605" s="1138"/>
    </row>
    <row r="8606" spans="1:3">
      <c r="A8606" s="1133"/>
      <c r="B8606" s="1136"/>
      <c r="C8606" s="1138"/>
    </row>
    <row r="8607" spans="1:3">
      <c r="A8607" s="1133"/>
      <c r="B8607" s="1136"/>
      <c r="C8607" s="1138"/>
    </row>
    <row r="8608" spans="1:3">
      <c r="A8608" s="1133"/>
      <c r="B8608" s="1136"/>
      <c r="C8608" s="1138"/>
    </row>
    <row r="8609" spans="1:3">
      <c r="A8609" s="1133"/>
      <c r="B8609" s="1136"/>
      <c r="C8609" s="1138"/>
    </row>
    <row r="8610" spans="1:3">
      <c r="A8610" s="1133"/>
      <c r="B8610" s="1136"/>
      <c r="C8610" s="1138"/>
    </row>
    <row r="8611" spans="1:3">
      <c r="A8611" s="1133"/>
      <c r="B8611" s="1136"/>
      <c r="C8611" s="1138"/>
    </row>
    <row r="8612" spans="1:3">
      <c r="A8612" s="1133"/>
      <c r="B8612" s="1136"/>
      <c r="C8612" s="1138"/>
    </row>
    <row r="8613" spans="1:3">
      <c r="A8613" s="1133"/>
      <c r="B8613" s="1136"/>
      <c r="C8613" s="1138"/>
    </row>
    <row r="8614" spans="1:3">
      <c r="A8614" s="1133"/>
      <c r="B8614" s="1136"/>
      <c r="C8614" s="1138"/>
    </row>
    <row r="8615" spans="1:3">
      <c r="A8615" s="1133"/>
      <c r="B8615" s="1136"/>
      <c r="C8615" s="1138"/>
    </row>
    <row r="8616" spans="1:3">
      <c r="A8616" s="1133"/>
      <c r="B8616" s="1136"/>
      <c r="C8616" s="1138"/>
    </row>
    <row r="8617" spans="1:3">
      <c r="A8617" s="1133"/>
      <c r="B8617" s="1136"/>
      <c r="C8617" s="1138"/>
    </row>
    <row r="8618" spans="1:3">
      <c r="A8618" s="1133"/>
      <c r="B8618" s="1136"/>
      <c r="C8618" s="1138"/>
    </row>
    <row r="8619" spans="1:3">
      <c r="A8619" s="1133"/>
      <c r="B8619" s="1136"/>
      <c r="C8619" s="1138"/>
    </row>
    <row r="8620" spans="1:3">
      <c r="A8620" s="1133"/>
      <c r="B8620" s="1136"/>
      <c r="C8620" s="1138"/>
    </row>
    <row r="8621" spans="1:3">
      <c r="A8621" s="1133"/>
      <c r="B8621" s="1136"/>
      <c r="C8621" s="1138"/>
    </row>
    <row r="8622" spans="1:3">
      <c r="A8622" s="1133"/>
      <c r="B8622" s="1136"/>
      <c r="C8622" s="1138"/>
    </row>
    <row r="8623" spans="1:3">
      <c r="A8623" s="1133"/>
      <c r="B8623" s="1136"/>
      <c r="C8623" s="1138"/>
    </row>
    <row r="8624" spans="1:3">
      <c r="A8624" s="1133"/>
      <c r="B8624" s="1136"/>
      <c r="C8624" s="1138"/>
    </row>
    <row r="8625" spans="1:3">
      <c r="A8625" s="1133"/>
      <c r="B8625" s="1136"/>
      <c r="C8625" s="1138"/>
    </row>
    <row r="8626" spans="1:3">
      <c r="A8626" s="1133"/>
      <c r="B8626" s="1136"/>
      <c r="C8626" s="1138"/>
    </row>
    <row r="8627" spans="1:3">
      <c r="A8627" s="1133"/>
      <c r="B8627" s="1136"/>
      <c r="C8627" s="1138"/>
    </row>
    <row r="8628" spans="1:3">
      <c r="A8628" s="1133"/>
      <c r="B8628" s="1136"/>
      <c r="C8628" s="1138"/>
    </row>
    <row r="8629" spans="1:3">
      <c r="A8629" s="1133"/>
      <c r="B8629" s="1136"/>
      <c r="C8629" s="1138"/>
    </row>
    <row r="8630" spans="1:3">
      <c r="A8630" s="1133"/>
      <c r="B8630" s="1136"/>
      <c r="C8630" s="1138"/>
    </row>
    <row r="8631" spans="1:3">
      <c r="A8631" s="1133"/>
      <c r="B8631" s="1136"/>
      <c r="C8631" s="1138"/>
    </row>
    <row r="8632" spans="1:3">
      <c r="A8632" s="1133"/>
      <c r="B8632" s="1136"/>
      <c r="C8632" s="1138"/>
    </row>
    <row r="8633" spans="1:3">
      <c r="A8633" s="1133"/>
      <c r="B8633" s="1136"/>
      <c r="C8633" s="1138"/>
    </row>
    <row r="8634" spans="1:3">
      <c r="A8634" s="1133"/>
      <c r="B8634" s="1136"/>
      <c r="C8634" s="1138"/>
    </row>
    <row r="8635" spans="1:3">
      <c r="A8635" s="1133"/>
      <c r="B8635" s="1136"/>
      <c r="C8635" s="1138"/>
    </row>
    <row r="8636" spans="1:3">
      <c r="A8636" s="1133"/>
      <c r="B8636" s="1136"/>
      <c r="C8636" s="1138"/>
    </row>
    <row r="8637" spans="1:3">
      <c r="A8637" s="1133"/>
      <c r="B8637" s="1136"/>
      <c r="C8637" s="1138"/>
    </row>
    <row r="8638" spans="1:3">
      <c r="A8638" s="1133"/>
      <c r="B8638" s="1136"/>
      <c r="C8638" s="1138"/>
    </row>
    <row r="8639" spans="1:3">
      <c r="A8639" s="1133"/>
      <c r="B8639" s="1136"/>
      <c r="C8639" s="1138"/>
    </row>
    <row r="8640" spans="1:3">
      <c r="A8640" s="1133"/>
      <c r="B8640" s="1136"/>
      <c r="C8640" s="1138"/>
    </row>
    <row r="8641" spans="1:3">
      <c r="A8641" s="1133"/>
      <c r="B8641" s="1136"/>
      <c r="C8641" s="1138"/>
    </row>
    <row r="8642" spans="1:3">
      <c r="A8642" s="1133"/>
      <c r="B8642" s="1136"/>
      <c r="C8642" s="1138"/>
    </row>
    <row r="8643" spans="1:3">
      <c r="A8643" s="1133"/>
      <c r="B8643" s="1136"/>
      <c r="C8643" s="1138"/>
    </row>
    <row r="8644" spans="1:3">
      <c r="A8644" s="1133"/>
      <c r="B8644" s="1136"/>
      <c r="C8644" s="1138"/>
    </row>
    <row r="8645" spans="1:3">
      <c r="A8645" s="1133"/>
      <c r="B8645" s="1136"/>
      <c r="C8645" s="1138"/>
    </row>
    <row r="8646" spans="1:3">
      <c r="A8646" s="1133"/>
      <c r="B8646" s="1136"/>
      <c r="C8646" s="1138"/>
    </row>
    <row r="8647" spans="1:3">
      <c r="A8647" s="1133"/>
      <c r="B8647" s="1136"/>
      <c r="C8647" s="1138"/>
    </row>
    <row r="8648" spans="1:3">
      <c r="A8648" s="1133"/>
      <c r="B8648" s="1136"/>
      <c r="C8648" s="1138"/>
    </row>
    <row r="8649" spans="1:3">
      <c r="A8649" s="1133"/>
      <c r="B8649" s="1136"/>
      <c r="C8649" s="1138"/>
    </row>
    <row r="8650" spans="1:3">
      <c r="A8650" s="1133"/>
      <c r="B8650" s="1136"/>
      <c r="C8650" s="1138"/>
    </row>
    <row r="8651" spans="1:3">
      <c r="A8651" s="1133"/>
      <c r="B8651" s="1136"/>
      <c r="C8651" s="1138"/>
    </row>
    <row r="8652" spans="1:3">
      <c r="A8652" s="1133"/>
      <c r="B8652" s="1136"/>
      <c r="C8652" s="1138"/>
    </row>
    <row r="8653" spans="1:3">
      <c r="A8653" s="1133"/>
      <c r="B8653" s="1136"/>
      <c r="C8653" s="1138"/>
    </row>
    <row r="8654" spans="1:3">
      <c r="A8654" s="1133"/>
      <c r="B8654" s="1136"/>
      <c r="C8654" s="1138"/>
    </row>
    <row r="8655" spans="1:3">
      <c r="A8655" s="1133"/>
      <c r="B8655" s="1136"/>
      <c r="C8655" s="1138"/>
    </row>
    <row r="8656" spans="1:3">
      <c r="A8656" s="1133"/>
      <c r="B8656" s="1136"/>
      <c r="C8656" s="1138"/>
    </row>
    <row r="8657" spans="1:3">
      <c r="A8657" s="1133"/>
      <c r="B8657" s="1136"/>
      <c r="C8657" s="1138"/>
    </row>
    <row r="8658" spans="1:3">
      <c r="A8658" s="1133"/>
      <c r="B8658" s="1136"/>
      <c r="C8658" s="1138"/>
    </row>
    <row r="8659" spans="1:3">
      <c r="A8659" s="1133"/>
      <c r="B8659" s="1136"/>
      <c r="C8659" s="1138"/>
    </row>
    <row r="8660" spans="1:3">
      <c r="A8660" s="1133"/>
      <c r="B8660" s="1136"/>
      <c r="C8660" s="1138"/>
    </row>
    <row r="8661" spans="1:3">
      <c r="A8661" s="1133"/>
      <c r="B8661" s="1136"/>
      <c r="C8661" s="1138"/>
    </row>
    <row r="8662" spans="1:3">
      <c r="A8662" s="1133"/>
      <c r="B8662" s="1136"/>
      <c r="C8662" s="1138"/>
    </row>
    <row r="8663" spans="1:3">
      <c r="A8663" s="1133"/>
      <c r="B8663" s="1136"/>
      <c r="C8663" s="1138"/>
    </row>
    <row r="8664" spans="1:3">
      <c r="A8664" s="1133"/>
      <c r="B8664" s="1136"/>
      <c r="C8664" s="1138"/>
    </row>
    <row r="8665" spans="1:3">
      <c r="A8665" s="1133"/>
      <c r="B8665" s="1136"/>
      <c r="C8665" s="1138"/>
    </row>
    <row r="8666" spans="1:3">
      <c r="A8666" s="1133"/>
      <c r="B8666" s="1136"/>
      <c r="C8666" s="1138"/>
    </row>
    <row r="8667" spans="1:3">
      <c r="A8667" s="1133"/>
      <c r="B8667" s="1136"/>
      <c r="C8667" s="1138"/>
    </row>
    <row r="8668" spans="1:3">
      <c r="A8668" s="1133"/>
      <c r="B8668" s="1136"/>
      <c r="C8668" s="1138"/>
    </row>
    <row r="8669" spans="1:3">
      <c r="A8669" s="1133"/>
      <c r="B8669" s="1136"/>
      <c r="C8669" s="1138"/>
    </row>
    <row r="8670" spans="1:3">
      <c r="A8670" s="1133"/>
      <c r="B8670" s="1136"/>
      <c r="C8670" s="1138"/>
    </row>
    <row r="8671" spans="1:3">
      <c r="A8671" s="1133"/>
      <c r="B8671" s="1136"/>
      <c r="C8671" s="1138"/>
    </row>
    <row r="8672" spans="1:3">
      <c r="A8672" s="1133"/>
      <c r="B8672" s="1136"/>
      <c r="C8672" s="1138"/>
    </row>
    <row r="8673" spans="1:3">
      <c r="A8673" s="1133"/>
      <c r="B8673" s="1136"/>
      <c r="C8673" s="1138"/>
    </row>
    <row r="8674" spans="1:3">
      <c r="A8674" s="1133"/>
      <c r="B8674" s="1136"/>
      <c r="C8674" s="1138"/>
    </row>
    <row r="8675" spans="1:3">
      <c r="A8675" s="1133"/>
      <c r="B8675" s="1136"/>
      <c r="C8675" s="1138"/>
    </row>
    <row r="8676" spans="1:3">
      <c r="A8676" s="1133"/>
      <c r="B8676" s="1136"/>
      <c r="C8676" s="1138"/>
    </row>
    <row r="8677" spans="1:3">
      <c r="A8677" s="1133"/>
      <c r="B8677" s="1136"/>
      <c r="C8677" s="1138"/>
    </row>
    <row r="8678" spans="1:3">
      <c r="A8678" s="1133"/>
      <c r="B8678" s="1136"/>
      <c r="C8678" s="1138"/>
    </row>
    <row r="8679" spans="1:3">
      <c r="A8679" s="1133"/>
      <c r="B8679" s="1136"/>
      <c r="C8679" s="1138"/>
    </row>
    <row r="8680" spans="1:3">
      <c r="A8680" s="1133"/>
      <c r="B8680" s="1136"/>
      <c r="C8680" s="1138"/>
    </row>
    <row r="8681" spans="1:3">
      <c r="A8681" s="1133"/>
      <c r="B8681" s="1136"/>
      <c r="C8681" s="1138"/>
    </row>
    <row r="8682" spans="1:3">
      <c r="A8682" s="1133"/>
      <c r="B8682" s="1136"/>
      <c r="C8682" s="1138"/>
    </row>
    <row r="8683" spans="1:3">
      <c r="A8683" s="1133"/>
      <c r="B8683" s="1136"/>
      <c r="C8683" s="1138"/>
    </row>
    <row r="8684" spans="1:3">
      <c r="A8684" s="1133"/>
      <c r="B8684" s="1136"/>
      <c r="C8684" s="1138"/>
    </row>
    <row r="8685" spans="1:3">
      <c r="A8685" s="1133"/>
      <c r="B8685" s="1136"/>
      <c r="C8685" s="1138"/>
    </row>
    <row r="8686" spans="1:3">
      <c r="A8686" s="1133"/>
      <c r="B8686" s="1136"/>
      <c r="C8686" s="1138"/>
    </row>
    <row r="8687" spans="1:3">
      <c r="A8687" s="1133"/>
      <c r="B8687" s="1136"/>
      <c r="C8687" s="1138"/>
    </row>
    <row r="8688" spans="1:3">
      <c r="A8688" s="1133"/>
      <c r="B8688" s="1136"/>
      <c r="C8688" s="1138"/>
    </row>
    <row r="8689" spans="1:3">
      <c r="A8689" s="1133"/>
      <c r="B8689" s="1136"/>
      <c r="C8689" s="1138"/>
    </row>
    <row r="8690" spans="1:3">
      <c r="A8690" s="1133"/>
      <c r="B8690" s="1136"/>
      <c r="C8690" s="1138"/>
    </row>
    <row r="8691" spans="1:3">
      <c r="A8691" s="1133"/>
      <c r="B8691" s="1136"/>
      <c r="C8691" s="1138"/>
    </row>
    <row r="8692" spans="1:3">
      <c r="A8692" s="1133"/>
      <c r="B8692" s="1136"/>
      <c r="C8692" s="1138"/>
    </row>
    <row r="8693" spans="1:3">
      <c r="A8693" s="1133"/>
      <c r="B8693" s="1136"/>
      <c r="C8693" s="1138"/>
    </row>
    <row r="8694" spans="1:3">
      <c r="A8694" s="1133"/>
      <c r="B8694" s="1136"/>
      <c r="C8694" s="1138"/>
    </row>
    <row r="8695" spans="1:3">
      <c r="A8695" s="1133"/>
      <c r="B8695" s="1136"/>
      <c r="C8695" s="1138"/>
    </row>
    <row r="8696" spans="1:3">
      <c r="A8696" s="1133"/>
      <c r="B8696" s="1136"/>
      <c r="C8696" s="1138"/>
    </row>
    <row r="8697" spans="1:3">
      <c r="A8697" s="1133"/>
      <c r="B8697" s="1136"/>
      <c r="C8697" s="1138"/>
    </row>
    <row r="8698" spans="1:3">
      <c r="A8698" s="1133"/>
      <c r="B8698" s="1136"/>
      <c r="C8698" s="1138"/>
    </row>
    <row r="8699" spans="1:3">
      <c r="A8699" s="1133"/>
      <c r="B8699" s="1136"/>
      <c r="C8699" s="1138"/>
    </row>
    <row r="8700" spans="1:3">
      <c r="A8700" s="1133"/>
      <c r="B8700" s="1136"/>
      <c r="C8700" s="1138"/>
    </row>
    <row r="8701" spans="1:3">
      <c r="A8701" s="1133"/>
      <c r="B8701" s="1136"/>
      <c r="C8701" s="1138"/>
    </row>
    <row r="8702" spans="1:3">
      <c r="A8702" s="1133"/>
      <c r="B8702" s="1136"/>
      <c r="C8702" s="1138"/>
    </row>
    <row r="8703" spans="1:3">
      <c r="A8703" s="1133"/>
      <c r="B8703" s="1136"/>
      <c r="C8703" s="1138"/>
    </row>
    <row r="8704" spans="1:3">
      <c r="A8704" s="1133"/>
      <c r="B8704" s="1136"/>
      <c r="C8704" s="1138"/>
    </row>
    <row r="8705" spans="1:3">
      <c r="A8705" s="1133"/>
      <c r="B8705" s="1136"/>
      <c r="C8705" s="1138"/>
    </row>
    <row r="8706" spans="1:3">
      <c r="A8706" s="1133"/>
      <c r="B8706" s="1136"/>
      <c r="C8706" s="1138"/>
    </row>
    <row r="8707" spans="1:3">
      <c r="A8707" s="1133"/>
      <c r="B8707" s="1136"/>
      <c r="C8707" s="1138"/>
    </row>
    <row r="8708" spans="1:3">
      <c r="A8708" s="1133"/>
      <c r="B8708" s="1136"/>
      <c r="C8708" s="1138"/>
    </row>
    <row r="8709" spans="1:3">
      <c r="A8709" s="1133"/>
      <c r="B8709" s="1136"/>
      <c r="C8709" s="1138"/>
    </row>
    <row r="8710" spans="1:3">
      <c r="A8710" s="1133"/>
      <c r="B8710" s="1136"/>
      <c r="C8710" s="1138"/>
    </row>
    <row r="8711" spans="1:3">
      <c r="A8711" s="1133"/>
      <c r="B8711" s="1136"/>
      <c r="C8711" s="1138"/>
    </row>
    <row r="8712" spans="1:3">
      <c r="A8712" s="1133"/>
      <c r="B8712" s="1136"/>
      <c r="C8712" s="1138"/>
    </row>
    <row r="8713" spans="1:3">
      <c r="A8713" s="1133"/>
      <c r="B8713" s="1136"/>
      <c r="C8713" s="1138"/>
    </row>
    <row r="8714" spans="1:3">
      <c r="A8714" s="1133"/>
      <c r="B8714" s="1136"/>
      <c r="C8714" s="1138"/>
    </row>
    <row r="8715" spans="1:3">
      <c r="A8715" s="1133"/>
      <c r="B8715" s="1136"/>
      <c r="C8715" s="1138"/>
    </row>
    <row r="8716" spans="1:3">
      <c r="A8716" s="1133"/>
      <c r="B8716" s="1136"/>
      <c r="C8716" s="1138"/>
    </row>
    <row r="8717" spans="1:3">
      <c r="A8717" s="1133"/>
      <c r="B8717" s="1136"/>
      <c r="C8717" s="1138"/>
    </row>
    <row r="8718" spans="1:3">
      <c r="A8718" s="1133"/>
      <c r="B8718" s="1136"/>
      <c r="C8718" s="1138"/>
    </row>
    <row r="8719" spans="1:3">
      <c r="A8719" s="1133"/>
      <c r="B8719" s="1136"/>
      <c r="C8719" s="1138"/>
    </row>
    <row r="8720" spans="1:3">
      <c r="A8720" s="1133"/>
      <c r="B8720" s="1136"/>
      <c r="C8720" s="1138"/>
    </row>
    <row r="8721" spans="1:3">
      <c r="A8721" s="1133"/>
      <c r="B8721" s="1136"/>
      <c r="C8721" s="1138"/>
    </row>
    <row r="8722" spans="1:3">
      <c r="A8722" s="1133"/>
      <c r="B8722" s="1136"/>
      <c r="C8722" s="1138"/>
    </row>
    <row r="8723" spans="1:3">
      <c r="A8723" s="1133"/>
      <c r="B8723" s="1136"/>
      <c r="C8723" s="1138"/>
    </row>
    <row r="8724" spans="1:3">
      <c r="A8724" s="1133"/>
      <c r="B8724" s="1136"/>
      <c r="C8724" s="1138"/>
    </row>
    <row r="8725" spans="1:3">
      <c r="A8725" s="1133"/>
      <c r="B8725" s="1136"/>
      <c r="C8725" s="1138"/>
    </row>
    <row r="8726" spans="1:3">
      <c r="A8726" s="1133"/>
      <c r="B8726" s="1136"/>
      <c r="C8726" s="1138"/>
    </row>
    <row r="8727" spans="1:3">
      <c r="A8727" s="1133"/>
      <c r="B8727" s="1136"/>
      <c r="C8727" s="1138"/>
    </row>
    <row r="8728" spans="1:3">
      <c r="A8728" s="1133"/>
      <c r="B8728" s="1136"/>
      <c r="C8728" s="1138"/>
    </row>
    <row r="8729" spans="1:3">
      <c r="A8729" s="1133"/>
      <c r="B8729" s="1136"/>
      <c r="C8729" s="1138"/>
    </row>
    <row r="8730" spans="1:3">
      <c r="A8730" s="1133"/>
      <c r="B8730" s="1136"/>
      <c r="C8730" s="1138"/>
    </row>
    <row r="8731" spans="1:3">
      <c r="A8731" s="1133"/>
      <c r="B8731" s="1136"/>
      <c r="C8731" s="1138"/>
    </row>
    <row r="8732" spans="1:3">
      <c r="A8732" s="1133"/>
      <c r="B8732" s="1136"/>
      <c r="C8732" s="1138"/>
    </row>
    <row r="8733" spans="1:3">
      <c r="A8733" s="1133"/>
      <c r="B8733" s="1136"/>
      <c r="C8733" s="1138"/>
    </row>
    <row r="8734" spans="1:3">
      <c r="A8734" s="1133"/>
      <c r="B8734" s="1136"/>
      <c r="C8734" s="1138"/>
    </row>
    <row r="8735" spans="1:3">
      <c r="A8735" s="1133"/>
      <c r="B8735" s="1136"/>
      <c r="C8735" s="1138"/>
    </row>
    <row r="8736" spans="1:3">
      <c r="A8736" s="1133"/>
      <c r="B8736" s="1136"/>
      <c r="C8736" s="1138"/>
    </row>
    <row r="8737" spans="1:3">
      <c r="A8737" s="1133"/>
      <c r="B8737" s="1136"/>
      <c r="C8737" s="1138"/>
    </row>
    <row r="8738" spans="1:3">
      <c r="A8738" s="1133"/>
      <c r="B8738" s="1136"/>
      <c r="C8738" s="1138"/>
    </row>
    <row r="8739" spans="1:3">
      <c r="A8739" s="1133"/>
      <c r="B8739" s="1136"/>
      <c r="C8739" s="1138"/>
    </row>
    <row r="8740" spans="1:3">
      <c r="A8740" s="1133"/>
      <c r="B8740" s="1136"/>
      <c r="C8740" s="1138"/>
    </row>
    <row r="8741" spans="1:3">
      <c r="A8741" s="1133"/>
      <c r="B8741" s="1136"/>
      <c r="C8741" s="1138"/>
    </row>
    <row r="8742" spans="1:3">
      <c r="A8742" s="1133"/>
      <c r="B8742" s="1136"/>
      <c r="C8742" s="1138"/>
    </row>
    <row r="8743" spans="1:3">
      <c r="A8743" s="1133"/>
      <c r="B8743" s="1136"/>
      <c r="C8743" s="1138"/>
    </row>
    <row r="8744" spans="1:3">
      <c r="A8744" s="1133"/>
      <c r="B8744" s="1136"/>
      <c r="C8744" s="1138"/>
    </row>
    <row r="8745" spans="1:3">
      <c r="A8745" s="1133"/>
      <c r="B8745" s="1136"/>
      <c r="C8745" s="1138"/>
    </row>
    <row r="8746" spans="1:3">
      <c r="A8746" s="1133"/>
      <c r="B8746" s="1136"/>
      <c r="C8746" s="1138"/>
    </row>
    <row r="8747" spans="1:3">
      <c r="A8747" s="1133"/>
      <c r="B8747" s="1136"/>
      <c r="C8747" s="1138"/>
    </row>
    <row r="8748" spans="1:3">
      <c r="A8748" s="1133"/>
      <c r="B8748" s="1136"/>
      <c r="C8748" s="1138"/>
    </row>
    <row r="8749" spans="1:3">
      <c r="A8749" s="1133"/>
      <c r="B8749" s="1136"/>
      <c r="C8749" s="1138"/>
    </row>
    <row r="8750" spans="1:3">
      <c r="A8750" s="1133"/>
      <c r="B8750" s="1136"/>
      <c r="C8750" s="1138"/>
    </row>
    <row r="8751" spans="1:3">
      <c r="A8751" s="1133"/>
      <c r="B8751" s="1136"/>
      <c r="C8751" s="1138"/>
    </row>
    <row r="8752" spans="1:3">
      <c r="A8752" s="1133"/>
      <c r="B8752" s="1136"/>
      <c r="C8752" s="1138"/>
    </row>
    <row r="8753" spans="1:3">
      <c r="A8753" s="1133"/>
      <c r="B8753" s="1136"/>
      <c r="C8753" s="1138"/>
    </row>
    <row r="8754" spans="1:3">
      <c r="A8754" s="1133"/>
      <c r="B8754" s="1136"/>
      <c r="C8754" s="1138"/>
    </row>
    <row r="8755" spans="1:3">
      <c r="A8755" s="1133"/>
      <c r="B8755" s="1136"/>
      <c r="C8755" s="1138"/>
    </row>
    <row r="8756" spans="1:3">
      <c r="A8756" s="1133"/>
      <c r="B8756" s="1136"/>
      <c r="C8756" s="1138"/>
    </row>
    <row r="8757" spans="1:3">
      <c r="A8757" s="1133"/>
      <c r="B8757" s="1136"/>
      <c r="C8757" s="1138"/>
    </row>
    <row r="8758" spans="1:3">
      <c r="A8758" s="1133"/>
      <c r="B8758" s="1136"/>
      <c r="C8758" s="1138"/>
    </row>
    <row r="8759" spans="1:3">
      <c r="A8759" s="1133"/>
      <c r="B8759" s="1136"/>
      <c r="C8759" s="1138"/>
    </row>
    <row r="8760" spans="1:3">
      <c r="A8760" s="1133"/>
      <c r="B8760" s="1136"/>
      <c r="C8760" s="1138"/>
    </row>
    <row r="8761" spans="1:3">
      <c r="A8761" s="1133"/>
      <c r="B8761" s="1136"/>
      <c r="C8761" s="1138"/>
    </row>
    <row r="8762" spans="1:3">
      <c r="A8762" s="1133"/>
      <c r="B8762" s="1136"/>
      <c r="C8762" s="1138"/>
    </row>
    <row r="8763" spans="1:3">
      <c r="A8763" s="1133"/>
      <c r="B8763" s="1136"/>
      <c r="C8763" s="1138"/>
    </row>
    <row r="8764" spans="1:3">
      <c r="A8764" s="1133"/>
      <c r="B8764" s="1136"/>
      <c r="C8764" s="1138"/>
    </row>
    <row r="8765" spans="1:3">
      <c r="A8765" s="1133"/>
      <c r="B8765" s="1136"/>
      <c r="C8765" s="1138"/>
    </row>
    <row r="8766" spans="1:3">
      <c r="A8766" s="1133"/>
      <c r="B8766" s="1136"/>
      <c r="C8766" s="1138"/>
    </row>
    <row r="8767" spans="1:3">
      <c r="A8767" s="1133"/>
      <c r="B8767" s="1136"/>
      <c r="C8767" s="1138"/>
    </row>
    <row r="8768" spans="1:3">
      <c r="A8768" s="1133"/>
      <c r="B8768" s="1136"/>
      <c r="C8768" s="1138"/>
    </row>
    <row r="8769" spans="1:3">
      <c r="A8769" s="1133"/>
      <c r="B8769" s="1136"/>
      <c r="C8769" s="1138"/>
    </row>
    <row r="8770" spans="1:3">
      <c r="A8770" s="1133"/>
      <c r="B8770" s="1136"/>
      <c r="C8770" s="1138"/>
    </row>
    <row r="8771" spans="1:3">
      <c r="A8771" s="1133"/>
      <c r="B8771" s="1136"/>
      <c r="C8771" s="1138"/>
    </row>
    <row r="8772" spans="1:3">
      <c r="A8772" s="1133"/>
      <c r="B8772" s="1136"/>
      <c r="C8772" s="1138"/>
    </row>
    <row r="8773" spans="1:3">
      <c r="A8773" s="1133"/>
      <c r="B8773" s="1136"/>
      <c r="C8773" s="1138"/>
    </row>
    <row r="8774" spans="1:3">
      <c r="A8774" s="1133"/>
      <c r="B8774" s="1136"/>
      <c r="C8774" s="1138"/>
    </row>
    <row r="8775" spans="1:3">
      <c r="A8775" s="1133"/>
      <c r="B8775" s="1136"/>
      <c r="C8775" s="1138"/>
    </row>
    <row r="8776" spans="1:3">
      <c r="A8776" s="1133"/>
      <c r="B8776" s="1136"/>
      <c r="C8776" s="1138"/>
    </row>
    <row r="8777" spans="1:3">
      <c r="A8777" s="1133"/>
      <c r="B8777" s="1136"/>
      <c r="C8777" s="1138"/>
    </row>
    <row r="8778" spans="1:3">
      <c r="A8778" s="1133"/>
      <c r="B8778" s="1136"/>
      <c r="C8778" s="1138"/>
    </row>
    <row r="8779" spans="1:3">
      <c r="A8779" s="1133"/>
      <c r="B8779" s="1136"/>
      <c r="C8779" s="1138"/>
    </row>
    <row r="8780" spans="1:3">
      <c r="A8780" s="1133"/>
      <c r="B8780" s="1136"/>
      <c r="C8780" s="1138"/>
    </row>
    <row r="8781" spans="1:3">
      <c r="A8781" s="1133"/>
      <c r="B8781" s="1136"/>
      <c r="C8781" s="1138"/>
    </row>
    <row r="8782" spans="1:3">
      <c r="A8782" s="1133"/>
      <c r="B8782" s="1136"/>
      <c r="C8782" s="1138"/>
    </row>
    <row r="8783" spans="1:3">
      <c r="A8783" s="1133"/>
      <c r="B8783" s="1136"/>
      <c r="C8783" s="1138"/>
    </row>
    <row r="8784" spans="1:3">
      <c r="A8784" s="1133"/>
      <c r="B8784" s="1136"/>
      <c r="C8784" s="1138"/>
    </row>
    <row r="8785" spans="1:3">
      <c r="A8785" s="1133"/>
      <c r="B8785" s="1136"/>
      <c r="C8785" s="1138"/>
    </row>
    <row r="8786" spans="1:3">
      <c r="A8786" s="1133"/>
      <c r="B8786" s="1136"/>
      <c r="C8786" s="1138"/>
    </row>
    <row r="8787" spans="1:3">
      <c r="A8787" s="1133"/>
      <c r="B8787" s="1136"/>
      <c r="C8787" s="1138"/>
    </row>
    <row r="8788" spans="1:3">
      <c r="A8788" s="1133"/>
      <c r="B8788" s="1136"/>
      <c r="C8788" s="1138"/>
    </row>
    <row r="8789" spans="1:3">
      <c r="A8789" s="1133"/>
      <c r="B8789" s="1136"/>
      <c r="C8789" s="1138"/>
    </row>
    <row r="8790" spans="1:3">
      <c r="A8790" s="1133"/>
      <c r="B8790" s="1136"/>
      <c r="C8790" s="1138"/>
    </row>
    <row r="8791" spans="1:3">
      <c r="A8791" s="1133"/>
      <c r="B8791" s="1136"/>
      <c r="C8791" s="1138"/>
    </row>
    <row r="8792" spans="1:3">
      <c r="A8792" s="1133"/>
      <c r="B8792" s="1136"/>
      <c r="C8792" s="1138"/>
    </row>
    <row r="8793" spans="1:3">
      <c r="A8793" s="1133"/>
      <c r="B8793" s="1136"/>
      <c r="C8793" s="1138"/>
    </row>
    <row r="8794" spans="1:3">
      <c r="A8794" s="1133"/>
      <c r="B8794" s="1136"/>
      <c r="C8794" s="1138"/>
    </row>
    <row r="8795" spans="1:3">
      <c r="A8795" s="1133"/>
      <c r="B8795" s="1136"/>
      <c r="C8795" s="1138"/>
    </row>
    <row r="8796" spans="1:3">
      <c r="A8796" s="1133"/>
      <c r="B8796" s="1136"/>
      <c r="C8796" s="1138"/>
    </row>
    <row r="8797" spans="1:3">
      <c r="A8797" s="1133"/>
      <c r="B8797" s="1136"/>
      <c r="C8797" s="1138"/>
    </row>
    <row r="8798" spans="1:3">
      <c r="A8798" s="1133"/>
      <c r="B8798" s="1136"/>
      <c r="C8798" s="1138"/>
    </row>
    <row r="8799" spans="1:3">
      <c r="A8799" s="1133"/>
      <c r="B8799" s="1136"/>
      <c r="C8799" s="1138"/>
    </row>
    <row r="8800" spans="1:3">
      <c r="A8800" s="1133"/>
      <c r="B8800" s="1136"/>
      <c r="C8800" s="1138"/>
    </row>
    <row r="8801" spans="1:3">
      <c r="A8801" s="1133"/>
      <c r="B8801" s="1136"/>
      <c r="C8801" s="1138"/>
    </row>
    <row r="8802" spans="1:3">
      <c r="A8802" s="1133"/>
      <c r="B8802" s="1136"/>
      <c r="C8802" s="1138"/>
    </row>
    <row r="8803" spans="1:3">
      <c r="A8803" s="1133"/>
      <c r="B8803" s="1136"/>
      <c r="C8803" s="1138"/>
    </row>
    <row r="8804" spans="1:3">
      <c r="A8804" s="1133"/>
      <c r="B8804" s="1136"/>
      <c r="C8804" s="1138"/>
    </row>
    <row r="8805" spans="1:3">
      <c r="A8805" s="1133"/>
      <c r="B8805" s="1136"/>
      <c r="C8805" s="1138"/>
    </row>
    <row r="8806" spans="1:3">
      <c r="A8806" s="1133"/>
      <c r="B8806" s="1136"/>
      <c r="C8806" s="1138"/>
    </row>
    <row r="8807" spans="1:3">
      <c r="A8807" s="1133"/>
      <c r="B8807" s="1136"/>
      <c r="C8807" s="1138"/>
    </row>
    <row r="8808" spans="1:3">
      <c r="A8808" s="1133"/>
      <c r="B8808" s="1136"/>
      <c r="C8808" s="1138"/>
    </row>
    <row r="8809" spans="1:3">
      <c r="A8809" s="1133"/>
      <c r="B8809" s="1136"/>
      <c r="C8809" s="1138"/>
    </row>
    <row r="8810" spans="1:3">
      <c r="A8810" s="1133"/>
      <c r="B8810" s="1136"/>
      <c r="C8810" s="1138"/>
    </row>
    <row r="8811" spans="1:3">
      <c r="A8811" s="1133"/>
      <c r="B8811" s="1136"/>
      <c r="C8811" s="1138"/>
    </row>
    <row r="8812" spans="1:3">
      <c r="A8812" s="1133"/>
      <c r="B8812" s="1136"/>
      <c r="C8812" s="1138"/>
    </row>
    <row r="8813" spans="1:3">
      <c r="A8813" s="1133"/>
      <c r="B8813" s="1136"/>
      <c r="C8813" s="1138"/>
    </row>
    <row r="8814" spans="1:3">
      <c r="A8814" s="1133"/>
      <c r="B8814" s="1136"/>
      <c r="C8814" s="1138"/>
    </row>
    <row r="8815" spans="1:3">
      <c r="A8815" s="1133"/>
      <c r="B8815" s="1136"/>
      <c r="C8815" s="1138"/>
    </row>
    <row r="8816" spans="1:3">
      <c r="A8816" s="1133"/>
      <c r="B8816" s="1136"/>
      <c r="C8816" s="1138"/>
    </row>
    <row r="8817" spans="1:3">
      <c r="A8817" s="1133"/>
      <c r="B8817" s="1136"/>
      <c r="C8817" s="1138"/>
    </row>
    <row r="8818" spans="1:3">
      <c r="A8818" s="1133"/>
      <c r="B8818" s="1136"/>
      <c r="C8818" s="1138"/>
    </row>
    <row r="8819" spans="1:3">
      <c r="A8819" s="1133"/>
      <c r="B8819" s="1136"/>
      <c r="C8819" s="1138"/>
    </row>
    <row r="8820" spans="1:3">
      <c r="A8820" s="1133"/>
      <c r="B8820" s="1136"/>
      <c r="C8820" s="1138"/>
    </row>
    <row r="8821" spans="1:3">
      <c r="A8821" s="1133"/>
      <c r="B8821" s="1136"/>
      <c r="C8821" s="1138"/>
    </row>
    <row r="8822" spans="1:3">
      <c r="A8822" s="1133"/>
      <c r="B8822" s="1136"/>
      <c r="C8822" s="1138"/>
    </row>
    <row r="8823" spans="1:3">
      <c r="A8823" s="1133"/>
      <c r="B8823" s="1136"/>
      <c r="C8823" s="1138"/>
    </row>
    <row r="8824" spans="1:3">
      <c r="A8824" s="1133"/>
      <c r="B8824" s="1136"/>
      <c r="C8824" s="1138"/>
    </row>
    <row r="8825" spans="1:3">
      <c r="A8825" s="1133"/>
      <c r="B8825" s="1136"/>
      <c r="C8825" s="1138"/>
    </row>
    <row r="8826" spans="1:3">
      <c r="A8826" s="1133"/>
      <c r="B8826" s="1136"/>
      <c r="C8826" s="1138"/>
    </row>
    <row r="8827" spans="1:3">
      <c r="A8827" s="1133"/>
      <c r="B8827" s="1136"/>
      <c r="C8827" s="1138"/>
    </row>
    <row r="8828" spans="1:3">
      <c r="A8828" s="1133"/>
      <c r="B8828" s="1136"/>
      <c r="C8828" s="1138"/>
    </row>
    <row r="8829" spans="1:3">
      <c r="A8829" s="1133"/>
      <c r="B8829" s="1136"/>
      <c r="C8829" s="1138"/>
    </row>
    <row r="8830" spans="1:3">
      <c r="A8830" s="1133"/>
      <c r="B8830" s="1136"/>
      <c r="C8830" s="1138"/>
    </row>
    <row r="8831" spans="1:3">
      <c r="A8831" s="1133"/>
      <c r="B8831" s="1136"/>
      <c r="C8831" s="1138"/>
    </row>
    <row r="8832" spans="1:3">
      <c r="A8832" s="1133"/>
      <c r="B8832" s="1136"/>
      <c r="C8832" s="1138"/>
    </row>
    <row r="8833" spans="1:3">
      <c r="A8833" s="1133"/>
      <c r="B8833" s="1136"/>
      <c r="C8833" s="1138"/>
    </row>
    <row r="8834" spans="1:3">
      <c r="A8834" s="1133"/>
      <c r="B8834" s="1136"/>
      <c r="C8834" s="1138"/>
    </row>
    <row r="8835" spans="1:3">
      <c r="A8835" s="1133"/>
      <c r="B8835" s="1136"/>
      <c r="C8835" s="1138"/>
    </row>
    <row r="8836" spans="1:3">
      <c r="A8836" s="1133"/>
      <c r="B8836" s="1136"/>
      <c r="C8836" s="1138"/>
    </row>
    <row r="8837" spans="1:3">
      <c r="A8837" s="1133"/>
      <c r="B8837" s="1136"/>
      <c r="C8837" s="1138"/>
    </row>
    <row r="8838" spans="1:3">
      <c r="A8838" s="1133"/>
      <c r="B8838" s="1136"/>
      <c r="C8838" s="1138"/>
    </row>
    <row r="8839" spans="1:3">
      <c r="A8839" s="1133"/>
      <c r="B8839" s="1136"/>
      <c r="C8839" s="1138"/>
    </row>
    <row r="8840" spans="1:3">
      <c r="A8840" s="1133"/>
      <c r="B8840" s="1136"/>
      <c r="C8840" s="1138"/>
    </row>
    <row r="8841" spans="1:3">
      <c r="A8841" s="1133"/>
      <c r="B8841" s="1136"/>
      <c r="C8841" s="1138"/>
    </row>
    <row r="8842" spans="1:3">
      <c r="A8842" s="1133"/>
      <c r="B8842" s="1136"/>
      <c r="C8842" s="1138"/>
    </row>
    <row r="8843" spans="1:3">
      <c r="A8843" s="1133"/>
      <c r="B8843" s="1136"/>
      <c r="C8843" s="1138"/>
    </row>
    <row r="8844" spans="1:3">
      <c r="A8844" s="1133"/>
      <c r="B8844" s="1136"/>
      <c r="C8844" s="1138"/>
    </row>
    <row r="8845" spans="1:3">
      <c r="A8845" s="1133"/>
      <c r="B8845" s="1136"/>
      <c r="C8845" s="1138"/>
    </row>
    <row r="8846" spans="1:3">
      <c r="A8846" s="1133"/>
      <c r="B8846" s="1136"/>
      <c r="C8846" s="1138"/>
    </row>
    <row r="8847" spans="1:3">
      <c r="A8847" s="1133"/>
      <c r="B8847" s="1136"/>
      <c r="C8847" s="1138"/>
    </row>
    <row r="8848" spans="1:3">
      <c r="A8848" s="1133"/>
      <c r="B8848" s="1136"/>
      <c r="C8848" s="1138"/>
    </row>
    <row r="8849" spans="1:3">
      <c r="A8849" s="1133"/>
      <c r="B8849" s="1136"/>
      <c r="C8849" s="1138"/>
    </row>
    <row r="8850" spans="1:3">
      <c r="A8850" s="1133"/>
      <c r="B8850" s="1136"/>
      <c r="C8850" s="1138"/>
    </row>
    <row r="8851" spans="1:3">
      <c r="A8851" s="1133"/>
      <c r="B8851" s="1136"/>
      <c r="C8851" s="1138"/>
    </row>
    <row r="8852" spans="1:3">
      <c r="A8852" s="1133"/>
      <c r="B8852" s="1136"/>
      <c r="C8852" s="1138"/>
    </row>
    <row r="8853" spans="1:3">
      <c r="A8853" s="1133"/>
      <c r="B8853" s="1136"/>
      <c r="C8853" s="1138"/>
    </row>
    <row r="8854" spans="1:3">
      <c r="A8854" s="1133"/>
      <c r="B8854" s="1136"/>
      <c r="C8854" s="1138"/>
    </row>
    <row r="8855" spans="1:3">
      <c r="A8855" s="1133"/>
      <c r="B8855" s="1136"/>
      <c r="C8855" s="1138"/>
    </row>
    <row r="8856" spans="1:3">
      <c r="A8856" s="1133"/>
      <c r="B8856" s="1136"/>
      <c r="C8856" s="1138"/>
    </row>
    <row r="8857" spans="1:3">
      <c r="A8857" s="1133"/>
      <c r="B8857" s="1136"/>
      <c r="C8857" s="1138"/>
    </row>
    <row r="8858" spans="1:3">
      <c r="A8858" s="1133"/>
      <c r="B8858" s="1136"/>
      <c r="C8858" s="1138"/>
    </row>
    <row r="8859" spans="1:3">
      <c r="A8859" s="1133"/>
      <c r="B8859" s="1136"/>
      <c r="C8859" s="1138"/>
    </row>
    <row r="8860" spans="1:3">
      <c r="A8860" s="1133"/>
      <c r="B8860" s="1136"/>
      <c r="C8860" s="1138"/>
    </row>
    <row r="8861" spans="1:3">
      <c r="A8861" s="1133"/>
      <c r="B8861" s="1136"/>
      <c r="C8861" s="1138"/>
    </row>
    <row r="8862" spans="1:3">
      <c r="A8862" s="1133"/>
      <c r="B8862" s="1136"/>
      <c r="C8862" s="1138"/>
    </row>
    <row r="8863" spans="1:3">
      <c r="A8863" s="1133"/>
      <c r="B8863" s="1136"/>
      <c r="C8863" s="1138"/>
    </row>
    <row r="8864" spans="1:3">
      <c r="A8864" s="1133"/>
      <c r="B8864" s="1136"/>
      <c r="C8864" s="1138"/>
    </row>
    <row r="8865" spans="1:3">
      <c r="A8865" s="1133"/>
      <c r="B8865" s="1136"/>
      <c r="C8865" s="1138"/>
    </row>
    <row r="8866" spans="1:3">
      <c r="A8866" s="1133"/>
      <c r="B8866" s="1136"/>
      <c r="C8866" s="1138"/>
    </row>
    <row r="8867" spans="1:3">
      <c r="A8867" s="1133"/>
      <c r="B8867" s="1136"/>
      <c r="C8867" s="1138"/>
    </row>
    <row r="8868" spans="1:3">
      <c r="A8868" s="1133"/>
      <c r="B8868" s="1136"/>
      <c r="C8868" s="1138"/>
    </row>
    <row r="8869" spans="1:3">
      <c r="A8869" s="1133"/>
      <c r="B8869" s="1136"/>
      <c r="C8869" s="1138"/>
    </row>
    <row r="8870" spans="1:3">
      <c r="A8870" s="1133"/>
      <c r="B8870" s="1136"/>
      <c r="C8870" s="1138"/>
    </row>
    <row r="8871" spans="1:3">
      <c r="A8871" s="1133"/>
      <c r="B8871" s="1136"/>
      <c r="C8871" s="1138"/>
    </row>
    <row r="8872" spans="1:3">
      <c r="A8872" s="1133"/>
      <c r="B8872" s="1136"/>
      <c r="C8872" s="1138"/>
    </row>
    <row r="8873" spans="1:3">
      <c r="A8873" s="1133"/>
      <c r="B8873" s="1136"/>
      <c r="C8873" s="1138"/>
    </row>
    <row r="8874" spans="1:3">
      <c r="A8874" s="1133"/>
      <c r="B8874" s="1136"/>
      <c r="C8874" s="1138"/>
    </row>
    <row r="8875" spans="1:3">
      <c r="A8875" s="1133"/>
      <c r="B8875" s="1136"/>
      <c r="C8875" s="1138"/>
    </row>
    <row r="8876" spans="1:3">
      <c r="A8876" s="1133"/>
      <c r="B8876" s="1136"/>
      <c r="C8876" s="1138"/>
    </row>
    <row r="8877" spans="1:3">
      <c r="A8877" s="1133"/>
      <c r="B8877" s="1136"/>
      <c r="C8877" s="1138"/>
    </row>
    <row r="8878" spans="1:3">
      <c r="A8878" s="1133"/>
      <c r="B8878" s="1136"/>
      <c r="C8878" s="1138"/>
    </row>
    <row r="8879" spans="1:3">
      <c r="A8879" s="1133"/>
      <c r="B8879" s="1136"/>
      <c r="C8879" s="1138"/>
    </row>
    <row r="8880" spans="1:3">
      <c r="A8880" s="1133"/>
      <c r="B8880" s="1136"/>
      <c r="C8880" s="1138"/>
    </row>
    <row r="8881" spans="1:3">
      <c r="A8881" s="1133"/>
      <c r="B8881" s="1136"/>
      <c r="C8881" s="1138"/>
    </row>
    <row r="8882" spans="1:3">
      <c r="A8882" s="1133"/>
      <c r="B8882" s="1136"/>
      <c r="C8882" s="1138"/>
    </row>
    <row r="8883" spans="1:3">
      <c r="A8883" s="1133"/>
      <c r="B8883" s="1136"/>
      <c r="C8883" s="1138"/>
    </row>
    <row r="8884" spans="1:3">
      <c r="A8884" s="1133"/>
      <c r="B8884" s="1136"/>
      <c r="C8884" s="1138"/>
    </row>
    <row r="8885" spans="1:3">
      <c r="A8885" s="1133"/>
      <c r="B8885" s="1136"/>
      <c r="C8885" s="1138"/>
    </row>
    <row r="8886" spans="1:3">
      <c r="A8886" s="1133"/>
      <c r="B8886" s="1136"/>
      <c r="C8886" s="1138"/>
    </row>
    <row r="8887" spans="1:3">
      <c r="A8887" s="1133"/>
      <c r="B8887" s="1136"/>
      <c r="C8887" s="1138"/>
    </row>
    <row r="8888" spans="1:3">
      <c r="A8888" s="1133"/>
      <c r="B8888" s="1136"/>
      <c r="C8888" s="1138"/>
    </row>
    <row r="8889" spans="1:3">
      <c r="A8889" s="1133"/>
      <c r="B8889" s="1136"/>
      <c r="C8889" s="1138"/>
    </row>
    <row r="8890" spans="1:3">
      <c r="A8890" s="1133"/>
      <c r="B8890" s="1136"/>
      <c r="C8890" s="1138"/>
    </row>
    <row r="8891" spans="1:3">
      <c r="A8891" s="1133"/>
      <c r="B8891" s="1136"/>
      <c r="C8891" s="1138"/>
    </row>
    <row r="8892" spans="1:3">
      <c r="A8892" s="1133"/>
      <c r="B8892" s="1136"/>
      <c r="C8892" s="1138"/>
    </row>
    <row r="8893" spans="1:3">
      <c r="A8893" s="1133"/>
      <c r="B8893" s="1136"/>
      <c r="C8893" s="1138"/>
    </row>
    <row r="8894" spans="1:3">
      <c r="A8894" s="1133"/>
      <c r="B8894" s="1136"/>
      <c r="C8894" s="1138"/>
    </row>
    <row r="8895" spans="1:3">
      <c r="A8895" s="1133"/>
      <c r="B8895" s="1136"/>
      <c r="C8895" s="1138"/>
    </row>
    <row r="8896" spans="1:3">
      <c r="A8896" s="1133"/>
      <c r="B8896" s="1136"/>
      <c r="C8896" s="1138"/>
    </row>
    <row r="8897" spans="1:3">
      <c r="A8897" s="1133"/>
      <c r="B8897" s="1136"/>
      <c r="C8897" s="1138"/>
    </row>
    <row r="8898" spans="1:3">
      <c r="A8898" s="1133"/>
      <c r="B8898" s="1136"/>
      <c r="C8898" s="1138"/>
    </row>
    <row r="8899" spans="1:3">
      <c r="A8899" s="1133"/>
      <c r="B8899" s="1136"/>
      <c r="C8899" s="1138"/>
    </row>
    <row r="8900" spans="1:3">
      <c r="A8900" s="1133"/>
      <c r="B8900" s="1136"/>
      <c r="C8900" s="1138"/>
    </row>
    <row r="8901" spans="1:3">
      <c r="A8901" s="1133"/>
      <c r="B8901" s="1136"/>
      <c r="C8901" s="1138"/>
    </row>
    <row r="8902" spans="1:3">
      <c r="A8902" s="1133"/>
      <c r="B8902" s="1136"/>
      <c r="C8902" s="1138"/>
    </row>
    <row r="8903" spans="1:3">
      <c r="A8903" s="1133"/>
      <c r="B8903" s="1136"/>
      <c r="C8903" s="1138"/>
    </row>
    <row r="8904" spans="1:3">
      <c r="A8904" s="1133"/>
      <c r="B8904" s="1136"/>
      <c r="C8904" s="1138"/>
    </row>
    <row r="8905" spans="1:3">
      <c r="A8905" s="1133"/>
      <c r="B8905" s="1136"/>
      <c r="C8905" s="1138"/>
    </row>
    <row r="8906" spans="1:3">
      <c r="A8906" s="1133"/>
      <c r="B8906" s="1136"/>
      <c r="C8906" s="1138"/>
    </row>
    <row r="8907" spans="1:3">
      <c r="A8907" s="1133"/>
      <c r="B8907" s="1136"/>
      <c r="C8907" s="1138"/>
    </row>
    <row r="8908" spans="1:3">
      <c r="A8908" s="1133"/>
      <c r="B8908" s="1136"/>
      <c r="C8908" s="1138"/>
    </row>
    <row r="8909" spans="1:3">
      <c r="A8909" s="1133"/>
      <c r="B8909" s="1136"/>
      <c r="C8909" s="1138"/>
    </row>
    <row r="8910" spans="1:3">
      <c r="A8910" s="1133"/>
      <c r="B8910" s="1136"/>
      <c r="C8910" s="1138"/>
    </row>
    <row r="8911" spans="1:3">
      <c r="A8911" s="1133"/>
      <c r="B8911" s="1136"/>
      <c r="C8911" s="1138"/>
    </row>
    <row r="8912" spans="1:3">
      <c r="A8912" s="1133"/>
      <c r="B8912" s="1136"/>
      <c r="C8912" s="1138"/>
    </row>
    <row r="8913" spans="1:3">
      <c r="A8913" s="1133"/>
      <c r="B8913" s="1136"/>
      <c r="C8913" s="1138"/>
    </row>
    <row r="8914" spans="1:3">
      <c r="A8914" s="1133"/>
      <c r="B8914" s="1136"/>
      <c r="C8914" s="1138"/>
    </row>
    <row r="8915" spans="1:3">
      <c r="A8915" s="1133"/>
      <c r="B8915" s="1136"/>
      <c r="C8915" s="1138"/>
    </row>
    <row r="8916" spans="1:3">
      <c r="A8916" s="1133"/>
      <c r="B8916" s="1136"/>
      <c r="C8916" s="1138"/>
    </row>
    <row r="8917" spans="1:3">
      <c r="A8917" s="1133"/>
      <c r="B8917" s="1136"/>
      <c r="C8917" s="1138"/>
    </row>
    <row r="8918" spans="1:3">
      <c r="A8918" s="1133"/>
      <c r="B8918" s="1136"/>
      <c r="C8918" s="1138"/>
    </row>
    <row r="8919" spans="1:3">
      <c r="A8919" s="1133"/>
      <c r="B8919" s="1136"/>
      <c r="C8919" s="1138"/>
    </row>
    <row r="8920" spans="1:3">
      <c r="A8920" s="1133"/>
      <c r="B8920" s="1136"/>
      <c r="C8920" s="1138"/>
    </row>
    <row r="8921" spans="1:3">
      <c r="A8921" s="1133"/>
      <c r="B8921" s="1136"/>
      <c r="C8921" s="1138"/>
    </row>
    <row r="8922" spans="1:3">
      <c r="A8922" s="1133"/>
      <c r="B8922" s="1136"/>
      <c r="C8922" s="1138"/>
    </row>
    <row r="8923" spans="1:3">
      <c r="A8923" s="1133"/>
      <c r="B8923" s="1136"/>
      <c r="C8923" s="1138"/>
    </row>
    <row r="8924" spans="1:3">
      <c r="A8924" s="1133"/>
      <c r="B8924" s="1136"/>
      <c r="C8924" s="1138"/>
    </row>
    <row r="8925" spans="1:3">
      <c r="A8925" s="1133"/>
      <c r="B8925" s="1136"/>
      <c r="C8925" s="1138"/>
    </row>
    <row r="8926" spans="1:3">
      <c r="A8926" s="1133"/>
      <c r="B8926" s="1136"/>
      <c r="C8926" s="1138"/>
    </row>
    <row r="8927" spans="1:3">
      <c r="A8927" s="1133"/>
      <c r="B8927" s="1136"/>
      <c r="C8927" s="1138"/>
    </row>
    <row r="8928" spans="1:3">
      <c r="A8928" s="1133"/>
      <c r="B8928" s="1136"/>
      <c r="C8928" s="1138"/>
    </row>
    <row r="8929" spans="1:3">
      <c r="A8929" s="1133"/>
      <c r="B8929" s="1136"/>
      <c r="C8929" s="1138"/>
    </row>
    <row r="8930" spans="1:3">
      <c r="A8930" s="1133"/>
      <c r="B8930" s="1136"/>
      <c r="C8930" s="1138"/>
    </row>
    <row r="8931" spans="1:3">
      <c r="A8931" s="1133"/>
      <c r="B8931" s="1136"/>
      <c r="C8931" s="1138"/>
    </row>
    <row r="8932" spans="1:3">
      <c r="A8932" s="1133"/>
      <c r="B8932" s="1136"/>
      <c r="C8932" s="1138"/>
    </row>
    <row r="8933" spans="1:3">
      <c r="A8933" s="1133"/>
      <c r="B8933" s="1136"/>
      <c r="C8933" s="1138"/>
    </row>
    <row r="8934" spans="1:3">
      <c r="A8934" s="1133"/>
      <c r="B8934" s="1136"/>
      <c r="C8934" s="1138"/>
    </row>
    <row r="8935" spans="1:3">
      <c r="A8935" s="1133"/>
      <c r="B8935" s="1136"/>
      <c r="C8935" s="1138"/>
    </row>
    <row r="8936" spans="1:3">
      <c r="A8936" s="1133"/>
      <c r="B8936" s="1136"/>
      <c r="C8936" s="1138"/>
    </row>
    <row r="8937" spans="1:3">
      <c r="A8937" s="1133"/>
      <c r="B8937" s="1136"/>
      <c r="C8937" s="1138"/>
    </row>
    <row r="8938" spans="1:3">
      <c r="A8938" s="1133"/>
      <c r="B8938" s="1136"/>
      <c r="C8938" s="1138"/>
    </row>
    <row r="8939" spans="1:3">
      <c r="A8939" s="1133"/>
      <c r="B8939" s="1136"/>
      <c r="C8939" s="1138"/>
    </row>
    <row r="8940" spans="1:3">
      <c r="A8940" s="1133"/>
      <c r="B8940" s="1136"/>
      <c r="C8940" s="1138"/>
    </row>
    <row r="8941" spans="1:3">
      <c r="A8941" s="1133"/>
      <c r="B8941" s="1136"/>
      <c r="C8941" s="1138"/>
    </row>
    <row r="8942" spans="1:3">
      <c r="A8942" s="1133"/>
      <c r="B8942" s="1136"/>
      <c r="C8942" s="1138"/>
    </row>
    <row r="8943" spans="1:3">
      <c r="A8943" s="1133"/>
      <c r="B8943" s="1136"/>
      <c r="C8943" s="1138"/>
    </row>
    <row r="8944" spans="1:3">
      <c r="A8944" s="1133"/>
      <c r="B8944" s="1136"/>
      <c r="C8944" s="1138"/>
    </row>
    <row r="8945" spans="1:3">
      <c r="A8945" s="1133"/>
      <c r="B8945" s="1136"/>
      <c r="C8945" s="1138"/>
    </row>
    <row r="8946" spans="1:3">
      <c r="A8946" s="1133"/>
      <c r="B8946" s="1136"/>
      <c r="C8946" s="1138"/>
    </row>
    <row r="8947" spans="1:3">
      <c r="A8947" s="1133"/>
      <c r="B8947" s="1136"/>
      <c r="C8947" s="1138"/>
    </row>
    <row r="8948" spans="1:3">
      <c r="A8948" s="1133"/>
      <c r="B8948" s="1136"/>
      <c r="C8948" s="1138"/>
    </row>
    <row r="8949" spans="1:3">
      <c r="A8949" s="1133"/>
      <c r="B8949" s="1136"/>
      <c r="C8949" s="1138"/>
    </row>
    <row r="8950" spans="1:3">
      <c r="A8950" s="1133"/>
      <c r="B8950" s="1136"/>
      <c r="C8950" s="1138"/>
    </row>
    <row r="8951" spans="1:3">
      <c r="A8951" s="1133"/>
      <c r="B8951" s="1136"/>
      <c r="C8951" s="1138"/>
    </row>
    <row r="8952" spans="1:3">
      <c r="A8952" s="1133"/>
      <c r="B8952" s="1136"/>
      <c r="C8952" s="1138"/>
    </row>
    <row r="8953" spans="1:3">
      <c r="A8953" s="1133"/>
      <c r="B8953" s="1136"/>
      <c r="C8953" s="1138"/>
    </row>
    <row r="8954" spans="1:3">
      <c r="A8954" s="1133"/>
      <c r="B8954" s="1136"/>
      <c r="C8954" s="1138"/>
    </row>
    <row r="8955" spans="1:3">
      <c r="A8955" s="1133"/>
      <c r="B8955" s="1136"/>
      <c r="C8955" s="1138"/>
    </row>
    <row r="8956" spans="1:3">
      <c r="A8956" s="1133"/>
      <c r="B8956" s="1136"/>
      <c r="C8956" s="1138"/>
    </row>
    <row r="8957" spans="1:3">
      <c r="A8957" s="1133"/>
      <c r="B8957" s="1136"/>
      <c r="C8957" s="1138"/>
    </row>
    <row r="8958" spans="1:3">
      <c r="A8958" s="1133"/>
      <c r="B8958" s="1136"/>
      <c r="C8958" s="1138"/>
    </row>
    <row r="8959" spans="1:3">
      <c r="A8959" s="1133"/>
      <c r="B8959" s="1136"/>
      <c r="C8959" s="1138"/>
    </row>
    <row r="8960" spans="1:3">
      <c r="A8960" s="1133"/>
      <c r="B8960" s="1136"/>
      <c r="C8960" s="1138"/>
    </row>
    <row r="8961" spans="1:3">
      <c r="A8961" s="1133"/>
      <c r="B8961" s="1136"/>
      <c r="C8961" s="1138"/>
    </row>
    <row r="8962" spans="1:3">
      <c r="A8962" s="1133"/>
      <c r="B8962" s="1136"/>
      <c r="C8962" s="1138"/>
    </row>
    <row r="8963" spans="1:3">
      <c r="A8963" s="1133"/>
      <c r="B8963" s="1136"/>
      <c r="C8963" s="1138"/>
    </row>
    <row r="8964" spans="1:3">
      <c r="A8964" s="1133"/>
      <c r="B8964" s="1136"/>
      <c r="C8964" s="1138"/>
    </row>
    <row r="8965" spans="1:3">
      <c r="A8965" s="1133"/>
      <c r="B8965" s="1136"/>
      <c r="C8965" s="1138"/>
    </row>
    <row r="8966" spans="1:3">
      <c r="A8966" s="1133"/>
      <c r="B8966" s="1136"/>
      <c r="C8966" s="1138"/>
    </row>
    <row r="8967" spans="1:3">
      <c r="A8967" s="1133"/>
      <c r="B8967" s="1136"/>
      <c r="C8967" s="1138"/>
    </row>
    <row r="8968" spans="1:3">
      <c r="A8968" s="1133"/>
      <c r="B8968" s="1136"/>
      <c r="C8968" s="1138"/>
    </row>
    <row r="8969" spans="1:3">
      <c r="A8969" s="1133"/>
      <c r="B8969" s="1136"/>
      <c r="C8969" s="1138"/>
    </row>
    <row r="8970" spans="1:3">
      <c r="A8970" s="1133"/>
      <c r="B8970" s="1136"/>
      <c r="C8970" s="1138"/>
    </row>
    <row r="8971" spans="1:3">
      <c r="A8971" s="1133"/>
      <c r="B8971" s="1136"/>
      <c r="C8971" s="1138"/>
    </row>
    <row r="8972" spans="1:3">
      <c r="A8972" s="1133"/>
      <c r="B8972" s="1136"/>
      <c r="C8972" s="1138"/>
    </row>
    <row r="8973" spans="1:3">
      <c r="A8973" s="1133"/>
      <c r="B8973" s="1136"/>
      <c r="C8973" s="1138"/>
    </row>
    <row r="8974" spans="1:3">
      <c r="A8974" s="1133"/>
      <c r="B8974" s="1136"/>
      <c r="C8974" s="1138"/>
    </row>
    <row r="8975" spans="1:3">
      <c r="A8975" s="1133"/>
      <c r="B8975" s="1136"/>
      <c r="C8975" s="1138"/>
    </row>
    <row r="8976" spans="1:3">
      <c r="A8976" s="1133"/>
      <c r="B8976" s="1136"/>
      <c r="C8976" s="1138"/>
    </row>
    <row r="8977" spans="1:3">
      <c r="A8977" s="1133"/>
      <c r="B8977" s="1136"/>
      <c r="C8977" s="1138"/>
    </row>
    <row r="8978" spans="1:3">
      <c r="A8978" s="1133"/>
      <c r="B8978" s="1136"/>
      <c r="C8978" s="1138"/>
    </row>
    <row r="8979" spans="1:3">
      <c r="A8979" s="1133"/>
      <c r="B8979" s="1136"/>
      <c r="C8979" s="1138"/>
    </row>
    <row r="8980" spans="1:3">
      <c r="A8980" s="1133"/>
      <c r="B8980" s="1136"/>
      <c r="C8980" s="1138"/>
    </row>
    <row r="8981" spans="1:3">
      <c r="A8981" s="1133"/>
      <c r="B8981" s="1136"/>
      <c r="C8981" s="1138"/>
    </row>
    <row r="8982" spans="1:3">
      <c r="A8982" s="1133"/>
      <c r="B8982" s="1136"/>
      <c r="C8982" s="1138"/>
    </row>
    <row r="8983" spans="1:3">
      <c r="A8983" s="1133"/>
      <c r="B8983" s="1136"/>
      <c r="C8983" s="1138"/>
    </row>
    <row r="8984" spans="1:3">
      <c r="A8984" s="1133"/>
      <c r="B8984" s="1136"/>
      <c r="C8984" s="1138"/>
    </row>
    <row r="8985" spans="1:3">
      <c r="A8985" s="1133"/>
      <c r="B8985" s="1136"/>
      <c r="C8985" s="1138"/>
    </row>
    <row r="8986" spans="1:3">
      <c r="A8986" s="1133"/>
      <c r="B8986" s="1136"/>
      <c r="C8986" s="1138"/>
    </row>
    <row r="8987" spans="1:3">
      <c r="A8987" s="1133"/>
      <c r="B8987" s="1136"/>
      <c r="C8987" s="1138"/>
    </row>
    <row r="8988" spans="1:3">
      <c r="A8988" s="1133"/>
      <c r="B8988" s="1136"/>
      <c r="C8988" s="1138"/>
    </row>
    <row r="8989" spans="1:3">
      <c r="A8989" s="1133"/>
      <c r="B8989" s="1136"/>
      <c r="C8989" s="1138"/>
    </row>
    <row r="8990" spans="1:3">
      <c r="A8990" s="1133"/>
      <c r="B8990" s="1136"/>
      <c r="C8990" s="1138"/>
    </row>
    <row r="8991" spans="1:3">
      <c r="A8991" s="1133"/>
      <c r="B8991" s="1136"/>
      <c r="C8991" s="1138"/>
    </row>
    <row r="8992" spans="1:3">
      <c r="A8992" s="1133"/>
      <c r="B8992" s="1136"/>
      <c r="C8992" s="1138"/>
    </row>
    <row r="8993" spans="1:3">
      <c r="A8993" s="1133"/>
      <c r="B8993" s="1136"/>
      <c r="C8993" s="1138"/>
    </row>
    <row r="8994" spans="1:3">
      <c r="A8994" s="1133"/>
      <c r="B8994" s="1136"/>
      <c r="C8994" s="1138"/>
    </row>
    <row r="8995" spans="1:3">
      <c r="A8995" s="1133"/>
      <c r="B8995" s="1136"/>
      <c r="C8995" s="1138"/>
    </row>
    <row r="8996" spans="1:3">
      <c r="A8996" s="1133"/>
      <c r="B8996" s="1136"/>
      <c r="C8996" s="1138"/>
    </row>
    <row r="8997" spans="1:3">
      <c r="A8997" s="1133"/>
      <c r="B8997" s="1136"/>
      <c r="C8997" s="1138"/>
    </row>
    <row r="8998" spans="1:3">
      <c r="A8998" s="1133"/>
      <c r="B8998" s="1136"/>
      <c r="C8998" s="1138"/>
    </row>
    <row r="8999" spans="1:3">
      <c r="A8999" s="1133"/>
      <c r="B8999" s="1136"/>
      <c r="C8999" s="1138"/>
    </row>
    <row r="9000" spans="1:3">
      <c r="A9000" s="1133"/>
      <c r="B9000" s="1136"/>
      <c r="C9000" s="1138"/>
    </row>
    <row r="9001" spans="1:3">
      <c r="A9001" s="1133"/>
      <c r="B9001" s="1136"/>
      <c r="C9001" s="1138"/>
    </row>
    <row r="9002" spans="1:3">
      <c r="A9002" s="1133"/>
      <c r="B9002" s="1136"/>
      <c r="C9002" s="1138"/>
    </row>
    <row r="9003" spans="1:3">
      <c r="A9003" s="1133"/>
      <c r="B9003" s="1136"/>
      <c r="C9003" s="1138"/>
    </row>
    <row r="9004" spans="1:3">
      <c r="A9004" s="1133"/>
      <c r="B9004" s="1136"/>
      <c r="C9004" s="1138"/>
    </row>
    <row r="9005" spans="1:3">
      <c r="A9005" s="1133"/>
      <c r="B9005" s="1136"/>
      <c r="C9005" s="1138"/>
    </row>
    <row r="9006" spans="1:3">
      <c r="A9006" s="1133"/>
      <c r="B9006" s="1136"/>
      <c r="C9006" s="1138"/>
    </row>
    <row r="9007" spans="1:3">
      <c r="A9007" s="1133"/>
      <c r="B9007" s="1136"/>
      <c r="C9007" s="1138"/>
    </row>
    <row r="9008" spans="1:3">
      <c r="A9008" s="1133"/>
      <c r="B9008" s="1136"/>
      <c r="C9008" s="1138"/>
    </row>
    <row r="9009" spans="1:3">
      <c r="A9009" s="1133"/>
      <c r="B9009" s="1136"/>
      <c r="C9009" s="1138"/>
    </row>
    <row r="9010" spans="1:3">
      <c r="A9010" s="1133"/>
      <c r="B9010" s="1136"/>
      <c r="C9010" s="1138"/>
    </row>
    <row r="9011" spans="1:3">
      <c r="A9011" s="1133"/>
      <c r="B9011" s="1136"/>
      <c r="C9011" s="1138"/>
    </row>
    <row r="9012" spans="1:3">
      <c r="A9012" s="1133"/>
      <c r="B9012" s="1136"/>
      <c r="C9012" s="1138"/>
    </row>
    <row r="9013" spans="1:3">
      <c r="A9013" s="1133"/>
      <c r="B9013" s="1136"/>
      <c r="C9013" s="1138"/>
    </row>
    <row r="9014" spans="1:3">
      <c r="A9014" s="1133"/>
      <c r="B9014" s="1136"/>
      <c r="C9014" s="1138"/>
    </row>
    <row r="9015" spans="1:3">
      <c r="A9015" s="1133"/>
      <c r="B9015" s="1136"/>
      <c r="C9015" s="1138"/>
    </row>
    <row r="9016" spans="1:3">
      <c r="A9016" s="1133"/>
      <c r="B9016" s="1136"/>
      <c r="C9016" s="1138"/>
    </row>
    <row r="9017" spans="1:3">
      <c r="A9017" s="1133"/>
      <c r="B9017" s="1136"/>
      <c r="C9017" s="1138"/>
    </row>
    <row r="9018" spans="1:3">
      <c r="A9018" s="1133"/>
      <c r="B9018" s="1136"/>
      <c r="C9018" s="1138"/>
    </row>
    <row r="9019" spans="1:3">
      <c r="A9019" s="1133"/>
      <c r="B9019" s="1136"/>
      <c r="C9019" s="1138"/>
    </row>
    <row r="9020" spans="1:3">
      <c r="A9020" s="1133"/>
      <c r="B9020" s="1136"/>
      <c r="C9020" s="1138"/>
    </row>
    <row r="9021" spans="1:3">
      <c r="A9021" s="1133"/>
      <c r="B9021" s="1136"/>
      <c r="C9021" s="1138"/>
    </row>
    <row r="9022" spans="1:3">
      <c r="A9022" s="1133"/>
      <c r="B9022" s="1136"/>
      <c r="C9022" s="1138"/>
    </row>
    <row r="9023" spans="1:3">
      <c r="A9023" s="1133"/>
      <c r="B9023" s="1136"/>
      <c r="C9023" s="1138"/>
    </row>
    <row r="9024" spans="1:3">
      <c r="A9024" s="1133"/>
      <c r="B9024" s="1136"/>
      <c r="C9024" s="1138"/>
    </row>
    <row r="9025" spans="1:3">
      <c r="A9025" s="1133"/>
      <c r="B9025" s="1136"/>
      <c r="C9025" s="1138"/>
    </row>
    <row r="9026" spans="1:3">
      <c r="A9026" s="1133"/>
      <c r="B9026" s="1136"/>
      <c r="C9026" s="1138"/>
    </row>
    <row r="9027" spans="1:3">
      <c r="A9027" s="1133"/>
      <c r="B9027" s="1136"/>
      <c r="C9027" s="1138"/>
    </row>
    <row r="9028" spans="1:3">
      <c r="A9028" s="1133"/>
      <c r="B9028" s="1136"/>
      <c r="C9028" s="1138"/>
    </row>
    <row r="9029" spans="1:3">
      <c r="A9029" s="1133"/>
      <c r="B9029" s="1136"/>
      <c r="C9029" s="1138"/>
    </row>
    <row r="9030" spans="1:3">
      <c r="A9030" s="1133"/>
      <c r="B9030" s="1136"/>
      <c r="C9030" s="1138"/>
    </row>
    <row r="9031" spans="1:3">
      <c r="A9031" s="1133"/>
      <c r="B9031" s="1136"/>
      <c r="C9031" s="1138"/>
    </row>
    <row r="9032" spans="1:3">
      <c r="A9032" s="1133"/>
      <c r="B9032" s="1136"/>
      <c r="C9032" s="1138"/>
    </row>
    <row r="9033" spans="1:3">
      <c r="A9033" s="1133"/>
      <c r="B9033" s="1136"/>
      <c r="C9033" s="1138"/>
    </row>
    <row r="9034" spans="1:3">
      <c r="A9034" s="1133"/>
      <c r="B9034" s="1136"/>
      <c r="C9034" s="1138"/>
    </row>
    <row r="9035" spans="1:3">
      <c r="A9035" s="1133"/>
      <c r="B9035" s="1136"/>
      <c r="C9035" s="1138"/>
    </row>
    <row r="9036" spans="1:3">
      <c r="A9036" s="1133"/>
      <c r="B9036" s="1136"/>
      <c r="C9036" s="1138"/>
    </row>
    <row r="9037" spans="1:3">
      <c r="A9037" s="1133"/>
      <c r="B9037" s="1136"/>
      <c r="C9037" s="1138"/>
    </row>
    <row r="9038" spans="1:3">
      <c r="A9038" s="1133"/>
      <c r="B9038" s="1136"/>
      <c r="C9038" s="1138"/>
    </row>
    <row r="9039" spans="1:3">
      <c r="A9039" s="1133"/>
      <c r="B9039" s="1136"/>
      <c r="C9039" s="1138"/>
    </row>
    <row r="9040" spans="1:3">
      <c r="A9040" s="1133"/>
      <c r="B9040" s="1136"/>
      <c r="C9040" s="1138"/>
    </row>
    <row r="9041" spans="1:3">
      <c r="A9041" s="1133"/>
      <c r="B9041" s="1136"/>
      <c r="C9041" s="1138"/>
    </row>
    <row r="9042" spans="1:3">
      <c r="A9042" s="1133"/>
      <c r="B9042" s="1136"/>
      <c r="C9042" s="1138"/>
    </row>
    <row r="9043" spans="1:3">
      <c r="A9043" s="1133"/>
      <c r="B9043" s="1136"/>
      <c r="C9043" s="1138"/>
    </row>
    <row r="9044" spans="1:3">
      <c r="A9044" s="1133"/>
      <c r="B9044" s="1136"/>
      <c r="C9044" s="1138"/>
    </row>
    <row r="9045" spans="1:3">
      <c r="A9045" s="1133"/>
      <c r="B9045" s="1136"/>
      <c r="C9045" s="1138"/>
    </row>
    <row r="9046" spans="1:3">
      <c r="A9046" s="1133"/>
      <c r="B9046" s="1136"/>
      <c r="C9046" s="1138"/>
    </row>
    <row r="9047" spans="1:3">
      <c r="A9047" s="1133"/>
      <c r="B9047" s="1136"/>
      <c r="C9047" s="1138"/>
    </row>
    <row r="9048" spans="1:3">
      <c r="A9048" s="1133"/>
      <c r="B9048" s="1136"/>
      <c r="C9048" s="1138"/>
    </row>
    <row r="9049" spans="1:3">
      <c r="A9049" s="1133"/>
      <c r="B9049" s="1136"/>
      <c r="C9049" s="1138"/>
    </row>
    <row r="9050" spans="1:3">
      <c r="A9050" s="1133"/>
      <c r="B9050" s="1136"/>
      <c r="C9050" s="1138"/>
    </row>
    <row r="9051" spans="1:3">
      <c r="A9051" s="1133"/>
      <c r="B9051" s="1136"/>
      <c r="C9051" s="1138"/>
    </row>
    <row r="9052" spans="1:3">
      <c r="A9052" s="1133"/>
      <c r="B9052" s="1136"/>
      <c r="C9052" s="1138"/>
    </row>
    <row r="9053" spans="1:3">
      <c r="A9053" s="1133"/>
      <c r="B9053" s="1136"/>
      <c r="C9053" s="1138"/>
    </row>
    <row r="9054" spans="1:3">
      <c r="A9054" s="1133"/>
      <c r="B9054" s="1136"/>
      <c r="C9054" s="1138"/>
    </row>
    <row r="9055" spans="1:3">
      <c r="A9055" s="1133"/>
      <c r="B9055" s="1136"/>
      <c r="C9055" s="1138"/>
    </row>
    <row r="9056" spans="1:3">
      <c r="A9056" s="1133"/>
      <c r="B9056" s="1136"/>
      <c r="C9056" s="1138"/>
    </row>
    <row r="9057" spans="1:3">
      <c r="A9057" s="1133"/>
      <c r="B9057" s="1136"/>
      <c r="C9057" s="1138"/>
    </row>
    <row r="9058" spans="1:3">
      <c r="A9058" s="1133"/>
      <c r="B9058" s="1136"/>
      <c r="C9058" s="1138"/>
    </row>
    <row r="9059" spans="1:3">
      <c r="A9059" s="1133"/>
      <c r="B9059" s="1136"/>
      <c r="C9059" s="1138"/>
    </row>
    <row r="9060" spans="1:3">
      <c r="A9060" s="1133"/>
      <c r="B9060" s="1136"/>
      <c r="C9060" s="1138"/>
    </row>
    <row r="9061" spans="1:3">
      <c r="A9061" s="1133"/>
      <c r="B9061" s="1136"/>
      <c r="C9061" s="1138"/>
    </row>
    <row r="9062" spans="1:3">
      <c r="A9062" s="1133"/>
      <c r="B9062" s="1136"/>
      <c r="C9062" s="1138"/>
    </row>
    <row r="9063" spans="1:3">
      <c r="A9063" s="1133"/>
      <c r="B9063" s="1136"/>
      <c r="C9063" s="1138"/>
    </row>
    <row r="9064" spans="1:3">
      <c r="A9064" s="1133"/>
      <c r="B9064" s="1136"/>
      <c r="C9064" s="1138"/>
    </row>
    <row r="9065" spans="1:3">
      <c r="A9065" s="1133"/>
      <c r="B9065" s="1136"/>
      <c r="C9065" s="1138"/>
    </row>
    <row r="9066" spans="1:3">
      <c r="A9066" s="1133"/>
      <c r="B9066" s="1136"/>
      <c r="C9066" s="1138"/>
    </row>
    <row r="9067" spans="1:3">
      <c r="A9067" s="1133"/>
      <c r="B9067" s="1136"/>
      <c r="C9067" s="1138"/>
    </row>
    <row r="9068" spans="1:3">
      <c r="A9068" s="1133"/>
      <c r="B9068" s="1136"/>
      <c r="C9068" s="1138"/>
    </row>
    <row r="9069" spans="1:3">
      <c r="A9069" s="1133"/>
      <c r="B9069" s="1136"/>
      <c r="C9069" s="1138"/>
    </row>
    <row r="9070" spans="1:3">
      <c r="A9070" s="1133"/>
      <c r="B9070" s="1136"/>
      <c r="C9070" s="1138"/>
    </row>
    <row r="9071" spans="1:3">
      <c r="A9071" s="1133"/>
      <c r="B9071" s="1136"/>
      <c r="C9071" s="1138"/>
    </row>
    <row r="9072" spans="1:3">
      <c r="A9072" s="1133"/>
      <c r="B9072" s="1136"/>
      <c r="C9072" s="1138"/>
    </row>
    <row r="9073" spans="1:3">
      <c r="A9073" s="1133"/>
      <c r="B9073" s="1136"/>
      <c r="C9073" s="1138"/>
    </row>
    <row r="9074" spans="1:3">
      <c r="A9074" s="1133"/>
      <c r="B9074" s="1136"/>
      <c r="C9074" s="1138"/>
    </row>
    <row r="9075" spans="1:3">
      <c r="A9075" s="1133"/>
      <c r="B9075" s="1136"/>
      <c r="C9075" s="1138"/>
    </row>
    <row r="9076" spans="1:3">
      <c r="A9076" s="1133"/>
      <c r="B9076" s="1136"/>
      <c r="C9076" s="1138"/>
    </row>
    <row r="9077" spans="1:3">
      <c r="A9077" s="1133"/>
      <c r="B9077" s="1136"/>
      <c r="C9077" s="1138"/>
    </row>
    <row r="9078" spans="1:3">
      <c r="A9078" s="1133"/>
      <c r="B9078" s="1136"/>
      <c r="C9078" s="1138"/>
    </row>
    <row r="9079" spans="1:3">
      <c r="A9079" s="1133"/>
      <c r="B9079" s="1136"/>
      <c r="C9079" s="1138"/>
    </row>
    <row r="9080" spans="1:3">
      <c r="A9080" s="1133"/>
      <c r="B9080" s="1136"/>
      <c r="C9080" s="1138"/>
    </row>
    <row r="9081" spans="1:3">
      <c r="A9081" s="1133"/>
      <c r="B9081" s="1136"/>
      <c r="C9081" s="1138"/>
    </row>
    <row r="9082" spans="1:3">
      <c r="A9082" s="1133"/>
      <c r="B9082" s="1136"/>
      <c r="C9082" s="1138"/>
    </row>
    <row r="9083" spans="1:3">
      <c r="A9083" s="1133"/>
      <c r="B9083" s="1136"/>
      <c r="C9083" s="1138"/>
    </row>
    <row r="9084" spans="1:3">
      <c r="A9084" s="1133"/>
      <c r="B9084" s="1136"/>
      <c r="C9084" s="1138"/>
    </row>
    <row r="9085" spans="1:3">
      <c r="A9085" s="1133"/>
      <c r="B9085" s="1136"/>
      <c r="C9085" s="1138"/>
    </row>
    <row r="9086" spans="1:3">
      <c r="A9086" s="1133"/>
      <c r="B9086" s="1136"/>
      <c r="C9086" s="1138"/>
    </row>
    <row r="9087" spans="1:3">
      <c r="A9087" s="1133"/>
      <c r="B9087" s="1136"/>
      <c r="C9087" s="1138"/>
    </row>
    <row r="9088" spans="1:3">
      <c r="A9088" s="1133"/>
      <c r="B9088" s="1136"/>
      <c r="C9088" s="1138"/>
    </row>
    <row r="9089" spans="1:3">
      <c r="A9089" s="1133"/>
      <c r="B9089" s="1136"/>
      <c r="C9089" s="1138"/>
    </row>
    <row r="9090" spans="1:3">
      <c r="A9090" s="1133"/>
      <c r="B9090" s="1136"/>
      <c r="C9090" s="1138"/>
    </row>
    <row r="9091" spans="1:3">
      <c r="A9091" s="1133"/>
      <c r="B9091" s="1136"/>
      <c r="C9091" s="1138"/>
    </row>
    <row r="9092" spans="1:3">
      <c r="A9092" s="1133"/>
      <c r="B9092" s="1136"/>
      <c r="C9092" s="1138"/>
    </row>
    <row r="9093" spans="1:3">
      <c r="A9093" s="1133"/>
      <c r="B9093" s="1136"/>
      <c r="C9093" s="1138"/>
    </row>
    <row r="9094" spans="1:3">
      <c r="A9094" s="1133"/>
      <c r="B9094" s="1136"/>
      <c r="C9094" s="1138"/>
    </row>
    <row r="9095" spans="1:3">
      <c r="A9095" s="1133"/>
      <c r="B9095" s="1136"/>
      <c r="C9095" s="1138"/>
    </row>
    <row r="9096" spans="1:3">
      <c r="A9096" s="1133"/>
      <c r="B9096" s="1136"/>
      <c r="C9096" s="1138"/>
    </row>
    <row r="9097" spans="1:3">
      <c r="A9097" s="1133"/>
      <c r="B9097" s="1136"/>
      <c r="C9097" s="1138"/>
    </row>
    <row r="9098" spans="1:3">
      <c r="A9098" s="1133"/>
      <c r="B9098" s="1136"/>
      <c r="C9098" s="1138"/>
    </row>
    <row r="9099" spans="1:3">
      <c r="A9099" s="1133"/>
      <c r="B9099" s="1136"/>
      <c r="C9099" s="1138"/>
    </row>
    <row r="9100" spans="1:3">
      <c r="A9100" s="1133"/>
      <c r="B9100" s="1136"/>
      <c r="C9100" s="1138"/>
    </row>
    <row r="9101" spans="1:3">
      <c r="A9101" s="1133"/>
      <c r="B9101" s="1136"/>
      <c r="C9101" s="1138"/>
    </row>
    <row r="9102" spans="1:3">
      <c r="A9102" s="1133"/>
      <c r="B9102" s="1136"/>
      <c r="C9102" s="1138"/>
    </row>
    <row r="9103" spans="1:3">
      <c r="A9103" s="1133"/>
      <c r="B9103" s="1136"/>
      <c r="C9103" s="1138"/>
    </row>
    <row r="9104" spans="1:3">
      <c r="A9104" s="1133"/>
      <c r="B9104" s="1136"/>
      <c r="C9104" s="1138"/>
    </row>
    <row r="9105" spans="1:3">
      <c r="A9105" s="1133"/>
      <c r="B9105" s="1136"/>
      <c r="C9105" s="1138"/>
    </row>
    <row r="9106" spans="1:3">
      <c r="A9106" s="1133"/>
      <c r="B9106" s="1136"/>
      <c r="C9106" s="1138"/>
    </row>
    <row r="9107" spans="1:3">
      <c r="A9107" s="1133"/>
      <c r="B9107" s="1136"/>
      <c r="C9107" s="1138"/>
    </row>
    <row r="9108" spans="1:3">
      <c r="A9108" s="1133"/>
      <c r="B9108" s="1136"/>
      <c r="C9108" s="1138"/>
    </row>
    <row r="9109" spans="1:3">
      <c r="A9109" s="1133"/>
      <c r="B9109" s="1136"/>
      <c r="C9109" s="1138"/>
    </row>
    <row r="9110" spans="1:3">
      <c r="A9110" s="1133"/>
      <c r="B9110" s="1136"/>
      <c r="C9110" s="1138"/>
    </row>
    <row r="9111" spans="1:3">
      <c r="A9111" s="1133"/>
      <c r="B9111" s="1136"/>
      <c r="C9111" s="1138"/>
    </row>
    <row r="9112" spans="1:3">
      <c r="A9112" s="1133"/>
      <c r="B9112" s="1136"/>
      <c r="C9112" s="1138"/>
    </row>
    <row r="9113" spans="1:3">
      <c r="A9113" s="1133"/>
      <c r="B9113" s="1136"/>
      <c r="C9113" s="1138"/>
    </row>
    <row r="9114" spans="1:3">
      <c r="A9114" s="1133"/>
      <c r="B9114" s="1136"/>
      <c r="C9114" s="1138"/>
    </row>
    <row r="9115" spans="1:3">
      <c r="A9115" s="1133"/>
      <c r="B9115" s="1136"/>
      <c r="C9115" s="1138"/>
    </row>
    <row r="9116" spans="1:3">
      <c r="A9116" s="1133"/>
      <c r="B9116" s="1136"/>
      <c r="C9116" s="1138"/>
    </row>
    <row r="9117" spans="1:3">
      <c r="A9117" s="1133"/>
      <c r="B9117" s="1136"/>
      <c r="C9117" s="1138"/>
    </row>
    <row r="9118" spans="1:3">
      <c r="A9118" s="1133"/>
      <c r="B9118" s="1136"/>
      <c r="C9118" s="1138"/>
    </row>
    <row r="9119" spans="1:3">
      <c r="A9119" s="1133"/>
      <c r="B9119" s="1136"/>
      <c r="C9119" s="1138"/>
    </row>
    <row r="9120" spans="1:3">
      <c r="A9120" s="1133"/>
      <c r="B9120" s="1136"/>
      <c r="C9120" s="1138"/>
    </row>
    <row r="9121" spans="1:3">
      <c r="A9121" s="1133"/>
      <c r="B9121" s="1136"/>
      <c r="C9121" s="1138"/>
    </row>
    <row r="9122" spans="1:3">
      <c r="A9122" s="1133"/>
      <c r="B9122" s="1136"/>
      <c r="C9122" s="1138"/>
    </row>
    <row r="9123" spans="1:3">
      <c r="A9123" s="1133"/>
      <c r="B9123" s="1136"/>
      <c r="C9123" s="1138"/>
    </row>
    <row r="9124" spans="1:3">
      <c r="A9124" s="1133"/>
      <c r="B9124" s="1136"/>
      <c r="C9124" s="1138"/>
    </row>
    <row r="9125" spans="1:3">
      <c r="A9125" s="1133"/>
      <c r="B9125" s="1136"/>
      <c r="C9125" s="1138"/>
    </row>
    <row r="9126" spans="1:3">
      <c r="A9126" s="1133"/>
      <c r="B9126" s="1136"/>
      <c r="C9126" s="1138"/>
    </row>
    <row r="9127" spans="1:3">
      <c r="A9127" s="1133"/>
      <c r="B9127" s="1136"/>
      <c r="C9127" s="1138"/>
    </row>
    <row r="9128" spans="1:3">
      <c r="A9128" s="1133"/>
      <c r="B9128" s="1136"/>
      <c r="C9128" s="1138"/>
    </row>
    <row r="9129" spans="1:3">
      <c r="A9129" s="1133"/>
      <c r="B9129" s="1136"/>
      <c r="C9129" s="1138"/>
    </row>
    <row r="9130" spans="1:3">
      <c r="A9130" s="1133"/>
      <c r="B9130" s="1136"/>
      <c r="C9130" s="1138"/>
    </row>
    <row r="9131" spans="1:3">
      <c r="A9131" s="1133"/>
      <c r="B9131" s="1136"/>
      <c r="C9131" s="1138"/>
    </row>
    <row r="9132" spans="1:3">
      <c r="A9132" s="1133"/>
      <c r="B9132" s="1136"/>
      <c r="C9132" s="1138"/>
    </row>
    <row r="9133" spans="1:3">
      <c r="A9133" s="1133"/>
      <c r="B9133" s="1136"/>
      <c r="C9133" s="1138"/>
    </row>
    <row r="9134" spans="1:3">
      <c r="A9134" s="1133"/>
      <c r="B9134" s="1136"/>
      <c r="C9134" s="1138"/>
    </row>
    <row r="9135" spans="1:3">
      <c r="A9135" s="1133"/>
      <c r="B9135" s="1136"/>
      <c r="C9135" s="1138"/>
    </row>
    <row r="9136" spans="1:3">
      <c r="A9136" s="1133"/>
      <c r="B9136" s="1136"/>
      <c r="C9136" s="1138"/>
    </row>
    <row r="9137" spans="1:3">
      <c r="A9137" s="1133"/>
      <c r="B9137" s="1136"/>
      <c r="C9137" s="1138"/>
    </row>
    <row r="9138" spans="1:3">
      <c r="A9138" s="1133"/>
      <c r="B9138" s="1136"/>
      <c r="C9138" s="1138"/>
    </row>
    <row r="9139" spans="1:3">
      <c r="A9139" s="1133"/>
      <c r="B9139" s="1136"/>
      <c r="C9139" s="1138"/>
    </row>
    <row r="9140" spans="1:3">
      <c r="A9140" s="1133"/>
      <c r="B9140" s="1136"/>
      <c r="C9140" s="1138"/>
    </row>
    <row r="9141" spans="1:3">
      <c r="A9141" s="1133"/>
      <c r="B9141" s="1136"/>
      <c r="C9141" s="1138"/>
    </row>
    <row r="9142" spans="1:3">
      <c r="A9142" s="1133"/>
      <c r="B9142" s="1136"/>
      <c r="C9142" s="1138"/>
    </row>
    <row r="9143" spans="1:3">
      <c r="A9143" s="1133"/>
      <c r="B9143" s="1136"/>
      <c r="C9143" s="1138"/>
    </row>
    <row r="9144" spans="1:3">
      <c r="A9144" s="1133"/>
      <c r="B9144" s="1136"/>
      <c r="C9144" s="1138"/>
    </row>
    <row r="9145" spans="1:3">
      <c r="A9145" s="1133"/>
      <c r="B9145" s="1136"/>
      <c r="C9145" s="1138"/>
    </row>
    <row r="9146" spans="1:3">
      <c r="A9146" s="1133"/>
      <c r="B9146" s="1136"/>
      <c r="C9146" s="1138"/>
    </row>
    <row r="9147" spans="1:3">
      <c r="A9147" s="1133"/>
      <c r="B9147" s="1136"/>
      <c r="C9147" s="1138"/>
    </row>
    <row r="9148" spans="1:3">
      <c r="A9148" s="1133"/>
      <c r="B9148" s="1136"/>
      <c r="C9148" s="1138"/>
    </row>
    <row r="9149" spans="1:3">
      <c r="A9149" s="1133"/>
      <c r="B9149" s="1136"/>
      <c r="C9149" s="1138"/>
    </row>
    <row r="9150" spans="1:3">
      <c r="A9150" s="1133"/>
      <c r="B9150" s="1136"/>
      <c r="C9150" s="1138"/>
    </row>
    <row r="9151" spans="1:3">
      <c r="A9151" s="1133"/>
      <c r="B9151" s="1136"/>
      <c r="C9151" s="1138"/>
    </row>
    <row r="9152" spans="1:3">
      <c r="A9152" s="1133"/>
      <c r="B9152" s="1136"/>
      <c r="C9152" s="1138"/>
    </row>
    <row r="9153" spans="1:3">
      <c r="A9153" s="1133"/>
      <c r="B9153" s="1136"/>
      <c r="C9153" s="1138"/>
    </row>
    <row r="9154" spans="1:3">
      <c r="A9154" s="1133"/>
      <c r="B9154" s="1136"/>
      <c r="C9154" s="1138"/>
    </row>
    <row r="9155" spans="1:3">
      <c r="A9155" s="1133"/>
      <c r="B9155" s="1136"/>
      <c r="C9155" s="1138"/>
    </row>
    <row r="9156" spans="1:3">
      <c r="A9156" s="1133"/>
      <c r="B9156" s="1136"/>
      <c r="C9156" s="1138"/>
    </row>
    <row r="9157" spans="1:3">
      <c r="A9157" s="1133"/>
      <c r="B9157" s="1136"/>
      <c r="C9157" s="1138"/>
    </row>
    <row r="9158" spans="1:3">
      <c r="A9158" s="1133"/>
      <c r="B9158" s="1136"/>
      <c r="C9158" s="1138"/>
    </row>
    <row r="9159" spans="1:3">
      <c r="A9159" s="1133"/>
      <c r="B9159" s="1136"/>
      <c r="C9159" s="1138"/>
    </row>
    <row r="9160" spans="1:3">
      <c r="A9160" s="1133"/>
      <c r="B9160" s="1136"/>
      <c r="C9160" s="1138"/>
    </row>
    <row r="9161" spans="1:3">
      <c r="A9161" s="1133"/>
      <c r="B9161" s="1136"/>
      <c r="C9161" s="1138"/>
    </row>
    <row r="9162" spans="1:3">
      <c r="A9162" s="1133"/>
      <c r="B9162" s="1136"/>
      <c r="C9162" s="1138"/>
    </row>
    <row r="9163" spans="1:3">
      <c r="A9163" s="1133"/>
      <c r="B9163" s="1136"/>
      <c r="C9163" s="1138"/>
    </row>
    <row r="9164" spans="1:3">
      <c r="A9164" s="1133"/>
      <c r="B9164" s="1136"/>
      <c r="C9164" s="1138"/>
    </row>
    <row r="9165" spans="1:3">
      <c r="A9165" s="1133"/>
      <c r="B9165" s="1136"/>
      <c r="C9165" s="1138"/>
    </row>
    <row r="9166" spans="1:3">
      <c r="A9166" s="1133"/>
      <c r="B9166" s="1136"/>
      <c r="C9166" s="1138"/>
    </row>
    <row r="9167" spans="1:3">
      <c r="A9167" s="1133"/>
      <c r="B9167" s="1136"/>
      <c r="C9167" s="1138"/>
    </row>
    <row r="9168" spans="1:3">
      <c r="A9168" s="1133"/>
      <c r="B9168" s="1136"/>
      <c r="C9168" s="1138"/>
    </row>
    <row r="9169" spans="1:3">
      <c r="A9169" s="1133"/>
      <c r="B9169" s="1136"/>
      <c r="C9169" s="1138"/>
    </row>
    <row r="9170" spans="1:3">
      <c r="A9170" s="1133"/>
      <c r="B9170" s="1136"/>
      <c r="C9170" s="1138"/>
    </row>
    <row r="9171" spans="1:3">
      <c r="A9171" s="1133"/>
      <c r="B9171" s="1136"/>
      <c r="C9171" s="1138"/>
    </row>
    <row r="9172" spans="1:3">
      <c r="A9172" s="1133"/>
      <c r="B9172" s="1136"/>
      <c r="C9172" s="1138"/>
    </row>
    <row r="9173" spans="1:3">
      <c r="A9173" s="1133"/>
      <c r="B9173" s="1136"/>
      <c r="C9173" s="1138"/>
    </row>
    <row r="9174" spans="1:3">
      <c r="A9174" s="1133"/>
      <c r="B9174" s="1136"/>
      <c r="C9174" s="1138"/>
    </row>
    <row r="9175" spans="1:3">
      <c r="A9175" s="1133"/>
      <c r="B9175" s="1136"/>
      <c r="C9175" s="1138"/>
    </row>
    <row r="9176" spans="1:3">
      <c r="A9176" s="1133"/>
      <c r="B9176" s="1136"/>
      <c r="C9176" s="1138"/>
    </row>
    <row r="9177" spans="1:3">
      <c r="A9177" s="1133"/>
      <c r="B9177" s="1136"/>
      <c r="C9177" s="1138"/>
    </row>
    <row r="9178" spans="1:3">
      <c r="A9178" s="1133"/>
      <c r="B9178" s="1136"/>
      <c r="C9178" s="1138"/>
    </row>
    <row r="9179" spans="1:3">
      <c r="A9179" s="1133"/>
      <c r="B9179" s="1136"/>
      <c r="C9179" s="1138"/>
    </row>
    <row r="9180" spans="1:3">
      <c r="A9180" s="1133"/>
      <c r="B9180" s="1136"/>
      <c r="C9180" s="1138"/>
    </row>
    <row r="9181" spans="1:3">
      <c r="A9181" s="1133"/>
      <c r="B9181" s="1136"/>
      <c r="C9181" s="1138"/>
    </row>
    <row r="9182" spans="1:3">
      <c r="A9182" s="1133"/>
      <c r="B9182" s="1136"/>
      <c r="C9182" s="1138"/>
    </row>
    <row r="9183" spans="1:3">
      <c r="A9183" s="1133"/>
      <c r="B9183" s="1136"/>
      <c r="C9183" s="1138"/>
    </row>
    <row r="9184" spans="1:3">
      <c r="A9184" s="1133"/>
      <c r="B9184" s="1136"/>
      <c r="C9184" s="1138"/>
    </row>
    <row r="9185" spans="1:3">
      <c r="A9185" s="1133"/>
      <c r="B9185" s="1136"/>
      <c r="C9185" s="1138"/>
    </row>
    <row r="9186" spans="1:3">
      <c r="A9186" s="1133"/>
      <c r="B9186" s="1136"/>
      <c r="C9186" s="1138"/>
    </row>
    <row r="9187" spans="1:3">
      <c r="A9187" s="1133"/>
      <c r="B9187" s="1136"/>
      <c r="C9187" s="1138"/>
    </row>
    <row r="9188" spans="1:3">
      <c r="A9188" s="1133"/>
      <c r="B9188" s="1136"/>
      <c r="C9188" s="1138"/>
    </row>
    <row r="9189" spans="1:3">
      <c r="A9189" s="1133"/>
      <c r="B9189" s="1136"/>
      <c r="C9189" s="1138"/>
    </row>
    <row r="9190" spans="1:3">
      <c r="A9190" s="1133"/>
      <c r="B9190" s="1136"/>
      <c r="C9190" s="1138"/>
    </row>
    <row r="9191" spans="1:3">
      <c r="A9191" s="1133"/>
      <c r="B9191" s="1136"/>
      <c r="C9191" s="1138"/>
    </row>
    <row r="9192" spans="1:3">
      <c r="A9192" s="1133"/>
      <c r="B9192" s="1136"/>
      <c r="C9192" s="1138"/>
    </row>
    <row r="9193" spans="1:3">
      <c r="A9193" s="1133"/>
      <c r="B9193" s="1136"/>
      <c r="C9193" s="1138"/>
    </row>
    <row r="9194" spans="1:3">
      <c r="A9194" s="1133"/>
      <c r="B9194" s="1136"/>
      <c r="C9194" s="1138"/>
    </row>
    <row r="9195" spans="1:3">
      <c r="A9195" s="1133"/>
      <c r="B9195" s="1136"/>
      <c r="C9195" s="1138"/>
    </row>
    <row r="9196" spans="1:3">
      <c r="A9196" s="1133"/>
      <c r="B9196" s="1136"/>
      <c r="C9196" s="1138"/>
    </row>
    <row r="9197" spans="1:3">
      <c r="A9197" s="1133"/>
      <c r="B9197" s="1136"/>
      <c r="C9197" s="1138"/>
    </row>
    <row r="9198" spans="1:3">
      <c r="A9198" s="1133"/>
      <c r="B9198" s="1136"/>
      <c r="C9198" s="1138"/>
    </row>
    <row r="9199" spans="1:3">
      <c r="A9199" s="1133"/>
      <c r="B9199" s="1136"/>
      <c r="C9199" s="1138"/>
    </row>
    <row r="9200" spans="1:3">
      <c r="A9200" s="1133"/>
      <c r="B9200" s="1136"/>
      <c r="C9200" s="1138"/>
    </row>
    <row r="9201" spans="1:3">
      <c r="A9201" s="1133"/>
      <c r="B9201" s="1136"/>
      <c r="C9201" s="1138"/>
    </row>
    <row r="9202" spans="1:3">
      <c r="A9202" s="1133"/>
      <c r="B9202" s="1136"/>
      <c r="C9202" s="1138"/>
    </row>
    <row r="9203" spans="1:3">
      <c r="A9203" s="1133"/>
      <c r="B9203" s="1136"/>
      <c r="C9203" s="1138"/>
    </row>
    <row r="9204" spans="1:3">
      <c r="A9204" s="1133"/>
      <c r="B9204" s="1136"/>
      <c r="C9204" s="1138"/>
    </row>
    <row r="9205" spans="1:3">
      <c r="A9205" s="1133"/>
      <c r="B9205" s="1136"/>
      <c r="C9205" s="1138"/>
    </row>
    <row r="9206" spans="1:3">
      <c r="A9206" s="1133"/>
      <c r="B9206" s="1136"/>
      <c r="C9206" s="1138"/>
    </row>
    <row r="9207" spans="1:3">
      <c r="A9207" s="1133"/>
      <c r="B9207" s="1136"/>
      <c r="C9207" s="1138"/>
    </row>
    <row r="9208" spans="1:3">
      <c r="A9208" s="1133"/>
      <c r="B9208" s="1136"/>
      <c r="C9208" s="1138"/>
    </row>
    <row r="9209" spans="1:3">
      <c r="A9209" s="1133"/>
      <c r="B9209" s="1136"/>
      <c r="C9209" s="1138"/>
    </row>
    <row r="9210" spans="1:3">
      <c r="A9210" s="1133"/>
      <c r="B9210" s="1136"/>
      <c r="C9210" s="1138"/>
    </row>
    <row r="9211" spans="1:3">
      <c r="A9211" s="1133"/>
      <c r="B9211" s="1136"/>
      <c r="C9211" s="1138"/>
    </row>
    <row r="9212" spans="1:3">
      <c r="A9212" s="1133"/>
      <c r="B9212" s="1136"/>
      <c r="C9212" s="1138"/>
    </row>
    <row r="9213" spans="1:3">
      <c r="A9213" s="1133"/>
      <c r="B9213" s="1136"/>
      <c r="C9213" s="1138"/>
    </row>
    <row r="9214" spans="1:3">
      <c r="A9214" s="1133"/>
      <c r="B9214" s="1136"/>
      <c r="C9214" s="1138"/>
    </row>
    <row r="9215" spans="1:3">
      <c r="A9215" s="1133"/>
      <c r="B9215" s="1136"/>
      <c r="C9215" s="1138"/>
    </row>
    <row r="9216" spans="1:3">
      <c r="A9216" s="1133"/>
      <c r="B9216" s="1136"/>
      <c r="C9216" s="1138"/>
    </row>
    <row r="9217" spans="1:3">
      <c r="A9217" s="1133"/>
      <c r="B9217" s="1136"/>
      <c r="C9217" s="1138"/>
    </row>
    <row r="9218" spans="1:3">
      <c r="A9218" s="1133"/>
      <c r="B9218" s="1136"/>
      <c r="C9218" s="1138"/>
    </row>
    <row r="9219" spans="1:3">
      <c r="A9219" s="1133"/>
      <c r="B9219" s="1136"/>
      <c r="C9219" s="1138"/>
    </row>
    <row r="9220" spans="1:3">
      <c r="A9220" s="1133"/>
      <c r="B9220" s="1136"/>
      <c r="C9220" s="1138"/>
    </row>
    <row r="9221" spans="1:3">
      <c r="A9221" s="1133"/>
      <c r="B9221" s="1136"/>
      <c r="C9221" s="1138"/>
    </row>
    <row r="9222" spans="1:3">
      <c r="A9222" s="1133"/>
      <c r="B9222" s="1136"/>
      <c r="C9222" s="1138"/>
    </row>
    <row r="9223" spans="1:3">
      <c r="A9223" s="1133"/>
      <c r="B9223" s="1136"/>
      <c r="C9223" s="1138"/>
    </row>
    <row r="9224" spans="1:3">
      <c r="A9224" s="1133"/>
      <c r="B9224" s="1136"/>
      <c r="C9224" s="1138"/>
    </row>
    <row r="9225" spans="1:3">
      <c r="A9225" s="1133"/>
      <c r="B9225" s="1136"/>
      <c r="C9225" s="1138"/>
    </row>
    <row r="9226" spans="1:3">
      <c r="A9226" s="1133"/>
      <c r="B9226" s="1136"/>
      <c r="C9226" s="1138"/>
    </row>
    <row r="9227" spans="1:3">
      <c r="A9227" s="1133"/>
      <c r="B9227" s="1136"/>
      <c r="C9227" s="1138"/>
    </row>
    <row r="9228" spans="1:3">
      <c r="A9228" s="1133"/>
      <c r="B9228" s="1136"/>
      <c r="C9228" s="1138"/>
    </row>
    <row r="9229" spans="1:3">
      <c r="A9229" s="1133"/>
      <c r="B9229" s="1136"/>
      <c r="C9229" s="1138"/>
    </row>
    <row r="9230" spans="1:3">
      <c r="A9230" s="1133"/>
      <c r="B9230" s="1136"/>
      <c r="C9230" s="1138"/>
    </row>
    <row r="9231" spans="1:3">
      <c r="A9231" s="1133"/>
      <c r="B9231" s="1136"/>
      <c r="C9231" s="1138"/>
    </row>
    <row r="9232" spans="1:3">
      <c r="A9232" s="1133"/>
      <c r="B9232" s="1136"/>
      <c r="C9232" s="1138"/>
    </row>
    <row r="9233" spans="1:3">
      <c r="A9233" s="1133"/>
      <c r="B9233" s="1136"/>
      <c r="C9233" s="1138"/>
    </row>
    <row r="9234" spans="1:3">
      <c r="A9234" s="1133"/>
      <c r="B9234" s="1136"/>
      <c r="C9234" s="1138"/>
    </row>
    <row r="9235" spans="1:3">
      <c r="A9235" s="1133"/>
      <c r="B9235" s="1136"/>
      <c r="C9235" s="1138"/>
    </row>
    <row r="9236" spans="1:3">
      <c r="A9236" s="1133"/>
      <c r="B9236" s="1136"/>
      <c r="C9236" s="1138"/>
    </row>
    <row r="9237" spans="1:3">
      <c r="A9237" s="1133"/>
      <c r="B9237" s="1136"/>
      <c r="C9237" s="1138"/>
    </row>
    <row r="9238" spans="1:3">
      <c r="A9238" s="1133"/>
      <c r="B9238" s="1136"/>
      <c r="C9238" s="1138"/>
    </row>
    <row r="9239" spans="1:3">
      <c r="A9239" s="1133"/>
      <c r="B9239" s="1136"/>
      <c r="C9239" s="1138"/>
    </row>
    <row r="9240" spans="1:3">
      <c r="A9240" s="1133"/>
      <c r="B9240" s="1136"/>
      <c r="C9240" s="1138"/>
    </row>
    <row r="9241" spans="1:3">
      <c r="A9241" s="1133"/>
      <c r="B9241" s="1136"/>
      <c r="C9241" s="1138"/>
    </row>
    <row r="9242" spans="1:3">
      <c r="A9242" s="1133"/>
      <c r="B9242" s="1136"/>
      <c r="C9242" s="1138"/>
    </row>
    <row r="9243" spans="1:3">
      <c r="A9243" s="1133"/>
      <c r="B9243" s="1136"/>
      <c r="C9243" s="1138"/>
    </row>
    <row r="9244" spans="1:3">
      <c r="A9244" s="1133"/>
      <c r="B9244" s="1136"/>
      <c r="C9244" s="1138"/>
    </row>
    <row r="9245" spans="1:3">
      <c r="A9245" s="1133"/>
      <c r="B9245" s="1136"/>
      <c r="C9245" s="1138"/>
    </row>
    <row r="9246" spans="1:3">
      <c r="A9246" s="1133"/>
      <c r="B9246" s="1136"/>
      <c r="C9246" s="1138"/>
    </row>
    <row r="9247" spans="1:3">
      <c r="A9247" s="1133"/>
      <c r="B9247" s="1136"/>
      <c r="C9247" s="1138"/>
    </row>
    <row r="9248" spans="1:3">
      <c r="A9248" s="1133"/>
      <c r="B9248" s="1136"/>
      <c r="C9248" s="1138"/>
    </row>
    <row r="9249" spans="1:3">
      <c r="A9249" s="1133"/>
      <c r="B9249" s="1136"/>
      <c r="C9249" s="1138"/>
    </row>
    <row r="9250" spans="1:3">
      <c r="A9250" s="1133"/>
      <c r="B9250" s="1136"/>
      <c r="C9250" s="1138"/>
    </row>
    <row r="9251" spans="1:3">
      <c r="A9251" s="1133"/>
      <c r="B9251" s="1136"/>
      <c r="C9251" s="1138"/>
    </row>
    <row r="9252" spans="1:3">
      <c r="A9252" s="1133"/>
      <c r="B9252" s="1136"/>
      <c r="C9252" s="1138"/>
    </row>
    <row r="9253" spans="1:3">
      <c r="A9253" s="1133"/>
      <c r="B9253" s="1136"/>
      <c r="C9253" s="1138"/>
    </row>
    <row r="9254" spans="1:3">
      <c r="A9254" s="1133"/>
      <c r="B9254" s="1136"/>
      <c r="C9254" s="1138"/>
    </row>
    <row r="9255" spans="1:3">
      <c r="A9255" s="1133"/>
      <c r="B9255" s="1136"/>
      <c r="C9255" s="1138"/>
    </row>
    <row r="9256" spans="1:3">
      <c r="A9256" s="1133"/>
      <c r="B9256" s="1136"/>
      <c r="C9256" s="1138"/>
    </row>
    <row r="9257" spans="1:3">
      <c r="A9257" s="1133"/>
      <c r="B9257" s="1136"/>
      <c r="C9257" s="1138"/>
    </row>
    <row r="9258" spans="1:3">
      <c r="A9258" s="1133"/>
      <c r="B9258" s="1136"/>
      <c r="C9258" s="1138"/>
    </row>
    <row r="9259" spans="1:3">
      <c r="A9259" s="1133"/>
      <c r="B9259" s="1136"/>
      <c r="C9259" s="1138"/>
    </row>
    <row r="9260" spans="1:3">
      <c r="A9260" s="1133"/>
      <c r="B9260" s="1136"/>
      <c r="C9260" s="1138"/>
    </row>
    <row r="9261" spans="1:3">
      <c r="A9261" s="1133"/>
      <c r="B9261" s="1136"/>
      <c r="C9261" s="1138"/>
    </row>
    <row r="9262" spans="1:3">
      <c r="A9262" s="1133"/>
      <c r="B9262" s="1136"/>
      <c r="C9262" s="1138"/>
    </row>
    <row r="9263" spans="1:3">
      <c r="A9263" s="1133"/>
      <c r="B9263" s="1136"/>
      <c r="C9263" s="1138"/>
    </row>
    <row r="9264" spans="1:3">
      <c r="A9264" s="1133"/>
      <c r="B9264" s="1136"/>
      <c r="C9264" s="1138"/>
    </row>
    <row r="9265" spans="1:3">
      <c r="A9265" s="1133"/>
      <c r="B9265" s="1136"/>
      <c r="C9265" s="1138"/>
    </row>
    <row r="9266" spans="1:3">
      <c r="A9266" s="1133"/>
      <c r="B9266" s="1136"/>
      <c r="C9266" s="1138"/>
    </row>
    <row r="9267" spans="1:3">
      <c r="A9267" s="1133"/>
      <c r="B9267" s="1136"/>
      <c r="C9267" s="1138"/>
    </row>
    <row r="9268" spans="1:3">
      <c r="A9268" s="1133"/>
      <c r="B9268" s="1136"/>
      <c r="C9268" s="1138"/>
    </row>
    <row r="9269" spans="1:3">
      <c r="A9269" s="1133"/>
      <c r="B9269" s="1136"/>
      <c r="C9269" s="1138"/>
    </row>
    <row r="9270" spans="1:3">
      <c r="A9270" s="1133"/>
      <c r="B9270" s="1136"/>
      <c r="C9270" s="1138"/>
    </row>
    <row r="9271" spans="1:3">
      <c r="A9271" s="1133"/>
      <c r="B9271" s="1136"/>
      <c r="C9271" s="1138"/>
    </row>
    <row r="9272" spans="1:3">
      <c r="A9272" s="1133"/>
      <c r="B9272" s="1136"/>
      <c r="C9272" s="1138"/>
    </row>
    <row r="9273" spans="1:3">
      <c r="A9273" s="1133"/>
      <c r="B9273" s="1136"/>
      <c r="C9273" s="1138"/>
    </row>
    <row r="9274" spans="1:3">
      <c r="A9274" s="1133"/>
      <c r="B9274" s="1136"/>
      <c r="C9274" s="1138"/>
    </row>
    <row r="9275" spans="1:3">
      <c r="A9275" s="1133"/>
      <c r="B9275" s="1136"/>
      <c r="C9275" s="1138"/>
    </row>
    <row r="9276" spans="1:3">
      <c r="A9276" s="1133"/>
      <c r="B9276" s="1136"/>
      <c r="C9276" s="1138"/>
    </row>
    <row r="9277" spans="1:3">
      <c r="A9277" s="1133"/>
      <c r="B9277" s="1136"/>
      <c r="C9277" s="1138"/>
    </row>
    <row r="9278" spans="1:3">
      <c r="A9278" s="1133"/>
      <c r="B9278" s="1136"/>
      <c r="C9278" s="1138"/>
    </row>
    <row r="9279" spans="1:3">
      <c r="A9279" s="1133"/>
      <c r="B9279" s="1136"/>
      <c r="C9279" s="1138"/>
    </row>
    <row r="9280" spans="1:3">
      <c r="A9280" s="1133"/>
      <c r="B9280" s="1136"/>
      <c r="C9280" s="1138"/>
    </row>
    <row r="9281" spans="1:3">
      <c r="A9281" s="1133"/>
      <c r="B9281" s="1136"/>
      <c r="C9281" s="1138"/>
    </row>
    <row r="9282" spans="1:3">
      <c r="A9282" s="1133"/>
      <c r="B9282" s="1136"/>
      <c r="C9282" s="1138"/>
    </row>
    <row r="9283" spans="1:3">
      <c r="A9283" s="1133"/>
      <c r="B9283" s="1136"/>
      <c r="C9283" s="1138"/>
    </row>
    <row r="9284" spans="1:3">
      <c r="A9284" s="1133"/>
      <c r="B9284" s="1136"/>
      <c r="C9284" s="1138"/>
    </row>
    <row r="9285" spans="1:3">
      <c r="A9285" s="1133"/>
      <c r="B9285" s="1136"/>
      <c r="C9285" s="1138"/>
    </row>
    <row r="9286" spans="1:3">
      <c r="A9286" s="1133"/>
      <c r="B9286" s="1136"/>
      <c r="C9286" s="1138"/>
    </row>
    <row r="9287" spans="1:3">
      <c r="A9287" s="1133"/>
      <c r="B9287" s="1136"/>
      <c r="C9287" s="1138"/>
    </row>
    <row r="9288" spans="1:3">
      <c r="A9288" s="1133"/>
      <c r="B9288" s="1136"/>
      <c r="C9288" s="1138"/>
    </row>
    <row r="9289" spans="1:3">
      <c r="A9289" s="1133"/>
      <c r="B9289" s="1136"/>
      <c r="C9289" s="1138"/>
    </row>
    <row r="9290" spans="1:3">
      <c r="A9290" s="1133"/>
      <c r="B9290" s="1136"/>
      <c r="C9290" s="1138"/>
    </row>
    <row r="9291" spans="1:3">
      <c r="A9291" s="1133"/>
      <c r="B9291" s="1136"/>
      <c r="C9291" s="1138"/>
    </row>
    <row r="9292" spans="1:3">
      <c r="A9292" s="1133"/>
      <c r="B9292" s="1136"/>
      <c r="C9292" s="1138"/>
    </row>
    <row r="9293" spans="1:3">
      <c r="A9293" s="1133"/>
      <c r="B9293" s="1136"/>
      <c r="C9293" s="1138"/>
    </row>
    <row r="9294" spans="1:3">
      <c r="A9294" s="1133"/>
      <c r="B9294" s="1136"/>
      <c r="C9294" s="1138"/>
    </row>
    <row r="9295" spans="1:3">
      <c r="A9295" s="1133"/>
      <c r="B9295" s="1136"/>
      <c r="C9295" s="1138"/>
    </row>
    <row r="9296" spans="1:3">
      <c r="A9296" s="1133"/>
      <c r="B9296" s="1136"/>
      <c r="C9296" s="1138"/>
    </row>
    <row r="9297" spans="1:3">
      <c r="A9297" s="1133"/>
      <c r="B9297" s="1136"/>
      <c r="C9297" s="1138"/>
    </row>
    <row r="9298" spans="1:3">
      <c r="A9298" s="1133"/>
      <c r="B9298" s="1136"/>
      <c r="C9298" s="1138"/>
    </row>
    <row r="9299" spans="1:3">
      <c r="A9299" s="1133"/>
      <c r="B9299" s="1136"/>
      <c r="C9299" s="1138"/>
    </row>
    <row r="9300" spans="1:3">
      <c r="A9300" s="1133"/>
      <c r="B9300" s="1136"/>
      <c r="C9300" s="1138"/>
    </row>
    <row r="9301" spans="1:3">
      <c r="A9301" s="1133"/>
      <c r="B9301" s="1136"/>
      <c r="C9301" s="1138"/>
    </row>
    <row r="9302" spans="1:3">
      <c r="A9302" s="1133"/>
      <c r="B9302" s="1136"/>
      <c r="C9302" s="1138"/>
    </row>
    <row r="9303" spans="1:3">
      <c r="A9303" s="1133"/>
      <c r="B9303" s="1136"/>
      <c r="C9303" s="1138"/>
    </row>
    <row r="9304" spans="1:3">
      <c r="A9304" s="1133"/>
      <c r="B9304" s="1136"/>
      <c r="C9304" s="1138"/>
    </row>
    <row r="9305" spans="1:3">
      <c r="A9305" s="1133"/>
      <c r="B9305" s="1136"/>
      <c r="C9305" s="1138"/>
    </row>
    <row r="9306" spans="1:3">
      <c r="A9306" s="1133"/>
      <c r="B9306" s="1136"/>
      <c r="C9306" s="1138"/>
    </row>
    <row r="9307" spans="1:3">
      <c r="A9307" s="1133"/>
      <c r="B9307" s="1136"/>
      <c r="C9307" s="1138"/>
    </row>
    <row r="9308" spans="1:3">
      <c r="A9308" s="1133"/>
      <c r="B9308" s="1136"/>
      <c r="C9308" s="1138"/>
    </row>
    <row r="9309" spans="1:3">
      <c r="A9309" s="1133"/>
      <c r="B9309" s="1136"/>
      <c r="C9309" s="1138"/>
    </row>
    <row r="9310" spans="1:3">
      <c r="A9310" s="1133"/>
      <c r="B9310" s="1136"/>
      <c r="C9310" s="1138"/>
    </row>
    <row r="9311" spans="1:3">
      <c r="A9311" s="1133"/>
      <c r="B9311" s="1136"/>
      <c r="C9311" s="1138"/>
    </row>
    <row r="9312" spans="1:3">
      <c r="A9312" s="1133"/>
      <c r="B9312" s="1136"/>
      <c r="C9312" s="1138"/>
    </row>
    <row r="9313" spans="1:3">
      <c r="A9313" s="1133"/>
      <c r="B9313" s="1136"/>
      <c r="C9313" s="1138"/>
    </row>
    <row r="9314" spans="1:3">
      <c r="A9314" s="1133"/>
      <c r="B9314" s="1136"/>
      <c r="C9314" s="1138"/>
    </row>
    <row r="9315" spans="1:3">
      <c r="A9315" s="1133"/>
      <c r="B9315" s="1136"/>
      <c r="C9315" s="1138"/>
    </row>
    <row r="9316" spans="1:3">
      <c r="A9316" s="1133"/>
      <c r="B9316" s="1136"/>
      <c r="C9316" s="1138"/>
    </row>
    <row r="9317" spans="1:3">
      <c r="A9317" s="1133"/>
      <c r="B9317" s="1136"/>
      <c r="C9317" s="1138"/>
    </row>
    <row r="9318" spans="1:3">
      <c r="A9318" s="1133"/>
      <c r="B9318" s="1136"/>
      <c r="C9318" s="1138"/>
    </row>
    <row r="9319" spans="1:3">
      <c r="A9319" s="1133"/>
      <c r="B9319" s="1136"/>
      <c r="C9319" s="1138"/>
    </row>
    <row r="9320" spans="1:3">
      <c r="A9320" s="1133"/>
      <c r="B9320" s="1136"/>
      <c r="C9320" s="1138"/>
    </row>
    <row r="9321" spans="1:3">
      <c r="A9321" s="1133"/>
      <c r="B9321" s="1136"/>
      <c r="C9321" s="1138"/>
    </row>
    <row r="9322" spans="1:3">
      <c r="A9322" s="1133"/>
      <c r="B9322" s="1136"/>
      <c r="C9322" s="1138"/>
    </row>
    <row r="9323" spans="1:3">
      <c r="A9323" s="1133"/>
      <c r="B9323" s="1136"/>
      <c r="C9323" s="1138"/>
    </row>
    <row r="9324" spans="1:3">
      <c r="A9324" s="1133"/>
      <c r="B9324" s="1136"/>
      <c r="C9324" s="1138"/>
    </row>
    <row r="9325" spans="1:3">
      <c r="A9325" s="1133"/>
      <c r="B9325" s="1136"/>
      <c r="C9325" s="1138"/>
    </row>
    <row r="9326" spans="1:3">
      <c r="A9326" s="1133"/>
      <c r="B9326" s="1136"/>
      <c r="C9326" s="1138"/>
    </row>
    <row r="9327" spans="1:3">
      <c r="A9327" s="1133"/>
      <c r="B9327" s="1136"/>
      <c r="C9327" s="1138"/>
    </row>
    <row r="9328" spans="1:3">
      <c r="A9328" s="1133"/>
      <c r="B9328" s="1136"/>
      <c r="C9328" s="1138"/>
    </row>
    <row r="9329" spans="1:3">
      <c r="A9329" s="1133"/>
      <c r="B9329" s="1136"/>
      <c r="C9329" s="1138"/>
    </row>
    <row r="9330" spans="1:3">
      <c r="A9330" s="1133"/>
      <c r="B9330" s="1136"/>
      <c r="C9330" s="1138"/>
    </row>
    <row r="9331" spans="1:3">
      <c r="A9331" s="1133"/>
      <c r="B9331" s="1136"/>
      <c r="C9331" s="1138"/>
    </row>
    <row r="9332" spans="1:3">
      <c r="A9332" s="1133"/>
      <c r="B9332" s="1136"/>
      <c r="C9332" s="1138"/>
    </row>
    <row r="9333" spans="1:3">
      <c r="A9333" s="1133"/>
      <c r="B9333" s="1136"/>
      <c r="C9333" s="1138"/>
    </row>
    <row r="9334" spans="1:3">
      <c r="A9334" s="1133"/>
      <c r="B9334" s="1136"/>
      <c r="C9334" s="1138"/>
    </row>
    <row r="9335" spans="1:3">
      <c r="A9335" s="1133"/>
      <c r="B9335" s="1136"/>
      <c r="C9335" s="1138"/>
    </row>
    <row r="9336" spans="1:3">
      <c r="A9336" s="1133"/>
      <c r="B9336" s="1136"/>
      <c r="C9336" s="1138"/>
    </row>
    <row r="9337" spans="1:3">
      <c r="A9337" s="1133"/>
      <c r="B9337" s="1136"/>
      <c r="C9337" s="1138"/>
    </row>
    <row r="9338" spans="1:3">
      <c r="A9338" s="1133"/>
      <c r="B9338" s="1136"/>
      <c r="C9338" s="1138"/>
    </row>
    <row r="9339" spans="1:3">
      <c r="A9339" s="1133"/>
      <c r="B9339" s="1136"/>
      <c r="C9339" s="1138"/>
    </row>
    <row r="9340" spans="1:3">
      <c r="A9340" s="1133"/>
      <c r="B9340" s="1136"/>
      <c r="C9340" s="1138"/>
    </row>
    <row r="9341" spans="1:3">
      <c r="A9341" s="1133"/>
      <c r="B9341" s="1136"/>
      <c r="C9341" s="1138"/>
    </row>
    <row r="9342" spans="1:3">
      <c r="A9342" s="1133"/>
      <c r="B9342" s="1136"/>
      <c r="C9342" s="1138"/>
    </row>
    <row r="9343" spans="1:3">
      <c r="A9343" s="1133"/>
      <c r="B9343" s="1136"/>
      <c r="C9343" s="1138"/>
    </row>
    <row r="9344" spans="1:3">
      <c r="A9344" s="1133"/>
      <c r="B9344" s="1136"/>
      <c r="C9344" s="1138"/>
    </row>
    <row r="9345" spans="1:3">
      <c r="A9345" s="1133"/>
      <c r="B9345" s="1136"/>
      <c r="C9345" s="1138"/>
    </row>
    <row r="9346" spans="1:3">
      <c r="A9346" s="1133"/>
      <c r="B9346" s="1136"/>
      <c r="C9346" s="1138"/>
    </row>
    <row r="9347" spans="1:3">
      <c r="A9347" s="1133"/>
      <c r="B9347" s="1136"/>
      <c r="C9347" s="1138"/>
    </row>
    <row r="9348" spans="1:3">
      <c r="A9348" s="1133"/>
      <c r="B9348" s="1136"/>
      <c r="C9348" s="1138"/>
    </row>
    <row r="9349" spans="1:3">
      <c r="A9349" s="1133"/>
      <c r="B9349" s="1136"/>
      <c r="C9349" s="1138"/>
    </row>
    <row r="9350" spans="1:3">
      <c r="A9350" s="1133"/>
      <c r="B9350" s="1136"/>
      <c r="C9350" s="1138"/>
    </row>
    <row r="9351" spans="1:3">
      <c r="A9351" s="1133"/>
      <c r="B9351" s="1136"/>
      <c r="C9351" s="1138"/>
    </row>
    <row r="9352" spans="1:3">
      <c r="A9352" s="1133"/>
      <c r="B9352" s="1136"/>
      <c r="C9352" s="1138"/>
    </row>
    <row r="9353" spans="1:3">
      <c r="A9353" s="1133"/>
      <c r="B9353" s="1136"/>
      <c r="C9353" s="1138"/>
    </row>
    <row r="9354" spans="1:3">
      <c r="A9354" s="1133"/>
      <c r="B9354" s="1136"/>
      <c r="C9354" s="1138"/>
    </row>
    <row r="9355" spans="1:3">
      <c r="A9355" s="1133"/>
      <c r="B9355" s="1136"/>
      <c r="C9355" s="1138"/>
    </row>
    <row r="9356" spans="1:3">
      <c r="A9356" s="1133"/>
      <c r="B9356" s="1136"/>
      <c r="C9356" s="1138"/>
    </row>
    <row r="9357" spans="1:3">
      <c r="A9357" s="1133"/>
      <c r="B9357" s="1136"/>
      <c r="C9357" s="1138"/>
    </row>
    <row r="9358" spans="1:3">
      <c r="A9358" s="1133"/>
      <c r="B9358" s="1136"/>
      <c r="C9358" s="1138"/>
    </row>
    <row r="9359" spans="1:3">
      <c r="A9359" s="1133"/>
      <c r="B9359" s="1136"/>
      <c r="C9359" s="1138"/>
    </row>
    <row r="9360" spans="1:3">
      <c r="A9360" s="1133"/>
      <c r="B9360" s="1136"/>
      <c r="C9360" s="1138"/>
    </row>
    <row r="9361" spans="1:3">
      <c r="A9361" s="1133"/>
      <c r="B9361" s="1136"/>
      <c r="C9361" s="1138"/>
    </row>
    <row r="9362" spans="1:3">
      <c r="A9362" s="1133"/>
      <c r="B9362" s="1136"/>
      <c r="C9362" s="1138"/>
    </row>
    <row r="9363" spans="1:3">
      <c r="A9363" s="1133"/>
      <c r="B9363" s="1136"/>
      <c r="C9363" s="1138"/>
    </row>
    <row r="9364" spans="1:3">
      <c r="A9364" s="1133"/>
      <c r="B9364" s="1136"/>
      <c r="C9364" s="1138"/>
    </row>
    <row r="9365" spans="1:3">
      <c r="A9365" s="1133"/>
      <c r="B9365" s="1136"/>
      <c r="C9365" s="1138"/>
    </row>
    <row r="9366" spans="1:3">
      <c r="A9366" s="1133"/>
      <c r="B9366" s="1136"/>
      <c r="C9366" s="1138"/>
    </row>
    <row r="9367" spans="1:3">
      <c r="A9367" s="1133"/>
      <c r="B9367" s="1136"/>
      <c r="C9367" s="1138"/>
    </row>
    <row r="9368" spans="1:3">
      <c r="A9368" s="1133"/>
      <c r="B9368" s="1136"/>
      <c r="C9368" s="1138"/>
    </row>
    <row r="9369" spans="1:3">
      <c r="A9369" s="1133"/>
      <c r="B9369" s="1136"/>
      <c r="C9369" s="1138"/>
    </row>
    <row r="9370" spans="1:3">
      <c r="A9370" s="1133"/>
      <c r="B9370" s="1136"/>
      <c r="C9370" s="1138"/>
    </row>
    <row r="9371" spans="1:3">
      <c r="A9371" s="1133"/>
      <c r="B9371" s="1136"/>
      <c r="C9371" s="1138"/>
    </row>
    <row r="9372" spans="1:3">
      <c r="A9372" s="1133"/>
      <c r="B9372" s="1136"/>
      <c r="C9372" s="1138"/>
    </row>
    <row r="9373" spans="1:3">
      <c r="A9373" s="1133"/>
      <c r="B9373" s="1136"/>
      <c r="C9373" s="1138"/>
    </row>
    <row r="9374" spans="1:3">
      <c r="A9374" s="1133"/>
      <c r="B9374" s="1136"/>
      <c r="C9374" s="1138"/>
    </row>
    <row r="9375" spans="1:3">
      <c r="A9375" s="1133"/>
      <c r="B9375" s="1136"/>
      <c r="C9375" s="1138"/>
    </row>
    <row r="9376" spans="1:3">
      <c r="A9376" s="1133"/>
      <c r="B9376" s="1136"/>
      <c r="C9376" s="1138"/>
    </row>
    <row r="9377" spans="1:3">
      <c r="A9377" s="1133"/>
      <c r="B9377" s="1136"/>
      <c r="C9377" s="1138"/>
    </row>
    <row r="9378" spans="1:3">
      <c r="A9378" s="1133"/>
      <c r="B9378" s="1136"/>
      <c r="C9378" s="1138"/>
    </row>
    <row r="9379" spans="1:3">
      <c r="A9379" s="1133"/>
      <c r="B9379" s="1136"/>
      <c r="C9379" s="1138"/>
    </row>
    <row r="9380" spans="1:3">
      <c r="A9380" s="1133"/>
      <c r="B9380" s="1136"/>
      <c r="C9380" s="1138"/>
    </row>
    <row r="9381" spans="1:3">
      <c r="A9381" s="1133"/>
      <c r="B9381" s="1136"/>
      <c r="C9381" s="1138"/>
    </row>
    <row r="9382" spans="1:3">
      <c r="A9382" s="1133"/>
      <c r="B9382" s="1136"/>
      <c r="C9382" s="1138"/>
    </row>
    <row r="9383" spans="1:3">
      <c r="A9383" s="1133"/>
      <c r="B9383" s="1136"/>
      <c r="C9383" s="1138"/>
    </row>
    <row r="9384" spans="1:3">
      <c r="A9384" s="1133"/>
      <c r="B9384" s="1136"/>
      <c r="C9384" s="1138"/>
    </row>
    <row r="9385" spans="1:3">
      <c r="A9385" s="1133"/>
      <c r="B9385" s="1136"/>
      <c r="C9385" s="1138"/>
    </row>
    <row r="9386" spans="1:3">
      <c r="A9386" s="1133"/>
      <c r="B9386" s="1136"/>
      <c r="C9386" s="1138"/>
    </row>
    <row r="9387" spans="1:3">
      <c r="A9387" s="1133"/>
      <c r="B9387" s="1136"/>
      <c r="C9387" s="1138"/>
    </row>
    <row r="9388" spans="1:3">
      <c r="A9388" s="1133"/>
      <c r="B9388" s="1136"/>
      <c r="C9388" s="1138"/>
    </row>
    <row r="9389" spans="1:3">
      <c r="A9389" s="1133"/>
      <c r="B9389" s="1136"/>
      <c r="C9389" s="1138"/>
    </row>
    <row r="9390" spans="1:3">
      <c r="A9390" s="1133"/>
      <c r="B9390" s="1136"/>
      <c r="C9390" s="1138"/>
    </row>
    <row r="9391" spans="1:3">
      <c r="A9391" s="1133"/>
      <c r="B9391" s="1136"/>
      <c r="C9391" s="1138"/>
    </row>
    <row r="9392" spans="1:3">
      <c r="A9392" s="1133"/>
      <c r="B9392" s="1136"/>
      <c r="C9392" s="1138"/>
    </row>
    <row r="9393" spans="1:3">
      <c r="A9393" s="1133"/>
      <c r="B9393" s="1136"/>
      <c r="C9393" s="1138"/>
    </row>
    <row r="9394" spans="1:3">
      <c r="A9394" s="1133"/>
      <c r="B9394" s="1136"/>
      <c r="C9394" s="1138"/>
    </row>
    <row r="9395" spans="1:3">
      <c r="A9395" s="1133"/>
      <c r="B9395" s="1136"/>
      <c r="C9395" s="1138"/>
    </row>
    <row r="9396" spans="1:3">
      <c r="A9396" s="1133"/>
      <c r="B9396" s="1136"/>
      <c r="C9396" s="1138"/>
    </row>
    <row r="9397" spans="1:3">
      <c r="A9397" s="1133"/>
      <c r="B9397" s="1136"/>
      <c r="C9397" s="1138"/>
    </row>
    <row r="9398" spans="1:3">
      <c r="A9398" s="1133"/>
      <c r="B9398" s="1136"/>
      <c r="C9398" s="1138"/>
    </row>
    <row r="9399" spans="1:3">
      <c r="A9399" s="1133"/>
      <c r="B9399" s="1136"/>
      <c r="C9399" s="1138"/>
    </row>
    <row r="9400" spans="1:3">
      <c r="A9400" s="1133"/>
      <c r="B9400" s="1136"/>
      <c r="C9400" s="1138"/>
    </row>
    <row r="9401" spans="1:3">
      <c r="A9401" s="1133"/>
      <c r="B9401" s="1136"/>
      <c r="C9401" s="1138"/>
    </row>
    <row r="9402" spans="1:3">
      <c r="A9402" s="1133"/>
      <c r="B9402" s="1136"/>
      <c r="C9402" s="1138"/>
    </row>
    <row r="9403" spans="1:3">
      <c r="A9403" s="1133"/>
      <c r="B9403" s="1136"/>
      <c r="C9403" s="1138"/>
    </row>
    <row r="9404" spans="1:3">
      <c r="A9404" s="1133"/>
      <c r="B9404" s="1136"/>
      <c r="C9404" s="1138"/>
    </row>
    <row r="9405" spans="1:3">
      <c r="A9405" s="1133"/>
      <c r="B9405" s="1136"/>
      <c r="C9405" s="1138"/>
    </row>
    <row r="9406" spans="1:3">
      <c r="A9406" s="1133"/>
      <c r="B9406" s="1136"/>
      <c r="C9406" s="1138"/>
    </row>
    <row r="9407" spans="1:3">
      <c r="A9407" s="1133"/>
      <c r="B9407" s="1136"/>
      <c r="C9407" s="1138"/>
    </row>
    <row r="9408" spans="1:3">
      <c r="A9408" s="1133"/>
      <c r="B9408" s="1136"/>
      <c r="C9408" s="1138"/>
    </row>
    <row r="9409" spans="1:3">
      <c r="A9409" s="1133"/>
      <c r="B9409" s="1136"/>
      <c r="C9409" s="1138"/>
    </row>
    <row r="9410" spans="1:3">
      <c r="A9410" s="1133"/>
      <c r="B9410" s="1136"/>
      <c r="C9410" s="1138"/>
    </row>
    <row r="9411" spans="1:3">
      <c r="A9411" s="1133"/>
      <c r="B9411" s="1136"/>
      <c r="C9411" s="1138"/>
    </row>
    <row r="9412" spans="1:3">
      <c r="A9412" s="1133"/>
      <c r="B9412" s="1136"/>
      <c r="C9412" s="1138"/>
    </row>
    <row r="9413" spans="1:3">
      <c r="A9413" s="1133"/>
      <c r="B9413" s="1136"/>
      <c r="C9413" s="1138"/>
    </row>
    <row r="9414" spans="1:3">
      <c r="A9414" s="1133"/>
      <c r="B9414" s="1136"/>
      <c r="C9414" s="1138"/>
    </row>
    <row r="9415" spans="1:3">
      <c r="A9415" s="1133"/>
      <c r="B9415" s="1136"/>
      <c r="C9415" s="1138"/>
    </row>
    <row r="9416" spans="1:3">
      <c r="A9416" s="1133"/>
      <c r="B9416" s="1136"/>
      <c r="C9416" s="1138"/>
    </row>
    <row r="9417" spans="1:3">
      <c r="A9417" s="1133"/>
      <c r="B9417" s="1136"/>
      <c r="C9417" s="1138"/>
    </row>
    <row r="9418" spans="1:3">
      <c r="A9418" s="1133"/>
      <c r="B9418" s="1136"/>
      <c r="C9418" s="1138"/>
    </row>
    <row r="9419" spans="1:3">
      <c r="A9419" s="1133"/>
      <c r="B9419" s="1136"/>
      <c r="C9419" s="1138"/>
    </row>
    <row r="9420" spans="1:3">
      <c r="A9420" s="1133"/>
      <c r="B9420" s="1136"/>
      <c r="C9420" s="1138"/>
    </row>
    <row r="9421" spans="1:3">
      <c r="A9421" s="1133"/>
      <c r="B9421" s="1136"/>
      <c r="C9421" s="1138"/>
    </row>
    <row r="9422" spans="1:3">
      <c r="A9422" s="1133"/>
      <c r="B9422" s="1136"/>
      <c r="C9422" s="1138"/>
    </row>
    <row r="9423" spans="1:3">
      <c r="A9423" s="1133"/>
      <c r="B9423" s="1136"/>
      <c r="C9423" s="1138"/>
    </row>
    <row r="9424" spans="1:3">
      <c r="A9424" s="1133"/>
      <c r="B9424" s="1136"/>
      <c r="C9424" s="1138"/>
    </row>
    <row r="9425" spans="1:3">
      <c r="A9425" s="1133"/>
      <c r="B9425" s="1136"/>
      <c r="C9425" s="1138"/>
    </row>
    <row r="9426" spans="1:3">
      <c r="A9426" s="1133"/>
      <c r="B9426" s="1136"/>
      <c r="C9426" s="1138"/>
    </row>
    <row r="9427" spans="1:3">
      <c r="A9427" s="1133"/>
      <c r="B9427" s="1136"/>
      <c r="C9427" s="1138"/>
    </row>
    <row r="9428" spans="1:3">
      <c r="A9428" s="1133"/>
      <c r="B9428" s="1136"/>
      <c r="C9428" s="1138"/>
    </row>
    <row r="9429" spans="1:3">
      <c r="A9429" s="1133"/>
      <c r="B9429" s="1136"/>
      <c r="C9429" s="1138"/>
    </row>
    <row r="9430" spans="1:3">
      <c r="A9430" s="1133"/>
      <c r="B9430" s="1136"/>
      <c r="C9430" s="1138"/>
    </row>
    <row r="9431" spans="1:3">
      <c r="A9431" s="1133"/>
      <c r="B9431" s="1136"/>
      <c r="C9431" s="1138"/>
    </row>
    <row r="9432" spans="1:3">
      <c r="A9432" s="1133"/>
      <c r="B9432" s="1136"/>
      <c r="C9432" s="1138"/>
    </row>
    <row r="9433" spans="1:3">
      <c r="A9433" s="1133"/>
      <c r="B9433" s="1136"/>
      <c r="C9433" s="1138"/>
    </row>
    <row r="9434" spans="1:3">
      <c r="A9434" s="1133"/>
      <c r="B9434" s="1136"/>
      <c r="C9434" s="1138"/>
    </row>
    <row r="9435" spans="1:3">
      <c r="A9435" s="1133"/>
      <c r="B9435" s="1136"/>
      <c r="C9435" s="1138"/>
    </row>
    <row r="9436" spans="1:3">
      <c r="A9436" s="1133"/>
      <c r="B9436" s="1136"/>
      <c r="C9436" s="1138"/>
    </row>
    <row r="9437" spans="1:3">
      <c r="A9437" s="1133"/>
      <c r="B9437" s="1136"/>
      <c r="C9437" s="1138"/>
    </row>
    <row r="9438" spans="1:3">
      <c r="A9438" s="1133"/>
      <c r="B9438" s="1136"/>
      <c r="C9438" s="1138"/>
    </row>
    <row r="9439" spans="1:3">
      <c r="A9439" s="1133"/>
      <c r="B9439" s="1136"/>
      <c r="C9439" s="1138"/>
    </row>
    <row r="9440" spans="1:3">
      <c r="A9440" s="1133"/>
      <c r="B9440" s="1136"/>
      <c r="C9440" s="1138"/>
    </row>
    <row r="9441" spans="1:3">
      <c r="A9441" s="1133"/>
      <c r="B9441" s="1136"/>
      <c r="C9441" s="1138"/>
    </row>
    <row r="9442" spans="1:3">
      <c r="A9442" s="1133"/>
      <c r="B9442" s="1136"/>
      <c r="C9442" s="1138"/>
    </row>
    <row r="9443" spans="1:3">
      <c r="A9443" s="1133"/>
      <c r="B9443" s="1136"/>
      <c r="C9443" s="1138"/>
    </row>
    <row r="9444" spans="1:3">
      <c r="A9444" s="1133"/>
      <c r="B9444" s="1136"/>
      <c r="C9444" s="1138"/>
    </row>
    <row r="9445" spans="1:3">
      <c r="A9445" s="1133"/>
      <c r="B9445" s="1136"/>
      <c r="C9445" s="1138"/>
    </row>
    <row r="9446" spans="1:3">
      <c r="A9446" s="1133"/>
      <c r="B9446" s="1136"/>
      <c r="C9446" s="1138"/>
    </row>
    <row r="9447" spans="1:3">
      <c r="A9447" s="1133"/>
      <c r="B9447" s="1136"/>
      <c r="C9447" s="1138"/>
    </row>
    <row r="9448" spans="1:3">
      <c r="A9448" s="1133"/>
      <c r="B9448" s="1136"/>
      <c r="C9448" s="1138"/>
    </row>
    <row r="9449" spans="1:3">
      <c r="A9449" s="1133"/>
      <c r="B9449" s="1136"/>
      <c r="C9449" s="1138"/>
    </row>
    <row r="9450" spans="1:3">
      <c r="A9450" s="1133"/>
      <c r="B9450" s="1136"/>
      <c r="C9450" s="1138"/>
    </row>
    <row r="9451" spans="1:3">
      <c r="A9451" s="1133"/>
      <c r="B9451" s="1136"/>
      <c r="C9451" s="1138"/>
    </row>
    <row r="9452" spans="1:3">
      <c r="A9452" s="1133"/>
      <c r="B9452" s="1136"/>
      <c r="C9452" s="1138"/>
    </row>
    <row r="9453" spans="1:3">
      <c r="A9453" s="1133"/>
      <c r="B9453" s="1136"/>
      <c r="C9453" s="1138"/>
    </row>
    <row r="9454" spans="1:3">
      <c r="A9454" s="1133"/>
      <c r="B9454" s="1136"/>
      <c r="C9454" s="1138"/>
    </row>
    <row r="9455" spans="1:3">
      <c r="A9455" s="1133"/>
      <c r="B9455" s="1136"/>
      <c r="C9455" s="1138"/>
    </row>
    <row r="9456" spans="1:3">
      <c r="A9456" s="1133"/>
      <c r="B9456" s="1136"/>
      <c r="C9456" s="1138"/>
    </row>
    <row r="9457" spans="1:3">
      <c r="A9457" s="1133"/>
      <c r="B9457" s="1136"/>
      <c r="C9457" s="1138"/>
    </row>
    <row r="9458" spans="1:3">
      <c r="A9458" s="1133"/>
      <c r="B9458" s="1136"/>
      <c r="C9458" s="1138"/>
    </row>
    <row r="9459" spans="1:3">
      <c r="A9459" s="1133"/>
      <c r="B9459" s="1136"/>
      <c r="C9459" s="1138"/>
    </row>
    <row r="9460" spans="1:3">
      <c r="A9460" s="1133"/>
      <c r="B9460" s="1136"/>
      <c r="C9460" s="1138"/>
    </row>
    <row r="9461" spans="1:3">
      <c r="A9461" s="1133"/>
      <c r="B9461" s="1136"/>
      <c r="C9461" s="1138"/>
    </row>
    <row r="9462" spans="1:3">
      <c r="A9462" s="1133"/>
      <c r="B9462" s="1136"/>
      <c r="C9462" s="1138"/>
    </row>
    <row r="9463" spans="1:3">
      <c r="A9463" s="1133"/>
      <c r="B9463" s="1136"/>
      <c r="C9463" s="1138"/>
    </row>
    <row r="9464" spans="1:3">
      <c r="A9464" s="1133"/>
      <c r="B9464" s="1136"/>
      <c r="C9464" s="1138"/>
    </row>
    <row r="9465" spans="1:3">
      <c r="A9465" s="1133"/>
      <c r="B9465" s="1136"/>
      <c r="C9465" s="1138"/>
    </row>
    <row r="9466" spans="1:3">
      <c r="A9466" s="1133"/>
      <c r="B9466" s="1136"/>
      <c r="C9466" s="1138"/>
    </row>
    <row r="9467" spans="1:3">
      <c r="A9467" s="1133"/>
      <c r="B9467" s="1136"/>
      <c r="C9467" s="1138"/>
    </row>
    <row r="9468" spans="1:3">
      <c r="A9468" s="1133"/>
      <c r="B9468" s="1136"/>
      <c r="C9468" s="1138"/>
    </row>
    <row r="9469" spans="1:3">
      <c r="A9469" s="1133"/>
      <c r="B9469" s="1136"/>
      <c r="C9469" s="1138"/>
    </row>
    <row r="9470" spans="1:3">
      <c r="A9470" s="1133"/>
      <c r="B9470" s="1136"/>
      <c r="C9470" s="1138"/>
    </row>
    <row r="9471" spans="1:3">
      <c r="A9471" s="1133"/>
      <c r="B9471" s="1136"/>
      <c r="C9471" s="1138"/>
    </row>
    <row r="9472" spans="1:3">
      <c r="A9472" s="1133"/>
      <c r="B9472" s="1136"/>
      <c r="C9472" s="1138"/>
    </row>
    <row r="9473" spans="1:3">
      <c r="A9473" s="1133"/>
      <c r="B9473" s="1136"/>
      <c r="C9473" s="1138"/>
    </row>
    <row r="9474" spans="1:3">
      <c r="A9474" s="1133"/>
      <c r="B9474" s="1136"/>
      <c r="C9474" s="1138"/>
    </row>
    <row r="9475" spans="1:3">
      <c r="A9475" s="1133"/>
      <c r="B9475" s="1136"/>
      <c r="C9475" s="1138"/>
    </row>
    <row r="9476" spans="1:3">
      <c r="A9476" s="1133"/>
      <c r="B9476" s="1136"/>
      <c r="C9476" s="1138"/>
    </row>
    <row r="9477" spans="1:3">
      <c r="A9477" s="1133"/>
      <c r="B9477" s="1136"/>
      <c r="C9477" s="1138"/>
    </row>
    <row r="9478" spans="1:3">
      <c r="A9478" s="1133"/>
      <c r="B9478" s="1136"/>
      <c r="C9478" s="1138"/>
    </row>
    <row r="9479" spans="1:3">
      <c r="A9479" s="1133"/>
      <c r="B9479" s="1136"/>
      <c r="C9479" s="1138"/>
    </row>
    <row r="9480" spans="1:3">
      <c r="A9480" s="1133"/>
      <c r="B9480" s="1136"/>
      <c r="C9480" s="1138"/>
    </row>
    <row r="9481" spans="1:3">
      <c r="A9481" s="1133"/>
      <c r="B9481" s="1136"/>
      <c r="C9481" s="1138"/>
    </row>
    <row r="9482" spans="1:3">
      <c r="A9482" s="1133"/>
      <c r="B9482" s="1136"/>
      <c r="C9482" s="1138"/>
    </row>
    <row r="9483" spans="1:3">
      <c r="A9483" s="1133"/>
      <c r="B9483" s="1136"/>
      <c r="C9483" s="1138"/>
    </row>
    <row r="9484" spans="1:3">
      <c r="A9484" s="1133"/>
      <c r="B9484" s="1136"/>
      <c r="C9484" s="1138"/>
    </row>
    <row r="9485" spans="1:3">
      <c r="A9485" s="1133"/>
      <c r="B9485" s="1136"/>
      <c r="C9485" s="1138"/>
    </row>
    <row r="9486" spans="1:3">
      <c r="A9486" s="1133"/>
      <c r="B9486" s="1136"/>
      <c r="C9486" s="1138"/>
    </row>
    <row r="9487" spans="1:3">
      <c r="A9487" s="1133"/>
      <c r="B9487" s="1136"/>
      <c r="C9487" s="1138"/>
    </row>
    <row r="9488" spans="1:3">
      <c r="A9488" s="1133"/>
      <c r="B9488" s="1136"/>
      <c r="C9488" s="1138"/>
    </row>
    <row r="9489" spans="1:3">
      <c r="A9489" s="1133"/>
      <c r="B9489" s="1136"/>
      <c r="C9489" s="1138"/>
    </row>
    <row r="9490" spans="1:3">
      <c r="A9490" s="1133"/>
      <c r="B9490" s="1136"/>
      <c r="C9490" s="1138"/>
    </row>
    <row r="9491" spans="1:3">
      <c r="A9491" s="1133"/>
      <c r="B9491" s="1136"/>
      <c r="C9491" s="1138"/>
    </row>
    <row r="9492" spans="1:3">
      <c r="A9492" s="1133"/>
      <c r="B9492" s="1136"/>
      <c r="C9492" s="1138"/>
    </row>
    <row r="9493" spans="1:3">
      <c r="A9493" s="1133"/>
      <c r="B9493" s="1136"/>
      <c r="C9493" s="1138"/>
    </row>
    <row r="9494" spans="1:3">
      <c r="A9494" s="1133"/>
      <c r="B9494" s="1136"/>
      <c r="C9494" s="1138"/>
    </row>
    <row r="9495" spans="1:3">
      <c r="A9495" s="1133"/>
      <c r="B9495" s="1136"/>
      <c r="C9495" s="1138"/>
    </row>
    <row r="9496" spans="1:3">
      <c r="A9496" s="1133"/>
      <c r="B9496" s="1136"/>
      <c r="C9496" s="1138"/>
    </row>
    <row r="9497" spans="1:3">
      <c r="A9497" s="1133"/>
      <c r="B9497" s="1136"/>
      <c r="C9497" s="1138"/>
    </row>
    <row r="9498" spans="1:3">
      <c r="A9498" s="1133"/>
      <c r="B9498" s="1136"/>
      <c r="C9498" s="1138"/>
    </row>
    <row r="9499" spans="1:3">
      <c r="A9499" s="1133"/>
      <c r="B9499" s="1136"/>
      <c r="C9499" s="1138"/>
    </row>
    <row r="9500" spans="1:3">
      <c r="A9500" s="1133"/>
      <c r="B9500" s="1136"/>
      <c r="C9500" s="1138"/>
    </row>
    <row r="9501" spans="1:3">
      <c r="A9501" s="1133"/>
      <c r="B9501" s="1136"/>
      <c r="C9501" s="1138"/>
    </row>
    <row r="9502" spans="1:3">
      <c r="A9502" s="1133"/>
      <c r="B9502" s="1136"/>
      <c r="C9502" s="1138"/>
    </row>
    <row r="9503" spans="1:3">
      <c r="A9503" s="1133"/>
      <c r="B9503" s="1136"/>
      <c r="C9503" s="1138"/>
    </row>
    <row r="9504" spans="1:3">
      <c r="A9504" s="1133"/>
      <c r="B9504" s="1136"/>
      <c r="C9504" s="1138"/>
    </row>
    <row r="9505" spans="1:3">
      <c r="A9505" s="1133"/>
      <c r="B9505" s="1136"/>
      <c r="C9505" s="1138"/>
    </row>
    <row r="9506" spans="1:3">
      <c r="A9506" s="1133"/>
      <c r="B9506" s="1136"/>
      <c r="C9506" s="1138"/>
    </row>
    <row r="9507" spans="1:3">
      <c r="A9507" s="1133"/>
      <c r="B9507" s="1136"/>
      <c r="C9507" s="1138"/>
    </row>
    <row r="9508" spans="1:3">
      <c r="A9508" s="1133"/>
      <c r="B9508" s="1136"/>
      <c r="C9508" s="1138"/>
    </row>
    <row r="9509" spans="1:3">
      <c r="A9509" s="1133"/>
      <c r="B9509" s="1136"/>
      <c r="C9509" s="1138"/>
    </row>
    <row r="9510" spans="1:3">
      <c r="A9510" s="1133"/>
      <c r="B9510" s="1136"/>
      <c r="C9510" s="1138"/>
    </row>
    <row r="9511" spans="1:3">
      <c r="A9511" s="1133"/>
      <c r="B9511" s="1136"/>
      <c r="C9511" s="1138"/>
    </row>
    <row r="9512" spans="1:3">
      <c r="A9512" s="1133"/>
      <c r="B9512" s="1136"/>
      <c r="C9512" s="1138"/>
    </row>
    <row r="9513" spans="1:3">
      <c r="A9513" s="1133"/>
      <c r="B9513" s="1136"/>
      <c r="C9513" s="1138"/>
    </row>
    <row r="9514" spans="1:3">
      <c r="A9514" s="1133"/>
      <c r="B9514" s="1136"/>
      <c r="C9514" s="1138"/>
    </row>
    <row r="9515" spans="1:3">
      <c r="A9515" s="1133"/>
      <c r="B9515" s="1136"/>
      <c r="C9515" s="1138"/>
    </row>
    <row r="9516" spans="1:3">
      <c r="A9516" s="1133"/>
      <c r="B9516" s="1136"/>
      <c r="C9516" s="1138"/>
    </row>
    <row r="9517" spans="1:3">
      <c r="A9517" s="1133"/>
      <c r="B9517" s="1136"/>
      <c r="C9517" s="1138"/>
    </row>
    <row r="9518" spans="1:3">
      <c r="A9518" s="1133"/>
      <c r="B9518" s="1136"/>
      <c r="C9518" s="1138"/>
    </row>
    <row r="9519" spans="1:3">
      <c r="A9519" s="1133"/>
      <c r="B9519" s="1136"/>
      <c r="C9519" s="1138"/>
    </row>
    <row r="9520" spans="1:3">
      <c r="A9520" s="1133"/>
      <c r="B9520" s="1136"/>
      <c r="C9520" s="1138"/>
    </row>
    <row r="9521" spans="1:3">
      <c r="A9521" s="1133"/>
      <c r="B9521" s="1136"/>
      <c r="C9521" s="1138"/>
    </row>
    <row r="9522" spans="1:3">
      <c r="A9522" s="1133"/>
      <c r="B9522" s="1136"/>
      <c r="C9522" s="1138"/>
    </row>
    <row r="9523" spans="1:3">
      <c r="A9523" s="1133"/>
      <c r="B9523" s="1136"/>
      <c r="C9523" s="1138"/>
    </row>
    <row r="9524" spans="1:3">
      <c r="A9524" s="1133"/>
      <c r="B9524" s="1136"/>
      <c r="C9524" s="1138"/>
    </row>
    <row r="9525" spans="1:3">
      <c r="A9525" s="1133"/>
      <c r="B9525" s="1136"/>
      <c r="C9525" s="1138"/>
    </row>
    <row r="9526" spans="1:3">
      <c r="A9526" s="1133"/>
      <c r="B9526" s="1136"/>
      <c r="C9526" s="1138"/>
    </row>
    <row r="9527" spans="1:3">
      <c r="A9527" s="1133"/>
      <c r="B9527" s="1136"/>
      <c r="C9527" s="1138"/>
    </row>
    <row r="9528" spans="1:3">
      <c r="A9528" s="1133"/>
      <c r="B9528" s="1136"/>
      <c r="C9528" s="1138"/>
    </row>
    <row r="9529" spans="1:3">
      <c r="A9529" s="1133"/>
      <c r="B9529" s="1136"/>
      <c r="C9529" s="1138"/>
    </row>
    <row r="9530" spans="1:3">
      <c r="A9530" s="1133"/>
      <c r="B9530" s="1136"/>
      <c r="C9530" s="1138"/>
    </row>
    <row r="9531" spans="1:3">
      <c r="A9531" s="1133"/>
      <c r="B9531" s="1136"/>
      <c r="C9531" s="1138"/>
    </row>
    <row r="9532" spans="1:3">
      <c r="A9532" s="1133"/>
      <c r="B9532" s="1136"/>
      <c r="C9532" s="1138"/>
    </row>
    <row r="9533" spans="1:3">
      <c r="A9533" s="1133"/>
      <c r="B9533" s="1136"/>
      <c r="C9533" s="1138"/>
    </row>
    <row r="9534" spans="1:3">
      <c r="A9534" s="1133"/>
      <c r="B9534" s="1136"/>
      <c r="C9534" s="1138"/>
    </row>
    <row r="9535" spans="1:3">
      <c r="A9535" s="1133"/>
      <c r="B9535" s="1136"/>
      <c r="C9535" s="1138"/>
    </row>
    <row r="9536" spans="1:3">
      <c r="A9536" s="1133"/>
      <c r="B9536" s="1136"/>
      <c r="C9536" s="1138"/>
    </row>
    <row r="9537" spans="1:3">
      <c r="A9537" s="1133"/>
      <c r="B9537" s="1136"/>
      <c r="C9537" s="1138"/>
    </row>
    <row r="9538" spans="1:3">
      <c r="A9538" s="1133"/>
      <c r="B9538" s="1136"/>
      <c r="C9538" s="1138"/>
    </row>
    <row r="9539" spans="1:3">
      <c r="A9539" s="1133"/>
      <c r="B9539" s="1136"/>
      <c r="C9539" s="1138"/>
    </row>
    <row r="9540" spans="1:3">
      <c r="A9540" s="1133"/>
      <c r="B9540" s="1136"/>
      <c r="C9540" s="1138"/>
    </row>
    <row r="9541" spans="1:3">
      <c r="A9541" s="1133"/>
      <c r="B9541" s="1136"/>
      <c r="C9541" s="1138"/>
    </row>
    <row r="9542" spans="1:3">
      <c r="A9542" s="1133"/>
      <c r="B9542" s="1136"/>
      <c r="C9542" s="1138"/>
    </row>
    <row r="9543" spans="1:3">
      <c r="A9543" s="1133"/>
      <c r="B9543" s="1136"/>
      <c r="C9543" s="1138"/>
    </row>
    <row r="9544" spans="1:3">
      <c r="A9544" s="1133"/>
      <c r="B9544" s="1136"/>
      <c r="C9544" s="1138"/>
    </row>
    <row r="9545" spans="1:3">
      <c r="A9545" s="1133"/>
      <c r="B9545" s="1136"/>
      <c r="C9545" s="1138"/>
    </row>
    <row r="9546" spans="1:3">
      <c r="A9546" s="1133"/>
      <c r="B9546" s="1136"/>
      <c r="C9546" s="1138"/>
    </row>
    <row r="9547" spans="1:3">
      <c r="A9547" s="1133"/>
      <c r="B9547" s="1136"/>
      <c r="C9547" s="1138"/>
    </row>
    <row r="9548" spans="1:3">
      <c r="A9548" s="1133"/>
      <c r="B9548" s="1136"/>
      <c r="C9548" s="1138"/>
    </row>
    <row r="9549" spans="1:3">
      <c r="A9549" s="1133"/>
      <c r="B9549" s="1136"/>
      <c r="C9549" s="1138"/>
    </row>
    <row r="9550" spans="1:3">
      <c r="A9550" s="1133"/>
      <c r="B9550" s="1136"/>
      <c r="C9550" s="1138"/>
    </row>
    <row r="9551" spans="1:3">
      <c r="A9551" s="1133"/>
      <c r="B9551" s="1136"/>
      <c r="C9551" s="1138"/>
    </row>
    <row r="9552" spans="1:3">
      <c r="A9552" s="1133"/>
      <c r="B9552" s="1136"/>
      <c r="C9552" s="1138"/>
    </row>
    <row r="9553" spans="1:3">
      <c r="A9553" s="1133"/>
      <c r="B9553" s="1136"/>
      <c r="C9553" s="1138"/>
    </row>
    <row r="9554" spans="1:3">
      <c r="A9554" s="1133"/>
      <c r="B9554" s="1136"/>
      <c r="C9554" s="1138"/>
    </row>
    <row r="9555" spans="1:3">
      <c r="A9555" s="1133"/>
      <c r="B9555" s="1136"/>
      <c r="C9555" s="1138"/>
    </row>
    <row r="9556" spans="1:3">
      <c r="A9556" s="1133"/>
      <c r="B9556" s="1136"/>
      <c r="C9556" s="1138"/>
    </row>
    <row r="9557" spans="1:3">
      <c r="A9557" s="1133"/>
      <c r="B9557" s="1136"/>
      <c r="C9557" s="1138"/>
    </row>
    <row r="9558" spans="1:3">
      <c r="A9558" s="1133"/>
      <c r="B9558" s="1136"/>
      <c r="C9558" s="1138"/>
    </row>
    <row r="9559" spans="1:3">
      <c r="A9559" s="1133"/>
      <c r="B9559" s="1136"/>
      <c r="C9559" s="1138"/>
    </row>
    <row r="9560" spans="1:3">
      <c r="A9560" s="1133"/>
      <c r="B9560" s="1136"/>
      <c r="C9560" s="1138"/>
    </row>
    <row r="9561" spans="1:3">
      <c r="A9561" s="1133"/>
      <c r="B9561" s="1136"/>
      <c r="C9561" s="1138"/>
    </row>
    <row r="9562" spans="1:3">
      <c r="A9562" s="1133"/>
      <c r="B9562" s="1136"/>
      <c r="C9562" s="1138"/>
    </row>
    <row r="9563" spans="1:3">
      <c r="A9563" s="1133"/>
      <c r="B9563" s="1136"/>
      <c r="C9563" s="1138"/>
    </row>
    <row r="9564" spans="1:3">
      <c r="A9564" s="1133"/>
      <c r="B9564" s="1136"/>
      <c r="C9564" s="1138"/>
    </row>
    <row r="9565" spans="1:3">
      <c r="A9565" s="1133"/>
      <c r="B9565" s="1136"/>
      <c r="C9565" s="1138"/>
    </row>
    <row r="9566" spans="1:3">
      <c r="A9566" s="1133"/>
      <c r="B9566" s="1136"/>
      <c r="C9566" s="1138"/>
    </row>
    <row r="9567" spans="1:3">
      <c r="A9567" s="1133"/>
      <c r="B9567" s="1136"/>
      <c r="C9567" s="1138"/>
    </row>
    <row r="9568" spans="1:3">
      <c r="A9568" s="1133"/>
      <c r="B9568" s="1136"/>
      <c r="C9568" s="1138"/>
    </row>
    <row r="9569" spans="1:3">
      <c r="A9569" s="1133"/>
      <c r="B9569" s="1136"/>
      <c r="C9569" s="1138"/>
    </row>
    <row r="9570" spans="1:3">
      <c r="A9570" s="1133"/>
      <c r="B9570" s="1136"/>
      <c r="C9570" s="1138"/>
    </row>
    <row r="9571" spans="1:3">
      <c r="A9571" s="1133"/>
      <c r="B9571" s="1136"/>
      <c r="C9571" s="1138"/>
    </row>
    <row r="9572" spans="1:3">
      <c r="A9572" s="1133"/>
      <c r="B9572" s="1136"/>
      <c r="C9572" s="1138"/>
    </row>
    <row r="9573" spans="1:3">
      <c r="A9573" s="1133"/>
      <c r="B9573" s="1136"/>
      <c r="C9573" s="1138"/>
    </row>
    <row r="9574" spans="1:3">
      <c r="A9574" s="1133"/>
      <c r="B9574" s="1136"/>
      <c r="C9574" s="1138"/>
    </row>
    <row r="9575" spans="1:3">
      <c r="A9575" s="1133"/>
      <c r="B9575" s="1136"/>
      <c r="C9575" s="1138"/>
    </row>
    <row r="9576" spans="1:3">
      <c r="A9576" s="1133"/>
      <c r="B9576" s="1136"/>
      <c r="C9576" s="1138"/>
    </row>
    <row r="9577" spans="1:3">
      <c r="A9577" s="1133"/>
      <c r="B9577" s="1136"/>
      <c r="C9577" s="1138"/>
    </row>
    <row r="9578" spans="1:3">
      <c r="A9578" s="1133"/>
      <c r="B9578" s="1136"/>
      <c r="C9578" s="1138"/>
    </row>
    <row r="9579" spans="1:3">
      <c r="A9579" s="1133"/>
      <c r="B9579" s="1136"/>
      <c r="C9579" s="1138"/>
    </row>
    <row r="9580" spans="1:3">
      <c r="A9580" s="1133"/>
      <c r="B9580" s="1136"/>
      <c r="C9580" s="1138"/>
    </row>
    <row r="9581" spans="1:3">
      <c r="A9581" s="1133"/>
      <c r="B9581" s="1136"/>
      <c r="C9581" s="1138"/>
    </row>
    <row r="9582" spans="1:3">
      <c r="A9582" s="1133"/>
      <c r="B9582" s="1136"/>
      <c r="C9582" s="1138"/>
    </row>
    <row r="9583" spans="1:3">
      <c r="A9583" s="1133"/>
      <c r="B9583" s="1136"/>
      <c r="C9583" s="1138"/>
    </row>
    <row r="9584" spans="1:3">
      <c r="A9584" s="1133"/>
      <c r="B9584" s="1136"/>
      <c r="C9584" s="1138"/>
    </row>
    <row r="9585" spans="1:3">
      <c r="A9585" s="1133"/>
      <c r="B9585" s="1136"/>
      <c r="C9585" s="1138"/>
    </row>
    <row r="9586" spans="1:3">
      <c r="A9586" s="1133"/>
      <c r="B9586" s="1136"/>
      <c r="C9586" s="1138"/>
    </row>
    <row r="9587" spans="1:3">
      <c r="A9587" s="1133"/>
      <c r="B9587" s="1136"/>
      <c r="C9587" s="1138"/>
    </row>
    <row r="9588" spans="1:3">
      <c r="A9588" s="1133"/>
      <c r="B9588" s="1136"/>
      <c r="C9588" s="1138"/>
    </row>
    <row r="9589" spans="1:3">
      <c r="A9589" s="1133"/>
      <c r="B9589" s="1136"/>
      <c r="C9589" s="1138"/>
    </row>
    <row r="9590" spans="1:3">
      <c r="A9590" s="1133"/>
      <c r="B9590" s="1136"/>
      <c r="C9590" s="1138"/>
    </row>
    <row r="9591" spans="1:3">
      <c r="A9591" s="1133"/>
      <c r="B9591" s="1136"/>
      <c r="C9591" s="1138"/>
    </row>
    <row r="9592" spans="1:3">
      <c r="A9592" s="1133"/>
      <c r="B9592" s="1136"/>
      <c r="C9592" s="1138"/>
    </row>
    <row r="9593" spans="1:3">
      <c r="A9593" s="1133"/>
      <c r="B9593" s="1136"/>
      <c r="C9593" s="1138"/>
    </row>
    <row r="9594" spans="1:3">
      <c r="A9594" s="1133"/>
      <c r="B9594" s="1136"/>
      <c r="C9594" s="1138"/>
    </row>
    <row r="9595" spans="1:3">
      <c r="A9595" s="1133"/>
      <c r="B9595" s="1136"/>
      <c r="C9595" s="1138"/>
    </row>
    <row r="9596" spans="1:3">
      <c r="A9596" s="1133"/>
      <c r="B9596" s="1136"/>
      <c r="C9596" s="1138"/>
    </row>
    <row r="9597" spans="1:3">
      <c r="A9597" s="1133"/>
      <c r="B9597" s="1136"/>
      <c r="C9597" s="1138"/>
    </row>
    <row r="9598" spans="1:3">
      <c r="A9598" s="1133"/>
      <c r="B9598" s="1136"/>
      <c r="C9598" s="1138"/>
    </row>
    <row r="9599" spans="1:3">
      <c r="A9599" s="1133"/>
      <c r="B9599" s="1136"/>
      <c r="C9599" s="1138"/>
    </row>
    <row r="9600" spans="1:3">
      <c r="A9600" s="1133"/>
      <c r="B9600" s="1136"/>
      <c r="C9600" s="1138"/>
    </row>
    <row r="9601" spans="1:3">
      <c r="A9601" s="1133"/>
      <c r="B9601" s="1136"/>
      <c r="C9601" s="1138"/>
    </row>
    <row r="9602" spans="1:3">
      <c r="A9602" s="1133"/>
      <c r="B9602" s="1136"/>
      <c r="C9602" s="1138"/>
    </row>
    <row r="9603" spans="1:3">
      <c r="A9603" s="1133"/>
      <c r="B9603" s="1136"/>
      <c r="C9603" s="1138"/>
    </row>
    <row r="9604" spans="1:3">
      <c r="A9604" s="1133"/>
      <c r="B9604" s="1136"/>
      <c r="C9604" s="1138"/>
    </row>
    <row r="9605" spans="1:3">
      <c r="A9605" s="1133"/>
      <c r="B9605" s="1136"/>
      <c r="C9605" s="1138"/>
    </row>
    <row r="9606" spans="1:3">
      <c r="A9606" s="1133"/>
      <c r="B9606" s="1136"/>
      <c r="C9606" s="1138"/>
    </row>
    <row r="9607" spans="1:3">
      <c r="A9607" s="1133"/>
      <c r="B9607" s="1136"/>
      <c r="C9607" s="1138"/>
    </row>
    <row r="9608" spans="1:3">
      <c r="A9608" s="1133"/>
      <c r="B9608" s="1136"/>
      <c r="C9608" s="1138"/>
    </row>
    <row r="9609" spans="1:3">
      <c r="A9609" s="1133"/>
      <c r="B9609" s="1136"/>
      <c r="C9609" s="1138"/>
    </row>
    <row r="9610" spans="1:3">
      <c r="A9610" s="1133"/>
      <c r="B9610" s="1136"/>
      <c r="C9610" s="1138"/>
    </row>
    <row r="9611" spans="1:3">
      <c r="A9611" s="1133"/>
      <c r="B9611" s="1136"/>
      <c r="C9611" s="1138"/>
    </row>
    <row r="9612" spans="1:3">
      <c r="A9612" s="1133"/>
      <c r="B9612" s="1136"/>
      <c r="C9612" s="1138"/>
    </row>
    <row r="9613" spans="1:3">
      <c r="A9613" s="1133"/>
      <c r="B9613" s="1136"/>
      <c r="C9613" s="1138"/>
    </row>
    <row r="9614" spans="1:3">
      <c r="A9614" s="1133"/>
      <c r="B9614" s="1136"/>
      <c r="C9614" s="1138"/>
    </row>
    <row r="9615" spans="1:3">
      <c r="A9615" s="1133"/>
      <c r="B9615" s="1136"/>
      <c r="C9615" s="1138"/>
    </row>
    <row r="9616" spans="1:3">
      <c r="A9616" s="1133"/>
      <c r="B9616" s="1136"/>
      <c r="C9616" s="1138"/>
    </row>
    <row r="9617" spans="1:3">
      <c r="A9617" s="1133"/>
      <c r="B9617" s="1136"/>
      <c r="C9617" s="1138"/>
    </row>
    <row r="9618" spans="1:3">
      <c r="A9618" s="1133"/>
      <c r="B9618" s="1136"/>
      <c r="C9618" s="1138"/>
    </row>
    <row r="9619" spans="1:3">
      <c r="A9619" s="1133"/>
      <c r="B9619" s="1136"/>
      <c r="C9619" s="1138"/>
    </row>
    <row r="9620" spans="1:3">
      <c r="A9620" s="1133"/>
      <c r="B9620" s="1136"/>
      <c r="C9620" s="1138"/>
    </row>
    <row r="9621" spans="1:3">
      <c r="A9621" s="1133"/>
      <c r="B9621" s="1136"/>
      <c r="C9621" s="1138"/>
    </row>
    <row r="9622" spans="1:3">
      <c r="A9622" s="1133"/>
      <c r="B9622" s="1136"/>
      <c r="C9622" s="1138"/>
    </row>
    <row r="9623" spans="1:3">
      <c r="A9623" s="1133"/>
      <c r="B9623" s="1136"/>
      <c r="C9623" s="1138"/>
    </row>
    <row r="9624" spans="1:3">
      <c r="A9624" s="1133"/>
      <c r="B9624" s="1136"/>
      <c r="C9624" s="1138"/>
    </row>
    <row r="9625" spans="1:3">
      <c r="A9625" s="1133"/>
      <c r="B9625" s="1136"/>
      <c r="C9625" s="1138"/>
    </row>
    <row r="9626" spans="1:3">
      <c r="A9626" s="1133"/>
      <c r="B9626" s="1136"/>
      <c r="C9626" s="1138"/>
    </row>
    <row r="9627" spans="1:3">
      <c r="A9627" s="1133"/>
      <c r="B9627" s="1136"/>
      <c r="C9627" s="1138"/>
    </row>
    <row r="9628" spans="1:3">
      <c r="A9628" s="1133"/>
      <c r="B9628" s="1136"/>
      <c r="C9628" s="1138"/>
    </row>
    <row r="9629" spans="1:3">
      <c r="A9629" s="1133"/>
      <c r="B9629" s="1136"/>
      <c r="C9629" s="1138"/>
    </row>
    <row r="9630" spans="1:3">
      <c r="A9630" s="1133"/>
      <c r="B9630" s="1136"/>
      <c r="C9630" s="1138"/>
    </row>
    <row r="9631" spans="1:3">
      <c r="A9631" s="1133"/>
      <c r="B9631" s="1136"/>
      <c r="C9631" s="1138"/>
    </row>
    <row r="9632" spans="1:3">
      <c r="A9632" s="1133"/>
      <c r="B9632" s="1136"/>
      <c r="C9632" s="1138"/>
    </row>
    <row r="9633" spans="1:3">
      <c r="A9633" s="1133"/>
      <c r="B9633" s="1136"/>
      <c r="C9633" s="1138"/>
    </row>
    <row r="9634" spans="1:3">
      <c r="A9634" s="1133"/>
      <c r="B9634" s="1136"/>
      <c r="C9634" s="1138"/>
    </row>
    <row r="9635" spans="1:3">
      <c r="A9635" s="1133"/>
      <c r="B9635" s="1136"/>
      <c r="C9635" s="1138"/>
    </row>
    <row r="9636" spans="1:3">
      <c r="A9636" s="1133"/>
      <c r="B9636" s="1136"/>
      <c r="C9636" s="1138"/>
    </row>
    <row r="9637" spans="1:3">
      <c r="A9637" s="1133"/>
      <c r="B9637" s="1136"/>
      <c r="C9637" s="1138"/>
    </row>
    <row r="9638" spans="1:3">
      <c r="A9638" s="1133"/>
      <c r="B9638" s="1136"/>
      <c r="C9638" s="1138"/>
    </row>
    <row r="9639" spans="1:3">
      <c r="A9639" s="1133"/>
      <c r="B9639" s="1136"/>
      <c r="C9639" s="1138"/>
    </row>
    <row r="9640" spans="1:3">
      <c r="A9640" s="1133"/>
      <c r="B9640" s="1136"/>
      <c r="C9640" s="1138"/>
    </row>
    <row r="9641" spans="1:3">
      <c r="A9641" s="1133"/>
      <c r="B9641" s="1136"/>
      <c r="C9641" s="1138"/>
    </row>
    <row r="9642" spans="1:3">
      <c r="A9642" s="1133"/>
      <c r="B9642" s="1136"/>
      <c r="C9642" s="1138"/>
    </row>
    <row r="9643" spans="1:3">
      <c r="A9643" s="1133"/>
      <c r="B9643" s="1136"/>
      <c r="C9643" s="1138"/>
    </row>
    <row r="9644" spans="1:3">
      <c r="A9644" s="1133"/>
      <c r="B9644" s="1136"/>
      <c r="C9644" s="1138"/>
    </row>
    <row r="9645" spans="1:3">
      <c r="A9645" s="1133"/>
      <c r="B9645" s="1136"/>
      <c r="C9645" s="1138"/>
    </row>
    <row r="9646" spans="1:3">
      <c r="A9646" s="1133"/>
      <c r="B9646" s="1136"/>
      <c r="C9646" s="1138"/>
    </row>
    <row r="9647" spans="1:3">
      <c r="A9647" s="1133"/>
      <c r="B9647" s="1136"/>
      <c r="C9647" s="1138"/>
    </row>
    <row r="9648" spans="1:3">
      <c r="A9648" s="1133"/>
      <c r="B9648" s="1136"/>
      <c r="C9648" s="1138"/>
    </row>
    <row r="9649" spans="1:3">
      <c r="A9649" s="1133"/>
      <c r="B9649" s="1136"/>
      <c r="C9649" s="1138"/>
    </row>
    <row r="9650" spans="1:3">
      <c r="A9650" s="1133"/>
      <c r="B9650" s="1136"/>
      <c r="C9650" s="1138"/>
    </row>
    <row r="9651" spans="1:3">
      <c r="A9651" s="1133"/>
      <c r="B9651" s="1136"/>
      <c r="C9651" s="1138"/>
    </row>
    <row r="9652" spans="1:3">
      <c r="A9652" s="1133"/>
      <c r="B9652" s="1136"/>
      <c r="C9652" s="1138"/>
    </row>
    <row r="9653" spans="1:3">
      <c r="A9653" s="1133"/>
      <c r="B9653" s="1136"/>
      <c r="C9653" s="1138"/>
    </row>
    <row r="9654" spans="1:3">
      <c r="A9654" s="1133"/>
      <c r="B9654" s="1136"/>
      <c r="C9654" s="1138"/>
    </row>
    <row r="9655" spans="1:3">
      <c r="A9655" s="1133"/>
      <c r="B9655" s="1136"/>
      <c r="C9655" s="1138"/>
    </row>
    <row r="9656" spans="1:3">
      <c r="A9656" s="1133"/>
      <c r="B9656" s="1136"/>
      <c r="C9656" s="1138"/>
    </row>
    <row r="9657" spans="1:3">
      <c r="A9657" s="1133"/>
      <c r="B9657" s="1136"/>
      <c r="C9657" s="1138"/>
    </row>
    <row r="9658" spans="1:3">
      <c r="A9658" s="1133"/>
      <c r="B9658" s="1136"/>
      <c r="C9658" s="1138"/>
    </row>
    <row r="9659" spans="1:3">
      <c r="A9659" s="1133"/>
      <c r="B9659" s="1136"/>
      <c r="C9659" s="1138"/>
    </row>
    <row r="9660" spans="1:3">
      <c r="A9660" s="1133"/>
      <c r="B9660" s="1136"/>
      <c r="C9660" s="1138"/>
    </row>
    <row r="9661" spans="1:3">
      <c r="A9661" s="1133"/>
      <c r="B9661" s="1136"/>
      <c r="C9661" s="1138"/>
    </row>
    <row r="9662" spans="1:3">
      <c r="A9662" s="1133"/>
      <c r="B9662" s="1136"/>
      <c r="C9662" s="1138"/>
    </row>
    <row r="9663" spans="1:3">
      <c r="A9663" s="1133"/>
      <c r="B9663" s="1136"/>
      <c r="C9663" s="1138"/>
    </row>
    <row r="9664" spans="1:3">
      <c r="A9664" s="1133"/>
      <c r="B9664" s="1136"/>
      <c r="C9664" s="1138"/>
    </row>
    <row r="9665" spans="1:3">
      <c r="A9665" s="1133"/>
      <c r="B9665" s="1136"/>
      <c r="C9665" s="1138"/>
    </row>
    <row r="9666" spans="1:3">
      <c r="A9666" s="1133"/>
      <c r="B9666" s="1136"/>
      <c r="C9666" s="1138"/>
    </row>
    <row r="9667" spans="1:3">
      <c r="A9667" s="1133"/>
      <c r="B9667" s="1136"/>
      <c r="C9667" s="1138"/>
    </row>
    <row r="9668" spans="1:3">
      <c r="A9668" s="1133"/>
      <c r="B9668" s="1136"/>
      <c r="C9668" s="1138"/>
    </row>
    <row r="9669" spans="1:3">
      <c r="A9669" s="1133"/>
      <c r="B9669" s="1136"/>
      <c r="C9669" s="1138"/>
    </row>
    <row r="9670" spans="1:3">
      <c r="A9670" s="1133"/>
      <c r="B9670" s="1136"/>
      <c r="C9670" s="1138"/>
    </row>
    <row r="9671" spans="1:3">
      <c r="A9671" s="1133"/>
      <c r="B9671" s="1136"/>
      <c r="C9671" s="1138"/>
    </row>
    <row r="9672" spans="1:3">
      <c r="A9672" s="1133"/>
      <c r="B9672" s="1136"/>
      <c r="C9672" s="1138"/>
    </row>
    <row r="9673" spans="1:3">
      <c r="A9673" s="1133"/>
      <c r="B9673" s="1136"/>
      <c r="C9673" s="1138"/>
    </row>
    <row r="9674" spans="1:3">
      <c r="A9674" s="1133"/>
      <c r="B9674" s="1136"/>
      <c r="C9674" s="1138"/>
    </row>
    <row r="9675" spans="1:3">
      <c r="A9675" s="1133"/>
      <c r="B9675" s="1136"/>
      <c r="C9675" s="1138"/>
    </row>
    <row r="9676" spans="1:3">
      <c r="A9676" s="1133"/>
      <c r="B9676" s="1136"/>
      <c r="C9676" s="1138"/>
    </row>
    <row r="9677" spans="1:3">
      <c r="A9677" s="1133"/>
      <c r="B9677" s="1136"/>
      <c r="C9677" s="1138"/>
    </row>
    <row r="9678" spans="1:3">
      <c r="A9678" s="1133"/>
      <c r="B9678" s="1136"/>
      <c r="C9678" s="1138"/>
    </row>
    <row r="9679" spans="1:3">
      <c r="A9679" s="1133"/>
      <c r="B9679" s="1136"/>
      <c r="C9679" s="1138"/>
    </row>
    <row r="9680" spans="1:3">
      <c r="A9680" s="1133"/>
      <c r="B9680" s="1136"/>
      <c r="C9680" s="1138"/>
    </row>
    <row r="9681" spans="1:3">
      <c r="A9681" s="1133"/>
      <c r="B9681" s="1136"/>
      <c r="C9681" s="1138"/>
    </row>
    <row r="9682" spans="1:3">
      <c r="A9682" s="1133"/>
      <c r="B9682" s="1136"/>
      <c r="C9682" s="1138"/>
    </row>
    <row r="9683" spans="1:3">
      <c r="A9683" s="1133"/>
      <c r="B9683" s="1136"/>
      <c r="C9683" s="1138"/>
    </row>
    <row r="9684" spans="1:3">
      <c r="A9684" s="1133"/>
      <c r="B9684" s="1136"/>
      <c r="C9684" s="1138"/>
    </row>
    <row r="9685" spans="1:3">
      <c r="A9685" s="1133"/>
      <c r="B9685" s="1136"/>
      <c r="C9685" s="1138"/>
    </row>
    <row r="9686" spans="1:3">
      <c r="A9686" s="1133"/>
      <c r="B9686" s="1136"/>
      <c r="C9686" s="1138"/>
    </row>
    <row r="9687" spans="1:3">
      <c r="A9687" s="1133"/>
      <c r="B9687" s="1136"/>
      <c r="C9687" s="1138"/>
    </row>
    <row r="9688" spans="1:3">
      <c r="A9688" s="1133"/>
      <c r="B9688" s="1136"/>
      <c r="C9688" s="1138"/>
    </row>
    <row r="9689" spans="1:3">
      <c r="A9689" s="1133"/>
      <c r="B9689" s="1136"/>
      <c r="C9689" s="1138"/>
    </row>
    <row r="9690" spans="1:3">
      <c r="A9690" s="1133"/>
      <c r="B9690" s="1136"/>
      <c r="C9690" s="1138"/>
    </row>
    <row r="9691" spans="1:3">
      <c r="A9691" s="1133"/>
      <c r="B9691" s="1136"/>
      <c r="C9691" s="1138"/>
    </row>
    <row r="9692" spans="1:3">
      <c r="A9692" s="1133"/>
      <c r="B9692" s="1136"/>
      <c r="C9692" s="1138"/>
    </row>
    <row r="9693" spans="1:3">
      <c r="A9693" s="1133"/>
      <c r="B9693" s="1136"/>
      <c r="C9693" s="1138"/>
    </row>
    <row r="9694" spans="1:3">
      <c r="A9694" s="1133"/>
      <c r="B9694" s="1136"/>
      <c r="C9694" s="1138"/>
    </row>
    <row r="9695" spans="1:3">
      <c r="A9695" s="1133"/>
      <c r="B9695" s="1136"/>
      <c r="C9695" s="1138"/>
    </row>
    <row r="9696" spans="1:3">
      <c r="A9696" s="1133"/>
      <c r="B9696" s="1136"/>
      <c r="C9696" s="1138"/>
    </row>
    <row r="9697" spans="1:3">
      <c r="A9697" s="1133"/>
      <c r="B9697" s="1136"/>
      <c r="C9697" s="1138"/>
    </row>
    <row r="9698" spans="1:3">
      <c r="A9698" s="1133"/>
      <c r="B9698" s="1136"/>
      <c r="C9698" s="1138"/>
    </row>
    <row r="9699" spans="1:3">
      <c r="A9699" s="1133"/>
      <c r="B9699" s="1136"/>
      <c r="C9699" s="1138"/>
    </row>
    <row r="9700" spans="1:3">
      <c r="A9700" s="1133"/>
      <c r="B9700" s="1136"/>
      <c r="C9700" s="1138"/>
    </row>
    <row r="9701" spans="1:3">
      <c r="A9701" s="1133"/>
      <c r="B9701" s="1136"/>
      <c r="C9701" s="1138"/>
    </row>
    <row r="9702" spans="1:3">
      <c r="A9702" s="1133"/>
      <c r="B9702" s="1136"/>
      <c r="C9702" s="1138"/>
    </row>
    <row r="9703" spans="1:3">
      <c r="A9703" s="1133"/>
      <c r="B9703" s="1136"/>
      <c r="C9703" s="1138"/>
    </row>
    <row r="9704" spans="1:3">
      <c r="A9704" s="1133"/>
      <c r="B9704" s="1136"/>
      <c r="C9704" s="1138"/>
    </row>
    <row r="9705" spans="1:3">
      <c r="A9705" s="1133"/>
      <c r="B9705" s="1136"/>
      <c r="C9705" s="1138"/>
    </row>
    <row r="9706" spans="1:3">
      <c r="A9706" s="1133"/>
      <c r="B9706" s="1136"/>
      <c r="C9706" s="1138"/>
    </row>
    <row r="9707" spans="1:3">
      <c r="A9707" s="1133"/>
      <c r="B9707" s="1136"/>
      <c r="C9707" s="1138"/>
    </row>
    <row r="9708" spans="1:3">
      <c r="A9708" s="1133"/>
      <c r="B9708" s="1136"/>
      <c r="C9708" s="1138"/>
    </row>
    <row r="9709" spans="1:3">
      <c r="A9709" s="1133"/>
      <c r="B9709" s="1136"/>
      <c r="C9709" s="1138"/>
    </row>
    <row r="9710" spans="1:3">
      <c r="A9710" s="1133"/>
      <c r="B9710" s="1136"/>
      <c r="C9710" s="1138"/>
    </row>
    <row r="9711" spans="1:3">
      <c r="A9711" s="1133"/>
      <c r="B9711" s="1136"/>
      <c r="C9711" s="1138"/>
    </row>
    <row r="9712" spans="1:3">
      <c r="A9712" s="1133"/>
      <c r="B9712" s="1136"/>
      <c r="C9712" s="1138"/>
    </row>
    <row r="9713" spans="1:3">
      <c r="A9713" s="1133"/>
      <c r="B9713" s="1136"/>
      <c r="C9713" s="1138"/>
    </row>
    <row r="9714" spans="1:3">
      <c r="A9714" s="1133"/>
      <c r="B9714" s="1136"/>
      <c r="C9714" s="1138"/>
    </row>
    <row r="9715" spans="1:3">
      <c r="A9715" s="1133"/>
      <c r="B9715" s="1136"/>
      <c r="C9715" s="1138"/>
    </row>
    <row r="9716" spans="1:3">
      <c r="A9716" s="1133"/>
      <c r="B9716" s="1136"/>
      <c r="C9716" s="1138"/>
    </row>
    <row r="9717" spans="1:3">
      <c r="A9717" s="1133"/>
      <c r="B9717" s="1136"/>
      <c r="C9717" s="1138"/>
    </row>
    <row r="9718" spans="1:3">
      <c r="A9718" s="1133"/>
      <c r="B9718" s="1136"/>
      <c r="C9718" s="1138"/>
    </row>
    <row r="9719" spans="1:3">
      <c r="A9719" s="1133"/>
      <c r="B9719" s="1136"/>
      <c r="C9719" s="1138"/>
    </row>
    <row r="9720" spans="1:3">
      <c r="A9720" s="1133"/>
      <c r="B9720" s="1136"/>
      <c r="C9720" s="1138"/>
    </row>
    <row r="9721" spans="1:3">
      <c r="A9721" s="1133"/>
      <c r="B9721" s="1136"/>
      <c r="C9721" s="1138"/>
    </row>
    <row r="9722" spans="1:3">
      <c r="A9722" s="1133"/>
      <c r="B9722" s="1136"/>
      <c r="C9722" s="1138"/>
    </row>
    <row r="9723" spans="1:3">
      <c r="A9723" s="1133"/>
      <c r="B9723" s="1136"/>
      <c r="C9723" s="1138"/>
    </row>
    <row r="9724" spans="1:3">
      <c r="A9724" s="1133"/>
      <c r="B9724" s="1136"/>
      <c r="C9724" s="1138"/>
    </row>
    <row r="9725" spans="1:3">
      <c r="A9725" s="1133"/>
      <c r="B9725" s="1136"/>
      <c r="C9725" s="1138"/>
    </row>
    <row r="9726" spans="1:3">
      <c r="A9726" s="1133"/>
      <c r="B9726" s="1136"/>
      <c r="C9726" s="1138"/>
    </row>
    <row r="9727" spans="1:3">
      <c r="A9727" s="1133"/>
      <c r="B9727" s="1136"/>
      <c r="C9727" s="1138"/>
    </row>
    <row r="9728" spans="1:3">
      <c r="A9728" s="1133"/>
      <c r="B9728" s="1136"/>
      <c r="C9728" s="1138"/>
    </row>
    <row r="9729" spans="1:3">
      <c r="A9729" s="1133"/>
      <c r="B9729" s="1136"/>
      <c r="C9729" s="1138"/>
    </row>
    <row r="9730" spans="1:3">
      <c r="A9730" s="1133"/>
      <c r="B9730" s="1136"/>
      <c r="C9730" s="1138"/>
    </row>
    <row r="9731" spans="1:3">
      <c r="A9731" s="1133"/>
      <c r="B9731" s="1136"/>
      <c r="C9731" s="1138"/>
    </row>
    <row r="9732" spans="1:3">
      <c r="A9732" s="1133"/>
      <c r="B9732" s="1136"/>
      <c r="C9732" s="1138"/>
    </row>
    <row r="9733" spans="1:3">
      <c r="A9733" s="1133"/>
      <c r="B9733" s="1136"/>
      <c r="C9733" s="1138"/>
    </row>
    <row r="9734" spans="1:3">
      <c r="A9734" s="1133"/>
      <c r="B9734" s="1136"/>
      <c r="C9734" s="1138"/>
    </row>
    <row r="9735" spans="1:3">
      <c r="A9735" s="1133"/>
      <c r="B9735" s="1136"/>
      <c r="C9735" s="1138"/>
    </row>
    <row r="9736" spans="1:3">
      <c r="A9736" s="1133"/>
      <c r="B9736" s="1136"/>
      <c r="C9736" s="1138"/>
    </row>
    <row r="9737" spans="1:3">
      <c r="A9737" s="1133"/>
      <c r="B9737" s="1136"/>
      <c r="C9737" s="1138"/>
    </row>
    <row r="9738" spans="1:3">
      <c r="A9738" s="1133"/>
      <c r="B9738" s="1136"/>
      <c r="C9738" s="1138"/>
    </row>
    <row r="9739" spans="1:3">
      <c r="A9739" s="1133"/>
      <c r="B9739" s="1136"/>
      <c r="C9739" s="1138"/>
    </row>
    <row r="9740" spans="1:3">
      <c r="A9740" s="1133"/>
      <c r="B9740" s="1136"/>
      <c r="C9740" s="1138"/>
    </row>
    <row r="9741" spans="1:3">
      <c r="A9741" s="1133"/>
      <c r="B9741" s="1136"/>
      <c r="C9741" s="1138"/>
    </row>
    <row r="9742" spans="1:3">
      <c r="A9742" s="1133"/>
      <c r="B9742" s="1136"/>
      <c r="C9742" s="1138"/>
    </row>
    <row r="9743" spans="1:3">
      <c r="A9743" s="1133"/>
      <c r="B9743" s="1136"/>
      <c r="C9743" s="1138"/>
    </row>
    <row r="9744" spans="1:3">
      <c r="A9744" s="1133"/>
      <c r="B9744" s="1136"/>
      <c r="C9744" s="1138"/>
    </row>
    <row r="9745" spans="1:3">
      <c r="A9745" s="1133"/>
      <c r="B9745" s="1136"/>
      <c r="C9745" s="1138"/>
    </row>
    <row r="9746" spans="1:3">
      <c r="A9746" s="1133"/>
      <c r="B9746" s="1136"/>
      <c r="C9746" s="1138"/>
    </row>
    <row r="9747" spans="1:3">
      <c r="A9747" s="1133"/>
      <c r="B9747" s="1136"/>
      <c r="C9747" s="1138"/>
    </row>
    <row r="9748" spans="1:3">
      <c r="A9748" s="1133"/>
      <c r="B9748" s="1136"/>
      <c r="C9748" s="1138"/>
    </row>
    <row r="9749" spans="1:3">
      <c r="A9749" s="1133"/>
      <c r="B9749" s="1136"/>
      <c r="C9749" s="1138"/>
    </row>
    <row r="9750" spans="1:3">
      <c r="A9750" s="1133"/>
      <c r="B9750" s="1136"/>
      <c r="C9750" s="1138"/>
    </row>
    <row r="9751" spans="1:3">
      <c r="A9751" s="1133"/>
      <c r="B9751" s="1136"/>
      <c r="C9751" s="1138"/>
    </row>
    <row r="9752" spans="1:3">
      <c r="A9752" s="1133"/>
      <c r="B9752" s="1136"/>
      <c r="C9752" s="1138"/>
    </row>
    <row r="9753" spans="1:3">
      <c r="A9753" s="1133"/>
      <c r="B9753" s="1136"/>
      <c r="C9753" s="1138"/>
    </row>
    <row r="9754" spans="1:3">
      <c r="A9754" s="1133"/>
      <c r="B9754" s="1136"/>
      <c r="C9754" s="1138"/>
    </row>
    <row r="9755" spans="1:3">
      <c r="A9755" s="1133"/>
      <c r="B9755" s="1136"/>
      <c r="C9755" s="1138"/>
    </row>
    <row r="9756" spans="1:3">
      <c r="A9756" s="1133"/>
      <c r="B9756" s="1136"/>
      <c r="C9756" s="1138"/>
    </row>
    <row r="9757" spans="1:3">
      <c r="A9757" s="1133"/>
      <c r="B9757" s="1136"/>
      <c r="C9757" s="1138"/>
    </row>
    <row r="9758" spans="1:3">
      <c r="A9758" s="1133"/>
      <c r="B9758" s="1136"/>
      <c r="C9758" s="1138"/>
    </row>
    <row r="9759" spans="1:3">
      <c r="A9759" s="1133"/>
      <c r="B9759" s="1136"/>
      <c r="C9759" s="1138"/>
    </row>
    <row r="9760" spans="1:3">
      <c r="A9760" s="1133"/>
      <c r="B9760" s="1136"/>
      <c r="C9760" s="1138"/>
    </row>
    <row r="9761" spans="1:3">
      <c r="A9761" s="1133"/>
      <c r="B9761" s="1136"/>
      <c r="C9761" s="1138"/>
    </row>
    <row r="9762" spans="1:3">
      <c r="A9762" s="1133"/>
      <c r="B9762" s="1136"/>
      <c r="C9762" s="1138"/>
    </row>
    <row r="9763" spans="1:3">
      <c r="A9763" s="1133"/>
      <c r="B9763" s="1136"/>
      <c r="C9763" s="1138"/>
    </row>
    <row r="9764" spans="1:3">
      <c r="A9764" s="1133"/>
      <c r="B9764" s="1136"/>
      <c r="C9764" s="1138"/>
    </row>
    <row r="9765" spans="1:3">
      <c r="A9765" s="1133"/>
      <c r="B9765" s="1136"/>
      <c r="C9765" s="1138"/>
    </row>
    <row r="9766" spans="1:3">
      <c r="A9766" s="1133"/>
      <c r="B9766" s="1136"/>
      <c r="C9766" s="1138"/>
    </row>
    <row r="9767" spans="1:3">
      <c r="A9767" s="1133"/>
      <c r="B9767" s="1136"/>
      <c r="C9767" s="1138"/>
    </row>
    <row r="9768" spans="1:3">
      <c r="A9768" s="1133"/>
      <c r="B9768" s="1136"/>
      <c r="C9768" s="1138"/>
    </row>
    <row r="9769" spans="1:3">
      <c r="A9769" s="1133"/>
      <c r="B9769" s="1136"/>
      <c r="C9769" s="1138"/>
    </row>
    <row r="9770" spans="1:3">
      <c r="A9770" s="1133"/>
      <c r="B9770" s="1136"/>
      <c r="C9770" s="1138"/>
    </row>
    <row r="9771" spans="1:3">
      <c r="A9771" s="1133"/>
      <c r="B9771" s="1136"/>
      <c r="C9771" s="1138"/>
    </row>
    <row r="9772" spans="1:3">
      <c r="A9772" s="1133"/>
      <c r="B9772" s="1136"/>
      <c r="C9772" s="1138"/>
    </row>
    <row r="9773" spans="1:3">
      <c r="A9773" s="1133"/>
      <c r="B9773" s="1136"/>
      <c r="C9773" s="1138"/>
    </row>
    <row r="9774" spans="1:3">
      <c r="A9774" s="1133"/>
      <c r="B9774" s="1136"/>
      <c r="C9774" s="1138"/>
    </row>
    <row r="9775" spans="1:3">
      <c r="A9775" s="1133"/>
      <c r="B9775" s="1136"/>
      <c r="C9775" s="1138"/>
    </row>
    <row r="9776" spans="1:3">
      <c r="A9776" s="1133"/>
      <c r="B9776" s="1136"/>
      <c r="C9776" s="1138"/>
    </row>
    <row r="9777" spans="1:3">
      <c r="A9777" s="1133"/>
      <c r="B9777" s="1136"/>
      <c r="C9777" s="1138"/>
    </row>
    <row r="9778" spans="1:3">
      <c r="A9778" s="1133"/>
      <c r="B9778" s="1136"/>
      <c r="C9778" s="1138"/>
    </row>
    <row r="9779" spans="1:3">
      <c r="A9779" s="1133"/>
      <c r="B9779" s="1136"/>
      <c r="C9779" s="1138"/>
    </row>
    <row r="9780" spans="1:3">
      <c r="A9780" s="1133"/>
      <c r="B9780" s="1136"/>
      <c r="C9780" s="1138"/>
    </row>
    <row r="9781" spans="1:3">
      <c r="A9781" s="1133"/>
      <c r="B9781" s="1136"/>
      <c r="C9781" s="1138"/>
    </row>
    <row r="9782" spans="1:3">
      <c r="A9782" s="1133"/>
      <c r="B9782" s="1136"/>
      <c r="C9782" s="1138"/>
    </row>
    <row r="9783" spans="1:3">
      <c r="A9783" s="1133"/>
      <c r="B9783" s="1136"/>
      <c r="C9783" s="1138"/>
    </row>
    <row r="9784" spans="1:3">
      <c r="A9784" s="1133"/>
      <c r="B9784" s="1136"/>
      <c r="C9784" s="1138"/>
    </row>
    <row r="9785" spans="1:3">
      <c r="A9785" s="1133"/>
      <c r="B9785" s="1136"/>
      <c r="C9785" s="1138"/>
    </row>
    <row r="9786" spans="1:3">
      <c r="A9786" s="1133"/>
      <c r="B9786" s="1136"/>
      <c r="C9786" s="1138"/>
    </row>
    <row r="9787" spans="1:3">
      <c r="A9787" s="1133"/>
      <c r="B9787" s="1136"/>
      <c r="C9787" s="1138"/>
    </row>
    <row r="9788" spans="1:3">
      <c r="A9788" s="1133"/>
      <c r="B9788" s="1136"/>
      <c r="C9788" s="1138"/>
    </row>
    <row r="9789" spans="1:3">
      <c r="A9789" s="1133"/>
      <c r="B9789" s="1136"/>
      <c r="C9789" s="1138"/>
    </row>
    <row r="9790" spans="1:3">
      <c r="A9790" s="1133"/>
      <c r="B9790" s="1136"/>
      <c r="C9790" s="1138"/>
    </row>
    <row r="9791" spans="1:3">
      <c r="A9791" s="1133"/>
      <c r="B9791" s="1136"/>
      <c r="C9791" s="1138"/>
    </row>
    <row r="9792" spans="1:3">
      <c r="A9792" s="1133"/>
      <c r="B9792" s="1136"/>
      <c r="C9792" s="1138"/>
    </row>
    <row r="9793" spans="1:3">
      <c r="A9793" s="1133"/>
      <c r="B9793" s="1136"/>
      <c r="C9793" s="1138"/>
    </row>
    <row r="9794" spans="1:3">
      <c r="A9794" s="1133"/>
      <c r="B9794" s="1136"/>
      <c r="C9794" s="1138"/>
    </row>
    <row r="9795" spans="1:3">
      <c r="A9795" s="1133"/>
      <c r="B9795" s="1136"/>
      <c r="C9795" s="1138"/>
    </row>
    <row r="9796" spans="1:3">
      <c r="A9796" s="1133"/>
      <c r="B9796" s="1136"/>
      <c r="C9796" s="1138"/>
    </row>
    <row r="9797" spans="1:3">
      <c r="A9797" s="1133"/>
      <c r="B9797" s="1136"/>
      <c r="C9797" s="1138"/>
    </row>
    <row r="9798" spans="1:3">
      <c r="A9798" s="1133"/>
      <c r="B9798" s="1136"/>
      <c r="C9798" s="1138"/>
    </row>
    <row r="9799" spans="1:3">
      <c r="A9799" s="1133"/>
      <c r="B9799" s="1136"/>
      <c r="C9799" s="1138"/>
    </row>
    <row r="9800" spans="1:3">
      <c r="A9800" s="1133"/>
      <c r="B9800" s="1136"/>
      <c r="C9800" s="1138"/>
    </row>
    <row r="9801" spans="1:3">
      <c r="A9801" s="1133"/>
      <c r="B9801" s="1136"/>
      <c r="C9801" s="1138"/>
    </row>
    <row r="9802" spans="1:3">
      <c r="A9802" s="1133"/>
      <c r="B9802" s="1136"/>
      <c r="C9802" s="1138"/>
    </row>
    <row r="9803" spans="1:3">
      <c r="A9803" s="1133"/>
      <c r="B9803" s="1136"/>
      <c r="C9803" s="1138"/>
    </row>
    <row r="9804" spans="1:3">
      <c r="A9804" s="1133"/>
      <c r="B9804" s="1136"/>
      <c r="C9804" s="1138"/>
    </row>
    <row r="9805" spans="1:3">
      <c r="A9805" s="1133"/>
      <c r="B9805" s="1136"/>
      <c r="C9805" s="1138"/>
    </row>
    <row r="9806" spans="1:3">
      <c r="A9806" s="1133"/>
      <c r="B9806" s="1136"/>
      <c r="C9806" s="1138"/>
    </row>
    <row r="9807" spans="1:3">
      <c r="A9807" s="1133"/>
      <c r="B9807" s="1136"/>
      <c r="C9807" s="1138"/>
    </row>
    <row r="9808" spans="1:3">
      <c r="A9808" s="1133"/>
      <c r="B9808" s="1136"/>
      <c r="C9808" s="1138"/>
    </row>
    <row r="9809" spans="1:3">
      <c r="A9809" s="1133"/>
      <c r="B9809" s="1136"/>
      <c r="C9809" s="1138"/>
    </row>
    <row r="9810" spans="1:3">
      <c r="A9810" s="1133"/>
      <c r="B9810" s="1136"/>
      <c r="C9810" s="1138"/>
    </row>
    <row r="9811" spans="1:3">
      <c r="A9811" s="1133"/>
      <c r="B9811" s="1136"/>
      <c r="C9811" s="1138"/>
    </row>
    <row r="9812" spans="1:3">
      <c r="A9812" s="1133"/>
      <c r="B9812" s="1136"/>
      <c r="C9812" s="1138"/>
    </row>
    <row r="9813" spans="1:3">
      <c r="A9813" s="1133"/>
      <c r="B9813" s="1136"/>
      <c r="C9813" s="1138"/>
    </row>
    <row r="9814" spans="1:3">
      <c r="A9814" s="1133"/>
      <c r="B9814" s="1136"/>
      <c r="C9814" s="1138"/>
    </row>
    <row r="9815" spans="1:3">
      <c r="A9815" s="1133"/>
      <c r="B9815" s="1136"/>
      <c r="C9815" s="1138"/>
    </row>
    <row r="9816" spans="1:3">
      <c r="A9816" s="1133"/>
      <c r="B9816" s="1136"/>
      <c r="C9816" s="1138"/>
    </row>
    <row r="9817" spans="1:3">
      <c r="A9817" s="1133"/>
      <c r="B9817" s="1136"/>
      <c r="C9817" s="1138"/>
    </row>
    <row r="9818" spans="1:3">
      <c r="A9818" s="1133"/>
      <c r="B9818" s="1136"/>
      <c r="C9818" s="1138"/>
    </row>
    <row r="9819" spans="1:3">
      <c r="A9819" s="1133"/>
      <c r="B9819" s="1136"/>
      <c r="C9819" s="1138"/>
    </row>
    <row r="9820" spans="1:3">
      <c r="A9820" s="1133"/>
      <c r="B9820" s="1136"/>
      <c r="C9820" s="1138"/>
    </row>
    <row r="9821" spans="1:3">
      <c r="A9821" s="1133"/>
      <c r="B9821" s="1136"/>
      <c r="C9821" s="1138"/>
    </row>
    <row r="9822" spans="1:3">
      <c r="A9822" s="1133"/>
      <c r="B9822" s="1136"/>
      <c r="C9822" s="1138"/>
    </row>
    <row r="9823" spans="1:3">
      <c r="A9823" s="1133"/>
      <c r="B9823" s="1136"/>
      <c r="C9823" s="1138"/>
    </row>
    <row r="9824" spans="1:3">
      <c r="A9824" s="1133"/>
      <c r="B9824" s="1136"/>
      <c r="C9824" s="1138"/>
    </row>
    <row r="9825" spans="1:3">
      <c r="A9825" s="1133"/>
      <c r="B9825" s="1136"/>
      <c r="C9825" s="1138"/>
    </row>
    <row r="9826" spans="1:3">
      <c r="A9826" s="1133"/>
      <c r="B9826" s="1136"/>
      <c r="C9826" s="1138"/>
    </row>
    <row r="9827" spans="1:3">
      <c r="A9827" s="1133"/>
      <c r="B9827" s="1136"/>
      <c r="C9827" s="1138"/>
    </row>
    <row r="9828" spans="1:3">
      <c r="A9828" s="1133"/>
      <c r="B9828" s="1136"/>
      <c r="C9828" s="1138"/>
    </row>
    <row r="9829" spans="1:3">
      <c r="A9829" s="1133"/>
      <c r="B9829" s="1136"/>
      <c r="C9829" s="1138"/>
    </row>
    <row r="9830" spans="1:3">
      <c r="A9830" s="1133"/>
      <c r="B9830" s="1136"/>
      <c r="C9830" s="1138"/>
    </row>
    <row r="9831" spans="1:3">
      <c r="A9831" s="1133"/>
      <c r="B9831" s="1136"/>
      <c r="C9831" s="1138"/>
    </row>
    <row r="9832" spans="1:3">
      <c r="A9832" s="1133"/>
      <c r="B9832" s="1136"/>
      <c r="C9832" s="1138"/>
    </row>
    <row r="9833" spans="1:3">
      <c r="A9833" s="1133"/>
      <c r="B9833" s="1136"/>
      <c r="C9833" s="1138"/>
    </row>
    <row r="9834" spans="1:3">
      <c r="A9834" s="1133"/>
      <c r="B9834" s="1136"/>
      <c r="C9834" s="1138"/>
    </row>
    <row r="9835" spans="1:3">
      <c r="A9835" s="1133"/>
      <c r="B9835" s="1136"/>
      <c r="C9835" s="1138"/>
    </row>
    <row r="9836" spans="1:3">
      <c r="A9836" s="1133"/>
      <c r="B9836" s="1136"/>
      <c r="C9836" s="1138"/>
    </row>
    <row r="9837" spans="1:3">
      <c r="A9837" s="1133"/>
      <c r="B9837" s="1136"/>
      <c r="C9837" s="1138"/>
    </row>
    <row r="9838" spans="1:3">
      <c r="A9838" s="1133"/>
      <c r="B9838" s="1136"/>
      <c r="C9838" s="1138"/>
    </row>
    <row r="9839" spans="1:3">
      <c r="A9839" s="1133"/>
      <c r="B9839" s="1136"/>
      <c r="C9839" s="1138"/>
    </row>
    <row r="9840" spans="1:3">
      <c r="A9840" s="1133"/>
      <c r="B9840" s="1136"/>
      <c r="C9840" s="1138"/>
    </row>
    <row r="9841" spans="1:3">
      <c r="A9841" s="1133"/>
      <c r="B9841" s="1136"/>
      <c r="C9841" s="1138"/>
    </row>
    <row r="9842" spans="1:3">
      <c r="A9842" s="1133"/>
      <c r="B9842" s="1136"/>
      <c r="C9842" s="1138"/>
    </row>
    <row r="9843" spans="1:3">
      <c r="A9843" s="1133"/>
      <c r="B9843" s="1136"/>
      <c r="C9843" s="1138"/>
    </row>
    <row r="9844" spans="1:3">
      <c r="A9844" s="1133"/>
      <c r="B9844" s="1136"/>
      <c r="C9844" s="1138"/>
    </row>
    <row r="9845" spans="1:3">
      <c r="A9845" s="1133"/>
      <c r="B9845" s="1136"/>
      <c r="C9845" s="1138"/>
    </row>
    <row r="9846" spans="1:3">
      <c r="A9846" s="1133"/>
      <c r="B9846" s="1136"/>
      <c r="C9846" s="1138"/>
    </row>
    <row r="9847" spans="1:3">
      <c r="A9847" s="1133"/>
      <c r="B9847" s="1136"/>
      <c r="C9847" s="1138"/>
    </row>
    <row r="9848" spans="1:3">
      <c r="A9848" s="1133"/>
      <c r="B9848" s="1136"/>
      <c r="C9848" s="1138"/>
    </row>
    <row r="9849" spans="1:3">
      <c r="A9849" s="1133"/>
      <c r="B9849" s="1136"/>
      <c r="C9849" s="1138"/>
    </row>
    <row r="9850" spans="1:3">
      <c r="A9850" s="1133"/>
      <c r="B9850" s="1136"/>
      <c r="C9850" s="1138"/>
    </row>
    <row r="9851" spans="1:3">
      <c r="A9851" s="1133"/>
      <c r="B9851" s="1136"/>
      <c r="C9851" s="1138"/>
    </row>
    <row r="9852" spans="1:3">
      <c r="A9852" s="1133"/>
      <c r="B9852" s="1136"/>
      <c r="C9852" s="1138"/>
    </row>
    <row r="9853" spans="1:3">
      <c r="A9853" s="1133"/>
      <c r="B9853" s="1136"/>
      <c r="C9853" s="1138"/>
    </row>
    <row r="9854" spans="1:3">
      <c r="A9854" s="1133"/>
      <c r="B9854" s="1136"/>
      <c r="C9854" s="1138"/>
    </row>
    <row r="9855" spans="1:3">
      <c r="A9855" s="1133"/>
      <c r="B9855" s="1136"/>
      <c r="C9855" s="1138"/>
    </row>
    <row r="9856" spans="1:3">
      <c r="A9856" s="1133"/>
      <c r="B9856" s="1136"/>
      <c r="C9856" s="1138"/>
    </row>
    <row r="9857" spans="1:3">
      <c r="A9857" s="1133"/>
      <c r="B9857" s="1136"/>
      <c r="C9857" s="1138"/>
    </row>
    <row r="9858" spans="1:3">
      <c r="A9858" s="1133"/>
      <c r="B9858" s="1136"/>
      <c r="C9858" s="1138"/>
    </row>
    <row r="9859" spans="1:3">
      <c r="A9859" s="1133"/>
      <c r="B9859" s="1136"/>
      <c r="C9859" s="1138"/>
    </row>
    <row r="9860" spans="1:3">
      <c r="A9860" s="1133"/>
      <c r="B9860" s="1136"/>
      <c r="C9860" s="1138"/>
    </row>
    <row r="9861" spans="1:3">
      <c r="A9861" s="1133"/>
      <c r="B9861" s="1136"/>
      <c r="C9861" s="1138"/>
    </row>
    <row r="9862" spans="1:3">
      <c r="A9862" s="1133"/>
      <c r="B9862" s="1136"/>
      <c r="C9862" s="1138"/>
    </row>
    <row r="9863" spans="1:3">
      <c r="A9863" s="1133"/>
      <c r="B9863" s="1136"/>
      <c r="C9863" s="1138"/>
    </row>
    <row r="9864" spans="1:3">
      <c r="A9864" s="1133"/>
      <c r="B9864" s="1136"/>
      <c r="C9864" s="1138"/>
    </row>
    <row r="9865" spans="1:3">
      <c r="A9865" s="1133"/>
      <c r="B9865" s="1136"/>
      <c r="C9865" s="1138"/>
    </row>
    <row r="9866" spans="1:3">
      <c r="A9866" s="1133"/>
      <c r="B9866" s="1136"/>
      <c r="C9866" s="1138"/>
    </row>
    <row r="9867" spans="1:3">
      <c r="A9867" s="1133"/>
      <c r="B9867" s="1136"/>
      <c r="C9867" s="1138"/>
    </row>
    <row r="9868" spans="1:3">
      <c r="A9868" s="1133"/>
      <c r="B9868" s="1136"/>
      <c r="C9868" s="1138"/>
    </row>
    <row r="9869" spans="1:3">
      <c r="A9869" s="1133"/>
      <c r="B9869" s="1136"/>
      <c r="C9869" s="1138"/>
    </row>
    <row r="9870" spans="1:3">
      <c r="A9870" s="1133"/>
      <c r="B9870" s="1136"/>
      <c r="C9870" s="1138"/>
    </row>
    <row r="9871" spans="1:3">
      <c r="A9871" s="1133"/>
      <c r="B9871" s="1136"/>
      <c r="C9871" s="1138"/>
    </row>
    <row r="9872" spans="1:3">
      <c r="A9872" s="1133"/>
      <c r="B9872" s="1136"/>
      <c r="C9872" s="1138"/>
    </row>
    <row r="9873" spans="1:3">
      <c r="A9873" s="1133"/>
      <c r="B9873" s="1136"/>
      <c r="C9873" s="1138"/>
    </row>
    <row r="9874" spans="1:3">
      <c r="A9874" s="1133"/>
      <c r="B9874" s="1136"/>
      <c r="C9874" s="1138"/>
    </row>
    <row r="9875" spans="1:3">
      <c r="A9875" s="1133"/>
      <c r="B9875" s="1136"/>
      <c r="C9875" s="1138"/>
    </row>
    <row r="9876" spans="1:3">
      <c r="A9876" s="1133"/>
      <c r="B9876" s="1136"/>
      <c r="C9876" s="1138"/>
    </row>
    <row r="9877" spans="1:3">
      <c r="A9877" s="1133"/>
      <c r="B9877" s="1136"/>
      <c r="C9877" s="1138"/>
    </row>
    <row r="9878" spans="1:3">
      <c r="A9878" s="1133"/>
      <c r="B9878" s="1136"/>
      <c r="C9878" s="1138"/>
    </row>
    <row r="9879" spans="1:3">
      <c r="A9879" s="1133"/>
      <c r="B9879" s="1136"/>
      <c r="C9879" s="1138"/>
    </row>
    <row r="9880" spans="1:3">
      <c r="A9880" s="1133"/>
      <c r="B9880" s="1136"/>
      <c r="C9880" s="1138"/>
    </row>
    <row r="9881" spans="1:3">
      <c r="A9881" s="1133"/>
      <c r="B9881" s="1136"/>
      <c r="C9881" s="1138"/>
    </row>
    <row r="9882" spans="1:3">
      <c r="A9882" s="1133"/>
      <c r="B9882" s="1136"/>
      <c r="C9882" s="1138"/>
    </row>
    <row r="9883" spans="1:3">
      <c r="A9883" s="1133"/>
      <c r="B9883" s="1136"/>
      <c r="C9883" s="1138"/>
    </row>
    <row r="9884" spans="1:3">
      <c r="A9884" s="1133"/>
      <c r="B9884" s="1136"/>
      <c r="C9884" s="1138"/>
    </row>
    <row r="9885" spans="1:3">
      <c r="A9885" s="1133"/>
      <c r="B9885" s="1136"/>
      <c r="C9885" s="1138"/>
    </row>
    <row r="9886" spans="1:3">
      <c r="A9886" s="1133"/>
      <c r="B9886" s="1136"/>
      <c r="C9886" s="1138"/>
    </row>
    <row r="9887" spans="1:3">
      <c r="A9887" s="1133"/>
      <c r="B9887" s="1136"/>
      <c r="C9887" s="1138"/>
    </row>
    <row r="9888" spans="1:3">
      <c r="A9888" s="1133"/>
      <c r="B9888" s="1136"/>
      <c r="C9888" s="1138"/>
    </row>
    <row r="9889" spans="1:3">
      <c r="A9889" s="1133"/>
      <c r="B9889" s="1136"/>
      <c r="C9889" s="1138"/>
    </row>
    <row r="9890" spans="1:3">
      <c r="A9890" s="1133"/>
      <c r="B9890" s="1136"/>
      <c r="C9890" s="1138"/>
    </row>
    <row r="9891" spans="1:3">
      <c r="A9891" s="1133"/>
      <c r="B9891" s="1136"/>
      <c r="C9891" s="1138"/>
    </row>
    <row r="9892" spans="1:3">
      <c r="A9892" s="1133"/>
      <c r="B9892" s="1136"/>
      <c r="C9892" s="1138"/>
    </row>
    <row r="9893" spans="1:3">
      <c r="A9893" s="1133"/>
      <c r="B9893" s="1136"/>
      <c r="C9893" s="1138"/>
    </row>
    <row r="9894" spans="1:3">
      <c r="A9894" s="1133"/>
      <c r="B9894" s="1136"/>
      <c r="C9894" s="1138"/>
    </row>
    <row r="9895" spans="1:3">
      <c r="A9895" s="1133"/>
      <c r="B9895" s="1136"/>
      <c r="C9895" s="1138"/>
    </row>
    <row r="9896" spans="1:3">
      <c r="A9896" s="1133"/>
      <c r="B9896" s="1136"/>
      <c r="C9896" s="1138"/>
    </row>
    <row r="9897" spans="1:3">
      <c r="A9897" s="1133"/>
      <c r="B9897" s="1136"/>
      <c r="C9897" s="1138"/>
    </row>
    <row r="9898" spans="1:3">
      <c r="A9898" s="1133"/>
      <c r="B9898" s="1136"/>
      <c r="C9898" s="1138"/>
    </row>
    <row r="9899" spans="1:3">
      <c r="A9899" s="1133"/>
      <c r="B9899" s="1136"/>
      <c r="C9899" s="1138"/>
    </row>
    <row r="9900" spans="1:3">
      <c r="A9900" s="1133"/>
      <c r="B9900" s="1136"/>
      <c r="C9900" s="1138"/>
    </row>
    <row r="9901" spans="1:3">
      <c r="A9901" s="1133"/>
      <c r="B9901" s="1136"/>
      <c r="C9901" s="1138"/>
    </row>
    <row r="9902" spans="1:3">
      <c r="A9902" s="1133"/>
      <c r="B9902" s="1136"/>
      <c r="C9902" s="1138"/>
    </row>
    <row r="9903" spans="1:3">
      <c r="A9903" s="1133"/>
      <c r="B9903" s="1136"/>
      <c r="C9903" s="1138"/>
    </row>
    <row r="9904" spans="1:3">
      <c r="A9904" s="1133"/>
      <c r="B9904" s="1136"/>
      <c r="C9904" s="1138"/>
    </row>
    <row r="9905" spans="1:3">
      <c r="A9905" s="1133"/>
      <c r="B9905" s="1136"/>
      <c r="C9905" s="1138"/>
    </row>
    <row r="9906" spans="1:3">
      <c r="A9906" s="1133"/>
      <c r="B9906" s="1136"/>
      <c r="C9906" s="1138"/>
    </row>
    <row r="9907" spans="1:3">
      <c r="A9907" s="1133"/>
      <c r="B9907" s="1136"/>
      <c r="C9907" s="1138"/>
    </row>
    <row r="9908" spans="1:3">
      <c r="A9908" s="1133"/>
      <c r="B9908" s="1136"/>
      <c r="C9908" s="1138"/>
    </row>
    <row r="9909" spans="1:3">
      <c r="A9909" s="1133"/>
      <c r="B9909" s="1136"/>
      <c r="C9909" s="1138"/>
    </row>
    <row r="9910" spans="1:3">
      <c r="A9910" s="1133"/>
      <c r="B9910" s="1136"/>
      <c r="C9910" s="1138"/>
    </row>
    <row r="9911" spans="1:3">
      <c r="A9911" s="1133"/>
      <c r="B9911" s="1136"/>
      <c r="C9911" s="1138"/>
    </row>
    <row r="9912" spans="1:3">
      <c r="A9912" s="1133"/>
      <c r="B9912" s="1136"/>
      <c r="C9912" s="1138"/>
    </row>
    <row r="9913" spans="1:3">
      <c r="A9913" s="1133"/>
      <c r="B9913" s="1136"/>
      <c r="C9913" s="1138"/>
    </row>
    <row r="9914" spans="1:3">
      <c r="A9914" s="1133"/>
      <c r="B9914" s="1136"/>
      <c r="C9914" s="1138"/>
    </row>
    <row r="9915" spans="1:3">
      <c r="A9915" s="1133"/>
      <c r="B9915" s="1136"/>
      <c r="C9915" s="1138"/>
    </row>
    <row r="9916" spans="1:3">
      <c r="A9916" s="1133"/>
      <c r="B9916" s="1136"/>
      <c r="C9916" s="1138"/>
    </row>
    <row r="9917" spans="1:3">
      <c r="A9917" s="1133"/>
      <c r="B9917" s="1136"/>
      <c r="C9917" s="1138"/>
    </row>
    <row r="9918" spans="1:3">
      <c r="A9918" s="1133"/>
      <c r="B9918" s="1136"/>
      <c r="C9918" s="1138"/>
    </row>
    <row r="9919" spans="1:3">
      <c r="A9919" s="1133"/>
      <c r="B9919" s="1136"/>
      <c r="C9919" s="1138"/>
    </row>
    <row r="9920" spans="1:3">
      <c r="A9920" s="1133"/>
      <c r="B9920" s="1136"/>
      <c r="C9920" s="1138"/>
    </row>
    <row r="9921" spans="1:3">
      <c r="A9921" s="1133"/>
      <c r="B9921" s="1136"/>
      <c r="C9921" s="1138"/>
    </row>
    <row r="9922" spans="1:3">
      <c r="A9922" s="1133"/>
      <c r="B9922" s="1136"/>
      <c r="C9922" s="1138"/>
    </row>
    <row r="9923" spans="1:3">
      <c r="A9923" s="1133"/>
      <c r="B9923" s="1136"/>
      <c r="C9923" s="1138"/>
    </row>
    <row r="9924" spans="1:3">
      <c r="A9924" s="1133"/>
      <c r="B9924" s="1136"/>
      <c r="C9924" s="1138"/>
    </row>
    <row r="9925" spans="1:3">
      <c r="A9925" s="1133"/>
      <c r="B9925" s="1136"/>
      <c r="C9925" s="1138"/>
    </row>
    <row r="9926" spans="1:3">
      <c r="A9926" s="1133"/>
      <c r="B9926" s="1136"/>
      <c r="C9926" s="1138"/>
    </row>
    <row r="9927" spans="1:3">
      <c r="A9927" s="1133"/>
      <c r="B9927" s="1136"/>
      <c r="C9927" s="1138"/>
    </row>
    <row r="9928" spans="1:3">
      <c r="A9928" s="1133"/>
      <c r="B9928" s="1136"/>
      <c r="C9928" s="1138"/>
    </row>
    <row r="9929" spans="1:3">
      <c r="A9929" s="1133"/>
      <c r="B9929" s="1136"/>
      <c r="C9929" s="1138"/>
    </row>
    <row r="9930" spans="1:3">
      <c r="A9930" s="1133"/>
      <c r="B9930" s="1136"/>
      <c r="C9930" s="1138"/>
    </row>
    <row r="9931" spans="1:3">
      <c r="A9931" s="1133"/>
      <c r="B9931" s="1136"/>
      <c r="C9931" s="1138"/>
    </row>
    <row r="9932" spans="1:3">
      <c r="A9932" s="1133"/>
      <c r="B9932" s="1136"/>
      <c r="C9932" s="1138"/>
    </row>
    <row r="9933" spans="1:3">
      <c r="A9933" s="1133"/>
      <c r="B9933" s="1136"/>
      <c r="C9933" s="1138"/>
    </row>
    <row r="9934" spans="1:3">
      <c r="A9934" s="1133"/>
      <c r="B9934" s="1136"/>
      <c r="C9934" s="1138"/>
    </row>
    <row r="9935" spans="1:3">
      <c r="A9935" s="1133"/>
      <c r="B9935" s="1136"/>
      <c r="C9935" s="1138"/>
    </row>
    <row r="9936" spans="1:3">
      <c r="A9936" s="1133"/>
      <c r="B9936" s="1136"/>
      <c r="C9936" s="1138"/>
    </row>
    <row r="9937" spans="1:3">
      <c r="A9937" s="1133"/>
      <c r="B9937" s="1136"/>
      <c r="C9937" s="1138"/>
    </row>
    <row r="9938" spans="1:3">
      <c r="A9938" s="1133"/>
      <c r="B9938" s="1136"/>
      <c r="C9938" s="1138"/>
    </row>
    <row r="9939" spans="1:3">
      <c r="A9939" s="1133"/>
      <c r="B9939" s="1136"/>
      <c r="C9939" s="1138"/>
    </row>
    <row r="9940" spans="1:3">
      <c r="A9940" s="1133"/>
      <c r="B9940" s="1136"/>
      <c r="C9940" s="1138"/>
    </row>
    <row r="9941" spans="1:3">
      <c r="A9941" s="1133"/>
      <c r="B9941" s="1136"/>
      <c r="C9941" s="1138"/>
    </row>
    <row r="9942" spans="1:3">
      <c r="A9942" s="1133"/>
      <c r="B9942" s="1136"/>
      <c r="C9942" s="1138"/>
    </row>
    <row r="9943" spans="1:3">
      <c r="A9943" s="1133"/>
      <c r="B9943" s="1136"/>
      <c r="C9943" s="1138"/>
    </row>
    <row r="9944" spans="1:3">
      <c r="A9944" s="1133"/>
      <c r="B9944" s="1136"/>
      <c r="C9944" s="1138"/>
    </row>
    <row r="9945" spans="1:3">
      <c r="A9945" s="1133"/>
      <c r="B9945" s="1136"/>
      <c r="C9945" s="1138"/>
    </row>
    <row r="9946" spans="1:3">
      <c r="A9946" s="1133"/>
      <c r="B9946" s="1136"/>
      <c r="C9946" s="1138"/>
    </row>
    <row r="9947" spans="1:3">
      <c r="A9947" s="1133"/>
      <c r="B9947" s="1136"/>
      <c r="C9947" s="1138"/>
    </row>
    <row r="9948" spans="1:3">
      <c r="A9948" s="1133"/>
      <c r="B9948" s="1136"/>
      <c r="C9948" s="1138"/>
    </row>
    <row r="9949" spans="1:3">
      <c r="A9949" s="1133"/>
      <c r="B9949" s="1136"/>
      <c r="C9949" s="1138"/>
    </row>
    <row r="9950" spans="1:3">
      <c r="A9950" s="1133"/>
      <c r="B9950" s="1136"/>
      <c r="C9950" s="1138"/>
    </row>
    <row r="9951" spans="1:3">
      <c r="A9951" s="1133"/>
      <c r="B9951" s="1136"/>
      <c r="C9951" s="1138"/>
    </row>
    <row r="9952" spans="1:3">
      <c r="A9952" s="1133"/>
      <c r="B9952" s="1136"/>
      <c r="C9952" s="1138"/>
    </row>
    <row r="9953" spans="1:3">
      <c r="A9953" s="1133"/>
      <c r="B9953" s="1136"/>
      <c r="C9953" s="1138"/>
    </row>
    <row r="9954" spans="1:3">
      <c r="A9954" s="1133"/>
      <c r="B9954" s="1136"/>
      <c r="C9954" s="1138"/>
    </row>
    <row r="9955" spans="1:3">
      <c r="A9955" s="1133"/>
      <c r="B9955" s="1136"/>
      <c r="C9955" s="1138"/>
    </row>
    <row r="9956" spans="1:3">
      <c r="A9956" s="1133"/>
      <c r="B9956" s="1136"/>
      <c r="C9956" s="1138"/>
    </row>
    <row r="9957" spans="1:3">
      <c r="A9957" s="1133"/>
      <c r="B9957" s="1136"/>
      <c r="C9957" s="1138"/>
    </row>
    <row r="9958" spans="1:3">
      <c r="A9958" s="1133"/>
      <c r="B9958" s="1136"/>
      <c r="C9958" s="1138"/>
    </row>
    <row r="9959" spans="1:3">
      <c r="A9959" s="1133"/>
      <c r="B9959" s="1136"/>
      <c r="C9959" s="1138"/>
    </row>
    <row r="9960" spans="1:3">
      <c r="A9960" s="1133"/>
      <c r="B9960" s="1136"/>
      <c r="C9960" s="1138"/>
    </row>
    <row r="9961" spans="1:3">
      <c r="A9961" s="1133"/>
      <c r="B9961" s="1136"/>
      <c r="C9961" s="1138"/>
    </row>
    <row r="9962" spans="1:3">
      <c r="A9962" s="1133"/>
      <c r="B9962" s="1136"/>
      <c r="C9962" s="1138"/>
    </row>
    <row r="9963" spans="1:3">
      <c r="A9963" s="1133"/>
      <c r="B9963" s="1136"/>
      <c r="C9963" s="1138"/>
    </row>
    <row r="9964" spans="1:3">
      <c r="A9964" s="1133"/>
      <c r="B9964" s="1136"/>
      <c r="C9964" s="1138"/>
    </row>
    <row r="9965" spans="1:3">
      <c r="A9965" s="1133"/>
      <c r="B9965" s="1136"/>
      <c r="C9965" s="1138"/>
    </row>
    <row r="9966" spans="1:3">
      <c r="A9966" s="1133"/>
      <c r="B9966" s="1136"/>
      <c r="C9966" s="1138"/>
    </row>
    <row r="9967" spans="1:3">
      <c r="A9967" s="1133"/>
      <c r="B9967" s="1136"/>
      <c r="C9967" s="1138"/>
    </row>
    <row r="9968" spans="1:3">
      <c r="A9968" s="1133"/>
      <c r="B9968" s="1136"/>
      <c r="C9968" s="1138"/>
    </row>
    <row r="9969" spans="1:3">
      <c r="A9969" s="1133"/>
      <c r="B9969" s="1136"/>
      <c r="C9969" s="1138"/>
    </row>
    <row r="9970" spans="1:3">
      <c r="A9970" s="1133"/>
      <c r="B9970" s="1136"/>
      <c r="C9970" s="1138"/>
    </row>
    <row r="9971" spans="1:3">
      <c r="A9971" s="1133"/>
      <c r="B9971" s="1136"/>
      <c r="C9971" s="1138"/>
    </row>
    <row r="9972" spans="1:3">
      <c r="A9972" s="1133"/>
      <c r="B9972" s="1136"/>
      <c r="C9972" s="1138"/>
    </row>
    <row r="9973" spans="1:3">
      <c r="A9973" s="1133"/>
      <c r="B9973" s="1136"/>
      <c r="C9973" s="1138"/>
    </row>
    <row r="9974" spans="1:3">
      <c r="A9974" s="1133"/>
      <c r="B9974" s="1136"/>
      <c r="C9974" s="1138"/>
    </row>
    <row r="9975" spans="1:3">
      <c r="A9975" s="1133"/>
      <c r="B9975" s="1136"/>
      <c r="C9975" s="1138"/>
    </row>
    <row r="9976" spans="1:3">
      <c r="A9976" s="1133"/>
      <c r="B9976" s="1136"/>
      <c r="C9976" s="1138"/>
    </row>
    <row r="9977" spans="1:3">
      <c r="A9977" s="1133"/>
      <c r="B9977" s="1136"/>
      <c r="C9977" s="1138"/>
    </row>
    <row r="9978" spans="1:3">
      <c r="A9978" s="1133"/>
      <c r="B9978" s="1136"/>
      <c r="C9978" s="1138"/>
    </row>
    <row r="9979" spans="1:3">
      <c r="A9979" s="1133"/>
      <c r="B9979" s="1136"/>
      <c r="C9979" s="1138"/>
    </row>
    <row r="9980" spans="1:3">
      <c r="A9980" s="1133"/>
      <c r="B9980" s="1136"/>
      <c r="C9980" s="1138"/>
    </row>
    <row r="9981" spans="1:3">
      <c r="A9981" s="1133"/>
      <c r="B9981" s="1136"/>
      <c r="C9981" s="1138"/>
    </row>
    <row r="9982" spans="1:3">
      <c r="A9982" s="1133"/>
      <c r="B9982" s="1136"/>
      <c r="C9982" s="1138"/>
    </row>
    <row r="9983" spans="1:3">
      <c r="A9983" s="1133"/>
      <c r="B9983" s="1136"/>
      <c r="C9983" s="1138"/>
    </row>
    <row r="9984" spans="1:3">
      <c r="A9984" s="1133"/>
      <c r="B9984" s="1136"/>
      <c r="C9984" s="1138"/>
    </row>
    <row r="9985" spans="1:3">
      <c r="A9985" s="1133"/>
      <c r="B9985" s="1136"/>
      <c r="C9985" s="1138"/>
    </row>
    <row r="9986" spans="1:3">
      <c r="A9986" s="1133"/>
      <c r="B9986" s="1136"/>
      <c r="C9986" s="1138"/>
    </row>
    <row r="9987" spans="1:3">
      <c r="A9987" s="1133"/>
      <c r="B9987" s="1136"/>
      <c r="C9987" s="1138"/>
    </row>
    <row r="9988" spans="1:3">
      <c r="A9988" s="1133"/>
      <c r="B9988" s="1136"/>
      <c r="C9988" s="1138"/>
    </row>
    <row r="9989" spans="1:3">
      <c r="A9989" s="1133"/>
      <c r="B9989" s="1136"/>
      <c r="C9989" s="1138"/>
    </row>
    <row r="9990" spans="1:3">
      <c r="A9990" s="1133"/>
      <c r="B9990" s="1136"/>
      <c r="C9990" s="1138"/>
    </row>
    <row r="9991" spans="1:3">
      <c r="A9991" s="1133"/>
      <c r="B9991" s="1136"/>
      <c r="C9991" s="1138"/>
    </row>
    <row r="9992" spans="1:3">
      <c r="A9992" s="1133"/>
      <c r="B9992" s="1136"/>
      <c r="C9992" s="1138"/>
    </row>
    <row r="9993" spans="1:3">
      <c r="A9993" s="1133"/>
      <c r="B9993" s="1136"/>
      <c r="C9993" s="1138"/>
    </row>
    <row r="9994" spans="1:3">
      <c r="A9994" s="1133"/>
      <c r="B9994" s="1136"/>
      <c r="C9994" s="1138"/>
    </row>
    <row r="9995" spans="1:3">
      <c r="A9995" s="1133"/>
      <c r="B9995" s="1136"/>
      <c r="C9995" s="1138"/>
    </row>
    <row r="9996" spans="1:3">
      <c r="A9996" s="1133"/>
      <c r="B9996" s="1136"/>
      <c r="C9996" s="1138"/>
    </row>
    <row r="9997" spans="1:3">
      <c r="A9997" s="1133"/>
      <c r="B9997" s="1136"/>
      <c r="C9997" s="1138"/>
    </row>
    <row r="9998" spans="1:3">
      <c r="A9998" s="1133"/>
      <c r="B9998" s="1136"/>
      <c r="C9998" s="1138"/>
    </row>
    <row r="9999" spans="1:3">
      <c r="A9999" s="1133"/>
      <c r="B9999" s="1136"/>
      <c r="C9999" s="1138"/>
    </row>
    <row r="10000" spans="1:3">
      <c r="A10000" s="1133"/>
      <c r="B10000" s="1136"/>
      <c r="C10000" s="1138"/>
    </row>
    <row r="10001" spans="1:3">
      <c r="A10001" s="1133"/>
      <c r="B10001" s="1136"/>
      <c r="C10001" s="1138"/>
    </row>
    <row r="10002" spans="1:3">
      <c r="A10002" s="1133"/>
      <c r="B10002" s="1136"/>
      <c r="C10002" s="1138"/>
    </row>
    <row r="10003" spans="1:3">
      <c r="A10003" s="1133"/>
      <c r="B10003" s="1136"/>
      <c r="C10003" s="1138"/>
    </row>
    <row r="10004" spans="1:3">
      <c r="A10004" s="1133"/>
      <c r="B10004" s="1136"/>
      <c r="C10004" s="1138"/>
    </row>
    <row r="10005" spans="1:3">
      <c r="A10005" s="1133"/>
      <c r="B10005" s="1136"/>
      <c r="C10005" s="1138"/>
    </row>
    <row r="10006" spans="1:3">
      <c r="A10006" s="1133"/>
      <c r="B10006" s="1136"/>
      <c r="C10006" s="1138"/>
    </row>
    <row r="10007" spans="1:3">
      <c r="A10007" s="1133"/>
      <c r="B10007" s="1136"/>
      <c r="C10007" s="1138"/>
    </row>
    <row r="10008" spans="1:3">
      <c r="A10008" s="1133"/>
      <c r="B10008" s="1136"/>
      <c r="C10008" s="1138"/>
    </row>
    <row r="10009" spans="1:3">
      <c r="A10009" s="1133"/>
      <c r="B10009" s="1136"/>
      <c r="C10009" s="1138"/>
    </row>
    <row r="10010" spans="1:3">
      <c r="A10010" s="1133"/>
      <c r="B10010" s="1136"/>
      <c r="C10010" s="1138"/>
    </row>
    <row r="10011" spans="1:3">
      <c r="A10011" s="1133"/>
      <c r="B10011" s="1136"/>
      <c r="C10011" s="1138"/>
    </row>
    <row r="10012" spans="1:3">
      <c r="A10012" s="1133"/>
      <c r="B10012" s="1136"/>
      <c r="C10012" s="1138"/>
    </row>
    <row r="10013" spans="1:3">
      <c r="A10013" s="1133"/>
      <c r="B10013" s="1136"/>
      <c r="C10013" s="1138"/>
    </row>
    <row r="10014" spans="1:3">
      <c r="A10014" s="1133"/>
      <c r="B10014" s="1136"/>
      <c r="C10014" s="1138"/>
    </row>
    <row r="10015" spans="1:3">
      <c r="A10015" s="1133"/>
      <c r="B10015" s="1136"/>
      <c r="C10015" s="1138"/>
    </row>
    <row r="10016" spans="1:3">
      <c r="A10016" s="1133"/>
      <c r="B10016" s="1136"/>
      <c r="C10016" s="1138"/>
    </row>
    <row r="10017" spans="1:3">
      <c r="A10017" s="1133"/>
      <c r="B10017" s="1136"/>
      <c r="C10017" s="1138"/>
    </row>
    <row r="10018" spans="1:3">
      <c r="A10018" s="1133"/>
      <c r="B10018" s="1136"/>
      <c r="C10018" s="1138"/>
    </row>
    <row r="10019" spans="1:3">
      <c r="A10019" s="1133"/>
      <c r="B10019" s="1136"/>
      <c r="C10019" s="1138"/>
    </row>
    <row r="10020" spans="1:3">
      <c r="A10020" s="1133"/>
      <c r="B10020" s="1136"/>
      <c r="C10020" s="1138"/>
    </row>
    <row r="10021" spans="1:3">
      <c r="A10021" s="1133"/>
      <c r="B10021" s="1136"/>
      <c r="C10021" s="1138"/>
    </row>
    <row r="10022" spans="1:3">
      <c r="A10022" s="1133"/>
      <c r="B10022" s="1136"/>
      <c r="C10022" s="1138"/>
    </row>
    <row r="10023" spans="1:3">
      <c r="A10023" s="1133"/>
      <c r="B10023" s="1136"/>
      <c r="C10023" s="1138"/>
    </row>
    <row r="10024" spans="1:3">
      <c r="A10024" s="1133"/>
      <c r="B10024" s="1136"/>
      <c r="C10024" s="1138"/>
    </row>
    <row r="10025" spans="1:3">
      <c r="A10025" s="1133"/>
      <c r="B10025" s="1136"/>
      <c r="C10025" s="1138"/>
    </row>
    <row r="10026" spans="1:3">
      <c r="A10026" s="1133"/>
      <c r="B10026" s="1136"/>
      <c r="C10026" s="1138"/>
    </row>
    <row r="10027" spans="1:3">
      <c r="A10027" s="1133"/>
      <c r="B10027" s="1136"/>
      <c r="C10027" s="1138"/>
    </row>
    <row r="10028" spans="1:3">
      <c r="A10028" s="1133"/>
      <c r="B10028" s="1136"/>
      <c r="C10028" s="1138"/>
    </row>
    <row r="10029" spans="1:3">
      <c r="A10029" s="1133"/>
      <c r="B10029" s="1136"/>
      <c r="C10029" s="1138"/>
    </row>
    <row r="10030" spans="1:3">
      <c r="A10030" s="1133"/>
      <c r="B10030" s="1136"/>
      <c r="C10030" s="1138"/>
    </row>
    <row r="10031" spans="1:3">
      <c r="A10031" s="1133"/>
      <c r="B10031" s="1136"/>
      <c r="C10031" s="1138"/>
    </row>
    <row r="10032" spans="1:3">
      <c r="A10032" s="1133"/>
      <c r="B10032" s="1136"/>
      <c r="C10032" s="1138"/>
    </row>
    <row r="10033" spans="1:3">
      <c r="A10033" s="1133"/>
      <c r="B10033" s="1136"/>
      <c r="C10033" s="1138"/>
    </row>
    <row r="10034" spans="1:3">
      <c r="A10034" s="1133"/>
      <c r="B10034" s="1136"/>
      <c r="C10034" s="1138"/>
    </row>
    <row r="10035" spans="1:3">
      <c r="A10035" s="1133"/>
      <c r="B10035" s="1136"/>
      <c r="C10035" s="1138"/>
    </row>
    <row r="10036" spans="1:3">
      <c r="A10036" s="1133"/>
      <c r="B10036" s="1136"/>
      <c r="C10036" s="1138"/>
    </row>
    <row r="10037" spans="1:3">
      <c r="A10037" s="1133"/>
      <c r="B10037" s="1136"/>
      <c r="C10037" s="1138"/>
    </row>
    <row r="10038" spans="1:3">
      <c r="A10038" s="1133"/>
      <c r="B10038" s="1136"/>
      <c r="C10038" s="1138"/>
    </row>
    <row r="10039" spans="1:3">
      <c r="A10039" s="1133"/>
      <c r="B10039" s="1136"/>
      <c r="C10039" s="1138"/>
    </row>
    <row r="10040" spans="1:3">
      <c r="A10040" s="1133"/>
      <c r="B10040" s="1136"/>
      <c r="C10040" s="1138"/>
    </row>
    <row r="10041" spans="1:3">
      <c r="A10041" s="1133"/>
      <c r="B10041" s="1136"/>
      <c r="C10041" s="1138"/>
    </row>
    <row r="10042" spans="1:3">
      <c r="A10042" s="1133"/>
      <c r="B10042" s="1136"/>
      <c r="C10042" s="1138"/>
    </row>
    <row r="10043" spans="1:3">
      <c r="A10043" s="1133"/>
      <c r="B10043" s="1136"/>
      <c r="C10043" s="1138"/>
    </row>
    <row r="10044" spans="1:3">
      <c r="A10044" s="1133"/>
      <c r="B10044" s="1136"/>
      <c r="C10044" s="1138"/>
    </row>
    <row r="10045" spans="1:3">
      <c r="A10045" s="1133"/>
      <c r="B10045" s="1136"/>
      <c r="C10045" s="1138"/>
    </row>
    <row r="10046" spans="1:3">
      <c r="A10046" s="1133"/>
      <c r="B10046" s="1136"/>
      <c r="C10046" s="1138"/>
    </row>
    <row r="10047" spans="1:3">
      <c r="A10047" s="1133"/>
      <c r="B10047" s="1136"/>
      <c r="C10047" s="1138"/>
    </row>
    <row r="10048" spans="1:3">
      <c r="A10048" s="1133"/>
      <c r="B10048" s="1136"/>
      <c r="C10048" s="1138"/>
    </row>
    <row r="10049" spans="1:3">
      <c r="A10049" s="1133"/>
      <c r="B10049" s="1136"/>
      <c r="C10049" s="1138"/>
    </row>
    <row r="10050" spans="1:3">
      <c r="A10050" s="1133"/>
      <c r="B10050" s="1136"/>
      <c r="C10050" s="1138"/>
    </row>
    <row r="10051" spans="1:3">
      <c r="A10051" s="1133"/>
      <c r="B10051" s="1136"/>
      <c r="C10051" s="1138"/>
    </row>
    <row r="10052" spans="1:3">
      <c r="A10052" s="1133"/>
      <c r="B10052" s="1136"/>
      <c r="C10052" s="1138"/>
    </row>
    <row r="10053" spans="1:3">
      <c r="A10053" s="1133"/>
      <c r="B10053" s="1136"/>
      <c r="C10053" s="1138"/>
    </row>
    <row r="10054" spans="1:3">
      <c r="A10054" s="1133"/>
      <c r="B10054" s="1136"/>
      <c r="C10054" s="1138"/>
    </row>
    <row r="10055" spans="1:3">
      <c r="A10055" s="1133"/>
      <c r="B10055" s="1136"/>
      <c r="C10055" s="1138"/>
    </row>
    <row r="10056" spans="1:3">
      <c r="A10056" s="1133"/>
      <c r="B10056" s="1136"/>
      <c r="C10056" s="1138"/>
    </row>
    <row r="10057" spans="1:3">
      <c r="A10057" s="1133"/>
      <c r="B10057" s="1136"/>
      <c r="C10057" s="1138"/>
    </row>
    <row r="10058" spans="1:3">
      <c r="A10058" s="1133"/>
      <c r="B10058" s="1136"/>
      <c r="C10058" s="1138"/>
    </row>
    <row r="10059" spans="1:3">
      <c r="A10059" s="1133"/>
      <c r="B10059" s="1136"/>
      <c r="C10059" s="1138"/>
    </row>
    <row r="10060" spans="1:3">
      <c r="A10060" s="1133"/>
      <c r="B10060" s="1136"/>
      <c r="C10060" s="1138"/>
    </row>
    <row r="10061" spans="1:3">
      <c r="A10061" s="1133"/>
      <c r="B10061" s="1136"/>
      <c r="C10061" s="1138"/>
    </row>
    <row r="10062" spans="1:3">
      <c r="A10062" s="1133"/>
      <c r="B10062" s="1136"/>
      <c r="C10062" s="1138"/>
    </row>
    <row r="10063" spans="1:3">
      <c r="A10063" s="1133"/>
      <c r="B10063" s="1136"/>
      <c r="C10063" s="1138"/>
    </row>
    <row r="10064" spans="1:3">
      <c r="A10064" s="1133"/>
      <c r="B10064" s="1136"/>
      <c r="C10064" s="1138"/>
    </row>
    <row r="10065" spans="1:3">
      <c r="A10065" s="1133"/>
      <c r="B10065" s="1136"/>
      <c r="C10065" s="1138"/>
    </row>
    <row r="10066" spans="1:3">
      <c r="A10066" s="1133"/>
      <c r="B10066" s="1136"/>
      <c r="C10066" s="1138"/>
    </row>
    <row r="10067" spans="1:3">
      <c r="A10067" s="1133"/>
      <c r="B10067" s="1136"/>
      <c r="C10067" s="1138"/>
    </row>
    <row r="10068" spans="1:3">
      <c r="A10068" s="1133"/>
      <c r="B10068" s="1136"/>
      <c r="C10068" s="1138"/>
    </row>
    <row r="10069" spans="1:3">
      <c r="A10069" s="1133"/>
      <c r="B10069" s="1136"/>
      <c r="C10069" s="1138"/>
    </row>
    <row r="10070" spans="1:3">
      <c r="A10070" s="1133"/>
      <c r="B10070" s="1136"/>
      <c r="C10070" s="1138"/>
    </row>
    <row r="10071" spans="1:3">
      <c r="A10071" s="1133"/>
      <c r="B10071" s="1136"/>
      <c r="C10071" s="1138"/>
    </row>
    <row r="10072" spans="1:3">
      <c r="A10072" s="1133"/>
      <c r="B10072" s="1136"/>
      <c r="C10072" s="1138"/>
    </row>
    <row r="10073" spans="1:3">
      <c r="A10073" s="1133"/>
      <c r="B10073" s="1136"/>
      <c r="C10073" s="1138"/>
    </row>
    <row r="10074" spans="1:3">
      <c r="A10074" s="1133"/>
      <c r="B10074" s="1136"/>
      <c r="C10074" s="1138"/>
    </row>
    <row r="10075" spans="1:3">
      <c r="A10075" s="1133"/>
      <c r="B10075" s="1136"/>
      <c r="C10075" s="1138"/>
    </row>
    <row r="10076" spans="1:3">
      <c r="A10076" s="1133"/>
      <c r="B10076" s="1136"/>
      <c r="C10076" s="1138"/>
    </row>
    <row r="10077" spans="1:3">
      <c r="A10077" s="1133"/>
      <c r="B10077" s="1136"/>
      <c r="C10077" s="1138"/>
    </row>
    <row r="10078" spans="1:3">
      <c r="A10078" s="1133"/>
      <c r="B10078" s="1136"/>
      <c r="C10078" s="1138"/>
    </row>
    <row r="10079" spans="1:3">
      <c r="A10079" s="1133"/>
      <c r="B10079" s="1136"/>
      <c r="C10079" s="1138"/>
    </row>
    <row r="10080" spans="1:3">
      <c r="A10080" s="1133"/>
      <c r="B10080" s="1136"/>
      <c r="C10080" s="1138"/>
    </row>
    <row r="10081" spans="1:3">
      <c r="A10081" s="1133"/>
      <c r="B10081" s="1136"/>
      <c r="C10081" s="1138"/>
    </row>
    <row r="10082" spans="1:3">
      <c r="A10082" s="1133"/>
      <c r="B10082" s="1136"/>
      <c r="C10082" s="1138"/>
    </row>
    <row r="10083" spans="1:3">
      <c r="A10083" s="1133"/>
      <c r="B10083" s="1136"/>
      <c r="C10083" s="1138"/>
    </row>
    <row r="10084" spans="1:3">
      <c r="A10084" s="1133"/>
      <c r="B10084" s="1136"/>
      <c r="C10084" s="1138"/>
    </row>
    <row r="10085" spans="1:3">
      <c r="A10085" s="1133"/>
      <c r="B10085" s="1136"/>
      <c r="C10085" s="1138"/>
    </row>
    <row r="10086" spans="1:3">
      <c r="A10086" s="1133"/>
      <c r="B10086" s="1136"/>
      <c r="C10086" s="1138"/>
    </row>
    <row r="10087" spans="1:3">
      <c r="A10087" s="1133"/>
      <c r="B10087" s="1136"/>
      <c r="C10087" s="1138"/>
    </row>
    <row r="10088" spans="1:3">
      <c r="A10088" s="1133"/>
      <c r="B10088" s="1136"/>
      <c r="C10088" s="1138"/>
    </row>
    <row r="10089" spans="1:3">
      <c r="A10089" s="1133"/>
      <c r="B10089" s="1136"/>
      <c r="C10089" s="1138"/>
    </row>
    <row r="10090" spans="1:3">
      <c r="A10090" s="1133"/>
      <c r="B10090" s="1136"/>
      <c r="C10090" s="1138"/>
    </row>
    <row r="10091" spans="1:3">
      <c r="A10091" s="1133"/>
      <c r="B10091" s="1136"/>
      <c r="C10091" s="1138"/>
    </row>
    <row r="10092" spans="1:3">
      <c r="A10092" s="1133"/>
      <c r="B10092" s="1136"/>
      <c r="C10092" s="1138"/>
    </row>
    <row r="10093" spans="1:3">
      <c r="A10093" s="1133"/>
      <c r="B10093" s="1136"/>
      <c r="C10093" s="1138"/>
    </row>
    <row r="10094" spans="1:3">
      <c r="A10094" s="1133"/>
      <c r="B10094" s="1136"/>
      <c r="C10094" s="1138"/>
    </row>
    <row r="10095" spans="1:3">
      <c r="A10095" s="1133"/>
      <c r="B10095" s="1136"/>
      <c r="C10095" s="1138"/>
    </row>
    <row r="10096" spans="1:3">
      <c r="A10096" s="1133"/>
      <c r="B10096" s="1136"/>
      <c r="C10096" s="1138"/>
    </row>
    <row r="10097" spans="1:3">
      <c r="A10097" s="1133"/>
      <c r="B10097" s="1136"/>
      <c r="C10097" s="1138"/>
    </row>
    <row r="10098" spans="1:3">
      <c r="A10098" s="1133"/>
      <c r="B10098" s="1136"/>
      <c r="C10098" s="1138"/>
    </row>
    <row r="10099" spans="1:3">
      <c r="A10099" s="1133"/>
      <c r="B10099" s="1136"/>
      <c r="C10099" s="1138"/>
    </row>
    <row r="10100" spans="1:3">
      <c r="A10100" s="1133"/>
      <c r="B10100" s="1136"/>
      <c r="C10100" s="1138"/>
    </row>
    <row r="10101" spans="1:3">
      <c r="A10101" s="1133"/>
      <c r="B10101" s="1136"/>
      <c r="C10101" s="1138"/>
    </row>
    <row r="10102" spans="1:3">
      <c r="A10102" s="1133"/>
      <c r="B10102" s="1136"/>
      <c r="C10102" s="1138"/>
    </row>
    <row r="10103" spans="1:3">
      <c r="A10103" s="1133"/>
      <c r="B10103" s="1136"/>
      <c r="C10103" s="1138"/>
    </row>
    <row r="10104" spans="1:3">
      <c r="A10104" s="1133"/>
      <c r="B10104" s="1136"/>
      <c r="C10104" s="1138"/>
    </row>
    <row r="10105" spans="1:3">
      <c r="A10105" s="1133"/>
      <c r="B10105" s="1136"/>
      <c r="C10105" s="1138"/>
    </row>
    <row r="10106" spans="1:3">
      <c r="A10106" s="1133"/>
      <c r="B10106" s="1136"/>
      <c r="C10106" s="1138"/>
    </row>
    <row r="10107" spans="1:3">
      <c r="A10107" s="1133"/>
      <c r="B10107" s="1136"/>
      <c r="C10107" s="1138"/>
    </row>
    <row r="10108" spans="1:3">
      <c r="A10108" s="1133"/>
      <c r="B10108" s="1136"/>
      <c r="C10108" s="1138"/>
    </row>
    <row r="10109" spans="1:3">
      <c r="A10109" s="1133"/>
      <c r="B10109" s="1136"/>
      <c r="C10109" s="1138"/>
    </row>
    <row r="10110" spans="1:3">
      <c r="A10110" s="1133"/>
      <c r="B10110" s="1136"/>
      <c r="C10110" s="1138"/>
    </row>
    <row r="10111" spans="1:3">
      <c r="A10111" s="1133"/>
      <c r="B10111" s="1136"/>
      <c r="C10111" s="1138"/>
    </row>
    <row r="10112" spans="1:3">
      <c r="A10112" s="1133"/>
      <c r="B10112" s="1136"/>
      <c r="C10112" s="1138"/>
    </row>
    <row r="10113" spans="1:3">
      <c r="A10113" s="1133"/>
      <c r="B10113" s="1136"/>
      <c r="C10113" s="1138"/>
    </row>
    <row r="10114" spans="1:3">
      <c r="A10114" s="1133"/>
      <c r="B10114" s="1136"/>
      <c r="C10114" s="1138"/>
    </row>
    <row r="10115" spans="1:3">
      <c r="A10115" s="1133"/>
      <c r="B10115" s="1136"/>
      <c r="C10115" s="1138"/>
    </row>
    <row r="10116" spans="1:3">
      <c r="A10116" s="1133"/>
      <c r="B10116" s="1136"/>
      <c r="C10116" s="1138"/>
    </row>
    <row r="10117" spans="1:3">
      <c r="A10117" s="1133"/>
      <c r="B10117" s="1136"/>
      <c r="C10117" s="1138"/>
    </row>
    <row r="10118" spans="1:3">
      <c r="A10118" s="1133"/>
      <c r="B10118" s="1136"/>
      <c r="C10118" s="1138"/>
    </row>
    <row r="10119" spans="1:3">
      <c r="A10119" s="1133"/>
      <c r="B10119" s="1136"/>
      <c r="C10119" s="1138"/>
    </row>
    <row r="10120" spans="1:3">
      <c r="A10120" s="1133"/>
      <c r="B10120" s="1136"/>
      <c r="C10120" s="1138"/>
    </row>
    <row r="10121" spans="1:3">
      <c r="A10121" s="1133"/>
      <c r="B10121" s="1136"/>
      <c r="C10121" s="1138"/>
    </row>
    <row r="10122" spans="1:3">
      <c r="A10122" s="1133"/>
      <c r="B10122" s="1136"/>
      <c r="C10122" s="1138"/>
    </row>
    <row r="10123" spans="1:3">
      <c r="A10123" s="1133"/>
      <c r="B10123" s="1136"/>
      <c r="C10123" s="1138"/>
    </row>
    <row r="10124" spans="1:3">
      <c r="A10124" s="1133"/>
      <c r="B10124" s="1136"/>
      <c r="C10124" s="1138"/>
    </row>
    <row r="10125" spans="1:3">
      <c r="A10125" s="1133"/>
      <c r="B10125" s="1136"/>
      <c r="C10125" s="1138"/>
    </row>
    <row r="10126" spans="1:3">
      <c r="A10126" s="1133"/>
      <c r="B10126" s="1136"/>
      <c r="C10126" s="1138"/>
    </row>
    <row r="10127" spans="1:3">
      <c r="A10127" s="1133"/>
      <c r="B10127" s="1136"/>
      <c r="C10127" s="1138"/>
    </row>
    <row r="10128" spans="1:3">
      <c r="A10128" s="1133"/>
      <c r="B10128" s="1136"/>
      <c r="C10128" s="1138"/>
    </row>
    <row r="10129" spans="1:3">
      <c r="A10129" s="1133"/>
      <c r="B10129" s="1136"/>
      <c r="C10129" s="1138"/>
    </row>
    <row r="10130" spans="1:3">
      <c r="A10130" s="1133"/>
      <c r="B10130" s="1136"/>
      <c r="C10130" s="1138"/>
    </row>
    <row r="10131" spans="1:3">
      <c r="A10131" s="1133"/>
      <c r="B10131" s="1136"/>
      <c r="C10131" s="1138"/>
    </row>
    <row r="10132" spans="1:3">
      <c r="A10132" s="1133"/>
      <c r="B10132" s="1136"/>
      <c r="C10132" s="1138"/>
    </row>
    <row r="10133" spans="1:3">
      <c r="A10133" s="1133"/>
      <c r="B10133" s="1136"/>
      <c r="C10133" s="1138"/>
    </row>
    <row r="10134" spans="1:3">
      <c r="A10134" s="1133"/>
      <c r="B10134" s="1136"/>
      <c r="C10134" s="1138"/>
    </row>
    <row r="10135" spans="1:3">
      <c r="A10135" s="1133"/>
      <c r="B10135" s="1136"/>
      <c r="C10135" s="1138"/>
    </row>
    <row r="10136" spans="1:3">
      <c r="A10136" s="1133"/>
      <c r="B10136" s="1136"/>
      <c r="C10136" s="1138"/>
    </row>
    <row r="10137" spans="1:3">
      <c r="A10137" s="1133"/>
      <c r="B10137" s="1136"/>
      <c r="C10137" s="1138"/>
    </row>
    <row r="10138" spans="1:3">
      <c r="A10138" s="1133"/>
      <c r="B10138" s="1136"/>
      <c r="C10138" s="1138"/>
    </row>
    <row r="10139" spans="1:3">
      <c r="A10139" s="1133"/>
      <c r="B10139" s="1136"/>
      <c r="C10139" s="1138"/>
    </row>
    <row r="10140" spans="1:3">
      <c r="A10140" s="1133"/>
      <c r="B10140" s="1136"/>
      <c r="C10140" s="1138"/>
    </row>
    <row r="10141" spans="1:3">
      <c r="A10141" s="1133"/>
      <c r="B10141" s="1136"/>
      <c r="C10141" s="1138"/>
    </row>
    <row r="10142" spans="1:3">
      <c r="A10142" s="1133"/>
      <c r="B10142" s="1136"/>
      <c r="C10142" s="1138"/>
    </row>
    <row r="10143" spans="1:3">
      <c r="A10143" s="1133"/>
      <c r="B10143" s="1136"/>
      <c r="C10143" s="1138"/>
    </row>
    <row r="10144" spans="1:3">
      <c r="A10144" s="1133"/>
      <c r="B10144" s="1136"/>
      <c r="C10144" s="1138"/>
    </row>
    <row r="10145" spans="1:3">
      <c r="A10145" s="1133"/>
      <c r="B10145" s="1136"/>
      <c r="C10145" s="1138"/>
    </row>
    <row r="10146" spans="1:3">
      <c r="A10146" s="1133"/>
      <c r="B10146" s="1136"/>
      <c r="C10146" s="1138"/>
    </row>
    <row r="10147" spans="1:3">
      <c r="A10147" s="1133"/>
      <c r="B10147" s="1136"/>
      <c r="C10147" s="1138"/>
    </row>
    <row r="10148" spans="1:3">
      <c r="A10148" s="1133"/>
      <c r="B10148" s="1136"/>
      <c r="C10148" s="1138"/>
    </row>
    <row r="10149" spans="1:3">
      <c r="A10149" s="1133"/>
      <c r="B10149" s="1136"/>
      <c r="C10149" s="1138"/>
    </row>
    <row r="10150" spans="1:3">
      <c r="A10150" s="1133"/>
      <c r="B10150" s="1136"/>
      <c r="C10150" s="1138"/>
    </row>
    <row r="10151" spans="1:3">
      <c r="A10151" s="1133"/>
      <c r="B10151" s="1136"/>
      <c r="C10151" s="1138"/>
    </row>
    <row r="10152" spans="1:3">
      <c r="A10152" s="1133"/>
      <c r="B10152" s="1136"/>
      <c r="C10152" s="1138"/>
    </row>
    <row r="10153" spans="1:3">
      <c r="A10153" s="1133"/>
      <c r="B10153" s="1136"/>
      <c r="C10153" s="1138"/>
    </row>
    <row r="10154" spans="1:3">
      <c r="A10154" s="1133"/>
      <c r="B10154" s="1136"/>
      <c r="C10154" s="1138"/>
    </row>
    <row r="10155" spans="1:3">
      <c r="A10155" s="1133"/>
      <c r="B10155" s="1136"/>
      <c r="C10155" s="1138"/>
    </row>
    <row r="10156" spans="1:3">
      <c r="A10156" s="1133"/>
      <c r="B10156" s="1136"/>
      <c r="C10156" s="1138"/>
    </row>
    <row r="10157" spans="1:3">
      <c r="A10157" s="1133"/>
      <c r="B10157" s="1136"/>
      <c r="C10157" s="1138"/>
    </row>
    <row r="10158" spans="1:3">
      <c r="A10158" s="1133"/>
      <c r="B10158" s="1136"/>
      <c r="C10158" s="1138"/>
    </row>
    <row r="10159" spans="1:3">
      <c r="A10159" s="1133"/>
      <c r="B10159" s="1136"/>
      <c r="C10159" s="1138"/>
    </row>
    <row r="10160" spans="1:3">
      <c r="A10160" s="1133"/>
      <c r="B10160" s="1136"/>
      <c r="C10160" s="1138"/>
    </row>
    <row r="10161" spans="1:3">
      <c r="A10161" s="1133"/>
      <c r="B10161" s="1136"/>
      <c r="C10161" s="1138"/>
    </row>
    <row r="10162" spans="1:3">
      <c r="A10162" s="1133"/>
      <c r="B10162" s="1136"/>
      <c r="C10162" s="1138"/>
    </row>
    <row r="10163" spans="1:3">
      <c r="A10163" s="1133"/>
      <c r="B10163" s="1136"/>
      <c r="C10163" s="1138"/>
    </row>
    <row r="10164" spans="1:3">
      <c r="A10164" s="1133"/>
      <c r="B10164" s="1136"/>
      <c r="C10164" s="1138"/>
    </row>
    <row r="10165" spans="1:3">
      <c r="A10165" s="1133"/>
      <c r="B10165" s="1136"/>
      <c r="C10165" s="1138"/>
    </row>
    <row r="10166" spans="1:3">
      <c r="A10166" s="1133"/>
      <c r="B10166" s="1136"/>
      <c r="C10166" s="1138"/>
    </row>
    <row r="10167" spans="1:3">
      <c r="A10167" s="1133"/>
      <c r="B10167" s="1136"/>
      <c r="C10167" s="1138"/>
    </row>
    <row r="10168" spans="1:3">
      <c r="A10168" s="1133"/>
      <c r="B10168" s="1136"/>
      <c r="C10168" s="1138"/>
    </row>
    <row r="10169" spans="1:3">
      <c r="A10169" s="1133"/>
      <c r="B10169" s="1136"/>
      <c r="C10169" s="1138"/>
    </row>
    <row r="10170" spans="1:3">
      <c r="A10170" s="1133"/>
      <c r="B10170" s="1136"/>
      <c r="C10170" s="1138"/>
    </row>
    <row r="10171" spans="1:3">
      <c r="A10171" s="1133"/>
      <c r="B10171" s="1136"/>
      <c r="C10171" s="1138"/>
    </row>
    <row r="10172" spans="1:3">
      <c r="A10172" s="1133"/>
      <c r="B10172" s="1136"/>
      <c r="C10172" s="1138"/>
    </row>
    <row r="10173" spans="1:3">
      <c r="A10173" s="1133"/>
      <c r="B10173" s="1136"/>
      <c r="C10173" s="1138"/>
    </row>
    <row r="10174" spans="1:3">
      <c r="A10174" s="1133"/>
      <c r="B10174" s="1136"/>
      <c r="C10174" s="1138"/>
    </row>
    <row r="10175" spans="1:3">
      <c r="A10175" s="1133"/>
      <c r="B10175" s="1136"/>
      <c r="C10175" s="1138"/>
    </row>
    <row r="10176" spans="1:3">
      <c r="A10176" s="1133"/>
      <c r="B10176" s="1136"/>
      <c r="C10176" s="1138"/>
    </row>
    <row r="10177" spans="1:3">
      <c r="A10177" s="1133"/>
      <c r="B10177" s="1136"/>
      <c r="C10177" s="1138"/>
    </row>
    <row r="10178" spans="1:3">
      <c r="A10178" s="1133"/>
      <c r="B10178" s="1136"/>
      <c r="C10178" s="1138"/>
    </row>
    <row r="10179" spans="1:3">
      <c r="A10179" s="1133"/>
      <c r="B10179" s="1136"/>
      <c r="C10179" s="1138"/>
    </row>
    <row r="10180" spans="1:3">
      <c r="A10180" s="1133"/>
      <c r="B10180" s="1136"/>
      <c r="C10180" s="1138"/>
    </row>
    <row r="10181" spans="1:3">
      <c r="A10181" s="1133"/>
      <c r="B10181" s="1136"/>
      <c r="C10181" s="1138"/>
    </row>
    <row r="10182" spans="1:3">
      <c r="A10182" s="1133"/>
      <c r="B10182" s="1136"/>
      <c r="C10182" s="1138"/>
    </row>
    <row r="10183" spans="1:3">
      <c r="A10183" s="1133"/>
      <c r="B10183" s="1136"/>
      <c r="C10183" s="1138"/>
    </row>
    <row r="10184" spans="1:3">
      <c r="A10184" s="1133"/>
      <c r="B10184" s="1136"/>
      <c r="C10184" s="1138"/>
    </row>
    <row r="10185" spans="1:3">
      <c r="A10185" s="1133"/>
      <c r="B10185" s="1136"/>
      <c r="C10185" s="1138"/>
    </row>
    <row r="10186" spans="1:3">
      <c r="A10186" s="1133"/>
      <c r="B10186" s="1136"/>
      <c r="C10186" s="1138"/>
    </row>
    <row r="10187" spans="1:3">
      <c r="A10187" s="1133"/>
      <c r="B10187" s="1136"/>
      <c r="C10187" s="1138"/>
    </row>
    <row r="10188" spans="1:3">
      <c r="A10188" s="1133"/>
      <c r="B10188" s="1136"/>
      <c r="C10188" s="1138"/>
    </row>
    <row r="10189" spans="1:3">
      <c r="A10189" s="1133"/>
      <c r="B10189" s="1136"/>
      <c r="C10189" s="1138"/>
    </row>
    <row r="10190" spans="1:3">
      <c r="A10190" s="1133"/>
      <c r="B10190" s="1136"/>
      <c r="C10190" s="1138"/>
    </row>
    <row r="10191" spans="1:3">
      <c r="A10191" s="1133"/>
      <c r="B10191" s="1136"/>
      <c r="C10191" s="1138"/>
    </row>
    <row r="10192" spans="1:3">
      <c r="A10192" s="1133"/>
      <c r="B10192" s="1136"/>
      <c r="C10192" s="1138"/>
    </row>
    <row r="10193" spans="1:3">
      <c r="A10193" s="1133"/>
      <c r="B10193" s="1136"/>
      <c r="C10193" s="1138"/>
    </row>
    <row r="10194" spans="1:3">
      <c r="A10194" s="1133"/>
      <c r="B10194" s="1136"/>
      <c r="C10194" s="1138"/>
    </row>
    <row r="10195" spans="1:3">
      <c r="A10195" s="1133"/>
      <c r="B10195" s="1136"/>
      <c r="C10195" s="1138"/>
    </row>
    <row r="10196" spans="1:3">
      <c r="A10196" s="1133"/>
      <c r="B10196" s="1136"/>
      <c r="C10196" s="1138"/>
    </row>
    <row r="10197" spans="1:3">
      <c r="A10197" s="1133"/>
      <c r="B10197" s="1136"/>
      <c r="C10197" s="1138"/>
    </row>
    <row r="10198" spans="1:3">
      <c r="A10198" s="1133"/>
      <c r="B10198" s="1136"/>
      <c r="C10198" s="1138"/>
    </row>
    <row r="10199" spans="1:3">
      <c r="A10199" s="1133"/>
      <c r="B10199" s="1136"/>
      <c r="C10199" s="1138"/>
    </row>
    <row r="10200" spans="1:3">
      <c r="A10200" s="1133"/>
      <c r="B10200" s="1136"/>
      <c r="C10200" s="1138"/>
    </row>
    <row r="10201" spans="1:3">
      <c r="A10201" s="1133"/>
      <c r="B10201" s="1136"/>
      <c r="C10201" s="1138"/>
    </row>
    <row r="10202" spans="1:3">
      <c r="A10202" s="1133"/>
      <c r="B10202" s="1136"/>
      <c r="C10202" s="1138"/>
    </row>
    <row r="10203" spans="1:3">
      <c r="A10203" s="1133"/>
      <c r="B10203" s="1136"/>
      <c r="C10203" s="1138"/>
    </row>
    <row r="10204" spans="1:3">
      <c r="A10204" s="1133"/>
      <c r="B10204" s="1136"/>
      <c r="C10204" s="1138"/>
    </row>
    <row r="10205" spans="1:3">
      <c r="A10205" s="1133"/>
      <c r="B10205" s="1136"/>
      <c r="C10205" s="1138"/>
    </row>
    <row r="10206" spans="1:3">
      <c r="A10206" s="1133"/>
      <c r="B10206" s="1136"/>
      <c r="C10206" s="1138"/>
    </row>
    <row r="10207" spans="1:3">
      <c r="A10207" s="1133"/>
      <c r="B10207" s="1136"/>
      <c r="C10207" s="1138"/>
    </row>
    <row r="10208" spans="1:3">
      <c r="A10208" s="1133"/>
      <c r="B10208" s="1136"/>
      <c r="C10208" s="1138"/>
    </row>
    <row r="10209" spans="1:3">
      <c r="A10209" s="1133"/>
      <c r="B10209" s="1136"/>
      <c r="C10209" s="1138"/>
    </row>
    <row r="10210" spans="1:3">
      <c r="A10210" s="1133"/>
      <c r="B10210" s="1136"/>
      <c r="C10210" s="1138"/>
    </row>
    <row r="10211" spans="1:3">
      <c r="A10211" s="1133"/>
      <c r="B10211" s="1136"/>
      <c r="C10211" s="1138"/>
    </row>
    <row r="10212" spans="1:3">
      <c r="A10212" s="1133"/>
      <c r="B10212" s="1136"/>
      <c r="C10212" s="1138"/>
    </row>
    <row r="10213" spans="1:3">
      <c r="A10213" s="1133"/>
      <c r="B10213" s="1136"/>
      <c r="C10213" s="1138"/>
    </row>
    <row r="10214" spans="1:3">
      <c r="A10214" s="1133"/>
      <c r="B10214" s="1136"/>
      <c r="C10214" s="1138"/>
    </row>
    <row r="10215" spans="1:3">
      <c r="A10215" s="1133"/>
      <c r="B10215" s="1136"/>
      <c r="C10215" s="1138"/>
    </row>
    <row r="10216" spans="1:3">
      <c r="A10216" s="1133"/>
      <c r="B10216" s="1136"/>
      <c r="C10216" s="1138"/>
    </row>
    <row r="10217" spans="1:3">
      <c r="A10217" s="1133"/>
      <c r="B10217" s="1136"/>
      <c r="C10217" s="1138"/>
    </row>
    <row r="10218" spans="1:3">
      <c r="A10218" s="1133"/>
      <c r="B10218" s="1136"/>
      <c r="C10218" s="1138"/>
    </row>
    <row r="10219" spans="1:3">
      <c r="A10219" s="1133"/>
      <c r="B10219" s="1136"/>
      <c r="C10219" s="1138"/>
    </row>
    <row r="10220" spans="1:3">
      <c r="A10220" s="1133"/>
      <c r="B10220" s="1136"/>
      <c r="C10220" s="1138"/>
    </row>
    <row r="10221" spans="1:3">
      <c r="A10221" s="1133"/>
      <c r="B10221" s="1136"/>
      <c r="C10221" s="1138"/>
    </row>
    <row r="10222" spans="1:3">
      <c r="A10222" s="1133"/>
      <c r="B10222" s="1136"/>
      <c r="C10222" s="1138"/>
    </row>
    <row r="10223" spans="1:3">
      <c r="A10223" s="1133"/>
      <c r="B10223" s="1136"/>
      <c r="C10223" s="1138"/>
    </row>
    <row r="10224" spans="1:3">
      <c r="A10224" s="1133"/>
      <c r="B10224" s="1136"/>
      <c r="C10224" s="1138"/>
    </row>
    <row r="10225" spans="1:3">
      <c r="A10225" s="1133"/>
      <c r="B10225" s="1136"/>
      <c r="C10225" s="1138"/>
    </row>
    <row r="10226" spans="1:3">
      <c r="A10226" s="1133"/>
      <c r="B10226" s="1136"/>
      <c r="C10226" s="1138"/>
    </row>
    <row r="10227" spans="1:3">
      <c r="A10227" s="1133"/>
      <c r="B10227" s="1136"/>
      <c r="C10227" s="1138"/>
    </row>
    <row r="10228" spans="1:3">
      <c r="A10228" s="1133"/>
      <c r="B10228" s="1136"/>
      <c r="C10228" s="1138"/>
    </row>
    <row r="10229" spans="1:3">
      <c r="A10229" s="1133"/>
      <c r="B10229" s="1136"/>
      <c r="C10229" s="1138"/>
    </row>
    <row r="10230" spans="1:3">
      <c r="A10230" s="1133"/>
      <c r="B10230" s="1136"/>
      <c r="C10230" s="1138"/>
    </row>
    <row r="10231" spans="1:3">
      <c r="A10231" s="1133"/>
      <c r="B10231" s="1136"/>
      <c r="C10231" s="1138"/>
    </row>
    <row r="10232" spans="1:3">
      <c r="A10232" s="1133"/>
      <c r="B10232" s="1136"/>
      <c r="C10232" s="1138"/>
    </row>
    <row r="10233" spans="1:3">
      <c r="A10233" s="1133"/>
      <c r="B10233" s="1136"/>
      <c r="C10233" s="1138"/>
    </row>
    <row r="10234" spans="1:3">
      <c r="A10234" s="1133"/>
      <c r="B10234" s="1136"/>
      <c r="C10234" s="1138"/>
    </row>
    <row r="10235" spans="1:3">
      <c r="A10235" s="1133"/>
      <c r="B10235" s="1136"/>
      <c r="C10235" s="1138"/>
    </row>
    <row r="10236" spans="1:3">
      <c r="A10236" s="1133"/>
      <c r="B10236" s="1136"/>
      <c r="C10236" s="1138"/>
    </row>
    <row r="10237" spans="1:3">
      <c r="A10237" s="1133"/>
      <c r="B10237" s="1136"/>
      <c r="C10237" s="1138"/>
    </row>
    <row r="10238" spans="1:3">
      <c r="A10238" s="1133"/>
      <c r="B10238" s="1136"/>
      <c r="C10238" s="1138"/>
    </row>
    <row r="10239" spans="1:3">
      <c r="A10239" s="1133"/>
      <c r="B10239" s="1136"/>
      <c r="C10239" s="1138"/>
    </row>
    <row r="10240" spans="1:3">
      <c r="A10240" s="1133"/>
      <c r="B10240" s="1136"/>
      <c r="C10240" s="1138"/>
    </row>
    <row r="10241" spans="1:3">
      <c r="A10241" s="1133"/>
      <c r="B10241" s="1136"/>
      <c r="C10241" s="1138"/>
    </row>
    <row r="10242" spans="1:3">
      <c r="A10242" s="1133"/>
      <c r="B10242" s="1136"/>
      <c r="C10242" s="1138"/>
    </row>
    <row r="10243" spans="1:3">
      <c r="A10243" s="1133"/>
      <c r="B10243" s="1136"/>
      <c r="C10243" s="1138"/>
    </row>
    <row r="10244" spans="1:3">
      <c r="A10244" s="1133"/>
      <c r="B10244" s="1136"/>
      <c r="C10244" s="1138"/>
    </row>
    <row r="10245" spans="1:3">
      <c r="A10245" s="1133"/>
      <c r="B10245" s="1136"/>
      <c r="C10245" s="1138"/>
    </row>
    <row r="10246" spans="1:3">
      <c r="A10246" s="1133"/>
      <c r="B10246" s="1136"/>
      <c r="C10246" s="1138"/>
    </row>
    <row r="10247" spans="1:3">
      <c r="A10247" s="1133"/>
      <c r="B10247" s="1136"/>
      <c r="C10247" s="1138"/>
    </row>
    <row r="10248" spans="1:3">
      <c r="A10248" s="1133"/>
      <c r="B10248" s="1136"/>
      <c r="C10248" s="1138"/>
    </row>
    <row r="10249" spans="1:3">
      <c r="A10249" s="1133"/>
      <c r="B10249" s="1136"/>
      <c r="C10249" s="1138"/>
    </row>
    <row r="10250" spans="1:3">
      <c r="A10250" s="1133"/>
      <c r="B10250" s="1136"/>
      <c r="C10250" s="1138"/>
    </row>
    <row r="10251" spans="1:3">
      <c r="A10251" s="1133"/>
      <c r="B10251" s="1136"/>
      <c r="C10251" s="1138"/>
    </row>
    <row r="10252" spans="1:3">
      <c r="A10252" s="1133"/>
      <c r="B10252" s="1136"/>
      <c r="C10252" s="1138"/>
    </row>
    <row r="10253" spans="1:3">
      <c r="A10253" s="1133"/>
      <c r="B10253" s="1136"/>
      <c r="C10253" s="1138"/>
    </row>
    <row r="10254" spans="1:3">
      <c r="A10254" s="1133"/>
      <c r="B10254" s="1136"/>
      <c r="C10254" s="1138"/>
    </row>
    <row r="10255" spans="1:3">
      <c r="A10255" s="1133"/>
      <c r="B10255" s="1136"/>
      <c r="C10255" s="1138"/>
    </row>
    <row r="10256" spans="1:3">
      <c r="A10256" s="1133"/>
      <c r="B10256" s="1136"/>
      <c r="C10256" s="1138"/>
    </row>
    <row r="10257" spans="1:3">
      <c r="A10257" s="1133"/>
      <c r="B10257" s="1136"/>
      <c r="C10257" s="1138"/>
    </row>
    <row r="10258" spans="1:3">
      <c r="A10258" s="1133"/>
      <c r="B10258" s="1136"/>
      <c r="C10258" s="1138"/>
    </row>
    <row r="10259" spans="1:3">
      <c r="A10259" s="1133"/>
      <c r="B10259" s="1136"/>
      <c r="C10259" s="1138"/>
    </row>
    <row r="10260" spans="1:3">
      <c r="A10260" s="1133"/>
      <c r="B10260" s="1136"/>
      <c r="C10260" s="1138"/>
    </row>
    <row r="10261" spans="1:3">
      <c r="A10261" s="1133"/>
      <c r="B10261" s="1136"/>
      <c r="C10261" s="1138"/>
    </row>
    <row r="10262" spans="1:3">
      <c r="A10262" s="1133"/>
      <c r="B10262" s="1136"/>
      <c r="C10262" s="1138"/>
    </row>
    <row r="10263" spans="1:3">
      <c r="A10263" s="1133"/>
      <c r="B10263" s="1136"/>
      <c r="C10263" s="1138"/>
    </row>
    <row r="10264" spans="1:3">
      <c r="A10264" s="1133"/>
      <c r="B10264" s="1136"/>
      <c r="C10264" s="1138"/>
    </row>
    <row r="10265" spans="1:3">
      <c r="A10265" s="1133"/>
      <c r="B10265" s="1136"/>
      <c r="C10265" s="1138"/>
    </row>
    <row r="10266" spans="1:3">
      <c r="A10266" s="1133"/>
      <c r="B10266" s="1136"/>
      <c r="C10266" s="1138"/>
    </row>
    <row r="10267" spans="1:3">
      <c r="A10267" s="1133"/>
      <c r="B10267" s="1136"/>
      <c r="C10267" s="1138"/>
    </row>
    <row r="10268" spans="1:3">
      <c r="A10268" s="1133"/>
      <c r="B10268" s="1136"/>
      <c r="C10268" s="1138"/>
    </row>
    <row r="10269" spans="1:3">
      <c r="A10269" s="1133"/>
      <c r="B10269" s="1136"/>
      <c r="C10269" s="1138"/>
    </row>
    <row r="10270" spans="1:3">
      <c r="A10270" s="1133"/>
      <c r="B10270" s="1136"/>
      <c r="C10270" s="1138"/>
    </row>
    <row r="10271" spans="1:3">
      <c r="A10271" s="1133"/>
      <c r="B10271" s="1136"/>
      <c r="C10271" s="1138"/>
    </row>
    <row r="10272" spans="1:3">
      <c r="A10272" s="1133"/>
      <c r="B10272" s="1136"/>
      <c r="C10272" s="1138"/>
    </row>
    <row r="10273" spans="1:3">
      <c r="A10273" s="1133"/>
      <c r="B10273" s="1136"/>
      <c r="C10273" s="1138"/>
    </row>
    <row r="10274" spans="1:3">
      <c r="A10274" s="1133"/>
      <c r="B10274" s="1136"/>
      <c r="C10274" s="1138"/>
    </row>
    <row r="10275" spans="1:3">
      <c r="A10275" s="1133"/>
      <c r="B10275" s="1136"/>
      <c r="C10275" s="1138"/>
    </row>
    <row r="10276" spans="1:3">
      <c r="A10276" s="1133"/>
      <c r="B10276" s="1136"/>
      <c r="C10276" s="1138"/>
    </row>
    <row r="10277" spans="1:3">
      <c r="A10277" s="1133"/>
      <c r="B10277" s="1136"/>
      <c r="C10277" s="1138"/>
    </row>
    <row r="10278" spans="1:3">
      <c r="A10278" s="1133"/>
      <c r="B10278" s="1136"/>
      <c r="C10278" s="1138"/>
    </row>
    <row r="10279" spans="1:3">
      <c r="A10279" s="1133"/>
      <c r="B10279" s="1136"/>
      <c r="C10279" s="1138"/>
    </row>
    <row r="10280" spans="1:3">
      <c r="A10280" s="1133"/>
      <c r="B10280" s="1136"/>
      <c r="C10280" s="1138"/>
    </row>
    <row r="10281" spans="1:3">
      <c r="A10281" s="1133"/>
      <c r="B10281" s="1136"/>
      <c r="C10281" s="1138"/>
    </row>
    <row r="10282" spans="1:3">
      <c r="A10282" s="1133"/>
      <c r="B10282" s="1136"/>
      <c r="C10282" s="1138"/>
    </row>
    <row r="10283" spans="1:3">
      <c r="A10283" s="1133"/>
      <c r="B10283" s="1136"/>
      <c r="C10283" s="1138"/>
    </row>
    <row r="10284" spans="1:3">
      <c r="A10284" s="1133"/>
      <c r="B10284" s="1136"/>
      <c r="C10284" s="1138"/>
    </row>
    <row r="10285" spans="1:3">
      <c r="A10285" s="1133"/>
      <c r="B10285" s="1136"/>
      <c r="C10285" s="1138"/>
    </row>
    <row r="10286" spans="1:3">
      <c r="A10286" s="1133"/>
      <c r="B10286" s="1136"/>
      <c r="C10286" s="1138"/>
    </row>
    <row r="10287" spans="1:3">
      <c r="A10287" s="1133"/>
      <c r="B10287" s="1136"/>
      <c r="C10287" s="1138"/>
    </row>
    <row r="10288" spans="1:3">
      <c r="A10288" s="1133"/>
      <c r="B10288" s="1136"/>
      <c r="C10288" s="1138"/>
    </row>
    <row r="10289" spans="1:3">
      <c r="A10289" s="1133"/>
      <c r="B10289" s="1136"/>
      <c r="C10289" s="1138"/>
    </row>
    <row r="10290" spans="1:3">
      <c r="A10290" s="1133"/>
      <c r="B10290" s="1136"/>
      <c r="C10290" s="1138"/>
    </row>
    <row r="10291" spans="1:3">
      <c r="A10291" s="1133"/>
      <c r="B10291" s="1136"/>
      <c r="C10291" s="1138"/>
    </row>
    <row r="10292" spans="1:3">
      <c r="A10292" s="1133"/>
      <c r="B10292" s="1136"/>
      <c r="C10292" s="1138"/>
    </row>
    <row r="10293" spans="1:3">
      <c r="A10293" s="1133"/>
      <c r="B10293" s="1136"/>
      <c r="C10293" s="1138"/>
    </row>
    <row r="10294" spans="1:3">
      <c r="A10294" s="1133"/>
      <c r="B10294" s="1136"/>
      <c r="C10294" s="1138"/>
    </row>
    <row r="10295" spans="1:3">
      <c r="A10295" s="1133"/>
      <c r="B10295" s="1136"/>
      <c r="C10295" s="1138"/>
    </row>
    <row r="10296" spans="1:3">
      <c r="A10296" s="1133"/>
      <c r="B10296" s="1136"/>
      <c r="C10296" s="1138"/>
    </row>
    <row r="10297" spans="1:3">
      <c r="A10297" s="1133"/>
      <c r="B10297" s="1136"/>
      <c r="C10297" s="1138"/>
    </row>
    <row r="10298" spans="1:3">
      <c r="A10298" s="1133"/>
      <c r="B10298" s="1136"/>
      <c r="C10298" s="1138"/>
    </row>
    <row r="10299" spans="1:3">
      <c r="A10299" s="1133"/>
      <c r="B10299" s="1136"/>
      <c r="C10299" s="1138"/>
    </row>
    <row r="10300" spans="1:3">
      <c r="A10300" s="1133"/>
      <c r="B10300" s="1136"/>
      <c r="C10300" s="1138"/>
    </row>
    <row r="10301" spans="1:3">
      <c r="A10301" s="1133"/>
      <c r="B10301" s="1136"/>
      <c r="C10301" s="1138"/>
    </row>
    <row r="10302" spans="1:3">
      <c r="A10302" s="1133"/>
      <c r="B10302" s="1136"/>
      <c r="C10302" s="1138"/>
    </row>
    <row r="10303" spans="1:3">
      <c r="A10303" s="1133"/>
      <c r="B10303" s="1136"/>
      <c r="C10303" s="1138"/>
    </row>
    <row r="10304" spans="1:3">
      <c r="A10304" s="1133"/>
      <c r="B10304" s="1136"/>
      <c r="C10304" s="1138"/>
    </row>
    <row r="10305" spans="1:3">
      <c r="A10305" s="1133"/>
      <c r="B10305" s="1136"/>
      <c r="C10305" s="1138"/>
    </row>
    <row r="10306" spans="1:3">
      <c r="A10306" s="1133"/>
      <c r="B10306" s="1136"/>
      <c r="C10306" s="1138"/>
    </row>
    <row r="10307" spans="1:3">
      <c r="A10307" s="1133"/>
      <c r="B10307" s="1136"/>
      <c r="C10307" s="1138"/>
    </row>
    <row r="10308" spans="1:3">
      <c r="A10308" s="1133"/>
      <c r="B10308" s="1136"/>
      <c r="C10308" s="1138"/>
    </row>
    <row r="10309" spans="1:3">
      <c r="A10309" s="1133"/>
      <c r="B10309" s="1136"/>
      <c r="C10309" s="1138"/>
    </row>
    <row r="10310" spans="1:3">
      <c r="A10310" s="1133"/>
      <c r="B10310" s="1136"/>
      <c r="C10310" s="1138"/>
    </row>
    <row r="10311" spans="1:3">
      <c r="A10311" s="1133"/>
      <c r="B10311" s="1136"/>
      <c r="C10311" s="1138"/>
    </row>
    <row r="10312" spans="1:3">
      <c r="A10312" s="1133"/>
      <c r="B10312" s="1136"/>
      <c r="C10312" s="1138"/>
    </row>
    <row r="10313" spans="1:3">
      <c r="A10313" s="1133"/>
      <c r="B10313" s="1136"/>
      <c r="C10313" s="1138"/>
    </row>
    <row r="10314" spans="1:3">
      <c r="A10314" s="1133"/>
      <c r="B10314" s="1136"/>
      <c r="C10314" s="1138"/>
    </row>
    <row r="10315" spans="1:3">
      <c r="A10315" s="1133"/>
      <c r="B10315" s="1136"/>
      <c r="C10315" s="1138"/>
    </row>
    <row r="10316" spans="1:3">
      <c r="A10316" s="1133"/>
      <c r="B10316" s="1136"/>
      <c r="C10316" s="1138"/>
    </row>
    <row r="10317" spans="1:3">
      <c r="A10317" s="1133"/>
      <c r="B10317" s="1136"/>
      <c r="C10317" s="1138"/>
    </row>
    <row r="10318" spans="1:3">
      <c r="A10318" s="1133"/>
      <c r="B10318" s="1136"/>
      <c r="C10318" s="1138"/>
    </row>
    <row r="10319" spans="1:3">
      <c r="A10319" s="1133"/>
      <c r="B10319" s="1136"/>
      <c r="C10319" s="1138"/>
    </row>
    <row r="10320" spans="1:3">
      <c r="A10320" s="1133"/>
      <c r="B10320" s="1136"/>
      <c r="C10320" s="1138"/>
    </row>
    <row r="10321" spans="1:3">
      <c r="A10321" s="1133"/>
      <c r="B10321" s="1136"/>
      <c r="C10321" s="1138"/>
    </row>
    <row r="10322" spans="1:3">
      <c r="A10322" s="1133"/>
      <c r="B10322" s="1136"/>
      <c r="C10322" s="1138"/>
    </row>
    <row r="10323" spans="1:3">
      <c r="A10323" s="1133"/>
      <c r="B10323" s="1136"/>
      <c r="C10323" s="1138"/>
    </row>
    <row r="10324" spans="1:3">
      <c r="A10324" s="1133"/>
      <c r="B10324" s="1136"/>
      <c r="C10324" s="1138"/>
    </row>
    <row r="10325" spans="1:3">
      <c r="A10325" s="1133"/>
      <c r="B10325" s="1136"/>
      <c r="C10325" s="1138"/>
    </row>
    <row r="10326" spans="1:3">
      <c r="A10326" s="1133"/>
      <c r="B10326" s="1136"/>
      <c r="C10326" s="1138"/>
    </row>
    <row r="10327" spans="1:3">
      <c r="A10327" s="1133"/>
      <c r="B10327" s="1136"/>
      <c r="C10327" s="1138"/>
    </row>
    <row r="10328" spans="1:3">
      <c r="A10328" s="1133"/>
      <c r="B10328" s="1136"/>
      <c r="C10328" s="1138"/>
    </row>
    <row r="10329" spans="1:3">
      <c r="A10329" s="1133"/>
      <c r="B10329" s="1136"/>
      <c r="C10329" s="1138"/>
    </row>
    <row r="10330" spans="1:3">
      <c r="A10330" s="1133"/>
      <c r="B10330" s="1136"/>
      <c r="C10330" s="1138"/>
    </row>
    <row r="10331" spans="1:3">
      <c r="A10331" s="1133"/>
      <c r="B10331" s="1136"/>
      <c r="C10331" s="1138"/>
    </row>
    <row r="10332" spans="1:3">
      <c r="A10332" s="1133"/>
      <c r="B10332" s="1136"/>
      <c r="C10332" s="1138"/>
    </row>
    <row r="10333" spans="1:3">
      <c r="A10333" s="1133"/>
      <c r="B10333" s="1136"/>
      <c r="C10333" s="1138"/>
    </row>
    <row r="10334" spans="1:3">
      <c r="A10334" s="1133"/>
      <c r="B10334" s="1136"/>
      <c r="C10334" s="1138"/>
    </row>
    <row r="10335" spans="1:3">
      <c r="A10335" s="1133"/>
      <c r="B10335" s="1136"/>
      <c r="C10335" s="1138"/>
    </row>
    <row r="10336" spans="1:3">
      <c r="A10336" s="1133"/>
      <c r="B10336" s="1136"/>
      <c r="C10336" s="1138"/>
    </row>
    <row r="10337" spans="1:3">
      <c r="A10337" s="1133"/>
      <c r="B10337" s="1136"/>
      <c r="C10337" s="1138"/>
    </row>
    <row r="10338" spans="1:3">
      <c r="A10338" s="1133"/>
      <c r="B10338" s="1136"/>
      <c r="C10338" s="1138"/>
    </row>
    <row r="10339" spans="1:3">
      <c r="A10339" s="1133"/>
      <c r="B10339" s="1136"/>
      <c r="C10339" s="1138"/>
    </row>
    <row r="10340" spans="1:3">
      <c r="A10340" s="1133"/>
      <c r="B10340" s="1136"/>
      <c r="C10340" s="1138"/>
    </row>
    <row r="10341" spans="1:3">
      <c r="A10341" s="1133"/>
      <c r="B10341" s="1136"/>
      <c r="C10341" s="1138"/>
    </row>
    <row r="10342" spans="1:3">
      <c r="A10342" s="1133"/>
      <c r="B10342" s="1136"/>
      <c r="C10342" s="1138"/>
    </row>
    <row r="10343" spans="1:3">
      <c r="A10343" s="1133"/>
      <c r="B10343" s="1136"/>
      <c r="C10343" s="1138"/>
    </row>
    <row r="10344" spans="1:3">
      <c r="A10344" s="1133"/>
      <c r="B10344" s="1136"/>
      <c r="C10344" s="1138"/>
    </row>
    <row r="10345" spans="1:3">
      <c r="A10345" s="1133"/>
      <c r="B10345" s="1136"/>
      <c r="C10345" s="1138"/>
    </row>
    <row r="10346" spans="1:3">
      <c r="A10346" s="1133"/>
      <c r="B10346" s="1136"/>
      <c r="C10346" s="1138"/>
    </row>
    <row r="10347" spans="1:3">
      <c r="A10347" s="1133"/>
      <c r="B10347" s="1136"/>
      <c r="C10347" s="1138"/>
    </row>
    <row r="10348" spans="1:3">
      <c r="A10348" s="1133"/>
      <c r="B10348" s="1136"/>
      <c r="C10348" s="1138"/>
    </row>
    <row r="10349" spans="1:3">
      <c r="A10349" s="1133"/>
      <c r="B10349" s="1136"/>
      <c r="C10349" s="1138"/>
    </row>
    <row r="10350" spans="1:3">
      <c r="A10350" s="1133"/>
      <c r="B10350" s="1136"/>
      <c r="C10350" s="1138"/>
    </row>
    <row r="10351" spans="1:3">
      <c r="A10351" s="1133"/>
      <c r="B10351" s="1136"/>
      <c r="C10351" s="1138"/>
    </row>
    <row r="10352" spans="1:3">
      <c r="A10352" s="1133"/>
      <c r="B10352" s="1136"/>
      <c r="C10352" s="1138"/>
    </row>
    <row r="10353" spans="1:3">
      <c r="A10353" s="1133"/>
      <c r="B10353" s="1136"/>
      <c r="C10353" s="1138"/>
    </row>
    <row r="10354" spans="1:3">
      <c r="A10354" s="1133"/>
      <c r="B10354" s="1136"/>
      <c r="C10354" s="1138"/>
    </row>
    <row r="10355" spans="1:3">
      <c r="A10355" s="1133"/>
      <c r="B10355" s="1136"/>
      <c r="C10355" s="1138"/>
    </row>
    <row r="10356" spans="1:3">
      <c r="A10356" s="1133"/>
      <c r="B10356" s="1136"/>
      <c r="C10356" s="1138"/>
    </row>
    <row r="10357" spans="1:3">
      <c r="A10357" s="1133"/>
      <c r="B10357" s="1136"/>
      <c r="C10357" s="1138"/>
    </row>
    <row r="10358" spans="1:3">
      <c r="A10358" s="1133"/>
      <c r="B10358" s="1136"/>
      <c r="C10358" s="1138"/>
    </row>
    <row r="10359" spans="1:3">
      <c r="A10359" s="1133"/>
      <c r="B10359" s="1136"/>
      <c r="C10359" s="1138"/>
    </row>
    <row r="10360" spans="1:3">
      <c r="A10360" s="1133"/>
      <c r="B10360" s="1136"/>
      <c r="C10360" s="1138"/>
    </row>
    <row r="10361" spans="1:3">
      <c r="A10361" s="1133"/>
      <c r="B10361" s="1136"/>
      <c r="C10361" s="1138"/>
    </row>
    <row r="10362" spans="1:3">
      <c r="A10362" s="1133"/>
      <c r="B10362" s="1136"/>
      <c r="C10362" s="1138"/>
    </row>
    <row r="10363" spans="1:3">
      <c r="A10363" s="1133"/>
      <c r="B10363" s="1136"/>
      <c r="C10363" s="1138"/>
    </row>
    <row r="10364" spans="1:3">
      <c r="A10364" s="1133"/>
      <c r="B10364" s="1136"/>
      <c r="C10364" s="1138"/>
    </row>
    <row r="10365" spans="1:3">
      <c r="A10365" s="1133"/>
      <c r="B10365" s="1136"/>
      <c r="C10365" s="1138"/>
    </row>
    <row r="10366" spans="1:3">
      <c r="A10366" s="1133"/>
      <c r="B10366" s="1136"/>
      <c r="C10366" s="1138"/>
    </row>
    <row r="10367" spans="1:3">
      <c r="A10367" s="1133"/>
      <c r="B10367" s="1136"/>
      <c r="C10367" s="1138"/>
    </row>
    <row r="10368" spans="1:3">
      <c r="A10368" s="1133"/>
      <c r="B10368" s="1136"/>
      <c r="C10368" s="1138"/>
    </row>
    <row r="10369" spans="1:3">
      <c r="A10369" s="1133"/>
      <c r="B10369" s="1136"/>
      <c r="C10369" s="1138"/>
    </row>
    <row r="10370" spans="1:3">
      <c r="A10370" s="1133"/>
      <c r="B10370" s="1136"/>
      <c r="C10370" s="1138"/>
    </row>
    <row r="10371" spans="1:3">
      <c r="A10371" s="1133"/>
      <c r="B10371" s="1136"/>
      <c r="C10371" s="1138"/>
    </row>
    <row r="10372" spans="1:3">
      <c r="A10372" s="1133"/>
      <c r="B10372" s="1136"/>
      <c r="C10372" s="1138"/>
    </row>
    <row r="10373" spans="1:3">
      <c r="A10373" s="1133"/>
      <c r="B10373" s="1136"/>
      <c r="C10373" s="1138"/>
    </row>
    <row r="10374" spans="1:3">
      <c r="A10374" s="1133"/>
      <c r="B10374" s="1136"/>
      <c r="C10374" s="1138"/>
    </row>
    <row r="10375" spans="1:3">
      <c r="A10375" s="1133"/>
      <c r="B10375" s="1136"/>
      <c r="C10375" s="1138"/>
    </row>
    <row r="10376" spans="1:3">
      <c r="A10376" s="1133"/>
      <c r="B10376" s="1136"/>
      <c r="C10376" s="1138"/>
    </row>
    <row r="10377" spans="1:3">
      <c r="A10377" s="1133"/>
      <c r="B10377" s="1136"/>
      <c r="C10377" s="1138"/>
    </row>
    <row r="10378" spans="1:3">
      <c r="A10378" s="1133"/>
      <c r="B10378" s="1136"/>
      <c r="C10378" s="1138"/>
    </row>
    <row r="10379" spans="1:3">
      <c r="A10379" s="1133"/>
      <c r="B10379" s="1136"/>
      <c r="C10379" s="1138"/>
    </row>
    <row r="10380" spans="1:3">
      <c r="A10380" s="1133"/>
      <c r="B10380" s="1136"/>
      <c r="C10380" s="1138"/>
    </row>
    <row r="10381" spans="1:3">
      <c r="A10381" s="1133"/>
      <c r="B10381" s="1136"/>
      <c r="C10381" s="1138"/>
    </row>
    <row r="10382" spans="1:3">
      <c r="A10382" s="1133"/>
      <c r="B10382" s="1136"/>
      <c r="C10382" s="1138"/>
    </row>
    <row r="10383" spans="1:3">
      <c r="A10383" s="1133"/>
      <c r="B10383" s="1136"/>
      <c r="C10383" s="1138"/>
    </row>
    <row r="10384" spans="1:3">
      <c r="A10384" s="1133"/>
      <c r="B10384" s="1136"/>
      <c r="C10384" s="1138"/>
    </row>
    <row r="10385" spans="1:3">
      <c r="A10385" s="1133"/>
      <c r="B10385" s="1136"/>
      <c r="C10385" s="1138"/>
    </row>
    <row r="10386" spans="1:3">
      <c r="A10386" s="1133"/>
      <c r="B10386" s="1136"/>
      <c r="C10386" s="1138"/>
    </row>
    <row r="10387" spans="1:3">
      <c r="A10387" s="1133"/>
      <c r="B10387" s="1136"/>
      <c r="C10387" s="1138"/>
    </row>
    <row r="10388" spans="1:3">
      <c r="A10388" s="1133"/>
      <c r="B10388" s="1136"/>
      <c r="C10388" s="1138"/>
    </row>
    <row r="10389" spans="1:3">
      <c r="A10389" s="1133"/>
      <c r="B10389" s="1136"/>
      <c r="C10389" s="1138"/>
    </row>
    <row r="10390" spans="1:3">
      <c r="A10390" s="1133"/>
      <c r="B10390" s="1136"/>
      <c r="C10390" s="1138"/>
    </row>
    <row r="10391" spans="1:3">
      <c r="A10391" s="1133"/>
      <c r="B10391" s="1136"/>
      <c r="C10391" s="1138"/>
    </row>
    <row r="10392" spans="1:3">
      <c r="A10392" s="1133"/>
      <c r="B10392" s="1136"/>
      <c r="C10392" s="1138"/>
    </row>
    <row r="10393" spans="1:3">
      <c r="A10393" s="1133"/>
      <c r="B10393" s="1136"/>
      <c r="C10393" s="1138"/>
    </row>
    <row r="10394" spans="1:3">
      <c r="A10394" s="1133"/>
      <c r="B10394" s="1136"/>
      <c r="C10394" s="1138"/>
    </row>
    <row r="10395" spans="1:3">
      <c r="A10395" s="1133"/>
      <c r="B10395" s="1136"/>
      <c r="C10395" s="1138"/>
    </row>
    <row r="10396" spans="1:3">
      <c r="A10396" s="1133"/>
      <c r="B10396" s="1136"/>
      <c r="C10396" s="1138"/>
    </row>
    <row r="10397" spans="1:3">
      <c r="A10397" s="1133"/>
      <c r="B10397" s="1136"/>
      <c r="C10397" s="1138"/>
    </row>
    <row r="10398" spans="1:3">
      <c r="A10398" s="1133"/>
      <c r="B10398" s="1136"/>
      <c r="C10398" s="1138"/>
    </row>
    <row r="10399" spans="1:3">
      <c r="A10399" s="1133"/>
      <c r="B10399" s="1136"/>
      <c r="C10399" s="1138"/>
    </row>
    <row r="10400" spans="1:3">
      <c r="A10400" s="1133"/>
      <c r="B10400" s="1136"/>
      <c r="C10400" s="1138"/>
    </row>
    <row r="10401" spans="1:3">
      <c r="A10401" s="1133"/>
      <c r="B10401" s="1136"/>
      <c r="C10401" s="1138"/>
    </row>
    <row r="10402" spans="1:3">
      <c r="A10402" s="1133"/>
      <c r="B10402" s="1136"/>
      <c r="C10402" s="1138"/>
    </row>
    <row r="10403" spans="1:3">
      <c r="A10403" s="1133"/>
      <c r="B10403" s="1136"/>
      <c r="C10403" s="1138"/>
    </row>
    <row r="10404" spans="1:3">
      <c r="A10404" s="1133"/>
      <c r="B10404" s="1136"/>
      <c r="C10404" s="1138"/>
    </row>
    <row r="10405" spans="1:3">
      <c r="A10405" s="1133"/>
      <c r="B10405" s="1136"/>
      <c r="C10405" s="1138"/>
    </row>
    <row r="10406" spans="1:3">
      <c r="A10406" s="1133"/>
      <c r="B10406" s="1136"/>
      <c r="C10406" s="1138"/>
    </row>
    <row r="10407" spans="1:3">
      <c r="A10407" s="1133"/>
      <c r="B10407" s="1136"/>
      <c r="C10407" s="1138"/>
    </row>
    <row r="10408" spans="1:3">
      <c r="A10408" s="1133"/>
      <c r="B10408" s="1136"/>
      <c r="C10408" s="1138"/>
    </row>
    <row r="10409" spans="1:3">
      <c r="A10409" s="1133"/>
      <c r="B10409" s="1136"/>
      <c r="C10409" s="1138"/>
    </row>
    <row r="10410" spans="1:3">
      <c r="A10410" s="1133"/>
      <c r="B10410" s="1136"/>
      <c r="C10410" s="1138"/>
    </row>
    <row r="10411" spans="1:3">
      <c r="A10411" s="1133"/>
      <c r="B10411" s="1136"/>
      <c r="C10411" s="1138"/>
    </row>
    <row r="10412" spans="1:3">
      <c r="A10412" s="1133"/>
      <c r="B10412" s="1136"/>
      <c r="C10412" s="1138"/>
    </row>
    <row r="10413" spans="1:3">
      <c r="A10413" s="1133"/>
      <c r="B10413" s="1136"/>
      <c r="C10413" s="1138"/>
    </row>
    <row r="10414" spans="1:3">
      <c r="A10414" s="1133"/>
      <c r="B10414" s="1136"/>
      <c r="C10414" s="1138"/>
    </row>
    <row r="10415" spans="1:3">
      <c r="A10415" s="1133"/>
      <c r="B10415" s="1136"/>
      <c r="C10415" s="1138"/>
    </row>
    <row r="10416" spans="1:3">
      <c r="A10416" s="1133"/>
      <c r="B10416" s="1136"/>
      <c r="C10416" s="1138"/>
    </row>
    <row r="10417" spans="1:3">
      <c r="A10417" s="1133"/>
      <c r="B10417" s="1136"/>
      <c r="C10417" s="1138"/>
    </row>
    <row r="10418" spans="1:3">
      <c r="A10418" s="1133"/>
      <c r="B10418" s="1136"/>
      <c r="C10418" s="1138"/>
    </row>
    <row r="10419" spans="1:3">
      <c r="A10419" s="1133"/>
      <c r="B10419" s="1136"/>
      <c r="C10419" s="1138"/>
    </row>
    <row r="10420" spans="1:3">
      <c r="A10420" s="1133"/>
      <c r="B10420" s="1136"/>
      <c r="C10420" s="1138"/>
    </row>
    <row r="10421" spans="1:3">
      <c r="A10421" s="1133"/>
      <c r="B10421" s="1136"/>
      <c r="C10421" s="1138"/>
    </row>
    <row r="10422" spans="1:3">
      <c r="A10422" s="1133"/>
      <c r="B10422" s="1136"/>
      <c r="C10422" s="1138"/>
    </row>
    <row r="10423" spans="1:3">
      <c r="A10423" s="1133"/>
      <c r="B10423" s="1136"/>
      <c r="C10423" s="1138"/>
    </row>
    <row r="10424" spans="1:3">
      <c r="A10424" s="1133"/>
      <c r="B10424" s="1136"/>
      <c r="C10424" s="1138"/>
    </row>
    <row r="10425" spans="1:3">
      <c r="A10425" s="1133"/>
      <c r="B10425" s="1136"/>
      <c r="C10425" s="1138"/>
    </row>
    <row r="10426" spans="1:3">
      <c r="A10426" s="1133"/>
      <c r="B10426" s="1136"/>
      <c r="C10426" s="1138"/>
    </row>
    <row r="10427" spans="1:3">
      <c r="A10427" s="1133"/>
      <c r="B10427" s="1136"/>
      <c r="C10427" s="1138"/>
    </row>
    <row r="10428" spans="1:3">
      <c r="A10428" s="1133"/>
      <c r="B10428" s="1136"/>
      <c r="C10428" s="1138"/>
    </row>
    <row r="10429" spans="1:3">
      <c r="A10429" s="1133"/>
      <c r="B10429" s="1136"/>
      <c r="C10429" s="1138"/>
    </row>
    <row r="10430" spans="1:3">
      <c r="A10430" s="1133"/>
      <c r="B10430" s="1136"/>
      <c r="C10430" s="1138"/>
    </row>
    <row r="10431" spans="1:3">
      <c r="A10431" s="1133"/>
      <c r="B10431" s="1136"/>
      <c r="C10431" s="1138"/>
    </row>
    <row r="10432" spans="1:3">
      <c r="A10432" s="1133"/>
      <c r="B10432" s="1136"/>
      <c r="C10432" s="1138"/>
    </row>
    <row r="10433" spans="1:3">
      <c r="A10433" s="1133"/>
      <c r="B10433" s="1136"/>
      <c r="C10433" s="1138"/>
    </row>
    <row r="10434" spans="1:3">
      <c r="A10434" s="1133"/>
      <c r="B10434" s="1136"/>
      <c r="C10434" s="1138"/>
    </row>
    <row r="10435" spans="1:3">
      <c r="A10435" s="1133"/>
      <c r="B10435" s="1136"/>
      <c r="C10435" s="1138"/>
    </row>
    <row r="10436" spans="1:3">
      <c r="A10436" s="1133"/>
      <c r="B10436" s="1136"/>
      <c r="C10436" s="1138"/>
    </row>
    <row r="10437" spans="1:3">
      <c r="A10437" s="1133"/>
      <c r="B10437" s="1136"/>
      <c r="C10437" s="1138"/>
    </row>
    <row r="10438" spans="1:3">
      <c r="A10438" s="1133"/>
      <c r="B10438" s="1136"/>
      <c r="C10438" s="1138"/>
    </row>
    <row r="10439" spans="1:3">
      <c r="A10439" s="1133"/>
      <c r="B10439" s="1136"/>
      <c r="C10439" s="1138"/>
    </row>
    <row r="10440" spans="1:3">
      <c r="A10440" s="1133"/>
      <c r="B10440" s="1136"/>
      <c r="C10440" s="1138"/>
    </row>
    <row r="10441" spans="1:3">
      <c r="A10441" s="1133"/>
      <c r="B10441" s="1136"/>
      <c r="C10441" s="1138"/>
    </row>
    <row r="10442" spans="1:3">
      <c r="A10442" s="1133"/>
      <c r="B10442" s="1136"/>
      <c r="C10442" s="1138"/>
    </row>
    <row r="10443" spans="1:3">
      <c r="A10443" s="1133"/>
      <c r="B10443" s="1136"/>
      <c r="C10443" s="1138"/>
    </row>
    <row r="10444" spans="1:3">
      <c r="A10444" s="1133"/>
      <c r="B10444" s="1136"/>
      <c r="C10444" s="1138"/>
    </row>
    <row r="10445" spans="1:3">
      <c r="A10445" s="1133"/>
      <c r="B10445" s="1136"/>
      <c r="C10445" s="1138"/>
    </row>
    <row r="10446" spans="1:3">
      <c r="A10446" s="1133"/>
      <c r="B10446" s="1136"/>
      <c r="C10446" s="1138"/>
    </row>
    <row r="10447" spans="1:3">
      <c r="A10447" s="1133"/>
      <c r="B10447" s="1136"/>
      <c r="C10447" s="1138"/>
    </row>
    <row r="10448" spans="1:3">
      <c r="A10448" s="1133"/>
      <c r="B10448" s="1136"/>
      <c r="C10448" s="1138"/>
    </row>
    <row r="10449" spans="1:3">
      <c r="A10449" s="1133"/>
      <c r="B10449" s="1136"/>
      <c r="C10449" s="1138"/>
    </row>
    <row r="10450" spans="1:3">
      <c r="A10450" s="1133"/>
      <c r="B10450" s="1136"/>
      <c r="C10450" s="1138"/>
    </row>
    <row r="10451" spans="1:3">
      <c r="A10451" s="1133"/>
      <c r="B10451" s="1136"/>
      <c r="C10451" s="1138"/>
    </row>
    <row r="10452" spans="1:3">
      <c r="A10452" s="1133"/>
      <c r="B10452" s="1136"/>
      <c r="C10452" s="1138"/>
    </row>
    <row r="10453" spans="1:3">
      <c r="A10453" s="1133"/>
      <c r="B10453" s="1136"/>
      <c r="C10453" s="1138"/>
    </row>
    <row r="10454" spans="1:3">
      <c r="A10454" s="1133"/>
      <c r="B10454" s="1136"/>
      <c r="C10454" s="1138"/>
    </row>
    <row r="10455" spans="1:3">
      <c r="A10455" s="1133"/>
      <c r="B10455" s="1136"/>
      <c r="C10455" s="1138"/>
    </row>
    <row r="10456" spans="1:3">
      <c r="A10456" s="1133"/>
      <c r="B10456" s="1136"/>
      <c r="C10456" s="1138"/>
    </row>
    <row r="10457" spans="1:3">
      <c r="A10457" s="1133"/>
      <c r="B10457" s="1136"/>
      <c r="C10457" s="1138"/>
    </row>
    <row r="10458" spans="1:3">
      <c r="A10458" s="1133"/>
      <c r="B10458" s="1136"/>
      <c r="C10458" s="1138"/>
    </row>
    <row r="10459" spans="1:3">
      <c r="A10459" s="1133"/>
      <c r="B10459" s="1136"/>
      <c r="C10459" s="1138"/>
    </row>
    <row r="10460" spans="1:3">
      <c r="A10460" s="1133"/>
      <c r="B10460" s="1136"/>
      <c r="C10460" s="1138"/>
    </row>
    <row r="10461" spans="1:3">
      <c r="A10461" s="1133"/>
      <c r="B10461" s="1136"/>
      <c r="C10461" s="1138"/>
    </row>
    <row r="10462" spans="1:3">
      <c r="A10462" s="1133"/>
      <c r="B10462" s="1136"/>
      <c r="C10462" s="1138"/>
    </row>
    <row r="10463" spans="1:3">
      <c r="A10463" s="1133"/>
      <c r="B10463" s="1136"/>
      <c r="C10463" s="1138"/>
    </row>
    <row r="10464" spans="1:3">
      <c r="A10464" s="1133"/>
      <c r="B10464" s="1136"/>
      <c r="C10464" s="1138"/>
    </row>
    <row r="10465" spans="1:3">
      <c r="A10465" s="1133"/>
      <c r="B10465" s="1136"/>
      <c r="C10465" s="1138"/>
    </row>
    <row r="10466" spans="1:3">
      <c r="A10466" s="1133"/>
      <c r="B10466" s="1136"/>
      <c r="C10466" s="1138"/>
    </row>
    <row r="10467" spans="1:3">
      <c r="A10467" s="1133"/>
      <c r="B10467" s="1136"/>
      <c r="C10467" s="1138"/>
    </row>
    <row r="10468" spans="1:3">
      <c r="A10468" s="1133"/>
      <c r="B10468" s="1136"/>
      <c r="C10468" s="1138"/>
    </row>
    <row r="10469" spans="1:3">
      <c r="A10469" s="1133"/>
      <c r="B10469" s="1136"/>
      <c r="C10469" s="1138"/>
    </row>
    <row r="10470" spans="1:3">
      <c r="A10470" s="1133"/>
      <c r="B10470" s="1136"/>
      <c r="C10470" s="1138"/>
    </row>
    <row r="10471" spans="1:3">
      <c r="A10471" s="1133"/>
      <c r="B10471" s="1136"/>
      <c r="C10471" s="1138"/>
    </row>
    <row r="10472" spans="1:3">
      <c r="A10472" s="1133"/>
      <c r="B10472" s="1136"/>
      <c r="C10472" s="1138"/>
    </row>
    <row r="10473" spans="1:3">
      <c r="A10473" s="1133"/>
      <c r="B10473" s="1136"/>
      <c r="C10473" s="1138"/>
    </row>
    <row r="10474" spans="1:3">
      <c r="A10474" s="1133"/>
      <c r="B10474" s="1136"/>
      <c r="C10474" s="1138"/>
    </row>
    <row r="10475" spans="1:3">
      <c r="A10475" s="1133"/>
      <c r="B10475" s="1136"/>
      <c r="C10475" s="1138"/>
    </row>
    <row r="10476" spans="1:3">
      <c r="A10476" s="1133"/>
      <c r="B10476" s="1136"/>
      <c r="C10476" s="1138"/>
    </row>
    <row r="10477" spans="1:3">
      <c r="A10477" s="1133"/>
      <c r="B10477" s="1136"/>
      <c r="C10477" s="1138"/>
    </row>
    <row r="10478" spans="1:3">
      <c r="A10478" s="1133"/>
      <c r="B10478" s="1136"/>
      <c r="C10478" s="1138"/>
    </row>
    <row r="10479" spans="1:3">
      <c r="A10479" s="1133"/>
      <c r="B10479" s="1136"/>
      <c r="C10479" s="1138"/>
    </row>
    <row r="10480" spans="1:3">
      <c r="A10480" s="1133"/>
      <c r="B10480" s="1136"/>
      <c r="C10480" s="1138"/>
    </row>
    <row r="10481" spans="1:3">
      <c r="A10481" s="1133"/>
      <c r="B10481" s="1136"/>
      <c r="C10481" s="1138"/>
    </row>
    <row r="10482" spans="1:3">
      <c r="A10482" s="1133"/>
      <c r="B10482" s="1136"/>
      <c r="C10482" s="1138"/>
    </row>
    <row r="10483" spans="1:3">
      <c r="A10483" s="1133"/>
      <c r="B10483" s="1136"/>
      <c r="C10483" s="1138"/>
    </row>
    <row r="10484" spans="1:3">
      <c r="A10484" s="1133"/>
      <c r="B10484" s="1136"/>
      <c r="C10484" s="1138"/>
    </row>
    <row r="10485" spans="1:3">
      <c r="A10485" s="1133"/>
      <c r="B10485" s="1136"/>
      <c r="C10485" s="1138"/>
    </row>
    <row r="10486" spans="1:3">
      <c r="A10486" s="1133"/>
      <c r="B10486" s="1136"/>
      <c r="C10486" s="1138"/>
    </row>
    <row r="10487" spans="1:3">
      <c r="A10487" s="1133"/>
      <c r="B10487" s="1136"/>
      <c r="C10487" s="1138"/>
    </row>
    <row r="10488" spans="1:3">
      <c r="A10488" s="1133"/>
      <c r="B10488" s="1136"/>
      <c r="C10488" s="1138"/>
    </row>
    <row r="10489" spans="1:3">
      <c r="A10489" s="1133"/>
      <c r="B10489" s="1136"/>
      <c r="C10489" s="1138"/>
    </row>
    <row r="10490" spans="1:3">
      <c r="A10490" s="1133"/>
      <c r="B10490" s="1136"/>
      <c r="C10490" s="1138"/>
    </row>
    <row r="10491" spans="1:3">
      <c r="A10491" s="1133"/>
      <c r="B10491" s="1136"/>
      <c r="C10491" s="1138"/>
    </row>
    <row r="10492" spans="1:3">
      <c r="A10492" s="1133"/>
      <c r="B10492" s="1136"/>
      <c r="C10492" s="1138"/>
    </row>
    <row r="10493" spans="1:3">
      <c r="A10493" s="1133"/>
      <c r="B10493" s="1136"/>
      <c r="C10493" s="1138"/>
    </row>
    <row r="10494" spans="1:3">
      <c r="A10494" s="1133"/>
      <c r="B10494" s="1136"/>
      <c r="C10494" s="1138"/>
    </row>
    <row r="10495" spans="1:3">
      <c r="A10495" s="1133"/>
      <c r="B10495" s="1136"/>
      <c r="C10495" s="1138"/>
    </row>
    <row r="10496" spans="1:3">
      <c r="A10496" s="1133"/>
      <c r="B10496" s="1136"/>
      <c r="C10496" s="1138"/>
    </row>
    <row r="10497" spans="1:3">
      <c r="A10497" s="1133"/>
      <c r="B10497" s="1136"/>
      <c r="C10497" s="1138"/>
    </row>
    <row r="10498" spans="1:3">
      <c r="A10498" s="1133"/>
      <c r="B10498" s="1136"/>
      <c r="C10498" s="1138"/>
    </row>
    <row r="10499" spans="1:3">
      <c r="A10499" s="1133"/>
      <c r="B10499" s="1136"/>
      <c r="C10499" s="1138"/>
    </row>
    <row r="10500" spans="1:3">
      <c r="A10500" s="1133"/>
      <c r="B10500" s="1136"/>
      <c r="C10500" s="1138"/>
    </row>
    <row r="10501" spans="1:3">
      <c r="A10501" s="1133"/>
      <c r="B10501" s="1136"/>
      <c r="C10501" s="1138"/>
    </row>
    <row r="10502" spans="1:3">
      <c r="A10502" s="1133"/>
      <c r="B10502" s="1136"/>
      <c r="C10502" s="1138"/>
    </row>
    <row r="10503" spans="1:3">
      <c r="A10503" s="1133"/>
      <c r="B10503" s="1136"/>
      <c r="C10503" s="1138"/>
    </row>
    <row r="10504" spans="1:3">
      <c r="A10504" s="1133"/>
      <c r="B10504" s="1136"/>
      <c r="C10504" s="1138"/>
    </row>
    <row r="10505" spans="1:3">
      <c r="A10505" s="1133"/>
      <c r="B10505" s="1136"/>
      <c r="C10505" s="1138"/>
    </row>
    <row r="10506" spans="1:3">
      <c r="A10506" s="1133"/>
      <c r="B10506" s="1136"/>
      <c r="C10506" s="1138"/>
    </row>
    <row r="10507" spans="1:3">
      <c r="A10507" s="1133"/>
      <c r="B10507" s="1136"/>
      <c r="C10507" s="1138"/>
    </row>
    <row r="10508" spans="1:3">
      <c r="A10508" s="1133"/>
      <c r="B10508" s="1136"/>
      <c r="C10508" s="1138"/>
    </row>
    <row r="10509" spans="1:3">
      <c r="A10509" s="1133"/>
      <c r="B10509" s="1136"/>
      <c r="C10509" s="1138"/>
    </row>
    <row r="10510" spans="1:3">
      <c r="A10510" s="1133"/>
      <c r="B10510" s="1136"/>
      <c r="C10510" s="1138"/>
    </row>
    <row r="10511" spans="1:3">
      <c r="A10511" s="1133"/>
      <c r="B10511" s="1136"/>
      <c r="C10511" s="1138"/>
    </row>
    <row r="10512" spans="1:3">
      <c r="A10512" s="1133"/>
      <c r="B10512" s="1136"/>
      <c r="C10512" s="1138"/>
    </row>
    <row r="10513" spans="1:3">
      <c r="A10513" s="1133"/>
      <c r="B10513" s="1136"/>
      <c r="C10513" s="1138"/>
    </row>
    <row r="10514" spans="1:3">
      <c r="A10514" s="1133"/>
      <c r="B10514" s="1136"/>
      <c r="C10514" s="1138"/>
    </row>
    <row r="10515" spans="1:3">
      <c r="A10515" s="1133"/>
      <c r="B10515" s="1136"/>
      <c r="C10515" s="1138"/>
    </row>
    <row r="10516" spans="1:3">
      <c r="A10516" s="1133"/>
      <c r="B10516" s="1136"/>
      <c r="C10516" s="1138"/>
    </row>
    <row r="10517" spans="1:3">
      <c r="A10517" s="1133"/>
      <c r="B10517" s="1136"/>
      <c r="C10517" s="1138"/>
    </row>
    <row r="10518" spans="1:3">
      <c r="A10518" s="1133"/>
      <c r="B10518" s="1136"/>
      <c r="C10518" s="1138"/>
    </row>
    <row r="10519" spans="1:3">
      <c r="A10519" s="1133"/>
      <c r="B10519" s="1136"/>
      <c r="C10519" s="1138"/>
    </row>
    <row r="10520" spans="1:3">
      <c r="A10520" s="1133"/>
      <c r="B10520" s="1136"/>
      <c r="C10520" s="1138"/>
    </row>
    <row r="10521" spans="1:3">
      <c r="A10521" s="1133"/>
      <c r="B10521" s="1136"/>
      <c r="C10521" s="1138"/>
    </row>
    <row r="10522" spans="1:3">
      <c r="A10522" s="1133"/>
      <c r="B10522" s="1136"/>
      <c r="C10522" s="1138"/>
    </row>
    <row r="10523" spans="1:3">
      <c r="A10523" s="1133"/>
      <c r="B10523" s="1136"/>
      <c r="C10523" s="1138"/>
    </row>
    <row r="10524" spans="1:3">
      <c r="A10524" s="1133"/>
      <c r="B10524" s="1136"/>
      <c r="C10524" s="1138"/>
    </row>
    <row r="10525" spans="1:3">
      <c r="A10525" s="1133"/>
      <c r="B10525" s="1136"/>
      <c r="C10525" s="1138"/>
    </row>
    <row r="10526" spans="1:3">
      <c r="A10526" s="1133"/>
      <c r="B10526" s="1136"/>
      <c r="C10526" s="1138"/>
    </row>
    <row r="10527" spans="1:3">
      <c r="A10527" s="1133"/>
      <c r="B10527" s="1136"/>
      <c r="C10527" s="1138"/>
    </row>
    <row r="10528" spans="1:3">
      <c r="A10528" s="1133"/>
      <c r="B10528" s="1136"/>
      <c r="C10528" s="1138"/>
    </row>
    <row r="10529" spans="1:3">
      <c r="A10529" s="1133"/>
      <c r="B10529" s="1136"/>
      <c r="C10529" s="1138"/>
    </row>
    <row r="10530" spans="1:3">
      <c r="A10530" s="1133"/>
      <c r="B10530" s="1136"/>
      <c r="C10530" s="1138"/>
    </row>
    <row r="10531" spans="1:3">
      <c r="A10531" s="1133"/>
      <c r="B10531" s="1136"/>
      <c r="C10531" s="1138"/>
    </row>
    <row r="10532" spans="1:3">
      <c r="A10532" s="1133"/>
      <c r="B10532" s="1136"/>
      <c r="C10532" s="1138"/>
    </row>
    <row r="10533" spans="1:3">
      <c r="A10533" s="1133"/>
      <c r="B10533" s="1136"/>
      <c r="C10533" s="1138"/>
    </row>
    <row r="10534" spans="1:3">
      <c r="A10534" s="1133"/>
      <c r="B10534" s="1136"/>
      <c r="C10534" s="1138"/>
    </row>
    <row r="10535" spans="1:3">
      <c r="A10535" s="1133"/>
      <c r="B10535" s="1136"/>
      <c r="C10535" s="1138"/>
    </row>
    <row r="10536" spans="1:3">
      <c r="A10536" s="1133"/>
      <c r="B10536" s="1136"/>
      <c r="C10536" s="1138"/>
    </row>
    <row r="10537" spans="1:3">
      <c r="A10537" s="1133"/>
      <c r="B10537" s="1136"/>
      <c r="C10537" s="1138"/>
    </row>
    <row r="10538" spans="1:3">
      <c r="A10538" s="1133"/>
      <c r="B10538" s="1136"/>
      <c r="C10538" s="1138"/>
    </row>
    <row r="10539" spans="1:3">
      <c r="A10539" s="1133"/>
      <c r="B10539" s="1136"/>
      <c r="C10539" s="1138"/>
    </row>
    <row r="10540" spans="1:3">
      <c r="A10540" s="1133"/>
      <c r="B10540" s="1136"/>
      <c r="C10540" s="1138"/>
    </row>
    <row r="10541" spans="1:3">
      <c r="A10541" s="1133"/>
      <c r="B10541" s="1136"/>
      <c r="C10541" s="1138"/>
    </row>
    <row r="10542" spans="1:3">
      <c r="A10542" s="1133"/>
      <c r="B10542" s="1136"/>
      <c r="C10542" s="1138"/>
    </row>
    <row r="10543" spans="1:3">
      <c r="A10543" s="1133"/>
      <c r="B10543" s="1136"/>
      <c r="C10543" s="1138"/>
    </row>
    <row r="10544" spans="1:3">
      <c r="A10544" s="1133"/>
      <c r="B10544" s="1136"/>
      <c r="C10544" s="1138"/>
    </row>
    <row r="10545" spans="1:3">
      <c r="A10545" s="1133"/>
      <c r="B10545" s="1136"/>
      <c r="C10545" s="1138"/>
    </row>
    <row r="10546" spans="1:3">
      <c r="A10546" s="1133"/>
      <c r="B10546" s="1136"/>
      <c r="C10546" s="1138"/>
    </row>
    <row r="10547" spans="1:3">
      <c r="A10547" s="1133"/>
      <c r="B10547" s="1136"/>
      <c r="C10547" s="1138"/>
    </row>
    <row r="10548" spans="1:3">
      <c r="A10548" s="1133"/>
      <c r="B10548" s="1136"/>
      <c r="C10548" s="1138"/>
    </row>
    <row r="10549" spans="1:3">
      <c r="A10549" s="1133"/>
      <c r="B10549" s="1136"/>
      <c r="C10549" s="1138"/>
    </row>
    <row r="10550" spans="1:3">
      <c r="A10550" s="1133"/>
      <c r="B10550" s="1136"/>
      <c r="C10550" s="1138"/>
    </row>
    <row r="10551" spans="1:3">
      <c r="A10551" s="1133"/>
      <c r="B10551" s="1136"/>
      <c r="C10551" s="1138"/>
    </row>
    <row r="10552" spans="1:3">
      <c r="A10552" s="1133"/>
      <c r="B10552" s="1136"/>
      <c r="C10552" s="1138"/>
    </row>
    <row r="10553" spans="1:3">
      <c r="A10553" s="1133"/>
      <c r="B10553" s="1136"/>
      <c r="C10553" s="1138"/>
    </row>
    <row r="10554" spans="1:3">
      <c r="A10554" s="1133"/>
      <c r="B10554" s="1136"/>
      <c r="C10554" s="1138"/>
    </row>
    <row r="10555" spans="1:3">
      <c r="A10555" s="1133"/>
      <c r="B10555" s="1136"/>
      <c r="C10555" s="1138"/>
    </row>
    <row r="10556" spans="1:3">
      <c r="A10556" s="1133"/>
      <c r="B10556" s="1136"/>
      <c r="C10556" s="1138"/>
    </row>
    <row r="10557" spans="1:3">
      <c r="A10557" s="1133"/>
      <c r="B10557" s="1136"/>
      <c r="C10557" s="1138"/>
    </row>
    <row r="10558" spans="1:3">
      <c r="A10558" s="1133"/>
      <c r="B10558" s="1136"/>
      <c r="C10558" s="1138"/>
    </row>
    <row r="10559" spans="1:3">
      <c r="A10559" s="1133"/>
      <c r="B10559" s="1136"/>
      <c r="C10559" s="1138"/>
    </row>
    <row r="10560" spans="1:3">
      <c r="A10560" s="1133"/>
      <c r="B10560" s="1136"/>
      <c r="C10560" s="1138"/>
    </row>
    <row r="10561" spans="1:3">
      <c r="A10561" s="1133"/>
      <c r="B10561" s="1136"/>
      <c r="C10561" s="1138"/>
    </row>
    <row r="10562" spans="1:3">
      <c r="A10562" s="1133"/>
      <c r="B10562" s="1136"/>
      <c r="C10562" s="1138"/>
    </row>
    <row r="10563" spans="1:3">
      <c r="A10563" s="1133"/>
      <c r="B10563" s="1136"/>
      <c r="C10563" s="1138"/>
    </row>
    <row r="10564" spans="1:3">
      <c r="A10564" s="1133"/>
      <c r="B10564" s="1136"/>
      <c r="C10564" s="1138"/>
    </row>
    <row r="10565" spans="1:3">
      <c r="A10565" s="1133"/>
      <c r="B10565" s="1136"/>
      <c r="C10565" s="1138"/>
    </row>
    <row r="10566" spans="1:3">
      <c r="A10566" s="1133"/>
      <c r="B10566" s="1136"/>
      <c r="C10566" s="1138"/>
    </row>
    <row r="10567" spans="1:3">
      <c r="A10567" s="1133"/>
      <c r="B10567" s="1136"/>
      <c r="C10567" s="1138"/>
    </row>
    <row r="10568" spans="1:3">
      <c r="A10568" s="1133"/>
      <c r="B10568" s="1136"/>
      <c r="C10568" s="1138"/>
    </row>
    <row r="10569" spans="1:3">
      <c r="A10569" s="1133"/>
      <c r="B10569" s="1136"/>
      <c r="C10569" s="1138"/>
    </row>
    <row r="10570" spans="1:3">
      <c r="A10570" s="1133"/>
      <c r="B10570" s="1136"/>
      <c r="C10570" s="1138"/>
    </row>
    <row r="10571" spans="1:3">
      <c r="A10571" s="1133"/>
      <c r="B10571" s="1136"/>
      <c r="C10571" s="1138"/>
    </row>
    <row r="10572" spans="1:3">
      <c r="A10572" s="1133"/>
      <c r="B10572" s="1136"/>
      <c r="C10572" s="1138"/>
    </row>
    <row r="10573" spans="1:3">
      <c r="A10573" s="1133"/>
      <c r="B10573" s="1136"/>
      <c r="C10573" s="1138"/>
    </row>
    <row r="10574" spans="1:3">
      <c r="A10574" s="1133"/>
      <c r="B10574" s="1136"/>
      <c r="C10574" s="1138"/>
    </row>
    <row r="10575" spans="1:3">
      <c r="A10575" s="1133"/>
      <c r="B10575" s="1136"/>
      <c r="C10575" s="1138"/>
    </row>
    <row r="10576" spans="1:3">
      <c r="A10576" s="1133"/>
      <c r="B10576" s="1136"/>
      <c r="C10576" s="1138"/>
    </row>
    <row r="10577" spans="1:3">
      <c r="A10577" s="1133"/>
      <c r="B10577" s="1136"/>
      <c r="C10577" s="1138"/>
    </row>
    <row r="10578" spans="1:3">
      <c r="A10578" s="1133"/>
      <c r="B10578" s="1136"/>
      <c r="C10578" s="1138"/>
    </row>
    <row r="10579" spans="1:3">
      <c r="A10579" s="1133"/>
      <c r="B10579" s="1136"/>
      <c r="C10579" s="1138"/>
    </row>
    <row r="10580" spans="1:3">
      <c r="A10580" s="1133"/>
      <c r="B10580" s="1136"/>
      <c r="C10580" s="1138"/>
    </row>
    <row r="10581" spans="1:3">
      <c r="A10581" s="1133"/>
      <c r="B10581" s="1136"/>
      <c r="C10581" s="1138"/>
    </row>
    <row r="10582" spans="1:3">
      <c r="A10582" s="1133"/>
      <c r="B10582" s="1136"/>
      <c r="C10582" s="1138"/>
    </row>
    <row r="10583" spans="1:3">
      <c r="A10583" s="1133"/>
      <c r="B10583" s="1136"/>
      <c r="C10583" s="1138"/>
    </row>
    <row r="10584" spans="1:3">
      <c r="A10584" s="1133"/>
      <c r="B10584" s="1136"/>
      <c r="C10584" s="1138"/>
    </row>
    <row r="10585" spans="1:3">
      <c r="A10585" s="1133"/>
      <c r="B10585" s="1136"/>
      <c r="C10585" s="1138"/>
    </row>
    <row r="10586" spans="1:3">
      <c r="A10586" s="1133"/>
      <c r="B10586" s="1136"/>
      <c r="C10586" s="1138"/>
    </row>
    <row r="10587" spans="1:3">
      <c r="A10587" s="1133"/>
      <c r="B10587" s="1136"/>
      <c r="C10587" s="1138"/>
    </row>
    <row r="10588" spans="1:3">
      <c r="A10588" s="1133"/>
      <c r="B10588" s="1136"/>
      <c r="C10588" s="1138"/>
    </row>
    <row r="10589" spans="1:3">
      <c r="A10589" s="1133"/>
      <c r="B10589" s="1136"/>
      <c r="C10589" s="1138"/>
    </row>
    <row r="10590" spans="1:3">
      <c r="A10590" s="1133"/>
      <c r="B10590" s="1136"/>
      <c r="C10590" s="1138"/>
    </row>
    <row r="10591" spans="1:3">
      <c r="A10591" s="1133"/>
      <c r="B10591" s="1136"/>
      <c r="C10591" s="1138"/>
    </row>
    <row r="10592" spans="1:3">
      <c r="A10592" s="1133"/>
      <c r="B10592" s="1136"/>
      <c r="C10592" s="1138"/>
    </row>
    <row r="10593" spans="1:3">
      <c r="A10593" s="1133"/>
      <c r="B10593" s="1136"/>
      <c r="C10593" s="1138"/>
    </row>
    <row r="10594" spans="1:3">
      <c r="A10594" s="1133"/>
      <c r="B10594" s="1136"/>
      <c r="C10594" s="1138"/>
    </row>
    <row r="10595" spans="1:3">
      <c r="A10595" s="1133"/>
      <c r="B10595" s="1136"/>
      <c r="C10595" s="1138"/>
    </row>
    <row r="10596" spans="1:3">
      <c r="A10596" s="1133"/>
      <c r="B10596" s="1136"/>
      <c r="C10596" s="1138"/>
    </row>
    <row r="10597" spans="1:3">
      <c r="A10597" s="1133"/>
      <c r="B10597" s="1136"/>
      <c r="C10597" s="1138"/>
    </row>
    <row r="10598" spans="1:3">
      <c r="A10598" s="1133"/>
      <c r="B10598" s="1136"/>
      <c r="C10598" s="1138"/>
    </row>
    <row r="10599" spans="1:3">
      <c r="A10599" s="1133"/>
      <c r="B10599" s="1136"/>
      <c r="C10599" s="1138"/>
    </row>
    <row r="10600" spans="1:3">
      <c r="A10600" s="1133"/>
      <c r="B10600" s="1136"/>
      <c r="C10600" s="1138"/>
    </row>
    <row r="10601" spans="1:3">
      <c r="A10601" s="1133"/>
      <c r="B10601" s="1136"/>
      <c r="C10601" s="1138"/>
    </row>
    <row r="10602" spans="1:3">
      <c r="A10602" s="1133"/>
      <c r="B10602" s="1136"/>
      <c r="C10602" s="1138"/>
    </row>
    <row r="10603" spans="1:3">
      <c r="A10603" s="1133"/>
      <c r="B10603" s="1136"/>
      <c r="C10603" s="1138"/>
    </row>
    <row r="10604" spans="1:3">
      <c r="A10604" s="1133"/>
      <c r="B10604" s="1136"/>
      <c r="C10604" s="1138"/>
    </row>
    <row r="10605" spans="1:3">
      <c r="A10605" s="1133"/>
      <c r="B10605" s="1136"/>
      <c r="C10605" s="1138"/>
    </row>
    <row r="10606" spans="1:3">
      <c r="A10606" s="1133"/>
      <c r="B10606" s="1136"/>
      <c r="C10606" s="1138"/>
    </row>
    <row r="10607" spans="1:3">
      <c r="A10607" s="1133"/>
      <c r="B10607" s="1136"/>
      <c r="C10607" s="1138"/>
    </row>
    <row r="10608" spans="1:3">
      <c r="A10608" s="1133"/>
      <c r="B10608" s="1136"/>
      <c r="C10608" s="1138"/>
    </row>
    <row r="10609" spans="1:3">
      <c r="A10609" s="1133"/>
      <c r="B10609" s="1136"/>
      <c r="C10609" s="1138"/>
    </row>
    <row r="10610" spans="1:3">
      <c r="A10610" s="1133"/>
      <c r="B10610" s="1136"/>
      <c r="C10610" s="1138"/>
    </row>
    <row r="10611" spans="1:3">
      <c r="A10611" s="1133"/>
      <c r="B10611" s="1136"/>
      <c r="C10611" s="1138"/>
    </row>
    <row r="10612" spans="1:3">
      <c r="A10612" s="1133"/>
      <c r="B10612" s="1136"/>
      <c r="C10612" s="1138"/>
    </row>
    <row r="10613" spans="1:3">
      <c r="A10613" s="1133"/>
      <c r="B10613" s="1136"/>
      <c r="C10613" s="1138"/>
    </row>
    <row r="10614" spans="1:3">
      <c r="A10614" s="1133"/>
      <c r="B10614" s="1136"/>
      <c r="C10614" s="1138"/>
    </row>
    <row r="10615" spans="1:3">
      <c r="A10615" s="1133"/>
      <c r="B10615" s="1136"/>
      <c r="C10615" s="1138"/>
    </row>
    <row r="10616" spans="1:3">
      <c r="A10616" s="1133"/>
      <c r="B10616" s="1136"/>
      <c r="C10616" s="1138"/>
    </row>
    <row r="10617" spans="1:3">
      <c r="A10617" s="1133"/>
      <c r="B10617" s="1136"/>
      <c r="C10617" s="1138"/>
    </row>
    <row r="10618" spans="1:3">
      <c r="A10618" s="1133"/>
      <c r="B10618" s="1136"/>
      <c r="C10618" s="1138"/>
    </row>
    <row r="10619" spans="1:3">
      <c r="A10619" s="1133"/>
      <c r="B10619" s="1136"/>
      <c r="C10619" s="1138"/>
    </row>
    <row r="10620" spans="1:3">
      <c r="A10620" s="1133"/>
      <c r="B10620" s="1136"/>
      <c r="C10620" s="1138"/>
    </row>
    <row r="10621" spans="1:3">
      <c r="A10621" s="1133"/>
      <c r="B10621" s="1136"/>
      <c r="C10621" s="1138"/>
    </row>
    <row r="10622" spans="1:3">
      <c r="A10622" s="1133"/>
      <c r="B10622" s="1136"/>
      <c r="C10622" s="1138"/>
    </row>
    <row r="10623" spans="1:3">
      <c r="A10623" s="1133"/>
      <c r="B10623" s="1136"/>
      <c r="C10623" s="1138"/>
    </row>
    <row r="10624" spans="1:3">
      <c r="A10624" s="1133"/>
      <c r="B10624" s="1136"/>
      <c r="C10624" s="1138"/>
    </row>
    <row r="10625" spans="1:3">
      <c r="A10625" s="1133"/>
      <c r="B10625" s="1136"/>
      <c r="C10625" s="1138"/>
    </row>
    <row r="10626" spans="1:3">
      <c r="A10626" s="1133"/>
      <c r="B10626" s="1136"/>
      <c r="C10626" s="1138"/>
    </row>
    <row r="10627" spans="1:3">
      <c r="A10627" s="1133"/>
      <c r="B10627" s="1136"/>
      <c r="C10627" s="1138"/>
    </row>
    <row r="10628" spans="1:3">
      <c r="A10628" s="1133"/>
      <c r="B10628" s="1136"/>
      <c r="C10628" s="1138"/>
    </row>
    <row r="10629" spans="1:3">
      <c r="A10629" s="1133"/>
      <c r="B10629" s="1136"/>
      <c r="C10629" s="1138"/>
    </row>
    <row r="10630" spans="1:3">
      <c r="A10630" s="1133"/>
      <c r="B10630" s="1136"/>
      <c r="C10630" s="1138"/>
    </row>
    <row r="10631" spans="1:3">
      <c r="A10631" s="1133"/>
      <c r="B10631" s="1136"/>
      <c r="C10631" s="1138"/>
    </row>
    <row r="10632" spans="1:3">
      <c r="A10632" s="1133"/>
      <c r="B10632" s="1136"/>
      <c r="C10632" s="1138"/>
    </row>
    <row r="10633" spans="1:3">
      <c r="A10633" s="1133"/>
      <c r="B10633" s="1136"/>
      <c r="C10633" s="1138"/>
    </row>
    <row r="10634" spans="1:3">
      <c r="A10634" s="1133"/>
      <c r="B10634" s="1136"/>
      <c r="C10634" s="1138"/>
    </row>
    <row r="10635" spans="1:3">
      <c r="A10635" s="1133"/>
      <c r="B10635" s="1136"/>
      <c r="C10635" s="1138"/>
    </row>
    <row r="10636" spans="1:3">
      <c r="A10636" s="1133"/>
      <c r="B10636" s="1136"/>
      <c r="C10636" s="1138"/>
    </row>
    <row r="10637" spans="1:3">
      <c r="A10637" s="1133"/>
      <c r="B10637" s="1136"/>
      <c r="C10637" s="1138"/>
    </row>
    <row r="10638" spans="1:3">
      <c r="A10638" s="1133"/>
      <c r="B10638" s="1136"/>
      <c r="C10638" s="1138"/>
    </row>
    <row r="10639" spans="1:3">
      <c r="A10639" s="1133"/>
      <c r="B10639" s="1136"/>
      <c r="C10639" s="1138"/>
    </row>
    <row r="10640" spans="1:3">
      <c r="A10640" s="1133"/>
      <c r="B10640" s="1136"/>
      <c r="C10640" s="1138"/>
    </row>
    <row r="10641" spans="1:3">
      <c r="A10641" s="1133"/>
      <c r="B10641" s="1136"/>
      <c r="C10641" s="1138"/>
    </row>
    <row r="10642" spans="1:3">
      <c r="A10642" s="1133"/>
      <c r="B10642" s="1136"/>
      <c r="C10642" s="1138"/>
    </row>
    <row r="10643" spans="1:3">
      <c r="A10643" s="1133"/>
      <c r="B10643" s="1136"/>
      <c r="C10643" s="1138"/>
    </row>
    <row r="10644" spans="1:3">
      <c r="A10644" s="1133"/>
      <c r="B10644" s="1136"/>
      <c r="C10644" s="1138"/>
    </row>
    <row r="10645" spans="1:3">
      <c r="A10645" s="1133"/>
      <c r="B10645" s="1136"/>
      <c r="C10645" s="1138"/>
    </row>
    <row r="10646" spans="1:3">
      <c r="A10646" s="1133"/>
      <c r="B10646" s="1136"/>
      <c r="C10646" s="1138"/>
    </row>
    <row r="10647" spans="1:3">
      <c r="A10647" s="1133"/>
      <c r="B10647" s="1136"/>
      <c r="C10647" s="1138"/>
    </row>
    <row r="10648" spans="1:3">
      <c r="A10648" s="1133"/>
      <c r="B10648" s="1136"/>
      <c r="C10648" s="1138"/>
    </row>
    <row r="10649" spans="1:3">
      <c r="A10649" s="1133"/>
      <c r="B10649" s="1136"/>
      <c r="C10649" s="1138"/>
    </row>
    <row r="10650" spans="1:3">
      <c r="A10650" s="1133"/>
      <c r="B10650" s="1136"/>
      <c r="C10650" s="1138"/>
    </row>
    <row r="10651" spans="1:3">
      <c r="A10651" s="1133"/>
      <c r="B10651" s="1136"/>
      <c r="C10651" s="1138"/>
    </row>
    <row r="10652" spans="1:3">
      <c r="A10652" s="1133"/>
      <c r="B10652" s="1136"/>
      <c r="C10652" s="1138"/>
    </row>
    <row r="10653" spans="1:3">
      <c r="A10653" s="1133"/>
      <c r="B10653" s="1136"/>
      <c r="C10653" s="1138"/>
    </row>
    <row r="10654" spans="1:3">
      <c r="A10654" s="1133"/>
      <c r="B10654" s="1136"/>
      <c r="C10654" s="1138"/>
    </row>
    <row r="10655" spans="1:3">
      <c r="A10655" s="1133"/>
      <c r="B10655" s="1136"/>
      <c r="C10655" s="1138"/>
    </row>
    <row r="10656" spans="1:3">
      <c r="A10656" s="1133"/>
      <c r="B10656" s="1136"/>
      <c r="C10656" s="1138"/>
    </row>
    <row r="10657" spans="1:3">
      <c r="A10657" s="1133"/>
      <c r="B10657" s="1136"/>
      <c r="C10657" s="1138"/>
    </row>
    <row r="10658" spans="1:3">
      <c r="A10658" s="1133"/>
      <c r="B10658" s="1136"/>
      <c r="C10658" s="1138"/>
    </row>
    <row r="10659" spans="1:3">
      <c r="A10659" s="1133"/>
      <c r="B10659" s="1136"/>
      <c r="C10659" s="1138"/>
    </row>
    <row r="10660" spans="1:3">
      <c r="A10660" s="1133"/>
      <c r="B10660" s="1136"/>
      <c r="C10660" s="1138"/>
    </row>
    <row r="10661" spans="1:3">
      <c r="A10661" s="1133"/>
      <c r="B10661" s="1136"/>
      <c r="C10661" s="1138"/>
    </row>
    <row r="10662" spans="1:3">
      <c r="A10662" s="1133"/>
      <c r="B10662" s="1136"/>
      <c r="C10662" s="1138"/>
    </row>
    <row r="10663" spans="1:3">
      <c r="A10663" s="1133"/>
      <c r="B10663" s="1136"/>
      <c r="C10663" s="1138"/>
    </row>
    <row r="10664" spans="1:3">
      <c r="A10664" s="1133"/>
      <c r="B10664" s="1136"/>
      <c r="C10664" s="1138"/>
    </row>
    <row r="10665" spans="1:3">
      <c r="A10665" s="1133"/>
      <c r="B10665" s="1136"/>
      <c r="C10665" s="1138"/>
    </row>
    <row r="10666" spans="1:3">
      <c r="A10666" s="1133"/>
      <c r="B10666" s="1136"/>
      <c r="C10666" s="1138"/>
    </row>
    <row r="10667" spans="1:3">
      <c r="A10667" s="1133"/>
      <c r="B10667" s="1136"/>
      <c r="C10667" s="1138"/>
    </row>
    <row r="10668" spans="1:3">
      <c r="A10668" s="1133"/>
      <c r="B10668" s="1136"/>
      <c r="C10668" s="1138"/>
    </row>
    <row r="10669" spans="1:3">
      <c r="A10669" s="1133"/>
      <c r="B10669" s="1136"/>
      <c r="C10669" s="1138"/>
    </row>
    <row r="10670" spans="1:3">
      <c r="A10670" s="1133"/>
      <c r="B10670" s="1136"/>
      <c r="C10670" s="1138"/>
    </row>
    <row r="10671" spans="1:3">
      <c r="A10671" s="1133"/>
      <c r="B10671" s="1136"/>
      <c r="C10671" s="1138"/>
    </row>
    <row r="10672" spans="1:3">
      <c r="A10672" s="1133"/>
      <c r="B10672" s="1136"/>
      <c r="C10672" s="1138"/>
    </row>
    <row r="10673" spans="1:3">
      <c r="A10673" s="1133"/>
      <c r="B10673" s="1136"/>
      <c r="C10673" s="1138"/>
    </row>
    <row r="10674" spans="1:3">
      <c r="A10674" s="1133"/>
      <c r="B10674" s="1136"/>
      <c r="C10674" s="1138"/>
    </row>
    <row r="10675" spans="1:3">
      <c r="A10675" s="1133"/>
      <c r="B10675" s="1136"/>
      <c r="C10675" s="1138"/>
    </row>
    <row r="10676" spans="1:3">
      <c r="A10676" s="1133"/>
      <c r="B10676" s="1136"/>
      <c r="C10676" s="1138"/>
    </row>
    <row r="10677" spans="1:3">
      <c r="A10677" s="1133"/>
      <c r="B10677" s="1136"/>
      <c r="C10677" s="1138"/>
    </row>
    <row r="10678" spans="1:3">
      <c r="A10678" s="1133"/>
      <c r="B10678" s="1136"/>
      <c r="C10678" s="1138"/>
    </row>
    <row r="10679" spans="1:3">
      <c r="A10679" s="1133"/>
      <c r="B10679" s="1136"/>
      <c r="C10679" s="1138"/>
    </row>
    <row r="10680" spans="1:3">
      <c r="A10680" s="1133"/>
      <c r="B10680" s="1136"/>
      <c r="C10680" s="1138"/>
    </row>
    <row r="10681" spans="1:3">
      <c r="A10681" s="1133"/>
      <c r="B10681" s="1136"/>
      <c r="C10681" s="1138"/>
    </row>
    <row r="10682" spans="1:3">
      <c r="A10682" s="1133"/>
      <c r="B10682" s="1136"/>
      <c r="C10682" s="1138"/>
    </row>
    <row r="10683" spans="1:3">
      <c r="A10683" s="1133"/>
      <c r="B10683" s="1136"/>
      <c r="C10683" s="1138"/>
    </row>
    <row r="10684" spans="1:3">
      <c r="A10684" s="1133"/>
      <c r="B10684" s="1136"/>
      <c r="C10684" s="1138"/>
    </row>
    <row r="10685" spans="1:3">
      <c r="A10685" s="1133"/>
      <c r="B10685" s="1136"/>
      <c r="C10685" s="1138"/>
    </row>
    <row r="10686" spans="1:3">
      <c r="A10686" s="1133"/>
      <c r="B10686" s="1136"/>
      <c r="C10686" s="1138"/>
    </row>
    <row r="10687" spans="1:3">
      <c r="A10687" s="1133"/>
      <c r="B10687" s="1136"/>
      <c r="C10687" s="1138"/>
    </row>
    <row r="10688" spans="1:3">
      <c r="A10688" s="1133"/>
      <c r="B10688" s="1136"/>
      <c r="C10688" s="1138"/>
    </row>
    <row r="10689" spans="1:3">
      <c r="A10689" s="1133"/>
      <c r="B10689" s="1136"/>
      <c r="C10689" s="1138"/>
    </row>
    <row r="10690" spans="1:3">
      <c r="A10690" s="1133"/>
      <c r="B10690" s="1136"/>
      <c r="C10690" s="1138"/>
    </row>
    <row r="10691" spans="1:3">
      <c r="A10691" s="1133"/>
      <c r="B10691" s="1136"/>
      <c r="C10691" s="1138"/>
    </row>
    <row r="10692" spans="1:3">
      <c r="A10692" s="1133"/>
      <c r="B10692" s="1136"/>
      <c r="C10692" s="1138"/>
    </row>
    <row r="10693" spans="1:3">
      <c r="A10693" s="1133"/>
      <c r="B10693" s="1136"/>
      <c r="C10693" s="1138"/>
    </row>
    <row r="10694" spans="1:3">
      <c r="A10694" s="1133"/>
      <c r="B10694" s="1136"/>
      <c r="C10694" s="1138"/>
    </row>
    <row r="10695" spans="1:3">
      <c r="A10695" s="1133"/>
      <c r="B10695" s="1136"/>
      <c r="C10695" s="1138"/>
    </row>
    <row r="10696" spans="1:3">
      <c r="A10696" s="1133"/>
      <c r="B10696" s="1136"/>
      <c r="C10696" s="1138"/>
    </row>
    <row r="10697" spans="1:3">
      <c r="A10697" s="1133"/>
      <c r="B10697" s="1136"/>
      <c r="C10697" s="1138"/>
    </row>
    <row r="10698" spans="1:3">
      <c r="A10698" s="1133"/>
      <c r="B10698" s="1136"/>
      <c r="C10698" s="1138"/>
    </row>
    <row r="10699" spans="1:3">
      <c r="A10699" s="1133"/>
      <c r="B10699" s="1136"/>
      <c r="C10699" s="1138"/>
    </row>
    <row r="10700" spans="1:3">
      <c r="A10700" s="1133"/>
      <c r="B10700" s="1136"/>
      <c r="C10700" s="1138"/>
    </row>
    <row r="10701" spans="1:3">
      <c r="A10701" s="1133"/>
      <c r="B10701" s="1136"/>
      <c r="C10701" s="1138"/>
    </row>
    <row r="10702" spans="1:3">
      <c r="A10702" s="1133"/>
      <c r="B10702" s="1136"/>
      <c r="C10702" s="1138"/>
    </row>
    <row r="10703" spans="1:3">
      <c r="A10703" s="1133"/>
      <c r="B10703" s="1136"/>
      <c r="C10703" s="1138"/>
    </row>
    <row r="10704" spans="1:3">
      <c r="A10704" s="1133"/>
      <c r="B10704" s="1136"/>
      <c r="C10704" s="1138"/>
    </row>
    <row r="10705" spans="1:3">
      <c r="A10705" s="1133"/>
      <c r="B10705" s="1136"/>
      <c r="C10705" s="1138"/>
    </row>
    <row r="10706" spans="1:3">
      <c r="A10706" s="1133"/>
      <c r="B10706" s="1136"/>
      <c r="C10706" s="1138"/>
    </row>
    <row r="10707" spans="1:3">
      <c r="A10707" s="1133"/>
      <c r="B10707" s="1136"/>
      <c r="C10707" s="1138"/>
    </row>
    <row r="10708" spans="1:3">
      <c r="A10708" s="1133"/>
      <c r="B10708" s="1136"/>
      <c r="C10708" s="1138"/>
    </row>
    <row r="10709" spans="1:3">
      <c r="A10709" s="1133"/>
      <c r="B10709" s="1136"/>
      <c r="C10709" s="1138"/>
    </row>
    <row r="10710" spans="1:3">
      <c r="A10710" s="1133"/>
      <c r="B10710" s="1136"/>
      <c r="C10710" s="1138"/>
    </row>
    <row r="10711" spans="1:3">
      <c r="A10711" s="1133"/>
      <c r="B10711" s="1136"/>
      <c r="C10711" s="1138"/>
    </row>
    <row r="10712" spans="1:3">
      <c r="A10712" s="1133"/>
      <c r="B10712" s="1136"/>
      <c r="C10712" s="1138"/>
    </row>
    <row r="10713" spans="1:3">
      <c r="A10713" s="1133"/>
      <c r="B10713" s="1136"/>
      <c r="C10713" s="1138"/>
    </row>
    <row r="10714" spans="1:3">
      <c r="A10714" s="1133"/>
      <c r="B10714" s="1136"/>
      <c r="C10714" s="1138"/>
    </row>
    <row r="10715" spans="1:3">
      <c r="A10715" s="1133"/>
      <c r="B10715" s="1136"/>
      <c r="C10715" s="1138"/>
    </row>
    <row r="10716" spans="1:3">
      <c r="A10716" s="1133"/>
      <c r="B10716" s="1136"/>
      <c r="C10716" s="1138"/>
    </row>
    <row r="10717" spans="1:3">
      <c r="A10717" s="1133"/>
      <c r="B10717" s="1136"/>
      <c r="C10717" s="1138"/>
    </row>
    <row r="10718" spans="1:3">
      <c r="A10718" s="1133"/>
      <c r="B10718" s="1136"/>
      <c r="C10718" s="1138"/>
    </row>
    <row r="10719" spans="1:3">
      <c r="A10719" s="1133"/>
      <c r="B10719" s="1136"/>
      <c r="C10719" s="1138"/>
    </row>
    <row r="10720" spans="1:3">
      <c r="A10720" s="1133"/>
      <c r="B10720" s="1136"/>
      <c r="C10720" s="1138"/>
    </row>
    <row r="10721" spans="1:3">
      <c r="A10721" s="1133"/>
      <c r="B10721" s="1136"/>
      <c r="C10721" s="1138"/>
    </row>
    <row r="10722" spans="1:3">
      <c r="A10722" s="1133"/>
      <c r="B10722" s="1136"/>
      <c r="C10722" s="1138"/>
    </row>
    <row r="10723" spans="1:3">
      <c r="A10723" s="1133"/>
      <c r="B10723" s="1136"/>
      <c r="C10723" s="1138"/>
    </row>
    <row r="10724" spans="1:3">
      <c r="A10724" s="1133"/>
      <c r="B10724" s="1136"/>
      <c r="C10724" s="1138"/>
    </row>
    <row r="10725" spans="1:3">
      <c r="A10725" s="1133"/>
      <c r="B10725" s="1136"/>
      <c r="C10725" s="1138"/>
    </row>
    <row r="10726" spans="1:3">
      <c r="A10726" s="1133"/>
      <c r="B10726" s="1136"/>
      <c r="C10726" s="1138"/>
    </row>
    <row r="10727" spans="1:3">
      <c r="A10727" s="1133"/>
      <c r="B10727" s="1136"/>
      <c r="C10727" s="1138"/>
    </row>
    <row r="10728" spans="1:3">
      <c r="A10728" s="1133"/>
      <c r="B10728" s="1136"/>
      <c r="C10728" s="1138"/>
    </row>
    <row r="10729" spans="1:3">
      <c r="A10729" s="1133"/>
      <c r="B10729" s="1136"/>
      <c r="C10729" s="1138"/>
    </row>
    <row r="10730" spans="1:3">
      <c r="A10730" s="1133"/>
      <c r="B10730" s="1136"/>
      <c r="C10730" s="1138"/>
    </row>
    <row r="10731" spans="1:3">
      <c r="A10731" s="1133"/>
      <c r="B10731" s="1136"/>
      <c r="C10731" s="1138"/>
    </row>
    <row r="10732" spans="1:3">
      <c r="A10732" s="1133"/>
      <c r="B10732" s="1136"/>
      <c r="C10732" s="1138"/>
    </row>
    <row r="10733" spans="1:3">
      <c r="A10733" s="1133"/>
      <c r="B10733" s="1136"/>
      <c r="C10733" s="1138"/>
    </row>
    <row r="10734" spans="1:3">
      <c r="A10734" s="1133"/>
      <c r="B10734" s="1136"/>
      <c r="C10734" s="1138"/>
    </row>
    <row r="10735" spans="1:3">
      <c r="A10735" s="1133"/>
      <c r="B10735" s="1136"/>
      <c r="C10735" s="1138"/>
    </row>
    <row r="10736" spans="1:3">
      <c r="A10736" s="1133"/>
      <c r="B10736" s="1136"/>
      <c r="C10736" s="1138"/>
    </row>
    <row r="10737" spans="1:3">
      <c r="A10737" s="1133"/>
      <c r="B10737" s="1136"/>
      <c r="C10737" s="1138"/>
    </row>
    <row r="10738" spans="1:3">
      <c r="A10738" s="1133"/>
      <c r="B10738" s="1136"/>
      <c r="C10738" s="1138"/>
    </row>
    <row r="10739" spans="1:3">
      <c r="A10739" s="1133"/>
      <c r="B10739" s="1136"/>
      <c r="C10739" s="1138"/>
    </row>
    <row r="10740" spans="1:3">
      <c r="A10740" s="1133"/>
      <c r="B10740" s="1136"/>
      <c r="C10740" s="1138"/>
    </row>
    <row r="10741" spans="1:3">
      <c r="A10741" s="1133"/>
      <c r="B10741" s="1136"/>
      <c r="C10741" s="1138"/>
    </row>
    <row r="10742" spans="1:3">
      <c r="A10742" s="1133"/>
      <c r="B10742" s="1136"/>
      <c r="C10742" s="1138"/>
    </row>
    <row r="10743" spans="1:3">
      <c r="A10743" s="1133"/>
      <c r="B10743" s="1136"/>
      <c r="C10743" s="1138"/>
    </row>
    <row r="10744" spans="1:3">
      <c r="A10744" s="1133"/>
      <c r="B10744" s="1136"/>
      <c r="C10744" s="1138"/>
    </row>
    <row r="10745" spans="1:3">
      <c r="A10745" s="1133"/>
      <c r="B10745" s="1136"/>
      <c r="C10745" s="1138"/>
    </row>
    <row r="10746" spans="1:3">
      <c r="A10746" s="1133"/>
      <c r="B10746" s="1136"/>
      <c r="C10746" s="1138"/>
    </row>
    <row r="10747" spans="1:3">
      <c r="A10747" s="1133"/>
      <c r="B10747" s="1136"/>
      <c r="C10747" s="1138"/>
    </row>
    <row r="10748" spans="1:3">
      <c r="A10748" s="1133"/>
      <c r="B10748" s="1136"/>
      <c r="C10748" s="1138"/>
    </row>
    <row r="10749" spans="1:3">
      <c r="A10749" s="1133"/>
      <c r="B10749" s="1136"/>
      <c r="C10749" s="1138"/>
    </row>
    <row r="10750" spans="1:3">
      <c r="A10750" s="1133"/>
      <c r="B10750" s="1136"/>
      <c r="C10750" s="1138"/>
    </row>
    <row r="10751" spans="1:3">
      <c r="A10751" s="1133"/>
      <c r="B10751" s="1136"/>
      <c r="C10751" s="1138"/>
    </row>
    <row r="10752" spans="1:3">
      <c r="A10752" s="1133"/>
      <c r="B10752" s="1136"/>
      <c r="C10752" s="1138"/>
    </row>
    <row r="10753" spans="1:3">
      <c r="A10753" s="1133"/>
      <c r="B10753" s="1136"/>
      <c r="C10753" s="1138"/>
    </row>
    <row r="10754" spans="1:3">
      <c r="A10754" s="1133"/>
      <c r="B10754" s="1136"/>
      <c r="C10754" s="1138"/>
    </row>
    <row r="10755" spans="1:3">
      <c r="A10755" s="1133"/>
      <c r="B10755" s="1136"/>
      <c r="C10755" s="1138"/>
    </row>
    <row r="10756" spans="1:3">
      <c r="A10756" s="1133"/>
      <c r="B10756" s="1136"/>
      <c r="C10756" s="1138"/>
    </row>
    <row r="10757" spans="1:3">
      <c r="A10757" s="1133"/>
      <c r="B10757" s="1136"/>
      <c r="C10757" s="1138"/>
    </row>
    <row r="10758" spans="1:3">
      <c r="A10758" s="1133"/>
      <c r="B10758" s="1136"/>
      <c r="C10758" s="1138"/>
    </row>
    <row r="10759" spans="1:3">
      <c r="A10759" s="1133"/>
      <c r="B10759" s="1136"/>
      <c r="C10759" s="1138"/>
    </row>
    <row r="10760" spans="1:3">
      <c r="A10760" s="1133"/>
      <c r="B10760" s="1136"/>
      <c r="C10760" s="1138"/>
    </row>
    <row r="10761" spans="1:3">
      <c r="A10761" s="1133"/>
      <c r="B10761" s="1136"/>
      <c r="C10761" s="1138"/>
    </row>
    <row r="10762" spans="1:3">
      <c r="A10762" s="1133"/>
      <c r="B10762" s="1136"/>
      <c r="C10762" s="1138"/>
    </row>
    <row r="10763" spans="1:3">
      <c r="A10763" s="1133"/>
      <c r="B10763" s="1136"/>
      <c r="C10763" s="1138"/>
    </row>
    <row r="10764" spans="1:3">
      <c r="A10764" s="1133"/>
      <c r="B10764" s="1136"/>
      <c r="C10764" s="1138"/>
    </row>
    <row r="10765" spans="1:3">
      <c r="A10765" s="1133"/>
      <c r="B10765" s="1136"/>
      <c r="C10765" s="1138"/>
    </row>
    <row r="10766" spans="1:3">
      <c r="A10766" s="1133"/>
      <c r="B10766" s="1136"/>
      <c r="C10766" s="1138"/>
    </row>
    <row r="10767" spans="1:3">
      <c r="A10767" s="1133"/>
      <c r="B10767" s="1136"/>
      <c r="C10767" s="1138"/>
    </row>
    <row r="10768" spans="1:3">
      <c r="A10768" s="1133"/>
      <c r="B10768" s="1136"/>
      <c r="C10768" s="1138"/>
    </row>
    <row r="10769" spans="1:3">
      <c r="A10769" s="1133"/>
      <c r="B10769" s="1136"/>
      <c r="C10769" s="1138"/>
    </row>
    <row r="10770" spans="1:3">
      <c r="A10770" s="1133"/>
      <c r="B10770" s="1136"/>
      <c r="C10770" s="1138"/>
    </row>
    <row r="10771" spans="1:3">
      <c r="A10771" s="1133"/>
      <c r="B10771" s="1136"/>
      <c r="C10771" s="1138"/>
    </row>
    <row r="10772" spans="1:3">
      <c r="A10772" s="1133"/>
      <c r="B10772" s="1136"/>
      <c r="C10772" s="1138"/>
    </row>
    <row r="10773" spans="1:3">
      <c r="A10773" s="1133"/>
      <c r="B10773" s="1136"/>
      <c r="C10773" s="1138"/>
    </row>
    <row r="10774" spans="1:3">
      <c r="A10774" s="1133"/>
      <c r="B10774" s="1136"/>
      <c r="C10774" s="1138"/>
    </row>
    <row r="10775" spans="1:3">
      <c r="A10775" s="1133"/>
      <c r="B10775" s="1136"/>
      <c r="C10775" s="1138"/>
    </row>
    <row r="10776" spans="1:3">
      <c r="A10776" s="1133"/>
      <c r="B10776" s="1136"/>
      <c r="C10776" s="1138"/>
    </row>
    <row r="10777" spans="1:3">
      <c r="A10777" s="1133"/>
      <c r="B10777" s="1136"/>
      <c r="C10777" s="1138"/>
    </row>
    <row r="10778" spans="1:3">
      <c r="A10778" s="1133"/>
      <c r="B10778" s="1136"/>
      <c r="C10778" s="1138"/>
    </row>
    <row r="10779" spans="1:3">
      <c r="A10779" s="1133"/>
      <c r="B10779" s="1136"/>
      <c r="C10779" s="1138"/>
    </row>
    <row r="10780" spans="1:3">
      <c r="A10780" s="1133"/>
      <c r="B10780" s="1136"/>
      <c r="C10780" s="1138"/>
    </row>
    <row r="10781" spans="1:3">
      <c r="A10781" s="1133"/>
      <c r="B10781" s="1136"/>
      <c r="C10781" s="1138"/>
    </row>
    <row r="10782" spans="1:3">
      <c r="A10782" s="1133"/>
      <c r="B10782" s="1136"/>
      <c r="C10782" s="1138"/>
    </row>
    <row r="10783" spans="1:3">
      <c r="A10783" s="1133"/>
      <c r="B10783" s="1136"/>
      <c r="C10783" s="1138"/>
    </row>
    <row r="10784" spans="1:3">
      <c r="A10784" s="1133"/>
      <c r="B10784" s="1136"/>
      <c r="C10784" s="1138"/>
    </row>
    <row r="10785" spans="1:3">
      <c r="A10785" s="1133"/>
      <c r="B10785" s="1136"/>
      <c r="C10785" s="1138"/>
    </row>
    <row r="10786" spans="1:3">
      <c r="A10786" s="1133"/>
      <c r="B10786" s="1136"/>
      <c r="C10786" s="1138"/>
    </row>
    <row r="10787" spans="1:3">
      <c r="A10787" s="1133"/>
      <c r="B10787" s="1136"/>
      <c r="C10787" s="1138"/>
    </row>
    <row r="10788" spans="1:3">
      <c r="A10788" s="1133"/>
      <c r="B10788" s="1136"/>
      <c r="C10788" s="1138"/>
    </row>
    <row r="10789" spans="1:3">
      <c r="A10789" s="1133"/>
      <c r="B10789" s="1136"/>
      <c r="C10789" s="1138"/>
    </row>
    <row r="10790" spans="1:3">
      <c r="A10790" s="1133"/>
      <c r="B10790" s="1136"/>
      <c r="C10790" s="1138"/>
    </row>
    <row r="10791" spans="1:3">
      <c r="A10791" s="1133"/>
      <c r="B10791" s="1136"/>
      <c r="C10791" s="1138"/>
    </row>
    <row r="10792" spans="1:3">
      <c r="A10792" s="1133"/>
      <c r="B10792" s="1136"/>
      <c r="C10792" s="1138"/>
    </row>
    <row r="10793" spans="1:3">
      <c r="A10793" s="1133"/>
      <c r="B10793" s="1136"/>
      <c r="C10793" s="1138"/>
    </row>
    <row r="10794" spans="1:3">
      <c r="A10794" s="1133"/>
      <c r="B10794" s="1136"/>
      <c r="C10794" s="1138"/>
    </row>
    <row r="10795" spans="1:3">
      <c r="A10795" s="1133"/>
      <c r="B10795" s="1136"/>
      <c r="C10795" s="1138"/>
    </row>
    <row r="10796" spans="1:3">
      <c r="A10796" s="1133"/>
      <c r="B10796" s="1136"/>
      <c r="C10796" s="1138"/>
    </row>
    <row r="10797" spans="1:3">
      <c r="A10797" s="1133"/>
      <c r="B10797" s="1136"/>
      <c r="C10797" s="1138"/>
    </row>
    <row r="10798" spans="1:3">
      <c r="A10798" s="1133"/>
      <c r="B10798" s="1136"/>
      <c r="C10798" s="1138"/>
    </row>
    <row r="10799" spans="1:3">
      <c r="A10799" s="1133"/>
      <c r="B10799" s="1136"/>
      <c r="C10799" s="1138"/>
    </row>
    <row r="10800" spans="1:3">
      <c r="A10800" s="1133"/>
      <c r="B10800" s="1136"/>
      <c r="C10800" s="1138"/>
    </row>
    <row r="10801" spans="1:3">
      <c r="A10801" s="1133"/>
      <c r="B10801" s="1136"/>
      <c r="C10801" s="1138"/>
    </row>
    <row r="10802" spans="1:3">
      <c r="A10802" s="1133"/>
      <c r="B10802" s="1136"/>
      <c r="C10802" s="1138"/>
    </row>
    <row r="10803" spans="1:3">
      <c r="A10803" s="1133"/>
      <c r="B10803" s="1136"/>
      <c r="C10803" s="1138"/>
    </row>
    <row r="10804" spans="1:3">
      <c r="A10804" s="1133"/>
      <c r="B10804" s="1136"/>
      <c r="C10804" s="1138"/>
    </row>
    <row r="10805" spans="1:3">
      <c r="A10805" s="1133"/>
      <c r="B10805" s="1136"/>
      <c r="C10805" s="1138"/>
    </row>
    <row r="10806" spans="1:3">
      <c r="A10806" s="1133"/>
      <c r="B10806" s="1136"/>
      <c r="C10806" s="1138"/>
    </row>
    <row r="10807" spans="1:3">
      <c r="A10807" s="1133"/>
      <c r="B10807" s="1136"/>
      <c r="C10807" s="1138"/>
    </row>
    <row r="10808" spans="1:3">
      <c r="A10808" s="1133"/>
      <c r="B10808" s="1136"/>
      <c r="C10808" s="1138"/>
    </row>
    <row r="10809" spans="1:3">
      <c r="A10809" s="1133"/>
      <c r="B10809" s="1136"/>
      <c r="C10809" s="1138"/>
    </row>
    <row r="10810" spans="1:3">
      <c r="A10810" s="1133"/>
      <c r="B10810" s="1136"/>
      <c r="C10810" s="1138"/>
    </row>
    <row r="10811" spans="1:3">
      <c r="A10811" s="1133"/>
      <c r="B10811" s="1136"/>
      <c r="C10811" s="1138"/>
    </row>
    <row r="10812" spans="1:3">
      <c r="A10812" s="1133"/>
      <c r="B10812" s="1136"/>
      <c r="C10812" s="1138"/>
    </row>
    <row r="10813" spans="1:3">
      <c r="A10813" s="1133"/>
      <c r="B10813" s="1136"/>
      <c r="C10813" s="1138"/>
    </row>
    <row r="10814" spans="1:3">
      <c r="A10814" s="1133"/>
      <c r="B10814" s="1136"/>
      <c r="C10814" s="1138"/>
    </row>
    <row r="10815" spans="1:3">
      <c r="A10815" s="1133"/>
      <c r="B10815" s="1136"/>
      <c r="C10815" s="1138"/>
    </row>
    <row r="10816" spans="1:3">
      <c r="A10816" s="1133"/>
      <c r="B10816" s="1136"/>
      <c r="C10816" s="1138"/>
    </row>
    <row r="10817" spans="1:3">
      <c r="A10817" s="1133"/>
      <c r="B10817" s="1136"/>
      <c r="C10817" s="1138"/>
    </row>
    <row r="10818" spans="1:3">
      <c r="A10818" s="1133"/>
      <c r="B10818" s="1136"/>
      <c r="C10818" s="1138"/>
    </row>
    <row r="10819" spans="1:3">
      <c r="A10819" s="1133"/>
      <c r="B10819" s="1136"/>
      <c r="C10819" s="1138"/>
    </row>
    <row r="10820" spans="1:3">
      <c r="A10820" s="1133"/>
      <c r="B10820" s="1136"/>
      <c r="C10820" s="1138"/>
    </row>
    <row r="10821" spans="1:3">
      <c r="A10821" s="1133"/>
      <c r="B10821" s="1136"/>
      <c r="C10821" s="1138"/>
    </row>
    <row r="10822" spans="1:3">
      <c r="A10822" s="1133"/>
      <c r="B10822" s="1136"/>
      <c r="C10822" s="1138"/>
    </row>
    <row r="10823" spans="1:3">
      <c r="A10823" s="1133"/>
      <c r="B10823" s="1136"/>
      <c r="C10823" s="1138"/>
    </row>
    <row r="10824" spans="1:3">
      <c r="A10824" s="1133"/>
      <c r="B10824" s="1136"/>
      <c r="C10824" s="1138"/>
    </row>
    <row r="10825" spans="1:3">
      <c r="A10825" s="1133"/>
      <c r="B10825" s="1136"/>
      <c r="C10825" s="1138"/>
    </row>
    <row r="10826" spans="1:3">
      <c r="A10826" s="1133"/>
      <c r="B10826" s="1136"/>
      <c r="C10826" s="1138"/>
    </row>
    <row r="10827" spans="1:3">
      <c r="A10827" s="1133"/>
      <c r="B10827" s="1136"/>
      <c r="C10827" s="1138"/>
    </row>
    <row r="10828" spans="1:3">
      <c r="A10828" s="1133"/>
      <c r="B10828" s="1136"/>
      <c r="C10828" s="1138"/>
    </row>
    <row r="10829" spans="1:3">
      <c r="A10829" s="1133"/>
      <c r="B10829" s="1136"/>
      <c r="C10829" s="1138"/>
    </row>
    <row r="10830" spans="1:3">
      <c r="A10830" s="1133"/>
      <c r="B10830" s="1136"/>
      <c r="C10830" s="1138"/>
    </row>
    <row r="10831" spans="1:3">
      <c r="A10831" s="1133"/>
      <c r="B10831" s="1136"/>
      <c r="C10831" s="1138"/>
    </row>
    <row r="10832" spans="1:3">
      <c r="A10832" s="1133"/>
      <c r="B10832" s="1136"/>
      <c r="C10832" s="1138"/>
    </row>
    <row r="10833" spans="1:3">
      <c r="A10833" s="1133"/>
      <c r="B10833" s="1136"/>
      <c r="C10833" s="1138"/>
    </row>
    <row r="10834" spans="1:3">
      <c r="A10834" s="1133"/>
      <c r="B10834" s="1136"/>
      <c r="C10834" s="1138"/>
    </row>
    <row r="10835" spans="1:3">
      <c r="A10835" s="1133"/>
      <c r="B10835" s="1136"/>
      <c r="C10835" s="1138"/>
    </row>
    <row r="10836" spans="1:3">
      <c r="A10836" s="1133"/>
      <c r="B10836" s="1136"/>
      <c r="C10836" s="1138"/>
    </row>
    <row r="10837" spans="1:3">
      <c r="A10837" s="1133"/>
      <c r="B10837" s="1136"/>
      <c r="C10837" s="1138"/>
    </row>
    <row r="10838" spans="1:3">
      <c r="A10838" s="1133"/>
      <c r="B10838" s="1136"/>
      <c r="C10838" s="1138"/>
    </row>
    <row r="10839" spans="1:3">
      <c r="A10839" s="1133"/>
      <c r="B10839" s="1136"/>
      <c r="C10839" s="1138"/>
    </row>
    <row r="10840" spans="1:3">
      <c r="A10840" s="1133"/>
      <c r="B10840" s="1136"/>
      <c r="C10840" s="1138"/>
    </row>
    <row r="10841" spans="1:3">
      <c r="A10841" s="1133"/>
      <c r="B10841" s="1136"/>
      <c r="C10841" s="1138"/>
    </row>
    <row r="10842" spans="1:3">
      <c r="A10842" s="1133"/>
      <c r="B10842" s="1136"/>
      <c r="C10842" s="1138"/>
    </row>
    <row r="10843" spans="1:3">
      <c r="A10843" s="1133"/>
      <c r="B10843" s="1136"/>
      <c r="C10843" s="1138"/>
    </row>
    <row r="10844" spans="1:3">
      <c r="A10844" s="1133"/>
      <c r="B10844" s="1136"/>
      <c r="C10844" s="1138"/>
    </row>
    <row r="10845" spans="1:3">
      <c r="A10845" s="1133"/>
      <c r="B10845" s="1136"/>
      <c r="C10845" s="1138"/>
    </row>
    <row r="10846" spans="1:3">
      <c r="A10846" s="1133"/>
      <c r="B10846" s="1136"/>
      <c r="C10846" s="1138"/>
    </row>
    <row r="10847" spans="1:3">
      <c r="A10847" s="1133"/>
      <c r="B10847" s="1136"/>
      <c r="C10847" s="1138"/>
    </row>
    <row r="10848" spans="1:3">
      <c r="A10848" s="1133"/>
      <c r="B10848" s="1136"/>
      <c r="C10848" s="1138"/>
    </row>
    <row r="10849" spans="1:3">
      <c r="A10849" s="1133"/>
      <c r="B10849" s="1136"/>
      <c r="C10849" s="1138"/>
    </row>
    <row r="10850" spans="1:3">
      <c r="A10850" s="1133"/>
      <c r="B10850" s="1136"/>
      <c r="C10850" s="1138"/>
    </row>
    <row r="10851" spans="1:3">
      <c r="A10851" s="1133"/>
      <c r="B10851" s="1136"/>
      <c r="C10851" s="1138"/>
    </row>
    <row r="10852" spans="1:3">
      <c r="A10852" s="1133"/>
      <c r="B10852" s="1136"/>
      <c r="C10852" s="1138"/>
    </row>
    <row r="10853" spans="1:3">
      <c r="A10853" s="1133"/>
      <c r="B10853" s="1136"/>
      <c r="C10853" s="1138"/>
    </row>
    <row r="10854" spans="1:3">
      <c r="A10854" s="1133"/>
      <c r="B10854" s="1136"/>
      <c r="C10854" s="1138"/>
    </row>
    <row r="10855" spans="1:3">
      <c r="A10855" s="1133"/>
      <c r="B10855" s="1136"/>
      <c r="C10855" s="1138"/>
    </row>
    <row r="10856" spans="1:3">
      <c r="A10856" s="1133"/>
      <c r="B10856" s="1136"/>
      <c r="C10856" s="1138"/>
    </row>
    <row r="10857" spans="1:3">
      <c r="A10857" s="1133"/>
      <c r="B10857" s="1136"/>
      <c r="C10857" s="1138"/>
    </row>
    <row r="10858" spans="1:3">
      <c r="A10858" s="1133"/>
      <c r="B10858" s="1136"/>
      <c r="C10858" s="1138"/>
    </row>
    <row r="10859" spans="1:3">
      <c r="A10859" s="1133"/>
      <c r="B10859" s="1136"/>
      <c r="C10859" s="1138"/>
    </row>
    <row r="10860" spans="1:3">
      <c r="A10860" s="1133"/>
      <c r="B10860" s="1136"/>
      <c r="C10860" s="1138"/>
    </row>
    <row r="10861" spans="1:3">
      <c r="A10861" s="1133"/>
      <c r="B10861" s="1136"/>
      <c r="C10861" s="1138"/>
    </row>
    <row r="10862" spans="1:3">
      <c r="A10862" s="1133"/>
      <c r="B10862" s="1136"/>
      <c r="C10862" s="1138"/>
    </row>
    <row r="10863" spans="1:3">
      <c r="A10863" s="1133"/>
      <c r="B10863" s="1136"/>
      <c r="C10863" s="1138"/>
    </row>
    <row r="10864" spans="1:3">
      <c r="A10864" s="1133"/>
      <c r="B10864" s="1136"/>
      <c r="C10864" s="1138"/>
    </row>
    <row r="10865" spans="1:3">
      <c r="A10865" s="1133"/>
      <c r="B10865" s="1136"/>
      <c r="C10865" s="1138"/>
    </row>
    <row r="10866" spans="1:3">
      <c r="A10866" s="1133"/>
      <c r="B10866" s="1136"/>
      <c r="C10866" s="1138"/>
    </row>
    <row r="10867" spans="1:3">
      <c r="A10867" s="1133"/>
      <c r="B10867" s="1136"/>
      <c r="C10867" s="1138"/>
    </row>
    <row r="10868" spans="1:3">
      <c r="A10868" s="1133"/>
      <c r="B10868" s="1136"/>
      <c r="C10868" s="1138"/>
    </row>
    <row r="10869" spans="1:3">
      <c r="A10869" s="1133"/>
      <c r="B10869" s="1136"/>
      <c r="C10869" s="1138"/>
    </row>
    <row r="10870" spans="1:3">
      <c r="A10870" s="1133"/>
      <c r="B10870" s="1136"/>
      <c r="C10870" s="1138"/>
    </row>
    <row r="10871" spans="1:3">
      <c r="A10871" s="1133"/>
      <c r="B10871" s="1136"/>
      <c r="C10871" s="1138"/>
    </row>
    <row r="10872" spans="1:3">
      <c r="A10872" s="1133"/>
      <c r="B10872" s="1136"/>
      <c r="C10872" s="1138"/>
    </row>
    <row r="10873" spans="1:3">
      <c r="A10873" s="1133"/>
      <c r="B10873" s="1136"/>
      <c r="C10873" s="1138"/>
    </row>
    <row r="10874" spans="1:3">
      <c r="A10874" s="1133"/>
      <c r="B10874" s="1136"/>
      <c r="C10874" s="1138"/>
    </row>
    <row r="10875" spans="1:3">
      <c r="A10875" s="1133"/>
      <c r="B10875" s="1136"/>
      <c r="C10875" s="1138"/>
    </row>
    <row r="10876" spans="1:3">
      <c r="A10876" s="1133"/>
      <c r="B10876" s="1136"/>
      <c r="C10876" s="1138"/>
    </row>
    <row r="10877" spans="1:3">
      <c r="A10877" s="1133"/>
      <c r="B10877" s="1136"/>
      <c r="C10877" s="1138"/>
    </row>
    <row r="10878" spans="1:3">
      <c r="A10878" s="1133"/>
      <c r="B10878" s="1136"/>
      <c r="C10878" s="1138"/>
    </row>
    <row r="10879" spans="1:3">
      <c r="A10879" s="1133"/>
      <c r="B10879" s="1136"/>
      <c r="C10879" s="1138"/>
    </row>
    <row r="10880" spans="1:3">
      <c r="A10880" s="1133"/>
      <c r="B10880" s="1136"/>
      <c r="C10880" s="1138"/>
    </row>
    <row r="10881" spans="1:3">
      <c r="A10881" s="1133"/>
      <c r="B10881" s="1136"/>
      <c r="C10881" s="1138"/>
    </row>
    <row r="10882" spans="1:3">
      <c r="A10882" s="1133"/>
      <c r="B10882" s="1136"/>
      <c r="C10882" s="1138"/>
    </row>
    <row r="10883" spans="1:3">
      <c r="A10883" s="1133"/>
      <c r="B10883" s="1136"/>
      <c r="C10883" s="1138"/>
    </row>
    <row r="10884" spans="1:3">
      <c r="A10884" s="1133"/>
      <c r="B10884" s="1136"/>
      <c r="C10884" s="1138"/>
    </row>
    <row r="10885" spans="1:3">
      <c r="A10885" s="1133"/>
      <c r="B10885" s="1136"/>
      <c r="C10885" s="1138"/>
    </row>
    <row r="10886" spans="1:3">
      <c r="A10886" s="1133"/>
      <c r="B10886" s="1136"/>
      <c r="C10886" s="1138"/>
    </row>
    <row r="10887" spans="1:3">
      <c r="A10887" s="1133"/>
      <c r="B10887" s="1136"/>
      <c r="C10887" s="1138"/>
    </row>
    <row r="10888" spans="1:3">
      <c r="A10888" s="1133"/>
      <c r="B10888" s="1136"/>
      <c r="C10888" s="1138"/>
    </row>
    <row r="10889" spans="1:3">
      <c r="A10889" s="1133"/>
      <c r="B10889" s="1136"/>
      <c r="C10889" s="1138"/>
    </row>
    <row r="10890" spans="1:3">
      <c r="A10890" s="1133"/>
      <c r="B10890" s="1136"/>
      <c r="C10890" s="1138"/>
    </row>
    <row r="10891" spans="1:3">
      <c r="A10891" s="1133"/>
      <c r="B10891" s="1136"/>
      <c r="C10891" s="1138"/>
    </row>
    <row r="10892" spans="1:3">
      <c r="A10892" s="1133"/>
      <c r="B10892" s="1136"/>
      <c r="C10892" s="1138"/>
    </row>
    <row r="10893" spans="1:3">
      <c r="A10893" s="1133"/>
      <c r="B10893" s="1136"/>
      <c r="C10893" s="1138"/>
    </row>
    <row r="10894" spans="1:3">
      <c r="A10894" s="1133"/>
      <c r="B10894" s="1136"/>
      <c r="C10894" s="1138"/>
    </row>
    <row r="10895" spans="1:3">
      <c r="A10895" s="1133"/>
      <c r="B10895" s="1136"/>
      <c r="C10895" s="1138"/>
    </row>
    <row r="10896" spans="1:3">
      <c r="A10896" s="1133"/>
      <c r="B10896" s="1136"/>
      <c r="C10896" s="1138"/>
    </row>
    <row r="10897" spans="1:3">
      <c r="A10897" s="1133"/>
      <c r="B10897" s="1136"/>
      <c r="C10897" s="1138"/>
    </row>
    <row r="10898" spans="1:3">
      <c r="A10898" s="1133"/>
      <c r="B10898" s="1136"/>
      <c r="C10898" s="1138"/>
    </row>
    <row r="10899" spans="1:3">
      <c r="A10899" s="1133"/>
      <c r="B10899" s="1136"/>
      <c r="C10899" s="1138"/>
    </row>
    <row r="10900" spans="1:3">
      <c r="A10900" s="1133"/>
      <c r="B10900" s="1136"/>
      <c r="C10900" s="1138"/>
    </row>
    <row r="10901" spans="1:3">
      <c r="A10901" s="1133"/>
      <c r="B10901" s="1136"/>
      <c r="C10901" s="1138"/>
    </row>
    <row r="10902" spans="1:3">
      <c r="A10902" s="1133"/>
      <c r="B10902" s="1136"/>
      <c r="C10902" s="1138"/>
    </row>
    <row r="10903" spans="1:3">
      <c r="A10903" s="1133"/>
      <c r="B10903" s="1136"/>
      <c r="C10903" s="1138"/>
    </row>
    <row r="10904" spans="1:3">
      <c r="A10904" s="1133"/>
      <c r="B10904" s="1136"/>
      <c r="C10904" s="1138"/>
    </row>
    <row r="10905" spans="1:3">
      <c r="A10905" s="1133"/>
      <c r="B10905" s="1136"/>
      <c r="C10905" s="1138"/>
    </row>
    <row r="10906" spans="1:3">
      <c r="A10906" s="1133"/>
      <c r="B10906" s="1136"/>
      <c r="C10906" s="1138"/>
    </row>
    <row r="10907" spans="1:3">
      <c r="A10907" s="1133"/>
      <c r="B10907" s="1136"/>
      <c r="C10907" s="1138"/>
    </row>
    <row r="10908" spans="1:3">
      <c r="A10908" s="1133"/>
      <c r="B10908" s="1136"/>
      <c r="C10908" s="1138"/>
    </row>
    <row r="10909" spans="1:3">
      <c r="A10909" s="1133"/>
      <c r="B10909" s="1136"/>
      <c r="C10909" s="1138"/>
    </row>
    <row r="10910" spans="1:3">
      <c r="A10910" s="1133"/>
      <c r="B10910" s="1136"/>
      <c r="C10910" s="1138"/>
    </row>
    <row r="10911" spans="1:3">
      <c r="A10911" s="1133"/>
      <c r="B10911" s="1136"/>
      <c r="C10911" s="1138"/>
    </row>
    <row r="10912" spans="1:3">
      <c r="A10912" s="1133"/>
      <c r="B10912" s="1136"/>
      <c r="C10912" s="1138"/>
    </row>
    <row r="10913" spans="1:3">
      <c r="A10913" s="1133"/>
      <c r="B10913" s="1136"/>
      <c r="C10913" s="1138"/>
    </row>
    <row r="10914" spans="1:3">
      <c r="A10914" s="1133"/>
      <c r="B10914" s="1136"/>
      <c r="C10914" s="1138"/>
    </row>
    <row r="10915" spans="1:3">
      <c r="A10915" s="1133"/>
      <c r="B10915" s="1136"/>
      <c r="C10915" s="1138"/>
    </row>
    <row r="10916" spans="1:3">
      <c r="A10916" s="1133"/>
      <c r="B10916" s="1136"/>
      <c r="C10916" s="1138"/>
    </row>
    <row r="10917" spans="1:3">
      <c r="A10917" s="1133"/>
      <c r="B10917" s="1136"/>
      <c r="C10917" s="1138"/>
    </row>
    <row r="10918" spans="1:3">
      <c r="A10918" s="1133"/>
      <c r="B10918" s="1136"/>
      <c r="C10918" s="1138"/>
    </row>
    <row r="10919" spans="1:3">
      <c r="A10919" s="1133"/>
      <c r="B10919" s="1136"/>
      <c r="C10919" s="1138"/>
    </row>
    <row r="10920" spans="1:3">
      <c r="A10920" s="1133"/>
      <c r="B10920" s="1136"/>
      <c r="C10920" s="1138"/>
    </row>
    <row r="10921" spans="1:3">
      <c r="A10921" s="1133"/>
      <c r="B10921" s="1136"/>
      <c r="C10921" s="1138"/>
    </row>
    <row r="10922" spans="1:3">
      <c r="A10922" s="1133"/>
      <c r="B10922" s="1136"/>
      <c r="C10922" s="1138"/>
    </row>
    <row r="10923" spans="1:3">
      <c r="A10923" s="1133"/>
      <c r="B10923" s="1136"/>
      <c r="C10923" s="1138"/>
    </row>
    <row r="10924" spans="1:3">
      <c r="A10924" s="1133"/>
      <c r="B10924" s="1136"/>
      <c r="C10924" s="1138"/>
    </row>
    <row r="10925" spans="1:3">
      <c r="A10925" s="1133"/>
      <c r="B10925" s="1136"/>
      <c r="C10925" s="1138"/>
    </row>
    <row r="10926" spans="1:3">
      <c r="A10926" s="1133"/>
      <c r="B10926" s="1136"/>
      <c r="C10926" s="1138"/>
    </row>
    <row r="10927" spans="1:3">
      <c r="A10927" s="1133"/>
      <c r="B10927" s="1136"/>
      <c r="C10927" s="1138"/>
    </row>
    <row r="10928" spans="1:3">
      <c r="A10928" s="1133"/>
      <c r="B10928" s="1136"/>
      <c r="C10928" s="1138"/>
    </row>
    <row r="10929" spans="1:3">
      <c r="A10929" s="1133"/>
      <c r="B10929" s="1136"/>
      <c r="C10929" s="1138"/>
    </row>
    <row r="10930" spans="1:3">
      <c r="A10930" s="1133"/>
      <c r="B10930" s="1136"/>
      <c r="C10930" s="1138"/>
    </row>
    <row r="10931" spans="1:3">
      <c r="A10931" s="1133"/>
      <c r="B10931" s="1136"/>
      <c r="C10931" s="1138"/>
    </row>
    <row r="10932" spans="1:3">
      <c r="A10932" s="1133"/>
      <c r="B10932" s="1136"/>
      <c r="C10932" s="1138"/>
    </row>
    <row r="10933" spans="1:3">
      <c r="A10933" s="1133"/>
      <c r="B10933" s="1136"/>
      <c r="C10933" s="1138"/>
    </row>
    <row r="10934" spans="1:3">
      <c r="A10934" s="1133"/>
      <c r="B10934" s="1136"/>
      <c r="C10934" s="1138"/>
    </row>
    <row r="10935" spans="1:3">
      <c r="A10935" s="1133"/>
      <c r="B10935" s="1136"/>
      <c r="C10935" s="1138"/>
    </row>
    <row r="10936" spans="1:3">
      <c r="A10936" s="1133"/>
      <c r="B10936" s="1136"/>
      <c r="C10936" s="1138"/>
    </row>
    <row r="10937" spans="1:3">
      <c r="A10937" s="1133"/>
      <c r="B10937" s="1136"/>
      <c r="C10937" s="1138"/>
    </row>
    <row r="10938" spans="1:3">
      <c r="A10938" s="1133"/>
      <c r="B10938" s="1136"/>
      <c r="C10938" s="1138"/>
    </row>
    <row r="10939" spans="1:3">
      <c r="A10939" s="1133"/>
      <c r="B10939" s="1136"/>
      <c r="C10939" s="1138"/>
    </row>
    <row r="10940" spans="1:3">
      <c r="A10940" s="1133"/>
      <c r="B10940" s="1136"/>
      <c r="C10940" s="1138"/>
    </row>
    <row r="10941" spans="1:3">
      <c r="A10941" s="1133"/>
      <c r="B10941" s="1136"/>
      <c r="C10941" s="1138"/>
    </row>
    <row r="10942" spans="1:3">
      <c r="A10942" s="1133"/>
      <c r="B10942" s="1136"/>
      <c r="C10942" s="1138"/>
    </row>
    <row r="10943" spans="1:3">
      <c r="A10943" s="1133"/>
      <c r="B10943" s="1136"/>
      <c r="C10943" s="1138"/>
    </row>
    <row r="10944" spans="1:3">
      <c r="A10944" s="1133"/>
      <c r="B10944" s="1136"/>
      <c r="C10944" s="1138"/>
    </row>
    <row r="10945" spans="1:3">
      <c r="A10945" s="1133"/>
      <c r="B10945" s="1136"/>
      <c r="C10945" s="1138"/>
    </row>
    <row r="10946" spans="1:3">
      <c r="A10946" s="1133"/>
      <c r="B10946" s="1136"/>
      <c r="C10946" s="1138"/>
    </row>
    <row r="10947" spans="1:3">
      <c r="A10947" s="1133"/>
      <c r="B10947" s="1136"/>
      <c r="C10947" s="1138"/>
    </row>
    <row r="10948" spans="1:3">
      <c r="A10948" s="1133"/>
      <c r="B10948" s="1136"/>
      <c r="C10948" s="1138"/>
    </row>
    <row r="10949" spans="1:3">
      <c r="A10949" s="1133"/>
      <c r="B10949" s="1136"/>
      <c r="C10949" s="1138"/>
    </row>
    <row r="10950" spans="1:3">
      <c r="A10950" s="1133"/>
      <c r="B10950" s="1136"/>
      <c r="C10950" s="1138"/>
    </row>
    <row r="10951" spans="1:3">
      <c r="A10951" s="1133"/>
      <c r="B10951" s="1136"/>
      <c r="C10951" s="1138"/>
    </row>
    <row r="10952" spans="1:3">
      <c r="A10952" s="1133"/>
      <c r="B10952" s="1136"/>
      <c r="C10952" s="1138"/>
    </row>
    <row r="10953" spans="1:3">
      <c r="A10953" s="1133"/>
      <c r="B10953" s="1136"/>
      <c r="C10953" s="1138"/>
    </row>
    <row r="10954" spans="1:3">
      <c r="A10954" s="1133"/>
      <c r="B10954" s="1136"/>
      <c r="C10954" s="1138"/>
    </row>
    <row r="10955" spans="1:3">
      <c r="A10955" s="1133"/>
      <c r="B10955" s="1136"/>
      <c r="C10955" s="1138"/>
    </row>
    <row r="10956" spans="1:3">
      <c r="A10956" s="1133"/>
      <c r="B10956" s="1136"/>
      <c r="C10956" s="1138"/>
    </row>
    <row r="10957" spans="1:3">
      <c r="A10957" s="1133"/>
      <c r="B10957" s="1136"/>
      <c r="C10957" s="1138"/>
    </row>
    <row r="10958" spans="1:3">
      <c r="A10958" s="1133"/>
      <c r="B10958" s="1136"/>
      <c r="C10958" s="1138"/>
    </row>
    <row r="10959" spans="1:3">
      <c r="A10959" s="1133"/>
      <c r="B10959" s="1136"/>
      <c r="C10959" s="1138"/>
    </row>
    <row r="10960" spans="1:3">
      <c r="A10960" s="1133"/>
      <c r="B10960" s="1136"/>
      <c r="C10960" s="1138"/>
    </row>
    <row r="10961" spans="1:3">
      <c r="A10961" s="1133"/>
      <c r="B10961" s="1136"/>
      <c r="C10961" s="1138"/>
    </row>
    <row r="10962" spans="1:3">
      <c r="A10962" s="1133"/>
      <c r="B10962" s="1136"/>
      <c r="C10962" s="1138"/>
    </row>
    <row r="10963" spans="1:3">
      <c r="A10963" s="1133"/>
      <c r="B10963" s="1136"/>
      <c r="C10963" s="1138"/>
    </row>
    <row r="10964" spans="1:3">
      <c r="A10964" s="1133"/>
      <c r="B10964" s="1136"/>
      <c r="C10964" s="1138"/>
    </row>
    <row r="10965" spans="1:3">
      <c r="A10965" s="1133"/>
      <c r="B10965" s="1136"/>
      <c r="C10965" s="1138"/>
    </row>
    <row r="10966" spans="1:3">
      <c r="A10966" s="1133"/>
      <c r="B10966" s="1136"/>
      <c r="C10966" s="1138"/>
    </row>
    <row r="10967" spans="1:3">
      <c r="A10967" s="1133"/>
      <c r="B10967" s="1136"/>
      <c r="C10967" s="1138"/>
    </row>
    <row r="10968" spans="1:3">
      <c r="A10968" s="1133"/>
      <c r="B10968" s="1136"/>
      <c r="C10968" s="1138"/>
    </row>
    <row r="10969" spans="1:3">
      <c r="A10969" s="1133"/>
      <c r="B10969" s="1136"/>
      <c r="C10969" s="1138"/>
    </row>
    <row r="10970" spans="1:3">
      <c r="A10970" s="1133"/>
      <c r="B10970" s="1136"/>
      <c r="C10970" s="1138"/>
    </row>
    <row r="10971" spans="1:3">
      <c r="A10971" s="1133"/>
      <c r="B10971" s="1136"/>
      <c r="C10971" s="1138"/>
    </row>
    <row r="10972" spans="1:3">
      <c r="A10972" s="1133"/>
      <c r="B10972" s="1136"/>
      <c r="C10972" s="1138"/>
    </row>
    <row r="10973" spans="1:3">
      <c r="A10973" s="1133"/>
      <c r="B10973" s="1136"/>
      <c r="C10973" s="1138"/>
    </row>
    <row r="10974" spans="1:3">
      <c r="A10974" s="1133"/>
      <c r="B10974" s="1136"/>
      <c r="C10974" s="1138"/>
    </row>
    <row r="10975" spans="1:3">
      <c r="A10975" s="1133"/>
      <c r="B10975" s="1136"/>
      <c r="C10975" s="1138"/>
    </row>
    <row r="10976" spans="1:3">
      <c r="A10976" s="1133"/>
      <c r="B10976" s="1136"/>
      <c r="C10976" s="1138"/>
    </row>
    <row r="10977" spans="1:3">
      <c r="A10977" s="1133"/>
      <c r="B10977" s="1136"/>
      <c r="C10977" s="1138"/>
    </row>
    <row r="10978" spans="1:3">
      <c r="A10978" s="1133"/>
      <c r="B10978" s="1136"/>
      <c r="C10978" s="1138"/>
    </row>
    <row r="10979" spans="1:3">
      <c r="A10979" s="1133"/>
      <c r="B10979" s="1136"/>
      <c r="C10979" s="1138"/>
    </row>
    <row r="10980" spans="1:3">
      <c r="A10980" s="1133"/>
      <c r="B10980" s="1136"/>
      <c r="C10980" s="1138"/>
    </row>
    <row r="10981" spans="1:3">
      <c r="A10981" s="1133"/>
      <c r="B10981" s="1136"/>
      <c r="C10981" s="1138"/>
    </row>
    <row r="10982" spans="1:3">
      <c r="A10982" s="1133"/>
      <c r="B10982" s="1136"/>
      <c r="C10982" s="1138"/>
    </row>
    <row r="10983" spans="1:3">
      <c r="A10983" s="1133"/>
      <c r="B10983" s="1136"/>
      <c r="C10983" s="1138"/>
    </row>
    <row r="10984" spans="1:3">
      <c r="A10984" s="1133"/>
      <c r="B10984" s="1136"/>
      <c r="C10984" s="1138"/>
    </row>
    <row r="10985" spans="1:3">
      <c r="A10985" s="1133"/>
      <c r="B10985" s="1136"/>
      <c r="C10985" s="1138"/>
    </row>
    <row r="10986" spans="1:3">
      <c r="A10986" s="1133"/>
      <c r="B10986" s="1136"/>
      <c r="C10986" s="1138"/>
    </row>
    <row r="10987" spans="1:3">
      <c r="A10987" s="1133"/>
      <c r="B10987" s="1136"/>
      <c r="C10987" s="1138"/>
    </row>
    <row r="10988" spans="1:3">
      <c r="A10988" s="1133"/>
      <c r="B10988" s="1136"/>
      <c r="C10988" s="1138"/>
    </row>
    <row r="10989" spans="1:3">
      <c r="A10989" s="1133"/>
      <c r="B10989" s="1136"/>
      <c r="C10989" s="1138"/>
    </row>
    <row r="10990" spans="1:3">
      <c r="A10990" s="1133"/>
      <c r="B10990" s="1136"/>
      <c r="C10990" s="1138"/>
    </row>
    <row r="10991" spans="1:3">
      <c r="A10991" s="1133"/>
      <c r="B10991" s="1136"/>
      <c r="C10991" s="1138"/>
    </row>
    <row r="10992" spans="1:3">
      <c r="A10992" s="1133"/>
      <c r="B10992" s="1136"/>
      <c r="C10992" s="1138"/>
    </row>
    <row r="10993" spans="1:3">
      <c r="A10993" s="1133"/>
      <c r="B10993" s="1136"/>
      <c r="C10993" s="1138"/>
    </row>
    <row r="10994" spans="1:3">
      <c r="A10994" s="1133"/>
      <c r="B10994" s="1136"/>
      <c r="C10994" s="1138"/>
    </row>
    <row r="10995" spans="1:3">
      <c r="A10995" s="1133"/>
      <c r="B10995" s="1136"/>
      <c r="C10995" s="1138"/>
    </row>
    <row r="10996" spans="1:3">
      <c r="A10996" s="1133"/>
      <c r="B10996" s="1136"/>
      <c r="C10996" s="1138"/>
    </row>
    <row r="10997" spans="1:3">
      <c r="A10997" s="1133"/>
      <c r="B10997" s="1136"/>
      <c r="C10997" s="1138"/>
    </row>
    <row r="10998" spans="1:3">
      <c r="A10998" s="1133"/>
      <c r="B10998" s="1136"/>
      <c r="C10998" s="1138"/>
    </row>
    <row r="10999" spans="1:3">
      <c r="A10999" s="1133"/>
      <c r="B10999" s="1136"/>
      <c r="C10999" s="1138"/>
    </row>
    <row r="11000" spans="1:3">
      <c r="A11000" s="1133"/>
      <c r="B11000" s="1136"/>
      <c r="C11000" s="1138"/>
    </row>
    <row r="11001" spans="1:3">
      <c r="A11001" s="1133"/>
      <c r="B11001" s="1136"/>
      <c r="C11001" s="1138"/>
    </row>
    <row r="11002" spans="1:3">
      <c r="A11002" s="1133"/>
      <c r="B11002" s="1136"/>
      <c r="C11002" s="1138"/>
    </row>
    <row r="11003" spans="1:3">
      <c r="A11003" s="1133"/>
      <c r="B11003" s="1136"/>
      <c r="C11003" s="1138"/>
    </row>
    <row r="11004" spans="1:3">
      <c r="A11004" s="1133"/>
      <c r="B11004" s="1136"/>
      <c r="C11004" s="1138"/>
    </row>
    <row r="11005" spans="1:3">
      <c r="A11005" s="1133"/>
      <c r="B11005" s="1136"/>
      <c r="C11005" s="1138"/>
    </row>
    <row r="11006" spans="1:3">
      <c r="A11006" s="1133"/>
      <c r="B11006" s="1136"/>
      <c r="C11006" s="1138"/>
    </row>
    <row r="11007" spans="1:3">
      <c r="A11007" s="1133"/>
      <c r="B11007" s="1136"/>
      <c r="C11007" s="1138"/>
    </row>
    <row r="11008" spans="1:3">
      <c r="A11008" s="1133"/>
      <c r="B11008" s="1136"/>
      <c r="C11008" s="1138"/>
    </row>
    <row r="11009" spans="1:3">
      <c r="A11009" s="1133"/>
      <c r="B11009" s="1136"/>
      <c r="C11009" s="1138"/>
    </row>
    <row r="11010" spans="1:3">
      <c r="A11010" s="1133"/>
      <c r="B11010" s="1136"/>
      <c r="C11010" s="1138"/>
    </row>
    <row r="11011" spans="1:3">
      <c r="A11011" s="1133"/>
      <c r="B11011" s="1136"/>
      <c r="C11011" s="1138"/>
    </row>
    <row r="11012" spans="1:3">
      <c r="A11012" s="1133"/>
      <c r="B11012" s="1136"/>
      <c r="C11012" s="1138"/>
    </row>
    <row r="11013" spans="1:3">
      <c r="A11013" s="1133"/>
      <c r="B11013" s="1136"/>
      <c r="C11013" s="1138"/>
    </row>
    <row r="11014" spans="1:3">
      <c r="A11014" s="1133"/>
      <c r="B11014" s="1136"/>
      <c r="C11014" s="1138"/>
    </row>
    <row r="11015" spans="1:3">
      <c r="A11015" s="1133"/>
      <c r="B11015" s="1136"/>
      <c r="C11015" s="1138"/>
    </row>
    <row r="11016" spans="1:3">
      <c r="A11016" s="1133"/>
      <c r="B11016" s="1136"/>
      <c r="C11016" s="1138"/>
    </row>
    <row r="11017" spans="1:3">
      <c r="A11017" s="1133"/>
      <c r="B11017" s="1136"/>
      <c r="C11017" s="1138"/>
    </row>
    <row r="11018" spans="1:3">
      <c r="A11018" s="1133"/>
      <c r="B11018" s="1136"/>
      <c r="C11018" s="1138"/>
    </row>
    <row r="11019" spans="1:3">
      <c r="A11019" s="1133"/>
      <c r="B11019" s="1136"/>
      <c r="C11019" s="1138"/>
    </row>
    <row r="11020" spans="1:3">
      <c r="A11020" s="1133"/>
      <c r="B11020" s="1136"/>
      <c r="C11020" s="1138"/>
    </row>
    <row r="11021" spans="1:3">
      <c r="A11021" s="1133"/>
      <c r="B11021" s="1136"/>
      <c r="C11021" s="1138"/>
    </row>
    <row r="11022" spans="1:3">
      <c r="A11022" s="1133"/>
      <c r="B11022" s="1136"/>
      <c r="C11022" s="1138"/>
    </row>
    <row r="11023" spans="1:3">
      <c r="A11023" s="1133"/>
      <c r="B11023" s="1136"/>
      <c r="C11023" s="1138"/>
    </row>
    <row r="11024" spans="1:3">
      <c r="A11024" s="1133"/>
      <c r="B11024" s="1136"/>
      <c r="C11024" s="1138"/>
    </row>
    <row r="11025" spans="1:3">
      <c r="A11025" s="1133"/>
      <c r="B11025" s="1136"/>
      <c r="C11025" s="1138"/>
    </row>
    <row r="11026" spans="1:3">
      <c r="A11026" s="1133"/>
      <c r="B11026" s="1136"/>
      <c r="C11026" s="1138"/>
    </row>
    <row r="11027" spans="1:3">
      <c r="A11027" s="1133"/>
      <c r="B11027" s="1136"/>
      <c r="C11027" s="1138"/>
    </row>
    <row r="11028" spans="1:3">
      <c r="A11028" s="1133"/>
      <c r="B11028" s="1136"/>
      <c r="C11028" s="1138"/>
    </row>
    <row r="11029" spans="1:3">
      <c r="A11029" s="1133"/>
      <c r="B11029" s="1136"/>
      <c r="C11029" s="1138"/>
    </row>
    <row r="11030" spans="1:3">
      <c r="A11030" s="1133"/>
      <c r="B11030" s="1136"/>
      <c r="C11030" s="1138"/>
    </row>
    <row r="11031" spans="1:3">
      <c r="A11031" s="1133"/>
      <c r="B11031" s="1136"/>
      <c r="C11031" s="1138"/>
    </row>
    <row r="11032" spans="1:3">
      <c r="A11032" s="1133"/>
      <c r="B11032" s="1136"/>
      <c r="C11032" s="1138"/>
    </row>
    <row r="11033" spans="1:3">
      <c r="A11033" s="1133"/>
      <c r="B11033" s="1136"/>
      <c r="C11033" s="1138"/>
    </row>
    <row r="11034" spans="1:3">
      <c r="A11034" s="1133"/>
      <c r="B11034" s="1136"/>
      <c r="C11034" s="1138"/>
    </row>
    <row r="11035" spans="1:3">
      <c r="A11035" s="1133"/>
      <c r="B11035" s="1136"/>
      <c r="C11035" s="1138"/>
    </row>
    <row r="11036" spans="1:3">
      <c r="A11036" s="1133"/>
      <c r="B11036" s="1136"/>
      <c r="C11036" s="1138"/>
    </row>
    <row r="11037" spans="1:3">
      <c r="A11037" s="1133"/>
      <c r="B11037" s="1136"/>
      <c r="C11037" s="1138"/>
    </row>
    <row r="11038" spans="1:3">
      <c r="A11038" s="1133"/>
      <c r="B11038" s="1136"/>
      <c r="C11038" s="1138"/>
    </row>
    <row r="11039" spans="1:3">
      <c r="A11039" s="1133"/>
      <c r="B11039" s="1136"/>
      <c r="C11039" s="1138"/>
    </row>
    <row r="11040" spans="1:3">
      <c r="A11040" s="1133"/>
      <c r="B11040" s="1136"/>
      <c r="C11040" s="1138"/>
    </row>
    <row r="11041" spans="1:3">
      <c r="A11041" s="1133"/>
      <c r="B11041" s="1136"/>
      <c r="C11041" s="1138"/>
    </row>
    <row r="11042" spans="1:3">
      <c r="A11042" s="1133"/>
      <c r="B11042" s="1136"/>
      <c r="C11042" s="1138"/>
    </row>
    <row r="11043" spans="1:3">
      <c r="A11043" s="1133"/>
      <c r="B11043" s="1136"/>
      <c r="C11043" s="1138"/>
    </row>
    <row r="11044" spans="1:3">
      <c r="A11044" s="1133"/>
      <c r="B11044" s="1136"/>
      <c r="C11044" s="1138"/>
    </row>
    <row r="11045" spans="1:3">
      <c r="A11045" s="1133"/>
      <c r="B11045" s="1136"/>
      <c r="C11045" s="1138"/>
    </row>
    <row r="11046" spans="1:3">
      <c r="A11046" s="1133"/>
      <c r="B11046" s="1136"/>
      <c r="C11046" s="1138"/>
    </row>
    <row r="11047" spans="1:3">
      <c r="A11047" s="1133"/>
      <c r="B11047" s="1136"/>
      <c r="C11047" s="1138"/>
    </row>
    <row r="11048" spans="1:3">
      <c r="A11048" s="1133"/>
      <c r="B11048" s="1136"/>
      <c r="C11048" s="1138"/>
    </row>
    <row r="11049" spans="1:3">
      <c r="A11049" s="1133"/>
      <c r="B11049" s="1136"/>
      <c r="C11049" s="1138"/>
    </row>
    <row r="11050" spans="1:3">
      <c r="A11050" s="1133"/>
      <c r="B11050" s="1136"/>
      <c r="C11050" s="1138"/>
    </row>
    <row r="11051" spans="1:3">
      <c r="A11051" s="1133"/>
      <c r="B11051" s="1136"/>
      <c r="C11051" s="1138"/>
    </row>
    <row r="11052" spans="1:3">
      <c r="A11052" s="1133"/>
      <c r="B11052" s="1136"/>
      <c r="C11052" s="1138"/>
    </row>
    <row r="11053" spans="1:3">
      <c r="A11053" s="1133"/>
      <c r="B11053" s="1136"/>
      <c r="C11053" s="1138"/>
    </row>
    <row r="11054" spans="1:3">
      <c r="A11054" s="1133"/>
      <c r="B11054" s="1136"/>
      <c r="C11054" s="1138"/>
    </row>
    <row r="11055" spans="1:3">
      <c r="A11055" s="1133"/>
      <c r="B11055" s="1136"/>
      <c r="C11055" s="1138"/>
    </row>
    <row r="11056" spans="1:3">
      <c r="A11056" s="1133"/>
      <c r="B11056" s="1136"/>
      <c r="C11056" s="1138"/>
    </row>
    <row r="11057" spans="1:3">
      <c r="A11057" s="1133"/>
      <c r="B11057" s="1136"/>
      <c r="C11057" s="1138"/>
    </row>
    <row r="11058" spans="1:3">
      <c r="A11058" s="1133"/>
      <c r="B11058" s="1136"/>
      <c r="C11058" s="1138"/>
    </row>
    <row r="11059" spans="1:3">
      <c r="A11059" s="1133"/>
      <c r="B11059" s="1136"/>
      <c r="C11059" s="1138"/>
    </row>
    <row r="11060" spans="1:3">
      <c r="A11060" s="1133"/>
      <c r="B11060" s="1136"/>
      <c r="C11060" s="1138"/>
    </row>
    <row r="11061" spans="1:3">
      <c r="A11061" s="1133"/>
      <c r="B11061" s="1136"/>
      <c r="C11061" s="1138"/>
    </row>
    <row r="11062" spans="1:3">
      <c r="A11062" s="1133"/>
      <c r="B11062" s="1136"/>
      <c r="C11062" s="1138"/>
    </row>
    <row r="11063" spans="1:3">
      <c r="A11063" s="1133"/>
      <c r="B11063" s="1136"/>
      <c r="C11063" s="1138"/>
    </row>
    <row r="11064" spans="1:3">
      <c r="A11064" s="1133"/>
      <c r="B11064" s="1136"/>
      <c r="C11064" s="1138"/>
    </row>
    <row r="11065" spans="1:3">
      <c r="A11065" s="1133"/>
      <c r="B11065" s="1136"/>
      <c r="C11065" s="1138"/>
    </row>
    <row r="11066" spans="1:3">
      <c r="A11066" s="1133"/>
      <c r="B11066" s="1136"/>
      <c r="C11066" s="1138"/>
    </row>
    <row r="11067" spans="1:3">
      <c r="A11067" s="1133"/>
      <c r="B11067" s="1136"/>
      <c r="C11067" s="1138"/>
    </row>
    <row r="11068" spans="1:3">
      <c r="A11068" s="1133"/>
      <c r="B11068" s="1136"/>
      <c r="C11068" s="1138"/>
    </row>
    <row r="11069" spans="1:3">
      <c r="A11069" s="1133"/>
      <c r="B11069" s="1136"/>
      <c r="C11069" s="1138"/>
    </row>
    <row r="11070" spans="1:3">
      <c r="A11070" s="1133"/>
      <c r="B11070" s="1136"/>
      <c r="C11070" s="1138"/>
    </row>
    <row r="11071" spans="1:3">
      <c r="A11071" s="1133"/>
      <c r="B11071" s="1136"/>
      <c r="C11071" s="1138"/>
    </row>
    <row r="11072" spans="1:3">
      <c r="A11072" s="1133"/>
      <c r="B11072" s="1136"/>
      <c r="C11072" s="1138"/>
    </row>
    <row r="11073" spans="1:3">
      <c r="A11073" s="1133"/>
      <c r="B11073" s="1136"/>
      <c r="C11073" s="1138"/>
    </row>
    <row r="11074" spans="1:3">
      <c r="A11074" s="1133"/>
      <c r="B11074" s="1136"/>
      <c r="C11074" s="1138"/>
    </row>
    <row r="11075" spans="1:3">
      <c r="A11075" s="1133"/>
      <c r="B11075" s="1136"/>
      <c r="C11075" s="1138"/>
    </row>
    <row r="11076" spans="1:3">
      <c r="A11076" s="1133"/>
      <c r="B11076" s="1136"/>
      <c r="C11076" s="1138"/>
    </row>
    <row r="11077" spans="1:3">
      <c r="A11077" s="1133"/>
      <c r="B11077" s="1136"/>
      <c r="C11077" s="1138"/>
    </row>
    <row r="11078" spans="1:3">
      <c r="A11078" s="1133"/>
      <c r="B11078" s="1136"/>
      <c r="C11078" s="1138"/>
    </row>
    <row r="11079" spans="1:3">
      <c r="A11079" s="1133"/>
      <c r="B11079" s="1136"/>
      <c r="C11079" s="1138"/>
    </row>
    <row r="11080" spans="1:3">
      <c r="A11080" s="1133"/>
      <c r="B11080" s="1136"/>
      <c r="C11080" s="1138"/>
    </row>
    <row r="11081" spans="1:3">
      <c r="A11081" s="1133"/>
      <c r="B11081" s="1136"/>
      <c r="C11081" s="1138"/>
    </row>
    <row r="11082" spans="1:3">
      <c r="A11082" s="1133"/>
      <c r="B11082" s="1136"/>
      <c r="C11082" s="1138"/>
    </row>
    <row r="11083" spans="1:3">
      <c r="A11083" s="1133"/>
      <c r="B11083" s="1136"/>
      <c r="C11083" s="1138"/>
    </row>
    <row r="11084" spans="1:3">
      <c r="A11084" s="1133"/>
      <c r="B11084" s="1136"/>
      <c r="C11084" s="1138"/>
    </row>
    <row r="11085" spans="1:3">
      <c r="A11085" s="1133"/>
      <c r="B11085" s="1136"/>
      <c r="C11085" s="1138"/>
    </row>
    <row r="11086" spans="1:3">
      <c r="A11086" s="1133"/>
      <c r="B11086" s="1136"/>
      <c r="C11086" s="1138"/>
    </row>
    <row r="11087" spans="1:3">
      <c r="A11087" s="1133"/>
      <c r="B11087" s="1136"/>
      <c r="C11087" s="1138"/>
    </row>
    <row r="11088" spans="1:3">
      <c r="A11088" s="1133"/>
      <c r="B11088" s="1136"/>
      <c r="C11088" s="1138"/>
    </row>
    <row r="11089" spans="1:3">
      <c r="A11089" s="1133"/>
      <c r="B11089" s="1136"/>
      <c r="C11089" s="1138"/>
    </row>
    <row r="11090" spans="1:3">
      <c r="A11090" s="1133"/>
      <c r="B11090" s="1136"/>
      <c r="C11090" s="1138"/>
    </row>
    <row r="11091" spans="1:3">
      <c r="A11091" s="1133"/>
      <c r="B11091" s="1136"/>
      <c r="C11091" s="1138"/>
    </row>
    <row r="11092" spans="1:3">
      <c r="A11092" s="1133"/>
      <c r="B11092" s="1136"/>
      <c r="C11092" s="1138"/>
    </row>
    <row r="11093" spans="1:3">
      <c r="A11093" s="1133"/>
      <c r="B11093" s="1136"/>
      <c r="C11093" s="1138"/>
    </row>
    <row r="11094" spans="1:3">
      <c r="A11094" s="1133"/>
      <c r="B11094" s="1136"/>
      <c r="C11094" s="1138"/>
    </row>
    <row r="11095" spans="1:3">
      <c r="A11095" s="1133"/>
      <c r="B11095" s="1136"/>
      <c r="C11095" s="1138"/>
    </row>
    <row r="11096" spans="1:3">
      <c r="A11096" s="1133"/>
      <c r="B11096" s="1136"/>
      <c r="C11096" s="1138"/>
    </row>
    <row r="11097" spans="1:3">
      <c r="A11097" s="1133"/>
      <c r="B11097" s="1136"/>
      <c r="C11097" s="1138"/>
    </row>
    <row r="11098" spans="1:3">
      <c r="A11098" s="1133"/>
      <c r="B11098" s="1136"/>
      <c r="C11098" s="1138"/>
    </row>
    <row r="11099" spans="1:3">
      <c r="A11099" s="1133"/>
      <c r="B11099" s="1136"/>
      <c r="C11099" s="1138"/>
    </row>
    <row r="11100" spans="1:3">
      <c r="A11100" s="1133"/>
      <c r="B11100" s="1136"/>
      <c r="C11100" s="1138"/>
    </row>
    <row r="11101" spans="1:3">
      <c r="A11101" s="1133"/>
      <c r="B11101" s="1136"/>
      <c r="C11101" s="1138"/>
    </row>
    <row r="11102" spans="1:3">
      <c r="A11102" s="1133"/>
      <c r="B11102" s="1136"/>
      <c r="C11102" s="1138"/>
    </row>
    <row r="11103" spans="1:3">
      <c r="A11103" s="1133"/>
      <c r="B11103" s="1136"/>
      <c r="C11103" s="1138"/>
    </row>
    <row r="11104" spans="1:3">
      <c r="A11104" s="1133"/>
      <c r="B11104" s="1136"/>
      <c r="C11104" s="1138"/>
    </row>
    <row r="11105" spans="1:3">
      <c r="A11105" s="1133"/>
      <c r="B11105" s="1136"/>
      <c r="C11105" s="1138"/>
    </row>
    <row r="11106" spans="1:3">
      <c r="A11106" s="1133"/>
      <c r="B11106" s="1136"/>
      <c r="C11106" s="1138"/>
    </row>
    <row r="11107" spans="1:3">
      <c r="A11107" s="1133"/>
      <c r="B11107" s="1136"/>
      <c r="C11107" s="1138"/>
    </row>
    <row r="11108" spans="1:3">
      <c r="A11108" s="1133"/>
      <c r="B11108" s="1136"/>
      <c r="C11108" s="1138"/>
    </row>
    <row r="11109" spans="1:3">
      <c r="A11109" s="1133"/>
      <c r="B11109" s="1136"/>
      <c r="C11109" s="1138"/>
    </row>
    <row r="11110" spans="1:3">
      <c r="A11110" s="1133"/>
      <c r="B11110" s="1136"/>
      <c r="C11110" s="1138"/>
    </row>
    <row r="11111" spans="1:3">
      <c r="A11111" s="1133"/>
      <c r="B11111" s="1136"/>
      <c r="C11111" s="1138"/>
    </row>
    <row r="11112" spans="1:3">
      <c r="A11112" s="1133"/>
      <c r="B11112" s="1136"/>
      <c r="C11112" s="1138"/>
    </row>
    <row r="11113" spans="1:3">
      <c r="A11113" s="1133"/>
      <c r="B11113" s="1136"/>
      <c r="C11113" s="1138"/>
    </row>
    <row r="11114" spans="1:3">
      <c r="A11114" s="1133"/>
      <c r="B11114" s="1136"/>
      <c r="C11114" s="1138"/>
    </row>
    <row r="11115" spans="1:3">
      <c r="A11115" s="1133"/>
      <c r="B11115" s="1136"/>
      <c r="C11115" s="1138"/>
    </row>
    <row r="11116" spans="1:3">
      <c r="A11116" s="1133"/>
      <c r="B11116" s="1136"/>
      <c r="C11116" s="1138"/>
    </row>
    <row r="11117" spans="1:3">
      <c r="A11117" s="1133"/>
      <c r="B11117" s="1136"/>
      <c r="C11117" s="1138"/>
    </row>
    <row r="11118" spans="1:3">
      <c r="A11118" s="1133"/>
      <c r="B11118" s="1136"/>
      <c r="C11118" s="1138"/>
    </row>
    <row r="11119" spans="1:3">
      <c r="A11119" s="1133"/>
      <c r="B11119" s="1136"/>
      <c r="C11119" s="1138"/>
    </row>
    <row r="11120" spans="1:3">
      <c r="A11120" s="1133"/>
      <c r="B11120" s="1136"/>
      <c r="C11120" s="1138"/>
    </row>
    <row r="11121" spans="1:3">
      <c r="A11121" s="1133"/>
      <c r="B11121" s="1136"/>
      <c r="C11121" s="1138"/>
    </row>
    <row r="11122" spans="1:3">
      <c r="A11122" s="1133"/>
      <c r="B11122" s="1136"/>
      <c r="C11122" s="1138"/>
    </row>
    <row r="11123" spans="1:3">
      <c r="A11123" s="1133"/>
      <c r="B11123" s="1136"/>
      <c r="C11123" s="1138"/>
    </row>
    <row r="11124" spans="1:3">
      <c r="A11124" s="1133"/>
      <c r="B11124" s="1136"/>
      <c r="C11124" s="1138"/>
    </row>
    <row r="11125" spans="1:3">
      <c r="A11125" s="1133"/>
      <c r="B11125" s="1136"/>
      <c r="C11125" s="1138"/>
    </row>
    <row r="11126" spans="1:3">
      <c r="A11126" s="1133"/>
      <c r="B11126" s="1136"/>
      <c r="C11126" s="1138"/>
    </row>
    <row r="11127" spans="1:3">
      <c r="A11127" s="1133"/>
      <c r="B11127" s="1136"/>
      <c r="C11127" s="1138"/>
    </row>
    <row r="11128" spans="1:3">
      <c r="A11128" s="1133"/>
      <c r="B11128" s="1136"/>
      <c r="C11128" s="1138"/>
    </row>
    <row r="11129" spans="1:3">
      <c r="A11129" s="1133"/>
      <c r="B11129" s="1136"/>
      <c r="C11129" s="1138"/>
    </row>
    <row r="11130" spans="1:3">
      <c r="A11130" s="1133"/>
      <c r="B11130" s="1136"/>
      <c r="C11130" s="1138"/>
    </row>
    <row r="11131" spans="1:3">
      <c r="A11131" s="1133"/>
      <c r="B11131" s="1136"/>
      <c r="C11131" s="1138"/>
    </row>
    <row r="11132" spans="1:3">
      <c r="A11132" s="1133"/>
      <c r="B11132" s="1136"/>
      <c r="C11132" s="1138"/>
    </row>
    <row r="11133" spans="1:3">
      <c r="A11133" s="1133"/>
      <c r="B11133" s="1136"/>
      <c r="C11133" s="1138"/>
    </row>
    <row r="11134" spans="1:3">
      <c r="A11134" s="1133"/>
      <c r="B11134" s="1136"/>
      <c r="C11134" s="1138"/>
    </row>
    <row r="11135" spans="1:3">
      <c r="A11135" s="1133"/>
      <c r="B11135" s="1136"/>
      <c r="C11135" s="1138"/>
    </row>
    <row r="11136" spans="1:3">
      <c r="A11136" s="1133"/>
      <c r="B11136" s="1136"/>
      <c r="C11136" s="1138"/>
    </row>
    <row r="11137" spans="1:3">
      <c r="A11137" s="1133"/>
      <c r="B11137" s="1136"/>
      <c r="C11137" s="1138"/>
    </row>
    <row r="11138" spans="1:3">
      <c r="A11138" s="1133"/>
      <c r="B11138" s="1136"/>
      <c r="C11138" s="1138"/>
    </row>
    <row r="11139" spans="1:3">
      <c r="A11139" s="1133"/>
      <c r="B11139" s="1136"/>
      <c r="C11139" s="1138"/>
    </row>
    <row r="11140" spans="1:3">
      <c r="A11140" s="1133"/>
      <c r="B11140" s="1136"/>
      <c r="C11140" s="1138"/>
    </row>
    <row r="11141" spans="1:3">
      <c r="A11141" s="1133"/>
      <c r="B11141" s="1136"/>
      <c r="C11141" s="1138"/>
    </row>
    <row r="11142" spans="1:3">
      <c r="A11142" s="1133"/>
      <c r="B11142" s="1136"/>
      <c r="C11142" s="1138"/>
    </row>
    <row r="11143" spans="1:3">
      <c r="A11143" s="1133"/>
      <c r="B11143" s="1136"/>
      <c r="C11143" s="1138"/>
    </row>
    <row r="11144" spans="1:3">
      <c r="A11144" s="1133"/>
      <c r="B11144" s="1136"/>
      <c r="C11144" s="1138"/>
    </row>
    <row r="11145" spans="1:3">
      <c r="A11145" s="1133"/>
      <c r="B11145" s="1136"/>
      <c r="C11145" s="1138"/>
    </row>
    <row r="11146" spans="1:3">
      <c r="A11146" s="1133"/>
      <c r="B11146" s="1136"/>
      <c r="C11146" s="1138"/>
    </row>
    <row r="11147" spans="1:3">
      <c r="A11147" s="1133"/>
      <c r="B11147" s="1136"/>
      <c r="C11147" s="1138"/>
    </row>
    <row r="11148" spans="1:3">
      <c r="A11148" s="1133"/>
      <c r="B11148" s="1136"/>
      <c r="C11148" s="1138"/>
    </row>
    <row r="11149" spans="1:3">
      <c r="A11149" s="1133"/>
      <c r="B11149" s="1136"/>
      <c r="C11149" s="1138"/>
    </row>
    <row r="11150" spans="1:3">
      <c r="A11150" s="1133"/>
      <c r="B11150" s="1136"/>
      <c r="C11150" s="1138"/>
    </row>
    <row r="11151" spans="1:3">
      <c r="A11151" s="1133"/>
      <c r="B11151" s="1136"/>
      <c r="C11151" s="1138"/>
    </row>
    <row r="11152" spans="1:3">
      <c r="A11152" s="1133"/>
      <c r="B11152" s="1136"/>
      <c r="C11152" s="1138"/>
    </row>
    <row r="11153" spans="1:3">
      <c r="A11153" s="1133"/>
      <c r="B11153" s="1136"/>
      <c r="C11153" s="1138"/>
    </row>
    <row r="11154" spans="1:3">
      <c r="A11154" s="1133"/>
      <c r="B11154" s="1136"/>
      <c r="C11154" s="1138"/>
    </row>
    <row r="11155" spans="1:3">
      <c r="A11155" s="1133"/>
      <c r="B11155" s="1136"/>
      <c r="C11155" s="1138"/>
    </row>
    <row r="11156" spans="1:3">
      <c r="A11156" s="1133"/>
      <c r="B11156" s="1136"/>
      <c r="C11156" s="1138"/>
    </row>
    <row r="11157" spans="1:3">
      <c r="A11157" s="1133"/>
      <c r="B11157" s="1136"/>
      <c r="C11157" s="1138"/>
    </row>
    <row r="11158" spans="1:3">
      <c r="A11158" s="1133"/>
      <c r="B11158" s="1136"/>
      <c r="C11158" s="1138"/>
    </row>
    <row r="11159" spans="1:3">
      <c r="A11159" s="1133"/>
      <c r="B11159" s="1136"/>
      <c r="C11159" s="1138"/>
    </row>
    <row r="11160" spans="1:3">
      <c r="A11160" s="1133"/>
      <c r="B11160" s="1136"/>
      <c r="C11160" s="1138"/>
    </row>
    <row r="11161" spans="1:3">
      <c r="A11161" s="1133"/>
      <c r="B11161" s="1136"/>
      <c r="C11161" s="1138"/>
    </row>
    <row r="11162" spans="1:3">
      <c r="A11162" s="1133"/>
      <c r="B11162" s="1136"/>
      <c r="C11162" s="1138"/>
    </row>
    <row r="11163" spans="1:3">
      <c r="A11163" s="1133"/>
      <c r="B11163" s="1136"/>
      <c r="C11163" s="1138"/>
    </row>
    <row r="11164" spans="1:3">
      <c r="A11164" s="1133"/>
      <c r="B11164" s="1136"/>
      <c r="C11164" s="1138"/>
    </row>
    <row r="11165" spans="1:3">
      <c r="A11165" s="1133"/>
      <c r="B11165" s="1136"/>
      <c r="C11165" s="1138"/>
    </row>
    <row r="11166" spans="1:3">
      <c r="A11166" s="1133"/>
      <c r="B11166" s="1136"/>
      <c r="C11166" s="1138"/>
    </row>
    <row r="11167" spans="1:3">
      <c r="A11167" s="1133"/>
      <c r="B11167" s="1136"/>
      <c r="C11167" s="1138"/>
    </row>
    <row r="11168" spans="1:3">
      <c r="A11168" s="1133"/>
      <c r="B11168" s="1136"/>
      <c r="C11168" s="1138"/>
    </row>
    <row r="11169" spans="1:3">
      <c r="A11169" s="1133"/>
      <c r="B11169" s="1136"/>
      <c r="C11169" s="1138"/>
    </row>
    <row r="11170" spans="1:3">
      <c r="A11170" s="1133"/>
      <c r="B11170" s="1136"/>
      <c r="C11170" s="1138"/>
    </row>
    <row r="11171" spans="1:3">
      <c r="A11171" s="1133"/>
      <c r="B11171" s="1136"/>
      <c r="C11171" s="1138"/>
    </row>
    <row r="11172" spans="1:3">
      <c r="A11172" s="1133"/>
      <c r="B11172" s="1136"/>
      <c r="C11172" s="1138"/>
    </row>
    <row r="11173" spans="1:3">
      <c r="A11173" s="1133"/>
      <c r="B11173" s="1136"/>
      <c r="C11173" s="1138"/>
    </row>
    <row r="11174" spans="1:3">
      <c r="A11174" s="1133"/>
      <c r="B11174" s="1136"/>
      <c r="C11174" s="1138"/>
    </row>
    <row r="11175" spans="1:3">
      <c r="A11175" s="1133"/>
      <c r="B11175" s="1136"/>
      <c r="C11175" s="1138"/>
    </row>
    <row r="11176" spans="1:3">
      <c r="A11176" s="1133"/>
      <c r="B11176" s="1136"/>
      <c r="C11176" s="1138"/>
    </row>
    <row r="11177" spans="1:3">
      <c r="A11177" s="1133"/>
      <c r="B11177" s="1136"/>
      <c r="C11177" s="1138"/>
    </row>
    <row r="11178" spans="1:3">
      <c r="A11178" s="1133"/>
      <c r="B11178" s="1136"/>
      <c r="C11178" s="1138"/>
    </row>
    <row r="11179" spans="1:3">
      <c r="A11179" s="1133"/>
      <c r="B11179" s="1136"/>
      <c r="C11179" s="1138"/>
    </row>
    <row r="11180" spans="1:3">
      <c r="A11180" s="1133"/>
      <c r="B11180" s="1136"/>
      <c r="C11180" s="1138"/>
    </row>
    <row r="11181" spans="1:3">
      <c r="A11181" s="1133"/>
      <c r="B11181" s="1136"/>
      <c r="C11181" s="1138"/>
    </row>
    <row r="11182" spans="1:3">
      <c r="A11182" s="1133"/>
      <c r="B11182" s="1136"/>
      <c r="C11182" s="1138"/>
    </row>
    <row r="11183" spans="1:3">
      <c r="A11183" s="1133"/>
      <c r="B11183" s="1136"/>
      <c r="C11183" s="1138"/>
    </row>
    <row r="11184" spans="1:3">
      <c r="A11184" s="1133"/>
      <c r="B11184" s="1136"/>
      <c r="C11184" s="1138"/>
    </row>
    <row r="11185" spans="1:3">
      <c r="A11185" s="1133"/>
      <c r="B11185" s="1136"/>
      <c r="C11185" s="1138"/>
    </row>
    <row r="11186" spans="1:3">
      <c r="A11186" s="1133"/>
      <c r="B11186" s="1136"/>
      <c r="C11186" s="1138"/>
    </row>
    <row r="11187" spans="1:3">
      <c r="A11187" s="1133"/>
      <c r="B11187" s="1136"/>
      <c r="C11187" s="1138"/>
    </row>
    <row r="11188" spans="1:3">
      <c r="A11188" s="1133"/>
      <c r="B11188" s="1136"/>
      <c r="C11188" s="1138"/>
    </row>
    <row r="11189" spans="1:3">
      <c r="A11189" s="1133"/>
      <c r="B11189" s="1136"/>
      <c r="C11189" s="1138"/>
    </row>
    <row r="11190" spans="1:3">
      <c r="A11190" s="1133"/>
      <c r="B11190" s="1136"/>
      <c r="C11190" s="1138"/>
    </row>
    <row r="11191" spans="1:3">
      <c r="A11191" s="1133"/>
      <c r="B11191" s="1136"/>
      <c r="C11191" s="1138"/>
    </row>
    <row r="11192" spans="1:3">
      <c r="A11192" s="1133"/>
      <c r="B11192" s="1136"/>
      <c r="C11192" s="1138"/>
    </row>
    <row r="11193" spans="1:3">
      <c r="A11193" s="1133"/>
      <c r="B11193" s="1136"/>
      <c r="C11193" s="1138"/>
    </row>
    <row r="11194" spans="1:3">
      <c r="A11194" s="1133"/>
      <c r="B11194" s="1136"/>
      <c r="C11194" s="1138"/>
    </row>
    <row r="11195" spans="1:3">
      <c r="A11195" s="1133"/>
      <c r="B11195" s="1136"/>
      <c r="C11195" s="1138"/>
    </row>
    <row r="11196" spans="1:3">
      <c r="A11196" s="1133"/>
      <c r="B11196" s="1136"/>
      <c r="C11196" s="1138"/>
    </row>
    <row r="11197" spans="1:3">
      <c r="A11197" s="1133"/>
      <c r="B11197" s="1136"/>
      <c r="C11197" s="1138"/>
    </row>
    <row r="11198" spans="1:3">
      <c r="A11198" s="1133"/>
      <c r="B11198" s="1136"/>
      <c r="C11198" s="1138"/>
    </row>
    <row r="11199" spans="1:3">
      <c r="A11199" s="1133"/>
      <c r="B11199" s="1136"/>
      <c r="C11199" s="1138"/>
    </row>
    <row r="11200" spans="1:3">
      <c r="A11200" s="1133"/>
      <c r="B11200" s="1136"/>
      <c r="C11200" s="1138"/>
    </row>
    <row r="11201" spans="1:3">
      <c r="A11201" s="1133"/>
      <c r="B11201" s="1136"/>
      <c r="C11201" s="1138"/>
    </row>
    <row r="11202" spans="1:3">
      <c r="A11202" s="1133"/>
      <c r="B11202" s="1136"/>
      <c r="C11202" s="1138"/>
    </row>
    <row r="11203" spans="1:3">
      <c r="A11203" s="1133"/>
      <c r="B11203" s="1136"/>
      <c r="C11203" s="1138"/>
    </row>
    <row r="11204" spans="1:3">
      <c r="A11204" s="1133"/>
      <c r="B11204" s="1136"/>
      <c r="C11204" s="1138"/>
    </row>
    <row r="11205" spans="1:3">
      <c r="A11205" s="1133"/>
      <c r="B11205" s="1136"/>
      <c r="C11205" s="1138"/>
    </row>
    <row r="11206" spans="1:3">
      <c r="A11206" s="1133"/>
      <c r="B11206" s="1136"/>
      <c r="C11206" s="1138"/>
    </row>
    <row r="11207" spans="1:3">
      <c r="A11207" s="1133"/>
      <c r="B11207" s="1136"/>
      <c r="C11207" s="1138"/>
    </row>
    <row r="11208" spans="1:3">
      <c r="A11208" s="1133"/>
      <c r="B11208" s="1136"/>
      <c r="C11208" s="1138"/>
    </row>
    <row r="11209" spans="1:3">
      <c r="A11209" s="1133"/>
      <c r="B11209" s="1136"/>
      <c r="C11209" s="1138"/>
    </row>
    <row r="11210" spans="1:3">
      <c r="A11210" s="1133"/>
      <c r="B11210" s="1136"/>
      <c r="C11210" s="1138"/>
    </row>
    <row r="11211" spans="1:3">
      <c r="A11211" s="1133"/>
      <c r="B11211" s="1136"/>
      <c r="C11211" s="1138"/>
    </row>
    <row r="11212" spans="1:3">
      <c r="A11212" s="1133"/>
      <c r="B11212" s="1136"/>
      <c r="C11212" s="1138"/>
    </row>
    <row r="11213" spans="1:3">
      <c r="A11213" s="1133"/>
      <c r="B11213" s="1136"/>
      <c r="C11213" s="1138"/>
    </row>
    <row r="11214" spans="1:3">
      <c r="A11214" s="1133"/>
      <c r="B11214" s="1136"/>
      <c r="C11214" s="1138"/>
    </row>
    <row r="11215" spans="1:3">
      <c r="A11215" s="1133"/>
      <c r="B11215" s="1136"/>
      <c r="C11215" s="1138"/>
    </row>
    <row r="11216" spans="1:3">
      <c r="A11216" s="1133"/>
      <c r="B11216" s="1136"/>
      <c r="C11216" s="1138"/>
    </row>
    <row r="11217" spans="1:3">
      <c r="A11217" s="1133"/>
      <c r="B11217" s="1136"/>
      <c r="C11217" s="1138"/>
    </row>
    <row r="11218" spans="1:3">
      <c r="A11218" s="1133"/>
      <c r="B11218" s="1136"/>
      <c r="C11218" s="1138"/>
    </row>
    <row r="11219" spans="1:3">
      <c r="A11219" s="1133"/>
      <c r="B11219" s="1136"/>
      <c r="C11219" s="1138"/>
    </row>
    <row r="11220" spans="1:3">
      <c r="A11220" s="1133"/>
      <c r="B11220" s="1136"/>
      <c r="C11220" s="1138"/>
    </row>
    <row r="11221" spans="1:3">
      <c r="A11221" s="1133"/>
      <c r="B11221" s="1136"/>
      <c r="C11221" s="1138"/>
    </row>
    <row r="11222" spans="1:3">
      <c r="A11222" s="1133"/>
      <c r="B11222" s="1136"/>
      <c r="C11222" s="1138"/>
    </row>
    <row r="11223" spans="1:3">
      <c r="A11223" s="1133"/>
      <c r="B11223" s="1136"/>
      <c r="C11223" s="1138"/>
    </row>
    <row r="11224" spans="1:3">
      <c r="A11224" s="1133"/>
      <c r="B11224" s="1136"/>
      <c r="C11224" s="1138"/>
    </row>
    <row r="11225" spans="1:3">
      <c r="A11225" s="1133"/>
      <c r="B11225" s="1136"/>
      <c r="C11225" s="1138"/>
    </row>
    <row r="11226" spans="1:3">
      <c r="A11226" s="1133"/>
      <c r="B11226" s="1136"/>
      <c r="C11226" s="1138"/>
    </row>
    <row r="11227" spans="1:3">
      <c r="A11227" s="1133"/>
      <c r="B11227" s="1136"/>
      <c r="C11227" s="1138"/>
    </row>
    <row r="11228" spans="1:3">
      <c r="A11228" s="1133"/>
      <c r="B11228" s="1136"/>
      <c r="C11228" s="1138"/>
    </row>
    <row r="11229" spans="1:3">
      <c r="A11229" s="1133"/>
      <c r="B11229" s="1136"/>
      <c r="C11229" s="1138"/>
    </row>
    <row r="11230" spans="1:3">
      <c r="A11230" s="1133"/>
      <c r="B11230" s="1136"/>
      <c r="C11230" s="1138"/>
    </row>
    <row r="11231" spans="1:3">
      <c r="A11231" s="1133"/>
      <c r="B11231" s="1136"/>
      <c r="C11231" s="1138"/>
    </row>
    <row r="11232" spans="1:3">
      <c r="A11232" s="1133"/>
      <c r="B11232" s="1136"/>
      <c r="C11232" s="1138"/>
    </row>
    <row r="11233" spans="1:3">
      <c r="A11233" s="1133"/>
      <c r="B11233" s="1136"/>
      <c r="C11233" s="1138"/>
    </row>
    <row r="11234" spans="1:3">
      <c r="A11234" s="1133"/>
      <c r="B11234" s="1136"/>
      <c r="C11234" s="1138"/>
    </row>
    <row r="11235" spans="1:3">
      <c r="A11235" s="1133"/>
      <c r="B11235" s="1136"/>
      <c r="C11235" s="1138"/>
    </row>
    <row r="11236" spans="1:3">
      <c r="A11236" s="1133"/>
      <c r="B11236" s="1136"/>
      <c r="C11236" s="1138"/>
    </row>
    <row r="11237" spans="1:3">
      <c r="A11237" s="1133"/>
      <c r="B11237" s="1136"/>
      <c r="C11237" s="1138"/>
    </row>
    <row r="11238" spans="1:3">
      <c r="A11238" s="1133"/>
      <c r="B11238" s="1136"/>
      <c r="C11238" s="1138"/>
    </row>
    <row r="11239" spans="1:3">
      <c r="A11239" s="1133"/>
      <c r="B11239" s="1136"/>
      <c r="C11239" s="1138"/>
    </row>
    <row r="11240" spans="1:3">
      <c r="A11240" s="1133"/>
      <c r="B11240" s="1136"/>
      <c r="C11240" s="1138"/>
    </row>
    <row r="11241" spans="1:3">
      <c r="A11241" s="1133"/>
      <c r="B11241" s="1136"/>
      <c r="C11241" s="1138"/>
    </row>
    <row r="11242" spans="1:3">
      <c r="A11242" s="1133"/>
      <c r="B11242" s="1136"/>
      <c r="C11242" s="1138"/>
    </row>
    <row r="11243" spans="1:3">
      <c r="A11243" s="1133"/>
      <c r="B11243" s="1136"/>
      <c r="C11243" s="1138"/>
    </row>
    <row r="11244" spans="1:3">
      <c r="A11244" s="1133"/>
      <c r="B11244" s="1136"/>
      <c r="C11244" s="1138"/>
    </row>
    <row r="11245" spans="1:3">
      <c r="A11245" s="1133"/>
      <c r="B11245" s="1136"/>
      <c r="C11245" s="1138"/>
    </row>
    <row r="11246" spans="1:3">
      <c r="A11246" s="1133"/>
      <c r="B11246" s="1136"/>
      <c r="C11246" s="1138"/>
    </row>
    <row r="11247" spans="1:3">
      <c r="A11247" s="1133"/>
      <c r="B11247" s="1136"/>
      <c r="C11247" s="1138"/>
    </row>
    <row r="11248" spans="1:3">
      <c r="A11248" s="1133"/>
      <c r="B11248" s="1136"/>
      <c r="C11248" s="1138"/>
    </row>
    <row r="11249" spans="1:3">
      <c r="A11249" s="1133"/>
      <c r="B11249" s="1136"/>
      <c r="C11249" s="1138"/>
    </row>
    <row r="11250" spans="1:3">
      <c r="A11250" s="1133"/>
      <c r="B11250" s="1136"/>
      <c r="C11250" s="1138"/>
    </row>
    <row r="11251" spans="1:3">
      <c r="A11251" s="1133"/>
      <c r="B11251" s="1136"/>
      <c r="C11251" s="1138"/>
    </row>
    <row r="11252" spans="1:3">
      <c r="A11252" s="1133"/>
      <c r="B11252" s="1136"/>
      <c r="C11252" s="1138"/>
    </row>
    <row r="11253" spans="1:3">
      <c r="A11253" s="1133"/>
      <c r="B11253" s="1136"/>
      <c r="C11253" s="1138"/>
    </row>
    <row r="11254" spans="1:3">
      <c r="A11254" s="1133"/>
      <c r="B11254" s="1136"/>
      <c r="C11254" s="1138"/>
    </row>
    <row r="11255" spans="1:3">
      <c r="A11255" s="1133"/>
      <c r="B11255" s="1136"/>
      <c r="C11255" s="1138"/>
    </row>
    <row r="11256" spans="1:3">
      <c r="A11256" s="1133"/>
      <c r="B11256" s="1136"/>
      <c r="C11256" s="1138"/>
    </row>
    <row r="11257" spans="1:3">
      <c r="A11257" s="1133"/>
      <c r="B11257" s="1136"/>
      <c r="C11257" s="1138"/>
    </row>
    <row r="11258" spans="1:3">
      <c r="A11258" s="1133"/>
      <c r="B11258" s="1136"/>
      <c r="C11258" s="1138"/>
    </row>
    <row r="11259" spans="1:3">
      <c r="A11259" s="1133"/>
      <c r="B11259" s="1136"/>
      <c r="C11259" s="1138"/>
    </row>
    <row r="11260" spans="1:3">
      <c r="A11260" s="1133"/>
      <c r="B11260" s="1136"/>
      <c r="C11260" s="1138"/>
    </row>
    <row r="11261" spans="1:3">
      <c r="A11261" s="1133"/>
      <c r="B11261" s="1136"/>
      <c r="C11261" s="1138"/>
    </row>
    <row r="11262" spans="1:3">
      <c r="A11262" s="1133"/>
      <c r="B11262" s="1136"/>
      <c r="C11262" s="1138"/>
    </row>
    <row r="11263" spans="1:3">
      <c r="A11263" s="1133"/>
      <c r="B11263" s="1136"/>
      <c r="C11263" s="1138"/>
    </row>
    <row r="11264" spans="1:3">
      <c r="A11264" s="1133"/>
      <c r="B11264" s="1136"/>
      <c r="C11264" s="1138"/>
    </row>
    <row r="11265" spans="1:3">
      <c r="A11265" s="1133"/>
      <c r="B11265" s="1136"/>
      <c r="C11265" s="1138"/>
    </row>
    <row r="11266" spans="1:3">
      <c r="A11266" s="1133"/>
      <c r="B11266" s="1136"/>
      <c r="C11266" s="1138"/>
    </row>
    <row r="11267" spans="1:3">
      <c r="A11267" s="1133"/>
      <c r="B11267" s="1136"/>
      <c r="C11267" s="1138"/>
    </row>
    <row r="11268" spans="1:3">
      <c r="A11268" s="1133"/>
      <c r="B11268" s="1136"/>
      <c r="C11268" s="1138"/>
    </row>
    <row r="11269" spans="1:3">
      <c r="A11269" s="1133"/>
      <c r="B11269" s="1136"/>
      <c r="C11269" s="1138"/>
    </row>
    <row r="11270" spans="1:3">
      <c r="A11270" s="1133"/>
      <c r="B11270" s="1136"/>
      <c r="C11270" s="1138"/>
    </row>
    <row r="11271" spans="1:3">
      <c r="A11271" s="1133"/>
      <c r="B11271" s="1136"/>
      <c r="C11271" s="1138"/>
    </row>
    <row r="11272" spans="1:3">
      <c r="A11272" s="1133"/>
      <c r="B11272" s="1136"/>
      <c r="C11272" s="1138"/>
    </row>
    <row r="11273" spans="1:3">
      <c r="A11273" s="1133"/>
      <c r="B11273" s="1136"/>
      <c r="C11273" s="1138"/>
    </row>
    <row r="11274" spans="1:3">
      <c r="A11274" s="1133"/>
      <c r="B11274" s="1136"/>
      <c r="C11274" s="1138"/>
    </row>
    <row r="11275" spans="1:3">
      <c r="A11275" s="1133"/>
      <c r="B11275" s="1136"/>
      <c r="C11275" s="1138"/>
    </row>
    <row r="11276" spans="1:3">
      <c r="A11276" s="1133"/>
      <c r="B11276" s="1136"/>
      <c r="C11276" s="1138"/>
    </row>
    <row r="11277" spans="1:3">
      <c r="A11277" s="1133"/>
      <c r="B11277" s="1136"/>
      <c r="C11277" s="1138"/>
    </row>
    <row r="11278" spans="1:3">
      <c r="A11278" s="1133"/>
      <c r="B11278" s="1136"/>
      <c r="C11278" s="1138"/>
    </row>
    <row r="11279" spans="1:3">
      <c r="A11279" s="1133"/>
      <c r="B11279" s="1136"/>
      <c r="C11279" s="1138"/>
    </row>
    <row r="11280" spans="1:3">
      <c r="A11280" s="1133"/>
      <c r="B11280" s="1136"/>
      <c r="C11280" s="1138"/>
    </row>
    <row r="11281" spans="1:3">
      <c r="A11281" s="1133"/>
      <c r="B11281" s="1136"/>
      <c r="C11281" s="1138"/>
    </row>
    <row r="11282" spans="1:3">
      <c r="A11282" s="1133"/>
      <c r="B11282" s="1136"/>
      <c r="C11282" s="1138"/>
    </row>
    <row r="11283" spans="1:3">
      <c r="A11283" s="1133"/>
      <c r="B11283" s="1136"/>
      <c r="C11283" s="1138"/>
    </row>
    <row r="11284" spans="1:3">
      <c r="A11284" s="1133"/>
      <c r="B11284" s="1136"/>
      <c r="C11284" s="1138"/>
    </row>
    <row r="11285" spans="1:3">
      <c r="A11285" s="1133"/>
      <c r="B11285" s="1136"/>
      <c r="C11285" s="1138"/>
    </row>
    <row r="11286" spans="1:3">
      <c r="A11286" s="1133"/>
      <c r="B11286" s="1136"/>
      <c r="C11286" s="1138"/>
    </row>
    <row r="11287" spans="1:3">
      <c r="A11287" s="1133"/>
      <c r="B11287" s="1136"/>
      <c r="C11287" s="1138"/>
    </row>
    <row r="11288" spans="1:3">
      <c r="A11288" s="1133"/>
      <c r="B11288" s="1136"/>
      <c r="C11288" s="1138"/>
    </row>
    <row r="11289" spans="1:3">
      <c r="A11289" s="1133"/>
      <c r="B11289" s="1136"/>
      <c r="C11289" s="1138"/>
    </row>
    <row r="11290" spans="1:3">
      <c r="A11290" s="1133"/>
      <c r="B11290" s="1136"/>
      <c r="C11290" s="1138"/>
    </row>
    <row r="11291" spans="1:3">
      <c r="A11291" s="1133"/>
      <c r="B11291" s="1136"/>
      <c r="C11291" s="1138"/>
    </row>
    <row r="11292" spans="1:3">
      <c r="A11292" s="1133"/>
      <c r="B11292" s="1136"/>
      <c r="C11292" s="1138"/>
    </row>
    <row r="11293" spans="1:3">
      <c r="A11293" s="1133"/>
      <c r="B11293" s="1136"/>
      <c r="C11293" s="1138"/>
    </row>
    <row r="11294" spans="1:3">
      <c r="A11294" s="1133"/>
      <c r="B11294" s="1136"/>
      <c r="C11294" s="1138"/>
    </row>
    <row r="11295" spans="1:3">
      <c r="A11295" s="1133"/>
      <c r="B11295" s="1136"/>
      <c r="C11295" s="1138"/>
    </row>
    <row r="11296" spans="1:3">
      <c r="A11296" s="1133"/>
      <c r="B11296" s="1136"/>
      <c r="C11296" s="1138"/>
    </row>
    <row r="11297" spans="1:3">
      <c r="A11297" s="1133"/>
      <c r="B11297" s="1136"/>
      <c r="C11297" s="1138"/>
    </row>
    <row r="11298" spans="1:3">
      <c r="A11298" s="1133"/>
      <c r="B11298" s="1136"/>
      <c r="C11298" s="1138"/>
    </row>
    <row r="11299" spans="1:3">
      <c r="A11299" s="1133"/>
      <c r="B11299" s="1136"/>
      <c r="C11299" s="1138"/>
    </row>
    <row r="11300" spans="1:3">
      <c r="A11300" s="1133"/>
      <c r="B11300" s="1136"/>
      <c r="C11300" s="1138"/>
    </row>
    <row r="11301" spans="1:3">
      <c r="A11301" s="1133"/>
      <c r="B11301" s="1136"/>
      <c r="C11301" s="1138"/>
    </row>
    <row r="11302" spans="1:3">
      <c r="A11302" s="1133"/>
      <c r="B11302" s="1136"/>
      <c r="C11302" s="1138"/>
    </row>
    <row r="11303" spans="1:3">
      <c r="A11303" s="1133"/>
      <c r="B11303" s="1136"/>
      <c r="C11303" s="1138"/>
    </row>
    <row r="11304" spans="1:3">
      <c r="A11304" s="1133"/>
      <c r="B11304" s="1136"/>
      <c r="C11304" s="1138"/>
    </row>
    <row r="11305" spans="1:3">
      <c r="A11305" s="1133"/>
      <c r="B11305" s="1136"/>
      <c r="C11305" s="1138"/>
    </row>
    <row r="11306" spans="1:3">
      <c r="A11306" s="1133"/>
      <c r="B11306" s="1136"/>
      <c r="C11306" s="1138"/>
    </row>
    <row r="11307" spans="1:3">
      <c r="A11307" s="1133"/>
      <c r="B11307" s="1136"/>
      <c r="C11307" s="1138"/>
    </row>
    <row r="11308" spans="1:3">
      <c r="A11308" s="1133"/>
      <c r="B11308" s="1136"/>
      <c r="C11308" s="1138"/>
    </row>
    <row r="11309" spans="1:3">
      <c r="A11309" s="1133"/>
      <c r="B11309" s="1136"/>
      <c r="C11309" s="1138"/>
    </row>
    <row r="11310" spans="1:3">
      <c r="A11310" s="1133"/>
      <c r="B11310" s="1136"/>
      <c r="C11310" s="1138"/>
    </row>
    <row r="11311" spans="1:3">
      <c r="A11311" s="1133"/>
      <c r="B11311" s="1136"/>
      <c r="C11311" s="1138"/>
    </row>
    <row r="11312" spans="1:3">
      <c r="A11312" s="1133"/>
      <c r="B11312" s="1136"/>
      <c r="C11312" s="1138"/>
    </row>
    <row r="11313" spans="1:3">
      <c r="A11313" s="1133"/>
      <c r="B11313" s="1136"/>
      <c r="C11313" s="1138"/>
    </row>
    <row r="11314" spans="1:3">
      <c r="A11314" s="1133"/>
      <c r="B11314" s="1136"/>
      <c r="C11314" s="1138"/>
    </row>
    <row r="11315" spans="1:3">
      <c r="A11315" s="1133"/>
      <c r="B11315" s="1136"/>
      <c r="C11315" s="1138"/>
    </row>
    <row r="11316" spans="1:3">
      <c r="A11316" s="1133"/>
      <c r="B11316" s="1136"/>
      <c r="C11316" s="1138"/>
    </row>
    <row r="11317" spans="1:3">
      <c r="A11317" s="1133"/>
      <c r="B11317" s="1136"/>
      <c r="C11317" s="1138"/>
    </row>
    <row r="11318" spans="1:3">
      <c r="A11318" s="1133"/>
      <c r="B11318" s="1136"/>
      <c r="C11318" s="1138"/>
    </row>
    <row r="11319" spans="1:3">
      <c r="A11319" s="1133"/>
      <c r="B11319" s="1136"/>
      <c r="C11319" s="1138"/>
    </row>
    <row r="11320" spans="1:3">
      <c r="A11320" s="1133"/>
      <c r="B11320" s="1136"/>
      <c r="C11320" s="1138"/>
    </row>
    <row r="11321" spans="1:3">
      <c r="A11321" s="1133"/>
      <c r="B11321" s="1136"/>
      <c r="C11321" s="1138"/>
    </row>
    <row r="11322" spans="1:3">
      <c r="A11322" s="1133"/>
      <c r="B11322" s="1136"/>
      <c r="C11322" s="1138"/>
    </row>
    <row r="11323" spans="1:3">
      <c r="A11323" s="1133"/>
      <c r="B11323" s="1136"/>
      <c r="C11323" s="1138"/>
    </row>
    <row r="11324" spans="1:3">
      <c r="A11324" s="1133"/>
      <c r="B11324" s="1136"/>
      <c r="C11324" s="1138"/>
    </row>
    <row r="11325" spans="1:3">
      <c r="A11325" s="1133"/>
      <c r="B11325" s="1136"/>
      <c r="C11325" s="1138"/>
    </row>
    <row r="11326" spans="1:3">
      <c r="A11326" s="1133"/>
      <c r="B11326" s="1136"/>
      <c r="C11326" s="1138"/>
    </row>
    <row r="11327" spans="1:3">
      <c r="A11327" s="1133"/>
      <c r="B11327" s="1136"/>
      <c r="C11327" s="1138"/>
    </row>
    <row r="11328" spans="1:3">
      <c r="A11328" s="1133"/>
      <c r="B11328" s="1136"/>
      <c r="C11328" s="1138"/>
    </row>
    <row r="11329" spans="1:3">
      <c r="A11329" s="1133"/>
      <c r="B11329" s="1136"/>
      <c r="C11329" s="1138"/>
    </row>
    <row r="11330" spans="1:3">
      <c r="A11330" s="1133"/>
      <c r="B11330" s="1136"/>
      <c r="C11330" s="1138"/>
    </row>
    <row r="11331" spans="1:3">
      <c r="A11331" s="1133"/>
      <c r="B11331" s="1136"/>
      <c r="C11331" s="1138"/>
    </row>
    <row r="11332" spans="1:3">
      <c r="A11332" s="1133"/>
      <c r="B11332" s="1136"/>
      <c r="C11332" s="1138"/>
    </row>
    <row r="11333" spans="1:3">
      <c r="A11333" s="1133"/>
      <c r="B11333" s="1136"/>
      <c r="C11333" s="1138"/>
    </row>
    <row r="11334" spans="1:3">
      <c r="A11334" s="1133"/>
      <c r="B11334" s="1136"/>
      <c r="C11334" s="1138"/>
    </row>
    <row r="11335" spans="1:3">
      <c r="A11335" s="1133"/>
      <c r="B11335" s="1136"/>
      <c r="C11335" s="1138"/>
    </row>
    <row r="11336" spans="1:3">
      <c r="A11336" s="1133"/>
      <c r="B11336" s="1136"/>
      <c r="C11336" s="1138"/>
    </row>
    <row r="11337" spans="1:3">
      <c r="A11337" s="1133"/>
      <c r="B11337" s="1136"/>
      <c r="C11337" s="1138"/>
    </row>
    <row r="11338" spans="1:3">
      <c r="A11338" s="1133"/>
      <c r="B11338" s="1136"/>
      <c r="C11338" s="1138"/>
    </row>
    <row r="11339" spans="1:3">
      <c r="A11339" s="1133"/>
      <c r="B11339" s="1136"/>
      <c r="C11339" s="1138"/>
    </row>
    <row r="11340" spans="1:3">
      <c r="A11340" s="1133"/>
      <c r="B11340" s="1136"/>
      <c r="C11340" s="1138"/>
    </row>
    <row r="11341" spans="1:3">
      <c r="A11341" s="1133"/>
      <c r="B11341" s="1136"/>
      <c r="C11341" s="1138"/>
    </row>
    <row r="11342" spans="1:3">
      <c r="A11342" s="1133"/>
      <c r="B11342" s="1136"/>
      <c r="C11342" s="1138"/>
    </row>
    <row r="11343" spans="1:3">
      <c r="A11343" s="1133"/>
      <c r="B11343" s="1136"/>
      <c r="C11343" s="1138"/>
    </row>
    <row r="11344" spans="1:3">
      <c r="A11344" s="1133"/>
      <c r="B11344" s="1136"/>
      <c r="C11344" s="1138"/>
    </row>
    <row r="11345" spans="1:3">
      <c r="A11345" s="1133"/>
      <c r="B11345" s="1136"/>
      <c r="C11345" s="1138"/>
    </row>
    <row r="11346" spans="1:3">
      <c r="A11346" s="1133"/>
      <c r="B11346" s="1136"/>
      <c r="C11346" s="1138"/>
    </row>
    <row r="11347" spans="1:3">
      <c r="A11347" s="1133"/>
      <c r="B11347" s="1136"/>
      <c r="C11347" s="1138"/>
    </row>
    <row r="11348" spans="1:3">
      <c r="A11348" s="1133"/>
      <c r="B11348" s="1136"/>
      <c r="C11348" s="1138"/>
    </row>
    <row r="11349" spans="1:3">
      <c r="A11349" s="1133"/>
      <c r="B11349" s="1136"/>
      <c r="C11349" s="1138"/>
    </row>
    <row r="11350" spans="1:3">
      <c r="A11350" s="1133"/>
      <c r="B11350" s="1136"/>
      <c r="C11350" s="1138"/>
    </row>
    <row r="11351" spans="1:3">
      <c r="A11351" s="1133"/>
      <c r="B11351" s="1136"/>
      <c r="C11351" s="1138"/>
    </row>
    <row r="11352" spans="1:3">
      <c r="A11352" s="1133"/>
      <c r="B11352" s="1136"/>
      <c r="C11352" s="1138"/>
    </row>
    <row r="11353" spans="1:3">
      <c r="A11353" s="1133"/>
      <c r="B11353" s="1136"/>
      <c r="C11353" s="1138"/>
    </row>
    <row r="11354" spans="1:3">
      <c r="A11354" s="1133"/>
      <c r="B11354" s="1136"/>
      <c r="C11354" s="1138"/>
    </row>
    <row r="11355" spans="1:3">
      <c r="A11355" s="1133"/>
      <c r="B11355" s="1136"/>
      <c r="C11355" s="1138"/>
    </row>
    <row r="11356" spans="1:3">
      <c r="A11356" s="1133"/>
      <c r="B11356" s="1136"/>
      <c r="C11356" s="1138"/>
    </row>
    <row r="11357" spans="1:3">
      <c r="A11357" s="1133"/>
      <c r="B11357" s="1136"/>
      <c r="C11357" s="1138"/>
    </row>
    <row r="11358" spans="1:3">
      <c r="A11358" s="1133"/>
      <c r="B11358" s="1136"/>
      <c r="C11358" s="1138"/>
    </row>
    <row r="11359" spans="1:3">
      <c r="A11359" s="1133"/>
      <c r="B11359" s="1136"/>
      <c r="C11359" s="1138"/>
    </row>
    <row r="11360" spans="1:3">
      <c r="A11360" s="1133"/>
      <c r="B11360" s="1136"/>
      <c r="C11360" s="1138"/>
    </row>
    <row r="11361" spans="1:3">
      <c r="A11361" s="1133"/>
      <c r="B11361" s="1136"/>
      <c r="C11361" s="1138"/>
    </row>
    <row r="11362" spans="1:3">
      <c r="A11362" s="1133"/>
      <c r="B11362" s="1136"/>
      <c r="C11362" s="1138"/>
    </row>
    <row r="11363" spans="1:3">
      <c r="A11363" s="1133"/>
      <c r="B11363" s="1136"/>
      <c r="C11363" s="1138"/>
    </row>
    <row r="11364" spans="1:3">
      <c r="A11364" s="1133"/>
      <c r="B11364" s="1136"/>
      <c r="C11364" s="1138"/>
    </row>
    <row r="11365" spans="1:3">
      <c r="A11365" s="1133"/>
      <c r="B11365" s="1136"/>
      <c r="C11365" s="1138"/>
    </row>
    <row r="11366" spans="1:3">
      <c r="A11366" s="1133"/>
      <c r="B11366" s="1136"/>
      <c r="C11366" s="1138"/>
    </row>
    <row r="11367" spans="1:3">
      <c r="A11367" s="1133"/>
      <c r="B11367" s="1136"/>
      <c r="C11367" s="1138"/>
    </row>
    <row r="11368" spans="1:3">
      <c r="A11368" s="1133"/>
      <c r="B11368" s="1136"/>
      <c r="C11368" s="1138"/>
    </row>
    <row r="11369" spans="1:3">
      <c r="A11369" s="1133"/>
      <c r="B11369" s="1136"/>
      <c r="C11369" s="1138"/>
    </row>
    <row r="11370" spans="1:3">
      <c r="A11370" s="1133"/>
      <c r="B11370" s="1136"/>
      <c r="C11370" s="1138"/>
    </row>
    <row r="11371" spans="1:3">
      <c r="A11371" s="1133"/>
      <c r="B11371" s="1136"/>
      <c r="C11371" s="1138"/>
    </row>
    <row r="11372" spans="1:3">
      <c r="A11372" s="1133"/>
      <c r="B11372" s="1136"/>
      <c r="C11372" s="1138"/>
    </row>
    <row r="11373" spans="1:3">
      <c r="A11373" s="1133"/>
      <c r="B11373" s="1136"/>
      <c r="C11373" s="1138"/>
    </row>
    <row r="11374" spans="1:3">
      <c r="A11374" s="1133"/>
      <c r="B11374" s="1136"/>
      <c r="C11374" s="1138"/>
    </row>
    <row r="11375" spans="1:3">
      <c r="A11375" s="1133"/>
      <c r="B11375" s="1136"/>
      <c r="C11375" s="1138"/>
    </row>
    <row r="11376" spans="1:3">
      <c r="A11376" s="1133"/>
      <c r="B11376" s="1136"/>
      <c r="C11376" s="1138"/>
    </row>
    <row r="11377" spans="1:3">
      <c r="A11377" s="1133"/>
      <c r="B11377" s="1136"/>
      <c r="C11377" s="1138"/>
    </row>
    <row r="11378" spans="1:3">
      <c r="A11378" s="1133"/>
      <c r="B11378" s="1136"/>
      <c r="C11378" s="1138"/>
    </row>
    <row r="11379" spans="1:3">
      <c r="A11379" s="1133"/>
      <c r="B11379" s="1136"/>
      <c r="C11379" s="1138"/>
    </row>
    <row r="11380" spans="1:3">
      <c r="A11380" s="1133"/>
      <c r="B11380" s="1136"/>
      <c r="C11380" s="1138"/>
    </row>
    <row r="11381" spans="1:3">
      <c r="A11381" s="1133"/>
      <c r="B11381" s="1136"/>
      <c r="C11381" s="1138"/>
    </row>
    <row r="11382" spans="1:3">
      <c r="A11382" s="1133"/>
      <c r="B11382" s="1136"/>
      <c r="C11382" s="1138"/>
    </row>
    <row r="11383" spans="1:3">
      <c r="A11383" s="1133"/>
      <c r="B11383" s="1136"/>
      <c r="C11383" s="1138"/>
    </row>
    <row r="11384" spans="1:3">
      <c r="A11384" s="1133"/>
      <c r="B11384" s="1136"/>
      <c r="C11384" s="1138"/>
    </row>
    <row r="11385" spans="1:3">
      <c r="A11385" s="1133"/>
      <c r="B11385" s="1136"/>
      <c r="C11385" s="1138"/>
    </row>
    <row r="11386" spans="1:3">
      <c r="A11386" s="1133"/>
      <c r="B11386" s="1136"/>
      <c r="C11386" s="1138"/>
    </row>
    <row r="11387" spans="1:3">
      <c r="A11387" s="1133"/>
      <c r="B11387" s="1136"/>
      <c r="C11387" s="1138"/>
    </row>
    <row r="11388" spans="1:3">
      <c r="A11388" s="1133"/>
      <c r="B11388" s="1136"/>
      <c r="C11388" s="1138"/>
    </row>
    <row r="11389" spans="1:3">
      <c r="A11389" s="1133"/>
      <c r="B11389" s="1136"/>
      <c r="C11389" s="1138"/>
    </row>
    <row r="11390" spans="1:3">
      <c r="A11390" s="1133"/>
      <c r="B11390" s="1136"/>
      <c r="C11390" s="1138"/>
    </row>
    <row r="11391" spans="1:3">
      <c r="A11391" s="1133"/>
      <c r="B11391" s="1136"/>
      <c r="C11391" s="1138"/>
    </row>
    <row r="11392" spans="1:3">
      <c r="A11392" s="1133"/>
      <c r="B11392" s="1136"/>
      <c r="C11392" s="1138"/>
    </row>
    <row r="11393" spans="1:3">
      <c r="A11393" s="1133"/>
      <c r="B11393" s="1136"/>
      <c r="C11393" s="1138"/>
    </row>
    <row r="11394" spans="1:3">
      <c r="A11394" s="1133"/>
      <c r="B11394" s="1136"/>
      <c r="C11394" s="1138"/>
    </row>
    <row r="11395" spans="1:3">
      <c r="A11395" s="1133"/>
      <c r="B11395" s="1136"/>
      <c r="C11395" s="1138"/>
    </row>
    <row r="11396" spans="1:3">
      <c r="A11396" s="1133"/>
      <c r="B11396" s="1136"/>
      <c r="C11396" s="1138"/>
    </row>
    <row r="11397" spans="1:3">
      <c r="A11397" s="1133"/>
      <c r="B11397" s="1136"/>
      <c r="C11397" s="1138"/>
    </row>
    <row r="11398" spans="1:3">
      <c r="A11398" s="1133"/>
      <c r="B11398" s="1136"/>
      <c r="C11398" s="1138"/>
    </row>
    <row r="11399" spans="1:3">
      <c r="A11399" s="1133"/>
      <c r="B11399" s="1136"/>
      <c r="C11399" s="1138"/>
    </row>
    <row r="11400" spans="1:3">
      <c r="A11400" s="1133"/>
      <c r="B11400" s="1136"/>
      <c r="C11400" s="1138"/>
    </row>
    <row r="11401" spans="1:3">
      <c r="A11401" s="1133"/>
      <c r="B11401" s="1136"/>
      <c r="C11401" s="1138"/>
    </row>
    <row r="11402" spans="1:3">
      <c r="A11402" s="1133"/>
      <c r="B11402" s="1136"/>
      <c r="C11402" s="1138"/>
    </row>
    <row r="11403" spans="1:3">
      <c r="A11403" s="1133"/>
      <c r="B11403" s="1136"/>
      <c r="C11403" s="1138"/>
    </row>
    <row r="11404" spans="1:3">
      <c r="A11404" s="1133"/>
      <c r="B11404" s="1136"/>
      <c r="C11404" s="1138"/>
    </row>
    <row r="11405" spans="1:3">
      <c r="A11405" s="1133"/>
      <c r="B11405" s="1136"/>
      <c r="C11405" s="1138"/>
    </row>
    <row r="11406" spans="1:3">
      <c r="A11406" s="1133"/>
      <c r="B11406" s="1136"/>
      <c r="C11406" s="1138"/>
    </row>
    <row r="11407" spans="1:3">
      <c r="A11407" s="1133"/>
      <c r="B11407" s="1136"/>
      <c r="C11407" s="1138"/>
    </row>
    <row r="11408" spans="1:3">
      <c r="A11408" s="1133"/>
      <c r="B11408" s="1136"/>
      <c r="C11408" s="1138"/>
    </row>
    <row r="11409" spans="1:3">
      <c r="A11409" s="1133"/>
      <c r="B11409" s="1136"/>
      <c r="C11409" s="1138"/>
    </row>
    <row r="11410" spans="1:3">
      <c r="A11410" s="1133"/>
      <c r="B11410" s="1136"/>
      <c r="C11410" s="1138"/>
    </row>
    <row r="11411" spans="1:3">
      <c r="A11411" s="1133"/>
      <c r="B11411" s="1136"/>
      <c r="C11411" s="1138"/>
    </row>
    <row r="11412" spans="1:3">
      <c r="A11412" s="1133"/>
      <c r="B11412" s="1136"/>
      <c r="C11412" s="1138"/>
    </row>
    <row r="11413" spans="1:3">
      <c r="A11413" s="1133"/>
      <c r="B11413" s="1136"/>
      <c r="C11413" s="1138"/>
    </row>
    <row r="11414" spans="1:3">
      <c r="A11414" s="1133"/>
      <c r="B11414" s="1136"/>
      <c r="C11414" s="1138"/>
    </row>
    <row r="11415" spans="1:3">
      <c r="A11415" s="1133"/>
      <c r="B11415" s="1136"/>
      <c r="C11415" s="1138"/>
    </row>
    <row r="11416" spans="1:3">
      <c r="A11416" s="1133"/>
      <c r="B11416" s="1136"/>
      <c r="C11416" s="1138"/>
    </row>
    <row r="11417" spans="1:3">
      <c r="A11417" s="1133"/>
      <c r="B11417" s="1136"/>
      <c r="C11417" s="1138"/>
    </row>
    <row r="11418" spans="1:3">
      <c r="A11418" s="1133"/>
      <c r="B11418" s="1136"/>
      <c r="C11418" s="1138"/>
    </row>
    <row r="11419" spans="1:3">
      <c r="A11419" s="1133"/>
      <c r="B11419" s="1136"/>
      <c r="C11419" s="1138"/>
    </row>
    <row r="11420" spans="1:3">
      <c r="A11420" s="1133"/>
      <c r="B11420" s="1136"/>
      <c r="C11420" s="1138"/>
    </row>
    <row r="11421" spans="1:3">
      <c r="A11421" s="1133"/>
      <c r="B11421" s="1136"/>
      <c r="C11421" s="1138"/>
    </row>
    <row r="11422" spans="1:3">
      <c r="A11422" s="1133"/>
      <c r="B11422" s="1136"/>
      <c r="C11422" s="1138"/>
    </row>
    <row r="11423" spans="1:3">
      <c r="A11423" s="1133"/>
      <c r="B11423" s="1136"/>
      <c r="C11423" s="1138"/>
    </row>
    <row r="11424" spans="1:3">
      <c r="A11424" s="1133"/>
      <c r="B11424" s="1136"/>
      <c r="C11424" s="1138"/>
    </row>
    <row r="11425" spans="1:3">
      <c r="A11425" s="1133"/>
      <c r="B11425" s="1136"/>
      <c r="C11425" s="1138"/>
    </row>
    <row r="11426" spans="1:3">
      <c r="A11426" s="1133"/>
      <c r="B11426" s="1136"/>
      <c r="C11426" s="1138"/>
    </row>
    <row r="11427" spans="1:3">
      <c r="A11427" s="1133"/>
      <c r="B11427" s="1136"/>
      <c r="C11427" s="1138"/>
    </row>
    <row r="11428" spans="1:3">
      <c r="A11428" s="1133"/>
      <c r="B11428" s="1136"/>
      <c r="C11428" s="1138"/>
    </row>
    <row r="11429" spans="1:3">
      <c r="A11429" s="1133"/>
      <c r="B11429" s="1136"/>
      <c r="C11429" s="1138"/>
    </row>
    <row r="11430" spans="1:3">
      <c r="A11430" s="1133"/>
      <c r="B11430" s="1136"/>
      <c r="C11430" s="1138"/>
    </row>
    <row r="11431" spans="1:3">
      <c r="A11431" s="1133"/>
      <c r="B11431" s="1136"/>
      <c r="C11431" s="1138"/>
    </row>
    <row r="11432" spans="1:3">
      <c r="A11432" s="1133"/>
      <c r="B11432" s="1136"/>
      <c r="C11432" s="1138"/>
    </row>
    <row r="11433" spans="1:3">
      <c r="A11433" s="1133"/>
      <c r="B11433" s="1136"/>
      <c r="C11433" s="1138"/>
    </row>
    <row r="11434" spans="1:3">
      <c r="A11434" s="1133"/>
      <c r="B11434" s="1136"/>
      <c r="C11434" s="1138"/>
    </row>
    <row r="11435" spans="1:3">
      <c r="A11435" s="1133"/>
      <c r="B11435" s="1136"/>
      <c r="C11435" s="1138"/>
    </row>
    <row r="11436" spans="1:3">
      <c r="A11436" s="1133"/>
      <c r="B11436" s="1136"/>
      <c r="C11436" s="1138"/>
    </row>
    <row r="11437" spans="1:3">
      <c r="A11437" s="1133"/>
      <c r="B11437" s="1136"/>
      <c r="C11437" s="1138"/>
    </row>
    <row r="11438" spans="1:3">
      <c r="A11438" s="1133"/>
      <c r="B11438" s="1136"/>
      <c r="C11438" s="1138"/>
    </row>
    <row r="11439" spans="1:3">
      <c r="A11439" s="1133"/>
      <c r="B11439" s="1136"/>
      <c r="C11439" s="1138"/>
    </row>
    <row r="11440" spans="1:3">
      <c r="A11440" s="1133"/>
      <c r="B11440" s="1136"/>
      <c r="C11440" s="1138"/>
    </row>
    <row r="11441" spans="1:3">
      <c r="A11441" s="1133"/>
      <c r="B11441" s="1136"/>
      <c r="C11441" s="1138"/>
    </row>
    <row r="11442" spans="1:3">
      <c r="A11442" s="1133"/>
      <c r="B11442" s="1136"/>
      <c r="C11442" s="1138"/>
    </row>
    <row r="11443" spans="1:3">
      <c r="A11443" s="1133"/>
      <c r="B11443" s="1136"/>
      <c r="C11443" s="1138"/>
    </row>
    <row r="11444" spans="1:3">
      <c r="A11444" s="1133"/>
      <c r="B11444" s="1136"/>
      <c r="C11444" s="1138"/>
    </row>
    <row r="11445" spans="1:3">
      <c r="A11445" s="1133"/>
      <c r="B11445" s="1136"/>
      <c r="C11445" s="1138"/>
    </row>
    <row r="11446" spans="1:3">
      <c r="A11446" s="1133"/>
      <c r="B11446" s="1136"/>
      <c r="C11446" s="1138"/>
    </row>
    <row r="11447" spans="1:3">
      <c r="A11447" s="1133"/>
      <c r="B11447" s="1136"/>
      <c r="C11447" s="1138"/>
    </row>
    <row r="11448" spans="1:3">
      <c r="A11448" s="1133"/>
      <c r="B11448" s="1136"/>
      <c r="C11448" s="1138"/>
    </row>
    <row r="11449" spans="1:3">
      <c r="A11449" s="1133"/>
      <c r="B11449" s="1136"/>
      <c r="C11449" s="1138"/>
    </row>
    <row r="11450" spans="1:3">
      <c r="A11450" s="1133"/>
      <c r="B11450" s="1136"/>
      <c r="C11450" s="1138"/>
    </row>
    <row r="11451" spans="1:3">
      <c r="A11451" s="1133"/>
      <c r="B11451" s="1136"/>
      <c r="C11451" s="1138"/>
    </row>
    <row r="11452" spans="1:3">
      <c r="A11452" s="1133"/>
      <c r="B11452" s="1136"/>
      <c r="C11452" s="1138"/>
    </row>
    <row r="11453" spans="1:3">
      <c r="A11453" s="1133"/>
      <c r="B11453" s="1136"/>
      <c r="C11453" s="1138"/>
    </row>
    <row r="11454" spans="1:3">
      <c r="A11454" s="1133"/>
      <c r="B11454" s="1136"/>
      <c r="C11454" s="1138"/>
    </row>
    <row r="11455" spans="1:3">
      <c r="A11455" s="1133"/>
      <c r="B11455" s="1136"/>
      <c r="C11455" s="1138"/>
    </row>
    <row r="11456" spans="1:3">
      <c r="A11456" s="1133"/>
      <c r="B11456" s="1136"/>
      <c r="C11456" s="1138"/>
    </row>
    <row r="11457" spans="1:3">
      <c r="A11457" s="1133"/>
      <c r="B11457" s="1136"/>
      <c r="C11457" s="1138"/>
    </row>
    <row r="11458" spans="1:3">
      <c r="A11458" s="1133"/>
      <c r="B11458" s="1136"/>
      <c r="C11458" s="1138"/>
    </row>
    <row r="11459" spans="1:3">
      <c r="A11459" s="1133"/>
      <c r="B11459" s="1136"/>
      <c r="C11459" s="1138"/>
    </row>
    <row r="11460" spans="1:3">
      <c r="A11460" s="1133"/>
      <c r="B11460" s="1136"/>
      <c r="C11460" s="1138"/>
    </row>
    <row r="11461" spans="1:3">
      <c r="A11461" s="1133"/>
      <c r="B11461" s="1136"/>
      <c r="C11461" s="1138"/>
    </row>
    <row r="11462" spans="1:3">
      <c r="A11462" s="1133"/>
      <c r="B11462" s="1136"/>
      <c r="C11462" s="1138"/>
    </row>
    <row r="11463" spans="1:3">
      <c r="A11463" s="1133"/>
      <c r="B11463" s="1136"/>
      <c r="C11463" s="1138"/>
    </row>
    <row r="11464" spans="1:3">
      <c r="A11464" s="1133"/>
      <c r="B11464" s="1136"/>
      <c r="C11464" s="1138"/>
    </row>
    <row r="11465" spans="1:3">
      <c r="A11465" s="1133"/>
      <c r="B11465" s="1136"/>
      <c r="C11465" s="1138"/>
    </row>
    <row r="11466" spans="1:3">
      <c r="A11466" s="1133"/>
      <c r="B11466" s="1136"/>
      <c r="C11466" s="1138"/>
    </row>
    <row r="11467" spans="1:3">
      <c r="A11467" s="1133"/>
      <c r="B11467" s="1136"/>
      <c r="C11467" s="1138"/>
    </row>
    <row r="11468" spans="1:3">
      <c r="A11468" s="1133"/>
      <c r="B11468" s="1136"/>
      <c r="C11468" s="1138"/>
    </row>
    <row r="11469" spans="1:3">
      <c r="A11469" s="1133"/>
      <c r="B11469" s="1136"/>
      <c r="C11469" s="1138"/>
    </row>
    <row r="11470" spans="1:3">
      <c r="A11470" s="1133"/>
      <c r="B11470" s="1136"/>
      <c r="C11470" s="1138"/>
    </row>
    <row r="11471" spans="1:3">
      <c r="A11471" s="1133"/>
      <c r="B11471" s="1136"/>
      <c r="C11471" s="1138"/>
    </row>
    <row r="11472" spans="1:3">
      <c r="A11472" s="1133"/>
      <c r="B11472" s="1136"/>
      <c r="C11472" s="1138"/>
    </row>
    <row r="11473" spans="1:3">
      <c r="A11473" s="1133"/>
      <c r="B11473" s="1136"/>
      <c r="C11473" s="1138"/>
    </row>
    <row r="11474" spans="1:3">
      <c r="A11474" s="1133"/>
      <c r="B11474" s="1136"/>
      <c r="C11474" s="1138"/>
    </row>
    <row r="11475" spans="1:3">
      <c r="A11475" s="1133"/>
      <c r="B11475" s="1136"/>
      <c r="C11475" s="1138"/>
    </row>
    <row r="11476" spans="1:3">
      <c r="A11476" s="1133"/>
      <c r="B11476" s="1136"/>
      <c r="C11476" s="1138"/>
    </row>
    <row r="11477" spans="1:3">
      <c r="A11477" s="1133"/>
      <c r="B11477" s="1136"/>
      <c r="C11477" s="1138"/>
    </row>
    <row r="11478" spans="1:3">
      <c r="A11478" s="1133"/>
      <c r="B11478" s="1136"/>
      <c r="C11478" s="1138"/>
    </row>
    <row r="11479" spans="1:3">
      <c r="A11479" s="1133"/>
      <c r="B11479" s="1136"/>
      <c r="C11479" s="1138"/>
    </row>
    <row r="11480" spans="1:3">
      <c r="A11480" s="1133"/>
      <c r="B11480" s="1136"/>
      <c r="C11480" s="1138"/>
    </row>
    <row r="11481" spans="1:3">
      <c r="A11481" s="1133"/>
      <c r="B11481" s="1136"/>
      <c r="C11481" s="1138"/>
    </row>
    <row r="11482" spans="1:3">
      <c r="A11482" s="1133"/>
      <c r="B11482" s="1136"/>
      <c r="C11482" s="1138"/>
    </row>
    <row r="11483" spans="1:3">
      <c r="A11483" s="1133"/>
      <c r="B11483" s="1136"/>
      <c r="C11483" s="1138"/>
    </row>
    <row r="11484" spans="1:3">
      <c r="A11484" s="1133"/>
      <c r="B11484" s="1136"/>
      <c r="C11484" s="1138"/>
    </row>
    <row r="11485" spans="1:3">
      <c r="A11485" s="1133"/>
      <c r="B11485" s="1136"/>
      <c r="C11485" s="1138"/>
    </row>
    <row r="11486" spans="1:3">
      <c r="A11486" s="1133"/>
      <c r="B11486" s="1136"/>
      <c r="C11486" s="1138"/>
    </row>
    <row r="11487" spans="1:3">
      <c r="A11487" s="1133"/>
      <c r="B11487" s="1136"/>
      <c r="C11487" s="1138"/>
    </row>
    <row r="11488" spans="1:3">
      <c r="A11488" s="1133"/>
      <c r="B11488" s="1136"/>
      <c r="C11488" s="1138"/>
    </row>
    <row r="11489" spans="1:3">
      <c r="A11489" s="1133"/>
      <c r="B11489" s="1136"/>
      <c r="C11489" s="1138"/>
    </row>
    <row r="11490" spans="1:3">
      <c r="A11490" s="1133"/>
      <c r="B11490" s="1136"/>
      <c r="C11490" s="1138"/>
    </row>
    <row r="11491" spans="1:3">
      <c r="A11491" s="1133"/>
      <c r="B11491" s="1136"/>
      <c r="C11491" s="1138"/>
    </row>
    <row r="11492" spans="1:3">
      <c r="A11492" s="1133"/>
      <c r="B11492" s="1136"/>
      <c r="C11492" s="1138"/>
    </row>
    <row r="11493" spans="1:3">
      <c r="A11493" s="1133"/>
      <c r="B11493" s="1136"/>
      <c r="C11493" s="1138"/>
    </row>
    <row r="11494" spans="1:3">
      <c r="A11494" s="1133"/>
      <c r="B11494" s="1136"/>
      <c r="C11494" s="1138"/>
    </row>
    <row r="11495" spans="1:3">
      <c r="A11495" s="1133"/>
      <c r="B11495" s="1136"/>
      <c r="C11495" s="1138"/>
    </row>
    <row r="11496" spans="1:3">
      <c r="A11496" s="1133"/>
      <c r="B11496" s="1136"/>
      <c r="C11496" s="1138"/>
    </row>
    <row r="11497" spans="1:3">
      <c r="A11497" s="1133"/>
      <c r="B11497" s="1136"/>
      <c r="C11497" s="1138"/>
    </row>
    <row r="11498" spans="1:3">
      <c r="A11498" s="1133"/>
      <c r="B11498" s="1136"/>
      <c r="C11498" s="1138"/>
    </row>
    <row r="11499" spans="1:3">
      <c r="A11499" s="1133"/>
      <c r="B11499" s="1136"/>
      <c r="C11499" s="1138"/>
    </row>
    <row r="11500" spans="1:3">
      <c r="A11500" s="1133"/>
      <c r="B11500" s="1136"/>
      <c r="C11500" s="1138"/>
    </row>
    <row r="11501" spans="1:3">
      <c r="A11501" s="1133"/>
      <c r="B11501" s="1136"/>
      <c r="C11501" s="1138"/>
    </row>
    <row r="11502" spans="1:3">
      <c r="A11502" s="1133"/>
      <c r="B11502" s="1136"/>
      <c r="C11502" s="1138"/>
    </row>
    <row r="11503" spans="1:3">
      <c r="A11503" s="1133"/>
      <c r="B11503" s="1136"/>
      <c r="C11503" s="1138"/>
    </row>
    <row r="11504" spans="1:3">
      <c r="A11504" s="1133"/>
      <c r="B11504" s="1136"/>
      <c r="C11504" s="1138"/>
    </row>
    <row r="11505" spans="1:3">
      <c r="A11505" s="1133"/>
      <c r="B11505" s="1136"/>
      <c r="C11505" s="1138"/>
    </row>
    <row r="11506" spans="1:3">
      <c r="A11506" s="1133"/>
      <c r="B11506" s="1136"/>
      <c r="C11506" s="1138"/>
    </row>
    <row r="11507" spans="1:3">
      <c r="A11507" s="1133"/>
      <c r="B11507" s="1136"/>
      <c r="C11507" s="1138"/>
    </row>
    <row r="11508" spans="1:3">
      <c r="A11508" s="1133"/>
      <c r="B11508" s="1136"/>
      <c r="C11508" s="1138"/>
    </row>
    <row r="11509" spans="1:3">
      <c r="A11509" s="1133"/>
      <c r="B11509" s="1136"/>
      <c r="C11509" s="1138"/>
    </row>
    <row r="11510" spans="1:3">
      <c r="A11510" s="1133"/>
      <c r="B11510" s="1136"/>
      <c r="C11510" s="1138"/>
    </row>
    <row r="11511" spans="1:3">
      <c r="A11511" s="1133"/>
      <c r="B11511" s="1136"/>
      <c r="C11511" s="1138"/>
    </row>
    <row r="11512" spans="1:3">
      <c r="A11512" s="1133"/>
      <c r="B11512" s="1136"/>
      <c r="C11512" s="1138"/>
    </row>
    <row r="11513" spans="1:3">
      <c r="A11513" s="1133"/>
      <c r="B11513" s="1136"/>
      <c r="C11513" s="1138"/>
    </row>
    <row r="11514" spans="1:3">
      <c r="A11514" s="1133"/>
      <c r="B11514" s="1136"/>
      <c r="C11514" s="1138"/>
    </row>
    <row r="11515" spans="1:3">
      <c r="A11515" s="1133"/>
      <c r="B11515" s="1136"/>
      <c r="C11515" s="1138"/>
    </row>
    <row r="11516" spans="1:3">
      <c r="A11516" s="1133"/>
      <c r="B11516" s="1136"/>
      <c r="C11516" s="1138"/>
    </row>
    <row r="11517" spans="1:3">
      <c r="A11517" s="1133"/>
      <c r="B11517" s="1136"/>
      <c r="C11517" s="1138"/>
    </row>
    <row r="11518" spans="1:3">
      <c r="A11518" s="1133"/>
      <c r="B11518" s="1136"/>
      <c r="C11518" s="1138"/>
    </row>
    <row r="11519" spans="1:3">
      <c r="A11519" s="1133"/>
      <c r="B11519" s="1136"/>
      <c r="C11519" s="1138"/>
    </row>
    <row r="11520" spans="1:3">
      <c r="A11520" s="1133"/>
      <c r="B11520" s="1136"/>
      <c r="C11520" s="1138"/>
    </row>
    <row r="11521" spans="1:3">
      <c r="A11521" s="1133"/>
      <c r="B11521" s="1136"/>
      <c r="C11521" s="1138"/>
    </row>
    <row r="11522" spans="1:3">
      <c r="A11522" s="1133"/>
      <c r="B11522" s="1136"/>
      <c r="C11522" s="1138"/>
    </row>
    <row r="11523" spans="1:3">
      <c r="A11523" s="1133"/>
      <c r="B11523" s="1136"/>
      <c r="C11523" s="1138"/>
    </row>
    <row r="11524" spans="1:3">
      <c r="A11524" s="1133"/>
      <c r="B11524" s="1136"/>
      <c r="C11524" s="1138"/>
    </row>
    <row r="11525" spans="1:3">
      <c r="A11525" s="1133"/>
      <c r="B11525" s="1136"/>
      <c r="C11525" s="1138"/>
    </row>
    <row r="11526" spans="1:3">
      <c r="A11526" s="1133"/>
      <c r="B11526" s="1136"/>
      <c r="C11526" s="1138"/>
    </row>
    <row r="11527" spans="1:3">
      <c r="A11527" s="1133"/>
      <c r="B11527" s="1136"/>
      <c r="C11527" s="1138"/>
    </row>
    <row r="11528" spans="1:3">
      <c r="A11528" s="1133"/>
      <c r="B11528" s="1136"/>
      <c r="C11528" s="1138"/>
    </row>
    <row r="11529" spans="1:3">
      <c r="A11529" s="1133"/>
      <c r="B11529" s="1136"/>
      <c r="C11529" s="1138"/>
    </row>
    <row r="11530" spans="1:3">
      <c r="A11530" s="1133"/>
      <c r="B11530" s="1136"/>
      <c r="C11530" s="1138"/>
    </row>
    <row r="11531" spans="1:3">
      <c r="A11531" s="1133"/>
      <c r="B11531" s="1136"/>
      <c r="C11531" s="1138"/>
    </row>
    <row r="11532" spans="1:3">
      <c r="A11532" s="1133"/>
      <c r="B11532" s="1136"/>
      <c r="C11532" s="1138"/>
    </row>
    <row r="11533" spans="1:3">
      <c r="A11533" s="1133"/>
      <c r="B11533" s="1136"/>
      <c r="C11533" s="1138"/>
    </row>
    <row r="11534" spans="1:3">
      <c r="A11534" s="1133"/>
      <c r="B11534" s="1136"/>
      <c r="C11534" s="1138"/>
    </row>
    <row r="11535" spans="1:3">
      <c r="A11535" s="1133"/>
      <c r="B11535" s="1136"/>
      <c r="C11535" s="1138"/>
    </row>
    <row r="11536" spans="1:3">
      <c r="A11536" s="1133"/>
      <c r="B11536" s="1136"/>
      <c r="C11536" s="1138"/>
    </row>
    <row r="11537" spans="1:3">
      <c r="A11537" s="1133"/>
      <c r="B11537" s="1136"/>
      <c r="C11537" s="1138"/>
    </row>
    <row r="11538" spans="1:3">
      <c r="A11538" s="1133"/>
      <c r="B11538" s="1136"/>
      <c r="C11538" s="1138"/>
    </row>
    <row r="11539" spans="1:3">
      <c r="A11539" s="1133"/>
      <c r="B11539" s="1136"/>
      <c r="C11539" s="1138"/>
    </row>
    <row r="11540" spans="1:3">
      <c r="A11540" s="1133"/>
      <c r="B11540" s="1136"/>
      <c r="C11540" s="1138"/>
    </row>
    <row r="11541" spans="1:3">
      <c r="A11541" s="1133"/>
      <c r="B11541" s="1136"/>
      <c r="C11541" s="1138"/>
    </row>
    <row r="11542" spans="1:3">
      <c r="A11542" s="1133"/>
      <c r="B11542" s="1136"/>
      <c r="C11542" s="1138"/>
    </row>
    <row r="11543" spans="1:3">
      <c r="A11543" s="1133"/>
      <c r="B11543" s="1136"/>
      <c r="C11543" s="1138"/>
    </row>
    <row r="11544" spans="1:3">
      <c r="A11544" s="1133"/>
      <c r="B11544" s="1136"/>
      <c r="C11544" s="1138"/>
    </row>
    <row r="11545" spans="1:3">
      <c r="A11545" s="1133"/>
      <c r="B11545" s="1136"/>
      <c r="C11545" s="1138"/>
    </row>
    <row r="11546" spans="1:3">
      <c r="A11546" s="1133"/>
      <c r="B11546" s="1136"/>
      <c r="C11546" s="1138"/>
    </row>
    <row r="11547" spans="1:3">
      <c r="A11547" s="1133"/>
      <c r="B11547" s="1136"/>
      <c r="C11547" s="1138"/>
    </row>
    <row r="11548" spans="1:3">
      <c r="A11548" s="1133"/>
      <c r="B11548" s="1136"/>
      <c r="C11548" s="1138"/>
    </row>
    <row r="11549" spans="1:3">
      <c r="A11549" s="1133"/>
      <c r="B11549" s="1136"/>
      <c r="C11549" s="1138"/>
    </row>
    <row r="11550" spans="1:3">
      <c r="A11550" s="1133"/>
      <c r="B11550" s="1136"/>
      <c r="C11550" s="1138"/>
    </row>
    <row r="11551" spans="1:3">
      <c r="A11551" s="1133"/>
      <c r="B11551" s="1136"/>
      <c r="C11551" s="1138"/>
    </row>
    <row r="11552" spans="1:3">
      <c r="A11552" s="1133"/>
      <c r="B11552" s="1136"/>
      <c r="C11552" s="1138"/>
    </row>
    <row r="11553" spans="1:3">
      <c r="A11553" s="1133"/>
      <c r="B11553" s="1136"/>
      <c r="C11553" s="1138"/>
    </row>
    <row r="11554" spans="1:3">
      <c r="A11554" s="1133"/>
      <c r="B11554" s="1136"/>
      <c r="C11554" s="1138"/>
    </row>
    <row r="11555" spans="1:3">
      <c r="A11555" s="1133"/>
      <c r="B11555" s="1136"/>
      <c r="C11555" s="1138"/>
    </row>
    <row r="11556" spans="1:3">
      <c r="A11556" s="1133"/>
      <c r="B11556" s="1136"/>
      <c r="C11556" s="1138"/>
    </row>
    <row r="11557" spans="1:3">
      <c r="A11557" s="1133"/>
      <c r="B11557" s="1136"/>
      <c r="C11557" s="1138"/>
    </row>
    <row r="11558" spans="1:3">
      <c r="A11558" s="1133"/>
      <c r="B11558" s="1136"/>
      <c r="C11558" s="1138"/>
    </row>
    <row r="11559" spans="1:3">
      <c r="A11559" s="1133"/>
      <c r="B11559" s="1136"/>
      <c r="C11559" s="1138"/>
    </row>
    <row r="11560" spans="1:3">
      <c r="A11560" s="1133"/>
      <c r="B11560" s="1136"/>
      <c r="C11560" s="1138"/>
    </row>
    <row r="11561" spans="1:3">
      <c r="A11561" s="1133"/>
      <c r="B11561" s="1136"/>
      <c r="C11561" s="1138"/>
    </row>
    <row r="11562" spans="1:3">
      <c r="A11562" s="1133"/>
      <c r="B11562" s="1136"/>
      <c r="C11562" s="1138"/>
    </row>
    <row r="11563" spans="1:3">
      <c r="A11563" s="1133"/>
      <c r="B11563" s="1136"/>
      <c r="C11563" s="1138"/>
    </row>
    <row r="11564" spans="1:3">
      <c r="A11564" s="1133"/>
      <c r="B11564" s="1136"/>
      <c r="C11564" s="1138"/>
    </row>
    <row r="11565" spans="1:3">
      <c r="A11565" s="1133"/>
      <c r="B11565" s="1136"/>
      <c r="C11565" s="1138"/>
    </row>
    <row r="11566" spans="1:3">
      <c r="A11566" s="1133"/>
      <c r="B11566" s="1136"/>
      <c r="C11566" s="1138"/>
    </row>
    <row r="11567" spans="1:3">
      <c r="A11567" s="1133"/>
      <c r="B11567" s="1136"/>
      <c r="C11567" s="1138"/>
    </row>
    <row r="11568" spans="1:3">
      <c r="A11568" s="1133"/>
      <c r="B11568" s="1136"/>
      <c r="C11568" s="1138"/>
    </row>
    <row r="11569" spans="1:3">
      <c r="A11569" s="1133"/>
      <c r="B11569" s="1136"/>
      <c r="C11569" s="1138"/>
    </row>
    <row r="11570" spans="1:3">
      <c r="A11570" s="1133"/>
      <c r="B11570" s="1136"/>
      <c r="C11570" s="1138"/>
    </row>
    <row r="11571" spans="1:3">
      <c r="A11571" s="1133"/>
      <c r="B11571" s="1136"/>
      <c r="C11571" s="1138"/>
    </row>
    <row r="11572" spans="1:3">
      <c r="A11572" s="1133"/>
      <c r="B11572" s="1136"/>
      <c r="C11572" s="1138"/>
    </row>
    <row r="11573" spans="1:3">
      <c r="A11573" s="1133"/>
      <c r="B11573" s="1136"/>
      <c r="C11573" s="1138"/>
    </row>
    <row r="11574" spans="1:3">
      <c r="A11574" s="1133"/>
      <c r="B11574" s="1136"/>
      <c r="C11574" s="1138"/>
    </row>
    <row r="11575" spans="1:3">
      <c r="A11575" s="1133"/>
      <c r="B11575" s="1136"/>
      <c r="C11575" s="1138"/>
    </row>
    <row r="11576" spans="1:3">
      <c r="A11576" s="1133"/>
      <c r="B11576" s="1136"/>
      <c r="C11576" s="1138"/>
    </row>
    <row r="11577" spans="1:3">
      <c r="A11577" s="1133"/>
      <c r="B11577" s="1136"/>
      <c r="C11577" s="1138"/>
    </row>
    <row r="11578" spans="1:3">
      <c r="A11578" s="1133"/>
      <c r="B11578" s="1136"/>
      <c r="C11578" s="1138"/>
    </row>
    <row r="11579" spans="1:3">
      <c r="A11579" s="1133"/>
      <c r="B11579" s="1136"/>
      <c r="C11579" s="1138"/>
    </row>
    <row r="11580" spans="1:3">
      <c r="A11580" s="1133"/>
      <c r="B11580" s="1136"/>
      <c r="C11580" s="1138"/>
    </row>
    <row r="11581" spans="1:3">
      <c r="A11581" s="1133"/>
      <c r="B11581" s="1136"/>
      <c r="C11581" s="1138"/>
    </row>
    <row r="11582" spans="1:3">
      <c r="A11582" s="1133"/>
      <c r="B11582" s="1136"/>
      <c r="C11582" s="1138"/>
    </row>
    <row r="11583" spans="1:3">
      <c r="A11583" s="1133"/>
      <c r="B11583" s="1136"/>
      <c r="C11583" s="1138"/>
    </row>
    <row r="11584" spans="1:3">
      <c r="A11584" s="1133"/>
      <c r="B11584" s="1136"/>
      <c r="C11584" s="1138"/>
    </row>
    <row r="11585" spans="1:3">
      <c r="A11585" s="1133"/>
      <c r="B11585" s="1136"/>
      <c r="C11585" s="1138"/>
    </row>
    <row r="11586" spans="1:3">
      <c r="A11586" s="1133"/>
      <c r="B11586" s="1136"/>
      <c r="C11586" s="1138"/>
    </row>
    <row r="11587" spans="1:3">
      <c r="A11587" s="1133"/>
      <c r="B11587" s="1136"/>
      <c r="C11587" s="1138"/>
    </row>
    <row r="11588" spans="1:3">
      <c r="A11588" s="1133"/>
      <c r="B11588" s="1136"/>
      <c r="C11588" s="1138"/>
    </row>
    <row r="11589" spans="1:3">
      <c r="A11589" s="1133"/>
      <c r="B11589" s="1136"/>
      <c r="C11589" s="1138"/>
    </row>
    <row r="11590" spans="1:3">
      <c r="A11590" s="1133"/>
      <c r="B11590" s="1136"/>
      <c r="C11590" s="1138"/>
    </row>
    <row r="11591" spans="1:3">
      <c r="A11591" s="1133"/>
      <c r="B11591" s="1136"/>
      <c r="C11591" s="1138"/>
    </row>
    <row r="11592" spans="1:3">
      <c r="A11592" s="1133"/>
      <c r="B11592" s="1136"/>
      <c r="C11592" s="1138"/>
    </row>
    <row r="11593" spans="1:3">
      <c r="A11593" s="1133"/>
      <c r="B11593" s="1136"/>
      <c r="C11593" s="1138"/>
    </row>
    <row r="11594" spans="1:3">
      <c r="A11594" s="1133"/>
      <c r="B11594" s="1136"/>
      <c r="C11594" s="1138"/>
    </row>
    <row r="11595" spans="1:3">
      <c r="A11595" s="1133"/>
      <c r="B11595" s="1136"/>
      <c r="C11595" s="1138"/>
    </row>
    <row r="11596" spans="1:3">
      <c r="A11596" s="1133"/>
      <c r="B11596" s="1136"/>
      <c r="C11596" s="1138"/>
    </row>
    <row r="11597" spans="1:3">
      <c r="A11597" s="1133"/>
      <c r="B11597" s="1136"/>
      <c r="C11597" s="1138"/>
    </row>
    <row r="11598" spans="1:3">
      <c r="A11598" s="1133"/>
      <c r="B11598" s="1136"/>
      <c r="C11598" s="1138"/>
    </row>
    <row r="11599" spans="1:3">
      <c r="A11599" s="1133"/>
      <c r="B11599" s="1136"/>
      <c r="C11599" s="1138"/>
    </row>
    <row r="11600" spans="1:3">
      <c r="A11600" s="1133"/>
      <c r="B11600" s="1136"/>
      <c r="C11600" s="1138"/>
    </row>
    <row r="11601" spans="1:3">
      <c r="A11601" s="1133"/>
      <c r="B11601" s="1136"/>
      <c r="C11601" s="1138"/>
    </row>
    <row r="11602" spans="1:3">
      <c r="A11602" s="1133"/>
      <c r="B11602" s="1136"/>
      <c r="C11602" s="1138"/>
    </row>
    <row r="11603" spans="1:3">
      <c r="A11603" s="1133"/>
      <c r="B11603" s="1136"/>
      <c r="C11603" s="1138"/>
    </row>
    <row r="11604" spans="1:3">
      <c r="A11604" s="1133"/>
      <c r="B11604" s="1136"/>
      <c r="C11604" s="1138"/>
    </row>
    <row r="11605" spans="1:3">
      <c r="A11605" s="1133"/>
      <c r="B11605" s="1136"/>
      <c r="C11605" s="1138"/>
    </row>
    <row r="11606" spans="1:3">
      <c r="A11606" s="1133"/>
      <c r="B11606" s="1136"/>
      <c r="C11606" s="1138"/>
    </row>
    <row r="11607" spans="1:3">
      <c r="A11607" s="1133"/>
      <c r="B11607" s="1136"/>
      <c r="C11607" s="1138"/>
    </row>
    <row r="11608" spans="1:3">
      <c r="A11608" s="1133"/>
      <c r="B11608" s="1136"/>
      <c r="C11608" s="1138"/>
    </row>
    <row r="11609" spans="1:3">
      <c r="A11609" s="1133"/>
      <c r="B11609" s="1136"/>
      <c r="C11609" s="1138"/>
    </row>
    <row r="11610" spans="1:3">
      <c r="A11610" s="1133"/>
      <c r="B11610" s="1136"/>
      <c r="C11610" s="1138"/>
    </row>
    <row r="11611" spans="1:3">
      <c r="A11611" s="1133"/>
      <c r="B11611" s="1136"/>
      <c r="C11611" s="1138"/>
    </row>
    <row r="11612" spans="1:3">
      <c r="A11612" s="1133"/>
      <c r="B11612" s="1136"/>
      <c r="C11612" s="1138"/>
    </row>
    <row r="11613" spans="1:3">
      <c r="A11613" s="1133"/>
      <c r="B11613" s="1136"/>
      <c r="C11613" s="1138"/>
    </row>
    <row r="11614" spans="1:3">
      <c r="A11614" s="1133"/>
      <c r="B11614" s="1136"/>
      <c r="C11614" s="1138"/>
    </row>
    <row r="11615" spans="1:3">
      <c r="A11615" s="1133"/>
      <c r="B11615" s="1136"/>
      <c r="C11615" s="1138"/>
    </row>
    <row r="11616" spans="1:3">
      <c r="A11616" s="1133"/>
      <c r="B11616" s="1136"/>
      <c r="C11616" s="1138"/>
    </row>
    <row r="11617" spans="1:3">
      <c r="A11617" s="1133"/>
      <c r="B11617" s="1136"/>
      <c r="C11617" s="1138"/>
    </row>
    <row r="11618" spans="1:3">
      <c r="A11618" s="1133"/>
      <c r="B11618" s="1136"/>
      <c r="C11618" s="1138"/>
    </row>
    <row r="11619" spans="1:3">
      <c r="A11619" s="1133"/>
      <c r="B11619" s="1136"/>
      <c r="C11619" s="1138"/>
    </row>
    <row r="11620" spans="1:3">
      <c r="A11620" s="1133"/>
      <c r="B11620" s="1136"/>
      <c r="C11620" s="1138"/>
    </row>
    <row r="11621" spans="1:3">
      <c r="A11621" s="1133"/>
      <c r="B11621" s="1136"/>
      <c r="C11621" s="1138"/>
    </row>
    <row r="11622" spans="1:3">
      <c r="A11622" s="1133"/>
      <c r="B11622" s="1136"/>
      <c r="C11622" s="1138"/>
    </row>
    <row r="11623" spans="1:3">
      <c r="A11623" s="1133"/>
      <c r="B11623" s="1136"/>
      <c r="C11623" s="1138"/>
    </row>
    <row r="11624" spans="1:3">
      <c r="A11624" s="1133"/>
      <c r="B11624" s="1136"/>
      <c r="C11624" s="1138"/>
    </row>
    <row r="11625" spans="1:3">
      <c r="A11625" s="1133"/>
      <c r="B11625" s="1136"/>
      <c r="C11625" s="1138"/>
    </row>
    <row r="11626" spans="1:3">
      <c r="A11626" s="1133"/>
      <c r="B11626" s="1136"/>
      <c r="C11626" s="1138"/>
    </row>
    <row r="11627" spans="1:3">
      <c r="A11627" s="1133"/>
      <c r="B11627" s="1136"/>
      <c r="C11627" s="1138"/>
    </row>
    <row r="11628" spans="1:3">
      <c r="A11628" s="1133"/>
      <c r="B11628" s="1136"/>
      <c r="C11628" s="1138"/>
    </row>
    <row r="11629" spans="1:3">
      <c r="A11629" s="1133"/>
      <c r="B11629" s="1136"/>
      <c r="C11629" s="1138"/>
    </row>
    <row r="11630" spans="1:3">
      <c r="A11630" s="1133"/>
      <c r="B11630" s="1136"/>
      <c r="C11630" s="1138"/>
    </row>
    <row r="11631" spans="1:3">
      <c r="A11631" s="1133"/>
      <c r="B11631" s="1136"/>
      <c r="C11631" s="1138"/>
    </row>
    <row r="11632" spans="1:3">
      <c r="A11632" s="1133"/>
      <c r="B11632" s="1136"/>
      <c r="C11632" s="1138"/>
    </row>
    <row r="11633" spans="1:3">
      <c r="A11633" s="1133"/>
      <c r="B11633" s="1136"/>
      <c r="C11633" s="1138"/>
    </row>
    <row r="11634" spans="1:3">
      <c r="A11634" s="1133"/>
      <c r="B11634" s="1136"/>
      <c r="C11634" s="1138"/>
    </row>
    <row r="11635" spans="1:3">
      <c r="A11635" s="1133"/>
      <c r="B11635" s="1136"/>
      <c r="C11635" s="1138"/>
    </row>
    <row r="11636" spans="1:3">
      <c r="A11636" s="1133"/>
      <c r="B11636" s="1136"/>
      <c r="C11636" s="1138"/>
    </row>
    <row r="11637" spans="1:3">
      <c r="A11637" s="1133"/>
      <c r="B11637" s="1136"/>
      <c r="C11637" s="1138"/>
    </row>
    <row r="11638" spans="1:3">
      <c r="A11638" s="1133"/>
      <c r="B11638" s="1136"/>
      <c r="C11638" s="1138"/>
    </row>
    <row r="11639" spans="1:3">
      <c r="A11639" s="1133"/>
      <c r="B11639" s="1136"/>
      <c r="C11639" s="1138"/>
    </row>
    <row r="11640" spans="1:3">
      <c r="A11640" s="1133"/>
      <c r="B11640" s="1136"/>
      <c r="C11640" s="1138"/>
    </row>
    <row r="11641" spans="1:3">
      <c r="A11641" s="1133"/>
      <c r="B11641" s="1136"/>
      <c r="C11641" s="1138"/>
    </row>
    <row r="11642" spans="1:3">
      <c r="A11642" s="1133"/>
      <c r="B11642" s="1136"/>
      <c r="C11642" s="1138"/>
    </row>
    <row r="11643" spans="1:3">
      <c r="A11643" s="1133"/>
      <c r="B11643" s="1136"/>
      <c r="C11643" s="1138"/>
    </row>
    <row r="11644" spans="1:3">
      <c r="A11644" s="1133"/>
      <c r="B11644" s="1136"/>
      <c r="C11644" s="1138"/>
    </row>
    <row r="11645" spans="1:3">
      <c r="A11645" s="1133"/>
      <c r="B11645" s="1136"/>
      <c r="C11645" s="1138"/>
    </row>
    <row r="11646" spans="1:3">
      <c r="A11646" s="1133"/>
      <c r="B11646" s="1136"/>
      <c r="C11646" s="1138"/>
    </row>
    <row r="11647" spans="1:3">
      <c r="A11647" s="1133"/>
      <c r="B11647" s="1136"/>
      <c r="C11647" s="1138"/>
    </row>
    <row r="11648" spans="1:3">
      <c r="A11648" s="1133"/>
      <c r="B11648" s="1136"/>
      <c r="C11648" s="1138"/>
    </row>
    <row r="11649" spans="1:3">
      <c r="A11649" s="1133"/>
      <c r="B11649" s="1136"/>
      <c r="C11649" s="1138"/>
    </row>
    <row r="11650" spans="1:3">
      <c r="A11650" s="1133"/>
      <c r="B11650" s="1136"/>
      <c r="C11650" s="1138"/>
    </row>
    <row r="11651" spans="1:3">
      <c r="A11651" s="1133"/>
      <c r="B11651" s="1136"/>
      <c r="C11651" s="1138"/>
    </row>
    <row r="11652" spans="1:3">
      <c r="A11652" s="1133"/>
      <c r="B11652" s="1136"/>
      <c r="C11652" s="1138"/>
    </row>
    <row r="11653" spans="1:3">
      <c r="A11653" s="1133"/>
      <c r="B11653" s="1136"/>
      <c r="C11653" s="1138"/>
    </row>
    <row r="11654" spans="1:3">
      <c r="A11654" s="1133"/>
      <c r="B11654" s="1136"/>
      <c r="C11654" s="1138"/>
    </row>
    <row r="11655" spans="1:3">
      <c r="A11655" s="1133"/>
      <c r="B11655" s="1136"/>
      <c r="C11655" s="1138"/>
    </row>
    <row r="11656" spans="1:3">
      <c r="A11656" s="1133"/>
      <c r="B11656" s="1136"/>
      <c r="C11656" s="1138"/>
    </row>
    <row r="11657" spans="1:3">
      <c r="A11657" s="1133"/>
      <c r="B11657" s="1136"/>
      <c r="C11657" s="1138"/>
    </row>
    <row r="11658" spans="1:3">
      <c r="A11658" s="1133"/>
      <c r="B11658" s="1136"/>
      <c r="C11658" s="1138"/>
    </row>
    <row r="11659" spans="1:3">
      <c r="A11659" s="1133"/>
      <c r="B11659" s="1136"/>
      <c r="C11659" s="1138"/>
    </row>
    <row r="11660" spans="1:3">
      <c r="A11660" s="1133"/>
      <c r="B11660" s="1136"/>
      <c r="C11660" s="1138"/>
    </row>
    <row r="11661" spans="1:3">
      <c r="A11661" s="1133"/>
      <c r="B11661" s="1136"/>
      <c r="C11661" s="1138"/>
    </row>
    <row r="11662" spans="1:3">
      <c r="A11662" s="1133"/>
      <c r="B11662" s="1136"/>
      <c r="C11662" s="1138"/>
    </row>
    <row r="11663" spans="1:3">
      <c r="A11663" s="1133"/>
      <c r="B11663" s="1136"/>
      <c r="C11663" s="1138"/>
    </row>
    <row r="11664" spans="1:3">
      <c r="A11664" s="1133"/>
      <c r="B11664" s="1136"/>
      <c r="C11664" s="1138"/>
    </row>
    <row r="11665" spans="1:3">
      <c r="A11665" s="1133"/>
      <c r="B11665" s="1136"/>
      <c r="C11665" s="1138"/>
    </row>
    <row r="11666" spans="1:3">
      <c r="A11666" s="1133"/>
      <c r="B11666" s="1136"/>
      <c r="C11666" s="1138"/>
    </row>
    <row r="11667" spans="1:3">
      <c r="A11667" s="1133"/>
      <c r="B11667" s="1136"/>
      <c r="C11667" s="1138"/>
    </row>
    <row r="11668" spans="1:3">
      <c r="A11668" s="1133"/>
      <c r="B11668" s="1136"/>
      <c r="C11668" s="1138"/>
    </row>
    <row r="11669" spans="1:3">
      <c r="A11669" s="1133"/>
      <c r="B11669" s="1136"/>
      <c r="C11669" s="1138"/>
    </row>
    <row r="11670" spans="1:3">
      <c r="A11670" s="1133"/>
      <c r="B11670" s="1136"/>
      <c r="C11670" s="1138"/>
    </row>
    <row r="11671" spans="1:3">
      <c r="A11671" s="1133"/>
      <c r="B11671" s="1136"/>
      <c r="C11671" s="1138"/>
    </row>
    <row r="11672" spans="1:3">
      <c r="A11672" s="1133"/>
      <c r="B11672" s="1136"/>
      <c r="C11672" s="1138"/>
    </row>
    <row r="11673" spans="1:3">
      <c r="A11673" s="1133"/>
      <c r="B11673" s="1136"/>
      <c r="C11673" s="1138"/>
    </row>
    <row r="11674" spans="1:3">
      <c r="A11674" s="1133"/>
      <c r="B11674" s="1136"/>
      <c r="C11674" s="1138"/>
    </row>
    <row r="11675" spans="1:3">
      <c r="A11675" s="1133"/>
      <c r="B11675" s="1136"/>
      <c r="C11675" s="1138"/>
    </row>
    <row r="11676" spans="1:3">
      <c r="A11676" s="1133"/>
      <c r="B11676" s="1136"/>
      <c r="C11676" s="1138"/>
    </row>
    <row r="11677" spans="1:3">
      <c r="A11677" s="1133"/>
      <c r="B11677" s="1136"/>
      <c r="C11677" s="1138"/>
    </row>
    <row r="11678" spans="1:3">
      <c r="A11678" s="1133"/>
      <c r="B11678" s="1136"/>
      <c r="C11678" s="1138"/>
    </row>
    <row r="11679" spans="1:3">
      <c r="A11679" s="1133"/>
      <c r="B11679" s="1136"/>
      <c r="C11679" s="1138"/>
    </row>
    <row r="11680" spans="1:3">
      <c r="A11680" s="1133"/>
      <c r="B11680" s="1136"/>
      <c r="C11680" s="1138"/>
    </row>
    <row r="11681" spans="1:3">
      <c r="A11681" s="1133"/>
      <c r="B11681" s="1136"/>
      <c r="C11681" s="1138"/>
    </row>
    <row r="11682" spans="1:3">
      <c r="A11682" s="1133"/>
      <c r="B11682" s="1136"/>
      <c r="C11682" s="1138"/>
    </row>
    <row r="11683" spans="1:3">
      <c r="A11683" s="1133"/>
      <c r="B11683" s="1136"/>
      <c r="C11683" s="1138"/>
    </row>
    <row r="11684" spans="1:3">
      <c r="A11684" s="1133"/>
      <c r="B11684" s="1136"/>
      <c r="C11684" s="1138"/>
    </row>
    <row r="11685" spans="1:3">
      <c r="A11685" s="1133"/>
      <c r="B11685" s="1136"/>
      <c r="C11685" s="1138"/>
    </row>
    <row r="11686" spans="1:3">
      <c r="A11686" s="1133"/>
      <c r="B11686" s="1136"/>
      <c r="C11686" s="1138"/>
    </row>
    <row r="11687" spans="1:3">
      <c r="A11687" s="1133"/>
      <c r="B11687" s="1136"/>
      <c r="C11687" s="1138"/>
    </row>
    <row r="11688" spans="1:3">
      <c r="A11688" s="1133"/>
      <c r="B11688" s="1136"/>
      <c r="C11688" s="1138"/>
    </row>
    <row r="11689" spans="1:3">
      <c r="A11689" s="1133"/>
      <c r="B11689" s="1136"/>
      <c r="C11689" s="1138"/>
    </row>
    <row r="11690" spans="1:3">
      <c r="A11690" s="1133"/>
      <c r="B11690" s="1136"/>
      <c r="C11690" s="1138"/>
    </row>
    <row r="11691" spans="1:3">
      <c r="A11691" s="1133"/>
      <c r="B11691" s="1136"/>
      <c r="C11691" s="1138"/>
    </row>
    <row r="11692" spans="1:3">
      <c r="A11692" s="1133"/>
      <c r="B11692" s="1136"/>
      <c r="C11692" s="1138"/>
    </row>
    <row r="11693" spans="1:3">
      <c r="A11693" s="1133"/>
      <c r="B11693" s="1136"/>
      <c r="C11693" s="1138"/>
    </row>
    <row r="11694" spans="1:3">
      <c r="A11694" s="1133"/>
      <c r="B11694" s="1136"/>
      <c r="C11694" s="1138"/>
    </row>
    <row r="11695" spans="1:3">
      <c r="A11695" s="1133"/>
      <c r="B11695" s="1136"/>
      <c r="C11695" s="1138"/>
    </row>
    <row r="11696" spans="1:3">
      <c r="A11696" s="1133"/>
      <c r="B11696" s="1136"/>
      <c r="C11696" s="1138"/>
    </row>
    <row r="11697" spans="1:3">
      <c r="A11697" s="1133"/>
      <c r="B11697" s="1136"/>
      <c r="C11697" s="1138"/>
    </row>
    <row r="11698" spans="1:3">
      <c r="A11698" s="1133"/>
      <c r="B11698" s="1136"/>
      <c r="C11698" s="1138"/>
    </row>
    <row r="11699" spans="1:3">
      <c r="A11699" s="1133"/>
      <c r="B11699" s="1136"/>
      <c r="C11699" s="1138"/>
    </row>
    <row r="11700" spans="1:3">
      <c r="A11700" s="1133"/>
      <c r="B11700" s="1136"/>
      <c r="C11700" s="1138"/>
    </row>
    <row r="11701" spans="1:3">
      <c r="A11701" s="1133"/>
      <c r="B11701" s="1136"/>
      <c r="C11701" s="1138"/>
    </row>
    <row r="11702" spans="1:3">
      <c r="A11702" s="1133"/>
      <c r="B11702" s="1136"/>
      <c r="C11702" s="1138"/>
    </row>
    <row r="11703" spans="1:3">
      <c r="A11703" s="1133"/>
      <c r="B11703" s="1136"/>
      <c r="C11703" s="1138"/>
    </row>
    <row r="11704" spans="1:3">
      <c r="A11704" s="1133"/>
      <c r="B11704" s="1136"/>
      <c r="C11704" s="1138"/>
    </row>
    <row r="11705" spans="1:3">
      <c r="A11705" s="1133"/>
      <c r="B11705" s="1136"/>
      <c r="C11705" s="1138"/>
    </row>
    <row r="11706" spans="1:3">
      <c r="A11706" s="1133"/>
      <c r="B11706" s="1136"/>
      <c r="C11706" s="1138"/>
    </row>
    <row r="11707" spans="1:3">
      <c r="A11707" s="1133"/>
      <c r="B11707" s="1136"/>
      <c r="C11707" s="1138"/>
    </row>
    <row r="11708" spans="1:3">
      <c r="A11708" s="1133"/>
      <c r="B11708" s="1136"/>
      <c r="C11708" s="1138"/>
    </row>
    <row r="11709" spans="1:3">
      <c r="A11709" s="1133"/>
      <c r="B11709" s="1136"/>
      <c r="C11709" s="1138"/>
    </row>
    <row r="11710" spans="1:3">
      <c r="A11710" s="1133"/>
      <c r="B11710" s="1136"/>
      <c r="C11710" s="1138"/>
    </row>
    <row r="11711" spans="1:3">
      <c r="A11711" s="1133"/>
      <c r="B11711" s="1136"/>
      <c r="C11711" s="1138"/>
    </row>
    <row r="11712" spans="1:3">
      <c r="A11712" s="1133"/>
      <c r="B11712" s="1136"/>
      <c r="C11712" s="1138"/>
    </row>
    <row r="11713" spans="1:3">
      <c r="A11713" s="1133"/>
      <c r="B11713" s="1136"/>
      <c r="C11713" s="1138"/>
    </row>
    <row r="11714" spans="1:3">
      <c r="A11714" s="1133"/>
      <c r="B11714" s="1136"/>
      <c r="C11714" s="1138"/>
    </row>
    <row r="11715" spans="1:3">
      <c r="A11715" s="1133"/>
      <c r="B11715" s="1136"/>
      <c r="C11715" s="1138"/>
    </row>
    <row r="11716" spans="1:3">
      <c r="A11716" s="1133"/>
      <c r="B11716" s="1136"/>
      <c r="C11716" s="1138"/>
    </row>
    <row r="11717" spans="1:3">
      <c r="A11717" s="1133"/>
      <c r="B11717" s="1136"/>
      <c r="C11717" s="1138"/>
    </row>
    <row r="11718" spans="1:3">
      <c r="A11718" s="1133"/>
      <c r="B11718" s="1136"/>
      <c r="C11718" s="1138"/>
    </row>
    <row r="11719" spans="1:3">
      <c r="A11719" s="1133"/>
      <c r="B11719" s="1136"/>
      <c r="C11719" s="1138"/>
    </row>
    <row r="11720" spans="1:3">
      <c r="A11720" s="1133"/>
      <c r="B11720" s="1136"/>
      <c r="C11720" s="1138"/>
    </row>
    <row r="11721" spans="1:3">
      <c r="A11721" s="1133"/>
      <c r="B11721" s="1136"/>
      <c r="C11721" s="1138"/>
    </row>
    <row r="11722" spans="1:3">
      <c r="A11722" s="1133"/>
      <c r="B11722" s="1136"/>
      <c r="C11722" s="1138"/>
    </row>
    <row r="11723" spans="1:3">
      <c r="A11723" s="1133"/>
      <c r="B11723" s="1136"/>
      <c r="C11723" s="1138"/>
    </row>
    <row r="11724" spans="1:3">
      <c r="A11724" s="1133"/>
      <c r="B11724" s="1136"/>
      <c r="C11724" s="1138"/>
    </row>
    <row r="11725" spans="1:3">
      <c r="A11725" s="1133"/>
      <c r="B11725" s="1136"/>
      <c r="C11725" s="1138"/>
    </row>
    <row r="11726" spans="1:3">
      <c r="A11726" s="1133"/>
      <c r="B11726" s="1136"/>
      <c r="C11726" s="1138"/>
    </row>
    <row r="11727" spans="1:3">
      <c r="A11727" s="1133"/>
      <c r="B11727" s="1136"/>
      <c r="C11727" s="1138"/>
    </row>
    <row r="11728" spans="1:3">
      <c r="A11728" s="1133"/>
      <c r="B11728" s="1136"/>
      <c r="C11728" s="1138"/>
    </row>
    <row r="11729" spans="1:3">
      <c r="A11729" s="1133"/>
      <c r="B11729" s="1136"/>
      <c r="C11729" s="1138"/>
    </row>
    <row r="11730" spans="1:3">
      <c r="A11730" s="1133"/>
      <c r="B11730" s="1136"/>
      <c r="C11730" s="1138"/>
    </row>
    <row r="11731" spans="1:3">
      <c r="A11731" s="1133"/>
      <c r="B11731" s="1136"/>
      <c r="C11731" s="1138"/>
    </row>
    <row r="11732" spans="1:3">
      <c r="A11732" s="1133"/>
      <c r="B11732" s="1136"/>
      <c r="C11732" s="1138"/>
    </row>
    <row r="11733" spans="1:3">
      <c r="A11733" s="1133"/>
      <c r="B11733" s="1136"/>
      <c r="C11733" s="1138"/>
    </row>
    <row r="11734" spans="1:3">
      <c r="A11734" s="1133"/>
      <c r="B11734" s="1136"/>
      <c r="C11734" s="1138"/>
    </row>
    <row r="11735" spans="1:3">
      <c r="A11735" s="1133"/>
      <c r="B11735" s="1136"/>
      <c r="C11735" s="1138"/>
    </row>
    <row r="11736" spans="1:3">
      <c r="A11736" s="1133"/>
      <c r="B11736" s="1136"/>
      <c r="C11736" s="1138"/>
    </row>
    <row r="11737" spans="1:3">
      <c r="A11737" s="1133"/>
      <c r="B11737" s="1136"/>
      <c r="C11737" s="1138"/>
    </row>
    <row r="11738" spans="1:3">
      <c r="A11738" s="1133"/>
      <c r="B11738" s="1136"/>
      <c r="C11738" s="1138"/>
    </row>
    <row r="11739" spans="1:3">
      <c r="A11739" s="1133"/>
      <c r="B11739" s="1136"/>
      <c r="C11739" s="1138"/>
    </row>
    <row r="11740" spans="1:3">
      <c r="A11740" s="1133"/>
      <c r="B11740" s="1136"/>
      <c r="C11740" s="1138"/>
    </row>
    <row r="11741" spans="1:3">
      <c r="A11741" s="1133"/>
      <c r="B11741" s="1136"/>
      <c r="C11741" s="1138"/>
    </row>
    <row r="11742" spans="1:3">
      <c r="A11742" s="1133"/>
      <c r="B11742" s="1136"/>
      <c r="C11742" s="1138"/>
    </row>
    <row r="11743" spans="1:3">
      <c r="A11743" s="1133"/>
      <c r="B11743" s="1136"/>
      <c r="C11743" s="1138"/>
    </row>
    <row r="11744" spans="1:3">
      <c r="A11744" s="1133"/>
      <c r="B11744" s="1136"/>
      <c r="C11744" s="1138"/>
    </row>
    <row r="11745" spans="1:3">
      <c r="A11745" s="1133"/>
      <c r="B11745" s="1136"/>
      <c r="C11745" s="1138"/>
    </row>
    <row r="11746" spans="1:3">
      <c r="A11746" s="1133"/>
      <c r="B11746" s="1136"/>
      <c r="C11746" s="1138"/>
    </row>
    <row r="11747" spans="1:3">
      <c r="A11747" s="1133"/>
      <c r="B11747" s="1136"/>
      <c r="C11747" s="1138"/>
    </row>
    <row r="11748" spans="1:3">
      <c r="A11748" s="1133"/>
      <c r="B11748" s="1136"/>
      <c r="C11748" s="1138"/>
    </row>
    <row r="11749" spans="1:3">
      <c r="A11749" s="1133"/>
      <c r="B11749" s="1136"/>
      <c r="C11749" s="1138"/>
    </row>
    <row r="11750" spans="1:3">
      <c r="A11750" s="1133"/>
      <c r="B11750" s="1136"/>
      <c r="C11750" s="1138"/>
    </row>
    <row r="11751" spans="1:3">
      <c r="A11751" s="1133"/>
      <c r="B11751" s="1136"/>
      <c r="C11751" s="1138"/>
    </row>
    <row r="11752" spans="1:3">
      <c r="A11752" s="1133"/>
      <c r="B11752" s="1136"/>
      <c r="C11752" s="1138"/>
    </row>
    <row r="11753" spans="1:3">
      <c r="A11753" s="1133"/>
      <c r="B11753" s="1136"/>
      <c r="C11753" s="1138"/>
    </row>
    <row r="11754" spans="1:3">
      <c r="A11754" s="1133"/>
      <c r="B11754" s="1136"/>
      <c r="C11754" s="1138"/>
    </row>
    <row r="11755" spans="1:3">
      <c r="A11755" s="1133"/>
      <c r="B11755" s="1136"/>
      <c r="C11755" s="1138"/>
    </row>
    <row r="11756" spans="1:3">
      <c r="A11756" s="1133"/>
      <c r="B11756" s="1136"/>
      <c r="C11756" s="1138"/>
    </row>
    <row r="11757" spans="1:3">
      <c r="A11757" s="1133"/>
      <c r="B11757" s="1136"/>
      <c r="C11757" s="1138"/>
    </row>
    <row r="11758" spans="1:3">
      <c r="A11758" s="1133"/>
      <c r="B11758" s="1136"/>
      <c r="C11758" s="1138"/>
    </row>
    <row r="11759" spans="1:3">
      <c r="A11759" s="1133"/>
      <c r="B11759" s="1136"/>
      <c r="C11759" s="1138"/>
    </row>
    <row r="11760" spans="1:3">
      <c r="A11760" s="1133"/>
      <c r="B11760" s="1136"/>
      <c r="C11760" s="1138"/>
    </row>
    <row r="11761" spans="1:3">
      <c r="A11761" s="1133"/>
      <c r="B11761" s="1136"/>
      <c r="C11761" s="1138"/>
    </row>
    <row r="11762" spans="1:3">
      <c r="A11762" s="1133"/>
      <c r="B11762" s="1136"/>
      <c r="C11762" s="1138"/>
    </row>
    <row r="11763" spans="1:3">
      <c r="A11763" s="1133"/>
      <c r="B11763" s="1136"/>
      <c r="C11763" s="1138"/>
    </row>
    <row r="11764" spans="1:3">
      <c r="A11764" s="1133"/>
      <c r="B11764" s="1136"/>
      <c r="C11764" s="1138"/>
    </row>
    <row r="11765" spans="1:3">
      <c r="A11765" s="1133"/>
      <c r="B11765" s="1136"/>
      <c r="C11765" s="1138"/>
    </row>
    <row r="11766" spans="1:3">
      <c r="A11766" s="1133"/>
      <c r="B11766" s="1136"/>
      <c r="C11766" s="1138"/>
    </row>
    <row r="11767" spans="1:3">
      <c r="A11767" s="1133"/>
      <c r="B11767" s="1136"/>
      <c r="C11767" s="1138"/>
    </row>
    <row r="11768" spans="1:3">
      <c r="A11768" s="1133"/>
      <c r="B11768" s="1136"/>
      <c r="C11768" s="1138"/>
    </row>
    <row r="11769" spans="1:3">
      <c r="A11769" s="1133"/>
      <c r="B11769" s="1136"/>
      <c r="C11769" s="1138"/>
    </row>
    <row r="11770" spans="1:3">
      <c r="A11770" s="1133"/>
      <c r="B11770" s="1136"/>
      <c r="C11770" s="1138"/>
    </row>
    <row r="11771" spans="1:3">
      <c r="A11771" s="1133"/>
      <c r="B11771" s="1136"/>
      <c r="C11771" s="1138"/>
    </row>
    <row r="11772" spans="1:3">
      <c r="A11772" s="1133"/>
      <c r="B11772" s="1136"/>
      <c r="C11772" s="1138"/>
    </row>
    <row r="11773" spans="1:3">
      <c r="A11773" s="1133"/>
      <c r="B11773" s="1136"/>
      <c r="C11773" s="1138"/>
    </row>
    <row r="11774" spans="1:3">
      <c r="A11774" s="1133"/>
      <c r="B11774" s="1136"/>
      <c r="C11774" s="1138"/>
    </row>
    <row r="11775" spans="1:3">
      <c r="A11775" s="1133"/>
      <c r="B11775" s="1136"/>
      <c r="C11775" s="1138"/>
    </row>
    <row r="11776" spans="1:3">
      <c r="A11776" s="1133"/>
      <c r="B11776" s="1136"/>
      <c r="C11776" s="1138"/>
    </row>
    <row r="11777" spans="1:3">
      <c r="A11777" s="1133"/>
      <c r="B11777" s="1136"/>
      <c r="C11777" s="1138"/>
    </row>
    <row r="11778" spans="1:3">
      <c r="A11778" s="1133"/>
      <c r="B11778" s="1136"/>
      <c r="C11778" s="1138"/>
    </row>
    <row r="11779" spans="1:3">
      <c r="A11779" s="1133"/>
      <c r="B11779" s="1136"/>
      <c r="C11779" s="1138"/>
    </row>
    <row r="11780" spans="1:3">
      <c r="A11780" s="1133"/>
      <c r="B11780" s="1136"/>
      <c r="C11780" s="1138"/>
    </row>
    <row r="11781" spans="1:3">
      <c r="A11781" s="1133"/>
      <c r="B11781" s="1136"/>
      <c r="C11781" s="1138"/>
    </row>
    <row r="11782" spans="1:3">
      <c r="A11782" s="1133"/>
      <c r="B11782" s="1136"/>
      <c r="C11782" s="1138"/>
    </row>
    <row r="11783" spans="1:3">
      <c r="A11783" s="1133"/>
      <c r="B11783" s="1136"/>
      <c r="C11783" s="1138"/>
    </row>
    <row r="11784" spans="1:3">
      <c r="A11784" s="1133"/>
      <c r="B11784" s="1136"/>
      <c r="C11784" s="1138"/>
    </row>
    <row r="11785" spans="1:3">
      <c r="A11785" s="1133"/>
      <c r="B11785" s="1136"/>
      <c r="C11785" s="1138"/>
    </row>
    <row r="11786" spans="1:3">
      <c r="A11786" s="1133"/>
      <c r="B11786" s="1136"/>
      <c r="C11786" s="1138"/>
    </row>
    <row r="11787" spans="1:3">
      <c r="A11787" s="1133"/>
      <c r="B11787" s="1136"/>
      <c r="C11787" s="1138"/>
    </row>
    <row r="11788" spans="1:3">
      <c r="A11788" s="1133"/>
      <c r="B11788" s="1136"/>
      <c r="C11788" s="1138"/>
    </row>
    <row r="11789" spans="1:3">
      <c r="A11789" s="1133"/>
      <c r="B11789" s="1136"/>
      <c r="C11789" s="1138"/>
    </row>
    <row r="11790" spans="1:3">
      <c r="A11790" s="1133"/>
      <c r="B11790" s="1136"/>
      <c r="C11790" s="1138"/>
    </row>
    <row r="11791" spans="1:3">
      <c r="A11791" s="1133"/>
      <c r="B11791" s="1136"/>
      <c r="C11791" s="1138"/>
    </row>
    <row r="11792" spans="1:3">
      <c r="A11792" s="1133"/>
      <c r="B11792" s="1136"/>
      <c r="C11792" s="1138"/>
    </row>
    <row r="11793" spans="1:3">
      <c r="A11793" s="1133"/>
      <c r="B11793" s="1136"/>
      <c r="C11793" s="1138"/>
    </row>
    <row r="11794" spans="1:3">
      <c r="A11794" s="1133"/>
      <c r="B11794" s="1136"/>
      <c r="C11794" s="1138"/>
    </row>
    <row r="11795" spans="1:3">
      <c r="A11795" s="1133"/>
      <c r="B11795" s="1136"/>
      <c r="C11795" s="1138"/>
    </row>
    <row r="11796" spans="1:3">
      <c r="A11796" s="1133"/>
      <c r="B11796" s="1136"/>
      <c r="C11796" s="1138"/>
    </row>
    <row r="11797" spans="1:3">
      <c r="A11797" s="1133"/>
      <c r="B11797" s="1136"/>
      <c r="C11797" s="1138"/>
    </row>
    <row r="11798" spans="1:3">
      <c r="A11798" s="1133"/>
      <c r="B11798" s="1136"/>
      <c r="C11798" s="1138"/>
    </row>
    <row r="11799" spans="1:3">
      <c r="A11799" s="1133"/>
      <c r="B11799" s="1136"/>
      <c r="C11799" s="1138"/>
    </row>
    <row r="11800" spans="1:3">
      <c r="A11800" s="1133"/>
      <c r="B11800" s="1136"/>
      <c r="C11800" s="1138"/>
    </row>
    <row r="11801" spans="1:3">
      <c r="A11801" s="1133"/>
      <c r="B11801" s="1136"/>
      <c r="C11801" s="1138"/>
    </row>
    <row r="11802" spans="1:3">
      <c r="A11802" s="1133"/>
      <c r="B11802" s="1136"/>
      <c r="C11802" s="1138"/>
    </row>
    <row r="11803" spans="1:3">
      <c r="A11803" s="1133"/>
      <c r="B11803" s="1136"/>
      <c r="C11803" s="1138"/>
    </row>
    <row r="11804" spans="1:3">
      <c r="A11804" s="1133"/>
      <c r="B11804" s="1136"/>
      <c r="C11804" s="1138"/>
    </row>
    <row r="11805" spans="1:3">
      <c r="A11805" s="1133"/>
      <c r="B11805" s="1136"/>
      <c r="C11805" s="1138"/>
    </row>
    <row r="11806" spans="1:3">
      <c r="A11806" s="1133"/>
      <c r="B11806" s="1136"/>
      <c r="C11806" s="1138"/>
    </row>
    <row r="11807" spans="1:3">
      <c r="A11807" s="1133"/>
      <c r="B11807" s="1136"/>
      <c r="C11807" s="1138"/>
    </row>
    <row r="11808" spans="1:3">
      <c r="A11808" s="1133"/>
      <c r="B11808" s="1136"/>
      <c r="C11808" s="1138"/>
    </row>
    <row r="11809" spans="1:3">
      <c r="A11809" s="1133"/>
      <c r="B11809" s="1136"/>
      <c r="C11809" s="1138"/>
    </row>
    <row r="11810" spans="1:3">
      <c r="A11810" s="1133"/>
      <c r="B11810" s="1136"/>
      <c r="C11810" s="1138"/>
    </row>
    <row r="11811" spans="1:3">
      <c r="A11811" s="1133"/>
      <c r="B11811" s="1136"/>
      <c r="C11811" s="1138"/>
    </row>
    <row r="11812" spans="1:3">
      <c r="A11812" s="1133"/>
      <c r="B11812" s="1136"/>
      <c r="C11812" s="1138"/>
    </row>
    <row r="11813" spans="1:3">
      <c r="A11813" s="1133"/>
      <c r="B11813" s="1136"/>
      <c r="C11813" s="1138"/>
    </row>
    <row r="11814" spans="1:3">
      <c r="A11814" s="1133"/>
      <c r="B11814" s="1136"/>
      <c r="C11814" s="1138"/>
    </row>
    <row r="11815" spans="1:3">
      <c r="A11815" s="1133"/>
      <c r="B11815" s="1136"/>
      <c r="C11815" s="1138"/>
    </row>
    <row r="11816" spans="1:3">
      <c r="A11816" s="1133"/>
      <c r="B11816" s="1136"/>
      <c r="C11816" s="1138"/>
    </row>
    <row r="11817" spans="1:3">
      <c r="A11817" s="1133"/>
      <c r="B11817" s="1136"/>
      <c r="C11817" s="1138"/>
    </row>
    <row r="11818" spans="1:3">
      <c r="A11818" s="1133"/>
      <c r="B11818" s="1136"/>
      <c r="C11818" s="1138"/>
    </row>
    <row r="11819" spans="1:3">
      <c r="A11819" s="1133"/>
      <c r="B11819" s="1136"/>
      <c r="C11819" s="1138"/>
    </row>
    <row r="11820" spans="1:3">
      <c r="A11820" s="1133"/>
      <c r="B11820" s="1136"/>
      <c r="C11820" s="1138"/>
    </row>
    <row r="11821" spans="1:3">
      <c r="A11821" s="1133"/>
      <c r="B11821" s="1136"/>
      <c r="C11821" s="1138"/>
    </row>
    <row r="11822" spans="1:3">
      <c r="A11822" s="1133"/>
      <c r="B11822" s="1136"/>
      <c r="C11822" s="1138"/>
    </row>
    <row r="11823" spans="1:3">
      <c r="A11823" s="1133"/>
      <c r="B11823" s="1136"/>
      <c r="C11823" s="1138"/>
    </row>
    <row r="11824" spans="1:3">
      <c r="A11824" s="1133"/>
      <c r="B11824" s="1136"/>
      <c r="C11824" s="1138"/>
    </row>
    <row r="11825" spans="1:3">
      <c r="A11825" s="1133"/>
      <c r="B11825" s="1136"/>
      <c r="C11825" s="1138"/>
    </row>
    <row r="11826" spans="1:3">
      <c r="A11826" s="1133"/>
      <c r="B11826" s="1136"/>
      <c r="C11826" s="1138"/>
    </row>
    <row r="11827" spans="1:3">
      <c r="A11827" s="1133"/>
      <c r="B11827" s="1136"/>
      <c r="C11827" s="1138"/>
    </row>
    <row r="11828" spans="1:3">
      <c r="A11828" s="1133"/>
      <c r="B11828" s="1136"/>
      <c r="C11828" s="1138"/>
    </row>
    <row r="11829" spans="1:3">
      <c r="A11829" s="1133"/>
      <c r="B11829" s="1136"/>
      <c r="C11829" s="1138"/>
    </row>
    <row r="11830" spans="1:3">
      <c r="A11830" s="1133"/>
      <c r="B11830" s="1136"/>
      <c r="C11830" s="1138"/>
    </row>
    <row r="11831" spans="1:3">
      <c r="A11831" s="1133"/>
      <c r="B11831" s="1136"/>
      <c r="C11831" s="1138"/>
    </row>
    <row r="11832" spans="1:3">
      <c r="A11832" s="1133"/>
      <c r="B11832" s="1136"/>
      <c r="C11832" s="1138"/>
    </row>
    <row r="11833" spans="1:3">
      <c r="A11833" s="1133"/>
      <c r="B11833" s="1136"/>
      <c r="C11833" s="1138"/>
    </row>
    <row r="11834" spans="1:3">
      <c r="A11834" s="1133"/>
      <c r="B11834" s="1136"/>
      <c r="C11834" s="1138"/>
    </row>
    <row r="11835" spans="1:3">
      <c r="A11835" s="1133"/>
      <c r="B11835" s="1136"/>
      <c r="C11835" s="1138"/>
    </row>
    <row r="11836" spans="1:3">
      <c r="A11836" s="1133"/>
      <c r="B11836" s="1136"/>
      <c r="C11836" s="1138"/>
    </row>
    <row r="11837" spans="1:3">
      <c r="A11837" s="1133"/>
      <c r="B11837" s="1136"/>
      <c r="C11837" s="1138"/>
    </row>
    <row r="11838" spans="1:3">
      <c r="A11838" s="1133"/>
      <c r="B11838" s="1136"/>
      <c r="C11838" s="1138"/>
    </row>
    <row r="11839" spans="1:3">
      <c r="A11839" s="1133"/>
      <c r="B11839" s="1136"/>
      <c r="C11839" s="1138"/>
    </row>
    <row r="11840" spans="1:3">
      <c r="A11840" s="1133"/>
      <c r="B11840" s="1136"/>
      <c r="C11840" s="1138"/>
    </row>
    <row r="11841" spans="1:3">
      <c r="A11841" s="1133"/>
      <c r="B11841" s="1136"/>
      <c r="C11841" s="1138"/>
    </row>
    <row r="11842" spans="1:3">
      <c r="A11842" s="1133"/>
      <c r="B11842" s="1136"/>
      <c r="C11842" s="1138"/>
    </row>
    <row r="11843" spans="1:3">
      <c r="A11843" s="1133"/>
      <c r="B11843" s="1136"/>
      <c r="C11843" s="1138"/>
    </row>
    <row r="11844" spans="1:3">
      <c r="A11844" s="1133"/>
      <c r="B11844" s="1136"/>
      <c r="C11844" s="1138"/>
    </row>
    <row r="11845" spans="1:3">
      <c r="A11845" s="1133"/>
      <c r="B11845" s="1136"/>
      <c r="C11845" s="1138"/>
    </row>
    <row r="11846" spans="1:3">
      <c r="A11846" s="1133"/>
      <c r="B11846" s="1136"/>
      <c r="C11846" s="1138"/>
    </row>
    <row r="11847" spans="1:3">
      <c r="A11847" s="1133"/>
      <c r="B11847" s="1136"/>
      <c r="C11847" s="1138"/>
    </row>
    <row r="11848" spans="1:3">
      <c r="A11848" s="1133"/>
      <c r="B11848" s="1136"/>
      <c r="C11848" s="1138"/>
    </row>
    <row r="11849" spans="1:3">
      <c r="A11849" s="1133"/>
      <c r="B11849" s="1136"/>
      <c r="C11849" s="1138"/>
    </row>
    <row r="11850" spans="1:3">
      <c r="A11850" s="1133"/>
      <c r="B11850" s="1136"/>
      <c r="C11850" s="1138"/>
    </row>
    <row r="11851" spans="1:3">
      <c r="A11851" s="1133"/>
      <c r="B11851" s="1136"/>
      <c r="C11851" s="1138"/>
    </row>
    <row r="11852" spans="1:3">
      <c r="A11852" s="1133"/>
      <c r="B11852" s="1136"/>
      <c r="C11852" s="1138"/>
    </row>
    <row r="11853" spans="1:3">
      <c r="A11853" s="1133"/>
      <c r="B11853" s="1136"/>
      <c r="C11853" s="1138"/>
    </row>
    <row r="11854" spans="1:3">
      <c r="A11854" s="1133"/>
      <c r="B11854" s="1136"/>
      <c r="C11854" s="1138"/>
    </row>
    <row r="11855" spans="1:3">
      <c r="A11855" s="1133"/>
      <c r="B11855" s="1136"/>
      <c r="C11855" s="1138"/>
    </row>
    <row r="11856" spans="1:3">
      <c r="A11856" s="1133"/>
      <c r="B11856" s="1136"/>
      <c r="C11856" s="1138"/>
    </row>
    <row r="11857" spans="1:3">
      <c r="A11857" s="1133"/>
      <c r="B11857" s="1136"/>
      <c r="C11857" s="1138"/>
    </row>
    <row r="11858" spans="1:3">
      <c r="A11858" s="1133"/>
      <c r="B11858" s="1136"/>
      <c r="C11858" s="1138"/>
    </row>
    <row r="11859" spans="1:3">
      <c r="A11859" s="1133"/>
      <c r="B11859" s="1136"/>
      <c r="C11859" s="1138"/>
    </row>
    <row r="11860" spans="1:3">
      <c r="A11860" s="1133"/>
      <c r="B11860" s="1136"/>
      <c r="C11860" s="1138"/>
    </row>
    <row r="11861" spans="1:3">
      <c r="A11861" s="1133"/>
      <c r="B11861" s="1136"/>
      <c r="C11861" s="1138"/>
    </row>
    <row r="11862" spans="1:3">
      <c r="A11862" s="1133"/>
      <c r="B11862" s="1136"/>
      <c r="C11862" s="1138"/>
    </row>
    <row r="11863" spans="1:3">
      <c r="A11863" s="1133"/>
      <c r="B11863" s="1136"/>
      <c r="C11863" s="1138"/>
    </row>
    <row r="11864" spans="1:3">
      <c r="A11864" s="1133"/>
      <c r="B11864" s="1136"/>
      <c r="C11864" s="1138"/>
    </row>
    <row r="11865" spans="1:3">
      <c r="A11865" s="1133"/>
      <c r="B11865" s="1136"/>
      <c r="C11865" s="1138"/>
    </row>
    <row r="11866" spans="1:3">
      <c r="A11866" s="1133"/>
      <c r="B11866" s="1136"/>
      <c r="C11866" s="1138"/>
    </row>
    <row r="11867" spans="1:3">
      <c r="A11867" s="1133"/>
      <c r="B11867" s="1136"/>
      <c r="C11867" s="1138"/>
    </row>
    <row r="11868" spans="1:3">
      <c r="A11868" s="1133"/>
      <c r="B11868" s="1136"/>
      <c r="C11868" s="1138"/>
    </row>
    <row r="11869" spans="1:3">
      <c r="A11869" s="1133"/>
      <c r="B11869" s="1136"/>
      <c r="C11869" s="1138"/>
    </row>
    <row r="11870" spans="1:3">
      <c r="A11870" s="1133"/>
      <c r="B11870" s="1136"/>
      <c r="C11870" s="1138"/>
    </row>
    <row r="11871" spans="1:3">
      <c r="A11871" s="1133"/>
      <c r="B11871" s="1136"/>
      <c r="C11871" s="1138"/>
    </row>
    <row r="11872" spans="1:3">
      <c r="A11872" s="1133"/>
      <c r="B11872" s="1136"/>
      <c r="C11872" s="1138"/>
    </row>
    <row r="11873" spans="1:3">
      <c r="A11873" s="1133"/>
      <c r="B11873" s="1136"/>
      <c r="C11873" s="1138"/>
    </row>
    <row r="11874" spans="1:3">
      <c r="A11874" s="1133"/>
      <c r="B11874" s="1136"/>
      <c r="C11874" s="1138"/>
    </row>
    <row r="11875" spans="1:3">
      <c r="A11875" s="1133"/>
      <c r="B11875" s="1136"/>
      <c r="C11875" s="1138"/>
    </row>
    <row r="11876" spans="1:3">
      <c r="A11876" s="1133"/>
      <c r="B11876" s="1136"/>
      <c r="C11876" s="1138"/>
    </row>
    <row r="11877" spans="1:3">
      <c r="A11877" s="1133"/>
      <c r="B11877" s="1136"/>
      <c r="C11877" s="1138"/>
    </row>
    <row r="11878" spans="1:3">
      <c r="A11878" s="1133"/>
      <c r="B11878" s="1136"/>
      <c r="C11878" s="1138"/>
    </row>
    <row r="11879" spans="1:3">
      <c r="A11879" s="1133"/>
      <c r="B11879" s="1136"/>
      <c r="C11879" s="1138"/>
    </row>
    <row r="11880" spans="1:3">
      <c r="A11880" s="1133"/>
      <c r="B11880" s="1136"/>
      <c r="C11880" s="1138"/>
    </row>
    <row r="11881" spans="1:3">
      <c r="A11881" s="1133"/>
      <c r="B11881" s="1136"/>
      <c r="C11881" s="1138"/>
    </row>
    <row r="11882" spans="1:3">
      <c r="A11882" s="1133"/>
      <c r="B11882" s="1136"/>
      <c r="C11882" s="1138"/>
    </row>
    <row r="11883" spans="1:3">
      <c r="A11883" s="1133"/>
      <c r="B11883" s="1136"/>
      <c r="C11883" s="1138"/>
    </row>
    <row r="11884" spans="1:3">
      <c r="A11884" s="1133"/>
      <c r="B11884" s="1136"/>
      <c r="C11884" s="1138"/>
    </row>
    <row r="11885" spans="1:3">
      <c r="A11885" s="1133"/>
      <c r="B11885" s="1136"/>
      <c r="C11885" s="1138"/>
    </row>
    <row r="11886" spans="1:3">
      <c r="A11886" s="1133"/>
      <c r="B11886" s="1136"/>
      <c r="C11886" s="1138"/>
    </row>
    <row r="11887" spans="1:3">
      <c r="A11887" s="1133"/>
      <c r="B11887" s="1136"/>
      <c r="C11887" s="1138"/>
    </row>
    <row r="11888" spans="1:3">
      <c r="A11888" s="1133"/>
      <c r="B11888" s="1136"/>
      <c r="C11888" s="1138"/>
    </row>
    <row r="11889" spans="1:3">
      <c r="A11889" s="1133"/>
      <c r="B11889" s="1136"/>
      <c r="C11889" s="1138"/>
    </row>
    <row r="11890" spans="1:3">
      <c r="A11890" s="1133"/>
      <c r="B11890" s="1136"/>
      <c r="C11890" s="1138"/>
    </row>
    <row r="11891" spans="1:3">
      <c r="A11891" s="1133"/>
      <c r="B11891" s="1136"/>
      <c r="C11891" s="1138"/>
    </row>
    <row r="11892" spans="1:3">
      <c r="A11892" s="1133"/>
      <c r="B11892" s="1136"/>
      <c r="C11892" s="1138"/>
    </row>
    <row r="11893" spans="1:3">
      <c r="A11893" s="1133"/>
      <c r="B11893" s="1136"/>
      <c r="C11893" s="1138"/>
    </row>
    <row r="11894" spans="1:3">
      <c r="A11894" s="1133"/>
      <c r="B11894" s="1136"/>
      <c r="C11894" s="1138"/>
    </row>
    <row r="11895" spans="1:3">
      <c r="A11895" s="1133"/>
      <c r="B11895" s="1136"/>
      <c r="C11895" s="1138"/>
    </row>
    <row r="11896" spans="1:3">
      <c r="A11896" s="1133"/>
      <c r="B11896" s="1136"/>
      <c r="C11896" s="1138"/>
    </row>
    <row r="11897" spans="1:3">
      <c r="A11897" s="1133"/>
      <c r="B11897" s="1136"/>
      <c r="C11897" s="1138"/>
    </row>
    <row r="11898" spans="1:3">
      <c r="A11898" s="1133"/>
      <c r="B11898" s="1136"/>
      <c r="C11898" s="1138"/>
    </row>
    <row r="11899" spans="1:3">
      <c r="A11899" s="1133"/>
      <c r="B11899" s="1136"/>
      <c r="C11899" s="1138"/>
    </row>
    <row r="11900" spans="1:3">
      <c r="A11900" s="1133"/>
      <c r="B11900" s="1136"/>
      <c r="C11900" s="1138"/>
    </row>
    <row r="11901" spans="1:3">
      <c r="A11901" s="1133"/>
      <c r="B11901" s="1136"/>
      <c r="C11901" s="1138"/>
    </row>
    <row r="11902" spans="1:3">
      <c r="A11902" s="1133"/>
      <c r="B11902" s="1136"/>
      <c r="C11902" s="1138"/>
    </row>
    <row r="11903" spans="1:3">
      <c r="A11903" s="1133"/>
      <c r="B11903" s="1136"/>
      <c r="C11903" s="1138"/>
    </row>
    <row r="11904" spans="1:3">
      <c r="A11904" s="1133"/>
      <c r="B11904" s="1136"/>
      <c r="C11904" s="1138"/>
    </row>
    <row r="11905" spans="1:3">
      <c r="A11905" s="1133"/>
      <c r="B11905" s="1136"/>
      <c r="C11905" s="1138"/>
    </row>
    <row r="11906" spans="1:3">
      <c r="A11906" s="1133"/>
      <c r="B11906" s="1136"/>
      <c r="C11906" s="1138"/>
    </row>
    <row r="11907" spans="1:3">
      <c r="A11907" s="1133"/>
      <c r="B11907" s="1136"/>
      <c r="C11907" s="1138"/>
    </row>
    <row r="11908" spans="1:3">
      <c r="A11908" s="1133"/>
      <c r="B11908" s="1136"/>
      <c r="C11908" s="1138"/>
    </row>
    <row r="11909" spans="1:3">
      <c r="A11909" s="1133"/>
      <c r="B11909" s="1136"/>
      <c r="C11909" s="1138"/>
    </row>
    <row r="11910" spans="1:3">
      <c r="A11910" s="1133"/>
      <c r="B11910" s="1136"/>
      <c r="C11910" s="1138"/>
    </row>
    <row r="11911" spans="1:3">
      <c r="A11911" s="1133"/>
      <c r="B11911" s="1136"/>
      <c r="C11911" s="1138"/>
    </row>
    <row r="11912" spans="1:3">
      <c r="A11912" s="1133"/>
      <c r="B11912" s="1136"/>
      <c r="C11912" s="1138"/>
    </row>
    <row r="11913" spans="1:3">
      <c r="A11913" s="1133"/>
      <c r="B11913" s="1136"/>
      <c r="C11913" s="1138"/>
    </row>
    <row r="11914" spans="1:3">
      <c r="A11914" s="1133"/>
      <c r="B11914" s="1136"/>
      <c r="C11914" s="1138"/>
    </row>
    <row r="11915" spans="1:3">
      <c r="A11915" s="1133"/>
      <c r="B11915" s="1136"/>
      <c r="C11915" s="1138"/>
    </row>
    <row r="11916" spans="1:3">
      <c r="A11916" s="1133"/>
      <c r="B11916" s="1136"/>
      <c r="C11916" s="1138"/>
    </row>
    <row r="11917" spans="1:3">
      <c r="A11917" s="1133"/>
      <c r="B11917" s="1136"/>
      <c r="C11917" s="1138"/>
    </row>
    <row r="11918" spans="1:3">
      <c r="A11918" s="1133"/>
      <c r="B11918" s="1136"/>
      <c r="C11918" s="1138"/>
    </row>
    <row r="11919" spans="1:3">
      <c r="A11919" s="1133"/>
      <c r="B11919" s="1136"/>
      <c r="C11919" s="1138"/>
    </row>
    <row r="11920" spans="1:3">
      <c r="A11920" s="1133"/>
      <c r="B11920" s="1136"/>
      <c r="C11920" s="1138"/>
    </row>
    <row r="11921" spans="1:3">
      <c r="A11921" s="1133"/>
      <c r="B11921" s="1136"/>
      <c r="C11921" s="1138"/>
    </row>
    <row r="11922" spans="1:3">
      <c r="A11922" s="1133"/>
      <c r="B11922" s="1136"/>
      <c r="C11922" s="1138"/>
    </row>
    <row r="11923" spans="1:3">
      <c r="A11923" s="1133"/>
      <c r="B11923" s="1136"/>
      <c r="C11923" s="1138"/>
    </row>
    <row r="11924" spans="1:3">
      <c r="A11924" s="1133"/>
      <c r="B11924" s="1136"/>
      <c r="C11924" s="1138"/>
    </row>
    <row r="11925" spans="1:3">
      <c r="A11925" s="1133"/>
      <c r="B11925" s="1136"/>
      <c r="C11925" s="1138"/>
    </row>
    <row r="11926" spans="1:3">
      <c r="A11926" s="1133"/>
      <c r="B11926" s="1136"/>
      <c r="C11926" s="1138"/>
    </row>
    <row r="11927" spans="1:3">
      <c r="A11927" s="1133"/>
      <c r="B11927" s="1136"/>
      <c r="C11927" s="1138"/>
    </row>
    <row r="11928" spans="1:3">
      <c r="A11928" s="1133"/>
      <c r="B11928" s="1136"/>
      <c r="C11928" s="1138"/>
    </row>
    <row r="11929" spans="1:3">
      <c r="A11929" s="1133"/>
      <c r="B11929" s="1136"/>
      <c r="C11929" s="1138"/>
    </row>
    <row r="11930" spans="1:3">
      <c r="A11930" s="1133"/>
      <c r="B11930" s="1136"/>
      <c r="C11930" s="1138"/>
    </row>
    <row r="11931" spans="1:3">
      <c r="A11931" s="1133"/>
      <c r="B11931" s="1136"/>
      <c r="C11931" s="1138"/>
    </row>
    <row r="11932" spans="1:3">
      <c r="A11932" s="1133"/>
      <c r="B11932" s="1136"/>
      <c r="C11932" s="1138"/>
    </row>
    <row r="11933" spans="1:3">
      <c r="A11933" s="1133"/>
      <c r="B11933" s="1136"/>
      <c r="C11933" s="1138"/>
    </row>
    <row r="11934" spans="1:3">
      <c r="A11934" s="1133"/>
      <c r="B11934" s="1136"/>
      <c r="C11934" s="1138"/>
    </row>
    <row r="11935" spans="1:3">
      <c r="A11935" s="1133"/>
      <c r="B11935" s="1136"/>
      <c r="C11935" s="1138"/>
    </row>
    <row r="11936" spans="1:3">
      <c r="A11936" s="1133"/>
      <c r="B11936" s="1136"/>
      <c r="C11936" s="1138"/>
    </row>
    <row r="11937" spans="1:3">
      <c r="A11937" s="1133"/>
      <c r="B11937" s="1136"/>
      <c r="C11937" s="1138"/>
    </row>
    <row r="11938" spans="1:3">
      <c r="A11938" s="1133"/>
      <c r="B11938" s="1136"/>
      <c r="C11938" s="1138"/>
    </row>
    <row r="11939" spans="1:3">
      <c r="A11939" s="1133"/>
      <c r="B11939" s="1136"/>
      <c r="C11939" s="1138"/>
    </row>
    <row r="11940" spans="1:3">
      <c r="A11940" s="1133"/>
      <c r="B11940" s="1136"/>
      <c r="C11940" s="1138"/>
    </row>
    <row r="11941" spans="1:3">
      <c r="A11941" s="1133"/>
      <c r="B11941" s="1136"/>
      <c r="C11941" s="1138"/>
    </row>
    <row r="11942" spans="1:3">
      <c r="A11942" s="1133"/>
      <c r="B11942" s="1136"/>
      <c r="C11942" s="1138"/>
    </row>
    <row r="11943" spans="1:3">
      <c r="A11943" s="1133"/>
      <c r="B11943" s="1136"/>
      <c r="C11943" s="1138"/>
    </row>
    <row r="11944" spans="1:3">
      <c r="A11944" s="1133"/>
      <c r="B11944" s="1136"/>
      <c r="C11944" s="1138"/>
    </row>
    <row r="11945" spans="1:3">
      <c r="A11945" s="1133"/>
      <c r="B11945" s="1136"/>
      <c r="C11945" s="1138"/>
    </row>
    <row r="11946" spans="1:3">
      <c r="A11946" s="1133"/>
      <c r="B11946" s="1136"/>
      <c r="C11946" s="1138"/>
    </row>
    <row r="11947" spans="1:3">
      <c r="A11947" s="1133"/>
      <c r="B11947" s="1136"/>
      <c r="C11947" s="1138"/>
    </row>
    <row r="11948" spans="1:3">
      <c r="A11948" s="1133"/>
      <c r="B11948" s="1136"/>
      <c r="C11948" s="1138"/>
    </row>
    <row r="11949" spans="1:3">
      <c r="A11949" s="1133"/>
      <c r="B11949" s="1136"/>
      <c r="C11949" s="1138"/>
    </row>
    <row r="11950" spans="1:3">
      <c r="A11950" s="1133"/>
      <c r="B11950" s="1136"/>
      <c r="C11950" s="1138"/>
    </row>
    <row r="11951" spans="1:3">
      <c r="A11951" s="1133"/>
      <c r="B11951" s="1136"/>
      <c r="C11951" s="1138"/>
    </row>
    <row r="11952" spans="1:3">
      <c r="A11952" s="1133"/>
      <c r="B11952" s="1136"/>
      <c r="C11952" s="1138"/>
    </row>
    <row r="11953" spans="1:3">
      <c r="A11953" s="1133"/>
      <c r="B11953" s="1136"/>
      <c r="C11953" s="1138"/>
    </row>
    <row r="11954" spans="1:3">
      <c r="A11954" s="1133"/>
      <c r="B11954" s="1136"/>
      <c r="C11954" s="1138"/>
    </row>
    <row r="11955" spans="1:3">
      <c r="A11955" s="1133"/>
      <c r="B11955" s="1136"/>
      <c r="C11955" s="1138"/>
    </row>
    <row r="11956" spans="1:3">
      <c r="A11956" s="1133"/>
      <c r="B11956" s="1136"/>
      <c r="C11956" s="1138"/>
    </row>
    <row r="11957" spans="1:3">
      <c r="A11957" s="1133"/>
      <c r="B11957" s="1136"/>
      <c r="C11957" s="1138"/>
    </row>
    <row r="11958" spans="1:3">
      <c r="A11958" s="1133"/>
      <c r="B11958" s="1136"/>
      <c r="C11958" s="1138"/>
    </row>
    <row r="11959" spans="1:3">
      <c r="A11959" s="1133"/>
      <c r="B11959" s="1136"/>
      <c r="C11959" s="1138"/>
    </row>
    <row r="11960" spans="1:3">
      <c r="A11960" s="1133"/>
      <c r="B11960" s="1136"/>
      <c r="C11960" s="1138"/>
    </row>
    <row r="11961" spans="1:3">
      <c r="A11961" s="1133"/>
      <c r="B11961" s="1136"/>
      <c r="C11961" s="1138"/>
    </row>
    <row r="11962" spans="1:3">
      <c r="A11962" s="1133"/>
      <c r="B11962" s="1136"/>
      <c r="C11962" s="1138"/>
    </row>
    <row r="11963" spans="1:3">
      <c r="A11963" s="1133"/>
      <c r="B11963" s="1136"/>
      <c r="C11963" s="1138"/>
    </row>
    <row r="11964" spans="1:3">
      <c r="A11964" s="1133"/>
      <c r="B11964" s="1136"/>
      <c r="C11964" s="1138"/>
    </row>
    <row r="11965" spans="1:3">
      <c r="A11965" s="1133"/>
      <c r="B11965" s="1136"/>
      <c r="C11965" s="1138"/>
    </row>
    <row r="11966" spans="1:3">
      <c r="A11966" s="1133"/>
      <c r="B11966" s="1136"/>
      <c r="C11966" s="1138"/>
    </row>
    <row r="11967" spans="1:3">
      <c r="A11967" s="1133"/>
      <c r="B11967" s="1136"/>
      <c r="C11967" s="1138"/>
    </row>
    <row r="11968" spans="1:3">
      <c r="A11968" s="1133"/>
      <c r="B11968" s="1136"/>
      <c r="C11968" s="1138"/>
    </row>
    <row r="11969" spans="1:3">
      <c r="A11969" s="1133"/>
      <c r="B11969" s="1136"/>
      <c r="C11969" s="1138"/>
    </row>
    <row r="11970" spans="1:3">
      <c r="A11970" s="1133"/>
      <c r="B11970" s="1136"/>
      <c r="C11970" s="1138"/>
    </row>
    <row r="11971" spans="1:3">
      <c r="A11971" s="1133"/>
      <c r="B11971" s="1136"/>
      <c r="C11971" s="1138"/>
    </row>
    <row r="11972" spans="1:3">
      <c r="A11972" s="1133"/>
      <c r="B11972" s="1136"/>
      <c r="C11972" s="1138"/>
    </row>
    <row r="11973" spans="1:3">
      <c r="A11973" s="1133"/>
      <c r="B11973" s="1136"/>
      <c r="C11973" s="1138"/>
    </row>
    <row r="11974" spans="1:3">
      <c r="A11974" s="1133"/>
      <c r="B11974" s="1136"/>
      <c r="C11974" s="1138"/>
    </row>
    <row r="11975" spans="1:3">
      <c r="A11975" s="1133"/>
      <c r="B11975" s="1136"/>
      <c r="C11975" s="1138"/>
    </row>
    <row r="11976" spans="1:3">
      <c r="A11976" s="1133"/>
      <c r="B11976" s="1136"/>
      <c r="C11976" s="1138"/>
    </row>
    <row r="11977" spans="1:3">
      <c r="A11977" s="1133"/>
      <c r="B11977" s="1136"/>
      <c r="C11977" s="1138"/>
    </row>
    <row r="11978" spans="1:3">
      <c r="A11978" s="1133"/>
      <c r="B11978" s="1136"/>
      <c r="C11978" s="1138"/>
    </row>
    <row r="11979" spans="1:3">
      <c r="A11979" s="1133"/>
      <c r="B11979" s="1136"/>
      <c r="C11979" s="1138"/>
    </row>
    <row r="11980" spans="1:3">
      <c r="A11980" s="1133"/>
      <c r="B11980" s="1136"/>
      <c r="C11980" s="1138"/>
    </row>
    <row r="11981" spans="1:3">
      <c r="A11981" s="1133"/>
      <c r="B11981" s="1136"/>
      <c r="C11981" s="1138"/>
    </row>
    <row r="11982" spans="1:3">
      <c r="A11982" s="1133"/>
      <c r="B11982" s="1136"/>
      <c r="C11982" s="1138"/>
    </row>
    <row r="11983" spans="1:3">
      <c r="A11983" s="1133"/>
      <c r="B11983" s="1136"/>
      <c r="C11983" s="1138"/>
    </row>
    <row r="11984" spans="1:3">
      <c r="A11984" s="1133"/>
      <c r="B11984" s="1136"/>
      <c r="C11984" s="1138"/>
    </row>
    <row r="11985" spans="1:3">
      <c r="A11985" s="1133"/>
      <c r="B11985" s="1136"/>
      <c r="C11985" s="1138"/>
    </row>
    <row r="11986" spans="1:3">
      <c r="A11986" s="1133"/>
      <c r="B11986" s="1136"/>
      <c r="C11986" s="1138"/>
    </row>
    <row r="11987" spans="1:3">
      <c r="A11987" s="1133"/>
      <c r="B11987" s="1136"/>
      <c r="C11987" s="1138"/>
    </row>
    <row r="11988" spans="1:3">
      <c r="A11988" s="1133"/>
      <c r="B11988" s="1136"/>
      <c r="C11988" s="1138"/>
    </row>
    <row r="11989" spans="1:3">
      <c r="A11989" s="1133"/>
      <c r="B11989" s="1136"/>
      <c r="C11989" s="1138"/>
    </row>
    <row r="11990" spans="1:3">
      <c r="A11990" s="1133"/>
      <c r="B11990" s="1136"/>
      <c r="C11990" s="1138"/>
    </row>
    <row r="11991" spans="1:3">
      <c r="A11991" s="1133"/>
      <c r="B11991" s="1136"/>
      <c r="C11991" s="1138"/>
    </row>
    <row r="11992" spans="1:3">
      <c r="A11992" s="1133"/>
      <c r="B11992" s="1136"/>
      <c r="C11992" s="1138"/>
    </row>
    <row r="11993" spans="1:3">
      <c r="A11993" s="1133"/>
      <c r="B11993" s="1136"/>
      <c r="C11993" s="1138"/>
    </row>
    <row r="11994" spans="1:3">
      <c r="A11994" s="1133"/>
      <c r="B11994" s="1136"/>
      <c r="C11994" s="1138"/>
    </row>
    <row r="11995" spans="1:3">
      <c r="A11995" s="1133"/>
      <c r="B11995" s="1136"/>
      <c r="C11995" s="1138"/>
    </row>
    <row r="11996" spans="1:3">
      <c r="A11996" s="1133"/>
      <c r="B11996" s="1136"/>
      <c r="C11996" s="1138"/>
    </row>
    <row r="11997" spans="1:3">
      <c r="A11997" s="1133"/>
      <c r="B11997" s="1136"/>
      <c r="C11997" s="1138"/>
    </row>
    <row r="11998" spans="1:3">
      <c r="A11998" s="1133"/>
      <c r="B11998" s="1136"/>
      <c r="C11998" s="1138"/>
    </row>
    <row r="11999" spans="1:3">
      <c r="A11999" s="1133"/>
      <c r="B11999" s="1136"/>
      <c r="C11999" s="1138"/>
    </row>
    <row r="12000" spans="1:3">
      <c r="A12000" s="1133"/>
      <c r="B12000" s="1136"/>
      <c r="C12000" s="1138"/>
    </row>
    <row r="12001" spans="1:3">
      <c r="A12001" s="1133"/>
      <c r="B12001" s="1136"/>
      <c r="C12001" s="1138"/>
    </row>
    <row r="12002" spans="1:3">
      <c r="A12002" s="1133"/>
      <c r="B12002" s="1136"/>
      <c r="C12002" s="1138"/>
    </row>
    <row r="12003" spans="1:3">
      <c r="A12003" s="1133"/>
      <c r="B12003" s="1136"/>
      <c r="C12003" s="1138"/>
    </row>
    <row r="12004" spans="1:3">
      <c r="A12004" s="1133"/>
      <c r="B12004" s="1136"/>
      <c r="C12004" s="1138"/>
    </row>
    <row r="12005" spans="1:3">
      <c r="A12005" s="1133"/>
      <c r="B12005" s="1136"/>
      <c r="C12005" s="1138"/>
    </row>
    <row r="12006" spans="1:3">
      <c r="A12006" s="1133"/>
      <c r="B12006" s="1136"/>
      <c r="C12006" s="1138"/>
    </row>
    <row r="12007" spans="1:3">
      <c r="A12007" s="1133"/>
      <c r="B12007" s="1136"/>
      <c r="C12007" s="1138"/>
    </row>
    <row r="12008" spans="1:3">
      <c r="A12008" s="1133"/>
      <c r="B12008" s="1136"/>
      <c r="C12008" s="1138"/>
    </row>
    <row r="12009" spans="1:3">
      <c r="A12009" s="1133"/>
      <c r="B12009" s="1136"/>
      <c r="C12009" s="1138"/>
    </row>
    <row r="12010" spans="1:3">
      <c r="A12010" s="1133"/>
      <c r="B12010" s="1136"/>
      <c r="C12010" s="1138"/>
    </row>
    <row r="12011" spans="1:3">
      <c r="A12011" s="1133"/>
      <c r="B12011" s="1136"/>
      <c r="C12011" s="1138"/>
    </row>
    <row r="12012" spans="1:3">
      <c r="A12012" s="1133"/>
      <c r="B12012" s="1136"/>
      <c r="C12012" s="1138"/>
    </row>
    <row r="12013" spans="1:3">
      <c r="A12013" s="1133"/>
      <c r="B12013" s="1136"/>
      <c r="C12013" s="1138"/>
    </row>
    <row r="12014" spans="1:3">
      <c r="A12014" s="1133"/>
      <c r="B12014" s="1136"/>
      <c r="C12014" s="1138"/>
    </row>
    <row r="12015" spans="1:3">
      <c r="A12015" s="1133"/>
      <c r="B12015" s="1136"/>
      <c r="C12015" s="1138"/>
    </row>
    <row r="12016" spans="1:3">
      <c r="A12016" s="1133"/>
      <c r="B12016" s="1136"/>
      <c r="C12016" s="1138"/>
    </row>
    <row r="12017" spans="1:3">
      <c r="A12017" s="1133"/>
      <c r="B12017" s="1136"/>
      <c r="C12017" s="1138"/>
    </row>
    <row r="12018" spans="1:3">
      <c r="A12018" s="1133"/>
      <c r="B12018" s="1136"/>
      <c r="C12018" s="1138"/>
    </row>
    <row r="12019" spans="1:3">
      <c r="A12019" s="1133"/>
      <c r="B12019" s="1136"/>
      <c r="C12019" s="1138"/>
    </row>
    <row r="12020" spans="1:3">
      <c r="A12020" s="1133"/>
      <c r="B12020" s="1136"/>
      <c r="C12020" s="1138"/>
    </row>
    <row r="12021" spans="1:3">
      <c r="A12021" s="1133"/>
      <c r="B12021" s="1136"/>
      <c r="C12021" s="1138"/>
    </row>
    <row r="12022" spans="1:3">
      <c r="A12022" s="1133"/>
      <c r="B12022" s="1136"/>
      <c r="C12022" s="1138"/>
    </row>
    <row r="12023" spans="1:3">
      <c r="A12023" s="1133"/>
      <c r="B12023" s="1136"/>
      <c r="C12023" s="1138"/>
    </row>
    <row r="12024" spans="1:3">
      <c r="A12024" s="1133"/>
      <c r="B12024" s="1136"/>
      <c r="C12024" s="1138"/>
    </row>
    <row r="12025" spans="1:3">
      <c r="A12025" s="1133"/>
      <c r="B12025" s="1136"/>
      <c r="C12025" s="1138"/>
    </row>
    <row r="12026" spans="1:3">
      <c r="A12026" s="1133"/>
      <c r="B12026" s="1136"/>
      <c r="C12026" s="1138"/>
    </row>
    <row r="12027" spans="1:3">
      <c r="A12027" s="1133"/>
      <c r="B12027" s="1136"/>
      <c r="C12027" s="1138"/>
    </row>
    <row r="12028" spans="1:3">
      <c r="A12028" s="1133"/>
      <c r="B12028" s="1136"/>
      <c r="C12028" s="1138"/>
    </row>
    <row r="12029" spans="1:3">
      <c r="A12029" s="1133"/>
      <c r="B12029" s="1136"/>
      <c r="C12029" s="1138"/>
    </row>
    <row r="12030" spans="1:3">
      <c r="A12030" s="1133"/>
      <c r="B12030" s="1136"/>
      <c r="C12030" s="1138"/>
    </row>
    <row r="12031" spans="1:3">
      <c r="A12031" s="1133"/>
      <c r="B12031" s="1136"/>
      <c r="C12031" s="1138"/>
    </row>
    <row r="12032" spans="1:3">
      <c r="A12032" s="1133"/>
      <c r="B12032" s="1136"/>
      <c r="C12032" s="1138"/>
    </row>
    <row r="12033" spans="1:3">
      <c r="A12033" s="1133"/>
      <c r="B12033" s="1136"/>
      <c r="C12033" s="1138"/>
    </row>
    <row r="12034" spans="1:3">
      <c r="A12034" s="1133"/>
      <c r="B12034" s="1136"/>
      <c r="C12034" s="1138"/>
    </row>
    <row r="12035" spans="1:3">
      <c r="A12035" s="1133"/>
      <c r="B12035" s="1136"/>
      <c r="C12035" s="1138"/>
    </row>
    <row r="12036" spans="1:3">
      <c r="A12036" s="1133"/>
      <c r="B12036" s="1136"/>
      <c r="C12036" s="1138"/>
    </row>
    <row r="12037" spans="1:3">
      <c r="A12037" s="1133"/>
      <c r="B12037" s="1136"/>
      <c r="C12037" s="1138"/>
    </row>
    <row r="12038" spans="1:3">
      <c r="A12038" s="1133"/>
      <c r="B12038" s="1136"/>
      <c r="C12038" s="1138"/>
    </row>
    <row r="12039" spans="1:3">
      <c r="A12039" s="1133"/>
      <c r="B12039" s="1136"/>
      <c r="C12039" s="1138"/>
    </row>
    <row r="12040" spans="1:3">
      <c r="A12040" s="1133"/>
      <c r="B12040" s="1136"/>
      <c r="C12040" s="1138"/>
    </row>
    <row r="12041" spans="1:3">
      <c r="A12041" s="1133"/>
      <c r="B12041" s="1136"/>
      <c r="C12041" s="1138"/>
    </row>
    <row r="12042" spans="1:3">
      <c r="A12042" s="1133"/>
      <c r="B12042" s="1136"/>
      <c r="C12042" s="1138"/>
    </row>
    <row r="12043" spans="1:3">
      <c r="A12043" s="1133"/>
      <c r="B12043" s="1136"/>
      <c r="C12043" s="1138"/>
    </row>
    <row r="12044" spans="1:3">
      <c r="A12044" s="1133"/>
      <c r="B12044" s="1136"/>
      <c r="C12044" s="1138"/>
    </row>
    <row r="12045" spans="1:3">
      <c r="A12045" s="1133"/>
      <c r="B12045" s="1136"/>
      <c r="C12045" s="1138"/>
    </row>
    <row r="12046" spans="1:3">
      <c r="A12046" s="1133"/>
      <c r="B12046" s="1136"/>
      <c r="C12046" s="1138"/>
    </row>
    <row r="12047" spans="1:3">
      <c r="A12047" s="1133"/>
      <c r="B12047" s="1136"/>
      <c r="C12047" s="1138"/>
    </row>
    <row r="12048" spans="1:3">
      <c r="A12048" s="1133"/>
      <c r="B12048" s="1136"/>
      <c r="C12048" s="1138"/>
    </row>
    <row r="12049" spans="1:3">
      <c r="A12049" s="1133"/>
      <c r="B12049" s="1136"/>
      <c r="C12049" s="1138"/>
    </row>
    <row r="12050" spans="1:3">
      <c r="A12050" s="1133"/>
      <c r="B12050" s="1136"/>
      <c r="C12050" s="1138"/>
    </row>
    <row r="12051" spans="1:3">
      <c r="A12051" s="1133"/>
      <c r="B12051" s="1136"/>
      <c r="C12051" s="1138"/>
    </row>
    <row r="12052" spans="1:3">
      <c r="A12052" s="1133"/>
      <c r="B12052" s="1136"/>
      <c r="C12052" s="1138"/>
    </row>
    <row r="12053" spans="1:3">
      <c r="A12053" s="1133"/>
      <c r="B12053" s="1136"/>
      <c r="C12053" s="1138"/>
    </row>
    <row r="12054" spans="1:3">
      <c r="A12054" s="1133"/>
      <c r="B12054" s="1136"/>
      <c r="C12054" s="1138"/>
    </row>
    <row r="12055" spans="1:3">
      <c r="A12055" s="1133"/>
      <c r="B12055" s="1136"/>
      <c r="C12055" s="1138"/>
    </row>
    <row r="12056" spans="1:3">
      <c r="A12056" s="1133"/>
      <c r="B12056" s="1136"/>
      <c r="C12056" s="1138"/>
    </row>
    <row r="12057" spans="1:3">
      <c r="A12057" s="1133"/>
      <c r="B12057" s="1136"/>
      <c r="C12057" s="1138"/>
    </row>
    <row r="12058" spans="1:3">
      <c r="A12058" s="1133"/>
      <c r="B12058" s="1136"/>
      <c r="C12058" s="1138"/>
    </row>
    <row r="12059" spans="1:3">
      <c r="A12059" s="1133"/>
      <c r="B12059" s="1136"/>
      <c r="C12059" s="1138"/>
    </row>
    <row r="12060" spans="1:3">
      <c r="A12060" s="1133"/>
      <c r="B12060" s="1136"/>
      <c r="C12060" s="1138"/>
    </row>
    <row r="12061" spans="1:3">
      <c r="A12061" s="1133"/>
      <c r="B12061" s="1136"/>
      <c r="C12061" s="1138"/>
    </row>
    <row r="12062" spans="1:3">
      <c r="A12062" s="1133"/>
      <c r="B12062" s="1136"/>
      <c r="C12062" s="1138"/>
    </row>
    <row r="12063" spans="1:3">
      <c r="A12063" s="1133"/>
      <c r="B12063" s="1136"/>
      <c r="C12063" s="1138"/>
    </row>
    <row r="12064" spans="1:3">
      <c r="A12064" s="1133"/>
      <c r="B12064" s="1136"/>
      <c r="C12064" s="1138"/>
    </row>
    <row r="12065" spans="1:3">
      <c r="A12065" s="1133"/>
      <c r="B12065" s="1136"/>
      <c r="C12065" s="1138"/>
    </row>
    <row r="12066" spans="1:3">
      <c r="A12066" s="1133"/>
      <c r="B12066" s="1136"/>
      <c r="C12066" s="1138"/>
    </row>
    <row r="12067" spans="1:3">
      <c r="A12067" s="1133"/>
      <c r="B12067" s="1136"/>
      <c r="C12067" s="1138"/>
    </row>
    <row r="12068" spans="1:3">
      <c r="A12068" s="1133"/>
      <c r="B12068" s="1136"/>
      <c r="C12068" s="1138"/>
    </row>
    <row r="12069" spans="1:3">
      <c r="A12069" s="1133"/>
      <c r="B12069" s="1136"/>
      <c r="C12069" s="1138"/>
    </row>
    <row r="12070" spans="1:3">
      <c r="A12070" s="1133"/>
      <c r="B12070" s="1136"/>
      <c r="C12070" s="1138"/>
    </row>
    <row r="12071" spans="1:3">
      <c r="A12071" s="1133"/>
      <c r="B12071" s="1136"/>
      <c r="C12071" s="1138"/>
    </row>
    <row r="12072" spans="1:3">
      <c r="A12072" s="1133"/>
      <c r="B12072" s="1136"/>
      <c r="C12072" s="1138"/>
    </row>
    <row r="12073" spans="1:3">
      <c r="A12073" s="1133"/>
      <c r="B12073" s="1136"/>
      <c r="C12073" s="1138"/>
    </row>
    <row r="12074" spans="1:3">
      <c r="A12074" s="1133"/>
      <c r="B12074" s="1136"/>
      <c r="C12074" s="1138"/>
    </row>
    <row r="12075" spans="1:3">
      <c r="A12075" s="1133"/>
      <c r="B12075" s="1136"/>
      <c r="C12075" s="1138"/>
    </row>
    <row r="12076" spans="1:3">
      <c r="A12076" s="1133"/>
      <c r="B12076" s="1136"/>
      <c r="C12076" s="1138"/>
    </row>
    <row r="12077" spans="1:3">
      <c r="A12077" s="1133"/>
      <c r="B12077" s="1136"/>
      <c r="C12077" s="1138"/>
    </row>
    <row r="12078" spans="1:3">
      <c r="A12078" s="1133"/>
      <c r="B12078" s="1136"/>
      <c r="C12078" s="1138"/>
    </row>
    <row r="12079" spans="1:3">
      <c r="A12079" s="1133"/>
      <c r="B12079" s="1136"/>
      <c r="C12079" s="1138"/>
    </row>
    <row r="12080" spans="1:3">
      <c r="A12080" s="1133"/>
      <c r="B12080" s="1136"/>
      <c r="C12080" s="1138"/>
    </row>
    <row r="12081" spans="1:3">
      <c r="A12081" s="1133"/>
      <c r="B12081" s="1136"/>
      <c r="C12081" s="1138"/>
    </row>
    <row r="12082" spans="1:3">
      <c r="A12082" s="1133"/>
      <c r="B12082" s="1136"/>
      <c r="C12082" s="1138"/>
    </row>
    <row r="12083" spans="1:3">
      <c r="A12083" s="1133"/>
      <c r="B12083" s="1136"/>
      <c r="C12083" s="1138"/>
    </row>
    <row r="12084" spans="1:3">
      <c r="A12084" s="1133"/>
      <c r="B12084" s="1136"/>
      <c r="C12084" s="1138"/>
    </row>
    <row r="12085" spans="1:3">
      <c r="A12085" s="1133"/>
      <c r="B12085" s="1136"/>
      <c r="C12085" s="1138"/>
    </row>
    <row r="12086" spans="1:3">
      <c r="A12086" s="1133"/>
      <c r="B12086" s="1136"/>
      <c r="C12086" s="1138"/>
    </row>
    <row r="12087" spans="1:3">
      <c r="A12087" s="1133"/>
      <c r="B12087" s="1136"/>
      <c r="C12087" s="1138"/>
    </row>
    <row r="12088" spans="1:3">
      <c r="A12088" s="1133"/>
      <c r="B12088" s="1136"/>
      <c r="C12088" s="1138"/>
    </row>
    <row r="12089" spans="1:3">
      <c r="A12089" s="1133"/>
      <c r="B12089" s="1136"/>
      <c r="C12089" s="1138"/>
    </row>
    <row r="12090" spans="1:3">
      <c r="A12090" s="1133"/>
      <c r="B12090" s="1136"/>
      <c r="C12090" s="1138"/>
    </row>
    <row r="12091" spans="1:3">
      <c r="A12091" s="1133"/>
      <c r="B12091" s="1136"/>
      <c r="C12091" s="1138"/>
    </row>
    <row r="12092" spans="1:3">
      <c r="A12092" s="1133"/>
      <c r="B12092" s="1136"/>
      <c r="C12092" s="1138"/>
    </row>
    <row r="12093" spans="1:3">
      <c r="A12093" s="1133"/>
      <c r="B12093" s="1136"/>
      <c r="C12093" s="1138"/>
    </row>
    <row r="12094" spans="1:3">
      <c r="A12094" s="1133"/>
      <c r="B12094" s="1136"/>
      <c r="C12094" s="1138"/>
    </row>
    <row r="12095" spans="1:3">
      <c r="A12095" s="1133"/>
      <c r="B12095" s="1136"/>
      <c r="C12095" s="1138"/>
    </row>
    <row r="12096" spans="1:3">
      <c r="A12096" s="1133"/>
      <c r="B12096" s="1136"/>
      <c r="C12096" s="1138"/>
    </row>
    <row r="12097" spans="1:3">
      <c r="A12097" s="1133"/>
      <c r="B12097" s="1136"/>
      <c r="C12097" s="1138"/>
    </row>
    <row r="12098" spans="1:3">
      <c r="A12098" s="1133"/>
      <c r="B12098" s="1136"/>
      <c r="C12098" s="1138"/>
    </row>
    <row r="12099" spans="1:3">
      <c r="A12099" s="1133"/>
      <c r="B12099" s="1136"/>
      <c r="C12099" s="1138"/>
    </row>
    <row r="12100" spans="1:3">
      <c r="A12100" s="1133"/>
      <c r="B12100" s="1136"/>
      <c r="C12100" s="1138"/>
    </row>
    <row r="12101" spans="1:3">
      <c r="A12101" s="1133"/>
      <c r="B12101" s="1136"/>
      <c r="C12101" s="1138"/>
    </row>
    <row r="12102" spans="1:3">
      <c r="A12102" s="1133"/>
      <c r="B12102" s="1136"/>
      <c r="C12102" s="1138"/>
    </row>
    <row r="12103" spans="1:3">
      <c r="A12103" s="1133"/>
      <c r="B12103" s="1136"/>
      <c r="C12103" s="1138"/>
    </row>
    <row r="12104" spans="1:3">
      <c r="A12104" s="1133"/>
      <c r="B12104" s="1136"/>
      <c r="C12104" s="1138"/>
    </row>
    <row r="12105" spans="1:3">
      <c r="A12105" s="1133"/>
      <c r="B12105" s="1136"/>
      <c r="C12105" s="1138"/>
    </row>
    <row r="12106" spans="1:3">
      <c r="A12106" s="1133"/>
      <c r="B12106" s="1136"/>
      <c r="C12106" s="1138"/>
    </row>
    <row r="12107" spans="1:3">
      <c r="A12107" s="1133"/>
      <c r="B12107" s="1136"/>
      <c r="C12107" s="1138"/>
    </row>
    <row r="12108" spans="1:3">
      <c r="A12108" s="1133"/>
      <c r="B12108" s="1136"/>
      <c r="C12108" s="1138"/>
    </row>
    <row r="12109" spans="1:3">
      <c r="A12109" s="1133"/>
      <c r="B12109" s="1136"/>
      <c r="C12109" s="1138"/>
    </row>
    <row r="12110" spans="1:3">
      <c r="A12110" s="1133"/>
      <c r="B12110" s="1136"/>
      <c r="C12110" s="1138"/>
    </row>
    <row r="12111" spans="1:3">
      <c r="A12111" s="1133"/>
      <c r="B12111" s="1136"/>
      <c r="C12111" s="1138"/>
    </row>
    <row r="12112" spans="1:3">
      <c r="A12112" s="1133"/>
      <c r="B12112" s="1136"/>
      <c r="C12112" s="1138"/>
    </row>
    <row r="12113" spans="1:3">
      <c r="A12113" s="1133"/>
      <c r="B12113" s="1136"/>
      <c r="C12113" s="1138"/>
    </row>
    <row r="12114" spans="1:3">
      <c r="A12114" s="1133"/>
      <c r="B12114" s="1136"/>
      <c r="C12114" s="1138"/>
    </row>
    <row r="12115" spans="1:3">
      <c r="A12115" s="1133"/>
      <c r="B12115" s="1136"/>
      <c r="C12115" s="1138"/>
    </row>
    <row r="12116" spans="1:3">
      <c r="A12116" s="1133"/>
      <c r="B12116" s="1136"/>
      <c r="C12116" s="1138"/>
    </row>
    <row r="12117" spans="1:3">
      <c r="A12117" s="1133"/>
      <c r="B12117" s="1136"/>
      <c r="C12117" s="1138"/>
    </row>
    <row r="12118" spans="1:3">
      <c r="A12118" s="1133"/>
      <c r="B12118" s="1136"/>
      <c r="C12118" s="1138"/>
    </row>
    <row r="12119" spans="1:3">
      <c r="A12119" s="1133"/>
      <c r="B12119" s="1136"/>
      <c r="C12119" s="1138"/>
    </row>
    <row r="12120" spans="1:3">
      <c r="A12120" s="1133"/>
      <c r="B12120" s="1136"/>
      <c r="C12120" s="1138"/>
    </row>
    <row r="12121" spans="1:3">
      <c r="A12121" s="1133"/>
      <c r="B12121" s="1136"/>
      <c r="C12121" s="1138"/>
    </row>
    <row r="12122" spans="1:3">
      <c r="A12122" s="1133"/>
      <c r="B12122" s="1136"/>
      <c r="C12122" s="1138"/>
    </row>
    <row r="12123" spans="1:3">
      <c r="A12123" s="1133"/>
      <c r="B12123" s="1136"/>
      <c r="C12123" s="1138"/>
    </row>
    <row r="12124" spans="1:3">
      <c r="A12124" s="1133"/>
      <c r="B12124" s="1136"/>
      <c r="C12124" s="1138"/>
    </row>
    <row r="12125" spans="1:3">
      <c r="A12125" s="1133"/>
      <c r="B12125" s="1136"/>
      <c r="C12125" s="1138"/>
    </row>
    <row r="12126" spans="1:3">
      <c r="A12126" s="1133"/>
      <c r="B12126" s="1136"/>
      <c r="C12126" s="1138"/>
    </row>
    <row r="12127" spans="1:3">
      <c r="A12127" s="1133"/>
      <c r="B12127" s="1136"/>
      <c r="C12127" s="1138"/>
    </row>
    <row r="12128" spans="1:3">
      <c r="A12128" s="1133"/>
      <c r="B12128" s="1136"/>
      <c r="C12128" s="1138"/>
    </row>
    <row r="12129" spans="1:3">
      <c r="A12129" s="1133"/>
      <c r="B12129" s="1136"/>
      <c r="C12129" s="1138"/>
    </row>
    <row r="12130" spans="1:3">
      <c r="A12130" s="1133"/>
      <c r="B12130" s="1136"/>
      <c r="C12130" s="1138"/>
    </row>
    <row r="12131" spans="1:3">
      <c r="A12131" s="1133"/>
      <c r="B12131" s="1136"/>
      <c r="C12131" s="1138"/>
    </row>
    <row r="12132" spans="1:3">
      <c r="A12132" s="1133"/>
      <c r="B12132" s="1136"/>
      <c r="C12132" s="1138"/>
    </row>
    <row r="12133" spans="1:3">
      <c r="A12133" s="1133"/>
      <c r="B12133" s="1136"/>
      <c r="C12133" s="1138"/>
    </row>
    <row r="12134" spans="1:3">
      <c r="A12134" s="1133"/>
      <c r="B12134" s="1136"/>
      <c r="C12134" s="1138"/>
    </row>
    <row r="12135" spans="1:3">
      <c r="A12135" s="1133"/>
      <c r="B12135" s="1136"/>
      <c r="C12135" s="1138"/>
    </row>
    <row r="12136" spans="1:3">
      <c r="A12136" s="1133"/>
      <c r="B12136" s="1136"/>
      <c r="C12136" s="1138"/>
    </row>
    <row r="12137" spans="1:3">
      <c r="A12137" s="1133"/>
      <c r="B12137" s="1136"/>
      <c r="C12137" s="1138"/>
    </row>
    <row r="12138" spans="1:3">
      <c r="A12138" s="1133"/>
      <c r="B12138" s="1136"/>
      <c r="C12138" s="1138"/>
    </row>
    <row r="12139" spans="1:3">
      <c r="A12139" s="1133"/>
      <c r="B12139" s="1136"/>
      <c r="C12139" s="1138"/>
    </row>
    <row r="12140" spans="1:3">
      <c r="A12140" s="1133"/>
      <c r="B12140" s="1136"/>
      <c r="C12140" s="1138"/>
    </row>
    <row r="12141" spans="1:3">
      <c r="A12141" s="1133"/>
      <c r="B12141" s="1136"/>
      <c r="C12141" s="1138"/>
    </row>
    <row r="12142" spans="1:3">
      <c r="A12142" s="1133"/>
      <c r="B12142" s="1136"/>
      <c r="C12142" s="1138"/>
    </row>
    <row r="12143" spans="1:3">
      <c r="A12143" s="1133"/>
      <c r="B12143" s="1136"/>
      <c r="C12143" s="1138"/>
    </row>
    <row r="12144" spans="1:3">
      <c r="A12144" s="1133"/>
      <c r="B12144" s="1136"/>
      <c r="C12144" s="1138"/>
    </row>
    <row r="12145" spans="1:3">
      <c r="A12145" s="1133"/>
      <c r="B12145" s="1136"/>
      <c r="C12145" s="1138"/>
    </row>
    <row r="12146" spans="1:3">
      <c r="A12146" s="1133"/>
      <c r="B12146" s="1136"/>
      <c r="C12146" s="1138"/>
    </row>
    <row r="12147" spans="1:3">
      <c r="A12147" s="1133"/>
      <c r="B12147" s="1136"/>
      <c r="C12147" s="1138"/>
    </row>
    <row r="12148" spans="1:3">
      <c r="A12148" s="1133"/>
      <c r="B12148" s="1136"/>
      <c r="C12148" s="1138"/>
    </row>
    <row r="12149" spans="1:3">
      <c r="A12149" s="1133"/>
      <c r="B12149" s="1136"/>
      <c r="C12149" s="1138"/>
    </row>
    <row r="12150" spans="1:3">
      <c r="A12150" s="1133"/>
      <c r="B12150" s="1136"/>
      <c r="C12150" s="1138"/>
    </row>
    <row r="12151" spans="1:3">
      <c r="A12151" s="1133"/>
      <c r="B12151" s="1136"/>
      <c r="C12151" s="1138"/>
    </row>
    <row r="12152" spans="1:3">
      <c r="A12152" s="1133"/>
      <c r="B12152" s="1136"/>
      <c r="C12152" s="1138"/>
    </row>
    <row r="12153" spans="1:3">
      <c r="A12153" s="1133"/>
      <c r="B12153" s="1136"/>
      <c r="C12153" s="1138"/>
    </row>
    <row r="12154" spans="1:3">
      <c r="A12154" s="1133"/>
      <c r="B12154" s="1136"/>
      <c r="C12154" s="1138"/>
    </row>
    <row r="12155" spans="1:3">
      <c r="A12155" s="1133"/>
      <c r="B12155" s="1136"/>
      <c r="C12155" s="1138"/>
    </row>
    <row r="12156" spans="1:3">
      <c r="A12156" s="1133"/>
      <c r="B12156" s="1136"/>
      <c r="C12156" s="1138"/>
    </row>
    <row r="12157" spans="1:3">
      <c r="A12157" s="1133"/>
      <c r="B12157" s="1136"/>
      <c r="C12157" s="1138"/>
    </row>
    <row r="12158" spans="1:3">
      <c r="A12158" s="1133"/>
      <c r="B12158" s="1136"/>
      <c r="C12158" s="1138"/>
    </row>
    <row r="12159" spans="1:3">
      <c r="A12159" s="1133"/>
      <c r="B12159" s="1136"/>
      <c r="C12159" s="1138"/>
    </row>
    <row r="12160" spans="1:3">
      <c r="A12160" s="1133"/>
      <c r="B12160" s="1136"/>
      <c r="C12160" s="1138"/>
    </row>
    <row r="12161" spans="1:3">
      <c r="A12161" s="1133"/>
      <c r="B12161" s="1136"/>
      <c r="C12161" s="1138"/>
    </row>
    <row r="12162" spans="1:3">
      <c r="A12162" s="1133"/>
      <c r="B12162" s="1136"/>
      <c r="C12162" s="1138"/>
    </row>
    <row r="12163" spans="1:3">
      <c r="A12163" s="1133"/>
      <c r="B12163" s="1136"/>
      <c r="C12163" s="1138"/>
    </row>
    <row r="12164" spans="1:3">
      <c r="A12164" s="1133"/>
      <c r="B12164" s="1136"/>
      <c r="C12164" s="1138"/>
    </row>
    <row r="12165" spans="1:3">
      <c r="A12165" s="1133"/>
      <c r="B12165" s="1136"/>
      <c r="C12165" s="1138"/>
    </row>
    <row r="12166" spans="1:3">
      <c r="A12166" s="1133"/>
      <c r="B12166" s="1136"/>
      <c r="C12166" s="1138"/>
    </row>
    <row r="12167" spans="1:3">
      <c r="A12167" s="1133"/>
      <c r="B12167" s="1136"/>
      <c r="C12167" s="1138"/>
    </row>
    <row r="12168" spans="1:3">
      <c r="A12168" s="1133"/>
      <c r="B12168" s="1136"/>
      <c r="C12168" s="1138"/>
    </row>
    <row r="12169" spans="1:3">
      <c r="A12169" s="1133"/>
      <c r="B12169" s="1136"/>
      <c r="C12169" s="1138"/>
    </row>
    <row r="12170" spans="1:3">
      <c r="A12170" s="1133"/>
      <c r="B12170" s="1136"/>
      <c r="C12170" s="1138"/>
    </row>
    <row r="12171" spans="1:3">
      <c r="A12171" s="1133"/>
      <c r="B12171" s="1136"/>
      <c r="C12171" s="1138"/>
    </row>
    <row r="12172" spans="1:3">
      <c r="A12172" s="1133"/>
      <c r="B12172" s="1136"/>
      <c r="C12172" s="1138"/>
    </row>
    <row r="12173" spans="1:3">
      <c r="A12173" s="1133"/>
      <c r="B12173" s="1136"/>
      <c r="C12173" s="1138"/>
    </row>
    <row r="12174" spans="1:3">
      <c r="A12174" s="1133"/>
      <c r="B12174" s="1136"/>
      <c r="C12174" s="1138"/>
    </row>
    <row r="12175" spans="1:3">
      <c r="A12175" s="1133"/>
      <c r="B12175" s="1136"/>
      <c r="C12175" s="1138"/>
    </row>
    <row r="12176" spans="1:3">
      <c r="A12176" s="1133"/>
      <c r="B12176" s="1136"/>
      <c r="C12176" s="1138"/>
    </row>
    <row r="12177" spans="1:3">
      <c r="A12177" s="1133"/>
      <c r="B12177" s="1136"/>
      <c r="C12177" s="1138"/>
    </row>
    <row r="12178" spans="1:3">
      <c r="A12178" s="1133"/>
      <c r="B12178" s="1136"/>
      <c r="C12178" s="1138"/>
    </row>
    <row r="12179" spans="1:3">
      <c r="A12179" s="1133"/>
      <c r="B12179" s="1136"/>
      <c r="C12179" s="1138"/>
    </row>
    <row r="12180" spans="1:3">
      <c r="A12180" s="1133"/>
      <c r="B12180" s="1136"/>
      <c r="C12180" s="1138"/>
    </row>
    <row r="12181" spans="1:3">
      <c r="A12181" s="1133"/>
      <c r="B12181" s="1136"/>
      <c r="C12181" s="1138"/>
    </row>
    <row r="12182" spans="1:3">
      <c r="A12182" s="1133"/>
      <c r="B12182" s="1136"/>
      <c r="C12182" s="1138"/>
    </row>
    <row r="12183" spans="1:3">
      <c r="A12183" s="1133"/>
      <c r="B12183" s="1136"/>
      <c r="C12183" s="1138"/>
    </row>
    <row r="12184" spans="1:3">
      <c r="A12184" s="1133"/>
      <c r="B12184" s="1136"/>
      <c r="C12184" s="1138"/>
    </row>
    <row r="12185" spans="1:3">
      <c r="A12185" s="1133"/>
      <c r="B12185" s="1136"/>
      <c r="C12185" s="1138"/>
    </row>
    <row r="12186" spans="1:3">
      <c r="A12186" s="1133"/>
      <c r="B12186" s="1136"/>
      <c r="C12186" s="1138"/>
    </row>
    <row r="12187" spans="1:3">
      <c r="A12187" s="1133"/>
      <c r="B12187" s="1136"/>
      <c r="C12187" s="1138"/>
    </row>
    <row r="12188" spans="1:3">
      <c r="A12188" s="1133"/>
      <c r="B12188" s="1136"/>
      <c r="C12188" s="1138"/>
    </row>
    <row r="12189" spans="1:3">
      <c r="A12189" s="1133"/>
      <c r="B12189" s="1136"/>
      <c r="C12189" s="1138"/>
    </row>
    <row r="12190" spans="1:3">
      <c r="A12190" s="1133"/>
      <c r="B12190" s="1136"/>
      <c r="C12190" s="1138"/>
    </row>
    <row r="12191" spans="1:3">
      <c r="A12191" s="1133"/>
      <c r="B12191" s="1136"/>
      <c r="C12191" s="1138"/>
    </row>
    <row r="12192" spans="1:3">
      <c r="A12192" s="1133"/>
      <c r="B12192" s="1136"/>
      <c r="C12192" s="1138"/>
    </row>
    <row r="12193" spans="1:3">
      <c r="A12193" s="1133"/>
      <c r="B12193" s="1136"/>
      <c r="C12193" s="1138"/>
    </row>
    <row r="12194" spans="1:3">
      <c r="A12194" s="1133"/>
      <c r="B12194" s="1136"/>
      <c r="C12194" s="1138"/>
    </row>
    <row r="12195" spans="1:3">
      <c r="A12195" s="1133"/>
      <c r="B12195" s="1136"/>
      <c r="C12195" s="1138"/>
    </row>
    <row r="12196" spans="1:3">
      <c r="A12196" s="1133"/>
      <c r="B12196" s="1136"/>
      <c r="C12196" s="1138"/>
    </row>
    <row r="12197" spans="1:3">
      <c r="A12197" s="1133"/>
      <c r="B12197" s="1136"/>
      <c r="C12197" s="1138"/>
    </row>
    <row r="12198" spans="1:3">
      <c r="A12198" s="1133"/>
      <c r="B12198" s="1136"/>
      <c r="C12198" s="1138"/>
    </row>
    <row r="12199" spans="1:3">
      <c r="A12199" s="1133"/>
      <c r="B12199" s="1136"/>
      <c r="C12199" s="1138"/>
    </row>
    <row r="12200" spans="1:3">
      <c r="A12200" s="1133"/>
      <c r="B12200" s="1136"/>
      <c r="C12200" s="1138"/>
    </row>
    <row r="12201" spans="1:3">
      <c r="A12201" s="1133"/>
      <c r="B12201" s="1136"/>
      <c r="C12201" s="1138"/>
    </row>
    <row r="12202" spans="1:3">
      <c r="A12202" s="1133"/>
      <c r="B12202" s="1136"/>
      <c r="C12202" s="1138"/>
    </row>
    <row r="12203" spans="1:3">
      <c r="A12203" s="1133"/>
      <c r="B12203" s="1136"/>
      <c r="C12203" s="1138"/>
    </row>
    <row r="12204" spans="1:3">
      <c r="A12204" s="1133"/>
      <c r="B12204" s="1136"/>
      <c r="C12204" s="1138"/>
    </row>
    <row r="12205" spans="1:3">
      <c r="A12205" s="1133"/>
      <c r="B12205" s="1136"/>
      <c r="C12205" s="1138"/>
    </row>
    <row r="12206" spans="1:3">
      <c r="A12206" s="1133"/>
      <c r="B12206" s="1136"/>
      <c r="C12206" s="1138"/>
    </row>
    <row r="12207" spans="1:3">
      <c r="A12207" s="1133"/>
      <c r="B12207" s="1136"/>
      <c r="C12207" s="1138"/>
    </row>
    <row r="12208" spans="1:3">
      <c r="A12208" s="1133"/>
      <c r="B12208" s="1136"/>
      <c r="C12208" s="1138"/>
    </row>
    <row r="12209" spans="1:3">
      <c r="A12209" s="1133"/>
      <c r="B12209" s="1136"/>
      <c r="C12209" s="1138"/>
    </row>
    <row r="12210" spans="1:3">
      <c r="A12210" s="1133"/>
      <c r="B12210" s="1136"/>
      <c r="C12210" s="1138"/>
    </row>
    <row r="12211" spans="1:3">
      <c r="A12211" s="1133"/>
      <c r="B12211" s="1136"/>
      <c r="C12211" s="1138"/>
    </row>
    <row r="12212" spans="1:3">
      <c r="A12212" s="1133"/>
      <c r="B12212" s="1136"/>
      <c r="C12212" s="1138"/>
    </row>
    <row r="12213" spans="1:3">
      <c r="A12213" s="1133"/>
      <c r="B12213" s="1136"/>
      <c r="C12213" s="1138"/>
    </row>
    <row r="12214" spans="1:3">
      <c r="A12214" s="1133"/>
      <c r="B12214" s="1136"/>
      <c r="C12214" s="1138"/>
    </row>
    <row r="12215" spans="1:3">
      <c r="A12215" s="1133"/>
      <c r="B12215" s="1136"/>
      <c r="C12215" s="1138"/>
    </row>
    <row r="12216" spans="1:3">
      <c r="A12216" s="1133"/>
      <c r="B12216" s="1136"/>
      <c r="C12216" s="1138"/>
    </row>
    <row r="12217" spans="1:3">
      <c r="A12217" s="1133"/>
      <c r="B12217" s="1136"/>
      <c r="C12217" s="1138"/>
    </row>
    <row r="12218" spans="1:3">
      <c r="A12218" s="1133"/>
      <c r="B12218" s="1136"/>
      <c r="C12218" s="1138"/>
    </row>
    <row r="12219" spans="1:3">
      <c r="A12219" s="1133"/>
      <c r="B12219" s="1136"/>
      <c r="C12219" s="1138"/>
    </row>
    <row r="12220" spans="1:3">
      <c r="A12220" s="1133"/>
      <c r="B12220" s="1136"/>
      <c r="C12220" s="1138"/>
    </row>
    <row r="12221" spans="1:3">
      <c r="A12221" s="1133"/>
      <c r="B12221" s="1136"/>
      <c r="C12221" s="1138"/>
    </row>
    <row r="12222" spans="1:3">
      <c r="A12222" s="1133"/>
      <c r="B12222" s="1136"/>
      <c r="C12222" s="1138"/>
    </row>
    <row r="12223" spans="1:3">
      <c r="A12223" s="1133"/>
      <c r="B12223" s="1136"/>
      <c r="C12223" s="1138"/>
    </row>
    <row r="12224" spans="1:3">
      <c r="A12224" s="1133"/>
      <c r="B12224" s="1136"/>
      <c r="C12224" s="1138"/>
    </row>
    <row r="12225" spans="1:3">
      <c r="A12225" s="1133"/>
      <c r="B12225" s="1136"/>
      <c r="C12225" s="1138"/>
    </row>
    <row r="12226" spans="1:3">
      <c r="A12226" s="1133"/>
      <c r="B12226" s="1136"/>
      <c r="C12226" s="1138"/>
    </row>
    <row r="12227" spans="1:3">
      <c r="A12227" s="1133"/>
      <c r="B12227" s="1136"/>
      <c r="C12227" s="1138"/>
    </row>
    <row r="12228" spans="1:3">
      <c r="A12228" s="1133"/>
      <c r="B12228" s="1136"/>
      <c r="C12228" s="1138"/>
    </row>
    <row r="12229" spans="1:3">
      <c r="A12229" s="1133"/>
      <c r="B12229" s="1136"/>
      <c r="C12229" s="1138"/>
    </row>
    <row r="12230" spans="1:3">
      <c r="A12230" s="1133"/>
      <c r="B12230" s="1136"/>
      <c r="C12230" s="1138"/>
    </row>
    <row r="12231" spans="1:3">
      <c r="A12231" s="1133"/>
      <c r="B12231" s="1136"/>
      <c r="C12231" s="1138"/>
    </row>
    <row r="12232" spans="1:3">
      <c r="A12232" s="1133"/>
      <c r="B12232" s="1136"/>
      <c r="C12232" s="1138"/>
    </row>
    <row r="12233" spans="1:3">
      <c r="A12233" s="1133"/>
      <c r="B12233" s="1136"/>
      <c r="C12233" s="1138"/>
    </row>
    <row r="12234" spans="1:3">
      <c r="A12234" s="1133"/>
      <c r="B12234" s="1136"/>
      <c r="C12234" s="1138"/>
    </row>
    <row r="12235" spans="1:3">
      <c r="A12235" s="1133"/>
      <c r="B12235" s="1136"/>
      <c r="C12235" s="1138"/>
    </row>
    <row r="12236" spans="1:3">
      <c r="A12236" s="1133"/>
      <c r="B12236" s="1136"/>
      <c r="C12236" s="1138"/>
    </row>
    <row r="12237" spans="1:3">
      <c r="A12237" s="1133"/>
      <c r="B12237" s="1136"/>
      <c r="C12237" s="1138"/>
    </row>
    <row r="12238" spans="1:3">
      <c r="A12238" s="1133"/>
      <c r="B12238" s="1136"/>
      <c r="C12238" s="1138"/>
    </row>
    <row r="12239" spans="1:3">
      <c r="A12239" s="1133"/>
      <c r="B12239" s="1136"/>
      <c r="C12239" s="1138"/>
    </row>
    <row r="12240" spans="1:3">
      <c r="A12240" s="1133"/>
      <c r="B12240" s="1136"/>
      <c r="C12240" s="1138"/>
    </row>
    <row r="12241" spans="1:3">
      <c r="A12241" s="1133"/>
      <c r="B12241" s="1136"/>
      <c r="C12241" s="1138"/>
    </row>
    <row r="12242" spans="1:3">
      <c r="A12242" s="1133"/>
      <c r="B12242" s="1136"/>
      <c r="C12242" s="1138"/>
    </row>
    <row r="12243" spans="1:3">
      <c r="A12243" s="1133"/>
      <c r="B12243" s="1136"/>
      <c r="C12243" s="1138"/>
    </row>
    <row r="12244" spans="1:3">
      <c r="A12244" s="1133"/>
      <c r="B12244" s="1136"/>
      <c r="C12244" s="1138"/>
    </row>
    <row r="12245" spans="1:3">
      <c r="A12245" s="1133"/>
      <c r="B12245" s="1136"/>
      <c r="C12245" s="1138"/>
    </row>
    <row r="12246" spans="1:3">
      <c r="A12246" s="1133"/>
      <c r="B12246" s="1136"/>
      <c r="C12246" s="1138"/>
    </row>
    <row r="12247" spans="1:3">
      <c r="A12247" s="1133"/>
      <c r="B12247" s="1136"/>
      <c r="C12247" s="1138"/>
    </row>
    <row r="12248" spans="1:3">
      <c r="A12248" s="1133"/>
      <c r="B12248" s="1136"/>
      <c r="C12248" s="1138"/>
    </row>
    <row r="12249" spans="1:3">
      <c r="A12249" s="1133"/>
      <c r="B12249" s="1136"/>
      <c r="C12249" s="1138"/>
    </row>
    <row r="12250" spans="1:3">
      <c r="A12250" s="1133"/>
      <c r="B12250" s="1136"/>
      <c r="C12250" s="1138"/>
    </row>
    <row r="12251" spans="1:3">
      <c r="A12251" s="1133"/>
      <c r="B12251" s="1136"/>
      <c r="C12251" s="1138"/>
    </row>
    <row r="12252" spans="1:3">
      <c r="A12252" s="1133"/>
      <c r="B12252" s="1136"/>
      <c r="C12252" s="1138"/>
    </row>
    <row r="12253" spans="1:3">
      <c r="A12253" s="1133"/>
      <c r="B12253" s="1136"/>
      <c r="C12253" s="1138"/>
    </row>
    <row r="12254" spans="1:3">
      <c r="A12254" s="1133"/>
      <c r="B12254" s="1136"/>
      <c r="C12254" s="1138"/>
    </row>
    <row r="12255" spans="1:3">
      <c r="A12255" s="1133"/>
      <c r="B12255" s="1136"/>
      <c r="C12255" s="1138"/>
    </row>
    <row r="12256" spans="1:3">
      <c r="A12256" s="1133"/>
      <c r="B12256" s="1136"/>
      <c r="C12256" s="1138"/>
    </row>
    <row r="12257" spans="1:3">
      <c r="A12257" s="1133"/>
      <c r="B12257" s="1136"/>
      <c r="C12257" s="1138"/>
    </row>
    <row r="12258" spans="1:3">
      <c r="A12258" s="1133"/>
      <c r="B12258" s="1136"/>
      <c r="C12258" s="1138"/>
    </row>
    <row r="12259" spans="1:3">
      <c r="A12259" s="1133"/>
      <c r="B12259" s="1136"/>
      <c r="C12259" s="1138"/>
    </row>
    <row r="12260" spans="1:3">
      <c r="A12260" s="1133"/>
      <c r="B12260" s="1136"/>
      <c r="C12260" s="1138"/>
    </row>
    <row r="12261" spans="1:3">
      <c r="A12261" s="1133"/>
      <c r="B12261" s="1136"/>
      <c r="C12261" s="1138"/>
    </row>
    <row r="12262" spans="1:3">
      <c r="A12262" s="1133"/>
      <c r="B12262" s="1136"/>
      <c r="C12262" s="1138"/>
    </row>
    <row r="12263" spans="1:3">
      <c r="A12263" s="1133"/>
      <c r="B12263" s="1136"/>
      <c r="C12263" s="1138"/>
    </row>
    <row r="12264" spans="1:3">
      <c r="A12264" s="1133"/>
      <c r="B12264" s="1136"/>
      <c r="C12264" s="1138"/>
    </row>
    <row r="12265" spans="1:3">
      <c r="A12265" s="1133"/>
      <c r="B12265" s="1136"/>
      <c r="C12265" s="1138"/>
    </row>
    <row r="12266" spans="1:3">
      <c r="A12266" s="1133"/>
      <c r="B12266" s="1136"/>
      <c r="C12266" s="1138"/>
    </row>
    <row r="12267" spans="1:3">
      <c r="A12267" s="1133"/>
      <c r="B12267" s="1136"/>
      <c r="C12267" s="1138"/>
    </row>
    <row r="12268" spans="1:3">
      <c r="A12268" s="1133"/>
      <c r="B12268" s="1136"/>
      <c r="C12268" s="1138"/>
    </row>
    <row r="12269" spans="1:3">
      <c r="A12269" s="1133"/>
      <c r="B12269" s="1136"/>
      <c r="C12269" s="1138"/>
    </row>
    <row r="12270" spans="1:3">
      <c r="A12270" s="1133"/>
      <c r="B12270" s="1136"/>
      <c r="C12270" s="1138"/>
    </row>
    <row r="12271" spans="1:3">
      <c r="A12271" s="1133"/>
      <c r="B12271" s="1136"/>
      <c r="C12271" s="1138"/>
    </row>
    <row r="12272" spans="1:3">
      <c r="A12272" s="1133"/>
      <c r="B12272" s="1136"/>
      <c r="C12272" s="1138"/>
    </row>
    <row r="12273" spans="1:3">
      <c r="A12273" s="1133"/>
      <c r="B12273" s="1136"/>
      <c r="C12273" s="1138"/>
    </row>
    <row r="12274" spans="1:3">
      <c r="A12274" s="1133"/>
      <c r="B12274" s="1136"/>
      <c r="C12274" s="1138"/>
    </row>
    <row r="12275" spans="1:3">
      <c r="A12275" s="1133"/>
      <c r="B12275" s="1136"/>
      <c r="C12275" s="1138"/>
    </row>
    <row r="12276" spans="1:3">
      <c r="A12276" s="1133"/>
      <c r="B12276" s="1136"/>
      <c r="C12276" s="1138"/>
    </row>
    <row r="12277" spans="1:3">
      <c r="A12277" s="1133"/>
      <c r="B12277" s="1136"/>
      <c r="C12277" s="1138"/>
    </row>
    <row r="12278" spans="1:3">
      <c r="A12278" s="1133"/>
      <c r="B12278" s="1136"/>
      <c r="C12278" s="1138"/>
    </row>
    <row r="12279" spans="1:3">
      <c r="A12279" s="1133"/>
      <c r="B12279" s="1136"/>
      <c r="C12279" s="1138"/>
    </row>
    <row r="12280" spans="1:3">
      <c r="A12280" s="1133"/>
      <c r="B12280" s="1136"/>
      <c r="C12280" s="1138"/>
    </row>
    <row r="12281" spans="1:3">
      <c r="A12281" s="1133"/>
      <c r="B12281" s="1136"/>
      <c r="C12281" s="1138"/>
    </row>
    <row r="12282" spans="1:3">
      <c r="A12282" s="1133"/>
      <c r="B12282" s="1136"/>
      <c r="C12282" s="1138"/>
    </row>
    <row r="12283" spans="1:3">
      <c r="A12283" s="1133"/>
      <c r="B12283" s="1136"/>
      <c r="C12283" s="1138"/>
    </row>
    <row r="12284" spans="1:3">
      <c r="A12284" s="1133"/>
      <c r="B12284" s="1136"/>
      <c r="C12284" s="1138"/>
    </row>
    <row r="12285" spans="1:3">
      <c r="A12285" s="1133"/>
      <c r="B12285" s="1136"/>
      <c r="C12285" s="1138"/>
    </row>
    <row r="12286" spans="1:3">
      <c r="A12286" s="1133"/>
      <c r="B12286" s="1136"/>
      <c r="C12286" s="1138"/>
    </row>
    <row r="12287" spans="1:3">
      <c r="A12287" s="1133"/>
      <c r="B12287" s="1136"/>
      <c r="C12287" s="1138"/>
    </row>
    <row r="12288" spans="1:3">
      <c r="A12288" s="1133"/>
      <c r="B12288" s="1136"/>
      <c r="C12288" s="1138"/>
    </row>
    <row r="12289" spans="1:3">
      <c r="A12289" s="1133"/>
      <c r="B12289" s="1136"/>
      <c r="C12289" s="1138"/>
    </row>
    <row r="12290" spans="1:3">
      <c r="A12290" s="1133"/>
      <c r="B12290" s="1136"/>
      <c r="C12290" s="1138"/>
    </row>
    <row r="12291" spans="1:3">
      <c r="A12291" s="1133"/>
      <c r="B12291" s="1136"/>
      <c r="C12291" s="1138"/>
    </row>
    <row r="12292" spans="1:3">
      <c r="A12292" s="1133"/>
      <c r="B12292" s="1136"/>
      <c r="C12292" s="1138"/>
    </row>
    <row r="12293" spans="1:3">
      <c r="A12293" s="1133"/>
      <c r="B12293" s="1136"/>
      <c r="C12293" s="1138"/>
    </row>
    <row r="12294" spans="1:3">
      <c r="A12294" s="1133"/>
      <c r="B12294" s="1136"/>
      <c r="C12294" s="1138"/>
    </row>
    <row r="12295" spans="1:3">
      <c r="A12295" s="1133"/>
      <c r="B12295" s="1136"/>
      <c r="C12295" s="1138"/>
    </row>
    <row r="12296" spans="1:3">
      <c r="A12296" s="1133"/>
      <c r="B12296" s="1136"/>
      <c r="C12296" s="1138"/>
    </row>
    <row r="12297" spans="1:3">
      <c r="A12297" s="1133"/>
      <c r="B12297" s="1136"/>
      <c r="C12297" s="1138"/>
    </row>
    <row r="12298" spans="1:3">
      <c r="A12298" s="1133"/>
      <c r="B12298" s="1136"/>
      <c r="C12298" s="1138"/>
    </row>
    <row r="12299" spans="1:3">
      <c r="A12299" s="1133"/>
      <c r="B12299" s="1136"/>
      <c r="C12299" s="1138"/>
    </row>
    <row r="12300" spans="1:3">
      <c r="A12300" s="1133"/>
      <c r="B12300" s="1136"/>
      <c r="C12300" s="1138"/>
    </row>
    <row r="12301" spans="1:3">
      <c r="A12301" s="1133"/>
      <c r="B12301" s="1136"/>
      <c r="C12301" s="1138"/>
    </row>
    <row r="12302" spans="1:3">
      <c r="A12302" s="1133"/>
      <c r="B12302" s="1136"/>
      <c r="C12302" s="1138"/>
    </row>
    <row r="12303" spans="1:3">
      <c r="A12303" s="1133"/>
      <c r="B12303" s="1136"/>
      <c r="C12303" s="1138"/>
    </row>
    <row r="12304" spans="1:3">
      <c r="A12304" s="1133"/>
      <c r="B12304" s="1136"/>
      <c r="C12304" s="1138"/>
    </row>
    <row r="12305" spans="1:3">
      <c r="A12305" s="1133"/>
      <c r="B12305" s="1136"/>
      <c r="C12305" s="1138"/>
    </row>
    <row r="12306" spans="1:3">
      <c r="A12306" s="1133"/>
      <c r="B12306" s="1136"/>
      <c r="C12306" s="1138"/>
    </row>
    <row r="12307" spans="1:3">
      <c r="A12307" s="1133"/>
      <c r="B12307" s="1136"/>
      <c r="C12307" s="1138"/>
    </row>
    <row r="12308" spans="1:3">
      <c r="A12308" s="1133"/>
      <c r="B12308" s="1136"/>
      <c r="C12308" s="1138"/>
    </row>
    <row r="12309" spans="1:3">
      <c r="A12309" s="1133"/>
      <c r="B12309" s="1136"/>
      <c r="C12309" s="1138"/>
    </row>
    <row r="12310" spans="1:3">
      <c r="A12310" s="1133"/>
      <c r="B12310" s="1136"/>
      <c r="C12310" s="1138"/>
    </row>
    <row r="12311" spans="1:3">
      <c r="A12311" s="1133"/>
      <c r="B12311" s="1136"/>
      <c r="C12311" s="1138"/>
    </row>
    <row r="12312" spans="1:3">
      <c r="A12312" s="1133"/>
      <c r="B12312" s="1136"/>
      <c r="C12312" s="1138"/>
    </row>
    <row r="12313" spans="1:3">
      <c r="A12313" s="1133"/>
      <c r="B12313" s="1136"/>
      <c r="C12313" s="1138"/>
    </row>
    <row r="12314" spans="1:3">
      <c r="A12314" s="1133"/>
      <c r="B12314" s="1136"/>
      <c r="C12314" s="1138"/>
    </row>
    <row r="12315" spans="1:3">
      <c r="A12315" s="1133"/>
      <c r="B12315" s="1136"/>
      <c r="C12315" s="1138"/>
    </row>
    <row r="12316" spans="1:3">
      <c r="A12316" s="1133"/>
      <c r="B12316" s="1136"/>
      <c r="C12316" s="1138"/>
    </row>
    <row r="12317" spans="1:3">
      <c r="A12317" s="1133"/>
      <c r="B12317" s="1136"/>
      <c r="C12317" s="1138"/>
    </row>
    <row r="12318" spans="1:3">
      <c r="A12318" s="1133"/>
      <c r="B12318" s="1136"/>
      <c r="C12318" s="1138"/>
    </row>
    <row r="12319" spans="1:3">
      <c r="A12319" s="1133"/>
      <c r="B12319" s="1136"/>
      <c r="C12319" s="1138"/>
    </row>
    <row r="12320" spans="1:3">
      <c r="A12320" s="1133"/>
      <c r="B12320" s="1136"/>
      <c r="C12320" s="1138"/>
    </row>
    <row r="12321" spans="1:3">
      <c r="A12321" s="1133"/>
      <c r="B12321" s="1136"/>
      <c r="C12321" s="1138"/>
    </row>
    <row r="12322" spans="1:3">
      <c r="A12322" s="1133"/>
      <c r="B12322" s="1136"/>
      <c r="C12322" s="1138"/>
    </row>
    <row r="12323" spans="1:3">
      <c r="A12323" s="1133"/>
      <c r="B12323" s="1136"/>
      <c r="C12323" s="1138"/>
    </row>
    <row r="12324" spans="1:3">
      <c r="A12324" s="1133"/>
      <c r="B12324" s="1136"/>
      <c r="C12324" s="1138"/>
    </row>
    <row r="12325" spans="1:3">
      <c r="A12325" s="1133"/>
      <c r="B12325" s="1136"/>
      <c r="C12325" s="1138"/>
    </row>
    <row r="12326" spans="1:3">
      <c r="A12326" s="1133"/>
      <c r="B12326" s="1136"/>
      <c r="C12326" s="1138"/>
    </row>
    <row r="12327" spans="1:3">
      <c r="A12327" s="1133"/>
      <c r="B12327" s="1136"/>
      <c r="C12327" s="1138"/>
    </row>
    <row r="12328" spans="1:3">
      <c r="A12328" s="1133"/>
      <c r="B12328" s="1136"/>
      <c r="C12328" s="1138"/>
    </row>
    <row r="12329" spans="1:3">
      <c r="A12329" s="1133"/>
      <c r="B12329" s="1136"/>
      <c r="C12329" s="1138"/>
    </row>
    <row r="12330" spans="1:3">
      <c r="A12330" s="1133"/>
      <c r="B12330" s="1136"/>
      <c r="C12330" s="1138"/>
    </row>
    <row r="12331" spans="1:3">
      <c r="A12331" s="1133"/>
      <c r="B12331" s="1136"/>
      <c r="C12331" s="1138"/>
    </row>
    <row r="12332" spans="1:3">
      <c r="A12332" s="1133"/>
      <c r="B12332" s="1136"/>
      <c r="C12332" s="1138"/>
    </row>
    <row r="12333" spans="1:3">
      <c r="A12333" s="1133"/>
      <c r="B12333" s="1136"/>
      <c r="C12333" s="1138"/>
    </row>
    <row r="12334" spans="1:3">
      <c r="A12334" s="1133"/>
      <c r="B12334" s="1136"/>
      <c r="C12334" s="1138"/>
    </row>
    <row r="12335" spans="1:3">
      <c r="A12335" s="1133"/>
      <c r="B12335" s="1136"/>
      <c r="C12335" s="1138"/>
    </row>
    <row r="12336" spans="1:3">
      <c r="A12336" s="1133"/>
      <c r="B12336" s="1136"/>
      <c r="C12336" s="1138"/>
    </row>
    <row r="12337" spans="1:3">
      <c r="A12337" s="1133"/>
      <c r="B12337" s="1136"/>
      <c r="C12337" s="1138"/>
    </row>
    <row r="12338" spans="1:3">
      <c r="A12338" s="1133"/>
      <c r="B12338" s="1136"/>
      <c r="C12338" s="1138"/>
    </row>
    <row r="12339" spans="1:3">
      <c r="A12339" s="1133"/>
      <c r="B12339" s="1136"/>
      <c r="C12339" s="1138"/>
    </row>
    <row r="12340" spans="1:3">
      <c r="A12340" s="1133"/>
      <c r="B12340" s="1136"/>
      <c r="C12340" s="1138"/>
    </row>
    <row r="12341" spans="1:3">
      <c r="A12341" s="1133"/>
      <c r="B12341" s="1136"/>
      <c r="C12341" s="1138"/>
    </row>
    <row r="12342" spans="1:3">
      <c r="A12342" s="1133"/>
      <c r="B12342" s="1136"/>
      <c r="C12342" s="1138"/>
    </row>
    <row r="12343" spans="1:3">
      <c r="A12343" s="1133"/>
      <c r="B12343" s="1136"/>
      <c r="C12343" s="1138"/>
    </row>
    <row r="12344" spans="1:3">
      <c r="A12344" s="1133"/>
      <c r="B12344" s="1136"/>
      <c r="C12344" s="1138"/>
    </row>
    <row r="12345" spans="1:3">
      <c r="A12345" s="1133"/>
      <c r="B12345" s="1136"/>
      <c r="C12345" s="1138"/>
    </row>
    <row r="12346" spans="1:3">
      <c r="A12346" s="1133"/>
      <c r="B12346" s="1136"/>
      <c r="C12346" s="1138"/>
    </row>
    <row r="12347" spans="1:3">
      <c r="A12347" s="1133"/>
      <c r="B12347" s="1136"/>
      <c r="C12347" s="1138"/>
    </row>
    <row r="12348" spans="1:3">
      <c r="A12348" s="1133"/>
      <c r="B12348" s="1136"/>
      <c r="C12348" s="1138"/>
    </row>
    <row r="12349" spans="1:3">
      <c r="A12349" s="1133"/>
      <c r="B12349" s="1136"/>
      <c r="C12349" s="1138"/>
    </row>
    <row r="12350" spans="1:3">
      <c r="A12350" s="1133"/>
      <c r="B12350" s="1136"/>
      <c r="C12350" s="1138"/>
    </row>
    <row r="12351" spans="1:3">
      <c r="A12351" s="1133"/>
      <c r="B12351" s="1136"/>
      <c r="C12351" s="1138"/>
    </row>
    <row r="12352" spans="1:3">
      <c r="A12352" s="1133"/>
      <c r="B12352" s="1136"/>
      <c r="C12352" s="1138"/>
    </row>
    <row r="12353" spans="1:3">
      <c r="A12353" s="1133"/>
      <c r="B12353" s="1136"/>
      <c r="C12353" s="1138"/>
    </row>
    <row r="12354" spans="1:3">
      <c r="A12354" s="1133"/>
      <c r="B12354" s="1136"/>
      <c r="C12354" s="1138"/>
    </row>
    <row r="12355" spans="1:3">
      <c r="A12355" s="1133"/>
      <c r="B12355" s="1136"/>
      <c r="C12355" s="1138"/>
    </row>
    <row r="12356" spans="1:3">
      <c r="A12356" s="1133"/>
      <c r="B12356" s="1136"/>
      <c r="C12356" s="1138"/>
    </row>
    <row r="12357" spans="1:3">
      <c r="A12357" s="1133"/>
      <c r="B12357" s="1136"/>
      <c r="C12357" s="1138"/>
    </row>
    <row r="12358" spans="1:3">
      <c r="A12358" s="1133"/>
      <c r="B12358" s="1136"/>
      <c r="C12358" s="1138"/>
    </row>
    <row r="12359" spans="1:3">
      <c r="A12359" s="1133"/>
      <c r="B12359" s="1136"/>
      <c r="C12359" s="1138"/>
    </row>
    <row r="12360" spans="1:3">
      <c r="A12360" s="1133"/>
      <c r="B12360" s="1136"/>
      <c r="C12360" s="1138"/>
    </row>
    <row r="12361" spans="1:3">
      <c r="A12361" s="1133"/>
      <c r="B12361" s="1136"/>
      <c r="C12361" s="1138"/>
    </row>
    <row r="12362" spans="1:3">
      <c r="A12362" s="1133"/>
      <c r="B12362" s="1136"/>
      <c r="C12362" s="1138"/>
    </row>
    <row r="12363" spans="1:3">
      <c r="A12363" s="1133"/>
      <c r="B12363" s="1136"/>
      <c r="C12363" s="1138"/>
    </row>
    <row r="12364" spans="1:3">
      <c r="A12364" s="1133"/>
      <c r="B12364" s="1136"/>
      <c r="C12364" s="1138"/>
    </row>
    <row r="12365" spans="1:3">
      <c r="A12365" s="1133"/>
      <c r="B12365" s="1136"/>
      <c r="C12365" s="1138"/>
    </row>
    <row r="12366" spans="1:3">
      <c r="A12366" s="1133"/>
      <c r="B12366" s="1136"/>
      <c r="C12366" s="1138"/>
    </row>
    <row r="12367" spans="1:3">
      <c r="A12367" s="1133"/>
      <c r="B12367" s="1136"/>
      <c r="C12367" s="1138"/>
    </row>
    <row r="12368" spans="1:3">
      <c r="A12368" s="1133"/>
      <c r="B12368" s="1136"/>
      <c r="C12368" s="1138"/>
    </row>
    <row r="12369" spans="1:3">
      <c r="A12369" s="1133"/>
      <c r="B12369" s="1136"/>
      <c r="C12369" s="1138"/>
    </row>
    <row r="12370" spans="1:3">
      <c r="A12370" s="1133"/>
      <c r="B12370" s="1136"/>
      <c r="C12370" s="1138"/>
    </row>
    <row r="12371" spans="1:3">
      <c r="A12371" s="1133"/>
      <c r="B12371" s="1136"/>
      <c r="C12371" s="1138"/>
    </row>
    <row r="12372" spans="1:3">
      <c r="A12372" s="1133"/>
      <c r="B12372" s="1136"/>
      <c r="C12372" s="1138"/>
    </row>
    <row r="12373" spans="1:3">
      <c r="A12373" s="1133"/>
      <c r="B12373" s="1136"/>
      <c r="C12373" s="1138"/>
    </row>
    <row r="12374" spans="1:3">
      <c r="A12374" s="1133"/>
      <c r="B12374" s="1136"/>
      <c r="C12374" s="1138"/>
    </row>
    <row r="12375" spans="1:3">
      <c r="A12375" s="1133"/>
      <c r="B12375" s="1136"/>
      <c r="C12375" s="1138"/>
    </row>
    <row r="12376" spans="1:3">
      <c r="A12376" s="1133"/>
      <c r="B12376" s="1136"/>
      <c r="C12376" s="1138"/>
    </row>
    <row r="12377" spans="1:3">
      <c r="A12377" s="1133"/>
      <c r="B12377" s="1136"/>
      <c r="C12377" s="1138"/>
    </row>
    <row r="12378" spans="1:3">
      <c r="A12378" s="1133"/>
      <c r="B12378" s="1136"/>
      <c r="C12378" s="1138"/>
    </row>
    <row r="12379" spans="1:3">
      <c r="A12379" s="1133"/>
      <c r="B12379" s="1136"/>
      <c r="C12379" s="1138"/>
    </row>
    <row r="12380" spans="1:3">
      <c r="A12380" s="1133"/>
      <c r="B12380" s="1136"/>
      <c r="C12380" s="1138"/>
    </row>
    <row r="12381" spans="1:3">
      <c r="A12381" s="1133"/>
      <c r="B12381" s="1136"/>
      <c r="C12381" s="1138"/>
    </row>
    <row r="12382" spans="1:3">
      <c r="A12382" s="1133"/>
      <c r="B12382" s="1136"/>
      <c r="C12382" s="1138"/>
    </row>
    <row r="12383" spans="1:3">
      <c r="A12383" s="1133"/>
      <c r="B12383" s="1136"/>
      <c r="C12383" s="1138"/>
    </row>
    <row r="12384" spans="1:3">
      <c r="A12384" s="1133"/>
      <c r="B12384" s="1136"/>
      <c r="C12384" s="1138"/>
    </row>
    <row r="12385" spans="1:3">
      <c r="A12385" s="1133"/>
      <c r="B12385" s="1136"/>
      <c r="C12385" s="1138"/>
    </row>
    <row r="12386" spans="1:3">
      <c r="A12386" s="1133"/>
      <c r="B12386" s="1136"/>
      <c r="C12386" s="1138"/>
    </row>
    <row r="12387" spans="1:3">
      <c r="A12387" s="1133"/>
      <c r="B12387" s="1136"/>
      <c r="C12387" s="1138"/>
    </row>
    <row r="12388" spans="1:3">
      <c r="A12388" s="1133"/>
      <c r="B12388" s="1136"/>
      <c r="C12388" s="1138"/>
    </row>
    <row r="12389" spans="1:3">
      <c r="A12389" s="1133"/>
      <c r="B12389" s="1136"/>
      <c r="C12389" s="1138"/>
    </row>
    <row r="12390" spans="1:3">
      <c r="A12390" s="1133"/>
      <c r="B12390" s="1136"/>
      <c r="C12390" s="1138"/>
    </row>
    <row r="12391" spans="1:3">
      <c r="A12391" s="1133"/>
      <c r="B12391" s="1136"/>
      <c r="C12391" s="1138"/>
    </row>
    <row r="12392" spans="1:3">
      <c r="A12392" s="1133"/>
      <c r="B12392" s="1136"/>
      <c r="C12392" s="1138"/>
    </row>
    <row r="12393" spans="1:3">
      <c r="A12393" s="1133"/>
      <c r="B12393" s="1136"/>
      <c r="C12393" s="1138"/>
    </row>
    <row r="12394" spans="1:3">
      <c r="A12394" s="1133"/>
      <c r="B12394" s="1136"/>
      <c r="C12394" s="1138"/>
    </row>
    <row r="12395" spans="1:3">
      <c r="A12395" s="1133"/>
      <c r="B12395" s="1136"/>
      <c r="C12395" s="1138"/>
    </row>
    <row r="12396" spans="1:3">
      <c r="A12396" s="1133"/>
      <c r="B12396" s="1136"/>
      <c r="C12396" s="1138"/>
    </row>
    <row r="12397" spans="1:3">
      <c r="A12397" s="1133"/>
      <c r="B12397" s="1136"/>
      <c r="C12397" s="1138"/>
    </row>
    <row r="12398" spans="1:3">
      <c r="A12398" s="1133"/>
      <c r="B12398" s="1136"/>
      <c r="C12398" s="1138"/>
    </row>
    <row r="12399" spans="1:3">
      <c r="A12399" s="1133"/>
      <c r="B12399" s="1136"/>
      <c r="C12399" s="1138"/>
    </row>
    <row r="12400" spans="1:3">
      <c r="A12400" s="1133"/>
      <c r="B12400" s="1136"/>
      <c r="C12400" s="1138"/>
    </row>
    <row r="12401" spans="1:3">
      <c r="A12401" s="1133"/>
      <c r="B12401" s="1136"/>
      <c r="C12401" s="1138"/>
    </row>
    <row r="12402" spans="1:3">
      <c r="A12402" s="1133"/>
      <c r="B12402" s="1136"/>
      <c r="C12402" s="1138"/>
    </row>
    <row r="12403" spans="1:3">
      <c r="A12403" s="1133"/>
      <c r="B12403" s="1136"/>
      <c r="C12403" s="1138"/>
    </row>
    <row r="12404" spans="1:3">
      <c r="A12404" s="1133"/>
      <c r="B12404" s="1136"/>
      <c r="C12404" s="1138"/>
    </row>
    <row r="12405" spans="1:3">
      <c r="A12405" s="1133"/>
      <c r="B12405" s="1136"/>
      <c r="C12405" s="1138"/>
    </row>
    <row r="12406" spans="1:3">
      <c r="A12406" s="1133"/>
      <c r="B12406" s="1136"/>
      <c r="C12406" s="1138"/>
    </row>
    <row r="12407" spans="1:3">
      <c r="A12407" s="1133"/>
      <c r="B12407" s="1136"/>
      <c r="C12407" s="1138"/>
    </row>
    <row r="12408" spans="1:3">
      <c r="A12408" s="1133"/>
      <c r="B12408" s="1136"/>
      <c r="C12408" s="1138"/>
    </row>
    <row r="12409" spans="1:3">
      <c r="A12409" s="1133"/>
      <c r="B12409" s="1136"/>
      <c r="C12409" s="1138"/>
    </row>
    <row r="12410" spans="1:3">
      <c r="A12410" s="1133"/>
      <c r="B12410" s="1136"/>
      <c r="C12410" s="1138"/>
    </row>
    <row r="12411" spans="1:3">
      <c r="A12411" s="1133"/>
      <c r="B12411" s="1136"/>
      <c r="C12411" s="1138"/>
    </row>
    <row r="12412" spans="1:3">
      <c r="A12412" s="1133"/>
      <c r="B12412" s="1136"/>
      <c r="C12412" s="1138"/>
    </row>
    <row r="12413" spans="1:3">
      <c r="A12413" s="1133"/>
      <c r="B12413" s="1136"/>
      <c r="C12413" s="1138"/>
    </row>
    <row r="12414" spans="1:3">
      <c r="A12414" s="1133"/>
      <c r="B12414" s="1136"/>
      <c r="C12414" s="1138"/>
    </row>
    <row r="12415" spans="1:3">
      <c r="A12415" s="1133"/>
      <c r="B12415" s="1136"/>
      <c r="C12415" s="1138"/>
    </row>
    <row r="12416" spans="1:3">
      <c r="A12416" s="1133"/>
      <c r="B12416" s="1136"/>
      <c r="C12416" s="1138"/>
    </row>
    <row r="12417" spans="1:3">
      <c r="A12417" s="1133"/>
      <c r="B12417" s="1136"/>
      <c r="C12417" s="1138"/>
    </row>
    <row r="12418" spans="1:3">
      <c r="A12418" s="1133"/>
      <c r="B12418" s="1136"/>
      <c r="C12418" s="1138"/>
    </row>
    <row r="12419" spans="1:3">
      <c r="A12419" s="1133"/>
      <c r="B12419" s="1136"/>
      <c r="C12419" s="1138"/>
    </row>
    <row r="12420" spans="1:3">
      <c r="A12420" s="1133"/>
      <c r="B12420" s="1136"/>
      <c r="C12420" s="1138"/>
    </row>
    <row r="12421" spans="1:3">
      <c r="A12421" s="1133"/>
      <c r="B12421" s="1136"/>
      <c r="C12421" s="1138"/>
    </row>
    <row r="12422" spans="1:3">
      <c r="A12422" s="1133"/>
      <c r="B12422" s="1136"/>
      <c r="C12422" s="1138"/>
    </row>
    <row r="12423" spans="1:3">
      <c r="A12423" s="1133"/>
      <c r="B12423" s="1136"/>
      <c r="C12423" s="1138"/>
    </row>
    <row r="12424" spans="1:3">
      <c r="A12424" s="1133"/>
      <c r="B12424" s="1136"/>
      <c r="C12424" s="1138"/>
    </row>
    <row r="12425" spans="1:3">
      <c r="A12425" s="1133"/>
      <c r="B12425" s="1136"/>
      <c r="C12425" s="1138"/>
    </row>
    <row r="12426" spans="1:3">
      <c r="A12426" s="1133"/>
      <c r="B12426" s="1136"/>
      <c r="C12426" s="1138"/>
    </row>
    <row r="12427" spans="1:3">
      <c r="A12427" s="1133"/>
      <c r="B12427" s="1136"/>
      <c r="C12427" s="1138"/>
    </row>
    <row r="12428" spans="1:3">
      <c r="A12428" s="1133"/>
      <c r="B12428" s="1136"/>
      <c r="C12428" s="1138"/>
    </row>
    <row r="12429" spans="1:3">
      <c r="A12429" s="1133"/>
      <c r="B12429" s="1136"/>
      <c r="C12429" s="1138"/>
    </row>
    <row r="12430" spans="1:3">
      <c r="A12430" s="1133"/>
      <c r="B12430" s="1136"/>
      <c r="C12430" s="1138"/>
    </row>
    <row r="12431" spans="1:3">
      <c r="A12431" s="1133"/>
      <c r="B12431" s="1136"/>
      <c r="C12431" s="1138"/>
    </row>
    <row r="12432" spans="1:3">
      <c r="A12432" s="1133"/>
      <c r="B12432" s="1136"/>
      <c r="C12432" s="1138"/>
    </row>
    <row r="12433" spans="1:3">
      <c r="A12433" s="1133"/>
      <c r="B12433" s="1136"/>
      <c r="C12433" s="1138"/>
    </row>
    <row r="12434" spans="1:3">
      <c r="A12434" s="1133"/>
      <c r="B12434" s="1136"/>
      <c r="C12434" s="1138"/>
    </row>
    <row r="12435" spans="1:3">
      <c r="A12435" s="1133"/>
      <c r="B12435" s="1136"/>
      <c r="C12435" s="1138"/>
    </row>
    <row r="12436" spans="1:3">
      <c r="A12436" s="1133"/>
      <c r="B12436" s="1136"/>
      <c r="C12436" s="1138"/>
    </row>
    <row r="12437" spans="1:3">
      <c r="A12437" s="1133"/>
      <c r="B12437" s="1136"/>
      <c r="C12437" s="1138"/>
    </row>
    <row r="12438" spans="1:3">
      <c r="A12438" s="1133"/>
      <c r="B12438" s="1136"/>
      <c r="C12438" s="1138"/>
    </row>
    <row r="12439" spans="1:3">
      <c r="A12439" s="1133"/>
      <c r="B12439" s="1136"/>
      <c r="C12439" s="1138"/>
    </row>
    <row r="12440" spans="1:3">
      <c r="A12440" s="1133"/>
      <c r="B12440" s="1136"/>
      <c r="C12440" s="1138"/>
    </row>
    <row r="12441" spans="1:3">
      <c r="A12441" s="1133"/>
      <c r="B12441" s="1136"/>
      <c r="C12441" s="1138"/>
    </row>
    <row r="12442" spans="1:3">
      <c r="A12442" s="1133"/>
      <c r="B12442" s="1136"/>
      <c r="C12442" s="1138"/>
    </row>
    <row r="12443" spans="1:3">
      <c r="A12443" s="1133"/>
      <c r="B12443" s="1136"/>
      <c r="C12443" s="1138"/>
    </row>
    <row r="12444" spans="1:3">
      <c r="A12444" s="1133"/>
      <c r="B12444" s="1136"/>
      <c r="C12444" s="1138"/>
    </row>
    <row r="12445" spans="1:3">
      <c r="A12445" s="1133"/>
      <c r="B12445" s="1136"/>
      <c r="C12445" s="1138"/>
    </row>
    <row r="12446" spans="1:3">
      <c r="A12446" s="1133"/>
      <c r="B12446" s="1136"/>
      <c r="C12446" s="1138"/>
    </row>
    <row r="12447" spans="1:3">
      <c r="A12447" s="1133"/>
      <c r="B12447" s="1136"/>
      <c r="C12447" s="1138"/>
    </row>
    <row r="12448" spans="1:3">
      <c r="A12448" s="1133"/>
      <c r="B12448" s="1136"/>
      <c r="C12448" s="1138"/>
    </row>
    <row r="12449" spans="1:3">
      <c r="A12449" s="1133"/>
      <c r="B12449" s="1136"/>
      <c r="C12449" s="1138"/>
    </row>
    <row r="12450" spans="1:3">
      <c r="A12450" s="1133"/>
      <c r="B12450" s="1136"/>
      <c r="C12450" s="1138"/>
    </row>
    <row r="12451" spans="1:3">
      <c r="A12451" s="1133"/>
      <c r="B12451" s="1136"/>
      <c r="C12451" s="1138"/>
    </row>
    <row r="12452" spans="1:3">
      <c r="A12452" s="1133"/>
      <c r="B12452" s="1136"/>
      <c r="C12452" s="1138"/>
    </row>
    <row r="12453" spans="1:3">
      <c r="A12453" s="1133"/>
      <c r="B12453" s="1136"/>
      <c r="C12453" s="1138"/>
    </row>
    <row r="12454" spans="1:3">
      <c r="A12454" s="1133"/>
      <c r="B12454" s="1136"/>
      <c r="C12454" s="1138"/>
    </row>
    <row r="12455" spans="1:3">
      <c r="A12455" s="1133"/>
      <c r="B12455" s="1136"/>
      <c r="C12455" s="1138"/>
    </row>
    <row r="12456" spans="1:3">
      <c r="A12456" s="1133"/>
      <c r="B12456" s="1136"/>
      <c r="C12456" s="1138"/>
    </row>
    <row r="12457" spans="1:3">
      <c r="A12457" s="1133"/>
      <c r="B12457" s="1136"/>
      <c r="C12457" s="1138"/>
    </row>
    <row r="12458" spans="1:3">
      <c r="A12458" s="1133"/>
      <c r="B12458" s="1136"/>
      <c r="C12458" s="1138"/>
    </row>
    <row r="12459" spans="1:3">
      <c r="A12459" s="1133"/>
      <c r="B12459" s="1136"/>
      <c r="C12459" s="1138"/>
    </row>
    <row r="12460" spans="1:3">
      <c r="A12460" s="1133"/>
      <c r="B12460" s="1136"/>
      <c r="C12460" s="1138"/>
    </row>
    <row r="12461" spans="1:3">
      <c r="A12461" s="1133"/>
      <c r="B12461" s="1136"/>
      <c r="C12461" s="1138"/>
    </row>
    <row r="12462" spans="1:3">
      <c r="A12462" s="1133"/>
      <c r="B12462" s="1136"/>
      <c r="C12462" s="1138"/>
    </row>
    <row r="12463" spans="1:3">
      <c r="A12463" s="1133"/>
      <c r="B12463" s="1136"/>
      <c r="C12463" s="1138"/>
    </row>
    <row r="12464" spans="1:3">
      <c r="A12464" s="1133"/>
      <c r="B12464" s="1136"/>
      <c r="C12464" s="1138"/>
    </row>
    <row r="12465" spans="1:3">
      <c r="A12465" s="1133"/>
      <c r="B12465" s="1136"/>
      <c r="C12465" s="1138"/>
    </row>
    <row r="12466" spans="1:3">
      <c r="A12466" s="1133"/>
      <c r="B12466" s="1136"/>
      <c r="C12466" s="1138"/>
    </row>
    <row r="12467" spans="1:3">
      <c r="A12467" s="1133"/>
      <c r="B12467" s="1136"/>
      <c r="C12467" s="1138"/>
    </row>
    <row r="12468" spans="1:3">
      <c r="A12468" s="1133"/>
      <c r="B12468" s="1136"/>
      <c r="C12468" s="1138"/>
    </row>
    <row r="12469" spans="1:3">
      <c r="A12469" s="1133"/>
      <c r="B12469" s="1136"/>
      <c r="C12469" s="1138"/>
    </row>
    <row r="12470" spans="1:3">
      <c r="A12470" s="1133"/>
      <c r="B12470" s="1136"/>
      <c r="C12470" s="1138"/>
    </row>
    <row r="12471" spans="1:3">
      <c r="A12471" s="1133"/>
      <c r="B12471" s="1136"/>
      <c r="C12471" s="1138"/>
    </row>
    <row r="12472" spans="1:3">
      <c r="A12472" s="1133"/>
      <c r="B12472" s="1136"/>
      <c r="C12472" s="1138"/>
    </row>
    <row r="12473" spans="1:3">
      <c r="A12473" s="1133"/>
      <c r="B12473" s="1136"/>
      <c r="C12473" s="1138"/>
    </row>
    <row r="12474" spans="1:3">
      <c r="A12474" s="1133"/>
      <c r="B12474" s="1136"/>
      <c r="C12474" s="1138"/>
    </row>
    <row r="12475" spans="1:3">
      <c r="A12475" s="1133"/>
      <c r="B12475" s="1136"/>
      <c r="C12475" s="1138"/>
    </row>
    <row r="12476" spans="1:3">
      <c r="A12476" s="1133"/>
      <c r="B12476" s="1136"/>
      <c r="C12476" s="1138"/>
    </row>
    <row r="12477" spans="1:3">
      <c r="A12477" s="1133"/>
      <c r="B12477" s="1136"/>
      <c r="C12477" s="1138"/>
    </row>
    <row r="12478" spans="1:3">
      <c r="A12478" s="1133"/>
      <c r="B12478" s="1136"/>
      <c r="C12478" s="1138"/>
    </row>
    <row r="12479" spans="1:3">
      <c r="A12479" s="1133"/>
      <c r="B12479" s="1136"/>
      <c r="C12479" s="1138"/>
    </row>
    <row r="12480" spans="1:3">
      <c r="A12480" s="1133"/>
      <c r="B12480" s="1136"/>
      <c r="C12480" s="1138"/>
    </row>
    <row r="12481" spans="1:3">
      <c r="A12481" s="1133"/>
      <c r="B12481" s="1136"/>
      <c r="C12481" s="1138"/>
    </row>
    <row r="12482" spans="1:3">
      <c r="A12482" s="1133"/>
      <c r="B12482" s="1136"/>
      <c r="C12482" s="1138"/>
    </row>
    <row r="12483" spans="1:3">
      <c r="A12483" s="1133"/>
      <c r="B12483" s="1136"/>
      <c r="C12483" s="1138"/>
    </row>
    <row r="12484" spans="1:3">
      <c r="A12484" s="1133"/>
      <c r="B12484" s="1136"/>
      <c r="C12484" s="1138"/>
    </row>
    <row r="12485" spans="1:3">
      <c r="A12485" s="1133"/>
      <c r="B12485" s="1136"/>
      <c r="C12485" s="1138"/>
    </row>
    <row r="12486" spans="1:3">
      <c r="A12486" s="1133"/>
      <c r="B12486" s="1136"/>
      <c r="C12486" s="1138"/>
    </row>
    <row r="12487" spans="1:3">
      <c r="A12487" s="1133"/>
      <c r="B12487" s="1136"/>
      <c r="C12487" s="1138"/>
    </row>
    <row r="12488" spans="1:3">
      <c r="A12488" s="1133"/>
      <c r="B12488" s="1136"/>
      <c r="C12488" s="1138"/>
    </row>
    <row r="12489" spans="1:3">
      <c r="A12489" s="1133"/>
      <c r="B12489" s="1136"/>
      <c r="C12489" s="1138"/>
    </row>
    <row r="12490" spans="1:3">
      <c r="A12490" s="1133"/>
      <c r="B12490" s="1136"/>
      <c r="C12490" s="1138"/>
    </row>
    <row r="12491" spans="1:3">
      <c r="A12491" s="1133"/>
      <c r="B12491" s="1136"/>
      <c r="C12491" s="1138"/>
    </row>
    <row r="12492" spans="1:3">
      <c r="A12492" s="1133"/>
      <c r="B12492" s="1136"/>
      <c r="C12492" s="1138"/>
    </row>
    <row r="12493" spans="1:3">
      <c r="A12493" s="1133"/>
      <c r="B12493" s="1136"/>
      <c r="C12493" s="1138"/>
    </row>
    <row r="12494" spans="1:3">
      <c r="A12494" s="1133"/>
      <c r="B12494" s="1136"/>
      <c r="C12494" s="1138"/>
    </row>
    <row r="12495" spans="1:3">
      <c r="A12495" s="1133"/>
      <c r="B12495" s="1136"/>
      <c r="C12495" s="1138"/>
    </row>
    <row r="12496" spans="1:3">
      <c r="A12496" s="1133"/>
      <c r="B12496" s="1136"/>
      <c r="C12496" s="1138"/>
    </row>
    <row r="12497" spans="1:3">
      <c r="A12497" s="1133"/>
      <c r="B12497" s="1136"/>
      <c r="C12497" s="1138"/>
    </row>
    <row r="12498" spans="1:3">
      <c r="A12498" s="1133"/>
      <c r="B12498" s="1136"/>
      <c r="C12498" s="1138"/>
    </row>
    <row r="12499" spans="1:3">
      <c r="A12499" s="1133"/>
      <c r="B12499" s="1136"/>
      <c r="C12499" s="1138"/>
    </row>
    <row r="12500" spans="1:3">
      <c r="A12500" s="1133"/>
      <c r="B12500" s="1136"/>
      <c r="C12500" s="1138"/>
    </row>
    <row r="12501" spans="1:3">
      <c r="A12501" s="1133"/>
      <c r="B12501" s="1136"/>
      <c r="C12501" s="1138"/>
    </row>
    <row r="12502" spans="1:3">
      <c r="A12502" s="1133"/>
      <c r="B12502" s="1136"/>
      <c r="C12502" s="1138"/>
    </row>
    <row r="12503" spans="1:3">
      <c r="A12503" s="1133"/>
      <c r="B12503" s="1136"/>
      <c r="C12503" s="1138"/>
    </row>
    <row r="12504" spans="1:3">
      <c r="A12504" s="1133"/>
      <c r="B12504" s="1136"/>
      <c r="C12504" s="1138"/>
    </row>
    <row r="12505" spans="1:3">
      <c r="A12505" s="1133"/>
      <c r="B12505" s="1136"/>
      <c r="C12505" s="1138"/>
    </row>
    <row r="12506" spans="1:3">
      <c r="A12506" s="1133"/>
      <c r="B12506" s="1136"/>
      <c r="C12506" s="1138"/>
    </row>
    <row r="12507" spans="1:3">
      <c r="A12507" s="1133"/>
      <c r="B12507" s="1136"/>
      <c r="C12507" s="1138"/>
    </row>
    <row r="12508" spans="1:3">
      <c r="A12508" s="1133"/>
      <c r="B12508" s="1136"/>
      <c r="C12508" s="1138"/>
    </row>
    <row r="12509" spans="1:3">
      <c r="A12509" s="1133"/>
      <c r="B12509" s="1136"/>
      <c r="C12509" s="1138"/>
    </row>
    <row r="12510" spans="1:3">
      <c r="A12510" s="1133"/>
      <c r="B12510" s="1136"/>
      <c r="C12510" s="1138"/>
    </row>
    <row r="12511" spans="1:3">
      <c r="A12511" s="1133"/>
      <c r="B12511" s="1136"/>
      <c r="C12511" s="1138"/>
    </row>
    <row r="12512" spans="1:3">
      <c r="A12512" s="1133"/>
      <c r="B12512" s="1136"/>
      <c r="C12512" s="1138"/>
    </row>
    <row r="12513" spans="1:3">
      <c r="A12513" s="1133"/>
      <c r="B12513" s="1136"/>
      <c r="C12513" s="1138"/>
    </row>
    <row r="12514" spans="1:3">
      <c r="A12514" s="1133"/>
      <c r="B12514" s="1136"/>
      <c r="C12514" s="1138"/>
    </row>
    <row r="12515" spans="1:3">
      <c r="A12515" s="1133"/>
      <c r="B12515" s="1136"/>
      <c r="C12515" s="1138"/>
    </row>
    <row r="12516" spans="1:3">
      <c r="A12516" s="1133"/>
      <c r="B12516" s="1136"/>
      <c r="C12516" s="1138"/>
    </row>
    <row r="12517" spans="1:3">
      <c r="A12517" s="1133"/>
      <c r="B12517" s="1136"/>
      <c r="C12517" s="1138"/>
    </row>
    <row r="12518" spans="1:3">
      <c r="A12518" s="1133"/>
      <c r="B12518" s="1136"/>
      <c r="C12518" s="1138"/>
    </row>
    <row r="12519" spans="1:3">
      <c r="A12519" s="1133"/>
      <c r="B12519" s="1136"/>
      <c r="C12519" s="1138"/>
    </row>
    <row r="12520" spans="1:3">
      <c r="A12520" s="1133"/>
      <c r="B12520" s="1136"/>
      <c r="C12520" s="1138"/>
    </row>
    <row r="12521" spans="1:3">
      <c r="A12521" s="1133"/>
      <c r="B12521" s="1136"/>
      <c r="C12521" s="1138"/>
    </row>
    <row r="12522" spans="1:3">
      <c r="A12522" s="1133"/>
      <c r="B12522" s="1136"/>
      <c r="C12522" s="1138"/>
    </row>
    <row r="12523" spans="1:3">
      <c r="A12523" s="1133"/>
      <c r="B12523" s="1136"/>
      <c r="C12523" s="1138"/>
    </row>
    <row r="12524" spans="1:3">
      <c r="A12524" s="1133"/>
      <c r="B12524" s="1136"/>
      <c r="C12524" s="1138"/>
    </row>
    <row r="12525" spans="1:3">
      <c r="A12525" s="1133"/>
      <c r="B12525" s="1136"/>
      <c r="C12525" s="1138"/>
    </row>
    <row r="12526" spans="1:3">
      <c r="A12526" s="1133"/>
      <c r="B12526" s="1136"/>
      <c r="C12526" s="1138"/>
    </row>
    <row r="12527" spans="1:3">
      <c r="A12527" s="1133"/>
      <c r="B12527" s="1136"/>
      <c r="C12527" s="1138"/>
    </row>
    <row r="12528" spans="1:3">
      <c r="A12528" s="1133"/>
      <c r="B12528" s="1136"/>
      <c r="C12528" s="1138"/>
    </row>
    <row r="12529" spans="1:3">
      <c r="A12529" s="1133"/>
      <c r="B12529" s="1136"/>
      <c r="C12529" s="1138"/>
    </row>
    <row r="12530" spans="1:3">
      <c r="A12530" s="1133"/>
      <c r="B12530" s="1136"/>
      <c r="C12530" s="1138"/>
    </row>
    <row r="12531" spans="1:3">
      <c r="A12531" s="1133"/>
      <c r="B12531" s="1136"/>
      <c r="C12531" s="1138"/>
    </row>
    <row r="12532" spans="1:3">
      <c r="A12532" s="1133"/>
      <c r="B12532" s="1136"/>
      <c r="C12532" s="1138"/>
    </row>
    <row r="12533" spans="1:3">
      <c r="A12533" s="1133"/>
      <c r="B12533" s="1136"/>
      <c r="C12533" s="1138"/>
    </row>
    <row r="12534" spans="1:3">
      <c r="A12534" s="1133"/>
      <c r="B12534" s="1136"/>
      <c r="C12534" s="1138"/>
    </row>
    <row r="12535" spans="1:3">
      <c r="A12535" s="1133"/>
      <c r="B12535" s="1136"/>
      <c r="C12535" s="1138"/>
    </row>
    <row r="12536" spans="1:3">
      <c r="A12536" s="1133"/>
      <c r="B12536" s="1136"/>
      <c r="C12536" s="1138"/>
    </row>
    <row r="12537" spans="1:3">
      <c r="A12537" s="1133"/>
      <c r="B12537" s="1136"/>
      <c r="C12537" s="1138"/>
    </row>
    <row r="12538" spans="1:3">
      <c r="A12538" s="1133"/>
      <c r="B12538" s="1136"/>
      <c r="C12538" s="1138"/>
    </row>
    <row r="12539" spans="1:3">
      <c r="A12539" s="1133"/>
      <c r="B12539" s="1136"/>
      <c r="C12539" s="1138"/>
    </row>
    <row r="12540" spans="1:3">
      <c r="A12540" s="1133"/>
      <c r="B12540" s="1136"/>
      <c r="C12540" s="1138"/>
    </row>
    <row r="12541" spans="1:3">
      <c r="A12541" s="1133"/>
      <c r="B12541" s="1136"/>
      <c r="C12541" s="1138"/>
    </row>
    <row r="12542" spans="1:3">
      <c r="A12542" s="1133"/>
      <c r="B12542" s="1136"/>
      <c r="C12542" s="1138"/>
    </row>
    <row r="12543" spans="1:3">
      <c r="A12543" s="1133"/>
      <c r="B12543" s="1136"/>
      <c r="C12543" s="1138"/>
    </row>
    <row r="12544" spans="1:3">
      <c r="A12544" s="1133"/>
      <c r="B12544" s="1136"/>
      <c r="C12544" s="1138"/>
    </row>
    <row r="12545" spans="1:3">
      <c r="A12545" s="1133"/>
      <c r="B12545" s="1136"/>
      <c r="C12545" s="1138"/>
    </row>
    <row r="12546" spans="1:3">
      <c r="A12546" s="1133"/>
      <c r="B12546" s="1136"/>
      <c r="C12546" s="1138"/>
    </row>
    <row r="12547" spans="1:3">
      <c r="A12547" s="1133"/>
      <c r="B12547" s="1136"/>
      <c r="C12547" s="1138"/>
    </row>
    <row r="12548" spans="1:3">
      <c r="A12548" s="1133"/>
      <c r="B12548" s="1136"/>
      <c r="C12548" s="1138"/>
    </row>
    <row r="12549" spans="1:3">
      <c r="A12549" s="1133"/>
      <c r="B12549" s="1136"/>
      <c r="C12549" s="1138"/>
    </row>
    <row r="12550" spans="1:3">
      <c r="A12550" s="1133"/>
      <c r="B12550" s="1136"/>
      <c r="C12550" s="1138"/>
    </row>
    <row r="12551" spans="1:3">
      <c r="A12551" s="1133"/>
      <c r="B12551" s="1136"/>
      <c r="C12551" s="1138"/>
    </row>
    <row r="12552" spans="1:3">
      <c r="A12552" s="1133"/>
      <c r="B12552" s="1136"/>
      <c r="C12552" s="1138"/>
    </row>
    <row r="12553" spans="1:3">
      <c r="A12553" s="1133"/>
      <c r="B12553" s="1136"/>
      <c r="C12553" s="1138"/>
    </row>
    <row r="12554" spans="1:3">
      <c r="A12554" s="1133"/>
      <c r="B12554" s="1136"/>
      <c r="C12554" s="1138"/>
    </row>
    <row r="12555" spans="1:3">
      <c r="A12555" s="1133"/>
      <c r="B12555" s="1136"/>
      <c r="C12555" s="1138"/>
    </row>
    <row r="12556" spans="1:3">
      <c r="A12556" s="1133"/>
      <c r="B12556" s="1136"/>
      <c r="C12556" s="1138"/>
    </row>
    <row r="12557" spans="1:3">
      <c r="A12557" s="1133"/>
      <c r="B12557" s="1136"/>
      <c r="C12557" s="1138"/>
    </row>
    <row r="12558" spans="1:3">
      <c r="A12558" s="1133"/>
      <c r="B12558" s="1136"/>
      <c r="C12558" s="1138"/>
    </row>
    <row r="12559" spans="1:3">
      <c r="A12559" s="1133"/>
      <c r="B12559" s="1136"/>
      <c r="C12559" s="1138"/>
    </row>
    <row r="12560" spans="1:3">
      <c r="A12560" s="1133"/>
      <c r="B12560" s="1136"/>
      <c r="C12560" s="1138"/>
    </row>
    <row r="12561" spans="1:3">
      <c r="A12561" s="1133"/>
      <c r="B12561" s="1136"/>
      <c r="C12561" s="1138"/>
    </row>
    <row r="12562" spans="1:3">
      <c r="A12562" s="1133"/>
      <c r="B12562" s="1136"/>
      <c r="C12562" s="1138"/>
    </row>
    <row r="12563" spans="1:3">
      <c r="A12563" s="1133"/>
      <c r="B12563" s="1136"/>
      <c r="C12563" s="1138"/>
    </row>
    <row r="12564" spans="1:3">
      <c r="A12564" s="1133"/>
      <c r="B12564" s="1136"/>
      <c r="C12564" s="1138"/>
    </row>
    <row r="12565" spans="1:3">
      <c r="A12565" s="1133"/>
      <c r="B12565" s="1136"/>
      <c r="C12565" s="1138"/>
    </row>
    <row r="12566" spans="1:3">
      <c r="A12566" s="1133"/>
      <c r="B12566" s="1136"/>
      <c r="C12566" s="1138"/>
    </row>
    <row r="12567" spans="1:3">
      <c r="A12567" s="1133"/>
      <c r="B12567" s="1136"/>
      <c r="C12567" s="1138"/>
    </row>
    <row r="12568" spans="1:3">
      <c r="A12568" s="1133"/>
      <c r="B12568" s="1136"/>
      <c r="C12568" s="1138"/>
    </row>
    <row r="12569" spans="1:3">
      <c r="A12569" s="1133"/>
      <c r="B12569" s="1136"/>
      <c r="C12569" s="1138"/>
    </row>
    <row r="12570" spans="1:3">
      <c r="A12570" s="1133"/>
      <c r="B12570" s="1136"/>
      <c r="C12570" s="1138"/>
    </row>
    <row r="12571" spans="1:3">
      <c r="A12571" s="1133"/>
      <c r="B12571" s="1136"/>
      <c r="C12571" s="1138"/>
    </row>
    <row r="12572" spans="1:3">
      <c r="A12572" s="1133"/>
      <c r="B12572" s="1136"/>
      <c r="C12572" s="1138"/>
    </row>
    <row r="12573" spans="1:3">
      <c r="A12573" s="1133"/>
      <c r="B12573" s="1136"/>
      <c r="C12573" s="1138"/>
    </row>
    <row r="12574" spans="1:3">
      <c r="A12574" s="1133"/>
      <c r="B12574" s="1136"/>
      <c r="C12574" s="1138"/>
    </row>
    <row r="12575" spans="1:3">
      <c r="A12575" s="1133"/>
      <c r="B12575" s="1136"/>
      <c r="C12575" s="1138"/>
    </row>
    <row r="12576" spans="1:3">
      <c r="A12576" s="1133"/>
      <c r="B12576" s="1136"/>
      <c r="C12576" s="1138"/>
    </row>
    <row r="12577" spans="1:3">
      <c r="A12577" s="1133"/>
      <c r="B12577" s="1136"/>
      <c r="C12577" s="1138"/>
    </row>
    <row r="12578" spans="1:3">
      <c r="A12578" s="1133"/>
      <c r="B12578" s="1136"/>
      <c r="C12578" s="1138"/>
    </row>
    <row r="12579" spans="1:3">
      <c r="A12579" s="1133"/>
      <c r="B12579" s="1136"/>
      <c r="C12579" s="1138"/>
    </row>
    <row r="12580" spans="1:3">
      <c r="A12580" s="1133"/>
      <c r="B12580" s="1136"/>
      <c r="C12580" s="1138"/>
    </row>
    <row r="12581" spans="1:3">
      <c r="A12581" s="1133"/>
      <c r="B12581" s="1136"/>
      <c r="C12581" s="1138"/>
    </row>
    <row r="12582" spans="1:3">
      <c r="A12582" s="1133"/>
      <c r="B12582" s="1136"/>
      <c r="C12582" s="1138"/>
    </row>
    <row r="12583" spans="1:3">
      <c r="A12583" s="1133"/>
      <c r="B12583" s="1136"/>
      <c r="C12583" s="1138"/>
    </row>
    <row r="12584" spans="1:3">
      <c r="A12584" s="1133"/>
      <c r="B12584" s="1136"/>
      <c r="C12584" s="1138"/>
    </row>
    <row r="12585" spans="1:3">
      <c r="A12585" s="1133"/>
      <c r="B12585" s="1136"/>
      <c r="C12585" s="1138"/>
    </row>
    <row r="12586" spans="1:3">
      <c r="A12586" s="1133"/>
      <c r="B12586" s="1136"/>
      <c r="C12586" s="1138"/>
    </row>
    <row r="12587" spans="1:3">
      <c r="A12587" s="1133"/>
      <c r="B12587" s="1136"/>
      <c r="C12587" s="1138"/>
    </row>
    <row r="12588" spans="1:3">
      <c r="A12588" s="1133"/>
      <c r="B12588" s="1136"/>
      <c r="C12588" s="1138"/>
    </row>
    <row r="12589" spans="1:3">
      <c r="A12589" s="1133"/>
      <c r="B12589" s="1136"/>
      <c r="C12589" s="1138"/>
    </row>
    <row r="12590" spans="1:3">
      <c r="A12590" s="1133"/>
      <c r="B12590" s="1136"/>
      <c r="C12590" s="1138"/>
    </row>
    <row r="12591" spans="1:3">
      <c r="A12591" s="1133"/>
      <c r="B12591" s="1136"/>
      <c r="C12591" s="1138"/>
    </row>
    <row r="12592" spans="1:3">
      <c r="A12592" s="1133"/>
      <c r="B12592" s="1136"/>
      <c r="C12592" s="1138"/>
    </row>
    <row r="12593" spans="1:3">
      <c r="A12593" s="1133"/>
      <c r="B12593" s="1136"/>
      <c r="C12593" s="1138"/>
    </row>
    <row r="12594" spans="1:3">
      <c r="A12594" s="1133"/>
      <c r="B12594" s="1136"/>
      <c r="C12594" s="1138"/>
    </row>
    <row r="12595" spans="1:3">
      <c r="A12595" s="1133"/>
      <c r="B12595" s="1136"/>
      <c r="C12595" s="1138"/>
    </row>
    <row r="12596" spans="1:3">
      <c r="A12596" s="1133"/>
      <c r="B12596" s="1136"/>
      <c r="C12596" s="1138"/>
    </row>
    <row r="12597" spans="1:3">
      <c r="A12597" s="1133"/>
      <c r="B12597" s="1136"/>
      <c r="C12597" s="1138"/>
    </row>
    <row r="12598" spans="1:3">
      <c r="A12598" s="1133"/>
      <c r="B12598" s="1136"/>
      <c r="C12598" s="1138"/>
    </row>
    <row r="12599" spans="1:3">
      <c r="A12599" s="1133"/>
      <c r="B12599" s="1136"/>
      <c r="C12599" s="1138"/>
    </row>
    <row r="12600" spans="1:3">
      <c r="A12600" s="1133"/>
      <c r="B12600" s="1136"/>
      <c r="C12600" s="1138"/>
    </row>
    <row r="12601" spans="1:3">
      <c r="A12601" s="1133"/>
      <c r="B12601" s="1136"/>
      <c r="C12601" s="1138"/>
    </row>
    <row r="12602" spans="1:3">
      <c r="A12602" s="1133"/>
      <c r="B12602" s="1136"/>
      <c r="C12602" s="1138"/>
    </row>
    <row r="12603" spans="1:3">
      <c r="A12603" s="1133"/>
      <c r="B12603" s="1136"/>
      <c r="C12603" s="1138"/>
    </row>
    <row r="12604" spans="1:3">
      <c r="A12604" s="1133"/>
      <c r="B12604" s="1136"/>
      <c r="C12604" s="1138"/>
    </row>
    <row r="12605" spans="1:3">
      <c r="A12605" s="1133"/>
      <c r="B12605" s="1136"/>
      <c r="C12605" s="1138"/>
    </row>
    <row r="12606" spans="1:3">
      <c r="A12606" s="1133"/>
      <c r="B12606" s="1136"/>
      <c r="C12606" s="1138"/>
    </row>
    <row r="12607" spans="1:3">
      <c r="A12607" s="1133"/>
      <c r="B12607" s="1136"/>
      <c r="C12607" s="1138"/>
    </row>
    <row r="12608" spans="1:3">
      <c r="A12608" s="1133"/>
      <c r="B12608" s="1136"/>
      <c r="C12608" s="1138"/>
    </row>
    <row r="12609" spans="1:3">
      <c r="A12609" s="1133"/>
      <c r="B12609" s="1136"/>
      <c r="C12609" s="1138"/>
    </row>
    <row r="12610" spans="1:3">
      <c r="A12610" s="1133"/>
      <c r="B12610" s="1136"/>
      <c r="C12610" s="1138"/>
    </row>
    <row r="12611" spans="1:3">
      <c r="A12611" s="1133"/>
      <c r="B12611" s="1136"/>
      <c r="C12611" s="1138"/>
    </row>
    <row r="12612" spans="1:3">
      <c r="A12612" s="1133"/>
      <c r="B12612" s="1136"/>
      <c r="C12612" s="1138"/>
    </row>
    <row r="12613" spans="1:3">
      <c r="A12613" s="1133"/>
      <c r="B12613" s="1136"/>
      <c r="C12613" s="1138"/>
    </row>
    <row r="12614" spans="1:3">
      <c r="A12614" s="1133"/>
      <c r="B12614" s="1136"/>
      <c r="C12614" s="1138"/>
    </row>
    <row r="12615" spans="1:3">
      <c r="A12615" s="1133"/>
      <c r="B12615" s="1136"/>
      <c r="C12615" s="1138"/>
    </row>
    <row r="12616" spans="1:3">
      <c r="A12616" s="1133"/>
      <c r="B12616" s="1136"/>
      <c r="C12616" s="1138"/>
    </row>
    <row r="12617" spans="1:3">
      <c r="A12617" s="1133"/>
      <c r="B12617" s="1136"/>
      <c r="C12617" s="1138"/>
    </row>
    <row r="12618" spans="1:3">
      <c r="A12618" s="1133"/>
      <c r="B12618" s="1136"/>
      <c r="C12618" s="1138"/>
    </row>
    <row r="12619" spans="1:3">
      <c r="A12619" s="1133"/>
      <c r="B12619" s="1136"/>
      <c r="C12619" s="1138"/>
    </row>
    <row r="12620" spans="1:3">
      <c r="A12620" s="1133"/>
      <c r="B12620" s="1136"/>
      <c r="C12620" s="1138"/>
    </row>
    <row r="12621" spans="1:3">
      <c r="A12621" s="1133"/>
      <c r="B12621" s="1136"/>
      <c r="C12621" s="1138"/>
    </row>
    <row r="12622" spans="1:3">
      <c r="A12622" s="1133"/>
      <c r="B12622" s="1136"/>
      <c r="C12622" s="1138"/>
    </row>
    <row r="12623" spans="1:3">
      <c r="A12623" s="1133"/>
      <c r="B12623" s="1136"/>
      <c r="C12623" s="1138"/>
    </row>
    <row r="12624" spans="1:3">
      <c r="A12624" s="1133"/>
      <c r="B12624" s="1136"/>
      <c r="C12624" s="1138"/>
    </row>
    <row r="12625" spans="1:3">
      <c r="A12625" s="1133"/>
      <c r="B12625" s="1136"/>
      <c r="C12625" s="1138"/>
    </row>
    <row r="12626" spans="1:3">
      <c r="A12626" s="1133"/>
      <c r="B12626" s="1136"/>
      <c r="C12626" s="1138"/>
    </row>
    <row r="12627" spans="1:3">
      <c r="A12627" s="1133"/>
      <c r="B12627" s="1136"/>
      <c r="C12627" s="1138"/>
    </row>
    <row r="12628" spans="1:3">
      <c r="A12628" s="1133"/>
      <c r="B12628" s="1136"/>
      <c r="C12628" s="1138"/>
    </row>
    <row r="12629" spans="1:3">
      <c r="A12629" s="1133"/>
      <c r="B12629" s="1136"/>
      <c r="C12629" s="1138"/>
    </row>
    <row r="12630" spans="1:3">
      <c r="A12630" s="1133"/>
      <c r="B12630" s="1136"/>
      <c r="C12630" s="1138"/>
    </row>
    <row r="12631" spans="1:3">
      <c r="A12631" s="1133"/>
      <c r="B12631" s="1136"/>
      <c r="C12631" s="1138"/>
    </row>
    <row r="12632" spans="1:3">
      <c r="A12632" s="1133"/>
      <c r="B12632" s="1136"/>
      <c r="C12632" s="1138"/>
    </row>
    <row r="12633" spans="1:3">
      <c r="A12633" s="1133"/>
      <c r="B12633" s="1136"/>
      <c r="C12633" s="1138"/>
    </row>
    <row r="12634" spans="1:3">
      <c r="A12634" s="1133"/>
      <c r="B12634" s="1136"/>
      <c r="C12634" s="1138"/>
    </row>
    <row r="12635" spans="1:3">
      <c r="A12635" s="1133"/>
      <c r="B12635" s="1136"/>
      <c r="C12635" s="1138"/>
    </row>
    <row r="12636" spans="1:3">
      <c r="A12636" s="1133"/>
      <c r="B12636" s="1136"/>
      <c r="C12636" s="1138"/>
    </row>
    <row r="12637" spans="1:3">
      <c r="A12637" s="1133"/>
      <c r="B12637" s="1136"/>
      <c r="C12637" s="1138"/>
    </row>
    <row r="12638" spans="1:3">
      <c r="A12638" s="1133"/>
      <c r="B12638" s="1136"/>
      <c r="C12638" s="1138"/>
    </row>
    <row r="12639" spans="1:3">
      <c r="A12639" s="1133"/>
      <c r="B12639" s="1136"/>
      <c r="C12639" s="1138"/>
    </row>
    <row r="12640" spans="1:3">
      <c r="A12640" s="1133"/>
      <c r="B12640" s="1136"/>
      <c r="C12640" s="1138"/>
    </row>
    <row r="12641" spans="1:3">
      <c r="A12641" s="1133"/>
      <c r="B12641" s="1136"/>
      <c r="C12641" s="1138"/>
    </row>
    <row r="12642" spans="1:3">
      <c r="A12642" s="1133"/>
      <c r="B12642" s="1136"/>
      <c r="C12642" s="1138"/>
    </row>
    <row r="12643" spans="1:3">
      <c r="A12643" s="1133"/>
      <c r="B12643" s="1136"/>
      <c r="C12643" s="1138"/>
    </row>
    <row r="12644" spans="1:3">
      <c r="A12644" s="1133"/>
      <c r="B12644" s="1136"/>
      <c r="C12644" s="1138"/>
    </row>
    <row r="12645" spans="1:3">
      <c r="A12645" s="1133"/>
      <c r="B12645" s="1136"/>
      <c r="C12645" s="1138"/>
    </row>
    <row r="12646" spans="1:3">
      <c r="A12646" s="1133"/>
      <c r="B12646" s="1136"/>
      <c r="C12646" s="1138"/>
    </row>
    <row r="12647" spans="1:3">
      <c r="A12647" s="1133"/>
      <c r="B12647" s="1136"/>
      <c r="C12647" s="1138"/>
    </row>
    <row r="12648" spans="1:3">
      <c r="A12648" s="1133"/>
      <c r="B12648" s="1136"/>
      <c r="C12648" s="1138"/>
    </row>
    <row r="12649" spans="1:3">
      <c r="A12649" s="1133"/>
      <c r="B12649" s="1136"/>
      <c r="C12649" s="1138"/>
    </row>
    <row r="12650" spans="1:3">
      <c r="A12650" s="1133"/>
      <c r="B12650" s="1136"/>
      <c r="C12650" s="1138"/>
    </row>
    <row r="12651" spans="1:3">
      <c r="A12651" s="1133"/>
      <c r="B12651" s="1136"/>
      <c r="C12651" s="1138"/>
    </row>
    <row r="12652" spans="1:3">
      <c r="A12652" s="1133"/>
      <c r="B12652" s="1136"/>
      <c r="C12652" s="1138"/>
    </row>
    <row r="12653" spans="1:3">
      <c r="A12653" s="1133"/>
      <c r="B12653" s="1136"/>
      <c r="C12653" s="1138"/>
    </row>
    <row r="12654" spans="1:3">
      <c r="A12654" s="1133"/>
      <c r="B12654" s="1136"/>
      <c r="C12654" s="1138"/>
    </row>
    <row r="12655" spans="1:3">
      <c r="A12655" s="1133"/>
      <c r="B12655" s="1136"/>
      <c r="C12655" s="1138"/>
    </row>
    <row r="12656" spans="1:3">
      <c r="A12656" s="1133"/>
      <c r="B12656" s="1136"/>
      <c r="C12656" s="1138"/>
    </row>
    <row r="12657" spans="1:3">
      <c r="A12657" s="1133"/>
      <c r="B12657" s="1136"/>
      <c r="C12657" s="1138"/>
    </row>
    <row r="12658" spans="1:3">
      <c r="A12658" s="1133"/>
      <c r="B12658" s="1136"/>
      <c r="C12658" s="1138"/>
    </row>
    <row r="12659" spans="1:3">
      <c r="A12659" s="1133"/>
      <c r="B12659" s="1136"/>
      <c r="C12659" s="1138"/>
    </row>
    <row r="12660" spans="1:3">
      <c r="A12660" s="1133"/>
      <c r="B12660" s="1136"/>
      <c r="C12660" s="1138"/>
    </row>
    <row r="12661" spans="1:3">
      <c r="A12661" s="1133"/>
      <c r="B12661" s="1136"/>
      <c r="C12661" s="1138"/>
    </row>
    <row r="12662" spans="1:3">
      <c r="A12662" s="1133"/>
      <c r="B12662" s="1136"/>
      <c r="C12662" s="1138"/>
    </row>
    <row r="12663" spans="1:3">
      <c r="A12663" s="1133"/>
      <c r="B12663" s="1136"/>
      <c r="C12663" s="1138"/>
    </row>
    <row r="12664" spans="1:3">
      <c r="A12664" s="1133"/>
      <c r="B12664" s="1136"/>
      <c r="C12664" s="1138"/>
    </row>
    <row r="12665" spans="1:3">
      <c r="A12665" s="1133"/>
      <c r="B12665" s="1136"/>
      <c r="C12665" s="1138"/>
    </row>
    <row r="12666" spans="1:3">
      <c r="A12666" s="1133"/>
      <c r="B12666" s="1136"/>
      <c r="C12666" s="1138"/>
    </row>
    <row r="12667" spans="1:3">
      <c r="A12667" s="1133"/>
      <c r="B12667" s="1136"/>
      <c r="C12667" s="1138"/>
    </row>
    <row r="12668" spans="1:3">
      <c r="A12668" s="1133"/>
      <c r="B12668" s="1136"/>
      <c r="C12668" s="1138"/>
    </row>
    <row r="12669" spans="1:3">
      <c r="A12669" s="1133"/>
      <c r="B12669" s="1136"/>
      <c r="C12669" s="1138"/>
    </row>
    <row r="12670" spans="1:3">
      <c r="A12670" s="1133"/>
      <c r="B12670" s="1136"/>
      <c r="C12670" s="1138"/>
    </row>
    <row r="12671" spans="1:3">
      <c r="A12671" s="1133"/>
      <c r="B12671" s="1136"/>
      <c r="C12671" s="1138"/>
    </row>
    <row r="12672" spans="1:3">
      <c r="A12672" s="1133"/>
      <c r="B12672" s="1136"/>
      <c r="C12672" s="1138"/>
    </row>
    <row r="12673" spans="1:3">
      <c r="A12673" s="1133"/>
      <c r="B12673" s="1136"/>
      <c r="C12673" s="1138"/>
    </row>
    <row r="12674" spans="1:3">
      <c r="A12674" s="1133"/>
      <c r="B12674" s="1136"/>
      <c r="C12674" s="1138"/>
    </row>
    <row r="12675" spans="1:3">
      <c r="A12675" s="1133"/>
      <c r="B12675" s="1136"/>
      <c r="C12675" s="1138"/>
    </row>
    <row r="12676" spans="1:3">
      <c r="A12676" s="1133"/>
      <c r="B12676" s="1136"/>
      <c r="C12676" s="1138"/>
    </row>
    <row r="12677" spans="1:3">
      <c r="A12677" s="1133"/>
      <c r="B12677" s="1136"/>
      <c r="C12677" s="1138"/>
    </row>
    <row r="12678" spans="1:3">
      <c r="A12678" s="1133"/>
      <c r="B12678" s="1136"/>
      <c r="C12678" s="1138"/>
    </row>
    <row r="12679" spans="1:3">
      <c r="A12679" s="1133"/>
      <c r="B12679" s="1136"/>
      <c r="C12679" s="1138"/>
    </row>
    <row r="12680" spans="1:3">
      <c r="A12680" s="1133"/>
      <c r="B12680" s="1136"/>
      <c r="C12680" s="1138"/>
    </row>
    <row r="12681" spans="1:3">
      <c r="A12681" s="1133"/>
      <c r="B12681" s="1136"/>
      <c r="C12681" s="1138"/>
    </row>
    <row r="12682" spans="1:3">
      <c r="A12682" s="1133"/>
      <c r="B12682" s="1136"/>
      <c r="C12682" s="1138"/>
    </row>
    <row r="12683" spans="1:3">
      <c r="A12683" s="1133"/>
      <c r="B12683" s="1136"/>
      <c r="C12683" s="1138"/>
    </row>
    <row r="12684" spans="1:3">
      <c r="A12684" s="1133"/>
      <c r="B12684" s="1136"/>
      <c r="C12684" s="1138"/>
    </row>
    <row r="12685" spans="1:3">
      <c r="A12685" s="1133"/>
      <c r="B12685" s="1136"/>
      <c r="C12685" s="1138"/>
    </row>
    <row r="12686" spans="1:3">
      <c r="A12686" s="1133"/>
      <c r="B12686" s="1136"/>
      <c r="C12686" s="1138"/>
    </row>
    <row r="12687" spans="1:3">
      <c r="A12687" s="1133"/>
      <c r="B12687" s="1136"/>
      <c r="C12687" s="1138"/>
    </row>
    <row r="12688" spans="1:3">
      <c r="A12688" s="1133"/>
      <c r="B12688" s="1136"/>
      <c r="C12688" s="1138"/>
    </row>
    <row r="12689" spans="1:3">
      <c r="A12689" s="1133"/>
      <c r="B12689" s="1136"/>
      <c r="C12689" s="1138"/>
    </row>
    <row r="12690" spans="1:3">
      <c r="A12690" s="1133"/>
      <c r="B12690" s="1136"/>
      <c r="C12690" s="1138"/>
    </row>
    <row r="12691" spans="1:3">
      <c r="A12691" s="1133"/>
      <c r="B12691" s="1136"/>
      <c r="C12691" s="1138"/>
    </row>
    <row r="12692" spans="1:3">
      <c r="A12692" s="1133"/>
      <c r="B12692" s="1136"/>
      <c r="C12692" s="1138"/>
    </row>
    <row r="12693" spans="1:3">
      <c r="A12693" s="1133"/>
      <c r="B12693" s="1136"/>
      <c r="C12693" s="1138"/>
    </row>
    <row r="12694" spans="1:3">
      <c r="A12694" s="1133"/>
      <c r="B12694" s="1136"/>
      <c r="C12694" s="1138"/>
    </row>
    <row r="12695" spans="1:3">
      <c r="A12695" s="1133"/>
      <c r="B12695" s="1136"/>
      <c r="C12695" s="1138"/>
    </row>
    <row r="12696" spans="1:3">
      <c r="A12696" s="1133"/>
      <c r="B12696" s="1136"/>
      <c r="C12696" s="1138"/>
    </row>
    <row r="12697" spans="1:3">
      <c r="A12697" s="1133"/>
      <c r="B12697" s="1136"/>
      <c r="C12697" s="1138"/>
    </row>
    <row r="12698" spans="1:3">
      <c r="A12698" s="1133"/>
      <c r="B12698" s="1136"/>
      <c r="C12698" s="1138"/>
    </row>
    <row r="12699" spans="1:3">
      <c r="A12699" s="1133"/>
      <c r="B12699" s="1136"/>
      <c r="C12699" s="1138"/>
    </row>
    <row r="12700" spans="1:3">
      <c r="A12700" s="1133"/>
      <c r="B12700" s="1136"/>
      <c r="C12700" s="1138"/>
    </row>
    <row r="12701" spans="1:3">
      <c r="A12701" s="1133"/>
      <c r="B12701" s="1136"/>
      <c r="C12701" s="1138"/>
    </row>
    <row r="12702" spans="1:3">
      <c r="A12702" s="1133"/>
      <c r="B12702" s="1136"/>
      <c r="C12702" s="1138"/>
    </row>
    <row r="12703" spans="1:3">
      <c r="A12703" s="1133"/>
      <c r="B12703" s="1136"/>
      <c r="C12703" s="1138"/>
    </row>
    <row r="12704" spans="1:3">
      <c r="A12704" s="1133"/>
      <c r="B12704" s="1136"/>
      <c r="C12704" s="1138"/>
    </row>
    <row r="12705" spans="1:3">
      <c r="A12705" s="1133"/>
      <c r="B12705" s="1136"/>
      <c r="C12705" s="1138"/>
    </row>
    <row r="12706" spans="1:3">
      <c r="A12706" s="1133"/>
      <c r="B12706" s="1136"/>
      <c r="C12706" s="1138"/>
    </row>
    <row r="12707" spans="1:3">
      <c r="A12707" s="1133"/>
      <c r="B12707" s="1136"/>
      <c r="C12707" s="1138"/>
    </row>
    <row r="12708" spans="1:3">
      <c r="A12708" s="1133"/>
      <c r="B12708" s="1136"/>
      <c r="C12708" s="1138"/>
    </row>
    <row r="12709" spans="1:3">
      <c r="A12709" s="1133"/>
      <c r="B12709" s="1136"/>
      <c r="C12709" s="1138"/>
    </row>
    <row r="12710" spans="1:3">
      <c r="A12710" s="1133"/>
      <c r="B12710" s="1136"/>
      <c r="C12710" s="1138"/>
    </row>
    <row r="12711" spans="1:3">
      <c r="A12711" s="1133"/>
      <c r="B12711" s="1136"/>
      <c r="C12711" s="1138"/>
    </row>
    <row r="12712" spans="1:3">
      <c r="A12712" s="1133"/>
      <c r="B12712" s="1136"/>
      <c r="C12712" s="1138"/>
    </row>
    <row r="12713" spans="1:3">
      <c r="A12713" s="1133"/>
      <c r="B12713" s="1136"/>
      <c r="C12713" s="1138"/>
    </row>
    <row r="12714" spans="1:3">
      <c r="A12714" s="1133"/>
      <c r="B12714" s="1136"/>
      <c r="C12714" s="1138"/>
    </row>
    <row r="12715" spans="1:3">
      <c r="A12715" s="1133"/>
      <c r="B12715" s="1136"/>
      <c r="C12715" s="1138"/>
    </row>
    <row r="12716" spans="1:3">
      <c r="A12716" s="1133"/>
      <c r="B12716" s="1136"/>
      <c r="C12716" s="1138"/>
    </row>
    <row r="12717" spans="1:3">
      <c r="A12717" s="1133"/>
      <c r="B12717" s="1136"/>
      <c r="C12717" s="1138"/>
    </row>
    <row r="12718" spans="1:3">
      <c r="A12718" s="1133"/>
      <c r="B12718" s="1136"/>
      <c r="C12718" s="1138"/>
    </row>
    <row r="12719" spans="1:3">
      <c r="A12719" s="1133"/>
      <c r="B12719" s="1136"/>
      <c r="C12719" s="1138"/>
    </row>
    <row r="12720" spans="1:3">
      <c r="A12720" s="1133"/>
      <c r="B12720" s="1136"/>
      <c r="C12720" s="1138"/>
    </row>
    <row r="12721" spans="1:3">
      <c r="A12721" s="1133"/>
      <c r="B12721" s="1136"/>
      <c r="C12721" s="1138"/>
    </row>
    <row r="12722" spans="1:3">
      <c r="A12722" s="1133"/>
      <c r="B12722" s="1136"/>
      <c r="C12722" s="1138"/>
    </row>
    <row r="12723" spans="1:3">
      <c r="A12723" s="1133"/>
      <c r="B12723" s="1136"/>
      <c r="C12723" s="1138"/>
    </row>
    <row r="12724" spans="1:3">
      <c r="A12724" s="1133"/>
      <c r="B12724" s="1136"/>
      <c r="C12724" s="1138"/>
    </row>
    <row r="12725" spans="1:3">
      <c r="A12725" s="1133"/>
      <c r="B12725" s="1136"/>
      <c r="C12725" s="1138"/>
    </row>
    <row r="12726" spans="1:3">
      <c r="A12726" s="1133"/>
      <c r="B12726" s="1136"/>
      <c r="C12726" s="1138"/>
    </row>
    <row r="12727" spans="1:3">
      <c r="A12727" s="1133"/>
      <c r="B12727" s="1136"/>
      <c r="C12727" s="1138"/>
    </row>
    <row r="12728" spans="1:3">
      <c r="A12728" s="1133"/>
      <c r="B12728" s="1136"/>
      <c r="C12728" s="1138"/>
    </row>
    <row r="12729" spans="1:3">
      <c r="A12729" s="1133"/>
      <c r="B12729" s="1136"/>
      <c r="C12729" s="1138"/>
    </row>
    <row r="12730" spans="1:3">
      <c r="A12730" s="1133"/>
      <c r="B12730" s="1136"/>
      <c r="C12730" s="1138"/>
    </row>
    <row r="12731" spans="1:3">
      <c r="A12731" s="1133"/>
      <c r="B12731" s="1136"/>
      <c r="C12731" s="1138"/>
    </row>
    <row r="12732" spans="1:3">
      <c r="A12732" s="1133"/>
      <c r="B12732" s="1136"/>
      <c r="C12732" s="1138"/>
    </row>
    <row r="12733" spans="1:3">
      <c r="A12733" s="1133"/>
      <c r="B12733" s="1136"/>
      <c r="C12733" s="1138"/>
    </row>
    <row r="12734" spans="1:3">
      <c r="A12734" s="1133"/>
      <c r="B12734" s="1136"/>
      <c r="C12734" s="1138"/>
    </row>
    <row r="12735" spans="1:3">
      <c r="A12735" s="1133"/>
      <c r="B12735" s="1136"/>
      <c r="C12735" s="1138"/>
    </row>
    <row r="12736" spans="1:3">
      <c r="A12736" s="1133"/>
      <c r="B12736" s="1136"/>
      <c r="C12736" s="1138"/>
    </row>
    <row r="12737" spans="1:3">
      <c r="A12737" s="1133"/>
      <c r="B12737" s="1136"/>
      <c r="C12737" s="1138"/>
    </row>
    <row r="12738" spans="1:3">
      <c r="A12738" s="1133"/>
      <c r="B12738" s="1136"/>
      <c r="C12738" s="1138"/>
    </row>
    <row r="12739" spans="1:3">
      <c r="A12739" s="1133"/>
      <c r="B12739" s="1136"/>
      <c r="C12739" s="1138"/>
    </row>
    <row r="12740" spans="1:3">
      <c r="A12740" s="1133"/>
      <c r="B12740" s="1136"/>
      <c r="C12740" s="1138"/>
    </row>
    <row r="12741" spans="1:3">
      <c r="A12741" s="1133"/>
      <c r="B12741" s="1136"/>
      <c r="C12741" s="1138"/>
    </row>
    <row r="12742" spans="1:3">
      <c r="A12742" s="1133"/>
      <c r="B12742" s="1136"/>
      <c r="C12742" s="1138"/>
    </row>
    <row r="12743" spans="1:3">
      <c r="A12743" s="1133"/>
      <c r="B12743" s="1136"/>
      <c r="C12743" s="1138"/>
    </row>
    <row r="12744" spans="1:3">
      <c r="A12744" s="1133"/>
      <c r="B12744" s="1136"/>
      <c r="C12744" s="1138"/>
    </row>
    <row r="12745" spans="1:3">
      <c r="A12745" s="1133"/>
      <c r="B12745" s="1136"/>
      <c r="C12745" s="1138"/>
    </row>
    <row r="12746" spans="1:3">
      <c r="A12746" s="1133"/>
      <c r="B12746" s="1136"/>
      <c r="C12746" s="1138"/>
    </row>
    <row r="12747" spans="1:3">
      <c r="A12747" s="1133"/>
      <c r="B12747" s="1136"/>
      <c r="C12747" s="1138"/>
    </row>
    <row r="12748" spans="1:3">
      <c r="A12748" s="1133"/>
      <c r="B12748" s="1136"/>
      <c r="C12748" s="1138"/>
    </row>
    <row r="12749" spans="1:3">
      <c r="A12749" s="1133"/>
      <c r="B12749" s="1136"/>
      <c r="C12749" s="1138"/>
    </row>
    <row r="12750" spans="1:3">
      <c r="A12750" s="1133"/>
      <c r="B12750" s="1136"/>
      <c r="C12750" s="1138"/>
    </row>
    <row r="12751" spans="1:3">
      <c r="A12751" s="1133"/>
      <c r="B12751" s="1136"/>
      <c r="C12751" s="1138"/>
    </row>
    <row r="12752" spans="1:3">
      <c r="A12752" s="1133"/>
      <c r="B12752" s="1136"/>
      <c r="C12752" s="1138"/>
    </row>
    <row r="12753" spans="1:3">
      <c r="A12753" s="1133"/>
      <c r="B12753" s="1136"/>
      <c r="C12753" s="1138"/>
    </row>
    <row r="12754" spans="1:3">
      <c r="A12754" s="1133"/>
      <c r="B12754" s="1136"/>
      <c r="C12754" s="1138"/>
    </row>
    <row r="12755" spans="1:3">
      <c r="A12755" s="1133"/>
      <c r="B12755" s="1136"/>
      <c r="C12755" s="1138"/>
    </row>
    <row r="12756" spans="1:3">
      <c r="A12756" s="1133"/>
      <c r="B12756" s="1136"/>
      <c r="C12756" s="1138"/>
    </row>
    <row r="12757" spans="1:3">
      <c r="A12757" s="1133"/>
      <c r="B12757" s="1136"/>
      <c r="C12757" s="1138"/>
    </row>
    <row r="12758" spans="1:3">
      <c r="A12758" s="1133"/>
      <c r="B12758" s="1136"/>
      <c r="C12758" s="1138"/>
    </row>
    <row r="12759" spans="1:3">
      <c r="A12759" s="1133"/>
      <c r="B12759" s="1136"/>
      <c r="C12759" s="1138"/>
    </row>
    <row r="12760" spans="1:3">
      <c r="A12760" s="1133"/>
      <c r="B12760" s="1136"/>
      <c r="C12760" s="1138"/>
    </row>
    <row r="12761" spans="1:3">
      <c r="A12761" s="1133"/>
      <c r="B12761" s="1136"/>
      <c r="C12761" s="1138"/>
    </row>
    <row r="12762" spans="1:3">
      <c r="A12762" s="1133"/>
      <c r="B12762" s="1136"/>
      <c r="C12762" s="1138"/>
    </row>
    <row r="12763" spans="1:3">
      <c r="A12763" s="1133"/>
      <c r="B12763" s="1136"/>
      <c r="C12763" s="1138"/>
    </row>
    <row r="12764" spans="1:3">
      <c r="A12764" s="1133"/>
      <c r="B12764" s="1136"/>
      <c r="C12764" s="1138"/>
    </row>
    <row r="12765" spans="1:3">
      <c r="A12765" s="1133"/>
      <c r="B12765" s="1136"/>
      <c r="C12765" s="1138"/>
    </row>
    <row r="12766" spans="1:3">
      <c r="A12766" s="1133"/>
      <c r="B12766" s="1136"/>
      <c r="C12766" s="1138"/>
    </row>
    <row r="12767" spans="1:3">
      <c r="A12767" s="1133"/>
      <c r="B12767" s="1136"/>
      <c r="C12767" s="1138"/>
    </row>
    <row r="12768" spans="1:3">
      <c r="A12768" s="1133"/>
      <c r="B12768" s="1136"/>
      <c r="C12768" s="1138"/>
    </row>
    <row r="12769" spans="1:3">
      <c r="A12769" s="1133"/>
      <c r="B12769" s="1136"/>
      <c r="C12769" s="1138"/>
    </row>
    <row r="12770" spans="1:3">
      <c r="A12770" s="1133"/>
      <c r="B12770" s="1136"/>
      <c r="C12770" s="1138"/>
    </row>
    <row r="12771" spans="1:3">
      <c r="A12771" s="1133"/>
      <c r="B12771" s="1136"/>
      <c r="C12771" s="1138"/>
    </row>
    <row r="12772" spans="1:3">
      <c r="A12772" s="1133"/>
      <c r="B12772" s="1136"/>
      <c r="C12772" s="1138"/>
    </row>
    <row r="12773" spans="1:3">
      <c r="A12773" s="1133"/>
      <c r="B12773" s="1136"/>
      <c r="C12773" s="1138"/>
    </row>
    <row r="12774" spans="1:3">
      <c r="A12774" s="1133"/>
      <c r="B12774" s="1136"/>
      <c r="C12774" s="1138"/>
    </row>
    <row r="12775" spans="1:3">
      <c r="A12775" s="1133"/>
      <c r="B12775" s="1136"/>
      <c r="C12775" s="1138"/>
    </row>
    <row r="12776" spans="1:3">
      <c r="A12776" s="1133"/>
      <c r="B12776" s="1136"/>
      <c r="C12776" s="1138"/>
    </row>
    <row r="12777" spans="1:3">
      <c r="A12777" s="1133"/>
      <c r="B12777" s="1136"/>
      <c r="C12777" s="1138"/>
    </row>
    <row r="12778" spans="1:3">
      <c r="A12778" s="1133"/>
      <c r="B12778" s="1136"/>
      <c r="C12778" s="1138"/>
    </row>
    <row r="12779" spans="1:3">
      <c r="A12779" s="1133"/>
      <c r="B12779" s="1136"/>
      <c r="C12779" s="1138"/>
    </row>
    <row r="12780" spans="1:3">
      <c r="A12780" s="1133"/>
      <c r="B12780" s="1136"/>
      <c r="C12780" s="1138"/>
    </row>
    <row r="12781" spans="1:3">
      <c r="A12781" s="1133"/>
      <c r="B12781" s="1136"/>
      <c r="C12781" s="1138"/>
    </row>
    <row r="12782" spans="1:3">
      <c r="A12782" s="1133"/>
      <c r="B12782" s="1136"/>
      <c r="C12782" s="1138"/>
    </row>
    <row r="12783" spans="1:3">
      <c r="A12783" s="1133"/>
      <c r="B12783" s="1136"/>
      <c r="C12783" s="1138"/>
    </row>
    <row r="12784" spans="1:3">
      <c r="A12784" s="1133"/>
      <c r="B12784" s="1136"/>
      <c r="C12784" s="1138"/>
    </row>
    <row r="12785" spans="1:3">
      <c r="A12785" s="1133"/>
      <c r="B12785" s="1136"/>
      <c r="C12785" s="1138"/>
    </row>
    <row r="12786" spans="1:3">
      <c r="A12786" s="1133"/>
      <c r="B12786" s="1136"/>
      <c r="C12786" s="1138"/>
    </row>
    <row r="12787" spans="1:3">
      <c r="A12787" s="1133"/>
      <c r="B12787" s="1136"/>
      <c r="C12787" s="1138"/>
    </row>
    <row r="12788" spans="1:3">
      <c r="A12788" s="1133"/>
      <c r="B12788" s="1136"/>
      <c r="C12788" s="1138"/>
    </row>
    <row r="12789" spans="1:3">
      <c r="A12789" s="1133"/>
      <c r="B12789" s="1136"/>
      <c r="C12789" s="1138"/>
    </row>
    <row r="12790" spans="1:3">
      <c r="A12790" s="1133"/>
      <c r="B12790" s="1136"/>
      <c r="C12790" s="1138"/>
    </row>
    <row r="12791" spans="1:3">
      <c r="A12791" s="1133"/>
      <c r="B12791" s="1136"/>
      <c r="C12791" s="1138"/>
    </row>
    <row r="12792" spans="1:3">
      <c r="A12792" s="1133"/>
      <c r="B12792" s="1136"/>
      <c r="C12792" s="1138"/>
    </row>
    <row r="12793" spans="1:3">
      <c r="A12793" s="1133"/>
      <c r="B12793" s="1136"/>
      <c r="C12793" s="1138"/>
    </row>
    <row r="12794" spans="1:3">
      <c r="A12794" s="1133"/>
      <c r="B12794" s="1136"/>
      <c r="C12794" s="1138"/>
    </row>
    <row r="12795" spans="1:3">
      <c r="A12795" s="1133"/>
      <c r="B12795" s="1136"/>
      <c r="C12795" s="1138"/>
    </row>
    <row r="12796" spans="1:3">
      <c r="A12796" s="1133"/>
      <c r="B12796" s="1136"/>
      <c r="C12796" s="1138"/>
    </row>
    <row r="12797" spans="1:3">
      <c r="A12797" s="1133"/>
      <c r="B12797" s="1136"/>
      <c r="C12797" s="1138"/>
    </row>
    <row r="12798" spans="1:3">
      <c r="A12798" s="1133"/>
      <c r="B12798" s="1136"/>
      <c r="C12798" s="1138"/>
    </row>
    <row r="12799" spans="1:3">
      <c r="A12799" s="1133"/>
      <c r="B12799" s="1136"/>
      <c r="C12799" s="1138"/>
    </row>
    <row r="12800" spans="1:3">
      <c r="A12800" s="1133"/>
      <c r="B12800" s="1136"/>
      <c r="C12800" s="1138"/>
    </row>
    <row r="12801" spans="1:3">
      <c r="A12801" s="1133"/>
      <c r="B12801" s="1136"/>
      <c r="C12801" s="1138"/>
    </row>
    <row r="12802" spans="1:3">
      <c r="A12802" s="1133"/>
      <c r="B12802" s="1136"/>
      <c r="C12802" s="1138"/>
    </row>
    <row r="12803" spans="1:3">
      <c r="A12803" s="1133"/>
      <c r="B12803" s="1136"/>
      <c r="C12803" s="1138"/>
    </row>
    <row r="12804" spans="1:3">
      <c r="A12804" s="1133"/>
      <c r="B12804" s="1136"/>
      <c r="C12804" s="1138"/>
    </row>
    <row r="12805" spans="1:3">
      <c r="A12805" s="1133"/>
      <c r="B12805" s="1136"/>
      <c r="C12805" s="1138"/>
    </row>
    <row r="12806" spans="1:3">
      <c r="A12806" s="1133"/>
      <c r="B12806" s="1136"/>
      <c r="C12806" s="1138"/>
    </row>
    <row r="12807" spans="1:3">
      <c r="A12807" s="1133"/>
      <c r="B12807" s="1136"/>
      <c r="C12807" s="1138"/>
    </row>
    <row r="12808" spans="1:3">
      <c r="A12808" s="1133"/>
      <c r="B12808" s="1136"/>
      <c r="C12808" s="1138"/>
    </row>
    <row r="12809" spans="1:3">
      <c r="A12809" s="1133"/>
      <c r="B12809" s="1136"/>
      <c r="C12809" s="1138"/>
    </row>
    <row r="12810" spans="1:3">
      <c r="A12810" s="1133"/>
      <c r="B12810" s="1136"/>
      <c r="C12810" s="1138"/>
    </row>
    <row r="12811" spans="1:3">
      <c r="A12811" s="1133"/>
      <c r="B12811" s="1136"/>
      <c r="C12811" s="1138"/>
    </row>
    <row r="12812" spans="1:3">
      <c r="A12812" s="1133"/>
      <c r="B12812" s="1136"/>
      <c r="C12812" s="1138"/>
    </row>
    <row r="12813" spans="1:3">
      <c r="A12813" s="1133"/>
      <c r="B12813" s="1136"/>
      <c r="C12813" s="1138"/>
    </row>
    <row r="12814" spans="1:3">
      <c r="A12814" s="1133"/>
      <c r="B12814" s="1136"/>
      <c r="C12814" s="1138"/>
    </row>
    <row r="12815" spans="1:3">
      <c r="A12815" s="1133"/>
      <c r="B12815" s="1136"/>
      <c r="C12815" s="1138"/>
    </row>
    <row r="12816" spans="1:3">
      <c r="A12816" s="1133"/>
      <c r="B12816" s="1136"/>
      <c r="C12816" s="1138"/>
    </row>
    <row r="12817" spans="1:3">
      <c r="A12817" s="1133"/>
      <c r="B12817" s="1136"/>
      <c r="C12817" s="1138"/>
    </row>
    <row r="12818" spans="1:3">
      <c r="A12818" s="1133"/>
      <c r="B12818" s="1136"/>
      <c r="C12818" s="1138"/>
    </row>
    <row r="12819" spans="1:3">
      <c r="A12819" s="1133"/>
      <c r="B12819" s="1136"/>
      <c r="C12819" s="1138"/>
    </row>
    <row r="12820" spans="1:3">
      <c r="A12820" s="1133"/>
      <c r="B12820" s="1136"/>
      <c r="C12820" s="1138"/>
    </row>
    <row r="12821" spans="1:3">
      <c r="A12821" s="1133"/>
      <c r="B12821" s="1136"/>
      <c r="C12821" s="1138"/>
    </row>
    <row r="12822" spans="1:3">
      <c r="A12822" s="1133"/>
      <c r="B12822" s="1136"/>
      <c r="C12822" s="1138"/>
    </row>
    <row r="12823" spans="1:3">
      <c r="A12823" s="1133"/>
      <c r="B12823" s="1136"/>
      <c r="C12823" s="1138"/>
    </row>
    <row r="12824" spans="1:3">
      <c r="A12824" s="1133"/>
      <c r="B12824" s="1136"/>
      <c r="C12824" s="1138"/>
    </row>
    <row r="12825" spans="1:3">
      <c r="A12825" s="1133"/>
      <c r="B12825" s="1136"/>
      <c r="C12825" s="1138"/>
    </row>
    <row r="12826" spans="1:3">
      <c r="A12826" s="1133"/>
      <c r="B12826" s="1136"/>
      <c r="C12826" s="1138"/>
    </row>
    <row r="12827" spans="1:3">
      <c r="A12827" s="1133"/>
      <c r="B12827" s="1136"/>
      <c r="C12827" s="1138"/>
    </row>
    <row r="12828" spans="1:3">
      <c r="A12828" s="1133"/>
      <c r="B12828" s="1136"/>
      <c r="C12828" s="1138"/>
    </row>
    <row r="12829" spans="1:3">
      <c r="A12829" s="1133"/>
      <c r="B12829" s="1136"/>
      <c r="C12829" s="1138"/>
    </row>
    <row r="12830" spans="1:3">
      <c r="A12830" s="1133"/>
      <c r="B12830" s="1136"/>
      <c r="C12830" s="1138"/>
    </row>
    <row r="12831" spans="1:3">
      <c r="A12831" s="1133"/>
      <c r="B12831" s="1136"/>
      <c r="C12831" s="1138"/>
    </row>
    <row r="12832" spans="1:3">
      <c r="A12832" s="1133"/>
      <c r="B12832" s="1136"/>
      <c r="C12832" s="1138"/>
    </row>
    <row r="12833" spans="1:3">
      <c r="A12833" s="1133"/>
      <c r="B12833" s="1136"/>
      <c r="C12833" s="1138"/>
    </row>
    <row r="12834" spans="1:3">
      <c r="A12834" s="1133"/>
      <c r="B12834" s="1136"/>
      <c r="C12834" s="1138"/>
    </row>
    <row r="12835" spans="1:3">
      <c r="A12835" s="1133"/>
      <c r="B12835" s="1136"/>
      <c r="C12835" s="1138"/>
    </row>
    <row r="12836" spans="1:3">
      <c r="A12836" s="1133"/>
      <c r="B12836" s="1136"/>
      <c r="C12836" s="1138"/>
    </row>
    <row r="12837" spans="1:3">
      <c r="A12837" s="1133"/>
      <c r="B12837" s="1136"/>
      <c r="C12837" s="1138"/>
    </row>
    <row r="12838" spans="1:3">
      <c r="A12838" s="1133"/>
      <c r="B12838" s="1136"/>
      <c r="C12838" s="1138"/>
    </row>
    <row r="12839" spans="1:3">
      <c r="A12839" s="1133"/>
      <c r="B12839" s="1136"/>
      <c r="C12839" s="1138"/>
    </row>
    <row r="12840" spans="1:3">
      <c r="A12840" s="1133"/>
      <c r="B12840" s="1136"/>
      <c r="C12840" s="1138"/>
    </row>
    <row r="12841" spans="1:3">
      <c r="A12841" s="1133"/>
      <c r="B12841" s="1136"/>
      <c r="C12841" s="1138"/>
    </row>
    <row r="12842" spans="1:3">
      <c r="A12842" s="1133"/>
      <c r="B12842" s="1136"/>
      <c r="C12842" s="1138"/>
    </row>
    <row r="12843" spans="1:3">
      <c r="A12843" s="1133"/>
      <c r="B12843" s="1136"/>
      <c r="C12843" s="1138"/>
    </row>
    <row r="12844" spans="1:3">
      <c r="A12844" s="1133"/>
      <c r="B12844" s="1136"/>
      <c r="C12844" s="1138"/>
    </row>
    <row r="12845" spans="1:3">
      <c r="A12845" s="1133"/>
      <c r="B12845" s="1136"/>
      <c r="C12845" s="1138"/>
    </row>
    <row r="12846" spans="1:3">
      <c r="A12846" s="1133"/>
      <c r="B12846" s="1136"/>
      <c r="C12846" s="1138"/>
    </row>
    <row r="12847" spans="1:3">
      <c r="A12847" s="1133"/>
      <c r="B12847" s="1136"/>
      <c r="C12847" s="1138"/>
    </row>
    <row r="12848" spans="1:3">
      <c r="A12848" s="1133"/>
      <c r="B12848" s="1136"/>
      <c r="C12848" s="1138"/>
    </row>
    <row r="12849" spans="1:3">
      <c r="A12849" s="1133"/>
      <c r="B12849" s="1136"/>
      <c r="C12849" s="1138"/>
    </row>
    <row r="12850" spans="1:3">
      <c r="A12850" s="1133"/>
      <c r="B12850" s="1136"/>
      <c r="C12850" s="1138"/>
    </row>
    <row r="12851" spans="1:3">
      <c r="A12851" s="1133"/>
      <c r="B12851" s="1136"/>
      <c r="C12851" s="1138"/>
    </row>
    <row r="12852" spans="1:3">
      <c r="A12852" s="1133"/>
      <c r="B12852" s="1136"/>
      <c r="C12852" s="1138"/>
    </row>
    <row r="12853" spans="1:3">
      <c r="A12853" s="1133"/>
      <c r="B12853" s="1136"/>
      <c r="C12853" s="1138"/>
    </row>
    <row r="12854" spans="1:3">
      <c r="A12854" s="1133"/>
      <c r="B12854" s="1136"/>
      <c r="C12854" s="1138"/>
    </row>
    <row r="12855" spans="1:3">
      <c r="A12855" s="1133"/>
      <c r="B12855" s="1136"/>
      <c r="C12855" s="1138"/>
    </row>
    <row r="12856" spans="1:3">
      <c r="A12856" s="1133"/>
      <c r="B12856" s="1136"/>
      <c r="C12856" s="1138"/>
    </row>
    <row r="12857" spans="1:3">
      <c r="A12857" s="1133"/>
      <c r="B12857" s="1136"/>
      <c r="C12857" s="1138"/>
    </row>
    <row r="12858" spans="1:3">
      <c r="A12858" s="1133"/>
      <c r="B12858" s="1136"/>
      <c r="C12858" s="1138"/>
    </row>
    <row r="12859" spans="1:3">
      <c r="A12859" s="1133"/>
      <c r="B12859" s="1136"/>
      <c r="C12859" s="1138"/>
    </row>
    <row r="12860" spans="1:3">
      <c r="A12860" s="1133"/>
      <c r="B12860" s="1136"/>
      <c r="C12860" s="1138"/>
    </row>
    <row r="12861" spans="1:3">
      <c r="A12861" s="1133"/>
      <c r="B12861" s="1136"/>
      <c r="C12861" s="1138"/>
    </row>
    <row r="12862" spans="1:3">
      <c r="A12862" s="1133"/>
      <c r="B12862" s="1136"/>
      <c r="C12862" s="1138"/>
    </row>
    <row r="12863" spans="1:3">
      <c r="A12863" s="1133"/>
      <c r="B12863" s="1136"/>
      <c r="C12863" s="1138"/>
    </row>
    <row r="12864" spans="1:3">
      <c r="A12864" s="1133"/>
      <c r="B12864" s="1136"/>
      <c r="C12864" s="1138"/>
    </row>
    <row r="12865" spans="1:3">
      <c r="A12865" s="1133"/>
      <c r="B12865" s="1136"/>
      <c r="C12865" s="1138"/>
    </row>
    <row r="12866" spans="1:3">
      <c r="A12866" s="1133"/>
      <c r="B12866" s="1136"/>
      <c r="C12866" s="1138"/>
    </row>
    <row r="12867" spans="1:3">
      <c r="A12867" s="1133"/>
      <c r="B12867" s="1136"/>
      <c r="C12867" s="1138"/>
    </row>
    <row r="12868" spans="1:3">
      <c r="A12868" s="1133"/>
      <c r="B12868" s="1136"/>
      <c r="C12868" s="1138"/>
    </row>
    <row r="12869" spans="1:3">
      <c r="A12869" s="1133"/>
      <c r="B12869" s="1136"/>
      <c r="C12869" s="1138"/>
    </row>
    <row r="12870" spans="1:3">
      <c r="A12870" s="1133"/>
      <c r="B12870" s="1136"/>
      <c r="C12870" s="1138"/>
    </row>
    <row r="12871" spans="1:3">
      <c r="A12871" s="1133"/>
      <c r="B12871" s="1136"/>
      <c r="C12871" s="1138"/>
    </row>
    <row r="12872" spans="1:3">
      <c r="A12872" s="1133"/>
      <c r="B12872" s="1136"/>
      <c r="C12872" s="1138"/>
    </row>
    <row r="12873" spans="1:3">
      <c r="A12873" s="1133"/>
      <c r="B12873" s="1136"/>
      <c r="C12873" s="1138"/>
    </row>
    <row r="12874" spans="1:3">
      <c r="A12874" s="1133"/>
      <c r="B12874" s="1136"/>
      <c r="C12874" s="1138"/>
    </row>
    <row r="12875" spans="1:3">
      <c r="A12875" s="1133"/>
      <c r="B12875" s="1136"/>
      <c r="C12875" s="1138"/>
    </row>
    <row r="12876" spans="1:3">
      <c r="A12876" s="1133"/>
      <c r="B12876" s="1136"/>
      <c r="C12876" s="1138"/>
    </row>
    <row r="12877" spans="1:3">
      <c r="A12877" s="1133"/>
      <c r="B12877" s="1136"/>
      <c r="C12877" s="1138"/>
    </row>
    <row r="12878" spans="1:3">
      <c r="A12878" s="1133"/>
      <c r="B12878" s="1136"/>
      <c r="C12878" s="1138"/>
    </row>
    <row r="12879" spans="1:3">
      <c r="A12879" s="1133"/>
      <c r="B12879" s="1136"/>
      <c r="C12879" s="1138"/>
    </row>
    <row r="12880" spans="1:3">
      <c r="A12880" s="1133"/>
      <c r="B12880" s="1136"/>
      <c r="C12880" s="1138"/>
    </row>
    <row r="12881" spans="1:3">
      <c r="A12881" s="1133"/>
      <c r="B12881" s="1136"/>
      <c r="C12881" s="1138"/>
    </row>
    <row r="12882" spans="1:3">
      <c r="A12882" s="1133"/>
      <c r="B12882" s="1136"/>
      <c r="C12882" s="1138"/>
    </row>
    <row r="12883" spans="1:3">
      <c r="A12883" s="1133"/>
      <c r="B12883" s="1136"/>
      <c r="C12883" s="1138"/>
    </row>
    <row r="12884" spans="1:3">
      <c r="A12884" s="1133"/>
      <c r="B12884" s="1136"/>
      <c r="C12884" s="1138"/>
    </row>
    <row r="12885" spans="1:3">
      <c r="A12885" s="1133"/>
      <c r="B12885" s="1136"/>
      <c r="C12885" s="1138"/>
    </row>
    <row r="12886" spans="1:3">
      <c r="A12886" s="1133"/>
      <c r="B12886" s="1136"/>
      <c r="C12886" s="1138"/>
    </row>
    <row r="12887" spans="1:3">
      <c r="A12887" s="1133"/>
      <c r="B12887" s="1136"/>
      <c r="C12887" s="1138"/>
    </row>
    <row r="12888" spans="1:3">
      <c r="A12888" s="1133"/>
      <c r="B12888" s="1136"/>
      <c r="C12888" s="1138"/>
    </row>
    <row r="12889" spans="1:3">
      <c r="A12889" s="1133"/>
      <c r="B12889" s="1136"/>
      <c r="C12889" s="1138"/>
    </row>
    <row r="12890" spans="1:3">
      <c r="A12890" s="1133"/>
      <c r="B12890" s="1136"/>
      <c r="C12890" s="1138"/>
    </row>
    <row r="12891" spans="1:3">
      <c r="A12891" s="1133"/>
      <c r="B12891" s="1136"/>
      <c r="C12891" s="1138"/>
    </row>
    <row r="12892" spans="1:3">
      <c r="A12892" s="1133"/>
      <c r="B12892" s="1136"/>
      <c r="C12892" s="1138"/>
    </row>
    <row r="12893" spans="1:3">
      <c r="A12893" s="1133"/>
      <c r="B12893" s="1136"/>
      <c r="C12893" s="1138"/>
    </row>
    <row r="12894" spans="1:3">
      <c r="A12894" s="1133"/>
      <c r="B12894" s="1136"/>
      <c r="C12894" s="1138"/>
    </row>
    <row r="12895" spans="1:3">
      <c r="A12895" s="1133"/>
      <c r="B12895" s="1136"/>
      <c r="C12895" s="1138"/>
    </row>
    <row r="12896" spans="1:3">
      <c r="A12896" s="1133"/>
      <c r="B12896" s="1136"/>
      <c r="C12896" s="1138"/>
    </row>
    <row r="12897" spans="1:3">
      <c r="A12897" s="1133"/>
      <c r="B12897" s="1136"/>
      <c r="C12897" s="1138"/>
    </row>
    <row r="12898" spans="1:3">
      <c r="A12898" s="1133"/>
      <c r="B12898" s="1136"/>
      <c r="C12898" s="1138"/>
    </row>
    <row r="12899" spans="1:3">
      <c r="A12899" s="1133"/>
      <c r="B12899" s="1136"/>
      <c r="C12899" s="1138"/>
    </row>
    <row r="12900" spans="1:3">
      <c r="A12900" s="1133"/>
      <c r="B12900" s="1136"/>
      <c r="C12900" s="1138"/>
    </row>
    <row r="12901" spans="1:3">
      <c r="A12901" s="1133"/>
      <c r="B12901" s="1136"/>
      <c r="C12901" s="1138"/>
    </row>
    <row r="12902" spans="1:3">
      <c r="A12902" s="1133"/>
      <c r="B12902" s="1136"/>
      <c r="C12902" s="1138"/>
    </row>
    <row r="12903" spans="1:3">
      <c r="A12903" s="1133"/>
      <c r="B12903" s="1136"/>
      <c r="C12903" s="1138"/>
    </row>
    <row r="12904" spans="1:3">
      <c r="A12904" s="1133"/>
      <c r="B12904" s="1136"/>
      <c r="C12904" s="1138"/>
    </row>
    <row r="12905" spans="1:3">
      <c r="A12905" s="1133"/>
      <c r="B12905" s="1136"/>
      <c r="C12905" s="1138"/>
    </row>
    <row r="12906" spans="1:3">
      <c r="A12906" s="1133"/>
      <c r="B12906" s="1136"/>
      <c r="C12906" s="1138"/>
    </row>
    <row r="12907" spans="1:3">
      <c r="A12907" s="1133"/>
      <c r="B12907" s="1136"/>
      <c r="C12907" s="1138"/>
    </row>
    <row r="12908" spans="1:3">
      <c r="A12908" s="1133"/>
      <c r="B12908" s="1136"/>
      <c r="C12908" s="1138"/>
    </row>
    <row r="12909" spans="1:3">
      <c r="A12909" s="1133"/>
      <c r="B12909" s="1136"/>
      <c r="C12909" s="1138"/>
    </row>
    <row r="12910" spans="1:3">
      <c r="A12910" s="1133"/>
      <c r="B12910" s="1136"/>
      <c r="C12910" s="1138"/>
    </row>
    <row r="12911" spans="1:3">
      <c r="A12911" s="1133"/>
      <c r="B12911" s="1136"/>
      <c r="C12911" s="1138"/>
    </row>
    <row r="12912" spans="1:3">
      <c r="A12912" s="1133"/>
      <c r="B12912" s="1136"/>
      <c r="C12912" s="1138"/>
    </row>
    <row r="12913" spans="1:3">
      <c r="A12913" s="1133"/>
      <c r="B12913" s="1136"/>
      <c r="C12913" s="1138"/>
    </row>
    <row r="12914" spans="1:3">
      <c r="A12914" s="1133"/>
      <c r="B12914" s="1136"/>
      <c r="C12914" s="1138"/>
    </row>
    <row r="12915" spans="1:3">
      <c r="A12915" s="1133"/>
      <c r="B12915" s="1136"/>
      <c r="C12915" s="1138"/>
    </row>
    <row r="12916" spans="1:3">
      <c r="A12916" s="1133"/>
      <c r="B12916" s="1136"/>
      <c r="C12916" s="1138"/>
    </row>
    <row r="12917" spans="1:3">
      <c r="A12917" s="1133"/>
      <c r="B12917" s="1136"/>
      <c r="C12917" s="1138"/>
    </row>
    <row r="12918" spans="1:3">
      <c r="A12918" s="1133"/>
      <c r="B12918" s="1136"/>
      <c r="C12918" s="1138"/>
    </row>
    <row r="12919" spans="1:3">
      <c r="A12919" s="1133"/>
      <c r="B12919" s="1136"/>
      <c r="C12919" s="1138"/>
    </row>
    <row r="12920" spans="1:3">
      <c r="A12920" s="1133"/>
      <c r="B12920" s="1136"/>
      <c r="C12920" s="1138"/>
    </row>
    <row r="12921" spans="1:3">
      <c r="A12921" s="1133"/>
      <c r="B12921" s="1136"/>
      <c r="C12921" s="1138"/>
    </row>
    <row r="12922" spans="1:3">
      <c r="A12922" s="1133"/>
      <c r="B12922" s="1136"/>
      <c r="C12922" s="1138"/>
    </row>
    <row r="12923" spans="1:3">
      <c r="A12923" s="1133"/>
      <c r="B12923" s="1136"/>
      <c r="C12923" s="1138"/>
    </row>
    <row r="12924" spans="1:3">
      <c r="A12924" s="1133"/>
      <c r="B12924" s="1136"/>
      <c r="C12924" s="1138"/>
    </row>
    <row r="12925" spans="1:3">
      <c r="A12925" s="1133"/>
      <c r="B12925" s="1136"/>
      <c r="C12925" s="1138"/>
    </row>
    <row r="12926" spans="1:3">
      <c r="A12926" s="1133"/>
      <c r="B12926" s="1136"/>
      <c r="C12926" s="1138"/>
    </row>
    <row r="12927" spans="1:3">
      <c r="A12927" s="1133"/>
      <c r="B12927" s="1136"/>
      <c r="C12927" s="1138"/>
    </row>
    <row r="12928" spans="1:3">
      <c r="A12928" s="1133"/>
      <c r="B12928" s="1136"/>
      <c r="C12928" s="1138"/>
    </row>
    <row r="12929" spans="1:3">
      <c r="A12929" s="1133"/>
      <c r="B12929" s="1136"/>
      <c r="C12929" s="1138"/>
    </row>
    <row r="12930" spans="1:3">
      <c r="A12930" s="1133"/>
      <c r="B12930" s="1136"/>
      <c r="C12930" s="1138"/>
    </row>
    <row r="12931" spans="1:3">
      <c r="A12931" s="1133"/>
      <c r="B12931" s="1136"/>
      <c r="C12931" s="1138"/>
    </row>
    <row r="12932" spans="1:3">
      <c r="A12932" s="1133"/>
      <c r="B12932" s="1136"/>
      <c r="C12932" s="1138"/>
    </row>
    <row r="12933" spans="1:3">
      <c r="A12933" s="1133"/>
      <c r="B12933" s="1136"/>
      <c r="C12933" s="1138"/>
    </row>
    <row r="12934" spans="1:3">
      <c r="A12934" s="1133"/>
      <c r="B12934" s="1136"/>
      <c r="C12934" s="1138"/>
    </row>
    <row r="12935" spans="1:3">
      <c r="A12935" s="1133"/>
      <c r="B12935" s="1136"/>
      <c r="C12935" s="1138"/>
    </row>
    <row r="12936" spans="1:3">
      <c r="A12936" s="1133"/>
      <c r="B12936" s="1136"/>
      <c r="C12936" s="1138"/>
    </row>
    <row r="12937" spans="1:3">
      <c r="A12937" s="1133"/>
      <c r="B12937" s="1136"/>
      <c r="C12937" s="1138"/>
    </row>
    <row r="12938" spans="1:3">
      <c r="A12938" s="1133"/>
      <c r="B12938" s="1136"/>
      <c r="C12938" s="1138"/>
    </row>
    <row r="12939" spans="1:3">
      <c r="A12939" s="1133"/>
      <c r="B12939" s="1136"/>
      <c r="C12939" s="1138"/>
    </row>
    <row r="12940" spans="1:3">
      <c r="A12940" s="1133"/>
      <c r="B12940" s="1136"/>
      <c r="C12940" s="1138"/>
    </row>
    <row r="12941" spans="1:3">
      <c r="A12941" s="1133"/>
      <c r="B12941" s="1136"/>
      <c r="C12941" s="1138"/>
    </row>
    <row r="12942" spans="1:3">
      <c r="A12942" s="1133"/>
      <c r="B12942" s="1136"/>
      <c r="C12942" s="1138"/>
    </row>
    <row r="12943" spans="1:3">
      <c r="A12943" s="1133"/>
      <c r="B12943" s="1136"/>
      <c r="C12943" s="1138"/>
    </row>
    <row r="12944" spans="1:3">
      <c r="A12944" s="1133"/>
      <c r="B12944" s="1136"/>
      <c r="C12944" s="1138"/>
    </row>
    <row r="12945" spans="1:3">
      <c r="A12945" s="1133"/>
      <c r="B12945" s="1136"/>
      <c r="C12945" s="1138"/>
    </row>
    <row r="12946" spans="1:3">
      <c r="A12946" s="1133"/>
      <c r="B12946" s="1136"/>
      <c r="C12946" s="1138"/>
    </row>
    <row r="12947" spans="1:3">
      <c r="A12947" s="1133"/>
      <c r="B12947" s="1136"/>
      <c r="C12947" s="1138"/>
    </row>
    <row r="12948" spans="1:3">
      <c r="A12948" s="1133"/>
      <c r="B12948" s="1136"/>
      <c r="C12948" s="1138"/>
    </row>
    <row r="12949" spans="1:3">
      <c r="A12949" s="1133"/>
      <c r="B12949" s="1136"/>
      <c r="C12949" s="1138"/>
    </row>
    <row r="12950" spans="1:3">
      <c r="A12950" s="1133"/>
      <c r="B12950" s="1136"/>
      <c r="C12950" s="1138"/>
    </row>
    <row r="12951" spans="1:3">
      <c r="A12951" s="1133"/>
      <c r="B12951" s="1136"/>
      <c r="C12951" s="1138"/>
    </row>
    <row r="12952" spans="1:3">
      <c r="A12952" s="1133"/>
      <c r="B12952" s="1136"/>
      <c r="C12952" s="1138"/>
    </row>
    <row r="12953" spans="1:3">
      <c r="A12953" s="1133"/>
      <c r="B12953" s="1136"/>
      <c r="C12953" s="1138"/>
    </row>
    <row r="12954" spans="1:3">
      <c r="A12954" s="1133"/>
      <c r="B12954" s="1136"/>
      <c r="C12954" s="1138"/>
    </row>
    <row r="12955" spans="1:3">
      <c r="A12955" s="1133"/>
      <c r="B12955" s="1136"/>
      <c r="C12955" s="1138"/>
    </row>
    <row r="12956" spans="1:3">
      <c r="A12956" s="1133"/>
      <c r="B12956" s="1136"/>
      <c r="C12956" s="1138"/>
    </row>
    <row r="12957" spans="1:3">
      <c r="A12957" s="1133"/>
      <c r="B12957" s="1136"/>
      <c r="C12957" s="1138"/>
    </row>
    <row r="12958" spans="1:3">
      <c r="A12958" s="1133"/>
      <c r="B12958" s="1136"/>
      <c r="C12958" s="1138"/>
    </row>
    <row r="12959" spans="1:3">
      <c r="A12959" s="1133"/>
      <c r="B12959" s="1136"/>
      <c r="C12959" s="1138"/>
    </row>
    <row r="12960" spans="1:3">
      <c r="A12960" s="1133"/>
      <c r="B12960" s="1136"/>
      <c r="C12960" s="1138"/>
    </row>
    <row r="12961" spans="1:3">
      <c r="A12961" s="1133"/>
      <c r="B12961" s="1136"/>
      <c r="C12961" s="1138"/>
    </row>
    <row r="12962" spans="1:3">
      <c r="A12962" s="1133"/>
      <c r="B12962" s="1136"/>
      <c r="C12962" s="1138"/>
    </row>
    <row r="12963" spans="1:3">
      <c r="A12963" s="1133"/>
      <c r="B12963" s="1136"/>
      <c r="C12963" s="1138"/>
    </row>
    <row r="12964" spans="1:3">
      <c r="A12964" s="1133"/>
      <c r="B12964" s="1136"/>
      <c r="C12964" s="1138"/>
    </row>
    <row r="12965" spans="1:3">
      <c r="A12965" s="1133"/>
      <c r="B12965" s="1136"/>
      <c r="C12965" s="1138"/>
    </row>
    <row r="12966" spans="1:3">
      <c r="A12966" s="1133"/>
      <c r="B12966" s="1136"/>
      <c r="C12966" s="1138"/>
    </row>
    <row r="12967" spans="1:3">
      <c r="A12967" s="1133"/>
      <c r="B12967" s="1136"/>
      <c r="C12967" s="1138"/>
    </row>
    <row r="12968" spans="1:3">
      <c r="A12968" s="1133"/>
      <c r="B12968" s="1136"/>
      <c r="C12968" s="1138"/>
    </row>
    <row r="12969" spans="1:3">
      <c r="A12969" s="1133"/>
      <c r="B12969" s="1136"/>
      <c r="C12969" s="1138"/>
    </row>
    <row r="12970" spans="1:3">
      <c r="A12970" s="1133"/>
      <c r="B12970" s="1136"/>
      <c r="C12970" s="1138"/>
    </row>
    <row r="12971" spans="1:3">
      <c r="A12971" s="1133"/>
      <c r="B12971" s="1136"/>
      <c r="C12971" s="1138"/>
    </row>
    <row r="12972" spans="1:3">
      <c r="A12972" s="1133"/>
      <c r="B12972" s="1136"/>
      <c r="C12972" s="1138"/>
    </row>
    <row r="12973" spans="1:3">
      <c r="A12973" s="1133"/>
      <c r="B12973" s="1136"/>
      <c r="C12973" s="1138"/>
    </row>
    <row r="12974" spans="1:3">
      <c r="A12974" s="1133"/>
      <c r="B12974" s="1136"/>
      <c r="C12974" s="1138"/>
    </row>
    <row r="12975" spans="1:3">
      <c r="A12975" s="1133"/>
      <c r="B12975" s="1136"/>
      <c r="C12975" s="1138"/>
    </row>
    <row r="12976" spans="1:3">
      <c r="A12976" s="1133"/>
      <c r="B12976" s="1136"/>
      <c r="C12976" s="1138"/>
    </row>
    <row r="12977" spans="1:3">
      <c r="A12977" s="1133"/>
      <c r="B12977" s="1136"/>
      <c r="C12977" s="1138"/>
    </row>
    <row r="12978" spans="1:3">
      <c r="A12978" s="1133"/>
      <c r="B12978" s="1136"/>
      <c r="C12978" s="1138"/>
    </row>
    <row r="12979" spans="1:3">
      <c r="A12979" s="1133"/>
      <c r="B12979" s="1136"/>
      <c r="C12979" s="1138"/>
    </row>
    <row r="12980" spans="1:3">
      <c r="A12980" s="1133"/>
      <c r="B12980" s="1136"/>
      <c r="C12980" s="1138"/>
    </row>
    <row r="12981" spans="1:3">
      <c r="A12981" s="1133"/>
      <c r="B12981" s="1136"/>
      <c r="C12981" s="1138"/>
    </row>
    <row r="12982" spans="1:3">
      <c r="A12982" s="1133"/>
      <c r="B12982" s="1136"/>
      <c r="C12982" s="1138"/>
    </row>
    <row r="12983" spans="1:3">
      <c r="A12983" s="1133"/>
      <c r="B12983" s="1136"/>
      <c r="C12983" s="1138"/>
    </row>
    <row r="12984" spans="1:3">
      <c r="A12984" s="1133"/>
      <c r="B12984" s="1136"/>
      <c r="C12984" s="1138"/>
    </row>
    <row r="12985" spans="1:3">
      <c r="A12985" s="1133"/>
      <c r="B12985" s="1136"/>
      <c r="C12985" s="1138"/>
    </row>
    <row r="12986" spans="1:3">
      <c r="A12986" s="1133"/>
      <c r="B12986" s="1136"/>
      <c r="C12986" s="1138"/>
    </row>
    <row r="12987" spans="1:3">
      <c r="A12987" s="1133"/>
      <c r="B12987" s="1136"/>
      <c r="C12987" s="1138"/>
    </row>
    <row r="12988" spans="1:3">
      <c r="A12988" s="1133"/>
      <c r="B12988" s="1136"/>
      <c r="C12988" s="1138"/>
    </row>
    <row r="12989" spans="1:3">
      <c r="A12989" s="1133"/>
      <c r="B12989" s="1136"/>
      <c r="C12989" s="1138"/>
    </row>
    <row r="12990" spans="1:3">
      <c r="A12990" s="1133"/>
      <c r="B12990" s="1136"/>
      <c r="C12990" s="1138"/>
    </row>
    <row r="12991" spans="1:3">
      <c r="A12991" s="1133"/>
      <c r="B12991" s="1136"/>
      <c r="C12991" s="1138"/>
    </row>
    <row r="12992" spans="1:3">
      <c r="A12992" s="1133"/>
      <c r="B12992" s="1136"/>
      <c r="C12992" s="1138"/>
    </row>
    <row r="12993" spans="1:3">
      <c r="A12993" s="1133"/>
      <c r="B12993" s="1136"/>
      <c r="C12993" s="1138"/>
    </row>
    <row r="12994" spans="1:3">
      <c r="A12994" s="1133"/>
      <c r="B12994" s="1136"/>
      <c r="C12994" s="1138"/>
    </row>
    <row r="12995" spans="1:3">
      <c r="A12995" s="1133"/>
      <c r="B12995" s="1136"/>
      <c r="C12995" s="1138"/>
    </row>
    <row r="12996" spans="1:3">
      <c r="A12996" s="1133"/>
      <c r="B12996" s="1136"/>
      <c r="C12996" s="1138"/>
    </row>
    <row r="12997" spans="1:3">
      <c r="A12997" s="1133"/>
      <c r="B12997" s="1136"/>
      <c r="C12997" s="1138"/>
    </row>
    <row r="12998" spans="1:3">
      <c r="A12998" s="1133"/>
      <c r="B12998" s="1136"/>
      <c r="C12998" s="1138"/>
    </row>
    <row r="12999" spans="1:3">
      <c r="A12999" s="1133"/>
      <c r="B12999" s="1136"/>
      <c r="C12999" s="1138"/>
    </row>
    <row r="13000" spans="1:3">
      <c r="A13000" s="1133"/>
      <c r="B13000" s="1136"/>
      <c r="C13000" s="1138"/>
    </row>
    <row r="13001" spans="1:3">
      <c r="A13001" s="1133"/>
      <c r="B13001" s="1136"/>
      <c r="C13001" s="1138"/>
    </row>
    <row r="13002" spans="1:3">
      <c r="A13002" s="1133"/>
      <c r="B13002" s="1136"/>
      <c r="C13002" s="1138"/>
    </row>
    <row r="13003" spans="1:3">
      <c r="A13003" s="1133"/>
      <c r="B13003" s="1136"/>
      <c r="C13003" s="1138"/>
    </row>
    <row r="13004" spans="1:3">
      <c r="A13004" s="1133"/>
      <c r="B13004" s="1136"/>
      <c r="C13004" s="1138"/>
    </row>
    <row r="13005" spans="1:3">
      <c r="A13005" s="1133"/>
      <c r="B13005" s="1136"/>
      <c r="C13005" s="1138"/>
    </row>
    <row r="13006" spans="1:3">
      <c r="A13006" s="1133"/>
      <c r="B13006" s="1136"/>
      <c r="C13006" s="1138"/>
    </row>
    <row r="13007" spans="1:3">
      <c r="A13007" s="1133"/>
      <c r="B13007" s="1136"/>
      <c r="C13007" s="1138"/>
    </row>
    <row r="13008" spans="1:3">
      <c r="A13008" s="1133"/>
      <c r="B13008" s="1136"/>
      <c r="C13008" s="1138"/>
    </row>
    <row r="13009" spans="1:3">
      <c r="A13009" s="1133"/>
      <c r="B13009" s="1136"/>
      <c r="C13009" s="1138"/>
    </row>
    <row r="13010" spans="1:3">
      <c r="A13010" s="1133"/>
      <c r="B13010" s="1136"/>
      <c r="C13010" s="1138"/>
    </row>
    <row r="13011" spans="1:3">
      <c r="A13011" s="1133"/>
      <c r="B13011" s="1136"/>
      <c r="C13011" s="1138"/>
    </row>
    <row r="13012" spans="1:3">
      <c r="A13012" s="1133"/>
      <c r="B13012" s="1136"/>
      <c r="C13012" s="1138"/>
    </row>
    <row r="13013" spans="1:3">
      <c r="A13013" s="1133"/>
      <c r="B13013" s="1136"/>
      <c r="C13013" s="1138"/>
    </row>
    <row r="13014" spans="1:3">
      <c r="A13014" s="1133"/>
      <c r="B13014" s="1136"/>
      <c r="C13014" s="1138"/>
    </row>
    <row r="13015" spans="1:3">
      <c r="A13015" s="1133"/>
      <c r="B13015" s="1136"/>
      <c r="C13015" s="1138"/>
    </row>
    <row r="13016" spans="1:3">
      <c r="A13016" s="1133"/>
      <c r="B13016" s="1136"/>
      <c r="C13016" s="1138"/>
    </row>
    <row r="13017" spans="1:3">
      <c r="A13017" s="1133"/>
      <c r="B13017" s="1136"/>
      <c r="C13017" s="1138"/>
    </row>
    <row r="13018" spans="1:3">
      <c r="A13018" s="1133"/>
      <c r="B13018" s="1136"/>
      <c r="C13018" s="1138"/>
    </row>
    <row r="13019" spans="1:3">
      <c r="A13019" s="1133"/>
      <c r="B13019" s="1136"/>
      <c r="C13019" s="1138"/>
    </row>
    <row r="13020" spans="1:3">
      <c r="A13020" s="1133"/>
      <c r="B13020" s="1136"/>
      <c r="C13020" s="1138"/>
    </row>
    <row r="13021" spans="1:3">
      <c r="A13021" s="1133"/>
      <c r="B13021" s="1136"/>
      <c r="C13021" s="1138"/>
    </row>
    <row r="13022" spans="1:3">
      <c r="A13022" s="1133"/>
      <c r="B13022" s="1136"/>
      <c r="C13022" s="1138"/>
    </row>
    <row r="13023" spans="1:3">
      <c r="A13023" s="1133"/>
      <c r="B13023" s="1136"/>
      <c r="C13023" s="1138"/>
    </row>
    <row r="13024" spans="1:3">
      <c r="A13024" s="1133"/>
      <c r="B13024" s="1136"/>
      <c r="C13024" s="1138"/>
    </row>
    <row r="13025" spans="1:3">
      <c r="A13025" s="1133"/>
      <c r="B13025" s="1136"/>
      <c r="C13025" s="1138"/>
    </row>
    <row r="13026" spans="1:3">
      <c r="A13026" s="1133"/>
      <c r="B13026" s="1136"/>
      <c r="C13026" s="1138"/>
    </row>
    <row r="13027" spans="1:3">
      <c r="A13027" s="1133"/>
      <c r="B13027" s="1136"/>
      <c r="C13027" s="1138"/>
    </row>
    <row r="13028" spans="1:3">
      <c r="A13028" s="1133"/>
      <c r="B13028" s="1136"/>
      <c r="C13028" s="1138"/>
    </row>
    <row r="13029" spans="1:3">
      <c r="A13029" s="1133"/>
      <c r="B13029" s="1136"/>
      <c r="C13029" s="1138"/>
    </row>
    <row r="13030" spans="1:3">
      <c r="A13030" s="1133"/>
      <c r="B13030" s="1136"/>
      <c r="C13030" s="1138"/>
    </row>
    <row r="13031" spans="1:3">
      <c r="A13031" s="1133"/>
      <c r="B13031" s="1136"/>
      <c r="C13031" s="1138"/>
    </row>
    <row r="13032" spans="1:3">
      <c r="A13032" s="1133"/>
      <c r="B13032" s="1136"/>
      <c r="C13032" s="1138"/>
    </row>
    <row r="13033" spans="1:3">
      <c r="A13033" s="1133"/>
      <c r="B13033" s="1136"/>
      <c r="C13033" s="1138"/>
    </row>
    <row r="13034" spans="1:3">
      <c r="A13034" s="1133"/>
      <c r="B13034" s="1136"/>
      <c r="C13034" s="1138"/>
    </row>
    <row r="13035" spans="1:3">
      <c r="A13035" s="1133"/>
      <c r="B13035" s="1136"/>
      <c r="C13035" s="1138"/>
    </row>
    <row r="13036" spans="1:3">
      <c r="A13036" s="1133"/>
      <c r="B13036" s="1136"/>
      <c r="C13036" s="1138"/>
    </row>
    <row r="13037" spans="1:3">
      <c r="A13037" s="1133"/>
      <c r="B13037" s="1136"/>
      <c r="C13037" s="1138"/>
    </row>
    <row r="13038" spans="1:3">
      <c r="A13038" s="1133"/>
      <c r="B13038" s="1136"/>
      <c r="C13038" s="1138"/>
    </row>
    <row r="13039" spans="1:3">
      <c r="A13039" s="1133"/>
      <c r="B13039" s="1136"/>
      <c r="C13039" s="1138"/>
    </row>
    <row r="13040" spans="1:3">
      <c r="A13040" s="1133"/>
      <c r="B13040" s="1136"/>
      <c r="C13040" s="1138"/>
    </row>
    <row r="13041" spans="1:3">
      <c r="A13041" s="1133"/>
      <c r="B13041" s="1136"/>
      <c r="C13041" s="1138"/>
    </row>
    <row r="13042" spans="1:3">
      <c r="A13042" s="1133"/>
      <c r="B13042" s="1136"/>
      <c r="C13042" s="1138"/>
    </row>
    <row r="13043" spans="1:3">
      <c r="A13043" s="1133"/>
      <c r="B13043" s="1136"/>
      <c r="C13043" s="1138"/>
    </row>
    <row r="13044" spans="1:3">
      <c r="A13044" s="1133"/>
      <c r="B13044" s="1136"/>
      <c r="C13044" s="1138"/>
    </row>
    <row r="13045" spans="1:3">
      <c r="A13045" s="1133"/>
      <c r="B13045" s="1136"/>
      <c r="C13045" s="1138"/>
    </row>
    <row r="13046" spans="1:3">
      <c r="A13046" s="1133"/>
      <c r="B13046" s="1136"/>
      <c r="C13046" s="1138"/>
    </row>
    <row r="13047" spans="1:3">
      <c r="A13047" s="1133"/>
      <c r="B13047" s="1136"/>
      <c r="C13047" s="1138"/>
    </row>
    <row r="13048" spans="1:3">
      <c r="A13048" s="1133"/>
      <c r="B13048" s="1136"/>
      <c r="C13048" s="1138"/>
    </row>
    <row r="13049" spans="1:3">
      <c r="A13049" s="1133"/>
      <c r="B13049" s="1136"/>
      <c r="C13049" s="1138"/>
    </row>
    <row r="13050" spans="1:3">
      <c r="A13050" s="1133"/>
      <c r="B13050" s="1136"/>
      <c r="C13050" s="1138"/>
    </row>
    <row r="13051" spans="1:3">
      <c r="A13051" s="1133"/>
      <c r="B13051" s="1136"/>
      <c r="C13051" s="1138"/>
    </row>
    <row r="13052" spans="1:3">
      <c r="A13052" s="1133"/>
      <c r="B13052" s="1136"/>
      <c r="C13052" s="1138"/>
    </row>
    <row r="13053" spans="1:3">
      <c r="A13053" s="1133"/>
      <c r="B13053" s="1136"/>
      <c r="C13053" s="1138"/>
    </row>
    <row r="13054" spans="1:3">
      <c r="A13054" s="1133"/>
      <c r="B13054" s="1136"/>
      <c r="C13054" s="1138"/>
    </row>
    <row r="13055" spans="1:3">
      <c r="A13055" s="1133"/>
      <c r="B13055" s="1136"/>
      <c r="C13055" s="1138"/>
    </row>
    <row r="13056" spans="1:3">
      <c r="A13056" s="1133"/>
      <c r="B13056" s="1136"/>
      <c r="C13056" s="1138"/>
    </row>
    <row r="13057" spans="1:3">
      <c r="A13057" s="1133"/>
      <c r="B13057" s="1136"/>
      <c r="C13057" s="1138"/>
    </row>
    <row r="13058" spans="1:3">
      <c r="A13058" s="1133"/>
      <c r="B13058" s="1136"/>
      <c r="C13058" s="1138"/>
    </row>
    <row r="13059" spans="1:3">
      <c r="A13059" s="1133"/>
      <c r="B13059" s="1136"/>
      <c r="C13059" s="1138"/>
    </row>
    <row r="13060" spans="1:3">
      <c r="A13060" s="1133"/>
      <c r="B13060" s="1136"/>
      <c r="C13060" s="1138"/>
    </row>
    <row r="13061" spans="1:3">
      <c r="A13061" s="1133"/>
      <c r="B13061" s="1136"/>
      <c r="C13061" s="1138"/>
    </row>
    <row r="13062" spans="1:3">
      <c r="A13062" s="1133"/>
      <c r="B13062" s="1136"/>
      <c r="C13062" s="1138"/>
    </row>
    <row r="13063" spans="1:3">
      <c r="A13063" s="1133"/>
      <c r="B13063" s="1136"/>
      <c r="C13063" s="1138"/>
    </row>
    <row r="13064" spans="1:3">
      <c r="A13064" s="1133"/>
      <c r="B13064" s="1136"/>
      <c r="C13064" s="1138"/>
    </row>
    <row r="13065" spans="1:3">
      <c r="A13065" s="1133"/>
      <c r="B13065" s="1136"/>
      <c r="C13065" s="1138"/>
    </row>
    <row r="13066" spans="1:3">
      <c r="A13066" s="1133"/>
      <c r="B13066" s="1136"/>
      <c r="C13066" s="1138"/>
    </row>
    <row r="13067" spans="1:3">
      <c r="A13067" s="1133"/>
      <c r="B13067" s="1136"/>
      <c r="C13067" s="1138"/>
    </row>
    <row r="13068" spans="1:3">
      <c r="A13068" s="1133"/>
      <c r="B13068" s="1136"/>
      <c r="C13068" s="1138"/>
    </row>
    <row r="13069" spans="1:3">
      <c r="A13069" s="1133"/>
      <c r="B13069" s="1136"/>
      <c r="C13069" s="1138"/>
    </row>
    <row r="13070" spans="1:3">
      <c r="A13070" s="1133"/>
      <c r="B13070" s="1136"/>
      <c r="C13070" s="1138"/>
    </row>
    <row r="13071" spans="1:3">
      <c r="A13071" s="1133"/>
      <c r="B13071" s="1136"/>
      <c r="C13071" s="1138"/>
    </row>
    <row r="13072" spans="1:3">
      <c r="A13072" s="1133"/>
      <c r="B13072" s="1136"/>
      <c r="C13072" s="1138"/>
    </row>
    <row r="13073" spans="1:3">
      <c r="A13073" s="1133"/>
      <c r="B13073" s="1136"/>
      <c r="C13073" s="1138"/>
    </row>
    <row r="13074" spans="1:3">
      <c r="A13074" s="1133"/>
      <c r="B13074" s="1136"/>
      <c r="C13074" s="1138"/>
    </row>
    <row r="13075" spans="1:3">
      <c r="A13075" s="1133"/>
      <c r="B13075" s="1136"/>
      <c r="C13075" s="1138"/>
    </row>
    <row r="13076" spans="1:3">
      <c r="A13076" s="1133"/>
      <c r="B13076" s="1136"/>
      <c r="C13076" s="1138"/>
    </row>
    <row r="13077" spans="1:3">
      <c r="A13077" s="1133"/>
      <c r="B13077" s="1136"/>
      <c r="C13077" s="1138"/>
    </row>
    <row r="13078" spans="1:3">
      <c r="A13078" s="1133"/>
      <c r="B13078" s="1136"/>
      <c r="C13078" s="1138"/>
    </row>
    <row r="13079" spans="1:3">
      <c r="A13079" s="1133"/>
      <c r="B13079" s="1136"/>
      <c r="C13079" s="1138"/>
    </row>
    <row r="13080" spans="1:3">
      <c r="A13080" s="1133"/>
      <c r="B13080" s="1136"/>
      <c r="C13080" s="1138"/>
    </row>
    <row r="13081" spans="1:3">
      <c r="A13081" s="1133"/>
      <c r="B13081" s="1136"/>
      <c r="C13081" s="1138"/>
    </row>
    <row r="13082" spans="1:3">
      <c r="A13082" s="1133"/>
      <c r="B13082" s="1136"/>
      <c r="C13082" s="1138"/>
    </row>
    <row r="13083" spans="1:3">
      <c r="A13083" s="1133"/>
      <c r="B13083" s="1136"/>
      <c r="C13083" s="1138"/>
    </row>
    <row r="13084" spans="1:3">
      <c r="A13084" s="1133"/>
      <c r="B13084" s="1136"/>
      <c r="C13084" s="1138"/>
    </row>
    <row r="13085" spans="1:3">
      <c r="A13085" s="1133"/>
      <c r="B13085" s="1136"/>
      <c r="C13085" s="1138"/>
    </row>
    <row r="13086" spans="1:3">
      <c r="A13086" s="1133"/>
      <c r="B13086" s="1136"/>
      <c r="C13086" s="1138"/>
    </row>
    <row r="13087" spans="1:3">
      <c r="A13087" s="1133"/>
      <c r="B13087" s="1136"/>
      <c r="C13087" s="1138"/>
    </row>
    <row r="13088" spans="1:3">
      <c r="A13088" s="1133"/>
      <c r="B13088" s="1136"/>
      <c r="C13088" s="1138"/>
    </row>
    <row r="13089" spans="1:3">
      <c r="A13089" s="1133"/>
      <c r="B13089" s="1136"/>
      <c r="C13089" s="1138"/>
    </row>
    <row r="13090" spans="1:3">
      <c r="A13090" s="1133"/>
      <c r="B13090" s="1136"/>
      <c r="C13090" s="1138"/>
    </row>
    <row r="13091" spans="1:3">
      <c r="A13091" s="1133"/>
      <c r="B13091" s="1136"/>
      <c r="C13091" s="1138"/>
    </row>
    <row r="13092" spans="1:3">
      <c r="A13092" s="1133"/>
      <c r="B13092" s="1136"/>
      <c r="C13092" s="1138"/>
    </row>
    <row r="13093" spans="1:3">
      <c r="A13093" s="1133"/>
      <c r="B13093" s="1136"/>
      <c r="C13093" s="1138"/>
    </row>
    <row r="13094" spans="1:3">
      <c r="A13094" s="1133"/>
      <c r="B13094" s="1136"/>
      <c r="C13094" s="1138"/>
    </row>
    <row r="13095" spans="1:3">
      <c r="A13095" s="1133"/>
      <c r="B13095" s="1136"/>
      <c r="C13095" s="1138"/>
    </row>
    <row r="13096" spans="1:3">
      <c r="A13096" s="1133"/>
      <c r="B13096" s="1136"/>
      <c r="C13096" s="1138"/>
    </row>
    <row r="13097" spans="1:3">
      <c r="A13097" s="1133"/>
      <c r="B13097" s="1136"/>
      <c r="C13097" s="1138"/>
    </row>
    <row r="13098" spans="1:3">
      <c r="A13098" s="1133"/>
      <c r="B13098" s="1136"/>
      <c r="C13098" s="1138"/>
    </row>
    <row r="13099" spans="1:3">
      <c r="A13099" s="1133"/>
      <c r="B13099" s="1136"/>
      <c r="C13099" s="1138"/>
    </row>
    <row r="13100" spans="1:3">
      <c r="A13100" s="1133"/>
      <c r="B13100" s="1136"/>
      <c r="C13100" s="1138"/>
    </row>
    <row r="13101" spans="1:3">
      <c r="A13101" s="1133"/>
      <c r="B13101" s="1136"/>
      <c r="C13101" s="1138"/>
    </row>
    <row r="13102" spans="1:3">
      <c r="A13102" s="1133"/>
      <c r="B13102" s="1136"/>
      <c r="C13102" s="1138"/>
    </row>
    <row r="13103" spans="1:3">
      <c r="A13103" s="1133"/>
      <c r="B13103" s="1136"/>
      <c r="C13103" s="1138"/>
    </row>
    <row r="13104" spans="1:3">
      <c r="A13104" s="1133"/>
      <c r="B13104" s="1136"/>
      <c r="C13104" s="1138"/>
    </row>
    <row r="13105" spans="1:3">
      <c r="A13105" s="1133"/>
      <c r="B13105" s="1136"/>
      <c r="C13105" s="1138"/>
    </row>
    <row r="13106" spans="1:3">
      <c r="A13106" s="1133"/>
      <c r="B13106" s="1136"/>
      <c r="C13106" s="1138"/>
    </row>
    <row r="13107" spans="1:3">
      <c r="A13107" s="1133"/>
      <c r="B13107" s="1136"/>
      <c r="C13107" s="1138"/>
    </row>
    <row r="13108" spans="1:3">
      <c r="A13108" s="1133"/>
      <c r="B13108" s="1136"/>
      <c r="C13108" s="1138"/>
    </row>
    <row r="13109" spans="1:3">
      <c r="A13109" s="1133"/>
      <c r="B13109" s="1136"/>
      <c r="C13109" s="1138"/>
    </row>
    <row r="13110" spans="1:3">
      <c r="A13110" s="1133"/>
      <c r="B13110" s="1136"/>
      <c r="C13110" s="1138"/>
    </row>
    <row r="13111" spans="1:3">
      <c r="A13111" s="1133"/>
      <c r="B13111" s="1136"/>
      <c r="C13111" s="1138"/>
    </row>
    <row r="13112" spans="1:3">
      <c r="A13112" s="1133"/>
      <c r="B13112" s="1136"/>
      <c r="C13112" s="1138"/>
    </row>
    <row r="13113" spans="1:3">
      <c r="A13113" s="1133"/>
      <c r="B13113" s="1136"/>
      <c r="C13113" s="1138"/>
    </row>
    <row r="13114" spans="1:3">
      <c r="A13114" s="1133"/>
      <c r="B13114" s="1136"/>
      <c r="C13114" s="1138"/>
    </row>
    <row r="13115" spans="1:3">
      <c r="A13115" s="1133"/>
      <c r="B13115" s="1136"/>
      <c r="C13115" s="1138"/>
    </row>
    <row r="13116" spans="1:3">
      <c r="A13116" s="1133"/>
      <c r="B13116" s="1136"/>
      <c r="C13116" s="1138"/>
    </row>
    <row r="13117" spans="1:3">
      <c r="A13117" s="1133"/>
      <c r="B13117" s="1136"/>
      <c r="C13117" s="1138"/>
    </row>
    <row r="13118" spans="1:3">
      <c r="A13118" s="1133"/>
      <c r="B13118" s="1136"/>
      <c r="C13118" s="1138"/>
    </row>
    <row r="13119" spans="1:3">
      <c r="A13119" s="1133"/>
      <c r="B13119" s="1136"/>
      <c r="C13119" s="1138"/>
    </row>
    <row r="13120" spans="1:3">
      <c r="A13120" s="1133"/>
      <c r="B13120" s="1136"/>
      <c r="C13120" s="1138"/>
    </row>
    <row r="13121" spans="1:3">
      <c r="A13121" s="1133"/>
      <c r="B13121" s="1136"/>
      <c r="C13121" s="1138"/>
    </row>
    <row r="13122" spans="1:3">
      <c r="A13122" s="1133"/>
      <c r="B13122" s="1136"/>
      <c r="C13122" s="1138"/>
    </row>
    <row r="13123" spans="1:3">
      <c r="A13123" s="1133"/>
      <c r="B13123" s="1136"/>
      <c r="C13123" s="1138"/>
    </row>
    <row r="13124" spans="1:3">
      <c r="A13124" s="1133"/>
      <c r="B13124" s="1136"/>
      <c r="C13124" s="1138"/>
    </row>
    <row r="13125" spans="1:3">
      <c r="A13125" s="1133"/>
      <c r="B13125" s="1136"/>
      <c r="C13125" s="1138"/>
    </row>
    <row r="13126" spans="1:3">
      <c r="A13126" s="1133"/>
      <c r="B13126" s="1136"/>
      <c r="C13126" s="1138"/>
    </row>
    <row r="13127" spans="1:3">
      <c r="A13127" s="1133"/>
      <c r="B13127" s="1136"/>
      <c r="C13127" s="1138"/>
    </row>
    <row r="13128" spans="1:3">
      <c r="A13128" s="1133"/>
      <c r="B13128" s="1136"/>
      <c r="C13128" s="1138"/>
    </row>
    <row r="13129" spans="1:3">
      <c r="A13129" s="1133"/>
      <c r="B13129" s="1136"/>
      <c r="C13129" s="1138"/>
    </row>
    <row r="13130" spans="1:3">
      <c r="A13130" s="1133"/>
      <c r="B13130" s="1136"/>
      <c r="C13130" s="1138"/>
    </row>
    <row r="13131" spans="1:3">
      <c r="A13131" s="1133"/>
      <c r="B13131" s="1136"/>
      <c r="C13131" s="1138"/>
    </row>
    <row r="13132" spans="1:3">
      <c r="A13132" s="1133"/>
      <c r="B13132" s="1136"/>
      <c r="C13132" s="1138"/>
    </row>
    <row r="13133" spans="1:3">
      <c r="A13133" s="1133"/>
      <c r="B13133" s="1136"/>
      <c r="C13133" s="1138"/>
    </row>
    <row r="13134" spans="1:3">
      <c r="A13134" s="1133"/>
      <c r="B13134" s="1136"/>
      <c r="C13134" s="1138"/>
    </row>
    <row r="13135" spans="1:3">
      <c r="A13135" s="1133"/>
      <c r="B13135" s="1136"/>
      <c r="C13135" s="1138"/>
    </row>
    <row r="13136" spans="1:3">
      <c r="A13136" s="1133"/>
      <c r="B13136" s="1136"/>
      <c r="C13136" s="1138"/>
    </row>
    <row r="13137" spans="1:3">
      <c r="A13137" s="1133"/>
      <c r="B13137" s="1136"/>
      <c r="C13137" s="1138"/>
    </row>
    <row r="13138" spans="1:3">
      <c r="A13138" s="1133"/>
      <c r="B13138" s="1136"/>
      <c r="C13138" s="1138"/>
    </row>
    <row r="13139" spans="1:3">
      <c r="A13139" s="1133"/>
      <c r="B13139" s="1136"/>
      <c r="C13139" s="1138"/>
    </row>
    <row r="13140" spans="1:3">
      <c r="A13140" s="1133"/>
      <c r="B13140" s="1136"/>
      <c r="C13140" s="1138"/>
    </row>
    <row r="13141" spans="1:3">
      <c r="A13141" s="1133"/>
      <c r="B13141" s="1136"/>
      <c r="C13141" s="1138"/>
    </row>
    <row r="13142" spans="1:3">
      <c r="A13142" s="1133"/>
      <c r="B13142" s="1136"/>
      <c r="C13142" s="1138"/>
    </row>
    <row r="13143" spans="1:3">
      <c r="A13143" s="1133"/>
      <c r="B13143" s="1136"/>
      <c r="C13143" s="1138"/>
    </row>
    <row r="13144" spans="1:3">
      <c r="A13144" s="1133"/>
      <c r="B13144" s="1136"/>
      <c r="C13144" s="1138"/>
    </row>
    <row r="13145" spans="1:3">
      <c r="A13145" s="1133"/>
      <c r="B13145" s="1136"/>
      <c r="C13145" s="1138"/>
    </row>
    <row r="13146" spans="1:3">
      <c r="A13146" s="1133"/>
      <c r="B13146" s="1136"/>
      <c r="C13146" s="1138"/>
    </row>
    <row r="13147" spans="1:3">
      <c r="A13147" s="1133"/>
      <c r="B13147" s="1136"/>
      <c r="C13147" s="1138"/>
    </row>
    <row r="13148" spans="1:3">
      <c r="A13148" s="1133"/>
      <c r="B13148" s="1136"/>
      <c r="C13148" s="1138"/>
    </row>
    <row r="13149" spans="1:3">
      <c r="A13149" s="1133"/>
      <c r="B13149" s="1136"/>
      <c r="C13149" s="1138"/>
    </row>
    <row r="13150" spans="1:3">
      <c r="A13150" s="1133"/>
      <c r="B13150" s="1136"/>
      <c r="C13150" s="1138"/>
    </row>
    <row r="13151" spans="1:3">
      <c r="A13151" s="1133"/>
      <c r="B13151" s="1136"/>
      <c r="C13151" s="1138"/>
    </row>
    <row r="13152" spans="1:3">
      <c r="A13152" s="1133"/>
      <c r="B13152" s="1136"/>
      <c r="C13152" s="1138"/>
    </row>
    <row r="13153" spans="1:3">
      <c r="A13153" s="1133"/>
      <c r="B13153" s="1136"/>
      <c r="C13153" s="1138"/>
    </row>
    <row r="13154" spans="1:3">
      <c r="A13154" s="1133"/>
      <c r="B13154" s="1136"/>
      <c r="C13154" s="1138"/>
    </row>
    <row r="13155" spans="1:3">
      <c r="A13155" s="1133"/>
      <c r="B13155" s="1136"/>
      <c r="C13155" s="1138"/>
    </row>
    <row r="13156" spans="1:3">
      <c r="A13156" s="1133"/>
      <c r="B13156" s="1136"/>
      <c r="C13156" s="1138"/>
    </row>
    <row r="13157" spans="1:3">
      <c r="A13157" s="1133"/>
      <c r="B13157" s="1136"/>
      <c r="C13157" s="1138"/>
    </row>
    <row r="13158" spans="1:3">
      <c r="A13158" s="1133"/>
      <c r="B13158" s="1136"/>
      <c r="C13158" s="1138"/>
    </row>
    <row r="13159" spans="1:3">
      <c r="A13159" s="1133"/>
      <c r="B13159" s="1136"/>
      <c r="C13159" s="1138"/>
    </row>
    <row r="13160" spans="1:3">
      <c r="A13160" s="1133"/>
      <c r="B13160" s="1136"/>
      <c r="C13160" s="1138"/>
    </row>
    <row r="13161" spans="1:3">
      <c r="A13161" s="1133"/>
      <c r="B13161" s="1136"/>
      <c r="C13161" s="1138"/>
    </row>
    <row r="13162" spans="1:3">
      <c r="A13162" s="1133"/>
      <c r="B13162" s="1136"/>
      <c r="C13162" s="1138"/>
    </row>
    <row r="13163" spans="1:3">
      <c r="A13163" s="1133"/>
      <c r="B13163" s="1136"/>
      <c r="C13163" s="1138"/>
    </row>
    <row r="13164" spans="1:3">
      <c r="A13164" s="1133"/>
      <c r="B13164" s="1136"/>
      <c r="C13164" s="1138"/>
    </row>
    <row r="13165" spans="1:3">
      <c r="A13165" s="1133"/>
      <c r="B13165" s="1136"/>
      <c r="C13165" s="1138"/>
    </row>
    <row r="13166" spans="1:3">
      <c r="A13166" s="1133"/>
      <c r="B13166" s="1136"/>
      <c r="C13166" s="1138"/>
    </row>
    <row r="13167" spans="1:3">
      <c r="A13167" s="1133"/>
      <c r="B13167" s="1136"/>
      <c r="C13167" s="1138"/>
    </row>
    <row r="13168" spans="1:3">
      <c r="A13168" s="1133"/>
      <c r="B13168" s="1136"/>
      <c r="C13168" s="1138"/>
    </row>
    <row r="13169" spans="1:3">
      <c r="A13169" s="1133"/>
      <c r="B13169" s="1136"/>
      <c r="C13169" s="1138"/>
    </row>
    <row r="13170" spans="1:3">
      <c r="A13170" s="1133"/>
      <c r="B13170" s="1136"/>
      <c r="C13170" s="1138"/>
    </row>
    <row r="13171" spans="1:3">
      <c r="A13171" s="1133"/>
      <c r="B13171" s="1136"/>
      <c r="C13171" s="1138"/>
    </row>
    <row r="13172" spans="1:3">
      <c r="A13172" s="1133"/>
      <c r="B13172" s="1136"/>
      <c r="C13172" s="1138"/>
    </row>
    <row r="13173" spans="1:3">
      <c r="A13173" s="1133"/>
      <c r="B13173" s="1136"/>
      <c r="C13173" s="1138"/>
    </row>
    <row r="13174" spans="1:3">
      <c r="A13174" s="1133"/>
      <c r="B13174" s="1136"/>
      <c r="C13174" s="1138"/>
    </row>
    <row r="13175" spans="1:3">
      <c r="A13175" s="1133"/>
      <c r="B13175" s="1136"/>
      <c r="C13175" s="1138"/>
    </row>
    <row r="13176" spans="1:3">
      <c r="A13176" s="1133"/>
      <c r="B13176" s="1136"/>
      <c r="C13176" s="1138"/>
    </row>
    <row r="13177" spans="1:3">
      <c r="A13177" s="1133"/>
      <c r="B13177" s="1136"/>
      <c r="C13177" s="1138"/>
    </row>
    <row r="13178" spans="1:3">
      <c r="A13178" s="1133"/>
      <c r="B13178" s="1136"/>
      <c r="C13178" s="1138"/>
    </row>
    <row r="13179" spans="1:3">
      <c r="A13179" s="1133"/>
      <c r="B13179" s="1136"/>
      <c r="C13179" s="1138"/>
    </row>
    <row r="13180" spans="1:3">
      <c r="A13180" s="1133"/>
      <c r="B13180" s="1136"/>
      <c r="C13180" s="1138"/>
    </row>
    <row r="13181" spans="1:3">
      <c r="A13181" s="1133"/>
      <c r="B13181" s="1136"/>
      <c r="C13181" s="1138"/>
    </row>
    <row r="13182" spans="1:3">
      <c r="A13182" s="1133"/>
      <c r="B13182" s="1136"/>
      <c r="C13182" s="1138"/>
    </row>
    <row r="13183" spans="1:3">
      <c r="A13183" s="1133"/>
      <c r="B13183" s="1136"/>
      <c r="C13183" s="1138"/>
    </row>
    <row r="13184" spans="1:3">
      <c r="A13184" s="1133"/>
      <c r="B13184" s="1136"/>
      <c r="C13184" s="1138"/>
    </row>
    <row r="13185" spans="1:3">
      <c r="A13185" s="1133"/>
      <c r="B13185" s="1136"/>
      <c r="C13185" s="1138"/>
    </row>
    <row r="13186" spans="1:3">
      <c r="A13186" s="1133"/>
      <c r="B13186" s="1136"/>
      <c r="C13186" s="1138"/>
    </row>
    <row r="13187" spans="1:3">
      <c r="A13187" s="1133"/>
      <c r="B13187" s="1136"/>
      <c r="C13187" s="1138"/>
    </row>
    <row r="13188" spans="1:3">
      <c r="A13188" s="1133"/>
      <c r="B13188" s="1136"/>
      <c r="C13188" s="1138"/>
    </row>
    <row r="13189" spans="1:3">
      <c r="A13189" s="1133"/>
      <c r="B13189" s="1136"/>
      <c r="C13189" s="1138"/>
    </row>
    <row r="13190" spans="1:3">
      <c r="A13190" s="1133"/>
      <c r="B13190" s="1136"/>
      <c r="C13190" s="1138"/>
    </row>
    <row r="13191" spans="1:3">
      <c r="A13191" s="1133"/>
      <c r="B13191" s="1136"/>
      <c r="C13191" s="1138"/>
    </row>
    <row r="13192" spans="1:3">
      <c r="A13192" s="1133"/>
      <c r="B13192" s="1136"/>
      <c r="C13192" s="1138"/>
    </row>
    <row r="13193" spans="1:3">
      <c r="A13193" s="1133"/>
      <c r="B13193" s="1136"/>
      <c r="C13193" s="1138"/>
    </row>
    <row r="13194" spans="1:3">
      <c r="A13194" s="1133"/>
      <c r="B13194" s="1136"/>
      <c r="C13194" s="1138"/>
    </row>
    <row r="13195" spans="1:3">
      <c r="A13195" s="1133"/>
      <c r="B13195" s="1136"/>
      <c r="C13195" s="1138"/>
    </row>
    <row r="13196" spans="1:3">
      <c r="A13196" s="1133"/>
      <c r="B13196" s="1136"/>
      <c r="C13196" s="1138"/>
    </row>
    <row r="13197" spans="1:3">
      <c r="A13197" s="1133"/>
      <c r="B13197" s="1136"/>
      <c r="C13197" s="1138"/>
    </row>
    <row r="13198" spans="1:3">
      <c r="A13198" s="1133"/>
      <c r="B13198" s="1136"/>
      <c r="C13198" s="1138"/>
    </row>
    <row r="13199" spans="1:3">
      <c r="A13199" s="1133"/>
      <c r="B13199" s="1136"/>
      <c r="C13199" s="1138"/>
    </row>
    <row r="13200" spans="1:3">
      <c r="A13200" s="1133"/>
      <c r="B13200" s="1136"/>
      <c r="C13200" s="1138"/>
    </row>
    <row r="13201" spans="1:3">
      <c r="A13201" s="1133"/>
      <c r="B13201" s="1136"/>
      <c r="C13201" s="1138"/>
    </row>
    <row r="13202" spans="1:3">
      <c r="A13202" s="1133"/>
      <c r="B13202" s="1136"/>
      <c r="C13202" s="1138"/>
    </row>
    <row r="13203" spans="1:3">
      <c r="A13203" s="1133"/>
      <c r="B13203" s="1136"/>
      <c r="C13203" s="1138"/>
    </row>
    <row r="13204" spans="1:3">
      <c r="A13204" s="1133"/>
      <c r="B13204" s="1136"/>
      <c r="C13204" s="1138"/>
    </row>
    <row r="13205" spans="1:3">
      <c r="A13205" s="1133"/>
      <c r="B13205" s="1136"/>
      <c r="C13205" s="1138"/>
    </row>
    <row r="13206" spans="1:3">
      <c r="A13206" s="1133"/>
      <c r="B13206" s="1136"/>
      <c r="C13206" s="1138"/>
    </row>
    <row r="13207" spans="1:3">
      <c r="A13207" s="1133"/>
      <c r="B13207" s="1136"/>
      <c r="C13207" s="1138"/>
    </row>
    <row r="13208" spans="1:3">
      <c r="A13208" s="1133"/>
      <c r="B13208" s="1136"/>
      <c r="C13208" s="1138"/>
    </row>
    <row r="13209" spans="1:3">
      <c r="A13209" s="1133"/>
      <c r="B13209" s="1136"/>
      <c r="C13209" s="1138"/>
    </row>
    <row r="13210" spans="1:3">
      <c r="A13210" s="1133"/>
      <c r="B13210" s="1136"/>
      <c r="C13210" s="1138"/>
    </row>
    <row r="13211" spans="1:3">
      <c r="A13211" s="1133"/>
      <c r="B13211" s="1136"/>
      <c r="C13211" s="1138"/>
    </row>
    <row r="13212" spans="1:3">
      <c r="A13212" s="1133"/>
      <c r="B13212" s="1136"/>
      <c r="C13212" s="1138"/>
    </row>
    <row r="13213" spans="1:3">
      <c r="A13213" s="1133"/>
      <c r="B13213" s="1136"/>
      <c r="C13213" s="1138"/>
    </row>
    <row r="13214" spans="1:3">
      <c r="A13214" s="1133"/>
      <c r="B13214" s="1136"/>
      <c r="C13214" s="1138"/>
    </row>
    <row r="13215" spans="1:3">
      <c r="A13215" s="1133"/>
      <c r="B13215" s="1136"/>
      <c r="C13215" s="1138"/>
    </row>
    <row r="13216" spans="1:3">
      <c r="A13216" s="1133"/>
      <c r="B13216" s="1136"/>
      <c r="C13216" s="1138"/>
    </row>
    <row r="13217" spans="1:3">
      <c r="A13217" s="1133"/>
      <c r="B13217" s="1136"/>
      <c r="C13217" s="1138"/>
    </row>
    <row r="13218" spans="1:3">
      <c r="A13218" s="1133"/>
      <c r="B13218" s="1136"/>
      <c r="C13218" s="1138"/>
    </row>
    <row r="13219" spans="1:3">
      <c r="A13219" s="1133"/>
      <c r="B13219" s="1136"/>
      <c r="C13219" s="1138"/>
    </row>
    <row r="13220" spans="1:3">
      <c r="A13220" s="1133"/>
      <c r="B13220" s="1136"/>
      <c r="C13220" s="1138"/>
    </row>
    <row r="13221" spans="1:3">
      <c r="A13221" s="1133"/>
      <c r="B13221" s="1136"/>
      <c r="C13221" s="1138"/>
    </row>
    <row r="13222" spans="1:3">
      <c r="A13222" s="1133"/>
      <c r="B13222" s="1136"/>
      <c r="C13222" s="1138"/>
    </row>
    <row r="13223" spans="1:3">
      <c r="A13223" s="1133"/>
      <c r="B13223" s="1136"/>
      <c r="C13223" s="1138"/>
    </row>
    <row r="13224" spans="1:3">
      <c r="A13224" s="1133"/>
      <c r="B13224" s="1136"/>
      <c r="C13224" s="1138"/>
    </row>
    <row r="13225" spans="1:3">
      <c r="A13225" s="1133"/>
      <c r="B13225" s="1136"/>
      <c r="C13225" s="1138"/>
    </row>
    <row r="13226" spans="1:3">
      <c r="A13226" s="1133"/>
      <c r="B13226" s="1136"/>
      <c r="C13226" s="1138"/>
    </row>
    <row r="13227" spans="1:3">
      <c r="A13227" s="1133"/>
      <c r="B13227" s="1136"/>
      <c r="C13227" s="1138"/>
    </row>
    <row r="13228" spans="1:3">
      <c r="A13228" s="1133"/>
      <c r="B13228" s="1136"/>
      <c r="C13228" s="1138"/>
    </row>
    <row r="13229" spans="1:3">
      <c r="A13229" s="1133"/>
      <c r="B13229" s="1136"/>
      <c r="C13229" s="1138"/>
    </row>
    <row r="13230" spans="1:3">
      <c r="A13230" s="1133"/>
      <c r="B13230" s="1136"/>
      <c r="C13230" s="1138"/>
    </row>
    <row r="13231" spans="1:3">
      <c r="A13231" s="1133"/>
      <c r="B13231" s="1136"/>
      <c r="C13231" s="1138"/>
    </row>
    <row r="13232" spans="1:3">
      <c r="A13232" s="1133"/>
      <c r="B13232" s="1136"/>
      <c r="C13232" s="1138"/>
    </row>
    <row r="13233" spans="1:3">
      <c r="A13233" s="1133"/>
      <c r="B13233" s="1136"/>
      <c r="C13233" s="1138"/>
    </row>
    <row r="13234" spans="1:3">
      <c r="A13234" s="1133"/>
      <c r="B13234" s="1136"/>
      <c r="C13234" s="1138"/>
    </row>
    <row r="13235" spans="1:3">
      <c r="A13235" s="1133"/>
      <c r="B13235" s="1136"/>
      <c r="C13235" s="1138"/>
    </row>
    <row r="13236" spans="1:3">
      <c r="A13236" s="1133"/>
      <c r="B13236" s="1136"/>
      <c r="C13236" s="1138"/>
    </row>
    <row r="13237" spans="1:3">
      <c r="A13237" s="1133"/>
      <c r="B13237" s="1136"/>
      <c r="C13237" s="1138"/>
    </row>
    <row r="13238" spans="1:3">
      <c r="A13238" s="1133"/>
      <c r="B13238" s="1136"/>
      <c r="C13238" s="1138"/>
    </row>
    <row r="13239" spans="1:3">
      <c r="A13239" s="1133"/>
      <c r="B13239" s="1136"/>
      <c r="C13239" s="1138"/>
    </row>
    <row r="13240" spans="1:3">
      <c r="A13240" s="1133"/>
      <c r="B13240" s="1136"/>
      <c r="C13240" s="1138"/>
    </row>
    <row r="13241" spans="1:3">
      <c r="A13241" s="1133"/>
      <c r="B13241" s="1136"/>
      <c r="C13241" s="1138"/>
    </row>
    <row r="13242" spans="1:3">
      <c r="A13242" s="1133"/>
      <c r="B13242" s="1136"/>
      <c r="C13242" s="1138"/>
    </row>
    <row r="13243" spans="1:3">
      <c r="A13243" s="1133"/>
      <c r="B13243" s="1136"/>
      <c r="C13243" s="1138"/>
    </row>
    <row r="13244" spans="1:3">
      <c r="A13244" s="1133"/>
      <c r="B13244" s="1136"/>
      <c r="C13244" s="1138"/>
    </row>
    <row r="13245" spans="1:3">
      <c r="A13245" s="1133"/>
      <c r="B13245" s="1136"/>
      <c r="C13245" s="1138"/>
    </row>
    <row r="13246" spans="1:3">
      <c r="A13246" s="1133"/>
      <c r="B13246" s="1136"/>
      <c r="C13246" s="1138"/>
    </row>
    <row r="13247" spans="1:3">
      <c r="A13247" s="1133"/>
      <c r="B13247" s="1136"/>
      <c r="C13247" s="1138"/>
    </row>
    <row r="13248" spans="1:3">
      <c r="A13248" s="1133"/>
      <c r="B13248" s="1136"/>
      <c r="C13248" s="1138"/>
    </row>
    <row r="13249" spans="1:3">
      <c r="A13249" s="1133"/>
      <c r="B13249" s="1136"/>
      <c r="C13249" s="1138"/>
    </row>
    <row r="13250" spans="1:3">
      <c r="A13250" s="1133"/>
      <c r="B13250" s="1136"/>
      <c r="C13250" s="1138"/>
    </row>
    <row r="13251" spans="1:3">
      <c r="A13251" s="1133"/>
      <c r="B13251" s="1136"/>
      <c r="C13251" s="1138"/>
    </row>
    <row r="13252" spans="1:3">
      <c r="A13252" s="1133"/>
      <c r="B13252" s="1136"/>
      <c r="C13252" s="1138"/>
    </row>
    <row r="13253" spans="1:3">
      <c r="A13253" s="1133"/>
      <c r="B13253" s="1136"/>
      <c r="C13253" s="1138"/>
    </row>
    <row r="13254" spans="1:3">
      <c r="A13254" s="1133"/>
      <c r="B13254" s="1136"/>
      <c r="C13254" s="1138"/>
    </row>
    <row r="13255" spans="1:3">
      <c r="A13255" s="1133"/>
      <c r="B13255" s="1136"/>
      <c r="C13255" s="1138"/>
    </row>
    <row r="13256" spans="1:3">
      <c r="A13256" s="1133"/>
      <c r="B13256" s="1136"/>
      <c r="C13256" s="1138"/>
    </row>
    <row r="13257" spans="1:3">
      <c r="A13257" s="1133"/>
      <c r="B13257" s="1136"/>
      <c r="C13257" s="1138"/>
    </row>
    <row r="13258" spans="1:3">
      <c r="A13258" s="1133"/>
      <c r="B13258" s="1136"/>
      <c r="C13258" s="1138"/>
    </row>
    <row r="13259" spans="1:3">
      <c r="A13259" s="1133"/>
      <c r="B13259" s="1136"/>
      <c r="C13259" s="1138"/>
    </row>
    <row r="13260" spans="1:3">
      <c r="A13260" s="1133"/>
      <c r="B13260" s="1136"/>
      <c r="C13260" s="1138"/>
    </row>
    <row r="13261" spans="1:3">
      <c r="A13261" s="1133"/>
      <c r="B13261" s="1136"/>
      <c r="C13261" s="1138"/>
    </row>
    <row r="13262" spans="1:3">
      <c r="A13262" s="1133"/>
      <c r="B13262" s="1136"/>
      <c r="C13262" s="1138"/>
    </row>
    <row r="13263" spans="1:3">
      <c r="A13263" s="1133"/>
      <c r="B13263" s="1136"/>
      <c r="C13263" s="1138"/>
    </row>
    <row r="13264" spans="1:3">
      <c r="A13264" s="1133"/>
      <c r="B13264" s="1136"/>
      <c r="C13264" s="1138"/>
    </row>
    <row r="13265" spans="1:3">
      <c r="A13265" s="1133"/>
      <c r="B13265" s="1136"/>
      <c r="C13265" s="1138"/>
    </row>
    <row r="13266" spans="1:3">
      <c r="A13266" s="1133"/>
      <c r="B13266" s="1136"/>
      <c r="C13266" s="1138"/>
    </row>
    <row r="13267" spans="1:3">
      <c r="A13267" s="1133"/>
      <c r="B13267" s="1136"/>
      <c r="C13267" s="1138"/>
    </row>
    <row r="13268" spans="1:3">
      <c r="A13268" s="1133"/>
      <c r="B13268" s="1136"/>
      <c r="C13268" s="1138"/>
    </row>
    <row r="13269" spans="1:3">
      <c r="A13269" s="1133"/>
      <c r="B13269" s="1136"/>
      <c r="C13269" s="1138"/>
    </row>
    <row r="13270" spans="1:3">
      <c r="A13270" s="1133"/>
      <c r="B13270" s="1136"/>
      <c r="C13270" s="1138"/>
    </row>
    <row r="13271" spans="1:3">
      <c r="A13271" s="1133"/>
      <c r="B13271" s="1136"/>
      <c r="C13271" s="1138"/>
    </row>
    <row r="13272" spans="1:3">
      <c r="A13272" s="1133"/>
      <c r="B13272" s="1136"/>
      <c r="C13272" s="1138"/>
    </row>
    <row r="13273" spans="1:3">
      <c r="A13273" s="1133"/>
      <c r="B13273" s="1136"/>
      <c r="C13273" s="1138"/>
    </row>
    <row r="13274" spans="1:3">
      <c r="A13274" s="1133"/>
      <c r="B13274" s="1136"/>
      <c r="C13274" s="1138"/>
    </row>
    <row r="13275" spans="1:3">
      <c r="A13275" s="1133"/>
      <c r="B13275" s="1136"/>
      <c r="C13275" s="1138"/>
    </row>
    <row r="13276" spans="1:3">
      <c r="A13276" s="1133"/>
      <c r="B13276" s="1136"/>
      <c r="C13276" s="1138"/>
    </row>
    <row r="13277" spans="1:3">
      <c r="A13277" s="1133"/>
      <c r="B13277" s="1136"/>
      <c r="C13277" s="1138"/>
    </row>
    <row r="13278" spans="1:3">
      <c r="A13278" s="1133"/>
      <c r="B13278" s="1136"/>
      <c r="C13278" s="1138"/>
    </row>
    <row r="13279" spans="1:3">
      <c r="A13279" s="1133"/>
      <c r="B13279" s="1136"/>
      <c r="C13279" s="1138"/>
    </row>
    <row r="13280" spans="1:3">
      <c r="A13280" s="1133"/>
      <c r="B13280" s="1136"/>
      <c r="C13280" s="1138"/>
    </row>
    <row r="13281" spans="1:3">
      <c r="A13281" s="1133"/>
      <c r="B13281" s="1136"/>
      <c r="C13281" s="1138"/>
    </row>
    <row r="13282" spans="1:3">
      <c r="A13282" s="1133"/>
      <c r="B13282" s="1136"/>
      <c r="C13282" s="1138"/>
    </row>
    <row r="13283" spans="1:3">
      <c r="A13283" s="1133"/>
      <c r="B13283" s="1136"/>
      <c r="C13283" s="1138"/>
    </row>
    <row r="13284" spans="1:3">
      <c r="A13284" s="1133"/>
      <c r="B13284" s="1136"/>
      <c r="C13284" s="1138"/>
    </row>
    <row r="13285" spans="1:3">
      <c r="A13285" s="1133"/>
      <c r="B13285" s="1136"/>
      <c r="C13285" s="1138"/>
    </row>
    <row r="13286" spans="1:3">
      <c r="A13286" s="1133"/>
      <c r="B13286" s="1136"/>
      <c r="C13286" s="1138"/>
    </row>
    <row r="13287" spans="1:3">
      <c r="A13287" s="1133"/>
      <c r="B13287" s="1136"/>
      <c r="C13287" s="1138"/>
    </row>
    <row r="13288" spans="1:3">
      <c r="A13288" s="1133"/>
      <c r="B13288" s="1136"/>
      <c r="C13288" s="1138"/>
    </row>
    <row r="13289" spans="1:3">
      <c r="A13289" s="1133"/>
      <c r="B13289" s="1136"/>
      <c r="C13289" s="1138"/>
    </row>
    <row r="13290" spans="1:3">
      <c r="A13290" s="1133"/>
      <c r="B13290" s="1136"/>
      <c r="C13290" s="1138"/>
    </row>
    <row r="13291" spans="1:3">
      <c r="A13291" s="1133"/>
      <c r="B13291" s="1136"/>
      <c r="C13291" s="1138"/>
    </row>
    <row r="13292" spans="1:3">
      <c r="A13292" s="1133"/>
      <c r="B13292" s="1136"/>
      <c r="C13292" s="1138"/>
    </row>
    <row r="13293" spans="1:3">
      <c r="A13293" s="1133"/>
      <c r="B13293" s="1136"/>
      <c r="C13293" s="1138"/>
    </row>
    <row r="13294" spans="1:3">
      <c r="A13294" s="1133"/>
      <c r="B13294" s="1136"/>
      <c r="C13294" s="1138"/>
    </row>
    <row r="13295" spans="1:3">
      <c r="A13295" s="1133"/>
      <c r="B13295" s="1136"/>
      <c r="C13295" s="1138"/>
    </row>
    <row r="13296" spans="1:3">
      <c r="A13296" s="1133"/>
      <c r="B13296" s="1136"/>
      <c r="C13296" s="1138"/>
    </row>
    <row r="13297" spans="1:3">
      <c r="A13297" s="1133"/>
      <c r="B13297" s="1136"/>
      <c r="C13297" s="1138"/>
    </row>
    <row r="13298" spans="1:3">
      <c r="A13298" s="1133"/>
      <c r="B13298" s="1136"/>
      <c r="C13298" s="1138"/>
    </row>
    <row r="13299" spans="1:3">
      <c r="A13299" s="1133"/>
      <c r="B13299" s="1136"/>
      <c r="C13299" s="1138"/>
    </row>
    <row r="13300" spans="1:3">
      <c r="A13300" s="1133"/>
      <c r="B13300" s="1136"/>
      <c r="C13300" s="1138"/>
    </row>
    <row r="13301" spans="1:3">
      <c r="A13301" s="1133"/>
      <c r="B13301" s="1136"/>
      <c r="C13301" s="1138"/>
    </row>
    <row r="13302" spans="1:3">
      <c r="A13302" s="1133"/>
      <c r="B13302" s="1136"/>
      <c r="C13302" s="1138"/>
    </row>
    <row r="13303" spans="1:3">
      <c r="A13303" s="1133"/>
      <c r="B13303" s="1136"/>
      <c r="C13303" s="1138"/>
    </row>
    <row r="13304" spans="1:3">
      <c r="A13304" s="1133"/>
      <c r="B13304" s="1136"/>
      <c r="C13304" s="1138"/>
    </row>
    <row r="13305" spans="1:3">
      <c r="A13305" s="1133"/>
      <c r="B13305" s="1136"/>
      <c r="C13305" s="1138"/>
    </row>
    <row r="13306" spans="1:3">
      <c r="A13306" s="1133"/>
      <c r="B13306" s="1136"/>
      <c r="C13306" s="1138"/>
    </row>
    <row r="13307" spans="1:3">
      <c r="A13307" s="1133"/>
      <c r="B13307" s="1136"/>
      <c r="C13307" s="1138"/>
    </row>
    <row r="13308" spans="1:3">
      <c r="A13308" s="1133"/>
      <c r="B13308" s="1136"/>
      <c r="C13308" s="1138"/>
    </row>
    <row r="13309" spans="1:3">
      <c r="A13309" s="1133"/>
      <c r="B13309" s="1136"/>
      <c r="C13309" s="1138"/>
    </row>
    <row r="13310" spans="1:3">
      <c r="A13310" s="1133"/>
      <c r="B13310" s="1136"/>
      <c r="C13310" s="1138"/>
    </row>
    <row r="13311" spans="1:3">
      <c r="A13311" s="1133"/>
      <c r="B13311" s="1136"/>
      <c r="C13311" s="1138"/>
    </row>
    <row r="13312" spans="1:3">
      <c r="A13312" s="1133"/>
      <c r="B13312" s="1136"/>
      <c r="C13312" s="1138"/>
    </row>
    <row r="13313" spans="1:3">
      <c r="A13313" s="1133"/>
      <c r="B13313" s="1136"/>
      <c r="C13313" s="1138"/>
    </row>
    <row r="13314" spans="1:3">
      <c r="A13314" s="1133"/>
      <c r="B13314" s="1136"/>
      <c r="C13314" s="1138"/>
    </row>
    <row r="13315" spans="1:3">
      <c r="A13315" s="1133"/>
      <c r="B13315" s="1136"/>
      <c r="C13315" s="1138"/>
    </row>
    <row r="13316" spans="1:3">
      <c r="A13316" s="1133"/>
      <c r="B13316" s="1136"/>
      <c r="C13316" s="1138"/>
    </row>
    <row r="13317" spans="1:3">
      <c r="A13317" s="1133"/>
      <c r="B13317" s="1136"/>
      <c r="C13317" s="1138"/>
    </row>
    <row r="13318" spans="1:3">
      <c r="A13318" s="1133"/>
      <c r="B13318" s="1136"/>
      <c r="C13318" s="1138"/>
    </row>
    <row r="13319" spans="1:3">
      <c r="A13319" s="1133"/>
      <c r="B13319" s="1136"/>
      <c r="C13319" s="1138"/>
    </row>
    <row r="13320" spans="1:3">
      <c r="A13320" s="1133"/>
      <c r="B13320" s="1136"/>
      <c r="C13320" s="1138"/>
    </row>
    <row r="13321" spans="1:3">
      <c r="A13321" s="1133"/>
      <c r="B13321" s="1136"/>
      <c r="C13321" s="1138"/>
    </row>
    <row r="13322" spans="1:3">
      <c r="A13322" s="1133"/>
      <c r="B13322" s="1136"/>
      <c r="C13322" s="1138"/>
    </row>
    <row r="13323" spans="1:3">
      <c r="A13323" s="1133"/>
      <c r="B13323" s="1136"/>
      <c r="C13323" s="1138"/>
    </row>
    <row r="13324" spans="1:3">
      <c r="A13324" s="1133"/>
      <c r="B13324" s="1136"/>
      <c r="C13324" s="1138"/>
    </row>
    <row r="13325" spans="1:3">
      <c r="A13325" s="1133"/>
      <c r="B13325" s="1136"/>
      <c r="C13325" s="1138"/>
    </row>
    <row r="13326" spans="1:3">
      <c r="A13326" s="1133"/>
      <c r="B13326" s="1136"/>
      <c r="C13326" s="1138"/>
    </row>
    <row r="13327" spans="1:3">
      <c r="A13327" s="1133"/>
      <c r="B13327" s="1136"/>
      <c r="C13327" s="1138"/>
    </row>
    <row r="13328" spans="1:3">
      <c r="A13328" s="1133"/>
      <c r="B13328" s="1136"/>
      <c r="C13328" s="1138"/>
    </row>
    <row r="13329" spans="1:3">
      <c r="A13329" s="1133"/>
      <c r="B13329" s="1136"/>
      <c r="C13329" s="1138"/>
    </row>
    <row r="13330" spans="1:3">
      <c r="A13330" s="1133"/>
      <c r="B13330" s="1136"/>
      <c r="C13330" s="1138"/>
    </row>
    <row r="13331" spans="1:3">
      <c r="A13331" s="1133"/>
      <c r="B13331" s="1136"/>
      <c r="C13331" s="1138"/>
    </row>
    <row r="13332" spans="1:3">
      <c r="A13332" s="1133"/>
      <c r="B13332" s="1136"/>
      <c r="C13332" s="1138"/>
    </row>
    <row r="13333" spans="1:3">
      <c r="A13333" s="1133"/>
      <c r="B13333" s="1136"/>
      <c r="C13333" s="1138"/>
    </row>
    <row r="13334" spans="1:3">
      <c r="A13334" s="1133"/>
      <c r="B13334" s="1136"/>
      <c r="C13334" s="1138"/>
    </row>
    <row r="13335" spans="1:3">
      <c r="A13335" s="1133"/>
      <c r="B13335" s="1136"/>
      <c r="C13335" s="1138"/>
    </row>
    <row r="13336" spans="1:3">
      <c r="A13336" s="1133"/>
      <c r="B13336" s="1136"/>
      <c r="C13336" s="1138"/>
    </row>
    <row r="13337" spans="1:3">
      <c r="A13337" s="1133"/>
      <c r="B13337" s="1136"/>
      <c r="C13337" s="1138"/>
    </row>
    <row r="13338" spans="1:3">
      <c r="A13338" s="1133"/>
      <c r="B13338" s="1136"/>
      <c r="C13338" s="1138"/>
    </row>
    <row r="13339" spans="1:3">
      <c r="A13339" s="1133"/>
      <c r="B13339" s="1136"/>
      <c r="C13339" s="1138"/>
    </row>
    <row r="13340" spans="1:3">
      <c r="A13340" s="1133"/>
      <c r="B13340" s="1136"/>
      <c r="C13340" s="1138"/>
    </row>
    <row r="13341" spans="1:3">
      <c r="A13341" s="1133"/>
      <c r="B13341" s="1136"/>
      <c r="C13341" s="1138"/>
    </row>
    <row r="13342" spans="1:3">
      <c r="A13342" s="1133"/>
      <c r="B13342" s="1136"/>
      <c r="C13342" s="1138"/>
    </row>
    <row r="13343" spans="1:3">
      <c r="A13343" s="1133"/>
      <c r="B13343" s="1136"/>
      <c r="C13343" s="1138"/>
    </row>
    <row r="13344" spans="1:3">
      <c r="A13344" s="1133"/>
      <c r="B13344" s="1136"/>
      <c r="C13344" s="1138"/>
    </row>
    <row r="13345" spans="1:3">
      <c r="A13345" s="1133"/>
      <c r="B13345" s="1136"/>
      <c r="C13345" s="1138"/>
    </row>
    <row r="13346" spans="1:3">
      <c r="A13346" s="1133"/>
      <c r="B13346" s="1136"/>
      <c r="C13346" s="1138"/>
    </row>
    <row r="13347" spans="1:3">
      <c r="A13347" s="1133"/>
      <c r="B13347" s="1136"/>
      <c r="C13347" s="1138"/>
    </row>
    <row r="13348" spans="1:3">
      <c r="A13348" s="1133"/>
      <c r="B13348" s="1136"/>
      <c r="C13348" s="1138"/>
    </row>
    <row r="13349" spans="1:3">
      <c r="A13349" s="1133"/>
      <c r="B13349" s="1136"/>
      <c r="C13349" s="1138"/>
    </row>
    <row r="13350" spans="1:3">
      <c r="A13350" s="1133"/>
      <c r="B13350" s="1136"/>
      <c r="C13350" s="1138"/>
    </row>
    <row r="13351" spans="1:3">
      <c r="A13351" s="1133"/>
      <c r="B13351" s="1136"/>
      <c r="C13351" s="1138"/>
    </row>
    <row r="13352" spans="1:3">
      <c r="A13352" s="1133"/>
      <c r="B13352" s="1136"/>
      <c r="C13352" s="1138"/>
    </row>
    <row r="13353" spans="1:3">
      <c r="A13353" s="1133"/>
      <c r="B13353" s="1136"/>
      <c r="C13353" s="1138"/>
    </row>
    <row r="13354" spans="1:3">
      <c r="A13354" s="1133"/>
      <c r="B13354" s="1136"/>
      <c r="C13354" s="1138"/>
    </row>
    <row r="13355" spans="1:3">
      <c r="A13355" s="1133"/>
      <c r="B13355" s="1136"/>
      <c r="C13355" s="1138"/>
    </row>
    <row r="13356" spans="1:3">
      <c r="A13356" s="1133"/>
      <c r="B13356" s="1136"/>
      <c r="C13356" s="1138"/>
    </row>
    <row r="13357" spans="1:3">
      <c r="A13357" s="1133"/>
      <c r="B13357" s="1136"/>
      <c r="C13357" s="1138"/>
    </row>
    <row r="13358" spans="1:3">
      <c r="A13358" s="1133"/>
      <c r="B13358" s="1136"/>
      <c r="C13358" s="1138"/>
    </row>
    <row r="13359" spans="1:3">
      <c r="A13359" s="1133"/>
      <c r="B13359" s="1136"/>
      <c r="C13359" s="1138"/>
    </row>
    <row r="13360" spans="1:3">
      <c r="A13360" s="1133"/>
      <c r="B13360" s="1136"/>
      <c r="C13360" s="1138"/>
    </row>
    <row r="13361" spans="1:3">
      <c r="A13361" s="1133"/>
      <c r="B13361" s="1136"/>
      <c r="C13361" s="1138"/>
    </row>
    <row r="13362" spans="1:3">
      <c r="A13362" s="1133"/>
      <c r="B13362" s="1136"/>
      <c r="C13362" s="1138"/>
    </row>
    <row r="13363" spans="1:3">
      <c r="A13363" s="1133"/>
      <c r="B13363" s="1136"/>
      <c r="C13363" s="1138"/>
    </row>
    <row r="13364" spans="1:3">
      <c r="A13364" s="1133"/>
      <c r="B13364" s="1136"/>
      <c r="C13364" s="1138"/>
    </row>
    <row r="13365" spans="1:3">
      <c r="A13365" s="1133"/>
      <c r="B13365" s="1136"/>
      <c r="C13365" s="1138"/>
    </row>
    <row r="13366" spans="1:3">
      <c r="A13366" s="1133"/>
      <c r="B13366" s="1136"/>
      <c r="C13366" s="1138"/>
    </row>
    <row r="13367" spans="1:3">
      <c r="A13367" s="1133"/>
      <c r="B13367" s="1136"/>
      <c r="C13367" s="1138"/>
    </row>
    <row r="13368" spans="1:3">
      <c r="A13368" s="1133"/>
      <c r="B13368" s="1136"/>
      <c r="C13368" s="1138"/>
    </row>
    <row r="13369" spans="1:3">
      <c r="A13369" s="1133"/>
      <c r="B13369" s="1136"/>
      <c r="C13369" s="1138"/>
    </row>
    <row r="13370" spans="1:3">
      <c r="A13370" s="1133"/>
      <c r="B13370" s="1136"/>
      <c r="C13370" s="1138"/>
    </row>
    <row r="13371" spans="1:3">
      <c r="A13371" s="1133"/>
      <c r="B13371" s="1136"/>
      <c r="C13371" s="1138"/>
    </row>
    <row r="13372" spans="1:3">
      <c r="A13372" s="1133"/>
      <c r="B13372" s="1136"/>
      <c r="C13372" s="1138"/>
    </row>
    <row r="13373" spans="1:3">
      <c r="A13373" s="1133"/>
      <c r="B13373" s="1136"/>
      <c r="C13373" s="1138"/>
    </row>
    <row r="13374" spans="1:3">
      <c r="A13374" s="1133"/>
      <c r="B13374" s="1136"/>
      <c r="C13374" s="1138"/>
    </row>
    <row r="13375" spans="1:3">
      <c r="A13375" s="1133"/>
      <c r="B13375" s="1136"/>
      <c r="C13375" s="1138"/>
    </row>
    <row r="13376" spans="1:3">
      <c r="A13376" s="1133"/>
      <c r="B13376" s="1136"/>
      <c r="C13376" s="1138"/>
    </row>
    <row r="13377" spans="1:3">
      <c r="A13377" s="1133"/>
      <c r="B13377" s="1136"/>
      <c r="C13377" s="1138"/>
    </row>
    <row r="13378" spans="1:3">
      <c r="A13378" s="1133"/>
      <c r="B13378" s="1136"/>
      <c r="C13378" s="1138"/>
    </row>
    <row r="13379" spans="1:3">
      <c r="A13379" s="1133"/>
      <c r="B13379" s="1136"/>
      <c r="C13379" s="1138"/>
    </row>
    <row r="13380" spans="1:3">
      <c r="A13380" s="1133"/>
      <c r="B13380" s="1136"/>
      <c r="C13380" s="1138"/>
    </row>
    <row r="13381" spans="1:3">
      <c r="A13381" s="1133"/>
      <c r="B13381" s="1136"/>
      <c r="C13381" s="1138"/>
    </row>
    <row r="13382" spans="1:3">
      <c r="A13382" s="1133"/>
      <c r="B13382" s="1136"/>
      <c r="C13382" s="1138"/>
    </row>
    <row r="13383" spans="1:3">
      <c r="A13383" s="1133"/>
      <c r="B13383" s="1136"/>
      <c r="C13383" s="1138"/>
    </row>
    <row r="13384" spans="1:3">
      <c r="A13384" s="1133"/>
      <c r="B13384" s="1136"/>
      <c r="C13384" s="1138"/>
    </row>
    <row r="13385" spans="1:3">
      <c r="A13385" s="1133"/>
      <c r="B13385" s="1136"/>
      <c r="C13385" s="1138"/>
    </row>
    <row r="13386" spans="1:3">
      <c r="A13386" s="1133"/>
      <c r="B13386" s="1136"/>
      <c r="C13386" s="1138"/>
    </row>
    <row r="13387" spans="1:3">
      <c r="A13387" s="1133"/>
      <c r="B13387" s="1136"/>
      <c r="C13387" s="1138"/>
    </row>
    <row r="13388" spans="1:3">
      <c r="A13388" s="1133"/>
      <c r="B13388" s="1136"/>
      <c r="C13388" s="1138"/>
    </row>
    <row r="13389" spans="1:3">
      <c r="A13389" s="1133"/>
      <c r="B13389" s="1136"/>
      <c r="C13389" s="1138"/>
    </row>
    <row r="13390" spans="1:3">
      <c r="A13390" s="1133"/>
      <c r="B13390" s="1136"/>
      <c r="C13390" s="1138"/>
    </row>
    <row r="13391" spans="1:3">
      <c r="A13391" s="1133"/>
      <c r="B13391" s="1136"/>
      <c r="C13391" s="1138"/>
    </row>
    <row r="13392" spans="1:3">
      <c r="A13392" s="1133"/>
      <c r="B13392" s="1136"/>
      <c r="C13392" s="1138"/>
    </row>
    <row r="13393" spans="1:3">
      <c r="A13393" s="1133"/>
      <c r="B13393" s="1136"/>
      <c r="C13393" s="1138"/>
    </row>
    <row r="13394" spans="1:3">
      <c r="A13394" s="1133"/>
      <c r="B13394" s="1136"/>
      <c r="C13394" s="1138"/>
    </row>
    <row r="13395" spans="1:3">
      <c r="A13395" s="1133"/>
      <c r="B13395" s="1136"/>
      <c r="C13395" s="1138"/>
    </row>
    <row r="13396" spans="1:3">
      <c r="A13396" s="1133"/>
      <c r="B13396" s="1136"/>
      <c r="C13396" s="1138"/>
    </row>
    <row r="13397" spans="1:3">
      <c r="A13397" s="1133"/>
      <c r="B13397" s="1136"/>
      <c r="C13397" s="1138"/>
    </row>
    <row r="13398" spans="1:3">
      <c r="A13398" s="1133"/>
      <c r="B13398" s="1136"/>
      <c r="C13398" s="1138"/>
    </row>
    <row r="13399" spans="1:3">
      <c r="A13399" s="1133"/>
      <c r="B13399" s="1136"/>
      <c r="C13399" s="1138"/>
    </row>
    <row r="13400" spans="1:3">
      <c r="A13400" s="1133"/>
      <c r="B13400" s="1136"/>
      <c r="C13400" s="1138"/>
    </row>
    <row r="13401" spans="1:3">
      <c r="A13401" s="1133"/>
      <c r="B13401" s="1136"/>
      <c r="C13401" s="1138"/>
    </row>
    <row r="13402" spans="1:3">
      <c r="A13402" s="1133"/>
      <c r="B13402" s="1136"/>
      <c r="C13402" s="1138"/>
    </row>
    <row r="13403" spans="1:3">
      <c r="A13403" s="1133"/>
      <c r="B13403" s="1136"/>
      <c r="C13403" s="1138"/>
    </row>
    <row r="13404" spans="1:3">
      <c r="A13404" s="1133"/>
      <c r="B13404" s="1136"/>
      <c r="C13404" s="1138"/>
    </row>
    <row r="13405" spans="1:3">
      <c r="A13405" s="1133"/>
      <c r="B13405" s="1136"/>
      <c r="C13405" s="1138"/>
    </row>
    <row r="13406" spans="1:3">
      <c r="A13406" s="1133"/>
      <c r="B13406" s="1136"/>
      <c r="C13406" s="1138"/>
    </row>
    <row r="13407" spans="1:3">
      <c r="A13407" s="1133"/>
      <c r="B13407" s="1136"/>
      <c r="C13407" s="1138"/>
    </row>
    <row r="13408" spans="1:3">
      <c r="A13408" s="1133"/>
      <c r="B13408" s="1136"/>
      <c r="C13408" s="1138"/>
    </row>
    <row r="13409" spans="1:3">
      <c r="A13409" s="1133"/>
      <c r="B13409" s="1136"/>
      <c r="C13409" s="1138"/>
    </row>
    <row r="13410" spans="1:3">
      <c r="A13410" s="1133"/>
      <c r="B13410" s="1136"/>
      <c r="C13410" s="1138"/>
    </row>
    <row r="13411" spans="1:3">
      <c r="A13411" s="1133"/>
      <c r="B13411" s="1136"/>
      <c r="C13411" s="1138"/>
    </row>
    <row r="13412" spans="1:3">
      <c r="A13412" s="1133"/>
      <c r="B13412" s="1136"/>
      <c r="C13412" s="1138"/>
    </row>
    <row r="13413" spans="1:3">
      <c r="A13413" s="1133"/>
      <c r="B13413" s="1136"/>
      <c r="C13413" s="1138"/>
    </row>
    <row r="13414" spans="1:3">
      <c r="A13414" s="1133"/>
      <c r="B13414" s="1136"/>
      <c r="C13414" s="1138"/>
    </row>
    <row r="13415" spans="1:3">
      <c r="A13415" s="1133"/>
      <c r="B13415" s="1136"/>
      <c r="C13415" s="1138"/>
    </row>
    <row r="13416" spans="1:3">
      <c r="A13416" s="1133"/>
      <c r="B13416" s="1136"/>
      <c r="C13416" s="1138"/>
    </row>
    <row r="13417" spans="1:3">
      <c r="A13417" s="1133"/>
      <c r="B13417" s="1136"/>
      <c r="C13417" s="1138"/>
    </row>
    <row r="13418" spans="1:3">
      <c r="A13418" s="1133"/>
      <c r="B13418" s="1136"/>
      <c r="C13418" s="1138"/>
    </row>
    <row r="13419" spans="1:3">
      <c r="A13419" s="1133"/>
      <c r="B13419" s="1136"/>
      <c r="C13419" s="1138"/>
    </row>
    <row r="13420" spans="1:3">
      <c r="A13420" s="1133"/>
      <c r="B13420" s="1136"/>
      <c r="C13420" s="1138"/>
    </row>
    <row r="13421" spans="1:3">
      <c r="A13421" s="1133"/>
      <c r="B13421" s="1136"/>
      <c r="C13421" s="1138"/>
    </row>
    <row r="13422" spans="1:3">
      <c r="A13422" s="1133"/>
      <c r="B13422" s="1136"/>
      <c r="C13422" s="1138"/>
    </row>
    <row r="13423" spans="1:3">
      <c r="A13423" s="1133"/>
      <c r="B13423" s="1136"/>
      <c r="C13423" s="1138"/>
    </row>
    <row r="13424" spans="1:3">
      <c r="A13424" s="1133"/>
      <c r="B13424" s="1136"/>
      <c r="C13424" s="1138"/>
    </row>
    <row r="13425" spans="1:3">
      <c r="A13425" s="1133"/>
      <c r="B13425" s="1136"/>
      <c r="C13425" s="1138"/>
    </row>
    <row r="13426" spans="1:3">
      <c r="A13426" s="1133"/>
      <c r="B13426" s="1136"/>
      <c r="C13426" s="1138"/>
    </row>
    <row r="13427" spans="1:3">
      <c r="A13427" s="1133"/>
      <c r="B13427" s="1136"/>
      <c r="C13427" s="1138"/>
    </row>
    <row r="13428" spans="1:3">
      <c r="A13428" s="1133"/>
      <c r="B13428" s="1136"/>
      <c r="C13428" s="1138"/>
    </row>
    <row r="13429" spans="1:3">
      <c r="A13429" s="1133"/>
      <c r="B13429" s="1136"/>
      <c r="C13429" s="1138"/>
    </row>
    <row r="13430" spans="1:3">
      <c r="A13430" s="1133"/>
      <c r="B13430" s="1136"/>
      <c r="C13430" s="1138"/>
    </row>
    <row r="13431" spans="1:3">
      <c r="A13431" s="1133"/>
      <c r="B13431" s="1136"/>
      <c r="C13431" s="1138"/>
    </row>
    <row r="13432" spans="1:3">
      <c r="A13432" s="1133"/>
      <c r="B13432" s="1136"/>
      <c r="C13432" s="1138"/>
    </row>
    <row r="13433" spans="1:3">
      <c r="A13433" s="1133"/>
      <c r="B13433" s="1136"/>
      <c r="C13433" s="1138"/>
    </row>
    <row r="13434" spans="1:3">
      <c r="A13434" s="1133"/>
      <c r="B13434" s="1136"/>
      <c r="C13434" s="1138"/>
    </row>
    <row r="13435" spans="1:3">
      <c r="A13435" s="1133"/>
      <c r="B13435" s="1136"/>
      <c r="C13435" s="1138"/>
    </row>
    <row r="13436" spans="1:3">
      <c r="A13436" s="1133"/>
      <c r="B13436" s="1136"/>
      <c r="C13436" s="1138"/>
    </row>
    <row r="13437" spans="1:3">
      <c r="A13437" s="1133"/>
      <c r="B13437" s="1136"/>
      <c r="C13437" s="1138"/>
    </row>
    <row r="13438" spans="1:3">
      <c r="A13438" s="1133"/>
      <c r="B13438" s="1136"/>
      <c r="C13438" s="1138"/>
    </row>
    <row r="13439" spans="1:3">
      <c r="A13439" s="1133"/>
      <c r="B13439" s="1136"/>
      <c r="C13439" s="1138"/>
    </row>
    <row r="13440" spans="1:3">
      <c r="A13440" s="1133"/>
      <c r="B13440" s="1136"/>
      <c r="C13440" s="1138"/>
    </row>
    <row r="13441" spans="1:3">
      <c r="A13441" s="1133"/>
      <c r="B13441" s="1136"/>
      <c r="C13441" s="1138"/>
    </row>
    <row r="13442" spans="1:3">
      <c r="A13442" s="1133"/>
      <c r="B13442" s="1136"/>
      <c r="C13442" s="1138"/>
    </row>
    <row r="13443" spans="1:3">
      <c r="A13443" s="1133"/>
      <c r="B13443" s="1136"/>
      <c r="C13443" s="1138"/>
    </row>
    <row r="13444" spans="1:3">
      <c r="A13444" s="1133"/>
      <c r="B13444" s="1136"/>
      <c r="C13444" s="1138"/>
    </row>
    <row r="13445" spans="1:3">
      <c r="A13445" s="1133"/>
      <c r="B13445" s="1136"/>
      <c r="C13445" s="1138"/>
    </row>
    <row r="13446" spans="1:3">
      <c r="A13446" s="1133"/>
      <c r="B13446" s="1136"/>
      <c r="C13446" s="1138"/>
    </row>
    <row r="13447" spans="1:3">
      <c r="A13447" s="1133"/>
      <c r="B13447" s="1136"/>
      <c r="C13447" s="1138"/>
    </row>
    <row r="13448" spans="1:3">
      <c r="A13448" s="1133"/>
      <c r="B13448" s="1136"/>
      <c r="C13448" s="1138"/>
    </row>
    <row r="13449" spans="1:3">
      <c r="A13449" s="1133"/>
      <c r="B13449" s="1136"/>
      <c r="C13449" s="1138"/>
    </row>
    <row r="13450" spans="1:3">
      <c r="A13450" s="1133"/>
      <c r="B13450" s="1136"/>
      <c r="C13450" s="1138"/>
    </row>
    <row r="13451" spans="1:3">
      <c r="A13451" s="1133"/>
      <c r="B13451" s="1136"/>
      <c r="C13451" s="1138"/>
    </row>
    <row r="13452" spans="1:3">
      <c r="A13452" s="1133"/>
      <c r="B13452" s="1136"/>
      <c r="C13452" s="1138"/>
    </row>
    <row r="13453" spans="1:3">
      <c r="A13453" s="1133"/>
      <c r="B13453" s="1136"/>
      <c r="C13453" s="1138"/>
    </row>
    <row r="13454" spans="1:3">
      <c r="A13454" s="1133"/>
      <c r="B13454" s="1136"/>
      <c r="C13454" s="1138"/>
    </row>
    <row r="13455" spans="1:3">
      <c r="A13455" s="1133"/>
      <c r="B13455" s="1136"/>
      <c r="C13455" s="1138"/>
    </row>
    <row r="13456" spans="1:3">
      <c r="A13456" s="1133"/>
      <c r="B13456" s="1136"/>
      <c r="C13456" s="1138"/>
    </row>
    <row r="13457" spans="1:3">
      <c r="A13457" s="1133"/>
      <c r="B13457" s="1136"/>
      <c r="C13457" s="1138"/>
    </row>
    <row r="13458" spans="1:3">
      <c r="A13458" s="1133"/>
      <c r="B13458" s="1136"/>
      <c r="C13458" s="1138"/>
    </row>
    <row r="13459" spans="1:3">
      <c r="A13459" s="1133"/>
      <c r="B13459" s="1136"/>
      <c r="C13459" s="1138"/>
    </row>
    <row r="13460" spans="1:3">
      <c r="A13460" s="1133"/>
      <c r="B13460" s="1136"/>
      <c r="C13460" s="1138"/>
    </row>
    <row r="13461" spans="1:3">
      <c r="A13461" s="1133"/>
      <c r="B13461" s="1136"/>
      <c r="C13461" s="1138"/>
    </row>
    <row r="13462" spans="1:3">
      <c r="A13462" s="1133"/>
      <c r="B13462" s="1136"/>
      <c r="C13462" s="1138"/>
    </row>
    <row r="13463" spans="1:3">
      <c r="A13463" s="1133"/>
      <c r="B13463" s="1136"/>
      <c r="C13463" s="1138"/>
    </row>
    <row r="13464" spans="1:3">
      <c r="A13464" s="1133"/>
      <c r="B13464" s="1136"/>
      <c r="C13464" s="1138"/>
    </row>
    <row r="13465" spans="1:3">
      <c r="A13465" s="1133"/>
      <c r="B13465" s="1136"/>
      <c r="C13465" s="1138"/>
    </row>
    <row r="13466" spans="1:3">
      <c r="A13466" s="1133"/>
      <c r="B13466" s="1136"/>
      <c r="C13466" s="1138"/>
    </row>
    <row r="13467" spans="1:3">
      <c r="A13467" s="1133"/>
      <c r="B13467" s="1136"/>
      <c r="C13467" s="1138"/>
    </row>
    <row r="13468" spans="1:3">
      <c r="A13468" s="1133"/>
      <c r="B13468" s="1136"/>
      <c r="C13468" s="1138"/>
    </row>
    <row r="13469" spans="1:3">
      <c r="A13469" s="1133"/>
      <c r="B13469" s="1136"/>
      <c r="C13469" s="1138"/>
    </row>
    <row r="13470" spans="1:3">
      <c r="A13470" s="1133"/>
      <c r="B13470" s="1136"/>
      <c r="C13470" s="1138"/>
    </row>
    <row r="13471" spans="1:3">
      <c r="A13471" s="1133"/>
      <c r="B13471" s="1136"/>
      <c r="C13471" s="1138"/>
    </row>
    <row r="13472" spans="1:3">
      <c r="A13472" s="1133"/>
      <c r="B13472" s="1136"/>
      <c r="C13472" s="1138"/>
    </row>
    <row r="13473" spans="1:3">
      <c r="A13473" s="1133"/>
      <c r="B13473" s="1136"/>
      <c r="C13473" s="1138"/>
    </row>
    <row r="13474" spans="1:3">
      <c r="A13474" s="1133"/>
      <c r="B13474" s="1136"/>
      <c r="C13474" s="1138"/>
    </row>
    <row r="13475" spans="1:3">
      <c r="A13475" s="1133"/>
      <c r="B13475" s="1136"/>
      <c r="C13475" s="1138"/>
    </row>
    <row r="13476" spans="1:3">
      <c r="A13476" s="1133"/>
      <c r="B13476" s="1136"/>
      <c r="C13476" s="1138"/>
    </row>
    <row r="13477" spans="1:3">
      <c r="A13477" s="1133"/>
      <c r="B13477" s="1136"/>
      <c r="C13477" s="1138"/>
    </row>
    <row r="13478" spans="1:3">
      <c r="A13478" s="1133"/>
      <c r="B13478" s="1136"/>
      <c r="C13478" s="1138"/>
    </row>
    <row r="13479" spans="1:3">
      <c r="A13479" s="1133"/>
      <c r="B13479" s="1136"/>
      <c r="C13479" s="1138"/>
    </row>
    <row r="13480" spans="1:3">
      <c r="A13480" s="1133"/>
      <c r="B13480" s="1136"/>
      <c r="C13480" s="1138"/>
    </row>
    <row r="13481" spans="1:3">
      <c r="A13481" s="1133"/>
      <c r="B13481" s="1136"/>
      <c r="C13481" s="1138"/>
    </row>
    <row r="13482" spans="1:3">
      <c r="A13482" s="1133"/>
      <c r="B13482" s="1136"/>
      <c r="C13482" s="1138"/>
    </row>
    <row r="13483" spans="1:3">
      <c r="A13483" s="1133"/>
      <c r="B13483" s="1136"/>
      <c r="C13483" s="1138"/>
    </row>
    <row r="13484" spans="1:3">
      <c r="A13484" s="1133"/>
      <c r="B13484" s="1136"/>
      <c r="C13484" s="1138"/>
    </row>
    <row r="13485" spans="1:3">
      <c r="A13485" s="1133"/>
      <c r="B13485" s="1136"/>
      <c r="C13485" s="1138"/>
    </row>
    <row r="13486" spans="1:3">
      <c r="A13486" s="1133"/>
      <c r="B13486" s="1136"/>
      <c r="C13486" s="1138"/>
    </row>
    <row r="13487" spans="1:3">
      <c r="A13487" s="1133"/>
      <c r="B13487" s="1136"/>
      <c r="C13487" s="1138"/>
    </row>
    <row r="13488" spans="1:3">
      <c r="A13488" s="1133"/>
      <c r="B13488" s="1136"/>
      <c r="C13488" s="1138"/>
    </row>
    <row r="13489" spans="1:3">
      <c r="A13489" s="1133"/>
      <c r="B13489" s="1136"/>
      <c r="C13489" s="1138"/>
    </row>
    <row r="13490" spans="1:3">
      <c r="A13490" s="1133"/>
      <c r="B13490" s="1136"/>
      <c r="C13490" s="1138"/>
    </row>
    <row r="13491" spans="1:3">
      <c r="A13491" s="1133"/>
      <c r="B13491" s="1136"/>
      <c r="C13491" s="1138"/>
    </row>
    <row r="13492" spans="1:3">
      <c r="A13492" s="1133"/>
      <c r="B13492" s="1136"/>
      <c r="C13492" s="1138"/>
    </row>
    <row r="13493" spans="1:3">
      <c r="A13493" s="1133"/>
      <c r="B13493" s="1136"/>
      <c r="C13493" s="1138"/>
    </row>
    <row r="13494" spans="1:3">
      <c r="A13494" s="1133"/>
      <c r="B13494" s="1136"/>
      <c r="C13494" s="1138"/>
    </row>
    <row r="13495" spans="1:3">
      <c r="A13495" s="1133"/>
      <c r="B13495" s="1136"/>
      <c r="C13495" s="1138"/>
    </row>
    <row r="13496" spans="1:3">
      <c r="A13496" s="1133"/>
      <c r="B13496" s="1136"/>
      <c r="C13496" s="1138"/>
    </row>
    <row r="13497" spans="1:3">
      <c r="A13497" s="1133"/>
      <c r="B13497" s="1136"/>
      <c r="C13497" s="1138"/>
    </row>
    <row r="13498" spans="1:3">
      <c r="A13498" s="1133"/>
      <c r="B13498" s="1136"/>
      <c r="C13498" s="1138"/>
    </row>
    <row r="13499" spans="1:3">
      <c r="A13499" s="1133"/>
      <c r="B13499" s="1136"/>
      <c r="C13499" s="1138"/>
    </row>
    <row r="13500" spans="1:3">
      <c r="A13500" s="1133"/>
      <c r="B13500" s="1136"/>
      <c r="C13500" s="1138"/>
    </row>
    <row r="13501" spans="1:3">
      <c r="A13501" s="1133"/>
      <c r="B13501" s="1136"/>
      <c r="C13501" s="1138"/>
    </row>
    <row r="13502" spans="1:3">
      <c r="A13502" s="1133"/>
      <c r="B13502" s="1136"/>
      <c r="C13502" s="1138"/>
    </row>
    <row r="13503" spans="1:3">
      <c r="A13503" s="1133"/>
      <c r="B13503" s="1136"/>
      <c r="C13503" s="1138"/>
    </row>
    <row r="13504" spans="1:3">
      <c r="A13504" s="1133"/>
      <c r="B13504" s="1136"/>
      <c r="C13504" s="1138"/>
    </row>
    <row r="13505" spans="1:3">
      <c r="A13505" s="1133"/>
      <c r="B13505" s="1136"/>
      <c r="C13505" s="1138"/>
    </row>
    <row r="13506" spans="1:3">
      <c r="A13506" s="1133"/>
      <c r="B13506" s="1136"/>
      <c r="C13506" s="1138"/>
    </row>
    <row r="13507" spans="1:3">
      <c r="A13507" s="1133"/>
      <c r="B13507" s="1136"/>
      <c r="C13507" s="1138"/>
    </row>
    <row r="13508" spans="1:3">
      <c r="A13508" s="1133"/>
      <c r="B13508" s="1136"/>
      <c r="C13508" s="1138"/>
    </row>
    <row r="13509" spans="1:3">
      <c r="A13509" s="1133"/>
      <c r="B13509" s="1136"/>
      <c r="C13509" s="1138"/>
    </row>
    <row r="13510" spans="1:3">
      <c r="A13510" s="1133"/>
      <c r="B13510" s="1136"/>
      <c r="C13510" s="1138"/>
    </row>
    <row r="13511" spans="1:3">
      <c r="A13511" s="1133"/>
      <c r="B13511" s="1136"/>
      <c r="C13511" s="1138"/>
    </row>
    <row r="13512" spans="1:3">
      <c r="A13512" s="1133"/>
      <c r="B13512" s="1136"/>
      <c r="C13512" s="1138"/>
    </row>
    <row r="13513" spans="1:3">
      <c r="A13513" s="1133"/>
      <c r="B13513" s="1136"/>
      <c r="C13513" s="1138"/>
    </row>
    <row r="13514" spans="1:3">
      <c r="A13514" s="1133"/>
      <c r="B13514" s="1136"/>
      <c r="C13514" s="1138"/>
    </row>
    <row r="13515" spans="1:3">
      <c r="A13515" s="1133"/>
      <c r="B13515" s="1136"/>
      <c r="C13515" s="1138"/>
    </row>
    <row r="13516" spans="1:3">
      <c r="A13516" s="1133"/>
      <c r="B13516" s="1136"/>
      <c r="C13516" s="1138"/>
    </row>
    <row r="13517" spans="1:3">
      <c r="A13517" s="1133"/>
      <c r="B13517" s="1136"/>
      <c r="C13517" s="1138"/>
    </row>
    <row r="13518" spans="1:3">
      <c r="A13518" s="1133"/>
      <c r="B13518" s="1136"/>
      <c r="C13518" s="1138"/>
    </row>
    <row r="13519" spans="1:3">
      <c r="A13519" s="1133"/>
      <c r="B13519" s="1136"/>
      <c r="C13519" s="1138"/>
    </row>
    <row r="13520" spans="1:3">
      <c r="A13520" s="1133"/>
      <c r="B13520" s="1136"/>
      <c r="C13520" s="1138"/>
    </row>
    <row r="13521" spans="1:3">
      <c r="A13521" s="1133"/>
      <c r="B13521" s="1136"/>
      <c r="C13521" s="1138"/>
    </row>
    <row r="13522" spans="1:3">
      <c r="A13522" s="1133"/>
      <c r="B13522" s="1136"/>
      <c r="C13522" s="1138"/>
    </row>
    <row r="13523" spans="1:3">
      <c r="A13523" s="1133"/>
      <c r="B13523" s="1136"/>
      <c r="C13523" s="1138"/>
    </row>
    <row r="13524" spans="1:3">
      <c r="A13524" s="1133"/>
      <c r="B13524" s="1136"/>
      <c r="C13524" s="1138"/>
    </row>
    <row r="13525" spans="1:3">
      <c r="A13525" s="1133"/>
      <c r="B13525" s="1136"/>
      <c r="C13525" s="1138"/>
    </row>
    <row r="13526" spans="1:3">
      <c r="A13526" s="1133"/>
      <c r="B13526" s="1136"/>
      <c r="C13526" s="1138"/>
    </row>
    <row r="13527" spans="1:3">
      <c r="A13527" s="1133"/>
      <c r="B13527" s="1136"/>
      <c r="C13527" s="1138"/>
    </row>
    <row r="13528" spans="1:3">
      <c r="A13528" s="1133"/>
      <c r="B13528" s="1136"/>
      <c r="C13528" s="1138"/>
    </row>
    <row r="13529" spans="1:3">
      <c r="A13529" s="1133"/>
      <c r="B13529" s="1136"/>
      <c r="C13529" s="1138"/>
    </row>
    <row r="13530" spans="1:3">
      <c r="A13530" s="1133"/>
      <c r="B13530" s="1136"/>
      <c r="C13530" s="1138"/>
    </row>
    <row r="13531" spans="1:3">
      <c r="A13531" s="1133"/>
      <c r="B13531" s="1136"/>
      <c r="C13531" s="1138"/>
    </row>
    <row r="13532" spans="1:3">
      <c r="A13532" s="1133"/>
      <c r="B13532" s="1136"/>
      <c r="C13532" s="1138"/>
    </row>
    <row r="13533" spans="1:3">
      <c r="A13533" s="1133"/>
      <c r="B13533" s="1136"/>
      <c r="C13533" s="1138"/>
    </row>
    <row r="13534" spans="1:3">
      <c r="A13534" s="1133"/>
      <c r="B13534" s="1136"/>
      <c r="C13534" s="1138"/>
    </row>
    <row r="13535" spans="1:3">
      <c r="A13535" s="1133"/>
      <c r="B13535" s="1136"/>
      <c r="C13535" s="1138"/>
    </row>
    <row r="13536" spans="1:3">
      <c r="A13536" s="1133"/>
      <c r="B13536" s="1136"/>
      <c r="C13536" s="1138"/>
    </row>
    <row r="13537" spans="1:3">
      <c r="A13537" s="1133"/>
      <c r="B13537" s="1136"/>
      <c r="C13537" s="1138"/>
    </row>
    <row r="13538" spans="1:3">
      <c r="A13538" s="1133"/>
      <c r="B13538" s="1136"/>
      <c r="C13538" s="1138"/>
    </row>
    <row r="13539" spans="1:3">
      <c r="A13539" s="1133"/>
      <c r="B13539" s="1136"/>
      <c r="C13539" s="1138"/>
    </row>
    <row r="13540" spans="1:3">
      <c r="A13540" s="1133"/>
      <c r="B13540" s="1136"/>
      <c r="C13540" s="1138"/>
    </row>
    <row r="13541" spans="1:3">
      <c r="A13541" s="1133"/>
      <c r="B13541" s="1136"/>
      <c r="C13541" s="1138"/>
    </row>
    <row r="13542" spans="1:3">
      <c r="A13542" s="1133"/>
      <c r="B13542" s="1136"/>
      <c r="C13542" s="1138"/>
    </row>
    <row r="13543" spans="1:3">
      <c r="A13543" s="1133"/>
      <c r="B13543" s="1136"/>
      <c r="C13543" s="1138"/>
    </row>
    <row r="13544" spans="1:3">
      <c r="A13544" s="1133"/>
      <c r="B13544" s="1136"/>
      <c r="C13544" s="1138"/>
    </row>
    <row r="13545" spans="1:3">
      <c r="A13545" s="1133"/>
      <c r="B13545" s="1136"/>
      <c r="C13545" s="1138"/>
    </row>
    <row r="13546" spans="1:3">
      <c r="A13546" s="1133"/>
      <c r="B13546" s="1136"/>
      <c r="C13546" s="1138"/>
    </row>
    <row r="13547" spans="1:3">
      <c r="A13547" s="1133"/>
      <c r="B13547" s="1136"/>
      <c r="C13547" s="1138"/>
    </row>
    <row r="13548" spans="1:3">
      <c r="A13548" s="1133"/>
      <c r="B13548" s="1136"/>
      <c r="C13548" s="1138"/>
    </row>
    <row r="13549" spans="1:3">
      <c r="A13549" s="1133"/>
      <c r="B13549" s="1136"/>
      <c r="C13549" s="1138"/>
    </row>
    <row r="13550" spans="1:3">
      <c r="A13550" s="1133"/>
      <c r="B13550" s="1136"/>
      <c r="C13550" s="1138"/>
    </row>
    <row r="13551" spans="1:3">
      <c r="A13551" s="1133"/>
      <c r="B13551" s="1136"/>
      <c r="C13551" s="1138"/>
    </row>
    <row r="13552" spans="1:3">
      <c r="A13552" s="1133"/>
      <c r="B13552" s="1136"/>
      <c r="C13552" s="1138"/>
    </row>
    <row r="13553" spans="1:3">
      <c r="A13553" s="1133"/>
      <c r="B13553" s="1136"/>
      <c r="C13553" s="1138"/>
    </row>
    <row r="13554" spans="1:3">
      <c r="A13554" s="1133"/>
      <c r="B13554" s="1136"/>
      <c r="C13554" s="1138"/>
    </row>
    <row r="13555" spans="1:3">
      <c r="A13555" s="1133"/>
      <c r="B13555" s="1136"/>
      <c r="C13555" s="1138"/>
    </row>
    <row r="13556" spans="1:3">
      <c r="A13556" s="1133"/>
      <c r="B13556" s="1136"/>
      <c r="C13556" s="1138"/>
    </row>
    <row r="13557" spans="1:3">
      <c r="A13557" s="1133"/>
      <c r="B13557" s="1136"/>
      <c r="C13557" s="1138"/>
    </row>
    <row r="13558" spans="1:3">
      <c r="A13558" s="1133"/>
      <c r="B13558" s="1136"/>
      <c r="C13558" s="1138"/>
    </row>
    <row r="13559" spans="1:3">
      <c r="A13559" s="1133"/>
      <c r="B13559" s="1136"/>
      <c r="C13559" s="1138"/>
    </row>
    <row r="13560" spans="1:3">
      <c r="A13560" s="1133"/>
      <c r="B13560" s="1136"/>
      <c r="C13560" s="1138"/>
    </row>
    <row r="13561" spans="1:3">
      <c r="A13561" s="1133"/>
      <c r="B13561" s="1136"/>
      <c r="C13561" s="1138"/>
    </row>
    <row r="13562" spans="1:3">
      <c r="A13562" s="1133"/>
      <c r="B13562" s="1136"/>
      <c r="C13562" s="1138"/>
    </row>
    <row r="13563" spans="1:3">
      <c r="A13563" s="1133"/>
      <c r="B13563" s="1136"/>
      <c r="C13563" s="1138"/>
    </row>
    <row r="13564" spans="1:3">
      <c r="A13564" s="1133"/>
      <c r="B13564" s="1136"/>
      <c r="C13564" s="1138"/>
    </row>
    <row r="13565" spans="1:3">
      <c r="A13565" s="1133"/>
      <c r="B13565" s="1136"/>
      <c r="C13565" s="1138"/>
    </row>
    <row r="13566" spans="1:3">
      <c r="A13566" s="1133"/>
      <c r="B13566" s="1136"/>
      <c r="C13566" s="1138"/>
    </row>
    <row r="13567" spans="1:3">
      <c r="A13567" s="1133"/>
      <c r="B13567" s="1136"/>
      <c r="C13567" s="1138"/>
    </row>
    <row r="13568" spans="1:3">
      <c r="A13568" s="1133"/>
      <c r="B13568" s="1136"/>
      <c r="C13568" s="1138"/>
    </row>
    <row r="13569" spans="1:3">
      <c r="A13569" s="1133"/>
      <c r="B13569" s="1136"/>
      <c r="C13569" s="1138"/>
    </row>
    <row r="13570" spans="1:3">
      <c r="A13570" s="1133"/>
      <c r="B13570" s="1136"/>
      <c r="C13570" s="1138"/>
    </row>
    <row r="13571" spans="1:3">
      <c r="A13571" s="1133"/>
      <c r="B13571" s="1136"/>
      <c r="C13571" s="1138"/>
    </row>
    <row r="13572" spans="1:3">
      <c r="A13572" s="1133"/>
      <c r="B13572" s="1136"/>
      <c r="C13572" s="1138"/>
    </row>
    <row r="13573" spans="1:3">
      <c r="A13573" s="1133"/>
      <c r="B13573" s="1136"/>
      <c r="C13573" s="1138"/>
    </row>
    <row r="13574" spans="1:3">
      <c r="A13574" s="1133"/>
      <c r="B13574" s="1136"/>
      <c r="C13574" s="1138"/>
    </row>
    <row r="13575" spans="1:3">
      <c r="A13575" s="1133"/>
      <c r="B13575" s="1136"/>
      <c r="C13575" s="1138"/>
    </row>
    <row r="13576" spans="1:3">
      <c r="A13576" s="1133"/>
      <c r="B13576" s="1136"/>
      <c r="C13576" s="1138"/>
    </row>
    <row r="13577" spans="1:3">
      <c r="A13577" s="1133"/>
      <c r="B13577" s="1136"/>
      <c r="C13577" s="1138"/>
    </row>
    <row r="13578" spans="1:3">
      <c r="A13578" s="1133"/>
      <c r="B13578" s="1136"/>
      <c r="C13578" s="1138"/>
    </row>
    <row r="13579" spans="1:3">
      <c r="A13579" s="1133"/>
      <c r="B13579" s="1136"/>
      <c r="C13579" s="1138"/>
    </row>
    <row r="13580" spans="1:3">
      <c r="A13580" s="1133"/>
      <c r="B13580" s="1136"/>
      <c r="C13580" s="1138"/>
    </row>
    <row r="13581" spans="1:3">
      <c r="A13581" s="1133"/>
      <c r="B13581" s="1136"/>
      <c r="C13581" s="1138"/>
    </row>
    <row r="13582" spans="1:3">
      <c r="A13582" s="1133"/>
      <c r="B13582" s="1136"/>
      <c r="C13582" s="1138"/>
    </row>
    <row r="13583" spans="1:3">
      <c r="A13583" s="1133"/>
      <c r="B13583" s="1136"/>
      <c r="C13583" s="1138"/>
    </row>
    <row r="13584" spans="1:3">
      <c r="A13584" s="1133"/>
      <c r="B13584" s="1136"/>
      <c r="C13584" s="1138"/>
    </row>
    <row r="13585" spans="1:3">
      <c r="A13585" s="1133"/>
      <c r="B13585" s="1136"/>
      <c r="C13585" s="1138"/>
    </row>
    <row r="13586" spans="1:3">
      <c r="A13586" s="1133"/>
      <c r="B13586" s="1136"/>
      <c r="C13586" s="1138"/>
    </row>
    <row r="13587" spans="1:3">
      <c r="A13587" s="1133"/>
      <c r="B13587" s="1136"/>
      <c r="C13587" s="1138"/>
    </row>
    <row r="13588" spans="1:3">
      <c r="A13588" s="1133"/>
      <c r="B13588" s="1136"/>
      <c r="C13588" s="1138"/>
    </row>
    <row r="13589" spans="1:3">
      <c r="A13589" s="1133"/>
      <c r="B13589" s="1136"/>
      <c r="C13589" s="1138"/>
    </row>
    <row r="13590" spans="1:3">
      <c r="A13590" s="1133"/>
      <c r="B13590" s="1136"/>
      <c r="C13590" s="1138"/>
    </row>
    <row r="13591" spans="1:3">
      <c r="A13591" s="1133"/>
      <c r="B13591" s="1136"/>
      <c r="C13591" s="1138"/>
    </row>
    <row r="13592" spans="1:3">
      <c r="A13592" s="1133"/>
      <c r="B13592" s="1136"/>
      <c r="C13592" s="1138"/>
    </row>
    <row r="13593" spans="1:3">
      <c r="A13593" s="1133"/>
      <c r="B13593" s="1136"/>
      <c r="C13593" s="1138"/>
    </row>
    <row r="13594" spans="1:3">
      <c r="A13594" s="1133"/>
      <c r="B13594" s="1136"/>
      <c r="C13594" s="1138"/>
    </row>
    <row r="13595" spans="1:3">
      <c r="A13595" s="1133"/>
      <c r="B13595" s="1136"/>
      <c r="C13595" s="1138"/>
    </row>
    <row r="13596" spans="1:3">
      <c r="A13596" s="1133"/>
      <c r="B13596" s="1136"/>
      <c r="C13596" s="1138"/>
    </row>
    <row r="13597" spans="1:3">
      <c r="A13597" s="1133"/>
      <c r="B13597" s="1136"/>
      <c r="C13597" s="1138"/>
    </row>
    <row r="13598" spans="1:3">
      <c r="A13598" s="1133"/>
      <c r="B13598" s="1136"/>
      <c r="C13598" s="1138"/>
    </row>
    <row r="13599" spans="1:3">
      <c r="A13599" s="1133"/>
      <c r="B13599" s="1136"/>
      <c r="C13599" s="1138"/>
    </row>
    <row r="13600" spans="1:3">
      <c r="A13600" s="1133"/>
      <c r="B13600" s="1136"/>
      <c r="C13600" s="1138"/>
    </row>
    <row r="13601" spans="1:3">
      <c r="A13601" s="1133"/>
      <c r="B13601" s="1136"/>
      <c r="C13601" s="1138"/>
    </row>
    <row r="13602" spans="1:3">
      <c r="A13602" s="1133"/>
      <c r="B13602" s="1136"/>
      <c r="C13602" s="1138"/>
    </row>
    <row r="13603" spans="1:3">
      <c r="A13603" s="1133"/>
      <c r="B13603" s="1136"/>
      <c r="C13603" s="1138"/>
    </row>
    <row r="13604" spans="1:3">
      <c r="A13604" s="1133"/>
      <c r="B13604" s="1136"/>
      <c r="C13604" s="1138"/>
    </row>
    <row r="13605" spans="1:3">
      <c r="A13605" s="1133"/>
      <c r="B13605" s="1136"/>
      <c r="C13605" s="1138"/>
    </row>
    <row r="13606" spans="1:3">
      <c r="A13606" s="1133"/>
      <c r="B13606" s="1136"/>
      <c r="C13606" s="1138"/>
    </row>
    <row r="13607" spans="1:3">
      <c r="A13607" s="1133"/>
      <c r="B13607" s="1136"/>
      <c r="C13607" s="1138"/>
    </row>
    <row r="13608" spans="1:3">
      <c r="A13608" s="1133"/>
      <c r="B13608" s="1136"/>
      <c r="C13608" s="1138"/>
    </row>
    <row r="13609" spans="1:3">
      <c r="A13609" s="1133"/>
      <c r="B13609" s="1136"/>
      <c r="C13609" s="1138"/>
    </row>
    <row r="13610" spans="1:3">
      <c r="A13610" s="1133"/>
      <c r="B13610" s="1136"/>
      <c r="C13610" s="1138"/>
    </row>
    <row r="13611" spans="1:3">
      <c r="A13611" s="1133"/>
      <c r="B13611" s="1136"/>
      <c r="C13611" s="1138"/>
    </row>
    <row r="13612" spans="1:3">
      <c r="A13612" s="1133"/>
      <c r="B13612" s="1136"/>
      <c r="C13612" s="1138"/>
    </row>
    <row r="13613" spans="1:3">
      <c r="A13613" s="1133"/>
      <c r="B13613" s="1136"/>
      <c r="C13613" s="1138"/>
    </row>
    <row r="13614" spans="1:3">
      <c r="A13614" s="1133"/>
      <c r="B13614" s="1136"/>
      <c r="C13614" s="1138"/>
    </row>
    <row r="13615" spans="1:3">
      <c r="A13615" s="1133"/>
      <c r="B13615" s="1136"/>
      <c r="C13615" s="1138"/>
    </row>
    <row r="13616" spans="1:3">
      <c r="A13616" s="1133"/>
      <c r="B13616" s="1136"/>
      <c r="C13616" s="1138"/>
    </row>
    <row r="13617" spans="1:3">
      <c r="A13617" s="1133"/>
      <c r="B13617" s="1136"/>
      <c r="C13617" s="1138"/>
    </row>
    <row r="13618" spans="1:3">
      <c r="A13618" s="1133"/>
      <c r="B13618" s="1136"/>
      <c r="C13618" s="1138"/>
    </row>
    <row r="13619" spans="1:3">
      <c r="A13619" s="1133"/>
      <c r="B13619" s="1136"/>
      <c r="C13619" s="1138"/>
    </row>
    <row r="13620" spans="1:3">
      <c r="A13620" s="1133"/>
      <c r="B13620" s="1136"/>
      <c r="C13620" s="1138"/>
    </row>
    <row r="13621" spans="1:3">
      <c r="A13621" s="1133"/>
      <c r="B13621" s="1136"/>
      <c r="C13621" s="1138"/>
    </row>
    <row r="13622" spans="1:3">
      <c r="A13622" s="1133"/>
      <c r="B13622" s="1136"/>
      <c r="C13622" s="1138"/>
    </row>
    <row r="13623" spans="1:3">
      <c r="A13623" s="1133"/>
      <c r="B13623" s="1136"/>
      <c r="C13623" s="1138"/>
    </row>
    <row r="13624" spans="1:3">
      <c r="A13624" s="1133"/>
      <c r="B13624" s="1136"/>
      <c r="C13624" s="1138"/>
    </row>
    <row r="13625" spans="1:3">
      <c r="A13625" s="1133"/>
      <c r="B13625" s="1136"/>
      <c r="C13625" s="1138"/>
    </row>
    <row r="13626" spans="1:3">
      <c r="A13626" s="1133"/>
      <c r="B13626" s="1136"/>
      <c r="C13626" s="1138"/>
    </row>
    <row r="13627" spans="1:3">
      <c r="A13627" s="1133"/>
      <c r="B13627" s="1136"/>
      <c r="C13627" s="1138"/>
    </row>
    <row r="13628" spans="1:3">
      <c r="A13628" s="1133"/>
      <c r="B13628" s="1136"/>
      <c r="C13628" s="1138"/>
    </row>
    <row r="13629" spans="1:3">
      <c r="A13629" s="1133"/>
      <c r="B13629" s="1136"/>
      <c r="C13629" s="1138"/>
    </row>
    <row r="13630" spans="1:3">
      <c r="A13630" s="1133"/>
      <c r="B13630" s="1136"/>
      <c r="C13630" s="1138"/>
    </row>
    <row r="13631" spans="1:3">
      <c r="A13631" s="1133"/>
      <c r="B13631" s="1136"/>
      <c r="C13631" s="1138"/>
    </row>
    <row r="13632" spans="1:3">
      <c r="A13632" s="1133"/>
      <c r="B13632" s="1136"/>
      <c r="C13632" s="1138"/>
    </row>
    <row r="13633" spans="1:3">
      <c r="A13633" s="1133"/>
      <c r="B13633" s="1136"/>
      <c r="C13633" s="1138"/>
    </row>
    <row r="13634" spans="1:3">
      <c r="A13634" s="1133"/>
      <c r="B13634" s="1136"/>
      <c r="C13634" s="1138"/>
    </row>
    <row r="13635" spans="1:3">
      <c r="A13635" s="1133"/>
      <c r="B13635" s="1136"/>
      <c r="C13635" s="1138"/>
    </row>
    <row r="13636" spans="1:3">
      <c r="A13636" s="1133"/>
      <c r="B13636" s="1136"/>
      <c r="C13636" s="1138"/>
    </row>
    <row r="13637" spans="1:3">
      <c r="A13637" s="1133"/>
      <c r="B13637" s="1136"/>
      <c r="C13637" s="1138"/>
    </row>
    <row r="13638" spans="1:3">
      <c r="A13638" s="1133"/>
      <c r="B13638" s="1136"/>
      <c r="C13638" s="1138"/>
    </row>
    <row r="13639" spans="1:3">
      <c r="A13639" s="1133"/>
      <c r="B13639" s="1136"/>
      <c r="C13639" s="1138"/>
    </row>
    <row r="13640" spans="1:3">
      <c r="A13640" s="1133"/>
      <c r="B13640" s="1136"/>
      <c r="C13640" s="1138"/>
    </row>
    <row r="13641" spans="1:3">
      <c r="A13641" s="1133"/>
      <c r="B13641" s="1136"/>
      <c r="C13641" s="1138"/>
    </row>
    <row r="13642" spans="1:3">
      <c r="A13642" s="1133"/>
      <c r="B13642" s="1136"/>
      <c r="C13642" s="1138"/>
    </row>
    <row r="13643" spans="1:3">
      <c r="A13643" s="1133"/>
      <c r="B13643" s="1136"/>
      <c r="C13643" s="1138"/>
    </row>
    <row r="13644" spans="1:3">
      <c r="A13644" s="1133"/>
      <c r="B13644" s="1136"/>
      <c r="C13644" s="1138"/>
    </row>
    <row r="13645" spans="1:3">
      <c r="A13645" s="1133"/>
      <c r="B13645" s="1136"/>
      <c r="C13645" s="1138"/>
    </row>
    <row r="13646" spans="1:3">
      <c r="A13646" s="1133"/>
      <c r="B13646" s="1136"/>
      <c r="C13646" s="1138"/>
    </row>
    <row r="13647" spans="1:3">
      <c r="A13647" s="1133"/>
      <c r="B13647" s="1136"/>
      <c r="C13647" s="1138"/>
    </row>
    <row r="13648" spans="1:3">
      <c r="A13648" s="1133"/>
      <c r="B13648" s="1136"/>
      <c r="C13648" s="1138"/>
    </row>
    <row r="13649" spans="1:3">
      <c r="A13649" s="1133"/>
      <c r="B13649" s="1136"/>
      <c r="C13649" s="1138"/>
    </row>
    <row r="13650" spans="1:3">
      <c r="A13650" s="1133"/>
      <c r="B13650" s="1136"/>
      <c r="C13650" s="1138"/>
    </row>
    <row r="13651" spans="1:3">
      <c r="A13651" s="1133"/>
      <c r="B13651" s="1136"/>
      <c r="C13651" s="1138"/>
    </row>
    <row r="13652" spans="1:3">
      <c r="A13652" s="1133"/>
      <c r="B13652" s="1136"/>
      <c r="C13652" s="1138"/>
    </row>
    <row r="13653" spans="1:3">
      <c r="A13653" s="1133"/>
      <c r="B13653" s="1136"/>
      <c r="C13653" s="1138"/>
    </row>
    <row r="13654" spans="1:3">
      <c r="A13654" s="1133"/>
      <c r="B13654" s="1136"/>
      <c r="C13654" s="1138"/>
    </row>
    <row r="13655" spans="1:3">
      <c r="A13655" s="1133"/>
      <c r="B13655" s="1136"/>
      <c r="C13655" s="1138"/>
    </row>
    <row r="13656" spans="1:3">
      <c r="A13656" s="1133"/>
      <c r="B13656" s="1136"/>
      <c r="C13656" s="1138"/>
    </row>
    <row r="13657" spans="1:3">
      <c r="A13657" s="1133"/>
      <c r="B13657" s="1136"/>
      <c r="C13657" s="1138"/>
    </row>
    <row r="13658" spans="1:3">
      <c r="A13658" s="1133"/>
      <c r="B13658" s="1136"/>
      <c r="C13658" s="1138"/>
    </row>
    <row r="13659" spans="1:3">
      <c r="A13659" s="1133"/>
      <c r="B13659" s="1136"/>
      <c r="C13659" s="1138"/>
    </row>
    <row r="13660" spans="1:3">
      <c r="A13660" s="1133"/>
      <c r="B13660" s="1136"/>
      <c r="C13660" s="1138"/>
    </row>
    <row r="13661" spans="1:3">
      <c r="A13661" s="1133"/>
      <c r="B13661" s="1136"/>
      <c r="C13661" s="1138"/>
    </row>
    <row r="13662" spans="1:3">
      <c r="A13662" s="1133"/>
      <c r="B13662" s="1136"/>
      <c r="C13662" s="1138"/>
    </row>
    <row r="13663" spans="1:3">
      <c r="A13663" s="1133"/>
      <c r="B13663" s="1136"/>
      <c r="C13663" s="1138"/>
    </row>
    <row r="13664" spans="1:3">
      <c r="A13664" s="1133"/>
      <c r="B13664" s="1136"/>
      <c r="C13664" s="1138"/>
    </row>
    <row r="13665" spans="1:3">
      <c r="A13665" s="1133"/>
      <c r="B13665" s="1136"/>
      <c r="C13665" s="1138"/>
    </row>
    <row r="13666" spans="1:3">
      <c r="A13666" s="1133"/>
      <c r="B13666" s="1136"/>
      <c r="C13666" s="1138"/>
    </row>
    <row r="13667" spans="1:3">
      <c r="A13667" s="1133"/>
      <c r="B13667" s="1136"/>
      <c r="C13667" s="1138"/>
    </row>
    <row r="13668" spans="1:3">
      <c r="A13668" s="1133"/>
      <c r="B13668" s="1136"/>
      <c r="C13668" s="1138"/>
    </row>
    <row r="13669" spans="1:3">
      <c r="A13669" s="1133"/>
      <c r="B13669" s="1136"/>
      <c r="C13669" s="1138"/>
    </row>
    <row r="13670" spans="1:3">
      <c r="A13670" s="1133"/>
      <c r="B13670" s="1136"/>
      <c r="C13670" s="1138"/>
    </row>
    <row r="13671" spans="1:3">
      <c r="A13671" s="1133"/>
      <c r="B13671" s="1136"/>
      <c r="C13671" s="1138"/>
    </row>
    <row r="13672" spans="1:3">
      <c r="A13672" s="1133"/>
      <c r="B13672" s="1136"/>
      <c r="C13672" s="1138"/>
    </row>
    <row r="13673" spans="1:3">
      <c r="A13673" s="1133"/>
      <c r="B13673" s="1136"/>
      <c r="C13673" s="1138"/>
    </row>
    <row r="13674" spans="1:3">
      <c r="A13674" s="1133"/>
      <c r="B13674" s="1136"/>
      <c r="C13674" s="1138"/>
    </row>
    <row r="13675" spans="1:3">
      <c r="A13675" s="1133"/>
      <c r="B13675" s="1136"/>
      <c r="C13675" s="1138"/>
    </row>
    <row r="13676" spans="1:3">
      <c r="A13676" s="1133"/>
      <c r="B13676" s="1136"/>
      <c r="C13676" s="1138"/>
    </row>
    <row r="13677" spans="1:3">
      <c r="A13677" s="1133"/>
      <c r="B13677" s="1136"/>
      <c r="C13677" s="1138"/>
    </row>
    <row r="13678" spans="1:3">
      <c r="A13678" s="1133"/>
      <c r="B13678" s="1136"/>
      <c r="C13678" s="1138"/>
    </row>
    <row r="13679" spans="1:3">
      <c r="A13679" s="1133"/>
      <c r="B13679" s="1136"/>
      <c r="C13679" s="1138"/>
    </row>
    <row r="13680" spans="1:3">
      <c r="A13680" s="1133"/>
      <c r="B13680" s="1136"/>
      <c r="C13680" s="1138"/>
    </row>
    <row r="13681" spans="1:3">
      <c r="A13681" s="1133"/>
      <c r="B13681" s="1136"/>
      <c r="C13681" s="1138"/>
    </row>
    <row r="13682" spans="1:3">
      <c r="A13682" s="1133"/>
      <c r="B13682" s="1136"/>
      <c r="C13682" s="1138"/>
    </row>
    <row r="13683" spans="1:3">
      <c r="A13683" s="1133"/>
      <c r="B13683" s="1136"/>
      <c r="C13683" s="1138"/>
    </row>
    <row r="13684" spans="1:3">
      <c r="A13684" s="1133"/>
      <c r="B13684" s="1136"/>
      <c r="C13684" s="1138"/>
    </row>
    <row r="13685" spans="1:3">
      <c r="A13685" s="1133"/>
      <c r="B13685" s="1136"/>
      <c r="C13685" s="1138"/>
    </row>
    <row r="13686" spans="1:3">
      <c r="A13686" s="1133"/>
      <c r="B13686" s="1136"/>
      <c r="C13686" s="1138"/>
    </row>
    <row r="13687" spans="1:3">
      <c r="A13687" s="1133"/>
      <c r="B13687" s="1136"/>
      <c r="C13687" s="1138"/>
    </row>
    <row r="13688" spans="1:3">
      <c r="A13688" s="1133"/>
      <c r="B13688" s="1136"/>
      <c r="C13688" s="1138"/>
    </row>
    <row r="13689" spans="1:3">
      <c r="A13689" s="1133"/>
      <c r="B13689" s="1136"/>
      <c r="C13689" s="1138"/>
    </row>
    <row r="13690" spans="1:3">
      <c r="A13690" s="1133"/>
      <c r="B13690" s="1136"/>
      <c r="C13690" s="1138"/>
    </row>
    <row r="13691" spans="1:3">
      <c r="A13691" s="1133"/>
      <c r="B13691" s="1136"/>
      <c r="C13691" s="1138"/>
    </row>
    <row r="13692" spans="1:3">
      <c r="A13692" s="1133"/>
      <c r="B13692" s="1136"/>
      <c r="C13692" s="1138"/>
    </row>
    <row r="13693" spans="1:3">
      <c r="A13693" s="1133"/>
      <c r="B13693" s="1136"/>
      <c r="C13693" s="1138"/>
    </row>
    <row r="13694" spans="1:3">
      <c r="A13694" s="1133"/>
      <c r="B13694" s="1136"/>
      <c r="C13694" s="1138"/>
    </row>
    <row r="13695" spans="1:3">
      <c r="A13695" s="1133"/>
      <c r="B13695" s="1136"/>
      <c r="C13695" s="1138"/>
    </row>
    <row r="13696" spans="1:3">
      <c r="A13696" s="1133"/>
      <c r="B13696" s="1136"/>
      <c r="C13696" s="1138"/>
    </row>
    <row r="13697" spans="1:3">
      <c r="A13697" s="1133"/>
      <c r="B13697" s="1136"/>
      <c r="C13697" s="1138"/>
    </row>
    <row r="13698" spans="1:3">
      <c r="A13698" s="1133"/>
      <c r="B13698" s="1136"/>
      <c r="C13698" s="1138"/>
    </row>
    <row r="13699" spans="1:3">
      <c r="A13699" s="1133"/>
      <c r="B13699" s="1136"/>
      <c r="C13699" s="1138"/>
    </row>
    <row r="13700" spans="1:3">
      <c r="A13700" s="1133"/>
      <c r="B13700" s="1136"/>
      <c r="C13700" s="1138"/>
    </row>
    <row r="13701" spans="1:3">
      <c r="A13701" s="1133"/>
      <c r="B13701" s="1136"/>
      <c r="C13701" s="1138"/>
    </row>
    <row r="13702" spans="1:3">
      <c r="A13702" s="1133"/>
      <c r="B13702" s="1136"/>
      <c r="C13702" s="1138"/>
    </row>
    <row r="13703" spans="1:3">
      <c r="A13703" s="1133"/>
      <c r="B13703" s="1136"/>
      <c r="C13703" s="1138"/>
    </row>
    <row r="13704" spans="1:3">
      <c r="A13704" s="1133"/>
      <c r="B13704" s="1136"/>
      <c r="C13704" s="1138"/>
    </row>
    <row r="13705" spans="1:3">
      <c r="A13705" s="1133"/>
      <c r="B13705" s="1136"/>
      <c r="C13705" s="1138"/>
    </row>
    <row r="13706" spans="1:3">
      <c r="A13706" s="1133"/>
      <c r="B13706" s="1136"/>
      <c r="C13706" s="1138"/>
    </row>
    <row r="13707" spans="1:3">
      <c r="A13707" s="1133"/>
      <c r="B13707" s="1136"/>
      <c r="C13707" s="1138"/>
    </row>
    <row r="13708" spans="1:3">
      <c r="A13708" s="1133"/>
      <c r="B13708" s="1136"/>
      <c r="C13708" s="1138"/>
    </row>
    <row r="13709" spans="1:3">
      <c r="A13709" s="1133"/>
      <c r="B13709" s="1136"/>
      <c r="C13709" s="1138"/>
    </row>
    <row r="13710" spans="1:3">
      <c r="A13710" s="1133"/>
      <c r="B13710" s="1136"/>
      <c r="C13710" s="1138"/>
    </row>
    <row r="13711" spans="1:3">
      <c r="A13711" s="1133"/>
      <c r="B13711" s="1136"/>
      <c r="C13711" s="1138"/>
    </row>
    <row r="13712" spans="1:3">
      <c r="A13712" s="1133"/>
      <c r="B13712" s="1136"/>
      <c r="C13712" s="1138"/>
    </row>
    <row r="13713" spans="1:3">
      <c r="A13713" s="1133"/>
      <c r="B13713" s="1136"/>
      <c r="C13713" s="1138"/>
    </row>
    <row r="13714" spans="1:3">
      <c r="A13714" s="1133"/>
      <c r="B13714" s="1136"/>
      <c r="C13714" s="1138"/>
    </row>
    <row r="13715" spans="1:3">
      <c r="A13715" s="1133"/>
      <c r="B13715" s="1136"/>
      <c r="C13715" s="1138"/>
    </row>
    <row r="13716" spans="1:3">
      <c r="A13716" s="1133"/>
      <c r="B13716" s="1136"/>
      <c r="C13716" s="1138"/>
    </row>
    <row r="13717" spans="1:3">
      <c r="A13717" s="1133"/>
      <c r="B13717" s="1136"/>
      <c r="C13717" s="1138"/>
    </row>
    <row r="13718" spans="1:3">
      <c r="A13718" s="1133"/>
      <c r="B13718" s="1136"/>
      <c r="C13718" s="1138"/>
    </row>
    <row r="13719" spans="1:3">
      <c r="A13719" s="1133"/>
      <c r="B13719" s="1136"/>
      <c r="C13719" s="1138"/>
    </row>
    <row r="13720" spans="1:3">
      <c r="A13720" s="1133"/>
      <c r="B13720" s="1136"/>
      <c r="C13720" s="1138"/>
    </row>
    <row r="13721" spans="1:3">
      <c r="A13721" s="1133"/>
      <c r="B13721" s="1136"/>
      <c r="C13721" s="1138"/>
    </row>
    <row r="13722" spans="1:3">
      <c r="A13722" s="1133"/>
      <c r="B13722" s="1136"/>
      <c r="C13722" s="1138"/>
    </row>
    <row r="13723" spans="1:3">
      <c r="A13723" s="1133"/>
      <c r="B13723" s="1136"/>
      <c r="C13723" s="1138"/>
    </row>
    <row r="13724" spans="1:3">
      <c r="A13724" s="1133"/>
      <c r="B13724" s="1136"/>
      <c r="C13724" s="1138"/>
    </row>
    <row r="13725" spans="1:3">
      <c r="A13725" s="1133"/>
      <c r="B13725" s="1136"/>
      <c r="C13725" s="1138"/>
    </row>
    <row r="13726" spans="1:3">
      <c r="A13726" s="1133"/>
      <c r="B13726" s="1136"/>
      <c r="C13726" s="1138"/>
    </row>
    <row r="13727" spans="1:3">
      <c r="A13727" s="1133"/>
      <c r="B13727" s="1136"/>
      <c r="C13727" s="1138"/>
    </row>
    <row r="13728" spans="1:3">
      <c r="A13728" s="1133"/>
      <c r="B13728" s="1136"/>
      <c r="C13728" s="1138"/>
    </row>
    <row r="13729" spans="1:3">
      <c r="A13729" s="1133"/>
      <c r="B13729" s="1136"/>
      <c r="C13729" s="1138"/>
    </row>
    <row r="13730" spans="1:3">
      <c r="A13730" s="1133"/>
      <c r="B13730" s="1136"/>
      <c r="C13730" s="1138"/>
    </row>
    <row r="13731" spans="1:3">
      <c r="A13731" s="1133"/>
      <c r="B13731" s="1136"/>
      <c r="C13731" s="1138"/>
    </row>
    <row r="13732" spans="1:3">
      <c r="A13732" s="1133"/>
      <c r="B13732" s="1136"/>
      <c r="C13732" s="1138"/>
    </row>
    <row r="13733" spans="1:3">
      <c r="A13733" s="1133"/>
      <c r="B13733" s="1136"/>
      <c r="C13733" s="1138"/>
    </row>
    <row r="13734" spans="1:3">
      <c r="A13734" s="1133"/>
      <c r="B13734" s="1136"/>
      <c r="C13734" s="1138"/>
    </row>
    <row r="13735" spans="1:3">
      <c r="A13735" s="1133"/>
      <c r="B13735" s="1136"/>
      <c r="C13735" s="1138"/>
    </row>
    <row r="13736" spans="1:3">
      <c r="A13736" s="1133"/>
      <c r="B13736" s="1136"/>
      <c r="C13736" s="1138"/>
    </row>
    <row r="13737" spans="1:3">
      <c r="A13737" s="1133"/>
      <c r="B13737" s="1136"/>
      <c r="C13737" s="1138"/>
    </row>
    <row r="13738" spans="1:3">
      <c r="A13738" s="1133"/>
      <c r="B13738" s="1136"/>
      <c r="C13738" s="1138"/>
    </row>
    <row r="13739" spans="1:3">
      <c r="A13739" s="1133"/>
      <c r="B13739" s="1136"/>
      <c r="C13739" s="1138"/>
    </row>
    <row r="13740" spans="1:3">
      <c r="A13740" s="1133"/>
      <c r="B13740" s="1136"/>
      <c r="C13740" s="1138"/>
    </row>
    <row r="13741" spans="1:3">
      <c r="A13741" s="1133"/>
      <c r="B13741" s="1136"/>
      <c r="C13741" s="1138"/>
    </row>
    <row r="13742" spans="1:3">
      <c r="A13742" s="1133"/>
      <c r="B13742" s="1136"/>
      <c r="C13742" s="1138"/>
    </row>
    <row r="13743" spans="1:3">
      <c r="A13743" s="1133"/>
      <c r="B13743" s="1136"/>
      <c r="C13743" s="1138"/>
    </row>
    <row r="13744" spans="1:3">
      <c r="A13744" s="1133"/>
      <c r="B13744" s="1136"/>
      <c r="C13744" s="1138"/>
    </row>
    <row r="13745" spans="1:3">
      <c r="A13745" s="1133"/>
      <c r="B13745" s="1136"/>
      <c r="C13745" s="1138"/>
    </row>
    <row r="13746" spans="1:3">
      <c r="A13746" s="1133"/>
      <c r="B13746" s="1136"/>
      <c r="C13746" s="1138"/>
    </row>
    <row r="13747" spans="1:3">
      <c r="A13747" s="1133"/>
      <c r="B13747" s="1136"/>
      <c r="C13747" s="1138"/>
    </row>
    <row r="13748" spans="1:3">
      <c r="A13748" s="1133"/>
      <c r="B13748" s="1136"/>
      <c r="C13748" s="1138"/>
    </row>
    <row r="13749" spans="1:3">
      <c r="A13749" s="1133"/>
      <c r="B13749" s="1136"/>
      <c r="C13749" s="1138"/>
    </row>
    <row r="13750" spans="1:3">
      <c r="A13750" s="1133"/>
      <c r="B13750" s="1136"/>
      <c r="C13750" s="1138"/>
    </row>
    <row r="13751" spans="1:3">
      <c r="A13751" s="1133"/>
      <c r="B13751" s="1136"/>
      <c r="C13751" s="1138"/>
    </row>
    <row r="13752" spans="1:3">
      <c r="A13752" s="1133"/>
      <c r="B13752" s="1136"/>
      <c r="C13752" s="1138"/>
    </row>
    <row r="13753" spans="1:3">
      <c r="A13753" s="1133"/>
      <c r="B13753" s="1136"/>
      <c r="C13753" s="1138"/>
    </row>
    <row r="13754" spans="1:3">
      <c r="A13754" s="1133"/>
      <c r="B13754" s="1136"/>
      <c r="C13754" s="1138"/>
    </row>
    <row r="13755" spans="1:3">
      <c r="A13755" s="1133"/>
      <c r="B13755" s="1136"/>
      <c r="C13755" s="1138"/>
    </row>
    <row r="13756" spans="1:3">
      <c r="A13756" s="1133"/>
      <c r="B13756" s="1136"/>
      <c r="C13756" s="1138"/>
    </row>
    <row r="13757" spans="1:3">
      <c r="A13757" s="1133"/>
      <c r="B13757" s="1136"/>
      <c r="C13757" s="1138"/>
    </row>
    <row r="13758" spans="1:3">
      <c r="A13758" s="1133"/>
      <c r="B13758" s="1136"/>
      <c r="C13758" s="1138"/>
    </row>
    <row r="13759" spans="1:3">
      <c r="A13759" s="1133"/>
      <c r="B13759" s="1136"/>
      <c r="C13759" s="1138"/>
    </row>
    <row r="13760" spans="1:3">
      <c r="A13760" s="1133"/>
      <c r="B13760" s="1136"/>
      <c r="C13760" s="1138"/>
    </row>
    <row r="13761" spans="1:3">
      <c r="A13761" s="1133"/>
      <c r="B13761" s="1136"/>
      <c r="C13761" s="1138"/>
    </row>
    <row r="13762" spans="1:3">
      <c r="A13762" s="1133"/>
      <c r="B13762" s="1136"/>
      <c r="C13762" s="1138"/>
    </row>
    <row r="13763" spans="1:3">
      <c r="A13763" s="1133"/>
      <c r="B13763" s="1136"/>
      <c r="C13763" s="1138"/>
    </row>
    <row r="13764" spans="1:3">
      <c r="A13764" s="1133"/>
      <c r="B13764" s="1136"/>
      <c r="C13764" s="1138"/>
    </row>
    <row r="13765" spans="1:3">
      <c r="A13765" s="1133"/>
      <c r="B13765" s="1136"/>
      <c r="C13765" s="1138"/>
    </row>
    <row r="13766" spans="1:3">
      <c r="A13766" s="1133"/>
      <c r="B13766" s="1136"/>
      <c r="C13766" s="1138"/>
    </row>
    <row r="13767" spans="1:3">
      <c r="A13767" s="1133"/>
      <c r="B13767" s="1136"/>
      <c r="C13767" s="1138"/>
    </row>
    <row r="13768" spans="1:3">
      <c r="A13768" s="1133"/>
      <c r="B13768" s="1136"/>
      <c r="C13768" s="1138"/>
    </row>
    <row r="13769" spans="1:3">
      <c r="A13769" s="1133"/>
      <c r="B13769" s="1136"/>
      <c r="C13769" s="1138"/>
    </row>
    <row r="13770" spans="1:3">
      <c r="A13770" s="1133"/>
      <c r="B13770" s="1136"/>
      <c r="C13770" s="1138"/>
    </row>
    <row r="13771" spans="1:3">
      <c r="A13771" s="1133"/>
      <c r="B13771" s="1136"/>
      <c r="C13771" s="1138"/>
    </row>
    <row r="13772" spans="1:3">
      <c r="A13772" s="1133"/>
      <c r="B13772" s="1136"/>
      <c r="C13772" s="1138"/>
    </row>
    <row r="13773" spans="1:3">
      <c r="A13773" s="1133"/>
      <c r="B13773" s="1136"/>
      <c r="C13773" s="1138"/>
    </row>
    <row r="13774" spans="1:3">
      <c r="A13774" s="1133"/>
      <c r="B13774" s="1136"/>
      <c r="C13774" s="1138"/>
    </row>
    <row r="13775" spans="1:3">
      <c r="A13775" s="1133"/>
      <c r="B13775" s="1136"/>
      <c r="C13775" s="1138"/>
    </row>
    <row r="13776" spans="1:3">
      <c r="A13776" s="1133"/>
      <c r="B13776" s="1136"/>
      <c r="C13776" s="1138"/>
    </row>
    <row r="13777" spans="1:3">
      <c r="A13777" s="1133"/>
      <c r="B13777" s="1136"/>
      <c r="C13777" s="1138"/>
    </row>
    <row r="13778" spans="1:3">
      <c r="A13778" s="1133"/>
      <c r="B13778" s="1136"/>
      <c r="C13778" s="1138"/>
    </row>
    <row r="13779" spans="1:3">
      <c r="A13779" s="1133"/>
      <c r="B13779" s="1136"/>
      <c r="C13779" s="1138"/>
    </row>
    <row r="13780" spans="1:3">
      <c r="A13780" s="1133"/>
      <c r="B13780" s="1136"/>
      <c r="C13780" s="1138"/>
    </row>
    <row r="13781" spans="1:3">
      <c r="A13781" s="1133"/>
      <c r="B13781" s="1136"/>
      <c r="C13781" s="1138"/>
    </row>
    <row r="13782" spans="1:3">
      <c r="A13782" s="1133"/>
      <c r="B13782" s="1136"/>
      <c r="C13782" s="1138"/>
    </row>
    <row r="13783" spans="1:3">
      <c r="A13783" s="1133"/>
      <c r="B13783" s="1136"/>
      <c r="C13783" s="1138"/>
    </row>
    <row r="13784" spans="1:3">
      <c r="A13784" s="1133"/>
      <c r="B13784" s="1136"/>
      <c r="C13784" s="1138"/>
    </row>
    <row r="13785" spans="1:3">
      <c r="A13785" s="1133"/>
      <c r="B13785" s="1136"/>
      <c r="C13785" s="1138"/>
    </row>
    <row r="13786" spans="1:3">
      <c r="A13786" s="1133"/>
      <c r="B13786" s="1136"/>
      <c r="C13786" s="1138"/>
    </row>
    <row r="13787" spans="1:3">
      <c r="A13787" s="1133"/>
      <c r="B13787" s="1136"/>
      <c r="C13787" s="1138"/>
    </row>
    <row r="13788" spans="1:3">
      <c r="A13788" s="1133"/>
      <c r="B13788" s="1136"/>
      <c r="C13788" s="1138"/>
    </row>
    <row r="13789" spans="1:3">
      <c r="A13789" s="1133"/>
      <c r="B13789" s="1136"/>
      <c r="C13789" s="1138"/>
    </row>
    <row r="13790" spans="1:3">
      <c r="A13790" s="1133"/>
      <c r="B13790" s="1136"/>
      <c r="C13790" s="1138"/>
    </row>
    <row r="13791" spans="1:3">
      <c r="A13791" s="1133"/>
      <c r="B13791" s="1136"/>
      <c r="C13791" s="1138"/>
    </row>
    <row r="13792" spans="1:3">
      <c r="A13792" s="1133"/>
      <c r="B13792" s="1136"/>
      <c r="C13792" s="1138"/>
    </row>
    <row r="13793" spans="1:3">
      <c r="A13793" s="1133"/>
      <c r="B13793" s="1136"/>
      <c r="C13793" s="1138"/>
    </row>
    <row r="13794" spans="1:3">
      <c r="A13794" s="1133"/>
      <c r="B13794" s="1136"/>
      <c r="C13794" s="1138"/>
    </row>
    <row r="13795" spans="1:3">
      <c r="A13795" s="1133"/>
      <c r="B13795" s="1136"/>
      <c r="C13795" s="1138"/>
    </row>
    <row r="13796" spans="1:3">
      <c r="A13796" s="1133"/>
      <c r="B13796" s="1136"/>
      <c r="C13796" s="1138"/>
    </row>
    <row r="13797" spans="1:3">
      <c r="A13797" s="1133"/>
      <c r="B13797" s="1136"/>
      <c r="C13797" s="1138"/>
    </row>
    <row r="13798" spans="1:3">
      <c r="A13798" s="1133"/>
      <c r="B13798" s="1136"/>
      <c r="C13798" s="1138"/>
    </row>
    <row r="13799" spans="1:3">
      <c r="A13799" s="1133"/>
      <c r="B13799" s="1136"/>
      <c r="C13799" s="1138"/>
    </row>
    <row r="13800" spans="1:3">
      <c r="A13800" s="1133"/>
      <c r="B13800" s="1136"/>
      <c r="C13800" s="1138"/>
    </row>
    <row r="13801" spans="1:3">
      <c r="A13801" s="1133"/>
      <c r="B13801" s="1136"/>
      <c r="C13801" s="1138"/>
    </row>
    <row r="13802" spans="1:3">
      <c r="A13802" s="1133"/>
      <c r="B13802" s="1136"/>
      <c r="C13802" s="1138"/>
    </row>
    <row r="13803" spans="1:3">
      <c r="A13803" s="1133"/>
      <c r="B13803" s="1136"/>
      <c r="C13803" s="1138"/>
    </row>
    <row r="13804" spans="1:3">
      <c r="A13804" s="1133"/>
      <c r="B13804" s="1136"/>
      <c r="C13804" s="1138"/>
    </row>
    <row r="13805" spans="1:3">
      <c r="A13805" s="1133"/>
      <c r="B13805" s="1136"/>
      <c r="C13805" s="1138"/>
    </row>
    <row r="13806" spans="1:3">
      <c r="A13806" s="1133"/>
      <c r="B13806" s="1136"/>
      <c r="C13806" s="1138"/>
    </row>
    <row r="13807" spans="1:3">
      <c r="A13807" s="1133"/>
      <c r="B13807" s="1136"/>
      <c r="C13807" s="1138"/>
    </row>
    <row r="13808" spans="1:3">
      <c r="A13808" s="1133"/>
      <c r="B13808" s="1136"/>
      <c r="C13808" s="1138"/>
    </row>
    <row r="13809" spans="1:3">
      <c r="A13809" s="1133"/>
      <c r="B13809" s="1136"/>
      <c r="C13809" s="1138"/>
    </row>
    <row r="13810" spans="1:3">
      <c r="A13810" s="1133"/>
      <c r="B13810" s="1136"/>
      <c r="C13810" s="1138"/>
    </row>
    <row r="13811" spans="1:3">
      <c r="A13811" s="1133"/>
      <c r="B13811" s="1136"/>
      <c r="C13811" s="1138"/>
    </row>
    <row r="13812" spans="1:3">
      <c r="A13812" s="1133"/>
      <c r="B13812" s="1136"/>
      <c r="C13812" s="1138"/>
    </row>
    <row r="13813" spans="1:3">
      <c r="A13813" s="1133"/>
      <c r="B13813" s="1136"/>
      <c r="C13813" s="1138"/>
    </row>
    <row r="13814" spans="1:3">
      <c r="A13814" s="1133"/>
      <c r="B13814" s="1136"/>
      <c r="C13814" s="1138"/>
    </row>
    <row r="13815" spans="1:3">
      <c r="A13815" s="1133"/>
      <c r="B13815" s="1136"/>
      <c r="C13815" s="1138"/>
    </row>
    <row r="13816" spans="1:3">
      <c r="A13816" s="1133"/>
      <c r="B13816" s="1136"/>
      <c r="C13816" s="1138"/>
    </row>
    <row r="13817" spans="1:3">
      <c r="A13817" s="1133"/>
      <c r="B13817" s="1136"/>
      <c r="C13817" s="1138"/>
    </row>
    <row r="13818" spans="1:3">
      <c r="A13818" s="1133"/>
      <c r="B13818" s="1136"/>
      <c r="C13818" s="1138"/>
    </row>
    <row r="13819" spans="1:3">
      <c r="A13819" s="1133"/>
      <c r="B13819" s="1136"/>
      <c r="C13819" s="1138"/>
    </row>
    <row r="13820" spans="1:3">
      <c r="A13820" s="1133"/>
      <c r="B13820" s="1136"/>
      <c r="C13820" s="1138"/>
    </row>
    <row r="13821" spans="1:3">
      <c r="A13821" s="1133"/>
      <c r="B13821" s="1136"/>
      <c r="C13821" s="1138"/>
    </row>
    <row r="13822" spans="1:3">
      <c r="A13822" s="1133"/>
      <c r="B13822" s="1136"/>
      <c r="C13822" s="1138"/>
    </row>
    <row r="13823" spans="1:3">
      <c r="A13823" s="1133"/>
      <c r="B13823" s="1136"/>
      <c r="C13823" s="1138"/>
    </row>
    <row r="13824" spans="1:3">
      <c r="A13824" s="1133"/>
      <c r="B13824" s="1136"/>
      <c r="C13824" s="1138"/>
    </row>
    <row r="13825" spans="1:3">
      <c r="A13825" s="1133"/>
      <c r="B13825" s="1136"/>
      <c r="C13825" s="1138"/>
    </row>
    <row r="13826" spans="1:3">
      <c r="A13826" s="1133"/>
      <c r="B13826" s="1136"/>
      <c r="C13826" s="1138"/>
    </row>
    <row r="13827" spans="1:3">
      <c r="A13827" s="1133"/>
      <c r="B13827" s="1136"/>
      <c r="C13827" s="1138"/>
    </row>
    <row r="13828" spans="1:3">
      <c r="A13828" s="1133"/>
      <c r="B13828" s="1136"/>
      <c r="C13828" s="1138"/>
    </row>
    <row r="13829" spans="1:3">
      <c r="A13829" s="1133"/>
      <c r="B13829" s="1136"/>
      <c r="C13829" s="1138"/>
    </row>
    <row r="13830" spans="1:3">
      <c r="A13830" s="1133"/>
      <c r="B13830" s="1136"/>
      <c r="C13830" s="1138"/>
    </row>
    <row r="13831" spans="1:3">
      <c r="A13831" s="1133"/>
      <c r="B13831" s="1136"/>
      <c r="C13831" s="1138"/>
    </row>
    <row r="13832" spans="1:3">
      <c r="A13832" s="1133"/>
      <c r="B13832" s="1136"/>
      <c r="C13832" s="1138"/>
    </row>
    <row r="13833" spans="1:3">
      <c r="A13833" s="1133"/>
      <c r="B13833" s="1136"/>
      <c r="C13833" s="1138"/>
    </row>
    <row r="13834" spans="1:3">
      <c r="A13834" s="1133"/>
      <c r="B13834" s="1136"/>
      <c r="C13834" s="1138"/>
    </row>
    <row r="13835" spans="1:3">
      <c r="A13835" s="1133"/>
      <c r="B13835" s="1136"/>
      <c r="C13835" s="1138"/>
    </row>
    <row r="13836" spans="1:3">
      <c r="A13836" s="1133"/>
      <c r="B13836" s="1136"/>
      <c r="C13836" s="1138"/>
    </row>
    <row r="13837" spans="1:3">
      <c r="A13837" s="1133"/>
      <c r="B13837" s="1136"/>
      <c r="C13837" s="1138"/>
    </row>
    <row r="13838" spans="1:3">
      <c r="A13838" s="1133"/>
      <c r="B13838" s="1136"/>
      <c r="C13838" s="1138"/>
    </row>
    <row r="13839" spans="1:3">
      <c r="A13839" s="1133"/>
      <c r="B13839" s="1136"/>
      <c r="C13839" s="1138"/>
    </row>
    <row r="13840" spans="1:3">
      <c r="A13840" s="1133"/>
      <c r="B13840" s="1136"/>
      <c r="C13840" s="1138"/>
    </row>
    <row r="13841" spans="1:3">
      <c r="A13841" s="1133"/>
      <c r="B13841" s="1136"/>
      <c r="C13841" s="1138"/>
    </row>
    <row r="13842" spans="1:3">
      <c r="A13842" s="1133"/>
      <c r="B13842" s="1136"/>
      <c r="C13842" s="1138"/>
    </row>
    <row r="13843" spans="1:3">
      <c r="A13843" s="1133"/>
      <c r="B13843" s="1136"/>
      <c r="C13843" s="1138"/>
    </row>
    <row r="13844" spans="1:3">
      <c r="A13844" s="1133"/>
      <c r="B13844" s="1136"/>
      <c r="C13844" s="1138"/>
    </row>
    <row r="13845" spans="1:3">
      <c r="A13845" s="1133"/>
      <c r="B13845" s="1136"/>
      <c r="C13845" s="1138"/>
    </row>
    <row r="13846" spans="1:3">
      <c r="A13846" s="1133"/>
      <c r="B13846" s="1136"/>
      <c r="C13846" s="1138"/>
    </row>
    <row r="13847" spans="1:3">
      <c r="A13847" s="1133"/>
      <c r="B13847" s="1136"/>
      <c r="C13847" s="1138"/>
    </row>
    <row r="13848" spans="1:3">
      <c r="A13848" s="1133"/>
      <c r="B13848" s="1136"/>
      <c r="C13848" s="1138"/>
    </row>
    <row r="13849" spans="1:3">
      <c r="A13849" s="1133"/>
      <c r="B13849" s="1136"/>
      <c r="C13849" s="1138"/>
    </row>
    <row r="13850" spans="1:3">
      <c r="A13850" s="1133"/>
      <c r="B13850" s="1136"/>
      <c r="C13850" s="1138"/>
    </row>
    <row r="13851" spans="1:3">
      <c r="A13851" s="1133"/>
      <c r="B13851" s="1136"/>
      <c r="C13851" s="1138"/>
    </row>
    <row r="13852" spans="1:3">
      <c r="A13852" s="1133"/>
      <c r="B13852" s="1136"/>
      <c r="C13852" s="1138"/>
    </row>
    <row r="13853" spans="1:3">
      <c r="A13853" s="1133"/>
      <c r="B13853" s="1136"/>
      <c r="C13853" s="1138"/>
    </row>
    <row r="13854" spans="1:3">
      <c r="A13854" s="1133"/>
      <c r="B13854" s="1136"/>
      <c r="C13854" s="1138"/>
    </row>
    <row r="13855" spans="1:3">
      <c r="A13855" s="1133"/>
      <c r="B13855" s="1136"/>
      <c r="C13855" s="1138"/>
    </row>
    <row r="13856" spans="1:3">
      <c r="A13856" s="1133"/>
      <c r="B13856" s="1136"/>
      <c r="C13856" s="1138"/>
    </row>
    <row r="13857" spans="1:3">
      <c r="A13857" s="1133"/>
      <c r="B13857" s="1136"/>
      <c r="C13857" s="1138"/>
    </row>
    <row r="13858" spans="1:3">
      <c r="A13858" s="1133"/>
      <c r="B13858" s="1136"/>
      <c r="C13858" s="1138"/>
    </row>
    <row r="13859" spans="1:3">
      <c r="A13859" s="1133"/>
      <c r="B13859" s="1136"/>
      <c r="C13859" s="1138"/>
    </row>
    <row r="13860" spans="1:3">
      <c r="A13860" s="1133"/>
      <c r="B13860" s="1136"/>
      <c r="C13860" s="1138"/>
    </row>
    <row r="13861" spans="1:3">
      <c r="A13861" s="1133"/>
      <c r="B13861" s="1136"/>
      <c r="C13861" s="1138"/>
    </row>
    <row r="13862" spans="1:3">
      <c r="A13862" s="1133"/>
      <c r="B13862" s="1136"/>
      <c r="C13862" s="1138"/>
    </row>
    <row r="13863" spans="1:3">
      <c r="A13863" s="1133"/>
      <c r="B13863" s="1136"/>
      <c r="C13863" s="1138"/>
    </row>
    <row r="13864" spans="1:3">
      <c r="A13864" s="1133"/>
      <c r="B13864" s="1136"/>
      <c r="C13864" s="1138"/>
    </row>
    <row r="13865" spans="1:3">
      <c r="A13865" s="1133"/>
      <c r="B13865" s="1136"/>
      <c r="C13865" s="1138"/>
    </row>
    <row r="13866" spans="1:3">
      <c r="A13866" s="1133"/>
      <c r="B13866" s="1136"/>
      <c r="C13866" s="1138"/>
    </row>
    <row r="13867" spans="1:3">
      <c r="A13867" s="1133"/>
      <c r="B13867" s="1136"/>
      <c r="C13867" s="1138"/>
    </row>
    <row r="13868" spans="1:3">
      <c r="A13868" s="1133"/>
      <c r="B13868" s="1136"/>
      <c r="C13868" s="1138"/>
    </row>
    <row r="13869" spans="1:3">
      <c r="A13869" s="1133"/>
      <c r="B13869" s="1136"/>
      <c r="C13869" s="1138"/>
    </row>
    <row r="13870" spans="1:3">
      <c r="A13870" s="1133"/>
      <c r="B13870" s="1136"/>
      <c r="C13870" s="1138"/>
    </row>
    <row r="13871" spans="1:3">
      <c r="A13871" s="1133"/>
      <c r="B13871" s="1136"/>
      <c r="C13871" s="1138"/>
    </row>
    <row r="13872" spans="1:3">
      <c r="A13872" s="1133"/>
      <c r="B13872" s="1136"/>
      <c r="C13872" s="1138"/>
    </row>
    <row r="13873" spans="1:3">
      <c r="A13873" s="1133"/>
      <c r="B13873" s="1136"/>
      <c r="C13873" s="1138"/>
    </row>
    <row r="13874" spans="1:3">
      <c r="A13874" s="1133"/>
      <c r="B13874" s="1136"/>
      <c r="C13874" s="1138"/>
    </row>
    <row r="13875" spans="1:3">
      <c r="A13875" s="1133"/>
      <c r="B13875" s="1136"/>
      <c r="C13875" s="1138"/>
    </row>
    <row r="13876" spans="1:3">
      <c r="A13876" s="1133"/>
      <c r="B13876" s="1136"/>
      <c r="C13876" s="1138"/>
    </row>
    <row r="13877" spans="1:3">
      <c r="A13877" s="1133"/>
      <c r="B13877" s="1136"/>
      <c r="C13877" s="1138"/>
    </row>
    <row r="13878" spans="1:3">
      <c r="A13878" s="1133"/>
      <c r="B13878" s="1136"/>
      <c r="C13878" s="1138"/>
    </row>
    <row r="13879" spans="1:3">
      <c r="A13879" s="1133"/>
      <c r="B13879" s="1136"/>
      <c r="C13879" s="1138"/>
    </row>
    <row r="13880" spans="1:3">
      <c r="A13880" s="1133"/>
      <c r="B13880" s="1136"/>
      <c r="C13880" s="1138"/>
    </row>
    <row r="13881" spans="1:3">
      <c r="A13881" s="1133"/>
      <c r="B13881" s="1136"/>
      <c r="C13881" s="1138"/>
    </row>
    <row r="13882" spans="1:3">
      <c r="A13882" s="1133"/>
      <c r="B13882" s="1136"/>
      <c r="C13882" s="1138"/>
    </row>
    <row r="13883" spans="1:3">
      <c r="A13883" s="1133"/>
      <c r="B13883" s="1136"/>
      <c r="C13883" s="1138"/>
    </row>
    <row r="13884" spans="1:3">
      <c r="A13884" s="1133"/>
      <c r="B13884" s="1136"/>
      <c r="C13884" s="1138"/>
    </row>
    <row r="13885" spans="1:3">
      <c r="A13885" s="1133"/>
      <c r="B13885" s="1136"/>
      <c r="C13885" s="1138"/>
    </row>
    <row r="13886" spans="1:3">
      <c r="A13886" s="1133"/>
      <c r="B13886" s="1136"/>
      <c r="C13886" s="1138"/>
    </row>
    <row r="13887" spans="1:3">
      <c r="A13887" s="1133"/>
      <c r="B13887" s="1136"/>
      <c r="C13887" s="1138"/>
    </row>
    <row r="13888" spans="1:3">
      <c r="A13888" s="1133"/>
      <c r="B13888" s="1136"/>
      <c r="C13888" s="1138"/>
    </row>
    <row r="13889" spans="1:3">
      <c r="A13889" s="1133"/>
      <c r="B13889" s="1136"/>
      <c r="C13889" s="1138"/>
    </row>
    <row r="13890" spans="1:3">
      <c r="A13890" s="1133"/>
      <c r="B13890" s="1136"/>
      <c r="C13890" s="1138"/>
    </row>
    <row r="13891" spans="1:3">
      <c r="A13891" s="1133"/>
      <c r="B13891" s="1136"/>
      <c r="C13891" s="1138"/>
    </row>
    <row r="13892" spans="1:3">
      <c r="A13892" s="1133"/>
      <c r="B13892" s="1136"/>
      <c r="C13892" s="1138"/>
    </row>
    <row r="13893" spans="1:3">
      <c r="A13893" s="1133"/>
      <c r="B13893" s="1136"/>
      <c r="C13893" s="1138"/>
    </row>
    <row r="13894" spans="1:3">
      <c r="A13894" s="1133"/>
      <c r="B13894" s="1136"/>
      <c r="C13894" s="1138"/>
    </row>
    <row r="13895" spans="1:3">
      <c r="A13895" s="1133"/>
      <c r="B13895" s="1136"/>
      <c r="C13895" s="1138"/>
    </row>
    <row r="13896" spans="1:3">
      <c r="A13896" s="1133"/>
      <c r="B13896" s="1136"/>
      <c r="C13896" s="1138"/>
    </row>
    <row r="13897" spans="1:3">
      <c r="A13897" s="1133"/>
      <c r="B13897" s="1136"/>
      <c r="C13897" s="1138"/>
    </row>
    <row r="13898" spans="1:3">
      <c r="A13898" s="1133"/>
      <c r="B13898" s="1136"/>
      <c r="C13898" s="1138"/>
    </row>
    <row r="13899" spans="1:3">
      <c r="A13899" s="1133"/>
      <c r="B13899" s="1136"/>
      <c r="C13899" s="1138"/>
    </row>
    <row r="13900" spans="1:3">
      <c r="A13900" s="1133"/>
      <c r="B13900" s="1136"/>
      <c r="C13900" s="1138"/>
    </row>
    <row r="13901" spans="1:3">
      <c r="A13901" s="1133"/>
      <c r="B13901" s="1136"/>
      <c r="C13901" s="1138"/>
    </row>
    <row r="13902" spans="1:3">
      <c r="A13902" s="1133"/>
      <c r="B13902" s="1136"/>
      <c r="C13902" s="1138"/>
    </row>
    <row r="13903" spans="1:3">
      <c r="A13903" s="1133"/>
      <c r="B13903" s="1136"/>
      <c r="C13903" s="1138"/>
    </row>
    <row r="13904" spans="1:3">
      <c r="A13904" s="1133"/>
      <c r="B13904" s="1136"/>
      <c r="C13904" s="1138"/>
    </row>
    <row r="13905" spans="1:3">
      <c r="A13905" s="1133"/>
      <c r="B13905" s="1136"/>
      <c r="C13905" s="1138"/>
    </row>
    <row r="13906" spans="1:3">
      <c r="A13906" s="1133"/>
      <c r="B13906" s="1136"/>
      <c r="C13906" s="1138"/>
    </row>
    <row r="13907" spans="1:3">
      <c r="A13907" s="1133"/>
      <c r="B13907" s="1136"/>
      <c r="C13907" s="1138"/>
    </row>
    <row r="13908" spans="1:3">
      <c r="A13908" s="1133"/>
      <c r="B13908" s="1136"/>
      <c r="C13908" s="1138"/>
    </row>
    <row r="13909" spans="1:3">
      <c r="A13909" s="1133"/>
      <c r="B13909" s="1136"/>
      <c r="C13909" s="1138"/>
    </row>
    <row r="13910" spans="1:3">
      <c r="A13910" s="1133"/>
      <c r="B13910" s="1136"/>
      <c r="C13910" s="1138"/>
    </row>
    <row r="13911" spans="1:3">
      <c r="A13911" s="1133"/>
      <c r="B13911" s="1136"/>
      <c r="C13911" s="1138"/>
    </row>
    <row r="13912" spans="1:3">
      <c r="A13912" s="1133"/>
      <c r="B13912" s="1136"/>
      <c r="C13912" s="1138"/>
    </row>
    <row r="13913" spans="1:3">
      <c r="A13913" s="1133"/>
      <c r="B13913" s="1136"/>
      <c r="C13913" s="1138"/>
    </row>
    <row r="13914" spans="1:3">
      <c r="A13914" s="1133"/>
      <c r="B13914" s="1136"/>
      <c r="C13914" s="1138"/>
    </row>
    <row r="13915" spans="1:3">
      <c r="A13915" s="1133"/>
      <c r="B13915" s="1136"/>
      <c r="C13915" s="1138"/>
    </row>
    <row r="13916" spans="1:3">
      <c r="A13916" s="1133"/>
      <c r="B13916" s="1136"/>
      <c r="C13916" s="1138"/>
    </row>
    <row r="13917" spans="1:3">
      <c r="A13917" s="1133"/>
      <c r="B13917" s="1136"/>
      <c r="C13917" s="1138"/>
    </row>
    <row r="13918" spans="1:3">
      <c r="A13918" s="1133"/>
      <c r="B13918" s="1136"/>
      <c r="C13918" s="1138"/>
    </row>
    <row r="13919" spans="1:3">
      <c r="A13919" s="1133"/>
      <c r="B13919" s="1136"/>
      <c r="C13919" s="1138"/>
    </row>
    <row r="13920" spans="1:3">
      <c r="A13920" s="1133"/>
      <c r="B13920" s="1136"/>
      <c r="C13920" s="1138"/>
    </row>
    <row r="13921" spans="1:3">
      <c r="A13921" s="1133"/>
      <c r="B13921" s="1136"/>
      <c r="C13921" s="1138"/>
    </row>
    <row r="13922" spans="1:3">
      <c r="A13922" s="1133"/>
      <c r="B13922" s="1136"/>
      <c r="C13922" s="1138"/>
    </row>
    <row r="13923" spans="1:3">
      <c r="A13923" s="1133"/>
      <c r="B13923" s="1136"/>
      <c r="C13923" s="1138"/>
    </row>
    <row r="13924" spans="1:3">
      <c r="A13924" s="1133"/>
      <c r="B13924" s="1136"/>
      <c r="C13924" s="1138"/>
    </row>
    <row r="13925" spans="1:3">
      <c r="A13925" s="1133"/>
      <c r="B13925" s="1136"/>
      <c r="C13925" s="1138"/>
    </row>
    <row r="13926" spans="1:3">
      <c r="A13926" s="1133"/>
      <c r="B13926" s="1136"/>
      <c r="C13926" s="1138"/>
    </row>
    <row r="13927" spans="1:3">
      <c r="A13927" s="1133"/>
      <c r="B13927" s="1136"/>
      <c r="C13927" s="1138"/>
    </row>
    <row r="13928" spans="1:3">
      <c r="A13928" s="1133"/>
      <c r="B13928" s="1136"/>
      <c r="C13928" s="1138"/>
    </row>
    <row r="13929" spans="1:3">
      <c r="A13929" s="1133"/>
      <c r="B13929" s="1136"/>
      <c r="C13929" s="1138"/>
    </row>
    <row r="13930" spans="1:3">
      <c r="A13930" s="1133"/>
      <c r="B13930" s="1136"/>
      <c r="C13930" s="1138"/>
    </row>
    <row r="13931" spans="1:3">
      <c r="A13931" s="1133"/>
      <c r="B13931" s="1136"/>
      <c r="C13931" s="1138"/>
    </row>
    <row r="13932" spans="1:3">
      <c r="A13932" s="1133"/>
      <c r="B13932" s="1136"/>
      <c r="C13932" s="1138"/>
    </row>
    <row r="13933" spans="1:3">
      <c r="A13933" s="1133"/>
      <c r="B13933" s="1136"/>
      <c r="C13933" s="1138"/>
    </row>
    <row r="13934" spans="1:3">
      <c r="A13934" s="1133"/>
      <c r="B13934" s="1136"/>
      <c r="C13934" s="1138"/>
    </row>
    <row r="13935" spans="1:3">
      <c r="A13935" s="1133"/>
      <c r="B13935" s="1136"/>
      <c r="C13935" s="1138"/>
    </row>
    <row r="13936" spans="1:3">
      <c r="A13936" s="1133"/>
      <c r="B13936" s="1136"/>
      <c r="C13936" s="1138"/>
    </row>
    <row r="13937" spans="1:3">
      <c r="A13937" s="1133"/>
      <c r="B13937" s="1136"/>
      <c r="C13937" s="1138"/>
    </row>
    <row r="13938" spans="1:3">
      <c r="A13938" s="1133"/>
      <c r="B13938" s="1136"/>
      <c r="C13938" s="1138"/>
    </row>
    <row r="13939" spans="1:3">
      <c r="A13939" s="1133"/>
      <c r="B13939" s="1136"/>
      <c r="C13939" s="1138"/>
    </row>
    <row r="13940" spans="1:3">
      <c r="A13940" s="1133"/>
      <c r="B13940" s="1136"/>
      <c r="C13940" s="1138"/>
    </row>
    <row r="13941" spans="1:3">
      <c r="A13941" s="1133"/>
      <c r="B13941" s="1136"/>
      <c r="C13941" s="1138"/>
    </row>
    <row r="13942" spans="1:3">
      <c r="A13942" s="1133"/>
      <c r="B13942" s="1136"/>
      <c r="C13942" s="1138"/>
    </row>
    <row r="13943" spans="1:3">
      <c r="A13943" s="1133"/>
      <c r="B13943" s="1136"/>
      <c r="C13943" s="1138"/>
    </row>
    <row r="13944" spans="1:3">
      <c r="A13944" s="1133"/>
      <c r="B13944" s="1136"/>
      <c r="C13944" s="1138"/>
    </row>
    <row r="13945" spans="1:3">
      <c r="A13945" s="1133"/>
      <c r="B13945" s="1136"/>
      <c r="C13945" s="1138"/>
    </row>
    <row r="13946" spans="1:3">
      <c r="A13946" s="1133"/>
      <c r="B13946" s="1136"/>
      <c r="C13946" s="1138"/>
    </row>
    <row r="13947" spans="1:3">
      <c r="A13947" s="1133"/>
      <c r="B13947" s="1136"/>
      <c r="C13947" s="1138"/>
    </row>
    <row r="13948" spans="1:3">
      <c r="A13948" s="1133"/>
      <c r="B13948" s="1136"/>
      <c r="C13948" s="1138"/>
    </row>
    <row r="13949" spans="1:3">
      <c r="A13949" s="1133"/>
      <c r="B13949" s="1136"/>
      <c r="C13949" s="1138"/>
    </row>
    <row r="13950" spans="1:3">
      <c r="A13950" s="1133"/>
      <c r="B13950" s="1136"/>
      <c r="C13950" s="1138"/>
    </row>
    <row r="13951" spans="1:3">
      <c r="A13951" s="1133"/>
      <c r="B13951" s="1136"/>
      <c r="C13951" s="1138"/>
    </row>
    <row r="13952" spans="1:3">
      <c r="A13952" s="1133"/>
      <c r="B13952" s="1136"/>
      <c r="C13952" s="1138"/>
    </row>
    <row r="13953" spans="1:3">
      <c r="A13953" s="1133"/>
      <c r="B13953" s="1136"/>
      <c r="C13953" s="1138"/>
    </row>
    <row r="13954" spans="1:3">
      <c r="A13954" s="1133"/>
      <c r="B13954" s="1136"/>
      <c r="C13954" s="1138"/>
    </row>
    <row r="13955" spans="1:3">
      <c r="A13955" s="1133"/>
      <c r="B13955" s="1136"/>
      <c r="C13955" s="1138"/>
    </row>
    <row r="13956" spans="1:3">
      <c r="A13956" s="1133"/>
      <c r="B13956" s="1136"/>
      <c r="C13956" s="1138"/>
    </row>
    <row r="13957" spans="1:3">
      <c r="A13957" s="1133"/>
      <c r="B13957" s="1136"/>
      <c r="C13957" s="1138"/>
    </row>
    <row r="13958" spans="1:3">
      <c r="A13958" s="1133"/>
      <c r="B13958" s="1136"/>
      <c r="C13958" s="1138"/>
    </row>
    <row r="13959" spans="1:3">
      <c r="A13959" s="1133"/>
      <c r="B13959" s="1136"/>
      <c r="C13959" s="1138"/>
    </row>
    <row r="13960" spans="1:3">
      <c r="A13960" s="1133"/>
      <c r="B13960" s="1136"/>
      <c r="C13960" s="1138"/>
    </row>
    <row r="13961" spans="1:3">
      <c r="A13961" s="1133"/>
      <c r="B13961" s="1136"/>
      <c r="C13961" s="1138"/>
    </row>
    <row r="13962" spans="1:3">
      <c r="A13962" s="1133"/>
      <c r="B13962" s="1136"/>
      <c r="C13962" s="1138"/>
    </row>
    <row r="13963" spans="1:3">
      <c r="A13963" s="1133"/>
      <c r="B13963" s="1136"/>
      <c r="C13963" s="1138"/>
    </row>
    <row r="13964" spans="1:3">
      <c r="A13964" s="1133"/>
      <c r="B13964" s="1136"/>
      <c r="C13964" s="1138"/>
    </row>
    <row r="13965" spans="1:3">
      <c r="A13965" s="1133"/>
      <c r="B13965" s="1136"/>
      <c r="C13965" s="1138"/>
    </row>
    <row r="13966" spans="1:3">
      <c r="A13966" s="1133"/>
      <c r="B13966" s="1136"/>
      <c r="C13966" s="1138"/>
    </row>
    <row r="13967" spans="1:3">
      <c r="A13967" s="1133"/>
      <c r="B13967" s="1136"/>
      <c r="C13967" s="1138"/>
    </row>
    <row r="13968" spans="1:3">
      <c r="A13968" s="1133"/>
      <c r="B13968" s="1136"/>
      <c r="C13968" s="1138"/>
    </row>
    <row r="13969" spans="1:3">
      <c r="A13969" s="1133"/>
      <c r="B13969" s="1136"/>
      <c r="C13969" s="1138"/>
    </row>
    <row r="13970" spans="1:3">
      <c r="A13970" s="1133"/>
      <c r="B13970" s="1136"/>
      <c r="C13970" s="1138"/>
    </row>
    <row r="13971" spans="1:3">
      <c r="A13971" s="1133"/>
      <c r="B13971" s="1136"/>
      <c r="C13971" s="1138"/>
    </row>
    <row r="13972" spans="1:3">
      <c r="A13972" s="1133"/>
      <c r="B13972" s="1136"/>
      <c r="C13972" s="1138"/>
    </row>
    <row r="13973" spans="1:3">
      <c r="A13973" s="1133"/>
      <c r="B13973" s="1136"/>
      <c r="C13973" s="1138"/>
    </row>
    <row r="13974" spans="1:3">
      <c r="A13974" s="1133"/>
      <c r="B13974" s="1136"/>
      <c r="C13974" s="1138"/>
    </row>
    <row r="13975" spans="1:3">
      <c r="A13975" s="1133"/>
      <c r="B13975" s="1136"/>
      <c r="C13975" s="1138"/>
    </row>
    <row r="13976" spans="1:3">
      <c r="A13976" s="1133"/>
      <c r="B13976" s="1136"/>
      <c r="C13976" s="1138"/>
    </row>
    <row r="13977" spans="1:3">
      <c r="A13977" s="1133"/>
      <c r="B13977" s="1136"/>
      <c r="C13977" s="1138"/>
    </row>
    <row r="13978" spans="1:3">
      <c r="A13978" s="1133"/>
      <c r="B13978" s="1136"/>
      <c r="C13978" s="1138"/>
    </row>
    <row r="13979" spans="1:3">
      <c r="A13979" s="1133"/>
      <c r="B13979" s="1136"/>
      <c r="C13979" s="1138"/>
    </row>
    <row r="13980" spans="1:3">
      <c r="A13980" s="1133"/>
      <c r="B13980" s="1136"/>
      <c r="C13980" s="1138"/>
    </row>
    <row r="13981" spans="1:3">
      <c r="A13981" s="1133"/>
      <c r="B13981" s="1136"/>
      <c r="C13981" s="1138"/>
    </row>
    <row r="13982" spans="1:3">
      <c r="A13982" s="1133"/>
      <c r="B13982" s="1136"/>
      <c r="C13982" s="1138"/>
    </row>
    <row r="13983" spans="1:3">
      <c r="A13983" s="1133"/>
      <c r="B13983" s="1136"/>
      <c r="C13983" s="1138"/>
    </row>
    <row r="13984" spans="1:3">
      <c r="A13984" s="1133"/>
      <c r="B13984" s="1136"/>
      <c r="C13984" s="1138"/>
    </row>
    <row r="13985" spans="1:3">
      <c r="A13985" s="1133"/>
      <c r="B13985" s="1136"/>
      <c r="C13985" s="1138"/>
    </row>
    <row r="13986" spans="1:3">
      <c r="A13986" s="1133"/>
      <c r="B13986" s="1136"/>
      <c r="C13986" s="1138"/>
    </row>
    <row r="13987" spans="1:3">
      <c r="A13987" s="1133"/>
      <c r="B13987" s="1136"/>
      <c r="C13987" s="1138"/>
    </row>
    <row r="13988" spans="1:3">
      <c r="A13988" s="1133"/>
      <c r="B13988" s="1136"/>
      <c r="C13988" s="1138"/>
    </row>
    <row r="13989" spans="1:3">
      <c r="A13989" s="1133"/>
      <c r="B13989" s="1136"/>
      <c r="C13989" s="1138"/>
    </row>
    <row r="13990" spans="1:3">
      <c r="A13990" s="1133"/>
      <c r="B13990" s="1136"/>
      <c r="C13990" s="1138"/>
    </row>
    <row r="13991" spans="1:3">
      <c r="A13991" s="1133"/>
      <c r="B13991" s="1136"/>
      <c r="C13991" s="1138"/>
    </row>
    <row r="13992" spans="1:3">
      <c r="A13992" s="1133"/>
      <c r="B13992" s="1136"/>
      <c r="C13992" s="1138"/>
    </row>
    <row r="13993" spans="1:3">
      <c r="A13993" s="1133"/>
      <c r="B13993" s="1136"/>
      <c r="C13993" s="1138"/>
    </row>
    <row r="13994" spans="1:3">
      <c r="A13994" s="1133"/>
      <c r="B13994" s="1136"/>
      <c r="C13994" s="1138"/>
    </row>
    <row r="13995" spans="1:3">
      <c r="A13995" s="1133"/>
      <c r="B13995" s="1136"/>
      <c r="C13995" s="1138"/>
    </row>
    <row r="13996" spans="1:3">
      <c r="A13996" s="1133"/>
      <c r="B13996" s="1136"/>
      <c r="C13996" s="1138"/>
    </row>
    <row r="13997" spans="1:3">
      <c r="A13997" s="1133"/>
      <c r="B13997" s="1136"/>
      <c r="C13997" s="1138"/>
    </row>
    <row r="13998" spans="1:3">
      <c r="A13998" s="1133"/>
      <c r="B13998" s="1136"/>
      <c r="C13998" s="1138"/>
    </row>
    <row r="13999" spans="1:3">
      <c r="A13999" s="1133"/>
      <c r="B13999" s="1136"/>
      <c r="C13999" s="1138"/>
    </row>
    <row r="14000" spans="1:3">
      <c r="A14000" s="1133"/>
      <c r="B14000" s="1136"/>
      <c r="C14000" s="1138"/>
    </row>
    <row r="14001" spans="1:3">
      <c r="A14001" s="1133"/>
      <c r="B14001" s="1136"/>
      <c r="C14001" s="1138"/>
    </row>
    <row r="14002" spans="1:3">
      <c r="A14002" s="1133"/>
      <c r="B14002" s="1136"/>
      <c r="C14002" s="1138"/>
    </row>
    <row r="14003" spans="1:3">
      <c r="A14003" s="1133"/>
      <c r="B14003" s="1136"/>
      <c r="C14003" s="1138"/>
    </row>
    <row r="14004" spans="1:3">
      <c r="A14004" s="1133"/>
      <c r="B14004" s="1136"/>
      <c r="C14004" s="1138"/>
    </row>
    <row r="14005" spans="1:3">
      <c r="A14005" s="1133"/>
      <c r="B14005" s="1136"/>
      <c r="C14005" s="1138"/>
    </row>
    <row r="14006" spans="1:3">
      <c r="A14006" s="1133"/>
      <c r="B14006" s="1136"/>
      <c r="C14006" s="1138"/>
    </row>
    <row r="14007" spans="1:3">
      <c r="A14007" s="1133"/>
      <c r="B14007" s="1136"/>
      <c r="C14007" s="1138"/>
    </row>
    <row r="14008" spans="1:3">
      <c r="A14008" s="1133"/>
      <c r="B14008" s="1136"/>
      <c r="C14008" s="1138"/>
    </row>
    <row r="14009" spans="1:3">
      <c r="A14009" s="1133"/>
      <c r="B14009" s="1136"/>
      <c r="C14009" s="1138"/>
    </row>
    <row r="14010" spans="1:3">
      <c r="A14010" s="1133"/>
      <c r="B14010" s="1136"/>
      <c r="C14010" s="1138"/>
    </row>
    <row r="14011" spans="1:3">
      <c r="A14011" s="1133"/>
      <c r="B14011" s="1136"/>
      <c r="C14011" s="1138"/>
    </row>
    <row r="14012" spans="1:3">
      <c r="A14012" s="1133"/>
      <c r="B14012" s="1136"/>
      <c r="C14012" s="1138"/>
    </row>
    <row r="14013" spans="1:3">
      <c r="A14013" s="1133"/>
      <c r="B14013" s="1136"/>
      <c r="C14013" s="1138"/>
    </row>
    <row r="14014" spans="1:3">
      <c r="A14014" s="1133"/>
      <c r="B14014" s="1136"/>
      <c r="C14014" s="1138"/>
    </row>
    <row r="14015" spans="1:3">
      <c r="A14015" s="1133"/>
      <c r="B14015" s="1136"/>
      <c r="C14015" s="1138"/>
    </row>
    <row r="14016" spans="1:3">
      <c r="A14016" s="1133"/>
      <c r="B14016" s="1136"/>
      <c r="C14016" s="1138"/>
    </row>
    <row r="14017" spans="1:3">
      <c r="A14017" s="1133"/>
      <c r="B14017" s="1136"/>
      <c r="C14017" s="1138"/>
    </row>
    <row r="14018" spans="1:3">
      <c r="A14018" s="1133"/>
      <c r="B14018" s="1136"/>
      <c r="C14018" s="1138"/>
    </row>
    <row r="14019" spans="1:3">
      <c r="A14019" s="1133"/>
      <c r="B14019" s="1136"/>
      <c r="C14019" s="1138"/>
    </row>
    <row r="14020" spans="1:3">
      <c r="A14020" s="1133"/>
      <c r="B14020" s="1136"/>
      <c r="C14020" s="1138"/>
    </row>
    <row r="14021" spans="1:3">
      <c r="A14021" s="1133"/>
      <c r="B14021" s="1136"/>
      <c r="C14021" s="1138"/>
    </row>
    <row r="14022" spans="1:3">
      <c r="A14022" s="1133"/>
      <c r="B14022" s="1136"/>
      <c r="C14022" s="1138"/>
    </row>
    <row r="14023" spans="1:3">
      <c r="A14023" s="1133"/>
      <c r="B14023" s="1136"/>
      <c r="C14023" s="1138"/>
    </row>
    <row r="14024" spans="1:3">
      <c r="A14024" s="1133"/>
      <c r="B14024" s="1136"/>
      <c r="C14024" s="1138"/>
    </row>
    <row r="14025" spans="1:3">
      <c r="A14025" s="1133"/>
      <c r="B14025" s="1136"/>
      <c r="C14025" s="1138"/>
    </row>
    <row r="14026" spans="1:3">
      <c r="A14026" s="1133"/>
      <c r="B14026" s="1136"/>
      <c r="C14026" s="1138"/>
    </row>
    <row r="14027" spans="1:3">
      <c r="A14027" s="1133"/>
      <c r="B14027" s="1136"/>
      <c r="C14027" s="1138"/>
    </row>
    <row r="14028" spans="1:3">
      <c r="A14028" s="1133"/>
      <c r="B14028" s="1136"/>
      <c r="C14028" s="1138"/>
    </row>
    <row r="14029" spans="1:3">
      <c r="A14029" s="1133"/>
      <c r="B14029" s="1136"/>
      <c r="C14029" s="1138"/>
    </row>
    <row r="14030" spans="1:3">
      <c r="A14030" s="1133"/>
      <c r="B14030" s="1136"/>
      <c r="C14030" s="1138"/>
    </row>
    <row r="14031" spans="1:3">
      <c r="A14031" s="1133"/>
      <c r="B14031" s="1136"/>
      <c r="C14031" s="1138"/>
    </row>
    <row r="14032" spans="1:3">
      <c r="A14032" s="1133"/>
      <c r="B14032" s="1136"/>
      <c r="C14032" s="1138"/>
    </row>
    <row r="14033" spans="1:3">
      <c r="A14033" s="1133"/>
      <c r="B14033" s="1136"/>
      <c r="C14033" s="1138"/>
    </row>
    <row r="14034" spans="1:3">
      <c r="A14034" s="1133"/>
      <c r="B14034" s="1136"/>
      <c r="C14034" s="1138"/>
    </row>
    <row r="14035" spans="1:3">
      <c r="A14035" s="1133"/>
      <c r="B14035" s="1136"/>
      <c r="C14035" s="1138"/>
    </row>
    <row r="14036" spans="1:3">
      <c r="A14036" s="1133"/>
      <c r="B14036" s="1136"/>
      <c r="C14036" s="1138"/>
    </row>
    <row r="14037" spans="1:3">
      <c r="A14037" s="1133"/>
      <c r="B14037" s="1136"/>
      <c r="C14037" s="1138"/>
    </row>
    <row r="14038" spans="1:3">
      <c r="A14038" s="1133"/>
      <c r="B14038" s="1136"/>
      <c r="C14038" s="1138"/>
    </row>
    <row r="14039" spans="1:3">
      <c r="A14039" s="1133"/>
      <c r="B14039" s="1136"/>
      <c r="C14039" s="1138"/>
    </row>
    <row r="14040" spans="1:3">
      <c r="A14040" s="1133"/>
      <c r="B14040" s="1136"/>
      <c r="C14040" s="1138"/>
    </row>
    <row r="14041" spans="1:3">
      <c r="A14041" s="1133"/>
      <c r="B14041" s="1136"/>
      <c r="C14041" s="1138"/>
    </row>
    <row r="14042" spans="1:3">
      <c r="A14042" s="1133"/>
      <c r="B14042" s="1136"/>
      <c r="C14042" s="1138"/>
    </row>
    <row r="14043" spans="1:3">
      <c r="A14043" s="1133"/>
      <c r="B14043" s="1136"/>
      <c r="C14043" s="1138"/>
    </row>
    <row r="14044" spans="1:3">
      <c r="A14044" s="1133"/>
      <c r="B14044" s="1136"/>
      <c r="C14044" s="1138"/>
    </row>
    <row r="14045" spans="1:3">
      <c r="A14045" s="1133"/>
      <c r="B14045" s="1136"/>
      <c r="C14045" s="1138"/>
    </row>
    <row r="14046" spans="1:3">
      <c r="A14046" s="1133"/>
      <c r="B14046" s="1136"/>
      <c r="C14046" s="1138"/>
    </row>
    <row r="14047" spans="1:3">
      <c r="A14047" s="1133"/>
      <c r="B14047" s="1136"/>
      <c r="C14047" s="1138"/>
    </row>
    <row r="14048" spans="1:3">
      <c r="A14048" s="1133"/>
      <c r="B14048" s="1136"/>
      <c r="C14048" s="1138"/>
    </row>
    <row r="14049" spans="1:3">
      <c r="A14049" s="1133"/>
      <c r="B14049" s="1136"/>
      <c r="C14049" s="1138"/>
    </row>
    <row r="14050" spans="1:3">
      <c r="A14050" s="1133"/>
      <c r="B14050" s="1136"/>
      <c r="C14050" s="1138"/>
    </row>
    <row r="14051" spans="1:3">
      <c r="A14051" s="1133"/>
      <c r="B14051" s="1136"/>
      <c r="C14051" s="1138"/>
    </row>
    <row r="14052" spans="1:3">
      <c r="A14052" s="1133"/>
      <c r="B14052" s="1136"/>
      <c r="C14052" s="1138"/>
    </row>
    <row r="14053" spans="1:3">
      <c r="A14053" s="1133"/>
      <c r="B14053" s="1136"/>
      <c r="C14053" s="1138"/>
    </row>
    <row r="14054" spans="1:3">
      <c r="A14054" s="1133"/>
      <c r="B14054" s="1136"/>
      <c r="C14054" s="1138"/>
    </row>
    <row r="14055" spans="1:3">
      <c r="A14055" s="1133"/>
      <c r="B14055" s="1136"/>
      <c r="C14055" s="1138"/>
    </row>
    <row r="14056" spans="1:3">
      <c r="A14056" s="1133"/>
      <c r="B14056" s="1136"/>
      <c r="C14056" s="1138"/>
    </row>
    <row r="14057" spans="1:3">
      <c r="A14057" s="1133"/>
      <c r="B14057" s="1136"/>
      <c r="C14057" s="1138"/>
    </row>
    <row r="14058" spans="1:3">
      <c r="A14058" s="1133"/>
      <c r="B14058" s="1136"/>
      <c r="C14058" s="1138"/>
    </row>
    <row r="14059" spans="1:3">
      <c r="A14059" s="1133"/>
      <c r="B14059" s="1136"/>
      <c r="C14059" s="1138"/>
    </row>
    <row r="14060" spans="1:3">
      <c r="A14060" s="1133"/>
      <c r="B14060" s="1136"/>
      <c r="C14060" s="1138"/>
    </row>
    <row r="14061" spans="1:3">
      <c r="A14061" s="1133"/>
      <c r="B14061" s="1136"/>
      <c r="C14061" s="1138"/>
    </row>
    <row r="14062" spans="1:3">
      <c r="A14062" s="1133"/>
      <c r="B14062" s="1136"/>
      <c r="C14062" s="1138"/>
    </row>
    <row r="14063" spans="1:3">
      <c r="A14063" s="1133"/>
      <c r="B14063" s="1136"/>
      <c r="C14063" s="1138"/>
    </row>
    <row r="14064" spans="1:3">
      <c r="A14064" s="1133"/>
      <c r="B14064" s="1136"/>
      <c r="C14064" s="1138"/>
    </row>
    <row r="14065" spans="1:3">
      <c r="A14065" s="1133"/>
      <c r="B14065" s="1136"/>
      <c r="C14065" s="1138"/>
    </row>
    <row r="14066" spans="1:3">
      <c r="A14066" s="1133"/>
      <c r="B14066" s="1136"/>
      <c r="C14066" s="1138"/>
    </row>
    <row r="14067" spans="1:3">
      <c r="A14067" s="1133"/>
      <c r="B14067" s="1136"/>
      <c r="C14067" s="1138"/>
    </row>
    <row r="14068" spans="1:3">
      <c r="A14068" s="1133"/>
      <c r="B14068" s="1136"/>
      <c r="C14068" s="1138"/>
    </row>
    <row r="14069" spans="1:3">
      <c r="A14069" s="1133"/>
      <c r="B14069" s="1136"/>
      <c r="C14069" s="1138"/>
    </row>
    <row r="14070" spans="1:3">
      <c r="A14070" s="1133"/>
      <c r="B14070" s="1136"/>
      <c r="C14070" s="1138"/>
    </row>
    <row r="14071" spans="1:3">
      <c r="A14071" s="1133"/>
      <c r="B14071" s="1136"/>
      <c r="C14071" s="1138"/>
    </row>
    <row r="14072" spans="1:3">
      <c r="A14072" s="1133"/>
      <c r="B14072" s="1136"/>
      <c r="C14072" s="1138"/>
    </row>
    <row r="14073" spans="1:3">
      <c r="A14073" s="1133"/>
      <c r="B14073" s="1136"/>
      <c r="C14073" s="1138"/>
    </row>
    <row r="14074" spans="1:3">
      <c r="A14074" s="1133"/>
      <c r="B14074" s="1136"/>
      <c r="C14074" s="1138"/>
    </row>
    <row r="14075" spans="1:3">
      <c r="A14075" s="1133"/>
      <c r="B14075" s="1136"/>
      <c r="C14075" s="1138"/>
    </row>
    <row r="14076" spans="1:3">
      <c r="A14076" s="1133"/>
      <c r="B14076" s="1136"/>
      <c r="C14076" s="1138"/>
    </row>
    <row r="14077" spans="1:3">
      <c r="A14077" s="1133"/>
      <c r="B14077" s="1136"/>
      <c r="C14077" s="1138"/>
    </row>
    <row r="14078" spans="1:3">
      <c r="A14078" s="1133"/>
      <c r="B14078" s="1136"/>
      <c r="C14078" s="1138"/>
    </row>
    <row r="14079" spans="1:3">
      <c r="A14079" s="1133"/>
      <c r="B14079" s="1136"/>
      <c r="C14079" s="1138"/>
    </row>
    <row r="14080" spans="1:3">
      <c r="A14080" s="1133"/>
      <c r="B14080" s="1136"/>
      <c r="C14080" s="1138"/>
    </row>
    <row r="14081" spans="1:3">
      <c r="A14081" s="1133"/>
      <c r="B14081" s="1136"/>
      <c r="C14081" s="1138"/>
    </row>
    <row r="14082" spans="1:3">
      <c r="A14082" s="1133"/>
      <c r="B14082" s="1136"/>
      <c r="C14082" s="1138"/>
    </row>
    <row r="14083" spans="1:3">
      <c r="A14083" s="1133"/>
      <c r="B14083" s="1136"/>
      <c r="C14083" s="1138"/>
    </row>
    <row r="14084" spans="1:3">
      <c r="A14084" s="1133"/>
      <c r="B14084" s="1136"/>
      <c r="C14084" s="1138"/>
    </row>
    <row r="14085" spans="1:3">
      <c r="A14085" s="1133"/>
      <c r="B14085" s="1136"/>
      <c r="C14085" s="1138"/>
    </row>
    <row r="14086" spans="1:3">
      <c r="A14086" s="1133"/>
      <c r="B14086" s="1136"/>
      <c r="C14086" s="1138"/>
    </row>
    <row r="14087" spans="1:3">
      <c r="A14087" s="1133"/>
      <c r="B14087" s="1136"/>
      <c r="C14087" s="1138"/>
    </row>
    <row r="14088" spans="1:3">
      <c r="A14088" s="1133"/>
      <c r="B14088" s="1136"/>
      <c r="C14088" s="1138"/>
    </row>
    <row r="14089" spans="1:3">
      <c r="A14089" s="1133"/>
      <c r="B14089" s="1136"/>
      <c r="C14089" s="1138"/>
    </row>
    <row r="14090" spans="1:3">
      <c r="A14090" s="1133"/>
      <c r="B14090" s="1136"/>
      <c r="C14090" s="1138"/>
    </row>
    <row r="14091" spans="1:3">
      <c r="A14091" s="1133"/>
      <c r="B14091" s="1136"/>
      <c r="C14091" s="1138"/>
    </row>
    <row r="14092" spans="1:3">
      <c r="A14092" s="1133"/>
      <c r="B14092" s="1136"/>
      <c r="C14092" s="1138"/>
    </row>
    <row r="14093" spans="1:3">
      <c r="A14093" s="1133"/>
      <c r="B14093" s="1136"/>
      <c r="C14093" s="1138"/>
    </row>
    <row r="14094" spans="1:3">
      <c r="A14094" s="1133"/>
      <c r="B14094" s="1136"/>
      <c r="C14094" s="1138"/>
    </row>
    <row r="14095" spans="1:3">
      <c r="A14095" s="1133"/>
      <c r="B14095" s="1136"/>
      <c r="C14095" s="1138"/>
    </row>
    <row r="14096" spans="1:3">
      <c r="A14096" s="1133"/>
      <c r="B14096" s="1136"/>
      <c r="C14096" s="1138"/>
    </row>
    <row r="14097" spans="1:3">
      <c r="A14097" s="1133"/>
      <c r="B14097" s="1136"/>
      <c r="C14097" s="1138"/>
    </row>
    <row r="14098" spans="1:3">
      <c r="A14098" s="1133"/>
      <c r="B14098" s="1136"/>
      <c r="C14098" s="1138"/>
    </row>
    <row r="14099" spans="1:3">
      <c r="A14099" s="1133"/>
      <c r="B14099" s="1136"/>
      <c r="C14099" s="1138"/>
    </row>
    <row r="14100" spans="1:3">
      <c r="A14100" s="1133"/>
      <c r="B14100" s="1136"/>
      <c r="C14100" s="1138"/>
    </row>
    <row r="14101" spans="1:3">
      <c r="A14101" s="1133"/>
      <c r="B14101" s="1136"/>
      <c r="C14101" s="1138"/>
    </row>
    <row r="14102" spans="1:3">
      <c r="A14102" s="1133"/>
      <c r="B14102" s="1136"/>
      <c r="C14102" s="1138"/>
    </row>
    <row r="14103" spans="1:3">
      <c r="A14103" s="1133"/>
      <c r="B14103" s="1136"/>
      <c r="C14103" s="1138"/>
    </row>
    <row r="14104" spans="1:3">
      <c r="A14104" s="1133"/>
      <c r="B14104" s="1136"/>
      <c r="C14104" s="1138"/>
    </row>
    <row r="14105" spans="1:3">
      <c r="A14105" s="1133"/>
      <c r="B14105" s="1136"/>
      <c r="C14105" s="1138"/>
    </row>
    <row r="14106" spans="1:3">
      <c r="A14106" s="1133"/>
      <c r="B14106" s="1136"/>
      <c r="C14106" s="1138"/>
    </row>
    <row r="14107" spans="1:3">
      <c r="A14107" s="1133"/>
      <c r="B14107" s="1136"/>
      <c r="C14107" s="1138"/>
    </row>
    <row r="14108" spans="1:3">
      <c r="A14108" s="1133"/>
      <c r="B14108" s="1136"/>
      <c r="C14108" s="1138"/>
    </row>
    <row r="14109" spans="1:3">
      <c r="A14109" s="1133"/>
      <c r="B14109" s="1136"/>
      <c r="C14109" s="1138"/>
    </row>
    <row r="14110" spans="1:3">
      <c r="A14110" s="1133"/>
      <c r="B14110" s="1136"/>
      <c r="C14110" s="1138"/>
    </row>
    <row r="14111" spans="1:3">
      <c r="A14111" s="1133"/>
      <c r="B14111" s="1136"/>
      <c r="C14111" s="1138"/>
    </row>
    <row r="14112" spans="1:3">
      <c r="A14112" s="1133"/>
      <c r="B14112" s="1136"/>
      <c r="C14112" s="1138"/>
    </row>
    <row r="14113" spans="1:3">
      <c r="A14113" s="1133"/>
      <c r="B14113" s="1136"/>
      <c r="C14113" s="1138"/>
    </row>
    <row r="14114" spans="1:3">
      <c r="A14114" s="1133"/>
      <c r="B14114" s="1136"/>
      <c r="C14114" s="1138"/>
    </row>
    <row r="14115" spans="1:3">
      <c r="A14115" s="1133"/>
      <c r="B14115" s="1136"/>
      <c r="C14115" s="1138"/>
    </row>
    <row r="14116" spans="1:3">
      <c r="A14116" s="1133"/>
      <c r="B14116" s="1136"/>
      <c r="C14116" s="1138"/>
    </row>
    <row r="14117" spans="1:3">
      <c r="A14117" s="1133"/>
      <c r="B14117" s="1136"/>
      <c r="C14117" s="1138"/>
    </row>
    <row r="14118" spans="1:3">
      <c r="A14118" s="1133"/>
      <c r="B14118" s="1136"/>
      <c r="C14118" s="1138"/>
    </row>
    <row r="14119" spans="1:3">
      <c r="A14119" s="1133"/>
      <c r="B14119" s="1136"/>
      <c r="C14119" s="1138"/>
    </row>
    <row r="14120" spans="1:3">
      <c r="A14120" s="1133"/>
      <c r="B14120" s="1136"/>
      <c r="C14120" s="1138"/>
    </row>
    <row r="14121" spans="1:3">
      <c r="A14121" s="1133"/>
      <c r="B14121" s="1136"/>
      <c r="C14121" s="1138"/>
    </row>
    <row r="14122" spans="1:3">
      <c r="A14122" s="1133"/>
      <c r="B14122" s="1136"/>
      <c r="C14122" s="1138"/>
    </row>
    <row r="14123" spans="1:3">
      <c r="A14123" s="1133"/>
      <c r="B14123" s="1136"/>
      <c r="C14123" s="1138"/>
    </row>
    <row r="14124" spans="1:3">
      <c r="A14124" s="1133"/>
      <c r="B14124" s="1136"/>
      <c r="C14124" s="1138"/>
    </row>
    <row r="14125" spans="1:3">
      <c r="A14125" s="1133"/>
      <c r="B14125" s="1136"/>
      <c r="C14125" s="1138"/>
    </row>
    <row r="14126" spans="1:3">
      <c r="A14126" s="1133"/>
      <c r="B14126" s="1136"/>
      <c r="C14126" s="1138"/>
    </row>
    <row r="14127" spans="1:3">
      <c r="A14127" s="1133"/>
      <c r="B14127" s="1136"/>
      <c r="C14127" s="1138"/>
    </row>
    <row r="14128" spans="1:3">
      <c r="A14128" s="1133"/>
      <c r="B14128" s="1136"/>
      <c r="C14128" s="1138"/>
    </row>
    <row r="14129" spans="1:3">
      <c r="A14129" s="1133"/>
      <c r="B14129" s="1136"/>
      <c r="C14129" s="1138"/>
    </row>
    <row r="14130" spans="1:3">
      <c r="A14130" s="1133"/>
      <c r="B14130" s="1136"/>
      <c r="C14130" s="1138"/>
    </row>
    <row r="14131" spans="1:3">
      <c r="A14131" s="1133"/>
      <c r="B14131" s="1136"/>
      <c r="C14131" s="1138"/>
    </row>
    <row r="14132" spans="1:3">
      <c r="A14132" s="1133"/>
      <c r="B14132" s="1136"/>
      <c r="C14132" s="1138"/>
    </row>
    <row r="14133" spans="1:3">
      <c r="A14133" s="1133"/>
      <c r="B14133" s="1136"/>
      <c r="C14133" s="1138"/>
    </row>
    <row r="14134" spans="1:3">
      <c r="A14134" s="1133"/>
      <c r="B14134" s="1136"/>
      <c r="C14134" s="1138"/>
    </row>
    <row r="14135" spans="1:3">
      <c r="A14135" s="1133"/>
      <c r="B14135" s="1136"/>
      <c r="C14135" s="1138"/>
    </row>
    <row r="14136" spans="1:3">
      <c r="A14136" s="1133"/>
      <c r="B14136" s="1136"/>
      <c r="C14136" s="1138"/>
    </row>
    <row r="14137" spans="1:3">
      <c r="A14137" s="1133"/>
      <c r="B14137" s="1136"/>
      <c r="C14137" s="1138"/>
    </row>
    <row r="14138" spans="1:3">
      <c r="A14138" s="1133"/>
      <c r="B14138" s="1136"/>
      <c r="C14138" s="1138"/>
    </row>
    <row r="14139" spans="1:3">
      <c r="A14139" s="1133"/>
      <c r="B14139" s="1136"/>
      <c r="C14139" s="1138"/>
    </row>
    <row r="14140" spans="1:3">
      <c r="A14140" s="1133"/>
      <c r="B14140" s="1136"/>
      <c r="C14140" s="1138"/>
    </row>
    <row r="14141" spans="1:3">
      <c r="A14141" s="1133"/>
      <c r="B14141" s="1136"/>
      <c r="C14141" s="1138"/>
    </row>
    <row r="14142" spans="1:3">
      <c r="A14142" s="1133"/>
      <c r="B14142" s="1136"/>
      <c r="C14142" s="1138"/>
    </row>
    <row r="14143" spans="1:3">
      <c r="A14143" s="1133"/>
      <c r="B14143" s="1136"/>
      <c r="C14143" s="1138"/>
    </row>
    <row r="14144" spans="1:3">
      <c r="A14144" s="1133"/>
      <c r="B14144" s="1136"/>
      <c r="C14144" s="1138"/>
    </row>
    <row r="14145" spans="1:3">
      <c r="A14145" s="1133"/>
      <c r="B14145" s="1136"/>
      <c r="C14145" s="1138"/>
    </row>
    <row r="14146" spans="1:3">
      <c r="A14146" s="1133"/>
      <c r="B14146" s="1136"/>
      <c r="C14146" s="1138"/>
    </row>
    <row r="14147" spans="1:3">
      <c r="A14147" s="1133"/>
      <c r="B14147" s="1136"/>
      <c r="C14147" s="1138"/>
    </row>
    <row r="14148" spans="1:3">
      <c r="A14148" s="1133"/>
      <c r="B14148" s="1136"/>
      <c r="C14148" s="1138"/>
    </row>
    <row r="14149" spans="1:3">
      <c r="A14149" s="1133"/>
      <c r="B14149" s="1136"/>
      <c r="C14149" s="1138"/>
    </row>
    <row r="14150" spans="1:3">
      <c r="A14150" s="1133"/>
      <c r="B14150" s="1136"/>
      <c r="C14150" s="1138"/>
    </row>
    <row r="14151" spans="1:3">
      <c r="A14151" s="1133"/>
      <c r="B14151" s="1136"/>
      <c r="C14151" s="1138"/>
    </row>
    <row r="14152" spans="1:3">
      <c r="A14152" s="1133"/>
      <c r="B14152" s="1136"/>
      <c r="C14152" s="1138"/>
    </row>
    <row r="14153" spans="1:3">
      <c r="A14153" s="1133"/>
      <c r="B14153" s="1136"/>
      <c r="C14153" s="1138"/>
    </row>
    <row r="14154" spans="1:3">
      <c r="A14154" s="1133"/>
      <c r="B14154" s="1136"/>
      <c r="C14154" s="1138"/>
    </row>
    <row r="14155" spans="1:3">
      <c r="A14155" s="1133"/>
      <c r="B14155" s="1136"/>
      <c r="C14155" s="1138"/>
    </row>
    <row r="14156" spans="1:3">
      <c r="A14156" s="1133"/>
      <c r="B14156" s="1136"/>
      <c r="C14156" s="1138"/>
    </row>
    <row r="14157" spans="1:3">
      <c r="A14157" s="1133"/>
      <c r="B14157" s="1136"/>
      <c r="C14157" s="1138"/>
    </row>
    <row r="14158" spans="1:3">
      <c r="A14158" s="1133"/>
      <c r="B14158" s="1136"/>
      <c r="C14158" s="1138"/>
    </row>
    <row r="14159" spans="1:3">
      <c r="A14159" s="1133"/>
      <c r="B14159" s="1136"/>
      <c r="C14159" s="1138"/>
    </row>
    <row r="14160" spans="1:3">
      <c r="A14160" s="1133"/>
      <c r="B14160" s="1136"/>
      <c r="C14160" s="1138"/>
    </row>
    <row r="14161" spans="1:3">
      <c r="A14161" s="1133"/>
      <c r="B14161" s="1136"/>
      <c r="C14161" s="1138"/>
    </row>
    <row r="14162" spans="1:3">
      <c r="A14162" s="1133"/>
      <c r="B14162" s="1136"/>
      <c r="C14162" s="1138"/>
    </row>
    <row r="14163" spans="1:3">
      <c r="A14163" s="1133"/>
      <c r="B14163" s="1136"/>
      <c r="C14163" s="1138"/>
    </row>
    <row r="14164" spans="1:3">
      <c r="A14164" s="1133"/>
      <c r="B14164" s="1136"/>
      <c r="C14164" s="1138"/>
    </row>
    <row r="14165" spans="1:3">
      <c r="A14165" s="1133"/>
      <c r="B14165" s="1136"/>
      <c r="C14165" s="1138"/>
    </row>
    <row r="14166" spans="1:3">
      <c r="A14166" s="1133"/>
      <c r="B14166" s="1136"/>
      <c r="C14166" s="1138"/>
    </row>
    <row r="14167" spans="1:3">
      <c r="A14167" s="1133"/>
      <c r="B14167" s="1136"/>
      <c r="C14167" s="1138"/>
    </row>
    <row r="14168" spans="1:3">
      <c r="A14168" s="1133"/>
      <c r="B14168" s="1136"/>
      <c r="C14168" s="1138"/>
    </row>
    <row r="14169" spans="1:3">
      <c r="A14169" s="1133"/>
      <c r="B14169" s="1136"/>
      <c r="C14169" s="1138"/>
    </row>
    <row r="14170" spans="1:3">
      <c r="A14170" s="1133"/>
      <c r="B14170" s="1136"/>
      <c r="C14170" s="1138"/>
    </row>
    <row r="14171" spans="1:3">
      <c r="A14171" s="1133"/>
      <c r="B14171" s="1136"/>
      <c r="C14171" s="1138"/>
    </row>
    <row r="14172" spans="1:3">
      <c r="A14172" s="1133"/>
      <c r="B14172" s="1136"/>
      <c r="C14172" s="1138"/>
    </row>
    <row r="14173" spans="1:3">
      <c r="A14173" s="1133"/>
      <c r="B14173" s="1136"/>
      <c r="C14173" s="1138"/>
    </row>
    <row r="14174" spans="1:3">
      <c r="A14174" s="1133"/>
      <c r="B14174" s="1136"/>
      <c r="C14174" s="1138"/>
    </row>
    <row r="14175" spans="1:3">
      <c r="A14175" s="1133"/>
      <c r="B14175" s="1136"/>
      <c r="C14175" s="1138"/>
    </row>
    <row r="14176" spans="1:3">
      <c r="A14176" s="1133"/>
      <c r="B14176" s="1136"/>
      <c r="C14176" s="1138"/>
    </row>
    <row r="14177" spans="1:3">
      <c r="A14177" s="1133"/>
      <c r="B14177" s="1136"/>
      <c r="C14177" s="1138"/>
    </row>
    <row r="14178" spans="1:3">
      <c r="A14178" s="1133"/>
      <c r="B14178" s="1136"/>
      <c r="C14178" s="1138"/>
    </row>
    <row r="14179" spans="1:3">
      <c r="A14179" s="1133"/>
      <c r="B14179" s="1136"/>
      <c r="C14179" s="1138"/>
    </row>
    <row r="14180" spans="1:3">
      <c r="A14180" s="1133"/>
      <c r="B14180" s="1136"/>
      <c r="C14180" s="1138"/>
    </row>
    <row r="14181" spans="1:3">
      <c r="A14181" s="1133"/>
      <c r="B14181" s="1136"/>
      <c r="C14181" s="1138"/>
    </row>
    <row r="14182" spans="1:3">
      <c r="A14182" s="1133"/>
      <c r="B14182" s="1136"/>
      <c r="C14182" s="1138"/>
    </row>
    <row r="14183" spans="1:3">
      <c r="A14183" s="1133"/>
      <c r="B14183" s="1136"/>
      <c r="C14183" s="1138"/>
    </row>
    <row r="14184" spans="1:3">
      <c r="A14184" s="1133"/>
      <c r="B14184" s="1136"/>
      <c r="C14184" s="1138"/>
    </row>
    <row r="14185" spans="1:3">
      <c r="A14185" s="1133"/>
      <c r="B14185" s="1136"/>
      <c r="C14185" s="1138"/>
    </row>
    <row r="14186" spans="1:3">
      <c r="A14186" s="1133"/>
      <c r="B14186" s="1136"/>
      <c r="C14186" s="1138"/>
    </row>
    <row r="14187" spans="1:3">
      <c r="A14187" s="1133"/>
      <c r="B14187" s="1136"/>
      <c r="C14187" s="1138"/>
    </row>
    <row r="14188" spans="1:3">
      <c r="A14188" s="1133"/>
      <c r="B14188" s="1136"/>
      <c r="C14188" s="1138"/>
    </row>
    <row r="14189" spans="1:3">
      <c r="A14189" s="1133"/>
      <c r="B14189" s="1136"/>
      <c r="C14189" s="1138"/>
    </row>
    <row r="14190" spans="1:3">
      <c r="A14190" s="1133"/>
      <c r="B14190" s="1136"/>
      <c r="C14190" s="1138"/>
    </row>
    <row r="14191" spans="1:3">
      <c r="A14191" s="1133"/>
      <c r="B14191" s="1136"/>
      <c r="C14191" s="1138"/>
    </row>
    <row r="14192" spans="1:3">
      <c r="A14192" s="1133"/>
      <c r="B14192" s="1136"/>
      <c r="C14192" s="1138"/>
    </row>
    <row r="14193" spans="1:3">
      <c r="A14193" s="1133"/>
      <c r="B14193" s="1136"/>
      <c r="C14193" s="1138"/>
    </row>
    <row r="14194" spans="1:3">
      <c r="A14194" s="1133"/>
      <c r="B14194" s="1136"/>
      <c r="C14194" s="1138"/>
    </row>
    <row r="14195" spans="1:3">
      <c r="A14195" s="1133"/>
      <c r="B14195" s="1136"/>
      <c r="C14195" s="1138"/>
    </row>
    <row r="14196" spans="1:3">
      <c r="A14196" s="1133"/>
      <c r="B14196" s="1136"/>
      <c r="C14196" s="1138"/>
    </row>
    <row r="14197" spans="1:3">
      <c r="A14197" s="1133"/>
      <c r="B14197" s="1136"/>
      <c r="C14197" s="1138"/>
    </row>
    <row r="14198" spans="1:3">
      <c r="A14198" s="1133"/>
      <c r="B14198" s="1136"/>
      <c r="C14198" s="1138"/>
    </row>
    <row r="14199" spans="1:3">
      <c r="A14199" s="1133"/>
      <c r="B14199" s="1136"/>
      <c r="C14199" s="1138"/>
    </row>
    <row r="14200" spans="1:3">
      <c r="A14200" s="1133"/>
      <c r="B14200" s="1136"/>
      <c r="C14200" s="1138"/>
    </row>
    <row r="14201" spans="1:3">
      <c r="A14201" s="1133"/>
      <c r="B14201" s="1136"/>
      <c r="C14201" s="1138"/>
    </row>
    <row r="14202" spans="1:3">
      <c r="A14202" s="1133"/>
      <c r="B14202" s="1136"/>
      <c r="C14202" s="1138"/>
    </row>
    <row r="14203" spans="1:3">
      <c r="A14203" s="1133"/>
      <c r="B14203" s="1136"/>
      <c r="C14203" s="1138"/>
    </row>
    <row r="14204" spans="1:3">
      <c r="A14204" s="1133"/>
      <c r="B14204" s="1136"/>
      <c r="C14204" s="1138"/>
    </row>
    <row r="14205" spans="1:3">
      <c r="A14205" s="1133"/>
      <c r="B14205" s="1136"/>
      <c r="C14205" s="1138"/>
    </row>
    <row r="14206" spans="1:3">
      <c r="A14206" s="1133"/>
      <c r="B14206" s="1136"/>
      <c r="C14206" s="1138"/>
    </row>
    <row r="14207" spans="1:3">
      <c r="A14207" s="1133"/>
      <c r="B14207" s="1136"/>
      <c r="C14207" s="1138"/>
    </row>
    <row r="14208" spans="1:3">
      <c r="A14208" s="1133"/>
      <c r="B14208" s="1136"/>
      <c r="C14208" s="1138"/>
    </row>
    <row r="14209" spans="1:3">
      <c r="A14209" s="1133"/>
      <c r="B14209" s="1136"/>
      <c r="C14209" s="1138"/>
    </row>
    <row r="14210" spans="1:3">
      <c r="A14210" s="1133"/>
      <c r="B14210" s="1136"/>
      <c r="C14210" s="1138"/>
    </row>
    <row r="14211" spans="1:3">
      <c r="A14211" s="1133"/>
      <c r="B14211" s="1136"/>
      <c r="C14211" s="1138"/>
    </row>
    <row r="14212" spans="1:3">
      <c r="A14212" s="1133"/>
      <c r="B14212" s="1136"/>
      <c r="C14212" s="1138"/>
    </row>
    <row r="14213" spans="1:3">
      <c r="A14213" s="1133"/>
      <c r="B14213" s="1136"/>
      <c r="C14213" s="1138"/>
    </row>
    <row r="14214" spans="1:3">
      <c r="A14214" s="1133"/>
      <c r="B14214" s="1136"/>
      <c r="C14214" s="1138"/>
    </row>
    <row r="14215" spans="1:3">
      <c r="A14215" s="1133"/>
      <c r="B14215" s="1136"/>
      <c r="C14215" s="1138"/>
    </row>
    <row r="14216" spans="1:3">
      <c r="A14216" s="1133"/>
      <c r="B14216" s="1136"/>
      <c r="C14216" s="1138"/>
    </row>
    <row r="14217" spans="1:3">
      <c r="A14217" s="1133"/>
      <c r="B14217" s="1136"/>
      <c r="C14217" s="1138"/>
    </row>
    <row r="14218" spans="1:3">
      <c r="A14218" s="1133"/>
      <c r="B14218" s="1136"/>
      <c r="C14218" s="1138"/>
    </row>
    <row r="14219" spans="1:3">
      <c r="A14219" s="1133"/>
      <c r="B14219" s="1136"/>
      <c r="C14219" s="1138"/>
    </row>
    <row r="14220" spans="1:3">
      <c r="A14220" s="1133"/>
      <c r="B14220" s="1136"/>
      <c r="C14220" s="1138"/>
    </row>
    <row r="14221" spans="1:3">
      <c r="A14221" s="1133"/>
      <c r="B14221" s="1136"/>
      <c r="C14221" s="1138"/>
    </row>
    <row r="14222" spans="1:3">
      <c r="A14222" s="1133"/>
      <c r="B14222" s="1136"/>
      <c r="C14222" s="1138"/>
    </row>
    <row r="14223" spans="1:3">
      <c r="A14223" s="1133"/>
      <c r="B14223" s="1136"/>
      <c r="C14223" s="1138"/>
    </row>
    <row r="14224" spans="1:3">
      <c r="A14224" s="1133"/>
      <c r="B14224" s="1136"/>
      <c r="C14224" s="1138"/>
    </row>
    <row r="14225" spans="1:3">
      <c r="A14225" s="1133"/>
      <c r="B14225" s="1136"/>
      <c r="C14225" s="1138"/>
    </row>
    <row r="14226" spans="1:3">
      <c r="A14226" s="1133"/>
      <c r="B14226" s="1136"/>
      <c r="C14226" s="1138"/>
    </row>
    <row r="14227" spans="1:3">
      <c r="A14227" s="1133"/>
      <c r="B14227" s="1136"/>
      <c r="C14227" s="1138"/>
    </row>
    <row r="14228" spans="1:3">
      <c r="A14228" s="1133"/>
      <c r="B14228" s="1136"/>
      <c r="C14228" s="1138"/>
    </row>
    <row r="14229" spans="1:3">
      <c r="A14229" s="1133"/>
      <c r="B14229" s="1136"/>
      <c r="C14229" s="1138"/>
    </row>
    <row r="14230" spans="1:3">
      <c r="A14230" s="1133"/>
      <c r="B14230" s="1136"/>
      <c r="C14230" s="1138"/>
    </row>
    <row r="14231" spans="1:3">
      <c r="A14231" s="1133"/>
      <c r="B14231" s="1136"/>
      <c r="C14231" s="1138"/>
    </row>
    <row r="14232" spans="1:3">
      <c r="A14232" s="1133"/>
      <c r="B14232" s="1136"/>
      <c r="C14232" s="1138"/>
    </row>
    <row r="14233" spans="1:3">
      <c r="A14233" s="1133"/>
      <c r="B14233" s="1136"/>
      <c r="C14233" s="1138"/>
    </row>
    <row r="14234" spans="1:3">
      <c r="A14234" s="1133"/>
      <c r="B14234" s="1136"/>
      <c r="C14234" s="1138"/>
    </row>
    <row r="14235" spans="1:3">
      <c r="A14235" s="1133"/>
      <c r="B14235" s="1136"/>
      <c r="C14235" s="1138"/>
    </row>
    <row r="14236" spans="1:3">
      <c r="A14236" s="1133"/>
      <c r="B14236" s="1136"/>
      <c r="C14236" s="1138"/>
    </row>
    <row r="14237" spans="1:3">
      <c r="A14237" s="1133"/>
      <c r="B14237" s="1136"/>
      <c r="C14237" s="1138"/>
    </row>
    <row r="14238" spans="1:3">
      <c r="A14238" s="1133"/>
      <c r="B14238" s="1136"/>
      <c r="C14238" s="1138"/>
    </row>
    <row r="14239" spans="1:3">
      <c r="A14239" s="1133"/>
      <c r="B14239" s="1136"/>
      <c r="C14239" s="1138"/>
    </row>
    <row r="14240" spans="1:3">
      <c r="A14240" s="1133"/>
      <c r="B14240" s="1136"/>
      <c r="C14240" s="1138"/>
    </row>
    <row r="14241" spans="1:3">
      <c r="A14241" s="1133"/>
      <c r="B14241" s="1136"/>
      <c r="C14241" s="1138"/>
    </row>
    <row r="14242" spans="1:3">
      <c r="A14242" s="1133"/>
      <c r="B14242" s="1136"/>
      <c r="C14242" s="1138"/>
    </row>
    <row r="14243" spans="1:3">
      <c r="A14243" s="1133"/>
      <c r="B14243" s="1136"/>
      <c r="C14243" s="1138"/>
    </row>
    <row r="14244" spans="1:3">
      <c r="A14244" s="1133"/>
      <c r="B14244" s="1136"/>
      <c r="C14244" s="1138"/>
    </row>
    <row r="14245" spans="1:3">
      <c r="A14245" s="1133"/>
      <c r="B14245" s="1136"/>
      <c r="C14245" s="1138"/>
    </row>
    <row r="14246" spans="1:3">
      <c r="A14246" s="1133"/>
      <c r="B14246" s="1136"/>
      <c r="C14246" s="1138"/>
    </row>
    <row r="14247" spans="1:3">
      <c r="A14247" s="1133"/>
      <c r="B14247" s="1136"/>
      <c r="C14247" s="1138"/>
    </row>
    <row r="14248" spans="1:3">
      <c r="A14248" s="1133"/>
      <c r="B14248" s="1136"/>
      <c r="C14248" s="1138"/>
    </row>
    <row r="14249" spans="1:3">
      <c r="A14249" s="1133"/>
      <c r="B14249" s="1136"/>
      <c r="C14249" s="1138"/>
    </row>
    <row r="14250" spans="1:3">
      <c r="A14250" s="1133"/>
      <c r="B14250" s="1136"/>
      <c r="C14250" s="1138"/>
    </row>
    <row r="14251" spans="1:3">
      <c r="A14251" s="1133"/>
      <c r="B14251" s="1136"/>
      <c r="C14251" s="1138"/>
    </row>
    <row r="14252" spans="1:3">
      <c r="A14252" s="1133"/>
      <c r="B14252" s="1136"/>
      <c r="C14252" s="1138"/>
    </row>
    <row r="14253" spans="1:3">
      <c r="A14253" s="1133"/>
      <c r="B14253" s="1136"/>
      <c r="C14253" s="1138"/>
    </row>
    <row r="14254" spans="1:3">
      <c r="A14254" s="1133"/>
      <c r="B14254" s="1136"/>
      <c r="C14254" s="1138"/>
    </row>
    <row r="14255" spans="1:3">
      <c r="A14255" s="1133"/>
      <c r="B14255" s="1136"/>
      <c r="C14255" s="1138"/>
    </row>
    <row r="14256" spans="1:3">
      <c r="A14256" s="1133"/>
      <c r="B14256" s="1136"/>
      <c r="C14256" s="1138"/>
    </row>
    <row r="14257" spans="1:3">
      <c r="A14257" s="1133"/>
      <c r="B14257" s="1136"/>
      <c r="C14257" s="1138"/>
    </row>
    <row r="14258" spans="1:3">
      <c r="A14258" s="1133"/>
      <c r="B14258" s="1136"/>
      <c r="C14258" s="1138"/>
    </row>
    <row r="14259" spans="1:3">
      <c r="A14259" s="1133"/>
      <c r="B14259" s="1136"/>
      <c r="C14259" s="1138"/>
    </row>
    <row r="14260" spans="1:3">
      <c r="A14260" s="1133"/>
      <c r="B14260" s="1136"/>
      <c r="C14260" s="1138"/>
    </row>
    <row r="14261" spans="1:3">
      <c r="A14261" s="1133"/>
      <c r="B14261" s="1136"/>
      <c r="C14261" s="1138"/>
    </row>
    <row r="14262" spans="1:3">
      <c r="A14262" s="1133"/>
      <c r="B14262" s="1136"/>
      <c r="C14262" s="1138"/>
    </row>
    <row r="14263" spans="1:3">
      <c r="A14263" s="1133"/>
      <c r="B14263" s="1136"/>
      <c r="C14263" s="1138"/>
    </row>
    <row r="14264" spans="1:3">
      <c r="A14264" s="1133"/>
      <c r="B14264" s="1136"/>
      <c r="C14264" s="1138"/>
    </row>
    <row r="14265" spans="1:3">
      <c r="A14265" s="1133"/>
      <c r="B14265" s="1136"/>
      <c r="C14265" s="1138"/>
    </row>
    <row r="14266" spans="1:3">
      <c r="A14266" s="1133"/>
      <c r="B14266" s="1136"/>
      <c r="C14266" s="1138"/>
    </row>
    <row r="14267" spans="1:3">
      <c r="A14267" s="1133"/>
      <c r="B14267" s="1136"/>
      <c r="C14267" s="1138"/>
    </row>
    <row r="14268" spans="1:3">
      <c r="A14268" s="1133"/>
      <c r="B14268" s="1136"/>
      <c r="C14268" s="1138"/>
    </row>
    <row r="14269" spans="1:3">
      <c r="A14269" s="1133"/>
      <c r="B14269" s="1136"/>
      <c r="C14269" s="1138"/>
    </row>
    <row r="14270" spans="1:3">
      <c r="A14270" s="1133"/>
      <c r="B14270" s="1136"/>
      <c r="C14270" s="1138"/>
    </row>
    <row r="14271" spans="1:3">
      <c r="A14271" s="1133"/>
      <c r="B14271" s="1136"/>
      <c r="C14271" s="1138"/>
    </row>
    <row r="14272" spans="1:3">
      <c r="A14272" s="1133"/>
      <c r="B14272" s="1136"/>
      <c r="C14272" s="1138"/>
    </row>
    <row r="14273" spans="1:3">
      <c r="A14273" s="1133"/>
      <c r="B14273" s="1136"/>
      <c r="C14273" s="1138"/>
    </row>
    <row r="14274" spans="1:3">
      <c r="A14274" s="1133"/>
      <c r="B14274" s="1136"/>
      <c r="C14274" s="1138"/>
    </row>
    <row r="14275" spans="1:3">
      <c r="A14275" s="1133"/>
      <c r="B14275" s="1136"/>
      <c r="C14275" s="1138"/>
    </row>
    <row r="14276" spans="1:3">
      <c r="A14276" s="1133"/>
      <c r="B14276" s="1136"/>
      <c r="C14276" s="1138"/>
    </row>
    <row r="14277" spans="1:3">
      <c r="A14277" s="1133"/>
      <c r="B14277" s="1136"/>
      <c r="C14277" s="1138"/>
    </row>
    <row r="14278" spans="1:3">
      <c r="A14278" s="1133"/>
      <c r="B14278" s="1136"/>
      <c r="C14278" s="1138"/>
    </row>
    <row r="14279" spans="1:3">
      <c r="A14279" s="1133"/>
      <c r="B14279" s="1136"/>
      <c r="C14279" s="1138"/>
    </row>
    <row r="14280" spans="1:3">
      <c r="A14280" s="1133"/>
      <c r="B14280" s="1136"/>
      <c r="C14280" s="1138"/>
    </row>
    <row r="14281" spans="1:3">
      <c r="A14281" s="1133"/>
      <c r="B14281" s="1136"/>
      <c r="C14281" s="1138"/>
    </row>
    <row r="14282" spans="1:3">
      <c r="A14282" s="1133"/>
      <c r="B14282" s="1136"/>
      <c r="C14282" s="1138"/>
    </row>
    <row r="14283" spans="1:3">
      <c r="A14283" s="1133"/>
      <c r="B14283" s="1136"/>
      <c r="C14283" s="1138"/>
    </row>
    <row r="14284" spans="1:3">
      <c r="A14284" s="1133"/>
      <c r="B14284" s="1136"/>
      <c r="C14284" s="1138"/>
    </row>
    <row r="14285" spans="1:3">
      <c r="A14285" s="1133"/>
      <c r="B14285" s="1136"/>
      <c r="C14285" s="1138"/>
    </row>
    <row r="14286" spans="1:3">
      <c r="A14286" s="1133"/>
      <c r="B14286" s="1136"/>
      <c r="C14286" s="1138"/>
    </row>
    <row r="14287" spans="1:3">
      <c r="A14287" s="1133"/>
      <c r="B14287" s="1136"/>
      <c r="C14287" s="1138"/>
    </row>
    <row r="14288" spans="1:3">
      <c r="A14288" s="1133"/>
      <c r="B14288" s="1136"/>
      <c r="C14288" s="1138"/>
    </row>
    <row r="14289" spans="1:3">
      <c r="A14289" s="1133"/>
      <c r="B14289" s="1136"/>
      <c r="C14289" s="1138"/>
    </row>
    <row r="14290" spans="1:3">
      <c r="A14290" s="1133"/>
      <c r="B14290" s="1136"/>
      <c r="C14290" s="1138"/>
    </row>
    <row r="14291" spans="1:3">
      <c r="A14291" s="1133"/>
      <c r="B14291" s="1136"/>
      <c r="C14291" s="1138"/>
    </row>
    <row r="14292" spans="1:3">
      <c r="A14292" s="1133"/>
      <c r="B14292" s="1136"/>
      <c r="C14292" s="1138"/>
    </row>
    <row r="14293" spans="1:3">
      <c r="A14293" s="1133"/>
      <c r="B14293" s="1136"/>
      <c r="C14293" s="1138"/>
    </row>
    <row r="14294" spans="1:3">
      <c r="A14294" s="1133"/>
      <c r="B14294" s="1136"/>
      <c r="C14294" s="1138"/>
    </row>
    <row r="14295" spans="1:3">
      <c r="A14295" s="1133"/>
      <c r="B14295" s="1136"/>
      <c r="C14295" s="1138"/>
    </row>
    <row r="14296" spans="1:3">
      <c r="A14296" s="1133"/>
      <c r="B14296" s="1136"/>
      <c r="C14296" s="1138"/>
    </row>
    <row r="14297" spans="1:3">
      <c r="A14297" s="1133"/>
      <c r="B14297" s="1136"/>
      <c r="C14297" s="1138"/>
    </row>
    <row r="14298" spans="1:3">
      <c r="A14298" s="1133"/>
      <c r="B14298" s="1136"/>
      <c r="C14298" s="1138"/>
    </row>
    <row r="14299" spans="1:3">
      <c r="A14299" s="1133"/>
      <c r="B14299" s="1136"/>
      <c r="C14299" s="1138"/>
    </row>
    <row r="14300" spans="1:3">
      <c r="A14300" s="1133"/>
      <c r="B14300" s="1136"/>
      <c r="C14300" s="1138"/>
    </row>
    <row r="14301" spans="1:3">
      <c r="A14301" s="1133"/>
      <c r="B14301" s="1136"/>
      <c r="C14301" s="1138"/>
    </row>
    <row r="14302" spans="1:3">
      <c r="A14302" s="1133"/>
      <c r="B14302" s="1136"/>
      <c r="C14302" s="1138"/>
    </row>
    <row r="14303" spans="1:3">
      <c r="A14303" s="1133"/>
      <c r="B14303" s="1136"/>
      <c r="C14303" s="1138"/>
    </row>
    <row r="14304" spans="1:3">
      <c r="A14304" s="1133"/>
      <c r="B14304" s="1136"/>
      <c r="C14304" s="1138"/>
    </row>
    <row r="14305" spans="1:3">
      <c r="A14305" s="1133"/>
      <c r="B14305" s="1136"/>
      <c r="C14305" s="1138"/>
    </row>
    <row r="14306" spans="1:3">
      <c r="A14306" s="1133"/>
      <c r="B14306" s="1136"/>
      <c r="C14306" s="1138"/>
    </row>
    <row r="14307" spans="1:3">
      <c r="A14307" s="1133"/>
      <c r="B14307" s="1136"/>
      <c r="C14307" s="1138"/>
    </row>
    <row r="14308" spans="1:3">
      <c r="A14308" s="1133"/>
      <c r="B14308" s="1136"/>
      <c r="C14308" s="1138"/>
    </row>
    <row r="14309" spans="1:3">
      <c r="A14309" s="1133"/>
      <c r="B14309" s="1136"/>
      <c r="C14309" s="1138"/>
    </row>
    <row r="14310" spans="1:3">
      <c r="A14310" s="1133"/>
      <c r="B14310" s="1136"/>
      <c r="C14310" s="1138"/>
    </row>
    <row r="14311" spans="1:3">
      <c r="A14311" s="1133"/>
      <c r="B14311" s="1136"/>
      <c r="C14311" s="1138"/>
    </row>
    <row r="14312" spans="1:3">
      <c r="A14312" s="1133"/>
      <c r="B14312" s="1136"/>
      <c r="C14312" s="1138"/>
    </row>
    <row r="14313" spans="1:3">
      <c r="A14313" s="1133"/>
      <c r="B14313" s="1136"/>
      <c r="C14313" s="1138"/>
    </row>
    <row r="14314" spans="1:3">
      <c r="A14314" s="1133"/>
      <c r="B14314" s="1136"/>
      <c r="C14314" s="1138"/>
    </row>
    <row r="14315" spans="1:3">
      <c r="A14315" s="1133"/>
      <c r="B14315" s="1136"/>
      <c r="C14315" s="1138"/>
    </row>
    <row r="14316" spans="1:3">
      <c r="A14316" s="1133"/>
      <c r="B14316" s="1136"/>
      <c r="C14316" s="1138"/>
    </row>
    <row r="14317" spans="1:3">
      <c r="A14317" s="1133"/>
      <c r="B14317" s="1136"/>
      <c r="C14317" s="1138"/>
    </row>
    <row r="14318" spans="1:3">
      <c r="A14318" s="1133"/>
      <c r="B14318" s="1136"/>
      <c r="C14318" s="1138"/>
    </row>
    <row r="14319" spans="1:3">
      <c r="A14319" s="1133"/>
      <c r="B14319" s="1136"/>
      <c r="C14319" s="1138"/>
    </row>
    <row r="14320" spans="1:3">
      <c r="A14320" s="1133"/>
      <c r="B14320" s="1136"/>
      <c r="C14320" s="1138"/>
    </row>
    <row r="14321" spans="1:3">
      <c r="A14321" s="1133"/>
      <c r="B14321" s="1136"/>
      <c r="C14321" s="1138"/>
    </row>
    <row r="14322" spans="1:3">
      <c r="A14322" s="1133"/>
      <c r="B14322" s="1136"/>
      <c r="C14322" s="1138"/>
    </row>
    <row r="14323" spans="1:3">
      <c r="A14323" s="1133"/>
      <c r="B14323" s="1136"/>
      <c r="C14323" s="1138"/>
    </row>
    <row r="14324" spans="1:3">
      <c r="A14324" s="1133"/>
      <c r="B14324" s="1136"/>
      <c r="C14324" s="1138"/>
    </row>
    <row r="14325" spans="1:3">
      <c r="A14325" s="1133"/>
      <c r="B14325" s="1136"/>
      <c r="C14325" s="1138"/>
    </row>
    <row r="14326" spans="1:3">
      <c r="A14326" s="1133"/>
      <c r="B14326" s="1136"/>
      <c r="C14326" s="1138"/>
    </row>
    <row r="14327" spans="1:3">
      <c r="A14327" s="1133"/>
      <c r="B14327" s="1136"/>
      <c r="C14327" s="1138"/>
    </row>
    <row r="14328" spans="1:3">
      <c r="A14328" s="1133"/>
      <c r="B14328" s="1136"/>
      <c r="C14328" s="1138"/>
    </row>
    <row r="14329" spans="1:3">
      <c r="A14329" s="1133"/>
      <c r="B14329" s="1136"/>
      <c r="C14329" s="1138"/>
    </row>
    <row r="14330" spans="1:3">
      <c r="A14330" s="1133"/>
      <c r="B14330" s="1136"/>
      <c r="C14330" s="1138"/>
    </row>
    <row r="14331" spans="1:3">
      <c r="A14331" s="1133"/>
      <c r="B14331" s="1136"/>
      <c r="C14331" s="1138"/>
    </row>
    <row r="14332" spans="1:3">
      <c r="A14332" s="1133"/>
      <c r="B14332" s="1136"/>
      <c r="C14332" s="1138"/>
    </row>
    <row r="14333" spans="1:3">
      <c r="A14333" s="1133"/>
      <c r="B14333" s="1136"/>
      <c r="C14333" s="1138"/>
    </row>
    <row r="14334" spans="1:3">
      <c r="A14334" s="1133"/>
      <c r="B14334" s="1136"/>
      <c r="C14334" s="1138"/>
    </row>
    <row r="14335" spans="1:3">
      <c r="A14335" s="1133"/>
      <c r="B14335" s="1136"/>
      <c r="C14335" s="1138"/>
    </row>
    <row r="14336" spans="1:3">
      <c r="A14336" s="1133"/>
      <c r="B14336" s="1136"/>
      <c r="C14336" s="1138"/>
    </row>
    <row r="14337" spans="1:3">
      <c r="A14337" s="1133"/>
      <c r="B14337" s="1136"/>
      <c r="C14337" s="1138"/>
    </row>
    <row r="14338" spans="1:3">
      <c r="A14338" s="1133"/>
      <c r="B14338" s="1136"/>
      <c r="C14338" s="1138"/>
    </row>
    <row r="14339" spans="1:3">
      <c r="A14339" s="1133"/>
      <c r="B14339" s="1136"/>
      <c r="C14339" s="1138"/>
    </row>
    <row r="14340" spans="1:3">
      <c r="A14340" s="1133"/>
      <c r="B14340" s="1136"/>
      <c r="C14340" s="1138"/>
    </row>
    <row r="14341" spans="1:3">
      <c r="A14341" s="1133"/>
      <c r="B14341" s="1136"/>
      <c r="C14341" s="1138"/>
    </row>
    <row r="14342" spans="1:3">
      <c r="A14342" s="1133"/>
      <c r="B14342" s="1136"/>
      <c r="C14342" s="1138"/>
    </row>
    <row r="14343" spans="1:3">
      <c r="A14343" s="1133"/>
      <c r="B14343" s="1136"/>
      <c r="C14343" s="1138"/>
    </row>
    <row r="14344" spans="1:3">
      <c r="A14344" s="1133"/>
      <c r="B14344" s="1136"/>
      <c r="C14344" s="1138"/>
    </row>
    <row r="14345" spans="1:3">
      <c r="A14345" s="1133"/>
      <c r="B14345" s="1136"/>
      <c r="C14345" s="1138"/>
    </row>
    <row r="14346" spans="1:3">
      <c r="A14346" s="1133"/>
      <c r="B14346" s="1136"/>
      <c r="C14346" s="1138"/>
    </row>
    <row r="14347" spans="1:3">
      <c r="A14347" s="1133"/>
      <c r="B14347" s="1136"/>
      <c r="C14347" s="1138"/>
    </row>
    <row r="14348" spans="1:3">
      <c r="A14348" s="1133"/>
      <c r="B14348" s="1136"/>
      <c r="C14348" s="1138"/>
    </row>
    <row r="14349" spans="1:3">
      <c r="A14349" s="1133"/>
      <c r="B14349" s="1136"/>
      <c r="C14349" s="1138"/>
    </row>
    <row r="14350" spans="1:3">
      <c r="A14350" s="1133"/>
      <c r="B14350" s="1136"/>
      <c r="C14350" s="1138"/>
    </row>
    <row r="14351" spans="1:3">
      <c r="A14351" s="1133"/>
      <c r="B14351" s="1136"/>
      <c r="C14351" s="1138"/>
    </row>
    <row r="14352" spans="1:3">
      <c r="A14352" s="1133"/>
      <c r="B14352" s="1136"/>
      <c r="C14352" s="1138"/>
    </row>
    <row r="14353" spans="1:3">
      <c r="A14353" s="1133"/>
      <c r="B14353" s="1136"/>
      <c r="C14353" s="1138"/>
    </row>
    <row r="14354" spans="1:3">
      <c r="A14354" s="1133"/>
      <c r="B14354" s="1136"/>
      <c r="C14354" s="1138"/>
    </row>
    <row r="14355" spans="1:3">
      <c r="A14355" s="1133"/>
      <c r="B14355" s="1136"/>
      <c r="C14355" s="1138"/>
    </row>
    <row r="14356" spans="1:3">
      <c r="A14356" s="1133"/>
      <c r="B14356" s="1136"/>
      <c r="C14356" s="1138"/>
    </row>
    <row r="14357" spans="1:3">
      <c r="A14357" s="1133"/>
      <c r="B14357" s="1136"/>
      <c r="C14357" s="1138"/>
    </row>
    <row r="14358" spans="1:3">
      <c r="A14358" s="1133"/>
      <c r="B14358" s="1136"/>
      <c r="C14358" s="1138"/>
    </row>
    <row r="14359" spans="1:3">
      <c r="A14359" s="1133"/>
      <c r="B14359" s="1136"/>
      <c r="C14359" s="1138"/>
    </row>
    <row r="14360" spans="1:3">
      <c r="A14360" s="1133"/>
      <c r="B14360" s="1136"/>
      <c r="C14360" s="1138"/>
    </row>
    <row r="14361" spans="1:3">
      <c r="A14361" s="1133"/>
      <c r="B14361" s="1136"/>
      <c r="C14361" s="1138"/>
    </row>
    <row r="14362" spans="1:3">
      <c r="A14362" s="1133"/>
      <c r="B14362" s="1136"/>
      <c r="C14362" s="1138"/>
    </row>
    <row r="14363" spans="1:3">
      <c r="A14363" s="1133"/>
      <c r="B14363" s="1136"/>
      <c r="C14363" s="1138"/>
    </row>
    <row r="14364" spans="1:3">
      <c r="A14364" s="1133"/>
      <c r="B14364" s="1136"/>
      <c r="C14364" s="1138"/>
    </row>
    <row r="14365" spans="1:3">
      <c r="A14365" s="1133"/>
      <c r="B14365" s="1136"/>
      <c r="C14365" s="1138"/>
    </row>
    <row r="14366" spans="1:3">
      <c r="A14366" s="1133"/>
      <c r="B14366" s="1136"/>
      <c r="C14366" s="1138"/>
    </row>
    <row r="14367" spans="1:3">
      <c r="A14367" s="1133"/>
      <c r="B14367" s="1136"/>
      <c r="C14367" s="1138"/>
    </row>
    <row r="14368" spans="1:3">
      <c r="A14368" s="1133"/>
      <c r="B14368" s="1136"/>
      <c r="C14368" s="1138"/>
    </row>
    <row r="14369" spans="1:3">
      <c r="A14369" s="1133"/>
      <c r="B14369" s="1136"/>
      <c r="C14369" s="1138"/>
    </row>
    <row r="14370" spans="1:3">
      <c r="A14370" s="1133"/>
      <c r="B14370" s="1136"/>
      <c r="C14370" s="1138"/>
    </row>
    <row r="14371" spans="1:3">
      <c r="A14371" s="1133"/>
      <c r="B14371" s="1136"/>
      <c r="C14371" s="1138"/>
    </row>
    <row r="14372" spans="1:3">
      <c r="A14372" s="1133"/>
      <c r="B14372" s="1136"/>
      <c r="C14372" s="1138"/>
    </row>
    <row r="14373" spans="1:3">
      <c r="A14373" s="1133"/>
      <c r="B14373" s="1136"/>
      <c r="C14373" s="1138"/>
    </row>
    <row r="14374" spans="1:3">
      <c r="A14374" s="1133"/>
      <c r="B14374" s="1136"/>
      <c r="C14374" s="1138"/>
    </row>
    <row r="14375" spans="1:3">
      <c r="A14375" s="1133"/>
      <c r="B14375" s="1136"/>
      <c r="C14375" s="1138"/>
    </row>
    <row r="14376" spans="1:3">
      <c r="A14376" s="1133"/>
      <c r="B14376" s="1136"/>
      <c r="C14376" s="1138"/>
    </row>
    <row r="14377" spans="1:3">
      <c r="A14377" s="1133"/>
      <c r="B14377" s="1136"/>
      <c r="C14377" s="1138"/>
    </row>
    <row r="14378" spans="1:3">
      <c r="A14378" s="1133"/>
      <c r="B14378" s="1136"/>
      <c r="C14378" s="1138"/>
    </row>
    <row r="14379" spans="1:3">
      <c r="A14379" s="1133"/>
      <c r="B14379" s="1136"/>
      <c r="C14379" s="1138"/>
    </row>
    <row r="14380" spans="1:3">
      <c r="A14380" s="1133"/>
      <c r="B14380" s="1136"/>
      <c r="C14380" s="1138"/>
    </row>
    <row r="14381" spans="1:3">
      <c r="A14381" s="1133"/>
      <c r="B14381" s="1136"/>
      <c r="C14381" s="1138"/>
    </row>
    <row r="14382" spans="1:3">
      <c r="A14382" s="1133"/>
      <c r="B14382" s="1136"/>
      <c r="C14382" s="1138"/>
    </row>
    <row r="14383" spans="1:3">
      <c r="A14383" s="1133"/>
      <c r="B14383" s="1136"/>
      <c r="C14383" s="1138"/>
    </row>
    <row r="14384" spans="1:3">
      <c r="A14384" s="1133"/>
      <c r="B14384" s="1136"/>
      <c r="C14384" s="1138"/>
    </row>
    <row r="14385" spans="1:3">
      <c r="A14385" s="1133"/>
      <c r="B14385" s="1136"/>
      <c r="C14385" s="1138"/>
    </row>
    <row r="14386" spans="1:3">
      <c r="A14386" s="1133"/>
      <c r="B14386" s="1136"/>
      <c r="C14386" s="1138"/>
    </row>
    <row r="14387" spans="1:3">
      <c r="A14387" s="1133"/>
      <c r="B14387" s="1136"/>
      <c r="C14387" s="1138"/>
    </row>
    <row r="14388" spans="1:3">
      <c r="A14388" s="1133"/>
      <c r="B14388" s="1136"/>
      <c r="C14388" s="1138"/>
    </row>
    <row r="14389" spans="1:3">
      <c r="A14389" s="1133"/>
      <c r="B14389" s="1136"/>
      <c r="C14389" s="1138"/>
    </row>
    <row r="14390" spans="1:3">
      <c r="A14390" s="1133"/>
      <c r="B14390" s="1136"/>
      <c r="C14390" s="1138"/>
    </row>
    <row r="14391" spans="1:3">
      <c r="A14391" s="1133"/>
      <c r="B14391" s="1136"/>
      <c r="C14391" s="1138"/>
    </row>
    <row r="14392" spans="1:3">
      <c r="A14392" s="1133"/>
      <c r="B14392" s="1136"/>
      <c r="C14392" s="1138"/>
    </row>
    <row r="14393" spans="1:3">
      <c r="A14393" s="1133"/>
      <c r="B14393" s="1136"/>
      <c r="C14393" s="1138"/>
    </row>
    <row r="14394" spans="1:3">
      <c r="A14394" s="1133"/>
      <c r="B14394" s="1136"/>
      <c r="C14394" s="1138"/>
    </row>
    <row r="14395" spans="1:3">
      <c r="A14395" s="1133"/>
      <c r="B14395" s="1136"/>
      <c r="C14395" s="1138"/>
    </row>
    <row r="14396" spans="1:3">
      <c r="A14396" s="1133"/>
      <c r="B14396" s="1136"/>
      <c r="C14396" s="1138"/>
    </row>
    <row r="14397" spans="1:3">
      <c r="A14397" s="1133"/>
      <c r="B14397" s="1136"/>
      <c r="C14397" s="1138"/>
    </row>
    <row r="14398" spans="1:3">
      <c r="A14398" s="1133"/>
      <c r="B14398" s="1136"/>
      <c r="C14398" s="1138"/>
    </row>
    <row r="14399" spans="1:3">
      <c r="A14399" s="1133"/>
      <c r="B14399" s="1136"/>
      <c r="C14399" s="1138"/>
    </row>
    <row r="14400" spans="1:3">
      <c r="A14400" s="1133"/>
      <c r="B14400" s="1136"/>
      <c r="C14400" s="1138"/>
    </row>
    <row r="14401" spans="1:3">
      <c r="A14401" s="1133"/>
      <c r="B14401" s="1136"/>
      <c r="C14401" s="1138"/>
    </row>
    <row r="14402" spans="1:3">
      <c r="A14402" s="1133"/>
      <c r="B14402" s="1136"/>
      <c r="C14402" s="1138"/>
    </row>
    <row r="14403" spans="1:3">
      <c r="A14403" s="1133"/>
      <c r="B14403" s="1136"/>
      <c r="C14403" s="1138"/>
    </row>
    <row r="14404" spans="1:3">
      <c r="A14404" s="1133"/>
      <c r="B14404" s="1136"/>
      <c r="C14404" s="1138"/>
    </row>
    <row r="14405" spans="1:3">
      <c r="A14405" s="1133"/>
      <c r="B14405" s="1136"/>
      <c r="C14405" s="1138"/>
    </row>
    <row r="14406" spans="1:3">
      <c r="A14406" s="1133"/>
      <c r="B14406" s="1136"/>
      <c r="C14406" s="1138"/>
    </row>
    <row r="14407" spans="1:3">
      <c r="A14407" s="1133"/>
      <c r="B14407" s="1136"/>
      <c r="C14407" s="1138"/>
    </row>
    <row r="14408" spans="1:3">
      <c r="A14408" s="1133"/>
      <c r="B14408" s="1136"/>
      <c r="C14408" s="1138"/>
    </row>
    <row r="14409" spans="1:3">
      <c r="A14409" s="1133"/>
      <c r="B14409" s="1136"/>
      <c r="C14409" s="1138"/>
    </row>
    <row r="14410" spans="1:3">
      <c r="A14410" s="1133"/>
      <c r="B14410" s="1136"/>
      <c r="C14410" s="1138"/>
    </row>
    <row r="14411" spans="1:3">
      <c r="A14411" s="1133"/>
      <c r="B14411" s="1136"/>
      <c r="C14411" s="1138"/>
    </row>
    <row r="14412" spans="1:3">
      <c r="A14412" s="1133"/>
      <c r="B14412" s="1136"/>
      <c r="C14412" s="1138"/>
    </row>
    <row r="14413" spans="1:3">
      <c r="A14413" s="1133"/>
      <c r="B14413" s="1136"/>
      <c r="C14413" s="1138"/>
    </row>
    <row r="14414" spans="1:3">
      <c r="A14414" s="1133"/>
      <c r="B14414" s="1136"/>
      <c r="C14414" s="1138"/>
    </row>
    <row r="14415" spans="1:3">
      <c r="A14415" s="1133"/>
      <c r="B14415" s="1136"/>
      <c r="C14415" s="1138"/>
    </row>
    <row r="14416" spans="1:3">
      <c r="A14416" s="1133"/>
      <c r="B14416" s="1136"/>
      <c r="C14416" s="1138"/>
    </row>
    <row r="14417" spans="1:3">
      <c r="A14417" s="1133"/>
      <c r="B14417" s="1136"/>
      <c r="C14417" s="1138"/>
    </row>
    <row r="14418" spans="1:3">
      <c r="A14418" s="1133"/>
      <c r="B14418" s="1136"/>
      <c r="C14418" s="1138"/>
    </row>
    <row r="14419" spans="1:3">
      <c r="A14419" s="1133"/>
      <c r="B14419" s="1136"/>
      <c r="C14419" s="1138"/>
    </row>
    <row r="14420" spans="1:3">
      <c r="A14420" s="1133"/>
      <c r="B14420" s="1136"/>
      <c r="C14420" s="1138"/>
    </row>
    <row r="14421" spans="1:3">
      <c r="A14421" s="1133"/>
      <c r="B14421" s="1136"/>
      <c r="C14421" s="1138"/>
    </row>
    <row r="14422" spans="1:3">
      <c r="A14422" s="1133"/>
      <c r="B14422" s="1136"/>
      <c r="C14422" s="1138"/>
    </row>
    <row r="14423" spans="1:3">
      <c r="A14423" s="1133"/>
      <c r="B14423" s="1136"/>
      <c r="C14423" s="1138"/>
    </row>
    <row r="14424" spans="1:3">
      <c r="A14424" s="1133"/>
      <c r="B14424" s="1136"/>
      <c r="C14424" s="1138"/>
    </row>
    <row r="14425" spans="1:3">
      <c r="A14425" s="1133"/>
      <c r="B14425" s="1136"/>
      <c r="C14425" s="1138"/>
    </row>
    <row r="14426" spans="1:3">
      <c r="A14426" s="1133"/>
      <c r="B14426" s="1136"/>
      <c r="C14426" s="1138"/>
    </row>
    <row r="14427" spans="1:3">
      <c r="A14427" s="1133"/>
      <c r="B14427" s="1136"/>
      <c r="C14427" s="1138"/>
    </row>
    <row r="14428" spans="1:3">
      <c r="A14428" s="1133"/>
      <c r="B14428" s="1136"/>
      <c r="C14428" s="1138"/>
    </row>
    <row r="14429" spans="1:3">
      <c r="A14429" s="1133"/>
      <c r="B14429" s="1136"/>
      <c r="C14429" s="1138"/>
    </row>
    <row r="14430" spans="1:3">
      <c r="A14430" s="1133"/>
      <c r="B14430" s="1136"/>
      <c r="C14430" s="1138"/>
    </row>
    <row r="14431" spans="1:3">
      <c r="A14431" s="1133"/>
      <c r="B14431" s="1136"/>
      <c r="C14431" s="1138"/>
    </row>
    <row r="14432" spans="1:3">
      <c r="A14432" s="1133"/>
      <c r="B14432" s="1136"/>
      <c r="C14432" s="1138"/>
    </row>
    <row r="14433" spans="1:3">
      <c r="A14433" s="1133"/>
      <c r="B14433" s="1136"/>
      <c r="C14433" s="1138"/>
    </row>
    <row r="14434" spans="1:3">
      <c r="A14434" s="1133"/>
      <c r="B14434" s="1136"/>
      <c r="C14434" s="1138"/>
    </row>
    <row r="14435" spans="1:3">
      <c r="A14435" s="1133"/>
      <c r="B14435" s="1136"/>
      <c r="C14435" s="1138"/>
    </row>
    <row r="14436" spans="1:3">
      <c r="A14436" s="1133"/>
      <c r="B14436" s="1136"/>
      <c r="C14436" s="1138"/>
    </row>
    <row r="14437" spans="1:3">
      <c r="A14437" s="1133"/>
      <c r="B14437" s="1136"/>
      <c r="C14437" s="1138"/>
    </row>
    <row r="14438" spans="1:3">
      <c r="A14438" s="1133"/>
      <c r="B14438" s="1136"/>
      <c r="C14438" s="1138"/>
    </row>
    <row r="14439" spans="1:3">
      <c r="A14439" s="1133"/>
      <c r="B14439" s="1136"/>
      <c r="C14439" s="1138"/>
    </row>
    <row r="14440" spans="1:3">
      <c r="A14440" s="1133"/>
      <c r="B14440" s="1136"/>
      <c r="C14440" s="1138"/>
    </row>
    <row r="14441" spans="1:3">
      <c r="A14441" s="1133"/>
      <c r="B14441" s="1136"/>
      <c r="C14441" s="1138"/>
    </row>
    <row r="14442" spans="1:3">
      <c r="A14442" s="1133"/>
      <c r="B14442" s="1136"/>
      <c r="C14442" s="1138"/>
    </row>
    <row r="14443" spans="1:3">
      <c r="A14443" s="1133"/>
      <c r="B14443" s="1136"/>
      <c r="C14443" s="1138"/>
    </row>
    <row r="14444" spans="1:3">
      <c r="A14444" s="1133"/>
      <c r="B14444" s="1136"/>
      <c r="C14444" s="1138"/>
    </row>
    <row r="14445" spans="1:3">
      <c r="A14445" s="1133"/>
      <c r="B14445" s="1136"/>
      <c r="C14445" s="1138"/>
    </row>
    <row r="14446" spans="1:3">
      <c r="A14446" s="1133"/>
      <c r="B14446" s="1136"/>
      <c r="C14446" s="1138"/>
    </row>
    <row r="14447" spans="1:3">
      <c r="A14447" s="1133"/>
      <c r="B14447" s="1136"/>
      <c r="C14447" s="1138"/>
    </row>
    <row r="14448" spans="1:3">
      <c r="A14448" s="1133"/>
      <c r="B14448" s="1136"/>
      <c r="C14448" s="1138"/>
    </row>
    <row r="14449" spans="1:3">
      <c r="A14449" s="1133"/>
      <c r="B14449" s="1136"/>
      <c r="C14449" s="1138"/>
    </row>
    <row r="14450" spans="1:3">
      <c r="A14450" s="1133"/>
      <c r="B14450" s="1136"/>
      <c r="C14450" s="1138"/>
    </row>
    <row r="14451" spans="1:3">
      <c r="A14451" s="1133"/>
      <c r="B14451" s="1136"/>
      <c r="C14451" s="1138"/>
    </row>
    <row r="14452" spans="1:3">
      <c r="A14452" s="1133"/>
      <c r="B14452" s="1136"/>
      <c r="C14452" s="1138"/>
    </row>
    <row r="14453" spans="1:3">
      <c r="A14453" s="1133"/>
      <c r="B14453" s="1136"/>
      <c r="C14453" s="1138"/>
    </row>
    <row r="14454" spans="1:3">
      <c r="A14454" s="1133"/>
      <c r="B14454" s="1136"/>
      <c r="C14454" s="1138"/>
    </row>
    <row r="14455" spans="1:3">
      <c r="A14455" s="1133"/>
      <c r="B14455" s="1136"/>
      <c r="C14455" s="1138"/>
    </row>
    <row r="14456" spans="1:3">
      <c r="A14456" s="1133"/>
      <c r="B14456" s="1136"/>
      <c r="C14456" s="1138"/>
    </row>
    <row r="14457" spans="1:3">
      <c r="A14457" s="1133"/>
      <c r="B14457" s="1136"/>
      <c r="C14457" s="1138"/>
    </row>
    <row r="14458" spans="1:3">
      <c r="A14458" s="1133"/>
      <c r="B14458" s="1136"/>
      <c r="C14458" s="1138"/>
    </row>
    <row r="14459" spans="1:3">
      <c r="A14459" s="1133"/>
      <c r="B14459" s="1136"/>
      <c r="C14459" s="1138"/>
    </row>
    <row r="14460" spans="1:3">
      <c r="A14460" s="1133"/>
      <c r="B14460" s="1136"/>
      <c r="C14460" s="1138"/>
    </row>
    <row r="14461" spans="1:3">
      <c r="A14461" s="1133"/>
      <c r="B14461" s="1136"/>
      <c r="C14461" s="1138"/>
    </row>
    <row r="14462" spans="1:3">
      <c r="A14462" s="1133"/>
      <c r="B14462" s="1136"/>
      <c r="C14462" s="1138"/>
    </row>
    <row r="14463" spans="1:3">
      <c r="A14463" s="1133"/>
      <c r="B14463" s="1136"/>
      <c r="C14463" s="1138"/>
    </row>
    <row r="14464" spans="1:3">
      <c r="A14464" s="1133"/>
      <c r="B14464" s="1136"/>
      <c r="C14464" s="1138"/>
    </row>
    <row r="14465" spans="1:3">
      <c r="A14465" s="1133"/>
      <c r="B14465" s="1136"/>
      <c r="C14465" s="1138"/>
    </row>
    <row r="14466" spans="1:3">
      <c r="A14466" s="1133"/>
      <c r="B14466" s="1136"/>
      <c r="C14466" s="1138"/>
    </row>
    <row r="14467" spans="1:3">
      <c r="A14467" s="1133"/>
      <c r="B14467" s="1136"/>
      <c r="C14467" s="1138"/>
    </row>
    <row r="14468" spans="1:3">
      <c r="A14468" s="1133"/>
      <c r="B14468" s="1136"/>
      <c r="C14468" s="1138"/>
    </row>
    <row r="14469" spans="1:3">
      <c r="A14469" s="1133"/>
      <c r="B14469" s="1136"/>
      <c r="C14469" s="1138"/>
    </row>
    <row r="14470" spans="1:3">
      <c r="A14470" s="1133"/>
      <c r="B14470" s="1136"/>
      <c r="C14470" s="1138"/>
    </row>
    <row r="14471" spans="1:3">
      <c r="A14471" s="1133"/>
      <c r="B14471" s="1136"/>
      <c r="C14471" s="1138"/>
    </row>
    <row r="14472" spans="1:3">
      <c r="A14472" s="1133"/>
      <c r="B14472" s="1136"/>
      <c r="C14472" s="1138"/>
    </row>
    <row r="14473" spans="1:3">
      <c r="A14473" s="1133"/>
      <c r="B14473" s="1136"/>
      <c r="C14473" s="1138"/>
    </row>
    <row r="14474" spans="1:3">
      <c r="A14474" s="1133"/>
      <c r="B14474" s="1136"/>
      <c r="C14474" s="1138"/>
    </row>
    <row r="14475" spans="1:3">
      <c r="A14475" s="1133"/>
      <c r="B14475" s="1136"/>
      <c r="C14475" s="1138"/>
    </row>
    <row r="14476" spans="1:3">
      <c r="A14476" s="1133"/>
      <c r="B14476" s="1136"/>
      <c r="C14476" s="1138"/>
    </row>
    <row r="14477" spans="1:3">
      <c r="A14477" s="1133"/>
      <c r="B14477" s="1136"/>
      <c r="C14477" s="1138"/>
    </row>
    <row r="14478" spans="1:3">
      <c r="A14478" s="1133"/>
      <c r="B14478" s="1136"/>
      <c r="C14478" s="1138"/>
    </row>
    <row r="14479" spans="1:3">
      <c r="A14479" s="1133"/>
      <c r="B14479" s="1136"/>
      <c r="C14479" s="1138"/>
    </row>
    <row r="14480" spans="1:3">
      <c r="A14480" s="1133"/>
      <c r="B14480" s="1136"/>
      <c r="C14480" s="1138"/>
    </row>
    <row r="14481" spans="1:3">
      <c r="A14481" s="1133"/>
      <c r="B14481" s="1136"/>
      <c r="C14481" s="1138"/>
    </row>
    <row r="14482" spans="1:3">
      <c r="A14482" s="1133"/>
      <c r="B14482" s="1136"/>
      <c r="C14482" s="1138"/>
    </row>
    <row r="14483" spans="1:3">
      <c r="A14483" s="1133"/>
      <c r="B14483" s="1136"/>
      <c r="C14483" s="1138"/>
    </row>
    <row r="14484" spans="1:3">
      <c r="A14484" s="1133"/>
      <c r="B14484" s="1136"/>
      <c r="C14484" s="1138"/>
    </row>
    <row r="14485" spans="1:3">
      <c r="A14485" s="1133"/>
      <c r="B14485" s="1136"/>
      <c r="C14485" s="1138"/>
    </row>
    <row r="14486" spans="1:3">
      <c r="A14486" s="1133"/>
      <c r="B14486" s="1136"/>
      <c r="C14486" s="1138"/>
    </row>
    <row r="14487" spans="1:3">
      <c r="A14487" s="1133"/>
      <c r="B14487" s="1136"/>
      <c r="C14487" s="1138"/>
    </row>
    <row r="14488" spans="1:3">
      <c r="A14488" s="1133"/>
      <c r="B14488" s="1136"/>
      <c r="C14488" s="1138"/>
    </row>
    <row r="14489" spans="1:3">
      <c r="A14489" s="1133"/>
      <c r="B14489" s="1136"/>
      <c r="C14489" s="1138"/>
    </row>
    <row r="14490" spans="1:3">
      <c r="A14490" s="1133"/>
      <c r="B14490" s="1136"/>
      <c r="C14490" s="1138"/>
    </row>
    <row r="14491" spans="1:3">
      <c r="A14491" s="1133"/>
      <c r="B14491" s="1136"/>
      <c r="C14491" s="1138"/>
    </row>
    <row r="14492" spans="1:3">
      <c r="A14492" s="1133"/>
      <c r="B14492" s="1136"/>
      <c r="C14492" s="1138"/>
    </row>
    <row r="14493" spans="1:3">
      <c r="A14493" s="1133"/>
      <c r="B14493" s="1136"/>
      <c r="C14493" s="1138"/>
    </row>
    <row r="14494" spans="1:3">
      <c r="A14494" s="1133"/>
      <c r="B14494" s="1136"/>
      <c r="C14494" s="1138"/>
    </row>
    <row r="14495" spans="1:3">
      <c r="A14495" s="1133"/>
      <c r="B14495" s="1136"/>
      <c r="C14495" s="1138"/>
    </row>
    <row r="14496" spans="1:3">
      <c r="A14496" s="1133"/>
      <c r="B14496" s="1136"/>
      <c r="C14496" s="1138"/>
    </row>
    <row r="14497" spans="1:3">
      <c r="A14497" s="1133"/>
      <c r="B14497" s="1136"/>
      <c r="C14497" s="1138"/>
    </row>
    <row r="14498" spans="1:3">
      <c r="A14498" s="1133"/>
      <c r="B14498" s="1136"/>
      <c r="C14498" s="1138"/>
    </row>
    <row r="14499" spans="1:3">
      <c r="A14499" s="1133"/>
      <c r="B14499" s="1136"/>
      <c r="C14499" s="1138"/>
    </row>
    <row r="14500" spans="1:3">
      <c r="A14500" s="1133"/>
      <c r="B14500" s="1136"/>
      <c r="C14500" s="1138"/>
    </row>
    <row r="14501" spans="1:3">
      <c r="A14501" s="1133"/>
      <c r="B14501" s="1136"/>
      <c r="C14501" s="1138"/>
    </row>
    <row r="14502" spans="1:3">
      <c r="A14502" s="1133"/>
      <c r="B14502" s="1136"/>
      <c r="C14502" s="1138"/>
    </row>
    <row r="14503" spans="1:3">
      <c r="A14503" s="1133"/>
      <c r="B14503" s="1136"/>
      <c r="C14503" s="1138"/>
    </row>
    <row r="14504" spans="1:3">
      <c r="A14504" s="1133"/>
      <c r="B14504" s="1136"/>
      <c r="C14504" s="1138"/>
    </row>
    <row r="14505" spans="1:3">
      <c r="A14505" s="1133"/>
      <c r="B14505" s="1136"/>
      <c r="C14505" s="1138"/>
    </row>
    <row r="14506" spans="1:3">
      <c r="A14506" s="1133"/>
      <c r="B14506" s="1136"/>
      <c r="C14506" s="1138"/>
    </row>
    <row r="14507" spans="1:3">
      <c r="A14507" s="1133"/>
      <c r="B14507" s="1136"/>
      <c r="C14507" s="1138"/>
    </row>
    <row r="14508" spans="1:3">
      <c r="A14508" s="1133"/>
      <c r="B14508" s="1136"/>
      <c r="C14508" s="1138"/>
    </row>
    <row r="14509" spans="1:3">
      <c r="A14509" s="1133"/>
      <c r="B14509" s="1136"/>
      <c r="C14509" s="1138"/>
    </row>
    <row r="14510" spans="1:3">
      <c r="A14510" s="1133"/>
      <c r="B14510" s="1136"/>
      <c r="C14510" s="1138"/>
    </row>
    <row r="14511" spans="1:3">
      <c r="A14511" s="1133"/>
      <c r="B14511" s="1136"/>
      <c r="C14511" s="1138"/>
    </row>
    <row r="14512" spans="1:3">
      <c r="A14512" s="1133"/>
      <c r="B14512" s="1136"/>
      <c r="C14512" s="1138"/>
    </row>
    <row r="14513" spans="1:3">
      <c r="A14513" s="1133"/>
      <c r="B14513" s="1136"/>
      <c r="C14513" s="1138"/>
    </row>
    <row r="14514" spans="1:3">
      <c r="A14514" s="1133"/>
      <c r="B14514" s="1136"/>
      <c r="C14514" s="1138"/>
    </row>
    <row r="14515" spans="1:3">
      <c r="A14515" s="1133"/>
      <c r="B14515" s="1136"/>
      <c r="C14515" s="1138"/>
    </row>
    <row r="14516" spans="1:3">
      <c r="A14516" s="1133"/>
      <c r="B14516" s="1136"/>
      <c r="C14516" s="1138"/>
    </row>
    <row r="14517" spans="1:3">
      <c r="A14517" s="1133"/>
      <c r="B14517" s="1136"/>
      <c r="C14517" s="1138"/>
    </row>
    <row r="14518" spans="1:3">
      <c r="A14518" s="1133"/>
      <c r="B14518" s="1136"/>
      <c r="C14518" s="1138"/>
    </row>
    <row r="14519" spans="1:3">
      <c r="A14519" s="1133"/>
      <c r="B14519" s="1136"/>
      <c r="C14519" s="1138"/>
    </row>
    <row r="14520" spans="1:3">
      <c r="A14520" s="1133"/>
      <c r="B14520" s="1136"/>
      <c r="C14520" s="1138"/>
    </row>
    <row r="14521" spans="1:3">
      <c r="A14521" s="1133"/>
      <c r="B14521" s="1136"/>
      <c r="C14521" s="1138"/>
    </row>
    <row r="14522" spans="1:3">
      <c r="A14522" s="1133"/>
      <c r="B14522" s="1136"/>
      <c r="C14522" s="1138"/>
    </row>
    <row r="14523" spans="1:3">
      <c r="A14523" s="1133"/>
      <c r="B14523" s="1136"/>
      <c r="C14523" s="1138"/>
    </row>
    <row r="14524" spans="1:3">
      <c r="A14524" s="1133"/>
      <c r="B14524" s="1136"/>
      <c r="C14524" s="1138"/>
    </row>
    <row r="14525" spans="1:3">
      <c r="A14525" s="1133"/>
      <c r="B14525" s="1136"/>
      <c r="C14525" s="1138"/>
    </row>
    <row r="14526" spans="1:3">
      <c r="A14526" s="1133"/>
      <c r="B14526" s="1136"/>
      <c r="C14526" s="1138"/>
    </row>
    <row r="14527" spans="1:3">
      <c r="A14527" s="1133"/>
      <c r="B14527" s="1136"/>
      <c r="C14527" s="1138"/>
    </row>
    <row r="14528" spans="1:3">
      <c r="A14528" s="1133"/>
      <c r="B14528" s="1136"/>
      <c r="C14528" s="1138"/>
    </row>
    <row r="14529" spans="1:3">
      <c r="A14529" s="1133"/>
      <c r="B14529" s="1136"/>
      <c r="C14529" s="1138"/>
    </row>
    <row r="14530" spans="1:3">
      <c r="A14530" s="1133"/>
      <c r="B14530" s="1136"/>
      <c r="C14530" s="1138"/>
    </row>
    <row r="14531" spans="1:3">
      <c r="A14531" s="1133"/>
      <c r="B14531" s="1136"/>
      <c r="C14531" s="1138"/>
    </row>
    <row r="14532" spans="1:3">
      <c r="A14532" s="1133"/>
      <c r="B14532" s="1136"/>
      <c r="C14532" s="1138"/>
    </row>
    <row r="14533" spans="1:3">
      <c r="A14533" s="1133"/>
      <c r="B14533" s="1136"/>
      <c r="C14533" s="1138"/>
    </row>
    <row r="14534" spans="1:3">
      <c r="A14534" s="1133"/>
      <c r="B14534" s="1136"/>
      <c r="C14534" s="1138"/>
    </row>
    <row r="14535" spans="1:3">
      <c r="A14535" s="1133"/>
      <c r="B14535" s="1136"/>
      <c r="C14535" s="1138"/>
    </row>
    <row r="14536" spans="1:3">
      <c r="A14536" s="1133"/>
      <c r="B14536" s="1136"/>
      <c r="C14536" s="1138"/>
    </row>
    <row r="14537" spans="1:3">
      <c r="A14537" s="1133"/>
      <c r="B14537" s="1136"/>
      <c r="C14537" s="1138"/>
    </row>
    <row r="14538" spans="1:3">
      <c r="A14538" s="1133"/>
      <c r="B14538" s="1136"/>
      <c r="C14538" s="1138"/>
    </row>
    <row r="14539" spans="1:3">
      <c r="A14539" s="1133"/>
      <c r="B14539" s="1136"/>
      <c r="C14539" s="1138"/>
    </row>
    <row r="14540" spans="1:3">
      <c r="A14540" s="1133"/>
      <c r="B14540" s="1136"/>
      <c r="C14540" s="1138"/>
    </row>
    <row r="14541" spans="1:3">
      <c r="A14541" s="1133"/>
      <c r="B14541" s="1136"/>
      <c r="C14541" s="1138"/>
    </row>
    <row r="14542" spans="1:3">
      <c r="A14542" s="1133"/>
      <c r="B14542" s="1136"/>
      <c r="C14542" s="1138"/>
    </row>
    <row r="14543" spans="1:3">
      <c r="A14543" s="1133"/>
      <c r="B14543" s="1136"/>
      <c r="C14543" s="1138"/>
    </row>
    <row r="14544" spans="1:3">
      <c r="A14544" s="1133"/>
      <c r="B14544" s="1136"/>
      <c r="C14544" s="1138"/>
    </row>
    <row r="14545" spans="1:3">
      <c r="A14545" s="1133"/>
      <c r="B14545" s="1136"/>
      <c r="C14545" s="1138"/>
    </row>
    <row r="14546" spans="1:3">
      <c r="A14546" s="1133"/>
      <c r="B14546" s="1136"/>
      <c r="C14546" s="1138"/>
    </row>
    <row r="14547" spans="1:3">
      <c r="A14547" s="1133"/>
      <c r="B14547" s="1136"/>
      <c r="C14547" s="1138"/>
    </row>
    <row r="14548" spans="1:3">
      <c r="A14548" s="1133"/>
      <c r="B14548" s="1136"/>
      <c r="C14548" s="1138"/>
    </row>
    <row r="14549" spans="1:3">
      <c r="A14549" s="1133"/>
      <c r="B14549" s="1136"/>
      <c r="C14549" s="1138"/>
    </row>
    <row r="14550" spans="1:3">
      <c r="A14550" s="1133"/>
      <c r="B14550" s="1136"/>
      <c r="C14550" s="1138"/>
    </row>
    <row r="14551" spans="1:3">
      <c r="A14551" s="1133"/>
      <c r="B14551" s="1136"/>
      <c r="C14551" s="1138"/>
    </row>
    <row r="14552" spans="1:3">
      <c r="A14552" s="1133"/>
      <c r="B14552" s="1136"/>
      <c r="C14552" s="1138"/>
    </row>
    <row r="14553" spans="1:3">
      <c r="A14553" s="1133"/>
      <c r="B14553" s="1136"/>
      <c r="C14553" s="1138"/>
    </row>
    <row r="14554" spans="1:3">
      <c r="A14554" s="1133"/>
      <c r="B14554" s="1136"/>
      <c r="C14554" s="1138"/>
    </row>
    <row r="14555" spans="1:3">
      <c r="A14555" s="1133"/>
      <c r="B14555" s="1136"/>
      <c r="C14555" s="1138"/>
    </row>
    <row r="14556" spans="1:3">
      <c r="A14556" s="1133"/>
      <c r="B14556" s="1136"/>
      <c r="C14556" s="1138"/>
    </row>
    <row r="14557" spans="1:3">
      <c r="A14557" s="1133"/>
      <c r="B14557" s="1136"/>
      <c r="C14557" s="1138"/>
    </row>
    <row r="14558" spans="1:3">
      <c r="A14558" s="1133"/>
      <c r="B14558" s="1136"/>
      <c r="C14558" s="1138"/>
    </row>
    <row r="14559" spans="1:3">
      <c r="A14559" s="1133"/>
      <c r="B14559" s="1136"/>
      <c r="C14559" s="1138"/>
    </row>
    <row r="14560" spans="1:3">
      <c r="A14560" s="1133"/>
      <c r="B14560" s="1136"/>
      <c r="C14560" s="1138"/>
    </row>
    <row r="14561" spans="1:3">
      <c r="A14561" s="1133"/>
      <c r="B14561" s="1136"/>
      <c r="C14561" s="1138"/>
    </row>
    <row r="14562" spans="1:3">
      <c r="A14562" s="1133"/>
      <c r="B14562" s="1136"/>
      <c r="C14562" s="1138"/>
    </row>
    <row r="14563" spans="1:3">
      <c r="A14563" s="1133"/>
      <c r="B14563" s="1136"/>
      <c r="C14563" s="1138"/>
    </row>
    <row r="14564" spans="1:3">
      <c r="A14564" s="1133"/>
      <c r="B14564" s="1136"/>
      <c r="C14564" s="1138"/>
    </row>
    <row r="14565" spans="1:3">
      <c r="A14565" s="1133"/>
      <c r="B14565" s="1136"/>
      <c r="C14565" s="1138"/>
    </row>
    <row r="14566" spans="1:3">
      <c r="A14566" s="1133"/>
      <c r="B14566" s="1136"/>
      <c r="C14566" s="1138"/>
    </row>
    <row r="14567" spans="1:3">
      <c r="A14567" s="1133"/>
      <c r="B14567" s="1136"/>
      <c r="C14567" s="1138"/>
    </row>
    <row r="14568" spans="1:3">
      <c r="A14568" s="1133"/>
      <c r="B14568" s="1136"/>
      <c r="C14568" s="1138"/>
    </row>
    <row r="14569" spans="1:3">
      <c r="A14569" s="1133"/>
      <c r="B14569" s="1136"/>
      <c r="C14569" s="1138"/>
    </row>
    <row r="14570" spans="1:3">
      <c r="A14570" s="1133"/>
      <c r="B14570" s="1136"/>
      <c r="C14570" s="1138"/>
    </row>
    <row r="14571" spans="1:3">
      <c r="A14571" s="1133"/>
      <c r="B14571" s="1136"/>
      <c r="C14571" s="1138"/>
    </row>
    <row r="14572" spans="1:3">
      <c r="A14572" s="1133"/>
      <c r="B14572" s="1136"/>
      <c r="C14572" s="1138"/>
    </row>
    <row r="14573" spans="1:3">
      <c r="A14573" s="1133"/>
      <c r="B14573" s="1136"/>
      <c r="C14573" s="1138"/>
    </row>
    <row r="14574" spans="1:3">
      <c r="A14574" s="1133"/>
      <c r="B14574" s="1136"/>
      <c r="C14574" s="1138"/>
    </row>
    <row r="14575" spans="1:3">
      <c r="A14575" s="1133"/>
      <c r="B14575" s="1136"/>
      <c r="C14575" s="1138"/>
    </row>
    <row r="14576" spans="1:3">
      <c r="A14576" s="1133"/>
      <c r="B14576" s="1136"/>
      <c r="C14576" s="1138"/>
    </row>
    <row r="14577" spans="1:3">
      <c r="A14577" s="1133"/>
      <c r="B14577" s="1136"/>
      <c r="C14577" s="1138"/>
    </row>
    <row r="14578" spans="1:3">
      <c r="A14578" s="1133"/>
      <c r="B14578" s="1136"/>
      <c r="C14578" s="1138"/>
    </row>
    <row r="14579" spans="1:3">
      <c r="A14579" s="1133"/>
      <c r="B14579" s="1136"/>
      <c r="C14579" s="1138"/>
    </row>
    <row r="14580" spans="1:3">
      <c r="A14580" s="1133"/>
      <c r="B14580" s="1136"/>
      <c r="C14580" s="1138"/>
    </row>
    <row r="14581" spans="1:3">
      <c r="A14581" s="1133"/>
      <c r="B14581" s="1136"/>
      <c r="C14581" s="1138"/>
    </row>
    <row r="14582" spans="1:3">
      <c r="A14582" s="1133"/>
      <c r="B14582" s="1136"/>
      <c r="C14582" s="1138"/>
    </row>
    <row r="14583" spans="1:3">
      <c r="A14583" s="1133"/>
      <c r="B14583" s="1136"/>
      <c r="C14583" s="1138"/>
    </row>
    <row r="14584" spans="1:3">
      <c r="A14584" s="1133"/>
      <c r="B14584" s="1136"/>
      <c r="C14584" s="1138"/>
    </row>
    <row r="14585" spans="1:3">
      <c r="A14585" s="1133"/>
      <c r="B14585" s="1136"/>
      <c r="C14585" s="1138"/>
    </row>
    <row r="14586" spans="1:3">
      <c r="A14586" s="1133"/>
      <c r="B14586" s="1136"/>
      <c r="C14586" s="1138"/>
    </row>
    <row r="14587" spans="1:3">
      <c r="A14587" s="1133"/>
      <c r="B14587" s="1136"/>
      <c r="C14587" s="1138"/>
    </row>
    <row r="14588" spans="1:3">
      <c r="A14588" s="1133"/>
      <c r="B14588" s="1136"/>
      <c r="C14588" s="1138"/>
    </row>
    <row r="14589" spans="1:3">
      <c r="A14589" s="1133"/>
      <c r="B14589" s="1136"/>
      <c r="C14589" s="1138"/>
    </row>
    <row r="14590" spans="1:3">
      <c r="A14590" s="1133"/>
      <c r="B14590" s="1136"/>
      <c r="C14590" s="1138"/>
    </row>
    <row r="14591" spans="1:3">
      <c r="A14591" s="1133"/>
      <c r="B14591" s="1136"/>
      <c r="C14591" s="1138"/>
    </row>
    <row r="14592" spans="1:3">
      <c r="A14592" s="1133"/>
      <c r="B14592" s="1136"/>
      <c r="C14592" s="1138"/>
    </row>
    <row r="14593" spans="1:3">
      <c r="A14593" s="1133"/>
      <c r="B14593" s="1136"/>
      <c r="C14593" s="1138"/>
    </row>
    <row r="14594" spans="1:3">
      <c r="A14594" s="1133"/>
      <c r="B14594" s="1136"/>
      <c r="C14594" s="1138"/>
    </row>
    <row r="14595" spans="1:3">
      <c r="A14595" s="1133"/>
      <c r="B14595" s="1136"/>
      <c r="C14595" s="1138"/>
    </row>
    <row r="14596" spans="1:3">
      <c r="A14596" s="1133"/>
      <c r="B14596" s="1136"/>
      <c r="C14596" s="1138"/>
    </row>
    <row r="14597" spans="1:3">
      <c r="A14597" s="1133"/>
      <c r="B14597" s="1136"/>
      <c r="C14597" s="1138"/>
    </row>
    <row r="14598" spans="1:3">
      <c r="A14598" s="1133"/>
      <c r="B14598" s="1136"/>
      <c r="C14598" s="1138"/>
    </row>
    <row r="14599" spans="1:3">
      <c r="A14599" s="1133"/>
      <c r="B14599" s="1136"/>
      <c r="C14599" s="1138"/>
    </row>
    <row r="14600" spans="1:3">
      <c r="A14600" s="1133"/>
      <c r="B14600" s="1136"/>
      <c r="C14600" s="1138"/>
    </row>
    <row r="14601" spans="1:3">
      <c r="A14601" s="1133"/>
      <c r="B14601" s="1136"/>
      <c r="C14601" s="1138"/>
    </row>
    <row r="14602" spans="1:3">
      <c r="A14602" s="1133"/>
      <c r="B14602" s="1136"/>
      <c r="C14602" s="1138"/>
    </row>
    <row r="14603" spans="1:3">
      <c r="A14603" s="1133"/>
      <c r="B14603" s="1136"/>
      <c r="C14603" s="1138"/>
    </row>
    <row r="14604" spans="1:3">
      <c r="A14604" s="1133"/>
      <c r="B14604" s="1136"/>
      <c r="C14604" s="1138"/>
    </row>
    <row r="14605" spans="1:3">
      <c r="A14605" s="1133"/>
      <c r="B14605" s="1136"/>
      <c r="C14605" s="1138"/>
    </row>
    <row r="14606" spans="1:3">
      <c r="A14606" s="1133"/>
      <c r="B14606" s="1136"/>
      <c r="C14606" s="1138"/>
    </row>
    <row r="14607" spans="1:3">
      <c r="A14607" s="1133"/>
      <c r="B14607" s="1136"/>
      <c r="C14607" s="1138"/>
    </row>
    <row r="14608" spans="1:3">
      <c r="A14608" s="1133"/>
      <c r="B14608" s="1136"/>
      <c r="C14608" s="1138"/>
    </row>
    <row r="14609" spans="1:3">
      <c r="A14609" s="1133"/>
      <c r="B14609" s="1136"/>
      <c r="C14609" s="1138"/>
    </row>
    <row r="14610" spans="1:3">
      <c r="A14610" s="1133"/>
      <c r="B14610" s="1136"/>
      <c r="C14610" s="1138"/>
    </row>
    <row r="14611" spans="1:3">
      <c r="A14611" s="1133"/>
      <c r="B14611" s="1136"/>
      <c r="C14611" s="1138"/>
    </row>
    <row r="14612" spans="1:3">
      <c r="A14612" s="1133"/>
      <c r="B14612" s="1136"/>
      <c r="C14612" s="1138"/>
    </row>
    <row r="14613" spans="1:3">
      <c r="A14613" s="1133"/>
      <c r="B14613" s="1136"/>
      <c r="C14613" s="1138"/>
    </row>
    <row r="14614" spans="1:3">
      <c r="A14614" s="1133"/>
      <c r="B14614" s="1136"/>
      <c r="C14614" s="1138"/>
    </row>
    <row r="14615" spans="1:3">
      <c r="A14615" s="1133"/>
      <c r="B14615" s="1136"/>
      <c r="C14615" s="1138"/>
    </row>
    <row r="14616" spans="1:3">
      <c r="A14616" s="1133"/>
      <c r="B14616" s="1136"/>
      <c r="C14616" s="1138"/>
    </row>
    <row r="14617" spans="1:3">
      <c r="A14617" s="1133"/>
      <c r="B14617" s="1136"/>
      <c r="C14617" s="1138"/>
    </row>
    <row r="14618" spans="1:3">
      <c r="A14618" s="1133"/>
      <c r="B14618" s="1136"/>
      <c r="C14618" s="1138"/>
    </row>
    <row r="14619" spans="1:3">
      <c r="A14619" s="1133"/>
      <c r="B14619" s="1136"/>
      <c r="C14619" s="1138"/>
    </row>
    <row r="14620" spans="1:3">
      <c r="A14620" s="1133"/>
      <c r="B14620" s="1136"/>
      <c r="C14620" s="1138"/>
    </row>
    <row r="14621" spans="1:3">
      <c r="A14621" s="1133"/>
      <c r="B14621" s="1136"/>
      <c r="C14621" s="1138"/>
    </row>
    <row r="14622" spans="1:3">
      <c r="A14622" s="1133"/>
      <c r="B14622" s="1136"/>
      <c r="C14622" s="1138"/>
    </row>
    <row r="14623" spans="1:3">
      <c r="A14623" s="1133"/>
      <c r="B14623" s="1136"/>
      <c r="C14623" s="1138"/>
    </row>
    <row r="14624" spans="1:3">
      <c r="A14624" s="1133"/>
      <c r="B14624" s="1136"/>
      <c r="C14624" s="1138"/>
    </row>
    <row r="14625" spans="1:3">
      <c r="A14625" s="1133"/>
      <c r="B14625" s="1136"/>
      <c r="C14625" s="1138"/>
    </row>
    <row r="14626" spans="1:3">
      <c r="A14626" s="1133"/>
      <c r="B14626" s="1136"/>
      <c r="C14626" s="1138"/>
    </row>
    <row r="14627" spans="1:3">
      <c r="A14627" s="1133"/>
      <c r="B14627" s="1136"/>
      <c r="C14627" s="1138"/>
    </row>
    <row r="14628" spans="1:3">
      <c r="A14628" s="1133"/>
      <c r="B14628" s="1136"/>
      <c r="C14628" s="1138"/>
    </row>
    <row r="14629" spans="1:3">
      <c r="A14629" s="1133"/>
      <c r="B14629" s="1136"/>
      <c r="C14629" s="1138"/>
    </row>
    <row r="14630" spans="1:3">
      <c r="A14630" s="1133"/>
      <c r="B14630" s="1136"/>
      <c r="C14630" s="1138"/>
    </row>
    <row r="14631" spans="1:3">
      <c r="A14631" s="1133"/>
      <c r="B14631" s="1136"/>
      <c r="C14631" s="1138"/>
    </row>
    <row r="14632" spans="1:3">
      <c r="A14632" s="1133"/>
      <c r="B14632" s="1136"/>
      <c r="C14632" s="1138"/>
    </row>
    <row r="14633" spans="1:3">
      <c r="A14633" s="1133"/>
      <c r="B14633" s="1136"/>
      <c r="C14633" s="1138"/>
    </row>
    <row r="14634" spans="1:3">
      <c r="A14634" s="1133"/>
      <c r="B14634" s="1136"/>
      <c r="C14634" s="1138"/>
    </row>
    <row r="14635" spans="1:3">
      <c r="A14635" s="1133"/>
      <c r="B14635" s="1136"/>
      <c r="C14635" s="1138"/>
    </row>
    <row r="14636" spans="1:3">
      <c r="A14636" s="1133"/>
      <c r="B14636" s="1136"/>
      <c r="C14636" s="1138"/>
    </row>
    <row r="14637" spans="1:3">
      <c r="A14637" s="1133"/>
      <c r="B14637" s="1136"/>
      <c r="C14637" s="1138"/>
    </row>
    <row r="14638" spans="1:3">
      <c r="A14638" s="1133"/>
      <c r="B14638" s="1136"/>
      <c r="C14638" s="1138"/>
    </row>
    <row r="14639" spans="1:3">
      <c r="A14639" s="1133"/>
      <c r="B14639" s="1136"/>
      <c r="C14639" s="1138"/>
    </row>
    <row r="14640" spans="1:3">
      <c r="A14640" s="1133"/>
      <c r="B14640" s="1136"/>
      <c r="C14640" s="1138"/>
    </row>
    <row r="14641" spans="1:3">
      <c r="A14641" s="1133"/>
      <c r="B14641" s="1136"/>
      <c r="C14641" s="1138"/>
    </row>
    <row r="14642" spans="1:3">
      <c r="A14642" s="1133"/>
      <c r="B14642" s="1136"/>
      <c r="C14642" s="1138"/>
    </row>
    <row r="14643" spans="1:3">
      <c r="A14643" s="1133"/>
      <c r="B14643" s="1136"/>
      <c r="C14643" s="1138"/>
    </row>
    <row r="14644" spans="1:3">
      <c r="A14644" s="1133"/>
      <c r="B14644" s="1136"/>
      <c r="C14644" s="1138"/>
    </row>
    <row r="14645" spans="1:3">
      <c r="A14645" s="1133"/>
      <c r="B14645" s="1136"/>
      <c r="C14645" s="1138"/>
    </row>
    <row r="14646" spans="1:3">
      <c r="A14646" s="1133"/>
      <c r="B14646" s="1136"/>
      <c r="C14646" s="1138"/>
    </row>
    <row r="14647" spans="1:3">
      <c r="A14647" s="1133"/>
      <c r="B14647" s="1136"/>
      <c r="C14647" s="1138"/>
    </row>
    <row r="14648" spans="1:3">
      <c r="A14648" s="1133"/>
      <c r="B14648" s="1136"/>
      <c r="C14648" s="1138"/>
    </row>
    <row r="14649" spans="1:3">
      <c r="A14649" s="1133"/>
      <c r="B14649" s="1136"/>
      <c r="C14649" s="1138"/>
    </row>
    <row r="14650" spans="1:3">
      <c r="A14650" s="1133"/>
      <c r="B14650" s="1136"/>
      <c r="C14650" s="1138"/>
    </row>
    <row r="14651" spans="1:3">
      <c r="A14651" s="1133"/>
      <c r="B14651" s="1136"/>
      <c r="C14651" s="1138"/>
    </row>
    <row r="14652" spans="1:3">
      <c r="A14652" s="1133"/>
      <c r="B14652" s="1136"/>
      <c r="C14652" s="1138"/>
    </row>
    <row r="14653" spans="1:3">
      <c r="A14653" s="1133"/>
      <c r="B14653" s="1136"/>
      <c r="C14653" s="1138"/>
    </row>
    <row r="14654" spans="1:3">
      <c r="A14654" s="1133"/>
      <c r="B14654" s="1136"/>
      <c r="C14654" s="1138"/>
    </row>
    <row r="14655" spans="1:3">
      <c r="A14655" s="1133"/>
      <c r="B14655" s="1136"/>
      <c r="C14655" s="1138"/>
    </row>
    <row r="14656" spans="1:3">
      <c r="A14656" s="1133"/>
      <c r="B14656" s="1136"/>
      <c r="C14656" s="1138"/>
    </row>
    <row r="14657" spans="1:3">
      <c r="A14657" s="1133"/>
      <c r="B14657" s="1136"/>
      <c r="C14657" s="1138"/>
    </row>
    <row r="14658" spans="1:3">
      <c r="A14658" s="1133"/>
      <c r="B14658" s="1136"/>
      <c r="C14658" s="1138"/>
    </row>
    <row r="14659" spans="1:3">
      <c r="A14659" s="1133"/>
      <c r="B14659" s="1136"/>
      <c r="C14659" s="1138"/>
    </row>
    <row r="14660" spans="1:3">
      <c r="A14660" s="1133"/>
      <c r="B14660" s="1136"/>
      <c r="C14660" s="1138"/>
    </row>
    <row r="14661" spans="1:3">
      <c r="A14661" s="1133"/>
      <c r="B14661" s="1136"/>
      <c r="C14661" s="1138"/>
    </row>
    <row r="14662" spans="1:3">
      <c r="A14662" s="1133"/>
      <c r="B14662" s="1136"/>
      <c r="C14662" s="1138"/>
    </row>
    <row r="14663" spans="1:3">
      <c r="A14663" s="1133"/>
      <c r="B14663" s="1136"/>
      <c r="C14663" s="1138"/>
    </row>
    <row r="14664" spans="1:3">
      <c r="A14664" s="1133"/>
      <c r="B14664" s="1136"/>
      <c r="C14664" s="1138"/>
    </row>
    <row r="14665" spans="1:3">
      <c r="A14665" s="1133"/>
      <c r="B14665" s="1136"/>
      <c r="C14665" s="1138"/>
    </row>
    <row r="14666" spans="1:3">
      <c r="A14666" s="1133"/>
      <c r="B14666" s="1136"/>
      <c r="C14666" s="1138"/>
    </row>
    <row r="14667" spans="1:3">
      <c r="A14667" s="1133"/>
      <c r="B14667" s="1136"/>
      <c r="C14667" s="1138"/>
    </row>
    <row r="14668" spans="1:3">
      <c r="A14668" s="1133"/>
      <c r="B14668" s="1136"/>
      <c r="C14668" s="1138"/>
    </row>
    <row r="14669" spans="1:3">
      <c r="A14669" s="1133"/>
      <c r="B14669" s="1136"/>
      <c r="C14669" s="1138"/>
    </row>
    <row r="14670" spans="1:3">
      <c r="A14670" s="1133"/>
      <c r="B14670" s="1136"/>
      <c r="C14670" s="1138"/>
    </row>
    <row r="14671" spans="1:3">
      <c r="A14671" s="1133"/>
      <c r="B14671" s="1136"/>
      <c r="C14671" s="1138"/>
    </row>
    <row r="14672" spans="1:3">
      <c r="A14672" s="1133"/>
      <c r="B14672" s="1136"/>
      <c r="C14672" s="1138"/>
    </row>
    <row r="14673" spans="1:3">
      <c r="A14673" s="1133"/>
      <c r="B14673" s="1136"/>
      <c r="C14673" s="1138"/>
    </row>
    <row r="14674" spans="1:3">
      <c r="A14674" s="1133"/>
      <c r="B14674" s="1136"/>
      <c r="C14674" s="1138"/>
    </row>
    <row r="14675" spans="1:3">
      <c r="A14675" s="1133"/>
      <c r="B14675" s="1136"/>
      <c r="C14675" s="1138"/>
    </row>
    <row r="14676" spans="1:3">
      <c r="A14676" s="1133"/>
      <c r="B14676" s="1136"/>
      <c r="C14676" s="1138"/>
    </row>
    <row r="14677" spans="1:3">
      <c r="A14677" s="1133"/>
      <c r="B14677" s="1136"/>
      <c r="C14677" s="1138"/>
    </row>
    <row r="14678" spans="1:3">
      <c r="A14678" s="1133"/>
      <c r="B14678" s="1136"/>
      <c r="C14678" s="1138"/>
    </row>
    <row r="14679" spans="1:3">
      <c r="A14679" s="1133"/>
      <c r="B14679" s="1136"/>
      <c r="C14679" s="1138"/>
    </row>
    <row r="14680" spans="1:3">
      <c r="A14680" s="1133"/>
      <c r="B14680" s="1136"/>
      <c r="C14680" s="1138"/>
    </row>
    <row r="14681" spans="1:3">
      <c r="A14681" s="1133"/>
      <c r="B14681" s="1136"/>
      <c r="C14681" s="1138"/>
    </row>
    <row r="14682" spans="1:3">
      <c r="A14682" s="1133"/>
      <c r="B14682" s="1136"/>
      <c r="C14682" s="1138"/>
    </row>
    <row r="14683" spans="1:3">
      <c r="A14683" s="1133"/>
      <c r="B14683" s="1136"/>
      <c r="C14683" s="1138"/>
    </row>
    <row r="14684" spans="1:3">
      <c r="A14684" s="1133"/>
      <c r="B14684" s="1136"/>
      <c r="C14684" s="1138"/>
    </row>
    <row r="14685" spans="1:3">
      <c r="A14685" s="1133"/>
      <c r="B14685" s="1136"/>
      <c r="C14685" s="1138"/>
    </row>
    <row r="14686" spans="1:3">
      <c r="A14686" s="1133"/>
      <c r="B14686" s="1136"/>
      <c r="C14686" s="1138"/>
    </row>
    <row r="14687" spans="1:3">
      <c r="A14687" s="1133"/>
      <c r="B14687" s="1136"/>
      <c r="C14687" s="1138"/>
    </row>
    <row r="14688" spans="1:3">
      <c r="A14688" s="1133"/>
      <c r="B14688" s="1136"/>
      <c r="C14688" s="1138"/>
    </row>
    <row r="14689" spans="1:3">
      <c r="A14689" s="1133"/>
      <c r="B14689" s="1136"/>
      <c r="C14689" s="1138"/>
    </row>
    <row r="14690" spans="1:3">
      <c r="A14690" s="1133"/>
      <c r="B14690" s="1136"/>
      <c r="C14690" s="1138"/>
    </row>
    <row r="14691" spans="1:3">
      <c r="A14691" s="1133"/>
      <c r="B14691" s="1136"/>
      <c r="C14691" s="1138"/>
    </row>
    <row r="14692" spans="1:3">
      <c r="A14692" s="1133"/>
      <c r="B14692" s="1136"/>
      <c r="C14692" s="1138"/>
    </row>
    <row r="14693" spans="1:3">
      <c r="A14693" s="1133"/>
      <c r="B14693" s="1136"/>
      <c r="C14693" s="1138"/>
    </row>
    <row r="14694" spans="1:3">
      <c r="A14694" s="1133"/>
      <c r="B14694" s="1136"/>
      <c r="C14694" s="1138"/>
    </row>
    <row r="14695" spans="1:3">
      <c r="A14695" s="1133"/>
      <c r="B14695" s="1136"/>
      <c r="C14695" s="1138"/>
    </row>
    <row r="14696" spans="1:3">
      <c r="A14696" s="1133"/>
      <c r="B14696" s="1136"/>
      <c r="C14696" s="1138"/>
    </row>
    <row r="14697" spans="1:3">
      <c r="A14697" s="1133"/>
      <c r="B14697" s="1136"/>
      <c r="C14697" s="1138"/>
    </row>
    <row r="14698" spans="1:3">
      <c r="A14698" s="1133"/>
      <c r="B14698" s="1136"/>
      <c r="C14698" s="1138"/>
    </row>
    <row r="14699" spans="1:3">
      <c r="A14699" s="1133"/>
      <c r="B14699" s="1136"/>
      <c r="C14699" s="1138"/>
    </row>
    <row r="14700" spans="1:3">
      <c r="A14700" s="1133"/>
      <c r="B14700" s="1136"/>
      <c r="C14700" s="1138"/>
    </row>
    <row r="14701" spans="1:3">
      <c r="A14701" s="1133"/>
      <c r="B14701" s="1136"/>
      <c r="C14701" s="1138"/>
    </row>
    <row r="14702" spans="1:3">
      <c r="A14702" s="1133"/>
      <c r="B14702" s="1136"/>
      <c r="C14702" s="1138"/>
    </row>
    <row r="14703" spans="1:3">
      <c r="A14703" s="1133"/>
      <c r="B14703" s="1136"/>
      <c r="C14703" s="1138"/>
    </row>
    <row r="14704" spans="1:3">
      <c r="A14704" s="1133"/>
      <c r="B14704" s="1136"/>
      <c r="C14704" s="1138"/>
    </row>
    <row r="14705" spans="1:3">
      <c r="A14705" s="1133"/>
      <c r="B14705" s="1136"/>
      <c r="C14705" s="1138"/>
    </row>
    <row r="14706" spans="1:3">
      <c r="A14706" s="1133"/>
      <c r="B14706" s="1136"/>
      <c r="C14706" s="1138"/>
    </row>
    <row r="14707" spans="1:3">
      <c r="A14707" s="1133"/>
      <c r="B14707" s="1136"/>
      <c r="C14707" s="1138"/>
    </row>
    <row r="14708" spans="1:3">
      <c r="A14708" s="1133"/>
      <c r="B14708" s="1136"/>
      <c r="C14708" s="1138"/>
    </row>
    <row r="14709" spans="1:3">
      <c r="A14709" s="1133"/>
      <c r="B14709" s="1136"/>
      <c r="C14709" s="1138"/>
    </row>
    <row r="14710" spans="1:3">
      <c r="A14710" s="1133"/>
      <c r="B14710" s="1136"/>
      <c r="C14710" s="1138"/>
    </row>
    <row r="14711" spans="1:3">
      <c r="A14711" s="1133"/>
      <c r="B14711" s="1136"/>
      <c r="C14711" s="1138"/>
    </row>
    <row r="14712" spans="1:3">
      <c r="A14712" s="1133"/>
      <c r="B14712" s="1136"/>
      <c r="C14712" s="1138"/>
    </row>
    <row r="14713" spans="1:3">
      <c r="A14713" s="1133"/>
      <c r="B14713" s="1136"/>
      <c r="C14713" s="1138"/>
    </row>
    <row r="14714" spans="1:3">
      <c r="A14714" s="1133"/>
      <c r="B14714" s="1136"/>
      <c r="C14714" s="1138"/>
    </row>
    <row r="14715" spans="1:3">
      <c r="A14715" s="1133"/>
      <c r="B14715" s="1136"/>
      <c r="C14715" s="1138"/>
    </row>
    <row r="14716" spans="1:3">
      <c r="A14716" s="1133"/>
      <c r="B14716" s="1136"/>
      <c r="C14716" s="1138"/>
    </row>
    <row r="14717" spans="1:3">
      <c r="A14717" s="1133"/>
      <c r="B14717" s="1136"/>
      <c r="C14717" s="1138"/>
    </row>
    <row r="14718" spans="1:3">
      <c r="A14718" s="1133"/>
      <c r="B14718" s="1136"/>
      <c r="C14718" s="1138"/>
    </row>
    <row r="14719" spans="1:3">
      <c r="A14719" s="1133"/>
      <c r="B14719" s="1136"/>
      <c r="C14719" s="1138"/>
    </row>
    <row r="14720" spans="1:3">
      <c r="A14720" s="1133"/>
      <c r="B14720" s="1136"/>
      <c r="C14720" s="1138"/>
    </row>
    <row r="14721" spans="1:3">
      <c r="A14721" s="1133"/>
      <c r="B14721" s="1136"/>
      <c r="C14721" s="1138"/>
    </row>
    <row r="14722" spans="1:3">
      <c r="A14722" s="1133"/>
      <c r="B14722" s="1136"/>
      <c r="C14722" s="1138"/>
    </row>
    <row r="14723" spans="1:3">
      <c r="A14723" s="1133"/>
      <c r="B14723" s="1136"/>
      <c r="C14723" s="1138"/>
    </row>
    <row r="14724" spans="1:3">
      <c r="A14724" s="1133"/>
      <c r="B14724" s="1136"/>
      <c r="C14724" s="1138"/>
    </row>
    <row r="14725" spans="1:3">
      <c r="A14725" s="1133"/>
      <c r="B14725" s="1136"/>
      <c r="C14725" s="1138"/>
    </row>
    <row r="14726" spans="1:3">
      <c r="A14726" s="1133"/>
      <c r="B14726" s="1136"/>
      <c r="C14726" s="1138"/>
    </row>
    <row r="14727" spans="1:3">
      <c r="A14727" s="1133"/>
      <c r="B14727" s="1136"/>
      <c r="C14727" s="1138"/>
    </row>
    <row r="14728" spans="1:3">
      <c r="A14728" s="1133"/>
      <c r="B14728" s="1136"/>
      <c r="C14728" s="1138"/>
    </row>
    <row r="14729" spans="1:3">
      <c r="A14729" s="1133"/>
      <c r="B14729" s="1136"/>
      <c r="C14729" s="1138"/>
    </row>
    <row r="14730" spans="1:3">
      <c r="A14730" s="1133"/>
      <c r="B14730" s="1136"/>
      <c r="C14730" s="1138"/>
    </row>
    <row r="14731" spans="1:3">
      <c r="A14731" s="1133"/>
      <c r="B14731" s="1136"/>
      <c r="C14731" s="1138"/>
    </row>
    <row r="14732" spans="1:3">
      <c r="A14732" s="1133"/>
      <c r="B14732" s="1136"/>
      <c r="C14732" s="1138"/>
    </row>
    <row r="14733" spans="1:3">
      <c r="A14733" s="1133"/>
      <c r="B14733" s="1136"/>
      <c r="C14733" s="1138"/>
    </row>
    <row r="14734" spans="1:3">
      <c r="A14734" s="1133"/>
      <c r="B14734" s="1136"/>
      <c r="C14734" s="1138"/>
    </row>
    <row r="14735" spans="1:3">
      <c r="A14735" s="1133"/>
      <c r="B14735" s="1136"/>
      <c r="C14735" s="1138"/>
    </row>
    <row r="14736" spans="1:3">
      <c r="A14736" s="1133"/>
      <c r="B14736" s="1136"/>
      <c r="C14736" s="1138"/>
    </row>
    <row r="14737" spans="1:3">
      <c r="A14737" s="1133"/>
      <c r="B14737" s="1136"/>
      <c r="C14737" s="1138"/>
    </row>
    <row r="14738" spans="1:3">
      <c r="A14738" s="1133"/>
      <c r="B14738" s="1136"/>
      <c r="C14738" s="1138"/>
    </row>
    <row r="14739" spans="1:3">
      <c r="A14739" s="1133"/>
      <c r="B14739" s="1136"/>
      <c r="C14739" s="1138"/>
    </row>
    <row r="14740" spans="1:3">
      <c r="A14740" s="1133"/>
      <c r="B14740" s="1136"/>
      <c r="C14740" s="1138"/>
    </row>
    <row r="14741" spans="1:3">
      <c r="A14741" s="1133"/>
      <c r="B14741" s="1136"/>
      <c r="C14741" s="1138"/>
    </row>
    <row r="14742" spans="1:3">
      <c r="A14742" s="1133"/>
      <c r="B14742" s="1136"/>
      <c r="C14742" s="1138"/>
    </row>
    <row r="14743" spans="1:3">
      <c r="A14743" s="1133"/>
      <c r="B14743" s="1136"/>
      <c r="C14743" s="1138"/>
    </row>
    <row r="14744" spans="1:3">
      <c r="A14744" s="1133"/>
      <c r="B14744" s="1136"/>
      <c r="C14744" s="1138"/>
    </row>
    <row r="14745" spans="1:3">
      <c r="A14745" s="1133"/>
      <c r="B14745" s="1136"/>
      <c r="C14745" s="1138"/>
    </row>
    <row r="14746" spans="1:3">
      <c r="A14746" s="1133"/>
      <c r="B14746" s="1136"/>
      <c r="C14746" s="1138"/>
    </row>
    <row r="14747" spans="1:3">
      <c r="A14747" s="1133"/>
      <c r="B14747" s="1136"/>
      <c r="C14747" s="1138"/>
    </row>
    <row r="14748" spans="1:3">
      <c r="A14748" s="1133"/>
      <c r="B14748" s="1136"/>
      <c r="C14748" s="1138"/>
    </row>
    <row r="14749" spans="1:3">
      <c r="A14749" s="1133"/>
      <c r="B14749" s="1136"/>
      <c r="C14749" s="1138"/>
    </row>
    <row r="14750" spans="1:3">
      <c r="A14750" s="1133"/>
      <c r="B14750" s="1136"/>
      <c r="C14750" s="1138"/>
    </row>
    <row r="14751" spans="1:3">
      <c r="A14751" s="1133"/>
      <c r="B14751" s="1136"/>
      <c r="C14751" s="1138"/>
    </row>
    <row r="14752" spans="1:3">
      <c r="A14752" s="1133"/>
      <c r="B14752" s="1136"/>
      <c r="C14752" s="1138"/>
    </row>
    <row r="14753" spans="1:3">
      <c r="A14753" s="1133"/>
      <c r="B14753" s="1136"/>
      <c r="C14753" s="1138"/>
    </row>
    <row r="14754" spans="1:3">
      <c r="A14754" s="1133"/>
      <c r="B14754" s="1136"/>
      <c r="C14754" s="1138"/>
    </row>
    <row r="14755" spans="1:3">
      <c r="A14755" s="1133"/>
      <c r="B14755" s="1136"/>
      <c r="C14755" s="1138"/>
    </row>
    <row r="14756" spans="1:3">
      <c r="A14756" s="1133"/>
      <c r="B14756" s="1136"/>
      <c r="C14756" s="1138"/>
    </row>
    <row r="14757" spans="1:3">
      <c r="A14757" s="1133"/>
      <c r="B14757" s="1136"/>
      <c r="C14757" s="1138"/>
    </row>
    <row r="14758" spans="1:3">
      <c r="A14758" s="1133"/>
      <c r="B14758" s="1136"/>
      <c r="C14758" s="1138"/>
    </row>
    <row r="14759" spans="1:3">
      <c r="A14759" s="1133"/>
      <c r="B14759" s="1136"/>
      <c r="C14759" s="1138"/>
    </row>
    <row r="14760" spans="1:3">
      <c r="A14760" s="1133"/>
      <c r="B14760" s="1136"/>
      <c r="C14760" s="1138"/>
    </row>
    <row r="14761" spans="1:3">
      <c r="A14761" s="1133"/>
      <c r="B14761" s="1136"/>
      <c r="C14761" s="1138"/>
    </row>
    <row r="14762" spans="1:3">
      <c r="A14762" s="1133"/>
      <c r="B14762" s="1136"/>
      <c r="C14762" s="1138"/>
    </row>
    <row r="14763" spans="1:3">
      <c r="A14763" s="1133"/>
      <c r="B14763" s="1136"/>
      <c r="C14763" s="1138"/>
    </row>
    <row r="14764" spans="1:3">
      <c r="A14764" s="1133"/>
      <c r="B14764" s="1136"/>
      <c r="C14764" s="1138"/>
    </row>
    <row r="14765" spans="1:3">
      <c r="A14765" s="1133"/>
      <c r="B14765" s="1136"/>
      <c r="C14765" s="1138"/>
    </row>
    <row r="14766" spans="1:3">
      <c r="A14766" s="1133"/>
      <c r="B14766" s="1136"/>
      <c r="C14766" s="1138"/>
    </row>
    <row r="14767" spans="1:3">
      <c r="A14767" s="1133"/>
      <c r="B14767" s="1136"/>
      <c r="C14767" s="1138"/>
    </row>
    <row r="14768" spans="1:3">
      <c r="A14768" s="1133"/>
      <c r="B14768" s="1136"/>
      <c r="C14768" s="1138"/>
    </row>
    <row r="14769" spans="1:3">
      <c r="A14769" s="1133"/>
      <c r="B14769" s="1136"/>
      <c r="C14769" s="1138"/>
    </row>
    <row r="14770" spans="1:3">
      <c r="A14770" s="1133"/>
      <c r="B14770" s="1136"/>
      <c r="C14770" s="1138"/>
    </row>
    <row r="14771" spans="1:3">
      <c r="A14771" s="1133"/>
      <c r="B14771" s="1136"/>
      <c r="C14771" s="1138"/>
    </row>
    <row r="14772" spans="1:3">
      <c r="A14772" s="1133"/>
      <c r="B14772" s="1136"/>
      <c r="C14772" s="1138"/>
    </row>
    <row r="14773" spans="1:3">
      <c r="A14773" s="1133"/>
      <c r="B14773" s="1136"/>
      <c r="C14773" s="1138"/>
    </row>
    <row r="14774" spans="1:3">
      <c r="A14774" s="1133"/>
      <c r="B14774" s="1136"/>
      <c r="C14774" s="1138"/>
    </row>
    <row r="14775" spans="1:3">
      <c r="A14775" s="1133"/>
      <c r="B14775" s="1136"/>
      <c r="C14775" s="1138"/>
    </row>
    <row r="14776" spans="1:3">
      <c r="A14776" s="1133"/>
      <c r="B14776" s="1136"/>
      <c r="C14776" s="1138"/>
    </row>
    <row r="14777" spans="1:3">
      <c r="A14777" s="1133"/>
      <c r="B14777" s="1136"/>
      <c r="C14777" s="1138"/>
    </row>
    <row r="14778" spans="1:3">
      <c r="A14778" s="1133"/>
      <c r="B14778" s="1136"/>
      <c r="C14778" s="1138"/>
    </row>
    <row r="14779" spans="1:3">
      <c r="A14779" s="1133"/>
      <c r="B14779" s="1136"/>
      <c r="C14779" s="1138"/>
    </row>
    <row r="14780" spans="1:3">
      <c r="A14780" s="1133"/>
      <c r="B14780" s="1136"/>
      <c r="C14780" s="1138"/>
    </row>
    <row r="14781" spans="1:3">
      <c r="A14781" s="1133"/>
      <c r="B14781" s="1136"/>
      <c r="C14781" s="1138"/>
    </row>
    <row r="14782" spans="1:3">
      <c r="A14782" s="1133"/>
      <c r="B14782" s="1136"/>
      <c r="C14782" s="1138"/>
    </row>
    <row r="14783" spans="1:3">
      <c r="A14783" s="1133"/>
      <c r="B14783" s="1136"/>
      <c r="C14783" s="1138"/>
    </row>
    <row r="14784" spans="1:3">
      <c r="A14784" s="1133"/>
      <c r="B14784" s="1136"/>
      <c r="C14784" s="1138"/>
    </row>
    <row r="14785" spans="1:3">
      <c r="A14785" s="1133"/>
      <c r="B14785" s="1136"/>
      <c r="C14785" s="1138"/>
    </row>
    <row r="14786" spans="1:3">
      <c r="A14786" s="1133"/>
      <c r="B14786" s="1136"/>
      <c r="C14786" s="1138"/>
    </row>
    <row r="14787" spans="1:3">
      <c r="A14787" s="1133"/>
      <c r="B14787" s="1136"/>
      <c r="C14787" s="1138"/>
    </row>
    <row r="14788" spans="1:3">
      <c r="A14788" s="1133"/>
      <c r="B14788" s="1136"/>
      <c r="C14788" s="1138"/>
    </row>
    <row r="14789" spans="1:3">
      <c r="A14789" s="1133"/>
      <c r="B14789" s="1136"/>
      <c r="C14789" s="1138"/>
    </row>
    <row r="14790" spans="1:3">
      <c r="A14790" s="1133"/>
      <c r="B14790" s="1136"/>
      <c r="C14790" s="1138"/>
    </row>
    <row r="14791" spans="1:3">
      <c r="A14791" s="1133"/>
      <c r="B14791" s="1136"/>
      <c r="C14791" s="1138"/>
    </row>
    <row r="14792" spans="1:3">
      <c r="A14792" s="1133"/>
      <c r="B14792" s="1136"/>
      <c r="C14792" s="1138"/>
    </row>
    <row r="14793" spans="1:3">
      <c r="A14793" s="1133"/>
      <c r="B14793" s="1136"/>
      <c r="C14793" s="1138"/>
    </row>
    <row r="14794" spans="1:3">
      <c r="A14794" s="1133"/>
      <c r="B14794" s="1136"/>
      <c r="C14794" s="1138"/>
    </row>
    <row r="14795" spans="1:3">
      <c r="A14795" s="1133"/>
      <c r="B14795" s="1136"/>
      <c r="C14795" s="1138"/>
    </row>
    <row r="14796" spans="1:3">
      <c r="A14796" s="1133"/>
      <c r="B14796" s="1136"/>
      <c r="C14796" s="1138"/>
    </row>
    <row r="14797" spans="1:3">
      <c r="A14797" s="1133"/>
      <c r="B14797" s="1136"/>
      <c r="C14797" s="1138"/>
    </row>
    <row r="14798" spans="1:3">
      <c r="A14798" s="1133"/>
      <c r="B14798" s="1136"/>
      <c r="C14798" s="1138"/>
    </row>
    <row r="14799" spans="1:3">
      <c r="A14799" s="1133"/>
      <c r="B14799" s="1136"/>
      <c r="C14799" s="1138"/>
    </row>
    <row r="14800" spans="1:3">
      <c r="A14800" s="1133"/>
      <c r="B14800" s="1136"/>
      <c r="C14800" s="1138"/>
    </row>
    <row r="14801" spans="1:3">
      <c r="A14801" s="1133"/>
      <c r="B14801" s="1136"/>
      <c r="C14801" s="1138"/>
    </row>
    <row r="14802" spans="1:3">
      <c r="A14802" s="1133"/>
      <c r="B14802" s="1136"/>
      <c r="C14802" s="1138"/>
    </row>
    <row r="14803" spans="1:3">
      <c r="A14803" s="1133"/>
      <c r="B14803" s="1136"/>
      <c r="C14803" s="1138"/>
    </row>
    <row r="14804" spans="1:3">
      <c r="A14804" s="1133"/>
      <c r="B14804" s="1136"/>
      <c r="C14804" s="1138"/>
    </row>
    <row r="14805" spans="1:3">
      <c r="A14805" s="1133"/>
      <c r="B14805" s="1136"/>
      <c r="C14805" s="1138"/>
    </row>
    <row r="14806" spans="1:3">
      <c r="A14806" s="1133"/>
      <c r="B14806" s="1136"/>
      <c r="C14806" s="1138"/>
    </row>
    <row r="14807" spans="1:3">
      <c r="A14807" s="1133"/>
      <c r="B14807" s="1136"/>
      <c r="C14807" s="1138"/>
    </row>
    <row r="14808" spans="1:3">
      <c r="A14808" s="1133"/>
      <c r="B14808" s="1136"/>
      <c r="C14808" s="1138"/>
    </row>
    <row r="14809" spans="1:3">
      <c r="A14809" s="1133"/>
      <c r="B14809" s="1136"/>
      <c r="C14809" s="1138"/>
    </row>
    <row r="14810" spans="1:3">
      <c r="A14810" s="1133"/>
      <c r="B14810" s="1136"/>
      <c r="C14810" s="1138"/>
    </row>
    <row r="14811" spans="1:3">
      <c r="A14811" s="1133"/>
      <c r="B14811" s="1136"/>
      <c r="C14811" s="1138"/>
    </row>
    <row r="14812" spans="1:3">
      <c r="A14812" s="1133"/>
      <c r="B14812" s="1136"/>
      <c r="C14812" s="1138"/>
    </row>
    <row r="14813" spans="1:3">
      <c r="A14813" s="1133"/>
      <c r="B14813" s="1136"/>
      <c r="C14813" s="1138"/>
    </row>
    <row r="14814" spans="1:3">
      <c r="A14814" s="1133"/>
      <c r="B14814" s="1136"/>
      <c r="C14814" s="1138"/>
    </row>
    <row r="14815" spans="1:3">
      <c r="A14815" s="1133"/>
      <c r="B14815" s="1136"/>
      <c r="C14815" s="1138"/>
    </row>
    <row r="14816" spans="1:3">
      <c r="A14816" s="1133"/>
      <c r="B14816" s="1136"/>
      <c r="C14816" s="1138"/>
    </row>
    <row r="14817" spans="1:3">
      <c r="A14817" s="1133"/>
      <c r="B14817" s="1136"/>
      <c r="C14817" s="1138"/>
    </row>
    <row r="14818" spans="1:3">
      <c r="A14818" s="1133"/>
      <c r="B14818" s="1136"/>
      <c r="C14818" s="1138"/>
    </row>
    <row r="14819" spans="1:3">
      <c r="A14819" s="1133"/>
      <c r="B14819" s="1136"/>
      <c r="C14819" s="1138"/>
    </row>
    <row r="14820" spans="1:3">
      <c r="A14820" s="1133"/>
      <c r="B14820" s="1136"/>
      <c r="C14820" s="1138"/>
    </row>
    <row r="14821" spans="1:3">
      <c r="A14821" s="1133"/>
      <c r="B14821" s="1136"/>
      <c r="C14821" s="1138"/>
    </row>
    <row r="14822" spans="1:3">
      <c r="A14822" s="1133"/>
      <c r="B14822" s="1136"/>
      <c r="C14822" s="1138"/>
    </row>
    <row r="14823" spans="1:3">
      <c r="A14823" s="1133"/>
      <c r="B14823" s="1136"/>
      <c r="C14823" s="1138"/>
    </row>
    <row r="14824" spans="1:3">
      <c r="A14824" s="1133"/>
      <c r="B14824" s="1136"/>
      <c r="C14824" s="1138"/>
    </row>
    <row r="14825" spans="1:3">
      <c r="A14825" s="1133"/>
      <c r="B14825" s="1136"/>
      <c r="C14825" s="1138"/>
    </row>
    <row r="14826" spans="1:3">
      <c r="A14826" s="1133"/>
      <c r="B14826" s="1136"/>
      <c r="C14826" s="1138"/>
    </row>
    <row r="14827" spans="1:3">
      <c r="A14827" s="1133"/>
      <c r="B14827" s="1136"/>
      <c r="C14827" s="1138"/>
    </row>
    <row r="14828" spans="1:3">
      <c r="A14828" s="1133"/>
      <c r="B14828" s="1136"/>
      <c r="C14828" s="1138"/>
    </row>
    <row r="14829" spans="1:3">
      <c r="A14829" s="1133"/>
      <c r="B14829" s="1136"/>
      <c r="C14829" s="1138"/>
    </row>
    <row r="14830" spans="1:3">
      <c r="A14830" s="1133"/>
      <c r="B14830" s="1136"/>
      <c r="C14830" s="1138"/>
    </row>
    <row r="14831" spans="1:3">
      <c r="A14831" s="1133"/>
      <c r="B14831" s="1136"/>
      <c r="C14831" s="1138"/>
    </row>
    <row r="14832" spans="1:3">
      <c r="A14832" s="1133"/>
      <c r="B14832" s="1136"/>
      <c r="C14832" s="1138"/>
    </row>
    <row r="14833" spans="1:3">
      <c r="A14833" s="1133"/>
      <c r="B14833" s="1136"/>
      <c r="C14833" s="1138"/>
    </row>
    <row r="14834" spans="1:3">
      <c r="A14834" s="1133"/>
      <c r="B14834" s="1136"/>
      <c r="C14834" s="1138"/>
    </row>
    <row r="14835" spans="1:3">
      <c r="A14835" s="1133"/>
      <c r="B14835" s="1136"/>
      <c r="C14835" s="1138"/>
    </row>
    <row r="14836" spans="1:3">
      <c r="A14836" s="1133"/>
      <c r="B14836" s="1136"/>
      <c r="C14836" s="1138"/>
    </row>
    <row r="14837" spans="1:3">
      <c r="A14837" s="1133"/>
      <c r="B14837" s="1136"/>
      <c r="C14837" s="1138"/>
    </row>
    <row r="14838" spans="1:3">
      <c r="A14838" s="1133"/>
      <c r="B14838" s="1136"/>
      <c r="C14838" s="1138"/>
    </row>
    <row r="14839" spans="1:3">
      <c r="A14839" s="1133"/>
      <c r="B14839" s="1136"/>
      <c r="C14839" s="1138"/>
    </row>
    <row r="14840" spans="1:3">
      <c r="A14840" s="1133"/>
      <c r="B14840" s="1136"/>
      <c r="C14840" s="1138"/>
    </row>
    <row r="14841" spans="1:3">
      <c r="A14841" s="1133"/>
      <c r="B14841" s="1136"/>
      <c r="C14841" s="1138"/>
    </row>
    <row r="14842" spans="1:3">
      <c r="A14842" s="1133"/>
      <c r="B14842" s="1136"/>
      <c r="C14842" s="1138"/>
    </row>
    <row r="14843" spans="1:3">
      <c r="A14843" s="1133"/>
      <c r="B14843" s="1136"/>
      <c r="C14843" s="1138"/>
    </row>
    <row r="14844" spans="1:3">
      <c r="A14844" s="1133"/>
      <c r="B14844" s="1136"/>
      <c r="C14844" s="1138"/>
    </row>
    <row r="14845" spans="1:3">
      <c r="A14845" s="1133"/>
      <c r="B14845" s="1136"/>
      <c r="C14845" s="1138"/>
    </row>
    <row r="14846" spans="1:3">
      <c r="A14846" s="1133"/>
      <c r="B14846" s="1136"/>
      <c r="C14846" s="1138"/>
    </row>
    <row r="14847" spans="1:3">
      <c r="A14847" s="1133"/>
      <c r="B14847" s="1136"/>
      <c r="C14847" s="1138"/>
    </row>
    <row r="14848" spans="1:3">
      <c r="A14848" s="1133"/>
      <c r="B14848" s="1136"/>
      <c r="C14848" s="1138"/>
    </row>
    <row r="14849" spans="1:3">
      <c r="A14849" s="1133"/>
      <c r="B14849" s="1136"/>
      <c r="C14849" s="1138"/>
    </row>
    <row r="14850" spans="1:3">
      <c r="A14850" s="1133"/>
      <c r="B14850" s="1136"/>
      <c r="C14850" s="1138"/>
    </row>
    <row r="14851" spans="1:3">
      <c r="A14851" s="1133"/>
      <c r="B14851" s="1136"/>
      <c r="C14851" s="1138"/>
    </row>
    <row r="14852" spans="1:3">
      <c r="A14852" s="1133"/>
      <c r="B14852" s="1136"/>
      <c r="C14852" s="1138"/>
    </row>
    <row r="14853" spans="1:3">
      <c r="A14853" s="1133"/>
      <c r="B14853" s="1136"/>
      <c r="C14853" s="1138"/>
    </row>
    <row r="14854" spans="1:3">
      <c r="A14854" s="1133"/>
      <c r="B14854" s="1136"/>
      <c r="C14854" s="1138"/>
    </row>
    <row r="14855" spans="1:3">
      <c r="A14855" s="1133"/>
      <c r="B14855" s="1136"/>
      <c r="C14855" s="1138"/>
    </row>
    <row r="14856" spans="1:3">
      <c r="A14856" s="1133"/>
      <c r="B14856" s="1136"/>
      <c r="C14856" s="1138"/>
    </row>
    <row r="14857" spans="1:3">
      <c r="A14857" s="1133"/>
      <c r="B14857" s="1136"/>
      <c r="C14857" s="1138"/>
    </row>
    <row r="14858" spans="1:3">
      <c r="A14858" s="1133"/>
      <c r="B14858" s="1136"/>
      <c r="C14858" s="1138"/>
    </row>
    <row r="14859" spans="1:3">
      <c r="A14859" s="1133"/>
      <c r="B14859" s="1136"/>
      <c r="C14859" s="1138"/>
    </row>
    <row r="14860" spans="1:3">
      <c r="A14860" s="1133"/>
      <c r="B14860" s="1136"/>
      <c r="C14860" s="1138"/>
    </row>
    <row r="14861" spans="1:3">
      <c r="A14861" s="1133"/>
      <c r="B14861" s="1136"/>
      <c r="C14861" s="1138"/>
    </row>
    <row r="14862" spans="1:3">
      <c r="A14862" s="1133"/>
      <c r="B14862" s="1136"/>
      <c r="C14862" s="1138"/>
    </row>
    <row r="14863" spans="1:3">
      <c r="A14863" s="1133"/>
      <c r="B14863" s="1136"/>
      <c r="C14863" s="1138"/>
    </row>
    <row r="14864" spans="1:3">
      <c r="A14864" s="1133"/>
      <c r="B14864" s="1136"/>
      <c r="C14864" s="1138"/>
    </row>
    <row r="14865" spans="1:3">
      <c r="A14865" s="1133"/>
      <c r="B14865" s="1136"/>
      <c r="C14865" s="1138"/>
    </row>
    <row r="14866" spans="1:3">
      <c r="A14866" s="1133"/>
      <c r="B14866" s="1136"/>
      <c r="C14866" s="1138"/>
    </row>
    <row r="14867" spans="1:3">
      <c r="A14867" s="1133"/>
      <c r="B14867" s="1136"/>
      <c r="C14867" s="1138"/>
    </row>
    <row r="14868" spans="1:3">
      <c r="A14868" s="1133"/>
      <c r="B14868" s="1136"/>
      <c r="C14868" s="1138"/>
    </row>
    <row r="14869" spans="1:3">
      <c r="A14869" s="1133"/>
      <c r="B14869" s="1136"/>
      <c r="C14869" s="1138"/>
    </row>
    <row r="14870" spans="1:3">
      <c r="A14870" s="1133"/>
      <c r="B14870" s="1136"/>
      <c r="C14870" s="1138"/>
    </row>
    <row r="14871" spans="1:3">
      <c r="A14871" s="1133"/>
      <c r="B14871" s="1136"/>
      <c r="C14871" s="1138"/>
    </row>
    <row r="14872" spans="1:3">
      <c r="A14872" s="1133"/>
      <c r="B14872" s="1136"/>
      <c r="C14872" s="1138"/>
    </row>
    <row r="14873" spans="1:3">
      <c r="A14873" s="1133"/>
      <c r="B14873" s="1136"/>
      <c r="C14873" s="1138"/>
    </row>
    <row r="14874" spans="1:3">
      <c r="A14874" s="1133"/>
      <c r="B14874" s="1136"/>
      <c r="C14874" s="1138"/>
    </row>
    <row r="14875" spans="1:3">
      <c r="A14875" s="1133"/>
      <c r="B14875" s="1136"/>
      <c r="C14875" s="1138"/>
    </row>
    <row r="14876" spans="1:3">
      <c r="A14876" s="1133"/>
      <c r="B14876" s="1136"/>
      <c r="C14876" s="1138"/>
    </row>
    <row r="14877" spans="1:3">
      <c r="A14877" s="1133"/>
      <c r="B14877" s="1136"/>
      <c r="C14877" s="1138"/>
    </row>
    <row r="14878" spans="1:3">
      <c r="A14878" s="1133"/>
      <c r="B14878" s="1136"/>
      <c r="C14878" s="1138"/>
    </row>
    <row r="14879" spans="1:3">
      <c r="A14879" s="1133"/>
      <c r="B14879" s="1136"/>
      <c r="C14879" s="1138"/>
    </row>
    <row r="14880" spans="1:3">
      <c r="A14880" s="1133"/>
      <c r="B14880" s="1136"/>
      <c r="C14880" s="1138"/>
    </row>
    <row r="14881" spans="1:3">
      <c r="A14881" s="1133"/>
      <c r="B14881" s="1136"/>
      <c r="C14881" s="1138"/>
    </row>
    <row r="14882" spans="1:3">
      <c r="A14882" s="1133"/>
      <c r="B14882" s="1136"/>
      <c r="C14882" s="1138"/>
    </row>
    <row r="14883" spans="1:3">
      <c r="A14883" s="1133"/>
      <c r="B14883" s="1136"/>
      <c r="C14883" s="1138"/>
    </row>
    <row r="14884" spans="1:3">
      <c r="A14884" s="1133"/>
      <c r="B14884" s="1136"/>
      <c r="C14884" s="1138"/>
    </row>
    <row r="14885" spans="1:3">
      <c r="A14885" s="1133"/>
      <c r="B14885" s="1136"/>
      <c r="C14885" s="1138"/>
    </row>
    <row r="14886" spans="1:3">
      <c r="A14886" s="1133"/>
      <c r="B14886" s="1136"/>
      <c r="C14886" s="1138"/>
    </row>
    <row r="14887" spans="1:3">
      <c r="A14887" s="1133"/>
      <c r="B14887" s="1136"/>
      <c r="C14887" s="1138"/>
    </row>
    <row r="14888" spans="1:3">
      <c r="A14888" s="1133"/>
      <c r="B14888" s="1136"/>
      <c r="C14888" s="1138"/>
    </row>
    <row r="14889" spans="1:3">
      <c r="A14889" s="1133"/>
      <c r="B14889" s="1136"/>
      <c r="C14889" s="1138"/>
    </row>
    <row r="14890" spans="1:3">
      <c r="A14890" s="1133"/>
      <c r="B14890" s="1136"/>
      <c r="C14890" s="1138"/>
    </row>
    <row r="14891" spans="1:3">
      <c r="A14891" s="1133"/>
      <c r="B14891" s="1136"/>
      <c r="C14891" s="1138"/>
    </row>
    <row r="14892" spans="1:3">
      <c r="A14892" s="1133"/>
      <c r="B14892" s="1136"/>
      <c r="C14892" s="1138"/>
    </row>
    <row r="14893" spans="1:3">
      <c r="A14893" s="1133"/>
      <c r="B14893" s="1136"/>
      <c r="C14893" s="1138"/>
    </row>
    <row r="14894" spans="1:3">
      <c r="A14894" s="1133"/>
      <c r="B14894" s="1136"/>
      <c r="C14894" s="1138"/>
    </row>
    <row r="14895" spans="1:3">
      <c r="A14895" s="1133"/>
      <c r="B14895" s="1136"/>
      <c r="C14895" s="1138"/>
    </row>
    <row r="14896" spans="1:3">
      <c r="A14896" s="1133"/>
      <c r="B14896" s="1136"/>
      <c r="C14896" s="1138"/>
    </row>
    <row r="14897" spans="1:3">
      <c r="A14897" s="1133"/>
      <c r="B14897" s="1136"/>
      <c r="C14897" s="1138"/>
    </row>
    <row r="14898" spans="1:3">
      <c r="A14898" s="1133"/>
      <c r="B14898" s="1136"/>
      <c r="C14898" s="1138"/>
    </row>
    <row r="14899" spans="1:3">
      <c r="A14899" s="1133"/>
      <c r="B14899" s="1136"/>
      <c r="C14899" s="1138"/>
    </row>
    <row r="14900" spans="1:3">
      <c r="A14900" s="1133"/>
      <c r="B14900" s="1136"/>
      <c r="C14900" s="1138"/>
    </row>
    <row r="14901" spans="1:3">
      <c r="A14901" s="1133"/>
      <c r="B14901" s="1136"/>
      <c r="C14901" s="1138"/>
    </row>
    <row r="14902" spans="1:3">
      <c r="A14902" s="1133"/>
      <c r="B14902" s="1136"/>
      <c r="C14902" s="1138"/>
    </row>
    <row r="14903" spans="1:3">
      <c r="A14903" s="1133"/>
      <c r="B14903" s="1136"/>
      <c r="C14903" s="1138"/>
    </row>
    <row r="14904" spans="1:3">
      <c r="A14904" s="1133"/>
      <c r="B14904" s="1136"/>
      <c r="C14904" s="1138"/>
    </row>
    <row r="14905" spans="1:3">
      <c r="A14905" s="1133"/>
      <c r="B14905" s="1136"/>
      <c r="C14905" s="1138"/>
    </row>
    <row r="14906" spans="1:3">
      <c r="A14906" s="1133"/>
      <c r="B14906" s="1136"/>
      <c r="C14906" s="1138"/>
    </row>
    <row r="14907" spans="1:3">
      <c r="A14907" s="1133"/>
      <c r="B14907" s="1136"/>
      <c r="C14907" s="1138"/>
    </row>
    <row r="14908" spans="1:3">
      <c r="A14908" s="1133"/>
      <c r="B14908" s="1136"/>
      <c r="C14908" s="1138"/>
    </row>
    <row r="14909" spans="1:3">
      <c r="A14909" s="1133"/>
      <c r="B14909" s="1136"/>
      <c r="C14909" s="1138"/>
    </row>
    <row r="14910" spans="1:3">
      <c r="A14910" s="1133"/>
      <c r="B14910" s="1136"/>
      <c r="C14910" s="1138"/>
    </row>
    <row r="14911" spans="1:3">
      <c r="A14911" s="1133"/>
      <c r="B14911" s="1136"/>
      <c r="C14911" s="1138"/>
    </row>
    <row r="14912" spans="1:3">
      <c r="A14912" s="1133"/>
      <c r="B14912" s="1136"/>
      <c r="C14912" s="1138"/>
    </row>
    <row r="14913" spans="1:3">
      <c r="A14913" s="1133"/>
      <c r="B14913" s="1136"/>
      <c r="C14913" s="1138"/>
    </row>
    <row r="14914" spans="1:3">
      <c r="A14914" s="1133"/>
      <c r="B14914" s="1136"/>
      <c r="C14914" s="1138"/>
    </row>
    <row r="14915" spans="1:3">
      <c r="A14915" s="1133"/>
      <c r="B14915" s="1136"/>
      <c r="C14915" s="1138"/>
    </row>
    <row r="14916" spans="1:3">
      <c r="A14916" s="1133"/>
      <c r="B14916" s="1136"/>
      <c r="C14916" s="1138"/>
    </row>
    <row r="14917" spans="1:3">
      <c r="A14917" s="1133"/>
      <c r="B14917" s="1136"/>
      <c r="C14917" s="1138"/>
    </row>
    <row r="14918" spans="1:3">
      <c r="A14918" s="1133"/>
      <c r="B14918" s="1136"/>
      <c r="C14918" s="1138"/>
    </row>
    <row r="14919" spans="1:3">
      <c r="A14919" s="1133"/>
      <c r="B14919" s="1136"/>
      <c r="C14919" s="1138"/>
    </row>
    <row r="14920" spans="1:3">
      <c r="A14920" s="1133"/>
      <c r="B14920" s="1136"/>
      <c r="C14920" s="1138"/>
    </row>
    <row r="14921" spans="1:3">
      <c r="A14921" s="1133"/>
      <c r="B14921" s="1136"/>
      <c r="C14921" s="1138"/>
    </row>
    <row r="14922" spans="1:3">
      <c r="A14922" s="1133"/>
      <c r="B14922" s="1136"/>
      <c r="C14922" s="1138"/>
    </row>
    <row r="14923" spans="1:3">
      <c r="A14923" s="1133"/>
      <c r="B14923" s="1136"/>
      <c r="C14923" s="1138"/>
    </row>
    <row r="14924" spans="1:3">
      <c r="A14924" s="1133"/>
      <c r="B14924" s="1136"/>
      <c r="C14924" s="1138"/>
    </row>
    <row r="14925" spans="1:3">
      <c r="A14925" s="1133"/>
      <c r="B14925" s="1136"/>
      <c r="C14925" s="1138"/>
    </row>
    <row r="14926" spans="1:3">
      <c r="A14926" s="1133"/>
      <c r="B14926" s="1136"/>
      <c r="C14926" s="1138"/>
    </row>
    <row r="14927" spans="1:3">
      <c r="A14927" s="1133"/>
      <c r="B14927" s="1136"/>
      <c r="C14927" s="1138"/>
    </row>
    <row r="14928" spans="1:3">
      <c r="A14928" s="1133"/>
      <c r="B14928" s="1136"/>
      <c r="C14928" s="1138"/>
    </row>
    <row r="14929" spans="1:3">
      <c r="A14929" s="1133"/>
      <c r="B14929" s="1136"/>
      <c r="C14929" s="1138"/>
    </row>
    <row r="14930" spans="1:3">
      <c r="A14930" s="1133"/>
      <c r="B14930" s="1136"/>
      <c r="C14930" s="1138"/>
    </row>
    <row r="14931" spans="1:3">
      <c r="A14931" s="1133"/>
      <c r="B14931" s="1136"/>
      <c r="C14931" s="1138"/>
    </row>
    <row r="14932" spans="1:3">
      <c r="A14932" s="1133"/>
      <c r="B14932" s="1136"/>
      <c r="C14932" s="1138"/>
    </row>
    <row r="14933" spans="1:3">
      <c r="A14933" s="1133"/>
      <c r="B14933" s="1136"/>
      <c r="C14933" s="1138"/>
    </row>
    <row r="14934" spans="1:3">
      <c r="A14934" s="1133"/>
      <c r="B14934" s="1136"/>
      <c r="C14934" s="1138"/>
    </row>
    <row r="14935" spans="1:3">
      <c r="A14935" s="1133"/>
      <c r="B14935" s="1136"/>
      <c r="C14935" s="1138"/>
    </row>
    <row r="14936" spans="1:3">
      <c r="A14936" s="1133"/>
      <c r="B14936" s="1136"/>
      <c r="C14936" s="1138"/>
    </row>
    <row r="14937" spans="1:3">
      <c r="A14937" s="1133"/>
      <c r="B14937" s="1136"/>
      <c r="C14937" s="1138"/>
    </row>
    <row r="14938" spans="1:3">
      <c r="A14938" s="1133"/>
      <c r="B14938" s="1136"/>
      <c r="C14938" s="1138"/>
    </row>
    <row r="14939" spans="1:3">
      <c r="A14939" s="1133"/>
      <c r="B14939" s="1136"/>
      <c r="C14939" s="1138"/>
    </row>
    <row r="14940" spans="1:3">
      <c r="A14940" s="1133"/>
      <c r="B14940" s="1136"/>
      <c r="C14940" s="1138"/>
    </row>
    <row r="14941" spans="1:3">
      <c r="A14941" s="1133"/>
      <c r="B14941" s="1136"/>
      <c r="C14941" s="1138"/>
    </row>
    <row r="14942" spans="1:3">
      <c r="A14942" s="1133"/>
      <c r="B14942" s="1136"/>
      <c r="C14942" s="1138"/>
    </row>
    <row r="14943" spans="1:3">
      <c r="A14943" s="1133"/>
      <c r="B14943" s="1136"/>
      <c r="C14943" s="1138"/>
    </row>
    <row r="14944" spans="1:3">
      <c r="A14944" s="1133"/>
      <c r="B14944" s="1136"/>
      <c r="C14944" s="1138"/>
    </row>
    <row r="14945" spans="1:3">
      <c r="A14945" s="1133"/>
      <c r="B14945" s="1136"/>
      <c r="C14945" s="1138"/>
    </row>
    <row r="14946" spans="1:3">
      <c r="A14946" s="1133"/>
      <c r="B14946" s="1136"/>
      <c r="C14946" s="1138"/>
    </row>
    <row r="14947" spans="1:3">
      <c r="A14947" s="1133"/>
      <c r="B14947" s="1136"/>
      <c r="C14947" s="1138"/>
    </row>
    <row r="14948" spans="1:3">
      <c r="A14948" s="1133"/>
      <c r="B14948" s="1136"/>
      <c r="C14948" s="1138"/>
    </row>
    <row r="14949" spans="1:3">
      <c r="A14949" s="1133"/>
      <c r="B14949" s="1136"/>
      <c r="C14949" s="1138"/>
    </row>
    <row r="14950" spans="1:3">
      <c r="A14950" s="1133"/>
      <c r="B14950" s="1136"/>
      <c r="C14950" s="1138"/>
    </row>
    <row r="14951" spans="1:3">
      <c r="A14951" s="1133"/>
      <c r="B14951" s="1136"/>
      <c r="C14951" s="1138"/>
    </row>
    <row r="14952" spans="1:3">
      <c r="A14952" s="1133"/>
      <c r="B14952" s="1136"/>
      <c r="C14952" s="1138"/>
    </row>
    <row r="14953" spans="1:3">
      <c r="A14953" s="1133"/>
      <c r="B14953" s="1136"/>
      <c r="C14953" s="1138"/>
    </row>
    <row r="14954" spans="1:3">
      <c r="A14954" s="1133"/>
      <c r="B14954" s="1136"/>
      <c r="C14954" s="1138"/>
    </row>
    <row r="14955" spans="1:3">
      <c r="A14955" s="1133"/>
      <c r="B14955" s="1136"/>
      <c r="C14955" s="1138"/>
    </row>
    <row r="14956" spans="1:3">
      <c r="A14956" s="1133"/>
      <c r="B14956" s="1136"/>
      <c r="C14956" s="1138"/>
    </row>
    <row r="14957" spans="1:3">
      <c r="A14957" s="1133"/>
      <c r="B14957" s="1136"/>
      <c r="C14957" s="1138"/>
    </row>
    <row r="14958" spans="1:3">
      <c r="A14958" s="1133"/>
      <c r="B14958" s="1136"/>
      <c r="C14958" s="1138"/>
    </row>
    <row r="14959" spans="1:3">
      <c r="A14959" s="1133"/>
      <c r="B14959" s="1136"/>
      <c r="C14959" s="1138"/>
    </row>
    <row r="14960" spans="1:3">
      <c r="A14960" s="1133"/>
      <c r="B14960" s="1136"/>
      <c r="C14960" s="1138"/>
    </row>
    <row r="14961" spans="1:3">
      <c r="A14961" s="1133"/>
      <c r="B14961" s="1136"/>
      <c r="C14961" s="1138"/>
    </row>
    <row r="14962" spans="1:3">
      <c r="A14962" s="1133"/>
      <c r="B14962" s="1136"/>
      <c r="C14962" s="1138"/>
    </row>
    <row r="14963" spans="1:3">
      <c r="A14963" s="1133"/>
      <c r="B14963" s="1136"/>
      <c r="C14963" s="1138"/>
    </row>
    <row r="14964" spans="1:3">
      <c r="A14964" s="1133"/>
      <c r="B14964" s="1136"/>
      <c r="C14964" s="1138"/>
    </row>
    <row r="14965" spans="1:3">
      <c r="A14965" s="1133"/>
      <c r="B14965" s="1136"/>
      <c r="C14965" s="1138"/>
    </row>
    <row r="14966" spans="1:3">
      <c r="A14966" s="1133"/>
      <c r="B14966" s="1136"/>
      <c r="C14966" s="1138"/>
    </row>
    <row r="14967" spans="1:3">
      <c r="A14967" s="1133"/>
      <c r="B14967" s="1136"/>
      <c r="C14967" s="1138"/>
    </row>
    <row r="14968" spans="1:3">
      <c r="A14968" s="1133"/>
      <c r="B14968" s="1136"/>
      <c r="C14968" s="1138"/>
    </row>
    <row r="14969" spans="1:3">
      <c r="A14969" s="1133"/>
      <c r="B14969" s="1136"/>
      <c r="C14969" s="1138"/>
    </row>
    <row r="14970" spans="1:3">
      <c r="A14970" s="1133"/>
      <c r="B14970" s="1136"/>
      <c r="C14970" s="1138"/>
    </row>
    <row r="14971" spans="1:3">
      <c r="A14971" s="1133"/>
      <c r="B14971" s="1136"/>
      <c r="C14971" s="1138"/>
    </row>
    <row r="14972" spans="1:3">
      <c r="A14972" s="1133"/>
      <c r="B14972" s="1136"/>
      <c r="C14972" s="1138"/>
    </row>
    <row r="14973" spans="1:3">
      <c r="A14973" s="1133"/>
      <c r="B14973" s="1136"/>
      <c r="C14973" s="1138"/>
    </row>
    <row r="14974" spans="1:3">
      <c r="A14974" s="1133"/>
      <c r="B14974" s="1136"/>
      <c r="C14974" s="1138"/>
    </row>
    <row r="14975" spans="1:3">
      <c r="A14975" s="1133"/>
      <c r="B14975" s="1136"/>
      <c r="C14975" s="1138"/>
    </row>
    <row r="14976" spans="1:3">
      <c r="A14976" s="1133"/>
      <c r="B14976" s="1136"/>
      <c r="C14976" s="1138"/>
    </row>
    <row r="14977" spans="1:3">
      <c r="A14977" s="1133"/>
      <c r="B14977" s="1136"/>
      <c r="C14977" s="1138"/>
    </row>
    <row r="14978" spans="1:3">
      <c r="A14978" s="1133"/>
      <c r="B14978" s="1136"/>
      <c r="C14978" s="1138"/>
    </row>
    <row r="14979" spans="1:3">
      <c r="A14979" s="1133"/>
      <c r="B14979" s="1136"/>
      <c r="C14979" s="1138"/>
    </row>
    <row r="14980" spans="1:3">
      <c r="A14980" s="1133"/>
      <c r="B14980" s="1136"/>
      <c r="C14980" s="1138"/>
    </row>
    <row r="14981" spans="1:3">
      <c r="A14981" s="1133"/>
      <c r="B14981" s="1136"/>
      <c r="C14981" s="1138"/>
    </row>
    <row r="14982" spans="1:3">
      <c r="A14982" s="1133"/>
      <c r="B14982" s="1136"/>
      <c r="C14982" s="1138"/>
    </row>
    <row r="14983" spans="1:3">
      <c r="A14983" s="1133"/>
      <c r="B14983" s="1136"/>
      <c r="C14983" s="1138"/>
    </row>
    <row r="14984" spans="1:3">
      <c r="A14984" s="1133"/>
      <c r="B14984" s="1136"/>
      <c r="C14984" s="1138"/>
    </row>
    <row r="14985" spans="1:3">
      <c r="A14985" s="1133"/>
      <c r="B14985" s="1136"/>
      <c r="C14985" s="1138"/>
    </row>
    <row r="14986" spans="1:3">
      <c r="A14986" s="1133"/>
      <c r="B14986" s="1136"/>
      <c r="C14986" s="1138"/>
    </row>
    <row r="14987" spans="1:3">
      <c r="A14987" s="1133"/>
      <c r="B14987" s="1136"/>
      <c r="C14987" s="1138"/>
    </row>
    <row r="14988" spans="1:3">
      <c r="A14988" s="1133"/>
      <c r="B14988" s="1136"/>
      <c r="C14988" s="1138"/>
    </row>
    <row r="14989" spans="1:3">
      <c r="A14989" s="1133"/>
      <c r="B14989" s="1136"/>
      <c r="C14989" s="1138"/>
    </row>
    <row r="14990" spans="1:3">
      <c r="A14990" s="1133"/>
      <c r="B14990" s="1136"/>
      <c r="C14990" s="1138"/>
    </row>
    <row r="14991" spans="1:3">
      <c r="A14991" s="1133"/>
      <c r="B14991" s="1136"/>
      <c r="C14991" s="1138"/>
    </row>
    <row r="14992" spans="1:3">
      <c r="A14992" s="1133"/>
      <c r="B14992" s="1136"/>
      <c r="C14992" s="1138"/>
    </row>
    <row r="14993" spans="1:3">
      <c r="A14993" s="1133"/>
      <c r="B14993" s="1136"/>
      <c r="C14993" s="1138"/>
    </row>
    <row r="14994" spans="1:3">
      <c r="A14994" s="1133"/>
      <c r="B14994" s="1136"/>
      <c r="C14994" s="1138"/>
    </row>
    <row r="14995" spans="1:3">
      <c r="A14995" s="1133"/>
      <c r="B14995" s="1136"/>
      <c r="C14995" s="1138"/>
    </row>
    <row r="14996" spans="1:3">
      <c r="A14996" s="1133"/>
      <c r="B14996" s="1136"/>
      <c r="C14996" s="1138"/>
    </row>
    <row r="14997" spans="1:3">
      <c r="A14997" s="1133"/>
      <c r="B14997" s="1136"/>
      <c r="C14997" s="1138"/>
    </row>
    <row r="14998" spans="1:3">
      <c r="A14998" s="1133"/>
      <c r="B14998" s="1136"/>
      <c r="C14998" s="1138"/>
    </row>
    <row r="14999" spans="1:3">
      <c r="A14999" s="1133"/>
      <c r="B14999" s="1136"/>
      <c r="C14999" s="1138"/>
    </row>
    <row r="15000" spans="1:3">
      <c r="A15000" s="1133"/>
      <c r="B15000" s="1136"/>
      <c r="C15000" s="1138"/>
    </row>
    <row r="15001" spans="1:3">
      <c r="A15001" s="1133"/>
      <c r="B15001" s="1136"/>
      <c r="C15001" s="1138"/>
    </row>
    <row r="15002" spans="1:3">
      <c r="A15002" s="1133"/>
      <c r="B15002" s="1136"/>
      <c r="C15002" s="1138"/>
    </row>
    <row r="15003" spans="1:3">
      <c r="A15003" s="1133"/>
      <c r="B15003" s="1136"/>
      <c r="C15003" s="1138"/>
    </row>
    <row r="15004" spans="1:3">
      <c r="A15004" s="1133"/>
      <c r="B15004" s="1136"/>
      <c r="C15004" s="1138"/>
    </row>
    <row r="15005" spans="1:3">
      <c r="A15005" s="1133"/>
      <c r="B15005" s="1136"/>
      <c r="C15005" s="1138"/>
    </row>
    <row r="15006" spans="1:3">
      <c r="A15006" s="1133"/>
      <c r="B15006" s="1136"/>
      <c r="C15006" s="1138"/>
    </row>
    <row r="15007" spans="1:3">
      <c r="A15007" s="1133"/>
      <c r="B15007" s="1136"/>
      <c r="C15007" s="1138"/>
    </row>
    <row r="15008" spans="1:3">
      <c r="A15008" s="1133"/>
      <c r="B15008" s="1136"/>
      <c r="C15008" s="1138"/>
    </row>
    <row r="15009" spans="1:3">
      <c r="A15009" s="1133"/>
      <c r="B15009" s="1136"/>
      <c r="C15009" s="1138"/>
    </row>
    <row r="15010" spans="1:3">
      <c r="A15010" s="1133"/>
      <c r="B15010" s="1136"/>
      <c r="C15010" s="1138"/>
    </row>
    <row r="15011" spans="1:3">
      <c r="A15011" s="1133"/>
      <c r="B15011" s="1136"/>
      <c r="C15011" s="1138"/>
    </row>
    <row r="15012" spans="1:3">
      <c r="A15012" s="1133"/>
      <c r="B15012" s="1136"/>
      <c r="C15012" s="1138"/>
    </row>
    <row r="15013" spans="1:3">
      <c r="A15013" s="1133"/>
      <c r="B15013" s="1136"/>
      <c r="C15013" s="1138"/>
    </row>
    <row r="15014" spans="1:3">
      <c r="A15014" s="1133"/>
      <c r="B15014" s="1136"/>
      <c r="C15014" s="1138"/>
    </row>
    <row r="15015" spans="1:3">
      <c r="A15015" s="1133"/>
      <c r="B15015" s="1136"/>
      <c r="C15015" s="1138"/>
    </row>
    <row r="15016" spans="1:3">
      <c r="A15016" s="1133"/>
      <c r="B15016" s="1136"/>
      <c r="C15016" s="1138"/>
    </row>
    <row r="15017" spans="1:3">
      <c r="A15017" s="1133"/>
      <c r="B15017" s="1136"/>
      <c r="C15017" s="1138"/>
    </row>
    <row r="15018" spans="1:3">
      <c r="A15018" s="1133"/>
      <c r="B15018" s="1136"/>
      <c r="C15018" s="1138"/>
    </row>
    <row r="15019" spans="1:3">
      <c r="A15019" s="1133"/>
      <c r="B15019" s="1136"/>
      <c r="C15019" s="1138"/>
    </row>
    <row r="15020" spans="1:3">
      <c r="A15020" s="1133"/>
      <c r="B15020" s="1136"/>
      <c r="C15020" s="1138"/>
    </row>
    <row r="15021" spans="1:3">
      <c r="A15021" s="1133"/>
      <c r="B15021" s="1136"/>
      <c r="C15021" s="1138"/>
    </row>
    <row r="15022" spans="1:3">
      <c r="A15022" s="1133"/>
      <c r="B15022" s="1136"/>
      <c r="C15022" s="1138"/>
    </row>
    <row r="15023" spans="1:3">
      <c r="A15023" s="1133"/>
      <c r="B15023" s="1136"/>
      <c r="C15023" s="1138"/>
    </row>
    <row r="15024" spans="1:3">
      <c r="A15024" s="1133"/>
      <c r="B15024" s="1136"/>
      <c r="C15024" s="1138"/>
    </row>
    <row r="15025" spans="1:3">
      <c r="A15025" s="1133"/>
      <c r="B15025" s="1136"/>
      <c r="C15025" s="1138"/>
    </row>
    <row r="15026" spans="1:3">
      <c r="A15026" s="1133"/>
      <c r="B15026" s="1136"/>
      <c r="C15026" s="1138"/>
    </row>
    <row r="15027" spans="1:3">
      <c r="A15027" s="1133"/>
      <c r="B15027" s="1136"/>
      <c r="C15027" s="1138"/>
    </row>
    <row r="15028" spans="1:3">
      <c r="A15028" s="1133"/>
      <c r="B15028" s="1136"/>
      <c r="C15028" s="1138"/>
    </row>
    <row r="15029" spans="1:3">
      <c r="A15029" s="1133"/>
      <c r="B15029" s="1136"/>
      <c r="C15029" s="1138"/>
    </row>
    <row r="15030" spans="1:3">
      <c r="A15030" s="1133"/>
      <c r="B15030" s="1136"/>
      <c r="C15030" s="1138"/>
    </row>
    <row r="15031" spans="1:3">
      <c r="A15031" s="1133"/>
      <c r="B15031" s="1136"/>
      <c r="C15031" s="1138"/>
    </row>
    <row r="15032" spans="1:3">
      <c r="A15032" s="1133"/>
      <c r="B15032" s="1136"/>
      <c r="C15032" s="1138"/>
    </row>
    <row r="15033" spans="1:3">
      <c r="A15033" s="1133"/>
      <c r="B15033" s="1136"/>
      <c r="C15033" s="1138"/>
    </row>
    <row r="15034" spans="1:3">
      <c r="A15034" s="1133"/>
      <c r="B15034" s="1136"/>
      <c r="C15034" s="1138"/>
    </row>
    <row r="15035" spans="1:3">
      <c r="A15035" s="1133"/>
      <c r="B15035" s="1136"/>
      <c r="C15035" s="1138"/>
    </row>
    <row r="15036" spans="1:3">
      <c r="A15036" s="1133"/>
      <c r="B15036" s="1136"/>
      <c r="C15036" s="1138"/>
    </row>
    <row r="15037" spans="1:3">
      <c r="A15037" s="1133"/>
      <c r="B15037" s="1136"/>
      <c r="C15037" s="1138"/>
    </row>
    <row r="15038" spans="1:3">
      <c r="A15038" s="1133"/>
      <c r="B15038" s="1136"/>
      <c r="C15038" s="1138"/>
    </row>
    <row r="15039" spans="1:3">
      <c r="A15039" s="1133"/>
      <c r="B15039" s="1136"/>
      <c r="C15039" s="1138"/>
    </row>
    <row r="15040" spans="1:3">
      <c r="A15040" s="1133"/>
      <c r="B15040" s="1136"/>
      <c r="C15040" s="1138"/>
    </row>
    <row r="15041" spans="1:3">
      <c r="A15041" s="1133"/>
      <c r="B15041" s="1136"/>
      <c r="C15041" s="1138"/>
    </row>
    <row r="15042" spans="1:3">
      <c r="A15042" s="1133"/>
      <c r="B15042" s="1136"/>
      <c r="C15042" s="1138"/>
    </row>
    <row r="15043" spans="1:3">
      <c r="A15043" s="1133"/>
      <c r="B15043" s="1136"/>
      <c r="C15043" s="1138"/>
    </row>
    <row r="15044" spans="1:3">
      <c r="A15044" s="1133"/>
      <c r="B15044" s="1136"/>
      <c r="C15044" s="1138"/>
    </row>
    <row r="15045" spans="1:3">
      <c r="A15045" s="1133"/>
      <c r="B15045" s="1136"/>
      <c r="C15045" s="1138"/>
    </row>
    <row r="15046" spans="1:3">
      <c r="A15046" s="1133"/>
      <c r="B15046" s="1136"/>
      <c r="C15046" s="1138"/>
    </row>
    <row r="15047" spans="1:3">
      <c r="A15047" s="1133"/>
      <c r="B15047" s="1136"/>
      <c r="C15047" s="1138"/>
    </row>
    <row r="15048" spans="1:3">
      <c r="A15048" s="1133"/>
      <c r="B15048" s="1136"/>
      <c r="C15048" s="1138"/>
    </row>
    <row r="15049" spans="1:3">
      <c r="A15049" s="1133"/>
      <c r="B15049" s="1136"/>
      <c r="C15049" s="1138"/>
    </row>
    <row r="15050" spans="1:3">
      <c r="A15050" s="1133"/>
      <c r="B15050" s="1136"/>
      <c r="C15050" s="1138"/>
    </row>
    <row r="15051" spans="1:3">
      <c r="A15051" s="1133"/>
      <c r="B15051" s="1136"/>
      <c r="C15051" s="1138"/>
    </row>
    <row r="15052" spans="1:3">
      <c r="A15052" s="1133"/>
      <c r="B15052" s="1136"/>
      <c r="C15052" s="1138"/>
    </row>
    <row r="15053" spans="1:3">
      <c r="A15053" s="1133"/>
      <c r="B15053" s="1136"/>
      <c r="C15053" s="1138"/>
    </row>
    <row r="15054" spans="1:3">
      <c r="A15054" s="1133"/>
      <c r="B15054" s="1136"/>
      <c r="C15054" s="1138"/>
    </row>
    <row r="15055" spans="1:3">
      <c r="A15055" s="1133"/>
      <c r="B15055" s="1136"/>
      <c r="C15055" s="1138"/>
    </row>
    <row r="15056" spans="1:3">
      <c r="A15056" s="1133"/>
      <c r="B15056" s="1136"/>
      <c r="C15056" s="1138"/>
    </row>
    <row r="15057" spans="1:3">
      <c r="A15057" s="1133"/>
      <c r="B15057" s="1136"/>
      <c r="C15057" s="1138"/>
    </row>
    <row r="15058" spans="1:3">
      <c r="A15058" s="1133"/>
      <c r="B15058" s="1136"/>
      <c r="C15058" s="1138"/>
    </row>
    <row r="15059" spans="1:3">
      <c r="A15059" s="1133"/>
      <c r="B15059" s="1136"/>
      <c r="C15059" s="1138"/>
    </row>
    <row r="15060" spans="1:3">
      <c r="A15060" s="1133"/>
      <c r="B15060" s="1136"/>
      <c r="C15060" s="1138"/>
    </row>
    <row r="15061" spans="1:3">
      <c r="A15061" s="1133"/>
      <c r="B15061" s="1136"/>
      <c r="C15061" s="1138"/>
    </row>
    <row r="15062" spans="1:3">
      <c r="A15062" s="1133"/>
      <c r="B15062" s="1136"/>
      <c r="C15062" s="1138"/>
    </row>
    <row r="15063" spans="1:3">
      <c r="A15063" s="1133"/>
      <c r="B15063" s="1136"/>
      <c r="C15063" s="1138"/>
    </row>
    <row r="15064" spans="1:3">
      <c r="A15064" s="1133"/>
      <c r="B15064" s="1136"/>
      <c r="C15064" s="1138"/>
    </row>
    <row r="15065" spans="1:3">
      <c r="A15065" s="1133"/>
      <c r="B15065" s="1136"/>
      <c r="C15065" s="1138"/>
    </row>
    <row r="15066" spans="1:3">
      <c r="A15066" s="1133"/>
      <c r="B15066" s="1136"/>
      <c r="C15066" s="1138"/>
    </row>
    <row r="15067" spans="1:3">
      <c r="A15067" s="1133"/>
      <c r="B15067" s="1136"/>
      <c r="C15067" s="1138"/>
    </row>
    <row r="15068" spans="1:3">
      <c r="A15068" s="1133"/>
      <c r="B15068" s="1136"/>
      <c r="C15068" s="1138"/>
    </row>
    <row r="15069" spans="1:3">
      <c r="A15069" s="1133"/>
      <c r="B15069" s="1136"/>
      <c r="C15069" s="1138"/>
    </row>
    <row r="15070" spans="1:3">
      <c r="A15070" s="1133"/>
      <c r="B15070" s="1136"/>
      <c r="C15070" s="1138"/>
    </row>
    <row r="15071" spans="1:3">
      <c r="A15071" s="1133"/>
      <c r="B15071" s="1136"/>
      <c r="C15071" s="1138"/>
    </row>
    <row r="15072" spans="1:3">
      <c r="A15072" s="1133"/>
      <c r="B15072" s="1136"/>
      <c r="C15072" s="1138"/>
    </row>
    <row r="15073" spans="1:3">
      <c r="A15073" s="1133"/>
      <c r="B15073" s="1136"/>
      <c r="C15073" s="1138"/>
    </row>
    <row r="15074" spans="1:3">
      <c r="A15074" s="1133"/>
      <c r="B15074" s="1136"/>
      <c r="C15074" s="1138"/>
    </row>
    <row r="15075" spans="1:3">
      <c r="A15075" s="1133"/>
      <c r="B15075" s="1136"/>
      <c r="C15075" s="1138"/>
    </row>
    <row r="15076" spans="1:3">
      <c r="A15076" s="1133"/>
      <c r="B15076" s="1136"/>
      <c r="C15076" s="1138"/>
    </row>
    <row r="15077" spans="1:3">
      <c r="A15077" s="1133"/>
      <c r="B15077" s="1136"/>
      <c r="C15077" s="1138"/>
    </row>
    <row r="15078" spans="1:3">
      <c r="A15078" s="1133"/>
      <c r="B15078" s="1136"/>
      <c r="C15078" s="1138"/>
    </row>
    <row r="15079" spans="1:3">
      <c r="A15079" s="1133"/>
      <c r="B15079" s="1136"/>
      <c r="C15079" s="1138"/>
    </row>
    <row r="15080" spans="1:3">
      <c r="A15080" s="1133"/>
      <c r="B15080" s="1136"/>
      <c r="C15080" s="1138"/>
    </row>
    <row r="15081" spans="1:3">
      <c r="A15081" s="1133"/>
      <c r="B15081" s="1136"/>
      <c r="C15081" s="1138"/>
    </row>
    <row r="15082" spans="1:3">
      <c r="A15082" s="1133"/>
      <c r="B15082" s="1136"/>
      <c r="C15082" s="1138"/>
    </row>
    <row r="15083" spans="1:3">
      <c r="A15083" s="1133"/>
      <c r="B15083" s="1136"/>
      <c r="C15083" s="1138"/>
    </row>
    <row r="15084" spans="1:3">
      <c r="A15084" s="1133"/>
      <c r="B15084" s="1136"/>
      <c r="C15084" s="1138"/>
    </row>
    <row r="15085" spans="1:3">
      <c r="A15085" s="1133"/>
      <c r="B15085" s="1136"/>
      <c r="C15085" s="1138"/>
    </row>
    <row r="15086" spans="1:3">
      <c r="A15086" s="1133"/>
      <c r="B15086" s="1136"/>
      <c r="C15086" s="1138"/>
    </row>
    <row r="15087" spans="1:3">
      <c r="A15087" s="1133"/>
      <c r="B15087" s="1136"/>
      <c r="C15087" s="1138"/>
    </row>
    <row r="15088" spans="1:3">
      <c r="A15088" s="1133"/>
      <c r="B15088" s="1136"/>
      <c r="C15088" s="1138"/>
    </row>
    <row r="15089" spans="1:3">
      <c r="A15089" s="1133"/>
      <c r="B15089" s="1136"/>
      <c r="C15089" s="1138"/>
    </row>
    <row r="15090" spans="1:3">
      <c r="A15090" s="1133"/>
      <c r="B15090" s="1136"/>
      <c r="C15090" s="1138"/>
    </row>
    <row r="15091" spans="1:3">
      <c r="A15091" s="1133"/>
      <c r="B15091" s="1136"/>
      <c r="C15091" s="1138"/>
    </row>
    <row r="15092" spans="1:3">
      <c r="A15092" s="1133"/>
      <c r="B15092" s="1136"/>
      <c r="C15092" s="1138"/>
    </row>
    <row r="15093" spans="1:3">
      <c r="A15093" s="1133"/>
      <c r="B15093" s="1136"/>
      <c r="C15093" s="1138"/>
    </row>
    <row r="15094" spans="1:3">
      <c r="A15094" s="1133"/>
      <c r="B15094" s="1136"/>
      <c r="C15094" s="1138"/>
    </row>
    <row r="15095" spans="1:3">
      <c r="A15095" s="1133"/>
      <c r="B15095" s="1136"/>
      <c r="C15095" s="1138"/>
    </row>
    <row r="15096" spans="1:3">
      <c r="A15096" s="1133"/>
      <c r="B15096" s="1136"/>
      <c r="C15096" s="1138"/>
    </row>
    <row r="15097" spans="1:3">
      <c r="A15097" s="1133"/>
      <c r="B15097" s="1136"/>
      <c r="C15097" s="1138"/>
    </row>
    <row r="15098" spans="1:3">
      <c r="A15098" s="1133"/>
      <c r="B15098" s="1136"/>
      <c r="C15098" s="1138"/>
    </row>
    <row r="15099" spans="1:3">
      <c r="A15099" s="1133"/>
      <c r="B15099" s="1136"/>
      <c r="C15099" s="1138"/>
    </row>
    <row r="15100" spans="1:3">
      <c r="A15100" s="1133"/>
      <c r="B15100" s="1136"/>
      <c r="C15100" s="1138"/>
    </row>
    <row r="15101" spans="1:3">
      <c r="A15101" s="1133"/>
      <c r="B15101" s="1136"/>
      <c r="C15101" s="1138"/>
    </row>
    <row r="15102" spans="1:3">
      <c r="A15102" s="1133"/>
      <c r="B15102" s="1136"/>
      <c r="C15102" s="1138"/>
    </row>
    <row r="15103" spans="1:3">
      <c r="A15103" s="1133"/>
      <c r="B15103" s="1136"/>
      <c r="C15103" s="1138"/>
    </row>
    <row r="15104" spans="1:3">
      <c r="A15104" s="1133"/>
      <c r="B15104" s="1136"/>
      <c r="C15104" s="1138"/>
    </row>
    <row r="15105" spans="1:3">
      <c r="A15105" s="1133"/>
      <c r="B15105" s="1136"/>
      <c r="C15105" s="1138"/>
    </row>
    <row r="15106" spans="1:3">
      <c r="A15106" s="1133"/>
      <c r="B15106" s="1136"/>
      <c r="C15106" s="1138"/>
    </row>
    <row r="15107" spans="1:3">
      <c r="A15107" s="1133"/>
      <c r="B15107" s="1136"/>
      <c r="C15107" s="1138"/>
    </row>
    <row r="15108" spans="1:3">
      <c r="A15108" s="1133"/>
      <c r="B15108" s="1136"/>
      <c r="C15108" s="1138"/>
    </row>
    <row r="15109" spans="1:3">
      <c r="A15109" s="1133"/>
      <c r="B15109" s="1136"/>
      <c r="C15109" s="1138"/>
    </row>
    <row r="15110" spans="1:3">
      <c r="A15110" s="1133"/>
      <c r="B15110" s="1136"/>
      <c r="C15110" s="1138"/>
    </row>
    <row r="15111" spans="1:3">
      <c r="A15111" s="1133"/>
      <c r="B15111" s="1136"/>
      <c r="C15111" s="1138"/>
    </row>
    <row r="15112" spans="1:3">
      <c r="A15112" s="1133"/>
      <c r="B15112" s="1136"/>
      <c r="C15112" s="1138"/>
    </row>
    <row r="15113" spans="1:3">
      <c r="A15113" s="1133"/>
      <c r="B15113" s="1136"/>
      <c r="C15113" s="1138"/>
    </row>
    <row r="15114" spans="1:3">
      <c r="A15114" s="1133"/>
      <c r="B15114" s="1136"/>
      <c r="C15114" s="1138"/>
    </row>
    <row r="15115" spans="1:3">
      <c r="A15115" s="1133"/>
      <c r="B15115" s="1136"/>
      <c r="C15115" s="1138"/>
    </row>
    <row r="15116" spans="1:3">
      <c r="A15116" s="1133"/>
      <c r="B15116" s="1136"/>
      <c r="C15116" s="1138"/>
    </row>
    <row r="15117" spans="1:3">
      <c r="A15117" s="1133"/>
      <c r="B15117" s="1136"/>
      <c r="C15117" s="1138"/>
    </row>
    <row r="15118" spans="1:3">
      <c r="A15118" s="1133"/>
      <c r="B15118" s="1136"/>
      <c r="C15118" s="1138"/>
    </row>
    <row r="15119" spans="1:3">
      <c r="A15119" s="1133"/>
      <c r="B15119" s="1136"/>
      <c r="C15119" s="1138"/>
    </row>
    <row r="15120" spans="1:3">
      <c r="A15120" s="1133"/>
      <c r="B15120" s="1136"/>
      <c r="C15120" s="1138"/>
    </row>
    <row r="15121" spans="1:3">
      <c r="A15121" s="1133"/>
      <c r="B15121" s="1136"/>
      <c r="C15121" s="1138"/>
    </row>
    <row r="15122" spans="1:3">
      <c r="A15122" s="1133"/>
      <c r="B15122" s="1136"/>
      <c r="C15122" s="1138"/>
    </row>
    <row r="15123" spans="1:3">
      <c r="A15123" s="1133"/>
      <c r="B15123" s="1136"/>
      <c r="C15123" s="1138"/>
    </row>
    <row r="15124" spans="1:3">
      <c r="A15124" s="1133"/>
      <c r="B15124" s="1136"/>
      <c r="C15124" s="1138"/>
    </row>
    <row r="15125" spans="1:3">
      <c r="A15125" s="1133"/>
      <c r="B15125" s="1136"/>
      <c r="C15125" s="1138"/>
    </row>
    <row r="15126" spans="1:3">
      <c r="A15126" s="1133"/>
      <c r="B15126" s="1136"/>
      <c r="C15126" s="1138"/>
    </row>
    <row r="15127" spans="1:3">
      <c r="A15127" s="1133"/>
      <c r="B15127" s="1136"/>
      <c r="C15127" s="1138"/>
    </row>
    <row r="15128" spans="1:3">
      <c r="A15128" s="1133"/>
      <c r="B15128" s="1136"/>
      <c r="C15128" s="1138"/>
    </row>
    <row r="15129" spans="1:3">
      <c r="A15129" s="1133"/>
      <c r="B15129" s="1136"/>
      <c r="C15129" s="1138"/>
    </row>
    <row r="15130" spans="1:3">
      <c r="A15130" s="1133"/>
      <c r="B15130" s="1136"/>
      <c r="C15130" s="1138"/>
    </row>
    <row r="15131" spans="1:3">
      <c r="A15131" s="1133"/>
      <c r="B15131" s="1136"/>
      <c r="C15131" s="1138"/>
    </row>
    <row r="15132" spans="1:3">
      <c r="A15132" s="1133"/>
      <c r="B15132" s="1136"/>
      <c r="C15132" s="1138"/>
    </row>
    <row r="15133" spans="1:3">
      <c r="A15133" s="1133"/>
      <c r="B15133" s="1136"/>
      <c r="C15133" s="1138"/>
    </row>
    <row r="15134" spans="1:3">
      <c r="A15134" s="1133"/>
      <c r="B15134" s="1136"/>
      <c r="C15134" s="1138"/>
    </row>
    <row r="15135" spans="1:3">
      <c r="A15135" s="1133"/>
      <c r="B15135" s="1136"/>
      <c r="C15135" s="1138"/>
    </row>
    <row r="15136" spans="1:3">
      <c r="A15136" s="1133"/>
      <c r="B15136" s="1136"/>
      <c r="C15136" s="1138"/>
    </row>
    <row r="15137" spans="1:3">
      <c r="A15137" s="1133"/>
      <c r="B15137" s="1136"/>
      <c r="C15137" s="1138"/>
    </row>
    <row r="15138" spans="1:3">
      <c r="A15138" s="1133"/>
      <c r="B15138" s="1136"/>
      <c r="C15138" s="1138"/>
    </row>
    <row r="15139" spans="1:3">
      <c r="A15139" s="1133"/>
      <c r="B15139" s="1136"/>
      <c r="C15139" s="1138"/>
    </row>
    <row r="15140" spans="1:3">
      <c r="A15140" s="1133"/>
      <c r="B15140" s="1136"/>
      <c r="C15140" s="1138"/>
    </row>
    <row r="15141" spans="1:3">
      <c r="A15141" s="1133"/>
      <c r="B15141" s="1136"/>
      <c r="C15141" s="1138"/>
    </row>
    <row r="15142" spans="1:3">
      <c r="A15142" s="1133"/>
      <c r="B15142" s="1136"/>
      <c r="C15142" s="1138"/>
    </row>
    <row r="15143" spans="1:3">
      <c r="A15143" s="1133"/>
      <c r="B15143" s="1136"/>
      <c r="C15143" s="1138"/>
    </row>
    <row r="15144" spans="1:3">
      <c r="A15144" s="1133"/>
      <c r="B15144" s="1136"/>
      <c r="C15144" s="1138"/>
    </row>
    <row r="15145" spans="1:3">
      <c r="A15145" s="1133"/>
      <c r="B15145" s="1136"/>
      <c r="C15145" s="1138"/>
    </row>
    <row r="15146" spans="1:3">
      <c r="A15146" s="1133"/>
      <c r="B15146" s="1136"/>
      <c r="C15146" s="1138"/>
    </row>
    <row r="15147" spans="1:3">
      <c r="A15147" s="1133"/>
      <c r="B15147" s="1136"/>
      <c r="C15147" s="1138"/>
    </row>
    <row r="15148" spans="1:3">
      <c r="A15148" s="1133"/>
      <c r="B15148" s="1136"/>
      <c r="C15148" s="1138"/>
    </row>
    <row r="15149" spans="1:3">
      <c r="A15149" s="1133"/>
      <c r="B15149" s="1136"/>
      <c r="C15149" s="1138"/>
    </row>
    <row r="15150" spans="1:3">
      <c r="A15150" s="1133"/>
      <c r="B15150" s="1136"/>
      <c r="C15150" s="1138"/>
    </row>
    <row r="15151" spans="1:3">
      <c r="A15151" s="1133"/>
      <c r="B15151" s="1136"/>
      <c r="C15151" s="1138"/>
    </row>
    <row r="15152" spans="1:3">
      <c r="A15152" s="1133"/>
      <c r="B15152" s="1136"/>
      <c r="C15152" s="1138"/>
    </row>
    <row r="15153" spans="1:3">
      <c r="A15153" s="1133"/>
      <c r="B15153" s="1136"/>
      <c r="C15153" s="1138"/>
    </row>
    <row r="15154" spans="1:3">
      <c r="A15154" s="1133"/>
      <c r="B15154" s="1136"/>
      <c r="C15154" s="1138"/>
    </row>
    <row r="15155" spans="1:3">
      <c r="A15155" s="1133"/>
      <c r="B15155" s="1136"/>
      <c r="C15155" s="1138"/>
    </row>
    <row r="15156" spans="1:3">
      <c r="A15156" s="1133"/>
      <c r="B15156" s="1136"/>
      <c r="C15156" s="1138"/>
    </row>
    <row r="15157" spans="1:3">
      <c r="A15157" s="1133"/>
      <c r="B15157" s="1136"/>
      <c r="C15157" s="1138"/>
    </row>
    <row r="15158" spans="1:3">
      <c r="A15158" s="1133"/>
      <c r="B15158" s="1136"/>
      <c r="C15158" s="1138"/>
    </row>
    <row r="15159" spans="1:3">
      <c r="A15159" s="1133"/>
      <c r="B15159" s="1136"/>
      <c r="C15159" s="1138"/>
    </row>
    <row r="15160" spans="1:3">
      <c r="A15160" s="1133"/>
      <c r="B15160" s="1136"/>
      <c r="C15160" s="1138"/>
    </row>
    <row r="15161" spans="1:3">
      <c r="A15161" s="1133"/>
      <c r="B15161" s="1136"/>
      <c r="C15161" s="1138"/>
    </row>
    <row r="15162" spans="1:3">
      <c r="A15162" s="1133"/>
      <c r="B15162" s="1136"/>
      <c r="C15162" s="1138"/>
    </row>
    <row r="15163" spans="1:3">
      <c r="A15163" s="1133"/>
      <c r="B15163" s="1136"/>
      <c r="C15163" s="1138"/>
    </row>
    <row r="15164" spans="1:3">
      <c r="A15164" s="1133"/>
      <c r="B15164" s="1136"/>
      <c r="C15164" s="1138"/>
    </row>
    <row r="15165" spans="1:3">
      <c r="A15165" s="1133"/>
      <c r="B15165" s="1136"/>
      <c r="C15165" s="1138"/>
    </row>
    <row r="15166" spans="1:3">
      <c r="A15166" s="1133"/>
      <c r="B15166" s="1136"/>
      <c r="C15166" s="1138"/>
    </row>
    <row r="15167" spans="1:3">
      <c r="A15167" s="1133"/>
      <c r="B15167" s="1136"/>
      <c r="C15167" s="1138"/>
    </row>
    <row r="15168" spans="1:3">
      <c r="A15168" s="1133"/>
      <c r="B15168" s="1136"/>
      <c r="C15168" s="1138"/>
    </row>
    <row r="15169" spans="1:3">
      <c r="A15169" s="1133"/>
      <c r="B15169" s="1136"/>
      <c r="C15169" s="1138"/>
    </row>
    <row r="15170" spans="1:3">
      <c r="A15170" s="1133"/>
      <c r="B15170" s="1136"/>
      <c r="C15170" s="1138"/>
    </row>
    <row r="15171" spans="1:3">
      <c r="A15171" s="1133"/>
      <c r="B15171" s="1136"/>
      <c r="C15171" s="1138"/>
    </row>
    <row r="15172" spans="1:3">
      <c r="A15172" s="1133"/>
      <c r="B15172" s="1136"/>
      <c r="C15172" s="1138"/>
    </row>
    <row r="15173" spans="1:3">
      <c r="A15173" s="1133"/>
      <c r="B15173" s="1136"/>
      <c r="C15173" s="1138"/>
    </row>
    <row r="15174" spans="1:3">
      <c r="A15174" s="1133"/>
      <c r="B15174" s="1136"/>
      <c r="C15174" s="1138"/>
    </row>
    <row r="15175" spans="1:3">
      <c r="A15175" s="1133"/>
      <c r="B15175" s="1136"/>
      <c r="C15175" s="1138"/>
    </row>
    <row r="15176" spans="1:3">
      <c r="A15176" s="1133"/>
      <c r="B15176" s="1136"/>
      <c r="C15176" s="1138"/>
    </row>
    <row r="15177" spans="1:3">
      <c r="A15177" s="1133"/>
      <c r="B15177" s="1136"/>
      <c r="C15177" s="1138"/>
    </row>
    <row r="15178" spans="1:3">
      <c r="A15178" s="1133"/>
      <c r="B15178" s="1136"/>
      <c r="C15178" s="1138"/>
    </row>
    <row r="15179" spans="1:3">
      <c r="A15179" s="1133"/>
      <c r="B15179" s="1136"/>
      <c r="C15179" s="1138"/>
    </row>
    <row r="15180" spans="1:3">
      <c r="A15180" s="1133"/>
      <c r="B15180" s="1136"/>
      <c r="C15180" s="1138"/>
    </row>
    <row r="15181" spans="1:3">
      <c r="A15181" s="1133"/>
      <c r="B15181" s="1136"/>
      <c r="C15181" s="1138"/>
    </row>
    <row r="15182" spans="1:3">
      <c r="A15182" s="1133"/>
      <c r="B15182" s="1136"/>
      <c r="C15182" s="1138"/>
    </row>
    <row r="15183" spans="1:3">
      <c r="A15183" s="1133"/>
      <c r="B15183" s="1136"/>
      <c r="C15183" s="1138"/>
    </row>
    <row r="15184" spans="1:3">
      <c r="A15184" s="1133"/>
      <c r="B15184" s="1136"/>
      <c r="C15184" s="1138"/>
    </row>
    <row r="15185" spans="1:3">
      <c r="A15185" s="1133"/>
      <c r="B15185" s="1136"/>
      <c r="C15185" s="1138"/>
    </row>
    <row r="15186" spans="1:3">
      <c r="A15186" s="1133"/>
      <c r="B15186" s="1136"/>
      <c r="C15186" s="1138"/>
    </row>
    <row r="15187" spans="1:3">
      <c r="A15187" s="1133"/>
      <c r="B15187" s="1136"/>
      <c r="C15187" s="1138"/>
    </row>
    <row r="15188" spans="1:3">
      <c r="A15188" s="1133"/>
      <c r="B15188" s="1136"/>
      <c r="C15188" s="1138"/>
    </row>
    <row r="15189" spans="1:3">
      <c r="A15189" s="1133"/>
      <c r="B15189" s="1136"/>
      <c r="C15189" s="1138"/>
    </row>
    <row r="15190" spans="1:3">
      <c r="A15190" s="1133"/>
      <c r="B15190" s="1136"/>
      <c r="C15190" s="1138"/>
    </row>
    <row r="15191" spans="1:3">
      <c r="A15191" s="1133"/>
      <c r="B15191" s="1136"/>
      <c r="C15191" s="1138"/>
    </row>
    <row r="15192" spans="1:3">
      <c r="A15192" s="1133"/>
      <c r="B15192" s="1136"/>
      <c r="C15192" s="1138"/>
    </row>
    <row r="15193" spans="1:3">
      <c r="A15193" s="1133"/>
      <c r="B15193" s="1136"/>
      <c r="C15193" s="1138"/>
    </row>
    <row r="15194" spans="1:3">
      <c r="A15194" s="1133"/>
      <c r="B15194" s="1136"/>
      <c r="C15194" s="1138"/>
    </row>
    <row r="15195" spans="1:3">
      <c r="A15195" s="1133"/>
      <c r="B15195" s="1136"/>
      <c r="C15195" s="1138"/>
    </row>
    <row r="15196" spans="1:3">
      <c r="A15196" s="1133"/>
      <c r="B15196" s="1136"/>
      <c r="C15196" s="1138"/>
    </row>
    <row r="15197" spans="1:3">
      <c r="A15197" s="1133"/>
      <c r="B15197" s="1136"/>
      <c r="C15197" s="1138"/>
    </row>
    <row r="15198" spans="1:3">
      <c r="A15198" s="1133"/>
      <c r="B15198" s="1136"/>
      <c r="C15198" s="1138"/>
    </row>
    <row r="15199" spans="1:3">
      <c r="A15199" s="1133"/>
      <c r="B15199" s="1136"/>
      <c r="C15199" s="1138"/>
    </row>
    <row r="15200" spans="1:3">
      <c r="A15200" s="1133"/>
      <c r="B15200" s="1136"/>
      <c r="C15200" s="1138"/>
    </row>
    <row r="15201" spans="1:3">
      <c r="A15201" s="1133"/>
      <c r="B15201" s="1136"/>
      <c r="C15201" s="1138"/>
    </row>
    <row r="15202" spans="1:3">
      <c r="A15202" s="1133"/>
      <c r="B15202" s="1136"/>
      <c r="C15202" s="1138"/>
    </row>
    <row r="15203" spans="1:3">
      <c r="A15203" s="1133"/>
      <c r="B15203" s="1136"/>
      <c r="C15203" s="1138"/>
    </row>
    <row r="15204" spans="1:3">
      <c r="A15204" s="1133"/>
      <c r="B15204" s="1136"/>
      <c r="C15204" s="1138"/>
    </row>
    <row r="15205" spans="1:3">
      <c r="A15205" s="1133"/>
      <c r="B15205" s="1136"/>
      <c r="C15205" s="1138"/>
    </row>
    <row r="15206" spans="1:3">
      <c r="A15206" s="1133"/>
      <c r="B15206" s="1136"/>
      <c r="C15206" s="1138"/>
    </row>
    <row r="15207" spans="1:3">
      <c r="A15207" s="1133"/>
      <c r="B15207" s="1136"/>
      <c r="C15207" s="1138"/>
    </row>
    <row r="15208" spans="1:3">
      <c r="A15208" s="1133"/>
      <c r="B15208" s="1136"/>
      <c r="C15208" s="1138"/>
    </row>
    <row r="15209" spans="1:3">
      <c r="A15209" s="1133"/>
      <c r="B15209" s="1136"/>
      <c r="C15209" s="1138"/>
    </row>
    <row r="15210" spans="1:3">
      <c r="A15210" s="1133"/>
      <c r="B15210" s="1136"/>
      <c r="C15210" s="1138"/>
    </row>
    <row r="15211" spans="1:3">
      <c r="A15211" s="1133"/>
      <c r="B15211" s="1136"/>
      <c r="C15211" s="1138"/>
    </row>
    <row r="15212" spans="1:3">
      <c r="A15212" s="1133"/>
      <c r="B15212" s="1136"/>
      <c r="C15212" s="1138"/>
    </row>
    <row r="15213" spans="1:3">
      <c r="A15213" s="1133"/>
      <c r="B15213" s="1136"/>
      <c r="C15213" s="1138"/>
    </row>
    <row r="15214" spans="1:3">
      <c r="A15214" s="1133"/>
      <c r="B15214" s="1136"/>
      <c r="C15214" s="1138"/>
    </row>
    <row r="15215" spans="1:3">
      <c r="A15215" s="1133"/>
      <c r="B15215" s="1136"/>
      <c r="C15215" s="1138"/>
    </row>
    <row r="15216" spans="1:3">
      <c r="A15216" s="1133"/>
      <c r="B15216" s="1136"/>
      <c r="C15216" s="1138"/>
    </row>
    <row r="15217" spans="1:3">
      <c r="A15217" s="1133"/>
      <c r="B15217" s="1136"/>
      <c r="C15217" s="1138"/>
    </row>
    <row r="15218" spans="1:3">
      <c r="A15218" s="1133"/>
      <c r="B15218" s="1136"/>
      <c r="C15218" s="1138"/>
    </row>
    <row r="15219" spans="1:3">
      <c r="A15219" s="1133"/>
      <c r="B15219" s="1136"/>
      <c r="C15219" s="1138"/>
    </row>
    <row r="15220" spans="1:3">
      <c r="A15220" s="1133"/>
      <c r="B15220" s="1136"/>
      <c r="C15220" s="1138"/>
    </row>
    <row r="15221" spans="1:3">
      <c r="A15221" s="1133"/>
      <c r="B15221" s="1136"/>
      <c r="C15221" s="1138"/>
    </row>
    <row r="15222" spans="1:3">
      <c r="A15222" s="1133"/>
      <c r="B15222" s="1136"/>
      <c r="C15222" s="1138"/>
    </row>
    <row r="15223" spans="1:3">
      <c r="A15223" s="1133"/>
      <c r="B15223" s="1136"/>
      <c r="C15223" s="1138"/>
    </row>
    <row r="15224" spans="1:3">
      <c r="A15224" s="1133"/>
      <c r="B15224" s="1136"/>
      <c r="C15224" s="1138"/>
    </row>
    <row r="15225" spans="1:3">
      <c r="A15225" s="1133"/>
      <c r="B15225" s="1136"/>
      <c r="C15225" s="1138"/>
    </row>
    <row r="15226" spans="1:3">
      <c r="A15226" s="1133"/>
      <c r="B15226" s="1136"/>
      <c r="C15226" s="1138"/>
    </row>
    <row r="15227" spans="1:3">
      <c r="A15227" s="1133"/>
      <c r="B15227" s="1136"/>
      <c r="C15227" s="1138"/>
    </row>
    <row r="15228" spans="1:3">
      <c r="A15228" s="1133"/>
      <c r="B15228" s="1136"/>
      <c r="C15228" s="1138"/>
    </row>
    <row r="15229" spans="1:3">
      <c r="A15229" s="1133"/>
      <c r="B15229" s="1136"/>
      <c r="C15229" s="1138"/>
    </row>
    <row r="15230" spans="1:3">
      <c r="A15230" s="1133"/>
      <c r="B15230" s="1136"/>
      <c r="C15230" s="1138"/>
    </row>
    <row r="15231" spans="1:3">
      <c r="A15231" s="1133"/>
      <c r="B15231" s="1136"/>
      <c r="C15231" s="1138"/>
    </row>
    <row r="15232" spans="1:3">
      <c r="A15232" s="1133"/>
      <c r="B15232" s="1136"/>
      <c r="C15232" s="1138"/>
    </row>
    <row r="15233" spans="1:3">
      <c r="A15233" s="1133"/>
      <c r="B15233" s="1136"/>
      <c r="C15233" s="1138"/>
    </row>
    <row r="15234" spans="1:3">
      <c r="A15234" s="1133"/>
      <c r="B15234" s="1136"/>
      <c r="C15234" s="1138"/>
    </row>
    <row r="15235" spans="1:3">
      <c r="A15235" s="1133"/>
      <c r="B15235" s="1136"/>
      <c r="C15235" s="1138"/>
    </row>
    <row r="15236" spans="1:3">
      <c r="A15236" s="1133"/>
      <c r="B15236" s="1136"/>
      <c r="C15236" s="1138"/>
    </row>
    <row r="15237" spans="1:3">
      <c r="A15237" s="1133"/>
      <c r="B15237" s="1136"/>
      <c r="C15237" s="1138"/>
    </row>
    <row r="15238" spans="1:3">
      <c r="A15238" s="1133"/>
      <c r="B15238" s="1136"/>
      <c r="C15238" s="1138"/>
    </row>
    <row r="15239" spans="1:3">
      <c r="A15239" s="1133"/>
      <c r="B15239" s="1136"/>
      <c r="C15239" s="1138"/>
    </row>
    <row r="15240" spans="1:3">
      <c r="A15240" s="1133"/>
      <c r="B15240" s="1136"/>
      <c r="C15240" s="1138"/>
    </row>
    <row r="15241" spans="1:3">
      <c r="A15241" s="1133"/>
      <c r="B15241" s="1136"/>
      <c r="C15241" s="1138"/>
    </row>
    <row r="15242" spans="1:3">
      <c r="A15242" s="1133"/>
      <c r="B15242" s="1136"/>
      <c r="C15242" s="1138"/>
    </row>
    <row r="15243" spans="1:3">
      <c r="A15243" s="1133"/>
      <c r="B15243" s="1136"/>
      <c r="C15243" s="1138"/>
    </row>
    <row r="15244" spans="1:3">
      <c r="A15244" s="1133"/>
      <c r="B15244" s="1136"/>
      <c r="C15244" s="1138"/>
    </row>
    <row r="15245" spans="1:3">
      <c r="A15245" s="1133"/>
      <c r="B15245" s="1136"/>
      <c r="C15245" s="1138"/>
    </row>
    <row r="15246" spans="1:3">
      <c r="A15246" s="1133"/>
      <c r="B15246" s="1136"/>
      <c r="C15246" s="1138"/>
    </row>
    <row r="15247" spans="1:3">
      <c r="A15247" s="1133"/>
      <c r="B15247" s="1136"/>
      <c r="C15247" s="1138"/>
    </row>
    <row r="15248" spans="1:3">
      <c r="A15248" s="1133"/>
      <c r="B15248" s="1136"/>
      <c r="C15248" s="1138"/>
    </row>
    <row r="15249" spans="1:3">
      <c r="A15249" s="1133"/>
      <c r="B15249" s="1136"/>
      <c r="C15249" s="1138"/>
    </row>
    <row r="15250" spans="1:3">
      <c r="A15250" s="1133"/>
      <c r="B15250" s="1136"/>
      <c r="C15250" s="1138"/>
    </row>
    <row r="15251" spans="1:3">
      <c r="A15251" s="1133"/>
      <c r="B15251" s="1136"/>
      <c r="C15251" s="1138"/>
    </row>
    <row r="15252" spans="1:3">
      <c r="A15252" s="1133"/>
      <c r="B15252" s="1136"/>
      <c r="C15252" s="1138"/>
    </row>
    <row r="15253" spans="1:3">
      <c r="A15253" s="1133"/>
      <c r="B15253" s="1136"/>
      <c r="C15253" s="1138"/>
    </row>
    <row r="15254" spans="1:3">
      <c r="A15254" s="1133"/>
      <c r="B15254" s="1136"/>
      <c r="C15254" s="1138"/>
    </row>
    <row r="15255" spans="1:3">
      <c r="A15255" s="1133"/>
      <c r="B15255" s="1136"/>
      <c r="C15255" s="1138"/>
    </row>
    <row r="15256" spans="1:3">
      <c r="A15256" s="1133"/>
      <c r="B15256" s="1136"/>
      <c r="C15256" s="1138"/>
    </row>
    <row r="15257" spans="1:3">
      <c r="A15257" s="1133"/>
      <c r="B15257" s="1136"/>
      <c r="C15257" s="1138"/>
    </row>
    <row r="15258" spans="1:3">
      <c r="A15258" s="1133"/>
      <c r="B15258" s="1136"/>
      <c r="C15258" s="1138"/>
    </row>
    <row r="15259" spans="1:3">
      <c r="A15259" s="1133"/>
      <c r="B15259" s="1136"/>
      <c r="C15259" s="1138"/>
    </row>
    <row r="15260" spans="1:3">
      <c r="A15260" s="1133"/>
      <c r="B15260" s="1136"/>
      <c r="C15260" s="1138"/>
    </row>
    <row r="15261" spans="1:3">
      <c r="A15261" s="1133"/>
      <c r="B15261" s="1136"/>
      <c r="C15261" s="1138"/>
    </row>
    <row r="15262" spans="1:3">
      <c r="A15262" s="1133"/>
      <c r="B15262" s="1136"/>
      <c r="C15262" s="1138"/>
    </row>
    <row r="15263" spans="1:3">
      <c r="A15263" s="1133"/>
      <c r="B15263" s="1136"/>
      <c r="C15263" s="1138"/>
    </row>
    <row r="15264" spans="1:3">
      <c r="A15264" s="1133"/>
      <c r="B15264" s="1136"/>
      <c r="C15264" s="1138"/>
    </row>
    <row r="15265" spans="1:3">
      <c r="A15265" s="1133"/>
      <c r="B15265" s="1136"/>
      <c r="C15265" s="1138"/>
    </row>
    <row r="15266" spans="1:3">
      <c r="A15266" s="1133"/>
      <c r="B15266" s="1136"/>
      <c r="C15266" s="1138"/>
    </row>
    <row r="15267" spans="1:3">
      <c r="A15267" s="1133"/>
      <c r="B15267" s="1136"/>
      <c r="C15267" s="1138"/>
    </row>
    <row r="15268" spans="1:3">
      <c r="A15268" s="1133"/>
      <c r="B15268" s="1136"/>
      <c r="C15268" s="1138"/>
    </row>
    <row r="15269" spans="1:3">
      <c r="A15269" s="1133"/>
      <c r="B15269" s="1136"/>
      <c r="C15269" s="1138"/>
    </row>
    <row r="15270" spans="1:3">
      <c r="A15270" s="1133"/>
      <c r="B15270" s="1136"/>
      <c r="C15270" s="1138"/>
    </row>
    <row r="15271" spans="1:3">
      <c r="A15271" s="1133"/>
      <c r="B15271" s="1136"/>
      <c r="C15271" s="1138"/>
    </row>
    <row r="15272" spans="1:3">
      <c r="A15272" s="1133"/>
      <c r="B15272" s="1136"/>
      <c r="C15272" s="1138"/>
    </row>
    <row r="15273" spans="1:3">
      <c r="A15273" s="1133"/>
      <c r="B15273" s="1136"/>
      <c r="C15273" s="1138"/>
    </row>
    <row r="15274" spans="1:3">
      <c r="A15274" s="1133"/>
      <c r="B15274" s="1136"/>
      <c r="C15274" s="1138"/>
    </row>
    <row r="15275" spans="1:3">
      <c r="A15275" s="1133"/>
      <c r="B15275" s="1136"/>
      <c r="C15275" s="1138"/>
    </row>
    <row r="15276" spans="1:3">
      <c r="A15276" s="1133"/>
      <c r="B15276" s="1136"/>
      <c r="C15276" s="1138"/>
    </row>
    <row r="15277" spans="1:3">
      <c r="A15277" s="1133"/>
      <c r="B15277" s="1136"/>
      <c r="C15277" s="1138"/>
    </row>
    <row r="15278" spans="1:3">
      <c r="A15278" s="1133"/>
      <c r="B15278" s="1136"/>
      <c r="C15278" s="1138"/>
    </row>
    <row r="15279" spans="1:3">
      <c r="A15279" s="1133"/>
      <c r="B15279" s="1136"/>
      <c r="C15279" s="1138"/>
    </row>
    <row r="15280" spans="1:3">
      <c r="A15280" s="1133"/>
      <c r="B15280" s="1136"/>
      <c r="C15280" s="1138"/>
    </row>
    <row r="15281" spans="1:3">
      <c r="A15281" s="1133"/>
      <c r="B15281" s="1136"/>
      <c r="C15281" s="1138"/>
    </row>
    <row r="15282" spans="1:3">
      <c r="A15282" s="1133"/>
      <c r="B15282" s="1136"/>
      <c r="C15282" s="1138"/>
    </row>
    <row r="15283" spans="1:3">
      <c r="A15283" s="1133"/>
      <c r="B15283" s="1136"/>
      <c r="C15283" s="1138"/>
    </row>
    <row r="15284" spans="1:3">
      <c r="A15284" s="1133"/>
      <c r="B15284" s="1136"/>
      <c r="C15284" s="1138"/>
    </row>
    <row r="15285" spans="1:3">
      <c r="A15285" s="1133"/>
      <c r="B15285" s="1136"/>
      <c r="C15285" s="1138"/>
    </row>
    <row r="15286" spans="1:3">
      <c r="A15286" s="1133"/>
      <c r="B15286" s="1136"/>
      <c r="C15286" s="1138"/>
    </row>
    <row r="15287" spans="1:3">
      <c r="A15287" s="1133"/>
      <c r="B15287" s="1136"/>
      <c r="C15287" s="1138"/>
    </row>
    <row r="15288" spans="1:3">
      <c r="A15288" s="1133"/>
      <c r="B15288" s="1136"/>
      <c r="C15288" s="1138"/>
    </row>
    <row r="15289" spans="1:3">
      <c r="A15289" s="1133"/>
      <c r="B15289" s="1136"/>
      <c r="C15289" s="1138"/>
    </row>
    <row r="15290" spans="1:3">
      <c r="A15290" s="1133"/>
      <c r="B15290" s="1136"/>
      <c r="C15290" s="1138"/>
    </row>
    <row r="15291" spans="1:3">
      <c r="A15291" s="1133"/>
      <c r="B15291" s="1136"/>
      <c r="C15291" s="1138"/>
    </row>
    <row r="15292" spans="1:3">
      <c r="A15292" s="1133"/>
      <c r="B15292" s="1136"/>
      <c r="C15292" s="1138"/>
    </row>
    <row r="15293" spans="1:3">
      <c r="A15293" s="1133"/>
      <c r="B15293" s="1136"/>
      <c r="C15293" s="1138"/>
    </row>
    <row r="15294" spans="1:3">
      <c r="A15294" s="1133"/>
      <c r="B15294" s="1136"/>
      <c r="C15294" s="1138"/>
    </row>
    <row r="15295" spans="1:3">
      <c r="A15295" s="1133"/>
      <c r="B15295" s="1136"/>
      <c r="C15295" s="1138"/>
    </row>
    <row r="15296" spans="1:3">
      <c r="A15296" s="1133"/>
      <c r="B15296" s="1136"/>
      <c r="C15296" s="1138"/>
    </row>
    <row r="15297" spans="1:3">
      <c r="A15297" s="1133"/>
      <c r="B15297" s="1136"/>
      <c r="C15297" s="1138"/>
    </row>
    <row r="15298" spans="1:3">
      <c r="A15298" s="1133"/>
      <c r="B15298" s="1136"/>
      <c r="C15298" s="1138"/>
    </row>
    <row r="15299" spans="1:3">
      <c r="A15299" s="1133"/>
      <c r="B15299" s="1136"/>
      <c r="C15299" s="1138"/>
    </row>
    <row r="15300" spans="1:3">
      <c r="A15300" s="1133"/>
      <c r="B15300" s="1136"/>
      <c r="C15300" s="1138"/>
    </row>
    <row r="15301" spans="1:3">
      <c r="A15301" s="1133"/>
      <c r="B15301" s="1136"/>
      <c r="C15301" s="1138"/>
    </row>
    <row r="15302" spans="1:3">
      <c r="A15302" s="1133"/>
      <c r="B15302" s="1136"/>
      <c r="C15302" s="1138"/>
    </row>
    <row r="15303" spans="1:3">
      <c r="A15303" s="1133"/>
      <c r="B15303" s="1136"/>
      <c r="C15303" s="1138"/>
    </row>
    <row r="15304" spans="1:3">
      <c r="A15304" s="1133"/>
      <c r="B15304" s="1136"/>
      <c r="C15304" s="1138"/>
    </row>
    <row r="15305" spans="1:3">
      <c r="A15305" s="1133"/>
      <c r="B15305" s="1136"/>
      <c r="C15305" s="1138"/>
    </row>
    <row r="15306" spans="1:3">
      <c r="A15306" s="1133"/>
      <c r="B15306" s="1136"/>
      <c r="C15306" s="1138"/>
    </row>
    <row r="15307" spans="1:3">
      <c r="A15307" s="1133"/>
      <c r="B15307" s="1136"/>
      <c r="C15307" s="1138"/>
    </row>
    <row r="15308" spans="1:3">
      <c r="A15308" s="1133"/>
      <c r="B15308" s="1136"/>
      <c r="C15308" s="1138"/>
    </row>
    <row r="15309" spans="1:3">
      <c r="A15309" s="1133"/>
      <c r="B15309" s="1136"/>
      <c r="C15309" s="1138"/>
    </row>
    <row r="15310" spans="1:3">
      <c r="A15310" s="1133"/>
      <c r="B15310" s="1136"/>
      <c r="C15310" s="1138"/>
    </row>
    <row r="15311" spans="1:3">
      <c r="A15311" s="1133"/>
      <c r="B15311" s="1136"/>
      <c r="C15311" s="1138"/>
    </row>
    <row r="15312" spans="1:3">
      <c r="A15312" s="1133"/>
      <c r="B15312" s="1136"/>
      <c r="C15312" s="1138"/>
    </row>
    <row r="15313" spans="1:3">
      <c r="A15313" s="1133"/>
      <c r="B15313" s="1136"/>
      <c r="C15313" s="1138"/>
    </row>
    <row r="15314" spans="1:3">
      <c r="A15314" s="1133"/>
      <c r="B15314" s="1136"/>
      <c r="C15314" s="1138"/>
    </row>
    <row r="15315" spans="1:3">
      <c r="A15315" s="1133"/>
      <c r="B15315" s="1136"/>
      <c r="C15315" s="1138"/>
    </row>
    <row r="15316" spans="1:3">
      <c r="A15316" s="1133"/>
      <c r="B15316" s="1136"/>
      <c r="C15316" s="1138"/>
    </row>
    <row r="15317" spans="1:3">
      <c r="A15317" s="1133"/>
      <c r="B15317" s="1136"/>
      <c r="C15317" s="1138"/>
    </row>
    <row r="15318" spans="1:3">
      <c r="A15318" s="1133"/>
      <c r="B15318" s="1136"/>
      <c r="C15318" s="1138"/>
    </row>
    <row r="15319" spans="1:3">
      <c r="A15319" s="1133"/>
      <c r="B15319" s="1136"/>
      <c r="C15319" s="1138"/>
    </row>
    <row r="15320" spans="1:3">
      <c r="A15320" s="1133"/>
      <c r="B15320" s="1136"/>
      <c r="C15320" s="1138"/>
    </row>
    <row r="15321" spans="1:3">
      <c r="A15321" s="1133"/>
      <c r="B15321" s="1136"/>
      <c r="C15321" s="1138"/>
    </row>
    <row r="15322" spans="1:3">
      <c r="A15322" s="1133"/>
      <c r="B15322" s="1136"/>
      <c r="C15322" s="1138"/>
    </row>
    <row r="15323" spans="1:3">
      <c r="A15323" s="1133"/>
      <c r="B15323" s="1136"/>
      <c r="C15323" s="1138"/>
    </row>
    <row r="15324" spans="1:3">
      <c r="A15324" s="1133"/>
      <c r="B15324" s="1136"/>
      <c r="C15324" s="1138"/>
    </row>
    <row r="15325" spans="1:3">
      <c r="A15325" s="1133"/>
      <c r="B15325" s="1136"/>
      <c r="C15325" s="1138"/>
    </row>
    <row r="15326" spans="1:3">
      <c r="A15326" s="1133"/>
      <c r="B15326" s="1136"/>
      <c r="C15326" s="1138"/>
    </row>
    <row r="15327" spans="1:3">
      <c r="A15327" s="1133"/>
      <c r="B15327" s="1136"/>
      <c r="C15327" s="1138"/>
    </row>
    <row r="15328" spans="1:3">
      <c r="A15328" s="1133"/>
      <c r="B15328" s="1136"/>
      <c r="C15328" s="1138"/>
    </row>
    <row r="15329" spans="1:3">
      <c r="A15329" s="1133"/>
      <c r="B15329" s="1136"/>
      <c r="C15329" s="1138"/>
    </row>
    <row r="15330" spans="1:3">
      <c r="A15330" s="1133"/>
      <c r="B15330" s="1136"/>
      <c r="C15330" s="1138"/>
    </row>
    <row r="15331" spans="1:3">
      <c r="A15331" s="1133"/>
      <c r="B15331" s="1136"/>
      <c r="C15331" s="1138"/>
    </row>
    <row r="15332" spans="1:3">
      <c r="A15332" s="1133"/>
      <c r="B15332" s="1136"/>
      <c r="C15332" s="1138"/>
    </row>
    <row r="15333" spans="1:3">
      <c r="A15333" s="1133"/>
      <c r="B15333" s="1136"/>
      <c r="C15333" s="1138"/>
    </row>
    <row r="15334" spans="1:3">
      <c r="A15334" s="1133"/>
      <c r="B15334" s="1136"/>
      <c r="C15334" s="1138"/>
    </row>
    <row r="15335" spans="1:3">
      <c r="A15335" s="1133"/>
      <c r="B15335" s="1136"/>
      <c r="C15335" s="1138"/>
    </row>
    <row r="15336" spans="1:3">
      <c r="A15336" s="1133"/>
      <c r="B15336" s="1136"/>
      <c r="C15336" s="1138"/>
    </row>
    <row r="15337" spans="1:3">
      <c r="A15337" s="1133"/>
      <c r="B15337" s="1136"/>
      <c r="C15337" s="1138"/>
    </row>
    <row r="15338" spans="1:3">
      <c r="A15338" s="1133"/>
      <c r="B15338" s="1136"/>
      <c r="C15338" s="1138"/>
    </row>
    <row r="15339" spans="1:3">
      <c r="A15339" s="1133"/>
      <c r="B15339" s="1136"/>
      <c r="C15339" s="1138"/>
    </row>
    <row r="15340" spans="1:3">
      <c r="A15340" s="1133"/>
      <c r="B15340" s="1136"/>
      <c r="C15340" s="1138"/>
    </row>
    <row r="15341" spans="1:3">
      <c r="A15341" s="1133"/>
      <c r="B15341" s="1136"/>
      <c r="C15341" s="1138"/>
    </row>
    <row r="15342" spans="1:3">
      <c r="A15342" s="1133"/>
      <c r="B15342" s="1136"/>
      <c r="C15342" s="1138"/>
    </row>
    <row r="15343" spans="1:3">
      <c r="A15343" s="1133"/>
      <c r="B15343" s="1136"/>
      <c r="C15343" s="1138"/>
    </row>
    <row r="15344" spans="1:3">
      <c r="A15344" s="1133"/>
      <c r="B15344" s="1136"/>
      <c r="C15344" s="1138"/>
    </row>
    <row r="15345" spans="1:3">
      <c r="A15345" s="1133"/>
      <c r="B15345" s="1136"/>
      <c r="C15345" s="1138"/>
    </row>
    <row r="15346" spans="1:3">
      <c r="A15346" s="1133"/>
      <c r="B15346" s="1136"/>
      <c r="C15346" s="1138"/>
    </row>
    <row r="15347" spans="1:3">
      <c r="A15347" s="1133"/>
      <c r="B15347" s="1136"/>
      <c r="C15347" s="1138"/>
    </row>
    <row r="15348" spans="1:3">
      <c r="A15348" s="1133"/>
      <c r="B15348" s="1136"/>
      <c r="C15348" s="1138"/>
    </row>
    <row r="15349" spans="1:3">
      <c r="A15349" s="1133"/>
      <c r="B15349" s="1136"/>
      <c r="C15349" s="1138"/>
    </row>
    <row r="15350" spans="1:3">
      <c r="A15350" s="1133"/>
      <c r="B15350" s="1136"/>
      <c r="C15350" s="1138"/>
    </row>
    <row r="15351" spans="1:3">
      <c r="A15351" s="1133"/>
      <c r="B15351" s="1136"/>
      <c r="C15351" s="1138"/>
    </row>
    <row r="15352" spans="1:3">
      <c r="A15352" s="1133"/>
      <c r="B15352" s="1136"/>
      <c r="C15352" s="1138"/>
    </row>
    <row r="15353" spans="1:3">
      <c r="A15353" s="1133"/>
      <c r="B15353" s="1136"/>
      <c r="C15353" s="1138"/>
    </row>
    <row r="15354" spans="1:3">
      <c r="A15354" s="1133"/>
      <c r="B15354" s="1136"/>
      <c r="C15354" s="1138"/>
    </row>
    <row r="15355" spans="1:3">
      <c r="A15355" s="1133"/>
      <c r="B15355" s="1136"/>
      <c r="C15355" s="1138"/>
    </row>
    <row r="15356" spans="1:3">
      <c r="A15356" s="1133"/>
      <c r="B15356" s="1136"/>
      <c r="C15356" s="1138"/>
    </row>
    <row r="15357" spans="1:3">
      <c r="A15357" s="1133"/>
      <c r="B15357" s="1136"/>
      <c r="C15357" s="1138"/>
    </row>
    <row r="15358" spans="1:3">
      <c r="A15358" s="1133"/>
      <c r="B15358" s="1136"/>
      <c r="C15358" s="1138"/>
    </row>
    <row r="15359" spans="1:3">
      <c r="A15359" s="1133"/>
      <c r="B15359" s="1136"/>
      <c r="C15359" s="1138"/>
    </row>
    <row r="15360" spans="1:3">
      <c r="A15360" s="1133"/>
      <c r="B15360" s="1136"/>
      <c r="C15360" s="1138"/>
    </row>
    <row r="15361" spans="1:3">
      <c r="A15361" s="1133"/>
      <c r="B15361" s="1136"/>
      <c r="C15361" s="1138"/>
    </row>
    <row r="15362" spans="1:3">
      <c r="A15362" s="1133"/>
      <c r="B15362" s="1136"/>
      <c r="C15362" s="1138"/>
    </row>
    <row r="15363" spans="1:3">
      <c r="A15363" s="1133"/>
      <c r="B15363" s="1136"/>
      <c r="C15363" s="1138"/>
    </row>
    <row r="15364" spans="1:3">
      <c r="A15364" s="1133"/>
      <c r="B15364" s="1136"/>
      <c r="C15364" s="1138"/>
    </row>
    <row r="15365" spans="1:3">
      <c r="A15365" s="1133"/>
      <c r="B15365" s="1136"/>
      <c r="C15365" s="1138"/>
    </row>
    <row r="15366" spans="1:3">
      <c r="A15366" s="1133"/>
      <c r="B15366" s="1136"/>
      <c r="C15366" s="1138"/>
    </row>
    <row r="15367" spans="1:3">
      <c r="A15367" s="1133"/>
      <c r="B15367" s="1136"/>
      <c r="C15367" s="1138"/>
    </row>
    <row r="15368" spans="1:3">
      <c r="A15368" s="1133"/>
      <c r="B15368" s="1136"/>
      <c r="C15368" s="1138"/>
    </row>
    <row r="15369" spans="1:3">
      <c r="A15369" s="1133"/>
      <c r="B15369" s="1136"/>
      <c r="C15369" s="1138"/>
    </row>
    <row r="15370" spans="1:3">
      <c r="A15370" s="1133"/>
      <c r="B15370" s="1136"/>
      <c r="C15370" s="1138"/>
    </row>
    <row r="15371" spans="1:3">
      <c r="A15371" s="1133"/>
      <c r="B15371" s="1136"/>
      <c r="C15371" s="1138"/>
    </row>
    <row r="15372" spans="1:3">
      <c r="A15372" s="1133"/>
      <c r="B15372" s="1136"/>
      <c r="C15372" s="1138"/>
    </row>
    <row r="15373" spans="1:3">
      <c r="A15373" s="1133"/>
      <c r="B15373" s="1136"/>
      <c r="C15373" s="1138"/>
    </row>
    <row r="15374" spans="1:3">
      <c r="A15374" s="1133"/>
      <c r="B15374" s="1136"/>
      <c r="C15374" s="1138"/>
    </row>
    <row r="15375" spans="1:3">
      <c r="A15375" s="1133"/>
      <c r="B15375" s="1136"/>
      <c r="C15375" s="1138"/>
    </row>
    <row r="15376" spans="1:3">
      <c r="A15376" s="1133"/>
      <c r="B15376" s="1136"/>
      <c r="C15376" s="1138"/>
    </row>
    <row r="15377" spans="1:3">
      <c r="A15377" s="1133"/>
      <c r="B15377" s="1136"/>
      <c r="C15377" s="1138"/>
    </row>
    <row r="15378" spans="1:3">
      <c r="A15378" s="1133"/>
      <c r="B15378" s="1136"/>
      <c r="C15378" s="1138"/>
    </row>
    <row r="15379" spans="1:3">
      <c r="A15379" s="1133"/>
      <c r="B15379" s="1136"/>
      <c r="C15379" s="1138"/>
    </row>
    <row r="15380" spans="1:3">
      <c r="A15380" s="1133"/>
      <c r="B15380" s="1136"/>
      <c r="C15380" s="1138"/>
    </row>
    <row r="15381" spans="1:3">
      <c r="A15381" s="1133"/>
      <c r="B15381" s="1136"/>
      <c r="C15381" s="1138"/>
    </row>
    <row r="15382" spans="1:3">
      <c r="A15382" s="1133"/>
      <c r="B15382" s="1136"/>
      <c r="C15382" s="1138"/>
    </row>
    <row r="15383" spans="1:3">
      <c r="A15383" s="1133"/>
      <c r="B15383" s="1136"/>
      <c r="C15383" s="1138"/>
    </row>
    <row r="15384" spans="1:3">
      <c r="A15384" s="1133"/>
      <c r="B15384" s="1136"/>
      <c r="C15384" s="1138"/>
    </row>
    <row r="15385" spans="1:3">
      <c r="A15385" s="1133"/>
      <c r="B15385" s="1136"/>
      <c r="C15385" s="1138"/>
    </row>
    <row r="15386" spans="1:3">
      <c r="A15386" s="1133"/>
      <c r="B15386" s="1136"/>
      <c r="C15386" s="1138"/>
    </row>
    <row r="15387" spans="1:3">
      <c r="A15387" s="1133"/>
      <c r="B15387" s="1136"/>
      <c r="C15387" s="1138"/>
    </row>
    <row r="15388" spans="1:3">
      <c r="A15388" s="1133"/>
      <c r="B15388" s="1136"/>
      <c r="C15388" s="1138"/>
    </row>
    <row r="15389" spans="1:3">
      <c r="A15389" s="1133"/>
      <c r="B15389" s="1136"/>
      <c r="C15389" s="1138"/>
    </row>
    <row r="15390" spans="1:3">
      <c r="A15390" s="1133"/>
      <c r="B15390" s="1136"/>
      <c r="C15390" s="1138"/>
    </row>
    <row r="15391" spans="1:3">
      <c r="A15391" s="1133"/>
      <c r="B15391" s="1136"/>
      <c r="C15391" s="1138"/>
    </row>
    <row r="15392" spans="1:3">
      <c r="A15392" s="1133"/>
      <c r="B15392" s="1136"/>
      <c r="C15392" s="1138"/>
    </row>
    <row r="15393" spans="1:3">
      <c r="A15393" s="1133"/>
      <c r="B15393" s="1136"/>
      <c r="C15393" s="1138"/>
    </row>
    <row r="15394" spans="1:3">
      <c r="A15394" s="1133"/>
      <c r="B15394" s="1136"/>
      <c r="C15394" s="1138"/>
    </row>
    <row r="15395" spans="1:3">
      <c r="A15395" s="1133"/>
      <c r="B15395" s="1136"/>
      <c r="C15395" s="1138"/>
    </row>
    <row r="15396" spans="1:3">
      <c r="A15396" s="1133"/>
      <c r="B15396" s="1136"/>
      <c r="C15396" s="1138"/>
    </row>
    <row r="15397" spans="1:3">
      <c r="A15397" s="1133"/>
      <c r="B15397" s="1136"/>
      <c r="C15397" s="1138"/>
    </row>
    <row r="15398" spans="1:3">
      <c r="A15398" s="1133"/>
      <c r="B15398" s="1136"/>
      <c r="C15398" s="1138"/>
    </row>
    <row r="15399" spans="1:3">
      <c r="A15399" s="1133"/>
      <c r="B15399" s="1136"/>
      <c r="C15399" s="1138"/>
    </row>
    <row r="15400" spans="1:3">
      <c r="A15400" s="1133"/>
      <c r="B15400" s="1136"/>
      <c r="C15400" s="1138"/>
    </row>
    <row r="15401" spans="1:3">
      <c r="A15401" s="1133"/>
      <c r="B15401" s="1136"/>
      <c r="C15401" s="1138"/>
    </row>
    <row r="15402" spans="1:3">
      <c r="A15402" s="1133"/>
      <c r="B15402" s="1136"/>
      <c r="C15402" s="1138"/>
    </row>
    <row r="15403" spans="1:3">
      <c r="A15403" s="1133"/>
      <c r="B15403" s="1136"/>
      <c r="C15403" s="1138"/>
    </row>
    <row r="15404" spans="1:3">
      <c r="A15404" s="1133"/>
      <c r="B15404" s="1136"/>
      <c r="C15404" s="1138"/>
    </row>
    <row r="15405" spans="1:3">
      <c r="A15405" s="1133"/>
      <c r="B15405" s="1136"/>
      <c r="C15405" s="1138"/>
    </row>
    <row r="15406" spans="1:3">
      <c r="A15406" s="1133"/>
      <c r="B15406" s="1136"/>
      <c r="C15406" s="1138"/>
    </row>
    <row r="15407" spans="1:3">
      <c r="A15407" s="1133"/>
      <c r="B15407" s="1136"/>
      <c r="C15407" s="1138"/>
    </row>
    <row r="15408" spans="1:3">
      <c r="A15408" s="1133"/>
      <c r="B15408" s="1136"/>
      <c r="C15408" s="1138"/>
    </row>
    <row r="15409" spans="1:3">
      <c r="A15409" s="1133"/>
      <c r="B15409" s="1136"/>
      <c r="C15409" s="1138"/>
    </row>
    <row r="15410" spans="1:3">
      <c r="A15410" s="1133"/>
      <c r="B15410" s="1136"/>
      <c r="C15410" s="1138"/>
    </row>
    <row r="15411" spans="1:3">
      <c r="A15411" s="1133"/>
      <c r="B15411" s="1136"/>
      <c r="C15411" s="1138"/>
    </row>
    <row r="15412" spans="1:3">
      <c r="A15412" s="1133"/>
      <c r="B15412" s="1136"/>
      <c r="C15412" s="1138"/>
    </row>
    <row r="15413" spans="1:3">
      <c r="A15413" s="1133"/>
      <c r="B15413" s="1136"/>
      <c r="C15413" s="1138"/>
    </row>
    <row r="15414" spans="1:3">
      <c r="A15414" s="1133"/>
      <c r="B15414" s="1136"/>
      <c r="C15414" s="1138"/>
    </row>
    <row r="15415" spans="1:3">
      <c r="A15415" s="1133"/>
      <c r="B15415" s="1136"/>
      <c r="C15415" s="1138"/>
    </row>
    <row r="15416" spans="1:3">
      <c r="A15416" s="1133"/>
      <c r="B15416" s="1136"/>
      <c r="C15416" s="1138"/>
    </row>
    <row r="15417" spans="1:3">
      <c r="A15417" s="1133"/>
      <c r="B15417" s="1136"/>
      <c r="C15417" s="1138"/>
    </row>
    <row r="15418" spans="1:3">
      <c r="A15418" s="1133"/>
      <c r="B15418" s="1136"/>
      <c r="C15418" s="1138"/>
    </row>
    <row r="15419" spans="1:3">
      <c r="A15419" s="1133"/>
      <c r="B15419" s="1136"/>
      <c r="C15419" s="1138"/>
    </row>
    <row r="15420" spans="1:3">
      <c r="A15420" s="1133"/>
      <c r="B15420" s="1136"/>
      <c r="C15420" s="1138"/>
    </row>
    <row r="15421" spans="1:3">
      <c r="A15421" s="1133"/>
      <c r="B15421" s="1136"/>
      <c r="C15421" s="1138"/>
    </row>
    <row r="15422" spans="1:3">
      <c r="A15422" s="1133"/>
      <c r="B15422" s="1136"/>
      <c r="C15422" s="1138"/>
    </row>
    <row r="15423" spans="1:3">
      <c r="A15423" s="1133"/>
      <c r="B15423" s="1136"/>
      <c r="C15423" s="1138"/>
    </row>
    <row r="15424" spans="1:3">
      <c r="A15424" s="1133"/>
      <c r="B15424" s="1136"/>
      <c r="C15424" s="1138"/>
    </row>
    <row r="15425" spans="1:3">
      <c r="A15425" s="1133"/>
      <c r="B15425" s="1136"/>
      <c r="C15425" s="1138"/>
    </row>
    <row r="15426" spans="1:3">
      <c r="A15426" s="1133"/>
      <c r="B15426" s="1136"/>
      <c r="C15426" s="1138"/>
    </row>
    <row r="15427" spans="1:3">
      <c r="A15427" s="1133"/>
      <c r="B15427" s="1136"/>
      <c r="C15427" s="1138"/>
    </row>
    <row r="15428" spans="1:3">
      <c r="A15428" s="1133"/>
      <c r="B15428" s="1136"/>
      <c r="C15428" s="1138"/>
    </row>
    <row r="15429" spans="1:3">
      <c r="A15429" s="1133"/>
      <c r="B15429" s="1136"/>
      <c r="C15429" s="1138"/>
    </row>
    <row r="15430" spans="1:3">
      <c r="A15430" s="1133"/>
      <c r="B15430" s="1136"/>
      <c r="C15430" s="1138"/>
    </row>
    <row r="15431" spans="1:3">
      <c r="A15431" s="1133"/>
      <c r="B15431" s="1136"/>
      <c r="C15431" s="1138"/>
    </row>
    <row r="15432" spans="1:3">
      <c r="A15432" s="1133"/>
      <c r="B15432" s="1136"/>
      <c r="C15432" s="1138"/>
    </row>
    <row r="15433" spans="1:3">
      <c r="A15433" s="1133"/>
      <c r="B15433" s="1136"/>
      <c r="C15433" s="1138"/>
    </row>
    <row r="15434" spans="1:3">
      <c r="A15434" s="1133"/>
      <c r="B15434" s="1136"/>
      <c r="C15434" s="1138"/>
    </row>
    <row r="15435" spans="1:3">
      <c r="A15435" s="1133"/>
      <c r="B15435" s="1136"/>
      <c r="C15435" s="1138"/>
    </row>
    <row r="15436" spans="1:3">
      <c r="A15436" s="1133"/>
      <c r="B15436" s="1136"/>
      <c r="C15436" s="1138"/>
    </row>
    <row r="15437" spans="1:3">
      <c r="A15437" s="1133"/>
      <c r="B15437" s="1136"/>
      <c r="C15437" s="1138"/>
    </row>
    <row r="15438" spans="1:3">
      <c r="A15438" s="1133"/>
      <c r="B15438" s="1136"/>
      <c r="C15438" s="1138"/>
    </row>
    <row r="15439" spans="1:3">
      <c r="A15439" s="1133"/>
      <c r="B15439" s="1136"/>
      <c r="C15439" s="1138"/>
    </row>
    <row r="15440" spans="1:3">
      <c r="A15440" s="1133"/>
      <c r="B15440" s="1136"/>
      <c r="C15440" s="1138"/>
    </row>
    <row r="15441" spans="1:3">
      <c r="A15441" s="1133"/>
      <c r="B15441" s="1136"/>
      <c r="C15441" s="1138"/>
    </row>
    <row r="15442" spans="1:3">
      <c r="A15442" s="1133"/>
      <c r="B15442" s="1136"/>
      <c r="C15442" s="1138"/>
    </row>
    <row r="15443" spans="1:3">
      <c r="A15443" s="1133"/>
      <c r="B15443" s="1136"/>
      <c r="C15443" s="1138"/>
    </row>
    <row r="15444" spans="1:3">
      <c r="A15444" s="1133"/>
      <c r="B15444" s="1136"/>
      <c r="C15444" s="1138"/>
    </row>
    <row r="15445" spans="1:3">
      <c r="A15445" s="1133"/>
      <c r="B15445" s="1136"/>
      <c r="C15445" s="1138"/>
    </row>
    <row r="15446" spans="1:3">
      <c r="A15446" s="1133"/>
      <c r="B15446" s="1136"/>
      <c r="C15446" s="1138"/>
    </row>
    <row r="15447" spans="1:3">
      <c r="A15447" s="1133"/>
      <c r="B15447" s="1136"/>
      <c r="C15447" s="1138"/>
    </row>
    <row r="15448" spans="1:3">
      <c r="A15448" s="1133"/>
      <c r="B15448" s="1136"/>
      <c r="C15448" s="1138"/>
    </row>
    <row r="15449" spans="1:3">
      <c r="A15449" s="1133"/>
      <c r="B15449" s="1136"/>
      <c r="C15449" s="1138"/>
    </row>
    <row r="15450" spans="1:3">
      <c r="A15450" s="1133"/>
      <c r="B15450" s="1136"/>
      <c r="C15450" s="1138"/>
    </row>
    <row r="15451" spans="1:3">
      <c r="A15451" s="1133"/>
      <c r="B15451" s="1136"/>
      <c r="C15451" s="1138"/>
    </row>
    <row r="15452" spans="1:3">
      <c r="A15452" s="1133"/>
      <c r="B15452" s="1136"/>
      <c r="C15452" s="1138"/>
    </row>
    <row r="15453" spans="1:3">
      <c r="A15453" s="1133"/>
      <c r="B15453" s="1136"/>
      <c r="C15453" s="1138"/>
    </row>
    <row r="15454" spans="1:3">
      <c r="A15454" s="1133"/>
      <c r="B15454" s="1136"/>
      <c r="C15454" s="1138"/>
    </row>
    <row r="15455" spans="1:3">
      <c r="A15455" s="1133"/>
      <c r="B15455" s="1136"/>
      <c r="C15455" s="1138"/>
    </row>
    <row r="15456" spans="1:3">
      <c r="A15456" s="1133"/>
      <c r="B15456" s="1136"/>
      <c r="C15456" s="1138"/>
    </row>
    <row r="15457" spans="1:3">
      <c r="A15457" s="1133"/>
      <c r="B15457" s="1136"/>
      <c r="C15457" s="1138"/>
    </row>
    <row r="15458" spans="1:3">
      <c r="A15458" s="1133"/>
      <c r="B15458" s="1136"/>
      <c r="C15458" s="1138"/>
    </row>
    <row r="15459" spans="1:3">
      <c r="A15459" s="1133"/>
      <c r="B15459" s="1136"/>
      <c r="C15459" s="1138"/>
    </row>
    <row r="15460" spans="1:3">
      <c r="A15460" s="1133"/>
      <c r="B15460" s="1136"/>
      <c r="C15460" s="1138"/>
    </row>
    <row r="15461" spans="1:3">
      <c r="A15461" s="1133"/>
      <c r="B15461" s="1136"/>
      <c r="C15461" s="1138"/>
    </row>
    <row r="15462" spans="1:3">
      <c r="A15462" s="1133"/>
      <c r="B15462" s="1136"/>
      <c r="C15462" s="1138"/>
    </row>
    <row r="15463" spans="1:3">
      <c r="A15463" s="1133"/>
      <c r="B15463" s="1136"/>
      <c r="C15463" s="1138"/>
    </row>
    <row r="15464" spans="1:3">
      <c r="A15464" s="1133"/>
      <c r="B15464" s="1136"/>
      <c r="C15464" s="1138"/>
    </row>
    <row r="15465" spans="1:3">
      <c r="A15465" s="1133"/>
      <c r="B15465" s="1136"/>
      <c r="C15465" s="1138"/>
    </row>
    <row r="15466" spans="1:3">
      <c r="A15466" s="1133"/>
      <c r="B15466" s="1136"/>
      <c r="C15466" s="1138"/>
    </row>
    <row r="15467" spans="1:3">
      <c r="A15467" s="1133"/>
      <c r="B15467" s="1136"/>
      <c r="C15467" s="1138"/>
    </row>
    <row r="15468" spans="1:3">
      <c r="A15468" s="1133"/>
      <c r="B15468" s="1136"/>
      <c r="C15468" s="1138"/>
    </row>
    <row r="15469" spans="1:3">
      <c r="A15469" s="1133"/>
      <c r="B15469" s="1136"/>
      <c r="C15469" s="1138"/>
    </row>
    <row r="15470" spans="1:3">
      <c r="A15470" s="1133"/>
      <c r="B15470" s="1136"/>
      <c r="C15470" s="1138"/>
    </row>
    <row r="15471" spans="1:3">
      <c r="A15471" s="1133"/>
      <c r="B15471" s="1136"/>
      <c r="C15471" s="1138"/>
    </row>
    <row r="15472" spans="1:3">
      <c r="A15472" s="1133"/>
      <c r="B15472" s="1136"/>
      <c r="C15472" s="1138"/>
    </row>
    <row r="15473" spans="1:3">
      <c r="A15473" s="1133"/>
      <c r="B15473" s="1136"/>
      <c r="C15473" s="1138"/>
    </row>
    <row r="15474" spans="1:3">
      <c r="A15474" s="1133"/>
      <c r="B15474" s="1136"/>
      <c r="C15474" s="1138"/>
    </row>
    <row r="15475" spans="1:3">
      <c r="A15475" s="1133"/>
      <c r="B15475" s="1136"/>
      <c r="C15475" s="1138"/>
    </row>
    <row r="15476" spans="1:3">
      <c r="A15476" s="1133"/>
      <c r="B15476" s="1136"/>
      <c r="C15476" s="1138"/>
    </row>
    <row r="15477" spans="1:3">
      <c r="A15477" s="1133"/>
      <c r="B15477" s="1136"/>
      <c r="C15477" s="1138"/>
    </row>
    <row r="15478" spans="1:3">
      <c r="A15478" s="1133"/>
      <c r="B15478" s="1136"/>
      <c r="C15478" s="1138"/>
    </row>
    <row r="15479" spans="1:3">
      <c r="A15479" s="1133"/>
      <c r="B15479" s="1136"/>
      <c r="C15479" s="1138"/>
    </row>
    <row r="15480" spans="1:3">
      <c r="A15480" s="1133"/>
      <c r="B15480" s="1136"/>
      <c r="C15480" s="1138"/>
    </row>
    <row r="15481" spans="1:3">
      <c r="A15481" s="1133"/>
      <c r="B15481" s="1136"/>
      <c r="C15481" s="1138"/>
    </row>
    <row r="15482" spans="1:3">
      <c r="A15482" s="1133"/>
      <c r="B15482" s="1136"/>
      <c r="C15482" s="1138"/>
    </row>
    <row r="15483" spans="1:3">
      <c r="A15483" s="1133"/>
      <c r="B15483" s="1136"/>
      <c r="C15483" s="1138"/>
    </row>
    <row r="15484" spans="1:3">
      <c r="A15484" s="1133"/>
      <c r="B15484" s="1136"/>
      <c r="C15484" s="1138"/>
    </row>
    <row r="15485" spans="1:3">
      <c r="A15485" s="1133"/>
      <c r="B15485" s="1136"/>
      <c r="C15485" s="1138"/>
    </row>
    <row r="15486" spans="1:3">
      <c r="A15486" s="1133"/>
      <c r="B15486" s="1136"/>
      <c r="C15486" s="1138"/>
    </row>
    <row r="15487" spans="1:3">
      <c r="A15487" s="1133"/>
      <c r="B15487" s="1136"/>
      <c r="C15487" s="1138"/>
    </row>
    <row r="15488" spans="1:3">
      <c r="A15488" s="1133"/>
      <c r="B15488" s="1136"/>
      <c r="C15488" s="1138"/>
    </row>
    <row r="15489" spans="1:3">
      <c r="A15489" s="1133"/>
      <c r="B15489" s="1136"/>
      <c r="C15489" s="1138"/>
    </row>
    <row r="15490" spans="1:3">
      <c r="A15490" s="1133"/>
      <c r="B15490" s="1136"/>
      <c r="C15490" s="1138"/>
    </row>
    <row r="15491" spans="1:3">
      <c r="A15491" s="1133"/>
      <c r="B15491" s="1136"/>
      <c r="C15491" s="1138"/>
    </row>
    <row r="15492" spans="1:3">
      <c r="A15492" s="1133"/>
      <c r="B15492" s="1136"/>
      <c r="C15492" s="1138"/>
    </row>
    <row r="15493" spans="1:3">
      <c r="A15493" s="1133"/>
      <c r="B15493" s="1136"/>
      <c r="C15493" s="1138"/>
    </row>
    <row r="15494" spans="1:3">
      <c r="A15494" s="1133"/>
      <c r="B15494" s="1136"/>
      <c r="C15494" s="1138"/>
    </row>
    <row r="15495" spans="1:3">
      <c r="A15495" s="1133"/>
      <c r="B15495" s="1136"/>
      <c r="C15495" s="1138"/>
    </row>
    <row r="15496" spans="1:3">
      <c r="A15496" s="1133"/>
      <c r="B15496" s="1136"/>
      <c r="C15496" s="1138"/>
    </row>
    <row r="15497" spans="1:3">
      <c r="A15497" s="1133"/>
      <c r="B15497" s="1136"/>
      <c r="C15497" s="1138"/>
    </row>
    <row r="15498" spans="1:3">
      <c r="A15498" s="1133"/>
      <c r="B15498" s="1136"/>
      <c r="C15498" s="1138"/>
    </row>
    <row r="15499" spans="1:3">
      <c r="A15499" s="1133"/>
      <c r="B15499" s="1136"/>
      <c r="C15499" s="1138"/>
    </row>
    <row r="15500" spans="1:3">
      <c r="A15500" s="1133"/>
      <c r="B15500" s="1136"/>
      <c r="C15500" s="1138"/>
    </row>
    <row r="15501" spans="1:3">
      <c r="A15501" s="1133"/>
      <c r="B15501" s="1136"/>
      <c r="C15501" s="1138"/>
    </row>
    <row r="15502" spans="1:3">
      <c r="A15502" s="1133"/>
      <c r="B15502" s="1136"/>
      <c r="C15502" s="1138"/>
    </row>
    <row r="15503" spans="1:3">
      <c r="A15503" s="1133"/>
      <c r="B15503" s="1136"/>
      <c r="C15503" s="1138"/>
    </row>
    <row r="15504" spans="1:3">
      <c r="A15504" s="1133"/>
      <c r="B15504" s="1136"/>
      <c r="C15504" s="1138"/>
    </row>
    <row r="15505" spans="1:3">
      <c r="A15505" s="1133"/>
      <c r="B15505" s="1136"/>
      <c r="C15505" s="1138"/>
    </row>
    <row r="15506" spans="1:3">
      <c r="A15506" s="1133"/>
      <c r="B15506" s="1136"/>
      <c r="C15506" s="1138"/>
    </row>
    <row r="15507" spans="1:3">
      <c r="A15507" s="1133"/>
      <c r="B15507" s="1136"/>
      <c r="C15507" s="1138"/>
    </row>
    <row r="15508" spans="1:3">
      <c r="A15508" s="1133"/>
      <c r="B15508" s="1136"/>
      <c r="C15508" s="1138"/>
    </row>
    <row r="15509" spans="1:3">
      <c r="A15509" s="1133"/>
      <c r="B15509" s="1136"/>
      <c r="C15509" s="1138"/>
    </row>
    <row r="15510" spans="1:3">
      <c r="A15510" s="1133"/>
      <c r="B15510" s="1136"/>
      <c r="C15510" s="1138"/>
    </row>
    <row r="15511" spans="1:3">
      <c r="A15511" s="1133"/>
      <c r="B15511" s="1136"/>
      <c r="C15511" s="1138"/>
    </row>
    <row r="15512" spans="1:3">
      <c r="A15512" s="1133"/>
      <c r="B15512" s="1136"/>
      <c r="C15512" s="1138"/>
    </row>
    <row r="15513" spans="1:3">
      <c r="A15513" s="1133"/>
      <c r="B15513" s="1136"/>
      <c r="C15513" s="1138"/>
    </row>
    <row r="15514" spans="1:3">
      <c r="A15514" s="1133"/>
      <c r="B15514" s="1136"/>
      <c r="C15514" s="1138"/>
    </row>
    <row r="15515" spans="1:3">
      <c r="A15515" s="1133"/>
      <c r="B15515" s="1136"/>
      <c r="C15515" s="1138"/>
    </row>
    <row r="15516" spans="1:3">
      <c r="A15516" s="1133"/>
      <c r="B15516" s="1136"/>
      <c r="C15516" s="1138"/>
    </row>
    <row r="15517" spans="1:3">
      <c r="A15517" s="1133"/>
      <c r="B15517" s="1136"/>
      <c r="C15517" s="1138"/>
    </row>
    <row r="15518" spans="1:3">
      <c r="A15518" s="1133"/>
      <c r="B15518" s="1136"/>
      <c r="C15518" s="1138"/>
    </row>
    <row r="15519" spans="1:3">
      <c r="A15519" s="1133"/>
      <c r="B15519" s="1136"/>
      <c r="C15519" s="1138"/>
    </row>
    <row r="15520" spans="1:3">
      <c r="A15520" s="1133"/>
      <c r="B15520" s="1136"/>
      <c r="C15520" s="1138"/>
    </row>
    <row r="15521" spans="1:3">
      <c r="A15521" s="1133"/>
      <c r="B15521" s="1136"/>
      <c r="C15521" s="1138"/>
    </row>
    <row r="15522" spans="1:3">
      <c r="A15522" s="1133"/>
      <c r="B15522" s="1136"/>
      <c r="C15522" s="1138"/>
    </row>
    <row r="15523" spans="1:3">
      <c r="A15523" s="1133"/>
      <c r="B15523" s="1136"/>
      <c r="C15523" s="1138"/>
    </row>
    <row r="15524" spans="1:3">
      <c r="A15524" s="1133"/>
      <c r="B15524" s="1136"/>
      <c r="C15524" s="1138"/>
    </row>
    <row r="15525" spans="1:3">
      <c r="A15525" s="1133"/>
      <c r="B15525" s="1136"/>
      <c r="C15525" s="1138"/>
    </row>
    <row r="15526" spans="1:3">
      <c r="A15526" s="1133"/>
      <c r="B15526" s="1136"/>
      <c r="C15526" s="1138"/>
    </row>
    <row r="15527" spans="1:3">
      <c r="A15527" s="1133"/>
      <c r="B15527" s="1136"/>
      <c r="C15527" s="1138"/>
    </row>
    <row r="15528" spans="1:3">
      <c r="A15528" s="1133"/>
      <c r="B15528" s="1136"/>
      <c r="C15528" s="1138"/>
    </row>
    <row r="15529" spans="1:3">
      <c r="A15529" s="1133"/>
      <c r="B15529" s="1136"/>
      <c r="C15529" s="1138"/>
    </row>
    <row r="15530" spans="1:3">
      <c r="A15530" s="1133"/>
      <c r="B15530" s="1136"/>
      <c r="C15530" s="1138"/>
    </row>
    <row r="15531" spans="1:3">
      <c r="A15531" s="1133"/>
      <c r="B15531" s="1136"/>
      <c r="C15531" s="1138"/>
    </row>
    <row r="15532" spans="1:3">
      <c r="A15532" s="1133"/>
      <c r="B15532" s="1136"/>
      <c r="C15532" s="1138"/>
    </row>
    <row r="15533" spans="1:3">
      <c r="A15533" s="1133"/>
      <c r="B15533" s="1136"/>
      <c r="C15533" s="1138"/>
    </row>
    <row r="15534" spans="1:3">
      <c r="A15534" s="1133"/>
      <c r="B15534" s="1136"/>
      <c r="C15534" s="1138"/>
    </row>
    <row r="15535" spans="1:3">
      <c r="A15535" s="1133"/>
      <c r="B15535" s="1136"/>
      <c r="C15535" s="1138"/>
    </row>
    <row r="15536" spans="1:3">
      <c r="A15536" s="1133"/>
      <c r="B15536" s="1136"/>
      <c r="C15536" s="1138"/>
    </row>
    <row r="15537" spans="1:3">
      <c r="A15537" s="1133"/>
      <c r="B15537" s="1136"/>
      <c r="C15537" s="1138"/>
    </row>
    <row r="15538" spans="1:3">
      <c r="A15538" s="1133"/>
      <c r="B15538" s="1136"/>
      <c r="C15538" s="1138"/>
    </row>
    <row r="15539" spans="1:3">
      <c r="A15539" s="1133"/>
      <c r="B15539" s="1136"/>
      <c r="C15539" s="1138"/>
    </row>
    <row r="15540" spans="1:3">
      <c r="A15540" s="1133"/>
      <c r="B15540" s="1136"/>
      <c r="C15540" s="1138"/>
    </row>
    <row r="15541" spans="1:3">
      <c r="A15541" s="1133"/>
      <c r="B15541" s="1136"/>
      <c r="C15541" s="1138"/>
    </row>
    <row r="15542" spans="1:3">
      <c r="A15542" s="1133"/>
      <c r="B15542" s="1136"/>
      <c r="C15542" s="1138"/>
    </row>
    <row r="15543" spans="1:3">
      <c r="A15543" s="1133"/>
      <c r="B15543" s="1136"/>
      <c r="C15543" s="1138"/>
    </row>
    <row r="15544" spans="1:3">
      <c r="A15544" s="1133"/>
      <c r="B15544" s="1136"/>
      <c r="C15544" s="1138"/>
    </row>
    <row r="15545" spans="1:3">
      <c r="A15545" s="1133"/>
      <c r="B15545" s="1136"/>
      <c r="C15545" s="1138"/>
    </row>
    <row r="15546" spans="1:3">
      <c r="A15546" s="1133"/>
      <c r="B15546" s="1136"/>
      <c r="C15546" s="1138"/>
    </row>
    <row r="15547" spans="1:3">
      <c r="A15547" s="1133"/>
      <c r="B15547" s="1136"/>
      <c r="C15547" s="1138"/>
    </row>
    <row r="15548" spans="1:3">
      <c r="A15548" s="1133"/>
      <c r="B15548" s="1136"/>
      <c r="C15548" s="1138"/>
    </row>
    <row r="15549" spans="1:3">
      <c r="A15549" s="1133"/>
      <c r="B15549" s="1136"/>
      <c r="C15549" s="1138"/>
    </row>
    <row r="15550" spans="1:3">
      <c r="A15550" s="1133"/>
      <c r="B15550" s="1136"/>
      <c r="C15550" s="1138"/>
    </row>
    <row r="15551" spans="1:3">
      <c r="A15551" s="1133"/>
      <c r="B15551" s="1136"/>
      <c r="C15551" s="1138"/>
    </row>
    <row r="15552" spans="1:3">
      <c r="A15552" s="1133"/>
      <c r="B15552" s="1136"/>
      <c r="C15552" s="1138"/>
    </row>
    <row r="15553" spans="1:3">
      <c r="A15553" s="1133"/>
      <c r="B15553" s="1136"/>
      <c r="C15553" s="1138"/>
    </row>
    <row r="15554" spans="1:3">
      <c r="A15554" s="1133"/>
      <c r="B15554" s="1136"/>
      <c r="C15554" s="1138"/>
    </row>
    <row r="15555" spans="1:3">
      <c r="A15555" s="1133"/>
      <c r="B15555" s="1136"/>
      <c r="C15555" s="1138"/>
    </row>
    <row r="15556" spans="1:3">
      <c r="A15556" s="1133"/>
      <c r="B15556" s="1136"/>
      <c r="C15556" s="1138"/>
    </row>
    <row r="15557" spans="1:3">
      <c r="A15557" s="1133"/>
      <c r="B15557" s="1136"/>
      <c r="C15557" s="1138"/>
    </row>
    <row r="15558" spans="1:3">
      <c r="A15558" s="1133"/>
      <c r="B15558" s="1136"/>
      <c r="C15558" s="1138"/>
    </row>
    <row r="15559" spans="1:3">
      <c r="A15559" s="1133"/>
      <c r="B15559" s="1136"/>
      <c r="C15559" s="1138"/>
    </row>
    <row r="15560" spans="1:3">
      <c r="A15560" s="1133"/>
      <c r="B15560" s="1136"/>
      <c r="C15560" s="1138"/>
    </row>
    <row r="15561" spans="1:3">
      <c r="A15561" s="1133"/>
      <c r="B15561" s="1136"/>
      <c r="C15561" s="1138"/>
    </row>
    <row r="15562" spans="1:3">
      <c r="A15562" s="1133"/>
      <c r="B15562" s="1136"/>
      <c r="C15562" s="1138"/>
    </row>
    <row r="15563" spans="1:3">
      <c r="A15563" s="1133"/>
      <c r="B15563" s="1136"/>
      <c r="C15563" s="1138"/>
    </row>
    <row r="15564" spans="1:3">
      <c r="A15564" s="1133"/>
      <c r="B15564" s="1136"/>
      <c r="C15564" s="1138"/>
    </row>
    <row r="15565" spans="1:3">
      <c r="A15565" s="1133"/>
      <c r="B15565" s="1136"/>
      <c r="C15565" s="1138"/>
    </row>
    <row r="15566" spans="1:3">
      <c r="A15566" s="1133"/>
      <c r="B15566" s="1136"/>
      <c r="C15566" s="1138"/>
    </row>
    <row r="15567" spans="1:3">
      <c r="A15567" s="1133"/>
      <c r="B15567" s="1136"/>
      <c r="C15567" s="1138"/>
    </row>
    <row r="15568" spans="1:3">
      <c r="A15568" s="1133"/>
      <c r="B15568" s="1136"/>
      <c r="C15568" s="1138"/>
    </row>
    <row r="15569" spans="1:3">
      <c r="A15569" s="1133"/>
      <c r="B15569" s="1136"/>
      <c r="C15569" s="1138"/>
    </row>
    <row r="15570" spans="1:3">
      <c r="A15570" s="1133"/>
      <c r="B15570" s="1136"/>
      <c r="C15570" s="1138"/>
    </row>
    <row r="15571" spans="1:3">
      <c r="A15571" s="1133"/>
      <c r="B15571" s="1136"/>
      <c r="C15571" s="1138"/>
    </row>
    <row r="15572" spans="1:3">
      <c r="A15572" s="1133"/>
      <c r="B15572" s="1136"/>
      <c r="C15572" s="1138"/>
    </row>
    <row r="15573" spans="1:3">
      <c r="A15573" s="1133"/>
      <c r="B15573" s="1136"/>
      <c r="C15573" s="1138"/>
    </row>
    <row r="15574" spans="1:3">
      <c r="A15574" s="1133"/>
      <c r="B15574" s="1136"/>
      <c r="C15574" s="1138"/>
    </row>
    <row r="15575" spans="1:3">
      <c r="A15575" s="1133"/>
      <c r="B15575" s="1136"/>
      <c r="C15575" s="1138"/>
    </row>
    <row r="15576" spans="1:3">
      <c r="A15576" s="1133"/>
      <c r="B15576" s="1136"/>
      <c r="C15576" s="1138"/>
    </row>
    <row r="15577" spans="1:3">
      <c r="A15577" s="1133"/>
      <c r="B15577" s="1136"/>
      <c r="C15577" s="1138"/>
    </row>
    <row r="15578" spans="1:3">
      <c r="A15578" s="1133"/>
      <c r="B15578" s="1136"/>
      <c r="C15578" s="1138"/>
    </row>
    <row r="15579" spans="1:3">
      <c r="A15579" s="1133"/>
      <c r="B15579" s="1136"/>
      <c r="C15579" s="1138"/>
    </row>
    <row r="15580" spans="1:3">
      <c r="A15580" s="1133"/>
      <c r="B15580" s="1136"/>
      <c r="C15580" s="1138"/>
    </row>
    <row r="15581" spans="1:3">
      <c r="A15581" s="1133"/>
      <c r="B15581" s="1136"/>
      <c r="C15581" s="1138"/>
    </row>
    <row r="15582" spans="1:3">
      <c r="A15582" s="1133"/>
      <c r="B15582" s="1136"/>
      <c r="C15582" s="1138"/>
    </row>
    <row r="15583" spans="1:3">
      <c r="A15583" s="1133"/>
      <c r="B15583" s="1136"/>
      <c r="C15583" s="1138"/>
    </row>
    <row r="15584" spans="1:3">
      <c r="A15584" s="1133"/>
      <c r="B15584" s="1136"/>
      <c r="C15584" s="1138"/>
    </row>
    <row r="15585" spans="1:3">
      <c r="A15585" s="1133"/>
      <c r="B15585" s="1136"/>
      <c r="C15585" s="1138"/>
    </row>
    <row r="15586" spans="1:3">
      <c r="A15586" s="1133"/>
      <c r="B15586" s="1136"/>
      <c r="C15586" s="1138"/>
    </row>
    <row r="15587" spans="1:3">
      <c r="A15587" s="1133"/>
      <c r="B15587" s="1136"/>
      <c r="C15587" s="1138"/>
    </row>
    <row r="15588" spans="1:3">
      <c r="A15588" s="1133"/>
      <c r="B15588" s="1136"/>
      <c r="C15588" s="1138"/>
    </row>
    <row r="15589" spans="1:3">
      <c r="A15589" s="1133"/>
      <c r="B15589" s="1136"/>
      <c r="C15589" s="1138"/>
    </row>
    <row r="15590" spans="1:3">
      <c r="A15590" s="1133"/>
      <c r="B15590" s="1136"/>
      <c r="C15590" s="1138"/>
    </row>
    <row r="15591" spans="1:3">
      <c r="A15591" s="1133"/>
      <c r="B15591" s="1136"/>
      <c r="C15591" s="1138"/>
    </row>
    <row r="15592" spans="1:3">
      <c r="A15592" s="1133"/>
      <c r="B15592" s="1136"/>
      <c r="C15592" s="1138"/>
    </row>
    <row r="15593" spans="1:3">
      <c r="A15593" s="1133"/>
      <c r="B15593" s="1136"/>
      <c r="C15593" s="1138"/>
    </row>
    <row r="15594" spans="1:3">
      <c r="A15594" s="1133"/>
      <c r="B15594" s="1136"/>
      <c r="C15594" s="1138"/>
    </row>
    <row r="15595" spans="1:3">
      <c r="A15595" s="1133"/>
      <c r="B15595" s="1136"/>
      <c r="C15595" s="1138"/>
    </row>
    <row r="15596" spans="1:3">
      <c r="A15596" s="1133"/>
      <c r="B15596" s="1136"/>
      <c r="C15596" s="1138"/>
    </row>
    <row r="15597" spans="1:3">
      <c r="A15597" s="1133"/>
      <c r="B15597" s="1136"/>
      <c r="C15597" s="1138"/>
    </row>
    <row r="15598" spans="1:3">
      <c r="A15598" s="1133"/>
      <c r="B15598" s="1136"/>
      <c r="C15598" s="1138"/>
    </row>
    <row r="15599" spans="1:3">
      <c r="A15599" s="1133"/>
      <c r="B15599" s="1136"/>
      <c r="C15599" s="1138"/>
    </row>
    <row r="15600" spans="1:3">
      <c r="A15600" s="1133"/>
      <c r="B15600" s="1136"/>
      <c r="C15600" s="1138"/>
    </row>
    <row r="15601" spans="1:3">
      <c r="A15601" s="1133"/>
      <c r="B15601" s="1136"/>
      <c r="C15601" s="1138"/>
    </row>
    <row r="15602" spans="1:3">
      <c r="A15602" s="1133"/>
      <c r="B15602" s="1136"/>
      <c r="C15602" s="1138"/>
    </row>
    <row r="15603" spans="1:3">
      <c r="A15603" s="1133"/>
      <c r="B15603" s="1136"/>
      <c r="C15603" s="1138"/>
    </row>
    <row r="15604" spans="1:3">
      <c r="A15604" s="1133"/>
      <c r="B15604" s="1136"/>
      <c r="C15604" s="1138"/>
    </row>
    <row r="15605" spans="1:3">
      <c r="A15605" s="1133"/>
      <c r="B15605" s="1136"/>
      <c r="C15605" s="1138"/>
    </row>
    <row r="15606" spans="1:3">
      <c r="A15606" s="1133"/>
      <c r="B15606" s="1136"/>
      <c r="C15606" s="1138"/>
    </row>
    <row r="15607" spans="1:3">
      <c r="A15607" s="1133"/>
      <c r="B15607" s="1136"/>
      <c r="C15607" s="1138"/>
    </row>
    <row r="15608" spans="1:3">
      <c r="A15608" s="1133"/>
      <c r="B15608" s="1136"/>
      <c r="C15608" s="1138"/>
    </row>
    <row r="15609" spans="1:3">
      <c r="A15609" s="1133"/>
      <c r="B15609" s="1136"/>
      <c r="C15609" s="1138"/>
    </row>
    <row r="15610" spans="1:3">
      <c r="A15610" s="1133"/>
      <c r="B15610" s="1136"/>
      <c r="C15610" s="1138"/>
    </row>
    <row r="15611" spans="1:3">
      <c r="A15611" s="1133"/>
      <c r="B15611" s="1136"/>
      <c r="C15611" s="1138"/>
    </row>
    <row r="15612" spans="1:3">
      <c r="A15612" s="1133"/>
      <c r="B15612" s="1136"/>
      <c r="C15612" s="1138"/>
    </row>
    <row r="15613" spans="1:3">
      <c r="A15613" s="1133"/>
      <c r="B15613" s="1136"/>
      <c r="C15613" s="1138"/>
    </row>
    <row r="15614" spans="1:3">
      <c r="A15614" s="1133"/>
      <c r="B15614" s="1136"/>
      <c r="C15614" s="1138"/>
    </row>
    <row r="15615" spans="1:3">
      <c r="A15615" s="1133"/>
      <c r="B15615" s="1136"/>
      <c r="C15615" s="1138"/>
    </row>
    <row r="15616" spans="1:3">
      <c r="A15616" s="1133"/>
      <c r="B15616" s="1136"/>
      <c r="C15616" s="1138"/>
    </row>
    <row r="15617" spans="1:3">
      <c r="A15617" s="1133"/>
      <c r="B15617" s="1136"/>
      <c r="C15617" s="1138"/>
    </row>
    <row r="15618" spans="1:3">
      <c r="A15618" s="1133"/>
      <c r="B15618" s="1136"/>
      <c r="C15618" s="1138"/>
    </row>
    <row r="15619" spans="1:3">
      <c r="A15619" s="1133"/>
      <c r="B15619" s="1136"/>
      <c r="C15619" s="1138"/>
    </row>
    <row r="15620" spans="1:3">
      <c r="A15620" s="1133"/>
      <c r="B15620" s="1136"/>
      <c r="C15620" s="1138"/>
    </row>
    <row r="15621" spans="1:3">
      <c r="A15621" s="1133"/>
      <c r="B15621" s="1136"/>
      <c r="C15621" s="1138"/>
    </row>
    <row r="15622" spans="1:3">
      <c r="A15622" s="1133"/>
      <c r="B15622" s="1136"/>
      <c r="C15622" s="1138"/>
    </row>
    <row r="15623" spans="1:3">
      <c r="A15623" s="1133"/>
      <c r="B15623" s="1136"/>
      <c r="C15623" s="1138"/>
    </row>
    <row r="15624" spans="1:3">
      <c r="A15624" s="1133"/>
      <c r="B15624" s="1136"/>
      <c r="C15624" s="1138"/>
    </row>
    <row r="15625" spans="1:3">
      <c r="A15625" s="1133"/>
      <c r="B15625" s="1136"/>
      <c r="C15625" s="1138"/>
    </row>
    <row r="15626" spans="1:3">
      <c r="A15626" s="1133"/>
      <c r="B15626" s="1136"/>
      <c r="C15626" s="1138"/>
    </row>
    <row r="15627" spans="1:3">
      <c r="A15627" s="1133"/>
      <c r="B15627" s="1136"/>
      <c r="C15627" s="1138"/>
    </row>
    <row r="15628" spans="1:3">
      <c r="A15628" s="1133"/>
      <c r="B15628" s="1136"/>
      <c r="C15628" s="1138"/>
    </row>
    <row r="15629" spans="1:3">
      <c r="A15629" s="1133"/>
      <c r="B15629" s="1136"/>
      <c r="C15629" s="1138"/>
    </row>
    <row r="15630" spans="1:3">
      <c r="A15630" s="1133"/>
      <c r="B15630" s="1136"/>
      <c r="C15630" s="1138"/>
    </row>
    <row r="15631" spans="1:3">
      <c r="A15631" s="1133"/>
      <c r="B15631" s="1136"/>
      <c r="C15631" s="1138"/>
    </row>
    <row r="15632" spans="1:3">
      <c r="A15632" s="1133"/>
      <c r="B15632" s="1136"/>
      <c r="C15632" s="1138"/>
    </row>
    <row r="15633" spans="1:3">
      <c r="A15633" s="1133"/>
      <c r="B15633" s="1136"/>
      <c r="C15633" s="1138"/>
    </row>
    <row r="15634" spans="1:3">
      <c r="A15634" s="1133"/>
      <c r="B15634" s="1136"/>
      <c r="C15634" s="1138"/>
    </row>
    <row r="15635" spans="1:3">
      <c r="A15635" s="1133"/>
      <c r="B15635" s="1136"/>
      <c r="C15635" s="1138"/>
    </row>
    <row r="15636" spans="1:3">
      <c r="A15636" s="1133"/>
      <c r="B15636" s="1136"/>
      <c r="C15636" s="1138"/>
    </row>
    <row r="15637" spans="1:3">
      <c r="A15637" s="1133"/>
      <c r="B15637" s="1136"/>
      <c r="C15637" s="1138"/>
    </row>
    <row r="15638" spans="1:3">
      <c r="A15638" s="1133"/>
      <c r="B15638" s="1136"/>
      <c r="C15638" s="1138"/>
    </row>
    <row r="15639" spans="1:3">
      <c r="A15639" s="1133"/>
      <c r="B15639" s="1136"/>
      <c r="C15639" s="1138"/>
    </row>
    <row r="15640" spans="1:3">
      <c r="A15640" s="1133"/>
      <c r="B15640" s="1136"/>
      <c r="C15640" s="1138"/>
    </row>
    <row r="15641" spans="1:3">
      <c r="A15641" s="1133"/>
      <c r="B15641" s="1136"/>
      <c r="C15641" s="1138"/>
    </row>
    <row r="15642" spans="1:3">
      <c r="A15642" s="1133"/>
      <c r="B15642" s="1136"/>
      <c r="C15642" s="1138"/>
    </row>
    <row r="15643" spans="1:3">
      <c r="A15643" s="1133"/>
      <c r="B15643" s="1136"/>
      <c r="C15643" s="1138"/>
    </row>
    <row r="15644" spans="1:3">
      <c r="A15644" s="1133"/>
      <c r="B15644" s="1136"/>
      <c r="C15644" s="1138"/>
    </row>
    <row r="15645" spans="1:3">
      <c r="A15645" s="1133"/>
      <c r="B15645" s="1136"/>
      <c r="C15645" s="1138"/>
    </row>
    <row r="15646" spans="1:3">
      <c r="A15646" s="1133"/>
      <c r="B15646" s="1136"/>
      <c r="C15646" s="1138"/>
    </row>
    <row r="15647" spans="1:3">
      <c r="A15647" s="1133"/>
      <c r="B15647" s="1136"/>
      <c r="C15647" s="1138"/>
    </row>
    <row r="15648" spans="1:3">
      <c r="A15648" s="1133"/>
      <c r="B15648" s="1136"/>
      <c r="C15648" s="1138"/>
    </row>
    <row r="15649" spans="1:3">
      <c r="A15649" s="1133"/>
      <c r="B15649" s="1136"/>
      <c r="C15649" s="1138"/>
    </row>
    <row r="15650" spans="1:3">
      <c r="A15650" s="1133"/>
      <c r="B15650" s="1136"/>
      <c r="C15650" s="1138"/>
    </row>
    <row r="15651" spans="1:3">
      <c r="A15651" s="1133"/>
      <c r="B15651" s="1136"/>
      <c r="C15651" s="1138"/>
    </row>
    <row r="15652" spans="1:3">
      <c r="A15652" s="1133"/>
      <c r="B15652" s="1136"/>
      <c r="C15652" s="1138"/>
    </row>
    <row r="15653" spans="1:3">
      <c r="A15653" s="1133"/>
      <c r="B15653" s="1136"/>
      <c r="C15653" s="1138"/>
    </row>
    <row r="15654" spans="1:3">
      <c r="A15654" s="1133"/>
      <c r="B15654" s="1136"/>
      <c r="C15654" s="1138"/>
    </row>
    <row r="15655" spans="1:3">
      <c r="A15655" s="1133"/>
      <c r="B15655" s="1136"/>
      <c r="C15655" s="1138"/>
    </row>
    <row r="15656" spans="1:3">
      <c r="A15656" s="1133"/>
      <c r="B15656" s="1136"/>
      <c r="C15656" s="1138"/>
    </row>
    <row r="15657" spans="1:3">
      <c r="A15657" s="1133"/>
      <c r="B15657" s="1136"/>
      <c r="C15657" s="1138"/>
    </row>
    <row r="15658" spans="1:3">
      <c r="A15658" s="1133"/>
      <c r="B15658" s="1136"/>
      <c r="C15658" s="1138"/>
    </row>
    <row r="15659" spans="1:3">
      <c r="A15659" s="1133"/>
      <c r="B15659" s="1136"/>
      <c r="C15659" s="1138"/>
    </row>
    <row r="15660" spans="1:3">
      <c r="A15660" s="1133"/>
      <c r="B15660" s="1136"/>
      <c r="C15660" s="1138"/>
    </row>
    <row r="15661" spans="1:3">
      <c r="A15661" s="1133"/>
      <c r="B15661" s="1136"/>
      <c r="C15661" s="1138"/>
    </row>
    <row r="15662" spans="1:3">
      <c r="A15662" s="1133"/>
      <c r="B15662" s="1136"/>
      <c r="C15662" s="1138"/>
    </row>
    <row r="15663" spans="1:3">
      <c r="A15663" s="1133"/>
      <c r="B15663" s="1136"/>
      <c r="C15663" s="1138"/>
    </row>
    <row r="15664" spans="1:3">
      <c r="A15664" s="1133"/>
      <c r="B15664" s="1136"/>
      <c r="C15664" s="1138"/>
    </row>
    <row r="15665" spans="1:3">
      <c r="A15665" s="1133"/>
      <c r="B15665" s="1136"/>
      <c r="C15665" s="1138"/>
    </row>
    <row r="15666" spans="1:3">
      <c r="A15666" s="1133"/>
      <c r="B15666" s="1136"/>
      <c r="C15666" s="1138"/>
    </row>
    <row r="15667" spans="1:3">
      <c r="A15667" s="1133"/>
      <c r="B15667" s="1136"/>
      <c r="C15667" s="1138"/>
    </row>
    <row r="15668" spans="1:3">
      <c r="A15668" s="1133"/>
      <c r="B15668" s="1136"/>
      <c r="C15668" s="1138"/>
    </row>
    <row r="15669" spans="1:3">
      <c r="A15669" s="1133"/>
      <c r="B15669" s="1136"/>
      <c r="C15669" s="1138"/>
    </row>
    <row r="15670" spans="1:3">
      <c r="A15670" s="1133"/>
      <c r="B15670" s="1136"/>
      <c r="C15670" s="1138"/>
    </row>
    <row r="15671" spans="1:3">
      <c r="A15671" s="1133"/>
      <c r="B15671" s="1136"/>
      <c r="C15671" s="1138"/>
    </row>
    <row r="15672" spans="1:3">
      <c r="A15672" s="1133"/>
      <c r="B15672" s="1136"/>
      <c r="C15672" s="1138"/>
    </row>
    <row r="15673" spans="1:3">
      <c r="A15673" s="1133"/>
      <c r="B15673" s="1136"/>
      <c r="C15673" s="1138"/>
    </row>
    <row r="15674" spans="1:3">
      <c r="A15674" s="1133"/>
      <c r="B15674" s="1136"/>
      <c r="C15674" s="1138"/>
    </row>
    <row r="15675" spans="1:3">
      <c r="A15675" s="1133"/>
      <c r="B15675" s="1136"/>
      <c r="C15675" s="1138"/>
    </row>
    <row r="15676" spans="1:3">
      <c r="A15676" s="1133"/>
      <c r="B15676" s="1136"/>
      <c r="C15676" s="1138"/>
    </row>
    <row r="15677" spans="1:3">
      <c r="A15677" s="1133"/>
      <c r="B15677" s="1136"/>
      <c r="C15677" s="1138"/>
    </row>
    <row r="15678" spans="1:3">
      <c r="A15678" s="1133"/>
      <c r="B15678" s="1136"/>
      <c r="C15678" s="1138"/>
    </row>
    <row r="15679" spans="1:3">
      <c r="A15679" s="1133"/>
      <c r="B15679" s="1136"/>
      <c r="C15679" s="1138"/>
    </row>
    <row r="15680" spans="1:3">
      <c r="A15680" s="1133"/>
      <c r="B15680" s="1136"/>
      <c r="C15680" s="1138"/>
    </row>
    <row r="15681" spans="1:3">
      <c r="A15681" s="1133"/>
      <c r="B15681" s="1136"/>
      <c r="C15681" s="1138"/>
    </row>
    <row r="15682" spans="1:3">
      <c r="A15682" s="1133"/>
      <c r="B15682" s="1136"/>
      <c r="C15682" s="1138"/>
    </row>
    <row r="15683" spans="1:3">
      <c r="A15683" s="1133"/>
      <c r="B15683" s="1136"/>
      <c r="C15683" s="1138"/>
    </row>
    <row r="15684" spans="1:3">
      <c r="A15684" s="1133"/>
      <c r="B15684" s="1136"/>
      <c r="C15684" s="1138"/>
    </row>
    <row r="15685" spans="1:3">
      <c r="A15685" s="1133"/>
      <c r="B15685" s="1136"/>
      <c r="C15685" s="1138"/>
    </row>
    <row r="15686" spans="1:3">
      <c r="A15686" s="1133"/>
      <c r="B15686" s="1136"/>
      <c r="C15686" s="1138"/>
    </row>
    <row r="15687" spans="1:3">
      <c r="A15687" s="1133"/>
      <c r="B15687" s="1136"/>
      <c r="C15687" s="1138"/>
    </row>
    <row r="15688" spans="1:3">
      <c r="A15688" s="1133"/>
      <c r="B15688" s="1136"/>
      <c r="C15688" s="1138"/>
    </row>
    <row r="15689" spans="1:3">
      <c r="A15689" s="1133"/>
      <c r="B15689" s="1136"/>
      <c r="C15689" s="1138"/>
    </row>
    <row r="15690" spans="1:3">
      <c r="A15690" s="1133"/>
      <c r="B15690" s="1136"/>
      <c r="C15690" s="1138"/>
    </row>
    <row r="15691" spans="1:3">
      <c r="A15691" s="1133"/>
      <c r="B15691" s="1136"/>
      <c r="C15691" s="1138"/>
    </row>
    <row r="15692" spans="1:3">
      <c r="A15692" s="1133"/>
      <c r="B15692" s="1136"/>
      <c r="C15692" s="1138"/>
    </row>
    <row r="15693" spans="1:3">
      <c r="A15693" s="1133"/>
      <c r="B15693" s="1136"/>
      <c r="C15693" s="1138"/>
    </row>
    <row r="15694" spans="1:3">
      <c r="A15694" s="1133"/>
      <c r="B15694" s="1136"/>
      <c r="C15694" s="1138"/>
    </row>
    <row r="15695" spans="1:3">
      <c r="A15695" s="1133"/>
      <c r="B15695" s="1136"/>
      <c r="C15695" s="1138"/>
    </row>
    <row r="15696" spans="1:3">
      <c r="A15696" s="1133"/>
      <c r="B15696" s="1136"/>
      <c r="C15696" s="1138"/>
    </row>
    <row r="15697" spans="1:3">
      <c r="A15697" s="1133"/>
      <c r="B15697" s="1136"/>
      <c r="C15697" s="1138"/>
    </row>
    <row r="15698" spans="1:3">
      <c r="A15698" s="1133"/>
      <c r="B15698" s="1136"/>
      <c r="C15698" s="1138"/>
    </row>
    <row r="15699" spans="1:3">
      <c r="A15699" s="1133"/>
      <c r="B15699" s="1136"/>
      <c r="C15699" s="1138"/>
    </row>
    <row r="15700" spans="1:3">
      <c r="A15700" s="1133"/>
      <c r="B15700" s="1136"/>
      <c r="C15700" s="1138"/>
    </row>
    <row r="15701" spans="1:3">
      <c r="A15701" s="1133"/>
      <c r="B15701" s="1136"/>
      <c r="C15701" s="1138"/>
    </row>
    <row r="15702" spans="1:3">
      <c r="A15702" s="1133"/>
      <c r="B15702" s="1136"/>
      <c r="C15702" s="1138"/>
    </row>
    <row r="15703" spans="1:3">
      <c r="A15703" s="1133"/>
      <c r="B15703" s="1136"/>
      <c r="C15703" s="1138"/>
    </row>
    <row r="15704" spans="1:3">
      <c r="A15704" s="1133"/>
      <c r="B15704" s="1136"/>
      <c r="C15704" s="1138"/>
    </row>
    <row r="15705" spans="1:3">
      <c r="A15705" s="1133"/>
      <c r="B15705" s="1136"/>
      <c r="C15705" s="1138"/>
    </row>
    <row r="15706" spans="1:3">
      <c r="A15706" s="1133"/>
      <c r="B15706" s="1136"/>
      <c r="C15706" s="1138"/>
    </row>
    <row r="15707" spans="1:3">
      <c r="A15707" s="1133"/>
      <c r="B15707" s="1136"/>
      <c r="C15707" s="1138"/>
    </row>
    <row r="15708" spans="1:3">
      <c r="A15708" s="1133"/>
      <c r="B15708" s="1136"/>
      <c r="C15708" s="1138"/>
    </row>
    <row r="15709" spans="1:3">
      <c r="A15709" s="1133"/>
      <c r="B15709" s="1136"/>
      <c r="C15709" s="1138"/>
    </row>
    <row r="15710" spans="1:3">
      <c r="A15710" s="1133"/>
      <c r="B15710" s="1136"/>
      <c r="C15710" s="1138"/>
    </row>
    <row r="15711" spans="1:3">
      <c r="A15711" s="1133"/>
      <c r="B15711" s="1136"/>
      <c r="C15711" s="1138"/>
    </row>
    <row r="15712" spans="1:3">
      <c r="A15712" s="1133"/>
      <c r="B15712" s="1136"/>
      <c r="C15712" s="1138"/>
    </row>
    <row r="15713" spans="1:3">
      <c r="A15713" s="1133"/>
      <c r="B15713" s="1136"/>
      <c r="C15713" s="1138"/>
    </row>
    <row r="15714" spans="1:3">
      <c r="A15714" s="1133"/>
      <c r="B15714" s="1136"/>
      <c r="C15714" s="1138"/>
    </row>
    <row r="15715" spans="1:3">
      <c r="A15715" s="1133"/>
      <c r="B15715" s="1136"/>
      <c r="C15715" s="1138"/>
    </row>
    <row r="15716" spans="1:3">
      <c r="A15716" s="1133"/>
      <c r="B15716" s="1136"/>
      <c r="C15716" s="1138"/>
    </row>
    <row r="15717" spans="1:3">
      <c r="A15717" s="1133"/>
      <c r="B15717" s="1136"/>
      <c r="C15717" s="1138"/>
    </row>
    <row r="15718" spans="1:3">
      <c r="A15718" s="1133"/>
      <c r="B15718" s="1136"/>
      <c r="C15718" s="1138"/>
    </row>
    <row r="15719" spans="1:3">
      <c r="A15719" s="1133"/>
      <c r="B15719" s="1136"/>
      <c r="C15719" s="1138"/>
    </row>
    <row r="15720" spans="1:3">
      <c r="A15720" s="1133"/>
      <c r="B15720" s="1136"/>
      <c r="C15720" s="1138"/>
    </row>
    <row r="15721" spans="1:3">
      <c r="A15721" s="1133"/>
      <c r="B15721" s="1136"/>
      <c r="C15721" s="1138"/>
    </row>
    <row r="15722" spans="1:3">
      <c r="A15722" s="1133"/>
      <c r="B15722" s="1136"/>
      <c r="C15722" s="1138"/>
    </row>
    <row r="15723" spans="1:3">
      <c r="A15723" s="1133"/>
      <c r="B15723" s="1136"/>
      <c r="C15723" s="1138"/>
    </row>
    <row r="15724" spans="1:3">
      <c r="A15724" s="1133"/>
      <c r="B15724" s="1136"/>
      <c r="C15724" s="1138"/>
    </row>
    <row r="15725" spans="1:3">
      <c r="A15725" s="1133"/>
      <c r="B15725" s="1136"/>
      <c r="C15725" s="1138"/>
    </row>
    <row r="15726" spans="1:3">
      <c r="A15726" s="1133"/>
      <c r="B15726" s="1136"/>
      <c r="C15726" s="1138"/>
    </row>
    <row r="15727" spans="1:3">
      <c r="A15727" s="1133"/>
      <c r="B15727" s="1136"/>
      <c r="C15727" s="1138"/>
    </row>
    <row r="15728" spans="1:3">
      <c r="A15728" s="1133"/>
      <c r="B15728" s="1136"/>
      <c r="C15728" s="1138"/>
    </row>
    <row r="15729" spans="1:3">
      <c r="A15729" s="1133"/>
      <c r="B15729" s="1136"/>
      <c r="C15729" s="1138"/>
    </row>
    <row r="15730" spans="1:3">
      <c r="A15730" s="1133"/>
      <c r="B15730" s="1136"/>
      <c r="C15730" s="1138"/>
    </row>
    <row r="15731" spans="1:3">
      <c r="A15731" s="1133"/>
      <c r="B15731" s="1136"/>
      <c r="C15731" s="1138"/>
    </row>
    <row r="15732" spans="1:3">
      <c r="A15732" s="1133"/>
      <c r="B15732" s="1136"/>
      <c r="C15732" s="1138"/>
    </row>
    <row r="15733" spans="1:3">
      <c r="A15733" s="1133"/>
      <c r="B15733" s="1136"/>
      <c r="C15733" s="1138"/>
    </row>
    <row r="15734" spans="1:3">
      <c r="A15734" s="1133"/>
      <c r="B15734" s="1136"/>
      <c r="C15734" s="1138"/>
    </row>
    <row r="15735" spans="1:3">
      <c r="A15735" s="1133"/>
      <c r="B15735" s="1136"/>
      <c r="C15735" s="1138"/>
    </row>
    <row r="15736" spans="1:3">
      <c r="A15736" s="1133"/>
      <c r="B15736" s="1136"/>
      <c r="C15736" s="1138"/>
    </row>
    <row r="15737" spans="1:3">
      <c r="A15737" s="1133"/>
      <c r="B15737" s="1136"/>
      <c r="C15737" s="1138"/>
    </row>
    <row r="15738" spans="1:3">
      <c r="A15738" s="1133"/>
      <c r="B15738" s="1136"/>
      <c r="C15738" s="1138"/>
    </row>
    <row r="15739" spans="1:3">
      <c r="A15739" s="1133"/>
      <c r="B15739" s="1136"/>
      <c r="C15739" s="1138"/>
    </row>
    <row r="15740" spans="1:3">
      <c r="A15740" s="1133"/>
      <c r="B15740" s="1136"/>
      <c r="C15740" s="1138"/>
    </row>
    <row r="15741" spans="1:3">
      <c r="A15741" s="1133"/>
      <c r="B15741" s="1136"/>
      <c r="C15741" s="1138"/>
    </row>
    <row r="15742" spans="1:3">
      <c r="A15742" s="1133"/>
      <c r="B15742" s="1136"/>
      <c r="C15742" s="1138"/>
    </row>
    <row r="15743" spans="1:3">
      <c r="A15743" s="1133"/>
      <c r="B15743" s="1136"/>
      <c r="C15743" s="1138"/>
    </row>
    <row r="15744" spans="1:3">
      <c r="A15744" s="1133"/>
      <c r="B15744" s="1136"/>
      <c r="C15744" s="1138"/>
    </row>
    <row r="15745" spans="1:3">
      <c r="A15745" s="1133"/>
      <c r="B15745" s="1136"/>
      <c r="C15745" s="1138"/>
    </row>
    <row r="15746" spans="1:3">
      <c r="A15746" s="1133"/>
      <c r="B15746" s="1136"/>
      <c r="C15746" s="1138"/>
    </row>
    <row r="15747" spans="1:3">
      <c r="A15747" s="1133"/>
      <c r="B15747" s="1136"/>
      <c r="C15747" s="1138"/>
    </row>
    <row r="15748" spans="1:3">
      <c r="A15748" s="1133"/>
      <c r="B15748" s="1136"/>
      <c r="C15748" s="1138"/>
    </row>
    <row r="15749" spans="1:3">
      <c r="A15749" s="1133"/>
      <c r="B15749" s="1136"/>
      <c r="C15749" s="1138"/>
    </row>
    <row r="15750" spans="1:3">
      <c r="A15750" s="1133"/>
      <c r="B15750" s="1136"/>
      <c r="C15750" s="1138"/>
    </row>
    <row r="15751" spans="1:3">
      <c r="A15751" s="1133"/>
      <c r="B15751" s="1136"/>
      <c r="C15751" s="1138"/>
    </row>
    <row r="15752" spans="1:3">
      <c r="A15752" s="1133"/>
      <c r="B15752" s="1136"/>
      <c r="C15752" s="1138"/>
    </row>
    <row r="15753" spans="1:3">
      <c r="A15753" s="1133"/>
      <c r="B15753" s="1136"/>
      <c r="C15753" s="1138"/>
    </row>
    <row r="15754" spans="1:3">
      <c r="A15754" s="1133"/>
      <c r="B15754" s="1136"/>
      <c r="C15754" s="1138"/>
    </row>
    <row r="15755" spans="1:3">
      <c r="A15755" s="1133"/>
      <c r="B15755" s="1136"/>
      <c r="C15755" s="1138"/>
    </row>
    <row r="15756" spans="1:3">
      <c r="A15756" s="1133"/>
      <c r="B15756" s="1136"/>
      <c r="C15756" s="1138"/>
    </row>
    <row r="15757" spans="1:3">
      <c r="A15757" s="1133"/>
      <c r="B15757" s="1136"/>
      <c r="C15757" s="1138"/>
    </row>
    <row r="15758" spans="1:3">
      <c r="A15758" s="1133"/>
      <c r="B15758" s="1136"/>
      <c r="C15758" s="1138"/>
    </row>
    <row r="15759" spans="1:3">
      <c r="A15759" s="1133"/>
      <c r="B15759" s="1136"/>
      <c r="C15759" s="1138"/>
    </row>
    <row r="15760" spans="1:3">
      <c r="A15760" s="1133"/>
      <c r="B15760" s="1136"/>
      <c r="C15760" s="1138"/>
    </row>
    <row r="15761" spans="1:3">
      <c r="A15761" s="1133"/>
      <c r="B15761" s="1136"/>
      <c r="C15761" s="1138"/>
    </row>
    <row r="15762" spans="1:3">
      <c r="A15762" s="1133"/>
      <c r="B15762" s="1136"/>
      <c r="C15762" s="1138"/>
    </row>
    <row r="15763" spans="1:3">
      <c r="A15763" s="1133"/>
      <c r="B15763" s="1136"/>
      <c r="C15763" s="1138"/>
    </row>
    <row r="15764" spans="1:3">
      <c r="A15764" s="1133"/>
      <c r="B15764" s="1136"/>
      <c r="C15764" s="1138"/>
    </row>
    <row r="15765" spans="1:3">
      <c r="A15765" s="1133"/>
      <c r="B15765" s="1136"/>
      <c r="C15765" s="1138"/>
    </row>
    <row r="15766" spans="1:3">
      <c r="A15766" s="1133"/>
      <c r="B15766" s="1136"/>
      <c r="C15766" s="1138"/>
    </row>
    <row r="15767" spans="1:3">
      <c r="A15767" s="1133"/>
      <c r="B15767" s="1136"/>
      <c r="C15767" s="1138"/>
    </row>
    <row r="15768" spans="1:3">
      <c r="A15768" s="1133"/>
      <c r="B15768" s="1136"/>
      <c r="C15768" s="1138"/>
    </row>
    <row r="15769" spans="1:3">
      <c r="A15769" s="1133"/>
      <c r="B15769" s="1136"/>
      <c r="C15769" s="1138"/>
    </row>
    <row r="15770" spans="1:3">
      <c r="A15770" s="1133"/>
      <c r="B15770" s="1136"/>
      <c r="C15770" s="1138"/>
    </row>
    <row r="15771" spans="1:3">
      <c r="A15771" s="1133"/>
      <c r="B15771" s="1136"/>
      <c r="C15771" s="1138"/>
    </row>
    <row r="15772" spans="1:3">
      <c r="A15772" s="1133"/>
      <c r="B15772" s="1136"/>
      <c r="C15772" s="1138"/>
    </row>
    <row r="15773" spans="1:3">
      <c r="A15773" s="1133"/>
      <c r="B15773" s="1136"/>
      <c r="C15773" s="1138"/>
    </row>
    <row r="15774" spans="1:3">
      <c r="A15774" s="1133"/>
      <c r="B15774" s="1136"/>
      <c r="C15774" s="1138"/>
    </row>
    <row r="15775" spans="1:3">
      <c r="A15775" s="1133"/>
      <c r="B15775" s="1136"/>
      <c r="C15775" s="1138"/>
    </row>
    <row r="15776" spans="1:3">
      <c r="A15776" s="1133"/>
      <c r="B15776" s="1136"/>
      <c r="C15776" s="1138"/>
    </row>
    <row r="15777" spans="1:3">
      <c r="A15777" s="1133"/>
      <c r="B15777" s="1136"/>
      <c r="C15777" s="1138"/>
    </row>
    <row r="15778" spans="1:3">
      <c r="A15778" s="1133"/>
      <c r="B15778" s="1136"/>
      <c r="C15778" s="1138"/>
    </row>
    <row r="15779" spans="1:3">
      <c r="A15779" s="1133"/>
      <c r="B15779" s="1136"/>
      <c r="C15779" s="1138"/>
    </row>
    <row r="15780" spans="1:3">
      <c r="A15780" s="1133"/>
      <c r="B15780" s="1136"/>
      <c r="C15780" s="1138"/>
    </row>
    <row r="15781" spans="1:3">
      <c r="A15781" s="1133"/>
      <c r="B15781" s="1136"/>
      <c r="C15781" s="1138"/>
    </row>
    <row r="15782" spans="1:3">
      <c r="A15782" s="1133"/>
      <c r="B15782" s="1136"/>
      <c r="C15782" s="1138"/>
    </row>
    <row r="15783" spans="1:3">
      <c r="A15783" s="1133"/>
      <c r="B15783" s="1136"/>
      <c r="C15783" s="1138"/>
    </row>
    <row r="15784" spans="1:3">
      <c r="A15784" s="1133"/>
      <c r="B15784" s="1136"/>
      <c r="C15784" s="1138"/>
    </row>
    <row r="15785" spans="1:3">
      <c r="A15785" s="1133"/>
      <c r="B15785" s="1136"/>
      <c r="C15785" s="1138"/>
    </row>
    <row r="15786" spans="1:3">
      <c r="A15786" s="1133"/>
      <c r="B15786" s="1136"/>
      <c r="C15786" s="1138"/>
    </row>
    <row r="15787" spans="1:3">
      <c r="A15787" s="1133"/>
      <c r="B15787" s="1136"/>
      <c r="C15787" s="1138"/>
    </row>
    <row r="15788" spans="1:3">
      <c r="A15788" s="1133"/>
      <c r="B15788" s="1136"/>
      <c r="C15788" s="1138"/>
    </row>
    <row r="15789" spans="1:3">
      <c r="A15789" s="1133"/>
      <c r="B15789" s="1136"/>
      <c r="C15789" s="1138"/>
    </row>
    <row r="15790" spans="1:3">
      <c r="A15790" s="1133"/>
      <c r="B15790" s="1136"/>
      <c r="C15790" s="1138"/>
    </row>
    <row r="15791" spans="1:3">
      <c r="A15791" s="1133"/>
      <c r="B15791" s="1136"/>
      <c r="C15791" s="1138"/>
    </row>
    <row r="15792" spans="1:3">
      <c r="A15792" s="1133"/>
      <c r="B15792" s="1136"/>
      <c r="C15792" s="1138"/>
    </row>
    <row r="15793" spans="1:3">
      <c r="A15793" s="1133"/>
      <c r="B15793" s="1136"/>
      <c r="C15793" s="1138"/>
    </row>
    <row r="15794" spans="1:3">
      <c r="A15794" s="1133"/>
      <c r="B15794" s="1136"/>
      <c r="C15794" s="1138"/>
    </row>
    <row r="15795" spans="1:3">
      <c r="A15795" s="1133"/>
      <c r="B15795" s="1136"/>
      <c r="C15795" s="1138"/>
    </row>
    <row r="15796" spans="1:3">
      <c r="A15796" s="1133"/>
      <c r="B15796" s="1136"/>
      <c r="C15796" s="1138"/>
    </row>
    <row r="15797" spans="1:3">
      <c r="A15797" s="1133"/>
      <c r="B15797" s="1136"/>
      <c r="C15797" s="1138"/>
    </row>
    <row r="15798" spans="1:3">
      <c r="A15798" s="1133"/>
      <c r="B15798" s="1136"/>
      <c r="C15798" s="1138"/>
    </row>
    <row r="15799" spans="1:3">
      <c r="A15799" s="1133"/>
      <c r="B15799" s="1136"/>
      <c r="C15799" s="1138"/>
    </row>
    <row r="15800" spans="1:3">
      <c r="A15800" s="1133"/>
      <c r="B15800" s="1136"/>
      <c r="C15800" s="1138"/>
    </row>
    <row r="15801" spans="1:3">
      <c r="A15801" s="1133"/>
      <c r="B15801" s="1136"/>
      <c r="C15801" s="1138"/>
    </row>
    <row r="15802" spans="1:3">
      <c r="A15802" s="1133"/>
      <c r="B15802" s="1136"/>
      <c r="C15802" s="1138"/>
    </row>
    <row r="15803" spans="1:3">
      <c r="A15803" s="1133"/>
      <c r="B15803" s="1136"/>
      <c r="C15803" s="1138"/>
    </row>
    <row r="15804" spans="1:3">
      <c r="A15804" s="1133"/>
      <c r="B15804" s="1136"/>
      <c r="C15804" s="1138"/>
    </row>
    <row r="15805" spans="1:3">
      <c r="A15805" s="1133"/>
      <c r="B15805" s="1136"/>
      <c r="C15805" s="1138"/>
    </row>
    <row r="15806" spans="1:3">
      <c r="A15806" s="1133"/>
      <c r="B15806" s="1136"/>
      <c r="C15806" s="1138"/>
    </row>
    <row r="15807" spans="1:3">
      <c r="A15807" s="1133"/>
      <c r="B15807" s="1136"/>
      <c r="C15807" s="1138"/>
    </row>
    <row r="15808" spans="1:3">
      <c r="A15808" s="1133"/>
      <c r="B15808" s="1136"/>
      <c r="C15808" s="1138"/>
    </row>
    <row r="15809" spans="1:3">
      <c r="A15809" s="1133"/>
      <c r="B15809" s="1136"/>
      <c r="C15809" s="1138"/>
    </row>
    <row r="15810" spans="1:3">
      <c r="A15810" s="1133"/>
      <c r="B15810" s="1136"/>
      <c r="C15810" s="1138"/>
    </row>
    <row r="15811" spans="1:3">
      <c r="A15811" s="1133"/>
      <c r="B15811" s="1136"/>
      <c r="C15811" s="1138"/>
    </row>
    <row r="15812" spans="1:3">
      <c r="A15812" s="1133"/>
      <c r="B15812" s="1136"/>
      <c r="C15812" s="1138"/>
    </row>
    <row r="15813" spans="1:3">
      <c r="A15813" s="1133"/>
      <c r="B15813" s="1136"/>
      <c r="C15813" s="1138"/>
    </row>
    <row r="15814" spans="1:3">
      <c r="A15814" s="1133"/>
      <c r="B15814" s="1136"/>
      <c r="C15814" s="1138"/>
    </row>
    <row r="15815" spans="1:3">
      <c r="A15815" s="1133"/>
      <c r="B15815" s="1136"/>
      <c r="C15815" s="1138"/>
    </row>
    <row r="15816" spans="1:3">
      <c r="A15816" s="1133"/>
      <c r="B15816" s="1136"/>
      <c r="C15816" s="1138"/>
    </row>
    <row r="15817" spans="1:3">
      <c r="A15817" s="1133"/>
      <c r="B15817" s="1136"/>
      <c r="C15817" s="1138"/>
    </row>
    <row r="15818" spans="1:3">
      <c r="A15818" s="1133"/>
      <c r="B15818" s="1136"/>
      <c r="C15818" s="1138"/>
    </row>
    <row r="15819" spans="1:3">
      <c r="A15819" s="1133"/>
      <c r="B15819" s="1136"/>
      <c r="C15819" s="1138"/>
    </row>
    <row r="15820" spans="1:3">
      <c r="A15820" s="1133"/>
      <c r="B15820" s="1136"/>
      <c r="C15820" s="1138"/>
    </row>
    <row r="15821" spans="1:3">
      <c r="A15821" s="1133"/>
      <c r="B15821" s="1136"/>
      <c r="C15821" s="1138"/>
    </row>
    <row r="15822" spans="1:3">
      <c r="A15822" s="1133"/>
      <c r="B15822" s="1136"/>
      <c r="C15822" s="1138"/>
    </row>
    <row r="15823" spans="1:3">
      <c r="A15823" s="1133"/>
      <c r="B15823" s="1136"/>
      <c r="C15823" s="1138"/>
    </row>
    <row r="15824" spans="1:3">
      <c r="A15824" s="1133"/>
      <c r="B15824" s="1136"/>
      <c r="C15824" s="1138"/>
    </row>
    <row r="15825" spans="1:3">
      <c r="A15825" s="1133"/>
      <c r="B15825" s="1136"/>
      <c r="C15825" s="1138"/>
    </row>
    <row r="15826" spans="1:3">
      <c r="A15826" s="1133"/>
      <c r="B15826" s="1136"/>
      <c r="C15826" s="1138"/>
    </row>
    <row r="15827" spans="1:3">
      <c r="A15827" s="1133"/>
      <c r="B15827" s="1136"/>
      <c r="C15827" s="1138"/>
    </row>
    <row r="15828" spans="1:3">
      <c r="A15828" s="1133"/>
      <c r="B15828" s="1136"/>
      <c r="C15828" s="1138"/>
    </row>
    <row r="15829" spans="1:3">
      <c r="A15829" s="1133"/>
      <c r="B15829" s="1136"/>
      <c r="C15829" s="1138"/>
    </row>
    <row r="15830" spans="1:3">
      <c r="A15830" s="1133"/>
      <c r="B15830" s="1136"/>
      <c r="C15830" s="1138"/>
    </row>
    <row r="15831" spans="1:3">
      <c r="A15831" s="1133"/>
      <c r="B15831" s="1136"/>
      <c r="C15831" s="1138"/>
    </row>
    <row r="15832" spans="1:3">
      <c r="A15832" s="1133"/>
      <c r="B15832" s="1136"/>
      <c r="C15832" s="1138"/>
    </row>
    <row r="15833" spans="1:3">
      <c r="A15833" s="1133"/>
      <c r="B15833" s="1136"/>
      <c r="C15833" s="1138"/>
    </row>
    <row r="15834" spans="1:3">
      <c r="A15834" s="1133"/>
      <c r="B15834" s="1136"/>
      <c r="C15834" s="1138"/>
    </row>
    <row r="15835" spans="1:3">
      <c r="A15835" s="1133"/>
      <c r="B15835" s="1136"/>
      <c r="C15835" s="1138"/>
    </row>
    <row r="15836" spans="1:3">
      <c r="A15836" s="1133"/>
      <c r="B15836" s="1136"/>
      <c r="C15836" s="1138"/>
    </row>
    <row r="15837" spans="1:3">
      <c r="A15837" s="1133"/>
      <c r="B15837" s="1136"/>
      <c r="C15837" s="1138"/>
    </row>
    <row r="15838" spans="1:3">
      <c r="A15838" s="1133"/>
      <c r="B15838" s="1136"/>
      <c r="C15838" s="1138"/>
    </row>
    <row r="15839" spans="1:3">
      <c r="A15839" s="1133"/>
      <c r="B15839" s="1136"/>
      <c r="C15839" s="1138"/>
    </row>
    <row r="15840" spans="1:3">
      <c r="A15840" s="1133"/>
      <c r="B15840" s="1136"/>
      <c r="C15840" s="1138"/>
    </row>
    <row r="15841" spans="1:3">
      <c r="A15841" s="1133"/>
      <c r="B15841" s="1136"/>
      <c r="C15841" s="1138"/>
    </row>
    <row r="15842" spans="1:3">
      <c r="A15842" s="1133"/>
      <c r="B15842" s="1136"/>
      <c r="C15842" s="1138"/>
    </row>
    <row r="15843" spans="1:3">
      <c r="A15843" s="1133"/>
      <c r="B15843" s="1136"/>
      <c r="C15843" s="1138"/>
    </row>
    <row r="15844" spans="1:3">
      <c r="A15844" s="1133"/>
      <c r="B15844" s="1136"/>
      <c r="C15844" s="1138"/>
    </row>
    <row r="15845" spans="1:3">
      <c r="A15845" s="1133"/>
      <c r="B15845" s="1136"/>
      <c r="C15845" s="1138"/>
    </row>
    <row r="15846" spans="1:3">
      <c r="A15846" s="1133"/>
      <c r="B15846" s="1136"/>
      <c r="C15846" s="1138"/>
    </row>
    <row r="15847" spans="1:3">
      <c r="A15847" s="1133"/>
      <c r="B15847" s="1136"/>
      <c r="C15847" s="1138"/>
    </row>
    <row r="15848" spans="1:3">
      <c r="A15848" s="1133"/>
      <c r="B15848" s="1136"/>
      <c r="C15848" s="1138"/>
    </row>
    <row r="15849" spans="1:3">
      <c r="A15849" s="1133"/>
      <c r="B15849" s="1136"/>
      <c r="C15849" s="1138"/>
    </row>
    <row r="15850" spans="1:3">
      <c r="A15850" s="1133"/>
      <c r="B15850" s="1136"/>
      <c r="C15850" s="1138"/>
    </row>
    <row r="15851" spans="1:3">
      <c r="A15851" s="1133"/>
      <c r="B15851" s="1136"/>
      <c r="C15851" s="1138"/>
    </row>
    <row r="15852" spans="1:3">
      <c r="A15852" s="1133"/>
      <c r="B15852" s="1136"/>
      <c r="C15852" s="1138"/>
    </row>
    <row r="15853" spans="1:3">
      <c r="A15853" s="1133"/>
      <c r="B15853" s="1136"/>
      <c r="C15853" s="1138"/>
    </row>
    <row r="15854" spans="1:3">
      <c r="A15854" s="1133"/>
      <c r="B15854" s="1136"/>
      <c r="C15854" s="1138"/>
    </row>
    <row r="15855" spans="1:3">
      <c r="A15855" s="1133"/>
      <c r="B15855" s="1136"/>
      <c r="C15855" s="1138"/>
    </row>
    <row r="15856" spans="1:3">
      <c r="A15856" s="1133"/>
      <c r="B15856" s="1136"/>
      <c r="C15856" s="1138"/>
    </row>
    <row r="15857" spans="1:3">
      <c r="A15857" s="1133"/>
      <c r="B15857" s="1136"/>
      <c r="C15857" s="1138"/>
    </row>
    <row r="15858" spans="1:3">
      <c r="A15858" s="1133"/>
      <c r="B15858" s="1136"/>
      <c r="C15858" s="1138"/>
    </row>
    <row r="15859" spans="1:3">
      <c r="A15859" s="1133"/>
      <c r="B15859" s="1136"/>
      <c r="C15859" s="1138"/>
    </row>
    <row r="15860" spans="1:3">
      <c r="A15860" s="1133"/>
      <c r="B15860" s="1136"/>
      <c r="C15860" s="1138"/>
    </row>
    <row r="15861" spans="1:3">
      <c r="A15861" s="1133"/>
      <c r="B15861" s="1136"/>
      <c r="C15861" s="1138"/>
    </row>
    <row r="15862" spans="1:3">
      <c r="A15862" s="1133"/>
      <c r="B15862" s="1136"/>
      <c r="C15862" s="1138"/>
    </row>
    <row r="15863" spans="1:3">
      <c r="A15863" s="1133"/>
      <c r="B15863" s="1136"/>
      <c r="C15863" s="1138"/>
    </row>
    <row r="15864" spans="1:3">
      <c r="A15864" s="1133"/>
      <c r="B15864" s="1136"/>
      <c r="C15864" s="1138"/>
    </row>
    <row r="15865" spans="1:3">
      <c r="A15865" s="1133"/>
      <c r="B15865" s="1136"/>
      <c r="C15865" s="1138"/>
    </row>
    <row r="15866" spans="1:3">
      <c r="A15866" s="1133"/>
      <c r="B15866" s="1136"/>
      <c r="C15866" s="1138"/>
    </row>
    <row r="15867" spans="1:3">
      <c r="A15867" s="1133"/>
      <c r="B15867" s="1136"/>
      <c r="C15867" s="1138"/>
    </row>
    <row r="15868" spans="1:3">
      <c r="A15868" s="1133"/>
      <c r="B15868" s="1136"/>
      <c r="C15868" s="1138"/>
    </row>
    <row r="15869" spans="1:3">
      <c r="A15869" s="1133"/>
      <c r="B15869" s="1136"/>
      <c r="C15869" s="1138"/>
    </row>
    <row r="15870" spans="1:3">
      <c r="A15870" s="1133"/>
      <c r="B15870" s="1136"/>
      <c r="C15870" s="1138"/>
    </row>
    <row r="15871" spans="1:3">
      <c r="A15871" s="1133"/>
      <c r="B15871" s="1136"/>
      <c r="C15871" s="1138"/>
    </row>
    <row r="15872" spans="1:3">
      <c r="A15872" s="1133"/>
      <c r="B15872" s="1136"/>
      <c r="C15872" s="1138"/>
    </row>
    <row r="15873" spans="1:3">
      <c r="A15873" s="1133"/>
      <c r="B15873" s="1136"/>
      <c r="C15873" s="1138"/>
    </row>
    <row r="15874" spans="1:3">
      <c r="A15874" s="1133"/>
      <c r="B15874" s="1136"/>
      <c r="C15874" s="1138"/>
    </row>
    <row r="15875" spans="1:3">
      <c r="A15875" s="1133"/>
      <c r="B15875" s="1136"/>
      <c r="C15875" s="1138"/>
    </row>
    <row r="15876" spans="1:3">
      <c r="A15876" s="1133"/>
      <c r="B15876" s="1136"/>
      <c r="C15876" s="1138"/>
    </row>
    <row r="15877" spans="1:3">
      <c r="A15877" s="1133"/>
      <c r="B15877" s="1136"/>
      <c r="C15877" s="1138"/>
    </row>
    <row r="15878" spans="1:3">
      <c r="A15878" s="1133"/>
      <c r="B15878" s="1136"/>
      <c r="C15878" s="1138"/>
    </row>
    <row r="15879" spans="1:3">
      <c r="A15879" s="1133"/>
      <c r="B15879" s="1136"/>
      <c r="C15879" s="1138"/>
    </row>
    <row r="15880" spans="1:3">
      <c r="A15880" s="1133"/>
      <c r="B15880" s="1136"/>
      <c r="C15880" s="1138"/>
    </row>
    <row r="15881" spans="1:3">
      <c r="A15881" s="1133"/>
      <c r="B15881" s="1136"/>
      <c r="C15881" s="1138"/>
    </row>
    <row r="15882" spans="1:3">
      <c r="A15882" s="1133"/>
      <c r="B15882" s="1136"/>
      <c r="C15882" s="1138"/>
    </row>
    <row r="15883" spans="1:3">
      <c r="A15883" s="1133"/>
      <c r="B15883" s="1136"/>
      <c r="C15883" s="1138"/>
    </row>
    <row r="15884" spans="1:3">
      <c r="A15884" s="1133"/>
      <c r="B15884" s="1136"/>
      <c r="C15884" s="1138"/>
    </row>
    <row r="15885" spans="1:3">
      <c r="A15885" s="1133"/>
      <c r="B15885" s="1136"/>
      <c r="C15885" s="1138"/>
    </row>
    <row r="15886" spans="1:3">
      <c r="A15886" s="1133"/>
      <c r="B15886" s="1136"/>
      <c r="C15886" s="1138"/>
    </row>
    <row r="15887" spans="1:3">
      <c r="A15887" s="1133"/>
      <c r="B15887" s="1136"/>
      <c r="C15887" s="1138"/>
    </row>
    <row r="15888" spans="1:3">
      <c r="A15888" s="1133"/>
      <c r="B15888" s="1136"/>
      <c r="C15888" s="1138"/>
    </row>
    <row r="15889" spans="1:3">
      <c r="A15889" s="1133"/>
      <c r="B15889" s="1136"/>
      <c r="C15889" s="1138"/>
    </row>
    <row r="15890" spans="1:3">
      <c r="A15890" s="1133"/>
      <c r="B15890" s="1136"/>
      <c r="C15890" s="1138"/>
    </row>
    <row r="15891" spans="1:3">
      <c r="A15891" s="1133"/>
      <c r="B15891" s="1136"/>
      <c r="C15891" s="1138"/>
    </row>
    <row r="15892" spans="1:3">
      <c r="A15892" s="1133"/>
      <c r="B15892" s="1136"/>
      <c r="C15892" s="1138"/>
    </row>
    <row r="15893" spans="1:3">
      <c r="A15893" s="1133"/>
      <c r="B15893" s="1136"/>
      <c r="C15893" s="1138"/>
    </row>
    <row r="15894" spans="1:3">
      <c r="A15894" s="1133"/>
      <c r="B15894" s="1136"/>
      <c r="C15894" s="1138"/>
    </row>
    <row r="15895" spans="1:3">
      <c r="A15895" s="1133"/>
      <c r="B15895" s="1136"/>
      <c r="C15895" s="1138"/>
    </row>
    <row r="15896" spans="1:3">
      <c r="A15896" s="1133"/>
      <c r="B15896" s="1136"/>
      <c r="C15896" s="1138"/>
    </row>
    <row r="15897" spans="1:3">
      <c r="A15897" s="1133"/>
      <c r="B15897" s="1136"/>
      <c r="C15897" s="1138"/>
    </row>
    <row r="15898" spans="1:3">
      <c r="A15898" s="1133"/>
      <c r="B15898" s="1136"/>
      <c r="C15898" s="1138"/>
    </row>
    <row r="15899" spans="1:3">
      <c r="A15899" s="1133"/>
      <c r="B15899" s="1136"/>
      <c r="C15899" s="1138"/>
    </row>
    <row r="15900" spans="1:3">
      <c r="A15900" s="1133"/>
      <c r="B15900" s="1136"/>
      <c r="C15900" s="1138"/>
    </row>
    <row r="15901" spans="1:3">
      <c r="A15901" s="1133"/>
      <c r="B15901" s="1136"/>
      <c r="C15901" s="1138"/>
    </row>
    <row r="15902" spans="1:3">
      <c r="A15902" s="1133"/>
      <c r="B15902" s="1136"/>
      <c r="C15902" s="1138"/>
    </row>
    <row r="15903" spans="1:3">
      <c r="A15903" s="1133"/>
      <c r="B15903" s="1136"/>
      <c r="C15903" s="1138"/>
    </row>
    <row r="15904" spans="1:3">
      <c r="A15904" s="1133"/>
      <c r="B15904" s="1136"/>
      <c r="C15904" s="1138"/>
    </row>
    <row r="15905" spans="1:3">
      <c r="A15905" s="1133"/>
      <c r="B15905" s="1136"/>
      <c r="C15905" s="1138"/>
    </row>
    <row r="15906" spans="1:3">
      <c r="A15906" s="1133"/>
      <c r="B15906" s="1136"/>
      <c r="C15906" s="1138"/>
    </row>
    <row r="15907" spans="1:3">
      <c r="A15907" s="1133"/>
      <c r="B15907" s="1136"/>
      <c r="C15907" s="1138"/>
    </row>
    <row r="15908" spans="1:3">
      <c r="A15908" s="1133"/>
      <c r="B15908" s="1136"/>
      <c r="C15908" s="1138"/>
    </row>
    <row r="15909" spans="1:3">
      <c r="A15909" s="1133"/>
      <c r="B15909" s="1136"/>
      <c r="C15909" s="1138"/>
    </row>
    <row r="15910" spans="1:3">
      <c r="A15910" s="1133"/>
      <c r="B15910" s="1136"/>
      <c r="C15910" s="1138"/>
    </row>
    <row r="15911" spans="1:3">
      <c r="A15911" s="1133"/>
      <c r="B15911" s="1136"/>
      <c r="C15911" s="1138"/>
    </row>
    <row r="15912" spans="1:3">
      <c r="A15912" s="1133"/>
      <c r="B15912" s="1136"/>
      <c r="C15912" s="1138"/>
    </row>
    <row r="15913" spans="1:3">
      <c r="A15913" s="1133"/>
      <c r="B15913" s="1136"/>
      <c r="C15913" s="1138"/>
    </row>
    <row r="15914" spans="1:3">
      <c r="A15914" s="1133"/>
      <c r="B15914" s="1136"/>
      <c r="C15914" s="1138"/>
    </row>
    <row r="15915" spans="1:3">
      <c r="A15915" s="1133"/>
      <c r="B15915" s="1136"/>
      <c r="C15915" s="1138"/>
    </row>
    <row r="15916" spans="1:3">
      <c r="A15916" s="1133"/>
      <c r="B15916" s="1136"/>
      <c r="C15916" s="1138"/>
    </row>
    <row r="15917" spans="1:3">
      <c r="A15917" s="1133"/>
      <c r="B15917" s="1136"/>
      <c r="C15917" s="1138"/>
    </row>
    <row r="15918" spans="1:3">
      <c r="A15918" s="1133"/>
      <c r="B15918" s="1136"/>
      <c r="C15918" s="1138"/>
    </row>
    <row r="15919" spans="1:3">
      <c r="A15919" s="1133"/>
      <c r="B15919" s="1136"/>
      <c r="C15919" s="1138"/>
    </row>
    <row r="15920" spans="1:3">
      <c r="A15920" s="1133"/>
      <c r="B15920" s="1136"/>
      <c r="C15920" s="1138"/>
    </row>
    <row r="15921" spans="1:3">
      <c r="A15921" s="1133"/>
      <c r="B15921" s="1136"/>
      <c r="C15921" s="1138"/>
    </row>
    <row r="15922" spans="1:3">
      <c r="A15922" s="1133"/>
      <c r="B15922" s="1136"/>
      <c r="C15922" s="1138"/>
    </row>
    <row r="15923" spans="1:3">
      <c r="A15923" s="1133"/>
      <c r="B15923" s="1136"/>
      <c r="C15923" s="1138"/>
    </row>
    <row r="15924" spans="1:3">
      <c r="A15924" s="1133"/>
      <c r="B15924" s="1136"/>
      <c r="C15924" s="1138"/>
    </row>
    <row r="15925" spans="1:3">
      <c r="A15925" s="1133"/>
      <c r="B15925" s="1136"/>
      <c r="C15925" s="1138"/>
    </row>
    <row r="15926" spans="1:3">
      <c r="A15926" s="1133"/>
      <c r="B15926" s="1136"/>
      <c r="C15926" s="1138"/>
    </row>
    <row r="15927" spans="1:3">
      <c r="A15927" s="1133"/>
      <c r="B15927" s="1136"/>
      <c r="C15927" s="1138"/>
    </row>
    <row r="15928" spans="1:3">
      <c r="A15928" s="1133"/>
      <c r="B15928" s="1136"/>
      <c r="C15928" s="1138"/>
    </row>
    <row r="15929" spans="1:3">
      <c r="A15929" s="1133"/>
      <c r="B15929" s="1136"/>
      <c r="C15929" s="1138"/>
    </row>
    <row r="15930" spans="1:3">
      <c r="A15930" s="1133"/>
      <c r="B15930" s="1136"/>
      <c r="C15930" s="1138"/>
    </row>
    <row r="15931" spans="1:3">
      <c r="A15931" s="1133"/>
      <c r="B15931" s="1136"/>
      <c r="C15931" s="1138"/>
    </row>
    <row r="15932" spans="1:3">
      <c r="A15932" s="1133"/>
      <c r="B15932" s="1136"/>
      <c r="C15932" s="1138"/>
    </row>
    <row r="15933" spans="1:3">
      <c r="A15933" s="1133"/>
      <c r="B15933" s="1136"/>
      <c r="C15933" s="1138"/>
    </row>
    <row r="15934" spans="1:3">
      <c r="A15934" s="1133"/>
      <c r="B15934" s="1136"/>
      <c r="C15934" s="1138"/>
    </row>
    <row r="15935" spans="1:3">
      <c r="A15935" s="1133"/>
      <c r="B15935" s="1136"/>
      <c r="C15935" s="1138"/>
    </row>
    <row r="15936" spans="1:3">
      <c r="A15936" s="1133"/>
      <c r="B15936" s="1136"/>
      <c r="C15936" s="1138"/>
    </row>
    <row r="15937" spans="1:3">
      <c r="A15937" s="1133"/>
      <c r="B15937" s="1136"/>
      <c r="C15937" s="1138"/>
    </row>
    <row r="15938" spans="1:3">
      <c r="A15938" s="1133"/>
      <c r="B15938" s="1136"/>
      <c r="C15938" s="1138"/>
    </row>
    <row r="15939" spans="1:3">
      <c r="A15939" s="1133"/>
      <c r="B15939" s="1136"/>
      <c r="C15939" s="1138"/>
    </row>
    <row r="15940" spans="1:3">
      <c r="A15940" s="1133"/>
      <c r="B15940" s="1136"/>
      <c r="C15940" s="1138"/>
    </row>
    <row r="15941" spans="1:3">
      <c r="A15941" s="1133"/>
      <c r="B15941" s="1136"/>
      <c r="C15941" s="1138"/>
    </row>
    <row r="15942" spans="1:3">
      <c r="A15942" s="1133"/>
      <c r="B15942" s="1136"/>
      <c r="C15942" s="1138"/>
    </row>
    <row r="15943" spans="1:3">
      <c r="A15943" s="1133"/>
      <c r="B15943" s="1136"/>
      <c r="C15943" s="1138"/>
    </row>
    <row r="15944" spans="1:3">
      <c r="A15944" s="1133"/>
      <c r="B15944" s="1136"/>
      <c r="C15944" s="1138"/>
    </row>
    <row r="15945" spans="1:3">
      <c r="A15945" s="1133"/>
      <c r="B15945" s="1136"/>
      <c r="C15945" s="1138"/>
    </row>
    <row r="15946" spans="1:3">
      <c r="A15946" s="1133"/>
      <c r="B15946" s="1136"/>
      <c r="C15946" s="1138"/>
    </row>
    <row r="15947" spans="1:3">
      <c r="A15947" s="1133"/>
      <c r="B15947" s="1136"/>
      <c r="C15947" s="1138"/>
    </row>
    <row r="15948" spans="1:3">
      <c r="A15948" s="1133"/>
      <c r="B15948" s="1136"/>
      <c r="C15948" s="1138"/>
    </row>
    <row r="15949" spans="1:3">
      <c r="A15949" s="1133"/>
      <c r="B15949" s="1136"/>
      <c r="C15949" s="1138"/>
    </row>
    <row r="15950" spans="1:3">
      <c r="A15950" s="1133"/>
      <c r="B15950" s="1136"/>
      <c r="C15950" s="1138"/>
    </row>
    <row r="15951" spans="1:3">
      <c r="A15951" s="1133"/>
      <c r="B15951" s="1136"/>
      <c r="C15951" s="1138"/>
    </row>
    <row r="15952" spans="1:3">
      <c r="A15952" s="1133"/>
      <c r="B15952" s="1136"/>
      <c r="C15952" s="1138"/>
    </row>
    <row r="15953" spans="1:3">
      <c r="A15953" s="1133"/>
      <c r="B15953" s="1136"/>
      <c r="C15953" s="1138"/>
    </row>
    <row r="15954" spans="1:3">
      <c r="A15954" s="1133"/>
      <c r="B15954" s="1136"/>
      <c r="C15954" s="1138"/>
    </row>
    <row r="15955" spans="1:3">
      <c r="A15955" s="1133"/>
      <c r="B15955" s="1136"/>
      <c r="C15955" s="1138"/>
    </row>
    <row r="15956" spans="1:3">
      <c r="A15956" s="1133"/>
      <c r="B15956" s="1136"/>
      <c r="C15956" s="1138"/>
    </row>
    <row r="15957" spans="1:3">
      <c r="A15957" s="1133"/>
      <c r="B15957" s="1136"/>
      <c r="C15957" s="1138"/>
    </row>
    <row r="15958" spans="1:3">
      <c r="A15958" s="1133"/>
      <c r="B15958" s="1136"/>
      <c r="C15958" s="1138"/>
    </row>
    <row r="15959" spans="1:3">
      <c r="A15959" s="1133"/>
      <c r="B15959" s="1136"/>
      <c r="C15959" s="1138"/>
    </row>
    <row r="15960" spans="1:3">
      <c r="A15960" s="1133"/>
      <c r="B15960" s="1136"/>
      <c r="C15960" s="1138"/>
    </row>
    <row r="15961" spans="1:3">
      <c r="A15961" s="1133"/>
      <c r="B15961" s="1136"/>
      <c r="C15961" s="1138"/>
    </row>
    <row r="15962" spans="1:3">
      <c r="A15962" s="1133"/>
      <c r="B15962" s="1136"/>
      <c r="C15962" s="1138"/>
    </row>
    <row r="15963" spans="1:3">
      <c r="A15963" s="1133"/>
      <c r="B15963" s="1136"/>
      <c r="C15963" s="1138"/>
    </row>
    <row r="15964" spans="1:3">
      <c r="A15964" s="1133"/>
      <c r="B15964" s="1136"/>
      <c r="C15964" s="1138"/>
    </row>
    <row r="15965" spans="1:3">
      <c r="A15965" s="1133"/>
      <c r="B15965" s="1136"/>
      <c r="C15965" s="1138"/>
    </row>
    <row r="15966" spans="1:3">
      <c r="A15966" s="1133"/>
      <c r="B15966" s="1136"/>
      <c r="C15966" s="1138"/>
    </row>
    <row r="15967" spans="1:3">
      <c r="A15967" s="1133"/>
      <c r="B15967" s="1136"/>
      <c r="C15967" s="1138"/>
    </row>
    <row r="15968" spans="1:3">
      <c r="A15968" s="1133"/>
      <c r="B15968" s="1136"/>
      <c r="C15968" s="1138"/>
    </row>
    <row r="15969" spans="1:3">
      <c r="A15969" s="1133"/>
      <c r="B15969" s="1136"/>
      <c r="C15969" s="1138"/>
    </row>
    <row r="15970" spans="1:3">
      <c r="A15970" s="1133"/>
      <c r="B15970" s="1136"/>
      <c r="C15970" s="1138"/>
    </row>
    <row r="15971" spans="1:3">
      <c r="A15971" s="1133"/>
      <c r="B15971" s="1136"/>
      <c r="C15971" s="1138"/>
    </row>
    <row r="15972" spans="1:3">
      <c r="A15972" s="1133"/>
      <c r="B15972" s="1136"/>
      <c r="C15972" s="1138"/>
    </row>
    <row r="15973" spans="1:3">
      <c r="A15973" s="1133"/>
      <c r="B15973" s="1136"/>
      <c r="C15973" s="1138"/>
    </row>
    <row r="15974" spans="1:3">
      <c r="A15974" s="1133"/>
      <c r="B15974" s="1136"/>
      <c r="C15974" s="1138"/>
    </row>
    <row r="15975" spans="1:3">
      <c r="A15975" s="1133"/>
      <c r="B15975" s="1136"/>
      <c r="C15975" s="1138"/>
    </row>
    <row r="15976" spans="1:3">
      <c r="A15976" s="1133"/>
      <c r="B15976" s="1136"/>
      <c r="C15976" s="1138"/>
    </row>
    <row r="15977" spans="1:3">
      <c r="A15977" s="1133"/>
      <c r="B15977" s="1136"/>
      <c r="C15977" s="1138"/>
    </row>
    <row r="15978" spans="1:3">
      <c r="A15978" s="1133"/>
      <c r="B15978" s="1136"/>
      <c r="C15978" s="1138"/>
    </row>
    <row r="15979" spans="1:3">
      <c r="A15979" s="1133"/>
      <c r="B15979" s="1136"/>
      <c r="C15979" s="1138"/>
    </row>
    <row r="15980" spans="1:3">
      <c r="A15980" s="1133"/>
      <c r="B15980" s="1136"/>
      <c r="C15980" s="1138"/>
    </row>
    <row r="15981" spans="1:3">
      <c r="A15981" s="1133"/>
      <c r="B15981" s="1136"/>
      <c r="C15981" s="1138"/>
    </row>
    <row r="15982" spans="1:3">
      <c r="A15982" s="1133"/>
      <c r="B15982" s="1136"/>
      <c r="C15982" s="1138"/>
    </row>
    <row r="15983" spans="1:3">
      <c r="A15983" s="1133"/>
      <c r="B15983" s="1136"/>
      <c r="C15983" s="1138"/>
    </row>
    <row r="15984" spans="1:3">
      <c r="A15984" s="1133"/>
      <c r="B15984" s="1136"/>
      <c r="C15984" s="1138"/>
    </row>
    <row r="15985" spans="1:3">
      <c r="A15985" s="1133"/>
      <c r="B15985" s="1136"/>
      <c r="C15985" s="1138"/>
    </row>
    <row r="15986" spans="1:3">
      <c r="A15986" s="1133"/>
      <c r="B15986" s="1136"/>
      <c r="C15986" s="1138"/>
    </row>
    <row r="15987" spans="1:3">
      <c r="A15987" s="1133"/>
      <c r="B15987" s="1136"/>
      <c r="C15987" s="1138"/>
    </row>
    <row r="15988" spans="1:3">
      <c r="A15988" s="1133"/>
      <c r="B15988" s="1136"/>
      <c r="C15988" s="1138"/>
    </row>
    <row r="15989" spans="1:3">
      <c r="A15989" s="1133"/>
      <c r="B15989" s="1136"/>
      <c r="C15989" s="1138"/>
    </row>
    <row r="15990" spans="1:3">
      <c r="A15990" s="1133"/>
      <c r="B15990" s="1136"/>
      <c r="C15990" s="1138"/>
    </row>
    <row r="15991" spans="1:3">
      <c r="A15991" s="1133"/>
      <c r="B15991" s="1136"/>
      <c r="C15991" s="1138"/>
    </row>
    <row r="15992" spans="1:3">
      <c r="A15992" s="1133"/>
      <c r="B15992" s="1136"/>
      <c r="C15992" s="1138"/>
    </row>
    <row r="15993" spans="1:3">
      <c r="A15993" s="1133"/>
      <c r="B15993" s="1136"/>
      <c r="C15993" s="1138"/>
    </row>
    <row r="15994" spans="1:3">
      <c r="A15994" s="1133"/>
      <c r="B15994" s="1136"/>
      <c r="C15994" s="1138"/>
    </row>
    <row r="15995" spans="1:3">
      <c r="A15995" s="1133"/>
      <c r="B15995" s="1136"/>
      <c r="C15995" s="1138"/>
    </row>
    <row r="15996" spans="1:3">
      <c r="A15996" s="1133"/>
      <c r="B15996" s="1136"/>
      <c r="C15996" s="1138"/>
    </row>
    <row r="15997" spans="1:3">
      <c r="A15997" s="1133"/>
      <c r="B15997" s="1136"/>
      <c r="C15997" s="1138"/>
    </row>
    <row r="15998" spans="1:3">
      <c r="A15998" s="1133"/>
      <c r="B15998" s="1136"/>
      <c r="C15998" s="1138"/>
    </row>
    <row r="15999" spans="1:3">
      <c r="A15999" s="1133"/>
      <c r="B15999" s="1136"/>
      <c r="C15999" s="1138"/>
    </row>
    <row r="16000" spans="1:3">
      <c r="A16000" s="1133"/>
      <c r="B16000" s="1136"/>
      <c r="C16000" s="1138"/>
    </row>
    <row r="16001" spans="1:3">
      <c r="A16001" s="1133"/>
      <c r="B16001" s="1136"/>
      <c r="C16001" s="1138"/>
    </row>
    <row r="16002" spans="1:3">
      <c r="A16002" s="1133"/>
      <c r="B16002" s="1136"/>
      <c r="C16002" s="1138"/>
    </row>
    <row r="16003" spans="1:3">
      <c r="A16003" s="1133"/>
      <c r="B16003" s="1136"/>
      <c r="C16003" s="1138"/>
    </row>
    <row r="16004" spans="1:3">
      <c r="A16004" s="1133"/>
      <c r="B16004" s="1136"/>
      <c r="C16004" s="1138"/>
    </row>
    <row r="16005" spans="1:3">
      <c r="A16005" s="1133"/>
      <c r="B16005" s="1136"/>
      <c r="C16005" s="1138"/>
    </row>
    <row r="16006" spans="1:3">
      <c r="A16006" s="1133"/>
      <c r="B16006" s="1136"/>
      <c r="C16006" s="1138"/>
    </row>
    <row r="16007" spans="1:3">
      <c r="A16007" s="1133"/>
      <c r="B16007" s="1136"/>
      <c r="C16007" s="1138"/>
    </row>
    <row r="16008" spans="1:3">
      <c r="A16008" s="1133"/>
      <c r="B16008" s="1136"/>
      <c r="C16008" s="1138"/>
    </row>
    <row r="16009" spans="1:3">
      <c r="A16009" s="1133"/>
      <c r="B16009" s="1136"/>
      <c r="C16009" s="1138"/>
    </row>
    <row r="16010" spans="1:3">
      <c r="A16010" s="1133"/>
      <c r="B16010" s="1136"/>
      <c r="C16010" s="1138"/>
    </row>
    <row r="16011" spans="1:3">
      <c r="A16011" s="1133"/>
      <c r="B16011" s="1136"/>
      <c r="C16011" s="1138"/>
    </row>
    <row r="16012" spans="1:3">
      <c r="A16012" s="1133"/>
      <c r="B16012" s="1136"/>
      <c r="C16012" s="1138"/>
    </row>
    <row r="16013" spans="1:3">
      <c r="A16013" s="1133"/>
      <c r="B16013" s="1136"/>
      <c r="C16013" s="1138"/>
    </row>
    <row r="16014" spans="1:3">
      <c r="A16014" s="1133"/>
      <c r="B16014" s="1136"/>
      <c r="C16014" s="1138"/>
    </row>
    <row r="16015" spans="1:3">
      <c r="A16015" s="1133"/>
      <c r="B16015" s="1136"/>
      <c r="C16015" s="1138"/>
    </row>
    <row r="16016" spans="1:3">
      <c r="A16016" s="1133"/>
      <c r="B16016" s="1136"/>
      <c r="C16016" s="1138"/>
    </row>
    <row r="16017" spans="1:3">
      <c r="A16017" s="1133"/>
      <c r="B16017" s="1136"/>
      <c r="C16017" s="1138"/>
    </row>
    <row r="16018" spans="1:3">
      <c r="A16018" s="1133"/>
      <c r="B16018" s="1136"/>
      <c r="C16018" s="1138"/>
    </row>
    <row r="16019" spans="1:3">
      <c r="A16019" s="1133"/>
      <c r="B16019" s="1136"/>
      <c r="C16019" s="1138"/>
    </row>
    <row r="16020" spans="1:3">
      <c r="A16020" s="1133"/>
      <c r="B16020" s="1136"/>
      <c r="C16020" s="1138"/>
    </row>
    <row r="16021" spans="1:3">
      <c r="A16021" s="1133"/>
      <c r="B16021" s="1136"/>
      <c r="C16021" s="1138"/>
    </row>
    <row r="16022" spans="1:3">
      <c r="A16022" s="1133"/>
      <c r="B16022" s="1136"/>
      <c r="C16022" s="1138"/>
    </row>
    <row r="16023" spans="1:3">
      <c r="A16023" s="1133"/>
      <c r="B16023" s="1136"/>
      <c r="C16023" s="1138"/>
    </row>
    <row r="16024" spans="1:3">
      <c r="A16024" s="1133"/>
      <c r="B16024" s="1136"/>
      <c r="C16024" s="1138"/>
    </row>
    <row r="16025" spans="1:3">
      <c r="A16025" s="1133"/>
      <c r="B16025" s="1136"/>
      <c r="C16025" s="1138"/>
    </row>
    <row r="16026" spans="1:3">
      <c r="A16026" s="1133"/>
      <c r="B16026" s="1136"/>
      <c r="C16026" s="1138"/>
    </row>
    <row r="16027" spans="1:3">
      <c r="A16027" s="1133"/>
      <c r="B16027" s="1136"/>
      <c r="C16027" s="1138"/>
    </row>
    <row r="16028" spans="1:3">
      <c r="A16028" s="1133"/>
      <c r="B16028" s="1136"/>
      <c r="C16028" s="1138"/>
    </row>
    <row r="16029" spans="1:3">
      <c r="A16029" s="1133"/>
      <c r="B16029" s="1136"/>
      <c r="C16029" s="1138"/>
    </row>
    <row r="16030" spans="1:3">
      <c r="A16030" s="1133"/>
      <c r="B16030" s="1136"/>
      <c r="C16030" s="1138"/>
    </row>
    <row r="16031" spans="1:3">
      <c r="A16031" s="1133"/>
      <c r="B16031" s="1136"/>
      <c r="C16031" s="1138"/>
    </row>
    <row r="16032" spans="1:3">
      <c r="A16032" s="1133"/>
      <c r="B16032" s="1136"/>
      <c r="C16032" s="1138"/>
    </row>
    <row r="16033" spans="1:3">
      <c r="A16033" s="1133"/>
      <c r="B16033" s="1136"/>
      <c r="C16033" s="1138"/>
    </row>
    <row r="16034" spans="1:3">
      <c r="A16034" s="1133"/>
      <c r="B16034" s="1136"/>
      <c r="C16034" s="1138"/>
    </row>
    <row r="16035" spans="1:3">
      <c r="A16035" s="1133"/>
      <c r="B16035" s="1136"/>
      <c r="C16035" s="1138"/>
    </row>
    <row r="16036" spans="1:3">
      <c r="A16036" s="1133"/>
      <c r="B16036" s="1136"/>
      <c r="C16036" s="1138"/>
    </row>
    <row r="16037" spans="1:3">
      <c r="A16037" s="1133"/>
      <c r="B16037" s="1136"/>
      <c r="C16037" s="1138"/>
    </row>
    <row r="16038" spans="1:3">
      <c r="A16038" s="1133"/>
      <c r="B16038" s="1136"/>
      <c r="C16038" s="1138"/>
    </row>
    <row r="16039" spans="1:3">
      <c r="A16039" s="1133"/>
      <c r="B16039" s="1136"/>
      <c r="C16039" s="1138"/>
    </row>
    <row r="16040" spans="1:3">
      <c r="A16040" s="1133"/>
      <c r="B16040" s="1136"/>
      <c r="C16040" s="1138"/>
    </row>
    <row r="16041" spans="1:3">
      <c r="A16041" s="1133"/>
      <c r="B16041" s="1136"/>
      <c r="C16041" s="1138"/>
    </row>
    <row r="16042" spans="1:3">
      <c r="A16042" s="1133"/>
      <c r="B16042" s="1136"/>
      <c r="C16042" s="1138"/>
    </row>
    <row r="16043" spans="1:3">
      <c r="A16043" s="1133"/>
      <c r="B16043" s="1136"/>
      <c r="C16043" s="1138"/>
    </row>
    <row r="16044" spans="1:3">
      <c r="A16044" s="1133"/>
      <c r="B16044" s="1136"/>
      <c r="C16044" s="1138"/>
    </row>
    <row r="16045" spans="1:3">
      <c r="A16045" s="1133"/>
      <c r="B16045" s="1136"/>
      <c r="C16045" s="1138"/>
    </row>
    <row r="16046" spans="1:3">
      <c r="A16046" s="1133"/>
      <c r="B16046" s="1136"/>
      <c r="C16046" s="1138"/>
    </row>
    <row r="16047" spans="1:3">
      <c r="A16047" s="1133"/>
      <c r="B16047" s="1136"/>
      <c r="C16047" s="1138"/>
    </row>
    <row r="16048" spans="1:3">
      <c r="A16048" s="1133"/>
      <c r="B16048" s="1136"/>
      <c r="C16048" s="1138"/>
    </row>
    <row r="16049" spans="1:3">
      <c r="A16049" s="1133"/>
      <c r="B16049" s="1136"/>
      <c r="C16049" s="1138"/>
    </row>
    <row r="16050" spans="1:3">
      <c r="A16050" s="1133"/>
      <c r="B16050" s="1136"/>
      <c r="C16050" s="1138"/>
    </row>
    <row r="16051" spans="1:3">
      <c r="A16051" s="1133"/>
      <c r="B16051" s="1136"/>
      <c r="C16051" s="1138"/>
    </row>
    <row r="16052" spans="1:3">
      <c r="A16052" s="1133"/>
      <c r="B16052" s="1136"/>
      <c r="C16052" s="1138"/>
    </row>
    <row r="16053" spans="1:3">
      <c r="A16053" s="1133"/>
      <c r="B16053" s="1136"/>
      <c r="C16053" s="1138"/>
    </row>
    <row r="16054" spans="1:3">
      <c r="A16054" s="1133"/>
      <c r="B16054" s="1136"/>
      <c r="C16054" s="1138"/>
    </row>
    <row r="16055" spans="1:3">
      <c r="A16055" s="1133"/>
      <c r="B16055" s="1136"/>
      <c r="C16055" s="1138"/>
    </row>
    <row r="16056" spans="1:3">
      <c r="A16056" s="1133"/>
      <c r="B16056" s="1136"/>
      <c r="C16056" s="1138"/>
    </row>
    <row r="16057" spans="1:3">
      <c r="A16057" s="1133"/>
      <c r="B16057" s="1136"/>
      <c r="C16057" s="1138"/>
    </row>
    <row r="16058" spans="1:3">
      <c r="A16058" s="1133"/>
      <c r="B16058" s="1136"/>
      <c r="C16058" s="1138"/>
    </row>
    <row r="16059" spans="1:3">
      <c r="A16059" s="1133"/>
      <c r="B16059" s="1136"/>
      <c r="C16059" s="1138"/>
    </row>
    <row r="16060" spans="1:3">
      <c r="A16060" s="1133"/>
      <c r="B16060" s="1136"/>
      <c r="C16060" s="1138"/>
    </row>
    <row r="16061" spans="1:3">
      <c r="A16061" s="1133"/>
      <c r="B16061" s="1136"/>
      <c r="C16061" s="1138"/>
    </row>
    <row r="16062" spans="1:3">
      <c r="A16062" s="1133"/>
      <c r="B16062" s="1136"/>
      <c r="C16062" s="1138"/>
    </row>
    <row r="16063" spans="1:3">
      <c r="A16063" s="1133"/>
      <c r="B16063" s="1136"/>
      <c r="C16063" s="1138"/>
    </row>
    <row r="16064" spans="1:3">
      <c r="A16064" s="1133"/>
      <c r="B16064" s="1136"/>
      <c r="C16064" s="1138"/>
    </row>
    <row r="16065" spans="1:3">
      <c r="A16065" s="1133"/>
      <c r="B16065" s="1136"/>
      <c r="C16065" s="1138"/>
    </row>
    <row r="16066" spans="1:3">
      <c r="A16066" s="1133"/>
      <c r="B16066" s="1136"/>
      <c r="C16066" s="1138"/>
    </row>
    <row r="16067" spans="1:3">
      <c r="A16067" s="1133"/>
      <c r="B16067" s="1136"/>
      <c r="C16067" s="1138"/>
    </row>
    <row r="16068" spans="1:3">
      <c r="A16068" s="1133"/>
      <c r="B16068" s="1136"/>
      <c r="C16068" s="1138"/>
    </row>
    <row r="16069" spans="1:3">
      <c r="A16069" s="1133"/>
      <c r="B16069" s="1136"/>
      <c r="C16069" s="1138"/>
    </row>
    <row r="16070" spans="1:3">
      <c r="A16070" s="1133"/>
      <c r="B16070" s="1136"/>
      <c r="C16070" s="1138"/>
    </row>
    <row r="16071" spans="1:3">
      <c r="A16071" s="1133"/>
      <c r="B16071" s="1136"/>
      <c r="C16071" s="1138"/>
    </row>
    <row r="16072" spans="1:3">
      <c r="A16072" s="1133"/>
      <c r="B16072" s="1136"/>
      <c r="C16072" s="1138"/>
    </row>
    <row r="16073" spans="1:3">
      <c r="A16073" s="1133"/>
      <c r="B16073" s="1136"/>
      <c r="C16073" s="1138"/>
    </row>
    <row r="16074" spans="1:3">
      <c r="A16074" s="1133"/>
      <c r="B16074" s="1136"/>
      <c r="C16074" s="1138"/>
    </row>
    <row r="16075" spans="1:3">
      <c r="A16075" s="1133"/>
      <c r="B16075" s="1136"/>
      <c r="C16075" s="1138"/>
    </row>
    <row r="16076" spans="1:3">
      <c r="A16076" s="1133"/>
      <c r="B16076" s="1136"/>
      <c r="C16076" s="1138"/>
    </row>
    <row r="16077" spans="1:3">
      <c r="A16077" s="1133"/>
      <c r="B16077" s="1136"/>
      <c r="C16077" s="1138"/>
    </row>
    <row r="16078" spans="1:3">
      <c r="A16078" s="1133"/>
      <c r="B16078" s="1136"/>
      <c r="C16078" s="1138"/>
    </row>
    <row r="16079" spans="1:3">
      <c r="A16079" s="1133"/>
      <c r="B16079" s="1136"/>
      <c r="C16079" s="1138"/>
    </row>
    <row r="16080" spans="1:3">
      <c r="A16080" s="1133"/>
      <c r="B16080" s="1136"/>
      <c r="C16080" s="1138"/>
    </row>
    <row r="16081" spans="1:3">
      <c r="A16081" s="1133"/>
      <c r="B16081" s="1136"/>
      <c r="C16081" s="1138"/>
    </row>
    <row r="16082" spans="1:3">
      <c r="A16082" s="1133"/>
      <c r="B16082" s="1136"/>
      <c r="C16082" s="1138"/>
    </row>
    <row r="16083" spans="1:3">
      <c r="A16083" s="1133"/>
      <c r="B16083" s="1136"/>
      <c r="C16083" s="1138"/>
    </row>
    <row r="16084" spans="1:3">
      <c r="A16084" s="1133"/>
      <c r="B16084" s="1136"/>
      <c r="C16084" s="1138"/>
    </row>
    <row r="16085" spans="1:3">
      <c r="A16085" s="1133"/>
      <c r="B16085" s="1136"/>
      <c r="C16085" s="1138"/>
    </row>
    <row r="16086" spans="1:3">
      <c r="A16086" s="1133"/>
      <c r="B16086" s="1136"/>
      <c r="C16086" s="1138"/>
    </row>
    <row r="16087" spans="1:3">
      <c r="A16087" s="1133"/>
      <c r="B16087" s="1136"/>
      <c r="C16087" s="1138"/>
    </row>
    <row r="16088" spans="1:3">
      <c r="A16088" s="1133"/>
      <c r="B16088" s="1136"/>
      <c r="C16088" s="1138"/>
    </row>
    <row r="16089" spans="1:3">
      <c r="A16089" s="1133"/>
      <c r="B16089" s="1136"/>
      <c r="C16089" s="1138"/>
    </row>
    <row r="16090" spans="1:3">
      <c r="A16090" s="1133"/>
      <c r="B16090" s="1136"/>
      <c r="C16090" s="1138"/>
    </row>
    <row r="16091" spans="1:3">
      <c r="A16091" s="1133"/>
      <c r="B16091" s="1136"/>
      <c r="C16091" s="1138"/>
    </row>
    <row r="16092" spans="1:3">
      <c r="A16092" s="1133"/>
      <c r="B16092" s="1136"/>
      <c r="C16092" s="1138"/>
    </row>
    <row r="16093" spans="1:3">
      <c r="A16093" s="1133"/>
      <c r="B16093" s="1136"/>
      <c r="C16093" s="1138"/>
    </row>
    <row r="16094" spans="1:3">
      <c r="A16094" s="1133"/>
      <c r="B16094" s="1136"/>
      <c r="C16094" s="1138"/>
    </row>
    <row r="16095" spans="1:3">
      <c r="A16095" s="1133"/>
      <c r="B16095" s="1136"/>
      <c r="C16095" s="1138"/>
    </row>
    <row r="16096" spans="1:3">
      <c r="A16096" s="1133"/>
      <c r="B16096" s="1136"/>
      <c r="C16096" s="1138"/>
    </row>
    <row r="16097" spans="1:3">
      <c r="A16097" s="1133"/>
      <c r="B16097" s="1136"/>
      <c r="C16097" s="1138"/>
    </row>
    <row r="16098" spans="1:3">
      <c r="A16098" s="1133"/>
      <c r="B16098" s="1136"/>
      <c r="C16098" s="1138"/>
    </row>
    <row r="16099" spans="1:3">
      <c r="A16099" s="1133"/>
      <c r="B16099" s="1136"/>
      <c r="C16099" s="1138"/>
    </row>
    <row r="16100" spans="1:3">
      <c r="A16100" s="1133"/>
      <c r="B16100" s="1136"/>
      <c r="C16100" s="1138"/>
    </row>
    <row r="16101" spans="1:3">
      <c r="A16101" s="1133"/>
      <c r="B16101" s="1136"/>
      <c r="C16101" s="1138"/>
    </row>
    <row r="16102" spans="1:3">
      <c r="A16102" s="1133"/>
      <c r="B16102" s="1136"/>
      <c r="C16102" s="1138"/>
    </row>
    <row r="16103" spans="1:3">
      <c r="A16103" s="1133"/>
      <c r="B16103" s="1136"/>
      <c r="C16103" s="1138"/>
    </row>
    <row r="16104" spans="1:3">
      <c r="A16104" s="1133"/>
      <c r="B16104" s="1136"/>
      <c r="C16104" s="1138"/>
    </row>
    <row r="16105" spans="1:3">
      <c r="A16105" s="1133"/>
      <c r="B16105" s="1136"/>
      <c r="C16105" s="1138"/>
    </row>
    <row r="16106" spans="1:3">
      <c r="A16106" s="1133"/>
      <c r="B16106" s="1136"/>
      <c r="C16106" s="1138"/>
    </row>
    <row r="16107" spans="1:3">
      <c r="A16107" s="1133"/>
      <c r="B16107" s="1136"/>
      <c r="C16107" s="1138"/>
    </row>
    <row r="16108" spans="1:3">
      <c r="A16108" s="1133"/>
      <c r="B16108" s="1136"/>
      <c r="C16108" s="1138"/>
    </row>
    <row r="16109" spans="1:3">
      <c r="A16109" s="1133"/>
      <c r="B16109" s="1136"/>
      <c r="C16109" s="1138"/>
    </row>
    <row r="16110" spans="1:3">
      <c r="A16110" s="1133"/>
      <c r="B16110" s="1136"/>
      <c r="C16110" s="1138"/>
    </row>
    <row r="16111" spans="1:3">
      <c r="A16111" s="1133"/>
      <c r="B16111" s="1136"/>
      <c r="C16111" s="1138"/>
    </row>
    <row r="16112" spans="1:3">
      <c r="A16112" s="1133"/>
      <c r="B16112" s="1136"/>
      <c r="C16112" s="1138"/>
    </row>
    <row r="16113" spans="1:3">
      <c r="A16113" s="1133"/>
      <c r="B16113" s="1136"/>
      <c r="C16113" s="1138"/>
    </row>
    <row r="16114" spans="1:3">
      <c r="A16114" s="1133"/>
      <c r="B16114" s="1136"/>
      <c r="C16114" s="1138"/>
    </row>
    <row r="16115" spans="1:3">
      <c r="A16115" s="1133"/>
      <c r="B16115" s="1136"/>
      <c r="C16115" s="1138"/>
    </row>
    <row r="16116" spans="1:3">
      <c r="A16116" s="1133"/>
      <c r="B16116" s="1136"/>
      <c r="C16116" s="1138"/>
    </row>
    <row r="16117" spans="1:3">
      <c r="A16117" s="1133"/>
      <c r="B16117" s="1136"/>
      <c r="C16117" s="1138"/>
    </row>
    <row r="16118" spans="1:3">
      <c r="A16118" s="1133"/>
      <c r="B16118" s="1136"/>
      <c r="C16118" s="1138"/>
    </row>
    <row r="16119" spans="1:3">
      <c r="A16119" s="1133"/>
      <c r="B16119" s="1136"/>
      <c r="C16119" s="1138"/>
    </row>
    <row r="16120" spans="1:3">
      <c r="A16120" s="1133"/>
      <c r="B16120" s="1136"/>
      <c r="C16120" s="1138"/>
    </row>
    <row r="16121" spans="1:3">
      <c r="A16121" s="1133"/>
      <c r="B16121" s="1136"/>
      <c r="C16121" s="1138"/>
    </row>
    <row r="16122" spans="1:3">
      <c r="A16122" s="1133"/>
      <c r="B16122" s="1136"/>
      <c r="C16122" s="1138"/>
    </row>
    <row r="16123" spans="1:3">
      <c r="A16123" s="1133"/>
      <c r="B16123" s="1136"/>
      <c r="C16123" s="1138"/>
    </row>
    <row r="16124" spans="1:3">
      <c r="A16124" s="1133"/>
      <c r="B16124" s="1136"/>
      <c r="C16124" s="1138"/>
    </row>
    <row r="16125" spans="1:3">
      <c r="A16125" s="1133"/>
      <c r="B16125" s="1136"/>
      <c r="C16125" s="1138"/>
    </row>
    <row r="16126" spans="1:3">
      <c r="A16126" s="1133"/>
      <c r="B16126" s="1136"/>
      <c r="C16126" s="1138"/>
    </row>
    <row r="16127" spans="1:3">
      <c r="A16127" s="1133"/>
      <c r="B16127" s="1136"/>
      <c r="C16127" s="1138"/>
    </row>
    <row r="16128" spans="1:3">
      <c r="A16128" s="1133"/>
      <c r="B16128" s="1136"/>
      <c r="C16128" s="1138"/>
    </row>
    <row r="16129" spans="1:3">
      <c r="A16129" s="1133"/>
      <c r="B16129" s="1136"/>
      <c r="C16129" s="1138"/>
    </row>
    <row r="16130" spans="1:3">
      <c r="A16130" s="1133"/>
      <c r="B16130" s="1136"/>
      <c r="C16130" s="1138"/>
    </row>
    <row r="16131" spans="1:3">
      <c r="A16131" s="1133"/>
      <c r="B16131" s="1136"/>
      <c r="C16131" s="1138"/>
    </row>
    <row r="16132" spans="1:3">
      <c r="A16132" s="1133"/>
      <c r="B16132" s="1136"/>
      <c r="C16132" s="1138"/>
    </row>
    <row r="16133" spans="1:3">
      <c r="A16133" s="1133"/>
      <c r="B16133" s="1136"/>
      <c r="C16133" s="1138"/>
    </row>
    <row r="16134" spans="1:3">
      <c r="A16134" s="1133"/>
      <c r="B16134" s="1136"/>
      <c r="C16134" s="1138"/>
    </row>
    <row r="16135" spans="1:3">
      <c r="A16135" s="1133"/>
      <c r="B16135" s="1136"/>
      <c r="C16135" s="1138"/>
    </row>
    <row r="16136" spans="1:3">
      <c r="A16136" s="1133"/>
      <c r="B16136" s="1136"/>
      <c r="C16136" s="1138"/>
    </row>
    <row r="16137" spans="1:3">
      <c r="A16137" s="1133"/>
      <c r="B16137" s="1136"/>
      <c r="C16137" s="1138"/>
    </row>
    <row r="16138" spans="1:3">
      <c r="A16138" s="1133"/>
      <c r="B16138" s="1136"/>
      <c r="C16138" s="1138"/>
    </row>
    <row r="16139" spans="1:3">
      <c r="A16139" s="1133"/>
      <c r="B16139" s="1136"/>
      <c r="C16139" s="1138"/>
    </row>
    <row r="16140" spans="1:3">
      <c r="A16140" s="1133"/>
      <c r="B16140" s="1136"/>
      <c r="C16140" s="1138"/>
    </row>
    <row r="16141" spans="1:3">
      <c r="A16141" s="1133"/>
      <c r="B16141" s="1136"/>
      <c r="C16141" s="1138"/>
    </row>
    <row r="16142" spans="1:3">
      <c r="A16142" s="1133"/>
      <c r="B16142" s="1136"/>
      <c r="C16142" s="1138"/>
    </row>
    <row r="16143" spans="1:3">
      <c r="A16143" s="1133"/>
      <c r="B16143" s="1136"/>
      <c r="C16143" s="1138"/>
    </row>
    <row r="16144" spans="1:3">
      <c r="A16144" s="1133"/>
      <c r="B16144" s="1136"/>
      <c r="C16144" s="1138"/>
    </row>
    <row r="16145" spans="1:3">
      <c r="A16145" s="1133"/>
      <c r="B16145" s="1136"/>
      <c r="C16145" s="1138"/>
    </row>
    <row r="16146" spans="1:3">
      <c r="A16146" s="1133"/>
      <c r="B16146" s="1136"/>
      <c r="C16146" s="1138"/>
    </row>
    <row r="16147" spans="1:3">
      <c r="A16147" s="1133"/>
      <c r="B16147" s="1136"/>
      <c r="C16147" s="1138"/>
    </row>
    <row r="16148" spans="1:3">
      <c r="A16148" s="1133"/>
      <c r="B16148" s="1136"/>
      <c r="C16148" s="1138"/>
    </row>
    <row r="16149" spans="1:3">
      <c r="A16149" s="1133"/>
      <c r="B16149" s="1136"/>
      <c r="C16149" s="1138"/>
    </row>
    <row r="16150" spans="1:3">
      <c r="A16150" s="1133"/>
      <c r="B16150" s="1136"/>
      <c r="C16150" s="1138"/>
    </row>
    <row r="16151" spans="1:3">
      <c r="A16151" s="1133"/>
      <c r="B16151" s="1136"/>
      <c r="C16151" s="1138"/>
    </row>
    <row r="16152" spans="1:3">
      <c r="A16152" s="1133"/>
      <c r="B16152" s="1136"/>
      <c r="C16152" s="1138"/>
    </row>
    <row r="16153" spans="1:3">
      <c r="A16153" s="1133"/>
      <c r="B16153" s="1136"/>
      <c r="C16153" s="1138"/>
    </row>
    <row r="16154" spans="1:3">
      <c r="A16154" s="1133"/>
      <c r="B16154" s="1136"/>
      <c r="C16154" s="1138"/>
    </row>
    <row r="16155" spans="1:3">
      <c r="A16155" s="1133"/>
      <c r="B16155" s="1136"/>
      <c r="C16155" s="1138"/>
    </row>
    <row r="16156" spans="1:3">
      <c r="A16156" s="1133"/>
      <c r="B16156" s="1136"/>
      <c r="C16156" s="1138"/>
    </row>
    <row r="16157" spans="1:3">
      <c r="A16157" s="1133"/>
      <c r="B16157" s="1136"/>
      <c r="C16157" s="1138"/>
    </row>
    <row r="16158" spans="1:3">
      <c r="A16158" s="1133"/>
      <c r="B16158" s="1136"/>
      <c r="C16158" s="1138"/>
    </row>
    <row r="16159" spans="1:3">
      <c r="A16159" s="1133"/>
      <c r="B16159" s="1136"/>
      <c r="C16159" s="1138"/>
    </row>
    <row r="16160" spans="1:3">
      <c r="A16160" s="1133"/>
      <c r="B16160" s="1136"/>
      <c r="C16160" s="1138"/>
    </row>
    <row r="16161" spans="1:3">
      <c r="A16161" s="1133"/>
      <c r="B16161" s="1136"/>
      <c r="C16161" s="1138"/>
    </row>
    <row r="16162" spans="1:3">
      <c r="A16162" s="1133"/>
      <c r="B16162" s="1136"/>
      <c r="C16162" s="1138"/>
    </row>
    <row r="16163" spans="1:3">
      <c r="A16163" s="1133"/>
      <c r="B16163" s="1136"/>
      <c r="C16163" s="1138"/>
    </row>
    <row r="16164" spans="1:3">
      <c r="A16164" s="1133"/>
      <c r="B16164" s="1136"/>
      <c r="C16164" s="1138"/>
    </row>
    <row r="16165" spans="1:3">
      <c r="A16165" s="1133"/>
      <c r="B16165" s="1136"/>
      <c r="C16165" s="1138"/>
    </row>
    <row r="16166" spans="1:3">
      <c r="A16166" s="1133"/>
      <c r="B16166" s="1136"/>
      <c r="C16166" s="1138"/>
    </row>
    <row r="16167" spans="1:3">
      <c r="A16167" s="1133"/>
      <c r="B16167" s="1136"/>
      <c r="C16167" s="1138"/>
    </row>
    <row r="16168" spans="1:3">
      <c r="A16168" s="1133"/>
      <c r="B16168" s="1136"/>
      <c r="C16168" s="1138"/>
    </row>
    <row r="16169" spans="1:3">
      <c r="A16169" s="1133"/>
      <c r="B16169" s="1136"/>
      <c r="C16169" s="1138"/>
    </row>
    <row r="16170" spans="1:3">
      <c r="A16170" s="1133"/>
      <c r="B16170" s="1136"/>
      <c r="C16170" s="1138"/>
    </row>
    <row r="16171" spans="1:3">
      <c r="A16171" s="1133"/>
      <c r="B16171" s="1136"/>
      <c r="C16171" s="1138"/>
    </row>
    <row r="16172" spans="1:3">
      <c r="A16172" s="1133"/>
      <c r="B16172" s="1136"/>
      <c r="C16172" s="1138"/>
    </row>
    <row r="16173" spans="1:3">
      <c r="A16173" s="1133"/>
      <c r="B16173" s="1136"/>
      <c r="C16173" s="1138"/>
    </row>
    <row r="16174" spans="1:3">
      <c r="A16174" s="1133"/>
      <c r="B16174" s="1136"/>
      <c r="C16174" s="1138"/>
    </row>
    <row r="16175" spans="1:3">
      <c r="A16175" s="1133"/>
      <c r="B16175" s="1136"/>
      <c r="C16175" s="1138"/>
    </row>
    <row r="16176" spans="1:3">
      <c r="A16176" s="1133"/>
      <c r="B16176" s="1136"/>
      <c r="C16176" s="1138"/>
    </row>
    <row r="16177" spans="1:3">
      <c r="A16177" s="1133"/>
      <c r="B16177" s="1136"/>
      <c r="C16177" s="1138"/>
    </row>
    <row r="16178" spans="1:3">
      <c r="A16178" s="1133"/>
      <c r="B16178" s="1136"/>
      <c r="C16178" s="1138"/>
    </row>
    <row r="16179" spans="1:3">
      <c r="A16179" s="1133"/>
      <c r="B16179" s="1136"/>
      <c r="C16179" s="1138"/>
    </row>
    <row r="16180" spans="1:3">
      <c r="A16180" s="1133"/>
      <c r="B16180" s="1136"/>
      <c r="C16180" s="1138"/>
    </row>
    <row r="16181" spans="1:3">
      <c r="A16181" s="1133"/>
      <c r="B16181" s="1136"/>
      <c r="C16181" s="1138"/>
    </row>
    <row r="16182" spans="1:3">
      <c r="A16182" s="1133"/>
      <c r="B16182" s="1136"/>
      <c r="C16182" s="1138"/>
    </row>
    <row r="16183" spans="1:3">
      <c r="A16183" s="1133"/>
      <c r="B16183" s="1136"/>
      <c r="C16183" s="1138"/>
    </row>
    <row r="16184" spans="1:3">
      <c r="A16184" s="1133"/>
      <c r="B16184" s="1136"/>
      <c r="C16184" s="1138"/>
    </row>
    <row r="16185" spans="1:3">
      <c r="A16185" s="1133"/>
      <c r="B16185" s="1136"/>
      <c r="C16185" s="1138"/>
    </row>
    <row r="16186" spans="1:3">
      <c r="A16186" s="1133"/>
      <c r="B16186" s="1136"/>
      <c r="C16186" s="1138"/>
    </row>
    <row r="16187" spans="1:3">
      <c r="A16187" s="1133"/>
      <c r="B16187" s="1136"/>
      <c r="C16187" s="1138"/>
    </row>
    <row r="16188" spans="1:3">
      <c r="A16188" s="1133"/>
      <c r="B16188" s="1136"/>
      <c r="C16188" s="1138"/>
    </row>
    <row r="16189" spans="1:3">
      <c r="A16189" s="1133"/>
      <c r="B16189" s="1136"/>
      <c r="C16189" s="1138"/>
    </row>
    <row r="16190" spans="1:3">
      <c r="A16190" s="1133"/>
      <c r="B16190" s="1136"/>
      <c r="C16190" s="1138"/>
    </row>
    <row r="16191" spans="1:3">
      <c r="A16191" s="1133"/>
      <c r="B16191" s="1136"/>
      <c r="C16191" s="1138"/>
    </row>
    <row r="16192" spans="1:3">
      <c r="A16192" s="1133"/>
      <c r="B16192" s="1136"/>
      <c r="C16192" s="1138"/>
    </row>
    <row r="16193" spans="1:3">
      <c r="A16193" s="1133"/>
      <c r="B16193" s="1136"/>
      <c r="C16193" s="1138"/>
    </row>
    <row r="16194" spans="1:3">
      <c r="A16194" s="1133"/>
      <c r="B16194" s="1136"/>
      <c r="C16194" s="1138"/>
    </row>
    <row r="16195" spans="1:3">
      <c r="A16195" s="1133"/>
      <c r="B16195" s="1136"/>
      <c r="C16195" s="1138"/>
    </row>
    <row r="16196" spans="1:3">
      <c r="A16196" s="1133"/>
      <c r="B16196" s="1136"/>
      <c r="C16196" s="1138"/>
    </row>
    <row r="16197" spans="1:3">
      <c r="A16197" s="1133"/>
      <c r="B16197" s="1136"/>
      <c r="C16197" s="1138"/>
    </row>
    <row r="16198" spans="1:3">
      <c r="A16198" s="1133"/>
      <c r="B16198" s="1136"/>
      <c r="C16198" s="1138"/>
    </row>
    <row r="16199" spans="1:3">
      <c r="A16199" s="1133"/>
      <c r="B16199" s="1136"/>
      <c r="C16199" s="1138"/>
    </row>
    <row r="16200" spans="1:3">
      <c r="A16200" s="1133"/>
      <c r="B16200" s="1136"/>
      <c r="C16200" s="1138"/>
    </row>
    <row r="16201" spans="1:3">
      <c r="A16201" s="1133"/>
      <c r="B16201" s="1136"/>
      <c r="C16201" s="1138"/>
    </row>
    <row r="16202" spans="1:3">
      <c r="A16202" s="1133"/>
      <c r="B16202" s="1136"/>
      <c r="C16202" s="1138"/>
    </row>
    <row r="16203" spans="1:3">
      <c r="A16203" s="1133"/>
      <c r="B16203" s="1136"/>
      <c r="C16203" s="1138"/>
    </row>
    <row r="16204" spans="1:3">
      <c r="A16204" s="1133"/>
      <c r="B16204" s="1136"/>
      <c r="C16204" s="1138"/>
    </row>
    <row r="16205" spans="1:3">
      <c r="A16205" s="1133"/>
      <c r="B16205" s="1136"/>
      <c r="C16205" s="1138"/>
    </row>
    <row r="16206" spans="1:3">
      <c r="A16206" s="1133"/>
      <c r="B16206" s="1136"/>
      <c r="C16206" s="1138"/>
    </row>
    <row r="16207" spans="1:3">
      <c r="A16207" s="1133"/>
      <c r="B16207" s="1136"/>
      <c r="C16207" s="1138"/>
    </row>
    <row r="16208" spans="1:3">
      <c r="A16208" s="1133"/>
      <c r="B16208" s="1136"/>
      <c r="C16208" s="1138"/>
    </row>
    <row r="16209" spans="1:3">
      <c r="A16209" s="1133"/>
      <c r="B16209" s="1136"/>
      <c r="C16209" s="1138"/>
    </row>
    <row r="16210" spans="1:3">
      <c r="A16210" s="1133"/>
      <c r="B16210" s="1136"/>
      <c r="C16210" s="1138"/>
    </row>
    <row r="16211" spans="1:3">
      <c r="A16211" s="1133"/>
      <c r="B16211" s="1136"/>
      <c r="C16211" s="1138"/>
    </row>
    <row r="16212" spans="1:3">
      <c r="A16212" s="1133"/>
      <c r="B16212" s="1136"/>
      <c r="C16212" s="1138"/>
    </row>
    <row r="16213" spans="1:3">
      <c r="A16213" s="1133"/>
      <c r="B16213" s="1136"/>
      <c r="C16213" s="1138"/>
    </row>
    <row r="16214" spans="1:3">
      <c r="A16214" s="1133"/>
      <c r="B16214" s="1136"/>
      <c r="C16214" s="1138"/>
    </row>
    <row r="16215" spans="1:3">
      <c r="A16215" s="1133"/>
      <c r="B16215" s="1136"/>
      <c r="C16215" s="1138"/>
    </row>
    <row r="16216" spans="1:3">
      <c r="A16216" s="1133"/>
      <c r="B16216" s="1136"/>
      <c r="C16216" s="1138"/>
    </row>
    <row r="16217" spans="1:3">
      <c r="A16217" s="1133"/>
      <c r="B16217" s="1136"/>
      <c r="C16217" s="1138"/>
    </row>
    <row r="16218" spans="1:3">
      <c r="A16218" s="1133"/>
      <c r="B16218" s="1136"/>
      <c r="C16218" s="1138"/>
    </row>
    <row r="16219" spans="1:3">
      <c r="A16219" s="1133"/>
      <c r="B16219" s="1136"/>
      <c r="C16219" s="1138"/>
    </row>
    <row r="16220" spans="1:3">
      <c r="A16220" s="1133"/>
      <c r="B16220" s="1136"/>
      <c r="C16220" s="1138"/>
    </row>
    <row r="16221" spans="1:3">
      <c r="A16221" s="1133"/>
      <c r="B16221" s="1136"/>
      <c r="C16221" s="1138"/>
    </row>
    <row r="16222" spans="1:3">
      <c r="A16222" s="1133"/>
      <c r="B16222" s="1136"/>
      <c r="C16222" s="1138"/>
    </row>
    <row r="16223" spans="1:3">
      <c r="A16223" s="1133"/>
      <c r="B16223" s="1136"/>
      <c r="C16223" s="1138"/>
    </row>
    <row r="16224" spans="1:3">
      <c r="A16224" s="1133"/>
      <c r="B16224" s="1136"/>
      <c r="C16224" s="1138"/>
    </row>
    <row r="16225" spans="1:3">
      <c r="A16225" s="1133"/>
      <c r="B16225" s="1136"/>
      <c r="C16225" s="1138"/>
    </row>
    <row r="16226" spans="1:3">
      <c r="A16226" s="1133"/>
      <c r="B16226" s="1136"/>
      <c r="C16226" s="1138"/>
    </row>
    <row r="16227" spans="1:3">
      <c r="A16227" s="1133"/>
      <c r="B16227" s="1136"/>
      <c r="C16227" s="1138"/>
    </row>
    <row r="16228" spans="1:3">
      <c r="A16228" s="1133"/>
      <c r="B16228" s="1136"/>
      <c r="C16228" s="1138"/>
    </row>
    <row r="16229" spans="1:3">
      <c r="A16229" s="1133"/>
      <c r="B16229" s="1136"/>
      <c r="C16229" s="1138"/>
    </row>
    <row r="16230" spans="1:3">
      <c r="A16230" s="1133"/>
      <c r="B16230" s="1136"/>
      <c r="C16230" s="1138"/>
    </row>
    <row r="16231" spans="1:3">
      <c r="A16231" s="1133"/>
      <c r="B16231" s="1136"/>
      <c r="C16231" s="1138"/>
    </row>
    <row r="16232" spans="1:3">
      <c r="A16232" s="1133"/>
      <c r="B16232" s="1136"/>
      <c r="C16232" s="1138"/>
    </row>
    <row r="16233" spans="1:3">
      <c r="A16233" s="1133"/>
      <c r="B16233" s="1136"/>
      <c r="C16233" s="1138"/>
    </row>
    <row r="16234" spans="1:3">
      <c r="A16234" s="1133"/>
      <c r="B16234" s="1136"/>
      <c r="C16234" s="1138"/>
    </row>
    <row r="16235" spans="1:3">
      <c r="A16235" s="1133"/>
      <c r="B16235" s="1136"/>
      <c r="C16235" s="1138"/>
    </row>
    <row r="16236" spans="1:3">
      <c r="A16236" s="1133"/>
      <c r="B16236" s="1136"/>
      <c r="C16236" s="1138"/>
    </row>
    <row r="16237" spans="1:3">
      <c r="A16237" s="1133"/>
      <c r="B16237" s="1136"/>
      <c r="C16237" s="1138"/>
    </row>
    <row r="16238" spans="1:3">
      <c r="A16238" s="1133"/>
      <c r="B16238" s="1136"/>
      <c r="C16238" s="1138"/>
    </row>
    <row r="16239" spans="1:3">
      <c r="A16239" s="1133"/>
      <c r="B16239" s="1136"/>
      <c r="C16239" s="1138"/>
    </row>
    <row r="16240" spans="1:3">
      <c r="A16240" s="1133"/>
      <c r="B16240" s="1136"/>
      <c r="C16240" s="1138"/>
    </row>
    <row r="16241" spans="1:3">
      <c r="A16241" s="1133"/>
      <c r="B16241" s="1136"/>
      <c r="C16241" s="1138"/>
    </row>
    <row r="16242" spans="1:3">
      <c r="A16242" s="1133"/>
      <c r="B16242" s="1136"/>
      <c r="C16242" s="1138"/>
    </row>
    <row r="16243" spans="1:3">
      <c r="A16243" s="1133"/>
      <c r="B16243" s="1136"/>
      <c r="C16243" s="1138"/>
    </row>
    <row r="16244" spans="1:3">
      <c r="A16244" s="1133"/>
      <c r="B16244" s="1136"/>
      <c r="C16244" s="1138"/>
    </row>
    <row r="16245" spans="1:3">
      <c r="A16245" s="1133"/>
      <c r="B16245" s="1136"/>
      <c r="C16245" s="1138"/>
    </row>
    <row r="16246" spans="1:3">
      <c r="A16246" s="1133"/>
      <c r="B16246" s="1136"/>
      <c r="C16246" s="1138"/>
    </row>
    <row r="16247" spans="1:3">
      <c r="A16247" s="1133"/>
      <c r="B16247" s="1136"/>
      <c r="C16247" s="1138"/>
    </row>
    <row r="16248" spans="1:3">
      <c r="A16248" s="1133"/>
      <c r="B16248" s="1136"/>
      <c r="C16248" s="1138"/>
    </row>
    <row r="16249" spans="1:3">
      <c r="A16249" s="1133"/>
      <c r="B16249" s="1136"/>
      <c r="C16249" s="1138"/>
    </row>
    <row r="16250" spans="1:3">
      <c r="A16250" s="1133"/>
      <c r="B16250" s="1136"/>
      <c r="C16250" s="1138"/>
    </row>
    <row r="16251" spans="1:3">
      <c r="A16251" s="1133"/>
      <c r="B16251" s="1136"/>
      <c r="C16251" s="1138"/>
    </row>
    <row r="16252" spans="1:3">
      <c r="A16252" s="1133"/>
      <c r="B16252" s="1136"/>
      <c r="C16252" s="1138"/>
    </row>
    <row r="16253" spans="1:3">
      <c r="A16253" s="1133"/>
      <c r="B16253" s="1136"/>
      <c r="C16253" s="1138"/>
    </row>
    <row r="16254" spans="1:3">
      <c r="A16254" s="1133"/>
      <c r="B16254" s="1136"/>
      <c r="C16254" s="1138"/>
    </row>
    <row r="16255" spans="1:3">
      <c r="A16255" s="1133"/>
      <c r="B16255" s="1136"/>
      <c r="C16255" s="1138"/>
    </row>
    <row r="16256" spans="1:3">
      <c r="A16256" s="1133"/>
      <c r="B16256" s="1136"/>
      <c r="C16256" s="1138"/>
    </row>
    <row r="16257" spans="1:3">
      <c r="A16257" s="1133"/>
      <c r="B16257" s="1136"/>
      <c r="C16257" s="1138"/>
    </row>
    <row r="16258" spans="1:3">
      <c r="A16258" s="1133"/>
      <c r="B16258" s="1136"/>
      <c r="C16258" s="1138"/>
    </row>
    <row r="16259" spans="1:3">
      <c r="A16259" s="1133"/>
      <c r="B16259" s="1136"/>
      <c r="C16259" s="1138"/>
    </row>
    <row r="16260" spans="1:3">
      <c r="A16260" s="1133"/>
      <c r="B16260" s="1136"/>
      <c r="C16260" s="1138"/>
    </row>
    <row r="16261" spans="1:3">
      <c r="A16261" s="1133"/>
      <c r="B16261" s="1136"/>
      <c r="C16261" s="1138"/>
    </row>
    <row r="16262" spans="1:3">
      <c r="A16262" s="1133"/>
      <c r="B16262" s="1136"/>
      <c r="C16262" s="1138"/>
    </row>
    <row r="16263" spans="1:3">
      <c r="A16263" s="1133"/>
      <c r="B16263" s="1136"/>
      <c r="C16263" s="1138"/>
    </row>
    <row r="16264" spans="1:3">
      <c r="A16264" s="1133"/>
      <c r="B16264" s="1136"/>
      <c r="C16264" s="1138"/>
    </row>
    <row r="16265" spans="1:3">
      <c r="A16265" s="1133"/>
      <c r="B16265" s="1136"/>
      <c r="C16265" s="1138"/>
    </row>
    <row r="16266" spans="1:3">
      <c r="A16266" s="1133"/>
      <c r="B16266" s="1136"/>
      <c r="C16266" s="1138"/>
    </row>
    <row r="16267" spans="1:3">
      <c r="A16267" s="1133"/>
      <c r="B16267" s="1136"/>
      <c r="C16267" s="1138"/>
    </row>
    <row r="16268" spans="1:3">
      <c r="A16268" s="1133"/>
      <c r="B16268" s="1136"/>
      <c r="C16268" s="1138"/>
    </row>
    <row r="16269" spans="1:3">
      <c r="A16269" s="1133"/>
      <c r="B16269" s="1136"/>
      <c r="C16269" s="1138"/>
    </row>
    <row r="16270" spans="1:3">
      <c r="A16270" s="1133"/>
      <c r="B16270" s="1136"/>
      <c r="C16270" s="1138"/>
    </row>
    <row r="16271" spans="1:3">
      <c r="A16271" s="1133"/>
      <c r="B16271" s="1136"/>
      <c r="C16271" s="1138"/>
    </row>
    <row r="16272" spans="1:3">
      <c r="A16272" s="1133"/>
      <c r="B16272" s="1136"/>
      <c r="C16272" s="1138"/>
    </row>
    <row r="16273" spans="1:3">
      <c r="A16273" s="1133"/>
      <c r="B16273" s="1136"/>
      <c r="C16273" s="1138"/>
    </row>
    <row r="16274" spans="1:3">
      <c r="A16274" s="1133"/>
      <c r="B16274" s="1136"/>
      <c r="C16274" s="1138"/>
    </row>
    <row r="16275" spans="1:3">
      <c r="A16275" s="1133"/>
      <c r="B16275" s="1136"/>
      <c r="C16275" s="1138"/>
    </row>
    <row r="16276" spans="1:3">
      <c r="A16276" s="1133"/>
      <c r="B16276" s="1136"/>
      <c r="C16276" s="1138"/>
    </row>
    <row r="16277" spans="1:3">
      <c r="A16277" s="1133"/>
      <c r="B16277" s="1136"/>
      <c r="C16277" s="1138"/>
    </row>
    <row r="16278" spans="1:3">
      <c r="A16278" s="1133"/>
      <c r="B16278" s="1136"/>
      <c r="C16278" s="1138"/>
    </row>
    <row r="16279" spans="1:3">
      <c r="A16279" s="1133"/>
      <c r="B16279" s="1136"/>
      <c r="C16279" s="1138"/>
    </row>
    <row r="16280" spans="1:3">
      <c r="A16280" s="1133"/>
      <c r="B16280" s="1136"/>
      <c r="C16280" s="1138"/>
    </row>
    <row r="16281" spans="1:3">
      <c r="A16281" s="1133"/>
      <c r="B16281" s="1136"/>
      <c r="C16281" s="1138"/>
    </row>
    <row r="16282" spans="1:3">
      <c r="A16282" s="1133"/>
      <c r="B16282" s="1136"/>
      <c r="C16282" s="1138"/>
    </row>
    <row r="16283" spans="1:3">
      <c r="A16283" s="1133"/>
      <c r="B16283" s="1136"/>
      <c r="C16283" s="1138"/>
    </row>
    <row r="16284" spans="1:3">
      <c r="A16284" s="1133"/>
      <c r="B16284" s="1136"/>
      <c r="C16284" s="1138"/>
    </row>
    <row r="16285" spans="1:3">
      <c r="A16285" s="1133"/>
      <c r="B16285" s="1136"/>
      <c r="C16285" s="1138"/>
    </row>
    <row r="16286" spans="1:3">
      <c r="A16286" s="1133"/>
      <c r="B16286" s="1136"/>
      <c r="C16286" s="1138"/>
    </row>
    <row r="16287" spans="1:3">
      <c r="A16287" s="1133"/>
      <c r="B16287" s="1136"/>
      <c r="C16287" s="1138"/>
    </row>
    <row r="16288" spans="1:3">
      <c r="A16288" s="1133"/>
      <c r="B16288" s="1136"/>
      <c r="C16288" s="1138"/>
    </row>
    <row r="16289" spans="1:3">
      <c r="A16289" s="1133"/>
      <c r="B16289" s="1136"/>
      <c r="C16289" s="1138"/>
    </row>
    <row r="16290" spans="1:3">
      <c r="A16290" s="1133"/>
      <c r="B16290" s="1136"/>
      <c r="C16290" s="1138"/>
    </row>
    <row r="16291" spans="1:3">
      <c r="A16291" s="1133"/>
      <c r="B16291" s="1136"/>
      <c r="C16291" s="1138"/>
    </row>
    <row r="16292" spans="1:3">
      <c r="A16292" s="1133"/>
      <c r="B16292" s="1136"/>
      <c r="C16292" s="1138"/>
    </row>
    <row r="16293" spans="1:3">
      <c r="A16293" s="1133"/>
      <c r="B16293" s="1136"/>
      <c r="C16293" s="1138"/>
    </row>
    <row r="16294" spans="1:3">
      <c r="A16294" s="1133"/>
      <c r="B16294" s="1136"/>
      <c r="C16294" s="1138"/>
    </row>
    <row r="16295" spans="1:3">
      <c r="A16295" s="1133"/>
      <c r="B16295" s="1136"/>
      <c r="C16295" s="1138"/>
    </row>
    <row r="16296" spans="1:3">
      <c r="A16296" s="1133"/>
      <c r="B16296" s="1136"/>
      <c r="C16296" s="1138"/>
    </row>
    <row r="16297" spans="1:3">
      <c r="A16297" s="1133"/>
      <c r="B16297" s="1136"/>
      <c r="C16297" s="1138"/>
    </row>
    <row r="16298" spans="1:3">
      <c r="A16298" s="1133"/>
      <c r="B16298" s="1136"/>
      <c r="C16298" s="1138"/>
    </row>
    <row r="16299" spans="1:3">
      <c r="A16299" s="1133"/>
      <c r="B16299" s="1136"/>
      <c r="C16299" s="1138"/>
    </row>
    <row r="16300" spans="1:3">
      <c r="A16300" s="1133"/>
      <c r="B16300" s="1136"/>
      <c r="C16300" s="1138"/>
    </row>
    <row r="16301" spans="1:3">
      <c r="A16301" s="1133"/>
      <c r="B16301" s="1136"/>
      <c r="C16301" s="1138"/>
    </row>
    <row r="16302" spans="1:3">
      <c r="A16302" s="1133"/>
      <c r="B16302" s="1136"/>
      <c r="C16302" s="1138"/>
    </row>
    <row r="16303" spans="1:3">
      <c r="A16303" s="1133"/>
      <c r="B16303" s="1136"/>
      <c r="C16303" s="1138"/>
    </row>
    <row r="16304" spans="1:3">
      <c r="A16304" s="1133"/>
      <c r="B16304" s="1136"/>
      <c r="C16304" s="1138"/>
    </row>
    <row r="16305" spans="1:3">
      <c r="A16305" s="1133"/>
      <c r="B16305" s="1136"/>
      <c r="C16305" s="1138"/>
    </row>
    <row r="16306" spans="1:3">
      <c r="A16306" s="1133"/>
      <c r="B16306" s="1136"/>
      <c r="C16306" s="1138"/>
    </row>
    <row r="16307" spans="1:3">
      <c r="A16307" s="1133"/>
      <c r="B16307" s="1136"/>
      <c r="C16307" s="1138"/>
    </row>
    <row r="16308" spans="1:3">
      <c r="A16308" s="1133"/>
      <c r="B16308" s="1136"/>
      <c r="C16308" s="1138"/>
    </row>
    <row r="16309" spans="1:3">
      <c r="A16309" s="1133"/>
      <c r="B16309" s="1136"/>
      <c r="C16309" s="1138"/>
    </row>
    <row r="16310" spans="1:3">
      <c r="A16310" s="1133"/>
      <c r="B16310" s="1136"/>
      <c r="C16310" s="1138"/>
    </row>
    <row r="16311" spans="1:3">
      <c r="A16311" s="1133"/>
      <c r="B16311" s="1136"/>
      <c r="C16311" s="1138"/>
    </row>
    <row r="16312" spans="1:3">
      <c r="A16312" s="1133"/>
      <c r="B16312" s="1136"/>
      <c r="C16312" s="1138"/>
    </row>
    <row r="16313" spans="1:3">
      <c r="A16313" s="1133"/>
      <c r="B16313" s="1136"/>
      <c r="C16313" s="1138"/>
    </row>
    <row r="16314" spans="1:3">
      <c r="A16314" s="1133"/>
      <c r="B16314" s="1136"/>
      <c r="C16314" s="1138"/>
    </row>
    <row r="16315" spans="1:3">
      <c r="A16315" s="1133"/>
      <c r="B16315" s="1136"/>
      <c r="C16315" s="1138"/>
    </row>
    <row r="16316" spans="1:3">
      <c r="A16316" s="1133"/>
      <c r="B16316" s="1136"/>
      <c r="C16316" s="1138"/>
    </row>
    <row r="16317" spans="1:3">
      <c r="A16317" s="1133"/>
      <c r="B16317" s="1136"/>
      <c r="C16317" s="1138"/>
    </row>
    <row r="16318" spans="1:3">
      <c r="A16318" s="1133"/>
      <c r="B16318" s="1136"/>
      <c r="C16318" s="1138"/>
    </row>
    <row r="16319" spans="1:3">
      <c r="A16319" s="1133"/>
      <c r="B16319" s="1136"/>
      <c r="C16319" s="1138"/>
    </row>
    <row r="16320" spans="1:3">
      <c r="A16320" s="1133"/>
      <c r="B16320" s="1136"/>
      <c r="C16320" s="1138"/>
    </row>
    <row r="16321" spans="1:3">
      <c r="A16321" s="1133"/>
      <c r="B16321" s="1136"/>
      <c r="C16321" s="1138"/>
    </row>
    <row r="16322" spans="1:3">
      <c r="A16322" s="1133"/>
      <c r="B16322" s="1136"/>
      <c r="C16322" s="1138"/>
    </row>
    <row r="16323" spans="1:3">
      <c r="A16323" s="1133"/>
      <c r="B16323" s="1136"/>
      <c r="C16323" s="1138"/>
    </row>
    <row r="16324" spans="1:3">
      <c r="A16324" s="1133"/>
      <c r="B16324" s="1136"/>
      <c r="C16324" s="1138"/>
    </row>
    <row r="16325" spans="1:3">
      <c r="A16325" s="1133"/>
      <c r="B16325" s="1136"/>
      <c r="C16325" s="1138"/>
    </row>
    <row r="16326" spans="1:3">
      <c r="A16326" s="1133"/>
      <c r="B16326" s="1136"/>
      <c r="C16326" s="1138"/>
    </row>
    <row r="16327" spans="1:3">
      <c r="A16327" s="1133"/>
      <c r="B16327" s="1136"/>
      <c r="C16327" s="1138"/>
    </row>
    <row r="16328" spans="1:3">
      <c r="A16328" s="1133"/>
      <c r="B16328" s="1136"/>
      <c r="C16328" s="1138"/>
    </row>
    <row r="16329" spans="1:3">
      <c r="A16329" s="1133"/>
      <c r="B16329" s="1136"/>
      <c r="C16329" s="1138"/>
    </row>
    <row r="16330" spans="1:3">
      <c r="A16330" s="1133"/>
      <c r="B16330" s="1136"/>
      <c r="C16330" s="1138"/>
    </row>
    <row r="16331" spans="1:3">
      <c r="A16331" s="1133"/>
      <c r="B16331" s="1136"/>
      <c r="C16331" s="1138"/>
    </row>
    <row r="16332" spans="1:3">
      <c r="A16332" s="1133"/>
      <c r="B16332" s="1136"/>
      <c r="C16332" s="1138"/>
    </row>
    <row r="16333" spans="1:3">
      <c r="A16333" s="1133"/>
      <c r="B16333" s="1136"/>
      <c r="C16333" s="1138"/>
    </row>
    <row r="16334" spans="1:3">
      <c r="A16334" s="1133"/>
      <c r="B16334" s="1136"/>
      <c r="C16334" s="1138"/>
    </row>
    <row r="16335" spans="1:3">
      <c r="A16335" s="1133"/>
      <c r="B16335" s="1136"/>
      <c r="C16335" s="1138"/>
    </row>
    <row r="16336" spans="1:3">
      <c r="A16336" s="1133"/>
      <c r="B16336" s="1136"/>
      <c r="C16336" s="1138"/>
    </row>
    <row r="16337" spans="1:3">
      <c r="A16337" s="1133"/>
      <c r="B16337" s="1136"/>
      <c r="C16337" s="1138"/>
    </row>
    <row r="16338" spans="1:3">
      <c r="A16338" s="1133"/>
      <c r="B16338" s="1136"/>
      <c r="C16338" s="1138"/>
    </row>
    <row r="16339" spans="1:3">
      <c r="A16339" s="1133"/>
      <c r="B16339" s="1136"/>
      <c r="C16339" s="1138"/>
    </row>
    <row r="16340" spans="1:3">
      <c r="A16340" s="1133"/>
      <c r="B16340" s="1136"/>
      <c r="C16340" s="1138"/>
    </row>
    <row r="16341" spans="1:3">
      <c r="A16341" s="1133"/>
      <c r="B16341" s="1136"/>
      <c r="C16341" s="1138"/>
    </row>
    <row r="16342" spans="1:3">
      <c r="A16342" s="1133"/>
      <c r="B16342" s="1136"/>
      <c r="C16342" s="1138"/>
    </row>
    <row r="16343" spans="1:3">
      <c r="A16343" s="1133"/>
      <c r="B16343" s="1136"/>
      <c r="C16343" s="1138"/>
    </row>
    <row r="16344" spans="1:3">
      <c r="A16344" s="1133"/>
      <c r="B16344" s="1136"/>
      <c r="C16344" s="1138"/>
    </row>
    <row r="16345" spans="1:3">
      <c r="A16345" s="1133"/>
      <c r="B16345" s="1136"/>
      <c r="C16345" s="1138"/>
    </row>
    <row r="16346" spans="1:3">
      <c r="A16346" s="1133"/>
      <c r="B16346" s="1136"/>
      <c r="C16346" s="1138"/>
    </row>
    <row r="16347" spans="1:3">
      <c r="A16347" s="1133"/>
      <c r="B16347" s="1136"/>
      <c r="C16347" s="1138"/>
    </row>
    <row r="16348" spans="1:3">
      <c r="A16348" s="1133"/>
      <c r="B16348" s="1136"/>
      <c r="C16348" s="1138"/>
    </row>
    <row r="16349" spans="1:3">
      <c r="A16349" s="1133"/>
      <c r="B16349" s="1136"/>
      <c r="C16349" s="1138"/>
    </row>
    <row r="16350" spans="1:3">
      <c r="A16350" s="1133"/>
      <c r="B16350" s="1136"/>
      <c r="C16350" s="1138"/>
    </row>
    <row r="16351" spans="1:3">
      <c r="A16351" s="1133"/>
      <c r="B16351" s="1136"/>
      <c r="C16351" s="1138"/>
    </row>
    <row r="16352" spans="1:3">
      <c r="A16352" s="1133"/>
      <c r="B16352" s="1136"/>
      <c r="C16352" s="1138"/>
    </row>
    <row r="16353" spans="1:3">
      <c r="A16353" s="1133"/>
      <c r="B16353" s="1136"/>
      <c r="C16353" s="1138"/>
    </row>
    <row r="16354" spans="1:3">
      <c r="A16354" s="1133"/>
      <c r="B16354" s="1136"/>
      <c r="C16354" s="1138"/>
    </row>
    <row r="16355" spans="1:3">
      <c r="A16355" s="1133"/>
      <c r="B16355" s="1136"/>
      <c r="C16355" s="1138"/>
    </row>
    <row r="16356" spans="1:3">
      <c r="A16356" s="1133"/>
      <c r="B16356" s="1136"/>
      <c r="C16356" s="1138"/>
    </row>
    <row r="16357" spans="1:3">
      <c r="A16357" s="1133"/>
      <c r="B16357" s="1136"/>
      <c r="C16357" s="1138"/>
    </row>
    <row r="16358" spans="1:3">
      <c r="A16358" s="1133"/>
      <c r="B16358" s="1136"/>
      <c r="C16358" s="1138"/>
    </row>
    <row r="16359" spans="1:3">
      <c r="A16359" s="1133"/>
      <c r="B16359" s="1136"/>
      <c r="C16359" s="1138"/>
    </row>
    <row r="16360" spans="1:3">
      <c r="A16360" s="1133"/>
      <c r="B16360" s="1136"/>
      <c r="C16360" s="1138"/>
    </row>
    <row r="16361" spans="1:3">
      <c r="A16361" s="1133"/>
      <c r="B16361" s="1136"/>
      <c r="C16361" s="1138"/>
    </row>
    <row r="16362" spans="1:3">
      <c r="A16362" s="1133"/>
      <c r="B16362" s="1136"/>
      <c r="C16362" s="1138"/>
    </row>
    <row r="16363" spans="1:3">
      <c r="A16363" s="1133"/>
      <c r="B16363" s="1136"/>
      <c r="C16363" s="1138"/>
    </row>
    <row r="16364" spans="1:3">
      <c r="A16364" s="1133"/>
      <c r="B16364" s="1136"/>
      <c r="C16364" s="1138"/>
    </row>
    <row r="16365" spans="1:3">
      <c r="A16365" s="1133"/>
      <c r="B16365" s="1136"/>
      <c r="C16365" s="1138"/>
    </row>
    <row r="16366" spans="1:3">
      <c r="A16366" s="1133"/>
      <c r="B16366" s="1136"/>
      <c r="C16366" s="1138"/>
    </row>
    <row r="16367" spans="1:3">
      <c r="A16367" s="1133"/>
      <c r="B16367" s="1136"/>
      <c r="C16367" s="1138"/>
    </row>
    <row r="16368" spans="1:3">
      <c r="A16368" s="1133"/>
      <c r="B16368" s="1136"/>
      <c r="C16368" s="1138"/>
    </row>
    <row r="16369" spans="1:3">
      <c r="A16369" s="1133"/>
      <c r="B16369" s="1136"/>
      <c r="C16369" s="1138"/>
    </row>
    <row r="16370" spans="1:3">
      <c r="A16370" s="1133"/>
      <c r="B16370" s="1136"/>
      <c r="C16370" s="1138"/>
    </row>
    <row r="16371" spans="1:3">
      <c r="A16371" s="1133"/>
      <c r="B16371" s="1136"/>
      <c r="C16371" s="1138"/>
    </row>
    <row r="16372" spans="1:3">
      <c r="A16372" s="1133"/>
      <c r="B16372" s="1136"/>
      <c r="C16372" s="1138"/>
    </row>
    <row r="16373" spans="1:3">
      <c r="A16373" s="1133"/>
      <c r="B16373" s="1136"/>
      <c r="C16373" s="1138"/>
    </row>
    <row r="16374" spans="1:3">
      <c r="A16374" s="1133"/>
      <c r="B16374" s="1136"/>
      <c r="C16374" s="1138"/>
    </row>
    <row r="16375" spans="1:3">
      <c r="A16375" s="1133"/>
      <c r="B16375" s="1136"/>
      <c r="C16375" s="1138"/>
    </row>
    <row r="16376" spans="1:3">
      <c r="A16376" s="1133"/>
      <c r="B16376" s="1136"/>
      <c r="C16376" s="1138"/>
    </row>
    <row r="16377" spans="1:3">
      <c r="A16377" s="1133"/>
      <c r="B16377" s="1136"/>
      <c r="C16377" s="1138"/>
    </row>
    <row r="16378" spans="1:3">
      <c r="A16378" s="1133"/>
      <c r="B16378" s="1136"/>
      <c r="C16378" s="1138"/>
    </row>
    <row r="16379" spans="1:3">
      <c r="A16379" s="1133"/>
      <c r="B16379" s="1136"/>
      <c r="C16379" s="1138"/>
    </row>
    <row r="16380" spans="1:3">
      <c r="A16380" s="1133"/>
      <c r="B16380" s="1136"/>
      <c r="C16380" s="1138"/>
    </row>
    <row r="16381" spans="1:3">
      <c r="A16381" s="1133"/>
      <c r="B16381" s="1136"/>
      <c r="C16381" s="1138"/>
    </row>
    <row r="16382" spans="1:3">
      <c r="A16382" s="1133"/>
      <c r="B16382" s="1136"/>
      <c r="C16382" s="1138"/>
    </row>
  </sheetData>
  <phoneticPr fontId="8" type="noConversion"/>
  <pageMargins left="0.75" right="0.75" top="1" bottom="1" header="0.5" footer="0.5"/>
  <pageSetup paperSize="9" orientation="portrait" r:id="rId1"/>
  <headerFooter alignWithMargins="0">
    <oddFooter>&amp;C&amp;1#&amp;"Calibri"&amp;10&amp;K000000Internal</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D72434-9252-4FBA-81CE-E4EF20EC96B1}">
  <sheetPr codeName="Sheet22">
    <tabColor rgb="FFFFFF00"/>
  </sheetPr>
  <dimension ref="A1:AC722"/>
  <sheetViews>
    <sheetView zoomScale="85" zoomScaleNormal="85" workbookViewId="0">
      <pane xSplit="1" ySplit="3" topLeftCell="B20" activePane="bottomRight" state="frozen"/>
      <selection pane="topRight"/>
      <selection pane="bottomLeft"/>
      <selection pane="bottomRight" activeCell="L3" sqref="L3"/>
    </sheetView>
  </sheetViews>
  <sheetFormatPr defaultRowHeight="21.5"/>
  <cols>
    <col min="1" max="1" width="15.09765625" style="672" customWidth="1"/>
    <col min="2" max="2" width="5.09765625" style="672" bestFit="1" customWidth="1"/>
    <col min="3" max="3" width="13.8984375" style="672" customWidth="1"/>
    <col min="4" max="4" width="15.3984375" style="672" bestFit="1" customWidth="1"/>
    <col min="5" max="5" width="10.8984375" style="721" customWidth="1"/>
    <col min="6" max="7" width="8.3984375" style="721" bestFit="1" customWidth="1"/>
    <col min="8" max="8" width="8.3984375" style="721" customWidth="1"/>
    <col min="9" max="9" width="13.09765625" style="672" bestFit="1" customWidth="1"/>
    <col min="10" max="11" width="12.09765625" style="672" customWidth="1"/>
    <col min="12" max="12" width="13.09765625" style="672" bestFit="1" customWidth="1"/>
    <col min="13" max="13" width="32.8984375" style="672" bestFit="1" customWidth="1"/>
    <col min="14" max="16" width="15" style="672" customWidth="1"/>
    <col min="17" max="17" width="2.3984375" style="722" customWidth="1"/>
    <col min="18" max="18" width="11" style="672" bestFit="1" customWidth="1"/>
    <col min="19" max="19" width="9.3984375" style="672" bestFit="1" customWidth="1"/>
    <col min="20" max="20" width="7.296875" style="721" bestFit="1" customWidth="1"/>
    <col min="21" max="21" width="7.69921875" style="721" bestFit="1" customWidth="1"/>
    <col min="22" max="22" width="4" style="721" bestFit="1" customWidth="1"/>
    <col min="23" max="23" width="7.3984375" style="721" bestFit="1" customWidth="1"/>
    <col min="24" max="24" width="12.3984375" style="721" bestFit="1" customWidth="1"/>
    <col min="25" max="25" width="12.8984375" style="721" bestFit="1" customWidth="1"/>
    <col min="26" max="26" width="9.09765625" style="721" bestFit="1" customWidth="1"/>
    <col min="27" max="27" width="8.09765625" style="721" bestFit="1" customWidth="1"/>
    <col min="28" max="28" width="9.69921875" style="721" bestFit="1" customWidth="1"/>
    <col min="29" max="256" width="9.09765625" style="672"/>
    <col min="257" max="259" width="15.09765625" style="672" customWidth="1"/>
    <col min="260" max="260" width="10.8984375" style="672" customWidth="1"/>
    <col min="261" max="261" width="18.09765625" style="672" bestFit="1" customWidth="1"/>
    <col min="262" max="262" width="20.296875" style="672" bestFit="1" customWidth="1"/>
    <col min="263" max="263" width="18" style="672" bestFit="1" customWidth="1"/>
    <col min="264" max="264" width="23.09765625" style="672" customWidth="1"/>
    <col min="265" max="265" width="19.09765625" style="672" bestFit="1" customWidth="1"/>
    <col min="266" max="266" width="9.09765625" style="672"/>
    <col min="267" max="267" width="12.3984375" style="672" customWidth="1"/>
    <col min="268" max="268" width="5.59765625" style="672" customWidth="1"/>
    <col min="269" max="269" width="32.8984375" style="672" bestFit="1" customWidth="1"/>
    <col min="270" max="272" width="15" style="672" customWidth="1"/>
    <col min="273" max="273" width="2.3984375" style="672" customWidth="1"/>
    <col min="274" max="274" width="11" style="672" bestFit="1" customWidth="1"/>
    <col min="275" max="275" width="9.3984375" style="672" bestFit="1" customWidth="1"/>
    <col min="276" max="276" width="7.296875" style="672" bestFit="1" customWidth="1"/>
    <col min="277" max="277" width="7.69921875" style="672" bestFit="1" customWidth="1"/>
    <col min="278" max="278" width="4" style="672" bestFit="1" customWidth="1"/>
    <col min="279" max="279" width="7.3984375" style="672" bestFit="1" customWidth="1"/>
    <col min="280" max="280" width="12.3984375" style="672" bestFit="1" customWidth="1"/>
    <col min="281" max="281" width="12.8984375" style="672" bestFit="1" customWidth="1"/>
    <col min="282" max="282" width="9.69921875" style="672" bestFit="1" customWidth="1"/>
    <col min="283" max="283" width="9.09765625" style="672"/>
    <col min="284" max="284" width="8.09765625" style="672" bestFit="1" customWidth="1"/>
    <col min="285" max="512" width="9.09765625" style="672"/>
    <col min="513" max="515" width="15.09765625" style="672" customWidth="1"/>
    <col min="516" max="516" width="10.8984375" style="672" customWidth="1"/>
    <col min="517" max="517" width="18.09765625" style="672" bestFit="1" customWidth="1"/>
    <col min="518" max="518" width="20.296875" style="672" bestFit="1" customWidth="1"/>
    <col min="519" max="519" width="18" style="672" bestFit="1" customWidth="1"/>
    <col min="520" max="520" width="23.09765625" style="672" customWidth="1"/>
    <col min="521" max="521" width="19.09765625" style="672" bestFit="1" customWidth="1"/>
    <col min="522" max="522" width="9.09765625" style="672"/>
    <col min="523" max="523" width="12.3984375" style="672" customWidth="1"/>
    <col min="524" max="524" width="5.59765625" style="672" customWidth="1"/>
    <col min="525" max="525" width="32.8984375" style="672" bestFit="1" customWidth="1"/>
    <col min="526" max="528" width="15" style="672" customWidth="1"/>
    <col min="529" max="529" width="2.3984375" style="672" customWidth="1"/>
    <col min="530" max="530" width="11" style="672" bestFit="1" customWidth="1"/>
    <col min="531" max="531" width="9.3984375" style="672" bestFit="1" customWidth="1"/>
    <col min="532" max="532" width="7.296875" style="672" bestFit="1" customWidth="1"/>
    <col min="533" max="533" width="7.69921875" style="672" bestFit="1" customWidth="1"/>
    <col min="534" max="534" width="4" style="672" bestFit="1" customWidth="1"/>
    <col min="535" max="535" width="7.3984375" style="672" bestFit="1" customWidth="1"/>
    <col min="536" max="536" width="12.3984375" style="672" bestFit="1" customWidth="1"/>
    <col min="537" max="537" width="12.8984375" style="672" bestFit="1" customWidth="1"/>
    <col min="538" max="538" width="9.69921875" style="672" bestFit="1" customWidth="1"/>
    <col min="539" max="539" width="9.09765625" style="672"/>
    <col min="540" max="540" width="8.09765625" style="672" bestFit="1" customWidth="1"/>
    <col min="541" max="768" width="9.09765625" style="672"/>
    <col min="769" max="771" width="15.09765625" style="672" customWidth="1"/>
    <col min="772" max="772" width="10.8984375" style="672" customWidth="1"/>
    <col min="773" max="773" width="18.09765625" style="672" bestFit="1" customWidth="1"/>
    <col min="774" max="774" width="20.296875" style="672" bestFit="1" customWidth="1"/>
    <col min="775" max="775" width="18" style="672" bestFit="1" customWidth="1"/>
    <col min="776" max="776" width="23.09765625" style="672" customWidth="1"/>
    <col min="777" max="777" width="19.09765625" style="672" bestFit="1" customWidth="1"/>
    <col min="778" max="778" width="9.09765625" style="672"/>
    <col min="779" max="779" width="12.3984375" style="672" customWidth="1"/>
    <col min="780" max="780" width="5.59765625" style="672" customWidth="1"/>
    <col min="781" max="781" width="32.8984375" style="672" bestFit="1" customWidth="1"/>
    <col min="782" max="784" width="15" style="672" customWidth="1"/>
    <col min="785" max="785" width="2.3984375" style="672" customWidth="1"/>
    <col min="786" max="786" width="11" style="672" bestFit="1" customWidth="1"/>
    <col min="787" max="787" width="9.3984375" style="672" bestFit="1" customWidth="1"/>
    <col min="788" max="788" width="7.296875" style="672" bestFit="1" customWidth="1"/>
    <col min="789" max="789" width="7.69921875" style="672" bestFit="1" customWidth="1"/>
    <col min="790" max="790" width="4" style="672" bestFit="1" customWidth="1"/>
    <col min="791" max="791" width="7.3984375" style="672" bestFit="1" customWidth="1"/>
    <col min="792" max="792" width="12.3984375" style="672" bestFit="1" customWidth="1"/>
    <col min="793" max="793" width="12.8984375" style="672" bestFit="1" customWidth="1"/>
    <col min="794" max="794" width="9.69921875" style="672" bestFit="1" customWidth="1"/>
    <col min="795" max="795" width="9.09765625" style="672"/>
    <col min="796" max="796" width="8.09765625" style="672" bestFit="1" customWidth="1"/>
    <col min="797" max="1024" width="9.09765625" style="672"/>
    <col min="1025" max="1027" width="15.09765625" style="672" customWidth="1"/>
    <col min="1028" max="1028" width="10.8984375" style="672" customWidth="1"/>
    <col min="1029" max="1029" width="18.09765625" style="672" bestFit="1" customWidth="1"/>
    <col min="1030" max="1030" width="20.296875" style="672" bestFit="1" customWidth="1"/>
    <col min="1031" max="1031" width="18" style="672" bestFit="1" customWidth="1"/>
    <col min="1032" max="1032" width="23.09765625" style="672" customWidth="1"/>
    <col min="1033" max="1033" width="19.09765625" style="672" bestFit="1" customWidth="1"/>
    <col min="1034" max="1034" width="9.09765625" style="672"/>
    <col min="1035" max="1035" width="12.3984375" style="672" customWidth="1"/>
    <col min="1036" max="1036" width="5.59765625" style="672" customWidth="1"/>
    <col min="1037" max="1037" width="32.8984375" style="672" bestFit="1" customWidth="1"/>
    <col min="1038" max="1040" width="15" style="672" customWidth="1"/>
    <col min="1041" max="1041" width="2.3984375" style="672" customWidth="1"/>
    <col min="1042" max="1042" width="11" style="672" bestFit="1" customWidth="1"/>
    <col min="1043" max="1043" width="9.3984375" style="672" bestFit="1" customWidth="1"/>
    <col min="1044" max="1044" width="7.296875" style="672" bestFit="1" customWidth="1"/>
    <col min="1045" max="1045" width="7.69921875" style="672" bestFit="1" customWidth="1"/>
    <col min="1046" max="1046" width="4" style="672" bestFit="1" customWidth="1"/>
    <col min="1047" max="1047" width="7.3984375" style="672" bestFit="1" customWidth="1"/>
    <col min="1048" max="1048" width="12.3984375" style="672" bestFit="1" customWidth="1"/>
    <col min="1049" max="1049" width="12.8984375" style="672" bestFit="1" customWidth="1"/>
    <col min="1050" max="1050" width="9.69921875" style="672" bestFit="1" customWidth="1"/>
    <col min="1051" max="1051" width="9.09765625" style="672"/>
    <col min="1052" max="1052" width="8.09765625" style="672" bestFit="1" customWidth="1"/>
    <col min="1053" max="1280" width="9.09765625" style="672"/>
    <col min="1281" max="1283" width="15.09765625" style="672" customWidth="1"/>
    <col min="1284" max="1284" width="10.8984375" style="672" customWidth="1"/>
    <col min="1285" max="1285" width="18.09765625" style="672" bestFit="1" customWidth="1"/>
    <col min="1286" max="1286" width="20.296875" style="672" bestFit="1" customWidth="1"/>
    <col min="1287" max="1287" width="18" style="672" bestFit="1" customWidth="1"/>
    <col min="1288" max="1288" width="23.09765625" style="672" customWidth="1"/>
    <col min="1289" max="1289" width="19.09765625" style="672" bestFit="1" customWidth="1"/>
    <col min="1290" max="1290" width="9.09765625" style="672"/>
    <col min="1291" max="1291" width="12.3984375" style="672" customWidth="1"/>
    <col min="1292" max="1292" width="5.59765625" style="672" customWidth="1"/>
    <col min="1293" max="1293" width="32.8984375" style="672" bestFit="1" customWidth="1"/>
    <col min="1294" max="1296" width="15" style="672" customWidth="1"/>
    <col min="1297" max="1297" width="2.3984375" style="672" customWidth="1"/>
    <col min="1298" max="1298" width="11" style="672" bestFit="1" customWidth="1"/>
    <col min="1299" max="1299" width="9.3984375" style="672" bestFit="1" customWidth="1"/>
    <col min="1300" max="1300" width="7.296875" style="672" bestFit="1" customWidth="1"/>
    <col min="1301" max="1301" width="7.69921875" style="672" bestFit="1" customWidth="1"/>
    <col min="1302" max="1302" width="4" style="672" bestFit="1" customWidth="1"/>
    <col min="1303" max="1303" width="7.3984375" style="672" bestFit="1" customWidth="1"/>
    <col min="1304" max="1304" width="12.3984375" style="672" bestFit="1" customWidth="1"/>
    <col min="1305" max="1305" width="12.8984375" style="672" bestFit="1" customWidth="1"/>
    <col min="1306" max="1306" width="9.69921875" style="672" bestFit="1" customWidth="1"/>
    <col min="1307" max="1307" width="9.09765625" style="672"/>
    <col min="1308" max="1308" width="8.09765625" style="672" bestFit="1" customWidth="1"/>
    <col min="1309" max="1536" width="9.09765625" style="672"/>
    <col min="1537" max="1539" width="15.09765625" style="672" customWidth="1"/>
    <col min="1540" max="1540" width="10.8984375" style="672" customWidth="1"/>
    <col min="1541" max="1541" width="18.09765625" style="672" bestFit="1" customWidth="1"/>
    <col min="1542" max="1542" width="20.296875" style="672" bestFit="1" customWidth="1"/>
    <col min="1543" max="1543" width="18" style="672" bestFit="1" customWidth="1"/>
    <col min="1544" max="1544" width="23.09765625" style="672" customWidth="1"/>
    <col min="1545" max="1545" width="19.09765625" style="672" bestFit="1" customWidth="1"/>
    <col min="1546" max="1546" width="9.09765625" style="672"/>
    <col min="1547" max="1547" width="12.3984375" style="672" customWidth="1"/>
    <col min="1548" max="1548" width="5.59765625" style="672" customWidth="1"/>
    <col min="1549" max="1549" width="32.8984375" style="672" bestFit="1" customWidth="1"/>
    <col min="1550" max="1552" width="15" style="672" customWidth="1"/>
    <col min="1553" max="1553" width="2.3984375" style="672" customWidth="1"/>
    <col min="1554" max="1554" width="11" style="672" bestFit="1" customWidth="1"/>
    <col min="1555" max="1555" width="9.3984375" style="672" bestFit="1" customWidth="1"/>
    <col min="1556" max="1556" width="7.296875" style="672" bestFit="1" customWidth="1"/>
    <col min="1557" max="1557" width="7.69921875" style="672" bestFit="1" customWidth="1"/>
    <col min="1558" max="1558" width="4" style="672" bestFit="1" customWidth="1"/>
    <col min="1559" max="1559" width="7.3984375" style="672" bestFit="1" customWidth="1"/>
    <col min="1560" max="1560" width="12.3984375" style="672" bestFit="1" customWidth="1"/>
    <col min="1561" max="1561" width="12.8984375" style="672" bestFit="1" customWidth="1"/>
    <col min="1562" max="1562" width="9.69921875" style="672" bestFit="1" customWidth="1"/>
    <col min="1563" max="1563" width="9.09765625" style="672"/>
    <col min="1564" max="1564" width="8.09765625" style="672" bestFit="1" customWidth="1"/>
    <col min="1565" max="1792" width="9.09765625" style="672"/>
    <col min="1793" max="1795" width="15.09765625" style="672" customWidth="1"/>
    <col min="1796" max="1796" width="10.8984375" style="672" customWidth="1"/>
    <col min="1797" max="1797" width="18.09765625" style="672" bestFit="1" customWidth="1"/>
    <col min="1798" max="1798" width="20.296875" style="672" bestFit="1" customWidth="1"/>
    <col min="1799" max="1799" width="18" style="672" bestFit="1" customWidth="1"/>
    <col min="1800" max="1800" width="23.09765625" style="672" customWidth="1"/>
    <col min="1801" max="1801" width="19.09765625" style="672" bestFit="1" customWidth="1"/>
    <col min="1802" max="1802" width="9.09765625" style="672"/>
    <col min="1803" max="1803" width="12.3984375" style="672" customWidth="1"/>
    <col min="1804" max="1804" width="5.59765625" style="672" customWidth="1"/>
    <col min="1805" max="1805" width="32.8984375" style="672" bestFit="1" customWidth="1"/>
    <col min="1806" max="1808" width="15" style="672" customWidth="1"/>
    <col min="1809" max="1809" width="2.3984375" style="672" customWidth="1"/>
    <col min="1810" max="1810" width="11" style="672" bestFit="1" customWidth="1"/>
    <col min="1811" max="1811" width="9.3984375" style="672" bestFit="1" customWidth="1"/>
    <col min="1812" max="1812" width="7.296875" style="672" bestFit="1" customWidth="1"/>
    <col min="1813" max="1813" width="7.69921875" style="672" bestFit="1" customWidth="1"/>
    <col min="1814" max="1814" width="4" style="672" bestFit="1" customWidth="1"/>
    <col min="1815" max="1815" width="7.3984375" style="672" bestFit="1" customWidth="1"/>
    <col min="1816" max="1816" width="12.3984375" style="672" bestFit="1" customWidth="1"/>
    <col min="1817" max="1817" width="12.8984375" style="672" bestFit="1" customWidth="1"/>
    <col min="1818" max="1818" width="9.69921875" style="672" bestFit="1" customWidth="1"/>
    <col min="1819" max="1819" width="9.09765625" style="672"/>
    <col min="1820" max="1820" width="8.09765625" style="672" bestFit="1" customWidth="1"/>
    <col min="1821" max="2048" width="9.09765625" style="672"/>
    <col min="2049" max="2051" width="15.09765625" style="672" customWidth="1"/>
    <col min="2052" max="2052" width="10.8984375" style="672" customWidth="1"/>
    <col min="2053" max="2053" width="18.09765625" style="672" bestFit="1" customWidth="1"/>
    <col min="2054" max="2054" width="20.296875" style="672" bestFit="1" customWidth="1"/>
    <col min="2055" max="2055" width="18" style="672" bestFit="1" customWidth="1"/>
    <col min="2056" max="2056" width="23.09765625" style="672" customWidth="1"/>
    <col min="2057" max="2057" width="19.09765625" style="672" bestFit="1" customWidth="1"/>
    <col min="2058" max="2058" width="9.09765625" style="672"/>
    <col min="2059" max="2059" width="12.3984375" style="672" customWidth="1"/>
    <col min="2060" max="2060" width="5.59765625" style="672" customWidth="1"/>
    <col min="2061" max="2061" width="32.8984375" style="672" bestFit="1" customWidth="1"/>
    <col min="2062" max="2064" width="15" style="672" customWidth="1"/>
    <col min="2065" max="2065" width="2.3984375" style="672" customWidth="1"/>
    <col min="2066" max="2066" width="11" style="672" bestFit="1" customWidth="1"/>
    <col min="2067" max="2067" width="9.3984375" style="672" bestFit="1" customWidth="1"/>
    <col min="2068" max="2068" width="7.296875" style="672" bestFit="1" customWidth="1"/>
    <col min="2069" max="2069" width="7.69921875" style="672" bestFit="1" customWidth="1"/>
    <col min="2070" max="2070" width="4" style="672" bestFit="1" customWidth="1"/>
    <col min="2071" max="2071" width="7.3984375" style="672" bestFit="1" customWidth="1"/>
    <col min="2072" max="2072" width="12.3984375" style="672" bestFit="1" customWidth="1"/>
    <col min="2073" max="2073" width="12.8984375" style="672" bestFit="1" customWidth="1"/>
    <col min="2074" max="2074" width="9.69921875" style="672" bestFit="1" customWidth="1"/>
    <col min="2075" max="2075" width="9.09765625" style="672"/>
    <col min="2076" max="2076" width="8.09765625" style="672" bestFit="1" customWidth="1"/>
    <col min="2077" max="2304" width="9.09765625" style="672"/>
    <col min="2305" max="2307" width="15.09765625" style="672" customWidth="1"/>
    <col min="2308" max="2308" width="10.8984375" style="672" customWidth="1"/>
    <col min="2309" max="2309" width="18.09765625" style="672" bestFit="1" customWidth="1"/>
    <col min="2310" max="2310" width="20.296875" style="672" bestFit="1" customWidth="1"/>
    <col min="2311" max="2311" width="18" style="672" bestFit="1" customWidth="1"/>
    <col min="2312" max="2312" width="23.09765625" style="672" customWidth="1"/>
    <col min="2313" max="2313" width="19.09765625" style="672" bestFit="1" customWidth="1"/>
    <col min="2314" max="2314" width="9.09765625" style="672"/>
    <col min="2315" max="2315" width="12.3984375" style="672" customWidth="1"/>
    <col min="2316" max="2316" width="5.59765625" style="672" customWidth="1"/>
    <col min="2317" max="2317" width="32.8984375" style="672" bestFit="1" customWidth="1"/>
    <col min="2318" max="2320" width="15" style="672" customWidth="1"/>
    <col min="2321" max="2321" width="2.3984375" style="672" customWidth="1"/>
    <col min="2322" max="2322" width="11" style="672" bestFit="1" customWidth="1"/>
    <col min="2323" max="2323" width="9.3984375" style="672" bestFit="1" customWidth="1"/>
    <col min="2324" max="2324" width="7.296875" style="672" bestFit="1" customWidth="1"/>
    <col min="2325" max="2325" width="7.69921875" style="672" bestFit="1" customWidth="1"/>
    <col min="2326" max="2326" width="4" style="672" bestFit="1" customWidth="1"/>
    <col min="2327" max="2327" width="7.3984375" style="672" bestFit="1" customWidth="1"/>
    <col min="2328" max="2328" width="12.3984375" style="672" bestFit="1" customWidth="1"/>
    <col min="2329" max="2329" width="12.8984375" style="672" bestFit="1" customWidth="1"/>
    <col min="2330" max="2330" width="9.69921875" style="672" bestFit="1" customWidth="1"/>
    <col min="2331" max="2331" width="9.09765625" style="672"/>
    <col min="2332" max="2332" width="8.09765625" style="672" bestFit="1" customWidth="1"/>
    <col min="2333" max="2560" width="9.09765625" style="672"/>
    <col min="2561" max="2563" width="15.09765625" style="672" customWidth="1"/>
    <col min="2564" max="2564" width="10.8984375" style="672" customWidth="1"/>
    <col min="2565" max="2565" width="18.09765625" style="672" bestFit="1" customWidth="1"/>
    <col min="2566" max="2566" width="20.296875" style="672" bestFit="1" customWidth="1"/>
    <col min="2567" max="2567" width="18" style="672" bestFit="1" customWidth="1"/>
    <col min="2568" max="2568" width="23.09765625" style="672" customWidth="1"/>
    <col min="2569" max="2569" width="19.09765625" style="672" bestFit="1" customWidth="1"/>
    <col min="2570" max="2570" width="9.09765625" style="672"/>
    <col min="2571" max="2571" width="12.3984375" style="672" customWidth="1"/>
    <col min="2572" max="2572" width="5.59765625" style="672" customWidth="1"/>
    <col min="2573" max="2573" width="32.8984375" style="672" bestFit="1" customWidth="1"/>
    <col min="2574" max="2576" width="15" style="672" customWidth="1"/>
    <col min="2577" max="2577" width="2.3984375" style="672" customWidth="1"/>
    <col min="2578" max="2578" width="11" style="672" bestFit="1" customWidth="1"/>
    <col min="2579" max="2579" width="9.3984375" style="672" bestFit="1" customWidth="1"/>
    <col min="2580" max="2580" width="7.296875" style="672" bestFit="1" customWidth="1"/>
    <col min="2581" max="2581" width="7.69921875" style="672" bestFit="1" customWidth="1"/>
    <col min="2582" max="2582" width="4" style="672" bestFit="1" customWidth="1"/>
    <col min="2583" max="2583" width="7.3984375" style="672" bestFit="1" customWidth="1"/>
    <col min="2584" max="2584" width="12.3984375" style="672" bestFit="1" customWidth="1"/>
    <col min="2585" max="2585" width="12.8984375" style="672" bestFit="1" customWidth="1"/>
    <col min="2586" max="2586" width="9.69921875" style="672" bestFit="1" customWidth="1"/>
    <col min="2587" max="2587" width="9.09765625" style="672"/>
    <col min="2588" max="2588" width="8.09765625" style="672" bestFit="1" customWidth="1"/>
    <col min="2589" max="2816" width="9.09765625" style="672"/>
    <col min="2817" max="2819" width="15.09765625" style="672" customWidth="1"/>
    <col min="2820" max="2820" width="10.8984375" style="672" customWidth="1"/>
    <col min="2821" max="2821" width="18.09765625" style="672" bestFit="1" customWidth="1"/>
    <col min="2822" max="2822" width="20.296875" style="672" bestFit="1" customWidth="1"/>
    <col min="2823" max="2823" width="18" style="672" bestFit="1" customWidth="1"/>
    <col min="2824" max="2824" width="23.09765625" style="672" customWidth="1"/>
    <col min="2825" max="2825" width="19.09765625" style="672" bestFit="1" customWidth="1"/>
    <col min="2826" max="2826" width="9.09765625" style="672"/>
    <col min="2827" max="2827" width="12.3984375" style="672" customWidth="1"/>
    <col min="2828" max="2828" width="5.59765625" style="672" customWidth="1"/>
    <col min="2829" max="2829" width="32.8984375" style="672" bestFit="1" customWidth="1"/>
    <col min="2830" max="2832" width="15" style="672" customWidth="1"/>
    <col min="2833" max="2833" width="2.3984375" style="672" customWidth="1"/>
    <col min="2834" max="2834" width="11" style="672" bestFit="1" customWidth="1"/>
    <col min="2835" max="2835" width="9.3984375" style="672" bestFit="1" customWidth="1"/>
    <col min="2836" max="2836" width="7.296875" style="672" bestFit="1" customWidth="1"/>
    <col min="2837" max="2837" width="7.69921875" style="672" bestFit="1" customWidth="1"/>
    <col min="2838" max="2838" width="4" style="672" bestFit="1" customWidth="1"/>
    <col min="2839" max="2839" width="7.3984375" style="672" bestFit="1" customWidth="1"/>
    <col min="2840" max="2840" width="12.3984375" style="672" bestFit="1" customWidth="1"/>
    <col min="2841" max="2841" width="12.8984375" style="672" bestFit="1" customWidth="1"/>
    <col min="2842" max="2842" width="9.69921875" style="672" bestFit="1" customWidth="1"/>
    <col min="2843" max="2843" width="9.09765625" style="672"/>
    <col min="2844" max="2844" width="8.09765625" style="672" bestFit="1" customWidth="1"/>
    <col min="2845" max="3072" width="9.09765625" style="672"/>
    <col min="3073" max="3075" width="15.09765625" style="672" customWidth="1"/>
    <col min="3076" max="3076" width="10.8984375" style="672" customWidth="1"/>
    <col min="3077" max="3077" width="18.09765625" style="672" bestFit="1" customWidth="1"/>
    <col min="3078" max="3078" width="20.296875" style="672" bestFit="1" customWidth="1"/>
    <col min="3079" max="3079" width="18" style="672" bestFit="1" customWidth="1"/>
    <col min="3080" max="3080" width="23.09765625" style="672" customWidth="1"/>
    <col min="3081" max="3081" width="19.09765625" style="672" bestFit="1" customWidth="1"/>
    <col min="3082" max="3082" width="9.09765625" style="672"/>
    <col min="3083" max="3083" width="12.3984375" style="672" customWidth="1"/>
    <col min="3084" max="3084" width="5.59765625" style="672" customWidth="1"/>
    <col min="3085" max="3085" width="32.8984375" style="672" bestFit="1" customWidth="1"/>
    <col min="3086" max="3088" width="15" style="672" customWidth="1"/>
    <col min="3089" max="3089" width="2.3984375" style="672" customWidth="1"/>
    <col min="3090" max="3090" width="11" style="672" bestFit="1" customWidth="1"/>
    <col min="3091" max="3091" width="9.3984375" style="672" bestFit="1" customWidth="1"/>
    <col min="3092" max="3092" width="7.296875" style="672" bestFit="1" customWidth="1"/>
    <col min="3093" max="3093" width="7.69921875" style="672" bestFit="1" customWidth="1"/>
    <col min="3094" max="3094" width="4" style="672" bestFit="1" customWidth="1"/>
    <col min="3095" max="3095" width="7.3984375" style="672" bestFit="1" customWidth="1"/>
    <col min="3096" max="3096" width="12.3984375" style="672" bestFit="1" customWidth="1"/>
    <col min="3097" max="3097" width="12.8984375" style="672" bestFit="1" customWidth="1"/>
    <col min="3098" max="3098" width="9.69921875" style="672" bestFit="1" customWidth="1"/>
    <col min="3099" max="3099" width="9.09765625" style="672"/>
    <col min="3100" max="3100" width="8.09765625" style="672" bestFit="1" customWidth="1"/>
    <col min="3101" max="3328" width="9.09765625" style="672"/>
    <col min="3329" max="3331" width="15.09765625" style="672" customWidth="1"/>
    <col min="3332" max="3332" width="10.8984375" style="672" customWidth="1"/>
    <col min="3333" max="3333" width="18.09765625" style="672" bestFit="1" customWidth="1"/>
    <col min="3334" max="3334" width="20.296875" style="672" bestFit="1" customWidth="1"/>
    <col min="3335" max="3335" width="18" style="672" bestFit="1" customWidth="1"/>
    <col min="3336" max="3336" width="23.09765625" style="672" customWidth="1"/>
    <col min="3337" max="3337" width="19.09765625" style="672" bestFit="1" customWidth="1"/>
    <col min="3338" max="3338" width="9.09765625" style="672"/>
    <col min="3339" max="3339" width="12.3984375" style="672" customWidth="1"/>
    <col min="3340" max="3340" width="5.59765625" style="672" customWidth="1"/>
    <col min="3341" max="3341" width="32.8984375" style="672" bestFit="1" customWidth="1"/>
    <col min="3342" max="3344" width="15" style="672" customWidth="1"/>
    <col min="3345" max="3345" width="2.3984375" style="672" customWidth="1"/>
    <col min="3346" max="3346" width="11" style="672" bestFit="1" customWidth="1"/>
    <col min="3347" max="3347" width="9.3984375" style="672" bestFit="1" customWidth="1"/>
    <col min="3348" max="3348" width="7.296875" style="672" bestFit="1" customWidth="1"/>
    <col min="3349" max="3349" width="7.69921875" style="672" bestFit="1" customWidth="1"/>
    <col min="3350" max="3350" width="4" style="672" bestFit="1" customWidth="1"/>
    <col min="3351" max="3351" width="7.3984375" style="672" bestFit="1" customWidth="1"/>
    <col min="3352" max="3352" width="12.3984375" style="672" bestFit="1" customWidth="1"/>
    <col min="3353" max="3353" width="12.8984375" style="672" bestFit="1" customWidth="1"/>
    <col min="3354" max="3354" width="9.69921875" style="672" bestFit="1" customWidth="1"/>
    <col min="3355" max="3355" width="9.09765625" style="672"/>
    <col min="3356" max="3356" width="8.09765625" style="672" bestFit="1" customWidth="1"/>
    <col min="3357" max="3584" width="9.09765625" style="672"/>
    <col min="3585" max="3587" width="15.09765625" style="672" customWidth="1"/>
    <col min="3588" max="3588" width="10.8984375" style="672" customWidth="1"/>
    <col min="3589" max="3589" width="18.09765625" style="672" bestFit="1" customWidth="1"/>
    <col min="3590" max="3590" width="20.296875" style="672" bestFit="1" customWidth="1"/>
    <col min="3591" max="3591" width="18" style="672" bestFit="1" customWidth="1"/>
    <col min="3592" max="3592" width="23.09765625" style="672" customWidth="1"/>
    <col min="3593" max="3593" width="19.09765625" style="672" bestFit="1" customWidth="1"/>
    <col min="3594" max="3594" width="9.09765625" style="672"/>
    <col min="3595" max="3595" width="12.3984375" style="672" customWidth="1"/>
    <col min="3596" max="3596" width="5.59765625" style="672" customWidth="1"/>
    <col min="3597" max="3597" width="32.8984375" style="672" bestFit="1" customWidth="1"/>
    <col min="3598" max="3600" width="15" style="672" customWidth="1"/>
    <col min="3601" max="3601" width="2.3984375" style="672" customWidth="1"/>
    <col min="3602" max="3602" width="11" style="672" bestFit="1" customWidth="1"/>
    <col min="3603" max="3603" width="9.3984375" style="672" bestFit="1" customWidth="1"/>
    <col min="3604" max="3604" width="7.296875" style="672" bestFit="1" customWidth="1"/>
    <col min="3605" max="3605" width="7.69921875" style="672" bestFit="1" customWidth="1"/>
    <col min="3606" max="3606" width="4" style="672" bestFit="1" customWidth="1"/>
    <col min="3607" max="3607" width="7.3984375" style="672" bestFit="1" customWidth="1"/>
    <col min="3608" max="3608" width="12.3984375" style="672" bestFit="1" customWidth="1"/>
    <col min="3609" max="3609" width="12.8984375" style="672" bestFit="1" customWidth="1"/>
    <col min="3610" max="3610" width="9.69921875" style="672" bestFit="1" customWidth="1"/>
    <col min="3611" max="3611" width="9.09765625" style="672"/>
    <col min="3612" max="3612" width="8.09765625" style="672" bestFit="1" customWidth="1"/>
    <col min="3613" max="3840" width="9.09765625" style="672"/>
    <col min="3841" max="3843" width="15.09765625" style="672" customWidth="1"/>
    <col min="3844" max="3844" width="10.8984375" style="672" customWidth="1"/>
    <col min="3845" max="3845" width="18.09765625" style="672" bestFit="1" customWidth="1"/>
    <col min="3846" max="3846" width="20.296875" style="672" bestFit="1" customWidth="1"/>
    <col min="3847" max="3847" width="18" style="672" bestFit="1" customWidth="1"/>
    <col min="3848" max="3848" width="23.09765625" style="672" customWidth="1"/>
    <col min="3849" max="3849" width="19.09765625" style="672" bestFit="1" customWidth="1"/>
    <col min="3850" max="3850" width="9.09765625" style="672"/>
    <col min="3851" max="3851" width="12.3984375" style="672" customWidth="1"/>
    <col min="3852" max="3852" width="5.59765625" style="672" customWidth="1"/>
    <col min="3853" max="3853" width="32.8984375" style="672" bestFit="1" customWidth="1"/>
    <col min="3854" max="3856" width="15" style="672" customWidth="1"/>
    <col min="3857" max="3857" width="2.3984375" style="672" customWidth="1"/>
    <col min="3858" max="3858" width="11" style="672" bestFit="1" customWidth="1"/>
    <col min="3859" max="3859" width="9.3984375" style="672" bestFit="1" customWidth="1"/>
    <col min="3860" max="3860" width="7.296875" style="672" bestFit="1" customWidth="1"/>
    <col min="3861" max="3861" width="7.69921875" style="672" bestFit="1" customWidth="1"/>
    <col min="3862" max="3862" width="4" style="672" bestFit="1" customWidth="1"/>
    <col min="3863" max="3863" width="7.3984375" style="672" bestFit="1" customWidth="1"/>
    <col min="3864" max="3864" width="12.3984375" style="672" bestFit="1" customWidth="1"/>
    <col min="3865" max="3865" width="12.8984375" style="672" bestFit="1" customWidth="1"/>
    <col min="3866" max="3866" width="9.69921875" style="672" bestFit="1" customWidth="1"/>
    <col min="3867" max="3867" width="9.09765625" style="672"/>
    <col min="3868" max="3868" width="8.09765625" style="672" bestFit="1" customWidth="1"/>
    <col min="3869" max="4096" width="9.09765625" style="672"/>
    <col min="4097" max="4099" width="15.09765625" style="672" customWidth="1"/>
    <col min="4100" max="4100" width="10.8984375" style="672" customWidth="1"/>
    <col min="4101" max="4101" width="18.09765625" style="672" bestFit="1" customWidth="1"/>
    <col min="4102" max="4102" width="20.296875" style="672" bestFit="1" customWidth="1"/>
    <col min="4103" max="4103" width="18" style="672" bestFit="1" customWidth="1"/>
    <col min="4104" max="4104" width="23.09765625" style="672" customWidth="1"/>
    <col min="4105" max="4105" width="19.09765625" style="672" bestFit="1" customWidth="1"/>
    <col min="4106" max="4106" width="9.09765625" style="672"/>
    <col min="4107" max="4107" width="12.3984375" style="672" customWidth="1"/>
    <col min="4108" max="4108" width="5.59765625" style="672" customWidth="1"/>
    <col min="4109" max="4109" width="32.8984375" style="672" bestFit="1" customWidth="1"/>
    <col min="4110" max="4112" width="15" style="672" customWidth="1"/>
    <col min="4113" max="4113" width="2.3984375" style="672" customWidth="1"/>
    <col min="4114" max="4114" width="11" style="672" bestFit="1" customWidth="1"/>
    <col min="4115" max="4115" width="9.3984375" style="672" bestFit="1" customWidth="1"/>
    <col min="4116" max="4116" width="7.296875" style="672" bestFit="1" customWidth="1"/>
    <col min="4117" max="4117" width="7.69921875" style="672" bestFit="1" customWidth="1"/>
    <col min="4118" max="4118" width="4" style="672" bestFit="1" customWidth="1"/>
    <col min="4119" max="4119" width="7.3984375" style="672" bestFit="1" customWidth="1"/>
    <col min="4120" max="4120" width="12.3984375" style="672" bestFit="1" customWidth="1"/>
    <col min="4121" max="4121" width="12.8984375" style="672" bestFit="1" customWidth="1"/>
    <col min="4122" max="4122" width="9.69921875" style="672" bestFit="1" customWidth="1"/>
    <col min="4123" max="4123" width="9.09765625" style="672"/>
    <col min="4124" max="4124" width="8.09765625" style="672" bestFit="1" customWidth="1"/>
    <col min="4125" max="4352" width="9.09765625" style="672"/>
    <col min="4353" max="4355" width="15.09765625" style="672" customWidth="1"/>
    <col min="4356" max="4356" width="10.8984375" style="672" customWidth="1"/>
    <col min="4357" max="4357" width="18.09765625" style="672" bestFit="1" customWidth="1"/>
    <col min="4358" max="4358" width="20.296875" style="672" bestFit="1" customWidth="1"/>
    <col min="4359" max="4359" width="18" style="672" bestFit="1" customWidth="1"/>
    <col min="4360" max="4360" width="23.09765625" style="672" customWidth="1"/>
    <col min="4361" max="4361" width="19.09765625" style="672" bestFit="1" customWidth="1"/>
    <col min="4362" max="4362" width="9.09765625" style="672"/>
    <col min="4363" max="4363" width="12.3984375" style="672" customWidth="1"/>
    <col min="4364" max="4364" width="5.59765625" style="672" customWidth="1"/>
    <col min="4365" max="4365" width="32.8984375" style="672" bestFit="1" customWidth="1"/>
    <col min="4366" max="4368" width="15" style="672" customWidth="1"/>
    <col min="4369" max="4369" width="2.3984375" style="672" customWidth="1"/>
    <col min="4370" max="4370" width="11" style="672" bestFit="1" customWidth="1"/>
    <col min="4371" max="4371" width="9.3984375" style="672" bestFit="1" customWidth="1"/>
    <col min="4372" max="4372" width="7.296875" style="672" bestFit="1" customWidth="1"/>
    <col min="4373" max="4373" width="7.69921875" style="672" bestFit="1" customWidth="1"/>
    <col min="4374" max="4374" width="4" style="672" bestFit="1" customWidth="1"/>
    <col min="4375" max="4375" width="7.3984375" style="672" bestFit="1" customWidth="1"/>
    <col min="4376" max="4376" width="12.3984375" style="672" bestFit="1" customWidth="1"/>
    <col min="4377" max="4377" width="12.8984375" style="672" bestFit="1" customWidth="1"/>
    <col min="4378" max="4378" width="9.69921875" style="672" bestFit="1" customWidth="1"/>
    <col min="4379" max="4379" width="9.09765625" style="672"/>
    <col min="4380" max="4380" width="8.09765625" style="672" bestFit="1" customWidth="1"/>
    <col min="4381" max="4608" width="9.09765625" style="672"/>
    <col min="4609" max="4611" width="15.09765625" style="672" customWidth="1"/>
    <col min="4612" max="4612" width="10.8984375" style="672" customWidth="1"/>
    <col min="4613" max="4613" width="18.09765625" style="672" bestFit="1" customWidth="1"/>
    <col min="4614" max="4614" width="20.296875" style="672" bestFit="1" customWidth="1"/>
    <col min="4615" max="4615" width="18" style="672" bestFit="1" customWidth="1"/>
    <col min="4616" max="4616" width="23.09765625" style="672" customWidth="1"/>
    <col min="4617" max="4617" width="19.09765625" style="672" bestFit="1" customWidth="1"/>
    <col min="4618" max="4618" width="9.09765625" style="672"/>
    <col min="4619" max="4619" width="12.3984375" style="672" customWidth="1"/>
    <col min="4620" max="4620" width="5.59765625" style="672" customWidth="1"/>
    <col min="4621" max="4621" width="32.8984375" style="672" bestFit="1" customWidth="1"/>
    <col min="4622" max="4624" width="15" style="672" customWidth="1"/>
    <col min="4625" max="4625" width="2.3984375" style="672" customWidth="1"/>
    <col min="4626" max="4626" width="11" style="672" bestFit="1" customWidth="1"/>
    <col min="4627" max="4627" width="9.3984375" style="672" bestFit="1" customWidth="1"/>
    <col min="4628" max="4628" width="7.296875" style="672" bestFit="1" customWidth="1"/>
    <col min="4629" max="4629" width="7.69921875" style="672" bestFit="1" customWidth="1"/>
    <col min="4630" max="4630" width="4" style="672" bestFit="1" customWidth="1"/>
    <col min="4631" max="4631" width="7.3984375" style="672" bestFit="1" customWidth="1"/>
    <col min="4632" max="4632" width="12.3984375" style="672" bestFit="1" customWidth="1"/>
    <col min="4633" max="4633" width="12.8984375" style="672" bestFit="1" customWidth="1"/>
    <col min="4634" max="4634" width="9.69921875" style="672" bestFit="1" customWidth="1"/>
    <col min="4635" max="4635" width="9.09765625" style="672"/>
    <col min="4636" max="4636" width="8.09765625" style="672" bestFit="1" customWidth="1"/>
    <col min="4637" max="4864" width="9.09765625" style="672"/>
    <col min="4865" max="4867" width="15.09765625" style="672" customWidth="1"/>
    <col min="4868" max="4868" width="10.8984375" style="672" customWidth="1"/>
    <col min="4869" max="4869" width="18.09765625" style="672" bestFit="1" customWidth="1"/>
    <col min="4870" max="4870" width="20.296875" style="672" bestFit="1" customWidth="1"/>
    <col min="4871" max="4871" width="18" style="672" bestFit="1" customWidth="1"/>
    <col min="4872" max="4872" width="23.09765625" style="672" customWidth="1"/>
    <col min="4873" max="4873" width="19.09765625" style="672" bestFit="1" customWidth="1"/>
    <col min="4874" max="4874" width="9.09765625" style="672"/>
    <col min="4875" max="4875" width="12.3984375" style="672" customWidth="1"/>
    <col min="4876" max="4876" width="5.59765625" style="672" customWidth="1"/>
    <col min="4877" max="4877" width="32.8984375" style="672" bestFit="1" customWidth="1"/>
    <col min="4878" max="4880" width="15" style="672" customWidth="1"/>
    <col min="4881" max="4881" width="2.3984375" style="672" customWidth="1"/>
    <col min="4882" max="4882" width="11" style="672" bestFit="1" customWidth="1"/>
    <col min="4883" max="4883" width="9.3984375" style="672" bestFit="1" customWidth="1"/>
    <col min="4884" max="4884" width="7.296875" style="672" bestFit="1" customWidth="1"/>
    <col min="4885" max="4885" width="7.69921875" style="672" bestFit="1" customWidth="1"/>
    <col min="4886" max="4886" width="4" style="672" bestFit="1" customWidth="1"/>
    <col min="4887" max="4887" width="7.3984375" style="672" bestFit="1" customWidth="1"/>
    <col min="4888" max="4888" width="12.3984375" style="672" bestFit="1" customWidth="1"/>
    <col min="4889" max="4889" width="12.8984375" style="672" bestFit="1" customWidth="1"/>
    <col min="4890" max="4890" width="9.69921875" style="672" bestFit="1" customWidth="1"/>
    <col min="4891" max="4891" width="9.09765625" style="672"/>
    <col min="4892" max="4892" width="8.09765625" style="672" bestFit="1" customWidth="1"/>
    <col min="4893" max="5120" width="9.09765625" style="672"/>
    <col min="5121" max="5123" width="15.09765625" style="672" customWidth="1"/>
    <col min="5124" max="5124" width="10.8984375" style="672" customWidth="1"/>
    <col min="5125" max="5125" width="18.09765625" style="672" bestFit="1" customWidth="1"/>
    <col min="5126" max="5126" width="20.296875" style="672" bestFit="1" customWidth="1"/>
    <col min="5127" max="5127" width="18" style="672" bestFit="1" customWidth="1"/>
    <col min="5128" max="5128" width="23.09765625" style="672" customWidth="1"/>
    <col min="5129" max="5129" width="19.09765625" style="672" bestFit="1" customWidth="1"/>
    <col min="5130" max="5130" width="9.09765625" style="672"/>
    <col min="5131" max="5131" width="12.3984375" style="672" customWidth="1"/>
    <col min="5132" max="5132" width="5.59765625" style="672" customWidth="1"/>
    <col min="5133" max="5133" width="32.8984375" style="672" bestFit="1" customWidth="1"/>
    <col min="5134" max="5136" width="15" style="672" customWidth="1"/>
    <col min="5137" max="5137" width="2.3984375" style="672" customWidth="1"/>
    <col min="5138" max="5138" width="11" style="672" bestFit="1" customWidth="1"/>
    <col min="5139" max="5139" width="9.3984375" style="672" bestFit="1" customWidth="1"/>
    <col min="5140" max="5140" width="7.296875" style="672" bestFit="1" customWidth="1"/>
    <col min="5141" max="5141" width="7.69921875" style="672" bestFit="1" customWidth="1"/>
    <col min="5142" max="5142" width="4" style="672" bestFit="1" customWidth="1"/>
    <col min="5143" max="5143" width="7.3984375" style="672" bestFit="1" customWidth="1"/>
    <col min="5144" max="5144" width="12.3984375" style="672" bestFit="1" customWidth="1"/>
    <col min="5145" max="5145" width="12.8984375" style="672" bestFit="1" customWidth="1"/>
    <col min="5146" max="5146" width="9.69921875" style="672" bestFit="1" customWidth="1"/>
    <col min="5147" max="5147" width="9.09765625" style="672"/>
    <col min="5148" max="5148" width="8.09765625" style="672" bestFit="1" customWidth="1"/>
    <col min="5149" max="5376" width="9.09765625" style="672"/>
    <col min="5377" max="5379" width="15.09765625" style="672" customWidth="1"/>
    <col min="5380" max="5380" width="10.8984375" style="672" customWidth="1"/>
    <col min="5381" max="5381" width="18.09765625" style="672" bestFit="1" customWidth="1"/>
    <col min="5382" max="5382" width="20.296875" style="672" bestFit="1" customWidth="1"/>
    <col min="5383" max="5383" width="18" style="672" bestFit="1" customWidth="1"/>
    <col min="5384" max="5384" width="23.09765625" style="672" customWidth="1"/>
    <col min="5385" max="5385" width="19.09765625" style="672" bestFit="1" customWidth="1"/>
    <col min="5386" max="5386" width="9.09765625" style="672"/>
    <col min="5387" max="5387" width="12.3984375" style="672" customWidth="1"/>
    <col min="5388" max="5388" width="5.59765625" style="672" customWidth="1"/>
    <col min="5389" max="5389" width="32.8984375" style="672" bestFit="1" customWidth="1"/>
    <col min="5390" max="5392" width="15" style="672" customWidth="1"/>
    <col min="5393" max="5393" width="2.3984375" style="672" customWidth="1"/>
    <col min="5394" max="5394" width="11" style="672" bestFit="1" customWidth="1"/>
    <col min="5395" max="5395" width="9.3984375" style="672" bestFit="1" customWidth="1"/>
    <col min="5396" max="5396" width="7.296875" style="672" bestFit="1" customWidth="1"/>
    <col min="5397" max="5397" width="7.69921875" style="672" bestFit="1" customWidth="1"/>
    <col min="5398" max="5398" width="4" style="672" bestFit="1" customWidth="1"/>
    <col min="5399" max="5399" width="7.3984375" style="672" bestFit="1" customWidth="1"/>
    <col min="5400" max="5400" width="12.3984375" style="672" bestFit="1" customWidth="1"/>
    <col min="5401" max="5401" width="12.8984375" style="672" bestFit="1" customWidth="1"/>
    <col min="5402" max="5402" width="9.69921875" style="672" bestFit="1" customWidth="1"/>
    <col min="5403" max="5403" width="9.09765625" style="672"/>
    <col min="5404" max="5404" width="8.09765625" style="672" bestFit="1" customWidth="1"/>
    <col min="5405" max="5632" width="9.09765625" style="672"/>
    <col min="5633" max="5635" width="15.09765625" style="672" customWidth="1"/>
    <col min="5636" max="5636" width="10.8984375" style="672" customWidth="1"/>
    <col min="5637" max="5637" width="18.09765625" style="672" bestFit="1" customWidth="1"/>
    <col min="5638" max="5638" width="20.296875" style="672" bestFit="1" customWidth="1"/>
    <col min="5639" max="5639" width="18" style="672" bestFit="1" customWidth="1"/>
    <col min="5640" max="5640" width="23.09765625" style="672" customWidth="1"/>
    <col min="5641" max="5641" width="19.09765625" style="672" bestFit="1" customWidth="1"/>
    <col min="5642" max="5642" width="9.09765625" style="672"/>
    <col min="5643" max="5643" width="12.3984375" style="672" customWidth="1"/>
    <col min="5644" max="5644" width="5.59765625" style="672" customWidth="1"/>
    <col min="5645" max="5645" width="32.8984375" style="672" bestFit="1" customWidth="1"/>
    <col min="5646" max="5648" width="15" style="672" customWidth="1"/>
    <col min="5649" max="5649" width="2.3984375" style="672" customWidth="1"/>
    <col min="5650" max="5650" width="11" style="672" bestFit="1" customWidth="1"/>
    <col min="5651" max="5651" width="9.3984375" style="672" bestFit="1" customWidth="1"/>
    <col min="5652" max="5652" width="7.296875" style="672" bestFit="1" customWidth="1"/>
    <col min="5653" max="5653" width="7.69921875" style="672" bestFit="1" customWidth="1"/>
    <col min="5654" max="5654" width="4" style="672" bestFit="1" customWidth="1"/>
    <col min="5655" max="5655" width="7.3984375" style="672" bestFit="1" customWidth="1"/>
    <col min="5656" max="5656" width="12.3984375" style="672" bestFit="1" customWidth="1"/>
    <col min="5657" max="5657" width="12.8984375" style="672" bestFit="1" customWidth="1"/>
    <col min="5658" max="5658" width="9.69921875" style="672" bestFit="1" customWidth="1"/>
    <col min="5659" max="5659" width="9.09765625" style="672"/>
    <col min="5660" max="5660" width="8.09765625" style="672" bestFit="1" customWidth="1"/>
    <col min="5661" max="5888" width="9.09765625" style="672"/>
    <col min="5889" max="5891" width="15.09765625" style="672" customWidth="1"/>
    <col min="5892" max="5892" width="10.8984375" style="672" customWidth="1"/>
    <col min="5893" max="5893" width="18.09765625" style="672" bestFit="1" customWidth="1"/>
    <col min="5894" max="5894" width="20.296875" style="672" bestFit="1" customWidth="1"/>
    <col min="5895" max="5895" width="18" style="672" bestFit="1" customWidth="1"/>
    <col min="5896" max="5896" width="23.09765625" style="672" customWidth="1"/>
    <col min="5897" max="5897" width="19.09765625" style="672" bestFit="1" customWidth="1"/>
    <col min="5898" max="5898" width="9.09765625" style="672"/>
    <col min="5899" max="5899" width="12.3984375" style="672" customWidth="1"/>
    <col min="5900" max="5900" width="5.59765625" style="672" customWidth="1"/>
    <col min="5901" max="5901" width="32.8984375" style="672" bestFit="1" customWidth="1"/>
    <col min="5902" max="5904" width="15" style="672" customWidth="1"/>
    <col min="5905" max="5905" width="2.3984375" style="672" customWidth="1"/>
    <col min="5906" max="5906" width="11" style="672" bestFit="1" customWidth="1"/>
    <col min="5907" max="5907" width="9.3984375" style="672" bestFit="1" customWidth="1"/>
    <col min="5908" max="5908" width="7.296875" style="672" bestFit="1" customWidth="1"/>
    <col min="5909" max="5909" width="7.69921875" style="672" bestFit="1" customWidth="1"/>
    <col min="5910" max="5910" width="4" style="672" bestFit="1" customWidth="1"/>
    <col min="5911" max="5911" width="7.3984375" style="672" bestFit="1" customWidth="1"/>
    <col min="5912" max="5912" width="12.3984375" style="672" bestFit="1" customWidth="1"/>
    <col min="5913" max="5913" width="12.8984375" style="672" bestFit="1" customWidth="1"/>
    <col min="5914" max="5914" width="9.69921875" style="672" bestFit="1" customWidth="1"/>
    <col min="5915" max="5915" width="9.09765625" style="672"/>
    <col min="5916" max="5916" width="8.09765625" style="672" bestFit="1" customWidth="1"/>
    <col min="5917" max="6144" width="9.09765625" style="672"/>
    <col min="6145" max="6147" width="15.09765625" style="672" customWidth="1"/>
    <col min="6148" max="6148" width="10.8984375" style="672" customWidth="1"/>
    <col min="6149" max="6149" width="18.09765625" style="672" bestFit="1" customWidth="1"/>
    <col min="6150" max="6150" width="20.296875" style="672" bestFit="1" customWidth="1"/>
    <col min="6151" max="6151" width="18" style="672" bestFit="1" customWidth="1"/>
    <col min="6152" max="6152" width="23.09765625" style="672" customWidth="1"/>
    <col min="6153" max="6153" width="19.09765625" style="672" bestFit="1" customWidth="1"/>
    <col min="6154" max="6154" width="9.09765625" style="672"/>
    <col min="6155" max="6155" width="12.3984375" style="672" customWidth="1"/>
    <col min="6156" max="6156" width="5.59765625" style="672" customWidth="1"/>
    <col min="6157" max="6157" width="32.8984375" style="672" bestFit="1" customWidth="1"/>
    <col min="6158" max="6160" width="15" style="672" customWidth="1"/>
    <col min="6161" max="6161" width="2.3984375" style="672" customWidth="1"/>
    <col min="6162" max="6162" width="11" style="672" bestFit="1" customWidth="1"/>
    <col min="6163" max="6163" width="9.3984375" style="672" bestFit="1" customWidth="1"/>
    <col min="6164" max="6164" width="7.296875" style="672" bestFit="1" customWidth="1"/>
    <col min="6165" max="6165" width="7.69921875" style="672" bestFit="1" customWidth="1"/>
    <col min="6166" max="6166" width="4" style="672" bestFit="1" customWidth="1"/>
    <col min="6167" max="6167" width="7.3984375" style="672" bestFit="1" customWidth="1"/>
    <col min="6168" max="6168" width="12.3984375" style="672" bestFit="1" customWidth="1"/>
    <col min="6169" max="6169" width="12.8984375" style="672" bestFit="1" customWidth="1"/>
    <col min="6170" max="6170" width="9.69921875" style="672" bestFit="1" customWidth="1"/>
    <col min="6171" max="6171" width="9.09765625" style="672"/>
    <col min="6172" max="6172" width="8.09765625" style="672" bestFit="1" customWidth="1"/>
    <col min="6173" max="6400" width="9.09765625" style="672"/>
    <col min="6401" max="6403" width="15.09765625" style="672" customWidth="1"/>
    <col min="6404" max="6404" width="10.8984375" style="672" customWidth="1"/>
    <col min="6405" max="6405" width="18.09765625" style="672" bestFit="1" customWidth="1"/>
    <col min="6406" max="6406" width="20.296875" style="672" bestFit="1" customWidth="1"/>
    <col min="6407" max="6407" width="18" style="672" bestFit="1" customWidth="1"/>
    <col min="6408" max="6408" width="23.09765625" style="672" customWidth="1"/>
    <col min="6409" max="6409" width="19.09765625" style="672" bestFit="1" customWidth="1"/>
    <col min="6410" max="6410" width="9.09765625" style="672"/>
    <col min="6411" max="6411" width="12.3984375" style="672" customWidth="1"/>
    <col min="6412" max="6412" width="5.59765625" style="672" customWidth="1"/>
    <col min="6413" max="6413" width="32.8984375" style="672" bestFit="1" customWidth="1"/>
    <col min="6414" max="6416" width="15" style="672" customWidth="1"/>
    <col min="6417" max="6417" width="2.3984375" style="672" customWidth="1"/>
    <col min="6418" max="6418" width="11" style="672" bestFit="1" customWidth="1"/>
    <col min="6419" max="6419" width="9.3984375" style="672" bestFit="1" customWidth="1"/>
    <col min="6420" max="6420" width="7.296875" style="672" bestFit="1" customWidth="1"/>
    <col min="6421" max="6421" width="7.69921875" style="672" bestFit="1" customWidth="1"/>
    <col min="6422" max="6422" width="4" style="672" bestFit="1" customWidth="1"/>
    <col min="6423" max="6423" width="7.3984375" style="672" bestFit="1" customWidth="1"/>
    <col min="6424" max="6424" width="12.3984375" style="672" bestFit="1" customWidth="1"/>
    <col min="6425" max="6425" width="12.8984375" style="672" bestFit="1" customWidth="1"/>
    <col min="6426" max="6426" width="9.69921875" style="672" bestFit="1" customWidth="1"/>
    <col min="6427" max="6427" width="9.09765625" style="672"/>
    <col min="6428" max="6428" width="8.09765625" style="672" bestFit="1" customWidth="1"/>
    <col min="6429" max="6656" width="9.09765625" style="672"/>
    <col min="6657" max="6659" width="15.09765625" style="672" customWidth="1"/>
    <col min="6660" max="6660" width="10.8984375" style="672" customWidth="1"/>
    <col min="6661" max="6661" width="18.09765625" style="672" bestFit="1" customWidth="1"/>
    <col min="6662" max="6662" width="20.296875" style="672" bestFit="1" customWidth="1"/>
    <col min="6663" max="6663" width="18" style="672" bestFit="1" customWidth="1"/>
    <col min="6664" max="6664" width="23.09765625" style="672" customWidth="1"/>
    <col min="6665" max="6665" width="19.09765625" style="672" bestFit="1" customWidth="1"/>
    <col min="6666" max="6666" width="9.09765625" style="672"/>
    <col min="6667" max="6667" width="12.3984375" style="672" customWidth="1"/>
    <col min="6668" max="6668" width="5.59765625" style="672" customWidth="1"/>
    <col min="6669" max="6669" width="32.8984375" style="672" bestFit="1" customWidth="1"/>
    <col min="6670" max="6672" width="15" style="672" customWidth="1"/>
    <col min="6673" max="6673" width="2.3984375" style="672" customWidth="1"/>
    <col min="6674" max="6674" width="11" style="672" bestFit="1" customWidth="1"/>
    <col min="6675" max="6675" width="9.3984375" style="672" bestFit="1" customWidth="1"/>
    <col min="6676" max="6676" width="7.296875" style="672" bestFit="1" customWidth="1"/>
    <col min="6677" max="6677" width="7.69921875" style="672" bestFit="1" customWidth="1"/>
    <col min="6678" max="6678" width="4" style="672" bestFit="1" customWidth="1"/>
    <col min="6679" max="6679" width="7.3984375" style="672" bestFit="1" customWidth="1"/>
    <col min="6680" max="6680" width="12.3984375" style="672" bestFit="1" customWidth="1"/>
    <col min="6681" max="6681" width="12.8984375" style="672" bestFit="1" customWidth="1"/>
    <col min="6682" max="6682" width="9.69921875" style="672" bestFit="1" customWidth="1"/>
    <col min="6683" max="6683" width="9.09765625" style="672"/>
    <col min="6684" max="6684" width="8.09765625" style="672" bestFit="1" customWidth="1"/>
    <col min="6685" max="6912" width="9.09765625" style="672"/>
    <col min="6913" max="6915" width="15.09765625" style="672" customWidth="1"/>
    <col min="6916" max="6916" width="10.8984375" style="672" customWidth="1"/>
    <col min="6917" max="6917" width="18.09765625" style="672" bestFit="1" customWidth="1"/>
    <col min="6918" max="6918" width="20.296875" style="672" bestFit="1" customWidth="1"/>
    <col min="6919" max="6919" width="18" style="672" bestFit="1" customWidth="1"/>
    <col min="6920" max="6920" width="23.09765625" style="672" customWidth="1"/>
    <col min="6921" max="6921" width="19.09765625" style="672" bestFit="1" customWidth="1"/>
    <col min="6922" max="6922" width="9.09765625" style="672"/>
    <col min="6923" max="6923" width="12.3984375" style="672" customWidth="1"/>
    <col min="6924" max="6924" width="5.59765625" style="672" customWidth="1"/>
    <col min="6925" max="6925" width="32.8984375" style="672" bestFit="1" customWidth="1"/>
    <col min="6926" max="6928" width="15" style="672" customWidth="1"/>
    <col min="6929" max="6929" width="2.3984375" style="672" customWidth="1"/>
    <col min="6930" max="6930" width="11" style="672" bestFit="1" customWidth="1"/>
    <col min="6931" max="6931" width="9.3984375" style="672" bestFit="1" customWidth="1"/>
    <col min="6932" max="6932" width="7.296875" style="672" bestFit="1" customWidth="1"/>
    <col min="6933" max="6933" width="7.69921875" style="672" bestFit="1" customWidth="1"/>
    <col min="6934" max="6934" width="4" style="672" bestFit="1" customWidth="1"/>
    <col min="6935" max="6935" width="7.3984375" style="672" bestFit="1" customWidth="1"/>
    <col min="6936" max="6936" width="12.3984375" style="672" bestFit="1" customWidth="1"/>
    <col min="6937" max="6937" width="12.8984375" style="672" bestFit="1" customWidth="1"/>
    <col min="6938" max="6938" width="9.69921875" style="672" bestFit="1" customWidth="1"/>
    <col min="6939" max="6939" width="9.09765625" style="672"/>
    <col min="6940" max="6940" width="8.09765625" style="672" bestFit="1" customWidth="1"/>
    <col min="6941" max="7168" width="9.09765625" style="672"/>
    <col min="7169" max="7171" width="15.09765625" style="672" customWidth="1"/>
    <col min="7172" max="7172" width="10.8984375" style="672" customWidth="1"/>
    <col min="7173" max="7173" width="18.09765625" style="672" bestFit="1" customWidth="1"/>
    <col min="7174" max="7174" width="20.296875" style="672" bestFit="1" customWidth="1"/>
    <col min="7175" max="7175" width="18" style="672" bestFit="1" customWidth="1"/>
    <col min="7176" max="7176" width="23.09765625" style="672" customWidth="1"/>
    <col min="7177" max="7177" width="19.09765625" style="672" bestFit="1" customWidth="1"/>
    <col min="7178" max="7178" width="9.09765625" style="672"/>
    <col min="7179" max="7179" width="12.3984375" style="672" customWidth="1"/>
    <col min="7180" max="7180" width="5.59765625" style="672" customWidth="1"/>
    <col min="7181" max="7181" width="32.8984375" style="672" bestFit="1" customWidth="1"/>
    <col min="7182" max="7184" width="15" style="672" customWidth="1"/>
    <col min="7185" max="7185" width="2.3984375" style="672" customWidth="1"/>
    <col min="7186" max="7186" width="11" style="672" bestFit="1" customWidth="1"/>
    <col min="7187" max="7187" width="9.3984375" style="672" bestFit="1" customWidth="1"/>
    <col min="7188" max="7188" width="7.296875" style="672" bestFit="1" customWidth="1"/>
    <col min="7189" max="7189" width="7.69921875" style="672" bestFit="1" customWidth="1"/>
    <col min="7190" max="7190" width="4" style="672" bestFit="1" customWidth="1"/>
    <col min="7191" max="7191" width="7.3984375" style="672" bestFit="1" customWidth="1"/>
    <col min="7192" max="7192" width="12.3984375" style="672" bestFit="1" customWidth="1"/>
    <col min="7193" max="7193" width="12.8984375" style="672" bestFit="1" customWidth="1"/>
    <col min="7194" max="7194" width="9.69921875" style="672" bestFit="1" customWidth="1"/>
    <col min="7195" max="7195" width="9.09765625" style="672"/>
    <col min="7196" max="7196" width="8.09765625" style="672" bestFit="1" customWidth="1"/>
    <col min="7197" max="7424" width="9.09765625" style="672"/>
    <col min="7425" max="7427" width="15.09765625" style="672" customWidth="1"/>
    <col min="7428" max="7428" width="10.8984375" style="672" customWidth="1"/>
    <col min="7429" max="7429" width="18.09765625" style="672" bestFit="1" customWidth="1"/>
    <col min="7430" max="7430" width="20.296875" style="672" bestFit="1" customWidth="1"/>
    <col min="7431" max="7431" width="18" style="672" bestFit="1" customWidth="1"/>
    <col min="7432" max="7432" width="23.09765625" style="672" customWidth="1"/>
    <col min="7433" max="7433" width="19.09765625" style="672" bestFit="1" customWidth="1"/>
    <col min="7434" max="7434" width="9.09765625" style="672"/>
    <col min="7435" max="7435" width="12.3984375" style="672" customWidth="1"/>
    <col min="7436" max="7436" width="5.59765625" style="672" customWidth="1"/>
    <col min="7437" max="7437" width="32.8984375" style="672" bestFit="1" customWidth="1"/>
    <col min="7438" max="7440" width="15" style="672" customWidth="1"/>
    <col min="7441" max="7441" width="2.3984375" style="672" customWidth="1"/>
    <col min="7442" max="7442" width="11" style="672" bestFit="1" customWidth="1"/>
    <col min="7443" max="7443" width="9.3984375" style="672" bestFit="1" customWidth="1"/>
    <col min="7444" max="7444" width="7.296875" style="672" bestFit="1" customWidth="1"/>
    <col min="7445" max="7445" width="7.69921875" style="672" bestFit="1" customWidth="1"/>
    <col min="7446" max="7446" width="4" style="672" bestFit="1" customWidth="1"/>
    <col min="7447" max="7447" width="7.3984375" style="672" bestFit="1" customWidth="1"/>
    <col min="7448" max="7448" width="12.3984375" style="672" bestFit="1" customWidth="1"/>
    <col min="7449" max="7449" width="12.8984375" style="672" bestFit="1" customWidth="1"/>
    <col min="7450" max="7450" width="9.69921875" style="672" bestFit="1" customWidth="1"/>
    <col min="7451" max="7451" width="9.09765625" style="672"/>
    <col min="7452" max="7452" width="8.09765625" style="672" bestFit="1" customWidth="1"/>
    <col min="7453" max="7680" width="9.09765625" style="672"/>
    <col min="7681" max="7683" width="15.09765625" style="672" customWidth="1"/>
    <col min="7684" max="7684" width="10.8984375" style="672" customWidth="1"/>
    <col min="7685" max="7685" width="18.09765625" style="672" bestFit="1" customWidth="1"/>
    <col min="7686" max="7686" width="20.296875" style="672" bestFit="1" customWidth="1"/>
    <col min="7687" max="7687" width="18" style="672" bestFit="1" customWidth="1"/>
    <col min="7688" max="7688" width="23.09765625" style="672" customWidth="1"/>
    <col min="7689" max="7689" width="19.09765625" style="672" bestFit="1" customWidth="1"/>
    <col min="7690" max="7690" width="9.09765625" style="672"/>
    <col min="7691" max="7691" width="12.3984375" style="672" customWidth="1"/>
    <col min="7692" max="7692" width="5.59765625" style="672" customWidth="1"/>
    <col min="7693" max="7693" width="32.8984375" style="672" bestFit="1" customWidth="1"/>
    <col min="7694" max="7696" width="15" style="672" customWidth="1"/>
    <col min="7697" max="7697" width="2.3984375" style="672" customWidth="1"/>
    <col min="7698" max="7698" width="11" style="672" bestFit="1" customWidth="1"/>
    <col min="7699" max="7699" width="9.3984375" style="672" bestFit="1" customWidth="1"/>
    <col min="7700" max="7700" width="7.296875" style="672" bestFit="1" customWidth="1"/>
    <col min="7701" max="7701" width="7.69921875" style="672" bestFit="1" customWidth="1"/>
    <col min="7702" max="7702" width="4" style="672" bestFit="1" customWidth="1"/>
    <col min="7703" max="7703" width="7.3984375" style="672" bestFit="1" customWidth="1"/>
    <col min="7704" max="7704" width="12.3984375" style="672" bestFit="1" customWidth="1"/>
    <col min="7705" max="7705" width="12.8984375" style="672" bestFit="1" customWidth="1"/>
    <col min="7706" max="7706" width="9.69921875" style="672" bestFit="1" customWidth="1"/>
    <col min="7707" max="7707" width="9.09765625" style="672"/>
    <col min="7708" max="7708" width="8.09765625" style="672" bestFit="1" customWidth="1"/>
    <col min="7709" max="7936" width="9.09765625" style="672"/>
    <col min="7937" max="7939" width="15.09765625" style="672" customWidth="1"/>
    <col min="7940" max="7940" width="10.8984375" style="672" customWidth="1"/>
    <col min="7941" max="7941" width="18.09765625" style="672" bestFit="1" customWidth="1"/>
    <col min="7942" max="7942" width="20.296875" style="672" bestFit="1" customWidth="1"/>
    <col min="7943" max="7943" width="18" style="672" bestFit="1" customWidth="1"/>
    <col min="7944" max="7944" width="23.09765625" style="672" customWidth="1"/>
    <col min="7945" max="7945" width="19.09765625" style="672" bestFit="1" customWidth="1"/>
    <col min="7946" max="7946" width="9.09765625" style="672"/>
    <col min="7947" max="7947" width="12.3984375" style="672" customWidth="1"/>
    <col min="7948" max="7948" width="5.59765625" style="672" customWidth="1"/>
    <col min="7949" max="7949" width="32.8984375" style="672" bestFit="1" customWidth="1"/>
    <col min="7950" max="7952" width="15" style="672" customWidth="1"/>
    <col min="7953" max="7953" width="2.3984375" style="672" customWidth="1"/>
    <col min="7954" max="7954" width="11" style="672" bestFit="1" customWidth="1"/>
    <col min="7955" max="7955" width="9.3984375" style="672" bestFit="1" customWidth="1"/>
    <col min="7956" max="7956" width="7.296875" style="672" bestFit="1" customWidth="1"/>
    <col min="7957" max="7957" width="7.69921875" style="672" bestFit="1" customWidth="1"/>
    <col min="7958" max="7958" width="4" style="672" bestFit="1" customWidth="1"/>
    <col min="7959" max="7959" width="7.3984375" style="672" bestFit="1" customWidth="1"/>
    <col min="7960" max="7960" width="12.3984375" style="672" bestFit="1" customWidth="1"/>
    <col min="7961" max="7961" width="12.8984375" style="672" bestFit="1" customWidth="1"/>
    <col min="7962" max="7962" width="9.69921875" style="672" bestFit="1" customWidth="1"/>
    <col min="7963" max="7963" width="9.09765625" style="672"/>
    <col min="7964" max="7964" width="8.09765625" style="672" bestFit="1" customWidth="1"/>
    <col min="7965" max="8192" width="9.09765625" style="672"/>
    <col min="8193" max="8195" width="15.09765625" style="672" customWidth="1"/>
    <col min="8196" max="8196" width="10.8984375" style="672" customWidth="1"/>
    <col min="8197" max="8197" width="18.09765625" style="672" bestFit="1" customWidth="1"/>
    <col min="8198" max="8198" width="20.296875" style="672" bestFit="1" customWidth="1"/>
    <col min="8199" max="8199" width="18" style="672" bestFit="1" customWidth="1"/>
    <col min="8200" max="8200" width="23.09765625" style="672" customWidth="1"/>
    <col min="8201" max="8201" width="19.09765625" style="672" bestFit="1" customWidth="1"/>
    <col min="8202" max="8202" width="9.09765625" style="672"/>
    <col min="8203" max="8203" width="12.3984375" style="672" customWidth="1"/>
    <col min="8204" max="8204" width="5.59765625" style="672" customWidth="1"/>
    <col min="8205" max="8205" width="32.8984375" style="672" bestFit="1" customWidth="1"/>
    <col min="8206" max="8208" width="15" style="672" customWidth="1"/>
    <col min="8209" max="8209" width="2.3984375" style="672" customWidth="1"/>
    <col min="8210" max="8210" width="11" style="672" bestFit="1" customWidth="1"/>
    <col min="8211" max="8211" width="9.3984375" style="672" bestFit="1" customWidth="1"/>
    <col min="8212" max="8212" width="7.296875" style="672" bestFit="1" customWidth="1"/>
    <col min="8213" max="8213" width="7.69921875" style="672" bestFit="1" customWidth="1"/>
    <col min="8214" max="8214" width="4" style="672" bestFit="1" customWidth="1"/>
    <col min="8215" max="8215" width="7.3984375" style="672" bestFit="1" customWidth="1"/>
    <col min="8216" max="8216" width="12.3984375" style="672" bestFit="1" customWidth="1"/>
    <col min="8217" max="8217" width="12.8984375" style="672" bestFit="1" customWidth="1"/>
    <col min="8218" max="8218" width="9.69921875" style="672" bestFit="1" customWidth="1"/>
    <col min="8219" max="8219" width="9.09765625" style="672"/>
    <col min="8220" max="8220" width="8.09765625" style="672" bestFit="1" customWidth="1"/>
    <col min="8221" max="8448" width="9.09765625" style="672"/>
    <col min="8449" max="8451" width="15.09765625" style="672" customWidth="1"/>
    <col min="8452" max="8452" width="10.8984375" style="672" customWidth="1"/>
    <col min="8453" max="8453" width="18.09765625" style="672" bestFit="1" customWidth="1"/>
    <col min="8454" max="8454" width="20.296875" style="672" bestFit="1" customWidth="1"/>
    <col min="8455" max="8455" width="18" style="672" bestFit="1" customWidth="1"/>
    <col min="8456" max="8456" width="23.09765625" style="672" customWidth="1"/>
    <col min="8457" max="8457" width="19.09765625" style="672" bestFit="1" customWidth="1"/>
    <col min="8458" max="8458" width="9.09765625" style="672"/>
    <col min="8459" max="8459" width="12.3984375" style="672" customWidth="1"/>
    <col min="8460" max="8460" width="5.59765625" style="672" customWidth="1"/>
    <col min="8461" max="8461" width="32.8984375" style="672" bestFit="1" customWidth="1"/>
    <col min="8462" max="8464" width="15" style="672" customWidth="1"/>
    <col min="8465" max="8465" width="2.3984375" style="672" customWidth="1"/>
    <col min="8466" max="8466" width="11" style="672" bestFit="1" customWidth="1"/>
    <col min="8467" max="8467" width="9.3984375" style="672" bestFit="1" customWidth="1"/>
    <col min="8468" max="8468" width="7.296875" style="672" bestFit="1" customWidth="1"/>
    <col min="8469" max="8469" width="7.69921875" style="672" bestFit="1" customWidth="1"/>
    <col min="8470" max="8470" width="4" style="672" bestFit="1" customWidth="1"/>
    <col min="8471" max="8471" width="7.3984375" style="672" bestFit="1" customWidth="1"/>
    <col min="8472" max="8472" width="12.3984375" style="672" bestFit="1" customWidth="1"/>
    <col min="8473" max="8473" width="12.8984375" style="672" bestFit="1" customWidth="1"/>
    <col min="8474" max="8474" width="9.69921875" style="672" bestFit="1" customWidth="1"/>
    <col min="8475" max="8475" width="9.09765625" style="672"/>
    <col min="8476" max="8476" width="8.09765625" style="672" bestFit="1" customWidth="1"/>
    <col min="8477" max="8704" width="9.09765625" style="672"/>
    <col min="8705" max="8707" width="15.09765625" style="672" customWidth="1"/>
    <col min="8708" max="8708" width="10.8984375" style="672" customWidth="1"/>
    <col min="8709" max="8709" width="18.09765625" style="672" bestFit="1" customWidth="1"/>
    <col min="8710" max="8710" width="20.296875" style="672" bestFit="1" customWidth="1"/>
    <col min="8711" max="8711" width="18" style="672" bestFit="1" customWidth="1"/>
    <col min="8712" max="8712" width="23.09765625" style="672" customWidth="1"/>
    <col min="8713" max="8713" width="19.09765625" style="672" bestFit="1" customWidth="1"/>
    <col min="8714" max="8714" width="9.09765625" style="672"/>
    <col min="8715" max="8715" width="12.3984375" style="672" customWidth="1"/>
    <col min="8716" max="8716" width="5.59765625" style="672" customWidth="1"/>
    <col min="8717" max="8717" width="32.8984375" style="672" bestFit="1" customWidth="1"/>
    <col min="8718" max="8720" width="15" style="672" customWidth="1"/>
    <col min="8721" max="8721" width="2.3984375" style="672" customWidth="1"/>
    <col min="8722" max="8722" width="11" style="672" bestFit="1" customWidth="1"/>
    <col min="8723" max="8723" width="9.3984375" style="672" bestFit="1" customWidth="1"/>
    <col min="8724" max="8724" width="7.296875" style="672" bestFit="1" customWidth="1"/>
    <col min="8725" max="8725" width="7.69921875" style="672" bestFit="1" customWidth="1"/>
    <col min="8726" max="8726" width="4" style="672" bestFit="1" customWidth="1"/>
    <col min="8727" max="8727" width="7.3984375" style="672" bestFit="1" customWidth="1"/>
    <col min="8728" max="8728" width="12.3984375" style="672" bestFit="1" customWidth="1"/>
    <col min="8729" max="8729" width="12.8984375" style="672" bestFit="1" customWidth="1"/>
    <col min="8730" max="8730" width="9.69921875" style="672" bestFit="1" customWidth="1"/>
    <col min="8731" max="8731" width="9.09765625" style="672"/>
    <col min="8732" max="8732" width="8.09765625" style="672" bestFit="1" customWidth="1"/>
    <col min="8733" max="8960" width="9.09765625" style="672"/>
    <col min="8961" max="8963" width="15.09765625" style="672" customWidth="1"/>
    <col min="8964" max="8964" width="10.8984375" style="672" customWidth="1"/>
    <col min="8965" max="8965" width="18.09765625" style="672" bestFit="1" customWidth="1"/>
    <col min="8966" max="8966" width="20.296875" style="672" bestFit="1" customWidth="1"/>
    <col min="8967" max="8967" width="18" style="672" bestFit="1" customWidth="1"/>
    <col min="8968" max="8968" width="23.09765625" style="672" customWidth="1"/>
    <col min="8969" max="8969" width="19.09765625" style="672" bestFit="1" customWidth="1"/>
    <col min="8970" max="8970" width="9.09765625" style="672"/>
    <col min="8971" max="8971" width="12.3984375" style="672" customWidth="1"/>
    <col min="8972" max="8972" width="5.59765625" style="672" customWidth="1"/>
    <col min="8973" max="8973" width="32.8984375" style="672" bestFit="1" customWidth="1"/>
    <col min="8974" max="8976" width="15" style="672" customWidth="1"/>
    <col min="8977" max="8977" width="2.3984375" style="672" customWidth="1"/>
    <col min="8978" max="8978" width="11" style="672" bestFit="1" customWidth="1"/>
    <col min="8979" max="8979" width="9.3984375" style="672" bestFit="1" customWidth="1"/>
    <col min="8980" max="8980" width="7.296875" style="672" bestFit="1" customWidth="1"/>
    <col min="8981" max="8981" width="7.69921875" style="672" bestFit="1" customWidth="1"/>
    <col min="8982" max="8982" width="4" style="672" bestFit="1" customWidth="1"/>
    <col min="8983" max="8983" width="7.3984375" style="672" bestFit="1" customWidth="1"/>
    <col min="8984" max="8984" width="12.3984375" style="672" bestFit="1" customWidth="1"/>
    <col min="8985" max="8985" width="12.8984375" style="672" bestFit="1" customWidth="1"/>
    <col min="8986" max="8986" width="9.69921875" style="672" bestFit="1" customWidth="1"/>
    <col min="8987" max="8987" width="9.09765625" style="672"/>
    <col min="8988" max="8988" width="8.09765625" style="672" bestFit="1" customWidth="1"/>
    <col min="8989" max="9216" width="9.09765625" style="672"/>
    <col min="9217" max="9219" width="15.09765625" style="672" customWidth="1"/>
    <col min="9220" max="9220" width="10.8984375" style="672" customWidth="1"/>
    <col min="9221" max="9221" width="18.09765625" style="672" bestFit="1" customWidth="1"/>
    <col min="9222" max="9222" width="20.296875" style="672" bestFit="1" customWidth="1"/>
    <col min="9223" max="9223" width="18" style="672" bestFit="1" customWidth="1"/>
    <col min="9224" max="9224" width="23.09765625" style="672" customWidth="1"/>
    <col min="9225" max="9225" width="19.09765625" style="672" bestFit="1" customWidth="1"/>
    <col min="9226" max="9226" width="9.09765625" style="672"/>
    <col min="9227" max="9227" width="12.3984375" style="672" customWidth="1"/>
    <col min="9228" max="9228" width="5.59765625" style="672" customWidth="1"/>
    <col min="9229" max="9229" width="32.8984375" style="672" bestFit="1" customWidth="1"/>
    <col min="9230" max="9232" width="15" style="672" customWidth="1"/>
    <col min="9233" max="9233" width="2.3984375" style="672" customWidth="1"/>
    <col min="9234" max="9234" width="11" style="672" bestFit="1" customWidth="1"/>
    <col min="9235" max="9235" width="9.3984375" style="672" bestFit="1" customWidth="1"/>
    <col min="9236" max="9236" width="7.296875" style="672" bestFit="1" customWidth="1"/>
    <col min="9237" max="9237" width="7.69921875" style="672" bestFit="1" customWidth="1"/>
    <col min="9238" max="9238" width="4" style="672" bestFit="1" customWidth="1"/>
    <col min="9239" max="9239" width="7.3984375" style="672" bestFit="1" customWidth="1"/>
    <col min="9240" max="9240" width="12.3984375" style="672" bestFit="1" customWidth="1"/>
    <col min="9241" max="9241" width="12.8984375" style="672" bestFit="1" customWidth="1"/>
    <col min="9242" max="9242" width="9.69921875" style="672" bestFit="1" customWidth="1"/>
    <col min="9243" max="9243" width="9.09765625" style="672"/>
    <col min="9244" max="9244" width="8.09765625" style="672" bestFit="1" customWidth="1"/>
    <col min="9245" max="9472" width="9.09765625" style="672"/>
    <col min="9473" max="9475" width="15.09765625" style="672" customWidth="1"/>
    <col min="9476" max="9476" width="10.8984375" style="672" customWidth="1"/>
    <col min="9477" max="9477" width="18.09765625" style="672" bestFit="1" customWidth="1"/>
    <col min="9478" max="9478" width="20.296875" style="672" bestFit="1" customWidth="1"/>
    <col min="9479" max="9479" width="18" style="672" bestFit="1" customWidth="1"/>
    <col min="9480" max="9480" width="23.09765625" style="672" customWidth="1"/>
    <col min="9481" max="9481" width="19.09765625" style="672" bestFit="1" customWidth="1"/>
    <col min="9482" max="9482" width="9.09765625" style="672"/>
    <col min="9483" max="9483" width="12.3984375" style="672" customWidth="1"/>
    <col min="9484" max="9484" width="5.59765625" style="672" customWidth="1"/>
    <col min="9485" max="9485" width="32.8984375" style="672" bestFit="1" customWidth="1"/>
    <col min="9486" max="9488" width="15" style="672" customWidth="1"/>
    <col min="9489" max="9489" width="2.3984375" style="672" customWidth="1"/>
    <col min="9490" max="9490" width="11" style="672" bestFit="1" customWidth="1"/>
    <col min="9491" max="9491" width="9.3984375" style="672" bestFit="1" customWidth="1"/>
    <col min="9492" max="9492" width="7.296875" style="672" bestFit="1" customWidth="1"/>
    <col min="9493" max="9493" width="7.69921875" style="672" bestFit="1" customWidth="1"/>
    <col min="9494" max="9494" width="4" style="672" bestFit="1" customWidth="1"/>
    <col min="9495" max="9495" width="7.3984375" style="672" bestFit="1" customWidth="1"/>
    <col min="9496" max="9496" width="12.3984375" style="672" bestFit="1" customWidth="1"/>
    <col min="9497" max="9497" width="12.8984375" style="672" bestFit="1" customWidth="1"/>
    <col min="9498" max="9498" width="9.69921875" style="672" bestFit="1" customWidth="1"/>
    <col min="9499" max="9499" width="9.09765625" style="672"/>
    <col min="9500" max="9500" width="8.09765625" style="672" bestFit="1" customWidth="1"/>
    <col min="9501" max="9728" width="9.09765625" style="672"/>
    <col min="9729" max="9731" width="15.09765625" style="672" customWidth="1"/>
    <col min="9732" max="9732" width="10.8984375" style="672" customWidth="1"/>
    <col min="9733" max="9733" width="18.09765625" style="672" bestFit="1" customWidth="1"/>
    <col min="9734" max="9734" width="20.296875" style="672" bestFit="1" customWidth="1"/>
    <col min="9735" max="9735" width="18" style="672" bestFit="1" customWidth="1"/>
    <col min="9736" max="9736" width="23.09765625" style="672" customWidth="1"/>
    <col min="9737" max="9737" width="19.09765625" style="672" bestFit="1" customWidth="1"/>
    <col min="9738" max="9738" width="9.09765625" style="672"/>
    <col min="9739" max="9739" width="12.3984375" style="672" customWidth="1"/>
    <col min="9740" max="9740" width="5.59765625" style="672" customWidth="1"/>
    <col min="9741" max="9741" width="32.8984375" style="672" bestFit="1" customWidth="1"/>
    <col min="9742" max="9744" width="15" style="672" customWidth="1"/>
    <col min="9745" max="9745" width="2.3984375" style="672" customWidth="1"/>
    <col min="9746" max="9746" width="11" style="672" bestFit="1" customWidth="1"/>
    <col min="9747" max="9747" width="9.3984375" style="672" bestFit="1" customWidth="1"/>
    <col min="9748" max="9748" width="7.296875" style="672" bestFit="1" customWidth="1"/>
    <col min="9749" max="9749" width="7.69921875" style="672" bestFit="1" customWidth="1"/>
    <col min="9750" max="9750" width="4" style="672" bestFit="1" customWidth="1"/>
    <col min="9751" max="9751" width="7.3984375" style="672" bestFit="1" customWidth="1"/>
    <col min="9752" max="9752" width="12.3984375" style="672" bestFit="1" customWidth="1"/>
    <col min="9753" max="9753" width="12.8984375" style="672" bestFit="1" customWidth="1"/>
    <col min="9754" max="9754" width="9.69921875" style="672" bestFit="1" customWidth="1"/>
    <col min="9755" max="9755" width="9.09765625" style="672"/>
    <col min="9756" max="9756" width="8.09765625" style="672" bestFit="1" customWidth="1"/>
    <col min="9757" max="9984" width="9.09765625" style="672"/>
    <col min="9985" max="9987" width="15.09765625" style="672" customWidth="1"/>
    <col min="9988" max="9988" width="10.8984375" style="672" customWidth="1"/>
    <col min="9989" max="9989" width="18.09765625" style="672" bestFit="1" customWidth="1"/>
    <col min="9990" max="9990" width="20.296875" style="672" bestFit="1" customWidth="1"/>
    <col min="9991" max="9991" width="18" style="672" bestFit="1" customWidth="1"/>
    <col min="9992" max="9992" width="23.09765625" style="672" customWidth="1"/>
    <col min="9993" max="9993" width="19.09765625" style="672" bestFit="1" customWidth="1"/>
    <col min="9994" max="9994" width="9.09765625" style="672"/>
    <col min="9995" max="9995" width="12.3984375" style="672" customWidth="1"/>
    <col min="9996" max="9996" width="5.59765625" style="672" customWidth="1"/>
    <col min="9997" max="9997" width="32.8984375" style="672" bestFit="1" customWidth="1"/>
    <col min="9998" max="10000" width="15" style="672" customWidth="1"/>
    <col min="10001" max="10001" width="2.3984375" style="672" customWidth="1"/>
    <col min="10002" max="10002" width="11" style="672" bestFit="1" customWidth="1"/>
    <col min="10003" max="10003" width="9.3984375" style="672" bestFit="1" customWidth="1"/>
    <col min="10004" max="10004" width="7.296875" style="672" bestFit="1" customWidth="1"/>
    <col min="10005" max="10005" width="7.69921875" style="672" bestFit="1" customWidth="1"/>
    <col min="10006" max="10006" width="4" style="672" bestFit="1" customWidth="1"/>
    <col min="10007" max="10007" width="7.3984375" style="672" bestFit="1" customWidth="1"/>
    <col min="10008" max="10008" width="12.3984375" style="672" bestFit="1" customWidth="1"/>
    <col min="10009" max="10009" width="12.8984375" style="672" bestFit="1" customWidth="1"/>
    <col min="10010" max="10010" width="9.69921875" style="672" bestFit="1" customWidth="1"/>
    <col min="10011" max="10011" width="9.09765625" style="672"/>
    <col min="10012" max="10012" width="8.09765625" style="672" bestFit="1" customWidth="1"/>
    <col min="10013" max="10240" width="9.09765625" style="672"/>
    <col min="10241" max="10243" width="15.09765625" style="672" customWidth="1"/>
    <col min="10244" max="10244" width="10.8984375" style="672" customWidth="1"/>
    <col min="10245" max="10245" width="18.09765625" style="672" bestFit="1" customWidth="1"/>
    <col min="10246" max="10246" width="20.296875" style="672" bestFit="1" customWidth="1"/>
    <col min="10247" max="10247" width="18" style="672" bestFit="1" customWidth="1"/>
    <col min="10248" max="10248" width="23.09765625" style="672" customWidth="1"/>
    <col min="10249" max="10249" width="19.09765625" style="672" bestFit="1" customWidth="1"/>
    <col min="10250" max="10250" width="9.09765625" style="672"/>
    <col min="10251" max="10251" width="12.3984375" style="672" customWidth="1"/>
    <col min="10252" max="10252" width="5.59765625" style="672" customWidth="1"/>
    <col min="10253" max="10253" width="32.8984375" style="672" bestFit="1" customWidth="1"/>
    <col min="10254" max="10256" width="15" style="672" customWidth="1"/>
    <col min="10257" max="10257" width="2.3984375" style="672" customWidth="1"/>
    <col min="10258" max="10258" width="11" style="672" bestFit="1" customWidth="1"/>
    <col min="10259" max="10259" width="9.3984375" style="672" bestFit="1" customWidth="1"/>
    <col min="10260" max="10260" width="7.296875" style="672" bestFit="1" customWidth="1"/>
    <col min="10261" max="10261" width="7.69921875" style="672" bestFit="1" customWidth="1"/>
    <col min="10262" max="10262" width="4" style="672" bestFit="1" customWidth="1"/>
    <col min="10263" max="10263" width="7.3984375" style="672" bestFit="1" customWidth="1"/>
    <col min="10264" max="10264" width="12.3984375" style="672" bestFit="1" customWidth="1"/>
    <col min="10265" max="10265" width="12.8984375" style="672" bestFit="1" customWidth="1"/>
    <col min="10266" max="10266" width="9.69921875" style="672" bestFit="1" customWidth="1"/>
    <col min="10267" max="10267" width="9.09765625" style="672"/>
    <col min="10268" max="10268" width="8.09765625" style="672" bestFit="1" customWidth="1"/>
    <col min="10269" max="10496" width="9.09765625" style="672"/>
    <col min="10497" max="10499" width="15.09765625" style="672" customWidth="1"/>
    <col min="10500" max="10500" width="10.8984375" style="672" customWidth="1"/>
    <col min="10501" max="10501" width="18.09765625" style="672" bestFit="1" customWidth="1"/>
    <col min="10502" max="10502" width="20.296875" style="672" bestFit="1" customWidth="1"/>
    <col min="10503" max="10503" width="18" style="672" bestFit="1" customWidth="1"/>
    <col min="10504" max="10504" width="23.09765625" style="672" customWidth="1"/>
    <col min="10505" max="10505" width="19.09765625" style="672" bestFit="1" customWidth="1"/>
    <col min="10506" max="10506" width="9.09765625" style="672"/>
    <col min="10507" max="10507" width="12.3984375" style="672" customWidth="1"/>
    <col min="10508" max="10508" width="5.59765625" style="672" customWidth="1"/>
    <col min="10509" max="10509" width="32.8984375" style="672" bestFit="1" customWidth="1"/>
    <col min="10510" max="10512" width="15" style="672" customWidth="1"/>
    <col min="10513" max="10513" width="2.3984375" style="672" customWidth="1"/>
    <col min="10514" max="10514" width="11" style="672" bestFit="1" customWidth="1"/>
    <col min="10515" max="10515" width="9.3984375" style="672" bestFit="1" customWidth="1"/>
    <col min="10516" max="10516" width="7.296875" style="672" bestFit="1" customWidth="1"/>
    <col min="10517" max="10517" width="7.69921875" style="672" bestFit="1" customWidth="1"/>
    <col min="10518" max="10518" width="4" style="672" bestFit="1" customWidth="1"/>
    <col min="10519" max="10519" width="7.3984375" style="672" bestFit="1" customWidth="1"/>
    <col min="10520" max="10520" width="12.3984375" style="672" bestFit="1" customWidth="1"/>
    <col min="10521" max="10521" width="12.8984375" style="672" bestFit="1" customWidth="1"/>
    <col min="10522" max="10522" width="9.69921875" style="672" bestFit="1" customWidth="1"/>
    <col min="10523" max="10523" width="9.09765625" style="672"/>
    <col min="10524" max="10524" width="8.09765625" style="672" bestFit="1" customWidth="1"/>
    <col min="10525" max="10752" width="9.09765625" style="672"/>
    <col min="10753" max="10755" width="15.09765625" style="672" customWidth="1"/>
    <col min="10756" max="10756" width="10.8984375" style="672" customWidth="1"/>
    <col min="10757" max="10757" width="18.09765625" style="672" bestFit="1" customWidth="1"/>
    <col min="10758" max="10758" width="20.296875" style="672" bestFit="1" customWidth="1"/>
    <col min="10759" max="10759" width="18" style="672" bestFit="1" customWidth="1"/>
    <col min="10760" max="10760" width="23.09765625" style="672" customWidth="1"/>
    <col min="10761" max="10761" width="19.09765625" style="672" bestFit="1" customWidth="1"/>
    <col min="10762" max="10762" width="9.09765625" style="672"/>
    <col min="10763" max="10763" width="12.3984375" style="672" customWidth="1"/>
    <col min="10764" max="10764" width="5.59765625" style="672" customWidth="1"/>
    <col min="10765" max="10765" width="32.8984375" style="672" bestFit="1" customWidth="1"/>
    <col min="10766" max="10768" width="15" style="672" customWidth="1"/>
    <col min="10769" max="10769" width="2.3984375" style="672" customWidth="1"/>
    <col min="10770" max="10770" width="11" style="672" bestFit="1" customWidth="1"/>
    <col min="10771" max="10771" width="9.3984375" style="672" bestFit="1" customWidth="1"/>
    <col min="10772" max="10772" width="7.296875" style="672" bestFit="1" customWidth="1"/>
    <col min="10773" max="10773" width="7.69921875" style="672" bestFit="1" customWidth="1"/>
    <col min="10774" max="10774" width="4" style="672" bestFit="1" customWidth="1"/>
    <col min="10775" max="10775" width="7.3984375" style="672" bestFit="1" customWidth="1"/>
    <col min="10776" max="10776" width="12.3984375" style="672" bestFit="1" customWidth="1"/>
    <col min="10777" max="10777" width="12.8984375" style="672" bestFit="1" customWidth="1"/>
    <col min="10778" max="10778" width="9.69921875" style="672" bestFit="1" customWidth="1"/>
    <col min="10779" max="10779" width="9.09765625" style="672"/>
    <col min="10780" max="10780" width="8.09765625" style="672" bestFit="1" customWidth="1"/>
    <col min="10781" max="11008" width="9.09765625" style="672"/>
    <col min="11009" max="11011" width="15.09765625" style="672" customWidth="1"/>
    <col min="11012" max="11012" width="10.8984375" style="672" customWidth="1"/>
    <col min="11013" max="11013" width="18.09765625" style="672" bestFit="1" customWidth="1"/>
    <col min="11014" max="11014" width="20.296875" style="672" bestFit="1" customWidth="1"/>
    <col min="11015" max="11015" width="18" style="672" bestFit="1" customWidth="1"/>
    <col min="11016" max="11016" width="23.09765625" style="672" customWidth="1"/>
    <col min="11017" max="11017" width="19.09765625" style="672" bestFit="1" customWidth="1"/>
    <col min="11018" max="11018" width="9.09765625" style="672"/>
    <col min="11019" max="11019" width="12.3984375" style="672" customWidth="1"/>
    <col min="11020" max="11020" width="5.59765625" style="672" customWidth="1"/>
    <col min="11021" max="11021" width="32.8984375" style="672" bestFit="1" customWidth="1"/>
    <col min="11022" max="11024" width="15" style="672" customWidth="1"/>
    <col min="11025" max="11025" width="2.3984375" style="672" customWidth="1"/>
    <col min="11026" max="11026" width="11" style="672" bestFit="1" customWidth="1"/>
    <col min="11027" max="11027" width="9.3984375" style="672" bestFit="1" customWidth="1"/>
    <col min="11028" max="11028" width="7.296875" style="672" bestFit="1" customWidth="1"/>
    <col min="11029" max="11029" width="7.69921875" style="672" bestFit="1" customWidth="1"/>
    <col min="11030" max="11030" width="4" style="672" bestFit="1" customWidth="1"/>
    <col min="11031" max="11031" width="7.3984375" style="672" bestFit="1" customWidth="1"/>
    <col min="11032" max="11032" width="12.3984375" style="672" bestFit="1" customWidth="1"/>
    <col min="11033" max="11033" width="12.8984375" style="672" bestFit="1" customWidth="1"/>
    <col min="11034" max="11034" width="9.69921875" style="672" bestFit="1" customWidth="1"/>
    <col min="11035" max="11035" width="9.09765625" style="672"/>
    <col min="11036" max="11036" width="8.09765625" style="672" bestFit="1" customWidth="1"/>
    <col min="11037" max="11264" width="9.09765625" style="672"/>
    <col min="11265" max="11267" width="15.09765625" style="672" customWidth="1"/>
    <col min="11268" max="11268" width="10.8984375" style="672" customWidth="1"/>
    <col min="11269" max="11269" width="18.09765625" style="672" bestFit="1" customWidth="1"/>
    <col min="11270" max="11270" width="20.296875" style="672" bestFit="1" customWidth="1"/>
    <col min="11271" max="11271" width="18" style="672" bestFit="1" customWidth="1"/>
    <col min="11272" max="11272" width="23.09765625" style="672" customWidth="1"/>
    <col min="11273" max="11273" width="19.09765625" style="672" bestFit="1" customWidth="1"/>
    <col min="11274" max="11274" width="9.09765625" style="672"/>
    <col min="11275" max="11275" width="12.3984375" style="672" customWidth="1"/>
    <col min="11276" max="11276" width="5.59765625" style="672" customWidth="1"/>
    <col min="11277" max="11277" width="32.8984375" style="672" bestFit="1" customWidth="1"/>
    <col min="11278" max="11280" width="15" style="672" customWidth="1"/>
    <col min="11281" max="11281" width="2.3984375" style="672" customWidth="1"/>
    <col min="11282" max="11282" width="11" style="672" bestFit="1" customWidth="1"/>
    <col min="11283" max="11283" width="9.3984375" style="672" bestFit="1" customWidth="1"/>
    <col min="11284" max="11284" width="7.296875" style="672" bestFit="1" customWidth="1"/>
    <col min="11285" max="11285" width="7.69921875" style="672" bestFit="1" customWidth="1"/>
    <col min="11286" max="11286" width="4" style="672" bestFit="1" customWidth="1"/>
    <col min="11287" max="11287" width="7.3984375" style="672" bestFit="1" customWidth="1"/>
    <col min="11288" max="11288" width="12.3984375" style="672" bestFit="1" customWidth="1"/>
    <col min="11289" max="11289" width="12.8984375" style="672" bestFit="1" customWidth="1"/>
    <col min="11290" max="11290" width="9.69921875" style="672" bestFit="1" customWidth="1"/>
    <col min="11291" max="11291" width="9.09765625" style="672"/>
    <col min="11292" max="11292" width="8.09765625" style="672" bestFit="1" customWidth="1"/>
    <col min="11293" max="11520" width="9.09765625" style="672"/>
    <col min="11521" max="11523" width="15.09765625" style="672" customWidth="1"/>
    <col min="11524" max="11524" width="10.8984375" style="672" customWidth="1"/>
    <col min="11525" max="11525" width="18.09765625" style="672" bestFit="1" customWidth="1"/>
    <col min="11526" max="11526" width="20.296875" style="672" bestFit="1" customWidth="1"/>
    <col min="11527" max="11527" width="18" style="672" bestFit="1" customWidth="1"/>
    <col min="11528" max="11528" width="23.09765625" style="672" customWidth="1"/>
    <col min="11529" max="11529" width="19.09765625" style="672" bestFit="1" customWidth="1"/>
    <col min="11530" max="11530" width="9.09765625" style="672"/>
    <col min="11531" max="11531" width="12.3984375" style="672" customWidth="1"/>
    <col min="11532" max="11532" width="5.59765625" style="672" customWidth="1"/>
    <col min="11533" max="11533" width="32.8984375" style="672" bestFit="1" customWidth="1"/>
    <col min="11534" max="11536" width="15" style="672" customWidth="1"/>
    <col min="11537" max="11537" width="2.3984375" style="672" customWidth="1"/>
    <col min="11538" max="11538" width="11" style="672" bestFit="1" customWidth="1"/>
    <col min="11539" max="11539" width="9.3984375" style="672" bestFit="1" customWidth="1"/>
    <col min="11540" max="11540" width="7.296875" style="672" bestFit="1" customWidth="1"/>
    <col min="11541" max="11541" width="7.69921875" style="672" bestFit="1" customWidth="1"/>
    <col min="11542" max="11542" width="4" style="672" bestFit="1" customWidth="1"/>
    <col min="11543" max="11543" width="7.3984375" style="672" bestFit="1" customWidth="1"/>
    <col min="11544" max="11544" width="12.3984375" style="672" bestFit="1" customWidth="1"/>
    <col min="11545" max="11545" width="12.8984375" style="672" bestFit="1" customWidth="1"/>
    <col min="11546" max="11546" width="9.69921875" style="672" bestFit="1" customWidth="1"/>
    <col min="11547" max="11547" width="9.09765625" style="672"/>
    <col min="11548" max="11548" width="8.09765625" style="672" bestFit="1" customWidth="1"/>
    <col min="11549" max="11776" width="9.09765625" style="672"/>
    <col min="11777" max="11779" width="15.09765625" style="672" customWidth="1"/>
    <col min="11780" max="11780" width="10.8984375" style="672" customWidth="1"/>
    <col min="11781" max="11781" width="18.09765625" style="672" bestFit="1" customWidth="1"/>
    <col min="11782" max="11782" width="20.296875" style="672" bestFit="1" customWidth="1"/>
    <col min="11783" max="11783" width="18" style="672" bestFit="1" customWidth="1"/>
    <col min="11784" max="11784" width="23.09765625" style="672" customWidth="1"/>
    <col min="11785" max="11785" width="19.09765625" style="672" bestFit="1" customWidth="1"/>
    <col min="11786" max="11786" width="9.09765625" style="672"/>
    <col min="11787" max="11787" width="12.3984375" style="672" customWidth="1"/>
    <col min="11788" max="11788" width="5.59765625" style="672" customWidth="1"/>
    <col min="11789" max="11789" width="32.8984375" style="672" bestFit="1" customWidth="1"/>
    <col min="11790" max="11792" width="15" style="672" customWidth="1"/>
    <col min="11793" max="11793" width="2.3984375" style="672" customWidth="1"/>
    <col min="11794" max="11794" width="11" style="672" bestFit="1" customWidth="1"/>
    <col min="11795" max="11795" width="9.3984375" style="672" bestFit="1" customWidth="1"/>
    <col min="11796" max="11796" width="7.296875" style="672" bestFit="1" customWidth="1"/>
    <col min="11797" max="11797" width="7.69921875" style="672" bestFit="1" customWidth="1"/>
    <col min="11798" max="11798" width="4" style="672" bestFit="1" customWidth="1"/>
    <col min="11799" max="11799" width="7.3984375" style="672" bestFit="1" customWidth="1"/>
    <col min="11800" max="11800" width="12.3984375" style="672" bestFit="1" customWidth="1"/>
    <col min="11801" max="11801" width="12.8984375" style="672" bestFit="1" customWidth="1"/>
    <col min="11802" max="11802" width="9.69921875" style="672" bestFit="1" customWidth="1"/>
    <col min="11803" max="11803" width="9.09765625" style="672"/>
    <col min="11804" max="11804" width="8.09765625" style="672" bestFit="1" customWidth="1"/>
    <col min="11805" max="12032" width="9.09765625" style="672"/>
    <col min="12033" max="12035" width="15.09765625" style="672" customWidth="1"/>
    <col min="12036" max="12036" width="10.8984375" style="672" customWidth="1"/>
    <col min="12037" max="12037" width="18.09765625" style="672" bestFit="1" customWidth="1"/>
    <col min="12038" max="12038" width="20.296875" style="672" bestFit="1" customWidth="1"/>
    <col min="12039" max="12039" width="18" style="672" bestFit="1" customWidth="1"/>
    <col min="12040" max="12040" width="23.09765625" style="672" customWidth="1"/>
    <col min="12041" max="12041" width="19.09765625" style="672" bestFit="1" customWidth="1"/>
    <col min="12042" max="12042" width="9.09765625" style="672"/>
    <col min="12043" max="12043" width="12.3984375" style="672" customWidth="1"/>
    <col min="12044" max="12044" width="5.59765625" style="672" customWidth="1"/>
    <col min="12045" max="12045" width="32.8984375" style="672" bestFit="1" customWidth="1"/>
    <col min="12046" max="12048" width="15" style="672" customWidth="1"/>
    <col min="12049" max="12049" width="2.3984375" style="672" customWidth="1"/>
    <col min="12050" max="12050" width="11" style="672" bestFit="1" customWidth="1"/>
    <col min="12051" max="12051" width="9.3984375" style="672" bestFit="1" customWidth="1"/>
    <col min="12052" max="12052" width="7.296875" style="672" bestFit="1" customWidth="1"/>
    <col min="12053" max="12053" width="7.69921875" style="672" bestFit="1" customWidth="1"/>
    <col min="12054" max="12054" width="4" style="672" bestFit="1" customWidth="1"/>
    <col min="12055" max="12055" width="7.3984375" style="672" bestFit="1" customWidth="1"/>
    <col min="12056" max="12056" width="12.3984375" style="672" bestFit="1" customWidth="1"/>
    <col min="12057" max="12057" width="12.8984375" style="672" bestFit="1" customWidth="1"/>
    <col min="12058" max="12058" width="9.69921875" style="672" bestFit="1" customWidth="1"/>
    <col min="12059" max="12059" width="9.09765625" style="672"/>
    <col min="12060" max="12060" width="8.09765625" style="672" bestFit="1" customWidth="1"/>
    <col min="12061" max="12288" width="9.09765625" style="672"/>
    <col min="12289" max="12291" width="15.09765625" style="672" customWidth="1"/>
    <col min="12292" max="12292" width="10.8984375" style="672" customWidth="1"/>
    <col min="12293" max="12293" width="18.09765625" style="672" bestFit="1" customWidth="1"/>
    <col min="12294" max="12294" width="20.296875" style="672" bestFit="1" customWidth="1"/>
    <col min="12295" max="12295" width="18" style="672" bestFit="1" customWidth="1"/>
    <col min="12296" max="12296" width="23.09765625" style="672" customWidth="1"/>
    <col min="12297" max="12297" width="19.09765625" style="672" bestFit="1" customWidth="1"/>
    <col min="12298" max="12298" width="9.09765625" style="672"/>
    <col min="12299" max="12299" width="12.3984375" style="672" customWidth="1"/>
    <col min="12300" max="12300" width="5.59765625" style="672" customWidth="1"/>
    <col min="12301" max="12301" width="32.8984375" style="672" bestFit="1" customWidth="1"/>
    <col min="12302" max="12304" width="15" style="672" customWidth="1"/>
    <col min="12305" max="12305" width="2.3984375" style="672" customWidth="1"/>
    <col min="12306" max="12306" width="11" style="672" bestFit="1" customWidth="1"/>
    <col min="12307" max="12307" width="9.3984375" style="672" bestFit="1" customWidth="1"/>
    <col min="12308" max="12308" width="7.296875" style="672" bestFit="1" customWidth="1"/>
    <col min="12309" max="12309" width="7.69921875" style="672" bestFit="1" customWidth="1"/>
    <col min="12310" max="12310" width="4" style="672" bestFit="1" customWidth="1"/>
    <col min="12311" max="12311" width="7.3984375" style="672" bestFit="1" customWidth="1"/>
    <col min="12312" max="12312" width="12.3984375" style="672" bestFit="1" customWidth="1"/>
    <col min="12313" max="12313" width="12.8984375" style="672" bestFit="1" customWidth="1"/>
    <col min="12314" max="12314" width="9.69921875" style="672" bestFit="1" customWidth="1"/>
    <col min="12315" max="12315" width="9.09765625" style="672"/>
    <col min="12316" max="12316" width="8.09765625" style="672" bestFit="1" customWidth="1"/>
    <col min="12317" max="12544" width="9.09765625" style="672"/>
    <col min="12545" max="12547" width="15.09765625" style="672" customWidth="1"/>
    <col min="12548" max="12548" width="10.8984375" style="672" customWidth="1"/>
    <col min="12549" max="12549" width="18.09765625" style="672" bestFit="1" customWidth="1"/>
    <col min="12550" max="12550" width="20.296875" style="672" bestFit="1" customWidth="1"/>
    <col min="12551" max="12551" width="18" style="672" bestFit="1" customWidth="1"/>
    <col min="12552" max="12552" width="23.09765625" style="672" customWidth="1"/>
    <col min="12553" max="12553" width="19.09765625" style="672" bestFit="1" customWidth="1"/>
    <col min="12554" max="12554" width="9.09765625" style="672"/>
    <col min="12555" max="12555" width="12.3984375" style="672" customWidth="1"/>
    <col min="12556" max="12556" width="5.59765625" style="672" customWidth="1"/>
    <col min="12557" max="12557" width="32.8984375" style="672" bestFit="1" customWidth="1"/>
    <col min="12558" max="12560" width="15" style="672" customWidth="1"/>
    <col min="12561" max="12561" width="2.3984375" style="672" customWidth="1"/>
    <col min="12562" max="12562" width="11" style="672" bestFit="1" customWidth="1"/>
    <col min="12563" max="12563" width="9.3984375" style="672" bestFit="1" customWidth="1"/>
    <col min="12564" max="12564" width="7.296875" style="672" bestFit="1" customWidth="1"/>
    <col min="12565" max="12565" width="7.69921875" style="672" bestFit="1" customWidth="1"/>
    <col min="12566" max="12566" width="4" style="672" bestFit="1" customWidth="1"/>
    <col min="12567" max="12567" width="7.3984375" style="672" bestFit="1" customWidth="1"/>
    <col min="12568" max="12568" width="12.3984375" style="672" bestFit="1" customWidth="1"/>
    <col min="12569" max="12569" width="12.8984375" style="672" bestFit="1" customWidth="1"/>
    <col min="12570" max="12570" width="9.69921875" style="672" bestFit="1" customWidth="1"/>
    <col min="12571" max="12571" width="9.09765625" style="672"/>
    <col min="12572" max="12572" width="8.09765625" style="672" bestFit="1" customWidth="1"/>
    <col min="12573" max="12800" width="9.09765625" style="672"/>
    <col min="12801" max="12803" width="15.09765625" style="672" customWidth="1"/>
    <col min="12804" max="12804" width="10.8984375" style="672" customWidth="1"/>
    <col min="12805" max="12805" width="18.09765625" style="672" bestFit="1" customWidth="1"/>
    <col min="12806" max="12806" width="20.296875" style="672" bestFit="1" customWidth="1"/>
    <col min="12807" max="12807" width="18" style="672" bestFit="1" customWidth="1"/>
    <col min="12808" max="12808" width="23.09765625" style="672" customWidth="1"/>
    <col min="12809" max="12809" width="19.09765625" style="672" bestFit="1" customWidth="1"/>
    <col min="12810" max="12810" width="9.09765625" style="672"/>
    <col min="12811" max="12811" width="12.3984375" style="672" customWidth="1"/>
    <col min="12812" max="12812" width="5.59765625" style="672" customWidth="1"/>
    <col min="12813" max="12813" width="32.8984375" style="672" bestFit="1" customWidth="1"/>
    <col min="12814" max="12816" width="15" style="672" customWidth="1"/>
    <col min="12817" max="12817" width="2.3984375" style="672" customWidth="1"/>
    <col min="12818" max="12818" width="11" style="672" bestFit="1" customWidth="1"/>
    <col min="12819" max="12819" width="9.3984375" style="672" bestFit="1" customWidth="1"/>
    <col min="12820" max="12820" width="7.296875" style="672" bestFit="1" customWidth="1"/>
    <col min="12821" max="12821" width="7.69921875" style="672" bestFit="1" customWidth="1"/>
    <col min="12822" max="12822" width="4" style="672" bestFit="1" customWidth="1"/>
    <col min="12823" max="12823" width="7.3984375" style="672" bestFit="1" customWidth="1"/>
    <col min="12824" max="12824" width="12.3984375" style="672" bestFit="1" customWidth="1"/>
    <col min="12825" max="12825" width="12.8984375" style="672" bestFit="1" customWidth="1"/>
    <col min="12826" max="12826" width="9.69921875" style="672" bestFit="1" customWidth="1"/>
    <col min="12827" max="12827" width="9.09765625" style="672"/>
    <col min="12828" max="12828" width="8.09765625" style="672" bestFit="1" customWidth="1"/>
    <col min="12829" max="13056" width="9.09765625" style="672"/>
    <col min="13057" max="13059" width="15.09765625" style="672" customWidth="1"/>
    <col min="13060" max="13060" width="10.8984375" style="672" customWidth="1"/>
    <col min="13061" max="13061" width="18.09765625" style="672" bestFit="1" customWidth="1"/>
    <col min="13062" max="13062" width="20.296875" style="672" bestFit="1" customWidth="1"/>
    <col min="13063" max="13063" width="18" style="672" bestFit="1" customWidth="1"/>
    <col min="13064" max="13064" width="23.09765625" style="672" customWidth="1"/>
    <col min="13065" max="13065" width="19.09765625" style="672" bestFit="1" customWidth="1"/>
    <col min="13066" max="13066" width="9.09765625" style="672"/>
    <col min="13067" max="13067" width="12.3984375" style="672" customWidth="1"/>
    <col min="13068" max="13068" width="5.59765625" style="672" customWidth="1"/>
    <col min="13069" max="13069" width="32.8984375" style="672" bestFit="1" customWidth="1"/>
    <col min="13070" max="13072" width="15" style="672" customWidth="1"/>
    <col min="13073" max="13073" width="2.3984375" style="672" customWidth="1"/>
    <col min="13074" max="13074" width="11" style="672" bestFit="1" customWidth="1"/>
    <col min="13075" max="13075" width="9.3984375" style="672" bestFit="1" customWidth="1"/>
    <col min="13076" max="13076" width="7.296875" style="672" bestFit="1" customWidth="1"/>
    <col min="13077" max="13077" width="7.69921875" style="672" bestFit="1" customWidth="1"/>
    <col min="13078" max="13078" width="4" style="672" bestFit="1" customWidth="1"/>
    <col min="13079" max="13079" width="7.3984375" style="672" bestFit="1" customWidth="1"/>
    <col min="13080" max="13080" width="12.3984375" style="672" bestFit="1" customWidth="1"/>
    <col min="13081" max="13081" width="12.8984375" style="672" bestFit="1" customWidth="1"/>
    <col min="13082" max="13082" width="9.69921875" style="672" bestFit="1" customWidth="1"/>
    <col min="13083" max="13083" width="9.09765625" style="672"/>
    <col min="13084" max="13084" width="8.09765625" style="672" bestFit="1" customWidth="1"/>
    <col min="13085" max="13312" width="9.09765625" style="672"/>
    <col min="13313" max="13315" width="15.09765625" style="672" customWidth="1"/>
    <col min="13316" max="13316" width="10.8984375" style="672" customWidth="1"/>
    <col min="13317" max="13317" width="18.09765625" style="672" bestFit="1" customWidth="1"/>
    <col min="13318" max="13318" width="20.296875" style="672" bestFit="1" customWidth="1"/>
    <col min="13319" max="13319" width="18" style="672" bestFit="1" customWidth="1"/>
    <col min="13320" max="13320" width="23.09765625" style="672" customWidth="1"/>
    <col min="13321" max="13321" width="19.09765625" style="672" bestFit="1" customWidth="1"/>
    <col min="13322" max="13322" width="9.09765625" style="672"/>
    <col min="13323" max="13323" width="12.3984375" style="672" customWidth="1"/>
    <col min="13324" max="13324" width="5.59765625" style="672" customWidth="1"/>
    <col min="13325" max="13325" width="32.8984375" style="672" bestFit="1" customWidth="1"/>
    <col min="13326" max="13328" width="15" style="672" customWidth="1"/>
    <col min="13329" max="13329" width="2.3984375" style="672" customWidth="1"/>
    <col min="13330" max="13330" width="11" style="672" bestFit="1" customWidth="1"/>
    <col min="13331" max="13331" width="9.3984375" style="672" bestFit="1" customWidth="1"/>
    <col min="13332" max="13332" width="7.296875" style="672" bestFit="1" customWidth="1"/>
    <col min="13333" max="13333" width="7.69921875" style="672" bestFit="1" customWidth="1"/>
    <col min="13334" max="13334" width="4" style="672" bestFit="1" customWidth="1"/>
    <col min="13335" max="13335" width="7.3984375" style="672" bestFit="1" customWidth="1"/>
    <col min="13336" max="13336" width="12.3984375" style="672" bestFit="1" customWidth="1"/>
    <col min="13337" max="13337" width="12.8984375" style="672" bestFit="1" customWidth="1"/>
    <col min="13338" max="13338" width="9.69921875" style="672" bestFit="1" customWidth="1"/>
    <col min="13339" max="13339" width="9.09765625" style="672"/>
    <col min="13340" max="13340" width="8.09765625" style="672" bestFit="1" customWidth="1"/>
    <col min="13341" max="13568" width="9.09765625" style="672"/>
    <col min="13569" max="13571" width="15.09765625" style="672" customWidth="1"/>
    <col min="13572" max="13572" width="10.8984375" style="672" customWidth="1"/>
    <col min="13573" max="13573" width="18.09765625" style="672" bestFit="1" customWidth="1"/>
    <col min="13574" max="13574" width="20.296875" style="672" bestFit="1" customWidth="1"/>
    <col min="13575" max="13575" width="18" style="672" bestFit="1" customWidth="1"/>
    <col min="13576" max="13576" width="23.09765625" style="672" customWidth="1"/>
    <col min="13577" max="13577" width="19.09765625" style="672" bestFit="1" customWidth="1"/>
    <col min="13578" max="13578" width="9.09765625" style="672"/>
    <col min="13579" max="13579" width="12.3984375" style="672" customWidth="1"/>
    <col min="13580" max="13580" width="5.59765625" style="672" customWidth="1"/>
    <col min="13581" max="13581" width="32.8984375" style="672" bestFit="1" customWidth="1"/>
    <col min="13582" max="13584" width="15" style="672" customWidth="1"/>
    <col min="13585" max="13585" width="2.3984375" style="672" customWidth="1"/>
    <col min="13586" max="13586" width="11" style="672" bestFit="1" customWidth="1"/>
    <col min="13587" max="13587" width="9.3984375" style="672" bestFit="1" customWidth="1"/>
    <col min="13588" max="13588" width="7.296875" style="672" bestFit="1" customWidth="1"/>
    <col min="13589" max="13589" width="7.69921875" style="672" bestFit="1" customWidth="1"/>
    <col min="13590" max="13590" width="4" style="672" bestFit="1" customWidth="1"/>
    <col min="13591" max="13591" width="7.3984375" style="672" bestFit="1" customWidth="1"/>
    <col min="13592" max="13592" width="12.3984375" style="672" bestFit="1" customWidth="1"/>
    <col min="13593" max="13593" width="12.8984375" style="672" bestFit="1" customWidth="1"/>
    <col min="13594" max="13594" width="9.69921875" style="672" bestFit="1" customWidth="1"/>
    <col min="13595" max="13595" width="9.09765625" style="672"/>
    <col min="13596" max="13596" width="8.09765625" style="672" bestFit="1" customWidth="1"/>
    <col min="13597" max="13824" width="9.09765625" style="672"/>
    <col min="13825" max="13827" width="15.09765625" style="672" customWidth="1"/>
    <col min="13828" max="13828" width="10.8984375" style="672" customWidth="1"/>
    <col min="13829" max="13829" width="18.09765625" style="672" bestFit="1" customWidth="1"/>
    <col min="13830" max="13830" width="20.296875" style="672" bestFit="1" customWidth="1"/>
    <col min="13831" max="13831" width="18" style="672" bestFit="1" customWidth="1"/>
    <col min="13832" max="13832" width="23.09765625" style="672" customWidth="1"/>
    <col min="13833" max="13833" width="19.09765625" style="672" bestFit="1" customWidth="1"/>
    <col min="13834" max="13834" width="9.09765625" style="672"/>
    <col min="13835" max="13835" width="12.3984375" style="672" customWidth="1"/>
    <col min="13836" max="13836" width="5.59765625" style="672" customWidth="1"/>
    <col min="13837" max="13837" width="32.8984375" style="672" bestFit="1" customWidth="1"/>
    <col min="13838" max="13840" width="15" style="672" customWidth="1"/>
    <col min="13841" max="13841" width="2.3984375" style="672" customWidth="1"/>
    <col min="13842" max="13842" width="11" style="672" bestFit="1" customWidth="1"/>
    <col min="13843" max="13843" width="9.3984375" style="672" bestFit="1" customWidth="1"/>
    <col min="13844" max="13844" width="7.296875" style="672" bestFit="1" customWidth="1"/>
    <col min="13845" max="13845" width="7.69921875" style="672" bestFit="1" customWidth="1"/>
    <col min="13846" max="13846" width="4" style="672" bestFit="1" customWidth="1"/>
    <col min="13847" max="13847" width="7.3984375" style="672" bestFit="1" customWidth="1"/>
    <col min="13848" max="13848" width="12.3984375" style="672" bestFit="1" customWidth="1"/>
    <col min="13849" max="13849" width="12.8984375" style="672" bestFit="1" customWidth="1"/>
    <col min="13850" max="13850" width="9.69921875" style="672" bestFit="1" customWidth="1"/>
    <col min="13851" max="13851" width="9.09765625" style="672"/>
    <col min="13852" max="13852" width="8.09765625" style="672" bestFit="1" customWidth="1"/>
    <col min="13853" max="14080" width="9.09765625" style="672"/>
    <col min="14081" max="14083" width="15.09765625" style="672" customWidth="1"/>
    <col min="14084" max="14084" width="10.8984375" style="672" customWidth="1"/>
    <col min="14085" max="14085" width="18.09765625" style="672" bestFit="1" customWidth="1"/>
    <col min="14086" max="14086" width="20.296875" style="672" bestFit="1" customWidth="1"/>
    <col min="14087" max="14087" width="18" style="672" bestFit="1" customWidth="1"/>
    <col min="14088" max="14088" width="23.09765625" style="672" customWidth="1"/>
    <col min="14089" max="14089" width="19.09765625" style="672" bestFit="1" customWidth="1"/>
    <col min="14090" max="14090" width="9.09765625" style="672"/>
    <col min="14091" max="14091" width="12.3984375" style="672" customWidth="1"/>
    <col min="14092" max="14092" width="5.59765625" style="672" customWidth="1"/>
    <col min="14093" max="14093" width="32.8984375" style="672" bestFit="1" customWidth="1"/>
    <col min="14094" max="14096" width="15" style="672" customWidth="1"/>
    <col min="14097" max="14097" width="2.3984375" style="672" customWidth="1"/>
    <col min="14098" max="14098" width="11" style="672" bestFit="1" customWidth="1"/>
    <col min="14099" max="14099" width="9.3984375" style="672" bestFit="1" customWidth="1"/>
    <col min="14100" max="14100" width="7.296875" style="672" bestFit="1" customWidth="1"/>
    <col min="14101" max="14101" width="7.69921875" style="672" bestFit="1" customWidth="1"/>
    <col min="14102" max="14102" width="4" style="672" bestFit="1" customWidth="1"/>
    <col min="14103" max="14103" width="7.3984375" style="672" bestFit="1" customWidth="1"/>
    <col min="14104" max="14104" width="12.3984375" style="672" bestFit="1" customWidth="1"/>
    <col min="14105" max="14105" width="12.8984375" style="672" bestFit="1" customWidth="1"/>
    <col min="14106" max="14106" width="9.69921875" style="672" bestFit="1" customWidth="1"/>
    <col min="14107" max="14107" width="9.09765625" style="672"/>
    <col min="14108" max="14108" width="8.09765625" style="672" bestFit="1" customWidth="1"/>
    <col min="14109" max="14336" width="9.09765625" style="672"/>
    <col min="14337" max="14339" width="15.09765625" style="672" customWidth="1"/>
    <col min="14340" max="14340" width="10.8984375" style="672" customWidth="1"/>
    <col min="14341" max="14341" width="18.09765625" style="672" bestFit="1" customWidth="1"/>
    <col min="14342" max="14342" width="20.296875" style="672" bestFit="1" customWidth="1"/>
    <col min="14343" max="14343" width="18" style="672" bestFit="1" customWidth="1"/>
    <col min="14344" max="14344" width="23.09765625" style="672" customWidth="1"/>
    <col min="14345" max="14345" width="19.09765625" style="672" bestFit="1" customWidth="1"/>
    <col min="14346" max="14346" width="9.09765625" style="672"/>
    <col min="14347" max="14347" width="12.3984375" style="672" customWidth="1"/>
    <col min="14348" max="14348" width="5.59765625" style="672" customWidth="1"/>
    <col min="14349" max="14349" width="32.8984375" style="672" bestFit="1" customWidth="1"/>
    <col min="14350" max="14352" width="15" style="672" customWidth="1"/>
    <col min="14353" max="14353" width="2.3984375" style="672" customWidth="1"/>
    <col min="14354" max="14354" width="11" style="672" bestFit="1" customWidth="1"/>
    <col min="14355" max="14355" width="9.3984375" style="672" bestFit="1" customWidth="1"/>
    <col min="14356" max="14356" width="7.296875" style="672" bestFit="1" customWidth="1"/>
    <col min="14357" max="14357" width="7.69921875" style="672" bestFit="1" customWidth="1"/>
    <col min="14358" max="14358" width="4" style="672" bestFit="1" customWidth="1"/>
    <col min="14359" max="14359" width="7.3984375" style="672" bestFit="1" customWidth="1"/>
    <col min="14360" max="14360" width="12.3984375" style="672" bestFit="1" customWidth="1"/>
    <col min="14361" max="14361" width="12.8984375" style="672" bestFit="1" customWidth="1"/>
    <col min="14362" max="14362" width="9.69921875" style="672" bestFit="1" customWidth="1"/>
    <col min="14363" max="14363" width="9.09765625" style="672"/>
    <col min="14364" max="14364" width="8.09765625" style="672" bestFit="1" customWidth="1"/>
    <col min="14365" max="14592" width="9.09765625" style="672"/>
    <col min="14593" max="14595" width="15.09765625" style="672" customWidth="1"/>
    <col min="14596" max="14596" width="10.8984375" style="672" customWidth="1"/>
    <col min="14597" max="14597" width="18.09765625" style="672" bestFit="1" customWidth="1"/>
    <col min="14598" max="14598" width="20.296875" style="672" bestFit="1" customWidth="1"/>
    <col min="14599" max="14599" width="18" style="672" bestFit="1" customWidth="1"/>
    <col min="14600" max="14600" width="23.09765625" style="672" customWidth="1"/>
    <col min="14601" max="14601" width="19.09765625" style="672" bestFit="1" customWidth="1"/>
    <col min="14602" max="14602" width="9.09765625" style="672"/>
    <col min="14603" max="14603" width="12.3984375" style="672" customWidth="1"/>
    <col min="14604" max="14604" width="5.59765625" style="672" customWidth="1"/>
    <col min="14605" max="14605" width="32.8984375" style="672" bestFit="1" customWidth="1"/>
    <col min="14606" max="14608" width="15" style="672" customWidth="1"/>
    <col min="14609" max="14609" width="2.3984375" style="672" customWidth="1"/>
    <col min="14610" max="14610" width="11" style="672" bestFit="1" customWidth="1"/>
    <col min="14611" max="14611" width="9.3984375" style="672" bestFit="1" customWidth="1"/>
    <col min="14612" max="14612" width="7.296875" style="672" bestFit="1" customWidth="1"/>
    <col min="14613" max="14613" width="7.69921875" style="672" bestFit="1" customWidth="1"/>
    <col min="14614" max="14614" width="4" style="672" bestFit="1" customWidth="1"/>
    <col min="14615" max="14615" width="7.3984375" style="672" bestFit="1" customWidth="1"/>
    <col min="14616" max="14616" width="12.3984375" style="672" bestFit="1" customWidth="1"/>
    <col min="14617" max="14617" width="12.8984375" style="672" bestFit="1" customWidth="1"/>
    <col min="14618" max="14618" width="9.69921875" style="672" bestFit="1" customWidth="1"/>
    <col min="14619" max="14619" width="9.09765625" style="672"/>
    <col min="14620" max="14620" width="8.09765625" style="672" bestFit="1" customWidth="1"/>
    <col min="14621" max="14848" width="9.09765625" style="672"/>
    <col min="14849" max="14851" width="15.09765625" style="672" customWidth="1"/>
    <col min="14852" max="14852" width="10.8984375" style="672" customWidth="1"/>
    <col min="14853" max="14853" width="18.09765625" style="672" bestFit="1" customWidth="1"/>
    <col min="14854" max="14854" width="20.296875" style="672" bestFit="1" customWidth="1"/>
    <col min="14855" max="14855" width="18" style="672" bestFit="1" customWidth="1"/>
    <col min="14856" max="14856" width="23.09765625" style="672" customWidth="1"/>
    <col min="14857" max="14857" width="19.09765625" style="672" bestFit="1" customWidth="1"/>
    <col min="14858" max="14858" width="9.09765625" style="672"/>
    <col min="14859" max="14859" width="12.3984375" style="672" customWidth="1"/>
    <col min="14860" max="14860" width="5.59765625" style="672" customWidth="1"/>
    <col min="14861" max="14861" width="32.8984375" style="672" bestFit="1" customWidth="1"/>
    <col min="14862" max="14864" width="15" style="672" customWidth="1"/>
    <col min="14865" max="14865" width="2.3984375" style="672" customWidth="1"/>
    <col min="14866" max="14866" width="11" style="672" bestFit="1" customWidth="1"/>
    <col min="14867" max="14867" width="9.3984375" style="672" bestFit="1" customWidth="1"/>
    <col min="14868" max="14868" width="7.296875" style="672" bestFit="1" customWidth="1"/>
    <col min="14869" max="14869" width="7.69921875" style="672" bestFit="1" customWidth="1"/>
    <col min="14870" max="14870" width="4" style="672" bestFit="1" customWidth="1"/>
    <col min="14871" max="14871" width="7.3984375" style="672" bestFit="1" customWidth="1"/>
    <col min="14872" max="14872" width="12.3984375" style="672" bestFit="1" customWidth="1"/>
    <col min="14873" max="14873" width="12.8984375" style="672" bestFit="1" customWidth="1"/>
    <col min="14874" max="14874" width="9.69921875" style="672" bestFit="1" customWidth="1"/>
    <col min="14875" max="14875" width="9.09765625" style="672"/>
    <col min="14876" max="14876" width="8.09765625" style="672" bestFit="1" customWidth="1"/>
    <col min="14877" max="15104" width="9.09765625" style="672"/>
    <col min="15105" max="15107" width="15.09765625" style="672" customWidth="1"/>
    <col min="15108" max="15108" width="10.8984375" style="672" customWidth="1"/>
    <col min="15109" max="15109" width="18.09765625" style="672" bestFit="1" customWidth="1"/>
    <col min="15110" max="15110" width="20.296875" style="672" bestFit="1" customWidth="1"/>
    <col min="15111" max="15111" width="18" style="672" bestFit="1" customWidth="1"/>
    <col min="15112" max="15112" width="23.09765625" style="672" customWidth="1"/>
    <col min="15113" max="15113" width="19.09765625" style="672" bestFit="1" customWidth="1"/>
    <col min="15114" max="15114" width="9.09765625" style="672"/>
    <col min="15115" max="15115" width="12.3984375" style="672" customWidth="1"/>
    <col min="15116" max="15116" width="5.59765625" style="672" customWidth="1"/>
    <col min="15117" max="15117" width="32.8984375" style="672" bestFit="1" customWidth="1"/>
    <col min="15118" max="15120" width="15" style="672" customWidth="1"/>
    <col min="15121" max="15121" width="2.3984375" style="672" customWidth="1"/>
    <col min="15122" max="15122" width="11" style="672" bestFit="1" customWidth="1"/>
    <col min="15123" max="15123" width="9.3984375" style="672" bestFit="1" customWidth="1"/>
    <col min="15124" max="15124" width="7.296875" style="672" bestFit="1" customWidth="1"/>
    <col min="15125" max="15125" width="7.69921875" style="672" bestFit="1" customWidth="1"/>
    <col min="15126" max="15126" width="4" style="672" bestFit="1" customWidth="1"/>
    <col min="15127" max="15127" width="7.3984375" style="672" bestFit="1" customWidth="1"/>
    <col min="15128" max="15128" width="12.3984375" style="672" bestFit="1" customWidth="1"/>
    <col min="15129" max="15129" width="12.8984375" style="672" bestFit="1" customWidth="1"/>
    <col min="15130" max="15130" width="9.69921875" style="672" bestFit="1" customWidth="1"/>
    <col min="15131" max="15131" width="9.09765625" style="672"/>
    <col min="15132" max="15132" width="8.09765625" style="672" bestFit="1" customWidth="1"/>
    <col min="15133" max="15360" width="9.09765625" style="672"/>
    <col min="15361" max="15363" width="15.09765625" style="672" customWidth="1"/>
    <col min="15364" max="15364" width="10.8984375" style="672" customWidth="1"/>
    <col min="15365" max="15365" width="18.09765625" style="672" bestFit="1" customWidth="1"/>
    <col min="15366" max="15366" width="20.296875" style="672" bestFit="1" customWidth="1"/>
    <col min="15367" max="15367" width="18" style="672" bestFit="1" customWidth="1"/>
    <col min="15368" max="15368" width="23.09765625" style="672" customWidth="1"/>
    <col min="15369" max="15369" width="19.09765625" style="672" bestFit="1" customWidth="1"/>
    <col min="15370" max="15370" width="9.09765625" style="672"/>
    <col min="15371" max="15371" width="12.3984375" style="672" customWidth="1"/>
    <col min="15372" max="15372" width="5.59765625" style="672" customWidth="1"/>
    <col min="15373" max="15373" width="32.8984375" style="672" bestFit="1" customWidth="1"/>
    <col min="15374" max="15376" width="15" style="672" customWidth="1"/>
    <col min="15377" max="15377" width="2.3984375" style="672" customWidth="1"/>
    <col min="15378" max="15378" width="11" style="672" bestFit="1" customWidth="1"/>
    <col min="15379" max="15379" width="9.3984375" style="672" bestFit="1" customWidth="1"/>
    <col min="15380" max="15380" width="7.296875" style="672" bestFit="1" customWidth="1"/>
    <col min="15381" max="15381" width="7.69921875" style="672" bestFit="1" customWidth="1"/>
    <col min="15382" max="15382" width="4" style="672" bestFit="1" customWidth="1"/>
    <col min="15383" max="15383" width="7.3984375" style="672" bestFit="1" customWidth="1"/>
    <col min="15384" max="15384" width="12.3984375" style="672" bestFit="1" customWidth="1"/>
    <col min="15385" max="15385" width="12.8984375" style="672" bestFit="1" customWidth="1"/>
    <col min="15386" max="15386" width="9.69921875" style="672" bestFit="1" customWidth="1"/>
    <col min="15387" max="15387" width="9.09765625" style="672"/>
    <col min="15388" max="15388" width="8.09765625" style="672" bestFit="1" customWidth="1"/>
    <col min="15389" max="15616" width="9.09765625" style="672"/>
    <col min="15617" max="15619" width="15.09765625" style="672" customWidth="1"/>
    <col min="15620" max="15620" width="10.8984375" style="672" customWidth="1"/>
    <col min="15621" max="15621" width="18.09765625" style="672" bestFit="1" customWidth="1"/>
    <col min="15622" max="15622" width="20.296875" style="672" bestFit="1" customWidth="1"/>
    <col min="15623" max="15623" width="18" style="672" bestFit="1" customWidth="1"/>
    <col min="15624" max="15624" width="23.09765625" style="672" customWidth="1"/>
    <col min="15625" max="15625" width="19.09765625" style="672" bestFit="1" customWidth="1"/>
    <col min="15626" max="15626" width="9.09765625" style="672"/>
    <col min="15627" max="15627" width="12.3984375" style="672" customWidth="1"/>
    <col min="15628" max="15628" width="5.59765625" style="672" customWidth="1"/>
    <col min="15629" max="15629" width="32.8984375" style="672" bestFit="1" customWidth="1"/>
    <col min="15630" max="15632" width="15" style="672" customWidth="1"/>
    <col min="15633" max="15633" width="2.3984375" style="672" customWidth="1"/>
    <col min="15634" max="15634" width="11" style="672" bestFit="1" customWidth="1"/>
    <col min="15635" max="15635" width="9.3984375" style="672" bestFit="1" customWidth="1"/>
    <col min="15636" max="15636" width="7.296875" style="672" bestFit="1" customWidth="1"/>
    <col min="15637" max="15637" width="7.69921875" style="672" bestFit="1" customWidth="1"/>
    <col min="15638" max="15638" width="4" style="672" bestFit="1" customWidth="1"/>
    <col min="15639" max="15639" width="7.3984375" style="672" bestFit="1" customWidth="1"/>
    <col min="15640" max="15640" width="12.3984375" style="672" bestFit="1" customWidth="1"/>
    <col min="15641" max="15641" width="12.8984375" style="672" bestFit="1" customWidth="1"/>
    <col min="15642" max="15642" width="9.69921875" style="672" bestFit="1" customWidth="1"/>
    <col min="15643" max="15643" width="9.09765625" style="672"/>
    <col min="15644" max="15644" width="8.09765625" style="672" bestFit="1" customWidth="1"/>
    <col min="15645" max="15872" width="9.09765625" style="672"/>
    <col min="15873" max="15875" width="15.09765625" style="672" customWidth="1"/>
    <col min="15876" max="15876" width="10.8984375" style="672" customWidth="1"/>
    <col min="15877" max="15877" width="18.09765625" style="672" bestFit="1" customWidth="1"/>
    <col min="15878" max="15878" width="20.296875" style="672" bestFit="1" customWidth="1"/>
    <col min="15879" max="15879" width="18" style="672" bestFit="1" customWidth="1"/>
    <col min="15880" max="15880" width="23.09765625" style="672" customWidth="1"/>
    <col min="15881" max="15881" width="19.09765625" style="672" bestFit="1" customWidth="1"/>
    <col min="15882" max="15882" width="9.09765625" style="672"/>
    <col min="15883" max="15883" width="12.3984375" style="672" customWidth="1"/>
    <col min="15884" max="15884" width="5.59765625" style="672" customWidth="1"/>
    <col min="15885" max="15885" width="32.8984375" style="672" bestFit="1" customWidth="1"/>
    <col min="15886" max="15888" width="15" style="672" customWidth="1"/>
    <col min="15889" max="15889" width="2.3984375" style="672" customWidth="1"/>
    <col min="15890" max="15890" width="11" style="672" bestFit="1" customWidth="1"/>
    <col min="15891" max="15891" width="9.3984375" style="672" bestFit="1" customWidth="1"/>
    <col min="15892" max="15892" width="7.296875" style="672" bestFit="1" customWidth="1"/>
    <col min="15893" max="15893" width="7.69921875" style="672" bestFit="1" customWidth="1"/>
    <col min="15894" max="15894" width="4" style="672" bestFit="1" customWidth="1"/>
    <col min="15895" max="15895" width="7.3984375" style="672" bestFit="1" customWidth="1"/>
    <col min="15896" max="15896" width="12.3984375" style="672" bestFit="1" customWidth="1"/>
    <col min="15897" max="15897" width="12.8984375" style="672" bestFit="1" customWidth="1"/>
    <col min="15898" max="15898" width="9.69921875" style="672" bestFit="1" customWidth="1"/>
    <col min="15899" max="15899" width="9.09765625" style="672"/>
    <col min="15900" max="15900" width="8.09765625" style="672" bestFit="1" customWidth="1"/>
    <col min="15901" max="16128" width="9.09765625" style="672"/>
    <col min="16129" max="16131" width="15.09765625" style="672" customWidth="1"/>
    <col min="16132" max="16132" width="10.8984375" style="672" customWidth="1"/>
    <col min="16133" max="16133" width="18.09765625" style="672" bestFit="1" customWidth="1"/>
    <col min="16134" max="16134" width="20.296875" style="672" bestFit="1" customWidth="1"/>
    <col min="16135" max="16135" width="18" style="672" bestFit="1" customWidth="1"/>
    <col min="16136" max="16136" width="23.09765625" style="672" customWidth="1"/>
    <col min="16137" max="16137" width="19.09765625" style="672" bestFit="1" customWidth="1"/>
    <col min="16138" max="16138" width="9.09765625" style="672"/>
    <col min="16139" max="16139" width="12.3984375" style="672" customWidth="1"/>
    <col min="16140" max="16140" width="5.59765625" style="672" customWidth="1"/>
    <col min="16141" max="16141" width="32.8984375" style="672" bestFit="1" customWidth="1"/>
    <col min="16142" max="16144" width="15" style="672" customWidth="1"/>
    <col min="16145" max="16145" width="2.3984375" style="672" customWidth="1"/>
    <col min="16146" max="16146" width="11" style="672" bestFit="1" customWidth="1"/>
    <col min="16147" max="16147" width="9.3984375" style="672" bestFit="1" customWidth="1"/>
    <col min="16148" max="16148" width="7.296875" style="672" bestFit="1" customWidth="1"/>
    <col min="16149" max="16149" width="7.69921875" style="672" bestFit="1" customWidth="1"/>
    <col min="16150" max="16150" width="4" style="672" bestFit="1" customWidth="1"/>
    <col min="16151" max="16151" width="7.3984375" style="672" bestFit="1" customWidth="1"/>
    <col min="16152" max="16152" width="12.3984375" style="672" bestFit="1" customWidth="1"/>
    <col min="16153" max="16153" width="12.8984375" style="672" bestFit="1" customWidth="1"/>
    <col min="16154" max="16154" width="9.69921875" style="672" bestFit="1" customWidth="1"/>
    <col min="16155" max="16155" width="9.09765625" style="672"/>
    <col min="16156" max="16156" width="8.09765625" style="672" bestFit="1" customWidth="1"/>
    <col min="16157" max="16384" width="9.09765625" style="672"/>
  </cols>
  <sheetData>
    <row r="1" spans="1:29">
      <c r="I1" s="2111" t="s">
        <v>914</v>
      </c>
      <c r="J1" s="2111"/>
      <c r="K1" s="2111"/>
    </row>
    <row r="2" spans="1:29">
      <c r="C2" s="2112" t="s">
        <v>915</v>
      </c>
      <c r="D2" s="2112" t="s">
        <v>916</v>
      </c>
      <c r="E2" s="721" t="s">
        <v>917</v>
      </c>
      <c r="F2" s="2113" t="s">
        <v>918</v>
      </c>
      <c r="G2" s="2113"/>
      <c r="H2" s="2114"/>
      <c r="I2" s="723" t="s">
        <v>919</v>
      </c>
      <c r="J2" s="723" t="s">
        <v>920</v>
      </c>
      <c r="K2" s="723" t="s">
        <v>921</v>
      </c>
      <c r="L2" s="723" t="s">
        <v>758</v>
      </c>
      <c r="M2" s="723" t="s">
        <v>922</v>
      </c>
      <c r="N2" s="723" t="s">
        <v>923</v>
      </c>
      <c r="Z2" s="721" t="s">
        <v>928</v>
      </c>
      <c r="AA2" s="721" t="s">
        <v>929</v>
      </c>
      <c r="AB2" s="721" t="s">
        <v>930</v>
      </c>
    </row>
    <row r="3" spans="1:29" ht="22" thickBot="1">
      <c r="A3" s="672" t="s">
        <v>924</v>
      </c>
      <c r="B3" s="672" t="s">
        <v>925</v>
      </c>
      <c r="C3" s="2112"/>
      <c r="D3" s="2112"/>
      <c r="E3" s="672"/>
      <c r="F3" s="721" t="s">
        <v>926</v>
      </c>
      <c r="G3" s="721" t="s">
        <v>920</v>
      </c>
      <c r="H3" s="721" t="s">
        <v>927</v>
      </c>
      <c r="I3" s="724">
        <f>IF(N28="no",0,SUM(I4:I29))</f>
        <v>287000</v>
      </c>
      <c r="J3" s="724">
        <f>IF(N28="no",0,SUM(J4:J29))</f>
        <v>44789.5</v>
      </c>
      <c r="K3" s="724">
        <f>IF(N28="no",0,SUM(K4:K29))</f>
        <v>750</v>
      </c>
      <c r="L3" s="724">
        <f>SUM(I3:K3)</f>
        <v>332539.5</v>
      </c>
      <c r="M3" s="724">
        <f>IF(N28="no",0,กรอกข้อมูล!$F$37*N7)</f>
        <v>332539.5</v>
      </c>
      <c r="N3" s="724">
        <f>+M3-L3</f>
        <v>0</v>
      </c>
      <c r="O3" s="725"/>
      <c r="P3" s="725"/>
      <c r="R3" s="672" t="s">
        <v>932</v>
      </c>
      <c r="S3" s="672" t="s">
        <v>933</v>
      </c>
      <c r="T3" s="721" t="s">
        <v>934</v>
      </c>
      <c r="U3" s="721" t="s">
        <v>935</v>
      </c>
      <c r="V3" s="721" t="s">
        <v>713</v>
      </c>
      <c r="W3" s="721" t="s">
        <v>936</v>
      </c>
      <c r="X3" s="721" t="s">
        <v>937</v>
      </c>
      <c r="Y3" s="721" t="s">
        <v>938</v>
      </c>
      <c r="Z3" s="721" t="s">
        <v>939</v>
      </c>
      <c r="AA3" s="721" t="s">
        <v>940</v>
      </c>
      <c r="AB3" s="721" t="s">
        <v>941</v>
      </c>
    </row>
    <row r="4" spans="1:29" ht="22" thickTop="1">
      <c r="A4" s="672" t="str">
        <f>Cal!$A$13</f>
        <v>W80F06</v>
      </c>
      <c r="B4" s="672" t="s">
        <v>116</v>
      </c>
      <c r="C4" s="726">
        <f>IFERROR(VLOOKUP(A4,Cal!$A$13:$H$42,8,FALSE),0)</f>
        <v>287000</v>
      </c>
      <c r="D4" s="726">
        <f t="shared" ref="D4:D19" si="0">+C4*$N$7</f>
        <v>287000</v>
      </c>
      <c r="E4" s="721" t="s">
        <v>928</v>
      </c>
      <c r="F4" s="727">
        <v>1</v>
      </c>
      <c r="G4" s="727">
        <v>0</v>
      </c>
      <c r="H4" s="727">
        <v>0</v>
      </c>
      <c r="I4" s="728">
        <f>IFERROR(ROUND(F4*D4,2),0)</f>
        <v>287000</v>
      </c>
      <c r="J4" s="728">
        <f>IFERROR(ROUND(G4*D4,2),0)</f>
        <v>0</v>
      </c>
      <c r="K4" s="728">
        <f>IFERROR(ROUND(H4*D4,2),0)</f>
        <v>0</v>
      </c>
      <c r="L4" s="729">
        <f>+D4-I4-J4-K4</f>
        <v>0</v>
      </c>
      <c r="M4" s="672" t="s">
        <v>931</v>
      </c>
      <c r="N4" s="721">
        <f>กรอกข้อมูล!$C$5</f>
        <v>44</v>
      </c>
      <c r="R4" s="672" t="s">
        <v>16</v>
      </c>
      <c r="S4" s="672" t="s">
        <v>16</v>
      </c>
      <c r="Z4" s="721">
        <v>1</v>
      </c>
      <c r="AA4" s="721">
        <v>0</v>
      </c>
      <c r="AB4" s="721">
        <v>0</v>
      </c>
      <c r="AC4" s="730"/>
    </row>
    <row r="5" spans="1:29">
      <c r="A5" s="672" t="str">
        <f>Cal!A14</f>
        <v>PBSDDCI</v>
      </c>
      <c r="B5" s="672" t="s">
        <v>569</v>
      </c>
      <c r="C5" s="726">
        <f>IF(กรอกข้อมูล!$H$20="ไม่คุ้มครอง",0,IFERROR(VLOOKUP(A5,Cal!$A$13:$H$42,8,FALSE),0))</f>
        <v>0</v>
      </c>
      <c r="D5" s="726">
        <f t="shared" si="0"/>
        <v>0</v>
      </c>
      <c r="E5" s="721" t="s">
        <v>942</v>
      </c>
      <c r="F5" s="727">
        <v>0</v>
      </c>
      <c r="G5" s="727">
        <v>0</v>
      </c>
      <c r="H5" s="727">
        <v>1</v>
      </c>
      <c r="I5" s="728">
        <f t="shared" ref="I5:I28" si="1">IFERROR(ROUND(F5*D5,2),0)</f>
        <v>0</v>
      </c>
      <c r="J5" s="728">
        <f t="shared" ref="J5:J28" si="2">IFERROR(ROUND(G5*D5,2),0)</f>
        <v>0</v>
      </c>
      <c r="K5" s="728">
        <f t="shared" ref="K5:K28" si="3">IFERROR(ROUND(H5*D5,2),0)</f>
        <v>0</v>
      </c>
      <c r="L5" s="729">
        <f t="shared" ref="L5:L28" si="4">+D5-I5-J5-K5</f>
        <v>0</v>
      </c>
      <c r="M5" s="672" t="s">
        <v>943</v>
      </c>
      <c r="N5" s="721" t="str">
        <f>IF(OR(กรอกข้อมูล!$C$6="ชาย",กรอกข้อมูล!$C$6="Male"),"M","F")</f>
        <v>F</v>
      </c>
      <c r="R5" s="672" t="s">
        <v>67</v>
      </c>
      <c r="S5" s="672" t="s">
        <v>67</v>
      </c>
      <c r="Z5" s="721">
        <v>1</v>
      </c>
      <c r="AA5" s="721">
        <v>0</v>
      </c>
      <c r="AB5" s="721">
        <v>0</v>
      </c>
      <c r="AC5" s="730"/>
    </row>
    <row r="6" spans="1:29">
      <c r="A6" s="672" t="str">
        <f>Cal!A15</f>
        <v>WPTPD</v>
      </c>
      <c r="B6" s="672" t="s">
        <v>569</v>
      </c>
      <c r="C6" s="726">
        <f>IF(กรอกข้อมูล!$H$21="ไม่คุ้มครอง",0,IFERROR(VLOOKUP(A6,Cal!$A$13:$H$42,8,FALSE),0))</f>
        <v>0</v>
      </c>
      <c r="D6" s="726">
        <f t="shared" si="0"/>
        <v>0</v>
      </c>
      <c r="E6" s="721" t="s">
        <v>942</v>
      </c>
      <c r="F6" s="727">
        <v>0</v>
      </c>
      <c r="G6" s="727">
        <v>0</v>
      </c>
      <c r="H6" s="727">
        <v>1</v>
      </c>
      <c r="I6" s="728">
        <f t="shared" si="1"/>
        <v>0</v>
      </c>
      <c r="J6" s="728">
        <f t="shared" si="2"/>
        <v>0</v>
      </c>
      <c r="K6" s="728">
        <f t="shared" si="3"/>
        <v>0</v>
      </c>
      <c r="L6" s="729">
        <f t="shared" si="4"/>
        <v>0</v>
      </c>
      <c r="M6" s="672" t="s">
        <v>723</v>
      </c>
      <c r="N6" s="731" t="str">
        <f>กรอกข้อมูล!$C$7</f>
        <v>รายปี</v>
      </c>
      <c r="O6" s="721" t="str">
        <f>VLOOKUP($N6,$M$23:$N$26,2,FALSE)</f>
        <v>A</v>
      </c>
      <c r="R6" s="672" t="s">
        <v>68</v>
      </c>
      <c r="S6" s="672" t="s">
        <v>68</v>
      </c>
      <c r="Z6" s="721">
        <v>1</v>
      </c>
      <c r="AA6" s="721">
        <v>0</v>
      </c>
      <c r="AB6" s="721">
        <v>0</v>
      </c>
      <c r="AC6" s="730"/>
    </row>
    <row r="7" spans="1:29">
      <c r="C7" s="726"/>
      <c r="D7" s="726"/>
      <c r="F7" s="727"/>
      <c r="G7" s="727"/>
      <c r="H7" s="727"/>
      <c r="I7" s="728"/>
      <c r="J7" s="728"/>
      <c r="K7" s="728"/>
      <c r="L7" s="729"/>
      <c r="M7" s="672" t="s">
        <v>944</v>
      </c>
      <c r="N7" s="721">
        <f>VLOOKUP($O6,$N$23:$P$26,3,FALSE)</f>
        <v>1</v>
      </c>
      <c r="R7" s="672" t="s">
        <v>946</v>
      </c>
      <c r="S7" s="672" t="s">
        <v>946</v>
      </c>
      <c r="Z7" s="721">
        <v>0</v>
      </c>
      <c r="AA7" s="721">
        <v>0</v>
      </c>
      <c r="AB7" s="721">
        <v>1</v>
      </c>
      <c r="AC7" s="730"/>
    </row>
    <row r="8" spans="1:29">
      <c r="A8" s="672" t="s">
        <v>38</v>
      </c>
      <c r="B8" s="672" t="s">
        <v>569</v>
      </c>
      <c r="C8" s="726">
        <f>IF(กรอกข้อมูล!$H$22="ไม่คุ้มครอง",0,IFERROR(VLOOKUP(A8,Cal!$A$13:$H$42,8,FALSE),0))</f>
        <v>0</v>
      </c>
      <c r="D8" s="726">
        <f t="shared" si="0"/>
        <v>0</v>
      </c>
      <c r="E8" s="721" t="s">
        <v>929</v>
      </c>
      <c r="F8" s="727">
        <v>0</v>
      </c>
      <c r="G8" s="727">
        <f>IF($A8="20SS",VLOOKUP($A8&amp;$N$4&amp;$N$5,$R:$AB,10,FALSE),VLOOKUP($A8,$R:$AB,10,FALSE))</f>
        <v>0.18179999999999999</v>
      </c>
      <c r="H8" s="727">
        <f>IF(OR($A8="20SS",LEFT($A8,4)="WLCI"),VLOOKUP($A8&amp;$N$4&amp;$N$5,$R:$AB,11,FALSE),VLOOKUP($A8,$R:$AB,11,FALSE))</f>
        <v>0.81820000000000004</v>
      </c>
      <c r="I8" s="728">
        <f t="shared" si="1"/>
        <v>0</v>
      </c>
      <c r="J8" s="728">
        <f t="shared" si="2"/>
        <v>0</v>
      </c>
      <c r="K8" s="728">
        <f t="shared" si="3"/>
        <v>0</v>
      </c>
      <c r="L8" s="729">
        <f t="shared" si="4"/>
        <v>0</v>
      </c>
      <c r="M8" s="672" t="s">
        <v>945</v>
      </c>
      <c r="N8" s="1553"/>
      <c r="R8" s="672" t="s">
        <v>947</v>
      </c>
      <c r="S8" s="672" t="s">
        <v>947</v>
      </c>
      <c r="Z8" s="721">
        <v>1</v>
      </c>
      <c r="AA8" s="721">
        <v>0</v>
      </c>
      <c r="AB8" s="721">
        <v>0</v>
      </c>
      <c r="AC8" s="730"/>
    </row>
    <row r="9" spans="1:29">
      <c r="A9" s="672" t="s">
        <v>39</v>
      </c>
      <c r="B9" s="672" t="s">
        <v>569</v>
      </c>
      <c r="C9" s="726">
        <f>IF(กรอกข้อมูล!$H$23="ไม่คุ้มครอง",0,IFERROR(VLOOKUP(A9,Cal!$A$13:$H$42,8,FALSE),0))</f>
        <v>0</v>
      </c>
      <c r="D9" s="726">
        <f t="shared" si="0"/>
        <v>0</v>
      </c>
      <c r="E9" s="721" t="s">
        <v>929</v>
      </c>
      <c r="F9" s="727">
        <v>0</v>
      </c>
      <c r="G9" s="727">
        <f>IF($A9="20SS",VLOOKUP($A9&amp;$N$4&amp;$N$5,$R:$AB,10,FALSE),VLOOKUP($A9,$R:$AB,10,FALSE))</f>
        <v>0.69820000000000004</v>
      </c>
      <c r="H9" s="727">
        <f>IF(OR($A9="20SS",LEFT($A9,4)="WLCI"),VLOOKUP($A9&amp;$N$4&amp;$N$5,$R:$AB,11,FALSE),VLOOKUP($A9,$R:$AB,11,FALSE))</f>
        <v>0.30179999999999996</v>
      </c>
      <c r="I9" s="728">
        <f t="shared" si="1"/>
        <v>0</v>
      </c>
      <c r="J9" s="728">
        <f t="shared" si="2"/>
        <v>0</v>
      </c>
      <c r="K9" s="728">
        <f t="shared" si="3"/>
        <v>0</v>
      </c>
      <c r="L9" s="729">
        <f t="shared" si="4"/>
        <v>0</v>
      </c>
      <c r="R9" s="672" t="s">
        <v>949</v>
      </c>
      <c r="S9" s="672" t="s">
        <v>949</v>
      </c>
      <c r="Z9" s="721">
        <v>1</v>
      </c>
      <c r="AA9" s="721">
        <v>0</v>
      </c>
      <c r="AB9" s="721">
        <v>0</v>
      </c>
      <c r="AC9" s="730"/>
    </row>
    <row r="10" spans="1:29">
      <c r="A10" s="672" t="s">
        <v>95</v>
      </c>
      <c r="B10" s="672" t="s">
        <v>569</v>
      </c>
      <c r="C10" s="726">
        <f>IFERROR(VLOOKUP(A10,Cal!$A$13:$H$42,8,FALSE),0)</f>
        <v>0</v>
      </c>
      <c r="D10" s="726">
        <f t="shared" si="0"/>
        <v>0</v>
      </c>
      <c r="E10" s="721" t="s">
        <v>929</v>
      </c>
      <c r="F10" s="727">
        <v>0</v>
      </c>
      <c r="G10" s="727">
        <v>1</v>
      </c>
      <c r="H10" s="727">
        <v>0</v>
      </c>
      <c r="I10" s="728">
        <f t="shared" si="1"/>
        <v>0</v>
      </c>
      <c r="J10" s="728">
        <f t="shared" si="2"/>
        <v>0</v>
      </c>
      <c r="K10" s="728">
        <f t="shared" si="3"/>
        <v>0</v>
      </c>
      <c r="L10" s="729">
        <f t="shared" si="4"/>
        <v>0</v>
      </c>
      <c r="M10" s="672" t="s">
        <v>948</v>
      </c>
      <c r="N10" s="732">
        <v>100000</v>
      </c>
      <c r="R10" s="672" t="s">
        <v>951</v>
      </c>
      <c r="S10" s="672" t="s">
        <v>951</v>
      </c>
      <c r="Z10" s="721">
        <v>1</v>
      </c>
      <c r="AA10" s="721">
        <v>0</v>
      </c>
      <c r="AB10" s="721">
        <v>0</v>
      </c>
      <c r="AC10" s="730"/>
    </row>
    <row r="11" spans="1:29">
      <c r="A11" s="672" t="s">
        <v>20</v>
      </c>
      <c r="B11" s="672" t="s">
        <v>569</v>
      </c>
      <c r="C11" s="726">
        <f>IF(กรอกข้อมูล!$H$25="ไม่คุ้มครอง",0,IFERROR(VLOOKUP(A11,Cal!$A$13:$H$42,8,FALSE),0))</f>
        <v>750</v>
      </c>
      <c r="D11" s="726">
        <f t="shared" si="0"/>
        <v>750</v>
      </c>
      <c r="E11" s="721" t="s">
        <v>942</v>
      </c>
      <c r="F11" s="727">
        <v>0</v>
      </c>
      <c r="G11" s="727">
        <v>0</v>
      </c>
      <c r="H11" s="727">
        <v>1</v>
      </c>
      <c r="I11" s="728">
        <f t="shared" si="1"/>
        <v>0</v>
      </c>
      <c r="J11" s="728">
        <f t="shared" si="2"/>
        <v>0</v>
      </c>
      <c r="K11" s="728">
        <f t="shared" si="3"/>
        <v>750</v>
      </c>
      <c r="L11" s="729">
        <f t="shared" si="4"/>
        <v>0</v>
      </c>
      <c r="M11" s="672" t="s">
        <v>950</v>
      </c>
      <c r="N11" s="732">
        <v>25000</v>
      </c>
      <c r="R11" s="672" t="s">
        <v>954</v>
      </c>
      <c r="S11" s="672" t="s">
        <v>954</v>
      </c>
      <c r="Z11" s="721">
        <v>1</v>
      </c>
      <c r="AA11" s="721">
        <v>0</v>
      </c>
      <c r="AB11" s="721">
        <v>0</v>
      </c>
      <c r="AC11" s="730"/>
    </row>
    <row r="12" spans="1:29">
      <c r="A12" s="672" t="s">
        <v>188</v>
      </c>
      <c r="B12" s="672" t="s">
        <v>569</v>
      </c>
      <c r="C12" s="726">
        <f>IF(กรอกข้อมูล!$H$27="ไม่คุ้มครอง",0,IFERROR(VLOOKUP(A12,Cal!$A$13:$H$42,8,FALSE),0))</f>
        <v>0</v>
      </c>
      <c r="D12" s="726">
        <f t="shared" si="0"/>
        <v>0</v>
      </c>
      <c r="E12" s="721" t="s">
        <v>942</v>
      </c>
      <c r="F12" s="727">
        <v>0</v>
      </c>
      <c r="G12" s="727">
        <v>0</v>
      </c>
      <c r="H12" s="727">
        <v>1</v>
      </c>
      <c r="I12" s="728">
        <f t="shared" si="1"/>
        <v>0</v>
      </c>
      <c r="J12" s="728">
        <f t="shared" si="2"/>
        <v>0</v>
      </c>
      <c r="K12" s="728">
        <f t="shared" si="3"/>
        <v>0</v>
      </c>
      <c r="L12" s="729">
        <f t="shared" si="4"/>
        <v>0</v>
      </c>
      <c r="M12" s="672" t="s">
        <v>952</v>
      </c>
      <c r="N12" s="672">
        <v>1</v>
      </c>
      <c r="O12" s="672" t="s">
        <v>953</v>
      </c>
      <c r="R12" s="672" t="s">
        <v>956</v>
      </c>
      <c r="S12" s="672" t="s">
        <v>956</v>
      </c>
      <c r="Z12" s="721">
        <v>1</v>
      </c>
      <c r="AA12" s="721">
        <v>0</v>
      </c>
      <c r="AB12" s="721">
        <v>0</v>
      </c>
      <c r="AC12" s="730"/>
    </row>
    <row r="13" spans="1:29">
      <c r="A13" s="733" t="s">
        <v>189</v>
      </c>
      <c r="B13" s="672" t="s">
        <v>569</v>
      </c>
      <c r="C13" s="726">
        <f>IF(กรอกข้อมูล!$H$27="ไม่คุ้มครอง",0,IFERROR(VLOOKUP(A13,Cal!$A$13:$H$42,8,FALSE),0))</f>
        <v>0</v>
      </c>
      <c r="D13" s="726">
        <f t="shared" si="0"/>
        <v>0</v>
      </c>
      <c r="E13" s="721" t="s">
        <v>928</v>
      </c>
      <c r="F13" s="727">
        <v>1</v>
      </c>
      <c r="G13" s="727">
        <v>0</v>
      </c>
      <c r="H13" s="727">
        <v>0</v>
      </c>
      <c r="I13" s="728">
        <f t="shared" si="1"/>
        <v>0</v>
      </c>
      <c r="J13" s="728">
        <f t="shared" si="2"/>
        <v>0</v>
      </c>
      <c r="K13" s="728">
        <f t="shared" si="3"/>
        <v>0</v>
      </c>
      <c r="L13" s="729">
        <f t="shared" si="4"/>
        <v>0</v>
      </c>
      <c r="M13" s="672" t="s">
        <v>955</v>
      </c>
      <c r="N13" s="732">
        <v>200000</v>
      </c>
      <c r="P13" s="732"/>
      <c r="R13" s="672" t="s">
        <v>957</v>
      </c>
      <c r="S13" s="672" t="s">
        <v>957</v>
      </c>
      <c r="Z13" s="721">
        <v>1</v>
      </c>
      <c r="AA13" s="721">
        <v>0</v>
      </c>
      <c r="AB13" s="721">
        <v>0</v>
      </c>
      <c r="AC13" s="730"/>
    </row>
    <row r="14" spans="1:29">
      <c r="A14" s="672" t="s">
        <v>190</v>
      </c>
      <c r="B14" s="672" t="s">
        <v>569</v>
      </c>
      <c r="C14" s="726">
        <f>IF(กรอกข้อมูล!$H$27="ไม่คุ้มครอง",0,IFERROR(VLOOKUP(A14,Cal!$A$13:$H$42,8,FALSE),0))</f>
        <v>0</v>
      </c>
      <c r="D14" s="726">
        <f t="shared" si="0"/>
        <v>0</v>
      </c>
      <c r="E14" s="721" t="s">
        <v>928</v>
      </c>
      <c r="F14" s="727">
        <v>1</v>
      </c>
      <c r="G14" s="727">
        <v>0</v>
      </c>
      <c r="H14" s="727">
        <v>0</v>
      </c>
      <c r="I14" s="728">
        <f t="shared" si="1"/>
        <v>0</v>
      </c>
      <c r="J14" s="728">
        <f t="shared" si="2"/>
        <v>0</v>
      </c>
      <c r="K14" s="728">
        <f t="shared" si="3"/>
        <v>0</v>
      </c>
      <c r="L14" s="729">
        <f t="shared" si="4"/>
        <v>0</v>
      </c>
      <c r="R14" s="672" t="s">
        <v>959</v>
      </c>
      <c r="S14" s="672" t="s">
        <v>959</v>
      </c>
      <c r="Z14" s="721">
        <v>1</v>
      </c>
      <c r="AA14" s="721">
        <v>0</v>
      </c>
      <c r="AB14" s="721">
        <v>0</v>
      </c>
      <c r="AC14" s="730"/>
    </row>
    <row r="15" spans="1:29">
      <c r="A15" s="672" t="s">
        <v>191</v>
      </c>
      <c r="B15" s="672" t="s">
        <v>569</v>
      </c>
      <c r="C15" s="726">
        <f>IF(กรอกข้อมูล!$H$27="ไม่คุ้มครอง",0,IFERROR(VLOOKUP(A15,Cal!$A$13:$H$42,8,FALSE),0))</f>
        <v>0</v>
      </c>
      <c r="D15" s="726">
        <f t="shared" si="0"/>
        <v>0</v>
      </c>
      <c r="E15" s="721" t="s">
        <v>928</v>
      </c>
      <c r="F15" s="727">
        <v>1</v>
      </c>
      <c r="G15" s="727">
        <v>0</v>
      </c>
      <c r="H15" s="727">
        <v>0</v>
      </c>
      <c r="I15" s="728">
        <f t="shared" si="1"/>
        <v>0</v>
      </c>
      <c r="J15" s="728">
        <f t="shared" si="2"/>
        <v>0</v>
      </c>
      <c r="K15" s="728">
        <f t="shared" si="3"/>
        <v>0</v>
      </c>
      <c r="L15" s="729">
        <f t="shared" si="4"/>
        <v>0</v>
      </c>
      <c r="M15" s="672" t="s">
        <v>958</v>
      </c>
      <c r="N15" s="732">
        <f>IF(N10&gt;I3,I3,N10)</f>
        <v>100000</v>
      </c>
      <c r="P15" s="734">
        <f>N10-(N15+N16)</f>
        <v>0</v>
      </c>
      <c r="R15" s="672" t="s">
        <v>961</v>
      </c>
      <c r="S15" s="672" t="s">
        <v>961</v>
      </c>
      <c r="Z15" s="721">
        <v>1</v>
      </c>
      <c r="AA15" s="721">
        <v>0</v>
      </c>
      <c r="AB15" s="721">
        <v>0</v>
      </c>
      <c r="AC15" s="730"/>
    </row>
    <row r="16" spans="1:29">
      <c r="A16" s="672" t="s">
        <v>354</v>
      </c>
      <c r="B16" s="672" t="s">
        <v>569</v>
      </c>
      <c r="C16" s="726">
        <f>IF(กรอกข้อมูล!$H$28="ไม่คุ้มครอง",0,IFERROR(VLOOKUP(A16,Cal!$A$13:$H$42,8,FALSE),0))</f>
        <v>0</v>
      </c>
      <c r="D16" s="726">
        <f t="shared" si="0"/>
        <v>0</v>
      </c>
      <c r="E16" s="721" t="s">
        <v>942</v>
      </c>
      <c r="F16" s="727">
        <v>0</v>
      </c>
      <c r="G16" s="727">
        <v>1</v>
      </c>
      <c r="H16" s="727">
        <v>0</v>
      </c>
      <c r="I16" s="728">
        <f t="shared" si="1"/>
        <v>0</v>
      </c>
      <c r="J16" s="728">
        <f t="shared" si="2"/>
        <v>0</v>
      </c>
      <c r="K16" s="728">
        <f t="shared" si="3"/>
        <v>0</v>
      </c>
      <c r="L16" s="729">
        <f t="shared" si="4"/>
        <v>0</v>
      </c>
      <c r="M16" s="672" t="s">
        <v>960</v>
      </c>
      <c r="N16" s="732">
        <f>MIN(N10-N15,K3-N20)</f>
        <v>0</v>
      </c>
      <c r="R16" s="672" t="s">
        <v>754</v>
      </c>
      <c r="S16" s="672" t="s">
        <v>754</v>
      </c>
      <c r="Z16" s="721">
        <v>1</v>
      </c>
      <c r="AA16" s="721">
        <v>0</v>
      </c>
      <c r="AB16" s="721">
        <v>0</v>
      </c>
      <c r="AC16" s="730"/>
    </row>
    <row r="17" spans="1:29">
      <c r="A17" s="672" t="s">
        <v>355</v>
      </c>
      <c r="B17" s="672" t="s">
        <v>569</v>
      </c>
      <c r="C17" s="726">
        <f>IF(กรอกข้อมูล!$H$29="ไม่คุ้มครอง",0,IFERROR(VLOOKUP(A17,Cal!$A$13:$H$42,8,FALSE),0))</f>
        <v>0</v>
      </c>
      <c r="D17" s="726">
        <f t="shared" si="0"/>
        <v>0</v>
      </c>
      <c r="E17" s="721" t="s">
        <v>942</v>
      </c>
      <c r="F17" s="727">
        <v>0</v>
      </c>
      <c r="G17" s="727">
        <v>0</v>
      </c>
      <c r="H17" s="727">
        <v>1</v>
      </c>
      <c r="I17" s="728">
        <f t="shared" si="1"/>
        <v>0</v>
      </c>
      <c r="J17" s="728">
        <f t="shared" si="2"/>
        <v>0</v>
      </c>
      <c r="K17" s="728">
        <f t="shared" si="3"/>
        <v>0</v>
      </c>
      <c r="L17" s="729">
        <f t="shared" si="4"/>
        <v>0</v>
      </c>
      <c r="R17" s="672" t="s">
        <v>963</v>
      </c>
      <c r="S17" s="672" t="s">
        <v>963</v>
      </c>
      <c r="Z17" s="721">
        <v>1</v>
      </c>
      <c r="AA17" s="721">
        <v>0</v>
      </c>
      <c r="AB17" s="721">
        <v>0</v>
      </c>
      <c r="AC17" s="730"/>
    </row>
    <row r="18" spans="1:29">
      <c r="A18" s="672" t="s">
        <v>540</v>
      </c>
      <c r="B18" s="672" t="s">
        <v>569</v>
      </c>
      <c r="C18" s="726">
        <f>IFERROR(VLOOKUP(A18,Cal!$A$13:$H$42,8,FALSE),0)</f>
        <v>0</v>
      </c>
      <c r="D18" s="726">
        <f t="shared" si="0"/>
        <v>0</v>
      </c>
      <c r="E18" s="721" t="s">
        <v>942</v>
      </c>
      <c r="F18" s="727">
        <v>0</v>
      </c>
      <c r="G18" s="727">
        <v>0</v>
      </c>
      <c r="H18" s="727">
        <v>1</v>
      </c>
      <c r="I18" s="728">
        <f t="shared" si="1"/>
        <v>0</v>
      </c>
      <c r="J18" s="728">
        <f t="shared" si="2"/>
        <v>0</v>
      </c>
      <c r="K18" s="728">
        <f t="shared" si="3"/>
        <v>0</v>
      </c>
      <c r="L18" s="729">
        <f t="shared" si="4"/>
        <v>0</v>
      </c>
      <c r="M18" s="672" t="s">
        <v>962</v>
      </c>
      <c r="N18" s="732">
        <f>N15+N16</f>
        <v>100000</v>
      </c>
      <c r="R18" s="672" t="s">
        <v>965</v>
      </c>
      <c r="S18" s="672" t="s">
        <v>965</v>
      </c>
      <c r="Z18" s="721">
        <v>1</v>
      </c>
      <c r="AA18" s="721">
        <v>0</v>
      </c>
      <c r="AB18" s="721">
        <v>0</v>
      </c>
      <c r="AC18" s="730"/>
    </row>
    <row r="19" spans="1:29">
      <c r="A19" s="672" t="s">
        <v>130</v>
      </c>
      <c r="B19" s="672" t="s">
        <v>569</v>
      </c>
      <c r="C19" s="726">
        <f>IF(กรอกข้อมูล!$H$26="ไม่คุ้มครอง",0,IFERROR(VLOOKUP(A19,Cal!$A$13:$H$42,8,FALSE),0))</f>
        <v>0</v>
      </c>
      <c r="D19" s="726">
        <f t="shared" si="0"/>
        <v>0</v>
      </c>
      <c r="E19" s="721" t="s">
        <v>929</v>
      </c>
      <c r="F19" s="727">
        <f>IFERROR(VLOOKUP($A19&amp;$N$4&amp;$N$5,$R:$AB,9,FALSE),0)</f>
        <v>0</v>
      </c>
      <c r="G19" s="727">
        <f>IFERROR(VLOOKUP($A19&amp;$N$4&amp;$N$5,$R:$AB,10,FALSE),0)</f>
        <v>0.86850000000000005</v>
      </c>
      <c r="H19" s="727">
        <f>IFERROR(VLOOKUP($A19&amp;$N$4&amp;$N$5,$R:$AB,11,FALSE),0)</f>
        <v>0.13149999999999995</v>
      </c>
      <c r="I19" s="728">
        <f t="shared" si="1"/>
        <v>0</v>
      </c>
      <c r="J19" s="728">
        <f t="shared" si="2"/>
        <v>0</v>
      </c>
      <c r="K19" s="728">
        <f t="shared" si="3"/>
        <v>0</v>
      </c>
      <c r="L19" s="729">
        <f t="shared" si="4"/>
        <v>0</v>
      </c>
      <c r="M19" s="672" t="s">
        <v>964</v>
      </c>
      <c r="N19" s="732">
        <f>IF(N12&gt;0,MIN(N10-(N15+N16),J3,N11),MIN(N11,J3))</f>
        <v>0</v>
      </c>
      <c r="O19" s="732"/>
      <c r="P19" s="732"/>
      <c r="R19" s="672" t="s">
        <v>968</v>
      </c>
      <c r="S19" s="672" t="s">
        <v>968</v>
      </c>
      <c r="Z19" s="721">
        <v>1</v>
      </c>
      <c r="AA19" s="721">
        <v>0</v>
      </c>
      <c r="AB19" s="721">
        <v>0</v>
      </c>
      <c r="AC19" s="730"/>
    </row>
    <row r="20" spans="1:29">
      <c r="A20" s="672" t="s">
        <v>966</v>
      </c>
      <c r="B20" s="672" t="s">
        <v>569</v>
      </c>
      <c r="C20" s="726"/>
      <c r="D20" s="726"/>
      <c r="F20" s="727">
        <v>0</v>
      </c>
      <c r="G20" s="727">
        <v>1</v>
      </c>
      <c r="H20" s="727">
        <v>0</v>
      </c>
      <c r="I20" s="728">
        <f t="shared" si="1"/>
        <v>0</v>
      </c>
      <c r="J20" s="728">
        <f t="shared" si="2"/>
        <v>0</v>
      </c>
      <c r="K20" s="728">
        <f t="shared" si="3"/>
        <v>0</v>
      </c>
      <c r="L20" s="729">
        <f t="shared" si="4"/>
        <v>0</v>
      </c>
      <c r="M20" s="672" t="s">
        <v>967</v>
      </c>
      <c r="N20" s="732">
        <f>IF(N13&gt;K3,K3,N13)</f>
        <v>750</v>
      </c>
      <c r="R20" s="672" t="s">
        <v>970</v>
      </c>
      <c r="S20" s="672" t="s">
        <v>970</v>
      </c>
      <c r="Z20" s="721">
        <v>1</v>
      </c>
      <c r="AA20" s="721">
        <v>0</v>
      </c>
      <c r="AB20" s="721">
        <v>0</v>
      </c>
      <c r="AC20" s="730"/>
    </row>
    <row r="21" spans="1:29">
      <c r="A21" s="672" t="s">
        <v>969</v>
      </c>
      <c r="B21" s="672" t="s">
        <v>569</v>
      </c>
      <c r="C21" s="726"/>
      <c r="D21" s="726"/>
      <c r="F21" s="727">
        <v>0</v>
      </c>
      <c r="G21" s="727">
        <v>0</v>
      </c>
      <c r="H21" s="727">
        <v>1</v>
      </c>
      <c r="I21" s="728">
        <f t="shared" si="1"/>
        <v>0</v>
      </c>
      <c r="J21" s="728">
        <f t="shared" si="2"/>
        <v>0</v>
      </c>
      <c r="K21" s="728">
        <f t="shared" si="3"/>
        <v>0</v>
      </c>
      <c r="L21" s="729">
        <f t="shared" si="4"/>
        <v>0</v>
      </c>
      <c r="R21" s="672" t="s">
        <v>973</v>
      </c>
      <c r="S21" s="672" t="s">
        <v>973</v>
      </c>
      <c r="Z21" s="721">
        <v>1</v>
      </c>
      <c r="AA21" s="721">
        <v>0</v>
      </c>
      <c r="AB21" s="721">
        <v>0</v>
      </c>
      <c r="AC21" s="730"/>
    </row>
    <row r="22" spans="1:29">
      <c r="A22" s="672" t="s">
        <v>971</v>
      </c>
      <c r="B22" s="672" t="s">
        <v>569</v>
      </c>
      <c r="C22" s="726"/>
      <c r="D22" s="726"/>
      <c r="F22" s="727">
        <v>0</v>
      </c>
      <c r="G22" s="727">
        <v>1</v>
      </c>
      <c r="H22" s="727">
        <v>0</v>
      </c>
      <c r="I22" s="728">
        <f t="shared" si="1"/>
        <v>0</v>
      </c>
      <c r="J22" s="728">
        <f t="shared" si="2"/>
        <v>0</v>
      </c>
      <c r="K22" s="728">
        <f t="shared" si="3"/>
        <v>0</v>
      </c>
      <c r="L22" s="729">
        <f t="shared" si="4"/>
        <v>0</v>
      </c>
      <c r="N22" s="721" t="s">
        <v>723</v>
      </c>
      <c r="O22" s="672" t="s">
        <v>972</v>
      </c>
      <c r="P22" s="672" t="s">
        <v>944</v>
      </c>
      <c r="R22" s="672" t="s">
        <v>975</v>
      </c>
      <c r="S22" s="672" t="s">
        <v>975</v>
      </c>
      <c r="Z22" s="721">
        <v>1</v>
      </c>
      <c r="AA22" s="721">
        <v>0</v>
      </c>
      <c r="AB22" s="721">
        <v>0</v>
      </c>
      <c r="AC22" s="730"/>
    </row>
    <row r="23" spans="1:29">
      <c r="A23" s="672" t="s">
        <v>974</v>
      </c>
      <c r="B23" s="672" t="s">
        <v>569</v>
      </c>
      <c r="C23" s="726"/>
      <c r="D23" s="726"/>
      <c r="F23" s="727">
        <v>0</v>
      </c>
      <c r="G23" s="727">
        <v>1</v>
      </c>
      <c r="H23" s="727">
        <v>0</v>
      </c>
      <c r="I23" s="728">
        <f t="shared" si="1"/>
        <v>0</v>
      </c>
      <c r="J23" s="728">
        <f t="shared" si="2"/>
        <v>0</v>
      </c>
      <c r="K23" s="728">
        <f t="shared" si="3"/>
        <v>0</v>
      </c>
      <c r="L23" s="729">
        <f t="shared" si="4"/>
        <v>0</v>
      </c>
      <c r="M23" s="735" t="s">
        <v>32</v>
      </c>
      <c r="N23" s="736" t="s">
        <v>715</v>
      </c>
      <c r="O23" s="737">
        <v>1</v>
      </c>
      <c r="P23" s="738">
        <v>1</v>
      </c>
      <c r="R23" s="672" t="s">
        <v>977</v>
      </c>
      <c r="S23" s="672" t="s">
        <v>977</v>
      </c>
      <c r="Z23" s="721">
        <v>1</v>
      </c>
      <c r="AA23" s="721">
        <v>0</v>
      </c>
      <c r="AB23" s="721">
        <v>0</v>
      </c>
      <c r="AC23" s="730"/>
    </row>
    <row r="24" spans="1:29">
      <c r="A24" s="672" t="s">
        <v>976</v>
      </c>
      <c r="B24" s="672" t="s">
        <v>569</v>
      </c>
      <c r="C24" s="726"/>
      <c r="D24" s="726"/>
      <c r="F24" s="727">
        <v>0</v>
      </c>
      <c r="G24" s="727">
        <v>1</v>
      </c>
      <c r="H24" s="727">
        <v>0</v>
      </c>
      <c r="I24" s="728">
        <f t="shared" si="1"/>
        <v>0</v>
      </c>
      <c r="J24" s="728">
        <f t="shared" si="2"/>
        <v>0</v>
      </c>
      <c r="K24" s="728">
        <f t="shared" si="3"/>
        <v>0</v>
      </c>
      <c r="L24" s="729">
        <f t="shared" si="4"/>
        <v>0</v>
      </c>
      <c r="M24" s="739" t="s">
        <v>44</v>
      </c>
      <c r="N24" s="721" t="s">
        <v>717</v>
      </c>
      <c r="O24">
        <v>0.52</v>
      </c>
      <c r="P24" s="707">
        <v>2</v>
      </c>
      <c r="R24" s="672" t="s">
        <v>978</v>
      </c>
      <c r="S24" s="672" t="s">
        <v>978</v>
      </c>
      <c r="Z24" s="721">
        <v>1</v>
      </c>
      <c r="AA24" s="721">
        <v>0</v>
      </c>
      <c r="AB24" s="721">
        <v>0</v>
      </c>
      <c r="AC24" s="730"/>
    </row>
    <row r="25" spans="1:29">
      <c r="A25" s="767" t="s">
        <v>997</v>
      </c>
      <c r="B25" s="672" t="s">
        <v>569</v>
      </c>
      <c r="C25" s="768">
        <f>IF(กรอกข้อมูล!$H$24="ไม่คุ้มครอง",0,IFERROR(VLOOKUP(A25,Cal!$A$13:$H$42,8,FALSE),0))</f>
        <v>0</v>
      </c>
      <c r="D25" s="768">
        <f t="shared" ref="D25:D26" si="5">+C25*$N$7</f>
        <v>0</v>
      </c>
      <c r="E25" s="769" t="s">
        <v>929</v>
      </c>
      <c r="F25" s="770">
        <v>0</v>
      </c>
      <c r="G25" s="770">
        <v>1</v>
      </c>
      <c r="H25" s="770">
        <v>0</v>
      </c>
      <c r="I25" s="771">
        <f t="shared" si="1"/>
        <v>0</v>
      </c>
      <c r="J25" s="771">
        <f t="shared" si="2"/>
        <v>0</v>
      </c>
      <c r="K25" s="771">
        <f t="shared" si="3"/>
        <v>0</v>
      </c>
      <c r="L25" s="772">
        <f t="shared" si="4"/>
        <v>0</v>
      </c>
      <c r="M25" s="739" t="s">
        <v>45</v>
      </c>
      <c r="N25" s="721" t="s">
        <v>719</v>
      </c>
      <c r="O25">
        <v>0.27</v>
      </c>
      <c r="P25" s="707">
        <v>4</v>
      </c>
      <c r="R25" s="672" t="s">
        <v>853</v>
      </c>
      <c r="S25" s="672" t="s">
        <v>853</v>
      </c>
      <c r="Z25" s="721">
        <v>1</v>
      </c>
      <c r="AA25" s="721">
        <v>0</v>
      </c>
      <c r="AB25" s="721">
        <v>0</v>
      </c>
      <c r="AC25" s="730"/>
    </row>
    <row r="26" spans="1:29">
      <c r="A26" s="946" t="s">
        <v>1099</v>
      </c>
      <c r="B26" s="672" t="s">
        <v>569</v>
      </c>
      <c r="C26" s="768">
        <f>IF(กรอกข้อมูล!$H$30="ไม่คุ้มครอง",0,IFERROR(VLOOKUP(A26,Cal!$A$13:$H$42,8,FALSE),0))</f>
        <v>0</v>
      </c>
      <c r="D26" s="768">
        <f t="shared" si="5"/>
        <v>0</v>
      </c>
      <c r="E26" s="769" t="s">
        <v>929</v>
      </c>
      <c r="F26" s="770">
        <v>0</v>
      </c>
      <c r="G26" s="770">
        <v>1</v>
      </c>
      <c r="H26" s="770">
        <v>0</v>
      </c>
      <c r="I26" s="771">
        <f t="shared" si="1"/>
        <v>0</v>
      </c>
      <c r="J26" s="771">
        <f t="shared" si="2"/>
        <v>0</v>
      </c>
      <c r="K26" s="771">
        <f t="shared" si="3"/>
        <v>0</v>
      </c>
      <c r="L26" s="772">
        <f t="shared" si="4"/>
        <v>0</v>
      </c>
      <c r="M26" s="740" t="s">
        <v>46</v>
      </c>
      <c r="N26" s="741" t="s">
        <v>13</v>
      </c>
      <c r="O26" s="742">
        <v>0.09</v>
      </c>
      <c r="P26" s="743">
        <v>12</v>
      </c>
      <c r="R26" s="672" t="s">
        <v>852</v>
      </c>
      <c r="S26" s="672" t="s">
        <v>852</v>
      </c>
      <c r="Z26" s="721">
        <v>1</v>
      </c>
      <c r="AA26" s="721">
        <v>0</v>
      </c>
      <c r="AB26" s="721">
        <v>0</v>
      </c>
      <c r="AC26" s="730"/>
    </row>
    <row r="27" spans="1:29">
      <c r="A27" s="1087" t="s">
        <v>2452</v>
      </c>
      <c r="B27" s="1087" t="s">
        <v>569</v>
      </c>
      <c r="C27" s="768">
        <f>IF(กรอกข้อมูล!$H$32="ไม่คุ้มครอง",0,IFERROR(VLOOKUP(A27,Cal!$A$13:$H$42,8,FALSE),0))</f>
        <v>0</v>
      </c>
      <c r="D27" s="768">
        <f>+C27*$N$7</f>
        <v>0</v>
      </c>
      <c r="E27" s="1768" t="s">
        <v>929</v>
      </c>
      <c r="F27" s="770">
        <v>0</v>
      </c>
      <c r="G27" s="770">
        <v>1</v>
      </c>
      <c r="H27" s="770">
        <v>0</v>
      </c>
      <c r="I27" s="771">
        <f t="shared" si="1"/>
        <v>0</v>
      </c>
      <c r="J27" s="771">
        <f t="shared" si="2"/>
        <v>0</v>
      </c>
      <c r="K27" s="771">
        <f t="shared" si="3"/>
        <v>0</v>
      </c>
      <c r="L27" s="772">
        <f t="shared" si="4"/>
        <v>0</v>
      </c>
      <c r="R27" s="744" t="s">
        <v>38</v>
      </c>
      <c r="S27" s="744" t="s">
        <v>38</v>
      </c>
      <c r="T27" s="745">
        <v>0</v>
      </c>
      <c r="U27" s="745">
        <v>64</v>
      </c>
      <c r="V27" s="745" t="s">
        <v>13</v>
      </c>
      <c r="W27" s="745" t="s">
        <v>979</v>
      </c>
      <c r="X27" s="745">
        <v>1</v>
      </c>
      <c r="Y27" s="745">
        <v>1</v>
      </c>
      <c r="Z27" s="745">
        <v>0</v>
      </c>
      <c r="AA27" s="745">
        <v>0.18179999999999999</v>
      </c>
      <c r="AB27" s="745">
        <v>0.81820000000000004</v>
      </c>
      <c r="AC27" s="730"/>
    </row>
    <row r="28" spans="1:29" ht="43">
      <c r="A28" s="1087" t="s">
        <v>2911</v>
      </c>
      <c r="B28" s="1087" t="s">
        <v>569</v>
      </c>
      <c r="C28" s="768">
        <f>IFERROR(VLOOKUP(A28,Cal!$A$13:$H$42,8,FALSE),0)</f>
        <v>44789.5</v>
      </c>
      <c r="D28" s="768">
        <f>+C28*$N$7</f>
        <v>44789.5</v>
      </c>
      <c r="E28" s="1768" t="s">
        <v>929</v>
      </c>
      <c r="F28" s="2016">
        <v>0</v>
      </c>
      <c r="G28" s="2016">
        <v>1</v>
      </c>
      <c r="H28" s="2016">
        <v>0</v>
      </c>
      <c r="I28" s="771">
        <f t="shared" si="1"/>
        <v>0</v>
      </c>
      <c r="J28" s="771">
        <f t="shared" si="2"/>
        <v>44789.5</v>
      </c>
      <c r="K28" s="771">
        <f t="shared" si="3"/>
        <v>0</v>
      </c>
      <c r="L28" s="772">
        <f t="shared" si="4"/>
        <v>0</v>
      </c>
      <c r="M28" s="1241" t="s">
        <v>1460</v>
      </c>
      <c r="N28" s="721" t="str">
        <f>กรอกข้อมูล!E70</f>
        <v>yes</v>
      </c>
      <c r="R28" s="744" t="s">
        <v>38</v>
      </c>
      <c r="S28" s="744" t="s">
        <v>38</v>
      </c>
      <c r="T28" s="745">
        <v>0</v>
      </c>
      <c r="U28" s="745">
        <v>64</v>
      </c>
      <c r="V28" s="745" t="s">
        <v>13</v>
      </c>
      <c r="W28" s="745" t="s">
        <v>979</v>
      </c>
      <c r="X28" s="745">
        <v>2</v>
      </c>
      <c r="Y28" s="745">
        <v>2</v>
      </c>
      <c r="Z28" s="745">
        <v>0</v>
      </c>
      <c r="AA28" s="745">
        <v>0.18179999999999999</v>
      </c>
      <c r="AB28" s="745">
        <v>0.81820000000000004</v>
      </c>
      <c r="AC28" s="730"/>
    </row>
    <row r="29" spans="1:29">
      <c r="C29" s="726"/>
      <c r="D29" s="726"/>
      <c r="H29" s="727"/>
      <c r="I29" s="728"/>
      <c r="J29" s="728"/>
      <c r="K29" s="728"/>
      <c r="L29" s="729"/>
      <c r="R29" s="744" t="s">
        <v>38</v>
      </c>
      <c r="S29" s="744" t="s">
        <v>38</v>
      </c>
      <c r="T29" s="745">
        <v>0</v>
      </c>
      <c r="U29" s="745">
        <v>64</v>
      </c>
      <c r="V29" s="745" t="s">
        <v>13</v>
      </c>
      <c r="W29" s="745" t="s">
        <v>979</v>
      </c>
      <c r="X29" s="745">
        <v>3</v>
      </c>
      <c r="Y29" s="745">
        <v>3</v>
      </c>
      <c r="Z29" s="745">
        <v>0</v>
      </c>
      <c r="AA29" s="745">
        <v>0.18179999999999999</v>
      </c>
      <c r="AB29" s="745">
        <v>0.81820000000000004</v>
      </c>
      <c r="AC29" s="730"/>
    </row>
    <row r="30" spans="1:29">
      <c r="H30" s="727"/>
      <c r="R30" s="744" t="s">
        <v>38</v>
      </c>
      <c r="S30" s="744" t="s">
        <v>38</v>
      </c>
      <c r="T30" s="745">
        <v>0</v>
      </c>
      <c r="U30" s="745">
        <v>64</v>
      </c>
      <c r="V30" s="745" t="s">
        <v>13</v>
      </c>
      <c r="W30" s="745" t="s">
        <v>979</v>
      </c>
      <c r="X30" s="745">
        <v>4</v>
      </c>
      <c r="Y30" s="745">
        <v>4</v>
      </c>
      <c r="Z30" s="745">
        <v>0</v>
      </c>
      <c r="AA30" s="745">
        <v>0.18179999999999999</v>
      </c>
      <c r="AB30" s="745">
        <v>0.81820000000000004</v>
      </c>
      <c r="AC30" s="730"/>
    </row>
    <row r="31" spans="1:29">
      <c r="H31" s="727"/>
      <c r="R31" s="744" t="s">
        <v>38</v>
      </c>
      <c r="S31" s="744" t="s">
        <v>38</v>
      </c>
      <c r="T31" s="745">
        <v>0</v>
      </c>
      <c r="U31" s="745">
        <v>64</v>
      </c>
      <c r="V31" s="745" t="s">
        <v>14</v>
      </c>
      <c r="W31" s="745" t="s">
        <v>979</v>
      </c>
      <c r="X31" s="745">
        <v>1</v>
      </c>
      <c r="Y31" s="745">
        <v>1</v>
      </c>
      <c r="Z31" s="745">
        <v>0</v>
      </c>
      <c r="AA31" s="745">
        <v>0.18179999999999999</v>
      </c>
      <c r="AB31" s="745">
        <v>0.81820000000000004</v>
      </c>
      <c r="AC31" s="730"/>
    </row>
    <row r="32" spans="1:29">
      <c r="R32" s="744" t="s">
        <v>38</v>
      </c>
      <c r="S32" s="744" t="s">
        <v>38</v>
      </c>
      <c r="T32" s="745">
        <v>0</v>
      </c>
      <c r="U32" s="745">
        <v>64</v>
      </c>
      <c r="V32" s="745" t="s">
        <v>14</v>
      </c>
      <c r="W32" s="745" t="s">
        <v>979</v>
      </c>
      <c r="X32" s="745">
        <v>2</v>
      </c>
      <c r="Y32" s="745">
        <v>2</v>
      </c>
      <c r="Z32" s="745">
        <v>0</v>
      </c>
      <c r="AA32" s="745">
        <v>0.18179999999999999</v>
      </c>
      <c r="AB32" s="745">
        <v>0.81820000000000004</v>
      </c>
      <c r="AC32" s="730"/>
    </row>
    <row r="33" spans="18:29">
      <c r="R33" s="744" t="s">
        <v>38</v>
      </c>
      <c r="S33" s="744" t="s">
        <v>38</v>
      </c>
      <c r="T33" s="745">
        <v>0</v>
      </c>
      <c r="U33" s="745">
        <v>64</v>
      </c>
      <c r="V33" s="745" t="s">
        <v>14</v>
      </c>
      <c r="W33" s="745" t="s">
        <v>979</v>
      </c>
      <c r="X33" s="745">
        <v>3</v>
      </c>
      <c r="Y33" s="745">
        <v>3</v>
      </c>
      <c r="Z33" s="745">
        <v>0</v>
      </c>
      <c r="AA33" s="745">
        <v>0.18179999999999999</v>
      </c>
      <c r="AB33" s="745">
        <v>0.81820000000000004</v>
      </c>
      <c r="AC33" s="730"/>
    </row>
    <row r="34" spans="18:29">
      <c r="R34" s="744" t="s">
        <v>38</v>
      </c>
      <c r="S34" s="744" t="s">
        <v>38</v>
      </c>
      <c r="T34" s="745">
        <v>0</v>
      </c>
      <c r="U34" s="745">
        <v>64</v>
      </c>
      <c r="V34" s="745" t="s">
        <v>14</v>
      </c>
      <c r="W34" s="745" t="s">
        <v>979</v>
      </c>
      <c r="X34" s="745">
        <v>4</v>
      </c>
      <c r="Y34" s="745">
        <v>4</v>
      </c>
      <c r="Z34" s="745">
        <v>0</v>
      </c>
      <c r="AA34" s="745">
        <v>0.18179999999999999</v>
      </c>
      <c r="AB34" s="745">
        <v>0.81820000000000004</v>
      </c>
      <c r="AC34" s="730"/>
    </row>
    <row r="35" spans="18:29">
      <c r="R35" s="744" t="s">
        <v>39</v>
      </c>
      <c r="S35" s="744" t="s">
        <v>39</v>
      </c>
      <c r="T35" s="745">
        <v>0</v>
      </c>
      <c r="U35" s="745">
        <v>64</v>
      </c>
      <c r="V35" s="745" t="s">
        <v>13</v>
      </c>
      <c r="W35" s="745" t="s">
        <v>979</v>
      </c>
      <c r="X35" s="745">
        <v>1</v>
      </c>
      <c r="Y35" s="745">
        <v>1</v>
      </c>
      <c r="Z35" s="745">
        <v>0</v>
      </c>
      <c r="AA35" s="745">
        <v>0.69820000000000004</v>
      </c>
      <c r="AB35" s="745">
        <v>0.30179999999999996</v>
      </c>
      <c r="AC35" s="730"/>
    </row>
    <row r="36" spans="18:29">
      <c r="R36" s="744" t="s">
        <v>39</v>
      </c>
      <c r="S36" s="744" t="s">
        <v>39</v>
      </c>
      <c r="T36" s="745">
        <v>0</v>
      </c>
      <c r="U36" s="745">
        <v>64</v>
      </c>
      <c r="V36" s="745" t="s">
        <v>13</v>
      </c>
      <c r="W36" s="745" t="s">
        <v>979</v>
      </c>
      <c r="X36" s="745">
        <v>2</v>
      </c>
      <c r="Y36" s="745">
        <v>2</v>
      </c>
      <c r="Z36" s="745">
        <v>0</v>
      </c>
      <c r="AA36" s="745">
        <v>0.69820000000000004</v>
      </c>
      <c r="AB36" s="745">
        <v>0.30179999999999996</v>
      </c>
      <c r="AC36" s="730"/>
    </row>
    <row r="37" spans="18:29">
      <c r="R37" s="744" t="s">
        <v>39</v>
      </c>
      <c r="S37" s="744" t="s">
        <v>39</v>
      </c>
      <c r="T37" s="745">
        <v>0</v>
      </c>
      <c r="U37" s="745">
        <v>64</v>
      </c>
      <c r="V37" s="745" t="s">
        <v>13</v>
      </c>
      <c r="W37" s="745" t="s">
        <v>979</v>
      </c>
      <c r="X37" s="745">
        <v>3</v>
      </c>
      <c r="Y37" s="745">
        <v>3</v>
      </c>
      <c r="Z37" s="745">
        <v>0</v>
      </c>
      <c r="AA37" s="745">
        <v>0.69820000000000004</v>
      </c>
      <c r="AB37" s="745">
        <v>0.30179999999999996</v>
      </c>
      <c r="AC37" s="730"/>
    </row>
    <row r="38" spans="18:29">
      <c r="R38" s="744" t="s">
        <v>39</v>
      </c>
      <c r="S38" s="744" t="s">
        <v>39</v>
      </c>
      <c r="T38" s="745">
        <v>0</v>
      </c>
      <c r="U38" s="745">
        <v>64</v>
      </c>
      <c r="V38" s="745" t="s">
        <v>13</v>
      </c>
      <c r="W38" s="745" t="s">
        <v>979</v>
      </c>
      <c r="X38" s="745">
        <v>4</v>
      </c>
      <c r="Y38" s="745">
        <v>4</v>
      </c>
      <c r="Z38" s="745">
        <v>0</v>
      </c>
      <c r="AA38" s="745">
        <v>0.69820000000000004</v>
      </c>
      <c r="AB38" s="745">
        <v>0.30179999999999996</v>
      </c>
      <c r="AC38" s="730"/>
    </row>
    <row r="39" spans="18:29">
      <c r="R39" s="744" t="s">
        <v>39</v>
      </c>
      <c r="S39" s="744" t="s">
        <v>39</v>
      </c>
      <c r="T39" s="745">
        <v>0</v>
      </c>
      <c r="U39" s="745">
        <v>64</v>
      </c>
      <c r="V39" s="745" t="s">
        <v>14</v>
      </c>
      <c r="W39" s="745" t="s">
        <v>979</v>
      </c>
      <c r="X39" s="745">
        <v>1</v>
      </c>
      <c r="Y39" s="745">
        <v>1</v>
      </c>
      <c r="Z39" s="745">
        <v>0</v>
      </c>
      <c r="AA39" s="745">
        <v>0.69820000000000004</v>
      </c>
      <c r="AB39" s="745">
        <v>0.30179999999999996</v>
      </c>
      <c r="AC39" s="730"/>
    </row>
    <row r="40" spans="18:29">
      <c r="R40" s="744" t="s">
        <v>39</v>
      </c>
      <c r="S40" s="744" t="s">
        <v>39</v>
      </c>
      <c r="T40" s="745">
        <v>0</v>
      </c>
      <c r="U40" s="745">
        <v>64</v>
      </c>
      <c r="V40" s="745" t="s">
        <v>14</v>
      </c>
      <c r="W40" s="745" t="s">
        <v>979</v>
      </c>
      <c r="X40" s="745">
        <v>2</v>
      </c>
      <c r="Y40" s="745">
        <v>2</v>
      </c>
      <c r="Z40" s="745">
        <v>0</v>
      </c>
      <c r="AA40" s="745">
        <v>0.69820000000000004</v>
      </c>
      <c r="AB40" s="745">
        <v>0.30179999999999996</v>
      </c>
      <c r="AC40" s="730"/>
    </row>
    <row r="41" spans="18:29">
      <c r="R41" s="744" t="s">
        <v>39</v>
      </c>
      <c r="S41" s="744" t="s">
        <v>39</v>
      </c>
      <c r="T41" s="745">
        <v>0</v>
      </c>
      <c r="U41" s="745">
        <v>64</v>
      </c>
      <c r="V41" s="745" t="s">
        <v>14</v>
      </c>
      <c r="W41" s="745" t="s">
        <v>979</v>
      </c>
      <c r="X41" s="745">
        <v>3</v>
      </c>
      <c r="Y41" s="745">
        <v>3</v>
      </c>
      <c r="Z41" s="745">
        <v>0</v>
      </c>
      <c r="AA41" s="745">
        <v>0.69820000000000004</v>
      </c>
      <c r="AB41" s="745">
        <v>0.30179999999999996</v>
      </c>
      <c r="AC41" s="730"/>
    </row>
    <row r="42" spans="18:29">
      <c r="R42" s="744" t="s">
        <v>39</v>
      </c>
      <c r="S42" s="744" t="s">
        <v>39</v>
      </c>
      <c r="T42" s="745">
        <v>0</v>
      </c>
      <c r="U42" s="745">
        <v>64</v>
      </c>
      <c r="V42" s="745" t="s">
        <v>14</v>
      </c>
      <c r="W42" s="745" t="s">
        <v>979</v>
      </c>
      <c r="X42" s="745">
        <v>4</v>
      </c>
      <c r="Y42" s="745">
        <v>4</v>
      </c>
      <c r="Z42" s="745">
        <v>0</v>
      </c>
      <c r="AA42" s="745">
        <v>0.69820000000000004</v>
      </c>
      <c r="AB42" s="745">
        <v>0.30179999999999996</v>
      </c>
      <c r="AC42" s="730"/>
    </row>
    <row r="43" spans="18:29">
      <c r="R43" s="721" t="str">
        <f>S43&amp;T43&amp;V43</f>
        <v>DCI20M</v>
      </c>
      <c r="S43" s="672" t="s">
        <v>130</v>
      </c>
      <c r="T43" s="721">
        <v>20</v>
      </c>
      <c r="U43" s="721">
        <v>20</v>
      </c>
      <c r="V43" s="721" t="s">
        <v>13</v>
      </c>
      <c r="W43" s="721" t="s">
        <v>979</v>
      </c>
      <c r="X43" s="721">
        <v>1</v>
      </c>
      <c r="Y43" s="721">
        <v>4</v>
      </c>
      <c r="Z43" s="721">
        <v>0</v>
      </c>
      <c r="AA43" s="721">
        <v>0.68810000000000004</v>
      </c>
      <c r="AB43" s="721">
        <v>0.31189999999999996</v>
      </c>
      <c r="AC43" s="730"/>
    </row>
    <row r="44" spans="18:29">
      <c r="R44" s="721" t="str">
        <f t="shared" ref="R44:R107" si="6">S44&amp;T44&amp;V44</f>
        <v>DCI21M</v>
      </c>
      <c r="S44" s="672" t="s">
        <v>130</v>
      </c>
      <c r="T44" s="721">
        <v>21</v>
      </c>
      <c r="U44" s="721">
        <v>21</v>
      </c>
      <c r="V44" s="721" t="s">
        <v>13</v>
      </c>
      <c r="W44" s="721" t="s">
        <v>979</v>
      </c>
      <c r="X44" s="721">
        <v>1</v>
      </c>
      <c r="Y44" s="721">
        <v>4</v>
      </c>
      <c r="Z44" s="721">
        <v>0</v>
      </c>
      <c r="AA44" s="721">
        <v>0.68940000000000001</v>
      </c>
      <c r="AB44" s="721">
        <v>0.31059999999999999</v>
      </c>
      <c r="AC44" s="730"/>
    </row>
    <row r="45" spans="18:29">
      <c r="R45" s="721" t="str">
        <f t="shared" si="6"/>
        <v>DCI22M</v>
      </c>
      <c r="S45" s="672" t="s">
        <v>130</v>
      </c>
      <c r="T45" s="721">
        <v>22</v>
      </c>
      <c r="U45" s="721">
        <v>22</v>
      </c>
      <c r="V45" s="721" t="s">
        <v>13</v>
      </c>
      <c r="W45" s="721" t="s">
        <v>979</v>
      </c>
      <c r="X45" s="721">
        <v>1</v>
      </c>
      <c r="Y45" s="721">
        <v>4</v>
      </c>
      <c r="Z45" s="721">
        <v>0</v>
      </c>
      <c r="AA45" s="721">
        <v>0.69130000000000003</v>
      </c>
      <c r="AB45" s="721">
        <v>0.30869999999999997</v>
      </c>
      <c r="AC45" s="730"/>
    </row>
    <row r="46" spans="18:29">
      <c r="R46" s="721" t="str">
        <f t="shared" si="6"/>
        <v>DCI23M</v>
      </c>
      <c r="S46" s="672" t="s">
        <v>130</v>
      </c>
      <c r="T46" s="721">
        <v>23</v>
      </c>
      <c r="U46" s="721">
        <v>23</v>
      </c>
      <c r="V46" s="721" t="s">
        <v>13</v>
      </c>
      <c r="W46" s="721" t="s">
        <v>979</v>
      </c>
      <c r="X46" s="721">
        <v>1</v>
      </c>
      <c r="Y46" s="721">
        <v>4</v>
      </c>
      <c r="Z46" s="721">
        <v>0</v>
      </c>
      <c r="AA46" s="721">
        <v>0.69369999999999998</v>
      </c>
      <c r="AB46" s="721">
        <v>0.30630000000000002</v>
      </c>
      <c r="AC46" s="730"/>
    </row>
    <row r="47" spans="18:29">
      <c r="R47" s="721" t="str">
        <f t="shared" si="6"/>
        <v>DCI24M</v>
      </c>
      <c r="S47" s="672" t="s">
        <v>130</v>
      </c>
      <c r="T47" s="721">
        <v>24</v>
      </c>
      <c r="U47" s="721">
        <v>24</v>
      </c>
      <c r="V47" s="721" t="s">
        <v>13</v>
      </c>
      <c r="W47" s="721" t="s">
        <v>979</v>
      </c>
      <c r="X47" s="721">
        <v>1</v>
      </c>
      <c r="Y47" s="721">
        <v>4</v>
      </c>
      <c r="Z47" s="721">
        <v>0</v>
      </c>
      <c r="AA47" s="721">
        <v>0.69379999999999997</v>
      </c>
      <c r="AB47" s="721">
        <v>0.30620000000000003</v>
      </c>
      <c r="AC47" s="730"/>
    </row>
    <row r="48" spans="18:29">
      <c r="R48" s="721" t="str">
        <f t="shared" si="6"/>
        <v>DCI25M</v>
      </c>
      <c r="S48" s="672" t="s">
        <v>130</v>
      </c>
      <c r="T48" s="721">
        <v>25</v>
      </c>
      <c r="U48" s="721">
        <v>25</v>
      </c>
      <c r="V48" s="721" t="s">
        <v>13</v>
      </c>
      <c r="W48" s="721" t="s">
        <v>979</v>
      </c>
      <c r="X48" s="721">
        <v>1</v>
      </c>
      <c r="Y48" s="721">
        <v>4</v>
      </c>
      <c r="Z48" s="721">
        <v>0</v>
      </c>
      <c r="AA48" s="721">
        <v>0.69550000000000001</v>
      </c>
      <c r="AB48" s="721">
        <v>0.30449999999999999</v>
      </c>
      <c r="AC48" s="730"/>
    </row>
    <row r="49" spans="18:29">
      <c r="R49" s="721" t="str">
        <f t="shared" si="6"/>
        <v>DCI26M</v>
      </c>
      <c r="S49" s="672" t="s">
        <v>130</v>
      </c>
      <c r="T49" s="721">
        <v>26</v>
      </c>
      <c r="U49" s="721">
        <v>26</v>
      </c>
      <c r="V49" s="721" t="s">
        <v>13</v>
      </c>
      <c r="W49" s="721" t="s">
        <v>979</v>
      </c>
      <c r="X49" s="721">
        <v>1</v>
      </c>
      <c r="Y49" s="721">
        <v>4</v>
      </c>
      <c r="Z49" s="721">
        <v>0</v>
      </c>
      <c r="AA49" s="721">
        <v>0.69810000000000005</v>
      </c>
      <c r="AB49" s="721">
        <v>0.30189999999999995</v>
      </c>
      <c r="AC49" s="730"/>
    </row>
    <row r="50" spans="18:29">
      <c r="R50" s="721" t="str">
        <f t="shared" si="6"/>
        <v>DCI27M</v>
      </c>
      <c r="S50" s="672" t="s">
        <v>130</v>
      </c>
      <c r="T50" s="721">
        <v>27</v>
      </c>
      <c r="U50" s="721">
        <v>27</v>
      </c>
      <c r="V50" s="721" t="s">
        <v>13</v>
      </c>
      <c r="W50" s="721" t="s">
        <v>979</v>
      </c>
      <c r="X50" s="721">
        <v>1</v>
      </c>
      <c r="Y50" s="721">
        <v>4</v>
      </c>
      <c r="Z50" s="721">
        <v>0</v>
      </c>
      <c r="AA50" s="721">
        <v>0.7016</v>
      </c>
      <c r="AB50" s="721">
        <v>0.2984</v>
      </c>
      <c r="AC50" s="730"/>
    </row>
    <row r="51" spans="18:29">
      <c r="R51" s="721" t="str">
        <f t="shared" si="6"/>
        <v>DCI28M</v>
      </c>
      <c r="S51" s="672" t="s">
        <v>130</v>
      </c>
      <c r="T51" s="721">
        <v>28</v>
      </c>
      <c r="U51" s="721">
        <v>28</v>
      </c>
      <c r="V51" s="721" t="s">
        <v>13</v>
      </c>
      <c r="W51" s="721" t="s">
        <v>979</v>
      </c>
      <c r="X51" s="721">
        <v>1</v>
      </c>
      <c r="Y51" s="721">
        <v>4</v>
      </c>
      <c r="Z51" s="721">
        <v>0</v>
      </c>
      <c r="AA51" s="721">
        <v>0.70750000000000002</v>
      </c>
      <c r="AB51" s="721">
        <v>0.29249999999999998</v>
      </c>
      <c r="AC51" s="730"/>
    </row>
    <row r="52" spans="18:29">
      <c r="R52" s="721" t="str">
        <f t="shared" si="6"/>
        <v>DCI29M</v>
      </c>
      <c r="S52" s="672" t="s">
        <v>130</v>
      </c>
      <c r="T52" s="721">
        <v>29</v>
      </c>
      <c r="U52" s="721">
        <v>29</v>
      </c>
      <c r="V52" s="721" t="s">
        <v>13</v>
      </c>
      <c r="W52" s="721" t="s">
        <v>979</v>
      </c>
      <c r="X52" s="721">
        <v>1</v>
      </c>
      <c r="Y52" s="721">
        <v>4</v>
      </c>
      <c r="Z52" s="721">
        <v>0</v>
      </c>
      <c r="AA52" s="721">
        <v>0.7127</v>
      </c>
      <c r="AB52" s="721">
        <v>0.2873</v>
      </c>
      <c r="AC52" s="730"/>
    </row>
    <row r="53" spans="18:29">
      <c r="R53" s="721" t="str">
        <f t="shared" si="6"/>
        <v>DCI30M</v>
      </c>
      <c r="S53" s="672" t="s">
        <v>130</v>
      </c>
      <c r="T53" s="721">
        <v>30</v>
      </c>
      <c r="U53" s="721">
        <v>30</v>
      </c>
      <c r="V53" s="721" t="s">
        <v>13</v>
      </c>
      <c r="W53" s="721" t="s">
        <v>979</v>
      </c>
      <c r="X53" s="721">
        <v>1</v>
      </c>
      <c r="Y53" s="721">
        <v>4</v>
      </c>
      <c r="Z53" s="721">
        <v>0</v>
      </c>
      <c r="AA53" s="721">
        <v>0.71499999999999997</v>
      </c>
      <c r="AB53" s="721">
        <v>0.28500000000000003</v>
      </c>
      <c r="AC53" s="730"/>
    </row>
    <row r="54" spans="18:29">
      <c r="R54" s="721" t="str">
        <f t="shared" si="6"/>
        <v>DCI31M</v>
      </c>
      <c r="S54" s="672" t="s">
        <v>130</v>
      </c>
      <c r="T54" s="721">
        <v>31</v>
      </c>
      <c r="U54" s="721">
        <v>31</v>
      </c>
      <c r="V54" s="721" t="s">
        <v>13</v>
      </c>
      <c r="W54" s="721" t="s">
        <v>979</v>
      </c>
      <c r="X54" s="721">
        <v>1</v>
      </c>
      <c r="Y54" s="721">
        <v>4</v>
      </c>
      <c r="Z54" s="721">
        <v>0</v>
      </c>
      <c r="AA54" s="721">
        <v>0.71479999999999999</v>
      </c>
      <c r="AB54" s="721">
        <v>0.28520000000000001</v>
      </c>
      <c r="AC54" s="730"/>
    </row>
    <row r="55" spans="18:29">
      <c r="R55" s="721" t="str">
        <f t="shared" si="6"/>
        <v>DCI32M</v>
      </c>
      <c r="S55" s="672" t="s">
        <v>130</v>
      </c>
      <c r="T55" s="721">
        <v>32</v>
      </c>
      <c r="U55" s="721">
        <v>32</v>
      </c>
      <c r="V55" s="721" t="s">
        <v>13</v>
      </c>
      <c r="W55" s="721" t="s">
        <v>979</v>
      </c>
      <c r="X55" s="721">
        <v>1</v>
      </c>
      <c r="Y55" s="721">
        <v>4</v>
      </c>
      <c r="Z55" s="721">
        <v>0</v>
      </c>
      <c r="AA55" s="721">
        <v>0.71360000000000001</v>
      </c>
      <c r="AB55" s="721">
        <v>0.28639999999999999</v>
      </c>
      <c r="AC55" s="730"/>
    </row>
    <row r="56" spans="18:29">
      <c r="R56" s="721" t="str">
        <f t="shared" si="6"/>
        <v>DCI33M</v>
      </c>
      <c r="S56" s="672" t="s">
        <v>130</v>
      </c>
      <c r="T56" s="721">
        <v>33</v>
      </c>
      <c r="U56" s="721">
        <v>33</v>
      </c>
      <c r="V56" s="721" t="s">
        <v>13</v>
      </c>
      <c r="W56" s="721" t="s">
        <v>979</v>
      </c>
      <c r="X56" s="721">
        <v>1</v>
      </c>
      <c r="Y56" s="721">
        <v>4</v>
      </c>
      <c r="Z56" s="721">
        <v>0</v>
      </c>
      <c r="AA56" s="721">
        <v>0.71430000000000005</v>
      </c>
      <c r="AB56" s="721">
        <v>0.28569999999999995</v>
      </c>
      <c r="AC56" s="730"/>
    </row>
    <row r="57" spans="18:29">
      <c r="R57" s="721" t="str">
        <f t="shared" si="6"/>
        <v>DCI34M</v>
      </c>
      <c r="S57" s="672" t="s">
        <v>130</v>
      </c>
      <c r="T57" s="721">
        <v>34</v>
      </c>
      <c r="U57" s="721">
        <v>34</v>
      </c>
      <c r="V57" s="721" t="s">
        <v>13</v>
      </c>
      <c r="W57" s="721" t="s">
        <v>979</v>
      </c>
      <c r="X57" s="721">
        <v>1</v>
      </c>
      <c r="Y57" s="721">
        <v>4</v>
      </c>
      <c r="Z57" s="721">
        <v>0</v>
      </c>
      <c r="AA57" s="721">
        <v>0.71599999999999997</v>
      </c>
      <c r="AB57" s="721">
        <v>0.28400000000000003</v>
      </c>
      <c r="AC57" s="730"/>
    </row>
    <row r="58" spans="18:29">
      <c r="R58" s="721" t="str">
        <f t="shared" si="6"/>
        <v>DCI35M</v>
      </c>
      <c r="S58" s="672" t="s">
        <v>130</v>
      </c>
      <c r="T58" s="721">
        <v>35</v>
      </c>
      <c r="U58" s="721">
        <v>35</v>
      </c>
      <c r="V58" s="721" t="s">
        <v>13</v>
      </c>
      <c r="W58" s="721" t="s">
        <v>979</v>
      </c>
      <c r="X58" s="721">
        <v>1</v>
      </c>
      <c r="Y58" s="721">
        <v>4</v>
      </c>
      <c r="Z58" s="721">
        <v>0</v>
      </c>
      <c r="AA58" s="721">
        <v>0.7177</v>
      </c>
      <c r="AB58" s="721">
        <v>0.2823</v>
      </c>
      <c r="AC58" s="730"/>
    </row>
    <row r="59" spans="18:29">
      <c r="R59" s="721" t="str">
        <f t="shared" si="6"/>
        <v>DCI36M</v>
      </c>
      <c r="S59" s="672" t="s">
        <v>130</v>
      </c>
      <c r="T59" s="721">
        <v>36</v>
      </c>
      <c r="U59" s="721">
        <v>36</v>
      </c>
      <c r="V59" s="721" t="s">
        <v>13</v>
      </c>
      <c r="W59" s="721" t="s">
        <v>979</v>
      </c>
      <c r="X59" s="721">
        <v>1</v>
      </c>
      <c r="Y59" s="721">
        <v>4</v>
      </c>
      <c r="Z59" s="721">
        <v>0</v>
      </c>
      <c r="AA59" s="721">
        <v>0.71970000000000001</v>
      </c>
      <c r="AB59" s="721">
        <v>0.28029999999999999</v>
      </c>
      <c r="AC59" s="730"/>
    </row>
    <row r="60" spans="18:29">
      <c r="R60" s="721" t="str">
        <f t="shared" si="6"/>
        <v>DCI37M</v>
      </c>
      <c r="S60" s="672" t="s">
        <v>130</v>
      </c>
      <c r="T60" s="721">
        <v>37</v>
      </c>
      <c r="U60" s="721">
        <v>37</v>
      </c>
      <c r="V60" s="721" t="s">
        <v>13</v>
      </c>
      <c r="W60" s="721" t="s">
        <v>979</v>
      </c>
      <c r="X60" s="721">
        <v>1</v>
      </c>
      <c r="Y60" s="721">
        <v>4</v>
      </c>
      <c r="Z60" s="721">
        <v>0</v>
      </c>
      <c r="AA60" s="721">
        <v>0.72170000000000001</v>
      </c>
      <c r="AB60" s="721">
        <v>0.27829999999999999</v>
      </c>
      <c r="AC60" s="730"/>
    </row>
    <row r="61" spans="18:29">
      <c r="R61" s="721" t="str">
        <f t="shared" si="6"/>
        <v>DCI38M</v>
      </c>
      <c r="S61" s="672" t="s">
        <v>130</v>
      </c>
      <c r="T61" s="721">
        <v>38</v>
      </c>
      <c r="U61" s="721">
        <v>38</v>
      </c>
      <c r="V61" s="721" t="s">
        <v>13</v>
      </c>
      <c r="W61" s="721" t="s">
        <v>979</v>
      </c>
      <c r="X61" s="721">
        <v>1</v>
      </c>
      <c r="Y61" s="721">
        <v>4</v>
      </c>
      <c r="Z61" s="721">
        <v>0</v>
      </c>
      <c r="AA61" s="721">
        <v>0.72570000000000001</v>
      </c>
      <c r="AB61" s="721">
        <v>0.27429999999999999</v>
      </c>
      <c r="AC61" s="730"/>
    </row>
    <row r="62" spans="18:29">
      <c r="R62" s="721" t="str">
        <f t="shared" si="6"/>
        <v>DCI39M</v>
      </c>
      <c r="S62" s="672" t="s">
        <v>130</v>
      </c>
      <c r="T62" s="721">
        <v>39</v>
      </c>
      <c r="U62" s="721">
        <v>39</v>
      </c>
      <c r="V62" s="721" t="s">
        <v>13</v>
      </c>
      <c r="W62" s="721" t="s">
        <v>979</v>
      </c>
      <c r="X62" s="721">
        <v>1</v>
      </c>
      <c r="Y62" s="721">
        <v>4</v>
      </c>
      <c r="Z62" s="721">
        <v>0</v>
      </c>
      <c r="AA62" s="721">
        <v>0.72909999999999997</v>
      </c>
      <c r="AB62" s="721">
        <v>0.27090000000000003</v>
      </c>
      <c r="AC62" s="730"/>
    </row>
    <row r="63" spans="18:29">
      <c r="R63" s="721" t="str">
        <f t="shared" si="6"/>
        <v>DCI40M</v>
      </c>
      <c r="S63" s="672" t="s">
        <v>130</v>
      </c>
      <c r="T63" s="721">
        <v>40</v>
      </c>
      <c r="U63" s="721">
        <v>40</v>
      </c>
      <c r="V63" s="721" t="s">
        <v>13</v>
      </c>
      <c r="W63" s="721" t="s">
        <v>979</v>
      </c>
      <c r="X63" s="721">
        <v>1</v>
      </c>
      <c r="Y63" s="721">
        <v>4</v>
      </c>
      <c r="Z63" s="721">
        <v>0</v>
      </c>
      <c r="AA63" s="721">
        <v>0.73129999999999995</v>
      </c>
      <c r="AB63" s="721">
        <v>0.26870000000000005</v>
      </c>
      <c r="AC63" s="730"/>
    </row>
    <row r="64" spans="18:29">
      <c r="R64" s="721" t="str">
        <f t="shared" si="6"/>
        <v>DCI41M</v>
      </c>
      <c r="S64" s="672" t="s">
        <v>130</v>
      </c>
      <c r="T64" s="721">
        <v>41</v>
      </c>
      <c r="U64" s="721">
        <v>41</v>
      </c>
      <c r="V64" s="721" t="s">
        <v>13</v>
      </c>
      <c r="W64" s="721" t="s">
        <v>979</v>
      </c>
      <c r="X64" s="721">
        <v>1</v>
      </c>
      <c r="Y64" s="721">
        <v>4</v>
      </c>
      <c r="Z64" s="721">
        <v>0</v>
      </c>
      <c r="AA64" s="721">
        <v>0.73370000000000002</v>
      </c>
      <c r="AB64" s="721">
        <v>0.26629999999999998</v>
      </c>
      <c r="AC64" s="730"/>
    </row>
    <row r="65" spans="18:29">
      <c r="R65" s="721" t="str">
        <f t="shared" si="6"/>
        <v>DCI42M</v>
      </c>
      <c r="S65" s="672" t="s">
        <v>130</v>
      </c>
      <c r="T65" s="721">
        <v>42</v>
      </c>
      <c r="U65" s="721">
        <v>42</v>
      </c>
      <c r="V65" s="721" t="s">
        <v>13</v>
      </c>
      <c r="W65" s="721" t="s">
        <v>979</v>
      </c>
      <c r="X65" s="721">
        <v>1</v>
      </c>
      <c r="Y65" s="721">
        <v>4</v>
      </c>
      <c r="Z65" s="721">
        <v>0</v>
      </c>
      <c r="AA65" s="721">
        <v>0.73480000000000001</v>
      </c>
      <c r="AB65" s="721">
        <v>0.26519999999999999</v>
      </c>
      <c r="AC65" s="730"/>
    </row>
    <row r="66" spans="18:29">
      <c r="R66" s="721" t="str">
        <f t="shared" si="6"/>
        <v>DCI43M</v>
      </c>
      <c r="S66" s="672" t="s">
        <v>130</v>
      </c>
      <c r="T66" s="721">
        <v>43</v>
      </c>
      <c r="U66" s="721">
        <v>43</v>
      </c>
      <c r="V66" s="721" t="s">
        <v>13</v>
      </c>
      <c r="W66" s="721" t="s">
        <v>979</v>
      </c>
      <c r="X66" s="721">
        <v>1</v>
      </c>
      <c r="Y66" s="721">
        <v>4</v>
      </c>
      <c r="Z66" s="721">
        <v>0</v>
      </c>
      <c r="AA66" s="721">
        <v>0.7389</v>
      </c>
      <c r="AB66" s="721">
        <v>0.2611</v>
      </c>
      <c r="AC66" s="730"/>
    </row>
    <row r="67" spans="18:29">
      <c r="R67" s="721" t="str">
        <f t="shared" si="6"/>
        <v>DCI44M</v>
      </c>
      <c r="S67" s="672" t="s">
        <v>130</v>
      </c>
      <c r="T67" s="721">
        <v>44</v>
      </c>
      <c r="U67" s="721">
        <v>44</v>
      </c>
      <c r="V67" s="721" t="s">
        <v>13</v>
      </c>
      <c r="W67" s="721" t="s">
        <v>979</v>
      </c>
      <c r="X67" s="721">
        <v>1</v>
      </c>
      <c r="Y67" s="721">
        <v>4</v>
      </c>
      <c r="Z67" s="721">
        <v>0</v>
      </c>
      <c r="AA67" s="721">
        <v>0.74380000000000002</v>
      </c>
      <c r="AB67" s="721">
        <v>0.25619999999999998</v>
      </c>
      <c r="AC67" s="730"/>
    </row>
    <row r="68" spans="18:29">
      <c r="R68" s="721" t="str">
        <f t="shared" si="6"/>
        <v>DCI45M</v>
      </c>
      <c r="S68" s="672" t="s">
        <v>130</v>
      </c>
      <c r="T68" s="721">
        <v>45</v>
      </c>
      <c r="U68" s="721">
        <v>45</v>
      </c>
      <c r="V68" s="721" t="s">
        <v>13</v>
      </c>
      <c r="W68" s="721" t="s">
        <v>979</v>
      </c>
      <c r="X68" s="721">
        <v>1</v>
      </c>
      <c r="Y68" s="721">
        <v>4</v>
      </c>
      <c r="Z68" s="721">
        <v>0</v>
      </c>
      <c r="AA68" s="721">
        <v>0.74960000000000004</v>
      </c>
      <c r="AB68" s="721">
        <v>0.25039999999999996</v>
      </c>
      <c r="AC68" s="730"/>
    </row>
    <row r="69" spans="18:29">
      <c r="R69" s="721" t="str">
        <f t="shared" si="6"/>
        <v>DCI46M</v>
      </c>
      <c r="S69" s="672" t="s">
        <v>130</v>
      </c>
      <c r="T69" s="721">
        <v>46</v>
      </c>
      <c r="U69" s="721">
        <v>46</v>
      </c>
      <c r="V69" s="721" t="s">
        <v>13</v>
      </c>
      <c r="W69" s="721" t="s">
        <v>979</v>
      </c>
      <c r="X69" s="721">
        <v>1</v>
      </c>
      <c r="Y69" s="721">
        <v>4</v>
      </c>
      <c r="Z69" s="721">
        <v>0</v>
      </c>
      <c r="AA69" s="721">
        <v>0.74990000000000001</v>
      </c>
      <c r="AB69" s="721">
        <v>0.25009999999999999</v>
      </c>
      <c r="AC69" s="730"/>
    </row>
    <row r="70" spans="18:29">
      <c r="R70" s="721" t="str">
        <f t="shared" si="6"/>
        <v>DCI47M</v>
      </c>
      <c r="S70" s="672" t="s">
        <v>130</v>
      </c>
      <c r="T70" s="721">
        <v>47</v>
      </c>
      <c r="U70" s="721">
        <v>47</v>
      </c>
      <c r="V70" s="721" t="s">
        <v>13</v>
      </c>
      <c r="W70" s="721" t="s">
        <v>979</v>
      </c>
      <c r="X70" s="721">
        <v>1</v>
      </c>
      <c r="Y70" s="721">
        <v>4</v>
      </c>
      <c r="Z70" s="721">
        <v>0</v>
      </c>
      <c r="AA70" s="721">
        <v>0.75060000000000004</v>
      </c>
      <c r="AB70" s="721">
        <v>0.24939999999999996</v>
      </c>
      <c r="AC70" s="730"/>
    </row>
    <row r="71" spans="18:29">
      <c r="R71" s="721" t="str">
        <f t="shared" si="6"/>
        <v>DCI48M</v>
      </c>
      <c r="S71" s="672" t="s">
        <v>130</v>
      </c>
      <c r="T71" s="721">
        <v>48</v>
      </c>
      <c r="U71" s="721">
        <v>48</v>
      </c>
      <c r="V71" s="721" t="s">
        <v>13</v>
      </c>
      <c r="W71" s="721" t="s">
        <v>979</v>
      </c>
      <c r="X71" s="721">
        <v>1</v>
      </c>
      <c r="Y71" s="721">
        <v>4</v>
      </c>
      <c r="Z71" s="721">
        <v>0</v>
      </c>
      <c r="AA71" s="721">
        <v>0.75329999999999997</v>
      </c>
      <c r="AB71" s="721">
        <v>0.24670000000000003</v>
      </c>
      <c r="AC71" s="730"/>
    </row>
    <row r="72" spans="18:29">
      <c r="R72" s="721" t="str">
        <f t="shared" si="6"/>
        <v>DCI49M</v>
      </c>
      <c r="S72" s="672" t="s">
        <v>130</v>
      </c>
      <c r="T72" s="721">
        <v>49</v>
      </c>
      <c r="U72" s="721">
        <v>49</v>
      </c>
      <c r="V72" s="721" t="s">
        <v>13</v>
      </c>
      <c r="W72" s="721" t="s">
        <v>979</v>
      </c>
      <c r="X72" s="721">
        <v>1</v>
      </c>
      <c r="Y72" s="721">
        <v>4</v>
      </c>
      <c r="Z72" s="721">
        <v>0</v>
      </c>
      <c r="AA72" s="721">
        <v>0.75680000000000003</v>
      </c>
      <c r="AB72" s="721">
        <v>0.24319999999999997</v>
      </c>
      <c r="AC72" s="730"/>
    </row>
    <row r="73" spans="18:29">
      <c r="R73" s="721" t="str">
        <f t="shared" si="6"/>
        <v>DCI50M</v>
      </c>
      <c r="S73" s="672" t="s">
        <v>130</v>
      </c>
      <c r="T73" s="721">
        <v>50</v>
      </c>
      <c r="U73" s="721">
        <v>50</v>
      </c>
      <c r="V73" s="721" t="s">
        <v>13</v>
      </c>
      <c r="W73" s="721" t="s">
        <v>979</v>
      </c>
      <c r="X73" s="721">
        <v>1</v>
      </c>
      <c r="Y73" s="721">
        <v>4</v>
      </c>
      <c r="Z73" s="721">
        <v>0</v>
      </c>
      <c r="AA73" s="721">
        <v>0.75990000000000002</v>
      </c>
      <c r="AB73" s="721">
        <v>0.24009999999999998</v>
      </c>
      <c r="AC73" s="730"/>
    </row>
    <row r="74" spans="18:29">
      <c r="R74" s="721" t="str">
        <f t="shared" si="6"/>
        <v>DCI51M</v>
      </c>
      <c r="S74" s="672" t="s">
        <v>130</v>
      </c>
      <c r="T74" s="721">
        <v>51</v>
      </c>
      <c r="U74" s="721">
        <v>51</v>
      </c>
      <c r="V74" s="721" t="s">
        <v>13</v>
      </c>
      <c r="W74" s="721" t="s">
        <v>979</v>
      </c>
      <c r="X74" s="721">
        <v>1</v>
      </c>
      <c r="Y74" s="721">
        <v>4</v>
      </c>
      <c r="Z74" s="721">
        <v>0</v>
      </c>
      <c r="AA74" s="721">
        <v>0.76270000000000004</v>
      </c>
      <c r="AB74" s="721">
        <v>0.23729999999999996</v>
      </c>
      <c r="AC74" s="730"/>
    </row>
    <row r="75" spans="18:29">
      <c r="R75" s="721" t="str">
        <f t="shared" si="6"/>
        <v>DCI52M</v>
      </c>
      <c r="S75" s="672" t="s">
        <v>130</v>
      </c>
      <c r="T75" s="721">
        <v>52</v>
      </c>
      <c r="U75" s="721">
        <v>52</v>
      </c>
      <c r="V75" s="721" t="s">
        <v>13</v>
      </c>
      <c r="W75" s="721" t="s">
        <v>979</v>
      </c>
      <c r="X75" s="721">
        <v>1</v>
      </c>
      <c r="Y75" s="721">
        <v>4</v>
      </c>
      <c r="Z75" s="721">
        <v>0</v>
      </c>
      <c r="AA75" s="721">
        <v>0.76500000000000001</v>
      </c>
      <c r="AB75" s="721">
        <v>0.23499999999999999</v>
      </c>
      <c r="AC75" s="730"/>
    </row>
    <row r="76" spans="18:29">
      <c r="R76" s="721" t="str">
        <f t="shared" si="6"/>
        <v>DCI53M</v>
      </c>
      <c r="S76" s="672" t="s">
        <v>130</v>
      </c>
      <c r="T76" s="721">
        <v>53</v>
      </c>
      <c r="U76" s="721">
        <v>53</v>
      </c>
      <c r="V76" s="721" t="s">
        <v>13</v>
      </c>
      <c r="W76" s="721" t="s">
        <v>979</v>
      </c>
      <c r="X76" s="721">
        <v>1</v>
      </c>
      <c r="Y76" s="721">
        <v>4</v>
      </c>
      <c r="Z76" s="721">
        <v>0</v>
      </c>
      <c r="AA76" s="721">
        <v>0.76859999999999995</v>
      </c>
      <c r="AB76" s="721">
        <v>0.23140000000000005</v>
      </c>
      <c r="AC76" s="730"/>
    </row>
    <row r="77" spans="18:29">
      <c r="R77" s="721" t="str">
        <f t="shared" si="6"/>
        <v>DCI54M</v>
      </c>
      <c r="S77" s="672" t="s">
        <v>130</v>
      </c>
      <c r="T77" s="721">
        <v>54</v>
      </c>
      <c r="U77" s="721">
        <v>54</v>
      </c>
      <c r="V77" s="721" t="s">
        <v>13</v>
      </c>
      <c r="W77" s="721" t="s">
        <v>979</v>
      </c>
      <c r="X77" s="721">
        <v>1</v>
      </c>
      <c r="Y77" s="721">
        <v>4</v>
      </c>
      <c r="Z77" s="721">
        <v>0</v>
      </c>
      <c r="AA77" s="721">
        <v>0.7722</v>
      </c>
      <c r="AB77" s="721">
        <v>0.2278</v>
      </c>
      <c r="AC77" s="730"/>
    </row>
    <row r="78" spans="18:29">
      <c r="R78" s="721" t="str">
        <f t="shared" si="6"/>
        <v>DCI55M</v>
      </c>
      <c r="S78" s="672" t="s">
        <v>130</v>
      </c>
      <c r="T78" s="721">
        <v>55</v>
      </c>
      <c r="U78" s="721">
        <v>55</v>
      </c>
      <c r="V78" s="721" t="s">
        <v>13</v>
      </c>
      <c r="W78" s="721" t="s">
        <v>979</v>
      </c>
      <c r="X78" s="721">
        <v>1</v>
      </c>
      <c r="Y78" s="721">
        <v>4</v>
      </c>
      <c r="Z78" s="721">
        <v>0</v>
      </c>
      <c r="AA78" s="721">
        <v>0.7752</v>
      </c>
      <c r="AB78" s="721">
        <v>0.2248</v>
      </c>
      <c r="AC78" s="730"/>
    </row>
    <row r="79" spans="18:29">
      <c r="R79" s="721" t="str">
        <f t="shared" si="6"/>
        <v>DCI56M</v>
      </c>
      <c r="S79" s="672" t="s">
        <v>130</v>
      </c>
      <c r="T79" s="721">
        <v>56</v>
      </c>
      <c r="U79" s="721">
        <v>56</v>
      </c>
      <c r="V79" s="721" t="s">
        <v>13</v>
      </c>
      <c r="W79" s="721" t="s">
        <v>979</v>
      </c>
      <c r="X79" s="721">
        <v>1</v>
      </c>
      <c r="Y79" s="721">
        <v>4</v>
      </c>
      <c r="Z79" s="721">
        <v>0</v>
      </c>
      <c r="AA79" s="721">
        <v>0.77480000000000004</v>
      </c>
      <c r="AB79" s="721">
        <v>0.22519999999999996</v>
      </c>
      <c r="AC79" s="730"/>
    </row>
    <row r="80" spans="18:29">
      <c r="R80" s="721" t="str">
        <f t="shared" si="6"/>
        <v>DCI57M</v>
      </c>
      <c r="S80" s="672" t="s">
        <v>130</v>
      </c>
      <c r="T80" s="721">
        <v>57</v>
      </c>
      <c r="U80" s="721">
        <v>57</v>
      </c>
      <c r="V80" s="721" t="s">
        <v>13</v>
      </c>
      <c r="W80" s="721" t="s">
        <v>979</v>
      </c>
      <c r="X80" s="721">
        <v>1</v>
      </c>
      <c r="Y80" s="721">
        <v>4</v>
      </c>
      <c r="Z80" s="721">
        <v>0</v>
      </c>
      <c r="AA80" s="721">
        <v>0.77410000000000001</v>
      </c>
      <c r="AB80" s="721">
        <v>0.22589999999999999</v>
      </c>
      <c r="AC80" s="730"/>
    </row>
    <row r="81" spans="18:29">
      <c r="R81" s="721" t="str">
        <f t="shared" si="6"/>
        <v>DCI58M</v>
      </c>
      <c r="S81" s="672" t="s">
        <v>130</v>
      </c>
      <c r="T81" s="721">
        <v>58</v>
      </c>
      <c r="U81" s="721">
        <v>58</v>
      </c>
      <c r="V81" s="721" t="s">
        <v>13</v>
      </c>
      <c r="W81" s="721" t="s">
        <v>979</v>
      </c>
      <c r="X81" s="721">
        <v>1</v>
      </c>
      <c r="Y81" s="721">
        <v>4</v>
      </c>
      <c r="Z81" s="721">
        <v>0</v>
      </c>
      <c r="AA81" s="721">
        <v>0.77300000000000002</v>
      </c>
      <c r="AB81" s="721">
        <v>0.22699999999999998</v>
      </c>
      <c r="AC81" s="730"/>
    </row>
    <row r="82" spans="18:29">
      <c r="R82" s="721" t="str">
        <f t="shared" si="6"/>
        <v>DCI59M</v>
      </c>
      <c r="S82" s="672" t="s">
        <v>130</v>
      </c>
      <c r="T82" s="721">
        <v>59</v>
      </c>
      <c r="U82" s="721">
        <v>59</v>
      </c>
      <c r="V82" s="721" t="s">
        <v>13</v>
      </c>
      <c r="W82" s="721" t="s">
        <v>979</v>
      </c>
      <c r="X82" s="721">
        <v>1</v>
      </c>
      <c r="Y82" s="721">
        <v>4</v>
      </c>
      <c r="Z82" s="721">
        <v>0</v>
      </c>
      <c r="AA82" s="721">
        <v>0.77110000000000001</v>
      </c>
      <c r="AB82" s="721">
        <v>0.22889999999999999</v>
      </c>
      <c r="AC82" s="730"/>
    </row>
    <row r="83" spans="18:29">
      <c r="R83" s="721" t="str">
        <f t="shared" si="6"/>
        <v>DCI60M</v>
      </c>
      <c r="S83" s="672" t="s">
        <v>130</v>
      </c>
      <c r="T83" s="721">
        <v>60</v>
      </c>
      <c r="U83" s="721">
        <v>60</v>
      </c>
      <c r="V83" s="721" t="s">
        <v>13</v>
      </c>
      <c r="W83" s="721" t="s">
        <v>979</v>
      </c>
      <c r="X83" s="721">
        <v>1</v>
      </c>
      <c r="Y83" s="721">
        <v>4</v>
      </c>
      <c r="Z83" s="721">
        <v>0</v>
      </c>
      <c r="AA83" s="721">
        <v>0.76859999999999995</v>
      </c>
      <c r="AB83" s="721">
        <v>0.23140000000000005</v>
      </c>
      <c r="AC83" s="730"/>
    </row>
    <row r="84" spans="18:29">
      <c r="R84" s="721" t="str">
        <f t="shared" si="6"/>
        <v>DCI61M</v>
      </c>
      <c r="S84" s="672" t="s">
        <v>130</v>
      </c>
      <c r="T84" s="721">
        <v>61</v>
      </c>
      <c r="U84" s="721">
        <v>61</v>
      </c>
      <c r="V84" s="721" t="s">
        <v>13</v>
      </c>
      <c r="W84" s="721" t="s">
        <v>979</v>
      </c>
      <c r="X84" s="721">
        <v>1</v>
      </c>
      <c r="Y84" s="721">
        <v>4</v>
      </c>
      <c r="Z84" s="721">
        <v>0</v>
      </c>
      <c r="AA84" s="721">
        <v>0.76349999999999996</v>
      </c>
      <c r="AB84" s="721">
        <v>0.23650000000000004</v>
      </c>
      <c r="AC84" s="730"/>
    </row>
    <row r="85" spans="18:29">
      <c r="R85" s="721" t="str">
        <f t="shared" si="6"/>
        <v>DCI62M</v>
      </c>
      <c r="S85" s="672" t="s">
        <v>130</v>
      </c>
      <c r="T85" s="721">
        <v>62</v>
      </c>
      <c r="U85" s="721">
        <v>62</v>
      </c>
      <c r="V85" s="721" t="s">
        <v>13</v>
      </c>
      <c r="W85" s="721" t="s">
        <v>979</v>
      </c>
      <c r="X85" s="721">
        <v>1</v>
      </c>
      <c r="Y85" s="721">
        <v>4</v>
      </c>
      <c r="Z85" s="721">
        <v>0</v>
      </c>
      <c r="AA85" s="721">
        <v>0.75790000000000002</v>
      </c>
      <c r="AB85" s="721">
        <v>0.24209999999999998</v>
      </c>
      <c r="AC85" s="730"/>
    </row>
    <row r="86" spans="18:29">
      <c r="R86" s="721" t="str">
        <f t="shared" si="6"/>
        <v>DCI63M</v>
      </c>
      <c r="S86" s="672" t="s">
        <v>130</v>
      </c>
      <c r="T86" s="721">
        <v>63</v>
      </c>
      <c r="U86" s="721">
        <v>63</v>
      </c>
      <c r="V86" s="721" t="s">
        <v>13</v>
      </c>
      <c r="W86" s="721" t="s">
        <v>979</v>
      </c>
      <c r="X86" s="721">
        <v>1</v>
      </c>
      <c r="Y86" s="721">
        <v>4</v>
      </c>
      <c r="Z86" s="721">
        <v>0</v>
      </c>
      <c r="AA86" s="721">
        <v>0.75349999999999995</v>
      </c>
      <c r="AB86" s="721">
        <v>0.24650000000000005</v>
      </c>
      <c r="AC86" s="730"/>
    </row>
    <row r="87" spans="18:29">
      <c r="R87" s="721" t="str">
        <f t="shared" si="6"/>
        <v>DCI64M</v>
      </c>
      <c r="S87" s="672" t="s">
        <v>130</v>
      </c>
      <c r="T87" s="721">
        <v>64</v>
      </c>
      <c r="U87" s="721">
        <v>64</v>
      </c>
      <c r="V87" s="721" t="s">
        <v>13</v>
      </c>
      <c r="W87" s="721" t="s">
        <v>979</v>
      </c>
      <c r="X87" s="721">
        <v>1</v>
      </c>
      <c r="Y87" s="721">
        <v>4</v>
      </c>
      <c r="Z87" s="721">
        <v>0</v>
      </c>
      <c r="AA87" s="721">
        <v>0.74880000000000002</v>
      </c>
      <c r="AB87" s="721">
        <v>0.25119999999999998</v>
      </c>
      <c r="AC87" s="730"/>
    </row>
    <row r="88" spans="18:29">
      <c r="R88" s="721" t="str">
        <f t="shared" si="6"/>
        <v>DCI65M</v>
      </c>
      <c r="S88" s="672" t="s">
        <v>130</v>
      </c>
      <c r="T88" s="721">
        <v>65</v>
      </c>
      <c r="U88" s="721">
        <v>65</v>
      </c>
      <c r="V88" s="721" t="s">
        <v>13</v>
      </c>
      <c r="W88" s="721" t="s">
        <v>979</v>
      </c>
      <c r="X88" s="721">
        <v>1</v>
      </c>
      <c r="Y88" s="721">
        <v>4</v>
      </c>
      <c r="Z88" s="721">
        <v>0</v>
      </c>
      <c r="AA88" s="721">
        <v>0.74350000000000005</v>
      </c>
      <c r="AB88" s="721">
        <v>0.25649999999999995</v>
      </c>
      <c r="AC88" s="730"/>
    </row>
    <row r="89" spans="18:29">
      <c r="R89" s="721" t="str">
        <f t="shared" si="6"/>
        <v>DCI66M</v>
      </c>
      <c r="S89" s="672" t="s">
        <v>130</v>
      </c>
      <c r="T89" s="721">
        <v>66</v>
      </c>
      <c r="U89" s="721">
        <v>66</v>
      </c>
      <c r="V89" s="721" t="s">
        <v>13</v>
      </c>
      <c r="W89" s="721" t="s">
        <v>979</v>
      </c>
      <c r="X89" s="721">
        <v>1</v>
      </c>
      <c r="Y89" s="721">
        <v>4</v>
      </c>
      <c r="Z89" s="721">
        <v>0</v>
      </c>
      <c r="AA89" s="721">
        <v>0.72889999999999999</v>
      </c>
      <c r="AB89" s="721">
        <v>0.27110000000000001</v>
      </c>
      <c r="AC89" s="730"/>
    </row>
    <row r="90" spans="18:29">
      <c r="R90" s="721" t="str">
        <f t="shared" si="6"/>
        <v>DCI67M</v>
      </c>
      <c r="S90" s="672" t="s">
        <v>130</v>
      </c>
      <c r="T90" s="721">
        <v>67</v>
      </c>
      <c r="U90" s="721">
        <v>67</v>
      </c>
      <c r="V90" s="721" t="s">
        <v>13</v>
      </c>
      <c r="W90" s="721" t="s">
        <v>979</v>
      </c>
      <c r="X90" s="721">
        <v>1</v>
      </c>
      <c r="Y90" s="721">
        <v>4</v>
      </c>
      <c r="Z90" s="721">
        <v>0</v>
      </c>
      <c r="AA90" s="721">
        <v>0.71299999999999997</v>
      </c>
      <c r="AB90" s="721">
        <v>0.28700000000000003</v>
      </c>
      <c r="AC90" s="730"/>
    </row>
    <row r="91" spans="18:29">
      <c r="R91" s="721" t="str">
        <f t="shared" si="6"/>
        <v>DCI68M</v>
      </c>
      <c r="S91" s="672" t="s">
        <v>130</v>
      </c>
      <c r="T91" s="721">
        <v>68</v>
      </c>
      <c r="U91" s="721">
        <v>68</v>
      </c>
      <c r="V91" s="721" t="s">
        <v>13</v>
      </c>
      <c r="W91" s="721" t="s">
        <v>979</v>
      </c>
      <c r="X91" s="721">
        <v>1</v>
      </c>
      <c r="Y91" s="721">
        <v>4</v>
      </c>
      <c r="Z91" s="721">
        <v>0</v>
      </c>
      <c r="AA91" s="721">
        <v>0.70730000000000004</v>
      </c>
      <c r="AB91" s="721">
        <v>0.29269999999999996</v>
      </c>
      <c r="AC91" s="730"/>
    </row>
    <row r="92" spans="18:29">
      <c r="R92" s="721" t="str">
        <f t="shared" si="6"/>
        <v>DCI69M</v>
      </c>
      <c r="S92" s="672" t="s">
        <v>130</v>
      </c>
      <c r="T92" s="721">
        <v>69</v>
      </c>
      <c r="U92" s="721">
        <v>69</v>
      </c>
      <c r="V92" s="721" t="s">
        <v>13</v>
      </c>
      <c r="W92" s="721" t="s">
        <v>979</v>
      </c>
      <c r="X92" s="721">
        <v>1</v>
      </c>
      <c r="Y92" s="721">
        <v>4</v>
      </c>
      <c r="Z92" s="721">
        <v>0</v>
      </c>
      <c r="AA92" s="721">
        <v>0.72389999999999999</v>
      </c>
      <c r="AB92" s="721">
        <v>0.27610000000000001</v>
      </c>
      <c r="AC92" s="730"/>
    </row>
    <row r="93" spans="18:29">
      <c r="R93" s="721" t="str">
        <f t="shared" si="6"/>
        <v>DCI70M</v>
      </c>
      <c r="S93" s="672" t="s">
        <v>130</v>
      </c>
      <c r="T93" s="721">
        <v>70</v>
      </c>
      <c r="U93" s="721">
        <v>70</v>
      </c>
      <c r="V93" s="721" t="s">
        <v>13</v>
      </c>
      <c r="W93" s="721" t="s">
        <v>979</v>
      </c>
      <c r="X93" s="721">
        <v>1</v>
      </c>
      <c r="Y93" s="721">
        <v>4</v>
      </c>
      <c r="Z93" s="721">
        <v>0</v>
      </c>
      <c r="AA93" s="721">
        <v>0.72689999999999999</v>
      </c>
      <c r="AB93" s="721">
        <v>0.27310000000000001</v>
      </c>
      <c r="AC93" s="730"/>
    </row>
    <row r="94" spans="18:29">
      <c r="R94" s="721" t="str">
        <f t="shared" si="6"/>
        <v>DCI71M</v>
      </c>
      <c r="S94" s="672" t="s">
        <v>130</v>
      </c>
      <c r="T94" s="721">
        <v>71</v>
      </c>
      <c r="U94" s="721">
        <v>71</v>
      </c>
      <c r="V94" s="721" t="s">
        <v>13</v>
      </c>
      <c r="W94" s="721" t="s">
        <v>979</v>
      </c>
      <c r="X94" s="721">
        <v>1</v>
      </c>
      <c r="Y94" s="721">
        <v>4</v>
      </c>
      <c r="Z94" s="721">
        <v>0</v>
      </c>
      <c r="AA94" s="721">
        <v>0.72840000000000005</v>
      </c>
      <c r="AB94" s="721">
        <v>0.27159999999999995</v>
      </c>
      <c r="AC94" s="730"/>
    </row>
    <row r="95" spans="18:29">
      <c r="R95" s="721" t="str">
        <f t="shared" si="6"/>
        <v>DCI72M</v>
      </c>
      <c r="S95" s="672" t="s">
        <v>130</v>
      </c>
      <c r="T95" s="721">
        <v>72</v>
      </c>
      <c r="U95" s="721">
        <v>72</v>
      </c>
      <c r="V95" s="721" t="s">
        <v>13</v>
      </c>
      <c r="W95" s="721" t="s">
        <v>979</v>
      </c>
      <c r="X95" s="721">
        <v>1</v>
      </c>
      <c r="Y95" s="721">
        <v>4</v>
      </c>
      <c r="Z95" s="721">
        <v>0</v>
      </c>
      <c r="AA95" s="721">
        <v>0.72660000000000002</v>
      </c>
      <c r="AB95" s="721">
        <v>0.27339999999999998</v>
      </c>
      <c r="AC95" s="730"/>
    </row>
    <row r="96" spans="18:29">
      <c r="R96" s="721" t="str">
        <f t="shared" si="6"/>
        <v>DCI73M</v>
      </c>
      <c r="S96" s="672" t="s">
        <v>130</v>
      </c>
      <c r="T96" s="721">
        <v>73</v>
      </c>
      <c r="U96" s="721">
        <v>73</v>
      </c>
      <c r="V96" s="721" t="s">
        <v>13</v>
      </c>
      <c r="W96" s="721" t="s">
        <v>979</v>
      </c>
      <c r="X96" s="721">
        <v>1</v>
      </c>
      <c r="Y96" s="721">
        <v>4</v>
      </c>
      <c r="Z96" s="721">
        <v>0</v>
      </c>
      <c r="AA96" s="721">
        <v>0.72030000000000005</v>
      </c>
      <c r="AB96" s="721">
        <v>0.27969999999999995</v>
      </c>
      <c r="AC96" s="730"/>
    </row>
    <row r="97" spans="18:29">
      <c r="R97" s="721" t="str">
        <f t="shared" si="6"/>
        <v>DCI74M</v>
      </c>
      <c r="S97" s="672" t="s">
        <v>130</v>
      </c>
      <c r="T97" s="721">
        <v>74</v>
      </c>
      <c r="U97" s="721">
        <v>74</v>
      </c>
      <c r="V97" s="721" t="s">
        <v>13</v>
      </c>
      <c r="W97" s="721" t="s">
        <v>979</v>
      </c>
      <c r="X97" s="721">
        <v>1</v>
      </c>
      <c r="Y97" s="721">
        <v>4</v>
      </c>
      <c r="Z97" s="721">
        <v>0</v>
      </c>
      <c r="AA97" s="721">
        <v>0.72529999999999994</v>
      </c>
      <c r="AB97" s="721">
        <v>0.27470000000000006</v>
      </c>
      <c r="AC97" s="730"/>
    </row>
    <row r="98" spans="18:29">
      <c r="R98" s="721" t="str">
        <f t="shared" si="6"/>
        <v>DCI20F</v>
      </c>
      <c r="S98" s="672" t="s">
        <v>130</v>
      </c>
      <c r="T98" s="721">
        <v>20</v>
      </c>
      <c r="U98" s="721">
        <v>20</v>
      </c>
      <c r="V98" s="721" t="s">
        <v>14</v>
      </c>
      <c r="W98" s="721" t="s">
        <v>979</v>
      </c>
      <c r="X98" s="721">
        <v>1</v>
      </c>
      <c r="Y98" s="721">
        <v>4</v>
      </c>
      <c r="Z98" s="721">
        <v>0</v>
      </c>
      <c r="AA98" s="721">
        <v>0.86080000000000001</v>
      </c>
      <c r="AB98" s="721">
        <v>0.13919999999999999</v>
      </c>
      <c r="AC98" s="730"/>
    </row>
    <row r="99" spans="18:29">
      <c r="R99" s="721" t="str">
        <f t="shared" si="6"/>
        <v>DCI21F</v>
      </c>
      <c r="S99" s="672" t="s">
        <v>130</v>
      </c>
      <c r="T99" s="721">
        <v>21</v>
      </c>
      <c r="U99" s="721">
        <v>21</v>
      </c>
      <c r="V99" s="721" t="s">
        <v>14</v>
      </c>
      <c r="W99" s="721" t="s">
        <v>979</v>
      </c>
      <c r="X99" s="721">
        <v>1</v>
      </c>
      <c r="Y99" s="721">
        <v>4</v>
      </c>
      <c r="Z99" s="721">
        <v>0</v>
      </c>
      <c r="AA99" s="721">
        <v>0.86329999999999996</v>
      </c>
      <c r="AB99" s="721">
        <v>0.13670000000000004</v>
      </c>
      <c r="AC99" s="730"/>
    </row>
    <row r="100" spans="18:29">
      <c r="R100" s="721" t="str">
        <f t="shared" si="6"/>
        <v>DCI22F</v>
      </c>
      <c r="S100" s="672" t="s">
        <v>130</v>
      </c>
      <c r="T100" s="721">
        <v>22</v>
      </c>
      <c r="U100" s="721">
        <v>22</v>
      </c>
      <c r="V100" s="721" t="s">
        <v>14</v>
      </c>
      <c r="W100" s="721" t="s">
        <v>979</v>
      </c>
      <c r="X100" s="721">
        <v>1</v>
      </c>
      <c r="Y100" s="721">
        <v>4</v>
      </c>
      <c r="Z100" s="721">
        <v>0</v>
      </c>
      <c r="AA100" s="721">
        <v>0.86519999999999997</v>
      </c>
      <c r="AB100" s="721">
        <v>0.13480000000000003</v>
      </c>
      <c r="AC100" s="730"/>
    </row>
    <row r="101" spans="18:29">
      <c r="R101" s="721" t="str">
        <f t="shared" si="6"/>
        <v>DCI23F</v>
      </c>
      <c r="S101" s="672" t="s">
        <v>130</v>
      </c>
      <c r="T101" s="721">
        <v>23</v>
      </c>
      <c r="U101" s="721">
        <v>23</v>
      </c>
      <c r="V101" s="721" t="s">
        <v>14</v>
      </c>
      <c r="W101" s="721" t="s">
        <v>979</v>
      </c>
      <c r="X101" s="721">
        <v>1</v>
      </c>
      <c r="Y101" s="721">
        <v>4</v>
      </c>
      <c r="Z101" s="721">
        <v>0</v>
      </c>
      <c r="AA101" s="721">
        <v>0.86650000000000005</v>
      </c>
      <c r="AB101" s="721">
        <v>0.13349999999999995</v>
      </c>
      <c r="AC101" s="730"/>
    </row>
    <row r="102" spans="18:29">
      <c r="R102" s="721" t="str">
        <f t="shared" si="6"/>
        <v>DCI24F</v>
      </c>
      <c r="S102" s="672" t="s">
        <v>130</v>
      </c>
      <c r="T102" s="721">
        <v>24</v>
      </c>
      <c r="U102" s="721">
        <v>24</v>
      </c>
      <c r="V102" s="721" t="s">
        <v>14</v>
      </c>
      <c r="W102" s="721" t="s">
        <v>979</v>
      </c>
      <c r="X102" s="721">
        <v>1</v>
      </c>
      <c r="Y102" s="721">
        <v>4</v>
      </c>
      <c r="Z102" s="721">
        <v>0</v>
      </c>
      <c r="AA102" s="721">
        <v>0.86660000000000004</v>
      </c>
      <c r="AB102" s="721">
        <v>0.13339999999999996</v>
      </c>
      <c r="AC102" s="730"/>
    </row>
    <row r="103" spans="18:29">
      <c r="R103" s="721" t="str">
        <f t="shared" si="6"/>
        <v>DCI25F</v>
      </c>
      <c r="S103" s="672" t="s">
        <v>130</v>
      </c>
      <c r="T103" s="721">
        <v>25</v>
      </c>
      <c r="U103" s="721">
        <v>25</v>
      </c>
      <c r="V103" s="721" t="s">
        <v>14</v>
      </c>
      <c r="W103" s="721" t="s">
        <v>979</v>
      </c>
      <c r="X103" s="721">
        <v>1</v>
      </c>
      <c r="Y103" s="721">
        <v>4</v>
      </c>
      <c r="Z103" s="721">
        <v>0</v>
      </c>
      <c r="AA103" s="721">
        <v>0.86639999999999995</v>
      </c>
      <c r="AB103" s="721">
        <v>0.13360000000000005</v>
      </c>
      <c r="AC103" s="730"/>
    </row>
    <row r="104" spans="18:29">
      <c r="R104" s="721" t="str">
        <f t="shared" si="6"/>
        <v>DCI26F</v>
      </c>
      <c r="S104" s="672" t="s">
        <v>130</v>
      </c>
      <c r="T104" s="721">
        <v>26</v>
      </c>
      <c r="U104" s="721">
        <v>26</v>
      </c>
      <c r="V104" s="721" t="s">
        <v>14</v>
      </c>
      <c r="W104" s="721" t="s">
        <v>979</v>
      </c>
      <c r="X104" s="721">
        <v>1</v>
      </c>
      <c r="Y104" s="721">
        <v>4</v>
      </c>
      <c r="Z104" s="721">
        <v>0</v>
      </c>
      <c r="AA104" s="721">
        <v>0.86670000000000003</v>
      </c>
      <c r="AB104" s="721">
        <v>0.13329999999999997</v>
      </c>
      <c r="AC104" s="730"/>
    </row>
    <row r="105" spans="18:29">
      <c r="R105" s="721" t="str">
        <f t="shared" si="6"/>
        <v>DCI27F</v>
      </c>
      <c r="S105" s="672" t="s">
        <v>130</v>
      </c>
      <c r="T105" s="721">
        <v>27</v>
      </c>
      <c r="U105" s="721">
        <v>27</v>
      </c>
      <c r="V105" s="721" t="s">
        <v>14</v>
      </c>
      <c r="W105" s="721" t="s">
        <v>979</v>
      </c>
      <c r="X105" s="721">
        <v>1</v>
      </c>
      <c r="Y105" s="721">
        <v>4</v>
      </c>
      <c r="Z105" s="721">
        <v>0</v>
      </c>
      <c r="AA105" s="721">
        <v>0.86719999999999997</v>
      </c>
      <c r="AB105" s="721">
        <v>0.13280000000000003</v>
      </c>
      <c r="AC105" s="730"/>
    </row>
    <row r="106" spans="18:29">
      <c r="R106" s="721" t="str">
        <f t="shared" si="6"/>
        <v>DCI28F</v>
      </c>
      <c r="S106" s="672" t="s">
        <v>130</v>
      </c>
      <c r="T106" s="721">
        <v>28</v>
      </c>
      <c r="U106" s="721">
        <v>28</v>
      </c>
      <c r="V106" s="721" t="s">
        <v>14</v>
      </c>
      <c r="W106" s="721" t="s">
        <v>979</v>
      </c>
      <c r="X106" s="721">
        <v>1</v>
      </c>
      <c r="Y106" s="721">
        <v>4</v>
      </c>
      <c r="Z106" s="721">
        <v>0</v>
      </c>
      <c r="AA106" s="721">
        <v>0.86950000000000005</v>
      </c>
      <c r="AB106" s="721">
        <v>0.13049999999999995</v>
      </c>
      <c r="AC106" s="730"/>
    </row>
    <row r="107" spans="18:29">
      <c r="R107" s="721" t="str">
        <f t="shared" si="6"/>
        <v>DCI29F</v>
      </c>
      <c r="S107" s="672" t="s">
        <v>130</v>
      </c>
      <c r="T107" s="721">
        <v>29</v>
      </c>
      <c r="U107" s="721">
        <v>29</v>
      </c>
      <c r="V107" s="721" t="s">
        <v>14</v>
      </c>
      <c r="W107" s="721" t="s">
        <v>979</v>
      </c>
      <c r="X107" s="721">
        <v>1</v>
      </c>
      <c r="Y107" s="721">
        <v>4</v>
      </c>
      <c r="Z107" s="721">
        <v>0</v>
      </c>
      <c r="AA107" s="721">
        <v>0.87160000000000004</v>
      </c>
      <c r="AB107" s="721">
        <v>0.12839999999999996</v>
      </c>
      <c r="AC107" s="730"/>
    </row>
    <row r="108" spans="18:29">
      <c r="R108" s="721" t="str">
        <f t="shared" ref="R108:R171" si="7">S108&amp;T108&amp;V108</f>
        <v>DCI30F</v>
      </c>
      <c r="S108" s="672" t="s">
        <v>130</v>
      </c>
      <c r="T108" s="721">
        <v>30</v>
      </c>
      <c r="U108" s="721">
        <v>30</v>
      </c>
      <c r="V108" s="721" t="s">
        <v>14</v>
      </c>
      <c r="W108" s="721" t="s">
        <v>979</v>
      </c>
      <c r="X108" s="721">
        <v>1</v>
      </c>
      <c r="Y108" s="721">
        <v>4</v>
      </c>
      <c r="Z108" s="721">
        <v>0</v>
      </c>
      <c r="AA108" s="721">
        <v>0.87209999999999999</v>
      </c>
      <c r="AB108" s="721">
        <v>0.12790000000000001</v>
      </c>
      <c r="AC108" s="730"/>
    </row>
    <row r="109" spans="18:29">
      <c r="R109" s="721" t="str">
        <f t="shared" si="7"/>
        <v>DCI31F</v>
      </c>
      <c r="S109" s="672" t="s">
        <v>130</v>
      </c>
      <c r="T109" s="721">
        <v>31</v>
      </c>
      <c r="U109" s="721">
        <v>31</v>
      </c>
      <c r="V109" s="721" t="s">
        <v>14</v>
      </c>
      <c r="W109" s="721" t="s">
        <v>979</v>
      </c>
      <c r="X109" s="721">
        <v>1</v>
      </c>
      <c r="Y109" s="721">
        <v>4</v>
      </c>
      <c r="Z109" s="721">
        <v>0</v>
      </c>
      <c r="AA109" s="721">
        <v>0.87160000000000004</v>
      </c>
      <c r="AB109" s="721">
        <v>0.12839999999999996</v>
      </c>
      <c r="AC109" s="730"/>
    </row>
    <row r="110" spans="18:29">
      <c r="R110" s="721" t="str">
        <f t="shared" si="7"/>
        <v>DCI32F</v>
      </c>
      <c r="S110" s="672" t="s">
        <v>130</v>
      </c>
      <c r="T110" s="721">
        <v>32</v>
      </c>
      <c r="U110" s="721">
        <v>32</v>
      </c>
      <c r="V110" s="721" t="s">
        <v>14</v>
      </c>
      <c r="W110" s="721" t="s">
        <v>979</v>
      </c>
      <c r="X110" s="721">
        <v>1</v>
      </c>
      <c r="Y110" s="721">
        <v>4</v>
      </c>
      <c r="Z110" s="721">
        <v>0</v>
      </c>
      <c r="AA110" s="721">
        <v>0.87029999999999996</v>
      </c>
      <c r="AB110" s="721">
        <v>0.12970000000000004</v>
      </c>
      <c r="AC110" s="730"/>
    </row>
    <row r="111" spans="18:29">
      <c r="R111" s="721" t="str">
        <f t="shared" si="7"/>
        <v>DCI33F</v>
      </c>
      <c r="S111" s="672" t="s">
        <v>130</v>
      </c>
      <c r="T111" s="721">
        <v>33</v>
      </c>
      <c r="U111" s="721">
        <v>33</v>
      </c>
      <c r="V111" s="721" t="s">
        <v>14</v>
      </c>
      <c r="W111" s="721" t="s">
        <v>979</v>
      </c>
      <c r="X111" s="721">
        <v>1</v>
      </c>
      <c r="Y111" s="721">
        <v>4</v>
      </c>
      <c r="Z111" s="721">
        <v>0</v>
      </c>
      <c r="AA111" s="721">
        <v>0.86980000000000002</v>
      </c>
      <c r="AB111" s="721">
        <v>0.13019999999999998</v>
      </c>
      <c r="AC111" s="730"/>
    </row>
    <row r="112" spans="18:29">
      <c r="R112" s="721" t="str">
        <f t="shared" si="7"/>
        <v>DCI34F</v>
      </c>
      <c r="S112" s="672" t="s">
        <v>130</v>
      </c>
      <c r="T112" s="721">
        <v>34</v>
      </c>
      <c r="U112" s="721">
        <v>34</v>
      </c>
      <c r="V112" s="721" t="s">
        <v>14</v>
      </c>
      <c r="W112" s="721" t="s">
        <v>979</v>
      </c>
      <c r="X112" s="721">
        <v>1</v>
      </c>
      <c r="Y112" s="721">
        <v>4</v>
      </c>
      <c r="Z112" s="721">
        <v>0</v>
      </c>
      <c r="AA112" s="721">
        <v>0.86960000000000004</v>
      </c>
      <c r="AB112" s="721">
        <v>0.13039999999999996</v>
      </c>
      <c r="AC112" s="730"/>
    </row>
    <row r="113" spans="18:29">
      <c r="R113" s="721" t="str">
        <f t="shared" si="7"/>
        <v>DCI35F</v>
      </c>
      <c r="S113" s="672" t="s">
        <v>130</v>
      </c>
      <c r="T113" s="721">
        <v>35</v>
      </c>
      <c r="U113" s="721">
        <v>35</v>
      </c>
      <c r="V113" s="721" t="s">
        <v>14</v>
      </c>
      <c r="W113" s="721" t="s">
        <v>979</v>
      </c>
      <c r="X113" s="721">
        <v>1</v>
      </c>
      <c r="Y113" s="721">
        <v>4</v>
      </c>
      <c r="Z113" s="721">
        <v>0</v>
      </c>
      <c r="AA113" s="721">
        <v>0.86929999999999996</v>
      </c>
      <c r="AB113" s="721">
        <v>0.13070000000000004</v>
      </c>
      <c r="AC113" s="730"/>
    </row>
    <row r="114" spans="18:29">
      <c r="R114" s="721" t="str">
        <f t="shared" si="7"/>
        <v>DCI36F</v>
      </c>
      <c r="S114" s="672" t="s">
        <v>130</v>
      </c>
      <c r="T114" s="721">
        <v>36</v>
      </c>
      <c r="U114" s="721">
        <v>36</v>
      </c>
      <c r="V114" s="721" t="s">
        <v>14</v>
      </c>
      <c r="W114" s="721" t="s">
        <v>979</v>
      </c>
      <c r="X114" s="721">
        <v>1</v>
      </c>
      <c r="Y114" s="721">
        <v>4</v>
      </c>
      <c r="Z114" s="721">
        <v>0</v>
      </c>
      <c r="AA114" s="721">
        <v>0.86850000000000005</v>
      </c>
      <c r="AB114" s="721">
        <v>0.13149999999999995</v>
      </c>
      <c r="AC114" s="730"/>
    </row>
    <row r="115" spans="18:29">
      <c r="R115" s="721" t="str">
        <f t="shared" si="7"/>
        <v>DCI37F</v>
      </c>
      <c r="S115" s="672" t="s">
        <v>130</v>
      </c>
      <c r="T115" s="721">
        <v>37</v>
      </c>
      <c r="U115" s="721">
        <v>37</v>
      </c>
      <c r="V115" s="721" t="s">
        <v>14</v>
      </c>
      <c r="W115" s="721" t="s">
        <v>979</v>
      </c>
      <c r="X115" s="721">
        <v>1</v>
      </c>
      <c r="Y115" s="721">
        <v>4</v>
      </c>
      <c r="Z115" s="721">
        <v>0</v>
      </c>
      <c r="AA115" s="721">
        <v>0.86770000000000003</v>
      </c>
      <c r="AB115" s="721">
        <v>0.13229999999999997</v>
      </c>
      <c r="AC115" s="730"/>
    </row>
    <row r="116" spans="18:29">
      <c r="R116" s="721" t="str">
        <f t="shared" si="7"/>
        <v>DCI38F</v>
      </c>
      <c r="S116" s="672" t="s">
        <v>130</v>
      </c>
      <c r="T116" s="721">
        <v>38</v>
      </c>
      <c r="U116" s="721">
        <v>38</v>
      </c>
      <c r="V116" s="721" t="s">
        <v>14</v>
      </c>
      <c r="W116" s="721" t="s">
        <v>979</v>
      </c>
      <c r="X116" s="721">
        <v>1</v>
      </c>
      <c r="Y116" s="721">
        <v>4</v>
      </c>
      <c r="Z116" s="721">
        <v>0</v>
      </c>
      <c r="AA116" s="721">
        <v>0.86829999999999996</v>
      </c>
      <c r="AB116" s="721">
        <v>0.13170000000000004</v>
      </c>
      <c r="AC116" s="730"/>
    </row>
    <row r="117" spans="18:29">
      <c r="R117" s="721" t="str">
        <f t="shared" si="7"/>
        <v>DCI39F</v>
      </c>
      <c r="S117" s="672" t="s">
        <v>130</v>
      </c>
      <c r="T117" s="721">
        <v>39</v>
      </c>
      <c r="U117" s="721">
        <v>39</v>
      </c>
      <c r="V117" s="721" t="s">
        <v>14</v>
      </c>
      <c r="W117" s="721" t="s">
        <v>979</v>
      </c>
      <c r="X117" s="721">
        <v>1</v>
      </c>
      <c r="Y117" s="721">
        <v>4</v>
      </c>
      <c r="Z117" s="721">
        <v>0</v>
      </c>
      <c r="AA117" s="721">
        <v>0.86829999999999996</v>
      </c>
      <c r="AB117" s="721">
        <v>0.13170000000000004</v>
      </c>
      <c r="AC117" s="730"/>
    </row>
    <row r="118" spans="18:29">
      <c r="R118" s="721" t="str">
        <f t="shared" si="7"/>
        <v>DCI40F</v>
      </c>
      <c r="S118" s="672" t="s">
        <v>130</v>
      </c>
      <c r="T118" s="721">
        <v>40</v>
      </c>
      <c r="U118" s="721">
        <v>40</v>
      </c>
      <c r="V118" s="721" t="s">
        <v>14</v>
      </c>
      <c r="W118" s="721" t="s">
        <v>979</v>
      </c>
      <c r="X118" s="721">
        <v>1</v>
      </c>
      <c r="Y118" s="721">
        <v>4</v>
      </c>
      <c r="Z118" s="721">
        <v>0</v>
      </c>
      <c r="AA118" s="721">
        <v>0.86780000000000002</v>
      </c>
      <c r="AB118" s="721">
        <v>0.13219999999999998</v>
      </c>
      <c r="AC118" s="730"/>
    </row>
    <row r="119" spans="18:29">
      <c r="R119" s="721" t="str">
        <f t="shared" si="7"/>
        <v>DCI41F</v>
      </c>
      <c r="S119" s="672" t="s">
        <v>130</v>
      </c>
      <c r="T119" s="721">
        <v>41</v>
      </c>
      <c r="U119" s="721">
        <v>41</v>
      </c>
      <c r="V119" s="721" t="s">
        <v>14</v>
      </c>
      <c r="W119" s="721" t="s">
        <v>979</v>
      </c>
      <c r="X119" s="721">
        <v>1</v>
      </c>
      <c r="Y119" s="721">
        <v>4</v>
      </c>
      <c r="Z119" s="721">
        <v>0</v>
      </c>
      <c r="AA119" s="721">
        <v>0.86750000000000005</v>
      </c>
      <c r="AB119" s="721">
        <v>0.13249999999999995</v>
      </c>
      <c r="AC119" s="730"/>
    </row>
    <row r="120" spans="18:29">
      <c r="R120" s="721" t="str">
        <f t="shared" si="7"/>
        <v>DCI42F</v>
      </c>
      <c r="S120" s="672" t="s">
        <v>130</v>
      </c>
      <c r="T120" s="721">
        <v>42</v>
      </c>
      <c r="U120" s="721">
        <v>42</v>
      </c>
      <c r="V120" s="721" t="s">
        <v>14</v>
      </c>
      <c r="W120" s="721" t="s">
        <v>979</v>
      </c>
      <c r="X120" s="721">
        <v>1</v>
      </c>
      <c r="Y120" s="721">
        <v>4</v>
      </c>
      <c r="Z120" s="721">
        <v>0</v>
      </c>
      <c r="AA120" s="721">
        <v>0.86650000000000005</v>
      </c>
      <c r="AB120" s="721">
        <v>0.13349999999999995</v>
      </c>
      <c r="AC120" s="730"/>
    </row>
    <row r="121" spans="18:29">
      <c r="R121" s="721" t="str">
        <f t="shared" si="7"/>
        <v>DCI43F</v>
      </c>
      <c r="S121" s="672" t="s">
        <v>130</v>
      </c>
      <c r="T121" s="721">
        <v>43</v>
      </c>
      <c r="U121" s="721">
        <v>43</v>
      </c>
      <c r="V121" s="721" t="s">
        <v>14</v>
      </c>
      <c r="W121" s="721" t="s">
        <v>979</v>
      </c>
      <c r="X121" s="721">
        <v>1</v>
      </c>
      <c r="Y121" s="721">
        <v>4</v>
      </c>
      <c r="Z121" s="721">
        <v>0</v>
      </c>
      <c r="AA121" s="721">
        <v>0.86729999999999996</v>
      </c>
      <c r="AB121" s="721">
        <v>0.13270000000000004</v>
      </c>
      <c r="AC121" s="730"/>
    </row>
    <row r="122" spans="18:29">
      <c r="R122" s="721" t="str">
        <f t="shared" si="7"/>
        <v>DCI44F</v>
      </c>
      <c r="S122" s="672" t="s">
        <v>130</v>
      </c>
      <c r="T122" s="721">
        <v>44</v>
      </c>
      <c r="U122" s="721">
        <v>44</v>
      </c>
      <c r="V122" s="721" t="s">
        <v>14</v>
      </c>
      <c r="W122" s="721" t="s">
        <v>979</v>
      </c>
      <c r="X122" s="721">
        <v>1</v>
      </c>
      <c r="Y122" s="721">
        <v>4</v>
      </c>
      <c r="Z122" s="721">
        <v>0</v>
      </c>
      <c r="AA122" s="721">
        <v>0.86850000000000005</v>
      </c>
      <c r="AB122" s="721">
        <v>0.13149999999999995</v>
      </c>
      <c r="AC122" s="730"/>
    </row>
    <row r="123" spans="18:29">
      <c r="R123" s="721" t="str">
        <f t="shared" si="7"/>
        <v>DCI45F</v>
      </c>
      <c r="S123" s="672" t="s">
        <v>130</v>
      </c>
      <c r="T123" s="721">
        <v>45</v>
      </c>
      <c r="U123" s="721">
        <v>45</v>
      </c>
      <c r="V123" s="721" t="s">
        <v>14</v>
      </c>
      <c r="W123" s="721" t="s">
        <v>979</v>
      </c>
      <c r="X123" s="721">
        <v>1</v>
      </c>
      <c r="Y123" s="721">
        <v>4</v>
      </c>
      <c r="Z123" s="721">
        <v>0</v>
      </c>
      <c r="AA123" s="721">
        <v>0.87019999999999997</v>
      </c>
      <c r="AB123" s="721">
        <v>0.12980000000000003</v>
      </c>
      <c r="AC123" s="730"/>
    </row>
    <row r="124" spans="18:29">
      <c r="R124" s="721" t="str">
        <f t="shared" si="7"/>
        <v>DCI46F</v>
      </c>
      <c r="S124" s="672" t="s">
        <v>130</v>
      </c>
      <c r="T124" s="721">
        <v>46</v>
      </c>
      <c r="U124" s="721">
        <v>46</v>
      </c>
      <c r="V124" s="721" t="s">
        <v>14</v>
      </c>
      <c r="W124" s="721" t="s">
        <v>979</v>
      </c>
      <c r="X124" s="721">
        <v>1</v>
      </c>
      <c r="Y124" s="721">
        <v>4</v>
      </c>
      <c r="Z124" s="721">
        <v>0</v>
      </c>
      <c r="AA124" s="721">
        <v>0.86850000000000005</v>
      </c>
      <c r="AB124" s="721">
        <v>0.13149999999999995</v>
      </c>
      <c r="AC124" s="730"/>
    </row>
    <row r="125" spans="18:29">
      <c r="R125" s="721" t="str">
        <f t="shared" si="7"/>
        <v>DCI47F</v>
      </c>
      <c r="S125" s="672" t="s">
        <v>130</v>
      </c>
      <c r="T125" s="721">
        <v>47</v>
      </c>
      <c r="U125" s="721">
        <v>47</v>
      </c>
      <c r="V125" s="721" t="s">
        <v>14</v>
      </c>
      <c r="W125" s="721" t="s">
        <v>979</v>
      </c>
      <c r="X125" s="721">
        <v>1</v>
      </c>
      <c r="Y125" s="721">
        <v>4</v>
      </c>
      <c r="Z125" s="721">
        <v>0</v>
      </c>
      <c r="AA125" s="721">
        <v>0.86719999999999997</v>
      </c>
      <c r="AB125" s="721">
        <v>0.13280000000000003</v>
      </c>
      <c r="AC125" s="730"/>
    </row>
    <row r="126" spans="18:29">
      <c r="R126" s="721" t="str">
        <f t="shared" si="7"/>
        <v>DCI48F</v>
      </c>
      <c r="S126" s="672" t="s">
        <v>130</v>
      </c>
      <c r="T126" s="721">
        <v>48</v>
      </c>
      <c r="U126" s="721">
        <v>48</v>
      </c>
      <c r="V126" s="721" t="s">
        <v>14</v>
      </c>
      <c r="W126" s="721" t="s">
        <v>979</v>
      </c>
      <c r="X126" s="721">
        <v>1</v>
      </c>
      <c r="Y126" s="721">
        <v>4</v>
      </c>
      <c r="Z126" s="721">
        <v>0</v>
      </c>
      <c r="AA126" s="721">
        <v>0.86709999999999998</v>
      </c>
      <c r="AB126" s="721">
        <v>0.13290000000000002</v>
      </c>
      <c r="AC126" s="730"/>
    </row>
    <row r="127" spans="18:29">
      <c r="R127" s="721" t="str">
        <f t="shared" si="7"/>
        <v>DCI49F</v>
      </c>
      <c r="S127" s="672" t="s">
        <v>130</v>
      </c>
      <c r="T127" s="721">
        <v>49</v>
      </c>
      <c r="U127" s="721">
        <v>49</v>
      </c>
      <c r="V127" s="721" t="s">
        <v>14</v>
      </c>
      <c r="W127" s="721" t="s">
        <v>979</v>
      </c>
      <c r="X127" s="721">
        <v>1</v>
      </c>
      <c r="Y127" s="721">
        <v>4</v>
      </c>
      <c r="Z127" s="721">
        <v>0</v>
      </c>
      <c r="AA127" s="721">
        <v>0.86780000000000002</v>
      </c>
      <c r="AB127" s="721">
        <v>0.13219999999999998</v>
      </c>
      <c r="AC127" s="730"/>
    </row>
    <row r="128" spans="18:29">
      <c r="R128" s="721" t="str">
        <f t="shared" si="7"/>
        <v>DCI50F</v>
      </c>
      <c r="S128" s="672" t="s">
        <v>130</v>
      </c>
      <c r="T128" s="721">
        <v>50</v>
      </c>
      <c r="U128" s="721">
        <v>50</v>
      </c>
      <c r="V128" s="721" t="s">
        <v>14</v>
      </c>
      <c r="W128" s="721" t="s">
        <v>979</v>
      </c>
      <c r="X128" s="721">
        <v>1</v>
      </c>
      <c r="Y128" s="721">
        <v>4</v>
      </c>
      <c r="Z128" s="721">
        <v>0</v>
      </c>
      <c r="AA128" s="721">
        <v>0.86829999999999996</v>
      </c>
      <c r="AB128" s="721">
        <v>0.13170000000000004</v>
      </c>
      <c r="AC128" s="730"/>
    </row>
    <row r="129" spans="18:29">
      <c r="R129" s="721" t="str">
        <f t="shared" si="7"/>
        <v>DCI51F</v>
      </c>
      <c r="S129" s="672" t="s">
        <v>130</v>
      </c>
      <c r="T129" s="721">
        <v>51</v>
      </c>
      <c r="U129" s="721">
        <v>51</v>
      </c>
      <c r="V129" s="721" t="s">
        <v>14</v>
      </c>
      <c r="W129" s="721" t="s">
        <v>979</v>
      </c>
      <c r="X129" s="721">
        <v>1</v>
      </c>
      <c r="Y129" s="721">
        <v>4</v>
      </c>
      <c r="Z129" s="721">
        <v>0</v>
      </c>
      <c r="AA129" s="721">
        <v>0.86860000000000004</v>
      </c>
      <c r="AB129" s="721">
        <v>0.13139999999999996</v>
      </c>
      <c r="AC129" s="730"/>
    </row>
    <row r="130" spans="18:29">
      <c r="R130" s="721" t="str">
        <f t="shared" si="7"/>
        <v>DCI52F</v>
      </c>
      <c r="S130" s="672" t="s">
        <v>130</v>
      </c>
      <c r="T130" s="721">
        <v>52</v>
      </c>
      <c r="U130" s="721">
        <v>52</v>
      </c>
      <c r="V130" s="721" t="s">
        <v>14</v>
      </c>
      <c r="W130" s="721" t="s">
        <v>979</v>
      </c>
      <c r="X130" s="721">
        <v>1</v>
      </c>
      <c r="Y130" s="721">
        <v>4</v>
      </c>
      <c r="Z130" s="721">
        <v>0</v>
      </c>
      <c r="AA130" s="721">
        <v>0.86850000000000005</v>
      </c>
      <c r="AB130" s="721">
        <v>0.13149999999999995</v>
      </c>
      <c r="AC130" s="730"/>
    </row>
    <row r="131" spans="18:29">
      <c r="R131" s="721" t="str">
        <f t="shared" si="7"/>
        <v>DCI53F</v>
      </c>
      <c r="S131" s="672" t="s">
        <v>130</v>
      </c>
      <c r="T131" s="721">
        <v>53</v>
      </c>
      <c r="U131" s="721">
        <v>53</v>
      </c>
      <c r="V131" s="721" t="s">
        <v>14</v>
      </c>
      <c r="W131" s="721" t="s">
        <v>979</v>
      </c>
      <c r="X131" s="721">
        <v>1</v>
      </c>
      <c r="Y131" s="721">
        <v>4</v>
      </c>
      <c r="Z131" s="721">
        <v>0</v>
      </c>
      <c r="AA131" s="721">
        <v>0.86909999999999998</v>
      </c>
      <c r="AB131" s="721">
        <v>0.13090000000000002</v>
      </c>
      <c r="AC131" s="730"/>
    </row>
    <row r="132" spans="18:29">
      <c r="R132" s="721" t="str">
        <f t="shared" si="7"/>
        <v>DCI54F</v>
      </c>
      <c r="S132" s="672" t="s">
        <v>130</v>
      </c>
      <c r="T132" s="721">
        <v>54</v>
      </c>
      <c r="U132" s="721">
        <v>54</v>
      </c>
      <c r="V132" s="721" t="s">
        <v>14</v>
      </c>
      <c r="W132" s="721" t="s">
        <v>979</v>
      </c>
      <c r="X132" s="721">
        <v>1</v>
      </c>
      <c r="Y132" s="721">
        <v>4</v>
      </c>
      <c r="Z132" s="721">
        <v>0</v>
      </c>
      <c r="AA132" s="721">
        <v>0.86939999999999995</v>
      </c>
      <c r="AB132" s="721">
        <v>0.13060000000000005</v>
      </c>
      <c r="AC132" s="730"/>
    </row>
    <row r="133" spans="18:29">
      <c r="R133" s="721" t="str">
        <f t="shared" si="7"/>
        <v>DCI55F</v>
      </c>
      <c r="S133" s="672" t="s">
        <v>130</v>
      </c>
      <c r="T133" s="721">
        <v>55</v>
      </c>
      <c r="U133" s="721">
        <v>55</v>
      </c>
      <c r="V133" s="721" t="s">
        <v>14</v>
      </c>
      <c r="W133" s="721" t="s">
        <v>979</v>
      </c>
      <c r="X133" s="721">
        <v>1</v>
      </c>
      <c r="Y133" s="721">
        <v>4</v>
      </c>
      <c r="Z133" s="721">
        <v>0</v>
      </c>
      <c r="AA133" s="721">
        <v>0.86919999999999997</v>
      </c>
      <c r="AB133" s="721">
        <v>0.13080000000000003</v>
      </c>
      <c r="AC133" s="730"/>
    </row>
    <row r="134" spans="18:29">
      <c r="R134" s="721" t="str">
        <f t="shared" si="7"/>
        <v>DCI56F</v>
      </c>
      <c r="S134" s="672" t="s">
        <v>130</v>
      </c>
      <c r="T134" s="721">
        <v>56</v>
      </c>
      <c r="U134" s="721">
        <v>56</v>
      </c>
      <c r="V134" s="721" t="s">
        <v>14</v>
      </c>
      <c r="W134" s="721" t="s">
        <v>979</v>
      </c>
      <c r="X134" s="721">
        <v>1</v>
      </c>
      <c r="Y134" s="721">
        <v>4</v>
      </c>
      <c r="Z134" s="721">
        <v>0</v>
      </c>
      <c r="AA134" s="721">
        <v>0.86650000000000005</v>
      </c>
      <c r="AB134" s="721">
        <v>0.13349999999999995</v>
      </c>
      <c r="AC134" s="730"/>
    </row>
    <row r="135" spans="18:29">
      <c r="R135" s="721" t="str">
        <f t="shared" si="7"/>
        <v>DCI57F</v>
      </c>
      <c r="S135" s="672" t="s">
        <v>130</v>
      </c>
      <c r="T135" s="721">
        <v>57</v>
      </c>
      <c r="U135" s="721">
        <v>57</v>
      </c>
      <c r="V135" s="721" t="s">
        <v>14</v>
      </c>
      <c r="W135" s="721" t="s">
        <v>979</v>
      </c>
      <c r="X135" s="721">
        <v>1</v>
      </c>
      <c r="Y135" s="721">
        <v>4</v>
      </c>
      <c r="Z135" s="721">
        <v>0</v>
      </c>
      <c r="AA135" s="721">
        <v>0.86350000000000005</v>
      </c>
      <c r="AB135" s="721">
        <v>0.13649999999999995</v>
      </c>
      <c r="AC135" s="730"/>
    </row>
    <row r="136" spans="18:29">
      <c r="R136" s="721" t="str">
        <f t="shared" si="7"/>
        <v>DCI58F</v>
      </c>
      <c r="S136" s="672" t="s">
        <v>130</v>
      </c>
      <c r="T136" s="721">
        <v>58</v>
      </c>
      <c r="U136" s="721">
        <v>58</v>
      </c>
      <c r="V136" s="721" t="s">
        <v>14</v>
      </c>
      <c r="W136" s="721" t="s">
        <v>979</v>
      </c>
      <c r="X136" s="721">
        <v>1</v>
      </c>
      <c r="Y136" s="721">
        <v>4</v>
      </c>
      <c r="Z136" s="721">
        <v>0</v>
      </c>
      <c r="AA136" s="721">
        <v>0.86060000000000003</v>
      </c>
      <c r="AB136" s="721">
        <v>0.13939999999999997</v>
      </c>
      <c r="AC136" s="730"/>
    </row>
    <row r="137" spans="18:29">
      <c r="R137" s="721" t="str">
        <f t="shared" si="7"/>
        <v>DCI59F</v>
      </c>
      <c r="S137" s="672" t="s">
        <v>130</v>
      </c>
      <c r="T137" s="721">
        <v>59</v>
      </c>
      <c r="U137" s="721">
        <v>59</v>
      </c>
      <c r="V137" s="721" t="s">
        <v>14</v>
      </c>
      <c r="W137" s="721" t="s">
        <v>979</v>
      </c>
      <c r="X137" s="721">
        <v>1</v>
      </c>
      <c r="Y137" s="721">
        <v>4</v>
      </c>
      <c r="Z137" s="721">
        <v>0</v>
      </c>
      <c r="AA137" s="721">
        <v>0.85750000000000004</v>
      </c>
      <c r="AB137" s="721">
        <v>0.14249999999999996</v>
      </c>
      <c r="AC137" s="730"/>
    </row>
    <row r="138" spans="18:29">
      <c r="R138" s="721" t="str">
        <f t="shared" si="7"/>
        <v>DCI60F</v>
      </c>
      <c r="S138" s="672" t="s">
        <v>130</v>
      </c>
      <c r="T138" s="721">
        <v>60</v>
      </c>
      <c r="U138" s="721">
        <v>60</v>
      </c>
      <c r="V138" s="721" t="s">
        <v>14</v>
      </c>
      <c r="W138" s="721" t="s">
        <v>979</v>
      </c>
      <c r="X138" s="721">
        <v>1</v>
      </c>
      <c r="Y138" s="721">
        <v>4</v>
      </c>
      <c r="Z138" s="721">
        <v>0</v>
      </c>
      <c r="AA138" s="721">
        <v>0.85409999999999997</v>
      </c>
      <c r="AB138" s="721">
        <v>0.14590000000000003</v>
      </c>
      <c r="AC138" s="730"/>
    </row>
    <row r="139" spans="18:29">
      <c r="R139" s="721" t="str">
        <f t="shared" si="7"/>
        <v>DCI61F</v>
      </c>
      <c r="S139" s="672" t="s">
        <v>130</v>
      </c>
      <c r="T139" s="721">
        <v>61</v>
      </c>
      <c r="U139" s="721">
        <v>61</v>
      </c>
      <c r="V139" s="721" t="s">
        <v>14</v>
      </c>
      <c r="W139" s="721" t="s">
        <v>979</v>
      </c>
      <c r="X139" s="721">
        <v>1</v>
      </c>
      <c r="Y139" s="721">
        <v>4</v>
      </c>
      <c r="Z139" s="721">
        <v>0</v>
      </c>
      <c r="AA139" s="721">
        <v>0.84899999999999998</v>
      </c>
      <c r="AB139" s="721">
        <v>0.15100000000000002</v>
      </c>
      <c r="AC139" s="730"/>
    </row>
    <row r="140" spans="18:29">
      <c r="R140" s="721" t="str">
        <f t="shared" si="7"/>
        <v>DCI62F</v>
      </c>
      <c r="S140" s="672" t="s">
        <v>130</v>
      </c>
      <c r="T140" s="721">
        <v>62</v>
      </c>
      <c r="U140" s="721">
        <v>62</v>
      </c>
      <c r="V140" s="721" t="s">
        <v>14</v>
      </c>
      <c r="W140" s="721" t="s">
        <v>979</v>
      </c>
      <c r="X140" s="721">
        <v>1</v>
      </c>
      <c r="Y140" s="721">
        <v>4</v>
      </c>
      <c r="Z140" s="721">
        <v>0</v>
      </c>
      <c r="AA140" s="721">
        <v>0.84350000000000003</v>
      </c>
      <c r="AB140" s="721">
        <v>0.15649999999999997</v>
      </c>
      <c r="AC140" s="730"/>
    </row>
    <row r="141" spans="18:29">
      <c r="R141" s="721" t="str">
        <f t="shared" si="7"/>
        <v>DCI63F</v>
      </c>
      <c r="S141" s="672" t="s">
        <v>130</v>
      </c>
      <c r="T141" s="721">
        <v>63</v>
      </c>
      <c r="U141" s="721">
        <v>63</v>
      </c>
      <c r="V141" s="721" t="s">
        <v>14</v>
      </c>
      <c r="W141" s="721" t="s">
        <v>979</v>
      </c>
      <c r="X141" s="721">
        <v>1</v>
      </c>
      <c r="Y141" s="721">
        <v>4</v>
      </c>
      <c r="Z141" s="721">
        <v>0</v>
      </c>
      <c r="AA141" s="721">
        <v>0.83899999999999997</v>
      </c>
      <c r="AB141" s="721">
        <v>0.16100000000000003</v>
      </c>
      <c r="AC141" s="730"/>
    </row>
    <row r="142" spans="18:29">
      <c r="R142" s="721" t="str">
        <f t="shared" si="7"/>
        <v>DCI64F</v>
      </c>
      <c r="S142" s="672" t="s">
        <v>130</v>
      </c>
      <c r="T142" s="721">
        <v>64</v>
      </c>
      <c r="U142" s="721">
        <v>64</v>
      </c>
      <c r="V142" s="721" t="s">
        <v>14</v>
      </c>
      <c r="W142" s="721" t="s">
        <v>979</v>
      </c>
      <c r="X142" s="721">
        <v>1</v>
      </c>
      <c r="Y142" s="721">
        <v>4</v>
      </c>
      <c r="Z142" s="721">
        <v>0</v>
      </c>
      <c r="AA142" s="721">
        <v>0.83289999999999997</v>
      </c>
      <c r="AB142" s="721">
        <v>0.16710000000000003</v>
      </c>
      <c r="AC142" s="730"/>
    </row>
    <row r="143" spans="18:29">
      <c r="R143" s="721" t="str">
        <f t="shared" si="7"/>
        <v>DCI65F</v>
      </c>
      <c r="S143" s="672" t="s">
        <v>130</v>
      </c>
      <c r="T143" s="721">
        <v>65</v>
      </c>
      <c r="U143" s="721">
        <v>65</v>
      </c>
      <c r="V143" s="721" t="s">
        <v>14</v>
      </c>
      <c r="W143" s="721" t="s">
        <v>979</v>
      </c>
      <c r="X143" s="721">
        <v>1</v>
      </c>
      <c r="Y143" s="721">
        <v>4</v>
      </c>
      <c r="Z143" s="721">
        <v>0</v>
      </c>
      <c r="AA143" s="721">
        <v>0.8256</v>
      </c>
      <c r="AB143" s="721">
        <v>0.1744</v>
      </c>
      <c r="AC143" s="730"/>
    </row>
    <row r="144" spans="18:29">
      <c r="R144" s="721" t="str">
        <f t="shared" si="7"/>
        <v>DCI66F</v>
      </c>
      <c r="S144" s="672" t="s">
        <v>130</v>
      </c>
      <c r="T144" s="721">
        <v>66</v>
      </c>
      <c r="U144" s="721">
        <v>66</v>
      </c>
      <c r="V144" s="721" t="s">
        <v>14</v>
      </c>
      <c r="W144" s="721" t="s">
        <v>979</v>
      </c>
      <c r="X144" s="721">
        <v>1</v>
      </c>
      <c r="Y144" s="721">
        <v>4</v>
      </c>
      <c r="Z144" s="721">
        <v>0</v>
      </c>
      <c r="AA144" s="721">
        <v>0.81540000000000001</v>
      </c>
      <c r="AB144" s="721">
        <v>0.18459999999999999</v>
      </c>
      <c r="AC144" s="730"/>
    </row>
    <row r="145" spans="18:29">
      <c r="R145" s="721" t="str">
        <f t="shared" si="7"/>
        <v>DCI67F</v>
      </c>
      <c r="S145" s="672" t="s">
        <v>130</v>
      </c>
      <c r="T145" s="721">
        <v>67</v>
      </c>
      <c r="U145" s="721">
        <v>67</v>
      </c>
      <c r="V145" s="721" t="s">
        <v>14</v>
      </c>
      <c r="W145" s="721" t="s">
        <v>979</v>
      </c>
      <c r="X145" s="721">
        <v>1</v>
      </c>
      <c r="Y145" s="721">
        <v>4</v>
      </c>
      <c r="Z145" s="721">
        <v>0</v>
      </c>
      <c r="AA145" s="721">
        <v>0.80320000000000003</v>
      </c>
      <c r="AB145" s="721">
        <v>0.19679999999999997</v>
      </c>
      <c r="AC145" s="730"/>
    </row>
    <row r="146" spans="18:29">
      <c r="R146" s="721" t="str">
        <f t="shared" si="7"/>
        <v>DCI68F</v>
      </c>
      <c r="S146" s="672" t="s">
        <v>130</v>
      </c>
      <c r="T146" s="721">
        <v>68</v>
      </c>
      <c r="U146" s="721">
        <v>68</v>
      </c>
      <c r="V146" s="721" t="s">
        <v>14</v>
      </c>
      <c r="W146" s="721" t="s">
        <v>979</v>
      </c>
      <c r="X146" s="721">
        <v>1</v>
      </c>
      <c r="Y146" s="721">
        <v>4</v>
      </c>
      <c r="Z146" s="721">
        <v>0</v>
      </c>
      <c r="AA146" s="721">
        <v>0.79239999999999999</v>
      </c>
      <c r="AB146" s="721">
        <v>0.20760000000000001</v>
      </c>
      <c r="AC146" s="730"/>
    </row>
    <row r="147" spans="18:29">
      <c r="R147" s="721" t="str">
        <f t="shared" si="7"/>
        <v>DCI69F</v>
      </c>
      <c r="S147" s="672" t="s">
        <v>130</v>
      </c>
      <c r="T147" s="721">
        <v>69</v>
      </c>
      <c r="U147" s="721">
        <v>69</v>
      </c>
      <c r="V147" s="721" t="s">
        <v>14</v>
      </c>
      <c r="W147" s="721" t="s">
        <v>979</v>
      </c>
      <c r="X147" s="721">
        <v>1</v>
      </c>
      <c r="Y147" s="721">
        <v>4</v>
      </c>
      <c r="Z147" s="721">
        <v>0</v>
      </c>
      <c r="AA147" s="721">
        <v>0.8014</v>
      </c>
      <c r="AB147" s="721">
        <v>0.1986</v>
      </c>
      <c r="AC147" s="730"/>
    </row>
    <row r="148" spans="18:29">
      <c r="R148" s="721" t="str">
        <f t="shared" si="7"/>
        <v>DCI70F</v>
      </c>
      <c r="S148" s="672" t="s">
        <v>130</v>
      </c>
      <c r="T148" s="721">
        <v>70</v>
      </c>
      <c r="U148" s="721">
        <v>70</v>
      </c>
      <c r="V148" s="721" t="s">
        <v>14</v>
      </c>
      <c r="W148" s="721" t="s">
        <v>979</v>
      </c>
      <c r="X148" s="721">
        <v>1</v>
      </c>
      <c r="Y148" s="721">
        <v>4</v>
      </c>
      <c r="Z148" s="721">
        <v>0</v>
      </c>
      <c r="AA148" s="721">
        <v>0.79279999999999995</v>
      </c>
      <c r="AB148" s="721">
        <v>0.20720000000000005</v>
      </c>
      <c r="AC148" s="730"/>
    </row>
    <row r="149" spans="18:29">
      <c r="R149" s="721" t="str">
        <f t="shared" si="7"/>
        <v>DCI71F</v>
      </c>
      <c r="S149" s="672" t="s">
        <v>130</v>
      </c>
      <c r="T149" s="721">
        <v>71</v>
      </c>
      <c r="U149" s="721">
        <v>71</v>
      </c>
      <c r="V149" s="721" t="s">
        <v>14</v>
      </c>
      <c r="W149" s="721" t="s">
        <v>979</v>
      </c>
      <c r="X149" s="721">
        <v>1</v>
      </c>
      <c r="Y149" s="721">
        <v>4</v>
      </c>
      <c r="Z149" s="721">
        <v>0</v>
      </c>
      <c r="AA149" s="721">
        <v>0.7843</v>
      </c>
      <c r="AB149" s="721">
        <v>0.2157</v>
      </c>
      <c r="AC149" s="730"/>
    </row>
    <row r="150" spans="18:29">
      <c r="R150" s="721" t="str">
        <f t="shared" si="7"/>
        <v>DCI72F</v>
      </c>
      <c r="S150" s="672" t="s">
        <v>130</v>
      </c>
      <c r="T150" s="721">
        <v>72</v>
      </c>
      <c r="U150" s="721">
        <v>72</v>
      </c>
      <c r="V150" s="721" t="s">
        <v>14</v>
      </c>
      <c r="W150" s="721" t="s">
        <v>979</v>
      </c>
      <c r="X150" s="721">
        <v>1</v>
      </c>
      <c r="Y150" s="721">
        <v>4</v>
      </c>
      <c r="Z150" s="721">
        <v>0</v>
      </c>
      <c r="AA150" s="721">
        <v>0.77480000000000004</v>
      </c>
      <c r="AB150" s="721">
        <v>0.22519999999999996</v>
      </c>
      <c r="AC150" s="730"/>
    </row>
    <row r="151" spans="18:29">
      <c r="R151" s="721" t="str">
        <f t="shared" si="7"/>
        <v>DCI73F</v>
      </c>
      <c r="S151" s="672" t="s">
        <v>130</v>
      </c>
      <c r="T151" s="721">
        <v>73</v>
      </c>
      <c r="U151" s="721">
        <v>73</v>
      </c>
      <c r="V151" s="721" t="s">
        <v>14</v>
      </c>
      <c r="W151" s="721" t="s">
        <v>979</v>
      </c>
      <c r="X151" s="721">
        <v>1</v>
      </c>
      <c r="Y151" s="721">
        <v>4</v>
      </c>
      <c r="Z151" s="721">
        <v>0</v>
      </c>
      <c r="AA151" s="721">
        <v>0.76419999999999999</v>
      </c>
      <c r="AB151" s="721">
        <v>0.23580000000000001</v>
      </c>
      <c r="AC151" s="730"/>
    </row>
    <row r="152" spans="18:29">
      <c r="R152" s="721" t="str">
        <f t="shared" si="7"/>
        <v>DCI74F</v>
      </c>
      <c r="S152" s="672" t="s">
        <v>130</v>
      </c>
      <c r="T152" s="721">
        <v>74</v>
      </c>
      <c r="U152" s="721">
        <v>74</v>
      </c>
      <c r="V152" s="721" t="s">
        <v>14</v>
      </c>
      <c r="W152" s="721" t="s">
        <v>979</v>
      </c>
      <c r="X152" s="721">
        <v>1</v>
      </c>
      <c r="Y152" s="721">
        <v>4</v>
      </c>
      <c r="Z152" s="721">
        <v>0</v>
      </c>
      <c r="AA152" s="721">
        <v>0.77339999999999998</v>
      </c>
      <c r="AB152" s="721">
        <v>0.22660000000000002</v>
      </c>
      <c r="AC152" s="730"/>
    </row>
    <row r="153" spans="18:29">
      <c r="R153" s="721" t="str">
        <f t="shared" si="7"/>
        <v>WLCI050M</v>
      </c>
      <c r="S153" s="672" t="s">
        <v>980</v>
      </c>
      <c r="T153" s="721">
        <v>0</v>
      </c>
      <c r="U153" s="721">
        <v>0</v>
      </c>
      <c r="V153" s="721" t="s">
        <v>13</v>
      </c>
      <c r="W153" s="721" t="s">
        <v>979</v>
      </c>
      <c r="X153" s="721">
        <v>1</v>
      </c>
      <c r="Y153" s="721">
        <v>4</v>
      </c>
      <c r="Z153" s="721">
        <v>0.93559999999999999</v>
      </c>
      <c r="AA153" s="721">
        <v>6.4399999999999999E-2</v>
      </c>
      <c r="AB153" s="721">
        <v>0</v>
      </c>
      <c r="AC153" s="730"/>
    </row>
    <row r="154" spans="18:29">
      <c r="R154" s="721" t="str">
        <f t="shared" si="7"/>
        <v>WLCI051M</v>
      </c>
      <c r="S154" s="672" t="s">
        <v>980</v>
      </c>
      <c r="T154" s="721">
        <v>1</v>
      </c>
      <c r="U154" s="721">
        <v>1</v>
      </c>
      <c r="V154" s="721" t="s">
        <v>13</v>
      </c>
      <c r="W154" s="721" t="s">
        <v>979</v>
      </c>
      <c r="X154" s="721">
        <v>1</v>
      </c>
      <c r="Y154" s="721">
        <v>4</v>
      </c>
      <c r="Z154" s="721">
        <v>0.93630000000000002</v>
      </c>
      <c r="AA154" s="721">
        <v>6.3700000000000007E-2</v>
      </c>
      <c r="AB154" s="721">
        <v>0</v>
      </c>
      <c r="AC154" s="730"/>
    </row>
    <row r="155" spans="18:29">
      <c r="R155" s="721" t="str">
        <f t="shared" si="7"/>
        <v>WLCI052M</v>
      </c>
      <c r="S155" s="672" t="s">
        <v>980</v>
      </c>
      <c r="T155" s="721">
        <v>2</v>
      </c>
      <c r="U155" s="721">
        <v>2</v>
      </c>
      <c r="V155" s="721" t="s">
        <v>13</v>
      </c>
      <c r="W155" s="721" t="s">
        <v>979</v>
      </c>
      <c r="X155" s="721">
        <v>1</v>
      </c>
      <c r="Y155" s="721">
        <v>4</v>
      </c>
      <c r="Z155" s="721">
        <v>0.93669999999999998</v>
      </c>
      <c r="AA155" s="721">
        <v>6.3299999999999995E-2</v>
      </c>
      <c r="AB155" s="721">
        <v>0</v>
      </c>
      <c r="AC155" s="730"/>
    </row>
    <row r="156" spans="18:29">
      <c r="R156" s="721" t="str">
        <f t="shared" si="7"/>
        <v>WLCI053M</v>
      </c>
      <c r="S156" s="672" t="s">
        <v>980</v>
      </c>
      <c r="T156" s="721">
        <v>3</v>
      </c>
      <c r="U156" s="721">
        <v>3</v>
      </c>
      <c r="V156" s="721" t="s">
        <v>13</v>
      </c>
      <c r="W156" s="721" t="s">
        <v>979</v>
      </c>
      <c r="X156" s="721">
        <v>1</v>
      </c>
      <c r="Y156" s="721">
        <v>4</v>
      </c>
      <c r="Z156" s="721">
        <v>0.93710000000000004</v>
      </c>
      <c r="AA156" s="721">
        <v>6.2899999999999998E-2</v>
      </c>
      <c r="AB156" s="721">
        <v>0</v>
      </c>
      <c r="AC156" s="730"/>
    </row>
    <row r="157" spans="18:29">
      <c r="R157" s="721" t="str">
        <f t="shared" si="7"/>
        <v>WLCI054M</v>
      </c>
      <c r="S157" s="672" t="s">
        <v>980</v>
      </c>
      <c r="T157" s="721">
        <v>4</v>
      </c>
      <c r="U157" s="721">
        <v>4</v>
      </c>
      <c r="V157" s="721" t="s">
        <v>13</v>
      </c>
      <c r="W157" s="721" t="s">
        <v>979</v>
      </c>
      <c r="X157" s="721">
        <v>1</v>
      </c>
      <c r="Y157" s="721">
        <v>4</v>
      </c>
      <c r="Z157" s="721">
        <v>0.93740000000000001</v>
      </c>
      <c r="AA157" s="721">
        <v>6.2600000000000003E-2</v>
      </c>
      <c r="AB157" s="721">
        <v>0</v>
      </c>
      <c r="AC157" s="730"/>
    </row>
    <row r="158" spans="18:29">
      <c r="R158" s="721" t="str">
        <f t="shared" si="7"/>
        <v>WLCI055M</v>
      </c>
      <c r="S158" s="672" t="s">
        <v>980</v>
      </c>
      <c r="T158" s="721">
        <v>5</v>
      </c>
      <c r="U158" s="721">
        <v>5</v>
      </c>
      <c r="V158" s="721" t="s">
        <v>13</v>
      </c>
      <c r="W158" s="721" t="s">
        <v>979</v>
      </c>
      <c r="X158" s="721">
        <v>1</v>
      </c>
      <c r="Y158" s="721">
        <v>4</v>
      </c>
      <c r="Z158" s="721">
        <v>0.9375</v>
      </c>
      <c r="AA158" s="721">
        <v>6.25E-2</v>
      </c>
      <c r="AB158" s="721">
        <v>0</v>
      </c>
      <c r="AC158" s="730"/>
    </row>
    <row r="159" spans="18:29">
      <c r="R159" s="721" t="str">
        <f t="shared" si="7"/>
        <v>WLCI056M</v>
      </c>
      <c r="S159" s="672" t="s">
        <v>980</v>
      </c>
      <c r="T159" s="721">
        <v>6</v>
      </c>
      <c r="U159" s="721">
        <v>6</v>
      </c>
      <c r="V159" s="721" t="s">
        <v>13</v>
      </c>
      <c r="W159" s="721" t="s">
        <v>979</v>
      </c>
      <c r="X159" s="721">
        <v>1</v>
      </c>
      <c r="Y159" s="721">
        <v>4</v>
      </c>
      <c r="Z159" s="721">
        <v>0.93779999999999997</v>
      </c>
      <c r="AA159" s="721">
        <v>6.2199999999999998E-2</v>
      </c>
      <c r="AB159" s="721">
        <v>0</v>
      </c>
      <c r="AC159" s="730"/>
    </row>
    <row r="160" spans="18:29">
      <c r="R160" s="721" t="str">
        <f t="shared" si="7"/>
        <v>WLCI057M</v>
      </c>
      <c r="S160" s="672" t="s">
        <v>980</v>
      </c>
      <c r="T160" s="721">
        <v>7</v>
      </c>
      <c r="U160" s="721">
        <v>7</v>
      </c>
      <c r="V160" s="721" t="s">
        <v>13</v>
      </c>
      <c r="W160" s="721" t="s">
        <v>979</v>
      </c>
      <c r="X160" s="721">
        <v>1</v>
      </c>
      <c r="Y160" s="721">
        <v>4</v>
      </c>
      <c r="Z160" s="721">
        <v>0.93759999999999999</v>
      </c>
      <c r="AA160" s="721">
        <v>6.2399999999999997E-2</v>
      </c>
      <c r="AB160" s="721">
        <v>0</v>
      </c>
      <c r="AC160" s="730"/>
    </row>
    <row r="161" spans="18:29">
      <c r="R161" s="721" t="str">
        <f t="shared" si="7"/>
        <v>WLCI058M</v>
      </c>
      <c r="S161" s="672" t="s">
        <v>980</v>
      </c>
      <c r="T161" s="721">
        <v>8</v>
      </c>
      <c r="U161" s="721">
        <v>8</v>
      </c>
      <c r="V161" s="721" t="s">
        <v>13</v>
      </c>
      <c r="W161" s="721" t="s">
        <v>979</v>
      </c>
      <c r="X161" s="721">
        <v>1</v>
      </c>
      <c r="Y161" s="721">
        <v>4</v>
      </c>
      <c r="Z161" s="721">
        <v>0.93759999999999999</v>
      </c>
      <c r="AA161" s="721">
        <v>6.2399999999999997E-2</v>
      </c>
      <c r="AB161" s="721">
        <v>0</v>
      </c>
      <c r="AC161" s="730"/>
    </row>
    <row r="162" spans="18:29">
      <c r="R162" s="721" t="str">
        <f t="shared" si="7"/>
        <v>WLCI059M</v>
      </c>
      <c r="S162" s="672" t="s">
        <v>980</v>
      </c>
      <c r="T162" s="721">
        <v>9</v>
      </c>
      <c r="U162" s="721">
        <v>9</v>
      </c>
      <c r="V162" s="721" t="s">
        <v>13</v>
      </c>
      <c r="W162" s="721" t="s">
        <v>979</v>
      </c>
      <c r="X162" s="721">
        <v>1</v>
      </c>
      <c r="Y162" s="721">
        <v>4</v>
      </c>
      <c r="Z162" s="721">
        <v>0.93740000000000001</v>
      </c>
      <c r="AA162" s="721">
        <v>6.2600000000000003E-2</v>
      </c>
      <c r="AB162" s="721">
        <v>0</v>
      </c>
      <c r="AC162" s="730"/>
    </row>
    <row r="163" spans="18:29">
      <c r="R163" s="721" t="str">
        <f t="shared" si="7"/>
        <v>WLCI0510M</v>
      </c>
      <c r="S163" s="672" t="s">
        <v>980</v>
      </c>
      <c r="T163" s="721">
        <v>10</v>
      </c>
      <c r="U163" s="721">
        <v>10</v>
      </c>
      <c r="V163" s="721" t="s">
        <v>13</v>
      </c>
      <c r="W163" s="721" t="s">
        <v>979</v>
      </c>
      <c r="X163" s="721">
        <v>1</v>
      </c>
      <c r="Y163" s="721">
        <v>4</v>
      </c>
      <c r="Z163" s="721">
        <v>0.93710000000000004</v>
      </c>
      <c r="AA163" s="721">
        <v>6.2899999999999998E-2</v>
      </c>
      <c r="AB163" s="721">
        <v>0</v>
      </c>
      <c r="AC163" s="730"/>
    </row>
    <row r="164" spans="18:29">
      <c r="R164" s="721" t="str">
        <f t="shared" si="7"/>
        <v>WLCI0511M</v>
      </c>
      <c r="S164" s="672" t="s">
        <v>980</v>
      </c>
      <c r="T164" s="721">
        <v>11</v>
      </c>
      <c r="U164" s="721">
        <v>11</v>
      </c>
      <c r="V164" s="721" t="s">
        <v>13</v>
      </c>
      <c r="W164" s="721" t="s">
        <v>979</v>
      </c>
      <c r="X164" s="721">
        <v>1</v>
      </c>
      <c r="Y164" s="721">
        <v>4</v>
      </c>
      <c r="Z164" s="721">
        <v>0.93689999999999996</v>
      </c>
      <c r="AA164" s="721">
        <v>6.3100000000000003E-2</v>
      </c>
      <c r="AB164" s="721">
        <v>0</v>
      </c>
      <c r="AC164" s="730"/>
    </row>
    <row r="165" spans="18:29">
      <c r="R165" s="721" t="str">
        <f t="shared" si="7"/>
        <v>WLCI0512M</v>
      </c>
      <c r="S165" s="672" t="s">
        <v>980</v>
      </c>
      <c r="T165" s="721">
        <v>12</v>
      </c>
      <c r="U165" s="721">
        <v>12</v>
      </c>
      <c r="V165" s="721" t="s">
        <v>13</v>
      </c>
      <c r="W165" s="721" t="s">
        <v>979</v>
      </c>
      <c r="X165" s="721">
        <v>1</v>
      </c>
      <c r="Y165" s="721">
        <v>4</v>
      </c>
      <c r="Z165" s="721">
        <v>0.93640000000000001</v>
      </c>
      <c r="AA165" s="721">
        <v>6.3600000000000004E-2</v>
      </c>
      <c r="AB165" s="721">
        <v>0</v>
      </c>
      <c r="AC165" s="730"/>
    </row>
    <row r="166" spans="18:29">
      <c r="R166" s="721" t="str">
        <f t="shared" si="7"/>
        <v>WLCI0513M</v>
      </c>
      <c r="S166" s="672" t="s">
        <v>980</v>
      </c>
      <c r="T166" s="721">
        <v>13</v>
      </c>
      <c r="U166" s="721">
        <v>13</v>
      </c>
      <c r="V166" s="721" t="s">
        <v>13</v>
      </c>
      <c r="W166" s="721" t="s">
        <v>979</v>
      </c>
      <c r="X166" s="721">
        <v>1</v>
      </c>
      <c r="Y166" s="721">
        <v>4</v>
      </c>
      <c r="Z166" s="721">
        <v>0.93600000000000005</v>
      </c>
      <c r="AA166" s="721">
        <v>6.4000000000000001E-2</v>
      </c>
      <c r="AB166" s="721">
        <v>0</v>
      </c>
      <c r="AC166" s="730"/>
    </row>
    <row r="167" spans="18:29">
      <c r="R167" s="721" t="str">
        <f t="shared" si="7"/>
        <v>WLCI0514M</v>
      </c>
      <c r="S167" s="672" t="s">
        <v>980</v>
      </c>
      <c r="T167" s="721">
        <v>14</v>
      </c>
      <c r="U167" s="721">
        <v>14</v>
      </c>
      <c r="V167" s="721" t="s">
        <v>13</v>
      </c>
      <c r="W167" s="721" t="s">
        <v>979</v>
      </c>
      <c r="X167" s="721">
        <v>1</v>
      </c>
      <c r="Y167" s="721">
        <v>4</v>
      </c>
      <c r="Z167" s="721">
        <v>0.93559999999999999</v>
      </c>
      <c r="AA167" s="721">
        <v>6.4399999999999999E-2</v>
      </c>
      <c r="AB167" s="721">
        <v>0</v>
      </c>
      <c r="AC167" s="730"/>
    </row>
    <row r="168" spans="18:29">
      <c r="R168" s="721" t="str">
        <f t="shared" si="7"/>
        <v>WLCI0515M</v>
      </c>
      <c r="S168" s="672" t="s">
        <v>980</v>
      </c>
      <c r="T168" s="721">
        <v>15</v>
      </c>
      <c r="U168" s="721">
        <v>15</v>
      </c>
      <c r="V168" s="721" t="s">
        <v>13</v>
      </c>
      <c r="W168" s="721" t="s">
        <v>979</v>
      </c>
      <c r="X168" s="721">
        <v>1</v>
      </c>
      <c r="Y168" s="721">
        <v>4</v>
      </c>
      <c r="Z168" s="721">
        <v>0.93510000000000004</v>
      </c>
      <c r="AA168" s="721">
        <v>6.4899999999999999E-2</v>
      </c>
      <c r="AB168" s="721">
        <v>0</v>
      </c>
      <c r="AC168" s="730"/>
    </row>
    <row r="169" spans="18:29">
      <c r="R169" s="721" t="str">
        <f t="shared" si="7"/>
        <v>WLCI0516M</v>
      </c>
      <c r="S169" s="672" t="s">
        <v>980</v>
      </c>
      <c r="T169" s="721">
        <v>16</v>
      </c>
      <c r="U169" s="721">
        <v>16</v>
      </c>
      <c r="V169" s="721" t="s">
        <v>13</v>
      </c>
      <c r="W169" s="721" t="s">
        <v>979</v>
      </c>
      <c r="X169" s="721">
        <v>1</v>
      </c>
      <c r="Y169" s="721">
        <v>4</v>
      </c>
      <c r="Z169" s="721">
        <v>0.93469999999999998</v>
      </c>
      <c r="AA169" s="721">
        <v>6.5299999999999997E-2</v>
      </c>
      <c r="AB169" s="721">
        <v>0</v>
      </c>
      <c r="AC169" s="730"/>
    </row>
    <row r="170" spans="18:29">
      <c r="R170" s="721" t="str">
        <f t="shared" si="7"/>
        <v>WLCI0517M</v>
      </c>
      <c r="S170" s="672" t="s">
        <v>980</v>
      </c>
      <c r="T170" s="721">
        <v>17</v>
      </c>
      <c r="U170" s="721">
        <v>17</v>
      </c>
      <c r="V170" s="721" t="s">
        <v>13</v>
      </c>
      <c r="W170" s="721" t="s">
        <v>979</v>
      </c>
      <c r="X170" s="721">
        <v>1</v>
      </c>
      <c r="Y170" s="721">
        <v>4</v>
      </c>
      <c r="Z170" s="721">
        <v>0.93420000000000003</v>
      </c>
      <c r="AA170" s="721">
        <v>6.5799999999999997E-2</v>
      </c>
      <c r="AB170" s="721">
        <v>0</v>
      </c>
      <c r="AC170" s="730"/>
    </row>
    <row r="171" spans="18:29">
      <c r="R171" s="721" t="str">
        <f t="shared" si="7"/>
        <v>WLCI0518M</v>
      </c>
      <c r="S171" s="672" t="s">
        <v>980</v>
      </c>
      <c r="T171" s="721">
        <v>18</v>
      </c>
      <c r="U171" s="721">
        <v>18</v>
      </c>
      <c r="V171" s="721" t="s">
        <v>13</v>
      </c>
      <c r="W171" s="721" t="s">
        <v>979</v>
      </c>
      <c r="X171" s="721">
        <v>1</v>
      </c>
      <c r="Y171" s="721">
        <v>4</v>
      </c>
      <c r="Z171" s="721">
        <v>0.93389999999999995</v>
      </c>
      <c r="AA171" s="721">
        <v>6.6100000000000006E-2</v>
      </c>
      <c r="AB171" s="721">
        <v>0</v>
      </c>
      <c r="AC171" s="730"/>
    </row>
    <row r="172" spans="18:29">
      <c r="R172" s="721" t="str">
        <f t="shared" ref="R172:R235" si="8">S172&amp;T172&amp;V172</f>
        <v>WLCI0519M</v>
      </c>
      <c r="S172" s="672" t="s">
        <v>980</v>
      </c>
      <c r="T172" s="721">
        <v>19</v>
      </c>
      <c r="U172" s="721">
        <v>19</v>
      </c>
      <c r="V172" s="721" t="s">
        <v>13</v>
      </c>
      <c r="W172" s="721" t="s">
        <v>979</v>
      </c>
      <c r="X172" s="721">
        <v>1</v>
      </c>
      <c r="Y172" s="721">
        <v>4</v>
      </c>
      <c r="Z172" s="721">
        <v>0.93340000000000001</v>
      </c>
      <c r="AA172" s="721">
        <v>6.6600000000000006E-2</v>
      </c>
      <c r="AB172" s="721">
        <v>0</v>
      </c>
      <c r="AC172" s="730"/>
    </row>
    <row r="173" spans="18:29">
      <c r="R173" s="721" t="str">
        <f t="shared" si="8"/>
        <v>WLCI0520M</v>
      </c>
      <c r="S173" s="672" t="s">
        <v>980</v>
      </c>
      <c r="T173" s="721">
        <v>20</v>
      </c>
      <c r="U173" s="721">
        <v>20</v>
      </c>
      <c r="V173" s="721" t="s">
        <v>13</v>
      </c>
      <c r="W173" s="721" t="s">
        <v>979</v>
      </c>
      <c r="X173" s="721">
        <v>1</v>
      </c>
      <c r="Y173" s="721">
        <v>4</v>
      </c>
      <c r="Z173" s="721">
        <v>0.93289999999999995</v>
      </c>
      <c r="AA173" s="721">
        <v>6.7100000000000007E-2</v>
      </c>
      <c r="AB173" s="721">
        <v>0</v>
      </c>
      <c r="AC173" s="730"/>
    </row>
    <row r="174" spans="18:29">
      <c r="R174" s="721" t="str">
        <f t="shared" si="8"/>
        <v>WLCI0521M</v>
      </c>
      <c r="S174" s="672" t="s">
        <v>980</v>
      </c>
      <c r="T174" s="721">
        <v>21</v>
      </c>
      <c r="U174" s="721">
        <v>21</v>
      </c>
      <c r="V174" s="721" t="s">
        <v>13</v>
      </c>
      <c r="W174" s="721" t="s">
        <v>979</v>
      </c>
      <c r="X174" s="721">
        <v>1</v>
      </c>
      <c r="Y174" s="721">
        <v>4</v>
      </c>
      <c r="Z174" s="721">
        <v>0.93220000000000003</v>
      </c>
      <c r="AA174" s="721">
        <v>6.7799999999999999E-2</v>
      </c>
      <c r="AB174" s="721">
        <v>0</v>
      </c>
      <c r="AC174" s="730"/>
    </row>
    <row r="175" spans="18:29">
      <c r="R175" s="721" t="str">
        <f t="shared" si="8"/>
        <v>WLCI0522M</v>
      </c>
      <c r="S175" s="672" t="s">
        <v>980</v>
      </c>
      <c r="T175" s="721">
        <v>22</v>
      </c>
      <c r="U175" s="721">
        <v>22</v>
      </c>
      <c r="V175" s="721" t="s">
        <v>13</v>
      </c>
      <c r="W175" s="721" t="s">
        <v>979</v>
      </c>
      <c r="X175" s="721">
        <v>1</v>
      </c>
      <c r="Y175" s="721">
        <v>4</v>
      </c>
      <c r="Z175" s="721">
        <v>0.93140000000000001</v>
      </c>
      <c r="AA175" s="721">
        <v>6.8599999999999994E-2</v>
      </c>
      <c r="AB175" s="721">
        <v>0</v>
      </c>
      <c r="AC175" s="730"/>
    </row>
    <row r="176" spans="18:29">
      <c r="R176" s="721" t="str">
        <f t="shared" si="8"/>
        <v>WLCI0523M</v>
      </c>
      <c r="S176" s="672" t="s">
        <v>980</v>
      </c>
      <c r="T176" s="721">
        <v>23</v>
      </c>
      <c r="U176" s="721">
        <v>23</v>
      </c>
      <c r="V176" s="721" t="s">
        <v>13</v>
      </c>
      <c r="W176" s="721" t="s">
        <v>979</v>
      </c>
      <c r="X176" s="721">
        <v>1</v>
      </c>
      <c r="Y176" s="721">
        <v>4</v>
      </c>
      <c r="Z176" s="721">
        <v>0.93069999999999997</v>
      </c>
      <c r="AA176" s="721">
        <v>6.93E-2</v>
      </c>
      <c r="AB176" s="721">
        <v>0</v>
      </c>
      <c r="AC176" s="730"/>
    </row>
    <row r="177" spans="18:29">
      <c r="R177" s="721" t="str">
        <f t="shared" si="8"/>
        <v>WLCI0524M</v>
      </c>
      <c r="S177" s="672" t="s">
        <v>980</v>
      </c>
      <c r="T177" s="721">
        <v>24</v>
      </c>
      <c r="U177" s="721">
        <v>24</v>
      </c>
      <c r="V177" s="721" t="s">
        <v>13</v>
      </c>
      <c r="W177" s="721" t="s">
        <v>979</v>
      </c>
      <c r="X177" s="721">
        <v>1</v>
      </c>
      <c r="Y177" s="721">
        <v>4</v>
      </c>
      <c r="Z177" s="721">
        <v>0.92989999999999995</v>
      </c>
      <c r="AA177" s="721">
        <v>7.0099999999999996E-2</v>
      </c>
      <c r="AB177" s="721">
        <v>0</v>
      </c>
      <c r="AC177" s="730"/>
    </row>
    <row r="178" spans="18:29">
      <c r="R178" s="721" t="str">
        <f t="shared" si="8"/>
        <v>WLCI0525M</v>
      </c>
      <c r="S178" s="672" t="s">
        <v>980</v>
      </c>
      <c r="T178" s="721">
        <v>25</v>
      </c>
      <c r="U178" s="721">
        <v>25</v>
      </c>
      <c r="V178" s="721" t="s">
        <v>13</v>
      </c>
      <c r="W178" s="721" t="s">
        <v>979</v>
      </c>
      <c r="X178" s="721">
        <v>1</v>
      </c>
      <c r="Y178" s="721">
        <v>4</v>
      </c>
      <c r="Z178" s="721">
        <v>0.92920000000000003</v>
      </c>
      <c r="AA178" s="721">
        <v>7.0800000000000002E-2</v>
      </c>
      <c r="AB178" s="721">
        <v>0</v>
      </c>
      <c r="AC178" s="730"/>
    </row>
    <row r="179" spans="18:29">
      <c r="R179" s="721" t="str">
        <f t="shared" si="8"/>
        <v>WLCI0526M</v>
      </c>
      <c r="S179" s="672" t="s">
        <v>980</v>
      </c>
      <c r="T179" s="721">
        <v>26</v>
      </c>
      <c r="U179" s="721">
        <v>26</v>
      </c>
      <c r="V179" s="721" t="s">
        <v>13</v>
      </c>
      <c r="W179" s="721" t="s">
        <v>979</v>
      </c>
      <c r="X179" s="721">
        <v>1</v>
      </c>
      <c r="Y179" s="721">
        <v>4</v>
      </c>
      <c r="Z179" s="721">
        <v>0.92849999999999999</v>
      </c>
      <c r="AA179" s="721">
        <v>7.1499999999999994E-2</v>
      </c>
      <c r="AB179" s="721">
        <v>0</v>
      </c>
      <c r="AC179" s="730"/>
    </row>
    <row r="180" spans="18:29">
      <c r="R180" s="721" t="str">
        <f t="shared" si="8"/>
        <v>WLCI0527M</v>
      </c>
      <c r="S180" s="672" t="s">
        <v>980</v>
      </c>
      <c r="T180" s="721">
        <v>27</v>
      </c>
      <c r="U180" s="721">
        <v>27</v>
      </c>
      <c r="V180" s="721" t="s">
        <v>13</v>
      </c>
      <c r="W180" s="721" t="s">
        <v>979</v>
      </c>
      <c r="X180" s="721">
        <v>1</v>
      </c>
      <c r="Y180" s="721">
        <v>4</v>
      </c>
      <c r="Z180" s="721">
        <v>0.92779999999999996</v>
      </c>
      <c r="AA180" s="721">
        <v>7.22E-2</v>
      </c>
      <c r="AB180" s="721">
        <v>0</v>
      </c>
      <c r="AC180" s="730"/>
    </row>
    <row r="181" spans="18:29">
      <c r="R181" s="721" t="str">
        <f t="shared" si="8"/>
        <v>WLCI0528M</v>
      </c>
      <c r="S181" s="672" t="s">
        <v>980</v>
      </c>
      <c r="T181" s="721">
        <v>28</v>
      </c>
      <c r="U181" s="721">
        <v>28</v>
      </c>
      <c r="V181" s="721" t="s">
        <v>13</v>
      </c>
      <c r="W181" s="721" t="s">
        <v>979</v>
      </c>
      <c r="X181" s="721">
        <v>1</v>
      </c>
      <c r="Y181" s="721">
        <v>4</v>
      </c>
      <c r="Z181" s="721">
        <v>0.92710000000000004</v>
      </c>
      <c r="AA181" s="721">
        <v>7.2900000000000006E-2</v>
      </c>
      <c r="AB181" s="721">
        <v>0</v>
      </c>
      <c r="AC181" s="730"/>
    </row>
    <row r="182" spans="18:29">
      <c r="R182" s="721" t="str">
        <f t="shared" si="8"/>
        <v>WLCI0529M</v>
      </c>
      <c r="S182" s="672" t="s">
        <v>980</v>
      </c>
      <c r="T182" s="721">
        <v>29</v>
      </c>
      <c r="U182" s="721">
        <v>29</v>
      </c>
      <c r="V182" s="721" t="s">
        <v>13</v>
      </c>
      <c r="W182" s="721" t="s">
        <v>979</v>
      </c>
      <c r="X182" s="721">
        <v>1</v>
      </c>
      <c r="Y182" s="721">
        <v>4</v>
      </c>
      <c r="Z182" s="721">
        <v>0.92649999999999999</v>
      </c>
      <c r="AA182" s="721">
        <v>7.3499999999999996E-2</v>
      </c>
      <c r="AB182" s="721">
        <v>0</v>
      </c>
      <c r="AC182" s="730"/>
    </row>
    <row r="183" spans="18:29">
      <c r="R183" s="721" t="str">
        <f t="shared" si="8"/>
        <v>WLCI0530M</v>
      </c>
      <c r="S183" s="672" t="s">
        <v>980</v>
      </c>
      <c r="T183" s="721">
        <v>30</v>
      </c>
      <c r="U183" s="721">
        <v>30</v>
      </c>
      <c r="V183" s="721" t="s">
        <v>13</v>
      </c>
      <c r="W183" s="721" t="s">
        <v>979</v>
      </c>
      <c r="X183" s="721">
        <v>1</v>
      </c>
      <c r="Y183" s="721">
        <v>4</v>
      </c>
      <c r="Z183" s="721">
        <v>0.92600000000000005</v>
      </c>
      <c r="AA183" s="721">
        <v>7.3999999999999996E-2</v>
      </c>
      <c r="AB183" s="721">
        <v>0</v>
      </c>
      <c r="AC183" s="730"/>
    </row>
    <row r="184" spans="18:29">
      <c r="R184" s="721" t="str">
        <f t="shared" si="8"/>
        <v>WLCI0531M</v>
      </c>
      <c r="S184" s="672" t="s">
        <v>980</v>
      </c>
      <c r="T184" s="721">
        <v>31</v>
      </c>
      <c r="U184" s="721">
        <v>31</v>
      </c>
      <c r="V184" s="721" t="s">
        <v>13</v>
      </c>
      <c r="W184" s="721" t="s">
        <v>979</v>
      </c>
      <c r="X184" s="721">
        <v>1</v>
      </c>
      <c r="Y184" s="721">
        <v>4</v>
      </c>
      <c r="Z184" s="721">
        <v>0.92549999999999999</v>
      </c>
      <c r="AA184" s="721">
        <v>7.4499999999999997E-2</v>
      </c>
      <c r="AB184" s="721">
        <v>0</v>
      </c>
      <c r="AC184" s="730"/>
    </row>
    <row r="185" spans="18:29">
      <c r="R185" s="721" t="str">
        <f t="shared" si="8"/>
        <v>WLCI0532M</v>
      </c>
      <c r="S185" s="672" t="s">
        <v>980</v>
      </c>
      <c r="T185" s="721">
        <v>32</v>
      </c>
      <c r="U185" s="721">
        <v>32</v>
      </c>
      <c r="V185" s="721" t="s">
        <v>13</v>
      </c>
      <c r="W185" s="721" t="s">
        <v>979</v>
      </c>
      <c r="X185" s="721">
        <v>1</v>
      </c>
      <c r="Y185" s="721">
        <v>4</v>
      </c>
      <c r="Z185" s="721">
        <v>0.92510000000000003</v>
      </c>
      <c r="AA185" s="721">
        <v>7.4899999999999994E-2</v>
      </c>
      <c r="AB185" s="721">
        <v>0</v>
      </c>
      <c r="AC185" s="730"/>
    </row>
    <row r="186" spans="18:29">
      <c r="R186" s="721" t="str">
        <f t="shared" si="8"/>
        <v>WLCI0533M</v>
      </c>
      <c r="S186" s="672" t="s">
        <v>980</v>
      </c>
      <c r="T186" s="721">
        <v>33</v>
      </c>
      <c r="U186" s="721">
        <v>33</v>
      </c>
      <c r="V186" s="721" t="s">
        <v>13</v>
      </c>
      <c r="W186" s="721" t="s">
        <v>979</v>
      </c>
      <c r="X186" s="721">
        <v>1</v>
      </c>
      <c r="Y186" s="721">
        <v>4</v>
      </c>
      <c r="Z186" s="721">
        <v>0.92469999999999997</v>
      </c>
      <c r="AA186" s="721">
        <v>7.5300000000000006E-2</v>
      </c>
      <c r="AB186" s="721">
        <v>0</v>
      </c>
      <c r="AC186" s="730"/>
    </row>
    <row r="187" spans="18:29">
      <c r="R187" s="721" t="str">
        <f t="shared" si="8"/>
        <v>WLCI0534M</v>
      </c>
      <c r="S187" s="672" t="s">
        <v>980</v>
      </c>
      <c r="T187" s="721">
        <v>34</v>
      </c>
      <c r="U187" s="721">
        <v>34</v>
      </c>
      <c r="V187" s="721" t="s">
        <v>13</v>
      </c>
      <c r="W187" s="721" t="s">
        <v>979</v>
      </c>
      <c r="X187" s="721">
        <v>1</v>
      </c>
      <c r="Y187" s="721">
        <v>4</v>
      </c>
      <c r="Z187" s="721">
        <v>0.9244</v>
      </c>
      <c r="AA187" s="721">
        <v>7.5600000000000001E-2</v>
      </c>
      <c r="AB187" s="721">
        <v>0</v>
      </c>
      <c r="AC187" s="730"/>
    </row>
    <row r="188" spans="18:29">
      <c r="R188" s="721" t="str">
        <f t="shared" si="8"/>
        <v>WLCI0535M</v>
      </c>
      <c r="S188" s="672" t="s">
        <v>980</v>
      </c>
      <c r="T188" s="721">
        <v>35</v>
      </c>
      <c r="U188" s="721">
        <v>35</v>
      </c>
      <c r="V188" s="721" t="s">
        <v>13</v>
      </c>
      <c r="W188" s="721" t="s">
        <v>979</v>
      </c>
      <c r="X188" s="721">
        <v>1</v>
      </c>
      <c r="Y188" s="721">
        <v>4</v>
      </c>
      <c r="Z188" s="721">
        <v>0.92430000000000001</v>
      </c>
      <c r="AA188" s="721">
        <v>7.5700000000000003E-2</v>
      </c>
      <c r="AB188" s="721">
        <v>0</v>
      </c>
      <c r="AC188" s="730"/>
    </row>
    <row r="189" spans="18:29">
      <c r="R189" s="721" t="str">
        <f t="shared" si="8"/>
        <v>WLCI0536M</v>
      </c>
      <c r="S189" s="672" t="s">
        <v>980</v>
      </c>
      <c r="T189" s="721">
        <v>36</v>
      </c>
      <c r="U189" s="721">
        <v>36</v>
      </c>
      <c r="V189" s="721" t="s">
        <v>13</v>
      </c>
      <c r="W189" s="721" t="s">
        <v>979</v>
      </c>
      <c r="X189" s="721">
        <v>1</v>
      </c>
      <c r="Y189" s="721">
        <v>4</v>
      </c>
      <c r="Z189" s="721">
        <v>0.92410000000000003</v>
      </c>
      <c r="AA189" s="721">
        <v>7.5899999999999995E-2</v>
      </c>
      <c r="AB189" s="721">
        <v>0</v>
      </c>
      <c r="AC189" s="730"/>
    </row>
    <row r="190" spans="18:29">
      <c r="R190" s="721" t="str">
        <f t="shared" si="8"/>
        <v>WLCI0537M</v>
      </c>
      <c r="S190" s="672" t="s">
        <v>980</v>
      </c>
      <c r="T190" s="721">
        <v>37</v>
      </c>
      <c r="U190" s="721">
        <v>37</v>
      </c>
      <c r="V190" s="721" t="s">
        <v>13</v>
      </c>
      <c r="W190" s="721" t="s">
        <v>979</v>
      </c>
      <c r="X190" s="721">
        <v>1</v>
      </c>
      <c r="Y190" s="721">
        <v>4</v>
      </c>
      <c r="Z190" s="721">
        <v>0.92400000000000004</v>
      </c>
      <c r="AA190" s="721">
        <v>7.5999999999999998E-2</v>
      </c>
      <c r="AB190" s="721">
        <v>0</v>
      </c>
      <c r="AC190" s="730"/>
    </row>
    <row r="191" spans="18:29">
      <c r="R191" s="721" t="str">
        <f t="shared" si="8"/>
        <v>WLCI0538M</v>
      </c>
      <c r="S191" s="672" t="s">
        <v>980</v>
      </c>
      <c r="T191" s="721">
        <v>38</v>
      </c>
      <c r="U191" s="721">
        <v>38</v>
      </c>
      <c r="V191" s="721" t="s">
        <v>13</v>
      </c>
      <c r="W191" s="721" t="s">
        <v>979</v>
      </c>
      <c r="X191" s="721">
        <v>1</v>
      </c>
      <c r="Y191" s="721">
        <v>4</v>
      </c>
      <c r="Z191" s="721">
        <v>0.92400000000000004</v>
      </c>
      <c r="AA191" s="721">
        <v>7.5999999999999998E-2</v>
      </c>
      <c r="AB191" s="721">
        <v>0</v>
      </c>
      <c r="AC191" s="730"/>
    </row>
    <row r="192" spans="18:29">
      <c r="R192" s="721" t="str">
        <f t="shared" si="8"/>
        <v>WLCI0539M</v>
      </c>
      <c r="S192" s="672" t="s">
        <v>980</v>
      </c>
      <c r="T192" s="721">
        <v>39</v>
      </c>
      <c r="U192" s="721">
        <v>39</v>
      </c>
      <c r="V192" s="721" t="s">
        <v>13</v>
      </c>
      <c r="W192" s="721" t="s">
        <v>979</v>
      </c>
      <c r="X192" s="721">
        <v>1</v>
      </c>
      <c r="Y192" s="721">
        <v>4</v>
      </c>
      <c r="Z192" s="721">
        <v>0.92400000000000004</v>
      </c>
      <c r="AA192" s="721">
        <v>7.5999999999999998E-2</v>
      </c>
      <c r="AB192" s="721">
        <v>0</v>
      </c>
      <c r="AC192" s="730"/>
    </row>
    <row r="193" spans="18:29">
      <c r="R193" s="721" t="str">
        <f t="shared" si="8"/>
        <v>WLCI0540M</v>
      </c>
      <c r="S193" s="672" t="s">
        <v>980</v>
      </c>
      <c r="T193" s="721">
        <v>40</v>
      </c>
      <c r="U193" s="721">
        <v>40</v>
      </c>
      <c r="V193" s="721" t="s">
        <v>13</v>
      </c>
      <c r="W193" s="721" t="s">
        <v>979</v>
      </c>
      <c r="X193" s="721">
        <v>1</v>
      </c>
      <c r="Y193" s="721">
        <v>4</v>
      </c>
      <c r="Z193" s="721">
        <v>0.92390000000000005</v>
      </c>
      <c r="AA193" s="721">
        <v>7.6100000000000001E-2</v>
      </c>
      <c r="AB193" s="721">
        <v>0</v>
      </c>
      <c r="AC193" s="730"/>
    </row>
    <row r="194" spans="18:29">
      <c r="R194" s="721" t="str">
        <f t="shared" si="8"/>
        <v>WLCI0541M</v>
      </c>
      <c r="S194" s="672" t="s">
        <v>980</v>
      </c>
      <c r="T194" s="721">
        <v>41</v>
      </c>
      <c r="U194" s="721">
        <v>41</v>
      </c>
      <c r="V194" s="721" t="s">
        <v>13</v>
      </c>
      <c r="W194" s="721" t="s">
        <v>979</v>
      </c>
      <c r="X194" s="721">
        <v>1</v>
      </c>
      <c r="Y194" s="721">
        <v>4</v>
      </c>
      <c r="Z194" s="721">
        <v>0.92390000000000005</v>
      </c>
      <c r="AA194" s="721">
        <v>7.6100000000000001E-2</v>
      </c>
      <c r="AB194" s="721">
        <v>0</v>
      </c>
      <c r="AC194" s="730"/>
    </row>
    <row r="195" spans="18:29">
      <c r="R195" s="721" t="str">
        <f t="shared" si="8"/>
        <v>WLCI0542M</v>
      </c>
      <c r="S195" s="672" t="s">
        <v>980</v>
      </c>
      <c r="T195" s="721">
        <v>42</v>
      </c>
      <c r="U195" s="721">
        <v>42</v>
      </c>
      <c r="V195" s="721" t="s">
        <v>13</v>
      </c>
      <c r="W195" s="721" t="s">
        <v>979</v>
      </c>
      <c r="X195" s="721">
        <v>1</v>
      </c>
      <c r="Y195" s="721">
        <v>4</v>
      </c>
      <c r="Z195" s="721">
        <v>0.92379999999999995</v>
      </c>
      <c r="AA195" s="721">
        <v>7.6200000000000004E-2</v>
      </c>
      <c r="AB195" s="721">
        <v>0</v>
      </c>
      <c r="AC195" s="730"/>
    </row>
    <row r="196" spans="18:29">
      <c r="R196" s="721" t="str">
        <f t="shared" si="8"/>
        <v>WLCI0543M</v>
      </c>
      <c r="S196" s="672" t="s">
        <v>980</v>
      </c>
      <c r="T196" s="721">
        <v>43</v>
      </c>
      <c r="U196" s="721">
        <v>43</v>
      </c>
      <c r="V196" s="721" t="s">
        <v>13</v>
      </c>
      <c r="W196" s="721" t="s">
        <v>979</v>
      </c>
      <c r="X196" s="721">
        <v>1</v>
      </c>
      <c r="Y196" s="721">
        <v>4</v>
      </c>
      <c r="Z196" s="721">
        <v>0.92379999999999995</v>
      </c>
      <c r="AA196" s="721">
        <v>7.6200000000000004E-2</v>
      </c>
      <c r="AB196" s="721">
        <v>0</v>
      </c>
      <c r="AC196" s="730"/>
    </row>
    <row r="197" spans="18:29">
      <c r="R197" s="721" t="str">
        <f t="shared" si="8"/>
        <v>WLCI0544M</v>
      </c>
      <c r="S197" s="672" t="s">
        <v>980</v>
      </c>
      <c r="T197" s="721">
        <v>44</v>
      </c>
      <c r="U197" s="721">
        <v>44</v>
      </c>
      <c r="V197" s="721" t="s">
        <v>13</v>
      </c>
      <c r="W197" s="721" t="s">
        <v>979</v>
      </c>
      <c r="X197" s="721">
        <v>1</v>
      </c>
      <c r="Y197" s="721">
        <v>4</v>
      </c>
      <c r="Z197" s="721">
        <v>0.92400000000000004</v>
      </c>
      <c r="AA197" s="721">
        <v>7.5999999999999998E-2</v>
      </c>
      <c r="AB197" s="721">
        <v>0</v>
      </c>
      <c r="AC197" s="730"/>
    </row>
    <row r="198" spans="18:29">
      <c r="R198" s="721" t="str">
        <f t="shared" si="8"/>
        <v>WLCI0545M</v>
      </c>
      <c r="S198" s="672" t="s">
        <v>980</v>
      </c>
      <c r="T198" s="721">
        <v>45</v>
      </c>
      <c r="U198" s="721">
        <v>45</v>
      </c>
      <c r="V198" s="721" t="s">
        <v>13</v>
      </c>
      <c r="W198" s="721" t="s">
        <v>979</v>
      </c>
      <c r="X198" s="721">
        <v>1</v>
      </c>
      <c r="Y198" s="721">
        <v>4</v>
      </c>
      <c r="Z198" s="721">
        <v>0.92430000000000001</v>
      </c>
      <c r="AA198" s="721">
        <v>7.5700000000000003E-2</v>
      </c>
      <c r="AB198" s="721">
        <v>0</v>
      </c>
      <c r="AC198" s="730"/>
    </row>
    <row r="199" spans="18:29">
      <c r="R199" s="721" t="str">
        <f t="shared" si="8"/>
        <v>WLCI0546M</v>
      </c>
      <c r="S199" s="672" t="s">
        <v>980</v>
      </c>
      <c r="T199" s="721">
        <v>46</v>
      </c>
      <c r="U199" s="721">
        <v>46</v>
      </c>
      <c r="V199" s="721" t="s">
        <v>13</v>
      </c>
      <c r="W199" s="721" t="s">
        <v>979</v>
      </c>
      <c r="X199" s="721">
        <v>1</v>
      </c>
      <c r="Y199" s="721">
        <v>4</v>
      </c>
      <c r="Z199" s="721">
        <v>0.92490000000000006</v>
      </c>
      <c r="AA199" s="721">
        <v>7.51E-2</v>
      </c>
      <c r="AB199" s="721">
        <v>0</v>
      </c>
      <c r="AC199" s="730"/>
    </row>
    <row r="200" spans="18:29">
      <c r="R200" s="721" t="str">
        <f t="shared" si="8"/>
        <v>WLCI0547M</v>
      </c>
      <c r="S200" s="672" t="s">
        <v>980</v>
      </c>
      <c r="T200" s="721">
        <v>47</v>
      </c>
      <c r="U200" s="721">
        <v>47</v>
      </c>
      <c r="V200" s="721" t="s">
        <v>13</v>
      </c>
      <c r="W200" s="721" t="s">
        <v>979</v>
      </c>
      <c r="X200" s="721">
        <v>1</v>
      </c>
      <c r="Y200" s="721">
        <v>4</v>
      </c>
      <c r="Z200" s="721">
        <v>0.92600000000000005</v>
      </c>
      <c r="AA200" s="721">
        <v>7.3999999999999996E-2</v>
      </c>
      <c r="AB200" s="721">
        <v>0</v>
      </c>
      <c r="AC200" s="730"/>
    </row>
    <row r="201" spans="18:29">
      <c r="R201" s="721" t="str">
        <f t="shared" si="8"/>
        <v>WLCI0548M</v>
      </c>
      <c r="S201" s="672" t="s">
        <v>980</v>
      </c>
      <c r="T201" s="721">
        <v>48</v>
      </c>
      <c r="U201" s="721">
        <v>48</v>
      </c>
      <c r="V201" s="721" t="s">
        <v>13</v>
      </c>
      <c r="W201" s="721" t="s">
        <v>979</v>
      </c>
      <c r="X201" s="721">
        <v>1</v>
      </c>
      <c r="Y201" s="721">
        <v>4</v>
      </c>
      <c r="Z201" s="721">
        <v>0.92720000000000002</v>
      </c>
      <c r="AA201" s="721">
        <v>7.2800000000000004E-2</v>
      </c>
      <c r="AB201" s="721">
        <v>0</v>
      </c>
      <c r="AC201" s="730"/>
    </row>
    <row r="202" spans="18:29">
      <c r="R202" s="721" t="str">
        <f t="shared" si="8"/>
        <v>WLCI0549M</v>
      </c>
      <c r="S202" s="672" t="s">
        <v>980</v>
      </c>
      <c r="T202" s="721">
        <v>49</v>
      </c>
      <c r="U202" s="721">
        <v>49</v>
      </c>
      <c r="V202" s="721" t="s">
        <v>13</v>
      </c>
      <c r="W202" s="721" t="s">
        <v>979</v>
      </c>
      <c r="X202" s="721">
        <v>1</v>
      </c>
      <c r="Y202" s="721">
        <v>4</v>
      </c>
      <c r="Z202" s="721">
        <v>0.9284</v>
      </c>
      <c r="AA202" s="721">
        <v>7.1599999999999997E-2</v>
      </c>
      <c r="AB202" s="721">
        <v>0</v>
      </c>
      <c r="AC202" s="730"/>
    </row>
    <row r="203" spans="18:29">
      <c r="R203" s="721" t="str">
        <f t="shared" si="8"/>
        <v>WLCI0550M</v>
      </c>
      <c r="S203" s="672" t="s">
        <v>980</v>
      </c>
      <c r="T203" s="721">
        <v>50</v>
      </c>
      <c r="U203" s="721">
        <v>50</v>
      </c>
      <c r="V203" s="721" t="s">
        <v>13</v>
      </c>
      <c r="W203" s="721" t="s">
        <v>979</v>
      </c>
      <c r="X203" s="721">
        <v>1</v>
      </c>
      <c r="Y203" s="721">
        <v>4</v>
      </c>
      <c r="Z203" s="721">
        <v>0.92949999999999999</v>
      </c>
      <c r="AA203" s="721">
        <v>7.0499999999999993E-2</v>
      </c>
      <c r="AB203" s="721">
        <v>0</v>
      </c>
      <c r="AC203" s="730"/>
    </row>
    <row r="204" spans="18:29">
      <c r="R204" s="721" t="str">
        <f t="shared" si="8"/>
        <v>WLCI0551M</v>
      </c>
      <c r="S204" s="672" t="s">
        <v>980</v>
      </c>
      <c r="T204" s="721">
        <v>51</v>
      </c>
      <c r="U204" s="721">
        <v>51</v>
      </c>
      <c r="V204" s="721" t="s">
        <v>13</v>
      </c>
      <c r="W204" s="721" t="s">
        <v>979</v>
      </c>
      <c r="X204" s="721">
        <v>1</v>
      </c>
      <c r="Y204" s="721">
        <v>4</v>
      </c>
      <c r="Z204" s="721">
        <v>0.93059999999999998</v>
      </c>
      <c r="AA204" s="721">
        <v>6.9400000000000003E-2</v>
      </c>
      <c r="AB204" s="721">
        <v>0</v>
      </c>
      <c r="AC204" s="730"/>
    </row>
    <row r="205" spans="18:29">
      <c r="R205" s="721" t="str">
        <f t="shared" si="8"/>
        <v>WLCI0552M</v>
      </c>
      <c r="S205" s="672" t="s">
        <v>980</v>
      </c>
      <c r="T205" s="721">
        <v>52</v>
      </c>
      <c r="U205" s="721">
        <v>52</v>
      </c>
      <c r="V205" s="721" t="s">
        <v>13</v>
      </c>
      <c r="W205" s="721" t="s">
        <v>979</v>
      </c>
      <c r="X205" s="721">
        <v>1</v>
      </c>
      <c r="Y205" s="721">
        <v>4</v>
      </c>
      <c r="Z205" s="721">
        <v>0.93140000000000001</v>
      </c>
      <c r="AA205" s="721">
        <v>6.8599999999999994E-2</v>
      </c>
      <c r="AB205" s="721">
        <v>0</v>
      </c>
      <c r="AC205" s="730"/>
    </row>
    <row r="206" spans="18:29">
      <c r="R206" s="721" t="str">
        <f t="shared" si="8"/>
        <v>WLCI050F</v>
      </c>
      <c r="S206" s="672" t="s">
        <v>980</v>
      </c>
      <c r="T206" s="721">
        <v>0</v>
      </c>
      <c r="U206" s="721">
        <v>0</v>
      </c>
      <c r="V206" s="721" t="s">
        <v>14</v>
      </c>
      <c r="W206" s="721" t="s">
        <v>979</v>
      </c>
      <c r="X206" s="721">
        <v>1</v>
      </c>
      <c r="Y206" s="721">
        <v>4</v>
      </c>
      <c r="Z206" s="721">
        <v>0.9325</v>
      </c>
      <c r="AA206" s="721">
        <v>6.7500000000000004E-2</v>
      </c>
      <c r="AB206" s="721">
        <v>0</v>
      </c>
      <c r="AC206" s="730"/>
    </row>
    <row r="207" spans="18:29">
      <c r="R207" s="721" t="str">
        <f t="shared" si="8"/>
        <v>WLCI051F</v>
      </c>
      <c r="S207" s="672" t="s">
        <v>980</v>
      </c>
      <c r="T207" s="721">
        <v>1</v>
      </c>
      <c r="U207" s="721">
        <v>1</v>
      </c>
      <c r="V207" s="721" t="s">
        <v>14</v>
      </c>
      <c r="W207" s="721" t="s">
        <v>979</v>
      </c>
      <c r="X207" s="721">
        <v>1</v>
      </c>
      <c r="Y207" s="721">
        <v>4</v>
      </c>
      <c r="Z207" s="721">
        <v>0.93240000000000001</v>
      </c>
      <c r="AA207" s="721">
        <v>6.7599999999999993E-2</v>
      </c>
      <c r="AB207" s="721">
        <v>0</v>
      </c>
      <c r="AC207" s="730"/>
    </row>
    <row r="208" spans="18:29">
      <c r="R208" s="721" t="str">
        <f t="shared" si="8"/>
        <v>WLCI052F</v>
      </c>
      <c r="S208" s="672" t="s">
        <v>980</v>
      </c>
      <c r="T208" s="721">
        <v>2</v>
      </c>
      <c r="U208" s="721">
        <v>2</v>
      </c>
      <c r="V208" s="721" t="s">
        <v>14</v>
      </c>
      <c r="W208" s="721" t="s">
        <v>979</v>
      </c>
      <c r="X208" s="721">
        <v>1</v>
      </c>
      <c r="Y208" s="721">
        <v>4</v>
      </c>
      <c r="Z208" s="721">
        <v>0.93200000000000005</v>
      </c>
      <c r="AA208" s="721">
        <v>6.8000000000000005E-2</v>
      </c>
      <c r="AB208" s="721">
        <v>0</v>
      </c>
      <c r="AC208" s="730"/>
    </row>
    <row r="209" spans="18:29">
      <c r="R209" s="721" t="str">
        <f t="shared" si="8"/>
        <v>WLCI053F</v>
      </c>
      <c r="S209" s="672" t="s">
        <v>980</v>
      </c>
      <c r="T209" s="721">
        <v>3</v>
      </c>
      <c r="U209" s="721">
        <v>3</v>
      </c>
      <c r="V209" s="721" t="s">
        <v>14</v>
      </c>
      <c r="W209" s="721" t="s">
        <v>979</v>
      </c>
      <c r="X209" s="721">
        <v>1</v>
      </c>
      <c r="Y209" s="721">
        <v>4</v>
      </c>
      <c r="Z209" s="721">
        <v>0.93159999999999998</v>
      </c>
      <c r="AA209" s="721">
        <v>6.8400000000000002E-2</v>
      </c>
      <c r="AB209" s="721">
        <v>0</v>
      </c>
      <c r="AC209" s="730"/>
    </row>
    <row r="210" spans="18:29">
      <c r="R210" s="721" t="str">
        <f t="shared" si="8"/>
        <v>WLCI054F</v>
      </c>
      <c r="S210" s="672" t="s">
        <v>980</v>
      </c>
      <c r="T210" s="721">
        <v>4</v>
      </c>
      <c r="U210" s="721">
        <v>4</v>
      </c>
      <c r="V210" s="721" t="s">
        <v>14</v>
      </c>
      <c r="W210" s="721" t="s">
        <v>979</v>
      </c>
      <c r="X210" s="721">
        <v>1</v>
      </c>
      <c r="Y210" s="721">
        <v>4</v>
      </c>
      <c r="Z210" s="721">
        <v>0.93120000000000003</v>
      </c>
      <c r="AA210" s="721">
        <v>6.88E-2</v>
      </c>
      <c r="AB210" s="721">
        <v>0</v>
      </c>
      <c r="AC210" s="730"/>
    </row>
    <row r="211" spans="18:29">
      <c r="R211" s="721" t="str">
        <f t="shared" si="8"/>
        <v>WLCI055F</v>
      </c>
      <c r="S211" s="672" t="s">
        <v>980</v>
      </c>
      <c r="T211" s="721">
        <v>5</v>
      </c>
      <c r="U211" s="721">
        <v>5</v>
      </c>
      <c r="V211" s="721" t="s">
        <v>14</v>
      </c>
      <c r="W211" s="721" t="s">
        <v>979</v>
      </c>
      <c r="X211" s="721">
        <v>1</v>
      </c>
      <c r="Y211" s="721">
        <v>4</v>
      </c>
      <c r="Z211" s="721">
        <v>0.93049999999999999</v>
      </c>
      <c r="AA211" s="721">
        <v>6.9500000000000006E-2</v>
      </c>
      <c r="AB211" s="721">
        <v>0</v>
      </c>
      <c r="AC211" s="730"/>
    </row>
    <row r="212" spans="18:29">
      <c r="R212" s="721" t="str">
        <f t="shared" si="8"/>
        <v>WLCI056F</v>
      </c>
      <c r="S212" s="672" t="s">
        <v>980</v>
      </c>
      <c r="T212" s="721">
        <v>6</v>
      </c>
      <c r="U212" s="721">
        <v>6</v>
      </c>
      <c r="V212" s="721" t="s">
        <v>14</v>
      </c>
      <c r="W212" s="721" t="s">
        <v>979</v>
      </c>
      <c r="X212" s="721">
        <v>1</v>
      </c>
      <c r="Y212" s="721">
        <v>4</v>
      </c>
      <c r="Z212" s="721">
        <v>0.93010000000000004</v>
      </c>
      <c r="AA212" s="721">
        <v>6.9900000000000004E-2</v>
      </c>
      <c r="AB212" s="721">
        <v>0</v>
      </c>
      <c r="AC212" s="730"/>
    </row>
    <row r="213" spans="18:29">
      <c r="R213" s="721" t="str">
        <f t="shared" si="8"/>
        <v>WLCI057F</v>
      </c>
      <c r="S213" s="672" t="s">
        <v>980</v>
      </c>
      <c r="T213" s="721">
        <v>7</v>
      </c>
      <c r="U213" s="721">
        <v>7</v>
      </c>
      <c r="V213" s="721" t="s">
        <v>14</v>
      </c>
      <c r="W213" s="721" t="s">
        <v>979</v>
      </c>
      <c r="X213" s="721">
        <v>1</v>
      </c>
      <c r="Y213" s="721">
        <v>4</v>
      </c>
      <c r="Z213" s="721">
        <v>0.9294</v>
      </c>
      <c r="AA213" s="721">
        <v>7.0599999999999996E-2</v>
      </c>
      <c r="AB213" s="721">
        <v>0</v>
      </c>
      <c r="AC213" s="730"/>
    </row>
    <row r="214" spans="18:29">
      <c r="R214" s="721" t="str">
        <f t="shared" si="8"/>
        <v>WLCI058F</v>
      </c>
      <c r="S214" s="672" t="s">
        <v>980</v>
      </c>
      <c r="T214" s="721">
        <v>8</v>
      </c>
      <c r="U214" s="721">
        <v>8</v>
      </c>
      <c r="V214" s="721" t="s">
        <v>14</v>
      </c>
      <c r="W214" s="721" t="s">
        <v>979</v>
      </c>
      <c r="X214" s="721">
        <v>1</v>
      </c>
      <c r="Y214" s="721">
        <v>4</v>
      </c>
      <c r="Z214" s="721">
        <v>0.92879999999999996</v>
      </c>
      <c r="AA214" s="721">
        <v>7.1199999999999999E-2</v>
      </c>
      <c r="AB214" s="721">
        <v>0</v>
      </c>
      <c r="AC214" s="730"/>
    </row>
    <row r="215" spans="18:29">
      <c r="R215" s="721" t="str">
        <f t="shared" si="8"/>
        <v>WLCI059F</v>
      </c>
      <c r="S215" s="672" t="s">
        <v>980</v>
      </c>
      <c r="T215" s="721">
        <v>9</v>
      </c>
      <c r="U215" s="721">
        <v>9</v>
      </c>
      <c r="V215" s="721" t="s">
        <v>14</v>
      </c>
      <c r="W215" s="721" t="s">
        <v>979</v>
      </c>
      <c r="X215" s="721">
        <v>1</v>
      </c>
      <c r="Y215" s="721">
        <v>4</v>
      </c>
      <c r="Z215" s="721">
        <v>0.92800000000000005</v>
      </c>
      <c r="AA215" s="721">
        <v>7.1999999999999995E-2</v>
      </c>
      <c r="AB215" s="721">
        <v>0</v>
      </c>
      <c r="AC215" s="730"/>
    </row>
    <row r="216" spans="18:29">
      <c r="R216" s="721" t="str">
        <f t="shared" si="8"/>
        <v>WLCI0510F</v>
      </c>
      <c r="S216" s="672" t="s">
        <v>980</v>
      </c>
      <c r="T216" s="721">
        <v>10</v>
      </c>
      <c r="U216" s="721">
        <v>10</v>
      </c>
      <c r="V216" s="721" t="s">
        <v>14</v>
      </c>
      <c r="W216" s="721" t="s">
        <v>979</v>
      </c>
      <c r="X216" s="721">
        <v>1</v>
      </c>
      <c r="Y216" s="721">
        <v>4</v>
      </c>
      <c r="Z216" s="721">
        <v>0.9274</v>
      </c>
      <c r="AA216" s="721">
        <v>7.2599999999999998E-2</v>
      </c>
      <c r="AB216" s="721">
        <v>0</v>
      </c>
      <c r="AC216" s="730"/>
    </row>
    <row r="217" spans="18:29">
      <c r="R217" s="721" t="str">
        <f t="shared" si="8"/>
        <v>WLCI0511F</v>
      </c>
      <c r="S217" s="672" t="s">
        <v>980</v>
      </c>
      <c r="T217" s="721">
        <v>11</v>
      </c>
      <c r="U217" s="721">
        <v>11</v>
      </c>
      <c r="V217" s="721" t="s">
        <v>14</v>
      </c>
      <c r="W217" s="721" t="s">
        <v>979</v>
      </c>
      <c r="X217" s="721">
        <v>1</v>
      </c>
      <c r="Y217" s="721">
        <v>4</v>
      </c>
      <c r="Z217" s="721">
        <v>0.92659999999999998</v>
      </c>
      <c r="AA217" s="721">
        <v>7.3400000000000007E-2</v>
      </c>
      <c r="AB217" s="721">
        <v>0</v>
      </c>
      <c r="AC217" s="730"/>
    </row>
    <row r="218" spans="18:29">
      <c r="R218" s="721" t="str">
        <f t="shared" si="8"/>
        <v>WLCI0512F</v>
      </c>
      <c r="S218" s="672" t="s">
        <v>980</v>
      </c>
      <c r="T218" s="721">
        <v>12</v>
      </c>
      <c r="U218" s="721">
        <v>12</v>
      </c>
      <c r="V218" s="721" t="s">
        <v>14</v>
      </c>
      <c r="W218" s="721" t="s">
        <v>979</v>
      </c>
      <c r="X218" s="721">
        <v>1</v>
      </c>
      <c r="Y218" s="721">
        <v>4</v>
      </c>
      <c r="Z218" s="721">
        <v>0.92600000000000005</v>
      </c>
      <c r="AA218" s="721">
        <v>7.3999999999999996E-2</v>
      </c>
      <c r="AB218" s="721">
        <v>0</v>
      </c>
      <c r="AC218" s="730"/>
    </row>
    <row r="219" spans="18:29">
      <c r="R219" s="721" t="str">
        <f t="shared" si="8"/>
        <v>WLCI0513F</v>
      </c>
      <c r="S219" s="672" t="s">
        <v>980</v>
      </c>
      <c r="T219" s="721">
        <v>13</v>
      </c>
      <c r="U219" s="721">
        <v>13</v>
      </c>
      <c r="V219" s="721" t="s">
        <v>14</v>
      </c>
      <c r="W219" s="721" t="s">
        <v>979</v>
      </c>
      <c r="X219" s="721">
        <v>1</v>
      </c>
      <c r="Y219" s="721">
        <v>4</v>
      </c>
      <c r="Z219" s="721">
        <v>0.92530000000000001</v>
      </c>
      <c r="AA219" s="721">
        <v>7.4700000000000003E-2</v>
      </c>
      <c r="AB219" s="721">
        <v>0</v>
      </c>
      <c r="AC219" s="730"/>
    </row>
    <row r="220" spans="18:29">
      <c r="R220" s="721" t="str">
        <f t="shared" si="8"/>
        <v>WLCI0514F</v>
      </c>
      <c r="S220" s="672" t="s">
        <v>980</v>
      </c>
      <c r="T220" s="721">
        <v>14</v>
      </c>
      <c r="U220" s="721">
        <v>14</v>
      </c>
      <c r="V220" s="721" t="s">
        <v>14</v>
      </c>
      <c r="W220" s="721" t="s">
        <v>979</v>
      </c>
      <c r="X220" s="721">
        <v>1</v>
      </c>
      <c r="Y220" s="721">
        <v>4</v>
      </c>
      <c r="Z220" s="721">
        <v>0.92469999999999997</v>
      </c>
      <c r="AA220" s="721">
        <v>7.5300000000000006E-2</v>
      </c>
      <c r="AB220" s="721">
        <v>0</v>
      </c>
      <c r="AC220" s="730"/>
    </row>
    <row r="221" spans="18:29">
      <c r="R221" s="721" t="str">
        <f t="shared" si="8"/>
        <v>WLCI0515F</v>
      </c>
      <c r="S221" s="672" t="s">
        <v>980</v>
      </c>
      <c r="T221" s="721">
        <v>15</v>
      </c>
      <c r="U221" s="721">
        <v>15</v>
      </c>
      <c r="V221" s="721" t="s">
        <v>14</v>
      </c>
      <c r="W221" s="721" t="s">
        <v>979</v>
      </c>
      <c r="X221" s="721">
        <v>1</v>
      </c>
      <c r="Y221" s="721">
        <v>4</v>
      </c>
      <c r="Z221" s="721">
        <v>0.92410000000000003</v>
      </c>
      <c r="AA221" s="721">
        <v>7.5899999999999995E-2</v>
      </c>
      <c r="AB221" s="721">
        <v>0</v>
      </c>
      <c r="AC221" s="730"/>
    </row>
    <row r="222" spans="18:29">
      <c r="R222" s="721" t="str">
        <f t="shared" si="8"/>
        <v>WLCI0516F</v>
      </c>
      <c r="S222" s="672" t="s">
        <v>980</v>
      </c>
      <c r="T222" s="721">
        <v>16</v>
      </c>
      <c r="U222" s="721">
        <v>16</v>
      </c>
      <c r="V222" s="721" t="s">
        <v>14</v>
      </c>
      <c r="W222" s="721" t="s">
        <v>979</v>
      </c>
      <c r="X222" s="721">
        <v>1</v>
      </c>
      <c r="Y222" s="721">
        <v>4</v>
      </c>
      <c r="Z222" s="721">
        <v>0.92330000000000001</v>
      </c>
      <c r="AA222" s="721">
        <v>7.6700000000000004E-2</v>
      </c>
      <c r="AB222" s="721">
        <v>0</v>
      </c>
      <c r="AC222" s="730"/>
    </row>
    <row r="223" spans="18:29">
      <c r="R223" s="721" t="str">
        <f t="shared" si="8"/>
        <v>WLCI0517F</v>
      </c>
      <c r="S223" s="672" t="s">
        <v>980</v>
      </c>
      <c r="T223" s="721">
        <v>17</v>
      </c>
      <c r="U223" s="721">
        <v>17</v>
      </c>
      <c r="V223" s="721" t="s">
        <v>14</v>
      </c>
      <c r="W223" s="721" t="s">
        <v>979</v>
      </c>
      <c r="X223" s="721">
        <v>1</v>
      </c>
      <c r="Y223" s="721">
        <v>4</v>
      </c>
      <c r="Z223" s="721">
        <v>0.92279999999999995</v>
      </c>
      <c r="AA223" s="721">
        <v>7.7200000000000005E-2</v>
      </c>
      <c r="AB223" s="721">
        <v>0</v>
      </c>
      <c r="AC223" s="730"/>
    </row>
    <row r="224" spans="18:29">
      <c r="R224" s="721" t="str">
        <f t="shared" si="8"/>
        <v>WLCI0518F</v>
      </c>
      <c r="S224" s="672" t="s">
        <v>980</v>
      </c>
      <c r="T224" s="721">
        <v>18</v>
      </c>
      <c r="U224" s="721">
        <v>18</v>
      </c>
      <c r="V224" s="721" t="s">
        <v>14</v>
      </c>
      <c r="W224" s="721" t="s">
        <v>979</v>
      </c>
      <c r="X224" s="721">
        <v>1</v>
      </c>
      <c r="Y224" s="721">
        <v>4</v>
      </c>
      <c r="Z224" s="721">
        <v>0.92220000000000002</v>
      </c>
      <c r="AA224" s="721">
        <v>7.7799999999999994E-2</v>
      </c>
      <c r="AB224" s="721">
        <v>0</v>
      </c>
      <c r="AC224" s="730"/>
    </row>
    <row r="225" spans="18:29">
      <c r="R225" s="721" t="str">
        <f t="shared" si="8"/>
        <v>WLCI0519F</v>
      </c>
      <c r="S225" s="672" t="s">
        <v>980</v>
      </c>
      <c r="T225" s="721">
        <v>19</v>
      </c>
      <c r="U225" s="721">
        <v>19</v>
      </c>
      <c r="V225" s="721" t="s">
        <v>14</v>
      </c>
      <c r="W225" s="721" t="s">
        <v>979</v>
      </c>
      <c r="X225" s="721">
        <v>1</v>
      </c>
      <c r="Y225" s="721">
        <v>4</v>
      </c>
      <c r="Z225" s="721">
        <v>0.92159999999999997</v>
      </c>
      <c r="AA225" s="721">
        <v>7.8399999999999997E-2</v>
      </c>
      <c r="AB225" s="721">
        <v>0</v>
      </c>
      <c r="AC225" s="730"/>
    </row>
    <row r="226" spans="18:29">
      <c r="R226" s="721" t="str">
        <f t="shared" si="8"/>
        <v>WLCI0520F</v>
      </c>
      <c r="S226" s="672" t="s">
        <v>980</v>
      </c>
      <c r="T226" s="721">
        <v>20</v>
      </c>
      <c r="U226" s="721">
        <v>20</v>
      </c>
      <c r="V226" s="721" t="s">
        <v>14</v>
      </c>
      <c r="W226" s="721" t="s">
        <v>979</v>
      </c>
      <c r="X226" s="721">
        <v>1</v>
      </c>
      <c r="Y226" s="721">
        <v>4</v>
      </c>
      <c r="Z226" s="721">
        <v>0.92120000000000002</v>
      </c>
      <c r="AA226" s="721">
        <v>7.8799999999999995E-2</v>
      </c>
      <c r="AB226" s="721">
        <v>0</v>
      </c>
      <c r="AC226" s="730"/>
    </row>
    <row r="227" spans="18:29">
      <c r="R227" s="721" t="str">
        <f t="shared" si="8"/>
        <v>WLCI0521F</v>
      </c>
      <c r="S227" s="672" t="s">
        <v>980</v>
      </c>
      <c r="T227" s="721">
        <v>21</v>
      </c>
      <c r="U227" s="721">
        <v>21</v>
      </c>
      <c r="V227" s="721" t="s">
        <v>14</v>
      </c>
      <c r="W227" s="721" t="s">
        <v>979</v>
      </c>
      <c r="X227" s="721">
        <v>1</v>
      </c>
      <c r="Y227" s="721">
        <v>4</v>
      </c>
      <c r="Z227" s="721">
        <v>0.92090000000000005</v>
      </c>
      <c r="AA227" s="721">
        <v>7.9100000000000004E-2</v>
      </c>
      <c r="AB227" s="721">
        <v>0</v>
      </c>
      <c r="AC227" s="730"/>
    </row>
    <row r="228" spans="18:29">
      <c r="R228" s="721" t="str">
        <f t="shared" si="8"/>
        <v>WLCI0522F</v>
      </c>
      <c r="S228" s="672" t="s">
        <v>980</v>
      </c>
      <c r="T228" s="721">
        <v>22</v>
      </c>
      <c r="U228" s="721">
        <v>22</v>
      </c>
      <c r="V228" s="721" t="s">
        <v>14</v>
      </c>
      <c r="W228" s="721" t="s">
        <v>979</v>
      </c>
      <c r="X228" s="721">
        <v>1</v>
      </c>
      <c r="Y228" s="721">
        <v>4</v>
      </c>
      <c r="Z228" s="721">
        <v>0.92049999999999998</v>
      </c>
      <c r="AA228" s="721">
        <v>7.9500000000000001E-2</v>
      </c>
      <c r="AB228" s="721">
        <v>0</v>
      </c>
      <c r="AC228" s="730"/>
    </row>
    <row r="229" spans="18:29">
      <c r="R229" s="721" t="str">
        <f t="shared" si="8"/>
        <v>WLCI0523F</v>
      </c>
      <c r="S229" s="672" t="s">
        <v>980</v>
      </c>
      <c r="T229" s="721">
        <v>23</v>
      </c>
      <c r="U229" s="721">
        <v>23</v>
      </c>
      <c r="V229" s="721" t="s">
        <v>14</v>
      </c>
      <c r="W229" s="721" t="s">
        <v>979</v>
      </c>
      <c r="X229" s="721">
        <v>1</v>
      </c>
      <c r="Y229" s="721">
        <v>4</v>
      </c>
      <c r="Z229" s="721">
        <v>0.9204</v>
      </c>
      <c r="AA229" s="721">
        <v>7.9600000000000004E-2</v>
      </c>
      <c r="AB229" s="721">
        <v>0</v>
      </c>
      <c r="AC229" s="730"/>
    </row>
    <row r="230" spans="18:29">
      <c r="R230" s="721" t="str">
        <f t="shared" si="8"/>
        <v>WLCI0524F</v>
      </c>
      <c r="S230" s="672" t="s">
        <v>980</v>
      </c>
      <c r="T230" s="721">
        <v>24</v>
      </c>
      <c r="U230" s="721">
        <v>24</v>
      </c>
      <c r="V230" s="721" t="s">
        <v>14</v>
      </c>
      <c r="W230" s="721" t="s">
        <v>979</v>
      </c>
      <c r="X230" s="721">
        <v>1</v>
      </c>
      <c r="Y230" s="721">
        <v>4</v>
      </c>
      <c r="Z230" s="721">
        <v>0.92020000000000002</v>
      </c>
      <c r="AA230" s="721">
        <v>7.9799999999999996E-2</v>
      </c>
      <c r="AB230" s="721">
        <v>0</v>
      </c>
      <c r="AC230" s="730"/>
    </row>
    <row r="231" spans="18:29">
      <c r="R231" s="721" t="str">
        <f t="shared" si="8"/>
        <v>WLCI0525F</v>
      </c>
      <c r="S231" s="672" t="s">
        <v>980</v>
      </c>
      <c r="T231" s="721">
        <v>25</v>
      </c>
      <c r="U231" s="721">
        <v>25</v>
      </c>
      <c r="V231" s="721" t="s">
        <v>14</v>
      </c>
      <c r="W231" s="721" t="s">
        <v>979</v>
      </c>
      <c r="X231" s="721">
        <v>1</v>
      </c>
      <c r="Y231" s="721">
        <v>4</v>
      </c>
      <c r="Z231" s="721">
        <v>0.92030000000000001</v>
      </c>
      <c r="AA231" s="721">
        <v>7.9699999999999993E-2</v>
      </c>
      <c r="AB231" s="721">
        <v>0</v>
      </c>
      <c r="AC231" s="730"/>
    </row>
    <row r="232" spans="18:29">
      <c r="R232" s="721" t="str">
        <f t="shared" si="8"/>
        <v>WLCI0526F</v>
      </c>
      <c r="S232" s="672" t="s">
        <v>980</v>
      </c>
      <c r="T232" s="721">
        <v>26</v>
      </c>
      <c r="U232" s="721">
        <v>26</v>
      </c>
      <c r="V232" s="721" t="s">
        <v>14</v>
      </c>
      <c r="W232" s="721" t="s">
        <v>979</v>
      </c>
      <c r="X232" s="721">
        <v>1</v>
      </c>
      <c r="Y232" s="721">
        <v>4</v>
      </c>
      <c r="Z232" s="721">
        <v>0.92030000000000001</v>
      </c>
      <c r="AA232" s="721">
        <v>7.9699999999999993E-2</v>
      </c>
      <c r="AB232" s="721">
        <v>0</v>
      </c>
      <c r="AC232" s="730"/>
    </row>
    <row r="233" spans="18:29">
      <c r="R233" s="721" t="str">
        <f t="shared" si="8"/>
        <v>WLCI0527F</v>
      </c>
      <c r="S233" s="672" t="s">
        <v>980</v>
      </c>
      <c r="T233" s="721">
        <v>27</v>
      </c>
      <c r="U233" s="721">
        <v>27</v>
      </c>
      <c r="V233" s="721" t="s">
        <v>14</v>
      </c>
      <c r="W233" s="721" t="s">
        <v>979</v>
      </c>
      <c r="X233" s="721">
        <v>1</v>
      </c>
      <c r="Y233" s="721">
        <v>4</v>
      </c>
      <c r="Z233" s="721">
        <v>0.92049999999999998</v>
      </c>
      <c r="AA233" s="721">
        <v>7.9500000000000001E-2</v>
      </c>
      <c r="AB233" s="721">
        <v>0</v>
      </c>
      <c r="AC233" s="730"/>
    </row>
    <row r="234" spans="18:29">
      <c r="R234" s="721" t="str">
        <f t="shared" si="8"/>
        <v>WLCI0528F</v>
      </c>
      <c r="S234" s="672" t="s">
        <v>980</v>
      </c>
      <c r="T234" s="721">
        <v>28</v>
      </c>
      <c r="U234" s="721">
        <v>28</v>
      </c>
      <c r="V234" s="721" t="s">
        <v>14</v>
      </c>
      <c r="W234" s="721" t="s">
        <v>979</v>
      </c>
      <c r="X234" s="721">
        <v>1</v>
      </c>
      <c r="Y234" s="721">
        <v>4</v>
      </c>
      <c r="Z234" s="721">
        <v>0.92069999999999996</v>
      </c>
      <c r="AA234" s="721">
        <v>7.9299999999999995E-2</v>
      </c>
      <c r="AB234" s="721">
        <v>0</v>
      </c>
      <c r="AC234" s="730"/>
    </row>
    <row r="235" spans="18:29">
      <c r="R235" s="721" t="str">
        <f t="shared" si="8"/>
        <v>WLCI0529F</v>
      </c>
      <c r="S235" s="672" t="s">
        <v>980</v>
      </c>
      <c r="T235" s="721">
        <v>29</v>
      </c>
      <c r="U235" s="721">
        <v>29</v>
      </c>
      <c r="V235" s="721" t="s">
        <v>14</v>
      </c>
      <c r="W235" s="721" t="s">
        <v>979</v>
      </c>
      <c r="X235" s="721">
        <v>1</v>
      </c>
      <c r="Y235" s="721">
        <v>4</v>
      </c>
      <c r="Z235" s="721">
        <v>0.92100000000000004</v>
      </c>
      <c r="AA235" s="721">
        <v>7.9000000000000001E-2</v>
      </c>
      <c r="AB235" s="721">
        <v>0</v>
      </c>
      <c r="AC235" s="730"/>
    </row>
    <row r="236" spans="18:29">
      <c r="R236" s="721" t="str">
        <f t="shared" ref="R236:R299" si="9">S236&amp;T236&amp;V236</f>
        <v>WLCI0530F</v>
      </c>
      <c r="S236" s="672" t="s">
        <v>980</v>
      </c>
      <c r="T236" s="721">
        <v>30</v>
      </c>
      <c r="U236" s="721">
        <v>30</v>
      </c>
      <c r="V236" s="721" t="s">
        <v>14</v>
      </c>
      <c r="W236" s="721" t="s">
        <v>979</v>
      </c>
      <c r="X236" s="721">
        <v>1</v>
      </c>
      <c r="Y236" s="721">
        <v>4</v>
      </c>
      <c r="Z236" s="721">
        <v>0.92110000000000003</v>
      </c>
      <c r="AA236" s="721">
        <v>7.8899999999999998E-2</v>
      </c>
      <c r="AB236" s="721">
        <v>0</v>
      </c>
      <c r="AC236" s="730"/>
    </row>
    <row r="237" spans="18:29">
      <c r="R237" s="721" t="str">
        <f t="shared" si="9"/>
        <v>WLCI0531F</v>
      </c>
      <c r="S237" s="672" t="s">
        <v>980</v>
      </c>
      <c r="T237" s="721">
        <v>31</v>
      </c>
      <c r="U237" s="721">
        <v>31</v>
      </c>
      <c r="V237" s="721" t="s">
        <v>14</v>
      </c>
      <c r="W237" s="721" t="s">
        <v>979</v>
      </c>
      <c r="X237" s="721">
        <v>1</v>
      </c>
      <c r="Y237" s="721">
        <v>4</v>
      </c>
      <c r="Z237" s="721">
        <v>0.92120000000000002</v>
      </c>
      <c r="AA237" s="721">
        <v>7.8799999999999995E-2</v>
      </c>
      <c r="AB237" s="721">
        <v>0</v>
      </c>
      <c r="AC237" s="730"/>
    </row>
    <row r="238" spans="18:29">
      <c r="R238" s="721" t="str">
        <f t="shared" si="9"/>
        <v>WLCI0532F</v>
      </c>
      <c r="S238" s="672" t="s">
        <v>980</v>
      </c>
      <c r="T238" s="721">
        <v>32</v>
      </c>
      <c r="U238" s="721">
        <v>32</v>
      </c>
      <c r="V238" s="721" t="s">
        <v>14</v>
      </c>
      <c r="W238" s="721" t="s">
        <v>979</v>
      </c>
      <c r="X238" s="721">
        <v>1</v>
      </c>
      <c r="Y238" s="721">
        <v>4</v>
      </c>
      <c r="Z238" s="721">
        <v>0.92130000000000001</v>
      </c>
      <c r="AA238" s="721">
        <v>7.8700000000000006E-2</v>
      </c>
      <c r="AB238" s="721">
        <v>0</v>
      </c>
      <c r="AC238" s="730"/>
    </row>
    <row r="239" spans="18:29">
      <c r="R239" s="721" t="str">
        <f t="shared" si="9"/>
        <v>WLCI0533F</v>
      </c>
      <c r="S239" s="672" t="s">
        <v>980</v>
      </c>
      <c r="T239" s="721">
        <v>33</v>
      </c>
      <c r="U239" s="721">
        <v>33</v>
      </c>
      <c r="V239" s="721" t="s">
        <v>14</v>
      </c>
      <c r="W239" s="721" t="s">
        <v>979</v>
      </c>
      <c r="X239" s="721">
        <v>1</v>
      </c>
      <c r="Y239" s="721">
        <v>4</v>
      </c>
      <c r="Z239" s="721">
        <v>0.9214</v>
      </c>
      <c r="AA239" s="721">
        <v>7.8600000000000003E-2</v>
      </c>
      <c r="AB239" s="721">
        <v>0</v>
      </c>
      <c r="AC239" s="730"/>
    </row>
    <row r="240" spans="18:29">
      <c r="R240" s="721" t="str">
        <f t="shared" si="9"/>
        <v>WLCI0534F</v>
      </c>
      <c r="S240" s="672" t="s">
        <v>980</v>
      </c>
      <c r="T240" s="721">
        <v>34</v>
      </c>
      <c r="U240" s="721">
        <v>34</v>
      </c>
      <c r="V240" s="721" t="s">
        <v>14</v>
      </c>
      <c r="W240" s="721" t="s">
        <v>979</v>
      </c>
      <c r="X240" s="721">
        <v>1</v>
      </c>
      <c r="Y240" s="721">
        <v>4</v>
      </c>
      <c r="Z240" s="721">
        <v>0.92169999999999996</v>
      </c>
      <c r="AA240" s="721">
        <v>7.8299999999999995E-2</v>
      </c>
      <c r="AB240" s="721">
        <v>0</v>
      </c>
      <c r="AC240" s="730"/>
    </row>
    <row r="241" spans="18:29">
      <c r="R241" s="721" t="str">
        <f t="shared" si="9"/>
        <v>WLCI0535F</v>
      </c>
      <c r="S241" s="672" t="s">
        <v>980</v>
      </c>
      <c r="T241" s="721">
        <v>35</v>
      </c>
      <c r="U241" s="721">
        <v>35</v>
      </c>
      <c r="V241" s="721" t="s">
        <v>14</v>
      </c>
      <c r="W241" s="721" t="s">
        <v>979</v>
      </c>
      <c r="X241" s="721">
        <v>1</v>
      </c>
      <c r="Y241" s="721">
        <v>4</v>
      </c>
      <c r="Z241" s="721">
        <v>0.92220000000000002</v>
      </c>
      <c r="AA241" s="721">
        <v>7.7799999999999994E-2</v>
      </c>
      <c r="AB241" s="721">
        <v>0</v>
      </c>
      <c r="AC241" s="730"/>
    </row>
    <row r="242" spans="18:29">
      <c r="R242" s="721" t="str">
        <f t="shared" si="9"/>
        <v>WLCI0536F</v>
      </c>
      <c r="S242" s="672" t="s">
        <v>980</v>
      </c>
      <c r="T242" s="721">
        <v>36</v>
      </c>
      <c r="U242" s="721">
        <v>36</v>
      </c>
      <c r="V242" s="721" t="s">
        <v>14</v>
      </c>
      <c r="W242" s="721" t="s">
        <v>979</v>
      </c>
      <c r="X242" s="721">
        <v>1</v>
      </c>
      <c r="Y242" s="721">
        <v>4</v>
      </c>
      <c r="Z242" s="721">
        <v>0.92269999999999996</v>
      </c>
      <c r="AA242" s="721">
        <v>7.7299999999999994E-2</v>
      </c>
      <c r="AB242" s="721">
        <v>0</v>
      </c>
      <c r="AC242" s="730"/>
    </row>
    <row r="243" spans="18:29">
      <c r="R243" s="721" t="str">
        <f t="shared" si="9"/>
        <v>WLCI0537F</v>
      </c>
      <c r="S243" s="672" t="s">
        <v>980</v>
      </c>
      <c r="T243" s="721">
        <v>37</v>
      </c>
      <c r="U243" s="721">
        <v>37</v>
      </c>
      <c r="V243" s="721" t="s">
        <v>14</v>
      </c>
      <c r="W243" s="721" t="s">
        <v>979</v>
      </c>
      <c r="X243" s="721">
        <v>1</v>
      </c>
      <c r="Y243" s="721">
        <v>4</v>
      </c>
      <c r="Z243" s="721">
        <v>0.92349999999999999</v>
      </c>
      <c r="AA243" s="721">
        <v>7.6499999999999999E-2</v>
      </c>
      <c r="AB243" s="721">
        <v>0</v>
      </c>
      <c r="AC243" s="730"/>
    </row>
    <row r="244" spans="18:29">
      <c r="R244" s="721" t="str">
        <f t="shared" si="9"/>
        <v>WLCI0538F</v>
      </c>
      <c r="S244" s="672" t="s">
        <v>980</v>
      </c>
      <c r="T244" s="721">
        <v>38</v>
      </c>
      <c r="U244" s="721">
        <v>38</v>
      </c>
      <c r="V244" s="721" t="s">
        <v>14</v>
      </c>
      <c r="W244" s="721" t="s">
        <v>979</v>
      </c>
      <c r="X244" s="721">
        <v>1</v>
      </c>
      <c r="Y244" s="721">
        <v>4</v>
      </c>
      <c r="Z244" s="721">
        <v>0.9244</v>
      </c>
      <c r="AA244" s="721">
        <v>7.5600000000000001E-2</v>
      </c>
      <c r="AB244" s="721">
        <v>0</v>
      </c>
      <c r="AC244" s="730"/>
    </row>
    <row r="245" spans="18:29">
      <c r="R245" s="721" t="str">
        <f t="shared" si="9"/>
        <v>WLCI0539F</v>
      </c>
      <c r="S245" s="672" t="s">
        <v>980</v>
      </c>
      <c r="T245" s="721">
        <v>39</v>
      </c>
      <c r="U245" s="721">
        <v>39</v>
      </c>
      <c r="V245" s="721" t="s">
        <v>14</v>
      </c>
      <c r="W245" s="721" t="s">
        <v>979</v>
      </c>
      <c r="X245" s="721">
        <v>1</v>
      </c>
      <c r="Y245" s="721">
        <v>4</v>
      </c>
      <c r="Z245" s="721">
        <v>0.92530000000000001</v>
      </c>
      <c r="AA245" s="721">
        <v>7.4700000000000003E-2</v>
      </c>
      <c r="AB245" s="721">
        <v>0</v>
      </c>
      <c r="AC245" s="730"/>
    </row>
    <row r="246" spans="18:29">
      <c r="R246" s="721" t="str">
        <f t="shared" si="9"/>
        <v>WLCI0540F</v>
      </c>
      <c r="S246" s="672" t="s">
        <v>980</v>
      </c>
      <c r="T246" s="721">
        <v>40</v>
      </c>
      <c r="U246" s="721">
        <v>40</v>
      </c>
      <c r="V246" s="721" t="s">
        <v>14</v>
      </c>
      <c r="W246" s="721" t="s">
        <v>979</v>
      </c>
      <c r="X246" s="721">
        <v>1</v>
      </c>
      <c r="Y246" s="721">
        <v>4</v>
      </c>
      <c r="Z246" s="721">
        <v>0.92610000000000003</v>
      </c>
      <c r="AA246" s="721">
        <v>7.3899999999999993E-2</v>
      </c>
      <c r="AB246" s="721">
        <v>0</v>
      </c>
      <c r="AC246" s="730"/>
    </row>
    <row r="247" spans="18:29">
      <c r="R247" s="721" t="str">
        <f t="shared" si="9"/>
        <v>WLCI0541F</v>
      </c>
      <c r="S247" s="672" t="s">
        <v>980</v>
      </c>
      <c r="T247" s="721">
        <v>41</v>
      </c>
      <c r="U247" s="721">
        <v>41</v>
      </c>
      <c r="V247" s="721" t="s">
        <v>14</v>
      </c>
      <c r="W247" s="721" t="s">
        <v>979</v>
      </c>
      <c r="X247" s="721">
        <v>1</v>
      </c>
      <c r="Y247" s="721">
        <v>4</v>
      </c>
      <c r="Z247" s="721">
        <v>0.92700000000000005</v>
      </c>
      <c r="AA247" s="721">
        <v>7.2999999999999995E-2</v>
      </c>
      <c r="AB247" s="721">
        <v>0</v>
      </c>
      <c r="AC247" s="730"/>
    </row>
    <row r="248" spans="18:29">
      <c r="R248" s="721" t="str">
        <f t="shared" si="9"/>
        <v>WLCI0542F</v>
      </c>
      <c r="S248" s="672" t="s">
        <v>980</v>
      </c>
      <c r="T248" s="721">
        <v>42</v>
      </c>
      <c r="U248" s="721">
        <v>42</v>
      </c>
      <c r="V248" s="721" t="s">
        <v>14</v>
      </c>
      <c r="W248" s="721" t="s">
        <v>979</v>
      </c>
      <c r="X248" s="721">
        <v>1</v>
      </c>
      <c r="Y248" s="721">
        <v>4</v>
      </c>
      <c r="Z248" s="721">
        <v>0.92779999999999996</v>
      </c>
      <c r="AA248" s="721">
        <v>7.22E-2</v>
      </c>
      <c r="AB248" s="721">
        <v>0</v>
      </c>
      <c r="AC248" s="730"/>
    </row>
    <row r="249" spans="18:29">
      <c r="R249" s="721" t="str">
        <f t="shared" si="9"/>
        <v>WLCI0543F</v>
      </c>
      <c r="S249" s="672" t="s">
        <v>980</v>
      </c>
      <c r="T249" s="721">
        <v>43</v>
      </c>
      <c r="U249" s="721">
        <v>43</v>
      </c>
      <c r="V249" s="721" t="s">
        <v>14</v>
      </c>
      <c r="W249" s="721" t="s">
        <v>979</v>
      </c>
      <c r="X249" s="721">
        <v>1</v>
      </c>
      <c r="Y249" s="721">
        <v>4</v>
      </c>
      <c r="Z249" s="721">
        <v>0.92849999999999999</v>
      </c>
      <c r="AA249" s="721">
        <v>7.1499999999999994E-2</v>
      </c>
      <c r="AB249" s="721">
        <v>0</v>
      </c>
      <c r="AC249" s="730"/>
    </row>
    <row r="250" spans="18:29">
      <c r="R250" s="721" t="str">
        <f t="shared" si="9"/>
        <v>WLCI0544F</v>
      </c>
      <c r="S250" s="672" t="s">
        <v>980</v>
      </c>
      <c r="T250" s="721">
        <v>44</v>
      </c>
      <c r="U250" s="721">
        <v>44</v>
      </c>
      <c r="V250" s="721" t="s">
        <v>14</v>
      </c>
      <c r="W250" s="721" t="s">
        <v>979</v>
      </c>
      <c r="X250" s="721">
        <v>1</v>
      </c>
      <c r="Y250" s="721">
        <v>4</v>
      </c>
      <c r="Z250" s="721">
        <v>0.9294</v>
      </c>
      <c r="AA250" s="721">
        <v>7.0599999999999996E-2</v>
      </c>
      <c r="AB250" s="721">
        <v>0</v>
      </c>
      <c r="AC250" s="730"/>
    </row>
    <row r="251" spans="18:29">
      <c r="R251" s="721" t="str">
        <f t="shared" si="9"/>
        <v>WLCI0545F</v>
      </c>
      <c r="S251" s="672" t="s">
        <v>980</v>
      </c>
      <c r="T251" s="721">
        <v>45</v>
      </c>
      <c r="U251" s="721">
        <v>45</v>
      </c>
      <c r="V251" s="721" t="s">
        <v>14</v>
      </c>
      <c r="W251" s="721" t="s">
        <v>979</v>
      </c>
      <c r="X251" s="721">
        <v>1</v>
      </c>
      <c r="Y251" s="721">
        <v>4</v>
      </c>
      <c r="Z251" s="721">
        <v>0.93049999999999999</v>
      </c>
      <c r="AA251" s="721">
        <v>6.9500000000000006E-2</v>
      </c>
      <c r="AB251" s="721">
        <v>0</v>
      </c>
      <c r="AC251" s="730"/>
    </row>
    <row r="252" spans="18:29">
      <c r="R252" s="721" t="str">
        <f t="shared" si="9"/>
        <v>WLCI0546F</v>
      </c>
      <c r="S252" s="672" t="s">
        <v>980</v>
      </c>
      <c r="T252" s="721">
        <v>46</v>
      </c>
      <c r="U252" s="721">
        <v>46</v>
      </c>
      <c r="V252" s="721" t="s">
        <v>14</v>
      </c>
      <c r="W252" s="721" t="s">
        <v>979</v>
      </c>
      <c r="X252" s="721">
        <v>1</v>
      </c>
      <c r="Y252" s="721">
        <v>4</v>
      </c>
      <c r="Z252" s="721">
        <v>0.93200000000000005</v>
      </c>
      <c r="AA252" s="721">
        <v>6.8000000000000005E-2</v>
      </c>
      <c r="AB252" s="721">
        <v>0</v>
      </c>
      <c r="AC252" s="730"/>
    </row>
    <row r="253" spans="18:29">
      <c r="R253" s="721" t="str">
        <f t="shared" si="9"/>
        <v>WLCI0547F</v>
      </c>
      <c r="S253" s="672" t="s">
        <v>980</v>
      </c>
      <c r="T253" s="721">
        <v>47</v>
      </c>
      <c r="U253" s="721">
        <v>47</v>
      </c>
      <c r="V253" s="721" t="s">
        <v>14</v>
      </c>
      <c r="W253" s="721" t="s">
        <v>979</v>
      </c>
      <c r="X253" s="721">
        <v>1</v>
      </c>
      <c r="Y253" s="721">
        <v>4</v>
      </c>
      <c r="Z253" s="721">
        <v>0.93369999999999997</v>
      </c>
      <c r="AA253" s="721">
        <v>6.6299999999999998E-2</v>
      </c>
      <c r="AB253" s="721">
        <v>0</v>
      </c>
      <c r="AC253" s="730"/>
    </row>
    <row r="254" spans="18:29">
      <c r="R254" s="721" t="str">
        <f t="shared" si="9"/>
        <v>WLCI0548F</v>
      </c>
      <c r="S254" s="672" t="s">
        <v>980</v>
      </c>
      <c r="T254" s="721">
        <v>48</v>
      </c>
      <c r="U254" s="721">
        <v>48</v>
      </c>
      <c r="V254" s="721" t="s">
        <v>14</v>
      </c>
      <c r="W254" s="721" t="s">
        <v>979</v>
      </c>
      <c r="X254" s="721">
        <v>1</v>
      </c>
      <c r="Y254" s="721">
        <v>4</v>
      </c>
      <c r="Z254" s="721">
        <v>0.93569999999999998</v>
      </c>
      <c r="AA254" s="721">
        <v>6.4299999999999996E-2</v>
      </c>
      <c r="AB254" s="721">
        <v>0</v>
      </c>
      <c r="AC254" s="730"/>
    </row>
    <row r="255" spans="18:29">
      <c r="R255" s="721" t="str">
        <f t="shared" si="9"/>
        <v>WLCI0549F</v>
      </c>
      <c r="S255" s="672" t="s">
        <v>980</v>
      </c>
      <c r="T255" s="721">
        <v>49</v>
      </c>
      <c r="U255" s="721">
        <v>49</v>
      </c>
      <c r="V255" s="721" t="s">
        <v>14</v>
      </c>
      <c r="W255" s="721" t="s">
        <v>979</v>
      </c>
      <c r="X255" s="721">
        <v>1</v>
      </c>
      <c r="Y255" s="721">
        <v>4</v>
      </c>
      <c r="Z255" s="721">
        <v>0.93789999999999996</v>
      </c>
      <c r="AA255" s="721">
        <v>6.2100000000000002E-2</v>
      </c>
      <c r="AB255" s="721">
        <v>0</v>
      </c>
      <c r="AC255" s="730"/>
    </row>
    <row r="256" spans="18:29">
      <c r="R256" s="721" t="str">
        <f t="shared" si="9"/>
        <v>WLCI0550F</v>
      </c>
      <c r="S256" s="672" t="s">
        <v>980</v>
      </c>
      <c r="T256" s="721">
        <v>50</v>
      </c>
      <c r="U256" s="721">
        <v>50</v>
      </c>
      <c r="V256" s="721" t="s">
        <v>14</v>
      </c>
      <c r="W256" s="721" t="s">
        <v>979</v>
      </c>
      <c r="X256" s="721">
        <v>1</v>
      </c>
      <c r="Y256" s="721">
        <v>4</v>
      </c>
      <c r="Z256" s="721">
        <v>0.94010000000000005</v>
      </c>
      <c r="AA256" s="721">
        <v>5.9900000000000002E-2</v>
      </c>
      <c r="AB256" s="721">
        <v>0</v>
      </c>
      <c r="AC256" s="730"/>
    </row>
    <row r="257" spans="18:29">
      <c r="R257" s="721" t="str">
        <f t="shared" si="9"/>
        <v>WLCI0551F</v>
      </c>
      <c r="S257" s="672" t="s">
        <v>980</v>
      </c>
      <c r="T257" s="721">
        <v>51</v>
      </c>
      <c r="U257" s="721">
        <v>51</v>
      </c>
      <c r="V257" s="721" t="s">
        <v>14</v>
      </c>
      <c r="W257" s="721" t="s">
        <v>979</v>
      </c>
      <c r="X257" s="721">
        <v>1</v>
      </c>
      <c r="Y257" s="721">
        <v>4</v>
      </c>
      <c r="Z257" s="721">
        <v>0.94220000000000004</v>
      </c>
      <c r="AA257" s="721">
        <v>5.7799999999999997E-2</v>
      </c>
      <c r="AB257" s="721">
        <v>0</v>
      </c>
      <c r="AC257" s="730"/>
    </row>
    <row r="258" spans="18:29">
      <c r="R258" s="721" t="str">
        <f t="shared" si="9"/>
        <v>WLCI0552F</v>
      </c>
      <c r="S258" s="672" t="s">
        <v>980</v>
      </c>
      <c r="T258" s="721">
        <v>52</v>
      </c>
      <c r="U258" s="721">
        <v>52</v>
      </c>
      <c r="V258" s="721" t="s">
        <v>14</v>
      </c>
      <c r="W258" s="721" t="s">
        <v>979</v>
      </c>
      <c r="X258" s="721">
        <v>1</v>
      </c>
      <c r="Y258" s="721">
        <v>4</v>
      </c>
      <c r="Z258" s="721">
        <v>0.94420000000000004</v>
      </c>
      <c r="AA258" s="721">
        <v>5.5800000000000002E-2</v>
      </c>
      <c r="AB258" s="721">
        <v>0</v>
      </c>
      <c r="AC258" s="730"/>
    </row>
    <row r="259" spans="18:29">
      <c r="R259" s="721" t="str">
        <f t="shared" si="9"/>
        <v>WLCI100M</v>
      </c>
      <c r="S259" s="672" t="s">
        <v>981</v>
      </c>
      <c r="T259" s="721">
        <v>0</v>
      </c>
      <c r="U259" s="721">
        <v>0</v>
      </c>
      <c r="V259" s="721" t="s">
        <v>13</v>
      </c>
      <c r="W259" s="721" t="s">
        <v>979</v>
      </c>
      <c r="X259" s="721">
        <v>1</v>
      </c>
      <c r="Y259" s="721">
        <v>4</v>
      </c>
      <c r="Z259" s="721">
        <v>0.93469999999999998</v>
      </c>
      <c r="AA259" s="721">
        <v>6.5299999999999997E-2</v>
      </c>
      <c r="AB259" s="721">
        <v>0</v>
      </c>
      <c r="AC259" s="730"/>
    </row>
    <row r="260" spans="18:29">
      <c r="R260" s="721" t="str">
        <f t="shared" si="9"/>
        <v>WLCI101M</v>
      </c>
      <c r="S260" s="672" t="s">
        <v>981</v>
      </c>
      <c r="T260" s="721">
        <v>1</v>
      </c>
      <c r="U260" s="721">
        <v>1</v>
      </c>
      <c r="V260" s="721" t="s">
        <v>13</v>
      </c>
      <c r="W260" s="721" t="s">
        <v>979</v>
      </c>
      <c r="X260" s="721">
        <v>1</v>
      </c>
      <c r="Y260" s="721">
        <v>4</v>
      </c>
      <c r="Z260" s="721">
        <v>0.93540000000000001</v>
      </c>
      <c r="AA260" s="721">
        <v>6.4600000000000005E-2</v>
      </c>
      <c r="AB260" s="721">
        <v>0</v>
      </c>
      <c r="AC260" s="730"/>
    </row>
    <row r="261" spans="18:29">
      <c r="R261" s="721" t="str">
        <f t="shared" si="9"/>
        <v>WLCI102M</v>
      </c>
      <c r="S261" s="672" t="s">
        <v>981</v>
      </c>
      <c r="T261" s="721">
        <v>2</v>
      </c>
      <c r="U261" s="721">
        <v>2</v>
      </c>
      <c r="V261" s="721" t="s">
        <v>13</v>
      </c>
      <c r="W261" s="721" t="s">
        <v>979</v>
      </c>
      <c r="X261" s="721">
        <v>1</v>
      </c>
      <c r="Y261" s="721">
        <v>4</v>
      </c>
      <c r="Z261" s="721">
        <v>0.93610000000000004</v>
      </c>
      <c r="AA261" s="721">
        <v>6.3899999999999998E-2</v>
      </c>
      <c r="AB261" s="721">
        <v>0</v>
      </c>
      <c r="AC261" s="730"/>
    </row>
    <row r="262" spans="18:29">
      <c r="R262" s="721" t="str">
        <f t="shared" si="9"/>
        <v>WLCI103M</v>
      </c>
      <c r="S262" s="672" t="s">
        <v>981</v>
      </c>
      <c r="T262" s="721">
        <v>3</v>
      </c>
      <c r="U262" s="721">
        <v>3</v>
      </c>
      <c r="V262" s="721" t="s">
        <v>13</v>
      </c>
      <c r="W262" s="721" t="s">
        <v>979</v>
      </c>
      <c r="X262" s="721">
        <v>1</v>
      </c>
      <c r="Y262" s="721">
        <v>4</v>
      </c>
      <c r="Z262" s="721">
        <v>0.93640000000000001</v>
      </c>
      <c r="AA262" s="721">
        <v>6.3600000000000004E-2</v>
      </c>
      <c r="AB262" s="721">
        <v>0</v>
      </c>
      <c r="AC262" s="730"/>
    </row>
    <row r="263" spans="18:29">
      <c r="R263" s="721" t="str">
        <f t="shared" si="9"/>
        <v>WLCI104M</v>
      </c>
      <c r="S263" s="672" t="s">
        <v>981</v>
      </c>
      <c r="T263" s="721">
        <v>4</v>
      </c>
      <c r="U263" s="721">
        <v>4</v>
      </c>
      <c r="V263" s="721" t="s">
        <v>13</v>
      </c>
      <c r="W263" s="721" t="s">
        <v>979</v>
      </c>
      <c r="X263" s="721">
        <v>1</v>
      </c>
      <c r="Y263" s="721">
        <v>4</v>
      </c>
      <c r="Z263" s="721">
        <v>0.93689999999999996</v>
      </c>
      <c r="AA263" s="721">
        <v>6.3100000000000003E-2</v>
      </c>
      <c r="AB263" s="721">
        <v>0</v>
      </c>
      <c r="AC263" s="730"/>
    </row>
    <row r="264" spans="18:29">
      <c r="R264" s="721" t="str">
        <f t="shared" si="9"/>
        <v>WLCI105M</v>
      </c>
      <c r="S264" s="672" t="s">
        <v>981</v>
      </c>
      <c r="T264" s="721">
        <v>5</v>
      </c>
      <c r="U264" s="721">
        <v>5</v>
      </c>
      <c r="V264" s="721" t="s">
        <v>13</v>
      </c>
      <c r="W264" s="721" t="s">
        <v>979</v>
      </c>
      <c r="X264" s="721">
        <v>1</v>
      </c>
      <c r="Y264" s="721">
        <v>4</v>
      </c>
      <c r="Z264" s="721">
        <v>0.93700000000000006</v>
      </c>
      <c r="AA264" s="721">
        <v>6.3E-2</v>
      </c>
      <c r="AB264" s="721">
        <v>0</v>
      </c>
      <c r="AC264" s="730"/>
    </row>
    <row r="265" spans="18:29">
      <c r="R265" s="721" t="str">
        <f t="shared" si="9"/>
        <v>WLCI106M</v>
      </c>
      <c r="S265" s="672" t="s">
        <v>981</v>
      </c>
      <c r="T265" s="721">
        <v>6</v>
      </c>
      <c r="U265" s="721">
        <v>6</v>
      </c>
      <c r="V265" s="721" t="s">
        <v>13</v>
      </c>
      <c r="W265" s="721" t="s">
        <v>979</v>
      </c>
      <c r="X265" s="721">
        <v>1</v>
      </c>
      <c r="Y265" s="721">
        <v>4</v>
      </c>
      <c r="Z265" s="721">
        <v>0.93720000000000003</v>
      </c>
      <c r="AA265" s="721">
        <v>6.2799999999999995E-2</v>
      </c>
      <c r="AB265" s="721">
        <v>0</v>
      </c>
      <c r="AC265" s="730"/>
    </row>
    <row r="266" spans="18:29">
      <c r="R266" s="721" t="str">
        <f t="shared" si="9"/>
        <v>WLCI107M</v>
      </c>
      <c r="S266" s="672" t="s">
        <v>981</v>
      </c>
      <c r="T266" s="721">
        <v>7</v>
      </c>
      <c r="U266" s="721">
        <v>7</v>
      </c>
      <c r="V266" s="721" t="s">
        <v>13</v>
      </c>
      <c r="W266" s="721" t="s">
        <v>979</v>
      </c>
      <c r="X266" s="721">
        <v>1</v>
      </c>
      <c r="Y266" s="721">
        <v>4</v>
      </c>
      <c r="Z266" s="721">
        <v>0.93720000000000003</v>
      </c>
      <c r="AA266" s="721">
        <v>6.2799999999999995E-2</v>
      </c>
      <c r="AB266" s="721">
        <v>0</v>
      </c>
      <c r="AC266" s="730"/>
    </row>
    <row r="267" spans="18:29">
      <c r="R267" s="721" t="str">
        <f t="shared" si="9"/>
        <v>WLCI108M</v>
      </c>
      <c r="S267" s="672" t="s">
        <v>981</v>
      </c>
      <c r="T267" s="721">
        <v>8</v>
      </c>
      <c r="U267" s="721">
        <v>8</v>
      </c>
      <c r="V267" s="721" t="s">
        <v>13</v>
      </c>
      <c r="W267" s="721" t="s">
        <v>979</v>
      </c>
      <c r="X267" s="721">
        <v>1</v>
      </c>
      <c r="Y267" s="721">
        <v>4</v>
      </c>
      <c r="Z267" s="721">
        <v>0.93700000000000006</v>
      </c>
      <c r="AA267" s="721">
        <v>6.3E-2</v>
      </c>
      <c r="AB267" s="721">
        <v>0</v>
      </c>
      <c r="AC267" s="730"/>
    </row>
    <row r="268" spans="18:29">
      <c r="R268" s="721" t="str">
        <f t="shared" si="9"/>
        <v>WLCI109M</v>
      </c>
      <c r="S268" s="672" t="s">
        <v>981</v>
      </c>
      <c r="T268" s="721">
        <v>9</v>
      </c>
      <c r="U268" s="721">
        <v>9</v>
      </c>
      <c r="V268" s="721" t="s">
        <v>13</v>
      </c>
      <c r="W268" s="721" t="s">
        <v>979</v>
      </c>
      <c r="X268" s="721">
        <v>1</v>
      </c>
      <c r="Y268" s="721">
        <v>4</v>
      </c>
      <c r="Z268" s="721">
        <v>0.93700000000000006</v>
      </c>
      <c r="AA268" s="721">
        <v>6.3E-2</v>
      </c>
      <c r="AB268" s="721">
        <v>0</v>
      </c>
      <c r="AC268" s="730"/>
    </row>
    <row r="269" spans="18:29">
      <c r="R269" s="721" t="str">
        <f t="shared" si="9"/>
        <v>WLCI1010M</v>
      </c>
      <c r="S269" s="672" t="s">
        <v>981</v>
      </c>
      <c r="T269" s="721">
        <v>10</v>
      </c>
      <c r="U269" s="721">
        <v>10</v>
      </c>
      <c r="V269" s="721" t="s">
        <v>13</v>
      </c>
      <c r="W269" s="721" t="s">
        <v>979</v>
      </c>
      <c r="X269" s="721">
        <v>1</v>
      </c>
      <c r="Y269" s="721">
        <v>4</v>
      </c>
      <c r="Z269" s="721">
        <v>0.9365</v>
      </c>
      <c r="AA269" s="721">
        <v>6.3500000000000001E-2</v>
      </c>
      <c r="AB269" s="721">
        <v>0</v>
      </c>
      <c r="AC269" s="730"/>
    </row>
    <row r="270" spans="18:29">
      <c r="R270" s="721" t="str">
        <f t="shared" si="9"/>
        <v>WLCI1011M</v>
      </c>
      <c r="S270" s="672" t="s">
        <v>981</v>
      </c>
      <c r="T270" s="721">
        <v>11</v>
      </c>
      <c r="U270" s="721">
        <v>11</v>
      </c>
      <c r="V270" s="721" t="s">
        <v>13</v>
      </c>
      <c r="W270" s="721" t="s">
        <v>979</v>
      </c>
      <c r="X270" s="721">
        <v>1</v>
      </c>
      <c r="Y270" s="721">
        <v>4</v>
      </c>
      <c r="Z270" s="721">
        <v>0.93640000000000001</v>
      </c>
      <c r="AA270" s="721">
        <v>6.3600000000000004E-2</v>
      </c>
      <c r="AB270" s="721">
        <v>0</v>
      </c>
      <c r="AC270" s="730"/>
    </row>
    <row r="271" spans="18:29">
      <c r="R271" s="721" t="str">
        <f t="shared" si="9"/>
        <v>WLCI1012M</v>
      </c>
      <c r="S271" s="672" t="s">
        <v>981</v>
      </c>
      <c r="T271" s="721">
        <v>12</v>
      </c>
      <c r="U271" s="721">
        <v>12</v>
      </c>
      <c r="V271" s="721" t="s">
        <v>13</v>
      </c>
      <c r="W271" s="721" t="s">
        <v>979</v>
      </c>
      <c r="X271" s="721">
        <v>1</v>
      </c>
      <c r="Y271" s="721">
        <v>4</v>
      </c>
      <c r="Z271" s="721">
        <v>0.93600000000000005</v>
      </c>
      <c r="AA271" s="721">
        <v>6.4000000000000001E-2</v>
      </c>
      <c r="AB271" s="721">
        <v>0</v>
      </c>
      <c r="AC271" s="730"/>
    </row>
    <row r="272" spans="18:29">
      <c r="R272" s="721" t="str">
        <f t="shared" si="9"/>
        <v>WLCI1013M</v>
      </c>
      <c r="S272" s="672" t="s">
        <v>981</v>
      </c>
      <c r="T272" s="721">
        <v>13</v>
      </c>
      <c r="U272" s="721">
        <v>13</v>
      </c>
      <c r="V272" s="721" t="s">
        <v>13</v>
      </c>
      <c r="W272" s="721" t="s">
        <v>979</v>
      </c>
      <c r="X272" s="721">
        <v>1</v>
      </c>
      <c r="Y272" s="721">
        <v>4</v>
      </c>
      <c r="Z272" s="721">
        <v>0.93559999999999999</v>
      </c>
      <c r="AA272" s="721">
        <v>6.4399999999999999E-2</v>
      </c>
      <c r="AB272" s="721">
        <v>0</v>
      </c>
      <c r="AC272" s="730"/>
    </row>
    <row r="273" spans="18:29">
      <c r="R273" s="721" t="str">
        <f t="shared" si="9"/>
        <v>WLCI1014M</v>
      </c>
      <c r="S273" s="672" t="s">
        <v>981</v>
      </c>
      <c r="T273" s="721">
        <v>14</v>
      </c>
      <c r="U273" s="721">
        <v>14</v>
      </c>
      <c r="V273" s="721" t="s">
        <v>13</v>
      </c>
      <c r="W273" s="721" t="s">
        <v>979</v>
      </c>
      <c r="X273" s="721">
        <v>1</v>
      </c>
      <c r="Y273" s="721">
        <v>4</v>
      </c>
      <c r="Z273" s="721">
        <v>0.93500000000000005</v>
      </c>
      <c r="AA273" s="721">
        <v>6.5000000000000002E-2</v>
      </c>
      <c r="AB273" s="721">
        <v>0</v>
      </c>
      <c r="AC273" s="730"/>
    </row>
    <row r="274" spans="18:29">
      <c r="R274" s="721" t="str">
        <f t="shared" si="9"/>
        <v>WLCI1015M</v>
      </c>
      <c r="S274" s="672" t="s">
        <v>981</v>
      </c>
      <c r="T274" s="721">
        <v>15</v>
      </c>
      <c r="U274" s="721">
        <v>15</v>
      </c>
      <c r="V274" s="721" t="s">
        <v>13</v>
      </c>
      <c r="W274" s="721" t="s">
        <v>979</v>
      </c>
      <c r="X274" s="721">
        <v>1</v>
      </c>
      <c r="Y274" s="721">
        <v>4</v>
      </c>
      <c r="Z274" s="721">
        <v>0.93459999999999999</v>
      </c>
      <c r="AA274" s="721">
        <v>6.54E-2</v>
      </c>
      <c r="AB274" s="721">
        <v>0</v>
      </c>
      <c r="AC274" s="730"/>
    </row>
    <row r="275" spans="18:29">
      <c r="R275" s="721" t="str">
        <f t="shared" si="9"/>
        <v>WLCI1016M</v>
      </c>
      <c r="S275" s="672" t="s">
        <v>981</v>
      </c>
      <c r="T275" s="721">
        <v>16</v>
      </c>
      <c r="U275" s="721">
        <v>16</v>
      </c>
      <c r="V275" s="721" t="s">
        <v>13</v>
      </c>
      <c r="W275" s="721" t="s">
        <v>979</v>
      </c>
      <c r="X275" s="721">
        <v>1</v>
      </c>
      <c r="Y275" s="721">
        <v>4</v>
      </c>
      <c r="Z275" s="721">
        <v>0.93430000000000002</v>
      </c>
      <c r="AA275" s="721">
        <v>6.5699999999999995E-2</v>
      </c>
      <c r="AB275" s="721">
        <v>0</v>
      </c>
      <c r="AC275" s="730"/>
    </row>
    <row r="276" spans="18:29">
      <c r="R276" s="721" t="str">
        <f t="shared" si="9"/>
        <v>WLCI1017M</v>
      </c>
      <c r="S276" s="672" t="s">
        <v>981</v>
      </c>
      <c r="T276" s="721">
        <v>17</v>
      </c>
      <c r="U276" s="721">
        <v>17</v>
      </c>
      <c r="V276" s="721" t="s">
        <v>13</v>
      </c>
      <c r="W276" s="721" t="s">
        <v>979</v>
      </c>
      <c r="X276" s="721">
        <v>1</v>
      </c>
      <c r="Y276" s="721">
        <v>4</v>
      </c>
      <c r="Z276" s="721">
        <v>0.93379999999999996</v>
      </c>
      <c r="AA276" s="721">
        <v>6.6199999999999995E-2</v>
      </c>
      <c r="AB276" s="721">
        <v>0</v>
      </c>
      <c r="AC276" s="730"/>
    </row>
    <row r="277" spans="18:29">
      <c r="R277" s="721" t="str">
        <f t="shared" si="9"/>
        <v>WLCI1018M</v>
      </c>
      <c r="S277" s="672" t="s">
        <v>981</v>
      </c>
      <c r="T277" s="721">
        <v>18</v>
      </c>
      <c r="U277" s="721">
        <v>18</v>
      </c>
      <c r="V277" s="721" t="s">
        <v>13</v>
      </c>
      <c r="W277" s="721" t="s">
        <v>979</v>
      </c>
      <c r="X277" s="721">
        <v>1</v>
      </c>
      <c r="Y277" s="721">
        <v>4</v>
      </c>
      <c r="Z277" s="721">
        <v>0.93330000000000002</v>
      </c>
      <c r="AA277" s="721">
        <v>6.6699999999999995E-2</v>
      </c>
      <c r="AB277" s="721">
        <v>0</v>
      </c>
      <c r="AC277" s="730"/>
    </row>
    <row r="278" spans="18:29">
      <c r="R278" s="721" t="str">
        <f t="shared" si="9"/>
        <v>WLCI1019M</v>
      </c>
      <c r="S278" s="672" t="s">
        <v>981</v>
      </c>
      <c r="T278" s="721">
        <v>19</v>
      </c>
      <c r="U278" s="721">
        <v>19</v>
      </c>
      <c r="V278" s="721" t="s">
        <v>13</v>
      </c>
      <c r="W278" s="721" t="s">
        <v>979</v>
      </c>
      <c r="X278" s="721">
        <v>1</v>
      </c>
      <c r="Y278" s="721">
        <v>4</v>
      </c>
      <c r="Z278" s="721">
        <v>0.93279999999999996</v>
      </c>
      <c r="AA278" s="721">
        <v>6.7199999999999996E-2</v>
      </c>
      <c r="AB278" s="721">
        <v>0</v>
      </c>
      <c r="AC278" s="730"/>
    </row>
    <row r="279" spans="18:29">
      <c r="R279" s="721" t="str">
        <f t="shared" si="9"/>
        <v>WLCI1020M</v>
      </c>
      <c r="S279" s="672" t="s">
        <v>981</v>
      </c>
      <c r="T279" s="721">
        <v>20</v>
      </c>
      <c r="U279" s="721">
        <v>20</v>
      </c>
      <c r="V279" s="721" t="s">
        <v>13</v>
      </c>
      <c r="W279" s="721" t="s">
        <v>979</v>
      </c>
      <c r="X279" s="721">
        <v>1</v>
      </c>
      <c r="Y279" s="721">
        <v>4</v>
      </c>
      <c r="Z279" s="721">
        <v>0.93220000000000003</v>
      </c>
      <c r="AA279" s="721">
        <v>6.7799999999999999E-2</v>
      </c>
      <c r="AB279" s="721">
        <v>0</v>
      </c>
      <c r="AC279" s="730"/>
    </row>
    <row r="280" spans="18:29">
      <c r="R280" s="721" t="str">
        <f t="shared" si="9"/>
        <v>WLCI1021M</v>
      </c>
      <c r="S280" s="672" t="s">
        <v>981</v>
      </c>
      <c r="T280" s="721">
        <v>21</v>
      </c>
      <c r="U280" s="721">
        <v>21</v>
      </c>
      <c r="V280" s="721" t="s">
        <v>13</v>
      </c>
      <c r="W280" s="721" t="s">
        <v>979</v>
      </c>
      <c r="X280" s="721">
        <v>1</v>
      </c>
      <c r="Y280" s="721">
        <v>4</v>
      </c>
      <c r="Z280" s="721">
        <v>0.93149999999999999</v>
      </c>
      <c r="AA280" s="721">
        <v>6.8500000000000005E-2</v>
      </c>
      <c r="AB280" s="721">
        <v>0</v>
      </c>
      <c r="AC280" s="730"/>
    </row>
    <row r="281" spans="18:29">
      <c r="R281" s="721" t="str">
        <f t="shared" si="9"/>
        <v>WLCI1022M</v>
      </c>
      <c r="S281" s="672" t="s">
        <v>981</v>
      </c>
      <c r="T281" s="721">
        <v>22</v>
      </c>
      <c r="U281" s="721">
        <v>22</v>
      </c>
      <c r="V281" s="721" t="s">
        <v>13</v>
      </c>
      <c r="W281" s="721" t="s">
        <v>979</v>
      </c>
      <c r="X281" s="721">
        <v>1</v>
      </c>
      <c r="Y281" s="721">
        <v>4</v>
      </c>
      <c r="Z281" s="721">
        <v>0.93059999999999998</v>
      </c>
      <c r="AA281" s="721">
        <v>6.9400000000000003E-2</v>
      </c>
      <c r="AB281" s="721">
        <v>0</v>
      </c>
      <c r="AC281" s="730"/>
    </row>
    <row r="282" spans="18:29">
      <c r="R282" s="721" t="str">
        <f t="shared" si="9"/>
        <v>WLCI1023M</v>
      </c>
      <c r="S282" s="672" t="s">
        <v>981</v>
      </c>
      <c r="T282" s="721">
        <v>23</v>
      </c>
      <c r="U282" s="721">
        <v>23</v>
      </c>
      <c r="V282" s="721" t="s">
        <v>13</v>
      </c>
      <c r="W282" s="721" t="s">
        <v>979</v>
      </c>
      <c r="X282" s="721">
        <v>1</v>
      </c>
      <c r="Y282" s="721">
        <v>4</v>
      </c>
      <c r="Z282" s="721">
        <v>0.92989999999999995</v>
      </c>
      <c r="AA282" s="721">
        <v>7.0099999999999996E-2</v>
      </c>
      <c r="AB282" s="721">
        <v>0</v>
      </c>
      <c r="AC282" s="730"/>
    </row>
    <row r="283" spans="18:29">
      <c r="R283" s="721" t="str">
        <f t="shared" si="9"/>
        <v>WLCI1024M</v>
      </c>
      <c r="S283" s="672" t="s">
        <v>981</v>
      </c>
      <c r="T283" s="721">
        <v>24</v>
      </c>
      <c r="U283" s="721">
        <v>24</v>
      </c>
      <c r="V283" s="721" t="s">
        <v>13</v>
      </c>
      <c r="W283" s="721" t="s">
        <v>979</v>
      </c>
      <c r="X283" s="721">
        <v>1</v>
      </c>
      <c r="Y283" s="721">
        <v>4</v>
      </c>
      <c r="Z283" s="721">
        <v>0.92889999999999995</v>
      </c>
      <c r="AA283" s="721">
        <v>7.1099999999999997E-2</v>
      </c>
      <c r="AB283" s="721">
        <v>0</v>
      </c>
      <c r="AC283" s="730"/>
    </row>
    <row r="284" spans="18:29">
      <c r="R284" s="721" t="str">
        <f t="shared" si="9"/>
        <v>WLCI1025M</v>
      </c>
      <c r="S284" s="672" t="s">
        <v>981</v>
      </c>
      <c r="T284" s="721">
        <v>25</v>
      </c>
      <c r="U284" s="721">
        <v>25</v>
      </c>
      <c r="V284" s="721" t="s">
        <v>13</v>
      </c>
      <c r="W284" s="721" t="s">
        <v>979</v>
      </c>
      <c r="X284" s="721">
        <v>1</v>
      </c>
      <c r="Y284" s="721">
        <v>4</v>
      </c>
      <c r="Z284" s="721">
        <v>0.92789999999999995</v>
      </c>
      <c r="AA284" s="721">
        <v>7.2099999999999997E-2</v>
      </c>
      <c r="AB284" s="721">
        <v>0</v>
      </c>
      <c r="AC284" s="730"/>
    </row>
    <row r="285" spans="18:29">
      <c r="R285" s="721" t="str">
        <f t="shared" si="9"/>
        <v>WLCI1026M</v>
      </c>
      <c r="S285" s="672" t="s">
        <v>981</v>
      </c>
      <c r="T285" s="721">
        <v>26</v>
      </c>
      <c r="U285" s="721">
        <v>26</v>
      </c>
      <c r="V285" s="721" t="s">
        <v>13</v>
      </c>
      <c r="W285" s="721" t="s">
        <v>979</v>
      </c>
      <c r="X285" s="721">
        <v>1</v>
      </c>
      <c r="Y285" s="721">
        <v>4</v>
      </c>
      <c r="Z285" s="721">
        <v>0.92710000000000004</v>
      </c>
      <c r="AA285" s="721">
        <v>7.2900000000000006E-2</v>
      </c>
      <c r="AB285" s="721">
        <v>0</v>
      </c>
      <c r="AC285" s="730"/>
    </row>
    <row r="286" spans="18:29">
      <c r="R286" s="721" t="str">
        <f t="shared" si="9"/>
        <v>WLCI1027M</v>
      </c>
      <c r="S286" s="672" t="s">
        <v>981</v>
      </c>
      <c r="T286" s="721">
        <v>27</v>
      </c>
      <c r="U286" s="721">
        <v>27</v>
      </c>
      <c r="V286" s="721" t="s">
        <v>13</v>
      </c>
      <c r="W286" s="721" t="s">
        <v>979</v>
      </c>
      <c r="X286" s="721">
        <v>1</v>
      </c>
      <c r="Y286" s="721">
        <v>4</v>
      </c>
      <c r="Z286" s="721">
        <v>0.92610000000000003</v>
      </c>
      <c r="AA286" s="721">
        <v>7.3899999999999993E-2</v>
      </c>
      <c r="AB286" s="721">
        <v>0</v>
      </c>
      <c r="AC286" s="730"/>
    </row>
    <row r="287" spans="18:29">
      <c r="R287" s="721" t="str">
        <f t="shared" si="9"/>
        <v>WLCI1028M</v>
      </c>
      <c r="S287" s="672" t="s">
        <v>981</v>
      </c>
      <c r="T287" s="721">
        <v>28</v>
      </c>
      <c r="U287" s="721">
        <v>28</v>
      </c>
      <c r="V287" s="721" t="s">
        <v>13</v>
      </c>
      <c r="W287" s="721" t="s">
        <v>979</v>
      </c>
      <c r="X287" s="721">
        <v>1</v>
      </c>
      <c r="Y287" s="721">
        <v>4</v>
      </c>
      <c r="Z287" s="721">
        <v>0.9254</v>
      </c>
      <c r="AA287" s="721">
        <v>7.46E-2</v>
      </c>
      <c r="AB287" s="721">
        <v>0</v>
      </c>
      <c r="AC287" s="730"/>
    </row>
    <row r="288" spans="18:29">
      <c r="R288" s="721" t="str">
        <f t="shared" si="9"/>
        <v>WLCI1029M</v>
      </c>
      <c r="S288" s="672" t="s">
        <v>981</v>
      </c>
      <c r="T288" s="721">
        <v>29</v>
      </c>
      <c r="U288" s="721">
        <v>29</v>
      </c>
      <c r="V288" s="721" t="s">
        <v>13</v>
      </c>
      <c r="W288" s="721" t="s">
        <v>979</v>
      </c>
      <c r="X288" s="721">
        <v>1</v>
      </c>
      <c r="Y288" s="721">
        <v>4</v>
      </c>
      <c r="Z288" s="721">
        <v>0.92459999999999998</v>
      </c>
      <c r="AA288" s="721">
        <v>7.5399999999999995E-2</v>
      </c>
      <c r="AB288" s="721">
        <v>0</v>
      </c>
      <c r="AC288" s="730"/>
    </row>
    <row r="289" spans="18:29">
      <c r="R289" s="721" t="str">
        <f t="shared" si="9"/>
        <v>WLCI1030M</v>
      </c>
      <c r="S289" s="672" t="s">
        <v>981</v>
      </c>
      <c r="T289" s="721">
        <v>30</v>
      </c>
      <c r="U289" s="721">
        <v>30</v>
      </c>
      <c r="V289" s="721" t="s">
        <v>13</v>
      </c>
      <c r="W289" s="721" t="s">
        <v>979</v>
      </c>
      <c r="X289" s="721">
        <v>1</v>
      </c>
      <c r="Y289" s="721">
        <v>4</v>
      </c>
      <c r="Z289" s="721">
        <v>0.92390000000000005</v>
      </c>
      <c r="AA289" s="721">
        <v>7.6100000000000001E-2</v>
      </c>
      <c r="AB289" s="721">
        <v>0</v>
      </c>
      <c r="AC289" s="730"/>
    </row>
    <row r="290" spans="18:29">
      <c r="R290" s="721" t="str">
        <f t="shared" si="9"/>
        <v>WLCI1031M</v>
      </c>
      <c r="S290" s="672" t="s">
        <v>981</v>
      </c>
      <c r="T290" s="721">
        <v>31</v>
      </c>
      <c r="U290" s="721">
        <v>31</v>
      </c>
      <c r="V290" s="721" t="s">
        <v>13</v>
      </c>
      <c r="W290" s="721" t="s">
        <v>979</v>
      </c>
      <c r="X290" s="721">
        <v>1</v>
      </c>
      <c r="Y290" s="721">
        <v>4</v>
      </c>
      <c r="Z290" s="721">
        <v>0.92310000000000003</v>
      </c>
      <c r="AA290" s="721">
        <v>7.6899999999999996E-2</v>
      </c>
      <c r="AB290" s="721">
        <v>0</v>
      </c>
      <c r="AC290" s="730"/>
    </row>
    <row r="291" spans="18:29">
      <c r="R291" s="721" t="str">
        <f t="shared" si="9"/>
        <v>WLCI1032M</v>
      </c>
      <c r="S291" s="672" t="s">
        <v>981</v>
      </c>
      <c r="T291" s="721">
        <v>32</v>
      </c>
      <c r="U291" s="721">
        <v>32</v>
      </c>
      <c r="V291" s="721" t="s">
        <v>13</v>
      </c>
      <c r="W291" s="721" t="s">
        <v>979</v>
      </c>
      <c r="X291" s="721">
        <v>1</v>
      </c>
      <c r="Y291" s="721">
        <v>4</v>
      </c>
      <c r="Z291" s="721">
        <v>0.9224</v>
      </c>
      <c r="AA291" s="721">
        <v>7.7600000000000002E-2</v>
      </c>
      <c r="AB291" s="721">
        <v>0</v>
      </c>
      <c r="AC291" s="730"/>
    </row>
    <row r="292" spans="18:29">
      <c r="R292" s="721" t="str">
        <f t="shared" si="9"/>
        <v>WLCI1033M</v>
      </c>
      <c r="S292" s="672" t="s">
        <v>981</v>
      </c>
      <c r="T292" s="721">
        <v>33</v>
      </c>
      <c r="U292" s="721">
        <v>33</v>
      </c>
      <c r="V292" s="721" t="s">
        <v>13</v>
      </c>
      <c r="W292" s="721" t="s">
        <v>979</v>
      </c>
      <c r="X292" s="721">
        <v>1</v>
      </c>
      <c r="Y292" s="721">
        <v>4</v>
      </c>
      <c r="Z292" s="721">
        <v>0.92169999999999996</v>
      </c>
      <c r="AA292" s="721">
        <v>7.8299999999999995E-2</v>
      </c>
      <c r="AB292" s="721">
        <v>0</v>
      </c>
      <c r="AC292" s="730"/>
    </row>
    <row r="293" spans="18:29">
      <c r="R293" s="721" t="str">
        <f t="shared" si="9"/>
        <v>WLCI1034M</v>
      </c>
      <c r="S293" s="672" t="s">
        <v>981</v>
      </c>
      <c r="T293" s="721">
        <v>34</v>
      </c>
      <c r="U293" s="721">
        <v>34</v>
      </c>
      <c r="V293" s="721" t="s">
        <v>13</v>
      </c>
      <c r="W293" s="721" t="s">
        <v>979</v>
      </c>
      <c r="X293" s="721">
        <v>1</v>
      </c>
      <c r="Y293" s="721">
        <v>4</v>
      </c>
      <c r="Z293" s="721">
        <v>0.92120000000000002</v>
      </c>
      <c r="AA293" s="721">
        <v>7.8799999999999995E-2</v>
      </c>
      <c r="AB293" s="721">
        <v>0</v>
      </c>
      <c r="AC293" s="730"/>
    </row>
    <row r="294" spans="18:29">
      <c r="R294" s="721" t="str">
        <f t="shared" si="9"/>
        <v>WLCI1035M</v>
      </c>
      <c r="S294" s="672" t="s">
        <v>981</v>
      </c>
      <c r="T294" s="721">
        <v>35</v>
      </c>
      <c r="U294" s="721">
        <v>35</v>
      </c>
      <c r="V294" s="721" t="s">
        <v>13</v>
      </c>
      <c r="W294" s="721" t="s">
        <v>979</v>
      </c>
      <c r="X294" s="721">
        <v>1</v>
      </c>
      <c r="Y294" s="721">
        <v>4</v>
      </c>
      <c r="Z294" s="721">
        <v>0.92069999999999996</v>
      </c>
      <c r="AA294" s="721">
        <v>7.9299999999999995E-2</v>
      </c>
      <c r="AB294" s="721">
        <v>0</v>
      </c>
      <c r="AC294" s="730"/>
    </row>
    <row r="295" spans="18:29">
      <c r="R295" s="721" t="str">
        <f t="shared" si="9"/>
        <v>WLCI1036M</v>
      </c>
      <c r="S295" s="672" t="s">
        <v>981</v>
      </c>
      <c r="T295" s="721">
        <v>36</v>
      </c>
      <c r="U295" s="721">
        <v>36</v>
      </c>
      <c r="V295" s="721" t="s">
        <v>13</v>
      </c>
      <c r="W295" s="721" t="s">
        <v>979</v>
      </c>
      <c r="X295" s="721">
        <v>1</v>
      </c>
      <c r="Y295" s="721">
        <v>4</v>
      </c>
      <c r="Z295" s="721">
        <v>0.92030000000000001</v>
      </c>
      <c r="AA295" s="721">
        <v>7.9699999999999993E-2</v>
      </c>
      <c r="AB295" s="721">
        <v>0</v>
      </c>
      <c r="AC295" s="730"/>
    </row>
    <row r="296" spans="18:29">
      <c r="R296" s="721" t="str">
        <f t="shared" si="9"/>
        <v>WLCI1037M</v>
      </c>
      <c r="S296" s="672" t="s">
        <v>981</v>
      </c>
      <c r="T296" s="721">
        <v>37</v>
      </c>
      <c r="U296" s="721">
        <v>37</v>
      </c>
      <c r="V296" s="721" t="s">
        <v>13</v>
      </c>
      <c r="W296" s="721" t="s">
        <v>979</v>
      </c>
      <c r="X296" s="721">
        <v>1</v>
      </c>
      <c r="Y296" s="721">
        <v>4</v>
      </c>
      <c r="Z296" s="721">
        <v>0.91969999999999996</v>
      </c>
      <c r="AA296" s="721">
        <v>8.0299999999999996E-2</v>
      </c>
      <c r="AB296" s="721">
        <v>0</v>
      </c>
      <c r="AC296" s="730"/>
    </row>
    <row r="297" spans="18:29">
      <c r="R297" s="721" t="str">
        <f t="shared" si="9"/>
        <v>WLCI1038M</v>
      </c>
      <c r="S297" s="672" t="s">
        <v>981</v>
      </c>
      <c r="T297" s="721">
        <v>38</v>
      </c>
      <c r="U297" s="721">
        <v>38</v>
      </c>
      <c r="V297" s="721" t="s">
        <v>13</v>
      </c>
      <c r="W297" s="721" t="s">
        <v>979</v>
      </c>
      <c r="X297" s="721">
        <v>1</v>
      </c>
      <c r="Y297" s="721">
        <v>4</v>
      </c>
      <c r="Z297" s="721">
        <v>0.91910000000000003</v>
      </c>
      <c r="AA297" s="721">
        <v>8.09E-2</v>
      </c>
      <c r="AB297" s="721">
        <v>0</v>
      </c>
      <c r="AC297" s="730"/>
    </row>
    <row r="298" spans="18:29">
      <c r="R298" s="721" t="str">
        <f t="shared" si="9"/>
        <v>WLCI1039M</v>
      </c>
      <c r="S298" s="672" t="s">
        <v>981</v>
      </c>
      <c r="T298" s="721">
        <v>39</v>
      </c>
      <c r="U298" s="721">
        <v>39</v>
      </c>
      <c r="V298" s="721" t="s">
        <v>13</v>
      </c>
      <c r="W298" s="721" t="s">
        <v>979</v>
      </c>
      <c r="X298" s="721">
        <v>1</v>
      </c>
      <c r="Y298" s="721">
        <v>4</v>
      </c>
      <c r="Z298" s="721">
        <v>0.91859999999999997</v>
      </c>
      <c r="AA298" s="721">
        <v>8.14E-2</v>
      </c>
      <c r="AB298" s="721">
        <v>0</v>
      </c>
      <c r="AC298" s="730"/>
    </row>
    <row r="299" spans="18:29">
      <c r="R299" s="721" t="str">
        <f t="shared" si="9"/>
        <v>WLCI1040M</v>
      </c>
      <c r="S299" s="672" t="s">
        <v>981</v>
      </c>
      <c r="T299" s="721">
        <v>40</v>
      </c>
      <c r="U299" s="721">
        <v>40</v>
      </c>
      <c r="V299" s="721" t="s">
        <v>13</v>
      </c>
      <c r="W299" s="721" t="s">
        <v>979</v>
      </c>
      <c r="X299" s="721">
        <v>1</v>
      </c>
      <c r="Y299" s="721">
        <v>4</v>
      </c>
      <c r="Z299" s="721">
        <v>0.91790000000000005</v>
      </c>
      <c r="AA299" s="721">
        <v>8.2100000000000006E-2</v>
      </c>
      <c r="AB299" s="721">
        <v>0</v>
      </c>
      <c r="AC299" s="730"/>
    </row>
    <row r="300" spans="18:29">
      <c r="R300" s="721" t="str">
        <f t="shared" ref="R300:R363" si="10">S300&amp;T300&amp;V300</f>
        <v>WLCI1041M</v>
      </c>
      <c r="S300" s="672" t="s">
        <v>981</v>
      </c>
      <c r="T300" s="721">
        <v>41</v>
      </c>
      <c r="U300" s="721">
        <v>41</v>
      </c>
      <c r="V300" s="721" t="s">
        <v>13</v>
      </c>
      <c r="W300" s="721" t="s">
        <v>979</v>
      </c>
      <c r="X300" s="721">
        <v>1</v>
      </c>
      <c r="Y300" s="721">
        <v>4</v>
      </c>
      <c r="Z300" s="721">
        <v>0.9173</v>
      </c>
      <c r="AA300" s="721">
        <v>8.2699999999999996E-2</v>
      </c>
      <c r="AB300" s="721">
        <v>0</v>
      </c>
      <c r="AC300" s="730"/>
    </row>
    <row r="301" spans="18:29">
      <c r="R301" s="721" t="str">
        <f t="shared" si="10"/>
        <v>WLCI1042M</v>
      </c>
      <c r="S301" s="672" t="s">
        <v>981</v>
      </c>
      <c r="T301" s="721">
        <v>42</v>
      </c>
      <c r="U301" s="721">
        <v>42</v>
      </c>
      <c r="V301" s="721" t="s">
        <v>13</v>
      </c>
      <c r="W301" s="721" t="s">
        <v>979</v>
      </c>
      <c r="X301" s="721">
        <v>1</v>
      </c>
      <c r="Y301" s="721">
        <v>4</v>
      </c>
      <c r="Z301" s="721">
        <v>0.91659999999999997</v>
      </c>
      <c r="AA301" s="721">
        <v>8.3400000000000002E-2</v>
      </c>
      <c r="AB301" s="721">
        <v>0</v>
      </c>
      <c r="AC301" s="730"/>
    </row>
    <row r="302" spans="18:29">
      <c r="R302" s="721" t="str">
        <f t="shared" si="10"/>
        <v>WLCI1043M</v>
      </c>
      <c r="S302" s="672" t="s">
        <v>981</v>
      </c>
      <c r="T302" s="721">
        <v>43</v>
      </c>
      <c r="U302" s="721">
        <v>43</v>
      </c>
      <c r="V302" s="721" t="s">
        <v>13</v>
      </c>
      <c r="W302" s="721" t="s">
        <v>979</v>
      </c>
      <c r="X302" s="721">
        <v>1</v>
      </c>
      <c r="Y302" s="721">
        <v>4</v>
      </c>
      <c r="Z302" s="721">
        <v>0.91610000000000003</v>
      </c>
      <c r="AA302" s="721">
        <v>8.3900000000000002E-2</v>
      </c>
      <c r="AB302" s="721">
        <v>0</v>
      </c>
      <c r="AC302" s="730"/>
    </row>
    <row r="303" spans="18:29">
      <c r="R303" s="721" t="str">
        <f t="shared" si="10"/>
        <v>WLCI1044M</v>
      </c>
      <c r="S303" s="672" t="s">
        <v>981</v>
      </c>
      <c r="T303" s="721">
        <v>44</v>
      </c>
      <c r="U303" s="721">
        <v>44</v>
      </c>
      <c r="V303" s="721" t="s">
        <v>13</v>
      </c>
      <c r="W303" s="721" t="s">
        <v>979</v>
      </c>
      <c r="X303" s="721">
        <v>1</v>
      </c>
      <c r="Y303" s="721">
        <v>4</v>
      </c>
      <c r="Z303" s="721">
        <v>0.91590000000000005</v>
      </c>
      <c r="AA303" s="721">
        <v>8.4099999999999994E-2</v>
      </c>
      <c r="AB303" s="721">
        <v>0</v>
      </c>
      <c r="AC303" s="730"/>
    </row>
    <row r="304" spans="18:29">
      <c r="R304" s="721" t="str">
        <f t="shared" si="10"/>
        <v>WLCI1045M</v>
      </c>
      <c r="S304" s="672" t="s">
        <v>981</v>
      </c>
      <c r="T304" s="721">
        <v>45</v>
      </c>
      <c r="U304" s="721">
        <v>45</v>
      </c>
      <c r="V304" s="721" t="s">
        <v>13</v>
      </c>
      <c r="W304" s="721" t="s">
        <v>979</v>
      </c>
      <c r="X304" s="721">
        <v>1</v>
      </c>
      <c r="Y304" s="721">
        <v>4</v>
      </c>
      <c r="Z304" s="721">
        <v>0.91579999999999995</v>
      </c>
      <c r="AA304" s="721">
        <v>8.4199999999999997E-2</v>
      </c>
      <c r="AB304" s="721">
        <v>0</v>
      </c>
      <c r="AC304" s="730"/>
    </row>
    <row r="305" spans="18:29">
      <c r="R305" s="721" t="str">
        <f t="shared" si="10"/>
        <v>WLCI1046M</v>
      </c>
      <c r="S305" s="672" t="s">
        <v>981</v>
      </c>
      <c r="T305" s="721">
        <v>46</v>
      </c>
      <c r="U305" s="721">
        <v>46</v>
      </c>
      <c r="V305" s="721" t="s">
        <v>13</v>
      </c>
      <c r="W305" s="721" t="s">
        <v>979</v>
      </c>
      <c r="X305" s="721">
        <v>1</v>
      </c>
      <c r="Y305" s="721">
        <v>4</v>
      </c>
      <c r="Z305" s="721">
        <v>0.91600000000000004</v>
      </c>
      <c r="AA305" s="721">
        <v>8.4000000000000005E-2</v>
      </c>
      <c r="AB305" s="721">
        <v>0</v>
      </c>
      <c r="AC305" s="730"/>
    </row>
    <row r="306" spans="18:29">
      <c r="R306" s="721" t="str">
        <f t="shared" si="10"/>
        <v>WLCI1047M</v>
      </c>
      <c r="S306" s="672" t="s">
        <v>981</v>
      </c>
      <c r="T306" s="721">
        <v>47</v>
      </c>
      <c r="U306" s="721">
        <v>47</v>
      </c>
      <c r="V306" s="721" t="s">
        <v>13</v>
      </c>
      <c r="W306" s="721" t="s">
        <v>979</v>
      </c>
      <c r="X306" s="721">
        <v>1</v>
      </c>
      <c r="Y306" s="721">
        <v>4</v>
      </c>
      <c r="Z306" s="721">
        <v>0.91669999999999996</v>
      </c>
      <c r="AA306" s="721">
        <v>8.3299999999999999E-2</v>
      </c>
      <c r="AB306" s="721">
        <v>0</v>
      </c>
      <c r="AC306" s="730"/>
    </row>
    <row r="307" spans="18:29">
      <c r="R307" s="721" t="str">
        <f t="shared" si="10"/>
        <v>WLCI1048M</v>
      </c>
      <c r="S307" s="672" t="s">
        <v>981</v>
      </c>
      <c r="T307" s="721">
        <v>48</v>
      </c>
      <c r="U307" s="721">
        <v>48</v>
      </c>
      <c r="V307" s="721" t="s">
        <v>13</v>
      </c>
      <c r="W307" s="721" t="s">
        <v>979</v>
      </c>
      <c r="X307" s="721">
        <v>1</v>
      </c>
      <c r="Y307" s="721">
        <v>4</v>
      </c>
      <c r="Z307" s="721">
        <v>0.91739999999999999</v>
      </c>
      <c r="AA307" s="721">
        <v>8.2600000000000007E-2</v>
      </c>
      <c r="AB307" s="721">
        <v>0</v>
      </c>
      <c r="AC307" s="730"/>
    </row>
    <row r="308" spans="18:29">
      <c r="R308" s="721" t="str">
        <f t="shared" si="10"/>
        <v>WLCI1049M</v>
      </c>
      <c r="S308" s="672" t="s">
        <v>981</v>
      </c>
      <c r="T308" s="721">
        <v>49</v>
      </c>
      <c r="U308" s="721">
        <v>49</v>
      </c>
      <c r="V308" s="721" t="s">
        <v>13</v>
      </c>
      <c r="W308" s="721" t="s">
        <v>979</v>
      </c>
      <c r="X308" s="721">
        <v>1</v>
      </c>
      <c r="Y308" s="721">
        <v>4</v>
      </c>
      <c r="Z308" s="721">
        <v>0.91790000000000005</v>
      </c>
      <c r="AA308" s="721">
        <v>8.2100000000000006E-2</v>
      </c>
      <c r="AB308" s="721">
        <v>0</v>
      </c>
      <c r="AC308" s="730"/>
    </row>
    <row r="309" spans="18:29">
      <c r="R309" s="721" t="str">
        <f t="shared" si="10"/>
        <v>WLCI1050M</v>
      </c>
      <c r="S309" s="672" t="s">
        <v>981</v>
      </c>
      <c r="T309" s="721">
        <v>50</v>
      </c>
      <c r="U309" s="721">
        <v>50</v>
      </c>
      <c r="V309" s="721" t="s">
        <v>13</v>
      </c>
      <c r="W309" s="721" t="s">
        <v>979</v>
      </c>
      <c r="X309" s="721">
        <v>1</v>
      </c>
      <c r="Y309" s="721">
        <v>4</v>
      </c>
      <c r="Z309" s="721">
        <v>0.91839999999999999</v>
      </c>
      <c r="AA309" s="721">
        <v>8.1600000000000006E-2</v>
      </c>
      <c r="AB309" s="721">
        <v>0</v>
      </c>
      <c r="AC309" s="730"/>
    </row>
    <row r="310" spans="18:29">
      <c r="R310" s="721" t="str">
        <f t="shared" si="10"/>
        <v>WLCI1051M</v>
      </c>
      <c r="S310" s="672" t="s">
        <v>981</v>
      </c>
      <c r="T310" s="721">
        <v>51</v>
      </c>
      <c r="U310" s="721">
        <v>51</v>
      </c>
      <c r="V310" s="721" t="s">
        <v>13</v>
      </c>
      <c r="W310" s="721" t="s">
        <v>979</v>
      </c>
      <c r="X310" s="721">
        <v>1</v>
      </c>
      <c r="Y310" s="721">
        <v>4</v>
      </c>
      <c r="Z310" s="721">
        <v>0.91869999999999996</v>
      </c>
      <c r="AA310" s="721">
        <v>8.1299999999999997E-2</v>
      </c>
      <c r="AB310" s="721">
        <v>0</v>
      </c>
      <c r="AC310" s="730"/>
    </row>
    <row r="311" spans="18:29">
      <c r="R311" s="721" t="str">
        <f t="shared" si="10"/>
        <v>WLCI100F</v>
      </c>
      <c r="S311" s="672" t="s">
        <v>981</v>
      </c>
      <c r="T311" s="721">
        <v>0</v>
      </c>
      <c r="U311" s="721">
        <v>0</v>
      </c>
      <c r="V311" s="721" t="s">
        <v>14</v>
      </c>
      <c r="W311" s="721" t="s">
        <v>979</v>
      </c>
      <c r="X311" s="721">
        <v>1</v>
      </c>
      <c r="Y311" s="721">
        <v>4</v>
      </c>
      <c r="Z311" s="721">
        <v>0.93200000000000005</v>
      </c>
      <c r="AA311" s="721">
        <v>6.8000000000000005E-2</v>
      </c>
      <c r="AB311" s="721">
        <v>0</v>
      </c>
      <c r="AC311" s="730"/>
    </row>
    <row r="312" spans="18:29">
      <c r="R312" s="721" t="str">
        <f t="shared" si="10"/>
        <v>WLCI101F</v>
      </c>
      <c r="S312" s="672" t="s">
        <v>981</v>
      </c>
      <c r="T312" s="721">
        <v>1</v>
      </c>
      <c r="U312" s="721">
        <v>1</v>
      </c>
      <c r="V312" s="721" t="s">
        <v>14</v>
      </c>
      <c r="W312" s="721" t="s">
        <v>979</v>
      </c>
      <c r="X312" s="721">
        <v>1</v>
      </c>
      <c r="Y312" s="721">
        <v>4</v>
      </c>
      <c r="Z312" s="721">
        <v>0.93200000000000005</v>
      </c>
      <c r="AA312" s="721">
        <v>6.8000000000000005E-2</v>
      </c>
      <c r="AB312" s="721">
        <v>0</v>
      </c>
      <c r="AC312" s="730"/>
    </row>
    <row r="313" spans="18:29">
      <c r="R313" s="721" t="str">
        <f t="shared" si="10"/>
        <v>WLCI102F</v>
      </c>
      <c r="S313" s="672" t="s">
        <v>981</v>
      </c>
      <c r="T313" s="721">
        <v>2</v>
      </c>
      <c r="U313" s="721">
        <v>2</v>
      </c>
      <c r="V313" s="721" t="s">
        <v>14</v>
      </c>
      <c r="W313" s="721" t="s">
        <v>979</v>
      </c>
      <c r="X313" s="721">
        <v>1</v>
      </c>
      <c r="Y313" s="721">
        <v>4</v>
      </c>
      <c r="Z313" s="721">
        <v>0.93159999999999998</v>
      </c>
      <c r="AA313" s="721">
        <v>6.8400000000000002E-2</v>
      </c>
      <c r="AB313" s="721">
        <v>0</v>
      </c>
      <c r="AC313" s="730"/>
    </row>
    <row r="314" spans="18:29">
      <c r="R314" s="721" t="str">
        <f t="shared" si="10"/>
        <v>WLCI103F</v>
      </c>
      <c r="S314" s="672" t="s">
        <v>981</v>
      </c>
      <c r="T314" s="721">
        <v>3</v>
      </c>
      <c r="U314" s="721">
        <v>3</v>
      </c>
      <c r="V314" s="721" t="s">
        <v>14</v>
      </c>
      <c r="W314" s="721" t="s">
        <v>979</v>
      </c>
      <c r="X314" s="721">
        <v>1</v>
      </c>
      <c r="Y314" s="721">
        <v>4</v>
      </c>
      <c r="Z314" s="721">
        <v>0.93120000000000003</v>
      </c>
      <c r="AA314" s="721">
        <v>6.88E-2</v>
      </c>
      <c r="AB314" s="721">
        <v>0</v>
      </c>
      <c r="AC314" s="730"/>
    </row>
    <row r="315" spans="18:29">
      <c r="R315" s="721" t="str">
        <f t="shared" si="10"/>
        <v>WLCI104F</v>
      </c>
      <c r="S315" s="672" t="s">
        <v>981</v>
      </c>
      <c r="T315" s="721">
        <v>4</v>
      </c>
      <c r="U315" s="721">
        <v>4</v>
      </c>
      <c r="V315" s="721" t="s">
        <v>14</v>
      </c>
      <c r="W315" s="721" t="s">
        <v>979</v>
      </c>
      <c r="X315" s="721">
        <v>1</v>
      </c>
      <c r="Y315" s="721">
        <v>4</v>
      </c>
      <c r="Z315" s="721">
        <v>0.93059999999999998</v>
      </c>
      <c r="AA315" s="721">
        <v>6.9400000000000003E-2</v>
      </c>
      <c r="AB315" s="721">
        <v>0</v>
      </c>
      <c r="AC315" s="730"/>
    </row>
    <row r="316" spans="18:29">
      <c r="R316" s="721" t="str">
        <f t="shared" si="10"/>
        <v>WLCI105F</v>
      </c>
      <c r="S316" s="672" t="s">
        <v>981</v>
      </c>
      <c r="T316" s="721">
        <v>5</v>
      </c>
      <c r="U316" s="721">
        <v>5</v>
      </c>
      <c r="V316" s="721" t="s">
        <v>14</v>
      </c>
      <c r="W316" s="721" t="s">
        <v>979</v>
      </c>
      <c r="X316" s="721">
        <v>1</v>
      </c>
      <c r="Y316" s="721">
        <v>4</v>
      </c>
      <c r="Z316" s="721">
        <v>0.93010000000000004</v>
      </c>
      <c r="AA316" s="721">
        <v>6.9900000000000004E-2</v>
      </c>
      <c r="AB316" s="721">
        <v>0</v>
      </c>
      <c r="AC316" s="730"/>
    </row>
    <row r="317" spans="18:29">
      <c r="R317" s="721" t="str">
        <f t="shared" si="10"/>
        <v>WLCI106F</v>
      </c>
      <c r="S317" s="672" t="s">
        <v>981</v>
      </c>
      <c r="T317" s="721">
        <v>6</v>
      </c>
      <c r="U317" s="721">
        <v>6</v>
      </c>
      <c r="V317" s="721" t="s">
        <v>14</v>
      </c>
      <c r="W317" s="721" t="s">
        <v>979</v>
      </c>
      <c r="X317" s="721">
        <v>1</v>
      </c>
      <c r="Y317" s="721">
        <v>4</v>
      </c>
      <c r="Z317" s="721">
        <v>0.92959999999999998</v>
      </c>
      <c r="AA317" s="721">
        <v>7.0400000000000004E-2</v>
      </c>
      <c r="AB317" s="721">
        <v>0</v>
      </c>
      <c r="AC317" s="730"/>
    </row>
    <row r="318" spans="18:29">
      <c r="R318" s="721" t="str">
        <f t="shared" si="10"/>
        <v>WLCI107F</v>
      </c>
      <c r="S318" s="672" t="s">
        <v>981</v>
      </c>
      <c r="T318" s="721">
        <v>7</v>
      </c>
      <c r="U318" s="721">
        <v>7</v>
      </c>
      <c r="V318" s="721" t="s">
        <v>14</v>
      </c>
      <c r="W318" s="721" t="s">
        <v>979</v>
      </c>
      <c r="X318" s="721">
        <v>1</v>
      </c>
      <c r="Y318" s="721">
        <v>4</v>
      </c>
      <c r="Z318" s="721">
        <v>0.92900000000000005</v>
      </c>
      <c r="AA318" s="721">
        <v>7.0999999999999994E-2</v>
      </c>
      <c r="AB318" s="721">
        <v>0</v>
      </c>
      <c r="AC318" s="730"/>
    </row>
    <row r="319" spans="18:29">
      <c r="R319" s="721" t="str">
        <f t="shared" si="10"/>
        <v>WLCI108F</v>
      </c>
      <c r="S319" s="672" t="s">
        <v>981</v>
      </c>
      <c r="T319" s="721">
        <v>8</v>
      </c>
      <c r="U319" s="721">
        <v>8</v>
      </c>
      <c r="V319" s="721" t="s">
        <v>14</v>
      </c>
      <c r="W319" s="721" t="s">
        <v>979</v>
      </c>
      <c r="X319" s="721">
        <v>1</v>
      </c>
      <c r="Y319" s="721">
        <v>4</v>
      </c>
      <c r="Z319" s="721">
        <v>0.92820000000000003</v>
      </c>
      <c r="AA319" s="721">
        <v>7.1800000000000003E-2</v>
      </c>
      <c r="AB319" s="721">
        <v>0</v>
      </c>
      <c r="AC319" s="730"/>
    </row>
    <row r="320" spans="18:29">
      <c r="R320" s="721" t="str">
        <f t="shared" si="10"/>
        <v>WLCI109F</v>
      </c>
      <c r="S320" s="672" t="s">
        <v>981</v>
      </c>
      <c r="T320" s="721">
        <v>9</v>
      </c>
      <c r="U320" s="721">
        <v>9</v>
      </c>
      <c r="V320" s="721" t="s">
        <v>14</v>
      </c>
      <c r="W320" s="721" t="s">
        <v>979</v>
      </c>
      <c r="X320" s="721">
        <v>1</v>
      </c>
      <c r="Y320" s="721">
        <v>4</v>
      </c>
      <c r="Z320" s="721">
        <v>0.9274</v>
      </c>
      <c r="AA320" s="721">
        <v>7.2599999999999998E-2</v>
      </c>
      <c r="AB320" s="721">
        <v>0</v>
      </c>
      <c r="AC320" s="730"/>
    </row>
    <row r="321" spans="18:29">
      <c r="R321" s="721" t="str">
        <f t="shared" si="10"/>
        <v>WLCI1010F</v>
      </c>
      <c r="S321" s="672" t="s">
        <v>981</v>
      </c>
      <c r="T321" s="721">
        <v>10</v>
      </c>
      <c r="U321" s="721">
        <v>10</v>
      </c>
      <c r="V321" s="721" t="s">
        <v>14</v>
      </c>
      <c r="W321" s="721" t="s">
        <v>979</v>
      </c>
      <c r="X321" s="721">
        <v>1</v>
      </c>
      <c r="Y321" s="721">
        <v>4</v>
      </c>
      <c r="Z321" s="721">
        <v>0.92669999999999997</v>
      </c>
      <c r="AA321" s="721">
        <v>7.3300000000000004E-2</v>
      </c>
      <c r="AB321" s="721">
        <v>0</v>
      </c>
      <c r="AC321" s="730"/>
    </row>
    <row r="322" spans="18:29">
      <c r="R322" s="721" t="str">
        <f t="shared" si="10"/>
        <v>WLCI1011F</v>
      </c>
      <c r="S322" s="672" t="s">
        <v>981</v>
      </c>
      <c r="T322" s="721">
        <v>11</v>
      </c>
      <c r="U322" s="721">
        <v>11</v>
      </c>
      <c r="V322" s="721" t="s">
        <v>14</v>
      </c>
      <c r="W322" s="721" t="s">
        <v>979</v>
      </c>
      <c r="X322" s="721">
        <v>1</v>
      </c>
      <c r="Y322" s="721">
        <v>4</v>
      </c>
      <c r="Z322" s="721">
        <v>0.92600000000000005</v>
      </c>
      <c r="AA322" s="721">
        <v>7.3999999999999996E-2</v>
      </c>
      <c r="AB322" s="721">
        <v>0</v>
      </c>
      <c r="AC322" s="730"/>
    </row>
    <row r="323" spans="18:29">
      <c r="R323" s="721" t="str">
        <f t="shared" si="10"/>
        <v>WLCI1012F</v>
      </c>
      <c r="S323" s="672" t="s">
        <v>981</v>
      </c>
      <c r="T323" s="721">
        <v>12</v>
      </c>
      <c r="U323" s="721">
        <v>12</v>
      </c>
      <c r="V323" s="721" t="s">
        <v>14</v>
      </c>
      <c r="W323" s="721" t="s">
        <v>979</v>
      </c>
      <c r="X323" s="721">
        <v>1</v>
      </c>
      <c r="Y323" s="721">
        <v>4</v>
      </c>
      <c r="Z323" s="721">
        <v>0.9254</v>
      </c>
      <c r="AA323" s="721">
        <v>7.46E-2</v>
      </c>
      <c r="AB323" s="721">
        <v>0</v>
      </c>
      <c r="AC323" s="730"/>
    </row>
    <row r="324" spans="18:29">
      <c r="R324" s="721" t="str">
        <f t="shared" si="10"/>
        <v>WLCI1013F</v>
      </c>
      <c r="S324" s="672" t="s">
        <v>981</v>
      </c>
      <c r="T324" s="721">
        <v>13</v>
      </c>
      <c r="U324" s="721">
        <v>13</v>
      </c>
      <c r="V324" s="721" t="s">
        <v>14</v>
      </c>
      <c r="W324" s="721" t="s">
        <v>979</v>
      </c>
      <c r="X324" s="721">
        <v>1</v>
      </c>
      <c r="Y324" s="721">
        <v>4</v>
      </c>
      <c r="Z324" s="721">
        <v>0.92459999999999998</v>
      </c>
      <c r="AA324" s="721">
        <v>7.5399999999999995E-2</v>
      </c>
      <c r="AB324" s="721">
        <v>0</v>
      </c>
      <c r="AC324" s="730"/>
    </row>
    <row r="325" spans="18:29">
      <c r="R325" s="721" t="str">
        <f t="shared" si="10"/>
        <v>WLCI1014F</v>
      </c>
      <c r="S325" s="672" t="s">
        <v>981</v>
      </c>
      <c r="T325" s="721">
        <v>14</v>
      </c>
      <c r="U325" s="721">
        <v>14</v>
      </c>
      <c r="V325" s="721" t="s">
        <v>14</v>
      </c>
      <c r="W325" s="721" t="s">
        <v>979</v>
      </c>
      <c r="X325" s="721">
        <v>1</v>
      </c>
      <c r="Y325" s="721">
        <v>4</v>
      </c>
      <c r="Z325" s="721">
        <v>0.92390000000000005</v>
      </c>
      <c r="AA325" s="721">
        <v>7.6100000000000001E-2</v>
      </c>
      <c r="AB325" s="721">
        <v>0</v>
      </c>
      <c r="AC325" s="730"/>
    </row>
    <row r="326" spans="18:29">
      <c r="R326" s="721" t="str">
        <f t="shared" si="10"/>
        <v>WLCI1015F</v>
      </c>
      <c r="S326" s="672" t="s">
        <v>981</v>
      </c>
      <c r="T326" s="721">
        <v>15</v>
      </c>
      <c r="U326" s="721">
        <v>15</v>
      </c>
      <c r="V326" s="721" t="s">
        <v>14</v>
      </c>
      <c r="W326" s="721" t="s">
        <v>979</v>
      </c>
      <c r="X326" s="721">
        <v>1</v>
      </c>
      <c r="Y326" s="721">
        <v>4</v>
      </c>
      <c r="Z326" s="721">
        <v>0.92300000000000004</v>
      </c>
      <c r="AA326" s="721">
        <v>7.6999999999999999E-2</v>
      </c>
      <c r="AB326" s="721">
        <v>0</v>
      </c>
      <c r="AC326" s="730"/>
    </row>
    <row r="327" spans="18:29">
      <c r="R327" s="721" t="str">
        <f t="shared" si="10"/>
        <v>WLCI1016F</v>
      </c>
      <c r="S327" s="672" t="s">
        <v>981</v>
      </c>
      <c r="T327" s="721">
        <v>16</v>
      </c>
      <c r="U327" s="721">
        <v>16</v>
      </c>
      <c r="V327" s="721" t="s">
        <v>14</v>
      </c>
      <c r="W327" s="721" t="s">
        <v>979</v>
      </c>
      <c r="X327" s="721">
        <v>1</v>
      </c>
      <c r="Y327" s="721">
        <v>4</v>
      </c>
      <c r="Z327" s="721">
        <v>0.9224</v>
      </c>
      <c r="AA327" s="721">
        <v>7.7600000000000002E-2</v>
      </c>
      <c r="AB327" s="721">
        <v>0</v>
      </c>
      <c r="AC327" s="730"/>
    </row>
    <row r="328" spans="18:29">
      <c r="R328" s="721" t="str">
        <f t="shared" si="10"/>
        <v>WLCI1017F</v>
      </c>
      <c r="S328" s="672" t="s">
        <v>981</v>
      </c>
      <c r="T328" s="721">
        <v>17</v>
      </c>
      <c r="U328" s="721">
        <v>17</v>
      </c>
      <c r="V328" s="721" t="s">
        <v>14</v>
      </c>
      <c r="W328" s="721" t="s">
        <v>979</v>
      </c>
      <c r="X328" s="721">
        <v>1</v>
      </c>
      <c r="Y328" s="721">
        <v>4</v>
      </c>
      <c r="Z328" s="721">
        <v>0.92179999999999995</v>
      </c>
      <c r="AA328" s="721">
        <v>7.8200000000000006E-2</v>
      </c>
      <c r="AB328" s="721">
        <v>0</v>
      </c>
      <c r="AC328" s="730"/>
    </row>
    <row r="329" spans="18:29">
      <c r="R329" s="721" t="str">
        <f t="shared" si="10"/>
        <v>WLCI1018F</v>
      </c>
      <c r="S329" s="672" t="s">
        <v>981</v>
      </c>
      <c r="T329" s="721">
        <v>18</v>
      </c>
      <c r="U329" s="721">
        <v>18</v>
      </c>
      <c r="V329" s="721" t="s">
        <v>14</v>
      </c>
      <c r="W329" s="721" t="s">
        <v>979</v>
      </c>
      <c r="X329" s="721">
        <v>1</v>
      </c>
      <c r="Y329" s="721">
        <v>4</v>
      </c>
      <c r="Z329" s="721">
        <v>0.92090000000000005</v>
      </c>
      <c r="AA329" s="721">
        <v>7.9100000000000004E-2</v>
      </c>
      <c r="AB329" s="721">
        <v>0</v>
      </c>
      <c r="AC329" s="730"/>
    </row>
    <row r="330" spans="18:29">
      <c r="R330" s="721" t="str">
        <f t="shared" si="10"/>
        <v>WLCI1019F</v>
      </c>
      <c r="S330" s="672" t="s">
        <v>981</v>
      </c>
      <c r="T330" s="721">
        <v>19</v>
      </c>
      <c r="U330" s="721">
        <v>19</v>
      </c>
      <c r="V330" s="721" t="s">
        <v>14</v>
      </c>
      <c r="W330" s="721" t="s">
        <v>979</v>
      </c>
      <c r="X330" s="721">
        <v>1</v>
      </c>
      <c r="Y330" s="721">
        <v>4</v>
      </c>
      <c r="Z330" s="721">
        <v>0.92020000000000002</v>
      </c>
      <c r="AA330" s="721">
        <v>7.9799999999999996E-2</v>
      </c>
      <c r="AB330" s="721">
        <v>0</v>
      </c>
      <c r="AC330" s="730"/>
    </row>
    <row r="331" spans="18:29">
      <c r="R331" s="721" t="str">
        <f t="shared" si="10"/>
        <v>WLCI1020F</v>
      </c>
      <c r="S331" s="672" t="s">
        <v>981</v>
      </c>
      <c r="T331" s="721">
        <v>20</v>
      </c>
      <c r="U331" s="721">
        <v>20</v>
      </c>
      <c r="V331" s="721" t="s">
        <v>14</v>
      </c>
      <c r="W331" s="721" t="s">
        <v>979</v>
      </c>
      <c r="X331" s="721">
        <v>1</v>
      </c>
      <c r="Y331" s="721">
        <v>4</v>
      </c>
      <c r="Z331" s="721">
        <v>0.91979999999999995</v>
      </c>
      <c r="AA331" s="721">
        <v>8.0199999999999994E-2</v>
      </c>
      <c r="AB331" s="721">
        <v>0</v>
      </c>
      <c r="AC331" s="730"/>
    </row>
    <row r="332" spans="18:29">
      <c r="R332" s="721" t="str">
        <f t="shared" si="10"/>
        <v>WLCI1021F</v>
      </c>
      <c r="S332" s="672" t="s">
        <v>981</v>
      </c>
      <c r="T332" s="721">
        <v>21</v>
      </c>
      <c r="U332" s="721">
        <v>21</v>
      </c>
      <c r="V332" s="721" t="s">
        <v>14</v>
      </c>
      <c r="W332" s="721" t="s">
        <v>979</v>
      </c>
      <c r="X332" s="721">
        <v>1</v>
      </c>
      <c r="Y332" s="721">
        <v>4</v>
      </c>
      <c r="Z332" s="721">
        <v>0.91920000000000002</v>
      </c>
      <c r="AA332" s="721">
        <v>8.0799999999999997E-2</v>
      </c>
      <c r="AB332" s="721">
        <v>0</v>
      </c>
      <c r="AC332" s="730"/>
    </row>
    <row r="333" spans="18:29">
      <c r="R333" s="721" t="str">
        <f t="shared" si="10"/>
        <v>WLCI1022F</v>
      </c>
      <c r="S333" s="672" t="s">
        <v>981</v>
      </c>
      <c r="T333" s="721">
        <v>22</v>
      </c>
      <c r="U333" s="721">
        <v>22</v>
      </c>
      <c r="V333" s="721" t="s">
        <v>14</v>
      </c>
      <c r="W333" s="721" t="s">
        <v>979</v>
      </c>
      <c r="X333" s="721">
        <v>1</v>
      </c>
      <c r="Y333" s="721">
        <v>4</v>
      </c>
      <c r="Z333" s="721">
        <v>0.91890000000000005</v>
      </c>
      <c r="AA333" s="721">
        <v>8.1100000000000005E-2</v>
      </c>
      <c r="AB333" s="721">
        <v>0</v>
      </c>
      <c r="AC333" s="730"/>
    </row>
    <row r="334" spans="18:29">
      <c r="R334" s="721" t="str">
        <f t="shared" si="10"/>
        <v>WLCI1023F</v>
      </c>
      <c r="S334" s="672" t="s">
        <v>981</v>
      </c>
      <c r="T334" s="721">
        <v>23</v>
      </c>
      <c r="U334" s="721">
        <v>23</v>
      </c>
      <c r="V334" s="721" t="s">
        <v>14</v>
      </c>
      <c r="W334" s="721" t="s">
        <v>979</v>
      </c>
      <c r="X334" s="721">
        <v>1</v>
      </c>
      <c r="Y334" s="721">
        <v>4</v>
      </c>
      <c r="Z334" s="721">
        <v>0.91869999999999996</v>
      </c>
      <c r="AA334" s="721">
        <v>8.1299999999999997E-2</v>
      </c>
      <c r="AB334" s="721">
        <v>0</v>
      </c>
      <c r="AC334" s="730"/>
    </row>
    <row r="335" spans="18:29">
      <c r="R335" s="721" t="str">
        <f t="shared" si="10"/>
        <v>WLCI1024F</v>
      </c>
      <c r="S335" s="672" t="s">
        <v>981</v>
      </c>
      <c r="T335" s="721">
        <v>24</v>
      </c>
      <c r="U335" s="721">
        <v>24</v>
      </c>
      <c r="V335" s="721" t="s">
        <v>14</v>
      </c>
      <c r="W335" s="721" t="s">
        <v>979</v>
      </c>
      <c r="X335" s="721">
        <v>1</v>
      </c>
      <c r="Y335" s="721">
        <v>4</v>
      </c>
      <c r="Z335" s="721">
        <v>0.91839999999999999</v>
      </c>
      <c r="AA335" s="721">
        <v>8.1600000000000006E-2</v>
      </c>
      <c r="AB335" s="721">
        <v>0</v>
      </c>
      <c r="AC335" s="730"/>
    </row>
    <row r="336" spans="18:29">
      <c r="R336" s="721" t="str">
        <f t="shared" si="10"/>
        <v>WLCI1025F</v>
      </c>
      <c r="S336" s="672" t="s">
        <v>981</v>
      </c>
      <c r="T336" s="721">
        <v>25</v>
      </c>
      <c r="U336" s="721">
        <v>25</v>
      </c>
      <c r="V336" s="721" t="s">
        <v>14</v>
      </c>
      <c r="W336" s="721" t="s">
        <v>979</v>
      </c>
      <c r="X336" s="721">
        <v>1</v>
      </c>
      <c r="Y336" s="721">
        <v>4</v>
      </c>
      <c r="Z336" s="721">
        <v>0.91839999999999999</v>
      </c>
      <c r="AA336" s="721">
        <v>8.1600000000000006E-2</v>
      </c>
      <c r="AB336" s="721">
        <v>0</v>
      </c>
      <c r="AC336" s="730"/>
    </row>
    <row r="337" spans="18:29">
      <c r="R337" s="721" t="str">
        <f t="shared" si="10"/>
        <v>WLCI1026F</v>
      </c>
      <c r="S337" s="672" t="s">
        <v>981</v>
      </c>
      <c r="T337" s="721">
        <v>26</v>
      </c>
      <c r="U337" s="721">
        <v>26</v>
      </c>
      <c r="V337" s="721" t="s">
        <v>14</v>
      </c>
      <c r="W337" s="721" t="s">
        <v>979</v>
      </c>
      <c r="X337" s="721">
        <v>1</v>
      </c>
      <c r="Y337" s="721">
        <v>4</v>
      </c>
      <c r="Z337" s="721">
        <v>0.91849999999999998</v>
      </c>
      <c r="AA337" s="721">
        <v>8.1500000000000003E-2</v>
      </c>
      <c r="AB337" s="721">
        <v>0</v>
      </c>
      <c r="AC337" s="730"/>
    </row>
    <row r="338" spans="18:29">
      <c r="R338" s="721" t="str">
        <f t="shared" si="10"/>
        <v>WLCI1027F</v>
      </c>
      <c r="S338" s="672" t="s">
        <v>981</v>
      </c>
      <c r="T338" s="721">
        <v>27</v>
      </c>
      <c r="U338" s="721">
        <v>27</v>
      </c>
      <c r="V338" s="721" t="s">
        <v>14</v>
      </c>
      <c r="W338" s="721" t="s">
        <v>979</v>
      </c>
      <c r="X338" s="721">
        <v>1</v>
      </c>
      <c r="Y338" s="721">
        <v>4</v>
      </c>
      <c r="Z338" s="721">
        <v>0.91859999999999997</v>
      </c>
      <c r="AA338" s="721">
        <v>8.14E-2</v>
      </c>
      <c r="AB338" s="721">
        <v>0</v>
      </c>
      <c r="AC338" s="730"/>
    </row>
    <row r="339" spans="18:29">
      <c r="R339" s="721" t="str">
        <f t="shared" si="10"/>
        <v>WLCI1028F</v>
      </c>
      <c r="S339" s="672" t="s">
        <v>981</v>
      </c>
      <c r="T339" s="721">
        <v>28</v>
      </c>
      <c r="U339" s="721">
        <v>28</v>
      </c>
      <c r="V339" s="721" t="s">
        <v>14</v>
      </c>
      <c r="W339" s="721" t="s">
        <v>979</v>
      </c>
      <c r="X339" s="721">
        <v>1</v>
      </c>
      <c r="Y339" s="721">
        <v>4</v>
      </c>
      <c r="Z339" s="721">
        <v>0.91859999999999997</v>
      </c>
      <c r="AA339" s="721">
        <v>8.14E-2</v>
      </c>
      <c r="AB339" s="721">
        <v>0</v>
      </c>
      <c r="AC339" s="730"/>
    </row>
    <row r="340" spans="18:29">
      <c r="R340" s="721" t="str">
        <f t="shared" si="10"/>
        <v>WLCI1029F</v>
      </c>
      <c r="S340" s="672" t="s">
        <v>981</v>
      </c>
      <c r="T340" s="721">
        <v>29</v>
      </c>
      <c r="U340" s="721">
        <v>29</v>
      </c>
      <c r="V340" s="721" t="s">
        <v>14</v>
      </c>
      <c r="W340" s="721" t="s">
        <v>979</v>
      </c>
      <c r="X340" s="721">
        <v>1</v>
      </c>
      <c r="Y340" s="721">
        <v>4</v>
      </c>
      <c r="Z340" s="721">
        <v>0.91859999999999997</v>
      </c>
      <c r="AA340" s="721">
        <v>8.14E-2</v>
      </c>
      <c r="AB340" s="721">
        <v>0</v>
      </c>
      <c r="AC340" s="730"/>
    </row>
    <row r="341" spans="18:29">
      <c r="R341" s="721" t="str">
        <f t="shared" si="10"/>
        <v>WLCI1030F</v>
      </c>
      <c r="S341" s="672" t="s">
        <v>981</v>
      </c>
      <c r="T341" s="721">
        <v>30</v>
      </c>
      <c r="U341" s="721">
        <v>30</v>
      </c>
      <c r="V341" s="721" t="s">
        <v>14</v>
      </c>
      <c r="W341" s="721" t="s">
        <v>979</v>
      </c>
      <c r="X341" s="721">
        <v>1</v>
      </c>
      <c r="Y341" s="721">
        <v>4</v>
      </c>
      <c r="Z341" s="721">
        <v>0.91849999999999998</v>
      </c>
      <c r="AA341" s="721">
        <v>8.1500000000000003E-2</v>
      </c>
      <c r="AB341" s="721">
        <v>0</v>
      </c>
      <c r="AC341" s="730"/>
    </row>
    <row r="342" spans="18:29">
      <c r="R342" s="721" t="str">
        <f t="shared" si="10"/>
        <v>WLCI1031F</v>
      </c>
      <c r="S342" s="672" t="s">
        <v>981</v>
      </c>
      <c r="T342" s="721">
        <v>31</v>
      </c>
      <c r="U342" s="721">
        <v>31</v>
      </c>
      <c r="V342" s="721" t="s">
        <v>14</v>
      </c>
      <c r="W342" s="721" t="s">
        <v>979</v>
      </c>
      <c r="X342" s="721">
        <v>1</v>
      </c>
      <c r="Y342" s="721">
        <v>4</v>
      </c>
      <c r="Z342" s="721">
        <v>0.91820000000000002</v>
      </c>
      <c r="AA342" s="721">
        <v>8.1799999999999998E-2</v>
      </c>
      <c r="AB342" s="721">
        <v>0</v>
      </c>
      <c r="AC342" s="730"/>
    </row>
    <row r="343" spans="18:29">
      <c r="R343" s="721" t="str">
        <f t="shared" si="10"/>
        <v>WLCI1032F</v>
      </c>
      <c r="S343" s="672" t="s">
        <v>981</v>
      </c>
      <c r="T343" s="721">
        <v>32</v>
      </c>
      <c r="U343" s="721">
        <v>32</v>
      </c>
      <c r="V343" s="721" t="s">
        <v>14</v>
      </c>
      <c r="W343" s="721" t="s">
        <v>979</v>
      </c>
      <c r="X343" s="721">
        <v>1</v>
      </c>
      <c r="Y343" s="721">
        <v>4</v>
      </c>
      <c r="Z343" s="721">
        <v>0.91820000000000002</v>
      </c>
      <c r="AA343" s="721">
        <v>8.1799999999999998E-2</v>
      </c>
      <c r="AB343" s="721">
        <v>0</v>
      </c>
      <c r="AC343" s="730"/>
    </row>
    <row r="344" spans="18:29">
      <c r="R344" s="721" t="str">
        <f t="shared" si="10"/>
        <v>WLCI1033F</v>
      </c>
      <c r="S344" s="672" t="s">
        <v>981</v>
      </c>
      <c r="T344" s="721">
        <v>33</v>
      </c>
      <c r="U344" s="721">
        <v>33</v>
      </c>
      <c r="V344" s="721" t="s">
        <v>14</v>
      </c>
      <c r="W344" s="721" t="s">
        <v>979</v>
      </c>
      <c r="X344" s="721">
        <v>1</v>
      </c>
      <c r="Y344" s="721">
        <v>4</v>
      </c>
      <c r="Z344" s="721">
        <v>0.91830000000000001</v>
      </c>
      <c r="AA344" s="721">
        <v>8.1699999999999995E-2</v>
      </c>
      <c r="AB344" s="721">
        <v>0</v>
      </c>
      <c r="AC344" s="730"/>
    </row>
    <row r="345" spans="18:29">
      <c r="R345" s="721" t="str">
        <f t="shared" si="10"/>
        <v>WLCI1034F</v>
      </c>
      <c r="S345" s="672" t="s">
        <v>981</v>
      </c>
      <c r="T345" s="721">
        <v>34</v>
      </c>
      <c r="U345" s="721">
        <v>34</v>
      </c>
      <c r="V345" s="721" t="s">
        <v>14</v>
      </c>
      <c r="W345" s="721" t="s">
        <v>979</v>
      </c>
      <c r="X345" s="721">
        <v>1</v>
      </c>
      <c r="Y345" s="721">
        <v>4</v>
      </c>
      <c r="Z345" s="721">
        <v>0.91820000000000002</v>
      </c>
      <c r="AA345" s="721">
        <v>8.1799999999999998E-2</v>
      </c>
      <c r="AB345" s="721">
        <v>0</v>
      </c>
      <c r="AC345" s="730"/>
    </row>
    <row r="346" spans="18:29">
      <c r="R346" s="721" t="str">
        <f t="shared" si="10"/>
        <v>WLCI1035F</v>
      </c>
      <c r="S346" s="672" t="s">
        <v>981</v>
      </c>
      <c r="T346" s="721">
        <v>35</v>
      </c>
      <c r="U346" s="721">
        <v>35</v>
      </c>
      <c r="V346" s="721" t="s">
        <v>14</v>
      </c>
      <c r="W346" s="721" t="s">
        <v>979</v>
      </c>
      <c r="X346" s="721">
        <v>1</v>
      </c>
      <c r="Y346" s="721">
        <v>4</v>
      </c>
      <c r="Z346" s="721">
        <v>0.91830000000000001</v>
      </c>
      <c r="AA346" s="721">
        <v>8.1699999999999995E-2</v>
      </c>
      <c r="AB346" s="721">
        <v>0</v>
      </c>
      <c r="AC346" s="730"/>
    </row>
    <row r="347" spans="18:29">
      <c r="R347" s="721" t="str">
        <f t="shared" si="10"/>
        <v>WLCI1036F</v>
      </c>
      <c r="S347" s="672" t="s">
        <v>981</v>
      </c>
      <c r="T347" s="721">
        <v>36</v>
      </c>
      <c r="U347" s="721">
        <v>36</v>
      </c>
      <c r="V347" s="721" t="s">
        <v>14</v>
      </c>
      <c r="W347" s="721" t="s">
        <v>979</v>
      </c>
      <c r="X347" s="721">
        <v>1</v>
      </c>
      <c r="Y347" s="721">
        <v>4</v>
      </c>
      <c r="Z347" s="721">
        <v>0.91879999999999995</v>
      </c>
      <c r="AA347" s="721">
        <v>8.1199999999999994E-2</v>
      </c>
      <c r="AB347" s="721">
        <v>0</v>
      </c>
      <c r="AC347" s="730"/>
    </row>
    <row r="348" spans="18:29">
      <c r="R348" s="721" t="str">
        <f t="shared" si="10"/>
        <v>WLCI1037F</v>
      </c>
      <c r="S348" s="672" t="s">
        <v>981</v>
      </c>
      <c r="T348" s="721">
        <v>37</v>
      </c>
      <c r="U348" s="721">
        <v>37</v>
      </c>
      <c r="V348" s="721" t="s">
        <v>14</v>
      </c>
      <c r="W348" s="721" t="s">
        <v>979</v>
      </c>
      <c r="X348" s="721">
        <v>1</v>
      </c>
      <c r="Y348" s="721">
        <v>4</v>
      </c>
      <c r="Z348" s="721">
        <v>0.91920000000000002</v>
      </c>
      <c r="AA348" s="721">
        <v>8.0799999999999997E-2</v>
      </c>
      <c r="AB348" s="721">
        <v>0</v>
      </c>
      <c r="AC348" s="730"/>
    </row>
    <row r="349" spans="18:29">
      <c r="R349" s="721" t="str">
        <f t="shared" si="10"/>
        <v>WLCI1038F</v>
      </c>
      <c r="S349" s="672" t="s">
        <v>981</v>
      </c>
      <c r="T349" s="721">
        <v>38</v>
      </c>
      <c r="U349" s="721">
        <v>38</v>
      </c>
      <c r="V349" s="721" t="s">
        <v>14</v>
      </c>
      <c r="W349" s="721" t="s">
        <v>979</v>
      </c>
      <c r="X349" s="721">
        <v>1</v>
      </c>
      <c r="Y349" s="721">
        <v>4</v>
      </c>
      <c r="Z349" s="721">
        <v>0.91969999999999996</v>
      </c>
      <c r="AA349" s="721">
        <v>8.0299999999999996E-2</v>
      </c>
      <c r="AB349" s="721">
        <v>0</v>
      </c>
      <c r="AC349" s="730"/>
    </row>
    <row r="350" spans="18:29">
      <c r="R350" s="721" t="str">
        <f t="shared" si="10"/>
        <v>WLCI1039F</v>
      </c>
      <c r="S350" s="672" t="s">
        <v>981</v>
      </c>
      <c r="T350" s="721">
        <v>39</v>
      </c>
      <c r="U350" s="721">
        <v>39</v>
      </c>
      <c r="V350" s="721" t="s">
        <v>14</v>
      </c>
      <c r="W350" s="721" t="s">
        <v>979</v>
      </c>
      <c r="X350" s="721">
        <v>1</v>
      </c>
      <c r="Y350" s="721">
        <v>4</v>
      </c>
      <c r="Z350" s="721">
        <v>0.92020000000000002</v>
      </c>
      <c r="AA350" s="721">
        <v>7.9799999999999996E-2</v>
      </c>
      <c r="AB350" s="721">
        <v>0</v>
      </c>
      <c r="AC350" s="730"/>
    </row>
    <row r="351" spans="18:29">
      <c r="R351" s="721" t="str">
        <f t="shared" si="10"/>
        <v>WLCI1040F</v>
      </c>
      <c r="S351" s="672" t="s">
        <v>981</v>
      </c>
      <c r="T351" s="721">
        <v>40</v>
      </c>
      <c r="U351" s="721">
        <v>40</v>
      </c>
      <c r="V351" s="721" t="s">
        <v>14</v>
      </c>
      <c r="W351" s="721" t="s">
        <v>979</v>
      </c>
      <c r="X351" s="721">
        <v>1</v>
      </c>
      <c r="Y351" s="721">
        <v>4</v>
      </c>
      <c r="Z351" s="721">
        <v>0.92079999999999995</v>
      </c>
      <c r="AA351" s="721">
        <v>7.9200000000000007E-2</v>
      </c>
      <c r="AB351" s="721">
        <v>0</v>
      </c>
      <c r="AC351" s="730"/>
    </row>
    <row r="352" spans="18:29">
      <c r="R352" s="721" t="str">
        <f t="shared" si="10"/>
        <v>WLCI1041F</v>
      </c>
      <c r="S352" s="672" t="s">
        <v>981</v>
      </c>
      <c r="T352" s="721">
        <v>41</v>
      </c>
      <c r="U352" s="721">
        <v>41</v>
      </c>
      <c r="V352" s="721" t="s">
        <v>14</v>
      </c>
      <c r="W352" s="721" t="s">
        <v>979</v>
      </c>
      <c r="X352" s="721">
        <v>1</v>
      </c>
      <c r="Y352" s="721">
        <v>4</v>
      </c>
      <c r="Z352" s="721">
        <v>0.92100000000000004</v>
      </c>
      <c r="AA352" s="721">
        <v>7.9000000000000001E-2</v>
      </c>
      <c r="AB352" s="721">
        <v>0</v>
      </c>
      <c r="AC352" s="730"/>
    </row>
    <row r="353" spans="18:29">
      <c r="R353" s="721" t="str">
        <f t="shared" si="10"/>
        <v>WLCI1042F</v>
      </c>
      <c r="S353" s="672" t="s">
        <v>981</v>
      </c>
      <c r="T353" s="721">
        <v>42</v>
      </c>
      <c r="U353" s="721">
        <v>42</v>
      </c>
      <c r="V353" s="721" t="s">
        <v>14</v>
      </c>
      <c r="W353" s="721" t="s">
        <v>979</v>
      </c>
      <c r="X353" s="721">
        <v>1</v>
      </c>
      <c r="Y353" s="721">
        <v>4</v>
      </c>
      <c r="Z353" s="721">
        <v>0.92130000000000001</v>
      </c>
      <c r="AA353" s="721">
        <v>7.8700000000000006E-2</v>
      </c>
      <c r="AB353" s="721">
        <v>0</v>
      </c>
      <c r="AC353" s="730"/>
    </row>
    <row r="354" spans="18:29">
      <c r="R354" s="721" t="str">
        <f t="shared" si="10"/>
        <v>WLCI1043F</v>
      </c>
      <c r="S354" s="672" t="s">
        <v>981</v>
      </c>
      <c r="T354" s="721">
        <v>43</v>
      </c>
      <c r="U354" s="721">
        <v>43</v>
      </c>
      <c r="V354" s="721" t="s">
        <v>14</v>
      </c>
      <c r="W354" s="721" t="s">
        <v>979</v>
      </c>
      <c r="X354" s="721">
        <v>1</v>
      </c>
      <c r="Y354" s="721">
        <v>4</v>
      </c>
      <c r="Z354" s="721">
        <v>0.92169999999999996</v>
      </c>
      <c r="AA354" s="721">
        <v>7.8299999999999995E-2</v>
      </c>
      <c r="AB354" s="721">
        <v>0</v>
      </c>
      <c r="AC354" s="730"/>
    </row>
    <row r="355" spans="18:29">
      <c r="R355" s="721" t="str">
        <f t="shared" si="10"/>
        <v>WLCI1044F</v>
      </c>
      <c r="S355" s="672" t="s">
        <v>981</v>
      </c>
      <c r="T355" s="721">
        <v>44</v>
      </c>
      <c r="U355" s="721">
        <v>44</v>
      </c>
      <c r="V355" s="721" t="s">
        <v>14</v>
      </c>
      <c r="W355" s="721" t="s">
        <v>979</v>
      </c>
      <c r="X355" s="721">
        <v>1</v>
      </c>
      <c r="Y355" s="721">
        <v>4</v>
      </c>
      <c r="Z355" s="721">
        <v>0.92230000000000001</v>
      </c>
      <c r="AA355" s="721">
        <v>7.7700000000000005E-2</v>
      </c>
      <c r="AB355" s="721">
        <v>0</v>
      </c>
      <c r="AC355" s="730"/>
    </row>
    <row r="356" spans="18:29">
      <c r="R356" s="721" t="str">
        <f t="shared" si="10"/>
        <v>WLCI1045F</v>
      </c>
      <c r="S356" s="672" t="s">
        <v>981</v>
      </c>
      <c r="T356" s="721">
        <v>45</v>
      </c>
      <c r="U356" s="721">
        <v>45</v>
      </c>
      <c r="V356" s="721" t="s">
        <v>14</v>
      </c>
      <c r="W356" s="721" t="s">
        <v>979</v>
      </c>
      <c r="X356" s="721">
        <v>1</v>
      </c>
      <c r="Y356" s="721">
        <v>4</v>
      </c>
      <c r="Z356" s="721">
        <v>0.9234</v>
      </c>
      <c r="AA356" s="721">
        <v>7.6600000000000001E-2</v>
      </c>
      <c r="AB356" s="721">
        <v>0</v>
      </c>
      <c r="AC356" s="730"/>
    </row>
    <row r="357" spans="18:29">
      <c r="R357" s="721" t="str">
        <f t="shared" si="10"/>
        <v>WLCI1046F</v>
      </c>
      <c r="S357" s="672" t="s">
        <v>981</v>
      </c>
      <c r="T357" s="721">
        <v>46</v>
      </c>
      <c r="U357" s="721">
        <v>46</v>
      </c>
      <c r="V357" s="721" t="s">
        <v>14</v>
      </c>
      <c r="W357" s="721" t="s">
        <v>979</v>
      </c>
      <c r="X357" s="721">
        <v>1</v>
      </c>
      <c r="Y357" s="721">
        <v>4</v>
      </c>
      <c r="Z357" s="721">
        <v>0.92479999999999996</v>
      </c>
      <c r="AA357" s="721">
        <v>7.5200000000000003E-2</v>
      </c>
      <c r="AB357" s="721">
        <v>0</v>
      </c>
      <c r="AC357" s="730"/>
    </row>
    <row r="358" spans="18:29">
      <c r="R358" s="721" t="str">
        <f t="shared" si="10"/>
        <v>WLCI1047F</v>
      </c>
      <c r="S358" s="672" t="s">
        <v>981</v>
      </c>
      <c r="T358" s="721">
        <v>47</v>
      </c>
      <c r="U358" s="721">
        <v>47</v>
      </c>
      <c r="V358" s="721" t="s">
        <v>14</v>
      </c>
      <c r="W358" s="721" t="s">
        <v>979</v>
      </c>
      <c r="X358" s="721">
        <v>1</v>
      </c>
      <c r="Y358" s="721">
        <v>4</v>
      </c>
      <c r="Z358" s="721">
        <v>0.92659999999999998</v>
      </c>
      <c r="AA358" s="721">
        <v>7.3400000000000007E-2</v>
      </c>
      <c r="AB358" s="721">
        <v>0</v>
      </c>
      <c r="AC358" s="730"/>
    </row>
    <row r="359" spans="18:29">
      <c r="R359" s="721" t="str">
        <f t="shared" si="10"/>
        <v>WLCI1048F</v>
      </c>
      <c r="S359" s="672" t="s">
        <v>981</v>
      </c>
      <c r="T359" s="721">
        <v>48</v>
      </c>
      <c r="U359" s="721">
        <v>48</v>
      </c>
      <c r="V359" s="721" t="s">
        <v>14</v>
      </c>
      <c r="W359" s="721" t="s">
        <v>979</v>
      </c>
      <c r="X359" s="721">
        <v>1</v>
      </c>
      <c r="Y359" s="721">
        <v>4</v>
      </c>
      <c r="Z359" s="721">
        <v>0.92869999999999997</v>
      </c>
      <c r="AA359" s="721">
        <v>7.1300000000000002E-2</v>
      </c>
      <c r="AB359" s="721">
        <v>0</v>
      </c>
      <c r="AC359" s="730"/>
    </row>
    <row r="360" spans="18:29">
      <c r="R360" s="721" t="str">
        <f t="shared" si="10"/>
        <v>WLCI1049F</v>
      </c>
      <c r="S360" s="672" t="s">
        <v>981</v>
      </c>
      <c r="T360" s="721">
        <v>49</v>
      </c>
      <c r="U360" s="721">
        <v>49</v>
      </c>
      <c r="V360" s="721" t="s">
        <v>14</v>
      </c>
      <c r="W360" s="721" t="s">
        <v>979</v>
      </c>
      <c r="X360" s="721">
        <v>1</v>
      </c>
      <c r="Y360" s="721">
        <v>4</v>
      </c>
      <c r="Z360" s="721">
        <v>0.93069999999999997</v>
      </c>
      <c r="AA360" s="721">
        <v>6.93E-2</v>
      </c>
      <c r="AB360" s="721">
        <v>0</v>
      </c>
      <c r="AC360" s="730"/>
    </row>
    <row r="361" spans="18:29">
      <c r="R361" s="721" t="str">
        <f t="shared" si="10"/>
        <v>WLCI1050F</v>
      </c>
      <c r="S361" s="672" t="s">
        <v>981</v>
      </c>
      <c r="T361" s="721">
        <v>50</v>
      </c>
      <c r="U361" s="721">
        <v>50</v>
      </c>
      <c r="V361" s="721" t="s">
        <v>14</v>
      </c>
      <c r="W361" s="721" t="s">
        <v>979</v>
      </c>
      <c r="X361" s="721">
        <v>1</v>
      </c>
      <c r="Y361" s="721">
        <v>4</v>
      </c>
      <c r="Z361" s="721">
        <v>0.93300000000000005</v>
      </c>
      <c r="AA361" s="721">
        <v>6.7000000000000004E-2</v>
      </c>
      <c r="AB361" s="721">
        <v>0</v>
      </c>
      <c r="AC361" s="730"/>
    </row>
    <row r="362" spans="18:29">
      <c r="R362" s="721" t="str">
        <f t="shared" si="10"/>
        <v>WLCI1051F</v>
      </c>
      <c r="S362" s="672" t="s">
        <v>981</v>
      </c>
      <c r="T362" s="721">
        <v>51</v>
      </c>
      <c r="U362" s="721">
        <v>51</v>
      </c>
      <c r="V362" s="721" t="s">
        <v>14</v>
      </c>
      <c r="W362" s="721" t="s">
        <v>979</v>
      </c>
      <c r="X362" s="721">
        <v>1</v>
      </c>
      <c r="Y362" s="721">
        <v>4</v>
      </c>
      <c r="Z362" s="721">
        <v>0.93510000000000004</v>
      </c>
      <c r="AA362" s="721">
        <v>6.4899999999999999E-2</v>
      </c>
      <c r="AB362" s="721">
        <v>0</v>
      </c>
      <c r="AC362" s="730"/>
    </row>
    <row r="363" spans="18:29">
      <c r="R363" s="721" t="str">
        <f t="shared" si="10"/>
        <v>WLCI150M</v>
      </c>
      <c r="S363" s="672" t="s">
        <v>982</v>
      </c>
      <c r="T363" s="721">
        <v>0</v>
      </c>
      <c r="U363" s="721">
        <v>0</v>
      </c>
      <c r="V363" s="721" t="s">
        <v>13</v>
      </c>
      <c r="W363" s="721" t="s">
        <v>979</v>
      </c>
      <c r="X363" s="721">
        <v>1</v>
      </c>
      <c r="Y363" s="721">
        <v>4</v>
      </c>
      <c r="Z363" s="721">
        <v>0.93420000000000003</v>
      </c>
      <c r="AA363" s="721">
        <v>6.5799999999999997E-2</v>
      </c>
      <c r="AB363" s="721">
        <v>0</v>
      </c>
      <c r="AC363" s="730"/>
    </row>
    <row r="364" spans="18:29">
      <c r="R364" s="721" t="str">
        <f t="shared" ref="R364:R427" si="11">S364&amp;T364&amp;V364</f>
        <v>WLCI151M</v>
      </c>
      <c r="S364" s="672" t="s">
        <v>982</v>
      </c>
      <c r="T364" s="721">
        <v>1</v>
      </c>
      <c r="U364" s="721">
        <v>1</v>
      </c>
      <c r="V364" s="721" t="s">
        <v>13</v>
      </c>
      <c r="W364" s="721" t="s">
        <v>979</v>
      </c>
      <c r="X364" s="721">
        <v>1</v>
      </c>
      <c r="Y364" s="721">
        <v>4</v>
      </c>
      <c r="Z364" s="721">
        <v>0.93489999999999995</v>
      </c>
      <c r="AA364" s="721">
        <v>6.5100000000000005E-2</v>
      </c>
      <c r="AB364" s="721">
        <v>0</v>
      </c>
      <c r="AC364" s="730"/>
    </row>
    <row r="365" spans="18:29">
      <c r="R365" s="721" t="str">
        <f t="shared" si="11"/>
        <v>WLCI152M</v>
      </c>
      <c r="S365" s="672" t="s">
        <v>982</v>
      </c>
      <c r="T365" s="721">
        <v>2</v>
      </c>
      <c r="U365" s="721">
        <v>2</v>
      </c>
      <c r="V365" s="721" t="s">
        <v>13</v>
      </c>
      <c r="W365" s="721" t="s">
        <v>979</v>
      </c>
      <c r="X365" s="721">
        <v>1</v>
      </c>
      <c r="Y365" s="721">
        <v>4</v>
      </c>
      <c r="Z365" s="721">
        <v>0.93530000000000002</v>
      </c>
      <c r="AA365" s="721">
        <v>6.4699999999999994E-2</v>
      </c>
      <c r="AB365" s="721">
        <v>0</v>
      </c>
      <c r="AC365" s="730"/>
    </row>
    <row r="366" spans="18:29">
      <c r="R366" s="721" t="str">
        <f t="shared" si="11"/>
        <v>WLCI153M</v>
      </c>
      <c r="S366" s="672" t="s">
        <v>982</v>
      </c>
      <c r="T366" s="721">
        <v>3</v>
      </c>
      <c r="U366" s="721">
        <v>3</v>
      </c>
      <c r="V366" s="721" t="s">
        <v>13</v>
      </c>
      <c r="W366" s="721" t="s">
        <v>979</v>
      </c>
      <c r="X366" s="721">
        <v>1</v>
      </c>
      <c r="Y366" s="721">
        <v>4</v>
      </c>
      <c r="Z366" s="721">
        <v>0.93569999999999998</v>
      </c>
      <c r="AA366" s="721">
        <v>6.4299999999999996E-2</v>
      </c>
      <c r="AB366" s="721">
        <v>0</v>
      </c>
      <c r="AC366" s="730"/>
    </row>
    <row r="367" spans="18:29">
      <c r="R367" s="721" t="str">
        <f t="shared" si="11"/>
        <v>WLCI154M</v>
      </c>
      <c r="S367" s="672" t="s">
        <v>982</v>
      </c>
      <c r="T367" s="721">
        <v>4</v>
      </c>
      <c r="U367" s="721">
        <v>4</v>
      </c>
      <c r="V367" s="721" t="s">
        <v>13</v>
      </c>
      <c r="W367" s="721" t="s">
        <v>979</v>
      </c>
      <c r="X367" s="721">
        <v>1</v>
      </c>
      <c r="Y367" s="721">
        <v>4</v>
      </c>
      <c r="Z367" s="721">
        <v>0.93610000000000004</v>
      </c>
      <c r="AA367" s="721">
        <v>6.3899999999999998E-2</v>
      </c>
      <c r="AB367" s="721">
        <v>0</v>
      </c>
      <c r="AC367" s="730"/>
    </row>
    <row r="368" spans="18:29">
      <c r="R368" s="721" t="str">
        <f t="shared" si="11"/>
        <v>WLCI155M</v>
      </c>
      <c r="S368" s="672" t="s">
        <v>982</v>
      </c>
      <c r="T368" s="721">
        <v>5</v>
      </c>
      <c r="U368" s="721">
        <v>5</v>
      </c>
      <c r="V368" s="721" t="s">
        <v>13</v>
      </c>
      <c r="W368" s="721" t="s">
        <v>979</v>
      </c>
      <c r="X368" s="721">
        <v>1</v>
      </c>
      <c r="Y368" s="721">
        <v>4</v>
      </c>
      <c r="Z368" s="721">
        <v>0.93669999999999998</v>
      </c>
      <c r="AA368" s="721">
        <v>6.3299999999999995E-2</v>
      </c>
      <c r="AB368" s="721">
        <v>0</v>
      </c>
      <c r="AC368" s="730"/>
    </row>
    <row r="369" spans="18:29">
      <c r="R369" s="721" t="str">
        <f t="shared" si="11"/>
        <v>WLCI156M</v>
      </c>
      <c r="S369" s="672" t="s">
        <v>982</v>
      </c>
      <c r="T369" s="721">
        <v>6</v>
      </c>
      <c r="U369" s="721">
        <v>6</v>
      </c>
      <c r="V369" s="721" t="s">
        <v>13</v>
      </c>
      <c r="W369" s="721" t="s">
        <v>979</v>
      </c>
      <c r="X369" s="721">
        <v>1</v>
      </c>
      <c r="Y369" s="721">
        <v>4</v>
      </c>
      <c r="Z369" s="721">
        <v>0.9365</v>
      </c>
      <c r="AA369" s="721">
        <v>6.3500000000000001E-2</v>
      </c>
      <c r="AB369" s="721">
        <v>0</v>
      </c>
      <c r="AC369" s="730"/>
    </row>
    <row r="370" spans="18:29">
      <c r="R370" s="721" t="str">
        <f t="shared" si="11"/>
        <v>WLCI157M</v>
      </c>
      <c r="S370" s="672" t="s">
        <v>982</v>
      </c>
      <c r="T370" s="721">
        <v>7</v>
      </c>
      <c r="U370" s="721">
        <v>7</v>
      </c>
      <c r="V370" s="721" t="s">
        <v>13</v>
      </c>
      <c r="W370" s="721" t="s">
        <v>979</v>
      </c>
      <c r="X370" s="721">
        <v>1</v>
      </c>
      <c r="Y370" s="721">
        <v>4</v>
      </c>
      <c r="Z370" s="721">
        <v>0.93640000000000001</v>
      </c>
      <c r="AA370" s="721">
        <v>6.3600000000000004E-2</v>
      </c>
      <c r="AB370" s="721">
        <v>0</v>
      </c>
      <c r="AC370" s="730"/>
    </row>
    <row r="371" spans="18:29">
      <c r="R371" s="721" t="str">
        <f t="shared" si="11"/>
        <v>WLCI158M</v>
      </c>
      <c r="S371" s="672" t="s">
        <v>982</v>
      </c>
      <c r="T371" s="721">
        <v>8</v>
      </c>
      <c r="U371" s="721">
        <v>8</v>
      </c>
      <c r="V371" s="721" t="s">
        <v>13</v>
      </c>
      <c r="W371" s="721" t="s">
        <v>979</v>
      </c>
      <c r="X371" s="721">
        <v>1</v>
      </c>
      <c r="Y371" s="721">
        <v>4</v>
      </c>
      <c r="Z371" s="721">
        <v>0.93640000000000001</v>
      </c>
      <c r="AA371" s="721">
        <v>6.3600000000000004E-2</v>
      </c>
      <c r="AB371" s="721">
        <v>0</v>
      </c>
      <c r="AC371" s="730"/>
    </row>
    <row r="372" spans="18:29">
      <c r="R372" s="721" t="str">
        <f t="shared" si="11"/>
        <v>WLCI159M</v>
      </c>
      <c r="S372" s="672" t="s">
        <v>982</v>
      </c>
      <c r="T372" s="721">
        <v>9</v>
      </c>
      <c r="U372" s="721">
        <v>9</v>
      </c>
      <c r="V372" s="721" t="s">
        <v>13</v>
      </c>
      <c r="W372" s="721" t="s">
        <v>979</v>
      </c>
      <c r="X372" s="721">
        <v>1</v>
      </c>
      <c r="Y372" s="721">
        <v>4</v>
      </c>
      <c r="Z372" s="721">
        <v>0.9365</v>
      </c>
      <c r="AA372" s="721">
        <v>6.3500000000000001E-2</v>
      </c>
      <c r="AB372" s="721">
        <v>0</v>
      </c>
      <c r="AC372" s="730"/>
    </row>
    <row r="373" spans="18:29">
      <c r="R373" s="721" t="str">
        <f t="shared" si="11"/>
        <v>WLCI1510M</v>
      </c>
      <c r="S373" s="672" t="s">
        <v>982</v>
      </c>
      <c r="T373" s="721">
        <v>10</v>
      </c>
      <c r="U373" s="721">
        <v>10</v>
      </c>
      <c r="V373" s="721" t="s">
        <v>13</v>
      </c>
      <c r="W373" s="721" t="s">
        <v>979</v>
      </c>
      <c r="X373" s="721">
        <v>1</v>
      </c>
      <c r="Y373" s="721">
        <v>4</v>
      </c>
      <c r="Z373" s="721">
        <v>0.93620000000000003</v>
      </c>
      <c r="AA373" s="721">
        <v>6.3799999999999996E-2</v>
      </c>
      <c r="AB373" s="721">
        <v>0</v>
      </c>
      <c r="AC373" s="730"/>
    </row>
    <row r="374" spans="18:29">
      <c r="R374" s="721" t="str">
        <f t="shared" si="11"/>
        <v>WLCI1511M</v>
      </c>
      <c r="S374" s="672" t="s">
        <v>982</v>
      </c>
      <c r="T374" s="721">
        <v>11</v>
      </c>
      <c r="U374" s="721">
        <v>11</v>
      </c>
      <c r="V374" s="721" t="s">
        <v>13</v>
      </c>
      <c r="W374" s="721" t="s">
        <v>979</v>
      </c>
      <c r="X374" s="721">
        <v>1</v>
      </c>
      <c r="Y374" s="721">
        <v>4</v>
      </c>
      <c r="Z374" s="721">
        <v>0.93569999999999998</v>
      </c>
      <c r="AA374" s="721">
        <v>6.4299999999999996E-2</v>
      </c>
      <c r="AB374" s="721">
        <v>0</v>
      </c>
      <c r="AC374" s="730"/>
    </row>
    <row r="375" spans="18:29">
      <c r="R375" s="721" t="str">
        <f t="shared" si="11"/>
        <v>WLCI1512M</v>
      </c>
      <c r="S375" s="672" t="s">
        <v>982</v>
      </c>
      <c r="T375" s="721">
        <v>12</v>
      </c>
      <c r="U375" s="721">
        <v>12</v>
      </c>
      <c r="V375" s="721" t="s">
        <v>13</v>
      </c>
      <c r="W375" s="721" t="s">
        <v>979</v>
      </c>
      <c r="X375" s="721">
        <v>1</v>
      </c>
      <c r="Y375" s="721">
        <v>4</v>
      </c>
      <c r="Z375" s="721">
        <v>0.93520000000000003</v>
      </c>
      <c r="AA375" s="721">
        <v>6.4799999999999996E-2</v>
      </c>
      <c r="AB375" s="721">
        <v>0</v>
      </c>
      <c r="AC375" s="730"/>
    </row>
    <row r="376" spans="18:29">
      <c r="R376" s="721" t="str">
        <f t="shared" si="11"/>
        <v>WLCI1513M</v>
      </c>
      <c r="S376" s="672" t="s">
        <v>982</v>
      </c>
      <c r="T376" s="721">
        <v>13</v>
      </c>
      <c r="U376" s="721">
        <v>13</v>
      </c>
      <c r="V376" s="721" t="s">
        <v>13</v>
      </c>
      <c r="W376" s="721" t="s">
        <v>979</v>
      </c>
      <c r="X376" s="721">
        <v>1</v>
      </c>
      <c r="Y376" s="721">
        <v>4</v>
      </c>
      <c r="Z376" s="721">
        <v>0.93479999999999996</v>
      </c>
      <c r="AA376" s="721">
        <v>6.5199999999999994E-2</v>
      </c>
      <c r="AB376" s="721">
        <v>0</v>
      </c>
      <c r="AC376" s="730"/>
    </row>
    <row r="377" spans="18:29">
      <c r="R377" s="721" t="str">
        <f t="shared" si="11"/>
        <v>WLCI1514M</v>
      </c>
      <c r="S377" s="672" t="s">
        <v>982</v>
      </c>
      <c r="T377" s="721">
        <v>14</v>
      </c>
      <c r="U377" s="721">
        <v>14</v>
      </c>
      <c r="V377" s="721" t="s">
        <v>13</v>
      </c>
      <c r="W377" s="721" t="s">
        <v>979</v>
      </c>
      <c r="X377" s="721">
        <v>1</v>
      </c>
      <c r="Y377" s="721">
        <v>4</v>
      </c>
      <c r="Z377" s="721">
        <v>0.93440000000000001</v>
      </c>
      <c r="AA377" s="721">
        <v>6.5600000000000006E-2</v>
      </c>
      <c r="AB377" s="721">
        <v>0</v>
      </c>
      <c r="AC377" s="730"/>
    </row>
    <row r="378" spans="18:29">
      <c r="R378" s="721" t="str">
        <f t="shared" si="11"/>
        <v>WLCI1515M</v>
      </c>
      <c r="S378" s="672" t="s">
        <v>982</v>
      </c>
      <c r="T378" s="721">
        <v>15</v>
      </c>
      <c r="U378" s="721">
        <v>15</v>
      </c>
      <c r="V378" s="721" t="s">
        <v>13</v>
      </c>
      <c r="W378" s="721" t="s">
        <v>979</v>
      </c>
      <c r="X378" s="721">
        <v>1</v>
      </c>
      <c r="Y378" s="721">
        <v>4</v>
      </c>
      <c r="Z378" s="721">
        <v>0.93400000000000005</v>
      </c>
      <c r="AA378" s="721">
        <v>6.6000000000000003E-2</v>
      </c>
      <c r="AB378" s="721">
        <v>0</v>
      </c>
      <c r="AC378" s="730"/>
    </row>
    <row r="379" spans="18:29">
      <c r="R379" s="721" t="str">
        <f t="shared" si="11"/>
        <v>WLCI1516M</v>
      </c>
      <c r="S379" s="672" t="s">
        <v>982</v>
      </c>
      <c r="T379" s="721">
        <v>16</v>
      </c>
      <c r="U379" s="721">
        <v>16</v>
      </c>
      <c r="V379" s="721" t="s">
        <v>13</v>
      </c>
      <c r="W379" s="721" t="s">
        <v>979</v>
      </c>
      <c r="X379" s="721">
        <v>1</v>
      </c>
      <c r="Y379" s="721">
        <v>4</v>
      </c>
      <c r="Z379" s="721">
        <v>0.93330000000000002</v>
      </c>
      <c r="AA379" s="721">
        <v>6.6699999999999995E-2</v>
      </c>
      <c r="AB379" s="721">
        <v>0</v>
      </c>
      <c r="AC379" s="730"/>
    </row>
    <row r="380" spans="18:29">
      <c r="R380" s="721" t="str">
        <f t="shared" si="11"/>
        <v>WLCI1517M</v>
      </c>
      <c r="S380" s="672" t="s">
        <v>982</v>
      </c>
      <c r="T380" s="721">
        <v>17</v>
      </c>
      <c r="U380" s="721">
        <v>17</v>
      </c>
      <c r="V380" s="721" t="s">
        <v>13</v>
      </c>
      <c r="W380" s="721" t="s">
        <v>979</v>
      </c>
      <c r="X380" s="721">
        <v>1</v>
      </c>
      <c r="Y380" s="721">
        <v>4</v>
      </c>
      <c r="Z380" s="721">
        <v>0.93330000000000002</v>
      </c>
      <c r="AA380" s="721">
        <v>6.6699999999999995E-2</v>
      </c>
      <c r="AB380" s="721">
        <v>0</v>
      </c>
      <c r="AC380" s="730"/>
    </row>
    <row r="381" spans="18:29">
      <c r="R381" s="721" t="str">
        <f t="shared" si="11"/>
        <v>WLCI1518M</v>
      </c>
      <c r="S381" s="672" t="s">
        <v>982</v>
      </c>
      <c r="T381" s="721">
        <v>18</v>
      </c>
      <c r="U381" s="721">
        <v>18</v>
      </c>
      <c r="V381" s="721" t="s">
        <v>13</v>
      </c>
      <c r="W381" s="721" t="s">
        <v>979</v>
      </c>
      <c r="X381" s="721">
        <v>1</v>
      </c>
      <c r="Y381" s="721">
        <v>4</v>
      </c>
      <c r="Z381" s="721">
        <v>0.93269999999999997</v>
      </c>
      <c r="AA381" s="721">
        <v>6.7299999999999999E-2</v>
      </c>
      <c r="AB381" s="721">
        <v>0</v>
      </c>
      <c r="AC381" s="730"/>
    </row>
    <row r="382" spans="18:29">
      <c r="R382" s="721" t="str">
        <f t="shared" si="11"/>
        <v>WLCI1519M</v>
      </c>
      <c r="S382" s="672" t="s">
        <v>982</v>
      </c>
      <c r="T382" s="721">
        <v>19</v>
      </c>
      <c r="U382" s="721">
        <v>19</v>
      </c>
      <c r="V382" s="721" t="s">
        <v>13</v>
      </c>
      <c r="W382" s="721" t="s">
        <v>979</v>
      </c>
      <c r="X382" s="721">
        <v>1</v>
      </c>
      <c r="Y382" s="721">
        <v>4</v>
      </c>
      <c r="Z382" s="721">
        <v>0.93179999999999996</v>
      </c>
      <c r="AA382" s="721">
        <v>6.8199999999999997E-2</v>
      </c>
      <c r="AB382" s="721">
        <v>0</v>
      </c>
      <c r="AC382" s="730"/>
    </row>
    <row r="383" spans="18:29">
      <c r="R383" s="721" t="str">
        <f t="shared" si="11"/>
        <v>WLCI1520M</v>
      </c>
      <c r="S383" s="672" t="s">
        <v>982</v>
      </c>
      <c r="T383" s="721">
        <v>20</v>
      </c>
      <c r="U383" s="721">
        <v>20</v>
      </c>
      <c r="V383" s="721" t="s">
        <v>13</v>
      </c>
      <c r="W383" s="721" t="s">
        <v>979</v>
      </c>
      <c r="X383" s="721">
        <v>1</v>
      </c>
      <c r="Y383" s="721">
        <v>4</v>
      </c>
      <c r="Z383" s="721">
        <v>0.93120000000000003</v>
      </c>
      <c r="AA383" s="721">
        <v>6.88E-2</v>
      </c>
      <c r="AB383" s="721">
        <v>0</v>
      </c>
      <c r="AC383" s="730"/>
    </row>
    <row r="384" spans="18:29">
      <c r="R384" s="721" t="str">
        <f t="shared" si="11"/>
        <v>WLCI1521M</v>
      </c>
      <c r="S384" s="672" t="s">
        <v>982</v>
      </c>
      <c r="T384" s="721">
        <v>21</v>
      </c>
      <c r="U384" s="721">
        <v>21</v>
      </c>
      <c r="V384" s="721" t="s">
        <v>13</v>
      </c>
      <c r="W384" s="721" t="s">
        <v>979</v>
      </c>
      <c r="X384" s="721">
        <v>1</v>
      </c>
      <c r="Y384" s="721">
        <v>4</v>
      </c>
      <c r="Z384" s="721">
        <v>0.9304</v>
      </c>
      <c r="AA384" s="721">
        <v>6.9599999999999995E-2</v>
      </c>
      <c r="AB384" s="721">
        <v>0</v>
      </c>
      <c r="AC384" s="730"/>
    </row>
    <row r="385" spans="18:29">
      <c r="R385" s="721" t="str">
        <f t="shared" si="11"/>
        <v>WLCI1522M</v>
      </c>
      <c r="S385" s="672" t="s">
        <v>982</v>
      </c>
      <c r="T385" s="721">
        <v>22</v>
      </c>
      <c r="U385" s="721">
        <v>22</v>
      </c>
      <c r="V385" s="721" t="s">
        <v>13</v>
      </c>
      <c r="W385" s="721" t="s">
        <v>979</v>
      </c>
      <c r="X385" s="721">
        <v>1</v>
      </c>
      <c r="Y385" s="721">
        <v>4</v>
      </c>
      <c r="Z385" s="721">
        <v>0.9294</v>
      </c>
      <c r="AA385" s="721">
        <v>7.0599999999999996E-2</v>
      </c>
      <c r="AB385" s="721">
        <v>0</v>
      </c>
      <c r="AC385" s="730"/>
    </row>
    <row r="386" spans="18:29">
      <c r="R386" s="721" t="str">
        <f t="shared" si="11"/>
        <v>WLCI1523M</v>
      </c>
      <c r="S386" s="672" t="s">
        <v>982</v>
      </c>
      <c r="T386" s="721">
        <v>23</v>
      </c>
      <c r="U386" s="721">
        <v>23</v>
      </c>
      <c r="V386" s="721" t="s">
        <v>13</v>
      </c>
      <c r="W386" s="721" t="s">
        <v>979</v>
      </c>
      <c r="X386" s="721">
        <v>1</v>
      </c>
      <c r="Y386" s="721">
        <v>4</v>
      </c>
      <c r="Z386" s="721">
        <v>0.9284</v>
      </c>
      <c r="AA386" s="721">
        <v>7.1599999999999997E-2</v>
      </c>
      <c r="AB386" s="721">
        <v>0</v>
      </c>
      <c r="AC386" s="730"/>
    </row>
    <row r="387" spans="18:29">
      <c r="R387" s="721" t="str">
        <f t="shared" si="11"/>
        <v>WLCI1524M</v>
      </c>
      <c r="S387" s="672" t="s">
        <v>982</v>
      </c>
      <c r="T387" s="721">
        <v>24</v>
      </c>
      <c r="U387" s="721">
        <v>24</v>
      </c>
      <c r="V387" s="721" t="s">
        <v>13</v>
      </c>
      <c r="W387" s="721" t="s">
        <v>979</v>
      </c>
      <c r="X387" s="721">
        <v>1</v>
      </c>
      <c r="Y387" s="721">
        <v>4</v>
      </c>
      <c r="Z387" s="721">
        <v>0.92730000000000001</v>
      </c>
      <c r="AA387" s="721">
        <v>7.2700000000000001E-2</v>
      </c>
      <c r="AB387" s="721">
        <v>0</v>
      </c>
      <c r="AC387" s="730"/>
    </row>
    <row r="388" spans="18:29">
      <c r="R388" s="721" t="str">
        <f t="shared" si="11"/>
        <v>WLCI1525M</v>
      </c>
      <c r="S388" s="672" t="s">
        <v>982</v>
      </c>
      <c r="T388" s="721">
        <v>25</v>
      </c>
      <c r="U388" s="721">
        <v>25</v>
      </c>
      <c r="V388" s="721" t="s">
        <v>13</v>
      </c>
      <c r="W388" s="721" t="s">
        <v>979</v>
      </c>
      <c r="X388" s="721">
        <v>1</v>
      </c>
      <c r="Y388" s="721">
        <v>4</v>
      </c>
      <c r="Z388" s="721">
        <v>0.92620000000000002</v>
      </c>
      <c r="AA388" s="721">
        <v>7.3800000000000004E-2</v>
      </c>
      <c r="AB388" s="721">
        <v>0</v>
      </c>
      <c r="AC388" s="730"/>
    </row>
    <row r="389" spans="18:29">
      <c r="R389" s="721" t="str">
        <f t="shared" si="11"/>
        <v>WLCI1526M</v>
      </c>
      <c r="S389" s="672" t="s">
        <v>982</v>
      </c>
      <c r="T389" s="721">
        <v>26</v>
      </c>
      <c r="U389" s="721">
        <v>26</v>
      </c>
      <c r="V389" s="721" t="s">
        <v>13</v>
      </c>
      <c r="W389" s="721" t="s">
        <v>979</v>
      </c>
      <c r="X389" s="721">
        <v>1</v>
      </c>
      <c r="Y389" s="721">
        <v>4</v>
      </c>
      <c r="Z389" s="721">
        <v>0.92500000000000004</v>
      </c>
      <c r="AA389" s="721">
        <v>7.4999999999999997E-2</v>
      </c>
      <c r="AB389" s="721">
        <v>0</v>
      </c>
      <c r="AC389" s="730"/>
    </row>
    <row r="390" spans="18:29">
      <c r="R390" s="721" t="str">
        <f t="shared" si="11"/>
        <v>WLCI1527M</v>
      </c>
      <c r="S390" s="672" t="s">
        <v>982</v>
      </c>
      <c r="T390" s="721">
        <v>27</v>
      </c>
      <c r="U390" s="721">
        <v>27</v>
      </c>
      <c r="V390" s="721" t="s">
        <v>13</v>
      </c>
      <c r="W390" s="721" t="s">
        <v>979</v>
      </c>
      <c r="X390" s="721">
        <v>1</v>
      </c>
      <c r="Y390" s="721">
        <v>4</v>
      </c>
      <c r="Z390" s="721">
        <v>0.92410000000000003</v>
      </c>
      <c r="AA390" s="721">
        <v>7.5899999999999995E-2</v>
      </c>
      <c r="AB390" s="721">
        <v>0</v>
      </c>
      <c r="AC390" s="730"/>
    </row>
    <row r="391" spans="18:29">
      <c r="R391" s="721" t="str">
        <f t="shared" si="11"/>
        <v>WLCI1528M</v>
      </c>
      <c r="S391" s="672" t="s">
        <v>982</v>
      </c>
      <c r="T391" s="721">
        <v>28</v>
      </c>
      <c r="U391" s="721">
        <v>28</v>
      </c>
      <c r="V391" s="721" t="s">
        <v>13</v>
      </c>
      <c r="W391" s="721" t="s">
        <v>979</v>
      </c>
      <c r="X391" s="721">
        <v>1</v>
      </c>
      <c r="Y391" s="721">
        <v>4</v>
      </c>
      <c r="Z391" s="721">
        <v>0.92300000000000004</v>
      </c>
      <c r="AA391" s="721">
        <v>7.6999999999999999E-2</v>
      </c>
      <c r="AB391" s="721">
        <v>0</v>
      </c>
      <c r="AC391" s="730"/>
    </row>
    <row r="392" spans="18:29">
      <c r="R392" s="721" t="str">
        <f t="shared" si="11"/>
        <v>WLCI1529M</v>
      </c>
      <c r="S392" s="672" t="s">
        <v>982</v>
      </c>
      <c r="T392" s="721">
        <v>29</v>
      </c>
      <c r="U392" s="721">
        <v>29</v>
      </c>
      <c r="V392" s="721" t="s">
        <v>13</v>
      </c>
      <c r="W392" s="721" t="s">
        <v>979</v>
      </c>
      <c r="X392" s="721">
        <v>1</v>
      </c>
      <c r="Y392" s="721">
        <v>4</v>
      </c>
      <c r="Z392" s="721">
        <v>0.92179999999999995</v>
      </c>
      <c r="AA392" s="721">
        <v>7.8200000000000006E-2</v>
      </c>
      <c r="AB392" s="721">
        <v>0</v>
      </c>
      <c r="AC392" s="730"/>
    </row>
    <row r="393" spans="18:29">
      <c r="R393" s="721" t="str">
        <f t="shared" si="11"/>
        <v>WLCI1530M</v>
      </c>
      <c r="S393" s="672" t="s">
        <v>982</v>
      </c>
      <c r="T393" s="721">
        <v>30</v>
      </c>
      <c r="U393" s="721">
        <v>30</v>
      </c>
      <c r="V393" s="721" t="s">
        <v>13</v>
      </c>
      <c r="W393" s="721" t="s">
        <v>979</v>
      </c>
      <c r="X393" s="721">
        <v>1</v>
      </c>
      <c r="Y393" s="721">
        <v>4</v>
      </c>
      <c r="Z393" s="721">
        <v>0.92100000000000004</v>
      </c>
      <c r="AA393" s="721">
        <v>7.9000000000000001E-2</v>
      </c>
      <c r="AB393" s="721">
        <v>0</v>
      </c>
      <c r="AC393" s="730"/>
    </row>
    <row r="394" spans="18:29">
      <c r="R394" s="721" t="str">
        <f t="shared" si="11"/>
        <v>WLCI1531M</v>
      </c>
      <c r="S394" s="672" t="s">
        <v>982</v>
      </c>
      <c r="T394" s="721">
        <v>31</v>
      </c>
      <c r="U394" s="721">
        <v>31</v>
      </c>
      <c r="V394" s="721" t="s">
        <v>13</v>
      </c>
      <c r="W394" s="721" t="s">
        <v>979</v>
      </c>
      <c r="X394" s="721">
        <v>1</v>
      </c>
      <c r="Y394" s="721">
        <v>4</v>
      </c>
      <c r="Z394" s="721">
        <v>0.92</v>
      </c>
      <c r="AA394" s="721">
        <v>0.08</v>
      </c>
      <c r="AB394" s="721">
        <v>0</v>
      </c>
      <c r="AC394" s="730"/>
    </row>
    <row r="395" spans="18:29">
      <c r="R395" s="721" t="str">
        <f t="shared" si="11"/>
        <v>WLCI1532M</v>
      </c>
      <c r="S395" s="672" t="s">
        <v>982</v>
      </c>
      <c r="T395" s="721">
        <v>32</v>
      </c>
      <c r="U395" s="721">
        <v>32</v>
      </c>
      <c r="V395" s="721" t="s">
        <v>13</v>
      </c>
      <c r="W395" s="721" t="s">
        <v>979</v>
      </c>
      <c r="X395" s="721">
        <v>1</v>
      </c>
      <c r="Y395" s="721">
        <v>4</v>
      </c>
      <c r="Z395" s="721">
        <v>0.91890000000000005</v>
      </c>
      <c r="AA395" s="721">
        <v>8.1100000000000005E-2</v>
      </c>
      <c r="AB395" s="721">
        <v>0</v>
      </c>
      <c r="AC395" s="730"/>
    </row>
    <row r="396" spans="18:29">
      <c r="R396" s="721" t="str">
        <f t="shared" si="11"/>
        <v>WLCI1533M</v>
      </c>
      <c r="S396" s="672" t="s">
        <v>982</v>
      </c>
      <c r="T396" s="721">
        <v>33</v>
      </c>
      <c r="U396" s="721">
        <v>33</v>
      </c>
      <c r="V396" s="721" t="s">
        <v>13</v>
      </c>
      <c r="W396" s="721" t="s">
        <v>979</v>
      </c>
      <c r="X396" s="721">
        <v>1</v>
      </c>
      <c r="Y396" s="721">
        <v>4</v>
      </c>
      <c r="Z396" s="721">
        <v>0.91779999999999995</v>
      </c>
      <c r="AA396" s="721">
        <v>8.2199999999999995E-2</v>
      </c>
      <c r="AB396" s="721">
        <v>0</v>
      </c>
      <c r="AC396" s="730"/>
    </row>
    <row r="397" spans="18:29">
      <c r="R397" s="721" t="str">
        <f t="shared" si="11"/>
        <v>WLCI1534M</v>
      </c>
      <c r="S397" s="672" t="s">
        <v>982</v>
      </c>
      <c r="T397" s="721">
        <v>34</v>
      </c>
      <c r="U397" s="721">
        <v>34</v>
      </c>
      <c r="V397" s="721" t="s">
        <v>13</v>
      </c>
      <c r="W397" s="721" t="s">
        <v>979</v>
      </c>
      <c r="X397" s="721">
        <v>1</v>
      </c>
      <c r="Y397" s="721">
        <v>4</v>
      </c>
      <c r="Z397" s="721">
        <v>0.91710000000000003</v>
      </c>
      <c r="AA397" s="721">
        <v>8.2900000000000001E-2</v>
      </c>
      <c r="AB397" s="721">
        <v>0</v>
      </c>
      <c r="AC397" s="730"/>
    </row>
    <row r="398" spans="18:29">
      <c r="R398" s="721" t="str">
        <f t="shared" si="11"/>
        <v>WLCI1535M</v>
      </c>
      <c r="S398" s="672" t="s">
        <v>982</v>
      </c>
      <c r="T398" s="721">
        <v>35</v>
      </c>
      <c r="U398" s="721">
        <v>35</v>
      </c>
      <c r="V398" s="721" t="s">
        <v>13</v>
      </c>
      <c r="W398" s="721" t="s">
        <v>979</v>
      </c>
      <c r="X398" s="721">
        <v>1</v>
      </c>
      <c r="Y398" s="721">
        <v>4</v>
      </c>
      <c r="Z398" s="721">
        <v>0.91610000000000003</v>
      </c>
      <c r="AA398" s="721">
        <v>8.3900000000000002E-2</v>
      </c>
      <c r="AB398" s="721">
        <v>0</v>
      </c>
      <c r="AC398" s="730"/>
    </row>
    <row r="399" spans="18:29">
      <c r="R399" s="721" t="str">
        <f t="shared" si="11"/>
        <v>WLCI1536M</v>
      </c>
      <c r="S399" s="672" t="s">
        <v>982</v>
      </c>
      <c r="T399" s="721">
        <v>36</v>
      </c>
      <c r="U399" s="721">
        <v>36</v>
      </c>
      <c r="V399" s="721" t="s">
        <v>13</v>
      </c>
      <c r="W399" s="721" t="s">
        <v>979</v>
      </c>
      <c r="X399" s="721">
        <v>1</v>
      </c>
      <c r="Y399" s="721">
        <v>4</v>
      </c>
      <c r="Z399" s="721">
        <v>0.91500000000000004</v>
      </c>
      <c r="AA399" s="721">
        <v>8.5000000000000006E-2</v>
      </c>
      <c r="AB399" s="721">
        <v>0</v>
      </c>
      <c r="AC399" s="730"/>
    </row>
    <row r="400" spans="18:29">
      <c r="R400" s="721" t="str">
        <f t="shared" si="11"/>
        <v>WLCI1537M</v>
      </c>
      <c r="S400" s="672" t="s">
        <v>982</v>
      </c>
      <c r="T400" s="721">
        <v>37</v>
      </c>
      <c r="U400" s="721">
        <v>37</v>
      </c>
      <c r="V400" s="721" t="s">
        <v>13</v>
      </c>
      <c r="W400" s="721" t="s">
        <v>979</v>
      </c>
      <c r="X400" s="721">
        <v>1</v>
      </c>
      <c r="Y400" s="721">
        <v>4</v>
      </c>
      <c r="Z400" s="721">
        <v>0.91390000000000005</v>
      </c>
      <c r="AA400" s="721">
        <v>8.6099999999999996E-2</v>
      </c>
      <c r="AB400" s="721">
        <v>0</v>
      </c>
      <c r="AC400" s="730"/>
    </row>
    <row r="401" spans="18:29">
      <c r="R401" s="721" t="str">
        <f t="shared" si="11"/>
        <v>WLCI1538M</v>
      </c>
      <c r="S401" s="672" t="s">
        <v>982</v>
      </c>
      <c r="T401" s="721">
        <v>38</v>
      </c>
      <c r="U401" s="721">
        <v>38</v>
      </c>
      <c r="V401" s="721" t="s">
        <v>13</v>
      </c>
      <c r="W401" s="721" t="s">
        <v>979</v>
      </c>
      <c r="X401" s="721">
        <v>1</v>
      </c>
      <c r="Y401" s="721">
        <v>4</v>
      </c>
      <c r="Z401" s="721">
        <v>0.91300000000000003</v>
      </c>
      <c r="AA401" s="721">
        <v>8.6999999999999994E-2</v>
      </c>
      <c r="AB401" s="721">
        <v>0</v>
      </c>
      <c r="AC401" s="730"/>
    </row>
    <row r="402" spans="18:29">
      <c r="R402" s="721" t="str">
        <f t="shared" si="11"/>
        <v>WLCI1539M</v>
      </c>
      <c r="S402" s="672" t="s">
        <v>982</v>
      </c>
      <c r="T402" s="721">
        <v>39</v>
      </c>
      <c r="U402" s="721">
        <v>39</v>
      </c>
      <c r="V402" s="721" t="s">
        <v>13</v>
      </c>
      <c r="W402" s="721" t="s">
        <v>979</v>
      </c>
      <c r="X402" s="721">
        <v>1</v>
      </c>
      <c r="Y402" s="721">
        <v>4</v>
      </c>
      <c r="Z402" s="721">
        <v>0.91200000000000003</v>
      </c>
      <c r="AA402" s="721">
        <v>8.7999999999999995E-2</v>
      </c>
      <c r="AB402" s="721">
        <v>0</v>
      </c>
      <c r="AC402" s="730"/>
    </row>
    <row r="403" spans="18:29">
      <c r="R403" s="721" t="str">
        <f t="shared" si="11"/>
        <v>WLCI1540M</v>
      </c>
      <c r="S403" s="672" t="s">
        <v>982</v>
      </c>
      <c r="T403" s="721">
        <v>40</v>
      </c>
      <c r="U403" s="721">
        <v>40</v>
      </c>
      <c r="V403" s="721" t="s">
        <v>13</v>
      </c>
      <c r="W403" s="721" t="s">
        <v>979</v>
      </c>
      <c r="X403" s="721">
        <v>1</v>
      </c>
      <c r="Y403" s="721">
        <v>4</v>
      </c>
      <c r="Z403" s="721">
        <v>0.91090000000000004</v>
      </c>
      <c r="AA403" s="721">
        <v>8.9099999999999999E-2</v>
      </c>
      <c r="AB403" s="721">
        <v>0</v>
      </c>
      <c r="AC403" s="730"/>
    </row>
    <row r="404" spans="18:29">
      <c r="R404" s="721" t="str">
        <f t="shared" si="11"/>
        <v>WLCI1541M</v>
      </c>
      <c r="S404" s="672" t="s">
        <v>982</v>
      </c>
      <c r="T404" s="721">
        <v>41</v>
      </c>
      <c r="U404" s="721">
        <v>41</v>
      </c>
      <c r="V404" s="721" t="s">
        <v>13</v>
      </c>
      <c r="W404" s="721" t="s">
        <v>979</v>
      </c>
      <c r="X404" s="721">
        <v>1</v>
      </c>
      <c r="Y404" s="721">
        <v>4</v>
      </c>
      <c r="Z404" s="721">
        <v>0.90980000000000005</v>
      </c>
      <c r="AA404" s="721">
        <v>9.0200000000000002E-2</v>
      </c>
      <c r="AB404" s="721">
        <v>0</v>
      </c>
      <c r="AC404" s="730"/>
    </row>
    <row r="405" spans="18:29">
      <c r="R405" s="721" t="str">
        <f t="shared" si="11"/>
        <v>WLCI1542M</v>
      </c>
      <c r="S405" s="672" t="s">
        <v>982</v>
      </c>
      <c r="T405" s="721">
        <v>42</v>
      </c>
      <c r="U405" s="721">
        <v>42</v>
      </c>
      <c r="V405" s="721" t="s">
        <v>13</v>
      </c>
      <c r="W405" s="721" t="s">
        <v>979</v>
      </c>
      <c r="X405" s="721">
        <v>1</v>
      </c>
      <c r="Y405" s="721">
        <v>4</v>
      </c>
      <c r="Z405" s="721">
        <v>0.90869999999999995</v>
      </c>
      <c r="AA405" s="721">
        <v>9.1300000000000006E-2</v>
      </c>
      <c r="AB405" s="721">
        <v>0</v>
      </c>
      <c r="AC405" s="730"/>
    </row>
    <row r="406" spans="18:29">
      <c r="R406" s="721" t="str">
        <f t="shared" si="11"/>
        <v>WLCI1543M</v>
      </c>
      <c r="S406" s="672" t="s">
        <v>982</v>
      </c>
      <c r="T406" s="721">
        <v>43</v>
      </c>
      <c r="U406" s="721">
        <v>43</v>
      </c>
      <c r="V406" s="721" t="s">
        <v>13</v>
      </c>
      <c r="W406" s="721" t="s">
        <v>979</v>
      </c>
      <c r="X406" s="721">
        <v>1</v>
      </c>
      <c r="Y406" s="721">
        <v>4</v>
      </c>
      <c r="Z406" s="721">
        <v>0.90780000000000005</v>
      </c>
      <c r="AA406" s="721">
        <v>9.2200000000000004E-2</v>
      </c>
      <c r="AB406" s="721">
        <v>0</v>
      </c>
      <c r="AC406" s="730"/>
    </row>
    <row r="407" spans="18:29">
      <c r="R407" s="721" t="str">
        <f t="shared" si="11"/>
        <v>WLCI1544M</v>
      </c>
      <c r="S407" s="672" t="s">
        <v>982</v>
      </c>
      <c r="T407" s="721">
        <v>44</v>
      </c>
      <c r="U407" s="721">
        <v>44</v>
      </c>
      <c r="V407" s="721" t="s">
        <v>13</v>
      </c>
      <c r="W407" s="721" t="s">
        <v>979</v>
      </c>
      <c r="X407" s="721">
        <v>1</v>
      </c>
      <c r="Y407" s="721">
        <v>4</v>
      </c>
      <c r="Z407" s="721">
        <v>0.90720000000000001</v>
      </c>
      <c r="AA407" s="721">
        <v>9.2799999999999994E-2</v>
      </c>
      <c r="AB407" s="721">
        <v>0</v>
      </c>
      <c r="AC407" s="730"/>
    </row>
    <row r="408" spans="18:29">
      <c r="R408" s="721" t="str">
        <f t="shared" si="11"/>
        <v>WLCI1545M</v>
      </c>
      <c r="S408" s="672" t="s">
        <v>982</v>
      </c>
      <c r="T408" s="721">
        <v>45</v>
      </c>
      <c r="U408" s="721">
        <v>45</v>
      </c>
      <c r="V408" s="721" t="s">
        <v>13</v>
      </c>
      <c r="W408" s="721" t="s">
        <v>979</v>
      </c>
      <c r="X408" s="721">
        <v>1</v>
      </c>
      <c r="Y408" s="721">
        <v>4</v>
      </c>
      <c r="Z408" s="721">
        <v>0.90639999999999998</v>
      </c>
      <c r="AA408" s="721">
        <v>9.3600000000000003E-2</v>
      </c>
      <c r="AB408" s="721">
        <v>0</v>
      </c>
      <c r="AC408" s="730"/>
    </row>
    <row r="409" spans="18:29">
      <c r="R409" s="721" t="str">
        <f t="shared" si="11"/>
        <v>WLCI1546M</v>
      </c>
      <c r="S409" s="672" t="s">
        <v>982</v>
      </c>
      <c r="T409" s="721">
        <v>46</v>
      </c>
      <c r="U409" s="721">
        <v>46</v>
      </c>
      <c r="V409" s="721" t="s">
        <v>13</v>
      </c>
      <c r="W409" s="721" t="s">
        <v>979</v>
      </c>
      <c r="X409" s="721">
        <v>1</v>
      </c>
      <c r="Y409" s="721">
        <v>4</v>
      </c>
      <c r="Z409" s="721">
        <v>0.90620000000000001</v>
      </c>
      <c r="AA409" s="721">
        <v>9.3799999999999994E-2</v>
      </c>
      <c r="AB409" s="721">
        <v>0</v>
      </c>
      <c r="AC409" s="730"/>
    </row>
    <row r="410" spans="18:29">
      <c r="R410" s="721" t="str">
        <f t="shared" si="11"/>
        <v>WLCI1547M</v>
      </c>
      <c r="S410" s="672" t="s">
        <v>982</v>
      </c>
      <c r="T410" s="721">
        <v>47</v>
      </c>
      <c r="U410" s="721">
        <v>47</v>
      </c>
      <c r="V410" s="721" t="s">
        <v>13</v>
      </c>
      <c r="W410" s="721" t="s">
        <v>979</v>
      </c>
      <c r="X410" s="721">
        <v>1</v>
      </c>
      <c r="Y410" s="721">
        <v>4</v>
      </c>
      <c r="Z410" s="721">
        <v>0.90629999999999999</v>
      </c>
      <c r="AA410" s="721">
        <v>9.3700000000000006E-2</v>
      </c>
      <c r="AB410" s="721">
        <v>0</v>
      </c>
      <c r="AC410" s="730"/>
    </row>
    <row r="411" spans="18:29">
      <c r="R411" s="721" t="str">
        <f t="shared" si="11"/>
        <v>WLCI1548M</v>
      </c>
      <c r="S411" s="672" t="s">
        <v>982</v>
      </c>
      <c r="T411" s="721">
        <v>48</v>
      </c>
      <c r="U411" s="721">
        <v>48</v>
      </c>
      <c r="V411" s="721" t="s">
        <v>13</v>
      </c>
      <c r="W411" s="721" t="s">
        <v>979</v>
      </c>
      <c r="X411" s="721">
        <v>1</v>
      </c>
      <c r="Y411" s="721">
        <v>4</v>
      </c>
      <c r="Z411" s="721">
        <v>0.90639999999999998</v>
      </c>
      <c r="AA411" s="721">
        <v>9.3600000000000003E-2</v>
      </c>
      <c r="AB411" s="721">
        <v>0</v>
      </c>
      <c r="AC411" s="730"/>
    </row>
    <row r="412" spans="18:29">
      <c r="R412" s="721" t="str">
        <f t="shared" si="11"/>
        <v>WLCI1549M</v>
      </c>
      <c r="S412" s="672" t="s">
        <v>982</v>
      </c>
      <c r="T412" s="721">
        <v>49</v>
      </c>
      <c r="U412" s="721">
        <v>49</v>
      </c>
      <c r="V412" s="721" t="s">
        <v>13</v>
      </c>
      <c r="W412" s="721" t="s">
        <v>979</v>
      </c>
      <c r="X412" s="721">
        <v>1</v>
      </c>
      <c r="Y412" s="721">
        <v>4</v>
      </c>
      <c r="Z412" s="721">
        <v>0.90649999999999997</v>
      </c>
      <c r="AA412" s="721">
        <v>9.35E-2</v>
      </c>
      <c r="AB412" s="721">
        <v>0</v>
      </c>
      <c r="AC412" s="730"/>
    </row>
    <row r="413" spans="18:29">
      <c r="R413" s="721" t="str">
        <f t="shared" si="11"/>
        <v>WLCI1550M</v>
      </c>
      <c r="S413" s="672" t="s">
        <v>982</v>
      </c>
      <c r="T413" s="721">
        <v>50</v>
      </c>
      <c r="U413" s="721">
        <v>50</v>
      </c>
      <c r="V413" s="721" t="s">
        <v>13</v>
      </c>
      <c r="W413" s="721" t="s">
        <v>979</v>
      </c>
      <c r="X413" s="721">
        <v>1</v>
      </c>
      <c r="Y413" s="721">
        <v>4</v>
      </c>
      <c r="Z413" s="721">
        <v>0.90659999999999996</v>
      </c>
      <c r="AA413" s="721">
        <v>9.3399999999999997E-2</v>
      </c>
      <c r="AB413" s="721">
        <v>0</v>
      </c>
      <c r="AC413" s="730"/>
    </row>
    <row r="414" spans="18:29">
      <c r="R414" s="721" t="str">
        <f t="shared" si="11"/>
        <v>WLCI1551M</v>
      </c>
      <c r="S414" s="672" t="s">
        <v>982</v>
      </c>
      <c r="T414" s="721">
        <v>51</v>
      </c>
      <c r="U414" s="721">
        <v>51</v>
      </c>
      <c r="V414" s="721" t="s">
        <v>13</v>
      </c>
      <c r="W414" s="721" t="s">
        <v>979</v>
      </c>
      <c r="X414" s="721">
        <v>1</v>
      </c>
      <c r="Y414" s="721">
        <v>4</v>
      </c>
      <c r="Z414" s="721">
        <v>0.90629999999999999</v>
      </c>
      <c r="AA414" s="721">
        <v>9.3700000000000006E-2</v>
      </c>
      <c r="AB414" s="721">
        <v>0</v>
      </c>
      <c r="AC414" s="730"/>
    </row>
    <row r="415" spans="18:29">
      <c r="R415" s="721" t="str">
        <f t="shared" si="11"/>
        <v>WLCI1552M</v>
      </c>
      <c r="S415" s="672" t="s">
        <v>982</v>
      </c>
      <c r="T415" s="721">
        <v>52</v>
      </c>
      <c r="U415" s="721">
        <v>52</v>
      </c>
      <c r="V415" s="721" t="s">
        <v>13</v>
      </c>
      <c r="W415" s="721" t="s">
        <v>979</v>
      </c>
      <c r="X415" s="721">
        <v>1</v>
      </c>
      <c r="Y415" s="721">
        <v>4</v>
      </c>
      <c r="Z415" s="721">
        <v>0.90590000000000004</v>
      </c>
      <c r="AA415" s="721">
        <v>9.4100000000000003E-2</v>
      </c>
      <c r="AB415" s="721">
        <v>0</v>
      </c>
      <c r="AC415" s="730"/>
    </row>
    <row r="416" spans="18:29">
      <c r="R416" s="721" t="str">
        <f t="shared" si="11"/>
        <v>WLCI1553M</v>
      </c>
      <c r="S416" s="672" t="s">
        <v>982</v>
      </c>
      <c r="T416" s="721">
        <v>53</v>
      </c>
      <c r="U416" s="721">
        <v>53</v>
      </c>
      <c r="V416" s="721" t="s">
        <v>13</v>
      </c>
      <c r="W416" s="721" t="s">
        <v>979</v>
      </c>
      <c r="X416" s="721">
        <v>1</v>
      </c>
      <c r="Y416" s="721">
        <v>4</v>
      </c>
      <c r="Z416" s="721">
        <v>0.90529999999999999</v>
      </c>
      <c r="AA416" s="721">
        <v>9.4700000000000006E-2</v>
      </c>
      <c r="AB416" s="721">
        <v>0</v>
      </c>
      <c r="AC416" s="730"/>
    </row>
    <row r="417" spans="18:29">
      <c r="R417" s="721" t="str">
        <f t="shared" si="11"/>
        <v>WLCI1554M</v>
      </c>
      <c r="S417" s="672" t="s">
        <v>982</v>
      </c>
      <c r="T417" s="721">
        <v>54</v>
      </c>
      <c r="U417" s="721">
        <v>54</v>
      </c>
      <c r="V417" s="721" t="s">
        <v>13</v>
      </c>
      <c r="W417" s="721" t="s">
        <v>979</v>
      </c>
      <c r="X417" s="721">
        <v>1</v>
      </c>
      <c r="Y417" s="721">
        <v>4</v>
      </c>
      <c r="Z417" s="721">
        <v>0.90490000000000004</v>
      </c>
      <c r="AA417" s="721">
        <v>9.5100000000000004E-2</v>
      </c>
      <c r="AB417" s="721">
        <v>0</v>
      </c>
      <c r="AC417" s="730"/>
    </row>
    <row r="418" spans="18:29">
      <c r="R418" s="721" t="str">
        <f t="shared" si="11"/>
        <v>WLCI1555M</v>
      </c>
      <c r="S418" s="672" t="s">
        <v>982</v>
      </c>
      <c r="T418" s="721">
        <v>55</v>
      </c>
      <c r="U418" s="721">
        <v>55</v>
      </c>
      <c r="V418" s="721" t="s">
        <v>13</v>
      </c>
      <c r="W418" s="721" t="s">
        <v>979</v>
      </c>
      <c r="X418" s="721">
        <v>1</v>
      </c>
      <c r="Y418" s="721">
        <v>4</v>
      </c>
      <c r="Z418" s="721">
        <v>0.90429999999999999</v>
      </c>
      <c r="AA418" s="721">
        <v>9.5699999999999993E-2</v>
      </c>
      <c r="AB418" s="721">
        <v>0</v>
      </c>
      <c r="AC418" s="730"/>
    </row>
    <row r="419" spans="18:29">
      <c r="R419" s="721" t="str">
        <f t="shared" si="11"/>
        <v>WLCI1556M</v>
      </c>
      <c r="S419" s="672" t="s">
        <v>982</v>
      </c>
      <c r="T419" s="721">
        <v>56</v>
      </c>
      <c r="U419" s="721">
        <v>56</v>
      </c>
      <c r="V419" s="721" t="s">
        <v>13</v>
      </c>
      <c r="W419" s="721" t="s">
        <v>979</v>
      </c>
      <c r="X419" s="721">
        <v>1</v>
      </c>
      <c r="Y419" s="721">
        <v>4</v>
      </c>
      <c r="Z419" s="721">
        <v>0.90369999999999995</v>
      </c>
      <c r="AA419" s="721">
        <v>9.6299999999999997E-2</v>
      </c>
      <c r="AB419" s="721">
        <v>0</v>
      </c>
      <c r="AC419" s="730"/>
    </row>
    <row r="420" spans="18:29">
      <c r="R420" s="721" t="str">
        <f t="shared" si="11"/>
        <v>WLCI150F</v>
      </c>
      <c r="S420" s="672" t="s">
        <v>982</v>
      </c>
      <c r="T420" s="721">
        <v>0</v>
      </c>
      <c r="U420" s="721">
        <v>0</v>
      </c>
      <c r="V420" s="721" t="s">
        <v>14</v>
      </c>
      <c r="W420" s="721" t="s">
        <v>979</v>
      </c>
      <c r="X420" s="721">
        <v>1</v>
      </c>
      <c r="Y420" s="721">
        <v>4</v>
      </c>
      <c r="Z420" s="721">
        <v>0.93169999999999997</v>
      </c>
      <c r="AA420" s="721">
        <v>6.83E-2</v>
      </c>
      <c r="AB420" s="721">
        <v>0</v>
      </c>
      <c r="AC420" s="730"/>
    </row>
    <row r="421" spans="18:29">
      <c r="R421" s="721" t="str">
        <f t="shared" si="11"/>
        <v>WLCI151F</v>
      </c>
      <c r="S421" s="672" t="s">
        <v>982</v>
      </c>
      <c r="T421" s="721">
        <v>1</v>
      </c>
      <c r="U421" s="721">
        <v>1</v>
      </c>
      <c r="V421" s="721" t="s">
        <v>14</v>
      </c>
      <c r="W421" s="721" t="s">
        <v>979</v>
      </c>
      <c r="X421" s="721">
        <v>1</v>
      </c>
      <c r="Y421" s="721">
        <v>4</v>
      </c>
      <c r="Z421" s="721">
        <v>0.93149999999999999</v>
      </c>
      <c r="AA421" s="721">
        <v>6.8500000000000005E-2</v>
      </c>
      <c r="AB421" s="721">
        <v>0</v>
      </c>
      <c r="AC421" s="730"/>
    </row>
    <row r="422" spans="18:29">
      <c r="R422" s="721" t="str">
        <f t="shared" si="11"/>
        <v>WLCI152F</v>
      </c>
      <c r="S422" s="672" t="s">
        <v>982</v>
      </c>
      <c r="T422" s="721">
        <v>2</v>
      </c>
      <c r="U422" s="721">
        <v>2</v>
      </c>
      <c r="V422" s="721" t="s">
        <v>14</v>
      </c>
      <c r="W422" s="721" t="s">
        <v>979</v>
      </c>
      <c r="X422" s="721">
        <v>1</v>
      </c>
      <c r="Y422" s="721">
        <v>4</v>
      </c>
      <c r="Z422" s="721">
        <v>0.93140000000000001</v>
      </c>
      <c r="AA422" s="721">
        <v>6.8599999999999994E-2</v>
      </c>
      <c r="AB422" s="721">
        <v>0</v>
      </c>
      <c r="AC422" s="730"/>
    </row>
    <row r="423" spans="18:29">
      <c r="R423" s="721" t="str">
        <f t="shared" si="11"/>
        <v>WLCI153F</v>
      </c>
      <c r="S423" s="672" t="s">
        <v>982</v>
      </c>
      <c r="T423" s="721">
        <v>3</v>
      </c>
      <c r="U423" s="721">
        <v>3</v>
      </c>
      <c r="V423" s="721" t="s">
        <v>14</v>
      </c>
      <c r="W423" s="721" t="s">
        <v>979</v>
      </c>
      <c r="X423" s="721">
        <v>1</v>
      </c>
      <c r="Y423" s="721">
        <v>4</v>
      </c>
      <c r="Z423" s="721">
        <v>0.93049999999999999</v>
      </c>
      <c r="AA423" s="721">
        <v>6.9500000000000006E-2</v>
      </c>
      <c r="AB423" s="721">
        <v>0</v>
      </c>
      <c r="AC423" s="730"/>
    </row>
    <row r="424" spans="18:29">
      <c r="R424" s="721" t="str">
        <f t="shared" si="11"/>
        <v>WLCI154F</v>
      </c>
      <c r="S424" s="672" t="s">
        <v>982</v>
      </c>
      <c r="T424" s="721">
        <v>4</v>
      </c>
      <c r="U424" s="721">
        <v>4</v>
      </c>
      <c r="V424" s="721" t="s">
        <v>14</v>
      </c>
      <c r="W424" s="721" t="s">
        <v>979</v>
      </c>
      <c r="X424" s="721">
        <v>1</v>
      </c>
      <c r="Y424" s="721">
        <v>4</v>
      </c>
      <c r="Z424" s="721">
        <v>0.93010000000000004</v>
      </c>
      <c r="AA424" s="721">
        <v>6.9900000000000004E-2</v>
      </c>
      <c r="AB424" s="721">
        <v>0</v>
      </c>
      <c r="AC424" s="730"/>
    </row>
    <row r="425" spans="18:29">
      <c r="R425" s="721" t="str">
        <f t="shared" si="11"/>
        <v>WLCI155F</v>
      </c>
      <c r="S425" s="672" t="s">
        <v>982</v>
      </c>
      <c r="T425" s="721">
        <v>5</v>
      </c>
      <c r="U425" s="721">
        <v>5</v>
      </c>
      <c r="V425" s="721" t="s">
        <v>14</v>
      </c>
      <c r="W425" s="721" t="s">
        <v>979</v>
      </c>
      <c r="X425" s="721">
        <v>1</v>
      </c>
      <c r="Y425" s="721">
        <v>4</v>
      </c>
      <c r="Z425" s="721">
        <v>0.92979999999999996</v>
      </c>
      <c r="AA425" s="721">
        <v>7.0199999999999999E-2</v>
      </c>
      <c r="AB425" s="721">
        <v>0</v>
      </c>
      <c r="AC425" s="730"/>
    </row>
    <row r="426" spans="18:29">
      <c r="R426" s="721" t="str">
        <f t="shared" si="11"/>
        <v>WLCI156F</v>
      </c>
      <c r="S426" s="672" t="s">
        <v>982</v>
      </c>
      <c r="T426" s="721">
        <v>6</v>
      </c>
      <c r="U426" s="721">
        <v>6</v>
      </c>
      <c r="V426" s="721" t="s">
        <v>14</v>
      </c>
      <c r="W426" s="721" t="s">
        <v>979</v>
      </c>
      <c r="X426" s="721">
        <v>1</v>
      </c>
      <c r="Y426" s="721">
        <v>4</v>
      </c>
      <c r="Z426" s="721">
        <v>0.92910000000000004</v>
      </c>
      <c r="AA426" s="721">
        <v>7.0900000000000005E-2</v>
      </c>
      <c r="AB426" s="721">
        <v>0</v>
      </c>
      <c r="AC426" s="730"/>
    </row>
    <row r="427" spans="18:29">
      <c r="R427" s="721" t="str">
        <f t="shared" si="11"/>
        <v>WLCI157F</v>
      </c>
      <c r="S427" s="672" t="s">
        <v>982</v>
      </c>
      <c r="T427" s="721">
        <v>7</v>
      </c>
      <c r="U427" s="721">
        <v>7</v>
      </c>
      <c r="V427" s="721" t="s">
        <v>14</v>
      </c>
      <c r="W427" s="721" t="s">
        <v>979</v>
      </c>
      <c r="X427" s="721">
        <v>1</v>
      </c>
      <c r="Y427" s="721">
        <v>4</v>
      </c>
      <c r="Z427" s="721">
        <v>0.92849999999999999</v>
      </c>
      <c r="AA427" s="721">
        <v>7.1499999999999994E-2</v>
      </c>
      <c r="AB427" s="721">
        <v>0</v>
      </c>
      <c r="AC427" s="730"/>
    </row>
    <row r="428" spans="18:29">
      <c r="R428" s="721" t="str">
        <f t="shared" ref="R428:R491" si="12">S428&amp;T428&amp;V428</f>
        <v>WLCI158F</v>
      </c>
      <c r="S428" s="672" t="s">
        <v>982</v>
      </c>
      <c r="T428" s="721">
        <v>8</v>
      </c>
      <c r="U428" s="721">
        <v>8</v>
      </c>
      <c r="V428" s="721" t="s">
        <v>14</v>
      </c>
      <c r="W428" s="721" t="s">
        <v>979</v>
      </c>
      <c r="X428" s="721">
        <v>1</v>
      </c>
      <c r="Y428" s="721">
        <v>4</v>
      </c>
      <c r="Z428" s="721">
        <v>0.92759999999999998</v>
      </c>
      <c r="AA428" s="721">
        <v>7.2400000000000006E-2</v>
      </c>
      <c r="AB428" s="721">
        <v>0</v>
      </c>
      <c r="AC428" s="730"/>
    </row>
    <row r="429" spans="18:29">
      <c r="R429" s="721" t="str">
        <f t="shared" si="12"/>
        <v>WLCI159F</v>
      </c>
      <c r="S429" s="672" t="s">
        <v>982</v>
      </c>
      <c r="T429" s="721">
        <v>9</v>
      </c>
      <c r="U429" s="721">
        <v>9</v>
      </c>
      <c r="V429" s="721" t="s">
        <v>14</v>
      </c>
      <c r="W429" s="721" t="s">
        <v>979</v>
      </c>
      <c r="X429" s="721">
        <v>1</v>
      </c>
      <c r="Y429" s="721">
        <v>4</v>
      </c>
      <c r="Z429" s="721">
        <v>0.92720000000000002</v>
      </c>
      <c r="AA429" s="721">
        <v>7.2800000000000004E-2</v>
      </c>
      <c r="AB429" s="721">
        <v>0</v>
      </c>
      <c r="AC429" s="730"/>
    </row>
    <row r="430" spans="18:29">
      <c r="R430" s="721" t="str">
        <f t="shared" si="12"/>
        <v>WLCI1510F</v>
      </c>
      <c r="S430" s="672" t="s">
        <v>982</v>
      </c>
      <c r="T430" s="721">
        <v>10</v>
      </c>
      <c r="U430" s="721">
        <v>10</v>
      </c>
      <c r="V430" s="721" t="s">
        <v>14</v>
      </c>
      <c r="W430" s="721" t="s">
        <v>979</v>
      </c>
      <c r="X430" s="721">
        <v>1</v>
      </c>
      <c r="Y430" s="721">
        <v>4</v>
      </c>
      <c r="Z430" s="721">
        <v>0.92600000000000005</v>
      </c>
      <c r="AA430" s="721">
        <v>7.3999999999999996E-2</v>
      </c>
      <c r="AB430" s="721">
        <v>0</v>
      </c>
      <c r="AC430" s="730"/>
    </row>
    <row r="431" spans="18:29">
      <c r="R431" s="721" t="str">
        <f t="shared" si="12"/>
        <v>WLCI1511F</v>
      </c>
      <c r="S431" s="672" t="s">
        <v>982</v>
      </c>
      <c r="T431" s="721">
        <v>11</v>
      </c>
      <c r="U431" s="721">
        <v>11</v>
      </c>
      <c r="V431" s="721" t="s">
        <v>14</v>
      </c>
      <c r="W431" s="721" t="s">
        <v>979</v>
      </c>
      <c r="X431" s="721">
        <v>1</v>
      </c>
      <c r="Y431" s="721">
        <v>4</v>
      </c>
      <c r="Z431" s="721">
        <v>0.92530000000000001</v>
      </c>
      <c r="AA431" s="721">
        <v>7.4700000000000003E-2</v>
      </c>
      <c r="AB431" s="721">
        <v>0</v>
      </c>
      <c r="AC431" s="730"/>
    </row>
    <row r="432" spans="18:29">
      <c r="R432" s="721" t="str">
        <f t="shared" si="12"/>
        <v>WLCI1512F</v>
      </c>
      <c r="S432" s="672" t="s">
        <v>982</v>
      </c>
      <c r="T432" s="721">
        <v>12</v>
      </c>
      <c r="U432" s="721">
        <v>12</v>
      </c>
      <c r="V432" s="721" t="s">
        <v>14</v>
      </c>
      <c r="W432" s="721" t="s">
        <v>979</v>
      </c>
      <c r="X432" s="721">
        <v>1</v>
      </c>
      <c r="Y432" s="721">
        <v>4</v>
      </c>
      <c r="Z432" s="721">
        <v>0.9244</v>
      </c>
      <c r="AA432" s="721">
        <v>7.5600000000000001E-2</v>
      </c>
      <c r="AB432" s="721">
        <v>0</v>
      </c>
      <c r="AC432" s="730"/>
    </row>
    <row r="433" spans="18:29">
      <c r="R433" s="721" t="str">
        <f t="shared" si="12"/>
        <v>WLCI1513F</v>
      </c>
      <c r="S433" s="672" t="s">
        <v>982</v>
      </c>
      <c r="T433" s="721">
        <v>13</v>
      </c>
      <c r="U433" s="721">
        <v>13</v>
      </c>
      <c r="V433" s="721" t="s">
        <v>14</v>
      </c>
      <c r="W433" s="721" t="s">
        <v>979</v>
      </c>
      <c r="X433" s="721">
        <v>1</v>
      </c>
      <c r="Y433" s="721">
        <v>4</v>
      </c>
      <c r="Z433" s="721">
        <v>0.92379999999999995</v>
      </c>
      <c r="AA433" s="721">
        <v>7.6200000000000004E-2</v>
      </c>
      <c r="AB433" s="721">
        <v>0</v>
      </c>
      <c r="AC433" s="730"/>
    </row>
    <row r="434" spans="18:29">
      <c r="R434" s="721" t="str">
        <f t="shared" si="12"/>
        <v>WLCI1514F</v>
      </c>
      <c r="S434" s="672" t="s">
        <v>982</v>
      </c>
      <c r="T434" s="721">
        <v>14</v>
      </c>
      <c r="U434" s="721">
        <v>14</v>
      </c>
      <c r="V434" s="721" t="s">
        <v>14</v>
      </c>
      <c r="W434" s="721" t="s">
        <v>979</v>
      </c>
      <c r="X434" s="721">
        <v>1</v>
      </c>
      <c r="Y434" s="721">
        <v>4</v>
      </c>
      <c r="Z434" s="721">
        <v>0.92290000000000005</v>
      </c>
      <c r="AA434" s="721">
        <v>7.7100000000000002E-2</v>
      </c>
      <c r="AB434" s="721">
        <v>0</v>
      </c>
      <c r="AC434" s="730"/>
    </row>
    <row r="435" spans="18:29">
      <c r="R435" s="721" t="str">
        <f t="shared" si="12"/>
        <v>WLCI1515F</v>
      </c>
      <c r="S435" s="672" t="s">
        <v>982</v>
      </c>
      <c r="T435" s="721">
        <v>15</v>
      </c>
      <c r="U435" s="721">
        <v>15</v>
      </c>
      <c r="V435" s="721" t="s">
        <v>14</v>
      </c>
      <c r="W435" s="721" t="s">
        <v>979</v>
      </c>
      <c r="X435" s="721">
        <v>1</v>
      </c>
      <c r="Y435" s="721">
        <v>4</v>
      </c>
      <c r="Z435" s="721">
        <v>0.92210000000000003</v>
      </c>
      <c r="AA435" s="721">
        <v>7.7899999999999997E-2</v>
      </c>
      <c r="AB435" s="721">
        <v>0</v>
      </c>
      <c r="AC435" s="730"/>
    </row>
    <row r="436" spans="18:29">
      <c r="R436" s="721" t="str">
        <f t="shared" si="12"/>
        <v>WLCI1516F</v>
      </c>
      <c r="S436" s="672" t="s">
        <v>982</v>
      </c>
      <c r="T436" s="721">
        <v>16</v>
      </c>
      <c r="U436" s="721">
        <v>16</v>
      </c>
      <c r="V436" s="721" t="s">
        <v>14</v>
      </c>
      <c r="W436" s="721" t="s">
        <v>979</v>
      </c>
      <c r="X436" s="721">
        <v>1</v>
      </c>
      <c r="Y436" s="721">
        <v>4</v>
      </c>
      <c r="Z436" s="721">
        <v>0.92130000000000001</v>
      </c>
      <c r="AA436" s="721">
        <v>7.8700000000000006E-2</v>
      </c>
      <c r="AB436" s="721">
        <v>0</v>
      </c>
      <c r="AC436" s="730"/>
    </row>
    <row r="437" spans="18:29">
      <c r="R437" s="721" t="str">
        <f t="shared" si="12"/>
        <v>WLCI1517F</v>
      </c>
      <c r="S437" s="672" t="s">
        <v>982</v>
      </c>
      <c r="T437" s="721">
        <v>17</v>
      </c>
      <c r="U437" s="721">
        <v>17</v>
      </c>
      <c r="V437" s="721" t="s">
        <v>14</v>
      </c>
      <c r="W437" s="721" t="s">
        <v>979</v>
      </c>
      <c r="X437" s="721">
        <v>1</v>
      </c>
      <c r="Y437" s="721">
        <v>4</v>
      </c>
      <c r="Z437" s="721">
        <v>0.92030000000000001</v>
      </c>
      <c r="AA437" s="721">
        <v>7.9699999999999993E-2</v>
      </c>
      <c r="AB437" s="721">
        <v>0</v>
      </c>
      <c r="AC437" s="730"/>
    </row>
    <row r="438" spans="18:29">
      <c r="R438" s="721" t="str">
        <f t="shared" si="12"/>
        <v>WLCI1518F</v>
      </c>
      <c r="S438" s="672" t="s">
        <v>982</v>
      </c>
      <c r="T438" s="721">
        <v>18</v>
      </c>
      <c r="U438" s="721">
        <v>18</v>
      </c>
      <c r="V438" s="721" t="s">
        <v>14</v>
      </c>
      <c r="W438" s="721" t="s">
        <v>979</v>
      </c>
      <c r="X438" s="721">
        <v>1</v>
      </c>
      <c r="Y438" s="721">
        <v>4</v>
      </c>
      <c r="Z438" s="721">
        <v>0.91969999999999996</v>
      </c>
      <c r="AA438" s="721">
        <v>8.0299999999999996E-2</v>
      </c>
      <c r="AB438" s="721">
        <v>0</v>
      </c>
      <c r="AC438" s="730"/>
    </row>
    <row r="439" spans="18:29">
      <c r="R439" s="721" t="str">
        <f t="shared" si="12"/>
        <v>WLCI1519F</v>
      </c>
      <c r="S439" s="672" t="s">
        <v>982</v>
      </c>
      <c r="T439" s="721">
        <v>19</v>
      </c>
      <c r="U439" s="721">
        <v>19</v>
      </c>
      <c r="V439" s="721" t="s">
        <v>14</v>
      </c>
      <c r="W439" s="721" t="s">
        <v>979</v>
      </c>
      <c r="X439" s="721">
        <v>1</v>
      </c>
      <c r="Y439" s="721">
        <v>4</v>
      </c>
      <c r="Z439" s="721">
        <v>0.91879999999999995</v>
      </c>
      <c r="AA439" s="721">
        <v>8.1199999999999994E-2</v>
      </c>
      <c r="AB439" s="721">
        <v>0</v>
      </c>
      <c r="AC439" s="730"/>
    </row>
    <row r="440" spans="18:29">
      <c r="R440" s="721" t="str">
        <f t="shared" si="12"/>
        <v>WLCI1520F</v>
      </c>
      <c r="S440" s="672" t="s">
        <v>982</v>
      </c>
      <c r="T440" s="721">
        <v>20</v>
      </c>
      <c r="U440" s="721">
        <v>20</v>
      </c>
      <c r="V440" s="721" t="s">
        <v>14</v>
      </c>
      <c r="W440" s="721" t="s">
        <v>979</v>
      </c>
      <c r="X440" s="721">
        <v>1</v>
      </c>
      <c r="Y440" s="721">
        <v>4</v>
      </c>
      <c r="Z440" s="721">
        <v>0.91820000000000002</v>
      </c>
      <c r="AA440" s="721">
        <v>8.1799999999999998E-2</v>
      </c>
      <c r="AB440" s="721">
        <v>0</v>
      </c>
      <c r="AC440" s="730"/>
    </row>
    <row r="441" spans="18:29">
      <c r="R441" s="721" t="str">
        <f t="shared" si="12"/>
        <v>WLCI1521F</v>
      </c>
      <c r="S441" s="672" t="s">
        <v>982</v>
      </c>
      <c r="T441" s="721">
        <v>21</v>
      </c>
      <c r="U441" s="721">
        <v>21</v>
      </c>
      <c r="V441" s="721" t="s">
        <v>14</v>
      </c>
      <c r="W441" s="721" t="s">
        <v>979</v>
      </c>
      <c r="X441" s="721">
        <v>1</v>
      </c>
      <c r="Y441" s="721">
        <v>4</v>
      </c>
      <c r="Z441" s="721">
        <v>0.91749999999999998</v>
      </c>
      <c r="AA441" s="721">
        <v>8.2500000000000004E-2</v>
      </c>
      <c r="AB441" s="721">
        <v>0</v>
      </c>
      <c r="AC441" s="730"/>
    </row>
    <row r="442" spans="18:29">
      <c r="R442" s="721" t="str">
        <f t="shared" si="12"/>
        <v>WLCI1522F</v>
      </c>
      <c r="S442" s="672" t="s">
        <v>982</v>
      </c>
      <c r="T442" s="721">
        <v>22</v>
      </c>
      <c r="U442" s="721">
        <v>22</v>
      </c>
      <c r="V442" s="721" t="s">
        <v>14</v>
      </c>
      <c r="W442" s="721" t="s">
        <v>979</v>
      </c>
      <c r="X442" s="721">
        <v>1</v>
      </c>
      <c r="Y442" s="721">
        <v>4</v>
      </c>
      <c r="Z442" s="721">
        <v>0.91700000000000004</v>
      </c>
      <c r="AA442" s="721">
        <v>8.3000000000000004E-2</v>
      </c>
      <c r="AB442" s="721">
        <v>0</v>
      </c>
      <c r="AC442" s="730"/>
    </row>
    <row r="443" spans="18:29">
      <c r="R443" s="721" t="str">
        <f t="shared" si="12"/>
        <v>WLCI1523F</v>
      </c>
      <c r="S443" s="672" t="s">
        <v>982</v>
      </c>
      <c r="T443" s="721">
        <v>23</v>
      </c>
      <c r="U443" s="721">
        <v>23</v>
      </c>
      <c r="V443" s="721" t="s">
        <v>14</v>
      </c>
      <c r="W443" s="721" t="s">
        <v>979</v>
      </c>
      <c r="X443" s="721">
        <v>1</v>
      </c>
      <c r="Y443" s="721">
        <v>4</v>
      </c>
      <c r="Z443" s="721">
        <v>0.91669999999999996</v>
      </c>
      <c r="AA443" s="721">
        <v>8.3299999999999999E-2</v>
      </c>
      <c r="AB443" s="721">
        <v>0</v>
      </c>
      <c r="AC443" s="730"/>
    </row>
    <row r="444" spans="18:29">
      <c r="R444" s="721" t="str">
        <f t="shared" si="12"/>
        <v>WLCI1524F</v>
      </c>
      <c r="S444" s="672" t="s">
        <v>982</v>
      </c>
      <c r="T444" s="721">
        <v>24</v>
      </c>
      <c r="U444" s="721">
        <v>24</v>
      </c>
      <c r="V444" s="721" t="s">
        <v>14</v>
      </c>
      <c r="W444" s="721" t="s">
        <v>979</v>
      </c>
      <c r="X444" s="721">
        <v>1</v>
      </c>
      <c r="Y444" s="721">
        <v>4</v>
      </c>
      <c r="Z444" s="721">
        <v>0.91639999999999999</v>
      </c>
      <c r="AA444" s="721">
        <v>8.3599999999999994E-2</v>
      </c>
      <c r="AB444" s="721">
        <v>0</v>
      </c>
      <c r="AC444" s="730"/>
    </row>
    <row r="445" spans="18:29">
      <c r="R445" s="721" t="str">
        <f t="shared" si="12"/>
        <v>WLCI1525F</v>
      </c>
      <c r="S445" s="672" t="s">
        <v>982</v>
      </c>
      <c r="T445" s="721">
        <v>25</v>
      </c>
      <c r="U445" s="721">
        <v>25</v>
      </c>
      <c r="V445" s="721" t="s">
        <v>14</v>
      </c>
      <c r="W445" s="721" t="s">
        <v>979</v>
      </c>
      <c r="X445" s="721">
        <v>1</v>
      </c>
      <c r="Y445" s="721">
        <v>4</v>
      </c>
      <c r="Z445" s="721">
        <v>0.91610000000000003</v>
      </c>
      <c r="AA445" s="721">
        <v>8.3900000000000002E-2</v>
      </c>
      <c r="AB445" s="721">
        <v>0</v>
      </c>
      <c r="AC445" s="730"/>
    </row>
    <row r="446" spans="18:29">
      <c r="R446" s="721" t="str">
        <f t="shared" si="12"/>
        <v>WLCI1526F</v>
      </c>
      <c r="S446" s="672" t="s">
        <v>982</v>
      </c>
      <c r="T446" s="721">
        <v>26</v>
      </c>
      <c r="U446" s="721">
        <v>26</v>
      </c>
      <c r="V446" s="721" t="s">
        <v>14</v>
      </c>
      <c r="W446" s="721" t="s">
        <v>979</v>
      </c>
      <c r="X446" s="721">
        <v>1</v>
      </c>
      <c r="Y446" s="721">
        <v>4</v>
      </c>
      <c r="Z446" s="721">
        <v>0.91620000000000001</v>
      </c>
      <c r="AA446" s="721">
        <v>8.3799999999999999E-2</v>
      </c>
      <c r="AB446" s="721">
        <v>0</v>
      </c>
      <c r="AC446" s="730"/>
    </row>
    <row r="447" spans="18:29">
      <c r="R447" s="721" t="str">
        <f t="shared" si="12"/>
        <v>WLCI1527F</v>
      </c>
      <c r="S447" s="672" t="s">
        <v>982</v>
      </c>
      <c r="T447" s="721">
        <v>27</v>
      </c>
      <c r="U447" s="721">
        <v>27</v>
      </c>
      <c r="V447" s="721" t="s">
        <v>14</v>
      </c>
      <c r="W447" s="721" t="s">
        <v>979</v>
      </c>
      <c r="X447" s="721">
        <v>1</v>
      </c>
      <c r="Y447" s="721">
        <v>4</v>
      </c>
      <c r="Z447" s="721">
        <v>0.91600000000000004</v>
      </c>
      <c r="AA447" s="721">
        <v>8.4000000000000005E-2</v>
      </c>
      <c r="AB447" s="721">
        <v>0</v>
      </c>
      <c r="AC447" s="730"/>
    </row>
    <row r="448" spans="18:29">
      <c r="R448" s="721" t="str">
        <f t="shared" si="12"/>
        <v>WLCI1528F</v>
      </c>
      <c r="S448" s="672" t="s">
        <v>982</v>
      </c>
      <c r="T448" s="721">
        <v>28</v>
      </c>
      <c r="U448" s="721">
        <v>28</v>
      </c>
      <c r="V448" s="721" t="s">
        <v>14</v>
      </c>
      <c r="W448" s="721" t="s">
        <v>979</v>
      </c>
      <c r="X448" s="721">
        <v>1</v>
      </c>
      <c r="Y448" s="721">
        <v>4</v>
      </c>
      <c r="Z448" s="721">
        <v>0.91590000000000005</v>
      </c>
      <c r="AA448" s="721">
        <v>8.4099999999999994E-2</v>
      </c>
      <c r="AB448" s="721">
        <v>0</v>
      </c>
      <c r="AC448" s="730"/>
    </row>
    <row r="449" spans="18:29">
      <c r="R449" s="721" t="str">
        <f t="shared" si="12"/>
        <v>WLCI1529F</v>
      </c>
      <c r="S449" s="672" t="s">
        <v>982</v>
      </c>
      <c r="T449" s="721">
        <v>29</v>
      </c>
      <c r="U449" s="721">
        <v>29</v>
      </c>
      <c r="V449" s="721" t="s">
        <v>14</v>
      </c>
      <c r="W449" s="721" t="s">
        <v>979</v>
      </c>
      <c r="X449" s="721">
        <v>1</v>
      </c>
      <c r="Y449" s="721">
        <v>4</v>
      </c>
      <c r="Z449" s="721">
        <v>0.91559999999999997</v>
      </c>
      <c r="AA449" s="721">
        <v>8.4400000000000003E-2</v>
      </c>
      <c r="AB449" s="721">
        <v>0</v>
      </c>
      <c r="AC449" s="730"/>
    </row>
    <row r="450" spans="18:29">
      <c r="R450" s="721" t="str">
        <f t="shared" si="12"/>
        <v>WLCI1530F</v>
      </c>
      <c r="S450" s="672" t="s">
        <v>982</v>
      </c>
      <c r="T450" s="721">
        <v>30</v>
      </c>
      <c r="U450" s="721">
        <v>30</v>
      </c>
      <c r="V450" s="721" t="s">
        <v>14</v>
      </c>
      <c r="W450" s="721" t="s">
        <v>979</v>
      </c>
      <c r="X450" s="721">
        <v>1</v>
      </c>
      <c r="Y450" s="721">
        <v>4</v>
      </c>
      <c r="Z450" s="721">
        <v>0.91539999999999999</v>
      </c>
      <c r="AA450" s="721">
        <v>8.4599999999999995E-2</v>
      </c>
      <c r="AB450" s="721">
        <v>0</v>
      </c>
      <c r="AC450" s="730"/>
    </row>
    <row r="451" spans="18:29">
      <c r="R451" s="721" t="str">
        <f t="shared" si="12"/>
        <v>WLCI1531F</v>
      </c>
      <c r="S451" s="672" t="s">
        <v>982</v>
      </c>
      <c r="T451" s="721">
        <v>31</v>
      </c>
      <c r="U451" s="721">
        <v>31</v>
      </c>
      <c r="V451" s="721" t="s">
        <v>14</v>
      </c>
      <c r="W451" s="721" t="s">
        <v>979</v>
      </c>
      <c r="X451" s="721">
        <v>1</v>
      </c>
      <c r="Y451" s="721">
        <v>4</v>
      </c>
      <c r="Z451" s="721">
        <v>0.91469999999999996</v>
      </c>
      <c r="AA451" s="721">
        <v>8.5300000000000001E-2</v>
      </c>
      <c r="AB451" s="721">
        <v>0</v>
      </c>
      <c r="AC451" s="730"/>
    </row>
    <row r="452" spans="18:29">
      <c r="R452" s="721" t="str">
        <f t="shared" si="12"/>
        <v>WLCI1532F</v>
      </c>
      <c r="S452" s="672" t="s">
        <v>982</v>
      </c>
      <c r="T452" s="721">
        <v>32</v>
      </c>
      <c r="U452" s="721">
        <v>32</v>
      </c>
      <c r="V452" s="721" t="s">
        <v>14</v>
      </c>
      <c r="W452" s="721" t="s">
        <v>979</v>
      </c>
      <c r="X452" s="721">
        <v>1</v>
      </c>
      <c r="Y452" s="721">
        <v>4</v>
      </c>
      <c r="Z452" s="721">
        <v>0.91459999999999997</v>
      </c>
      <c r="AA452" s="721">
        <v>8.5400000000000004E-2</v>
      </c>
      <c r="AB452" s="721">
        <v>0</v>
      </c>
      <c r="AC452" s="730"/>
    </row>
    <row r="453" spans="18:29">
      <c r="R453" s="721" t="str">
        <f t="shared" si="12"/>
        <v>WLCI1533F</v>
      </c>
      <c r="S453" s="672" t="s">
        <v>982</v>
      </c>
      <c r="T453" s="721">
        <v>33</v>
      </c>
      <c r="U453" s="721">
        <v>33</v>
      </c>
      <c r="V453" s="721" t="s">
        <v>14</v>
      </c>
      <c r="W453" s="721" t="s">
        <v>979</v>
      </c>
      <c r="X453" s="721">
        <v>1</v>
      </c>
      <c r="Y453" s="721">
        <v>4</v>
      </c>
      <c r="Z453" s="721">
        <v>0.9143</v>
      </c>
      <c r="AA453" s="721">
        <v>8.5699999999999998E-2</v>
      </c>
      <c r="AB453" s="721">
        <v>0</v>
      </c>
      <c r="AC453" s="730"/>
    </row>
    <row r="454" spans="18:29">
      <c r="R454" s="721" t="str">
        <f t="shared" si="12"/>
        <v>WLCI1534F</v>
      </c>
      <c r="S454" s="672" t="s">
        <v>982</v>
      </c>
      <c r="T454" s="721">
        <v>34</v>
      </c>
      <c r="U454" s="721">
        <v>34</v>
      </c>
      <c r="V454" s="721" t="s">
        <v>14</v>
      </c>
      <c r="W454" s="721" t="s">
        <v>979</v>
      </c>
      <c r="X454" s="721">
        <v>1</v>
      </c>
      <c r="Y454" s="721">
        <v>4</v>
      </c>
      <c r="Z454" s="721">
        <v>0.91379999999999995</v>
      </c>
      <c r="AA454" s="721">
        <v>8.6199999999999999E-2</v>
      </c>
      <c r="AB454" s="721">
        <v>0</v>
      </c>
      <c r="AC454" s="730"/>
    </row>
    <row r="455" spans="18:29">
      <c r="R455" s="721" t="str">
        <f t="shared" si="12"/>
        <v>WLCI1535F</v>
      </c>
      <c r="S455" s="672" t="s">
        <v>982</v>
      </c>
      <c r="T455" s="721">
        <v>35</v>
      </c>
      <c r="U455" s="721">
        <v>35</v>
      </c>
      <c r="V455" s="721" t="s">
        <v>14</v>
      </c>
      <c r="W455" s="721" t="s">
        <v>979</v>
      </c>
      <c r="X455" s="721">
        <v>1</v>
      </c>
      <c r="Y455" s="721">
        <v>4</v>
      </c>
      <c r="Z455" s="721">
        <v>0.91369999999999996</v>
      </c>
      <c r="AA455" s="721">
        <v>8.6300000000000002E-2</v>
      </c>
      <c r="AB455" s="721">
        <v>0</v>
      </c>
      <c r="AC455" s="730"/>
    </row>
    <row r="456" spans="18:29">
      <c r="R456" s="721" t="str">
        <f t="shared" si="12"/>
        <v>WLCI1536F</v>
      </c>
      <c r="S456" s="672" t="s">
        <v>982</v>
      </c>
      <c r="T456" s="721">
        <v>36</v>
      </c>
      <c r="U456" s="721">
        <v>36</v>
      </c>
      <c r="V456" s="721" t="s">
        <v>14</v>
      </c>
      <c r="W456" s="721" t="s">
        <v>979</v>
      </c>
      <c r="X456" s="721">
        <v>1</v>
      </c>
      <c r="Y456" s="721">
        <v>4</v>
      </c>
      <c r="Z456" s="721">
        <v>0.91379999999999995</v>
      </c>
      <c r="AA456" s="721">
        <v>8.6199999999999999E-2</v>
      </c>
      <c r="AB456" s="721">
        <v>0</v>
      </c>
      <c r="AC456" s="730"/>
    </row>
    <row r="457" spans="18:29">
      <c r="R457" s="721" t="str">
        <f t="shared" si="12"/>
        <v>WLCI1537F</v>
      </c>
      <c r="S457" s="672" t="s">
        <v>982</v>
      </c>
      <c r="T457" s="721">
        <v>37</v>
      </c>
      <c r="U457" s="721">
        <v>37</v>
      </c>
      <c r="V457" s="721" t="s">
        <v>14</v>
      </c>
      <c r="W457" s="721" t="s">
        <v>979</v>
      </c>
      <c r="X457" s="721">
        <v>1</v>
      </c>
      <c r="Y457" s="721">
        <v>4</v>
      </c>
      <c r="Z457" s="721">
        <v>0.91390000000000005</v>
      </c>
      <c r="AA457" s="721">
        <v>8.6099999999999996E-2</v>
      </c>
      <c r="AB457" s="721">
        <v>0</v>
      </c>
      <c r="AC457" s="730"/>
    </row>
    <row r="458" spans="18:29">
      <c r="R458" s="721" t="str">
        <f t="shared" si="12"/>
        <v>WLCI1538F</v>
      </c>
      <c r="S458" s="672" t="s">
        <v>982</v>
      </c>
      <c r="T458" s="721">
        <v>38</v>
      </c>
      <c r="U458" s="721">
        <v>38</v>
      </c>
      <c r="V458" s="721" t="s">
        <v>14</v>
      </c>
      <c r="W458" s="721" t="s">
        <v>979</v>
      </c>
      <c r="X458" s="721">
        <v>1</v>
      </c>
      <c r="Y458" s="721">
        <v>4</v>
      </c>
      <c r="Z458" s="721">
        <v>0.91410000000000002</v>
      </c>
      <c r="AA458" s="721">
        <v>8.5900000000000004E-2</v>
      </c>
      <c r="AB458" s="721">
        <v>0</v>
      </c>
      <c r="AC458" s="730"/>
    </row>
    <row r="459" spans="18:29">
      <c r="R459" s="721" t="str">
        <f t="shared" si="12"/>
        <v>WLCI1539F</v>
      </c>
      <c r="S459" s="672" t="s">
        <v>982</v>
      </c>
      <c r="T459" s="721">
        <v>39</v>
      </c>
      <c r="U459" s="721">
        <v>39</v>
      </c>
      <c r="V459" s="721" t="s">
        <v>14</v>
      </c>
      <c r="W459" s="721" t="s">
        <v>979</v>
      </c>
      <c r="X459" s="721">
        <v>1</v>
      </c>
      <c r="Y459" s="721">
        <v>4</v>
      </c>
      <c r="Z459" s="721">
        <v>0.9143</v>
      </c>
      <c r="AA459" s="721">
        <v>8.5699999999999998E-2</v>
      </c>
      <c r="AB459" s="721">
        <v>0</v>
      </c>
      <c r="AC459" s="730"/>
    </row>
    <row r="460" spans="18:29">
      <c r="R460" s="721" t="str">
        <f t="shared" si="12"/>
        <v>WLCI1540F</v>
      </c>
      <c r="S460" s="672" t="s">
        <v>982</v>
      </c>
      <c r="T460" s="721">
        <v>40</v>
      </c>
      <c r="U460" s="721">
        <v>40</v>
      </c>
      <c r="V460" s="721" t="s">
        <v>14</v>
      </c>
      <c r="W460" s="721" t="s">
        <v>979</v>
      </c>
      <c r="X460" s="721">
        <v>1</v>
      </c>
      <c r="Y460" s="721">
        <v>4</v>
      </c>
      <c r="Z460" s="721">
        <v>0.91459999999999997</v>
      </c>
      <c r="AA460" s="721">
        <v>8.5400000000000004E-2</v>
      </c>
      <c r="AB460" s="721">
        <v>0</v>
      </c>
      <c r="AC460" s="730"/>
    </row>
    <row r="461" spans="18:29">
      <c r="R461" s="721" t="str">
        <f t="shared" si="12"/>
        <v>WLCI1541F</v>
      </c>
      <c r="S461" s="672" t="s">
        <v>982</v>
      </c>
      <c r="T461" s="721">
        <v>41</v>
      </c>
      <c r="U461" s="721">
        <v>41</v>
      </c>
      <c r="V461" s="721" t="s">
        <v>14</v>
      </c>
      <c r="W461" s="721" t="s">
        <v>979</v>
      </c>
      <c r="X461" s="721">
        <v>1</v>
      </c>
      <c r="Y461" s="721">
        <v>4</v>
      </c>
      <c r="Z461" s="721">
        <v>0.91449999999999998</v>
      </c>
      <c r="AA461" s="721">
        <v>8.5500000000000007E-2</v>
      </c>
      <c r="AB461" s="721">
        <v>0</v>
      </c>
      <c r="AC461" s="730"/>
    </row>
    <row r="462" spans="18:29">
      <c r="R462" s="721" t="str">
        <f t="shared" si="12"/>
        <v>WLCI1542F</v>
      </c>
      <c r="S462" s="672" t="s">
        <v>982</v>
      </c>
      <c r="T462" s="721">
        <v>42</v>
      </c>
      <c r="U462" s="721">
        <v>42</v>
      </c>
      <c r="V462" s="721" t="s">
        <v>14</v>
      </c>
      <c r="W462" s="721" t="s">
        <v>979</v>
      </c>
      <c r="X462" s="721">
        <v>1</v>
      </c>
      <c r="Y462" s="721">
        <v>4</v>
      </c>
      <c r="Z462" s="721">
        <v>0.91500000000000004</v>
      </c>
      <c r="AA462" s="721">
        <v>8.5000000000000006E-2</v>
      </c>
      <c r="AB462" s="721">
        <v>0</v>
      </c>
      <c r="AC462" s="730"/>
    </row>
    <row r="463" spans="18:29">
      <c r="R463" s="721" t="str">
        <f t="shared" si="12"/>
        <v>WLCI1543F</v>
      </c>
      <c r="S463" s="672" t="s">
        <v>982</v>
      </c>
      <c r="T463" s="721">
        <v>43</v>
      </c>
      <c r="U463" s="721">
        <v>43</v>
      </c>
      <c r="V463" s="721" t="s">
        <v>14</v>
      </c>
      <c r="W463" s="721" t="s">
        <v>979</v>
      </c>
      <c r="X463" s="721">
        <v>1</v>
      </c>
      <c r="Y463" s="721">
        <v>4</v>
      </c>
      <c r="Z463" s="721">
        <v>0.91520000000000001</v>
      </c>
      <c r="AA463" s="721">
        <v>8.48E-2</v>
      </c>
      <c r="AB463" s="721">
        <v>0</v>
      </c>
      <c r="AC463" s="730"/>
    </row>
    <row r="464" spans="18:29">
      <c r="R464" s="721" t="str">
        <f t="shared" si="12"/>
        <v>WLCI1544F</v>
      </c>
      <c r="S464" s="672" t="s">
        <v>982</v>
      </c>
      <c r="T464" s="721">
        <v>44</v>
      </c>
      <c r="U464" s="721">
        <v>44</v>
      </c>
      <c r="V464" s="721" t="s">
        <v>14</v>
      </c>
      <c r="W464" s="721" t="s">
        <v>979</v>
      </c>
      <c r="X464" s="721">
        <v>1</v>
      </c>
      <c r="Y464" s="721">
        <v>4</v>
      </c>
      <c r="Z464" s="721">
        <v>0.91590000000000005</v>
      </c>
      <c r="AA464" s="721">
        <v>8.4099999999999994E-2</v>
      </c>
      <c r="AB464" s="721">
        <v>0</v>
      </c>
      <c r="AC464" s="730"/>
    </row>
    <row r="465" spans="18:29">
      <c r="R465" s="721" t="str">
        <f t="shared" si="12"/>
        <v>WLCI1545F</v>
      </c>
      <c r="S465" s="672" t="s">
        <v>982</v>
      </c>
      <c r="T465" s="721">
        <v>45</v>
      </c>
      <c r="U465" s="721">
        <v>45</v>
      </c>
      <c r="V465" s="721" t="s">
        <v>14</v>
      </c>
      <c r="W465" s="721" t="s">
        <v>979</v>
      </c>
      <c r="X465" s="721">
        <v>1</v>
      </c>
      <c r="Y465" s="721">
        <v>4</v>
      </c>
      <c r="Z465" s="721">
        <v>0.91679999999999995</v>
      </c>
      <c r="AA465" s="721">
        <v>8.3199999999999996E-2</v>
      </c>
      <c r="AB465" s="721">
        <v>0</v>
      </c>
      <c r="AC465" s="730"/>
    </row>
    <row r="466" spans="18:29">
      <c r="R466" s="721" t="str">
        <f t="shared" si="12"/>
        <v>WLCI1546F</v>
      </c>
      <c r="S466" s="672" t="s">
        <v>982</v>
      </c>
      <c r="T466" s="721">
        <v>46</v>
      </c>
      <c r="U466" s="721">
        <v>46</v>
      </c>
      <c r="V466" s="721" t="s">
        <v>14</v>
      </c>
      <c r="W466" s="721" t="s">
        <v>979</v>
      </c>
      <c r="X466" s="721">
        <v>1</v>
      </c>
      <c r="Y466" s="721">
        <v>4</v>
      </c>
      <c r="Z466" s="721">
        <v>0.91810000000000003</v>
      </c>
      <c r="AA466" s="721">
        <v>8.1900000000000001E-2</v>
      </c>
      <c r="AB466" s="721">
        <v>0</v>
      </c>
      <c r="AC466" s="730"/>
    </row>
    <row r="467" spans="18:29">
      <c r="R467" s="721" t="str">
        <f t="shared" si="12"/>
        <v>WLCI1547F</v>
      </c>
      <c r="S467" s="672" t="s">
        <v>982</v>
      </c>
      <c r="T467" s="721">
        <v>47</v>
      </c>
      <c r="U467" s="721">
        <v>47</v>
      </c>
      <c r="V467" s="721" t="s">
        <v>14</v>
      </c>
      <c r="W467" s="721" t="s">
        <v>979</v>
      </c>
      <c r="X467" s="721">
        <v>1</v>
      </c>
      <c r="Y467" s="721">
        <v>4</v>
      </c>
      <c r="Z467" s="721">
        <v>0.91979999999999995</v>
      </c>
      <c r="AA467" s="721">
        <v>8.0199999999999994E-2</v>
      </c>
      <c r="AB467" s="721">
        <v>0</v>
      </c>
      <c r="AC467" s="730"/>
    </row>
    <row r="468" spans="18:29">
      <c r="R468" s="721" t="str">
        <f t="shared" si="12"/>
        <v>WLCI1548F</v>
      </c>
      <c r="S468" s="672" t="s">
        <v>982</v>
      </c>
      <c r="T468" s="721">
        <v>48</v>
      </c>
      <c r="U468" s="721">
        <v>48</v>
      </c>
      <c r="V468" s="721" t="s">
        <v>14</v>
      </c>
      <c r="W468" s="721" t="s">
        <v>979</v>
      </c>
      <c r="X468" s="721">
        <v>1</v>
      </c>
      <c r="Y468" s="721">
        <v>4</v>
      </c>
      <c r="Z468" s="721">
        <v>0.92149999999999999</v>
      </c>
      <c r="AA468" s="721">
        <v>7.85E-2</v>
      </c>
      <c r="AB468" s="721">
        <v>0</v>
      </c>
      <c r="AC468" s="730"/>
    </row>
    <row r="469" spans="18:29">
      <c r="R469" s="721" t="str">
        <f t="shared" si="12"/>
        <v>WLCI1549F</v>
      </c>
      <c r="S469" s="672" t="s">
        <v>982</v>
      </c>
      <c r="T469" s="721">
        <v>49</v>
      </c>
      <c r="U469" s="721">
        <v>49</v>
      </c>
      <c r="V469" s="721" t="s">
        <v>14</v>
      </c>
      <c r="W469" s="721" t="s">
        <v>979</v>
      </c>
      <c r="X469" s="721">
        <v>1</v>
      </c>
      <c r="Y469" s="721">
        <v>4</v>
      </c>
      <c r="Z469" s="721">
        <v>0.9234</v>
      </c>
      <c r="AA469" s="721">
        <v>7.6600000000000001E-2</v>
      </c>
      <c r="AB469" s="721">
        <v>0</v>
      </c>
      <c r="AC469" s="730"/>
    </row>
    <row r="470" spans="18:29">
      <c r="R470" s="721" t="str">
        <f t="shared" si="12"/>
        <v>WLCI1550F</v>
      </c>
      <c r="S470" s="672" t="s">
        <v>982</v>
      </c>
      <c r="T470" s="721">
        <v>50</v>
      </c>
      <c r="U470" s="721">
        <v>50</v>
      </c>
      <c r="V470" s="721" t="s">
        <v>14</v>
      </c>
      <c r="W470" s="721" t="s">
        <v>979</v>
      </c>
      <c r="X470" s="721">
        <v>1</v>
      </c>
      <c r="Y470" s="721">
        <v>4</v>
      </c>
      <c r="Z470" s="721">
        <v>0.92520000000000002</v>
      </c>
      <c r="AA470" s="721">
        <v>7.4800000000000005E-2</v>
      </c>
      <c r="AB470" s="721">
        <v>0</v>
      </c>
      <c r="AC470" s="730"/>
    </row>
    <row r="471" spans="18:29">
      <c r="R471" s="721" t="str">
        <f t="shared" si="12"/>
        <v>WLCI1551F</v>
      </c>
      <c r="S471" s="672" t="s">
        <v>982</v>
      </c>
      <c r="T471" s="721">
        <v>51</v>
      </c>
      <c r="U471" s="721">
        <v>51</v>
      </c>
      <c r="V471" s="721" t="s">
        <v>14</v>
      </c>
      <c r="W471" s="721" t="s">
        <v>979</v>
      </c>
      <c r="X471" s="721">
        <v>1</v>
      </c>
      <c r="Y471" s="721">
        <v>4</v>
      </c>
      <c r="Z471" s="721">
        <v>0.92659999999999998</v>
      </c>
      <c r="AA471" s="721">
        <v>7.3400000000000007E-2</v>
      </c>
      <c r="AB471" s="721">
        <v>0</v>
      </c>
      <c r="AC471" s="730"/>
    </row>
    <row r="472" spans="18:29">
      <c r="R472" s="721" t="str">
        <f t="shared" si="12"/>
        <v>WLCI1552F</v>
      </c>
      <c r="S472" s="672" t="s">
        <v>982</v>
      </c>
      <c r="T472" s="721">
        <v>52</v>
      </c>
      <c r="U472" s="721">
        <v>52</v>
      </c>
      <c r="V472" s="721" t="s">
        <v>14</v>
      </c>
      <c r="W472" s="721" t="s">
        <v>979</v>
      </c>
      <c r="X472" s="721">
        <v>1</v>
      </c>
      <c r="Y472" s="721">
        <v>4</v>
      </c>
      <c r="Z472" s="721">
        <v>0.92779999999999996</v>
      </c>
      <c r="AA472" s="721">
        <v>7.22E-2</v>
      </c>
      <c r="AB472" s="721">
        <v>0</v>
      </c>
      <c r="AC472" s="730"/>
    </row>
    <row r="473" spans="18:29">
      <c r="R473" s="721" t="str">
        <f t="shared" si="12"/>
        <v>WLCI1553F</v>
      </c>
      <c r="S473" s="672" t="s">
        <v>982</v>
      </c>
      <c r="T473" s="721">
        <v>53</v>
      </c>
      <c r="U473" s="721">
        <v>53</v>
      </c>
      <c r="V473" s="721" t="s">
        <v>14</v>
      </c>
      <c r="W473" s="721" t="s">
        <v>979</v>
      </c>
      <c r="X473" s="721">
        <v>1</v>
      </c>
      <c r="Y473" s="721">
        <v>4</v>
      </c>
      <c r="Z473" s="721">
        <v>0.92849999999999999</v>
      </c>
      <c r="AA473" s="721">
        <v>7.1499999999999994E-2</v>
      </c>
      <c r="AB473" s="721">
        <v>0</v>
      </c>
      <c r="AC473" s="730"/>
    </row>
    <row r="474" spans="18:29">
      <c r="R474" s="721" t="str">
        <f t="shared" si="12"/>
        <v>WLCI1554F</v>
      </c>
      <c r="S474" s="672" t="s">
        <v>982</v>
      </c>
      <c r="T474" s="721">
        <v>54</v>
      </c>
      <c r="U474" s="721">
        <v>54</v>
      </c>
      <c r="V474" s="721" t="s">
        <v>14</v>
      </c>
      <c r="W474" s="721" t="s">
        <v>979</v>
      </c>
      <c r="X474" s="721">
        <v>1</v>
      </c>
      <c r="Y474" s="721">
        <v>4</v>
      </c>
      <c r="Z474" s="721">
        <v>0.92869999999999997</v>
      </c>
      <c r="AA474" s="721">
        <v>7.1300000000000002E-2</v>
      </c>
      <c r="AB474" s="721">
        <v>0</v>
      </c>
      <c r="AC474" s="730"/>
    </row>
    <row r="475" spans="18:29">
      <c r="R475" s="721" t="str">
        <f t="shared" si="12"/>
        <v>WLCI1555F</v>
      </c>
      <c r="S475" s="672" t="s">
        <v>982</v>
      </c>
      <c r="T475" s="721">
        <v>55</v>
      </c>
      <c r="U475" s="721">
        <v>55</v>
      </c>
      <c r="V475" s="721" t="s">
        <v>14</v>
      </c>
      <c r="W475" s="721" t="s">
        <v>979</v>
      </c>
      <c r="X475" s="721">
        <v>1</v>
      </c>
      <c r="Y475" s="721">
        <v>4</v>
      </c>
      <c r="Z475" s="721">
        <v>0.92859999999999998</v>
      </c>
      <c r="AA475" s="721">
        <v>7.1400000000000005E-2</v>
      </c>
      <c r="AB475" s="721">
        <v>0</v>
      </c>
      <c r="AC475" s="730"/>
    </row>
    <row r="476" spans="18:29">
      <c r="R476" s="721" t="str">
        <f t="shared" si="12"/>
        <v>WLCI1556F</v>
      </c>
      <c r="S476" s="672" t="s">
        <v>982</v>
      </c>
      <c r="T476" s="721">
        <v>56</v>
      </c>
      <c r="U476" s="721">
        <v>56</v>
      </c>
      <c r="V476" s="721" t="s">
        <v>14</v>
      </c>
      <c r="W476" s="721" t="s">
        <v>979</v>
      </c>
      <c r="X476" s="721">
        <v>1</v>
      </c>
      <c r="Y476" s="721">
        <v>4</v>
      </c>
      <c r="Z476" s="721">
        <v>0.92810000000000004</v>
      </c>
      <c r="AA476" s="721">
        <v>7.1900000000000006E-2</v>
      </c>
      <c r="AB476" s="721">
        <v>0</v>
      </c>
      <c r="AC476" s="730"/>
    </row>
    <row r="477" spans="18:29">
      <c r="R477" s="721" t="str">
        <f t="shared" si="12"/>
        <v>WLCI200M</v>
      </c>
      <c r="S477" s="672" t="s">
        <v>983</v>
      </c>
      <c r="T477" s="721">
        <v>0</v>
      </c>
      <c r="U477" s="721">
        <v>0</v>
      </c>
      <c r="V477" s="721" t="s">
        <v>13</v>
      </c>
      <c r="W477" s="721" t="s">
        <v>979</v>
      </c>
      <c r="X477" s="721">
        <v>1</v>
      </c>
      <c r="Y477" s="721">
        <v>4</v>
      </c>
      <c r="Z477" s="721">
        <v>0.93369999999999997</v>
      </c>
      <c r="AA477" s="721">
        <v>6.6299999999999998E-2</v>
      </c>
      <c r="AB477" s="721">
        <v>0</v>
      </c>
      <c r="AC477" s="730"/>
    </row>
    <row r="478" spans="18:29">
      <c r="R478" s="721" t="str">
        <f t="shared" si="12"/>
        <v>WLCI201M</v>
      </c>
      <c r="S478" s="672" t="s">
        <v>983</v>
      </c>
      <c r="T478" s="721">
        <v>1</v>
      </c>
      <c r="U478" s="721">
        <v>1</v>
      </c>
      <c r="V478" s="721" t="s">
        <v>13</v>
      </c>
      <c r="W478" s="721" t="s">
        <v>979</v>
      </c>
      <c r="X478" s="721">
        <v>1</v>
      </c>
      <c r="Y478" s="721">
        <v>4</v>
      </c>
      <c r="Z478" s="721">
        <v>0.93430000000000002</v>
      </c>
      <c r="AA478" s="721">
        <v>6.5699999999999995E-2</v>
      </c>
      <c r="AB478" s="721">
        <v>0</v>
      </c>
      <c r="AC478" s="730"/>
    </row>
    <row r="479" spans="18:29">
      <c r="R479" s="721" t="str">
        <f t="shared" si="12"/>
        <v>WLCI202M</v>
      </c>
      <c r="S479" s="672" t="s">
        <v>983</v>
      </c>
      <c r="T479" s="721">
        <v>2</v>
      </c>
      <c r="U479" s="721">
        <v>2</v>
      </c>
      <c r="V479" s="721" t="s">
        <v>13</v>
      </c>
      <c r="W479" s="721" t="s">
        <v>979</v>
      </c>
      <c r="X479" s="721">
        <v>1</v>
      </c>
      <c r="Y479" s="721">
        <v>4</v>
      </c>
      <c r="Z479" s="721">
        <v>0.93459999999999999</v>
      </c>
      <c r="AA479" s="721">
        <v>6.54E-2</v>
      </c>
      <c r="AB479" s="721">
        <v>0</v>
      </c>
      <c r="AC479" s="730"/>
    </row>
    <row r="480" spans="18:29">
      <c r="R480" s="721" t="str">
        <f t="shared" si="12"/>
        <v>WLCI203M</v>
      </c>
      <c r="S480" s="672" t="s">
        <v>983</v>
      </c>
      <c r="T480" s="721">
        <v>3</v>
      </c>
      <c r="U480" s="721">
        <v>3</v>
      </c>
      <c r="V480" s="721" t="s">
        <v>13</v>
      </c>
      <c r="W480" s="721" t="s">
        <v>979</v>
      </c>
      <c r="X480" s="721">
        <v>1</v>
      </c>
      <c r="Y480" s="721">
        <v>4</v>
      </c>
      <c r="Z480" s="721">
        <v>0.93540000000000001</v>
      </c>
      <c r="AA480" s="721">
        <v>6.4600000000000005E-2</v>
      </c>
      <c r="AB480" s="721">
        <v>0</v>
      </c>
      <c r="AC480" s="730"/>
    </row>
    <row r="481" spans="18:29">
      <c r="R481" s="721" t="str">
        <f t="shared" si="12"/>
        <v>WLCI204M</v>
      </c>
      <c r="S481" s="672" t="s">
        <v>983</v>
      </c>
      <c r="T481" s="721">
        <v>4</v>
      </c>
      <c r="U481" s="721">
        <v>4</v>
      </c>
      <c r="V481" s="721" t="s">
        <v>13</v>
      </c>
      <c r="W481" s="721" t="s">
        <v>979</v>
      </c>
      <c r="X481" s="721">
        <v>1</v>
      </c>
      <c r="Y481" s="721">
        <v>4</v>
      </c>
      <c r="Z481" s="721">
        <v>0.93579999999999997</v>
      </c>
      <c r="AA481" s="721">
        <v>6.4199999999999993E-2</v>
      </c>
      <c r="AB481" s="721">
        <v>0</v>
      </c>
      <c r="AC481" s="730"/>
    </row>
    <row r="482" spans="18:29">
      <c r="R482" s="721" t="str">
        <f t="shared" si="12"/>
        <v>WLCI205M</v>
      </c>
      <c r="S482" s="672" t="s">
        <v>983</v>
      </c>
      <c r="T482" s="721">
        <v>5</v>
      </c>
      <c r="U482" s="721">
        <v>5</v>
      </c>
      <c r="V482" s="721" t="s">
        <v>13</v>
      </c>
      <c r="W482" s="721" t="s">
        <v>979</v>
      </c>
      <c r="X482" s="721">
        <v>1</v>
      </c>
      <c r="Y482" s="721">
        <v>4</v>
      </c>
      <c r="Z482" s="721">
        <v>0.93630000000000002</v>
      </c>
      <c r="AA482" s="721">
        <v>6.3700000000000007E-2</v>
      </c>
      <c r="AB482" s="721">
        <v>0</v>
      </c>
      <c r="AC482" s="730"/>
    </row>
    <row r="483" spans="18:29">
      <c r="R483" s="721" t="str">
        <f t="shared" si="12"/>
        <v>WLCI206M</v>
      </c>
      <c r="S483" s="672" t="s">
        <v>983</v>
      </c>
      <c r="T483" s="721">
        <v>6</v>
      </c>
      <c r="U483" s="721">
        <v>6</v>
      </c>
      <c r="V483" s="721" t="s">
        <v>13</v>
      </c>
      <c r="W483" s="721" t="s">
        <v>979</v>
      </c>
      <c r="X483" s="721">
        <v>1</v>
      </c>
      <c r="Y483" s="721">
        <v>4</v>
      </c>
      <c r="Z483" s="721">
        <v>0.93589999999999995</v>
      </c>
      <c r="AA483" s="721">
        <v>6.4100000000000004E-2</v>
      </c>
      <c r="AB483" s="721">
        <v>0</v>
      </c>
      <c r="AC483" s="730"/>
    </row>
    <row r="484" spans="18:29">
      <c r="R484" s="721" t="str">
        <f t="shared" si="12"/>
        <v>WLCI207M</v>
      </c>
      <c r="S484" s="672" t="s">
        <v>983</v>
      </c>
      <c r="T484" s="721">
        <v>7</v>
      </c>
      <c r="U484" s="721">
        <v>7</v>
      </c>
      <c r="V484" s="721" t="s">
        <v>13</v>
      </c>
      <c r="W484" s="721" t="s">
        <v>979</v>
      </c>
      <c r="X484" s="721">
        <v>1</v>
      </c>
      <c r="Y484" s="721">
        <v>4</v>
      </c>
      <c r="Z484" s="721">
        <v>0.9365</v>
      </c>
      <c r="AA484" s="721">
        <v>6.3500000000000001E-2</v>
      </c>
      <c r="AB484" s="721">
        <v>0</v>
      </c>
      <c r="AC484" s="730"/>
    </row>
    <row r="485" spans="18:29">
      <c r="R485" s="721" t="str">
        <f t="shared" si="12"/>
        <v>WLCI208M</v>
      </c>
      <c r="S485" s="672" t="s">
        <v>983</v>
      </c>
      <c r="T485" s="721">
        <v>8</v>
      </c>
      <c r="U485" s="721">
        <v>8</v>
      </c>
      <c r="V485" s="721" t="s">
        <v>13</v>
      </c>
      <c r="W485" s="721" t="s">
        <v>979</v>
      </c>
      <c r="X485" s="721">
        <v>1</v>
      </c>
      <c r="Y485" s="721">
        <v>4</v>
      </c>
      <c r="Z485" s="721">
        <v>0.93620000000000003</v>
      </c>
      <c r="AA485" s="721">
        <v>6.3799999999999996E-2</v>
      </c>
      <c r="AB485" s="721">
        <v>0</v>
      </c>
      <c r="AC485" s="730"/>
    </row>
    <row r="486" spans="18:29">
      <c r="R486" s="721" t="str">
        <f t="shared" si="12"/>
        <v>WLCI209M</v>
      </c>
      <c r="S486" s="672" t="s">
        <v>983</v>
      </c>
      <c r="T486" s="721">
        <v>9</v>
      </c>
      <c r="U486" s="721">
        <v>9</v>
      </c>
      <c r="V486" s="721" t="s">
        <v>13</v>
      </c>
      <c r="W486" s="721" t="s">
        <v>979</v>
      </c>
      <c r="X486" s="721">
        <v>1</v>
      </c>
      <c r="Y486" s="721">
        <v>4</v>
      </c>
      <c r="Z486" s="721">
        <v>0.93559999999999999</v>
      </c>
      <c r="AA486" s="721">
        <v>6.4399999999999999E-2</v>
      </c>
      <c r="AB486" s="721">
        <v>0</v>
      </c>
      <c r="AC486" s="730"/>
    </row>
    <row r="487" spans="18:29">
      <c r="R487" s="721" t="str">
        <f t="shared" si="12"/>
        <v>WLCI2010M</v>
      </c>
      <c r="S487" s="672" t="s">
        <v>983</v>
      </c>
      <c r="T487" s="721">
        <v>10</v>
      </c>
      <c r="U487" s="721">
        <v>10</v>
      </c>
      <c r="V487" s="721" t="s">
        <v>13</v>
      </c>
      <c r="W487" s="721" t="s">
        <v>979</v>
      </c>
      <c r="X487" s="721">
        <v>1</v>
      </c>
      <c r="Y487" s="721">
        <v>4</v>
      </c>
      <c r="Z487" s="721">
        <v>0.93589999999999995</v>
      </c>
      <c r="AA487" s="721">
        <v>6.4100000000000004E-2</v>
      </c>
      <c r="AB487" s="721">
        <v>0</v>
      </c>
      <c r="AC487" s="730"/>
    </row>
    <row r="488" spans="18:29">
      <c r="R488" s="721" t="str">
        <f t="shared" si="12"/>
        <v>WLCI2011M</v>
      </c>
      <c r="S488" s="672" t="s">
        <v>983</v>
      </c>
      <c r="T488" s="721">
        <v>11</v>
      </c>
      <c r="U488" s="721">
        <v>11</v>
      </c>
      <c r="V488" s="721" t="s">
        <v>13</v>
      </c>
      <c r="W488" s="721" t="s">
        <v>979</v>
      </c>
      <c r="X488" s="721">
        <v>1</v>
      </c>
      <c r="Y488" s="721">
        <v>4</v>
      </c>
      <c r="Z488" s="721">
        <v>0.93500000000000005</v>
      </c>
      <c r="AA488" s="721">
        <v>6.5000000000000002E-2</v>
      </c>
      <c r="AB488" s="721">
        <v>0</v>
      </c>
      <c r="AC488" s="730"/>
    </row>
    <row r="489" spans="18:29">
      <c r="R489" s="721" t="str">
        <f t="shared" si="12"/>
        <v>WLCI2012M</v>
      </c>
      <c r="S489" s="672" t="s">
        <v>983</v>
      </c>
      <c r="T489" s="721">
        <v>12</v>
      </c>
      <c r="U489" s="721">
        <v>12</v>
      </c>
      <c r="V489" s="721" t="s">
        <v>13</v>
      </c>
      <c r="W489" s="721" t="s">
        <v>979</v>
      </c>
      <c r="X489" s="721">
        <v>1</v>
      </c>
      <c r="Y489" s="721">
        <v>4</v>
      </c>
      <c r="Z489" s="721">
        <v>0.9345</v>
      </c>
      <c r="AA489" s="721">
        <v>6.5500000000000003E-2</v>
      </c>
      <c r="AB489" s="721">
        <v>0</v>
      </c>
      <c r="AC489" s="730"/>
    </row>
    <row r="490" spans="18:29">
      <c r="R490" s="721" t="str">
        <f t="shared" si="12"/>
        <v>WLCI2013M</v>
      </c>
      <c r="S490" s="672" t="s">
        <v>983</v>
      </c>
      <c r="T490" s="721">
        <v>13</v>
      </c>
      <c r="U490" s="721">
        <v>13</v>
      </c>
      <c r="V490" s="721" t="s">
        <v>13</v>
      </c>
      <c r="W490" s="721" t="s">
        <v>979</v>
      </c>
      <c r="X490" s="721">
        <v>1</v>
      </c>
      <c r="Y490" s="721">
        <v>4</v>
      </c>
      <c r="Z490" s="721">
        <v>0.9345</v>
      </c>
      <c r="AA490" s="721">
        <v>6.5500000000000003E-2</v>
      </c>
      <c r="AB490" s="721">
        <v>0</v>
      </c>
      <c r="AC490" s="730"/>
    </row>
    <row r="491" spans="18:29">
      <c r="R491" s="721" t="str">
        <f t="shared" si="12"/>
        <v>WLCI2014M</v>
      </c>
      <c r="S491" s="672" t="s">
        <v>983</v>
      </c>
      <c r="T491" s="721">
        <v>14</v>
      </c>
      <c r="U491" s="721">
        <v>14</v>
      </c>
      <c r="V491" s="721" t="s">
        <v>13</v>
      </c>
      <c r="W491" s="721" t="s">
        <v>979</v>
      </c>
      <c r="X491" s="721">
        <v>1</v>
      </c>
      <c r="Y491" s="721">
        <v>4</v>
      </c>
      <c r="Z491" s="721">
        <v>0.93340000000000001</v>
      </c>
      <c r="AA491" s="721">
        <v>6.6600000000000006E-2</v>
      </c>
      <c r="AB491" s="721">
        <v>0</v>
      </c>
      <c r="AC491" s="730"/>
    </row>
    <row r="492" spans="18:29">
      <c r="R492" s="721" t="str">
        <f t="shared" ref="R492:R555" si="13">S492&amp;T492&amp;V492</f>
        <v>WLCI2015M</v>
      </c>
      <c r="S492" s="672" t="s">
        <v>983</v>
      </c>
      <c r="T492" s="721">
        <v>15</v>
      </c>
      <c r="U492" s="721">
        <v>15</v>
      </c>
      <c r="V492" s="721" t="s">
        <v>13</v>
      </c>
      <c r="W492" s="721" t="s">
        <v>979</v>
      </c>
      <c r="X492" s="721">
        <v>1</v>
      </c>
      <c r="Y492" s="721">
        <v>4</v>
      </c>
      <c r="Z492" s="721">
        <v>0.93300000000000005</v>
      </c>
      <c r="AA492" s="721">
        <v>6.7000000000000004E-2</v>
      </c>
      <c r="AB492" s="721">
        <v>0</v>
      </c>
      <c r="AC492" s="730"/>
    </row>
    <row r="493" spans="18:29">
      <c r="R493" s="721" t="str">
        <f t="shared" si="13"/>
        <v>WLCI2016M</v>
      </c>
      <c r="S493" s="672" t="s">
        <v>983</v>
      </c>
      <c r="T493" s="721">
        <v>16</v>
      </c>
      <c r="U493" s="721">
        <v>16</v>
      </c>
      <c r="V493" s="721" t="s">
        <v>13</v>
      </c>
      <c r="W493" s="721" t="s">
        <v>979</v>
      </c>
      <c r="X493" s="721">
        <v>1</v>
      </c>
      <c r="Y493" s="721">
        <v>4</v>
      </c>
      <c r="Z493" s="721">
        <v>0.93269999999999997</v>
      </c>
      <c r="AA493" s="721">
        <v>6.7299999999999999E-2</v>
      </c>
      <c r="AB493" s="721">
        <v>0</v>
      </c>
      <c r="AC493" s="730"/>
    </row>
    <row r="494" spans="18:29">
      <c r="R494" s="721" t="str">
        <f t="shared" si="13"/>
        <v>WLCI2017M</v>
      </c>
      <c r="S494" s="672" t="s">
        <v>983</v>
      </c>
      <c r="T494" s="721">
        <v>17</v>
      </c>
      <c r="U494" s="721">
        <v>17</v>
      </c>
      <c r="V494" s="721" t="s">
        <v>13</v>
      </c>
      <c r="W494" s="721" t="s">
        <v>979</v>
      </c>
      <c r="X494" s="721">
        <v>1</v>
      </c>
      <c r="Y494" s="721">
        <v>4</v>
      </c>
      <c r="Z494" s="721">
        <v>0.93200000000000005</v>
      </c>
      <c r="AA494" s="721">
        <v>6.8000000000000005E-2</v>
      </c>
      <c r="AB494" s="721">
        <v>0</v>
      </c>
      <c r="AC494" s="730"/>
    </row>
    <row r="495" spans="18:29">
      <c r="R495" s="721" t="str">
        <f t="shared" si="13"/>
        <v>WLCI2018M</v>
      </c>
      <c r="S495" s="672" t="s">
        <v>983</v>
      </c>
      <c r="T495" s="721">
        <v>18</v>
      </c>
      <c r="U495" s="721">
        <v>18</v>
      </c>
      <c r="V495" s="721" t="s">
        <v>13</v>
      </c>
      <c r="W495" s="721" t="s">
        <v>979</v>
      </c>
      <c r="X495" s="721">
        <v>1</v>
      </c>
      <c r="Y495" s="721">
        <v>4</v>
      </c>
      <c r="Z495" s="721">
        <v>0.93140000000000001</v>
      </c>
      <c r="AA495" s="721">
        <v>6.8599999999999994E-2</v>
      </c>
      <c r="AB495" s="721">
        <v>0</v>
      </c>
      <c r="AC495" s="730"/>
    </row>
    <row r="496" spans="18:29">
      <c r="R496" s="721" t="str">
        <f t="shared" si="13"/>
        <v>WLCI2019M</v>
      </c>
      <c r="S496" s="672" t="s">
        <v>983</v>
      </c>
      <c r="T496" s="721">
        <v>19</v>
      </c>
      <c r="U496" s="721">
        <v>19</v>
      </c>
      <c r="V496" s="721" t="s">
        <v>13</v>
      </c>
      <c r="W496" s="721" t="s">
        <v>979</v>
      </c>
      <c r="X496" s="721">
        <v>1</v>
      </c>
      <c r="Y496" s="721">
        <v>4</v>
      </c>
      <c r="Z496" s="721">
        <v>0.93069999999999997</v>
      </c>
      <c r="AA496" s="721">
        <v>6.93E-2</v>
      </c>
      <c r="AB496" s="721">
        <v>0</v>
      </c>
      <c r="AC496" s="730"/>
    </row>
    <row r="497" spans="18:29">
      <c r="R497" s="721" t="str">
        <f t="shared" si="13"/>
        <v>WLCI2020M</v>
      </c>
      <c r="S497" s="672" t="s">
        <v>983</v>
      </c>
      <c r="T497" s="721">
        <v>20</v>
      </c>
      <c r="U497" s="721">
        <v>20</v>
      </c>
      <c r="V497" s="721" t="s">
        <v>13</v>
      </c>
      <c r="W497" s="721" t="s">
        <v>979</v>
      </c>
      <c r="X497" s="721">
        <v>1</v>
      </c>
      <c r="Y497" s="721">
        <v>4</v>
      </c>
      <c r="Z497" s="721">
        <v>0.92979999999999996</v>
      </c>
      <c r="AA497" s="721">
        <v>7.0199999999999999E-2</v>
      </c>
      <c r="AB497" s="721">
        <v>0</v>
      </c>
      <c r="AC497" s="730"/>
    </row>
    <row r="498" spans="18:29">
      <c r="R498" s="721" t="str">
        <f t="shared" si="13"/>
        <v>WLCI2021M</v>
      </c>
      <c r="S498" s="672" t="s">
        <v>983</v>
      </c>
      <c r="T498" s="721">
        <v>21</v>
      </c>
      <c r="U498" s="721">
        <v>21</v>
      </c>
      <c r="V498" s="721" t="s">
        <v>13</v>
      </c>
      <c r="W498" s="721" t="s">
        <v>979</v>
      </c>
      <c r="X498" s="721">
        <v>1</v>
      </c>
      <c r="Y498" s="721">
        <v>4</v>
      </c>
      <c r="Z498" s="721">
        <v>0.92859999999999998</v>
      </c>
      <c r="AA498" s="721">
        <v>7.1400000000000005E-2</v>
      </c>
      <c r="AB498" s="721">
        <v>0</v>
      </c>
      <c r="AC498" s="730"/>
    </row>
    <row r="499" spans="18:29">
      <c r="R499" s="721" t="str">
        <f t="shared" si="13"/>
        <v>WLCI2022M</v>
      </c>
      <c r="S499" s="672" t="s">
        <v>983</v>
      </c>
      <c r="T499" s="721">
        <v>22</v>
      </c>
      <c r="U499" s="721">
        <v>22</v>
      </c>
      <c r="V499" s="721" t="s">
        <v>13</v>
      </c>
      <c r="W499" s="721" t="s">
        <v>979</v>
      </c>
      <c r="X499" s="721">
        <v>1</v>
      </c>
      <c r="Y499" s="721">
        <v>4</v>
      </c>
      <c r="Z499" s="721">
        <v>0.92769999999999997</v>
      </c>
      <c r="AA499" s="721">
        <v>7.2300000000000003E-2</v>
      </c>
      <c r="AB499" s="721">
        <v>0</v>
      </c>
      <c r="AC499" s="730"/>
    </row>
    <row r="500" spans="18:29">
      <c r="R500" s="721" t="str">
        <f t="shared" si="13"/>
        <v>WLCI2023M</v>
      </c>
      <c r="S500" s="672" t="s">
        <v>983</v>
      </c>
      <c r="T500" s="721">
        <v>23</v>
      </c>
      <c r="U500" s="721">
        <v>23</v>
      </c>
      <c r="V500" s="721" t="s">
        <v>13</v>
      </c>
      <c r="W500" s="721" t="s">
        <v>979</v>
      </c>
      <c r="X500" s="721">
        <v>1</v>
      </c>
      <c r="Y500" s="721">
        <v>4</v>
      </c>
      <c r="Z500" s="721">
        <v>0.92630000000000001</v>
      </c>
      <c r="AA500" s="721">
        <v>7.3700000000000002E-2</v>
      </c>
      <c r="AB500" s="721">
        <v>0</v>
      </c>
      <c r="AC500" s="730"/>
    </row>
    <row r="501" spans="18:29">
      <c r="R501" s="721" t="str">
        <f t="shared" si="13"/>
        <v>WLCI2024M</v>
      </c>
      <c r="S501" s="672" t="s">
        <v>983</v>
      </c>
      <c r="T501" s="721">
        <v>24</v>
      </c>
      <c r="U501" s="721">
        <v>24</v>
      </c>
      <c r="V501" s="721" t="s">
        <v>13</v>
      </c>
      <c r="W501" s="721" t="s">
        <v>979</v>
      </c>
      <c r="X501" s="721">
        <v>1</v>
      </c>
      <c r="Y501" s="721">
        <v>4</v>
      </c>
      <c r="Z501" s="721">
        <v>0.92530000000000001</v>
      </c>
      <c r="AA501" s="721">
        <v>7.4700000000000003E-2</v>
      </c>
      <c r="AB501" s="721">
        <v>0</v>
      </c>
      <c r="AC501" s="730"/>
    </row>
    <row r="502" spans="18:29">
      <c r="R502" s="721" t="str">
        <f t="shared" si="13"/>
        <v>WLCI2025M</v>
      </c>
      <c r="S502" s="672" t="s">
        <v>983</v>
      </c>
      <c r="T502" s="721">
        <v>25</v>
      </c>
      <c r="U502" s="721">
        <v>25</v>
      </c>
      <c r="V502" s="721" t="s">
        <v>13</v>
      </c>
      <c r="W502" s="721" t="s">
        <v>979</v>
      </c>
      <c r="X502" s="721">
        <v>1</v>
      </c>
      <c r="Y502" s="721">
        <v>4</v>
      </c>
      <c r="Z502" s="721">
        <v>0.92410000000000003</v>
      </c>
      <c r="AA502" s="721">
        <v>7.5899999999999995E-2</v>
      </c>
      <c r="AB502" s="721">
        <v>0</v>
      </c>
      <c r="AC502" s="730"/>
    </row>
    <row r="503" spans="18:29">
      <c r="R503" s="721" t="str">
        <f t="shared" si="13"/>
        <v>WLCI2026M</v>
      </c>
      <c r="S503" s="672" t="s">
        <v>983</v>
      </c>
      <c r="T503" s="721">
        <v>26</v>
      </c>
      <c r="U503" s="721">
        <v>26</v>
      </c>
      <c r="V503" s="721" t="s">
        <v>13</v>
      </c>
      <c r="W503" s="721" t="s">
        <v>979</v>
      </c>
      <c r="X503" s="721">
        <v>1</v>
      </c>
      <c r="Y503" s="721">
        <v>4</v>
      </c>
      <c r="Z503" s="721">
        <v>0.92230000000000001</v>
      </c>
      <c r="AA503" s="721">
        <v>7.7700000000000005E-2</v>
      </c>
      <c r="AB503" s="721">
        <v>0</v>
      </c>
      <c r="AC503" s="730"/>
    </row>
    <row r="504" spans="18:29">
      <c r="R504" s="721" t="str">
        <f t="shared" si="13"/>
        <v>WLCI2027M</v>
      </c>
      <c r="S504" s="672" t="s">
        <v>983</v>
      </c>
      <c r="T504" s="721">
        <v>27</v>
      </c>
      <c r="U504" s="721">
        <v>27</v>
      </c>
      <c r="V504" s="721" t="s">
        <v>13</v>
      </c>
      <c r="W504" s="721" t="s">
        <v>979</v>
      </c>
      <c r="X504" s="721">
        <v>1</v>
      </c>
      <c r="Y504" s="721">
        <v>4</v>
      </c>
      <c r="Z504" s="721">
        <v>0.92100000000000004</v>
      </c>
      <c r="AA504" s="721">
        <v>7.9000000000000001E-2</v>
      </c>
      <c r="AB504" s="721">
        <v>0</v>
      </c>
      <c r="AC504" s="730"/>
    </row>
    <row r="505" spans="18:29">
      <c r="R505" s="721" t="str">
        <f t="shared" si="13"/>
        <v>WLCI2028M</v>
      </c>
      <c r="S505" s="672" t="s">
        <v>983</v>
      </c>
      <c r="T505" s="721">
        <v>28</v>
      </c>
      <c r="U505" s="721">
        <v>28</v>
      </c>
      <c r="V505" s="721" t="s">
        <v>13</v>
      </c>
      <c r="W505" s="721" t="s">
        <v>979</v>
      </c>
      <c r="X505" s="721">
        <v>1</v>
      </c>
      <c r="Y505" s="721">
        <v>4</v>
      </c>
      <c r="Z505" s="721">
        <v>0.92</v>
      </c>
      <c r="AA505" s="721">
        <v>0.08</v>
      </c>
      <c r="AB505" s="721">
        <v>0</v>
      </c>
      <c r="AC505" s="730"/>
    </row>
    <row r="506" spans="18:29">
      <c r="R506" s="721" t="str">
        <f t="shared" si="13"/>
        <v>WLCI2029M</v>
      </c>
      <c r="S506" s="672" t="s">
        <v>983</v>
      </c>
      <c r="T506" s="721">
        <v>29</v>
      </c>
      <c r="U506" s="721">
        <v>29</v>
      </c>
      <c r="V506" s="721" t="s">
        <v>13</v>
      </c>
      <c r="W506" s="721" t="s">
        <v>979</v>
      </c>
      <c r="X506" s="721">
        <v>1</v>
      </c>
      <c r="Y506" s="721">
        <v>4</v>
      </c>
      <c r="Z506" s="721">
        <v>0.91859999999999997</v>
      </c>
      <c r="AA506" s="721">
        <v>8.14E-2</v>
      </c>
      <c r="AB506" s="721">
        <v>0</v>
      </c>
      <c r="AC506" s="730"/>
    </row>
    <row r="507" spans="18:29">
      <c r="R507" s="721" t="str">
        <f t="shared" si="13"/>
        <v>WLCI2030M</v>
      </c>
      <c r="S507" s="672" t="s">
        <v>983</v>
      </c>
      <c r="T507" s="721">
        <v>30</v>
      </c>
      <c r="U507" s="721">
        <v>30</v>
      </c>
      <c r="V507" s="721" t="s">
        <v>13</v>
      </c>
      <c r="W507" s="721" t="s">
        <v>979</v>
      </c>
      <c r="X507" s="721">
        <v>1</v>
      </c>
      <c r="Y507" s="721">
        <v>4</v>
      </c>
      <c r="Z507" s="721">
        <v>0.91700000000000004</v>
      </c>
      <c r="AA507" s="721">
        <v>8.3000000000000004E-2</v>
      </c>
      <c r="AB507" s="721">
        <v>0</v>
      </c>
      <c r="AC507" s="730"/>
    </row>
    <row r="508" spans="18:29">
      <c r="R508" s="721" t="str">
        <f t="shared" si="13"/>
        <v>WLCI2031M</v>
      </c>
      <c r="S508" s="672" t="s">
        <v>983</v>
      </c>
      <c r="T508" s="721">
        <v>31</v>
      </c>
      <c r="U508" s="721">
        <v>31</v>
      </c>
      <c r="V508" s="721" t="s">
        <v>13</v>
      </c>
      <c r="W508" s="721" t="s">
        <v>979</v>
      </c>
      <c r="X508" s="721">
        <v>1</v>
      </c>
      <c r="Y508" s="721">
        <v>4</v>
      </c>
      <c r="Z508" s="721">
        <v>0.91559999999999997</v>
      </c>
      <c r="AA508" s="721">
        <v>8.4400000000000003E-2</v>
      </c>
      <c r="AB508" s="721">
        <v>0</v>
      </c>
      <c r="AC508" s="730"/>
    </row>
    <row r="509" spans="18:29">
      <c r="R509" s="721" t="str">
        <f t="shared" si="13"/>
        <v>WLCI2032M</v>
      </c>
      <c r="S509" s="672" t="s">
        <v>983</v>
      </c>
      <c r="T509" s="721">
        <v>32</v>
      </c>
      <c r="U509" s="721">
        <v>32</v>
      </c>
      <c r="V509" s="721" t="s">
        <v>13</v>
      </c>
      <c r="W509" s="721" t="s">
        <v>979</v>
      </c>
      <c r="X509" s="721">
        <v>1</v>
      </c>
      <c r="Y509" s="721">
        <v>4</v>
      </c>
      <c r="Z509" s="721">
        <v>0.91420000000000001</v>
      </c>
      <c r="AA509" s="721">
        <v>8.5800000000000001E-2</v>
      </c>
      <c r="AB509" s="721">
        <v>0</v>
      </c>
      <c r="AC509" s="730"/>
    </row>
    <row r="510" spans="18:29">
      <c r="R510" s="721" t="str">
        <f t="shared" si="13"/>
        <v>WLCI2033M</v>
      </c>
      <c r="S510" s="672" t="s">
        <v>983</v>
      </c>
      <c r="T510" s="721">
        <v>33</v>
      </c>
      <c r="U510" s="721">
        <v>33</v>
      </c>
      <c r="V510" s="721" t="s">
        <v>13</v>
      </c>
      <c r="W510" s="721" t="s">
        <v>979</v>
      </c>
      <c r="X510" s="721">
        <v>1</v>
      </c>
      <c r="Y510" s="721">
        <v>4</v>
      </c>
      <c r="Z510" s="721">
        <v>0.91300000000000003</v>
      </c>
      <c r="AA510" s="721">
        <v>8.6999999999999994E-2</v>
      </c>
      <c r="AB510" s="721">
        <v>0</v>
      </c>
      <c r="AC510" s="730"/>
    </row>
    <row r="511" spans="18:29">
      <c r="R511" s="721" t="str">
        <f t="shared" si="13"/>
        <v>WLCI2034M</v>
      </c>
      <c r="S511" s="672" t="s">
        <v>983</v>
      </c>
      <c r="T511" s="721">
        <v>34</v>
      </c>
      <c r="U511" s="721">
        <v>34</v>
      </c>
      <c r="V511" s="721" t="s">
        <v>13</v>
      </c>
      <c r="W511" s="721" t="s">
        <v>979</v>
      </c>
      <c r="X511" s="721">
        <v>1</v>
      </c>
      <c r="Y511" s="721">
        <v>4</v>
      </c>
      <c r="Z511" s="721">
        <v>0.91169999999999995</v>
      </c>
      <c r="AA511" s="721">
        <v>8.8300000000000003E-2</v>
      </c>
      <c r="AB511" s="721">
        <v>0</v>
      </c>
      <c r="AC511" s="730"/>
    </row>
    <row r="512" spans="18:29">
      <c r="R512" s="721" t="str">
        <f t="shared" si="13"/>
        <v>WLCI2035M</v>
      </c>
      <c r="S512" s="672" t="s">
        <v>983</v>
      </c>
      <c r="T512" s="721">
        <v>35</v>
      </c>
      <c r="U512" s="721">
        <v>35</v>
      </c>
      <c r="V512" s="721" t="s">
        <v>13</v>
      </c>
      <c r="W512" s="721" t="s">
        <v>979</v>
      </c>
      <c r="X512" s="721">
        <v>1</v>
      </c>
      <c r="Y512" s="721">
        <v>4</v>
      </c>
      <c r="Z512" s="721">
        <v>0.91020000000000001</v>
      </c>
      <c r="AA512" s="721">
        <v>8.9800000000000005E-2</v>
      </c>
      <c r="AB512" s="721">
        <v>0</v>
      </c>
      <c r="AC512" s="730"/>
    </row>
    <row r="513" spans="18:29">
      <c r="R513" s="721" t="str">
        <f t="shared" si="13"/>
        <v>WLCI2036M</v>
      </c>
      <c r="S513" s="672" t="s">
        <v>983</v>
      </c>
      <c r="T513" s="721">
        <v>36</v>
      </c>
      <c r="U513" s="721">
        <v>36</v>
      </c>
      <c r="V513" s="721" t="s">
        <v>13</v>
      </c>
      <c r="W513" s="721" t="s">
        <v>979</v>
      </c>
      <c r="X513" s="721">
        <v>1</v>
      </c>
      <c r="Y513" s="721">
        <v>4</v>
      </c>
      <c r="Z513" s="721">
        <v>0.90890000000000004</v>
      </c>
      <c r="AA513" s="721">
        <v>9.11E-2</v>
      </c>
      <c r="AB513" s="721">
        <v>0</v>
      </c>
      <c r="AC513" s="730"/>
    </row>
    <row r="514" spans="18:29">
      <c r="R514" s="721" t="str">
        <f t="shared" si="13"/>
        <v>WLCI2037M</v>
      </c>
      <c r="S514" s="672" t="s">
        <v>983</v>
      </c>
      <c r="T514" s="721">
        <v>37</v>
      </c>
      <c r="U514" s="721">
        <v>37</v>
      </c>
      <c r="V514" s="721" t="s">
        <v>13</v>
      </c>
      <c r="W514" s="721" t="s">
        <v>979</v>
      </c>
      <c r="X514" s="721">
        <v>1</v>
      </c>
      <c r="Y514" s="721">
        <v>4</v>
      </c>
      <c r="Z514" s="721">
        <v>0.90749999999999997</v>
      </c>
      <c r="AA514" s="721">
        <v>9.2499999999999999E-2</v>
      </c>
      <c r="AB514" s="721">
        <v>0</v>
      </c>
      <c r="AC514" s="730"/>
    </row>
    <row r="515" spans="18:29">
      <c r="R515" s="721" t="str">
        <f t="shared" si="13"/>
        <v>WLCI2038M</v>
      </c>
      <c r="S515" s="672" t="s">
        <v>983</v>
      </c>
      <c r="T515" s="721">
        <v>38</v>
      </c>
      <c r="U515" s="721">
        <v>38</v>
      </c>
      <c r="V515" s="721" t="s">
        <v>13</v>
      </c>
      <c r="W515" s="721" t="s">
        <v>979</v>
      </c>
      <c r="X515" s="721">
        <v>1</v>
      </c>
      <c r="Y515" s="721">
        <v>4</v>
      </c>
      <c r="Z515" s="721">
        <v>0.90620000000000001</v>
      </c>
      <c r="AA515" s="721">
        <v>9.3799999999999994E-2</v>
      </c>
      <c r="AB515" s="721">
        <v>0</v>
      </c>
      <c r="AC515" s="730"/>
    </row>
    <row r="516" spans="18:29">
      <c r="R516" s="721" t="str">
        <f t="shared" si="13"/>
        <v>WLCI2039M</v>
      </c>
      <c r="S516" s="672" t="s">
        <v>983</v>
      </c>
      <c r="T516" s="721">
        <v>39</v>
      </c>
      <c r="U516" s="721">
        <v>39</v>
      </c>
      <c r="V516" s="721" t="s">
        <v>13</v>
      </c>
      <c r="W516" s="721" t="s">
        <v>979</v>
      </c>
      <c r="X516" s="721">
        <v>1</v>
      </c>
      <c r="Y516" s="721">
        <v>4</v>
      </c>
      <c r="Z516" s="721">
        <v>0.90459999999999996</v>
      </c>
      <c r="AA516" s="721">
        <v>9.5399999999999999E-2</v>
      </c>
      <c r="AB516" s="721">
        <v>0</v>
      </c>
      <c r="AC516" s="730"/>
    </row>
    <row r="517" spans="18:29">
      <c r="R517" s="721" t="str">
        <f t="shared" si="13"/>
        <v>WLCI2040M</v>
      </c>
      <c r="S517" s="672" t="s">
        <v>983</v>
      </c>
      <c r="T517" s="721">
        <v>40</v>
      </c>
      <c r="U517" s="721">
        <v>40</v>
      </c>
      <c r="V517" s="721" t="s">
        <v>13</v>
      </c>
      <c r="W517" s="721" t="s">
        <v>979</v>
      </c>
      <c r="X517" s="721">
        <v>1</v>
      </c>
      <c r="Y517" s="721">
        <v>4</v>
      </c>
      <c r="Z517" s="721">
        <v>0.90310000000000001</v>
      </c>
      <c r="AA517" s="721">
        <v>9.69E-2</v>
      </c>
      <c r="AB517" s="721">
        <v>0</v>
      </c>
      <c r="AC517" s="730"/>
    </row>
    <row r="518" spans="18:29">
      <c r="R518" s="721" t="str">
        <f t="shared" si="13"/>
        <v>WLCI2041M</v>
      </c>
      <c r="S518" s="672" t="s">
        <v>983</v>
      </c>
      <c r="T518" s="721">
        <v>41</v>
      </c>
      <c r="U518" s="721">
        <v>41</v>
      </c>
      <c r="V518" s="721" t="s">
        <v>13</v>
      </c>
      <c r="W518" s="721" t="s">
        <v>979</v>
      </c>
      <c r="X518" s="721">
        <v>1</v>
      </c>
      <c r="Y518" s="721">
        <v>4</v>
      </c>
      <c r="Z518" s="721">
        <v>0.90159999999999996</v>
      </c>
      <c r="AA518" s="721">
        <v>9.8400000000000001E-2</v>
      </c>
      <c r="AB518" s="721">
        <v>0</v>
      </c>
      <c r="AC518" s="730"/>
    </row>
    <row r="519" spans="18:29">
      <c r="R519" s="721" t="str">
        <f t="shared" si="13"/>
        <v>WLCI2042M</v>
      </c>
      <c r="S519" s="672" t="s">
        <v>983</v>
      </c>
      <c r="T519" s="721">
        <v>42</v>
      </c>
      <c r="U519" s="721">
        <v>42</v>
      </c>
      <c r="V519" s="721" t="s">
        <v>13</v>
      </c>
      <c r="W519" s="721" t="s">
        <v>979</v>
      </c>
      <c r="X519" s="721">
        <v>1</v>
      </c>
      <c r="Y519" s="721">
        <v>4</v>
      </c>
      <c r="Z519" s="721">
        <v>0.9</v>
      </c>
      <c r="AA519" s="721">
        <v>0.1</v>
      </c>
      <c r="AB519" s="721">
        <v>0</v>
      </c>
      <c r="AC519" s="730"/>
    </row>
    <row r="520" spans="18:29">
      <c r="R520" s="721" t="str">
        <f t="shared" si="13"/>
        <v>WLCI2043M</v>
      </c>
      <c r="S520" s="672" t="s">
        <v>983</v>
      </c>
      <c r="T520" s="721">
        <v>43</v>
      </c>
      <c r="U520" s="721">
        <v>43</v>
      </c>
      <c r="V520" s="721" t="s">
        <v>13</v>
      </c>
      <c r="W520" s="721" t="s">
        <v>979</v>
      </c>
      <c r="X520" s="721">
        <v>1</v>
      </c>
      <c r="Y520" s="721">
        <v>4</v>
      </c>
      <c r="Z520" s="721">
        <v>0.89890000000000003</v>
      </c>
      <c r="AA520" s="721">
        <v>0.1011</v>
      </c>
      <c r="AB520" s="721">
        <v>0</v>
      </c>
      <c r="AC520" s="730"/>
    </row>
    <row r="521" spans="18:29">
      <c r="R521" s="721" t="str">
        <f t="shared" si="13"/>
        <v>WLCI2044M</v>
      </c>
      <c r="S521" s="672" t="s">
        <v>983</v>
      </c>
      <c r="T521" s="721">
        <v>44</v>
      </c>
      <c r="U521" s="721">
        <v>44</v>
      </c>
      <c r="V521" s="721" t="s">
        <v>13</v>
      </c>
      <c r="W521" s="721" t="s">
        <v>979</v>
      </c>
      <c r="X521" s="721">
        <v>1</v>
      </c>
      <c r="Y521" s="721">
        <v>4</v>
      </c>
      <c r="Z521" s="721">
        <v>0.89759999999999995</v>
      </c>
      <c r="AA521" s="721">
        <v>0.1024</v>
      </c>
      <c r="AB521" s="721">
        <v>0</v>
      </c>
      <c r="AC521" s="730"/>
    </row>
    <row r="522" spans="18:29">
      <c r="R522" s="721" t="str">
        <f t="shared" si="13"/>
        <v>WLCI2045M</v>
      </c>
      <c r="S522" s="672" t="s">
        <v>983</v>
      </c>
      <c r="T522" s="721">
        <v>45</v>
      </c>
      <c r="U522" s="721">
        <v>45</v>
      </c>
      <c r="V522" s="721" t="s">
        <v>13</v>
      </c>
      <c r="W522" s="721" t="s">
        <v>979</v>
      </c>
      <c r="X522" s="721">
        <v>1</v>
      </c>
      <c r="Y522" s="721">
        <v>4</v>
      </c>
      <c r="Z522" s="721">
        <v>0.89670000000000005</v>
      </c>
      <c r="AA522" s="721">
        <v>0.1033</v>
      </c>
      <c r="AB522" s="721">
        <v>0</v>
      </c>
      <c r="AC522" s="730"/>
    </row>
    <row r="523" spans="18:29">
      <c r="R523" s="721" t="str">
        <f t="shared" si="13"/>
        <v>WLCI2046M</v>
      </c>
      <c r="S523" s="672" t="s">
        <v>983</v>
      </c>
      <c r="T523" s="721">
        <v>46</v>
      </c>
      <c r="U523" s="721">
        <v>46</v>
      </c>
      <c r="V523" s="721" t="s">
        <v>13</v>
      </c>
      <c r="W523" s="721" t="s">
        <v>979</v>
      </c>
      <c r="X523" s="721">
        <v>1</v>
      </c>
      <c r="Y523" s="721">
        <v>4</v>
      </c>
      <c r="Z523" s="721">
        <v>0.89600000000000002</v>
      </c>
      <c r="AA523" s="721">
        <v>0.104</v>
      </c>
      <c r="AB523" s="721">
        <v>0</v>
      </c>
      <c r="AC523" s="730"/>
    </row>
    <row r="524" spans="18:29">
      <c r="R524" s="721" t="str">
        <f t="shared" si="13"/>
        <v>WLCI2047M</v>
      </c>
      <c r="S524" s="672" t="s">
        <v>983</v>
      </c>
      <c r="T524" s="721">
        <v>47</v>
      </c>
      <c r="U524" s="721">
        <v>47</v>
      </c>
      <c r="V524" s="721" t="s">
        <v>13</v>
      </c>
      <c r="W524" s="721" t="s">
        <v>979</v>
      </c>
      <c r="X524" s="721">
        <v>1</v>
      </c>
      <c r="Y524" s="721">
        <v>4</v>
      </c>
      <c r="Z524" s="721">
        <v>0.89559999999999995</v>
      </c>
      <c r="AA524" s="721">
        <v>0.10440000000000001</v>
      </c>
      <c r="AB524" s="721">
        <v>0</v>
      </c>
      <c r="AC524" s="730"/>
    </row>
    <row r="525" spans="18:29">
      <c r="R525" s="721" t="str">
        <f t="shared" si="13"/>
        <v>WLCI2048M</v>
      </c>
      <c r="S525" s="672" t="s">
        <v>983</v>
      </c>
      <c r="T525" s="721">
        <v>48</v>
      </c>
      <c r="U525" s="721">
        <v>48</v>
      </c>
      <c r="V525" s="721" t="s">
        <v>13</v>
      </c>
      <c r="W525" s="721" t="s">
        <v>979</v>
      </c>
      <c r="X525" s="721">
        <v>1</v>
      </c>
      <c r="Y525" s="721">
        <v>4</v>
      </c>
      <c r="Z525" s="721">
        <v>0.89539999999999997</v>
      </c>
      <c r="AA525" s="721">
        <v>0.1046</v>
      </c>
      <c r="AB525" s="721">
        <v>0</v>
      </c>
      <c r="AC525" s="730"/>
    </row>
    <row r="526" spans="18:29">
      <c r="R526" s="721" t="str">
        <f t="shared" si="13"/>
        <v>WLCI2049M</v>
      </c>
      <c r="S526" s="672" t="s">
        <v>983</v>
      </c>
      <c r="T526" s="721">
        <v>49</v>
      </c>
      <c r="U526" s="721">
        <v>49</v>
      </c>
      <c r="V526" s="721" t="s">
        <v>13</v>
      </c>
      <c r="W526" s="721" t="s">
        <v>979</v>
      </c>
      <c r="X526" s="721">
        <v>1</v>
      </c>
      <c r="Y526" s="721">
        <v>4</v>
      </c>
      <c r="Z526" s="721">
        <v>0.89480000000000004</v>
      </c>
      <c r="AA526" s="721">
        <v>0.1052</v>
      </c>
      <c r="AB526" s="721">
        <v>0</v>
      </c>
      <c r="AC526" s="730"/>
    </row>
    <row r="527" spans="18:29">
      <c r="R527" s="721" t="str">
        <f t="shared" si="13"/>
        <v>WLCI2050M</v>
      </c>
      <c r="S527" s="672" t="s">
        <v>983</v>
      </c>
      <c r="T527" s="721">
        <v>50</v>
      </c>
      <c r="U527" s="721">
        <v>50</v>
      </c>
      <c r="V527" s="721" t="s">
        <v>13</v>
      </c>
      <c r="W527" s="721" t="s">
        <v>979</v>
      </c>
      <c r="X527" s="721">
        <v>1</v>
      </c>
      <c r="Y527" s="721">
        <v>4</v>
      </c>
      <c r="Z527" s="721">
        <v>0.89429999999999998</v>
      </c>
      <c r="AA527" s="721">
        <v>0.1057</v>
      </c>
      <c r="AB527" s="721">
        <v>0</v>
      </c>
      <c r="AC527" s="730"/>
    </row>
    <row r="528" spans="18:29">
      <c r="R528" s="721" t="str">
        <f t="shared" si="13"/>
        <v>WLCI2051M</v>
      </c>
      <c r="S528" s="672" t="s">
        <v>983</v>
      </c>
      <c r="T528" s="721">
        <v>51</v>
      </c>
      <c r="U528" s="721">
        <v>51</v>
      </c>
      <c r="V528" s="721" t="s">
        <v>13</v>
      </c>
      <c r="W528" s="721" t="s">
        <v>979</v>
      </c>
      <c r="X528" s="721">
        <v>1</v>
      </c>
      <c r="Y528" s="721">
        <v>4</v>
      </c>
      <c r="Z528" s="721">
        <v>0.89339999999999997</v>
      </c>
      <c r="AA528" s="721">
        <v>0.1066</v>
      </c>
      <c r="AB528" s="721">
        <v>0</v>
      </c>
      <c r="AC528" s="730"/>
    </row>
    <row r="529" spans="18:29">
      <c r="R529" s="721" t="str">
        <f t="shared" si="13"/>
        <v>WLCI2052M</v>
      </c>
      <c r="S529" s="672" t="s">
        <v>983</v>
      </c>
      <c r="T529" s="721">
        <v>52</v>
      </c>
      <c r="U529" s="721">
        <v>52</v>
      </c>
      <c r="V529" s="721" t="s">
        <v>13</v>
      </c>
      <c r="W529" s="721" t="s">
        <v>979</v>
      </c>
      <c r="X529" s="721">
        <v>1</v>
      </c>
      <c r="Y529" s="721">
        <v>4</v>
      </c>
      <c r="Z529" s="721">
        <v>0.89229999999999998</v>
      </c>
      <c r="AA529" s="721">
        <v>0.1077</v>
      </c>
      <c r="AB529" s="721">
        <v>0</v>
      </c>
      <c r="AC529" s="730"/>
    </row>
    <row r="530" spans="18:29">
      <c r="R530" s="721" t="str">
        <f t="shared" si="13"/>
        <v>WLCI200F</v>
      </c>
      <c r="S530" s="672" t="s">
        <v>983</v>
      </c>
      <c r="T530" s="721">
        <v>0</v>
      </c>
      <c r="U530" s="721">
        <v>0</v>
      </c>
      <c r="V530" s="721" t="s">
        <v>14</v>
      </c>
      <c r="W530" s="721" t="s">
        <v>979</v>
      </c>
      <c r="X530" s="721">
        <v>1</v>
      </c>
      <c r="Y530" s="721">
        <v>4</v>
      </c>
      <c r="Z530" s="721">
        <v>0.93089999999999995</v>
      </c>
      <c r="AA530" s="721">
        <v>6.9099999999999995E-2</v>
      </c>
      <c r="AB530" s="721">
        <v>0</v>
      </c>
      <c r="AC530" s="730"/>
    </row>
    <row r="531" spans="18:29">
      <c r="R531" s="721" t="str">
        <f t="shared" si="13"/>
        <v>WLCI201F</v>
      </c>
      <c r="S531" s="672" t="s">
        <v>983</v>
      </c>
      <c r="T531" s="721">
        <v>1</v>
      </c>
      <c r="U531" s="721">
        <v>1</v>
      </c>
      <c r="V531" s="721" t="s">
        <v>14</v>
      </c>
      <c r="W531" s="721" t="s">
        <v>979</v>
      </c>
      <c r="X531" s="721">
        <v>1</v>
      </c>
      <c r="Y531" s="721">
        <v>4</v>
      </c>
      <c r="Z531" s="721">
        <v>0.93100000000000005</v>
      </c>
      <c r="AA531" s="721">
        <v>6.9000000000000006E-2</v>
      </c>
      <c r="AB531" s="721">
        <v>0</v>
      </c>
      <c r="AC531" s="730"/>
    </row>
    <row r="532" spans="18:29">
      <c r="R532" s="721" t="str">
        <f t="shared" si="13"/>
        <v>WLCI202F</v>
      </c>
      <c r="S532" s="672" t="s">
        <v>983</v>
      </c>
      <c r="T532" s="721">
        <v>2</v>
      </c>
      <c r="U532" s="721">
        <v>2</v>
      </c>
      <c r="V532" s="721" t="s">
        <v>14</v>
      </c>
      <c r="W532" s="721" t="s">
        <v>979</v>
      </c>
      <c r="X532" s="721">
        <v>1</v>
      </c>
      <c r="Y532" s="721">
        <v>4</v>
      </c>
      <c r="Z532" s="721">
        <v>0.93069999999999997</v>
      </c>
      <c r="AA532" s="721">
        <v>6.93E-2</v>
      </c>
      <c r="AB532" s="721">
        <v>0</v>
      </c>
      <c r="AC532" s="730"/>
    </row>
    <row r="533" spans="18:29">
      <c r="R533" s="721" t="str">
        <f t="shared" si="13"/>
        <v>WLCI203F</v>
      </c>
      <c r="S533" s="672" t="s">
        <v>983</v>
      </c>
      <c r="T533" s="721">
        <v>3</v>
      </c>
      <c r="U533" s="721">
        <v>3</v>
      </c>
      <c r="V533" s="721" t="s">
        <v>14</v>
      </c>
      <c r="W533" s="721" t="s">
        <v>979</v>
      </c>
      <c r="X533" s="721">
        <v>1</v>
      </c>
      <c r="Y533" s="721">
        <v>4</v>
      </c>
      <c r="Z533" s="721">
        <v>0.93</v>
      </c>
      <c r="AA533" s="721">
        <v>7.0000000000000007E-2</v>
      </c>
      <c r="AB533" s="721">
        <v>0</v>
      </c>
      <c r="AC533" s="730"/>
    </row>
    <row r="534" spans="18:29">
      <c r="R534" s="721" t="str">
        <f t="shared" si="13"/>
        <v>WLCI204F</v>
      </c>
      <c r="S534" s="672" t="s">
        <v>983</v>
      </c>
      <c r="T534" s="721">
        <v>4</v>
      </c>
      <c r="U534" s="721">
        <v>4</v>
      </c>
      <c r="V534" s="721" t="s">
        <v>14</v>
      </c>
      <c r="W534" s="721" t="s">
        <v>979</v>
      </c>
      <c r="X534" s="721">
        <v>1</v>
      </c>
      <c r="Y534" s="721">
        <v>4</v>
      </c>
      <c r="Z534" s="721">
        <v>0.92979999999999996</v>
      </c>
      <c r="AA534" s="721">
        <v>7.0199999999999999E-2</v>
      </c>
      <c r="AB534" s="721">
        <v>0</v>
      </c>
      <c r="AC534" s="730"/>
    </row>
    <row r="535" spans="18:29">
      <c r="R535" s="721" t="str">
        <f t="shared" si="13"/>
        <v>WLCI205F</v>
      </c>
      <c r="S535" s="672" t="s">
        <v>983</v>
      </c>
      <c r="T535" s="721">
        <v>5</v>
      </c>
      <c r="U535" s="721">
        <v>5</v>
      </c>
      <c r="V535" s="721" t="s">
        <v>14</v>
      </c>
      <c r="W535" s="721" t="s">
        <v>979</v>
      </c>
      <c r="X535" s="721">
        <v>1</v>
      </c>
      <c r="Y535" s="721">
        <v>4</v>
      </c>
      <c r="Z535" s="721">
        <v>0.92910000000000004</v>
      </c>
      <c r="AA535" s="721">
        <v>7.0900000000000005E-2</v>
      </c>
      <c r="AB535" s="721">
        <v>0</v>
      </c>
      <c r="AC535" s="730"/>
    </row>
    <row r="536" spans="18:29">
      <c r="R536" s="721" t="str">
        <f t="shared" si="13"/>
        <v>WLCI206F</v>
      </c>
      <c r="S536" s="672" t="s">
        <v>983</v>
      </c>
      <c r="T536" s="721">
        <v>6</v>
      </c>
      <c r="U536" s="721">
        <v>6</v>
      </c>
      <c r="V536" s="721" t="s">
        <v>14</v>
      </c>
      <c r="W536" s="721" t="s">
        <v>979</v>
      </c>
      <c r="X536" s="721">
        <v>1</v>
      </c>
      <c r="Y536" s="721">
        <v>4</v>
      </c>
      <c r="Z536" s="721">
        <v>0.92810000000000004</v>
      </c>
      <c r="AA536" s="721">
        <v>7.1900000000000006E-2</v>
      </c>
      <c r="AB536" s="721">
        <v>0</v>
      </c>
      <c r="AC536" s="730"/>
    </row>
    <row r="537" spans="18:29">
      <c r="R537" s="721" t="str">
        <f t="shared" si="13"/>
        <v>WLCI207F</v>
      </c>
      <c r="S537" s="672" t="s">
        <v>983</v>
      </c>
      <c r="T537" s="721">
        <v>7</v>
      </c>
      <c r="U537" s="721">
        <v>7</v>
      </c>
      <c r="V537" s="721" t="s">
        <v>14</v>
      </c>
      <c r="W537" s="721" t="s">
        <v>979</v>
      </c>
      <c r="X537" s="721">
        <v>1</v>
      </c>
      <c r="Y537" s="721">
        <v>4</v>
      </c>
      <c r="Z537" s="721">
        <v>0.92759999999999998</v>
      </c>
      <c r="AA537" s="721">
        <v>7.2400000000000006E-2</v>
      </c>
      <c r="AB537" s="721">
        <v>0</v>
      </c>
      <c r="AC537" s="730"/>
    </row>
    <row r="538" spans="18:29">
      <c r="R538" s="721" t="str">
        <f t="shared" si="13"/>
        <v>WLCI208F</v>
      </c>
      <c r="S538" s="672" t="s">
        <v>983</v>
      </c>
      <c r="T538" s="721">
        <v>8</v>
      </c>
      <c r="U538" s="721">
        <v>8</v>
      </c>
      <c r="V538" s="721" t="s">
        <v>14</v>
      </c>
      <c r="W538" s="721" t="s">
        <v>979</v>
      </c>
      <c r="X538" s="721">
        <v>1</v>
      </c>
      <c r="Y538" s="721">
        <v>4</v>
      </c>
      <c r="Z538" s="721">
        <v>0.92679999999999996</v>
      </c>
      <c r="AA538" s="721">
        <v>7.3200000000000001E-2</v>
      </c>
      <c r="AB538" s="721">
        <v>0</v>
      </c>
      <c r="AC538" s="730"/>
    </row>
    <row r="539" spans="18:29">
      <c r="R539" s="721" t="str">
        <f t="shared" si="13"/>
        <v>WLCI209F</v>
      </c>
      <c r="S539" s="672" t="s">
        <v>983</v>
      </c>
      <c r="T539" s="721">
        <v>9</v>
      </c>
      <c r="U539" s="721">
        <v>9</v>
      </c>
      <c r="V539" s="721" t="s">
        <v>14</v>
      </c>
      <c r="W539" s="721" t="s">
        <v>979</v>
      </c>
      <c r="X539" s="721">
        <v>1</v>
      </c>
      <c r="Y539" s="721">
        <v>4</v>
      </c>
      <c r="Z539" s="721">
        <v>0.92600000000000005</v>
      </c>
      <c r="AA539" s="721">
        <v>7.3999999999999996E-2</v>
      </c>
      <c r="AB539" s="721">
        <v>0</v>
      </c>
      <c r="AC539" s="730"/>
    </row>
    <row r="540" spans="18:29">
      <c r="R540" s="721" t="str">
        <f t="shared" si="13"/>
        <v>WLCI2010F</v>
      </c>
      <c r="S540" s="672" t="s">
        <v>983</v>
      </c>
      <c r="T540" s="721">
        <v>10</v>
      </c>
      <c r="U540" s="721">
        <v>10</v>
      </c>
      <c r="V540" s="721" t="s">
        <v>14</v>
      </c>
      <c r="W540" s="721" t="s">
        <v>979</v>
      </c>
      <c r="X540" s="721">
        <v>1</v>
      </c>
      <c r="Y540" s="721">
        <v>4</v>
      </c>
      <c r="Z540" s="721">
        <v>0.92520000000000002</v>
      </c>
      <c r="AA540" s="721">
        <v>7.4800000000000005E-2</v>
      </c>
      <c r="AB540" s="721">
        <v>0</v>
      </c>
      <c r="AC540" s="730"/>
    </row>
    <row r="541" spans="18:29">
      <c r="R541" s="721" t="str">
        <f t="shared" si="13"/>
        <v>WLCI2011F</v>
      </c>
      <c r="S541" s="672" t="s">
        <v>983</v>
      </c>
      <c r="T541" s="721">
        <v>11</v>
      </c>
      <c r="U541" s="721">
        <v>11</v>
      </c>
      <c r="V541" s="721" t="s">
        <v>14</v>
      </c>
      <c r="W541" s="721" t="s">
        <v>979</v>
      </c>
      <c r="X541" s="721">
        <v>1</v>
      </c>
      <c r="Y541" s="721">
        <v>4</v>
      </c>
      <c r="Z541" s="721">
        <v>0.92410000000000003</v>
      </c>
      <c r="AA541" s="721">
        <v>7.5899999999999995E-2</v>
      </c>
      <c r="AB541" s="721">
        <v>0</v>
      </c>
      <c r="AC541" s="730"/>
    </row>
    <row r="542" spans="18:29">
      <c r="R542" s="721" t="str">
        <f t="shared" si="13"/>
        <v>WLCI2012F</v>
      </c>
      <c r="S542" s="672" t="s">
        <v>983</v>
      </c>
      <c r="T542" s="721">
        <v>12</v>
      </c>
      <c r="U542" s="721">
        <v>12</v>
      </c>
      <c r="V542" s="721" t="s">
        <v>14</v>
      </c>
      <c r="W542" s="721" t="s">
        <v>979</v>
      </c>
      <c r="X542" s="721">
        <v>1</v>
      </c>
      <c r="Y542" s="721">
        <v>4</v>
      </c>
      <c r="Z542" s="721">
        <v>0.92300000000000004</v>
      </c>
      <c r="AA542" s="721">
        <v>7.6999999999999999E-2</v>
      </c>
      <c r="AB542" s="721">
        <v>0</v>
      </c>
      <c r="AC542" s="730"/>
    </row>
    <row r="543" spans="18:29">
      <c r="R543" s="721" t="str">
        <f t="shared" si="13"/>
        <v>WLCI2013F</v>
      </c>
      <c r="S543" s="672" t="s">
        <v>983</v>
      </c>
      <c r="T543" s="721">
        <v>13</v>
      </c>
      <c r="U543" s="721">
        <v>13</v>
      </c>
      <c r="V543" s="721" t="s">
        <v>14</v>
      </c>
      <c r="W543" s="721" t="s">
        <v>979</v>
      </c>
      <c r="X543" s="721">
        <v>1</v>
      </c>
      <c r="Y543" s="721">
        <v>4</v>
      </c>
      <c r="Z543" s="721">
        <v>0.92210000000000003</v>
      </c>
      <c r="AA543" s="721">
        <v>7.7899999999999997E-2</v>
      </c>
      <c r="AB543" s="721">
        <v>0</v>
      </c>
      <c r="AC543" s="730"/>
    </row>
    <row r="544" spans="18:29">
      <c r="R544" s="721" t="str">
        <f t="shared" si="13"/>
        <v>WLCI2014F</v>
      </c>
      <c r="S544" s="672" t="s">
        <v>983</v>
      </c>
      <c r="T544" s="721">
        <v>14</v>
      </c>
      <c r="U544" s="721">
        <v>14</v>
      </c>
      <c r="V544" s="721" t="s">
        <v>14</v>
      </c>
      <c r="W544" s="721" t="s">
        <v>979</v>
      </c>
      <c r="X544" s="721">
        <v>1</v>
      </c>
      <c r="Y544" s="721">
        <v>4</v>
      </c>
      <c r="Z544" s="721">
        <v>0.92149999999999999</v>
      </c>
      <c r="AA544" s="721">
        <v>7.85E-2</v>
      </c>
      <c r="AB544" s="721">
        <v>0</v>
      </c>
      <c r="AC544" s="730"/>
    </row>
    <row r="545" spans="18:29">
      <c r="R545" s="721" t="str">
        <f t="shared" si="13"/>
        <v>WLCI2015F</v>
      </c>
      <c r="S545" s="672" t="s">
        <v>983</v>
      </c>
      <c r="T545" s="721">
        <v>15</v>
      </c>
      <c r="U545" s="721">
        <v>15</v>
      </c>
      <c r="V545" s="721" t="s">
        <v>14</v>
      </c>
      <c r="W545" s="721" t="s">
        <v>979</v>
      </c>
      <c r="X545" s="721">
        <v>1</v>
      </c>
      <c r="Y545" s="721">
        <v>4</v>
      </c>
      <c r="Z545" s="721">
        <v>0.92069999999999996</v>
      </c>
      <c r="AA545" s="721">
        <v>7.9299999999999995E-2</v>
      </c>
      <c r="AB545" s="721">
        <v>0</v>
      </c>
      <c r="AC545" s="730"/>
    </row>
    <row r="546" spans="18:29">
      <c r="R546" s="721" t="str">
        <f t="shared" si="13"/>
        <v>WLCI2016F</v>
      </c>
      <c r="S546" s="672" t="s">
        <v>983</v>
      </c>
      <c r="T546" s="721">
        <v>16</v>
      </c>
      <c r="U546" s="721">
        <v>16</v>
      </c>
      <c r="V546" s="721" t="s">
        <v>14</v>
      </c>
      <c r="W546" s="721" t="s">
        <v>979</v>
      </c>
      <c r="X546" s="721">
        <v>1</v>
      </c>
      <c r="Y546" s="721">
        <v>4</v>
      </c>
      <c r="Z546" s="721">
        <v>0.91949999999999998</v>
      </c>
      <c r="AA546" s="721">
        <v>8.0500000000000002E-2</v>
      </c>
      <c r="AB546" s="721">
        <v>0</v>
      </c>
      <c r="AC546" s="730"/>
    </row>
    <row r="547" spans="18:29">
      <c r="R547" s="721" t="str">
        <f t="shared" si="13"/>
        <v>WLCI2017F</v>
      </c>
      <c r="S547" s="672" t="s">
        <v>983</v>
      </c>
      <c r="T547" s="721">
        <v>17</v>
      </c>
      <c r="U547" s="721">
        <v>17</v>
      </c>
      <c r="V547" s="721" t="s">
        <v>14</v>
      </c>
      <c r="W547" s="721" t="s">
        <v>979</v>
      </c>
      <c r="X547" s="721">
        <v>1</v>
      </c>
      <c r="Y547" s="721">
        <v>4</v>
      </c>
      <c r="Z547" s="721">
        <v>0.91869999999999996</v>
      </c>
      <c r="AA547" s="721">
        <v>8.1299999999999997E-2</v>
      </c>
      <c r="AB547" s="721">
        <v>0</v>
      </c>
      <c r="AC547" s="730"/>
    </row>
    <row r="548" spans="18:29">
      <c r="R548" s="721" t="str">
        <f t="shared" si="13"/>
        <v>WLCI2018F</v>
      </c>
      <c r="S548" s="672" t="s">
        <v>983</v>
      </c>
      <c r="T548" s="721">
        <v>18</v>
      </c>
      <c r="U548" s="721">
        <v>18</v>
      </c>
      <c r="V548" s="721" t="s">
        <v>14</v>
      </c>
      <c r="W548" s="721" t="s">
        <v>979</v>
      </c>
      <c r="X548" s="721">
        <v>1</v>
      </c>
      <c r="Y548" s="721">
        <v>4</v>
      </c>
      <c r="Z548" s="721">
        <v>0.91810000000000003</v>
      </c>
      <c r="AA548" s="721">
        <v>8.1900000000000001E-2</v>
      </c>
      <c r="AB548" s="721">
        <v>0</v>
      </c>
      <c r="AC548" s="730"/>
    </row>
    <row r="549" spans="18:29">
      <c r="R549" s="721" t="str">
        <f t="shared" si="13"/>
        <v>WLCI2019F</v>
      </c>
      <c r="S549" s="672" t="s">
        <v>983</v>
      </c>
      <c r="T549" s="721">
        <v>19</v>
      </c>
      <c r="U549" s="721">
        <v>19</v>
      </c>
      <c r="V549" s="721" t="s">
        <v>14</v>
      </c>
      <c r="W549" s="721" t="s">
        <v>979</v>
      </c>
      <c r="X549" s="721">
        <v>1</v>
      </c>
      <c r="Y549" s="721">
        <v>4</v>
      </c>
      <c r="Z549" s="721">
        <v>0.91710000000000003</v>
      </c>
      <c r="AA549" s="721">
        <v>8.2900000000000001E-2</v>
      </c>
      <c r="AB549" s="721">
        <v>0</v>
      </c>
      <c r="AC549" s="730"/>
    </row>
    <row r="550" spans="18:29">
      <c r="R550" s="721" t="str">
        <f t="shared" si="13"/>
        <v>WLCI2020F</v>
      </c>
      <c r="S550" s="672" t="s">
        <v>983</v>
      </c>
      <c r="T550" s="721">
        <v>20</v>
      </c>
      <c r="U550" s="721">
        <v>20</v>
      </c>
      <c r="V550" s="721" t="s">
        <v>14</v>
      </c>
      <c r="W550" s="721" t="s">
        <v>979</v>
      </c>
      <c r="X550" s="721">
        <v>1</v>
      </c>
      <c r="Y550" s="721">
        <v>4</v>
      </c>
      <c r="Z550" s="721">
        <v>0.91649999999999998</v>
      </c>
      <c r="AA550" s="721">
        <v>8.3500000000000005E-2</v>
      </c>
      <c r="AB550" s="721">
        <v>0</v>
      </c>
      <c r="AC550" s="730"/>
    </row>
    <row r="551" spans="18:29">
      <c r="R551" s="721" t="str">
        <f t="shared" si="13"/>
        <v>WLCI2021F</v>
      </c>
      <c r="S551" s="672" t="s">
        <v>983</v>
      </c>
      <c r="T551" s="721">
        <v>21</v>
      </c>
      <c r="U551" s="721">
        <v>21</v>
      </c>
      <c r="V551" s="721" t="s">
        <v>14</v>
      </c>
      <c r="W551" s="721" t="s">
        <v>979</v>
      </c>
      <c r="X551" s="721">
        <v>1</v>
      </c>
      <c r="Y551" s="721">
        <v>4</v>
      </c>
      <c r="Z551" s="721">
        <v>0.91559999999999997</v>
      </c>
      <c r="AA551" s="721">
        <v>8.4400000000000003E-2</v>
      </c>
      <c r="AB551" s="721">
        <v>0</v>
      </c>
      <c r="AC551" s="730"/>
    </row>
    <row r="552" spans="18:29">
      <c r="R552" s="721" t="str">
        <f t="shared" si="13"/>
        <v>WLCI2022F</v>
      </c>
      <c r="S552" s="672" t="s">
        <v>983</v>
      </c>
      <c r="T552" s="721">
        <v>22</v>
      </c>
      <c r="U552" s="721">
        <v>22</v>
      </c>
      <c r="V552" s="721" t="s">
        <v>14</v>
      </c>
      <c r="W552" s="721" t="s">
        <v>979</v>
      </c>
      <c r="X552" s="721">
        <v>1</v>
      </c>
      <c r="Y552" s="721">
        <v>4</v>
      </c>
      <c r="Z552" s="721">
        <v>0.91520000000000001</v>
      </c>
      <c r="AA552" s="721">
        <v>8.48E-2</v>
      </c>
      <c r="AB552" s="721">
        <v>0</v>
      </c>
      <c r="AC552" s="730"/>
    </row>
    <row r="553" spans="18:29">
      <c r="R553" s="721" t="str">
        <f t="shared" si="13"/>
        <v>WLCI2023F</v>
      </c>
      <c r="S553" s="672" t="s">
        <v>983</v>
      </c>
      <c r="T553" s="721">
        <v>23</v>
      </c>
      <c r="U553" s="721">
        <v>23</v>
      </c>
      <c r="V553" s="721" t="s">
        <v>14</v>
      </c>
      <c r="W553" s="721" t="s">
        <v>979</v>
      </c>
      <c r="X553" s="721">
        <v>1</v>
      </c>
      <c r="Y553" s="721">
        <v>4</v>
      </c>
      <c r="Z553" s="721">
        <v>0.91439999999999999</v>
      </c>
      <c r="AA553" s="721">
        <v>8.5599999999999996E-2</v>
      </c>
      <c r="AB553" s="721">
        <v>0</v>
      </c>
      <c r="AC553" s="730"/>
    </row>
    <row r="554" spans="18:29">
      <c r="R554" s="721" t="str">
        <f t="shared" si="13"/>
        <v>WLCI2024F</v>
      </c>
      <c r="S554" s="672" t="s">
        <v>983</v>
      </c>
      <c r="T554" s="721">
        <v>24</v>
      </c>
      <c r="U554" s="721">
        <v>24</v>
      </c>
      <c r="V554" s="721" t="s">
        <v>14</v>
      </c>
      <c r="W554" s="721" t="s">
        <v>979</v>
      </c>
      <c r="X554" s="721">
        <v>1</v>
      </c>
      <c r="Y554" s="721">
        <v>4</v>
      </c>
      <c r="Z554" s="721">
        <v>0.91410000000000002</v>
      </c>
      <c r="AA554" s="721">
        <v>8.5900000000000004E-2</v>
      </c>
      <c r="AB554" s="721">
        <v>0</v>
      </c>
      <c r="AC554" s="730"/>
    </row>
    <row r="555" spans="18:29">
      <c r="R555" s="721" t="str">
        <f t="shared" si="13"/>
        <v>WLCI2025F</v>
      </c>
      <c r="S555" s="672" t="s">
        <v>983</v>
      </c>
      <c r="T555" s="721">
        <v>25</v>
      </c>
      <c r="U555" s="721">
        <v>25</v>
      </c>
      <c r="V555" s="721" t="s">
        <v>14</v>
      </c>
      <c r="W555" s="721" t="s">
        <v>979</v>
      </c>
      <c r="X555" s="721">
        <v>1</v>
      </c>
      <c r="Y555" s="721">
        <v>4</v>
      </c>
      <c r="Z555" s="721">
        <v>0.91349999999999998</v>
      </c>
      <c r="AA555" s="721">
        <v>8.6499999999999994E-2</v>
      </c>
      <c r="AB555" s="721">
        <v>0</v>
      </c>
      <c r="AC555" s="730"/>
    </row>
    <row r="556" spans="18:29">
      <c r="R556" s="721" t="str">
        <f t="shared" ref="R556:R619" si="14">S556&amp;T556&amp;V556</f>
        <v>WLCI2026F</v>
      </c>
      <c r="S556" s="672" t="s">
        <v>983</v>
      </c>
      <c r="T556" s="721">
        <v>26</v>
      </c>
      <c r="U556" s="721">
        <v>26</v>
      </c>
      <c r="V556" s="721" t="s">
        <v>14</v>
      </c>
      <c r="W556" s="721" t="s">
        <v>979</v>
      </c>
      <c r="X556" s="721">
        <v>1</v>
      </c>
      <c r="Y556" s="721">
        <v>4</v>
      </c>
      <c r="Z556" s="721">
        <v>0.9133</v>
      </c>
      <c r="AA556" s="721">
        <v>8.6699999999999999E-2</v>
      </c>
      <c r="AB556" s="721">
        <v>0</v>
      </c>
      <c r="AC556" s="730"/>
    </row>
    <row r="557" spans="18:29">
      <c r="R557" s="721" t="str">
        <f t="shared" si="14"/>
        <v>WLCI2027F</v>
      </c>
      <c r="S557" s="672" t="s">
        <v>983</v>
      </c>
      <c r="T557" s="721">
        <v>27</v>
      </c>
      <c r="U557" s="721">
        <v>27</v>
      </c>
      <c r="V557" s="721" t="s">
        <v>14</v>
      </c>
      <c r="W557" s="721" t="s">
        <v>979</v>
      </c>
      <c r="X557" s="721">
        <v>1</v>
      </c>
      <c r="Y557" s="721">
        <v>4</v>
      </c>
      <c r="Z557" s="721">
        <v>0.91279999999999994</v>
      </c>
      <c r="AA557" s="721">
        <v>8.72E-2</v>
      </c>
      <c r="AB557" s="721">
        <v>0</v>
      </c>
      <c r="AC557" s="730"/>
    </row>
    <row r="558" spans="18:29">
      <c r="R558" s="721" t="str">
        <f t="shared" si="14"/>
        <v>WLCI2028F</v>
      </c>
      <c r="S558" s="672" t="s">
        <v>983</v>
      </c>
      <c r="T558" s="721">
        <v>28</v>
      </c>
      <c r="U558" s="721">
        <v>28</v>
      </c>
      <c r="V558" s="721" t="s">
        <v>14</v>
      </c>
      <c r="W558" s="721" t="s">
        <v>979</v>
      </c>
      <c r="X558" s="721">
        <v>1</v>
      </c>
      <c r="Y558" s="721">
        <v>4</v>
      </c>
      <c r="Z558" s="721">
        <v>0.91239999999999999</v>
      </c>
      <c r="AA558" s="721">
        <v>8.7599999999999997E-2</v>
      </c>
      <c r="AB558" s="721">
        <v>0</v>
      </c>
      <c r="AC558" s="730"/>
    </row>
    <row r="559" spans="18:29">
      <c r="R559" s="721" t="str">
        <f t="shared" si="14"/>
        <v>WLCI2029F</v>
      </c>
      <c r="S559" s="672" t="s">
        <v>983</v>
      </c>
      <c r="T559" s="721">
        <v>29</v>
      </c>
      <c r="U559" s="721">
        <v>29</v>
      </c>
      <c r="V559" s="721" t="s">
        <v>14</v>
      </c>
      <c r="W559" s="721" t="s">
        <v>979</v>
      </c>
      <c r="X559" s="721">
        <v>1</v>
      </c>
      <c r="Y559" s="721">
        <v>4</v>
      </c>
      <c r="Z559" s="721">
        <v>0.91200000000000003</v>
      </c>
      <c r="AA559" s="721">
        <v>8.7999999999999995E-2</v>
      </c>
      <c r="AB559" s="721">
        <v>0</v>
      </c>
      <c r="AC559" s="730"/>
    </row>
    <row r="560" spans="18:29">
      <c r="R560" s="721" t="str">
        <f t="shared" si="14"/>
        <v>WLCI2030F</v>
      </c>
      <c r="S560" s="672" t="s">
        <v>983</v>
      </c>
      <c r="T560" s="721">
        <v>30</v>
      </c>
      <c r="U560" s="721">
        <v>30</v>
      </c>
      <c r="V560" s="721" t="s">
        <v>14</v>
      </c>
      <c r="W560" s="721" t="s">
        <v>979</v>
      </c>
      <c r="X560" s="721">
        <v>1</v>
      </c>
      <c r="Y560" s="721">
        <v>4</v>
      </c>
      <c r="Z560" s="721">
        <v>0.91149999999999998</v>
      </c>
      <c r="AA560" s="721">
        <v>8.8499999999999995E-2</v>
      </c>
      <c r="AB560" s="721">
        <v>0</v>
      </c>
      <c r="AC560" s="730"/>
    </row>
    <row r="561" spans="18:29">
      <c r="R561" s="721" t="str">
        <f t="shared" si="14"/>
        <v>WLCI2031F</v>
      </c>
      <c r="S561" s="672" t="s">
        <v>983</v>
      </c>
      <c r="T561" s="721">
        <v>31</v>
      </c>
      <c r="U561" s="721">
        <v>31</v>
      </c>
      <c r="V561" s="721" t="s">
        <v>14</v>
      </c>
      <c r="W561" s="721" t="s">
        <v>979</v>
      </c>
      <c r="X561" s="721">
        <v>1</v>
      </c>
      <c r="Y561" s="721">
        <v>4</v>
      </c>
      <c r="Z561" s="721">
        <v>0.91069999999999995</v>
      </c>
      <c r="AA561" s="721">
        <v>8.9300000000000004E-2</v>
      </c>
      <c r="AB561" s="721">
        <v>0</v>
      </c>
      <c r="AC561" s="730"/>
    </row>
    <row r="562" spans="18:29">
      <c r="R562" s="721" t="str">
        <f t="shared" si="14"/>
        <v>WLCI2032F</v>
      </c>
      <c r="S562" s="672" t="s">
        <v>983</v>
      </c>
      <c r="T562" s="721">
        <v>32</v>
      </c>
      <c r="U562" s="721">
        <v>32</v>
      </c>
      <c r="V562" s="721" t="s">
        <v>14</v>
      </c>
      <c r="W562" s="721" t="s">
        <v>979</v>
      </c>
      <c r="X562" s="721">
        <v>1</v>
      </c>
      <c r="Y562" s="721">
        <v>4</v>
      </c>
      <c r="Z562" s="721">
        <v>0.9103</v>
      </c>
      <c r="AA562" s="721">
        <v>8.9700000000000002E-2</v>
      </c>
      <c r="AB562" s="721">
        <v>0</v>
      </c>
      <c r="AC562" s="730"/>
    </row>
    <row r="563" spans="18:29">
      <c r="R563" s="721" t="str">
        <f t="shared" si="14"/>
        <v>WLCI2033F</v>
      </c>
      <c r="S563" s="672" t="s">
        <v>983</v>
      </c>
      <c r="T563" s="721">
        <v>33</v>
      </c>
      <c r="U563" s="721">
        <v>33</v>
      </c>
      <c r="V563" s="721" t="s">
        <v>14</v>
      </c>
      <c r="W563" s="721" t="s">
        <v>979</v>
      </c>
      <c r="X563" s="721">
        <v>1</v>
      </c>
      <c r="Y563" s="721">
        <v>4</v>
      </c>
      <c r="Z563" s="721">
        <v>0.90959999999999996</v>
      </c>
      <c r="AA563" s="721">
        <v>9.0399999999999994E-2</v>
      </c>
      <c r="AB563" s="721">
        <v>0</v>
      </c>
      <c r="AC563" s="730"/>
    </row>
    <row r="564" spans="18:29">
      <c r="R564" s="721" t="str">
        <f t="shared" si="14"/>
        <v>WLCI2034F</v>
      </c>
      <c r="S564" s="672" t="s">
        <v>983</v>
      </c>
      <c r="T564" s="721">
        <v>34</v>
      </c>
      <c r="U564" s="721">
        <v>34</v>
      </c>
      <c r="V564" s="721" t="s">
        <v>14</v>
      </c>
      <c r="W564" s="721" t="s">
        <v>979</v>
      </c>
      <c r="X564" s="721">
        <v>1</v>
      </c>
      <c r="Y564" s="721">
        <v>4</v>
      </c>
      <c r="Z564" s="721">
        <v>0.90880000000000005</v>
      </c>
      <c r="AA564" s="721">
        <v>9.1200000000000003E-2</v>
      </c>
      <c r="AB564" s="721">
        <v>0</v>
      </c>
      <c r="AC564" s="730"/>
    </row>
    <row r="565" spans="18:29">
      <c r="R565" s="721" t="str">
        <f t="shared" si="14"/>
        <v>WLCI2035F</v>
      </c>
      <c r="S565" s="672" t="s">
        <v>983</v>
      </c>
      <c r="T565" s="721">
        <v>35</v>
      </c>
      <c r="U565" s="721">
        <v>35</v>
      </c>
      <c r="V565" s="721" t="s">
        <v>14</v>
      </c>
      <c r="W565" s="721" t="s">
        <v>979</v>
      </c>
      <c r="X565" s="721">
        <v>1</v>
      </c>
      <c r="Y565" s="721">
        <v>4</v>
      </c>
      <c r="Z565" s="721">
        <v>0.90859999999999996</v>
      </c>
      <c r="AA565" s="721">
        <v>9.1399999999999995E-2</v>
      </c>
      <c r="AB565" s="721">
        <v>0</v>
      </c>
      <c r="AC565" s="730"/>
    </row>
    <row r="566" spans="18:29">
      <c r="R566" s="721" t="str">
        <f t="shared" si="14"/>
        <v>WLCI2036F</v>
      </c>
      <c r="S566" s="672" t="s">
        <v>983</v>
      </c>
      <c r="T566" s="721">
        <v>36</v>
      </c>
      <c r="U566" s="721">
        <v>36</v>
      </c>
      <c r="V566" s="721" t="s">
        <v>14</v>
      </c>
      <c r="W566" s="721" t="s">
        <v>979</v>
      </c>
      <c r="X566" s="721">
        <v>1</v>
      </c>
      <c r="Y566" s="721">
        <v>4</v>
      </c>
      <c r="Z566" s="721">
        <v>0.90849999999999997</v>
      </c>
      <c r="AA566" s="721">
        <v>9.1499999999999998E-2</v>
      </c>
      <c r="AB566" s="721">
        <v>0</v>
      </c>
      <c r="AC566" s="730"/>
    </row>
    <row r="567" spans="18:29">
      <c r="R567" s="721" t="str">
        <f t="shared" si="14"/>
        <v>WLCI2037F</v>
      </c>
      <c r="S567" s="672" t="s">
        <v>983</v>
      </c>
      <c r="T567" s="721">
        <v>37</v>
      </c>
      <c r="U567" s="721">
        <v>37</v>
      </c>
      <c r="V567" s="721" t="s">
        <v>14</v>
      </c>
      <c r="W567" s="721" t="s">
        <v>979</v>
      </c>
      <c r="X567" s="721">
        <v>1</v>
      </c>
      <c r="Y567" s="721">
        <v>4</v>
      </c>
      <c r="Z567" s="721">
        <v>0.90839999999999999</v>
      </c>
      <c r="AA567" s="721">
        <v>9.1600000000000001E-2</v>
      </c>
      <c r="AB567" s="721">
        <v>0</v>
      </c>
      <c r="AC567" s="730"/>
    </row>
    <row r="568" spans="18:29">
      <c r="R568" s="721" t="str">
        <f t="shared" si="14"/>
        <v>WLCI2038F</v>
      </c>
      <c r="S568" s="672" t="s">
        <v>983</v>
      </c>
      <c r="T568" s="721">
        <v>38</v>
      </c>
      <c r="U568" s="721">
        <v>38</v>
      </c>
      <c r="V568" s="721" t="s">
        <v>14</v>
      </c>
      <c r="W568" s="721" t="s">
        <v>979</v>
      </c>
      <c r="X568" s="721">
        <v>1</v>
      </c>
      <c r="Y568" s="721">
        <v>4</v>
      </c>
      <c r="Z568" s="721">
        <v>0.90859999999999996</v>
      </c>
      <c r="AA568" s="721">
        <v>9.1399999999999995E-2</v>
      </c>
      <c r="AB568" s="721">
        <v>0</v>
      </c>
      <c r="AC568" s="730"/>
    </row>
    <row r="569" spans="18:29">
      <c r="R569" s="721" t="str">
        <f t="shared" si="14"/>
        <v>WLCI2039F</v>
      </c>
      <c r="S569" s="672" t="s">
        <v>983</v>
      </c>
      <c r="T569" s="721">
        <v>39</v>
      </c>
      <c r="U569" s="721">
        <v>39</v>
      </c>
      <c r="V569" s="721" t="s">
        <v>14</v>
      </c>
      <c r="W569" s="721" t="s">
        <v>979</v>
      </c>
      <c r="X569" s="721">
        <v>1</v>
      </c>
      <c r="Y569" s="721">
        <v>4</v>
      </c>
      <c r="Z569" s="721">
        <v>0.90839999999999999</v>
      </c>
      <c r="AA569" s="721">
        <v>9.1600000000000001E-2</v>
      </c>
      <c r="AB569" s="721">
        <v>0</v>
      </c>
      <c r="AC569" s="730"/>
    </row>
    <row r="570" spans="18:29">
      <c r="R570" s="721" t="str">
        <f t="shared" si="14"/>
        <v>WLCI2040F</v>
      </c>
      <c r="S570" s="672" t="s">
        <v>983</v>
      </c>
      <c r="T570" s="721">
        <v>40</v>
      </c>
      <c r="U570" s="721">
        <v>40</v>
      </c>
      <c r="V570" s="721" t="s">
        <v>14</v>
      </c>
      <c r="W570" s="721" t="s">
        <v>979</v>
      </c>
      <c r="X570" s="721">
        <v>1</v>
      </c>
      <c r="Y570" s="721">
        <v>4</v>
      </c>
      <c r="Z570" s="721">
        <v>0.90859999999999996</v>
      </c>
      <c r="AA570" s="721">
        <v>9.1399999999999995E-2</v>
      </c>
      <c r="AB570" s="721">
        <v>0</v>
      </c>
      <c r="AC570" s="730"/>
    </row>
    <row r="571" spans="18:29">
      <c r="R571" s="721" t="str">
        <f t="shared" si="14"/>
        <v>WLCI2041F</v>
      </c>
      <c r="S571" s="672" t="s">
        <v>983</v>
      </c>
      <c r="T571" s="721">
        <v>41</v>
      </c>
      <c r="U571" s="721">
        <v>41</v>
      </c>
      <c r="V571" s="721" t="s">
        <v>14</v>
      </c>
      <c r="W571" s="721" t="s">
        <v>979</v>
      </c>
      <c r="X571" s="721">
        <v>1</v>
      </c>
      <c r="Y571" s="721">
        <v>4</v>
      </c>
      <c r="Z571" s="721">
        <v>0.90880000000000005</v>
      </c>
      <c r="AA571" s="721">
        <v>9.1200000000000003E-2</v>
      </c>
      <c r="AB571" s="721">
        <v>0</v>
      </c>
      <c r="AC571" s="730"/>
    </row>
    <row r="572" spans="18:29">
      <c r="R572" s="721" t="str">
        <f t="shared" si="14"/>
        <v>WLCI2042F</v>
      </c>
      <c r="S572" s="672" t="s">
        <v>983</v>
      </c>
      <c r="T572" s="721">
        <v>42</v>
      </c>
      <c r="U572" s="721">
        <v>42</v>
      </c>
      <c r="V572" s="721" t="s">
        <v>14</v>
      </c>
      <c r="W572" s="721" t="s">
        <v>979</v>
      </c>
      <c r="X572" s="721">
        <v>1</v>
      </c>
      <c r="Y572" s="721">
        <v>4</v>
      </c>
      <c r="Z572" s="721">
        <v>0.90880000000000005</v>
      </c>
      <c r="AA572" s="721">
        <v>9.1200000000000003E-2</v>
      </c>
      <c r="AB572" s="721">
        <v>0</v>
      </c>
      <c r="AC572" s="730"/>
    </row>
    <row r="573" spans="18:29">
      <c r="R573" s="721" t="str">
        <f t="shared" si="14"/>
        <v>WLCI2043F</v>
      </c>
      <c r="S573" s="672" t="s">
        <v>983</v>
      </c>
      <c r="T573" s="721">
        <v>43</v>
      </c>
      <c r="U573" s="721">
        <v>43</v>
      </c>
      <c r="V573" s="721" t="s">
        <v>14</v>
      </c>
      <c r="W573" s="721" t="s">
        <v>979</v>
      </c>
      <c r="X573" s="721">
        <v>1</v>
      </c>
      <c r="Y573" s="721">
        <v>4</v>
      </c>
      <c r="Z573" s="721">
        <v>0.90900000000000003</v>
      </c>
      <c r="AA573" s="721">
        <v>9.0999999999999998E-2</v>
      </c>
      <c r="AB573" s="721">
        <v>0</v>
      </c>
      <c r="AC573" s="730"/>
    </row>
    <row r="574" spans="18:29">
      <c r="R574" s="721" t="str">
        <f t="shared" si="14"/>
        <v>WLCI2044F</v>
      </c>
      <c r="S574" s="672" t="s">
        <v>983</v>
      </c>
      <c r="T574" s="721">
        <v>44</v>
      </c>
      <c r="U574" s="721">
        <v>44</v>
      </c>
      <c r="V574" s="721" t="s">
        <v>14</v>
      </c>
      <c r="W574" s="721" t="s">
        <v>979</v>
      </c>
      <c r="X574" s="721">
        <v>1</v>
      </c>
      <c r="Y574" s="721">
        <v>4</v>
      </c>
      <c r="Z574" s="721">
        <v>0.90920000000000001</v>
      </c>
      <c r="AA574" s="721">
        <v>9.0800000000000006E-2</v>
      </c>
      <c r="AB574" s="721">
        <v>0</v>
      </c>
      <c r="AC574" s="730"/>
    </row>
    <row r="575" spans="18:29">
      <c r="R575" s="721" t="str">
        <f t="shared" si="14"/>
        <v>WLCI2045F</v>
      </c>
      <c r="S575" s="672" t="s">
        <v>983</v>
      </c>
      <c r="T575" s="721">
        <v>45</v>
      </c>
      <c r="U575" s="721">
        <v>45</v>
      </c>
      <c r="V575" s="721" t="s">
        <v>14</v>
      </c>
      <c r="W575" s="721" t="s">
        <v>979</v>
      </c>
      <c r="X575" s="721">
        <v>1</v>
      </c>
      <c r="Y575" s="721">
        <v>4</v>
      </c>
      <c r="Z575" s="721">
        <v>0.90990000000000004</v>
      </c>
      <c r="AA575" s="721">
        <v>9.01E-2</v>
      </c>
      <c r="AB575" s="721">
        <v>0</v>
      </c>
      <c r="AC575" s="730"/>
    </row>
    <row r="576" spans="18:29">
      <c r="R576" s="721" t="str">
        <f t="shared" si="14"/>
        <v>WLCI2046F</v>
      </c>
      <c r="S576" s="672" t="s">
        <v>983</v>
      </c>
      <c r="T576" s="721">
        <v>46</v>
      </c>
      <c r="U576" s="721">
        <v>46</v>
      </c>
      <c r="V576" s="721" t="s">
        <v>14</v>
      </c>
      <c r="W576" s="721" t="s">
        <v>979</v>
      </c>
      <c r="X576" s="721">
        <v>1</v>
      </c>
      <c r="Y576" s="721">
        <v>4</v>
      </c>
      <c r="Z576" s="721">
        <v>0.91090000000000004</v>
      </c>
      <c r="AA576" s="721">
        <v>8.9099999999999999E-2</v>
      </c>
      <c r="AB576" s="721">
        <v>0</v>
      </c>
      <c r="AC576" s="730"/>
    </row>
    <row r="577" spans="18:29">
      <c r="R577" s="721" t="str">
        <f t="shared" si="14"/>
        <v>WLCI2047F</v>
      </c>
      <c r="S577" s="672" t="s">
        <v>983</v>
      </c>
      <c r="T577" s="721">
        <v>47</v>
      </c>
      <c r="U577" s="721">
        <v>47</v>
      </c>
      <c r="V577" s="721" t="s">
        <v>14</v>
      </c>
      <c r="W577" s="721" t="s">
        <v>979</v>
      </c>
      <c r="X577" s="721">
        <v>1</v>
      </c>
      <c r="Y577" s="721">
        <v>4</v>
      </c>
      <c r="Z577" s="721">
        <v>0.91210000000000002</v>
      </c>
      <c r="AA577" s="721">
        <v>8.7900000000000006E-2</v>
      </c>
      <c r="AB577" s="721">
        <v>0</v>
      </c>
      <c r="AC577" s="730"/>
    </row>
    <row r="578" spans="18:29">
      <c r="R578" s="721" t="str">
        <f t="shared" si="14"/>
        <v>WLCI2048F</v>
      </c>
      <c r="S578" s="672" t="s">
        <v>983</v>
      </c>
      <c r="T578" s="721">
        <v>48</v>
      </c>
      <c r="U578" s="721">
        <v>48</v>
      </c>
      <c r="V578" s="721" t="s">
        <v>14</v>
      </c>
      <c r="W578" s="721" t="s">
        <v>979</v>
      </c>
      <c r="X578" s="721">
        <v>1</v>
      </c>
      <c r="Y578" s="721">
        <v>4</v>
      </c>
      <c r="Z578" s="721">
        <v>0.91359999999999997</v>
      </c>
      <c r="AA578" s="721">
        <v>8.6400000000000005E-2</v>
      </c>
      <c r="AB578" s="721">
        <v>0</v>
      </c>
      <c r="AC578" s="730"/>
    </row>
    <row r="579" spans="18:29">
      <c r="R579" s="721" t="str">
        <f t="shared" si="14"/>
        <v>WLCI2049F</v>
      </c>
      <c r="S579" s="672" t="s">
        <v>983</v>
      </c>
      <c r="T579" s="721">
        <v>49</v>
      </c>
      <c r="U579" s="721">
        <v>49</v>
      </c>
      <c r="V579" s="721" t="s">
        <v>14</v>
      </c>
      <c r="W579" s="721" t="s">
        <v>979</v>
      </c>
      <c r="X579" s="721">
        <v>1</v>
      </c>
      <c r="Y579" s="721">
        <v>4</v>
      </c>
      <c r="Z579" s="721">
        <v>0.91500000000000004</v>
      </c>
      <c r="AA579" s="721">
        <v>8.5000000000000006E-2</v>
      </c>
      <c r="AB579" s="721">
        <v>0</v>
      </c>
      <c r="AC579" s="730"/>
    </row>
    <row r="580" spans="18:29">
      <c r="R580" s="721" t="str">
        <f t="shared" si="14"/>
        <v>WLCI2050F</v>
      </c>
      <c r="S580" s="672" t="s">
        <v>983</v>
      </c>
      <c r="T580" s="721">
        <v>50</v>
      </c>
      <c r="U580" s="721">
        <v>50</v>
      </c>
      <c r="V580" s="721" t="s">
        <v>14</v>
      </c>
      <c r="W580" s="721" t="s">
        <v>979</v>
      </c>
      <c r="X580" s="721">
        <v>1</v>
      </c>
      <c r="Y580" s="721">
        <v>4</v>
      </c>
      <c r="Z580" s="721">
        <v>0.91639999999999999</v>
      </c>
      <c r="AA580" s="721">
        <v>8.3599999999999994E-2</v>
      </c>
      <c r="AB580" s="721">
        <v>0</v>
      </c>
      <c r="AC580" s="730"/>
    </row>
    <row r="581" spans="18:29">
      <c r="R581" s="721" t="str">
        <f t="shared" si="14"/>
        <v>WLCI2051F</v>
      </c>
      <c r="S581" s="672" t="s">
        <v>983</v>
      </c>
      <c r="T581" s="721">
        <v>51</v>
      </c>
      <c r="U581" s="721">
        <v>51</v>
      </c>
      <c r="V581" s="721" t="s">
        <v>14</v>
      </c>
      <c r="W581" s="721" t="s">
        <v>979</v>
      </c>
      <c r="X581" s="721">
        <v>1</v>
      </c>
      <c r="Y581" s="721">
        <v>4</v>
      </c>
      <c r="Z581" s="721">
        <v>0.91739999999999999</v>
      </c>
      <c r="AA581" s="721">
        <v>8.2600000000000007E-2</v>
      </c>
      <c r="AB581" s="721">
        <v>0</v>
      </c>
      <c r="AC581" s="730"/>
    </row>
    <row r="582" spans="18:29">
      <c r="R582" s="721" t="str">
        <f t="shared" si="14"/>
        <v>WLCI2052F</v>
      </c>
      <c r="S582" s="672" t="s">
        <v>983</v>
      </c>
      <c r="T582" s="721">
        <v>52</v>
      </c>
      <c r="U582" s="721">
        <v>52</v>
      </c>
      <c r="V582" s="721" t="s">
        <v>14</v>
      </c>
      <c r="W582" s="721" t="s">
        <v>979</v>
      </c>
      <c r="X582" s="721">
        <v>1</v>
      </c>
      <c r="Y582" s="721">
        <v>4</v>
      </c>
      <c r="Z582" s="721">
        <v>0.91790000000000005</v>
      </c>
      <c r="AA582" s="721">
        <v>8.2100000000000006E-2</v>
      </c>
      <c r="AB582" s="721">
        <v>0</v>
      </c>
      <c r="AC582" s="730"/>
    </row>
    <row r="583" spans="18:29">
      <c r="R583" s="721" t="str">
        <f t="shared" si="14"/>
        <v>20SS0M</v>
      </c>
      <c r="S583" s="672" t="s">
        <v>66</v>
      </c>
      <c r="T583" s="721">
        <v>0</v>
      </c>
      <c r="U583" s="721">
        <v>0</v>
      </c>
      <c r="V583" s="721" t="s">
        <v>13</v>
      </c>
      <c r="W583" s="721" t="s">
        <v>979</v>
      </c>
      <c r="X583" s="721" t="s">
        <v>984</v>
      </c>
      <c r="Y583" s="721" t="s">
        <v>984</v>
      </c>
      <c r="Z583" s="721">
        <v>0</v>
      </c>
      <c r="AA583" s="672">
        <v>1.2999999999999999E-3</v>
      </c>
      <c r="AB583" s="721">
        <v>0.99870000000000003</v>
      </c>
      <c r="AC583" s="730"/>
    </row>
    <row r="584" spans="18:29">
      <c r="R584" s="721" t="str">
        <f t="shared" si="14"/>
        <v>20SS1M</v>
      </c>
      <c r="S584" s="672" t="s">
        <v>66</v>
      </c>
      <c r="T584" s="721">
        <v>1</v>
      </c>
      <c r="U584" s="721">
        <v>1</v>
      </c>
      <c r="V584" s="721" t="s">
        <v>13</v>
      </c>
      <c r="W584" s="721" t="s">
        <v>979</v>
      </c>
      <c r="X584" s="721" t="s">
        <v>984</v>
      </c>
      <c r="Y584" s="721" t="s">
        <v>984</v>
      </c>
      <c r="Z584" s="721">
        <v>0</v>
      </c>
      <c r="AA584" s="672">
        <v>1.6000000000000001E-3</v>
      </c>
      <c r="AB584" s="721">
        <v>0.99840000000000007</v>
      </c>
      <c r="AC584" s="730"/>
    </row>
    <row r="585" spans="18:29">
      <c r="R585" s="721" t="str">
        <f t="shared" si="14"/>
        <v>20SS2M</v>
      </c>
      <c r="S585" s="672" t="s">
        <v>66</v>
      </c>
      <c r="T585" s="721">
        <v>2</v>
      </c>
      <c r="U585" s="721">
        <v>2</v>
      </c>
      <c r="V585" s="721" t="s">
        <v>13</v>
      </c>
      <c r="W585" s="721" t="s">
        <v>979</v>
      </c>
      <c r="X585" s="721" t="s">
        <v>984</v>
      </c>
      <c r="Y585" s="721" t="s">
        <v>984</v>
      </c>
      <c r="Z585" s="721">
        <v>0</v>
      </c>
      <c r="AA585" s="672">
        <v>2E-3</v>
      </c>
      <c r="AB585" s="721">
        <v>0.998</v>
      </c>
      <c r="AC585" s="730"/>
    </row>
    <row r="586" spans="18:29">
      <c r="R586" s="721" t="str">
        <f t="shared" si="14"/>
        <v>20SS3M</v>
      </c>
      <c r="S586" s="672" t="s">
        <v>66</v>
      </c>
      <c r="T586" s="721">
        <v>3</v>
      </c>
      <c r="U586" s="721">
        <v>3</v>
      </c>
      <c r="V586" s="721" t="s">
        <v>13</v>
      </c>
      <c r="W586" s="721" t="s">
        <v>979</v>
      </c>
      <c r="X586" s="721" t="s">
        <v>984</v>
      </c>
      <c r="Y586" s="721" t="s">
        <v>984</v>
      </c>
      <c r="Z586" s="721">
        <v>0</v>
      </c>
      <c r="AA586" s="672">
        <v>2.3E-3</v>
      </c>
      <c r="AB586" s="721">
        <v>0.99769999999999992</v>
      </c>
      <c r="AC586" s="730"/>
    </row>
    <row r="587" spans="18:29">
      <c r="R587" s="721" t="str">
        <f t="shared" si="14"/>
        <v>20SS4M</v>
      </c>
      <c r="S587" s="672" t="s">
        <v>66</v>
      </c>
      <c r="T587" s="721">
        <v>4</v>
      </c>
      <c r="U587" s="721">
        <v>4</v>
      </c>
      <c r="V587" s="721" t="s">
        <v>13</v>
      </c>
      <c r="W587" s="721" t="s">
        <v>979</v>
      </c>
      <c r="X587" s="721" t="s">
        <v>984</v>
      </c>
      <c r="Y587" s="721" t="s">
        <v>984</v>
      </c>
      <c r="Z587" s="721">
        <v>0</v>
      </c>
      <c r="AA587" s="672">
        <v>2.7000000000000001E-3</v>
      </c>
      <c r="AB587" s="721">
        <v>0.99730000000000008</v>
      </c>
      <c r="AC587" s="730"/>
    </row>
    <row r="588" spans="18:29">
      <c r="R588" s="721" t="str">
        <f t="shared" si="14"/>
        <v>20SS5M</v>
      </c>
      <c r="S588" s="672" t="s">
        <v>66</v>
      </c>
      <c r="T588" s="721">
        <v>5</v>
      </c>
      <c r="U588" s="721">
        <v>5</v>
      </c>
      <c r="V588" s="721" t="s">
        <v>13</v>
      </c>
      <c r="W588" s="721" t="s">
        <v>979</v>
      </c>
      <c r="X588" s="721" t="s">
        <v>984</v>
      </c>
      <c r="Y588" s="721" t="s">
        <v>984</v>
      </c>
      <c r="Z588" s="721">
        <v>0</v>
      </c>
      <c r="AA588" s="672">
        <v>3.0999999999999999E-3</v>
      </c>
      <c r="AB588" s="721">
        <v>0.99690000000000001</v>
      </c>
      <c r="AC588" s="730"/>
    </row>
    <row r="589" spans="18:29">
      <c r="R589" s="721" t="str">
        <f t="shared" si="14"/>
        <v>20SS6M</v>
      </c>
      <c r="S589" s="672" t="s">
        <v>66</v>
      </c>
      <c r="T589" s="721">
        <v>6</v>
      </c>
      <c r="U589" s="721">
        <v>6</v>
      </c>
      <c r="V589" s="721" t="s">
        <v>13</v>
      </c>
      <c r="W589" s="721" t="s">
        <v>979</v>
      </c>
      <c r="X589" s="721" t="s">
        <v>984</v>
      </c>
      <c r="Y589" s="721" t="s">
        <v>984</v>
      </c>
      <c r="Z589" s="721">
        <v>0</v>
      </c>
      <c r="AA589" s="672">
        <v>3.4999999999999996E-3</v>
      </c>
      <c r="AB589" s="721">
        <v>0.99650000000000005</v>
      </c>
      <c r="AC589" s="730"/>
    </row>
    <row r="590" spans="18:29">
      <c r="R590" s="721" t="str">
        <f t="shared" si="14"/>
        <v>20SS7M</v>
      </c>
      <c r="S590" s="672" t="s">
        <v>66</v>
      </c>
      <c r="T590" s="721">
        <v>7</v>
      </c>
      <c r="U590" s="721">
        <v>7</v>
      </c>
      <c r="V590" s="721" t="s">
        <v>13</v>
      </c>
      <c r="W590" s="721" t="s">
        <v>979</v>
      </c>
      <c r="X590" s="721" t="s">
        <v>984</v>
      </c>
      <c r="Y590" s="721" t="s">
        <v>984</v>
      </c>
      <c r="Z590" s="721">
        <v>0</v>
      </c>
      <c r="AA590" s="672">
        <v>4.0000000000000001E-3</v>
      </c>
      <c r="AB590" s="721">
        <v>0.996</v>
      </c>
      <c r="AC590" s="730"/>
    </row>
    <row r="591" spans="18:29">
      <c r="R591" s="721" t="str">
        <f t="shared" si="14"/>
        <v>20SS8M</v>
      </c>
      <c r="S591" s="672" t="s">
        <v>66</v>
      </c>
      <c r="T591" s="721">
        <v>8</v>
      </c>
      <c r="U591" s="721">
        <v>8</v>
      </c>
      <c r="V591" s="721" t="s">
        <v>13</v>
      </c>
      <c r="W591" s="721" t="s">
        <v>979</v>
      </c>
      <c r="X591" s="721" t="s">
        <v>984</v>
      </c>
      <c r="Y591" s="721" t="s">
        <v>984</v>
      </c>
      <c r="Z591" s="721">
        <v>0</v>
      </c>
      <c r="AA591" s="672">
        <v>4.5000000000000005E-3</v>
      </c>
      <c r="AB591" s="721">
        <v>0.99549999999999994</v>
      </c>
      <c r="AC591" s="730"/>
    </row>
    <row r="592" spans="18:29">
      <c r="R592" s="721" t="str">
        <f t="shared" si="14"/>
        <v>20SS9M</v>
      </c>
      <c r="S592" s="672" t="s">
        <v>66</v>
      </c>
      <c r="T592" s="721">
        <v>9</v>
      </c>
      <c r="U592" s="721">
        <v>9</v>
      </c>
      <c r="V592" s="721" t="s">
        <v>13</v>
      </c>
      <c r="W592" s="721" t="s">
        <v>979</v>
      </c>
      <c r="X592" s="721" t="s">
        <v>984</v>
      </c>
      <c r="Y592" s="721" t="s">
        <v>984</v>
      </c>
      <c r="Z592" s="721">
        <v>0</v>
      </c>
      <c r="AA592" s="672">
        <v>5.0000000000000001E-3</v>
      </c>
      <c r="AB592" s="721">
        <v>0.995</v>
      </c>
      <c r="AC592" s="730"/>
    </row>
    <row r="593" spans="18:29">
      <c r="R593" s="721" t="str">
        <f t="shared" si="14"/>
        <v>20SS10M</v>
      </c>
      <c r="S593" s="672" t="s">
        <v>66</v>
      </c>
      <c r="T593" s="721">
        <v>10</v>
      </c>
      <c r="U593" s="721">
        <v>10</v>
      </c>
      <c r="V593" s="721" t="s">
        <v>13</v>
      </c>
      <c r="W593" s="721" t="s">
        <v>979</v>
      </c>
      <c r="X593" s="721" t="s">
        <v>984</v>
      </c>
      <c r="Y593" s="721" t="s">
        <v>984</v>
      </c>
      <c r="Z593" s="721">
        <v>0</v>
      </c>
      <c r="AA593" s="672">
        <v>5.6000000000000008E-3</v>
      </c>
      <c r="AB593" s="721">
        <v>0.99439999999999995</v>
      </c>
      <c r="AC593" s="730"/>
    </row>
    <row r="594" spans="18:29">
      <c r="R594" s="721" t="str">
        <f t="shared" si="14"/>
        <v>20SS11M</v>
      </c>
      <c r="S594" s="672" t="s">
        <v>66</v>
      </c>
      <c r="T594" s="721">
        <v>11</v>
      </c>
      <c r="U594" s="721">
        <v>11</v>
      </c>
      <c r="V594" s="721" t="s">
        <v>13</v>
      </c>
      <c r="W594" s="721" t="s">
        <v>979</v>
      </c>
      <c r="X594" s="721" t="s">
        <v>984</v>
      </c>
      <c r="Y594" s="721" t="s">
        <v>984</v>
      </c>
      <c r="Z594" s="721">
        <v>0</v>
      </c>
      <c r="AA594" s="672">
        <v>6.3E-3</v>
      </c>
      <c r="AB594" s="721">
        <v>0.99370000000000003</v>
      </c>
      <c r="AC594" s="730"/>
    </row>
    <row r="595" spans="18:29">
      <c r="R595" s="721" t="str">
        <f t="shared" si="14"/>
        <v>20SS12M</v>
      </c>
      <c r="S595" s="672" t="s">
        <v>66</v>
      </c>
      <c r="T595" s="721">
        <v>12</v>
      </c>
      <c r="U595" s="721">
        <v>12</v>
      </c>
      <c r="V595" s="721" t="s">
        <v>13</v>
      </c>
      <c r="W595" s="721" t="s">
        <v>979</v>
      </c>
      <c r="X595" s="721" t="s">
        <v>984</v>
      </c>
      <c r="Y595" s="721" t="s">
        <v>984</v>
      </c>
      <c r="Z595" s="721">
        <v>0</v>
      </c>
      <c r="AA595" s="672">
        <v>6.8999999999999999E-3</v>
      </c>
      <c r="AB595" s="721">
        <v>0.99309999999999998</v>
      </c>
      <c r="AC595" s="730"/>
    </row>
    <row r="596" spans="18:29">
      <c r="R596" s="721" t="str">
        <f t="shared" si="14"/>
        <v>20SS13M</v>
      </c>
      <c r="S596" s="672" t="s">
        <v>66</v>
      </c>
      <c r="T596" s="721">
        <v>13</v>
      </c>
      <c r="U596" s="721">
        <v>13</v>
      </c>
      <c r="V596" s="721" t="s">
        <v>13</v>
      </c>
      <c r="W596" s="721" t="s">
        <v>979</v>
      </c>
      <c r="X596" s="721" t="s">
        <v>984</v>
      </c>
      <c r="Y596" s="721" t="s">
        <v>984</v>
      </c>
      <c r="Z596" s="721">
        <v>0</v>
      </c>
      <c r="AA596" s="672">
        <v>7.7000000000000002E-3</v>
      </c>
      <c r="AB596" s="721">
        <v>0.99230000000000007</v>
      </c>
      <c r="AC596" s="730"/>
    </row>
    <row r="597" spans="18:29">
      <c r="R597" s="721" t="str">
        <f t="shared" si="14"/>
        <v>20SS14M</v>
      </c>
      <c r="S597" s="672" t="s">
        <v>66</v>
      </c>
      <c r="T597" s="721">
        <v>14</v>
      </c>
      <c r="U597" s="721">
        <v>14</v>
      </c>
      <c r="V597" s="721" t="s">
        <v>13</v>
      </c>
      <c r="W597" s="721" t="s">
        <v>979</v>
      </c>
      <c r="X597" s="721" t="s">
        <v>984</v>
      </c>
      <c r="Y597" s="721" t="s">
        <v>984</v>
      </c>
      <c r="Z597" s="721">
        <v>0</v>
      </c>
      <c r="AA597" s="672">
        <v>8.5000000000000006E-3</v>
      </c>
      <c r="AB597" s="721">
        <v>0.99150000000000005</v>
      </c>
      <c r="AC597" s="730"/>
    </row>
    <row r="598" spans="18:29">
      <c r="R598" s="721" t="str">
        <f t="shared" si="14"/>
        <v>20SS15M</v>
      </c>
      <c r="S598" s="672" t="s">
        <v>66</v>
      </c>
      <c r="T598" s="721">
        <v>15</v>
      </c>
      <c r="U598" s="721">
        <v>15</v>
      </c>
      <c r="V598" s="721" t="s">
        <v>13</v>
      </c>
      <c r="W598" s="721" t="s">
        <v>979</v>
      </c>
      <c r="X598" s="721" t="s">
        <v>984</v>
      </c>
      <c r="Y598" s="721" t="s">
        <v>984</v>
      </c>
      <c r="Z598" s="721">
        <v>0</v>
      </c>
      <c r="AA598" s="672">
        <v>9.3999999999999986E-3</v>
      </c>
      <c r="AB598" s="721">
        <v>0.99060000000000004</v>
      </c>
      <c r="AC598" s="730"/>
    </row>
    <row r="599" spans="18:29">
      <c r="R599" s="721" t="str">
        <f t="shared" si="14"/>
        <v>20SS16M</v>
      </c>
      <c r="S599" s="672" t="s">
        <v>66</v>
      </c>
      <c r="T599" s="721">
        <v>16</v>
      </c>
      <c r="U599" s="721">
        <v>16</v>
      </c>
      <c r="V599" s="721" t="s">
        <v>13</v>
      </c>
      <c r="W599" s="721" t="s">
        <v>979</v>
      </c>
      <c r="X599" s="721" t="s">
        <v>984</v>
      </c>
      <c r="Y599" s="721" t="s">
        <v>984</v>
      </c>
      <c r="Z599" s="721">
        <v>0</v>
      </c>
      <c r="AA599" s="672">
        <v>9.7999999999999997E-3</v>
      </c>
      <c r="AB599" s="721">
        <v>0.99019999999999997</v>
      </c>
      <c r="AC599" s="730"/>
    </row>
    <row r="600" spans="18:29">
      <c r="R600" s="721" t="str">
        <f t="shared" si="14"/>
        <v>20SS17M</v>
      </c>
      <c r="S600" s="672" t="s">
        <v>66</v>
      </c>
      <c r="T600" s="721">
        <v>17</v>
      </c>
      <c r="U600" s="721">
        <v>17</v>
      </c>
      <c r="V600" s="721" t="s">
        <v>13</v>
      </c>
      <c r="W600" s="721" t="s">
        <v>979</v>
      </c>
      <c r="X600" s="721" t="s">
        <v>984</v>
      </c>
      <c r="Y600" s="721" t="s">
        <v>984</v>
      </c>
      <c r="Z600" s="721">
        <v>0</v>
      </c>
      <c r="AA600" s="672">
        <v>1.0200000000000001E-2</v>
      </c>
      <c r="AB600" s="721">
        <v>0.98980000000000001</v>
      </c>
      <c r="AC600" s="730"/>
    </row>
    <row r="601" spans="18:29">
      <c r="R601" s="721" t="str">
        <f t="shared" si="14"/>
        <v>20SS18M</v>
      </c>
      <c r="S601" s="672" t="s">
        <v>66</v>
      </c>
      <c r="T601" s="721">
        <v>18</v>
      </c>
      <c r="U601" s="721">
        <v>18</v>
      </c>
      <c r="V601" s="721" t="s">
        <v>13</v>
      </c>
      <c r="W601" s="721" t="s">
        <v>979</v>
      </c>
      <c r="X601" s="721" t="s">
        <v>984</v>
      </c>
      <c r="Y601" s="721" t="s">
        <v>984</v>
      </c>
      <c r="Z601" s="721">
        <v>0</v>
      </c>
      <c r="AA601" s="672">
        <v>1.0800000000000001E-2</v>
      </c>
      <c r="AB601" s="721">
        <v>0.98919999999999997</v>
      </c>
      <c r="AC601" s="730"/>
    </row>
    <row r="602" spans="18:29">
      <c r="R602" s="721" t="str">
        <f t="shared" si="14"/>
        <v>20SS19M</v>
      </c>
      <c r="S602" s="672" t="s">
        <v>66</v>
      </c>
      <c r="T602" s="721">
        <v>19</v>
      </c>
      <c r="U602" s="721">
        <v>19</v>
      </c>
      <c r="V602" s="721" t="s">
        <v>13</v>
      </c>
      <c r="W602" s="721" t="s">
        <v>979</v>
      </c>
      <c r="X602" s="721" t="s">
        <v>984</v>
      </c>
      <c r="Y602" s="721" t="s">
        <v>984</v>
      </c>
      <c r="Z602" s="721">
        <v>0</v>
      </c>
      <c r="AA602" s="672">
        <v>1.1399999999999999E-2</v>
      </c>
      <c r="AB602" s="721">
        <v>0.98860000000000003</v>
      </c>
      <c r="AC602" s="730"/>
    </row>
    <row r="603" spans="18:29">
      <c r="R603" s="721" t="str">
        <f t="shared" si="14"/>
        <v>20SS20M</v>
      </c>
      <c r="S603" s="672" t="s">
        <v>66</v>
      </c>
      <c r="T603" s="721">
        <v>20</v>
      </c>
      <c r="U603" s="721">
        <v>20</v>
      </c>
      <c r="V603" s="721" t="s">
        <v>13</v>
      </c>
      <c r="W603" s="721" t="s">
        <v>979</v>
      </c>
      <c r="X603" s="721" t="s">
        <v>984</v>
      </c>
      <c r="Y603" s="721" t="s">
        <v>984</v>
      </c>
      <c r="Z603" s="721">
        <v>0</v>
      </c>
      <c r="AA603" s="672">
        <v>1.2199999999999999E-2</v>
      </c>
      <c r="AB603" s="721">
        <v>0.98780000000000001</v>
      </c>
      <c r="AC603" s="730"/>
    </row>
    <row r="604" spans="18:29">
      <c r="R604" s="721" t="str">
        <f t="shared" si="14"/>
        <v>20SS21M</v>
      </c>
      <c r="S604" s="672" t="s">
        <v>66</v>
      </c>
      <c r="T604" s="721">
        <v>21</v>
      </c>
      <c r="U604" s="721">
        <v>21</v>
      </c>
      <c r="V604" s="721" t="s">
        <v>13</v>
      </c>
      <c r="W604" s="721" t="s">
        <v>979</v>
      </c>
      <c r="X604" s="721" t="s">
        <v>984</v>
      </c>
      <c r="Y604" s="721" t="s">
        <v>984</v>
      </c>
      <c r="Z604" s="721">
        <v>0</v>
      </c>
      <c r="AA604" s="672">
        <v>1.3100000000000001E-2</v>
      </c>
      <c r="AB604" s="721">
        <v>0.9869</v>
      </c>
      <c r="AC604" s="730"/>
    </row>
    <row r="605" spans="18:29">
      <c r="R605" s="721" t="str">
        <f t="shared" si="14"/>
        <v>20SS22M</v>
      </c>
      <c r="S605" s="672" t="s">
        <v>66</v>
      </c>
      <c r="T605" s="721">
        <v>22</v>
      </c>
      <c r="U605" s="721">
        <v>22</v>
      </c>
      <c r="V605" s="721" t="s">
        <v>13</v>
      </c>
      <c r="W605" s="721" t="s">
        <v>979</v>
      </c>
      <c r="X605" s="721" t="s">
        <v>984</v>
      </c>
      <c r="Y605" s="721" t="s">
        <v>984</v>
      </c>
      <c r="Z605" s="721">
        <v>0</v>
      </c>
      <c r="AA605" s="672">
        <v>1.41E-2</v>
      </c>
      <c r="AB605" s="721">
        <v>0.9859</v>
      </c>
      <c r="AC605" s="730"/>
    </row>
    <row r="606" spans="18:29">
      <c r="R606" s="721" t="str">
        <f t="shared" si="14"/>
        <v>20SS23M</v>
      </c>
      <c r="S606" s="672" t="s">
        <v>66</v>
      </c>
      <c r="T606" s="721">
        <v>23</v>
      </c>
      <c r="U606" s="721">
        <v>23</v>
      </c>
      <c r="V606" s="721" t="s">
        <v>13</v>
      </c>
      <c r="W606" s="721" t="s">
        <v>979</v>
      </c>
      <c r="X606" s="721" t="s">
        <v>984</v>
      </c>
      <c r="Y606" s="721" t="s">
        <v>984</v>
      </c>
      <c r="Z606" s="721">
        <v>0</v>
      </c>
      <c r="AA606" s="672">
        <v>1.5300000000000001E-2</v>
      </c>
      <c r="AB606" s="721">
        <v>0.98470000000000002</v>
      </c>
      <c r="AC606" s="730"/>
    </row>
    <row r="607" spans="18:29">
      <c r="R607" s="721" t="str">
        <f t="shared" si="14"/>
        <v>20SS24M</v>
      </c>
      <c r="S607" s="672" t="s">
        <v>66</v>
      </c>
      <c r="T607" s="721">
        <v>24</v>
      </c>
      <c r="U607" s="721">
        <v>24</v>
      </c>
      <c r="V607" s="721" t="s">
        <v>13</v>
      </c>
      <c r="W607" s="721" t="s">
        <v>979</v>
      </c>
      <c r="X607" s="721" t="s">
        <v>984</v>
      </c>
      <c r="Y607" s="721" t="s">
        <v>984</v>
      </c>
      <c r="Z607" s="721">
        <v>0</v>
      </c>
      <c r="AA607" s="672">
        <v>1.66E-2</v>
      </c>
      <c r="AB607" s="721">
        <v>0.98340000000000005</v>
      </c>
      <c r="AC607" s="730"/>
    </row>
    <row r="608" spans="18:29">
      <c r="R608" s="721" t="str">
        <f t="shared" si="14"/>
        <v>20SS25M</v>
      </c>
      <c r="S608" s="672" t="s">
        <v>66</v>
      </c>
      <c r="T608" s="721">
        <v>25</v>
      </c>
      <c r="U608" s="721">
        <v>25</v>
      </c>
      <c r="V608" s="721" t="s">
        <v>13</v>
      </c>
      <c r="W608" s="721" t="s">
        <v>979</v>
      </c>
      <c r="X608" s="721" t="s">
        <v>984</v>
      </c>
      <c r="Y608" s="721" t="s">
        <v>984</v>
      </c>
      <c r="Z608" s="721">
        <v>0</v>
      </c>
      <c r="AA608" s="672">
        <v>1.8000000000000002E-2</v>
      </c>
      <c r="AB608" s="721">
        <v>0.98199999999999998</v>
      </c>
      <c r="AC608" s="730"/>
    </row>
    <row r="609" spans="18:29">
      <c r="R609" s="721" t="str">
        <f t="shared" si="14"/>
        <v>20SS26M</v>
      </c>
      <c r="S609" s="672" t="s">
        <v>66</v>
      </c>
      <c r="T609" s="721">
        <v>26</v>
      </c>
      <c r="U609" s="721">
        <v>26</v>
      </c>
      <c r="V609" s="721" t="s">
        <v>13</v>
      </c>
      <c r="W609" s="721" t="s">
        <v>979</v>
      </c>
      <c r="X609" s="721" t="s">
        <v>984</v>
      </c>
      <c r="Y609" s="721" t="s">
        <v>984</v>
      </c>
      <c r="Z609" s="721">
        <v>0</v>
      </c>
      <c r="AA609" s="672">
        <v>1.9699999999999999E-2</v>
      </c>
      <c r="AB609" s="721">
        <v>0.98030000000000006</v>
      </c>
      <c r="AC609" s="730"/>
    </row>
    <row r="610" spans="18:29">
      <c r="R610" s="721" t="str">
        <f t="shared" si="14"/>
        <v>20SS27M</v>
      </c>
      <c r="S610" s="672" t="s">
        <v>66</v>
      </c>
      <c r="T610" s="721">
        <v>27</v>
      </c>
      <c r="U610" s="721">
        <v>27</v>
      </c>
      <c r="V610" s="721" t="s">
        <v>13</v>
      </c>
      <c r="W610" s="721" t="s">
        <v>979</v>
      </c>
      <c r="X610" s="721" t="s">
        <v>984</v>
      </c>
      <c r="Y610" s="721" t="s">
        <v>984</v>
      </c>
      <c r="Z610" s="721">
        <v>0</v>
      </c>
      <c r="AA610" s="672">
        <v>2.1400000000000002E-2</v>
      </c>
      <c r="AB610" s="721">
        <v>0.97860000000000003</v>
      </c>
      <c r="AC610" s="730"/>
    </row>
    <row r="611" spans="18:29">
      <c r="R611" s="721" t="str">
        <f t="shared" si="14"/>
        <v>20SS28M</v>
      </c>
      <c r="S611" s="672" t="s">
        <v>66</v>
      </c>
      <c r="T611" s="721">
        <v>28</v>
      </c>
      <c r="U611" s="721">
        <v>28</v>
      </c>
      <c r="V611" s="721" t="s">
        <v>13</v>
      </c>
      <c r="W611" s="721" t="s">
        <v>979</v>
      </c>
      <c r="X611" s="721" t="s">
        <v>984</v>
      </c>
      <c r="Y611" s="721" t="s">
        <v>984</v>
      </c>
      <c r="Z611" s="721">
        <v>0</v>
      </c>
      <c r="AA611" s="672">
        <v>2.3399999999999997E-2</v>
      </c>
      <c r="AB611" s="721">
        <v>0.97659999999999991</v>
      </c>
      <c r="AC611" s="730"/>
    </row>
    <row r="612" spans="18:29">
      <c r="R612" s="721" t="str">
        <f t="shared" si="14"/>
        <v>20SS29M</v>
      </c>
      <c r="S612" s="672" t="s">
        <v>66</v>
      </c>
      <c r="T612" s="721">
        <v>29</v>
      </c>
      <c r="U612" s="721">
        <v>29</v>
      </c>
      <c r="V612" s="721" t="s">
        <v>13</v>
      </c>
      <c r="W612" s="721" t="s">
        <v>979</v>
      </c>
      <c r="X612" s="721" t="s">
        <v>984</v>
      </c>
      <c r="Y612" s="721" t="s">
        <v>984</v>
      </c>
      <c r="Z612" s="721">
        <v>0</v>
      </c>
      <c r="AA612" s="672">
        <v>2.5600000000000001E-2</v>
      </c>
      <c r="AB612" s="721">
        <v>0.97439999999999993</v>
      </c>
      <c r="AC612" s="730"/>
    </row>
    <row r="613" spans="18:29">
      <c r="R613" s="721" t="str">
        <f t="shared" si="14"/>
        <v>20SS30M</v>
      </c>
      <c r="S613" s="672" t="s">
        <v>66</v>
      </c>
      <c r="T613" s="721">
        <v>30</v>
      </c>
      <c r="U613" s="721">
        <v>30</v>
      </c>
      <c r="V613" s="721" t="s">
        <v>13</v>
      </c>
      <c r="W613" s="721" t="s">
        <v>979</v>
      </c>
      <c r="X613" s="721" t="s">
        <v>984</v>
      </c>
      <c r="Y613" s="721" t="s">
        <v>984</v>
      </c>
      <c r="Z613" s="721">
        <v>0</v>
      </c>
      <c r="AA613" s="672">
        <v>2.7999999999999997E-2</v>
      </c>
      <c r="AB613" s="721">
        <v>0.97199999999999998</v>
      </c>
      <c r="AC613" s="730"/>
    </row>
    <row r="614" spans="18:29">
      <c r="R614" s="721" t="str">
        <f t="shared" si="14"/>
        <v>20SS31M</v>
      </c>
      <c r="S614" s="672" t="s">
        <v>66</v>
      </c>
      <c r="T614" s="721">
        <v>31</v>
      </c>
      <c r="U614" s="721">
        <v>31</v>
      </c>
      <c r="V614" s="721" t="s">
        <v>13</v>
      </c>
      <c r="W614" s="721" t="s">
        <v>979</v>
      </c>
      <c r="X614" s="721" t="s">
        <v>984</v>
      </c>
      <c r="Y614" s="721" t="s">
        <v>984</v>
      </c>
      <c r="Z614" s="721">
        <v>0</v>
      </c>
      <c r="AA614" s="672">
        <v>3.0600000000000002E-2</v>
      </c>
      <c r="AB614" s="721">
        <v>0.96939999999999993</v>
      </c>
      <c r="AC614" s="730"/>
    </row>
    <row r="615" spans="18:29">
      <c r="R615" s="721" t="str">
        <f t="shared" si="14"/>
        <v>20SS32M</v>
      </c>
      <c r="S615" s="672" t="s">
        <v>66</v>
      </c>
      <c r="T615" s="721">
        <v>32</v>
      </c>
      <c r="U615" s="721">
        <v>32</v>
      </c>
      <c r="V615" s="721" t="s">
        <v>13</v>
      </c>
      <c r="W615" s="721" t="s">
        <v>979</v>
      </c>
      <c r="X615" s="721" t="s">
        <v>984</v>
      </c>
      <c r="Y615" s="721" t="s">
        <v>984</v>
      </c>
      <c r="Z615" s="721">
        <v>0</v>
      </c>
      <c r="AA615" s="672">
        <v>3.3399999999999999E-2</v>
      </c>
      <c r="AB615" s="721">
        <v>0.96660000000000001</v>
      </c>
      <c r="AC615" s="730"/>
    </row>
    <row r="616" spans="18:29">
      <c r="R616" s="721" t="str">
        <f t="shared" si="14"/>
        <v>20SS33M</v>
      </c>
      <c r="S616" s="672" t="s">
        <v>66</v>
      </c>
      <c r="T616" s="721">
        <v>33</v>
      </c>
      <c r="U616" s="721">
        <v>33</v>
      </c>
      <c r="V616" s="721" t="s">
        <v>13</v>
      </c>
      <c r="W616" s="721" t="s">
        <v>979</v>
      </c>
      <c r="X616" s="721" t="s">
        <v>984</v>
      </c>
      <c r="Y616" s="721" t="s">
        <v>984</v>
      </c>
      <c r="Z616" s="721">
        <v>0</v>
      </c>
      <c r="AA616" s="672">
        <v>3.6600000000000001E-2</v>
      </c>
      <c r="AB616" s="721">
        <v>0.96340000000000003</v>
      </c>
      <c r="AC616" s="730"/>
    </row>
    <row r="617" spans="18:29">
      <c r="R617" s="721" t="str">
        <f t="shared" si="14"/>
        <v>20SS34M</v>
      </c>
      <c r="S617" s="672" t="s">
        <v>66</v>
      </c>
      <c r="T617" s="721">
        <v>34</v>
      </c>
      <c r="U617" s="721">
        <v>34</v>
      </c>
      <c r="V617" s="721" t="s">
        <v>13</v>
      </c>
      <c r="W617" s="721" t="s">
        <v>979</v>
      </c>
      <c r="X617" s="721" t="s">
        <v>984</v>
      </c>
      <c r="Y617" s="721" t="s">
        <v>984</v>
      </c>
      <c r="Z617" s="721">
        <v>0</v>
      </c>
      <c r="AA617" s="672">
        <v>3.9900000000000005E-2</v>
      </c>
      <c r="AB617" s="721">
        <v>0.96010000000000006</v>
      </c>
      <c r="AC617" s="730"/>
    </row>
    <row r="618" spans="18:29">
      <c r="R618" s="721" t="str">
        <f t="shared" si="14"/>
        <v>20SS35M</v>
      </c>
      <c r="S618" s="672" t="s">
        <v>66</v>
      </c>
      <c r="T618" s="721">
        <v>35</v>
      </c>
      <c r="U618" s="721">
        <v>35</v>
      </c>
      <c r="V618" s="721" t="s">
        <v>13</v>
      </c>
      <c r="W618" s="721" t="s">
        <v>979</v>
      </c>
      <c r="X618" s="721" t="s">
        <v>984</v>
      </c>
      <c r="Y618" s="721" t="s">
        <v>984</v>
      </c>
      <c r="Z618" s="721">
        <v>0</v>
      </c>
      <c r="AA618" s="672">
        <v>4.3499999999999997E-2</v>
      </c>
      <c r="AB618" s="721">
        <v>0.95650000000000002</v>
      </c>
      <c r="AC618" s="730"/>
    </row>
    <row r="619" spans="18:29">
      <c r="R619" s="721" t="str">
        <f t="shared" si="14"/>
        <v>20SS36M</v>
      </c>
      <c r="S619" s="672" t="s">
        <v>66</v>
      </c>
      <c r="T619" s="721">
        <v>36</v>
      </c>
      <c r="U619" s="721">
        <v>36</v>
      </c>
      <c r="V619" s="721" t="s">
        <v>13</v>
      </c>
      <c r="W619" s="721" t="s">
        <v>979</v>
      </c>
      <c r="X619" s="721" t="s">
        <v>984</v>
      </c>
      <c r="Y619" s="721" t="s">
        <v>984</v>
      </c>
      <c r="Z619" s="721">
        <v>0</v>
      </c>
      <c r="AA619" s="672">
        <v>4.7300000000000002E-2</v>
      </c>
      <c r="AB619" s="721">
        <v>0.95269999999999999</v>
      </c>
      <c r="AC619" s="730"/>
    </row>
    <row r="620" spans="18:29">
      <c r="R620" s="721" t="str">
        <f t="shared" ref="R620:R683" si="15">S620&amp;T620&amp;V620</f>
        <v>20SS37M</v>
      </c>
      <c r="S620" s="672" t="s">
        <v>66</v>
      </c>
      <c r="T620" s="721">
        <v>37</v>
      </c>
      <c r="U620" s="721">
        <v>37</v>
      </c>
      <c r="V620" s="721" t="s">
        <v>13</v>
      </c>
      <c r="W620" s="721" t="s">
        <v>979</v>
      </c>
      <c r="X620" s="721" t="s">
        <v>984</v>
      </c>
      <c r="Y620" s="721" t="s">
        <v>984</v>
      </c>
      <c r="Z620" s="721">
        <v>0</v>
      </c>
      <c r="AA620" s="672">
        <v>5.1399999999999994E-2</v>
      </c>
      <c r="AB620" s="721">
        <v>0.9486</v>
      </c>
      <c r="AC620" s="730"/>
    </row>
    <row r="621" spans="18:29">
      <c r="R621" s="721" t="str">
        <f t="shared" si="15"/>
        <v>20SS38M</v>
      </c>
      <c r="S621" s="672" t="s">
        <v>66</v>
      </c>
      <c r="T621" s="721">
        <v>38</v>
      </c>
      <c r="U621" s="721">
        <v>38</v>
      </c>
      <c r="V621" s="721" t="s">
        <v>13</v>
      </c>
      <c r="W621" s="721" t="s">
        <v>979</v>
      </c>
      <c r="X621" s="721" t="s">
        <v>984</v>
      </c>
      <c r="Y621" s="721" t="s">
        <v>984</v>
      </c>
      <c r="Z621" s="721">
        <v>0</v>
      </c>
      <c r="AA621" s="672">
        <v>5.57E-2</v>
      </c>
      <c r="AB621" s="721">
        <v>0.94430000000000003</v>
      </c>
      <c r="AC621" s="730"/>
    </row>
    <row r="622" spans="18:29">
      <c r="R622" s="721" t="str">
        <f t="shared" si="15"/>
        <v>20SS39M</v>
      </c>
      <c r="S622" s="672" t="s">
        <v>66</v>
      </c>
      <c r="T622" s="721">
        <v>39</v>
      </c>
      <c r="U622" s="721">
        <v>39</v>
      </c>
      <c r="V622" s="721" t="s">
        <v>13</v>
      </c>
      <c r="W622" s="721" t="s">
        <v>979</v>
      </c>
      <c r="X622" s="721" t="s">
        <v>984</v>
      </c>
      <c r="Y622" s="721" t="s">
        <v>984</v>
      </c>
      <c r="Z622" s="721">
        <v>0</v>
      </c>
      <c r="AA622" s="672">
        <v>6.0100000000000001E-2</v>
      </c>
      <c r="AB622" s="721">
        <v>0.93989999999999996</v>
      </c>
      <c r="AC622" s="730"/>
    </row>
    <row r="623" spans="18:29">
      <c r="R623" s="721" t="str">
        <f t="shared" si="15"/>
        <v>20SS40M</v>
      </c>
      <c r="S623" s="672" t="s">
        <v>66</v>
      </c>
      <c r="T623" s="721">
        <v>40</v>
      </c>
      <c r="U623" s="721">
        <v>40</v>
      </c>
      <c r="V623" s="721" t="s">
        <v>13</v>
      </c>
      <c r="W623" s="721" t="s">
        <v>979</v>
      </c>
      <c r="X623" s="721" t="s">
        <v>984</v>
      </c>
      <c r="Y623" s="721" t="s">
        <v>984</v>
      </c>
      <c r="Z623" s="721">
        <v>0</v>
      </c>
      <c r="AA623" s="672">
        <v>6.480000000000001E-2</v>
      </c>
      <c r="AB623" s="721">
        <v>0.93519999999999992</v>
      </c>
      <c r="AC623" s="730"/>
    </row>
    <row r="624" spans="18:29">
      <c r="R624" s="721" t="str">
        <f t="shared" si="15"/>
        <v>20SS41M</v>
      </c>
      <c r="S624" s="672" t="s">
        <v>66</v>
      </c>
      <c r="T624" s="721">
        <v>41</v>
      </c>
      <c r="U624" s="721">
        <v>41</v>
      </c>
      <c r="V624" s="721" t="s">
        <v>13</v>
      </c>
      <c r="W624" s="721" t="s">
        <v>979</v>
      </c>
      <c r="X624" s="721" t="s">
        <v>984</v>
      </c>
      <c r="Y624" s="721" t="s">
        <v>984</v>
      </c>
      <c r="Z624" s="721">
        <v>0</v>
      </c>
      <c r="AA624" s="672">
        <v>6.59E-2</v>
      </c>
      <c r="AB624" s="721">
        <v>0.93409999999999993</v>
      </c>
      <c r="AC624" s="730"/>
    </row>
    <row r="625" spans="18:29">
      <c r="R625" s="721" t="str">
        <f t="shared" si="15"/>
        <v>20SS42M</v>
      </c>
      <c r="S625" s="672" t="s">
        <v>66</v>
      </c>
      <c r="T625" s="721">
        <v>42</v>
      </c>
      <c r="U625" s="721">
        <v>42</v>
      </c>
      <c r="V625" s="721" t="s">
        <v>13</v>
      </c>
      <c r="W625" s="721" t="s">
        <v>979</v>
      </c>
      <c r="X625" s="721" t="s">
        <v>984</v>
      </c>
      <c r="Y625" s="721" t="s">
        <v>984</v>
      </c>
      <c r="Z625" s="721">
        <v>0</v>
      </c>
      <c r="AA625" s="672">
        <v>6.6799999999999998E-2</v>
      </c>
      <c r="AB625" s="721">
        <v>0.93319999999999992</v>
      </c>
      <c r="AC625" s="730"/>
    </row>
    <row r="626" spans="18:29">
      <c r="R626" s="721" t="str">
        <f t="shared" si="15"/>
        <v>20SS43M</v>
      </c>
      <c r="S626" s="672" t="s">
        <v>66</v>
      </c>
      <c r="T626" s="721">
        <v>43</v>
      </c>
      <c r="U626" s="721">
        <v>43</v>
      </c>
      <c r="V626" s="721" t="s">
        <v>13</v>
      </c>
      <c r="W626" s="721" t="s">
        <v>979</v>
      </c>
      <c r="X626" s="721" t="s">
        <v>984</v>
      </c>
      <c r="Y626" s="721" t="s">
        <v>984</v>
      </c>
      <c r="Z626" s="721">
        <v>0</v>
      </c>
      <c r="AA626" s="672">
        <v>6.7599999999999993E-2</v>
      </c>
      <c r="AB626" s="721">
        <v>0.9323999999999999</v>
      </c>
      <c r="AC626" s="730"/>
    </row>
    <row r="627" spans="18:29">
      <c r="R627" s="721" t="str">
        <f t="shared" si="15"/>
        <v>20SS44M</v>
      </c>
      <c r="S627" s="672" t="s">
        <v>66</v>
      </c>
      <c r="T627" s="721">
        <v>44</v>
      </c>
      <c r="U627" s="721">
        <v>44</v>
      </c>
      <c r="V627" s="721" t="s">
        <v>13</v>
      </c>
      <c r="W627" s="721" t="s">
        <v>979</v>
      </c>
      <c r="X627" s="721" t="s">
        <v>984</v>
      </c>
      <c r="Y627" s="721" t="s">
        <v>984</v>
      </c>
      <c r="Z627" s="721">
        <v>0</v>
      </c>
      <c r="AA627" s="672">
        <v>6.8000000000000005E-2</v>
      </c>
      <c r="AB627" s="721">
        <v>0.93200000000000005</v>
      </c>
      <c r="AC627" s="730"/>
    </row>
    <row r="628" spans="18:29">
      <c r="R628" s="721" t="str">
        <f t="shared" si="15"/>
        <v>20SS45M</v>
      </c>
      <c r="S628" s="672" t="s">
        <v>66</v>
      </c>
      <c r="T628" s="721">
        <v>45</v>
      </c>
      <c r="U628" s="721">
        <v>45</v>
      </c>
      <c r="V628" s="721" t="s">
        <v>13</v>
      </c>
      <c r="W628" s="721" t="s">
        <v>979</v>
      </c>
      <c r="X628" s="721" t="s">
        <v>984</v>
      </c>
      <c r="Y628" s="721" t="s">
        <v>984</v>
      </c>
      <c r="Z628" s="721">
        <v>0</v>
      </c>
      <c r="AA628" s="672">
        <v>6.83E-2</v>
      </c>
      <c r="AB628" s="721">
        <v>0.93169999999999997</v>
      </c>
      <c r="AC628" s="730"/>
    </row>
    <row r="629" spans="18:29">
      <c r="R629" s="721" t="str">
        <f t="shared" si="15"/>
        <v>20SS46M</v>
      </c>
      <c r="S629" s="672" t="s">
        <v>66</v>
      </c>
      <c r="T629" s="721">
        <v>46</v>
      </c>
      <c r="U629" s="721">
        <v>46</v>
      </c>
      <c r="V629" s="721" t="s">
        <v>13</v>
      </c>
      <c r="W629" s="721" t="s">
        <v>979</v>
      </c>
      <c r="X629" s="721" t="s">
        <v>984</v>
      </c>
      <c r="Y629" s="721" t="s">
        <v>984</v>
      </c>
      <c r="Z629" s="721">
        <v>0</v>
      </c>
      <c r="AA629" s="672">
        <v>6.83E-2</v>
      </c>
      <c r="AB629" s="721">
        <v>0.93169999999999997</v>
      </c>
      <c r="AC629" s="730"/>
    </row>
    <row r="630" spans="18:29">
      <c r="R630" s="721" t="str">
        <f t="shared" si="15"/>
        <v>20SS47M</v>
      </c>
      <c r="S630" s="672" t="s">
        <v>66</v>
      </c>
      <c r="T630" s="721">
        <v>47</v>
      </c>
      <c r="U630" s="721">
        <v>47</v>
      </c>
      <c r="V630" s="721" t="s">
        <v>13</v>
      </c>
      <c r="W630" s="721" t="s">
        <v>979</v>
      </c>
      <c r="X630" s="721" t="s">
        <v>984</v>
      </c>
      <c r="Y630" s="721" t="s">
        <v>984</v>
      </c>
      <c r="Z630" s="721">
        <v>0</v>
      </c>
      <c r="AA630" s="672">
        <v>6.7900000000000002E-2</v>
      </c>
      <c r="AB630" s="721">
        <v>0.93209999999999993</v>
      </c>
      <c r="AC630" s="730"/>
    </row>
    <row r="631" spans="18:29">
      <c r="R631" s="721" t="str">
        <f t="shared" si="15"/>
        <v>20SS48M</v>
      </c>
      <c r="S631" s="672" t="s">
        <v>66</v>
      </c>
      <c r="T631" s="721">
        <v>48</v>
      </c>
      <c r="U631" s="721">
        <v>48</v>
      </c>
      <c r="V631" s="721" t="s">
        <v>13</v>
      </c>
      <c r="W631" s="721" t="s">
        <v>979</v>
      </c>
      <c r="X631" s="721" t="s">
        <v>984</v>
      </c>
      <c r="Y631" s="721" t="s">
        <v>984</v>
      </c>
      <c r="Z631" s="721">
        <v>0</v>
      </c>
      <c r="AA631" s="672">
        <v>6.7099999999999993E-2</v>
      </c>
      <c r="AB631" s="721">
        <v>0.93290000000000006</v>
      </c>
      <c r="AC631" s="730"/>
    </row>
    <row r="632" spans="18:29">
      <c r="R632" s="721" t="str">
        <f t="shared" si="15"/>
        <v>20SS49M</v>
      </c>
      <c r="S632" s="672" t="s">
        <v>66</v>
      </c>
      <c r="T632" s="721">
        <v>49</v>
      </c>
      <c r="U632" s="721">
        <v>49</v>
      </c>
      <c r="V632" s="721" t="s">
        <v>13</v>
      </c>
      <c r="W632" s="721" t="s">
        <v>979</v>
      </c>
      <c r="X632" s="721" t="s">
        <v>984</v>
      </c>
      <c r="Y632" s="721" t="s">
        <v>984</v>
      </c>
      <c r="Z632" s="721">
        <v>0</v>
      </c>
      <c r="AA632" s="672">
        <v>6.6000000000000003E-2</v>
      </c>
      <c r="AB632" s="721">
        <v>0.93400000000000005</v>
      </c>
      <c r="AC632" s="730"/>
    </row>
    <row r="633" spans="18:29">
      <c r="R633" s="721" t="str">
        <f t="shared" si="15"/>
        <v>20SS50M</v>
      </c>
      <c r="S633" s="672" t="s">
        <v>66</v>
      </c>
      <c r="T633" s="721">
        <v>50</v>
      </c>
      <c r="U633" s="721">
        <v>50</v>
      </c>
      <c r="V633" s="721" t="s">
        <v>13</v>
      </c>
      <c r="W633" s="721" t="s">
        <v>979</v>
      </c>
      <c r="X633" s="721" t="s">
        <v>984</v>
      </c>
      <c r="Y633" s="721" t="s">
        <v>984</v>
      </c>
      <c r="Z633" s="721">
        <v>0</v>
      </c>
      <c r="AA633" s="672">
        <v>6.4199999999999993E-2</v>
      </c>
      <c r="AB633" s="721">
        <v>0.93579999999999997</v>
      </c>
      <c r="AC633" s="730"/>
    </row>
    <row r="634" spans="18:29">
      <c r="R634" s="721" t="str">
        <f t="shared" si="15"/>
        <v>20SS51M</v>
      </c>
      <c r="S634" s="672" t="s">
        <v>66</v>
      </c>
      <c r="T634" s="721">
        <v>51</v>
      </c>
      <c r="U634" s="721">
        <v>51</v>
      </c>
      <c r="V634" s="721" t="s">
        <v>13</v>
      </c>
      <c r="W634" s="721" t="s">
        <v>979</v>
      </c>
      <c r="X634" s="721" t="s">
        <v>984</v>
      </c>
      <c r="Y634" s="721" t="s">
        <v>984</v>
      </c>
      <c r="Z634" s="721">
        <v>0</v>
      </c>
      <c r="AA634" s="672">
        <v>6.1900000000000004E-2</v>
      </c>
      <c r="AB634" s="721">
        <v>0.93810000000000004</v>
      </c>
      <c r="AC634" s="730"/>
    </row>
    <row r="635" spans="18:29">
      <c r="R635" s="721" t="str">
        <f t="shared" si="15"/>
        <v>20SS52M</v>
      </c>
      <c r="S635" s="672" t="s">
        <v>66</v>
      </c>
      <c r="T635" s="721">
        <v>52</v>
      </c>
      <c r="U635" s="721">
        <v>52</v>
      </c>
      <c r="V635" s="721" t="s">
        <v>13</v>
      </c>
      <c r="W635" s="721" t="s">
        <v>979</v>
      </c>
      <c r="X635" s="721" t="s">
        <v>984</v>
      </c>
      <c r="Y635" s="721" t="s">
        <v>984</v>
      </c>
      <c r="Z635" s="721">
        <v>0</v>
      </c>
      <c r="AA635" s="672">
        <v>5.9000000000000004E-2</v>
      </c>
      <c r="AB635" s="721">
        <v>0.94099999999999995</v>
      </c>
      <c r="AC635" s="730"/>
    </row>
    <row r="636" spans="18:29">
      <c r="R636" s="721" t="str">
        <f t="shared" si="15"/>
        <v>20SS53M</v>
      </c>
      <c r="S636" s="672" t="s">
        <v>66</v>
      </c>
      <c r="T636" s="721">
        <v>53</v>
      </c>
      <c r="U636" s="721">
        <v>53</v>
      </c>
      <c r="V636" s="721" t="s">
        <v>13</v>
      </c>
      <c r="W636" s="721" t="s">
        <v>979</v>
      </c>
      <c r="X636" s="721" t="s">
        <v>984</v>
      </c>
      <c r="Y636" s="721" t="s">
        <v>984</v>
      </c>
      <c r="Z636" s="721">
        <v>0</v>
      </c>
      <c r="AA636" s="672">
        <v>5.5300000000000002E-2</v>
      </c>
      <c r="AB636" s="721">
        <v>0.94469999999999998</v>
      </c>
      <c r="AC636" s="730"/>
    </row>
    <row r="637" spans="18:29">
      <c r="R637" s="721" t="str">
        <f t="shared" si="15"/>
        <v>20SS54M</v>
      </c>
      <c r="S637" s="672" t="s">
        <v>66</v>
      </c>
      <c r="T637" s="721">
        <v>54</v>
      </c>
      <c r="U637" s="721">
        <v>54</v>
      </c>
      <c r="V637" s="721" t="s">
        <v>13</v>
      </c>
      <c r="W637" s="721" t="s">
        <v>979</v>
      </c>
      <c r="X637" s="721" t="s">
        <v>984</v>
      </c>
      <c r="Y637" s="721" t="s">
        <v>984</v>
      </c>
      <c r="Z637" s="721">
        <v>0</v>
      </c>
      <c r="AA637" s="672">
        <v>5.0799999999999998E-2</v>
      </c>
      <c r="AB637" s="721">
        <v>0.94920000000000004</v>
      </c>
      <c r="AC637" s="730"/>
    </row>
    <row r="638" spans="18:29">
      <c r="R638" s="721" t="str">
        <f t="shared" si="15"/>
        <v>20SS55M</v>
      </c>
      <c r="S638" s="672" t="s">
        <v>66</v>
      </c>
      <c r="T638" s="721">
        <v>55</v>
      </c>
      <c r="U638" s="721">
        <v>55</v>
      </c>
      <c r="V638" s="721" t="s">
        <v>13</v>
      </c>
      <c r="W638" s="721" t="s">
        <v>979</v>
      </c>
      <c r="X638" s="721" t="s">
        <v>984</v>
      </c>
      <c r="Y638" s="721" t="s">
        <v>984</v>
      </c>
      <c r="Z638" s="721">
        <v>0</v>
      </c>
      <c r="AA638" s="672">
        <v>4.5499999999999999E-2</v>
      </c>
      <c r="AB638" s="721">
        <v>0.95450000000000002</v>
      </c>
      <c r="AC638" s="730"/>
    </row>
    <row r="639" spans="18:29">
      <c r="R639" s="721" t="str">
        <f t="shared" si="15"/>
        <v>20SS56M</v>
      </c>
      <c r="S639" s="672" t="s">
        <v>66</v>
      </c>
      <c r="T639" s="721">
        <v>56</v>
      </c>
      <c r="U639" s="721">
        <v>56</v>
      </c>
      <c r="V639" s="721" t="s">
        <v>13</v>
      </c>
      <c r="W639" s="721" t="s">
        <v>979</v>
      </c>
      <c r="X639" s="721" t="s">
        <v>984</v>
      </c>
      <c r="Y639" s="721" t="s">
        <v>984</v>
      </c>
      <c r="Z639" s="721">
        <v>0</v>
      </c>
      <c r="AA639" s="672">
        <v>3.9100000000000003E-2</v>
      </c>
      <c r="AB639" s="721">
        <v>0.96090000000000009</v>
      </c>
      <c r="AC639" s="730"/>
    </row>
    <row r="640" spans="18:29">
      <c r="R640" s="721" t="str">
        <f t="shared" si="15"/>
        <v>20SS57M</v>
      </c>
      <c r="S640" s="672" t="s">
        <v>66</v>
      </c>
      <c r="T640" s="721">
        <v>57</v>
      </c>
      <c r="U640" s="721">
        <v>57</v>
      </c>
      <c r="V640" s="721" t="s">
        <v>13</v>
      </c>
      <c r="W640" s="721" t="s">
        <v>979</v>
      </c>
      <c r="X640" s="721" t="s">
        <v>984</v>
      </c>
      <c r="Y640" s="721" t="s">
        <v>984</v>
      </c>
      <c r="Z640" s="721">
        <v>0</v>
      </c>
      <c r="AA640" s="672">
        <v>3.15E-2</v>
      </c>
      <c r="AB640" s="721">
        <v>0.96849999999999992</v>
      </c>
      <c r="AC640" s="730"/>
    </row>
    <row r="641" spans="18:29">
      <c r="R641" s="721" t="str">
        <f t="shared" si="15"/>
        <v>20SS58M</v>
      </c>
      <c r="S641" s="672" t="s">
        <v>66</v>
      </c>
      <c r="T641" s="721">
        <v>58</v>
      </c>
      <c r="U641" s="721">
        <v>58</v>
      </c>
      <c r="V641" s="721" t="s">
        <v>13</v>
      </c>
      <c r="W641" s="721" t="s">
        <v>979</v>
      </c>
      <c r="X641" s="721" t="s">
        <v>984</v>
      </c>
      <c r="Y641" s="721" t="s">
        <v>984</v>
      </c>
      <c r="Z641" s="721">
        <v>0</v>
      </c>
      <c r="AA641" s="672">
        <v>2.2599999999999999E-2</v>
      </c>
      <c r="AB641" s="721">
        <v>0.97739999999999994</v>
      </c>
      <c r="AC641" s="730"/>
    </row>
    <row r="642" spans="18:29">
      <c r="R642" s="721" t="str">
        <f t="shared" si="15"/>
        <v>20SS59M</v>
      </c>
      <c r="S642" s="672" t="s">
        <v>66</v>
      </c>
      <c r="T642" s="721">
        <v>59</v>
      </c>
      <c r="U642" s="721">
        <v>59</v>
      </c>
      <c r="V642" s="721" t="s">
        <v>13</v>
      </c>
      <c r="W642" s="721" t="s">
        <v>979</v>
      </c>
      <c r="X642" s="721" t="s">
        <v>984</v>
      </c>
      <c r="Y642" s="721" t="s">
        <v>984</v>
      </c>
      <c r="Z642" s="721">
        <v>0</v>
      </c>
      <c r="AA642" s="672">
        <v>1.2199999999999999E-2</v>
      </c>
      <c r="AB642" s="721">
        <v>0.98780000000000001</v>
      </c>
      <c r="AC642" s="730"/>
    </row>
    <row r="643" spans="18:29">
      <c r="R643" s="721" t="str">
        <f t="shared" si="15"/>
        <v>20SS60M</v>
      </c>
      <c r="S643" s="672" t="s">
        <v>66</v>
      </c>
      <c r="T643" s="721">
        <v>60</v>
      </c>
      <c r="U643" s="721">
        <v>60</v>
      </c>
      <c r="V643" s="721" t="s">
        <v>13</v>
      </c>
      <c r="W643" s="721" t="s">
        <v>979</v>
      </c>
      <c r="X643" s="721" t="s">
        <v>984</v>
      </c>
      <c r="Y643" s="721" t="s">
        <v>984</v>
      </c>
      <c r="Z643" s="721">
        <v>0</v>
      </c>
      <c r="AA643" s="672">
        <v>0</v>
      </c>
      <c r="AB643" s="721">
        <v>1</v>
      </c>
      <c r="AC643" s="730"/>
    </row>
    <row r="644" spans="18:29">
      <c r="R644" s="721" t="str">
        <f t="shared" si="15"/>
        <v>20SS61M</v>
      </c>
      <c r="S644" s="672" t="s">
        <v>66</v>
      </c>
      <c r="T644" s="721">
        <v>61</v>
      </c>
      <c r="U644" s="721">
        <v>61</v>
      </c>
      <c r="V644" s="721" t="s">
        <v>13</v>
      </c>
      <c r="W644" s="721" t="s">
        <v>979</v>
      </c>
      <c r="X644" s="721" t="s">
        <v>984</v>
      </c>
      <c r="Y644" s="721" t="s">
        <v>984</v>
      </c>
      <c r="Z644" s="721">
        <v>0</v>
      </c>
      <c r="AA644" s="672">
        <v>0</v>
      </c>
      <c r="AB644" s="721">
        <v>1</v>
      </c>
      <c r="AC644" s="730"/>
    </row>
    <row r="645" spans="18:29">
      <c r="R645" s="721" t="str">
        <f t="shared" si="15"/>
        <v>20SS62M</v>
      </c>
      <c r="S645" s="672" t="s">
        <v>66</v>
      </c>
      <c r="T645" s="721">
        <v>62</v>
      </c>
      <c r="U645" s="721">
        <v>62</v>
      </c>
      <c r="V645" s="721" t="s">
        <v>13</v>
      </c>
      <c r="W645" s="721" t="s">
        <v>979</v>
      </c>
      <c r="X645" s="721" t="s">
        <v>984</v>
      </c>
      <c r="Y645" s="721" t="s">
        <v>984</v>
      </c>
      <c r="Z645" s="721">
        <v>0</v>
      </c>
      <c r="AA645" s="672">
        <v>0</v>
      </c>
      <c r="AB645" s="721">
        <v>1</v>
      </c>
      <c r="AC645" s="730"/>
    </row>
    <row r="646" spans="18:29">
      <c r="R646" s="721" t="str">
        <f t="shared" si="15"/>
        <v>20SS63M</v>
      </c>
      <c r="S646" s="672" t="s">
        <v>66</v>
      </c>
      <c r="T646" s="721">
        <v>63</v>
      </c>
      <c r="U646" s="721">
        <v>63</v>
      </c>
      <c r="V646" s="721" t="s">
        <v>13</v>
      </c>
      <c r="W646" s="721" t="s">
        <v>979</v>
      </c>
      <c r="X646" s="721" t="s">
        <v>984</v>
      </c>
      <c r="Y646" s="721" t="s">
        <v>984</v>
      </c>
      <c r="Z646" s="721">
        <v>0</v>
      </c>
      <c r="AA646" s="672">
        <v>0</v>
      </c>
      <c r="AB646" s="721">
        <v>1</v>
      </c>
      <c r="AC646" s="730"/>
    </row>
    <row r="647" spans="18:29">
      <c r="R647" s="721" t="str">
        <f t="shared" si="15"/>
        <v>20SS64M</v>
      </c>
      <c r="S647" s="672" t="s">
        <v>66</v>
      </c>
      <c r="T647" s="721">
        <v>64</v>
      </c>
      <c r="U647" s="721">
        <v>64</v>
      </c>
      <c r="V647" s="721" t="s">
        <v>13</v>
      </c>
      <c r="W647" s="721" t="s">
        <v>979</v>
      </c>
      <c r="X647" s="721" t="s">
        <v>984</v>
      </c>
      <c r="Y647" s="721" t="s">
        <v>984</v>
      </c>
      <c r="Z647" s="721">
        <v>0</v>
      </c>
      <c r="AA647" s="672">
        <v>0</v>
      </c>
      <c r="AB647" s="721">
        <v>1</v>
      </c>
      <c r="AC647" s="730"/>
    </row>
    <row r="648" spans="18:29">
      <c r="R648" s="721" t="str">
        <f t="shared" si="15"/>
        <v>20SS65M</v>
      </c>
      <c r="S648" s="672" t="s">
        <v>66</v>
      </c>
      <c r="T648" s="721">
        <v>65</v>
      </c>
      <c r="U648" s="721">
        <v>65</v>
      </c>
      <c r="V648" s="721" t="s">
        <v>13</v>
      </c>
      <c r="W648" s="721" t="s">
        <v>979</v>
      </c>
      <c r="X648" s="721" t="s">
        <v>984</v>
      </c>
      <c r="Y648" s="721" t="s">
        <v>984</v>
      </c>
      <c r="Z648" s="721">
        <v>0</v>
      </c>
      <c r="AA648" s="672">
        <v>0</v>
      </c>
      <c r="AB648" s="721">
        <v>1</v>
      </c>
      <c r="AC648" s="730"/>
    </row>
    <row r="649" spans="18:29">
      <c r="R649" s="721" t="str">
        <f t="shared" si="15"/>
        <v>20SS0F</v>
      </c>
      <c r="S649" s="672" t="s">
        <v>66</v>
      </c>
      <c r="T649" s="721">
        <v>0</v>
      </c>
      <c r="U649" s="721">
        <v>0</v>
      </c>
      <c r="V649" s="721" t="s">
        <v>14</v>
      </c>
      <c r="W649" s="721" t="s">
        <v>979</v>
      </c>
      <c r="X649" s="721" t="s">
        <v>984</v>
      </c>
      <c r="Y649" s="721" t="s">
        <v>984</v>
      </c>
      <c r="Z649" s="721">
        <v>0</v>
      </c>
      <c r="AA649" s="672">
        <v>1.2999999999999999E-3</v>
      </c>
      <c r="AB649" s="721">
        <v>0.99870000000000003</v>
      </c>
      <c r="AC649" s="730"/>
    </row>
    <row r="650" spans="18:29">
      <c r="R650" s="721" t="str">
        <f t="shared" si="15"/>
        <v>20SS1F</v>
      </c>
      <c r="S650" s="672" t="s">
        <v>66</v>
      </c>
      <c r="T650" s="721">
        <v>1</v>
      </c>
      <c r="U650" s="721">
        <v>1</v>
      </c>
      <c r="V650" s="721" t="s">
        <v>14</v>
      </c>
      <c r="W650" s="721" t="s">
        <v>979</v>
      </c>
      <c r="X650" s="721" t="s">
        <v>984</v>
      </c>
      <c r="Y650" s="721" t="s">
        <v>984</v>
      </c>
      <c r="Z650" s="721">
        <v>0</v>
      </c>
      <c r="AA650" s="672">
        <v>1.6000000000000001E-3</v>
      </c>
      <c r="AB650" s="721">
        <v>0.99840000000000007</v>
      </c>
      <c r="AC650" s="730"/>
    </row>
    <row r="651" spans="18:29">
      <c r="R651" s="721" t="str">
        <f t="shared" si="15"/>
        <v>20SS2F</v>
      </c>
      <c r="S651" s="672" t="s">
        <v>66</v>
      </c>
      <c r="T651" s="721">
        <v>2</v>
      </c>
      <c r="U651" s="721">
        <v>2</v>
      </c>
      <c r="V651" s="721" t="s">
        <v>14</v>
      </c>
      <c r="W651" s="721" t="s">
        <v>979</v>
      </c>
      <c r="X651" s="721" t="s">
        <v>984</v>
      </c>
      <c r="Y651" s="721" t="s">
        <v>984</v>
      </c>
      <c r="Z651" s="721">
        <v>0</v>
      </c>
      <c r="AA651" s="672">
        <v>2E-3</v>
      </c>
      <c r="AB651" s="721">
        <v>0.998</v>
      </c>
      <c r="AC651" s="730"/>
    </row>
    <row r="652" spans="18:29">
      <c r="R652" s="721" t="str">
        <f t="shared" si="15"/>
        <v>20SS3F</v>
      </c>
      <c r="S652" s="672" t="s">
        <v>66</v>
      </c>
      <c r="T652" s="721">
        <v>3</v>
      </c>
      <c r="U652" s="721">
        <v>3</v>
      </c>
      <c r="V652" s="721" t="s">
        <v>14</v>
      </c>
      <c r="W652" s="721" t="s">
        <v>979</v>
      </c>
      <c r="X652" s="721" t="s">
        <v>984</v>
      </c>
      <c r="Y652" s="721" t="s">
        <v>984</v>
      </c>
      <c r="Z652" s="721">
        <v>0</v>
      </c>
      <c r="AA652" s="672">
        <v>2.3E-3</v>
      </c>
      <c r="AB652" s="721">
        <v>0.99769999999999992</v>
      </c>
      <c r="AC652" s="730"/>
    </row>
    <row r="653" spans="18:29">
      <c r="R653" s="721" t="str">
        <f t="shared" si="15"/>
        <v>20SS4F</v>
      </c>
      <c r="S653" s="672" t="s">
        <v>66</v>
      </c>
      <c r="T653" s="721">
        <v>4</v>
      </c>
      <c r="U653" s="721">
        <v>4</v>
      </c>
      <c r="V653" s="721" t="s">
        <v>14</v>
      </c>
      <c r="W653" s="721" t="s">
        <v>979</v>
      </c>
      <c r="X653" s="721" t="s">
        <v>984</v>
      </c>
      <c r="Y653" s="721" t="s">
        <v>984</v>
      </c>
      <c r="Z653" s="721">
        <v>0</v>
      </c>
      <c r="AA653" s="672">
        <v>2.7000000000000001E-3</v>
      </c>
      <c r="AB653" s="721">
        <v>0.99730000000000008</v>
      </c>
      <c r="AC653" s="730"/>
    </row>
    <row r="654" spans="18:29">
      <c r="R654" s="721" t="str">
        <f t="shared" si="15"/>
        <v>20SS5F</v>
      </c>
      <c r="S654" s="672" t="s">
        <v>66</v>
      </c>
      <c r="T654" s="721">
        <v>5</v>
      </c>
      <c r="U654" s="721">
        <v>5</v>
      </c>
      <c r="V654" s="721" t="s">
        <v>14</v>
      </c>
      <c r="W654" s="721" t="s">
        <v>979</v>
      </c>
      <c r="X654" s="721" t="s">
        <v>984</v>
      </c>
      <c r="Y654" s="721" t="s">
        <v>984</v>
      </c>
      <c r="Z654" s="721">
        <v>0</v>
      </c>
      <c r="AA654" s="672">
        <v>3.0999999999999999E-3</v>
      </c>
      <c r="AB654" s="721">
        <v>0.99690000000000001</v>
      </c>
      <c r="AC654" s="730"/>
    </row>
    <row r="655" spans="18:29">
      <c r="R655" s="721" t="str">
        <f t="shared" si="15"/>
        <v>20SS6F</v>
      </c>
      <c r="S655" s="672" t="s">
        <v>66</v>
      </c>
      <c r="T655" s="721">
        <v>6</v>
      </c>
      <c r="U655" s="721">
        <v>6</v>
      </c>
      <c r="V655" s="721" t="s">
        <v>14</v>
      </c>
      <c r="W655" s="721" t="s">
        <v>979</v>
      </c>
      <c r="X655" s="721" t="s">
        <v>984</v>
      </c>
      <c r="Y655" s="721" t="s">
        <v>984</v>
      </c>
      <c r="Z655" s="721">
        <v>0</v>
      </c>
      <c r="AA655" s="672">
        <v>3.4999999999999996E-3</v>
      </c>
      <c r="AB655" s="721">
        <v>0.99650000000000005</v>
      </c>
      <c r="AC655" s="730"/>
    </row>
    <row r="656" spans="18:29">
      <c r="R656" s="721" t="str">
        <f t="shared" si="15"/>
        <v>20SS7F</v>
      </c>
      <c r="S656" s="672" t="s">
        <v>66</v>
      </c>
      <c r="T656" s="721">
        <v>7</v>
      </c>
      <c r="U656" s="721">
        <v>7</v>
      </c>
      <c r="V656" s="721" t="s">
        <v>14</v>
      </c>
      <c r="W656" s="721" t="s">
        <v>979</v>
      </c>
      <c r="X656" s="721" t="s">
        <v>984</v>
      </c>
      <c r="Y656" s="721" t="s">
        <v>984</v>
      </c>
      <c r="Z656" s="721">
        <v>0</v>
      </c>
      <c r="AA656" s="672">
        <v>4.0000000000000001E-3</v>
      </c>
      <c r="AB656" s="721">
        <v>0.996</v>
      </c>
      <c r="AC656" s="730"/>
    </row>
    <row r="657" spans="18:29">
      <c r="R657" s="721" t="str">
        <f t="shared" si="15"/>
        <v>20SS8F</v>
      </c>
      <c r="S657" s="672" t="s">
        <v>66</v>
      </c>
      <c r="T657" s="721">
        <v>8</v>
      </c>
      <c r="U657" s="721">
        <v>8</v>
      </c>
      <c r="V657" s="721" t="s">
        <v>14</v>
      </c>
      <c r="W657" s="721" t="s">
        <v>979</v>
      </c>
      <c r="X657" s="721" t="s">
        <v>984</v>
      </c>
      <c r="Y657" s="721" t="s">
        <v>984</v>
      </c>
      <c r="Z657" s="721">
        <v>0</v>
      </c>
      <c r="AA657" s="672">
        <v>4.5000000000000005E-3</v>
      </c>
      <c r="AB657" s="721">
        <v>0.99549999999999994</v>
      </c>
      <c r="AC657" s="730"/>
    </row>
    <row r="658" spans="18:29">
      <c r="R658" s="721" t="str">
        <f t="shared" si="15"/>
        <v>20SS9F</v>
      </c>
      <c r="S658" s="672" t="s">
        <v>66</v>
      </c>
      <c r="T658" s="721">
        <v>9</v>
      </c>
      <c r="U658" s="721">
        <v>9</v>
      </c>
      <c r="V658" s="721" t="s">
        <v>14</v>
      </c>
      <c r="W658" s="721" t="s">
        <v>979</v>
      </c>
      <c r="X658" s="721" t="s">
        <v>984</v>
      </c>
      <c r="Y658" s="721" t="s">
        <v>984</v>
      </c>
      <c r="Z658" s="721">
        <v>0</v>
      </c>
      <c r="AA658" s="672">
        <v>5.1000000000000004E-3</v>
      </c>
      <c r="AB658" s="721">
        <v>0.9948999999999999</v>
      </c>
      <c r="AC658" s="730"/>
    </row>
    <row r="659" spans="18:29">
      <c r="R659" s="721" t="str">
        <f t="shared" si="15"/>
        <v>20SS10F</v>
      </c>
      <c r="S659" s="672" t="s">
        <v>66</v>
      </c>
      <c r="T659" s="721">
        <v>10</v>
      </c>
      <c r="U659" s="721">
        <v>10</v>
      </c>
      <c r="V659" s="721" t="s">
        <v>14</v>
      </c>
      <c r="W659" s="721" t="s">
        <v>979</v>
      </c>
      <c r="X659" s="721" t="s">
        <v>984</v>
      </c>
      <c r="Y659" s="721" t="s">
        <v>984</v>
      </c>
      <c r="Z659" s="721">
        <v>0</v>
      </c>
      <c r="AA659" s="672">
        <v>5.6000000000000008E-3</v>
      </c>
      <c r="AB659" s="721">
        <v>0.99439999999999995</v>
      </c>
      <c r="AC659" s="730"/>
    </row>
    <row r="660" spans="18:29">
      <c r="R660" s="721" t="str">
        <f t="shared" si="15"/>
        <v>20SS11F</v>
      </c>
      <c r="S660" s="672" t="s">
        <v>66</v>
      </c>
      <c r="T660" s="721">
        <v>11</v>
      </c>
      <c r="U660" s="721">
        <v>11</v>
      </c>
      <c r="V660" s="721" t="s">
        <v>14</v>
      </c>
      <c r="W660" s="721" t="s">
        <v>979</v>
      </c>
      <c r="X660" s="721" t="s">
        <v>984</v>
      </c>
      <c r="Y660" s="721" t="s">
        <v>984</v>
      </c>
      <c r="Z660" s="721">
        <v>0</v>
      </c>
      <c r="AA660" s="672">
        <v>6.3E-3</v>
      </c>
      <c r="AB660" s="721">
        <v>0.99370000000000003</v>
      </c>
      <c r="AC660" s="730"/>
    </row>
    <row r="661" spans="18:29">
      <c r="R661" s="721" t="str">
        <f t="shared" si="15"/>
        <v>20SS12F</v>
      </c>
      <c r="S661" s="672" t="s">
        <v>66</v>
      </c>
      <c r="T661" s="721">
        <v>12</v>
      </c>
      <c r="U661" s="721">
        <v>12</v>
      </c>
      <c r="V661" s="721" t="s">
        <v>14</v>
      </c>
      <c r="W661" s="721" t="s">
        <v>979</v>
      </c>
      <c r="X661" s="721" t="s">
        <v>984</v>
      </c>
      <c r="Y661" s="721" t="s">
        <v>984</v>
      </c>
      <c r="Z661" s="721">
        <v>0</v>
      </c>
      <c r="AA661" s="672">
        <v>6.9999999999999993E-3</v>
      </c>
      <c r="AB661" s="721">
        <v>0.99299999999999999</v>
      </c>
      <c r="AC661" s="730"/>
    </row>
    <row r="662" spans="18:29">
      <c r="R662" s="721" t="str">
        <f t="shared" si="15"/>
        <v>20SS13F</v>
      </c>
      <c r="S662" s="672" t="s">
        <v>66</v>
      </c>
      <c r="T662" s="721">
        <v>13</v>
      </c>
      <c r="U662" s="721">
        <v>13</v>
      </c>
      <c r="V662" s="721" t="s">
        <v>14</v>
      </c>
      <c r="W662" s="721" t="s">
        <v>979</v>
      </c>
      <c r="X662" s="721" t="s">
        <v>984</v>
      </c>
      <c r="Y662" s="721" t="s">
        <v>984</v>
      </c>
      <c r="Z662" s="721">
        <v>0</v>
      </c>
      <c r="AA662" s="672">
        <v>7.7000000000000002E-3</v>
      </c>
      <c r="AB662" s="721">
        <v>0.99230000000000007</v>
      </c>
      <c r="AC662" s="730"/>
    </row>
    <row r="663" spans="18:29">
      <c r="R663" s="721" t="str">
        <f t="shared" si="15"/>
        <v>20SS14F</v>
      </c>
      <c r="S663" s="672" t="s">
        <v>66</v>
      </c>
      <c r="T663" s="721">
        <v>14</v>
      </c>
      <c r="U663" s="721">
        <v>14</v>
      </c>
      <c r="V663" s="721" t="s">
        <v>14</v>
      </c>
      <c r="W663" s="721" t="s">
        <v>979</v>
      </c>
      <c r="X663" s="721" t="s">
        <v>984</v>
      </c>
      <c r="Y663" s="721" t="s">
        <v>984</v>
      </c>
      <c r="Z663" s="721">
        <v>0</v>
      </c>
      <c r="AA663" s="672">
        <v>8.5000000000000006E-3</v>
      </c>
      <c r="AB663" s="721">
        <v>0.99150000000000005</v>
      </c>
      <c r="AC663" s="730"/>
    </row>
    <row r="664" spans="18:29">
      <c r="R664" s="721" t="str">
        <f t="shared" si="15"/>
        <v>20SS15F</v>
      </c>
      <c r="S664" s="672" t="s">
        <v>66</v>
      </c>
      <c r="T664" s="721">
        <v>15</v>
      </c>
      <c r="U664" s="721">
        <v>15</v>
      </c>
      <c r="V664" s="721" t="s">
        <v>14</v>
      </c>
      <c r="W664" s="721" t="s">
        <v>979</v>
      </c>
      <c r="X664" s="721" t="s">
        <v>984</v>
      </c>
      <c r="Y664" s="721" t="s">
        <v>984</v>
      </c>
      <c r="Z664" s="721">
        <v>0</v>
      </c>
      <c r="AA664" s="672">
        <v>9.3999999999999986E-3</v>
      </c>
      <c r="AB664" s="721">
        <v>0.99060000000000004</v>
      </c>
      <c r="AC664" s="730"/>
    </row>
    <row r="665" spans="18:29">
      <c r="R665" s="721" t="str">
        <f t="shared" si="15"/>
        <v>20SS16F</v>
      </c>
      <c r="S665" s="672" t="s">
        <v>66</v>
      </c>
      <c r="T665" s="721">
        <v>16</v>
      </c>
      <c r="U665" s="721">
        <v>16</v>
      </c>
      <c r="V665" s="721" t="s">
        <v>14</v>
      </c>
      <c r="W665" s="721" t="s">
        <v>979</v>
      </c>
      <c r="X665" s="721" t="s">
        <v>984</v>
      </c>
      <c r="Y665" s="721" t="s">
        <v>984</v>
      </c>
      <c r="Z665" s="721">
        <v>0</v>
      </c>
      <c r="AA665" s="672">
        <v>9.7999999999999997E-3</v>
      </c>
      <c r="AB665" s="721">
        <v>0.99019999999999997</v>
      </c>
      <c r="AC665" s="730"/>
    </row>
    <row r="666" spans="18:29">
      <c r="R666" s="721" t="str">
        <f t="shared" si="15"/>
        <v>20SS17F</v>
      </c>
      <c r="S666" s="672" t="s">
        <v>66</v>
      </c>
      <c r="T666" s="721">
        <v>17</v>
      </c>
      <c r="U666" s="721">
        <v>17</v>
      </c>
      <c r="V666" s="721" t="s">
        <v>14</v>
      </c>
      <c r="W666" s="721" t="s">
        <v>979</v>
      </c>
      <c r="X666" s="721" t="s">
        <v>984</v>
      </c>
      <c r="Y666" s="721" t="s">
        <v>984</v>
      </c>
      <c r="Z666" s="721">
        <v>0</v>
      </c>
      <c r="AA666" s="672">
        <v>1.03E-2</v>
      </c>
      <c r="AB666" s="721">
        <v>0.98970000000000002</v>
      </c>
      <c r="AC666" s="730"/>
    </row>
    <row r="667" spans="18:29">
      <c r="R667" s="721" t="str">
        <f t="shared" si="15"/>
        <v>20SS18F</v>
      </c>
      <c r="S667" s="672" t="s">
        <v>66</v>
      </c>
      <c r="T667" s="721">
        <v>18</v>
      </c>
      <c r="U667" s="721">
        <v>18</v>
      </c>
      <c r="V667" s="721" t="s">
        <v>14</v>
      </c>
      <c r="W667" s="721" t="s">
        <v>979</v>
      </c>
      <c r="X667" s="721" t="s">
        <v>984</v>
      </c>
      <c r="Y667" s="721" t="s">
        <v>984</v>
      </c>
      <c r="Z667" s="721">
        <v>0</v>
      </c>
      <c r="AA667" s="672">
        <v>1.09E-2</v>
      </c>
      <c r="AB667" s="721">
        <v>0.98909999999999998</v>
      </c>
      <c r="AC667" s="730"/>
    </row>
    <row r="668" spans="18:29">
      <c r="R668" s="721" t="str">
        <f t="shared" si="15"/>
        <v>20SS19F</v>
      </c>
      <c r="S668" s="672" t="s">
        <v>66</v>
      </c>
      <c r="T668" s="721">
        <v>19</v>
      </c>
      <c r="U668" s="721">
        <v>19</v>
      </c>
      <c r="V668" s="721" t="s">
        <v>14</v>
      </c>
      <c r="W668" s="721" t="s">
        <v>979</v>
      </c>
      <c r="X668" s="721" t="s">
        <v>984</v>
      </c>
      <c r="Y668" s="721" t="s">
        <v>984</v>
      </c>
      <c r="Z668" s="721">
        <v>0</v>
      </c>
      <c r="AA668" s="672">
        <v>1.1599999999999999E-2</v>
      </c>
      <c r="AB668" s="721">
        <v>0.98840000000000006</v>
      </c>
      <c r="AC668" s="730"/>
    </row>
    <row r="669" spans="18:29">
      <c r="R669" s="721" t="str">
        <f t="shared" si="15"/>
        <v>20SS20F</v>
      </c>
      <c r="S669" s="672" t="s">
        <v>66</v>
      </c>
      <c r="T669" s="721">
        <v>20</v>
      </c>
      <c r="U669" s="721">
        <v>20</v>
      </c>
      <c r="V669" s="721" t="s">
        <v>14</v>
      </c>
      <c r="W669" s="721" t="s">
        <v>979</v>
      </c>
      <c r="X669" s="721" t="s">
        <v>984</v>
      </c>
      <c r="Y669" s="721" t="s">
        <v>984</v>
      </c>
      <c r="Z669" s="721">
        <v>0</v>
      </c>
      <c r="AA669" s="672">
        <v>1.24E-2</v>
      </c>
      <c r="AB669" s="721">
        <v>0.98760000000000003</v>
      </c>
      <c r="AC669" s="730"/>
    </row>
    <row r="670" spans="18:29">
      <c r="R670" s="721" t="str">
        <f t="shared" si="15"/>
        <v>20SS21F</v>
      </c>
      <c r="S670" s="672" t="s">
        <v>66</v>
      </c>
      <c r="T670" s="721">
        <v>21</v>
      </c>
      <c r="U670" s="721">
        <v>21</v>
      </c>
      <c r="V670" s="721" t="s">
        <v>14</v>
      </c>
      <c r="W670" s="721" t="s">
        <v>979</v>
      </c>
      <c r="X670" s="721" t="s">
        <v>984</v>
      </c>
      <c r="Y670" s="721" t="s">
        <v>984</v>
      </c>
      <c r="Z670" s="721">
        <v>0</v>
      </c>
      <c r="AA670" s="672">
        <v>1.3300000000000001E-2</v>
      </c>
      <c r="AB670" s="721">
        <v>0.98670000000000002</v>
      </c>
      <c r="AC670" s="730"/>
    </row>
    <row r="671" spans="18:29">
      <c r="R671" s="721" t="str">
        <f t="shared" si="15"/>
        <v>20SS22F</v>
      </c>
      <c r="S671" s="672" t="s">
        <v>66</v>
      </c>
      <c r="T671" s="721">
        <v>22</v>
      </c>
      <c r="U671" s="721">
        <v>22</v>
      </c>
      <c r="V671" s="721" t="s">
        <v>14</v>
      </c>
      <c r="W671" s="721" t="s">
        <v>979</v>
      </c>
      <c r="X671" s="721" t="s">
        <v>984</v>
      </c>
      <c r="Y671" s="721" t="s">
        <v>984</v>
      </c>
      <c r="Z671" s="721">
        <v>0</v>
      </c>
      <c r="AA671" s="672">
        <v>1.43E-2</v>
      </c>
      <c r="AB671" s="721">
        <v>0.98569999999999991</v>
      </c>
      <c r="AC671" s="730"/>
    </row>
    <row r="672" spans="18:29">
      <c r="R672" s="721" t="str">
        <f t="shared" si="15"/>
        <v>20SS23F</v>
      </c>
      <c r="S672" s="672" t="s">
        <v>66</v>
      </c>
      <c r="T672" s="721">
        <v>23</v>
      </c>
      <c r="U672" s="721">
        <v>23</v>
      </c>
      <c r="V672" s="721" t="s">
        <v>14</v>
      </c>
      <c r="W672" s="721" t="s">
        <v>979</v>
      </c>
      <c r="X672" s="721" t="s">
        <v>984</v>
      </c>
      <c r="Y672" s="721" t="s">
        <v>984</v>
      </c>
      <c r="Z672" s="721">
        <v>0</v>
      </c>
      <c r="AA672" s="672">
        <v>1.55E-2</v>
      </c>
      <c r="AB672" s="721">
        <v>0.98450000000000004</v>
      </c>
      <c r="AC672" s="730"/>
    </row>
    <row r="673" spans="18:29">
      <c r="R673" s="721" t="str">
        <f t="shared" si="15"/>
        <v>20SS24F</v>
      </c>
      <c r="S673" s="672" t="s">
        <v>66</v>
      </c>
      <c r="T673" s="721">
        <v>24</v>
      </c>
      <c r="U673" s="721">
        <v>24</v>
      </c>
      <c r="V673" s="721" t="s">
        <v>14</v>
      </c>
      <c r="W673" s="721" t="s">
        <v>979</v>
      </c>
      <c r="X673" s="721" t="s">
        <v>984</v>
      </c>
      <c r="Y673" s="721" t="s">
        <v>984</v>
      </c>
      <c r="Z673" s="721">
        <v>0</v>
      </c>
      <c r="AA673" s="672">
        <v>1.6799999999999999E-2</v>
      </c>
      <c r="AB673" s="721">
        <v>0.98319999999999996</v>
      </c>
      <c r="AC673" s="730"/>
    </row>
    <row r="674" spans="18:29">
      <c r="R674" s="721" t="str">
        <f t="shared" si="15"/>
        <v>20SS25F</v>
      </c>
      <c r="S674" s="672" t="s">
        <v>66</v>
      </c>
      <c r="T674" s="721">
        <v>25</v>
      </c>
      <c r="U674" s="721">
        <v>25</v>
      </c>
      <c r="V674" s="721" t="s">
        <v>14</v>
      </c>
      <c r="W674" s="721" t="s">
        <v>979</v>
      </c>
      <c r="X674" s="721" t="s">
        <v>984</v>
      </c>
      <c r="Y674" s="721" t="s">
        <v>984</v>
      </c>
      <c r="Z674" s="721">
        <v>0</v>
      </c>
      <c r="AA674" s="672">
        <v>1.83E-2</v>
      </c>
      <c r="AB674" s="721">
        <v>0.98170000000000002</v>
      </c>
      <c r="AC674" s="730"/>
    </row>
    <row r="675" spans="18:29">
      <c r="R675" s="721" t="str">
        <f t="shared" si="15"/>
        <v>20SS26F</v>
      </c>
      <c r="S675" s="672" t="s">
        <v>66</v>
      </c>
      <c r="T675" s="721">
        <v>26</v>
      </c>
      <c r="U675" s="721">
        <v>26</v>
      </c>
      <c r="V675" s="721" t="s">
        <v>14</v>
      </c>
      <c r="W675" s="721" t="s">
        <v>979</v>
      </c>
      <c r="X675" s="721" t="s">
        <v>984</v>
      </c>
      <c r="Y675" s="721" t="s">
        <v>984</v>
      </c>
      <c r="Z675" s="721">
        <v>0</v>
      </c>
      <c r="AA675" s="672">
        <v>0.02</v>
      </c>
      <c r="AB675" s="721">
        <v>0.98</v>
      </c>
      <c r="AC675" s="730"/>
    </row>
    <row r="676" spans="18:29">
      <c r="R676" s="721" t="str">
        <f t="shared" si="15"/>
        <v>20SS27F</v>
      </c>
      <c r="S676" s="672" t="s">
        <v>66</v>
      </c>
      <c r="T676" s="721">
        <v>27</v>
      </c>
      <c r="U676" s="721">
        <v>27</v>
      </c>
      <c r="V676" s="721" t="s">
        <v>14</v>
      </c>
      <c r="W676" s="721" t="s">
        <v>979</v>
      </c>
      <c r="X676" s="721" t="s">
        <v>984</v>
      </c>
      <c r="Y676" s="721" t="s">
        <v>984</v>
      </c>
      <c r="Z676" s="721">
        <v>0</v>
      </c>
      <c r="AA676" s="672">
        <v>2.18E-2</v>
      </c>
      <c r="AB676" s="721">
        <v>0.97819999999999996</v>
      </c>
      <c r="AC676" s="730"/>
    </row>
    <row r="677" spans="18:29">
      <c r="R677" s="721" t="str">
        <f t="shared" si="15"/>
        <v>20SS28F</v>
      </c>
      <c r="S677" s="672" t="s">
        <v>66</v>
      </c>
      <c r="T677" s="721">
        <v>28</v>
      </c>
      <c r="U677" s="721">
        <v>28</v>
      </c>
      <c r="V677" s="721" t="s">
        <v>14</v>
      </c>
      <c r="W677" s="721" t="s">
        <v>979</v>
      </c>
      <c r="X677" s="721" t="s">
        <v>984</v>
      </c>
      <c r="Y677" s="721" t="s">
        <v>984</v>
      </c>
      <c r="Z677" s="721">
        <v>0</v>
      </c>
      <c r="AA677" s="672">
        <v>2.3799999999999998E-2</v>
      </c>
      <c r="AB677" s="721">
        <v>0.97620000000000007</v>
      </c>
      <c r="AC677" s="730"/>
    </row>
    <row r="678" spans="18:29">
      <c r="R678" s="721" t="str">
        <f t="shared" si="15"/>
        <v>20SS29F</v>
      </c>
      <c r="S678" s="672" t="s">
        <v>66</v>
      </c>
      <c r="T678" s="721">
        <v>29</v>
      </c>
      <c r="U678" s="721">
        <v>29</v>
      </c>
      <c r="V678" s="721" t="s">
        <v>14</v>
      </c>
      <c r="W678" s="721" t="s">
        <v>979</v>
      </c>
      <c r="X678" s="721" t="s">
        <v>984</v>
      </c>
      <c r="Y678" s="721" t="s">
        <v>984</v>
      </c>
      <c r="Z678" s="721">
        <v>0</v>
      </c>
      <c r="AA678" s="672">
        <v>2.6000000000000002E-2</v>
      </c>
      <c r="AB678" s="721">
        <v>0.97400000000000009</v>
      </c>
      <c r="AC678" s="730"/>
    </row>
    <row r="679" spans="18:29">
      <c r="R679" s="721" t="str">
        <f t="shared" si="15"/>
        <v>20SS30F</v>
      </c>
      <c r="S679" s="672" t="s">
        <v>66</v>
      </c>
      <c r="T679" s="721">
        <v>30</v>
      </c>
      <c r="U679" s="721">
        <v>30</v>
      </c>
      <c r="V679" s="721" t="s">
        <v>14</v>
      </c>
      <c r="W679" s="721" t="s">
        <v>979</v>
      </c>
      <c r="X679" s="721" t="s">
        <v>984</v>
      </c>
      <c r="Y679" s="721" t="s">
        <v>984</v>
      </c>
      <c r="Z679" s="721">
        <v>0</v>
      </c>
      <c r="AA679" s="672">
        <v>2.8399999999999998E-2</v>
      </c>
      <c r="AB679" s="721">
        <v>0.97160000000000002</v>
      </c>
      <c r="AC679" s="730"/>
    </row>
    <row r="680" spans="18:29">
      <c r="R680" s="721" t="str">
        <f t="shared" si="15"/>
        <v>20SS31F</v>
      </c>
      <c r="S680" s="672" t="s">
        <v>66</v>
      </c>
      <c r="T680" s="721">
        <v>31</v>
      </c>
      <c r="U680" s="721">
        <v>31</v>
      </c>
      <c r="V680" s="721" t="s">
        <v>14</v>
      </c>
      <c r="W680" s="721" t="s">
        <v>979</v>
      </c>
      <c r="X680" s="721" t="s">
        <v>984</v>
      </c>
      <c r="Y680" s="721" t="s">
        <v>984</v>
      </c>
      <c r="Z680" s="721">
        <v>0</v>
      </c>
      <c r="AA680" s="672">
        <v>3.1E-2</v>
      </c>
      <c r="AB680" s="721">
        <v>0.96900000000000008</v>
      </c>
      <c r="AC680" s="730"/>
    </row>
    <row r="681" spans="18:29">
      <c r="R681" s="721" t="str">
        <f t="shared" si="15"/>
        <v>20SS32F</v>
      </c>
      <c r="S681" s="672" t="s">
        <v>66</v>
      </c>
      <c r="T681" s="721">
        <v>32</v>
      </c>
      <c r="U681" s="721">
        <v>32</v>
      </c>
      <c r="V681" s="721" t="s">
        <v>14</v>
      </c>
      <c r="W681" s="721" t="s">
        <v>979</v>
      </c>
      <c r="X681" s="721" t="s">
        <v>984</v>
      </c>
      <c r="Y681" s="721" t="s">
        <v>984</v>
      </c>
      <c r="Z681" s="721">
        <v>0</v>
      </c>
      <c r="AA681" s="672">
        <v>3.4000000000000002E-2</v>
      </c>
      <c r="AB681" s="721">
        <v>0.96599999999999997</v>
      </c>
      <c r="AC681" s="730"/>
    </row>
    <row r="682" spans="18:29">
      <c r="R682" s="721" t="str">
        <f t="shared" si="15"/>
        <v>20SS33F</v>
      </c>
      <c r="S682" s="672" t="s">
        <v>66</v>
      </c>
      <c r="T682" s="721">
        <v>33</v>
      </c>
      <c r="U682" s="721">
        <v>33</v>
      </c>
      <c r="V682" s="721" t="s">
        <v>14</v>
      </c>
      <c r="W682" s="721" t="s">
        <v>979</v>
      </c>
      <c r="X682" s="721" t="s">
        <v>984</v>
      </c>
      <c r="Y682" s="721" t="s">
        <v>984</v>
      </c>
      <c r="Z682" s="721">
        <v>0</v>
      </c>
      <c r="AA682" s="672">
        <v>3.7100000000000001E-2</v>
      </c>
      <c r="AB682" s="721">
        <v>0.96290000000000009</v>
      </c>
      <c r="AC682" s="730"/>
    </row>
    <row r="683" spans="18:29">
      <c r="R683" s="721" t="str">
        <f t="shared" si="15"/>
        <v>20SS34F</v>
      </c>
      <c r="S683" s="672" t="s">
        <v>66</v>
      </c>
      <c r="T683" s="721">
        <v>34</v>
      </c>
      <c r="U683" s="721">
        <v>34</v>
      </c>
      <c r="V683" s="721" t="s">
        <v>14</v>
      </c>
      <c r="W683" s="721" t="s">
        <v>979</v>
      </c>
      <c r="X683" s="721" t="s">
        <v>984</v>
      </c>
      <c r="Y683" s="721" t="s">
        <v>984</v>
      </c>
      <c r="Z683" s="721">
        <v>0</v>
      </c>
      <c r="AA683" s="672">
        <v>4.0500000000000001E-2</v>
      </c>
      <c r="AB683" s="721">
        <v>0.95950000000000002</v>
      </c>
      <c r="AC683" s="730"/>
    </row>
    <row r="684" spans="18:29">
      <c r="R684" s="721" t="str">
        <f t="shared" ref="R684:R714" si="16">S684&amp;T684&amp;V684</f>
        <v>20SS35F</v>
      </c>
      <c r="S684" s="672" t="s">
        <v>66</v>
      </c>
      <c r="T684" s="721">
        <v>35</v>
      </c>
      <c r="U684" s="721">
        <v>35</v>
      </c>
      <c r="V684" s="721" t="s">
        <v>14</v>
      </c>
      <c r="W684" s="721" t="s">
        <v>979</v>
      </c>
      <c r="X684" s="721" t="s">
        <v>984</v>
      </c>
      <c r="Y684" s="721" t="s">
        <v>984</v>
      </c>
      <c r="Z684" s="721">
        <v>0</v>
      </c>
      <c r="AA684" s="672">
        <v>4.41E-2</v>
      </c>
      <c r="AB684" s="721">
        <v>0.95590000000000008</v>
      </c>
      <c r="AC684" s="730"/>
    </row>
    <row r="685" spans="18:29">
      <c r="R685" s="721" t="str">
        <f t="shared" si="16"/>
        <v>20SS36F</v>
      </c>
      <c r="S685" s="672" t="s">
        <v>66</v>
      </c>
      <c r="T685" s="721">
        <v>36</v>
      </c>
      <c r="U685" s="721">
        <v>36</v>
      </c>
      <c r="V685" s="721" t="s">
        <v>14</v>
      </c>
      <c r="W685" s="721" t="s">
        <v>979</v>
      </c>
      <c r="X685" s="721" t="s">
        <v>984</v>
      </c>
      <c r="Y685" s="721" t="s">
        <v>984</v>
      </c>
      <c r="Z685" s="721">
        <v>0</v>
      </c>
      <c r="AA685" s="672">
        <v>4.8000000000000001E-2</v>
      </c>
      <c r="AB685" s="721">
        <v>0.95200000000000007</v>
      </c>
      <c r="AC685" s="730"/>
    </row>
    <row r="686" spans="18:29">
      <c r="R686" s="721" t="str">
        <f t="shared" si="16"/>
        <v>20SS37F</v>
      </c>
      <c r="S686" s="672" t="s">
        <v>66</v>
      </c>
      <c r="T686" s="721">
        <v>37</v>
      </c>
      <c r="U686" s="721">
        <v>37</v>
      </c>
      <c r="V686" s="721" t="s">
        <v>14</v>
      </c>
      <c r="W686" s="721" t="s">
        <v>979</v>
      </c>
      <c r="X686" s="721" t="s">
        <v>984</v>
      </c>
      <c r="Y686" s="721" t="s">
        <v>984</v>
      </c>
      <c r="Z686" s="721">
        <v>0</v>
      </c>
      <c r="AA686" s="672">
        <v>5.21E-2</v>
      </c>
      <c r="AB686" s="721">
        <v>0.94790000000000008</v>
      </c>
      <c r="AC686" s="730"/>
    </row>
    <row r="687" spans="18:29">
      <c r="R687" s="721" t="str">
        <f t="shared" si="16"/>
        <v>20SS38F</v>
      </c>
      <c r="S687" s="672" t="s">
        <v>66</v>
      </c>
      <c r="T687" s="721">
        <v>38</v>
      </c>
      <c r="U687" s="721">
        <v>38</v>
      </c>
      <c r="V687" s="721" t="s">
        <v>14</v>
      </c>
      <c r="W687" s="721" t="s">
        <v>979</v>
      </c>
      <c r="X687" s="721" t="s">
        <v>984</v>
      </c>
      <c r="Y687" s="721" t="s">
        <v>984</v>
      </c>
      <c r="Z687" s="721">
        <v>0</v>
      </c>
      <c r="AA687" s="672">
        <v>5.6399999999999999E-2</v>
      </c>
      <c r="AB687" s="721">
        <v>0.94359999999999999</v>
      </c>
      <c r="AC687" s="730"/>
    </row>
    <row r="688" spans="18:29">
      <c r="R688" s="721" t="str">
        <f t="shared" si="16"/>
        <v>20SS39F</v>
      </c>
      <c r="S688" s="672" t="s">
        <v>66</v>
      </c>
      <c r="T688" s="721">
        <v>39</v>
      </c>
      <c r="U688" s="721">
        <v>39</v>
      </c>
      <c r="V688" s="721" t="s">
        <v>14</v>
      </c>
      <c r="W688" s="721" t="s">
        <v>979</v>
      </c>
      <c r="X688" s="721" t="s">
        <v>984</v>
      </c>
      <c r="Y688" s="721" t="s">
        <v>984</v>
      </c>
      <c r="Z688" s="721">
        <v>0</v>
      </c>
      <c r="AA688" s="672">
        <v>6.0999999999999999E-2</v>
      </c>
      <c r="AB688" s="721">
        <v>0.93900000000000006</v>
      </c>
      <c r="AC688" s="730"/>
    </row>
    <row r="689" spans="18:29">
      <c r="R689" s="721" t="str">
        <f t="shared" si="16"/>
        <v>20SS40F</v>
      </c>
      <c r="S689" s="672" t="s">
        <v>66</v>
      </c>
      <c r="T689" s="721">
        <v>40</v>
      </c>
      <c r="U689" s="721">
        <v>40</v>
      </c>
      <c r="V689" s="721" t="s">
        <v>14</v>
      </c>
      <c r="W689" s="721" t="s">
        <v>979</v>
      </c>
      <c r="X689" s="721" t="s">
        <v>984</v>
      </c>
      <c r="Y689" s="721" t="s">
        <v>984</v>
      </c>
      <c r="Z689" s="721">
        <v>0</v>
      </c>
      <c r="AA689" s="672">
        <v>6.5700000000000008E-2</v>
      </c>
      <c r="AB689" s="721">
        <v>0.93430000000000002</v>
      </c>
      <c r="AC689" s="730"/>
    </row>
    <row r="690" spans="18:29">
      <c r="R690" s="721" t="str">
        <f t="shared" si="16"/>
        <v>20SS41F</v>
      </c>
      <c r="S690" s="672" t="s">
        <v>66</v>
      </c>
      <c r="T690" s="721">
        <v>41</v>
      </c>
      <c r="U690" s="721">
        <v>41</v>
      </c>
      <c r="V690" s="721" t="s">
        <v>14</v>
      </c>
      <c r="W690" s="721" t="s">
        <v>979</v>
      </c>
      <c r="X690" s="721" t="s">
        <v>984</v>
      </c>
      <c r="Y690" s="721" t="s">
        <v>984</v>
      </c>
      <c r="Z690" s="721">
        <v>0</v>
      </c>
      <c r="AA690" s="672">
        <v>6.6600000000000006E-2</v>
      </c>
      <c r="AB690" s="721">
        <v>0.93340000000000001</v>
      </c>
      <c r="AC690" s="730"/>
    </row>
    <row r="691" spans="18:29">
      <c r="R691" s="721" t="str">
        <f t="shared" si="16"/>
        <v>20SS42F</v>
      </c>
      <c r="S691" s="672" t="s">
        <v>66</v>
      </c>
      <c r="T691" s="721">
        <v>42</v>
      </c>
      <c r="U691" s="721">
        <v>42</v>
      </c>
      <c r="V691" s="721" t="s">
        <v>14</v>
      </c>
      <c r="W691" s="721" t="s">
        <v>979</v>
      </c>
      <c r="X691" s="721" t="s">
        <v>984</v>
      </c>
      <c r="Y691" s="721" t="s">
        <v>984</v>
      </c>
      <c r="Z691" s="721">
        <v>0</v>
      </c>
      <c r="AA691" s="672">
        <v>6.7299999999999999E-2</v>
      </c>
      <c r="AB691" s="721">
        <v>0.93269999999999997</v>
      </c>
      <c r="AC691" s="730"/>
    </row>
    <row r="692" spans="18:29">
      <c r="R692" s="721" t="str">
        <f t="shared" si="16"/>
        <v>20SS43F</v>
      </c>
      <c r="S692" s="672" t="s">
        <v>66</v>
      </c>
      <c r="T692" s="721">
        <v>43</v>
      </c>
      <c r="U692" s="721">
        <v>43</v>
      </c>
      <c r="V692" s="721" t="s">
        <v>14</v>
      </c>
      <c r="W692" s="721" t="s">
        <v>979</v>
      </c>
      <c r="X692" s="721" t="s">
        <v>984</v>
      </c>
      <c r="Y692" s="721" t="s">
        <v>984</v>
      </c>
      <c r="Z692" s="721">
        <v>0</v>
      </c>
      <c r="AA692" s="672">
        <v>6.7799999999999999E-2</v>
      </c>
      <c r="AB692" s="721">
        <v>0.93220000000000003</v>
      </c>
      <c r="AC692" s="730"/>
    </row>
    <row r="693" spans="18:29">
      <c r="R693" s="721" t="str">
        <f t="shared" si="16"/>
        <v>20SS44F</v>
      </c>
      <c r="S693" s="672" t="s">
        <v>66</v>
      </c>
      <c r="T693" s="721">
        <v>44</v>
      </c>
      <c r="U693" s="721">
        <v>44</v>
      </c>
      <c r="V693" s="721" t="s">
        <v>14</v>
      </c>
      <c r="W693" s="721" t="s">
        <v>979</v>
      </c>
      <c r="X693" s="721" t="s">
        <v>984</v>
      </c>
      <c r="Y693" s="721" t="s">
        <v>984</v>
      </c>
      <c r="Z693" s="721">
        <v>0</v>
      </c>
      <c r="AA693" s="672">
        <v>6.8099999999999994E-2</v>
      </c>
      <c r="AB693" s="721">
        <v>0.93189999999999995</v>
      </c>
      <c r="AC693" s="730"/>
    </row>
    <row r="694" spans="18:29">
      <c r="R694" s="721" t="str">
        <f t="shared" si="16"/>
        <v>20SS45F</v>
      </c>
      <c r="S694" s="672" t="s">
        <v>66</v>
      </c>
      <c r="T694" s="721">
        <v>45</v>
      </c>
      <c r="U694" s="721">
        <v>45</v>
      </c>
      <c r="V694" s="721" t="s">
        <v>14</v>
      </c>
      <c r="W694" s="721" t="s">
        <v>979</v>
      </c>
      <c r="X694" s="721" t="s">
        <v>984</v>
      </c>
      <c r="Y694" s="721" t="s">
        <v>984</v>
      </c>
      <c r="Z694" s="721">
        <v>0</v>
      </c>
      <c r="AA694" s="672">
        <v>6.8099999999999994E-2</v>
      </c>
      <c r="AB694" s="721">
        <v>0.93189999999999995</v>
      </c>
      <c r="AC694" s="730"/>
    </row>
    <row r="695" spans="18:29">
      <c r="R695" s="721" t="str">
        <f t="shared" si="16"/>
        <v>20SS46F</v>
      </c>
      <c r="S695" s="672" t="s">
        <v>66</v>
      </c>
      <c r="T695" s="721">
        <v>46</v>
      </c>
      <c r="U695" s="721">
        <v>46</v>
      </c>
      <c r="V695" s="721" t="s">
        <v>14</v>
      </c>
      <c r="W695" s="721" t="s">
        <v>979</v>
      </c>
      <c r="X695" s="721" t="s">
        <v>984</v>
      </c>
      <c r="Y695" s="721" t="s">
        <v>984</v>
      </c>
      <c r="Z695" s="721">
        <v>0</v>
      </c>
      <c r="AA695" s="672">
        <v>6.7799999999999999E-2</v>
      </c>
      <c r="AB695" s="721">
        <v>0.93220000000000003</v>
      </c>
      <c r="AC695" s="730"/>
    </row>
    <row r="696" spans="18:29">
      <c r="R696" s="721" t="str">
        <f t="shared" si="16"/>
        <v>20SS47F</v>
      </c>
      <c r="S696" s="672" t="s">
        <v>66</v>
      </c>
      <c r="T696" s="721">
        <v>47</v>
      </c>
      <c r="U696" s="721">
        <v>47</v>
      </c>
      <c r="V696" s="721" t="s">
        <v>14</v>
      </c>
      <c r="W696" s="721" t="s">
        <v>979</v>
      </c>
      <c r="X696" s="721" t="s">
        <v>984</v>
      </c>
      <c r="Y696" s="721" t="s">
        <v>984</v>
      </c>
      <c r="Z696" s="721">
        <v>0</v>
      </c>
      <c r="AA696" s="672">
        <v>6.7099999999999993E-2</v>
      </c>
      <c r="AB696" s="721">
        <v>0.93290000000000006</v>
      </c>
      <c r="AC696" s="730"/>
    </row>
    <row r="697" spans="18:29">
      <c r="R697" s="721" t="str">
        <f t="shared" si="16"/>
        <v>20SS48F</v>
      </c>
      <c r="S697" s="672" t="s">
        <v>66</v>
      </c>
      <c r="T697" s="721">
        <v>48</v>
      </c>
      <c r="U697" s="721">
        <v>48</v>
      </c>
      <c r="V697" s="721" t="s">
        <v>14</v>
      </c>
      <c r="W697" s="721" t="s">
        <v>979</v>
      </c>
      <c r="X697" s="721" t="s">
        <v>984</v>
      </c>
      <c r="Y697" s="721" t="s">
        <v>984</v>
      </c>
      <c r="Z697" s="721">
        <v>0</v>
      </c>
      <c r="AA697" s="672">
        <v>6.6100000000000006E-2</v>
      </c>
      <c r="AB697" s="721">
        <v>0.93389999999999995</v>
      </c>
      <c r="AC697" s="730"/>
    </row>
    <row r="698" spans="18:29">
      <c r="R698" s="721" t="str">
        <f t="shared" si="16"/>
        <v>20SS49F</v>
      </c>
      <c r="S698" s="672" t="s">
        <v>66</v>
      </c>
      <c r="T698" s="721">
        <v>49</v>
      </c>
      <c r="U698" s="721">
        <v>49</v>
      </c>
      <c r="V698" s="721" t="s">
        <v>14</v>
      </c>
      <c r="W698" s="721" t="s">
        <v>979</v>
      </c>
      <c r="X698" s="721" t="s">
        <v>984</v>
      </c>
      <c r="Y698" s="721" t="s">
        <v>984</v>
      </c>
      <c r="Z698" s="721">
        <v>0</v>
      </c>
      <c r="AA698" s="672">
        <v>6.4600000000000005E-2</v>
      </c>
      <c r="AB698" s="721">
        <v>0.93540000000000001</v>
      </c>
      <c r="AC698" s="730"/>
    </row>
    <row r="699" spans="18:29">
      <c r="R699" s="721" t="str">
        <f t="shared" si="16"/>
        <v>20SS50F</v>
      </c>
      <c r="S699" s="672" t="s">
        <v>66</v>
      </c>
      <c r="T699" s="721">
        <v>50</v>
      </c>
      <c r="U699" s="721">
        <v>50</v>
      </c>
      <c r="V699" s="721" t="s">
        <v>14</v>
      </c>
      <c r="W699" s="721" t="s">
        <v>979</v>
      </c>
      <c r="X699" s="721" t="s">
        <v>984</v>
      </c>
      <c r="Y699" s="721" t="s">
        <v>984</v>
      </c>
      <c r="Z699" s="721">
        <v>0</v>
      </c>
      <c r="AA699" s="672">
        <v>6.2600000000000003E-2</v>
      </c>
      <c r="AB699" s="721">
        <v>0.9373999999999999</v>
      </c>
      <c r="AC699" s="730"/>
    </row>
    <row r="700" spans="18:29">
      <c r="R700" s="721" t="str">
        <f t="shared" si="16"/>
        <v>20SS51F</v>
      </c>
      <c r="S700" s="672" t="s">
        <v>66</v>
      </c>
      <c r="T700" s="721">
        <v>51</v>
      </c>
      <c r="U700" s="721">
        <v>51</v>
      </c>
      <c r="V700" s="721" t="s">
        <v>14</v>
      </c>
      <c r="W700" s="721" t="s">
        <v>979</v>
      </c>
      <c r="X700" s="721" t="s">
        <v>984</v>
      </c>
      <c r="Y700" s="721" t="s">
        <v>984</v>
      </c>
      <c r="Z700" s="721">
        <v>0</v>
      </c>
      <c r="AA700" s="672">
        <v>6.0100000000000001E-2</v>
      </c>
      <c r="AB700" s="721">
        <v>0.93989999999999996</v>
      </c>
      <c r="AC700" s="730"/>
    </row>
    <row r="701" spans="18:29">
      <c r="R701" s="721" t="str">
        <f t="shared" si="16"/>
        <v>20SS52F</v>
      </c>
      <c r="S701" s="672" t="s">
        <v>66</v>
      </c>
      <c r="T701" s="721">
        <v>52</v>
      </c>
      <c r="U701" s="721">
        <v>52</v>
      </c>
      <c r="V701" s="721" t="s">
        <v>14</v>
      </c>
      <c r="W701" s="721" t="s">
        <v>979</v>
      </c>
      <c r="X701" s="721" t="s">
        <v>984</v>
      </c>
      <c r="Y701" s="721" t="s">
        <v>984</v>
      </c>
      <c r="Z701" s="721">
        <v>0</v>
      </c>
      <c r="AA701" s="672">
        <v>5.7000000000000002E-2</v>
      </c>
      <c r="AB701" s="721">
        <v>0.94299999999999995</v>
      </c>
      <c r="AC701" s="730"/>
    </row>
    <row r="702" spans="18:29">
      <c r="R702" s="721" t="str">
        <f t="shared" si="16"/>
        <v>20SS53F</v>
      </c>
      <c r="S702" s="672" t="s">
        <v>66</v>
      </c>
      <c r="T702" s="721">
        <v>53</v>
      </c>
      <c r="U702" s="721">
        <v>53</v>
      </c>
      <c r="V702" s="721" t="s">
        <v>14</v>
      </c>
      <c r="W702" s="721" t="s">
        <v>979</v>
      </c>
      <c r="X702" s="721" t="s">
        <v>984</v>
      </c>
      <c r="Y702" s="721" t="s">
        <v>984</v>
      </c>
      <c r="Z702" s="721">
        <v>0</v>
      </c>
      <c r="AA702" s="672">
        <v>5.3099999999999994E-2</v>
      </c>
      <c r="AB702" s="721">
        <v>0.94689999999999996</v>
      </c>
      <c r="AC702" s="730"/>
    </row>
    <row r="703" spans="18:29">
      <c r="R703" s="721" t="str">
        <f t="shared" si="16"/>
        <v>20SS54F</v>
      </c>
      <c r="S703" s="672" t="s">
        <v>66</v>
      </c>
      <c r="T703" s="721">
        <v>54</v>
      </c>
      <c r="U703" s="721">
        <v>54</v>
      </c>
      <c r="V703" s="721" t="s">
        <v>14</v>
      </c>
      <c r="W703" s="721" t="s">
        <v>979</v>
      </c>
      <c r="X703" s="721" t="s">
        <v>984</v>
      </c>
      <c r="Y703" s="721" t="s">
        <v>984</v>
      </c>
      <c r="Z703" s="721">
        <v>0</v>
      </c>
      <c r="AA703" s="672">
        <v>4.8600000000000004E-2</v>
      </c>
      <c r="AB703" s="721">
        <v>0.95140000000000002</v>
      </c>
      <c r="AC703" s="730"/>
    </row>
    <row r="704" spans="18:29">
      <c r="R704" s="721" t="str">
        <f t="shared" si="16"/>
        <v>20SS55F</v>
      </c>
      <c r="S704" s="672" t="s">
        <v>66</v>
      </c>
      <c r="T704" s="721">
        <v>55</v>
      </c>
      <c r="U704" s="721">
        <v>55</v>
      </c>
      <c r="V704" s="721" t="s">
        <v>14</v>
      </c>
      <c r="W704" s="721" t="s">
        <v>979</v>
      </c>
      <c r="X704" s="721" t="s">
        <v>984</v>
      </c>
      <c r="Y704" s="721" t="s">
        <v>984</v>
      </c>
      <c r="Z704" s="721">
        <v>0</v>
      </c>
      <c r="AA704" s="672">
        <v>4.3200000000000002E-2</v>
      </c>
      <c r="AB704" s="721">
        <v>0.95680000000000009</v>
      </c>
      <c r="AC704" s="730"/>
    </row>
    <row r="705" spans="18:29">
      <c r="R705" s="721" t="str">
        <f t="shared" si="16"/>
        <v>20SS56F</v>
      </c>
      <c r="S705" s="672" t="s">
        <v>66</v>
      </c>
      <c r="T705" s="721">
        <v>56</v>
      </c>
      <c r="U705" s="721">
        <v>56</v>
      </c>
      <c r="V705" s="721" t="s">
        <v>14</v>
      </c>
      <c r="W705" s="721" t="s">
        <v>979</v>
      </c>
      <c r="X705" s="721" t="s">
        <v>984</v>
      </c>
      <c r="Y705" s="721" t="s">
        <v>984</v>
      </c>
      <c r="Z705" s="721">
        <v>0</v>
      </c>
      <c r="AA705" s="672">
        <v>3.6900000000000002E-2</v>
      </c>
      <c r="AB705" s="721">
        <v>0.96310000000000007</v>
      </c>
      <c r="AC705" s="730"/>
    </row>
    <row r="706" spans="18:29">
      <c r="R706" s="721" t="str">
        <f t="shared" si="16"/>
        <v>20SS57F</v>
      </c>
      <c r="S706" s="672" t="s">
        <v>66</v>
      </c>
      <c r="T706" s="721">
        <v>57</v>
      </c>
      <c r="U706" s="721">
        <v>57</v>
      </c>
      <c r="V706" s="721" t="s">
        <v>14</v>
      </c>
      <c r="W706" s="721" t="s">
        <v>979</v>
      </c>
      <c r="X706" s="721" t="s">
        <v>984</v>
      </c>
      <c r="Y706" s="721" t="s">
        <v>984</v>
      </c>
      <c r="Z706" s="721">
        <v>0</v>
      </c>
      <c r="AA706" s="672">
        <v>2.9600000000000001E-2</v>
      </c>
      <c r="AB706" s="721">
        <v>0.97040000000000004</v>
      </c>
      <c r="AC706" s="730"/>
    </row>
    <row r="707" spans="18:29">
      <c r="R707" s="721" t="str">
        <f t="shared" si="16"/>
        <v>20SS58F</v>
      </c>
      <c r="S707" s="672" t="s">
        <v>66</v>
      </c>
      <c r="T707" s="721">
        <v>58</v>
      </c>
      <c r="U707" s="721">
        <v>58</v>
      </c>
      <c r="V707" s="721" t="s">
        <v>14</v>
      </c>
      <c r="W707" s="721" t="s">
        <v>979</v>
      </c>
      <c r="X707" s="721" t="s">
        <v>984</v>
      </c>
      <c r="Y707" s="721" t="s">
        <v>984</v>
      </c>
      <c r="Z707" s="721">
        <v>0</v>
      </c>
      <c r="AA707" s="672">
        <v>2.1099999999999997E-2</v>
      </c>
      <c r="AB707" s="721">
        <v>0.97889999999999999</v>
      </c>
      <c r="AC707" s="730"/>
    </row>
    <row r="708" spans="18:29">
      <c r="R708" s="721" t="str">
        <f t="shared" si="16"/>
        <v>20SS59F</v>
      </c>
      <c r="S708" s="672" t="s">
        <v>66</v>
      </c>
      <c r="T708" s="721">
        <v>59</v>
      </c>
      <c r="U708" s="721">
        <v>59</v>
      </c>
      <c r="V708" s="721" t="s">
        <v>14</v>
      </c>
      <c r="W708" s="721" t="s">
        <v>979</v>
      </c>
      <c r="X708" s="721" t="s">
        <v>984</v>
      </c>
      <c r="Y708" s="721" t="s">
        <v>984</v>
      </c>
      <c r="Z708" s="721">
        <v>0</v>
      </c>
      <c r="AA708" s="672">
        <v>1.1299999999999999E-2</v>
      </c>
      <c r="AB708" s="721">
        <v>0.98870000000000002</v>
      </c>
      <c r="AC708" s="730"/>
    </row>
    <row r="709" spans="18:29">
      <c r="R709" s="721" t="str">
        <f t="shared" si="16"/>
        <v>20SS60F</v>
      </c>
      <c r="S709" s="672" t="s">
        <v>66</v>
      </c>
      <c r="T709" s="721">
        <v>60</v>
      </c>
      <c r="U709" s="721">
        <v>60</v>
      </c>
      <c r="V709" s="721" t="s">
        <v>14</v>
      </c>
      <c r="W709" s="721" t="s">
        <v>979</v>
      </c>
      <c r="X709" s="721" t="s">
        <v>984</v>
      </c>
      <c r="Y709" s="721" t="s">
        <v>984</v>
      </c>
      <c r="Z709" s="721">
        <v>0</v>
      </c>
      <c r="AA709" s="672">
        <v>0</v>
      </c>
      <c r="AB709" s="721">
        <v>1</v>
      </c>
      <c r="AC709" s="730"/>
    </row>
    <row r="710" spans="18:29">
      <c r="R710" s="721" t="str">
        <f t="shared" si="16"/>
        <v>20SS61F</v>
      </c>
      <c r="S710" s="672" t="s">
        <v>66</v>
      </c>
      <c r="T710" s="721">
        <v>61</v>
      </c>
      <c r="U710" s="721">
        <v>61</v>
      </c>
      <c r="V710" s="721" t="s">
        <v>14</v>
      </c>
      <c r="W710" s="721" t="s">
        <v>979</v>
      </c>
      <c r="X710" s="721" t="s">
        <v>984</v>
      </c>
      <c r="Y710" s="721" t="s">
        <v>984</v>
      </c>
      <c r="Z710" s="721">
        <v>0</v>
      </c>
      <c r="AA710" s="672">
        <v>0</v>
      </c>
      <c r="AB710" s="721">
        <v>1</v>
      </c>
      <c r="AC710" s="730"/>
    </row>
    <row r="711" spans="18:29">
      <c r="R711" s="721" t="str">
        <f t="shared" si="16"/>
        <v>20SS62F</v>
      </c>
      <c r="S711" s="672" t="s">
        <v>66</v>
      </c>
      <c r="T711" s="721">
        <v>62</v>
      </c>
      <c r="U711" s="721">
        <v>62</v>
      </c>
      <c r="V711" s="721" t="s">
        <v>14</v>
      </c>
      <c r="W711" s="721" t="s">
        <v>979</v>
      </c>
      <c r="X711" s="721" t="s">
        <v>984</v>
      </c>
      <c r="Y711" s="721" t="s">
        <v>984</v>
      </c>
      <c r="Z711" s="721">
        <v>0</v>
      </c>
      <c r="AA711" s="672">
        <v>0</v>
      </c>
      <c r="AB711" s="721">
        <v>1</v>
      </c>
      <c r="AC711" s="730"/>
    </row>
    <row r="712" spans="18:29">
      <c r="R712" s="721" t="str">
        <f t="shared" si="16"/>
        <v>20SS63F</v>
      </c>
      <c r="S712" s="672" t="s">
        <v>66</v>
      </c>
      <c r="T712" s="721">
        <v>63</v>
      </c>
      <c r="U712" s="721">
        <v>63</v>
      </c>
      <c r="V712" s="721" t="s">
        <v>14</v>
      </c>
      <c r="W712" s="721" t="s">
        <v>979</v>
      </c>
      <c r="X712" s="721" t="s">
        <v>984</v>
      </c>
      <c r="Y712" s="721" t="s">
        <v>984</v>
      </c>
      <c r="Z712" s="721">
        <v>0</v>
      </c>
      <c r="AA712" s="672">
        <v>0</v>
      </c>
      <c r="AB712" s="721">
        <v>1</v>
      </c>
      <c r="AC712" s="730"/>
    </row>
    <row r="713" spans="18:29">
      <c r="R713" s="721" t="str">
        <f t="shared" si="16"/>
        <v>20SS64F</v>
      </c>
      <c r="S713" s="672" t="s">
        <v>66</v>
      </c>
      <c r="T713" s="721">
        <v>64</v>
      </c>
      <c r="U713" s="721">
        <v>64</v>
      </c>
      <c r="V713" s="721" t="s">
        <v>14</v>
      </c>
      <c r="W713" s="721" t="s">
        <v>979</v>
      </c>
      <c r="X713" s="721" t="s">
        <v>984</v>
      </c>
      <c r="Y713" s="721" t="s">
        <v>984</v>
      </c>
      <c r="Z713" s="721">
        <v>0</v>
      </c>
      <c r="AA713" s="672">
        <v>0</v>
      </c>
      <c r="AB713" s="721">
        <v>1</v>
      </c>
      <c r="AC713" s="730"/>
    </row>
    <row r="714" spans="18:29">
      <c r="R714" s="721" t="str">
        <f t="shared" si="16"/>
        <v>20SS65F</v>
      </c>
      <c r="S714" s="672" t="s">
        <v>66</v>
      </c>
      <c r="T714" s="721">
        <v>65</v>
      </c>
      <c r="U714" s="721">
        <v>65</v>
      </c>
      <c r="V714" s="721" t="s">
        <v>14</v>
      </c>
      <c r="W714" s="721" t="s">
        <v>979</v>
      </c>
      <c r="X714" s="721" t="s">
        <v>984</v>
      </c>
      <c r="Y714" s="721" t="s">
        <v>984</v>
      </c>
      <c r="Z714" s="721">
        <v>0</v>
      </c>
      <c r="AA714" s="672">
        <v>0</v>
      </c>
      <c r="AB714" s="721">
        <v>1</v>
      </c>
      <c r="AC714" s="730"/>
    </row>
    <row r="715" spans="18:29">
      <c r="R715" s="672" t="s">
        <v>1304</v>
      </c>
      <c r="Z715" s="1232">
        <v>1</v>
      </c>
      <c r="AA715" s="1232">
        <v>0</v>
      </c>
      <c r="AB715" s="1232">
        <v>0</v>
      </c>
    </row>
    <row r="716" spans="18:29">
      <c r="R716" s="672" t="s">
        <v>1305</v>
      </c>
      <c r="Z716" s="1232">
        <v>1</v>
      </c>
      <c r="AA716" s="1232">
        <v>0</v>
      </c>
      <c r="AB716" s="1232">
        <v>0</v>
      </c>
    </row>
    <row r="717" spans="18:29">
      <c r="R717" s="672" t="s">
        <v>1306</v>
      </c>
      <c r="Z717" s="1232">
        <v>1</v>
      </c>
      <c r="AA717" s="1232">
        <v>0</v>
      </c>
      <c r="AB717" s="1232">
        <v>0</v>
      </c>
    </row>
    <row r="718" spans="18:29">
      <c r="R718" s="672" t="s">
        <v>1307</v>
      </c>
      <c r="Z718" s="1232">
        <v>1</v>
      </c>
      <c r="AA718" s="1232">
        <v>0</v>
      </c>
      <c r="AB718" s="1232">
        <v>0</v>
      </c>
    </row>
    <row r="719" spans="18:29">
      <c r="R719" s="672" t="s">
        <v>1308</v>
      </c>
      <c r="Z719" s="1232">
        <v>1</v>
      </c>
      <c r="AA719" s="1232">
        <v>0</v>
      </c>
      <c r="AB719" s="1232">
        <v>0</v>
      </c>
    </row>
    <row r="720" spans="18:29">
      <c r="R720" s="672" t="s">
        <v>1309</v>
      </c>
      <c r="Z720" s="1232">
        <v>1</v>
      </c>
      <c r="AA720" s="1232">
        <v>0</v>
      </c>
      <c r="AB720" s="1232">
        <v>0</v>
      </c>
    </row>
    <row r="721" spans="18:28">
      <c r="R721" s="1489" t="s">
        <v>1612</v>
      </c>
      <c r="Z721" s="1474">
        <v>1</v>
      </c>
      <c r="AA721" s="1474">
        <v>0</v>
      </c>
      <c r="AB721" s="1474">
        <v>0</v>
      </c>
    </row>
    <row r="722" spans="18:28">
      <c r="R722" s="1489" t="s">
        <v>1613</v>
      </c>
      <c r="Z722" s="1474">
        <v>1</v>
      </c>
      <c r="AA722" s="1474">
        <v>0</v>
      </c>
      <c r="AB722" s="1474">
        <v>0</v>
      </c>
    </row>
  </sheetData>
  <mergeCells count="4">
    <mergeCell ref="I1:K1"/>
    <mergeCell ref="C2:C3"/>
    <mergeCell ref="D2:D3"/>
    <mergeCell ref="F2:H2"/>
  </mergeCells>
  <pageMargins left="0.7" right="0.7" top="0.75" bottom="0.75" header="0.3" footer="0.3"/>
  <pageSetup paperSize="9" orientation="portrait" r:id="rId1"/>
  <headerFooter>
    <oddFooter>&amp;C&amp;1#&amp;"Calibri"&amp;10&amp;K000000Internal</oddFoot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5">
    <tabColor rgb="FFFF00FF"/>
  </sheetPr>
  <dimension ref="A1:OR861"/>
  <sheetViews>
    <sheetView zoomScale="47" zoomScaleNormal="100" workbookViewId="0">
      <pane xSplit="4" ySplit="1" topLeftCell="E2" activePane="bottomRight" state="frozen"/>
      <selection activeCell="B11" sqref="B11:B13"/>
      <selection pane="topRight" activeCell="B11" sqref="B11:B13"/>
      <selection pane="bottomLeft" activeCell="B11" sqref="B11:B13"/>
      <selection pane="bottomRight" activeCell="B2" sqref="B2"/>
    </sheetView>
  </sheetViews>
  <sheetFormatPr defaultColWidth="9.09765625" defaultRowHeight="12.5"/>
  <cols>
    <col min="1" max="1" width="13" style="271" customWidth="1"/>
    <col min="2" max="2" width="13.69921875" style="178" customWidth="1"/>
    <col min="3" max="3" width="7.09765625" style="178" bestFit="1" customWidth="1"/>
    <col min="4" max="4" width="7.59765625" style="178" bestFit="1" customWidth="1"/>
    <col min="5" max="5" width="9.09765625" style="178"/>
    <col min="6" max="32" width="9.296875" style="178" bestFit="1" customWidth="1"/>
    <col min="33" max="44" width="10" style="178" bestFit="1" customWidth="1"/>
    <col min="45" max="89" width="9.09765625" style="178"/>
    <col min="90" max="16384" width="9.09765625" style="271"/>
  </cols>
  <sheetData>
    <row r="1" spans="1:408">
      <c r="A1" s="1467" t="s">
        <v>1143</v>
      </c>
      <c r="B1" s="1604" t="s">
        <v>10</v>
      </c>
      <c r="C1" s="1604" t="s">
        <v>11</v>
      </c>
      <c r="D1" s="1604" t="s">
        <v>12</v>
      </c>
      <c r="E1" s="1604">
        <v>1</v>
      </c>
      <c r="F1" s="1604">
        <v>2</v>
      </c>
      <c r="G1" s="1604">
        <v>3</v>
      </c>
      <c r="H1" s="1604">
        <v>4</v>
      </c>
      <c r="I1" s="1604">
        <v>5</v>
      </c>
      <c r="J1" s="1604">
        <v>6</v>
      </c>
      <c r="K1" s="1604">
        <v>7</v>
      </c>
      <c r="L1" s="1604">
        <v>8</v>
      </c>
      <c r="M1" s="1604">
        <v>9</v>
      </c>
      <c r="N1" s="1604">
        <v>10</v>
      </c>
      <c r="O1" s="1604">
        <v>11</v>
      </c>
      <c r="P1" s="1604">
        <v>12</v>
      </c>
      <c r="Q1" s="1604">
        <v>13</v>
      </c>
      <c r="R1" s="1604">
        <v>14</v>
      </c>
      <c r="S1" s="1604">
        <v>15</v>
      </c>
      <c r="T1" s="1604">
        <v>16</v>
      </c>
      <c r="U1" s="1604">
        <v>17</v>
      </c>
      <c r="V1" s="1604">
        <v>18</v>
      </c>
      <c r="W1" s="1604">
        <v>19</v>
      </c>
      <c r="X1" s="1604">
        <v>20</v>
      </c>
      <c r="Y1" s="1604">
        <v>21</v>
      </c>
      <c r="Z1" s="1604">
        <v>22</v>
      </c>
      <c r="AA1" s="1604">
        <v>23</v>
      </c>
      <c r="AB1" s="1604">
        <v>24</v>
      </c>
      <c r="AC1" s="1604">
        <v>25</v>
      </c>
      <c r="AD1" s="1604">
        <v>26</v>
      </c>
      <c r="AE1" s="1604">
        <v>27</v>
      </c>
      <c r="AF1" s="1604">
        <v>28</v>
      </c>
      <c r="AG1" s="1604">
        <v>29</v>
      </c>
      <c r="AH1" s="1604">
        <v>30</v>
      </c>
      <c r="AI1" s="1604">
        <v>31</v>
      </c>
      <c r="AJ1" s="1604">
        <v>32</v>
      </c>
      <c r="AK1" s="1604">
        <v>33</v>
      </c>
      <c r="AL1" s="1604">
        <v>34</v>
      </c>
      <c r="AM1" s="1604">
        <v>35</v>
      </c>
      <c r="AN1" s="1604">
        <v>36</v>
      </c>
      <c r="AO1" s="1604">
        <v>37</v>
      </c>
      <c r="AP1" s="1604">
        <v>38</v>
      </c>
      <c r="AQ1" s="1604">
        <v>39</v>
      </c>
      <c r="AR1" s="1604">
        <v>40</v>
      </c>
      <c r="AS1" s="1604">
        <v>41</v>
      </c>
      <c r="AT1" s="1604">
        <v>42</v>
      </c>
      <c r="AU1" s="1604">
        <v>43</v>
      </c>
      <c r="AV1" s="1604">
        <v>44</v>
      </c>
      <c r="AW1" s="1604">
        <v>45</v>
      </c>
      <c r="AX1" s="1604">
        <v>46</v>
      </c>
      <c r="AY1" s="1604">
        <v>47</v>
      </c>
      <c r="AZ1" s="1604">
        <v>48</v>
      </c>
      <c r="BA1" s="1604">
        <v>49</v>
      </c>
      <c r="BB1" s="1604">
        <v>50</v>
      </c>
      <c r="BC1" s="1604">
        <v>51</v>
      </c>
      <c r="BD1" s="1604">
        <v>52</v>
      </c>
      <c r="BE1" s="1604">
        <v>53</v>
      </c>
      <c r="BF1" s="1604">
        <v>54</v>
      </c>
      <c r="BG1" s="1604">
        <v>55</v>
      </c>
      <c r="BH1" s="1604">
        <v>56</v>
      </c>
      <c r="BI1" s="1604">
        <v>57</v>
      </c>
      <c r="BJ1" s="1604">
        <v>58</v>
      </c>
      <c r="BK1" s="1604">
        <v>59</v>
      </c>
      <c r="BL1" s="1604">
        <v>60</v>
      </c>
      <c r="BM1" s="1604">
        <v>61</v>
      </c>
      <c r="BN1" s="1604">
        <v>62</v>
      </c>
      <c r="BO1" s="1604">
        <v>63</v>
      </c>
      <c r="BP1" s="1604">
        <v>64</v>
      </c>
      <c r="BQ1" s="1604">
        <v>65</v>
      </c>
      <c r="BR1" s="1604">
        <v>66</v>
      </c>
      <c r="BS1" s="1604">
        <v>67</v>
      </c>
      <c r="BT1" s="1604">
        <v>68</v>
      </c>
      <c r="BU1" s="1604">
        <v>69</v>
      </c>
      <c r="BV1" s="1604">
        <v>70</v>
      </c>
      <c r="BW1" s="1604">
        <v>71</v>
      </c>
      <c r="BX1" s="1604">
        <v>72</v>
      </c>
      <c r="BY1" s="1604">
        <v>73</v>
      </c>
      <c r="BZ1" s="1604">
        <v>74</v>
      </c>
      <c r="CA1" s="1604">
        <v>75</v>
      </c>
      <c r="CB1" s="1604">
        <v>76</v>
      </c>
      <c r="CC1" s="1604">
        <v>77</v>
      </c>
      <c r="CD1" s="1604">
        <v>78</v>
      </c>
      <c r="CE1" s="1604">
        <v>79</v>
      </c>
      <c r="CF1" s="1604">
        <v>80</v>
      </c>
      <c r="CG1" s="1604">
        <v>81</v>
      </c>
      <c r="CH1" s="1604">
        <v>82</v>
      </c>
      <c r="CI1" s="1604">
        <v>83</v>
      </c>
      <c r="CJ1" s="1604">
        <v>84</v>
      </c>
      <c r="CK1" s="1604">
        <v>85</v>
      </c>
      <c r="CL1" s="1604">
        <v>86</v>
      </c>
      <c r="CM1" s="1604">
        <v>87</v>
      </c>
      <c r="CN1" s="1604">
        <v>88</v>
      </c>
      <c r="CO1" s="1604">
        <v>89</v>
      </c>
      <c r="CP1" s="1604">
        <v>90</v>
      </c>
      <c r="CQ1" s="1604">
        <v>91</v>
      </c>
      <c r="CR1" s="1604">
        <v>92</v>
      </c>
      <c r="CS1" s="1604">
        <v>93</v>
      </c>
      <c r="CT1" s="1604">
        <v>94</v>
      </c>
      <c r="CU1" s="1604">
        <v>95</v>
      </c>
      <c r="CV1" s="1604">
        <v>96</v>
      </c>
      <c r="CW1" s="1604">
        <v>97</v>
      </c>
      <c r="CX1" s="1604">
        <v>98</v>
      </c>
      <c r="CY1" s="1604">
        <v>99</v>
      </c>
      <c r="CZ1" s="1604">
        <v>100</v>
      </c>
      <c r="DA1" s="1605" t="s">
        <v>1743</v>
      </c>
      <c r="DB1" s="1605" t="s">
        <v>1744</v>
      </c>
      <c r="DC1" s="1605" t="s">
        <v>1745</v>
      </c>
      <c r="DD1" s="1605" t="s">
        <v>1746</v>
      </c>
      <c r="DE1" s="1605" t="s">
        <v>1747</v>
      </c>
      <c r="DF1" s="1605" t="s">
        <v>1748</v>
      </c>
      <c r="DG1" s="1605" t="s">
        <v>1749</v>
      </c>
      <c r="DH1" s="1605" t="s">
        <v>1750</v>
      </c>
      <c r="DI1" s="1605" t="s">
        <v>1751</v>
      </c>
      <c r="DJ1" s="1605" t="s">
        <v>1752</v>
      </c>
      <c r="DK1" s="1605" t="s">
        <v>1753</v>
      </c>
      <c r="DL1" s="1605" t="s">
        <v>1754</v>
      </c>
      <c r="DM1" s="1605" t="s">
        <v>1755</v>
      </c>
      <c r="DN1" s="1605" t="s">
        <v>1756</v>
      </c>
      <c r="DO1" s="1605" t="s">
        <v>1757</v>
      </c>
      <c r="DP1" s="1605" t="s">
        <v>1758</v>
      </c>
      <c r="DQ1" s="1605" t="s">
        <v>1759</v>
      </c>
      <c r="DR1" s="1605" t="s">
        <v>1760</v>
      </c>
      <c r="DS1" s="1605" t="s">
        <v>1761</v>
      </c>
      <c r="DT1" s="1605" t="s">
        <v>1762</v>
      </c>
      <c r="DU1" s="1605" t="s">
        <v>1763</v>
      </c>
      <c r="DV1" s="1605" t="s">
        <v>1764</v>
      </c>
      <c r="DW1" s="1605" t="s">
        <v>1765</v>
      </c>
      <c r="DX1" s="1605" t="s">
        <v>1766</v>
      </c>
      <c r="DY1" s="1605" t="s">
        <v>1767</v>
      </c>
      <c r="DZ1" s="1605" t="s">
        <v>1768</v>
      </c>
      <c r="EA1" s="1605" t="s">
        <v>1769</v>
      </c>
      <c r="EB1" s="1605" t="s">
        <v>1770</v>
      </c>
      <c r="EC1" s="1605" t="s">
        <v>1771</v>
      </c>
      <c r="ED1" s="1605" t="s">
        <v>1772</v>
      </c>
      <c r="EE1" s="1605" t="s">
        <v>1773</v>
      </c>
      <c r="EF1" s="1605" t="s">
        <v>1774</v>
      </c>
      <c r="EG1" s="1605" t="s">
        <v>1775</v>
      </c>
      <c r="EH1" s="1605" t="s">
        <v>1776</v>
      </c>
      <c r="EI1" s="1605" t="s">
        <v>1777</v>
      </c>
      <c r="EJ1" s="1605" t="s">
        <v>1778</v>
      </c>
      <c r="EK1" s="1605" t="s">
        <v>1779</v>
      </c>
      <c r="EL1" s="1605" t="s">
        <v>1780</v>
      </c>
      <c r="EM1" s="1605" t="s">
        <v>1781</v>
      </c>
      <c r="EN1" s="1605" t="s">
        <v>1782</v>
      </c>
      <c r="EO1" s="1605" t="s">
        <v>1783</v>
      </c>
      <c r="EP1" s="1605" t="s">
        <v>1784</v>
      </c>
      <c r="EQ1" s="1605" t="s">
        <v>1785</v>
      </c>
      <c r="ER1" s="1605" t="s">
        <v>1786</v>
      </c>
      <c r="ES1" s="1605" t="s">
        <v>1787</v>
      </c>
      <c r="ET1" s="1605" t="s">
        <v>1788</v>
      </c>
      <c r="EU1" s="1605" t="s">
        <v>1789</v>
      </c>
      <c r="EV1" s="1605" t="s">
        <v>1790</v>
      </c>
      <c r="EW1" s="1605" t="s">
        <v>1791</v>
      </c>
      <c r="EX1" s="1605" t="s">
        <v>1792</v>
      </c>
      <c r="EY1" s="1605" t="s">
        <v>1793</v>
      </c>
      <c r="EZ1" s="1605" t="s">
        <v>1794</v>
      </c>
      <c r="FA1" s="1605" t="s">
        <v>1795</v>
      </c>
      <c r="FB1" s="1605" t="s">
        <v>1796</v>
      </c>
      <c r="FC1" s="1605" t="s">
        <v>1797</v>
      </c>
      <c r="FD1" s="1605" t="s">
        <v>1798</v>
      </c>
      <c r="FE1" s="1605" t="s">
        <v>1799</v>
      </c>
      <c r="FF1" s="1605" t="s">
        <v>1800</v>
      </c>
      <c r="FG1" s="1605" t="s">
        <v>1801</v>
      </c>
      <c r="FH1" s="1605" t="s">
        <v>1802</v>
      </c>
      <c r="FI1" s="1605" t="s">
        <v>1803</v>
      </c>
      <c r="FJ1" s="1605" t="s">
        <v>1804</v>
      </c>
      <c r="FK1" s="1605" t="s">
        <v>1805</v>
      </c>
      <c r="FL1" s="1605" t="s">
        <v>1806</v>
      </c>
      <c r="FM1" s="1605" t="s">
        <v>1807</v>
      </c>
      <c r="FN1" s="1605" t="s">
        <v>1808</v>
      </c>
      <c r="FO1" s="1605" t="s">
        <v>1809</v>
      </c>
      <c r="FP1" s="1605" t="s">
        <v>1810</v>
      </c>
      <c r="FQ1" s="1605" t="s">
        <v>1811</v>
      </c>
      <c r="FR1" s="1605" t="s">
        <v>1812</v>
      </c>
      <c r="FS1" s="1605" t="s">
        <v>1813</v>
      </c>
      <c r="FT1" s="1605" t="s">
        <v>1814</v>
      </c>
      <c r="FU1" s="1605" t="s">
        <v>1815</v>
      </c>
      <c r="FV1" s="1605" t="s">
        <v>1816</v>
      </c>
      <c r="FW1" s="1605" t="s">
        <v>1817</v>
      </c>
      <c r="FX1" s="1605" t="s">
        <v>1818</v>
      </c>
      <c r="FY1" s="1605" t="s">
        <v>1819</v>
      </c>
      <c r="FZ1" s="1605" t="s">
        <v>1820</v>
      </c>
      <c r="GA1" s="1605" t="s">
        <v>1821</v>
      </c>
      <c r="GB1" s="1605" t="s">
        <v>1822</v>
      </c>
      <c r="GC1" s="1605" t="s">
        <v>1823</v>
      </c>
      <c r="GD1" s="1605" t="s">
        <v>1824</v>
      </c>
      <c r="GE1" s="1605" t="s">
        <v>1825</v>
      </c>
      <c r="GF1" s="1605" t="s">
        <v>1826</v>
      </c>
      <c r="GG1" s="1605" t="s">
        <v>1827</v>
      </c>
      <c r="GH1" s="1605" t="s">
        <v>1828</v>
      </c>
      <c r="GI1" s="1605" t="s">
        <v>1829</v>
      </c>
      <c r="GJ1" s="1605" t="s">
        <v>1830</v>
      </c>
      <c r="GK1" s="1605" t="s">
        <v>1831</v>
      </c>
      <c r="GL1" s="1605" t="s">
        <v>1832</v>
      </c>
      <c r="GM1" s="1605" t="s">
        <v>1833</v>
      </c>
      <c r="GN1" s="1605" t="s">
        <v>1834</v>
      </c>
      <c r="GO1" s="1605" t="s">
        <v>1835</v>
      </c>
      <c r="GP1" s="1605" t="s">
        <v>1836</v>
      </c>
      <c r="GQ1" s="1605" t="s">
        <v>1837</v>
      </c>
      <c r="GR1" s="1605" t="s">
        <v>1838</v>
      </c>
      <c r="GS1" s="1605" t="s">
        <v>1839</v>
      </c>
      <c r="GT1" s="1605" t="s">
        <v>1840</v>
      </c>
      <c r="GU1" s="1605" t="s">
        <v>1841</v>
      </c>
      <c r="GV1" s="1605" t="s">
        <v>1842</v>
      </c>
      <c r="GW1" s="1605" t="s">
        <v>1843</v>
      </c>
      <c r="GX1" s="1629" t="s">
        <v>1844</v>
      </c>
      <c r="GY1" s="1629" t="s">
        <v>1845</v>
      </c>
      <c r="GZ1" s="1629" t="s">
        <v>1846</v>
      </c>
      <c r="HA1" s="1629" t="s">
        <v>1847</v>
      </c>
      <c r="HB1" s="1629" t="s">
        <v>1848</v>
      </c>
      <c r="HC1" s="1629" t="s">
        <v>1849</v>
      </c>
      <c r="HD1" s="1629" t="s">
        <v>1850</v>
      </c>
      <c r="HE1" s="1629" t="s">
        <v>1851</v>
      </c>
      <c r="HF1" s="1629" t="s">
        <v>1852</v>
      </c>
      <c r="HG1" s="1629" t="s">
        <v>1853</v>
      </c>
      <c r="HH1" s="1629" t="s">
        <v>1854</v>
      </c>
      <c r="HI1" s="1629" t="s">
        <v>1855</v>
      </c>
      <c r="HJ1" s="1629" t="s">
        <v>1856</v>
      </c>
      <c r="HK1" s="1629" t="s">
        <v>1857</v>
      </c>
      <c r="HL1" s="1629" t="s">
        <v>1858</v>
      </c>
      <c r="HM1" s="1629" t="s">
        <v>1859</v>
      </c>
      <c r="HN1" s="1629" t="s">
        <v>1860</v>
      </c>
      <c r="HO1" s="1629" t="s">
        <v>1861</v>
      </c>
      <c r="HP1" s="1629" t="s">
        <v>1862</v>
      </c>
      <c r="HQ1" s="1629" t="s">
        <v>1863</v>
      </c>
      <c r="HR1" s="1629" t="s">
        <v>1864</v>
      </c>
      <c r="HS1" s="1629" t="s">
        <v>1865</v>
      </c>
      <c r="HT1" s="1629" t="s">
        <v>1866</v>
      </c>
      <c r="HU1" s="1629" t="s">
        <v>1867</v>
      </c>
      <c r="HV1" s="1629" t="s">
        <v>1868</v>
      </c>
      <c r="HW1" s="1629" t="s">
        <v>1869</v>
      </c>
      <c r="HX1" s="1629" t="s">
        <v>1870</v>
      </c>
      <c r="HY1" s="1629" t="s">
        <v>1871</v>
      </c>
      <c r="HZ1" s="1629" t="s">
        <v>1872</v>
      </c>
      <c r="IA1" s="1629" t="s">
        <v>1873</v>
      </c>
      <c r="IB1" s="1629" t="s">
        <v>1874</v>
      </c>
      <c r="IC1" s="1629" t="s">
        <v>1875</v>
      </c>
      <c r="ID1" s="1629" t="s">
        <v>1876</v>
      </c>
      <c r="IE1" s="1629" t="s">
        <v>1877</v>
      </c>
      <c r="IF1" s="1629" t="s">
        <v>1878</v>
      </c>
      <c r="IG1" s="1629" t="s">
        <v>1879</v>
      </c>
      <c r="IH1" s="1629" t="s">
        <v>1880</v>
      </c>
      <c r="II1" s="1629" t="s">
        <v>1881</v>
      </c>
      <c r="IJ1" s="1629" t="s">
        <v>1882</v>
      </c>
      <c r="IK1" s="1629" t="s">
        <v>1883</v>
      </c>
      <c r="IL1" s="1629" t="s">
        <v>1884</v>
      </c>
      <c r="IM1" s="1629" t="s">
        <v>1885</v>
      </c>
      <c r="IN1" s="1629" t="s">
        <v>1886</v>
      </c>
      <c r="IO1" s="1629" t="s">
        <v>1887</v>
      </c>
      <c r="IP1" s="1629" t="s">
        <v>1888</v>
      </c>
      <c r="IQ1" s="1629" t="s">
        <v>1889</v>
      </c>
      <c r="IR1" s="1629" t="s">
        <v>1890</v>
      </c>
      <c r="IS1" s="1629" t="s">
        <v>1891</v>
      </c>
      <c r="IT1" s="1629" t="s">
        <v>1892</v>
      </c>
      <c r="IU1" s="1629" t="s">
        <v>1893</v>
      </c>
      <c r="IV1" s="1629" t="s">
        <v>1894</v>
      </c>
      <c r="IW1" s="1629" t="s">
        <v>1895</v>
      </c>
      <c r="IX1" s="1629" t="s">
        <v>1896</v>
      </c>
      <c r="IY1" s="1629" t="s">
        <v>1897</v>
      </c>
      <c r="IZ1" s="1629" t="s">
        <v>1898</v>
      </c>
      <c r="JA1" s="1629" t="s">
        <v>1899</v>
      </c>
      <c r="JB1" s="1629" t="s">
        <v>1900</v>
      </c>
      <c r="JC1" s="1629" t="s">
        <v>1901</v>
      </c>
      <c r="JD1" s="1629" t="s">
        <v>1902</v>
      </c>
      <c r="JE1" s="1629" t="s">
        <v>1903</v>
      </c>
      <c r="JF1" s="1629" t="s">
        <v>1904</v>
      </c>
      <c r="JG1" s="1629" t="s">
        <v>1905</v>
      </c>
      <c r="JH1" s="1629" t="s">
        <v>1906</v>
      </c>
      <c r="JI1" s="1629" t="s">
        <v>1907</v>
      </c>
      <c r="JJ1" s="1629" t="s">
        <v>1908</v>
      </c>
      <c r="JK1" s="1629" t="s">
        <v>1909</v>
      </c>
      <c r="JL1" s="1629" t="s">
        <v>1910</v>
      </c>
      <c r="JM1" s="1629" t="s">
        <v>1911</v>
      </c>
      <c r="JN1" s="1629" t="s">
        <v>1912</v>
      </c>
      <c r="JO1" s="1629" t="s">
        <v>1913</v>
      </c>
      <c r="JP1" s="1629" t="s">
        <v>1914</v>
      </c>
      <c r="JQ1" s="1629" t="s">
        <v>1915</v>
      </c>
      <c r="JR1" s="1629" t="s">
        <v>1916</v>
      </c>
      <c r="JS1" s="1629" t="s">
        <v>1917</v>
      </c>
      <c r="JT1" s="1629" t="s">
        <v>1918</v>
      </c>
      <c r="JU1" s="1629" t="s">
        <v>1919</v>
      </c>
      <c r="JV1" s="1629" t="s">
        <v>1920</v>
      </c>
      <c r="JW1" s="1629" t="s">
        <v>1921</v>
      </c>
      <c r="JX1" s="1629" t="s">
        <v>1922</v>
      </c>
      <c r="JY1" s="1629" t="s">
        <v>1923</v>
      </c>
      <c r="JZ1" s="1629" t="s">
        <v>1924</v>
      </c>
      <c r="KA1" s="1629" t="s">
        <v>1925</v>
      </c>
      <c r="KB1" s="1629" t="s">
        <v>1926</v>
      </c>
      <c r="KC1" s="1629" t="s">
        <v>1927</v>
      </c>
      <c r="KD1" s="1629" t="s">
        <v>1928</v>
      </c>
      <c r="KE1" s="1629" t="s">
        <v>1929</v>
      </c>
      <c r="KF1" s="1629" t="s">
        <v>1930</v>
      </c>
      <c r="KG1" s="1629" t="s">
        <v>1931</v>
      </c>
      <c r="KH1" s="1629" t="s">
        <v>1932</v>
      </c>
      <c r="KI1" s="1629" t="s">
        <v>1933</v>
      </c>
      <c r="KJ1" s="1629" t="s">
        <v>1934</v>
      </c>
      <c r="KK1" s="1629" t="s">
        <v>1935</v>
      </c>
      <c r="KL1" s="1629" t="s">
        <v>1936</v>
      </c>
      <c r="KM1" s="1629" t="s">
        <v>1937</v>
      </c>
      <c r="KN1" s="1629" t="s">
        <v>1938</v>
      </c>
      <c r="KO1" s="1629" t="s">
        <v>1939</v>
      </c>
      <c r="KP1" s="1629" t="s">
        <v>1940</v>
      </c>
      <c r="KQ1" s="1629" t="s">
        <v>1941</v>
      </c>
      <c r="KR1" s="1629" t="s">
        <v>1942</v>
      </c>
      <c r="KS1" s="1629" t="s">
        <v>1943</v>
      </c>
      <c r="KT1" s="1629" t="s">
        <v>1944</v>
      </c>
      <c r="KU1" s="1630" t="s">
        <v>1945</v>
      </c>
      <c r="KV1" s="1630" t="s">
        <v>1946</v>
      </c>
      <c r="KW1" s="1630" t="s">
        <v>1947</v>
      </c>
      <c r="KX1" s="1630" t="s">
        <v>1948</v>
      </c>
      <c r="KY1" s="1630" t="s">
        <v>1949</v>
      </c>
      <c r="KZ1" s="1630" t="s">
        <v>1950</v>
      </c>
      <c r="LA1" s="1630" t="s">
        <v>1951</v>
      </c>
      <c r="LB1" s="1630" t="s">
        <v>1952</v>
      </c>
      <c r="LC1" s="1630" t="s">
        <v>1953</v>
      </c>
      <c r="LD1" s="1630" t="s">
        <v>1954</v>
      </c>
      <c r="LE1" s="1630" t="s">
        <v>1955</v>
      </c>
      <c r="LF1" s="1630" t="s">
        <v>1956</v>
      </c>
      <c r="LG1" s="1630" t="s">
        <v>1957</v>
      </c>
      <c r="LH1" s="1630" t="s">
        <v>1958</v>
      </c>
      <c r="LI1" s="1630" t="s">
        <v>1959</v>
      </c>
      <c r="LJ1" s="1630" t="s">
        <v>1960</v>
      </c>
      <c r="LK1" s="1630" t="s">
        <v>1961</v>
      </c>
      <c r="LL1" s="1630" t="s">
        <v>1962</v>
      </c>
      <c r="LM1" s="1630" t="s">
        <v>1963</v>
      </c>
      <c r="LN1" s="1630" t="s">
        <v>1964</v>
      </c>
      <c r="LO1" s="1630" t="s">
        <v>1965</v>
      </c>
      <c r="LP1" s="1630" t="s">
        <v>1966</v>
      </c>
      <c r="LQ1" s="1630" t="s">
        <v>1967</v>
      </c>
      <c r="LR1" s="1630" t="s">
        <v>1968</v>
      </c>
      <c r="LS1" s="1630" t="s">
        <v>1969</v>
      </c>
      <c r="LT1" s="1630" t="s">
        <v>1970</v>
      </c>
      <c r="LU1" s="1630" t="s">
        <v>1971</v>
      </c>
      <c r="LV1" s="1630" t="s">
        <v>1972</v>
      </c>
      <c r="LW1" s="1630" t="s">
        <v>1973</v>
      </c>
      <c r="LX1" s="1630" t="s">
        <v>1974</v>
      </c>
      <c r="LY1" s="1630" t="s">
        <v>1975</v>
      </c>
      <c r="LZ1" s="1630" t="s">
        <v>1976</v>
      </c>
      <c r="MA1" s="1630" t="s">
        <v>1977</v>
      </c>
      <c r="MB1" s="1630" t="s">
        <v>1978</v>
      </c>
      <c r="MC1" s="1630" t="s">
        <v>1979</v>
      </c>
      <c r="MD1" s="1630" t="s">
        <v>1980</v>
      </c>
      <c r="ME1" s="1630" t="s">
        <v>1981</v>
      </c>
      <c r="MF1" s="1630" t="s">
        <v>1982</v>
      </c>
      <c r="MG1" s="1630" t="s">
        <v>1983</v>
      </c>
      <c r="MH1" s="1630" t="s">
        <v>1984</v>
      </c>
      <c r="MI1" s="1630" t="s">
        <v>1985</v>
      </c>
      <c r="MJ1" s="1630" t="s">
        <v>1986</v>
      </c>
      <c r="MK1" s="1630" t="s">
        <v>1987</v>
      </c>
      <c r="ML1" s="1630" t="s">
        <v>1988</v>
      </c>
      <c r="MM1" s="1630" t="s">
        <v>1989</v>
      </c>
      <c r="MN1" s="1630" t="s">
        <v>1990</v>
      </c>
      <c r="MO1" s="1630" t="s">
        <v>1991</v>
      </c>
      <c r="MP1" s="1630" t="s">
        <v>1992</v>
      </c>
      <c r="MQ1" s="1630" t="s">
        <v>1993</v>
      </c>
      <c r="MR1" s="1630" t="s">
        <v>1994</v>
      </c>
      <c r="MS1" s="1630" t="s">
        <v>1995</v>
      </c>
      <c r="MT1" s="1630" t="s">
        <v>1996</v>
      </c>
      <c r="MU1" s="1630" t="s">
        <v>1997</v>
      </c>
      <c r="MV1" s="1630" t="s">
        <v>1998</v>
      </c>
      <c r="MW1" s="1630" t="s">
        <v>1999</v>
      </c>
      <c r="MX1" s="1630" t="s">
        <v>2000</v>
      </c>
      <c r="MY1" s="1630" t="s">
        <v>2001</v>
      </c>
      <c r="MZ1" s="1630" t="s">
        <v>2002</v>
      </c>
      <c r="NA1" s="1630" t="s">
        <v>2003</v>
      </c>
      <c r="NB1" s="1630" t="s">
        <v>2004</v>
      </c>
      <c r="NC1" s="1630" t="s">
        <v>2005</v>
      </c>
      <c r="ND1" s="1630" t="s">
        <v>2006</v>
      </c>
      <c r="NE1" s="1630" t="s">
        <v>2007</v>
      </c>
      <c r="NF1" s="1630" t="s">
        <v>2008</v>
      </c>
      <c r="NG1" s="1630" t="s">
        <v>2009</v>
      </c>
      <c r="NH1" s="1630" t="s">
        <v>2010</v>
      </c>
      <c r="NI1" s="1630" t="s">
        <v>2011</v>
      </c>
      <c r="NJ1" s="1630" t="s">
        <v>2012</v>
      </c>
      <c r="NK1" s="1630" t="s">
        <v>2013</v>
      </c>
      <c r="NL1" s="1630" t="s">
        <v>2014</v>
      </c>
      <c r="NM1" s="1630" t="s">
        <v>2015</v>
      </c>
      <c r="NN1" s="1630" t="s">
        <v>2016</v>
      </c>
      <c r="NO1" s="1630" t="s">
        <v>2017</v>
      </c>
      <c r="NP1" s="1630" t="s">
        <v>2018</v>
      </c>
      <c r="NQ1" s="1630" t="s">
        <v>2019</v>
      </c>
      <c r="NR1" s="1630" t="s">
        <v>2020</v>
      </c>
      <c r="NS1" s="1630" t="s">
        <v>2021</v>
      </c>
      <c r="NT1" s="1630" t="s">
        <v>2022</v>
      </c>
      <c r="NU1" s="1630" t="s">
        <v>2023</v>
      </c>
      <c r="NV1" s="1630" t="s">
        <v>2024</v>
      </c>
      <c r="NW1" s="1630" t="s">
        <v>2025</v>
      </c>
      <c r="NX1" s="1630" t="s">
        <v>2026</v>
      </c>
      <c r="NY1" s="1630" t="s">
        <v>2027</v>
      </c>
      <c r="NZ1" s="1630" t="s">
        <v>2028</v>
      </c>
      <c r="OA1" s="1630" t="s">
        <v>2029</v>
      </c>
      <c r="OB1" s="1630" t="s">
        <v>2030</v>
      </c>
      <c r="OC1" s="1630" t="s">
        <v>2031</v>
      </c>
      <c r="OD1" s="1630" t="s">
        <v>2032</v>
      </c>
      <c r="OE1" s="1630" t="s">
        <v>2033</v>
      </c>
      <c r="OF1" s="1630" t="s">
        <v>2034</v>
      </c>
      <c r="OG1" s="1630" t="s">
        <v>2035</v>
      </c>
      <c r="OH1" s="1630" t="s">
        <v>2036</v>
      </c>
      <c r="OI1" s="1630" t="s">
        <v>2037</v>
      </c>
      <c r="OJ1" s="1630" t="s">
        <v>2038</v>
      </c>
      <c r="OK1" s="1630" t="s">
        <v>2039</v>
      </c>
      <c r="OL1" s="1630" t="s">
        <v>2040</v>
      </c>
      <c r="OM1" s="1630" t="s">
        <v>2041</v>
      </c>
      <c r="ON1" s="1630" t="s">
        <v>2042</v>
      </c>
      <c r="OO1" s="1630" t="s">
        <v>2043</v>
      </c>
      <c r="OP1" s="1630" t="s">
        <v>2044</v>
      </c>
      <c r="OQ1" s="1630" t="s">
        <v>2045</v>
      </c>
    </row>
    <row r="2" spans="1:408" ht="21.5">
      <c r="A2" s="1466" t="s">
        <v>1623</v>
      </c>
      <c r="B2" s="1583" t="s">
        <v>2358</v>
      </c>
      <c r="C2" s="1583" t="s">
        <v>14</v>
      </c>
      <c r="D2" s="1583">
        <v>25</v>
      </c>
      <c r="E2" s="504">
        <v>34</v>
      </c>
      <c r="F2" s="504">
        <v>143</v>
      </c>
      <c r="G2" s="504">
        <v>372</v>
      </c>
      <c r="H2" s="504">
        <v>585</v>
      </c>
      <c r="I2" s="504">
        <v>839</v>
      </c>
      <c r="J2" s="504">
        <v>1025</v>
      </c>
      <c r="K2" s="504">
        <v>1035</v>
      </c>
      <c r="L2" s="504">
        <v>1046</v>
      </c>
      <c r="M2" s="504">
        <v>1056</v>
      </c>
      <c r="N2" s="504">
        <v>1067</v>
      </c>
      <c r="O2" s="504">
        <v>1079</v>
      </c>
      <c r="P2" s="504">
        <v>1090</v>
      </c>
      <c r="Q2" s="504">
        <v>1102</v>
      </c>
      <c r="R2" s="504">
        <v>1115</v>
      </c>
      <c r="S2" s="504">
        <v>1127</v>
      </c>
      <c r="T2" s="504">
        <v>1140</v>
      </c>
      <c r="U2" s="504">
        <v>1154</v>
      </c>
      <c r="V2" s="504">
        <v>1167</v>
      </c>
      <c r="W2" s="504">
        <v>1181</v>
      </c>
      <c r="X2" s="504">
        <v>1196</v>
      </c>
      <c r="Y2" s="504">
        <v>1210</v>
      </c>
      <c r="Z2" s="504">
        <v>1226</v>
      </c>
      <c r="AA2" s="504">
        <v>1241</v>
      </c>
      <c r="AB2" s="504">
        <v>1257</v>
      </c>
      <c r="AC2" s="504">
        <v>1273</v>
      </c>
      <c r="AD2" s="504">
        <v>1290</v>
      </c>
      <c r="AE2" s="504">
        <v>1307</v>
      </c>
      <c r="AF2" s="504">
        <v>1324</v>
      </c>
      <c r="AG2" s="504">
        <v>1342</v>
      </c>
      <c r="AH2" s="504">
        <v>1360</v>
      </c>
      <c r="AI2" s="504">
        <v>1379</v>
      </c>
      <c r="AJ2" s="504">
        <v>1398</v>
      </c>
      <c r="AK2" s="504">
        <v>1418</v>
      </c>
      <c r="AL2" s="504">
        <v>1438</v>
      </c>
      <c r="AM2" s="504">
        <v>1458</v>
      </c>
      <c r="AN2" s="504">
        <v>1479</v>
      </c>
      <c r="AO2" s="504">
        <v>1500</v>
      </c>
      <c r="AP2" s="504">
        <v>1522</v>
      </c>
      <c r="AQ2" s="504">
        <v>1544</v>
      </c>
      <c r="AR2" s="504">
        <v>1566</v>
      </c>
      <c r="AS2" s="504">
        <v>1589</v>
      </c>
      <c r="AT2" s="504">
        <v>1612</v>
      </c>
      <c r="AU2" s="504">
        <v>1636</v>
      </c>
      <c r="AV2" s="504">
        <v>1660</v>
      </c>
      <c r="AW2" s="504">
        <v>1684</v>
      </c>
      <c r="AX2" s="504">
        <v>1709</v>
      </c>
      <c r="AY2" s="504">
        <v>1735</v>
      </c>
      <c r="AZ2" s="504">
        <v>1761</v>
      </c>
      <c r="BA2" s="504">
        <v>1787</v>
      </c>
      <c r="BB2" s="504">
        <v>1815</v>
      </c>
      <c r="BC2" s="504">
        <v>1844</v>
      </c>
      <c r="BD2" s="504">
        <v>1874</v>
      </c>
      <c r="BE2" s="504">
        <v>1907</v>
      </c>
      <c r="BF2" s="504">
        <v>1942</v>
      </c>
      <c r="BG2" s="504">
        <v>2000</v>
      </c>
      <c r="BH2" s="504">
        <v>0</v>
      </c>
      <c r="BI2" s="504">
        <v>0</v>
      </c>
      <c r="BJ2" s="504">
        <v>0</v>
      </c>
      <c r="BK2" s="504">
        <v>0</v>
      </c>
      <c r="BL2" s="504">
        <v>0</v>
      </c>
      <c r="BM2" s="504">
        <v>0</v>
      </c>
      <c r="BN2" s="504">
        <v>0</v>
      </c>
      <c r="BO2" s="504">
        <v>0</v>
      </c>
      <c r="BP2" s="504">
        <v>0</v>
      </c>
      <c r="BQ2" s="504">
        <v>0</v>
      </c>
      <c r="BR2" s="504">
        <v>0</v>
      </c>
      <c r="BS2" s="504">
        <v>0</v>
      </c>
      <c r="BT2" s="504">
        <v>0</v>
      </c>
      <c r="BU2" s="504">
        <v>0</v>
      </c>
      <c r="BV2" s="504">
        <v>0</v>
      </c>
      <c r="BW2" s="504">
        <v>0</v>
      </c>
      <c r="BX2" s="504">
        <v>0</v>
      </c>
      <c r="BY2" s="504">
        <v>0</v>
      </c>
      <c r="BZ2" s="504">
        <v>0</v>
      </c>
      <c r="CA2" s="504">
        <v>0</v>
      </c>
      <c r="CB2" s="504">
        <v>0</v>
      </c>
      <c r="CC2" s="504">
        <v>0</v>
      </c>
      <c r="CD2" s="504">
        <v>0</v>
      </c>
      <c r="CE2" s="504">
        <v>0</v>
      </c>
      <c r="CF2" s="504">
        <v>0</v>
      </c>
      <c r="CG2" s="504">
        <v>0</v>
      </c>
      <c r="CH2" s="504">
        <v>0</v>
      </c>
      <c r="CI2" s="504">
        <v>0</v>
      </c>
      <c r="CJ2" s="504">
        <v>0</v>
      </c>
      <c r="CK2" s="504">
        <v>0</v>
      </c>
      <c r="CL2" s="504">
        <v>0</v>
      </c>
      <c r="CM2" s="504">
        <v>0</v>
      </c>
      <c r="CN2" s="504">
        <v>0</v>
      </c>
      <c r="CO2" s="504">
        <v>0</v>
      </c>
      <c r="CP2" s="504">
        <v>0</v>
      </c>
      <c r="CQ2" s="504">
        <v>0</v>
      </c>
      <c r="CR2" s="504">
        <v>0</v>
      </c>
      <c r="CS2" s="504">
        <v>0</v>
      </c>
      <c r="CT2" s="504">
        <v>0</v>
      </c>
      <c r="CU2" s="504">
        <v>0</v>
      </c>
      <c r="CV2" s="504">
        <v>0</v>
      </c>
      <c r="CW2" s="504">
        <v>0</v>
      </c>
      <c r="CX2" s="504">
        <v>0</v>
      </c>
      <c r="CY2" s="504">
        <v>0</v>
      </c>
      <c r="CZ2" s="1654">
        <v>0</v>
      </c>
      <c r="DA2" s="504">
        <v>0</v>
      </c>
      <c r="DB2" s="504">
        <v>143</v>
      </c>
      <c r="DC2" s="504">
        <v>586</v>
      </c>
      <c r="DD2" s="504">
        <v>1121</v>
      </c>
      <c r="DE2" s="504">
        <v>1327</v>
      </c>
      <c r="DF2" s="504">
        <v>1574</v>
      </c>
      <c r="DG2" s="504">
        <v>0</v>
      </c>
      <c r="DH2" s="504">
        <v>0</v>
      </c>
      <c r="DI2" s="504">
        <v>0</v>
      </c>
      <c r="DJ2" s="504">
        <v>0</v>
      </c>
      <c r="DK2" s="504">
        <v>0</v>
      </c>
      <c r="DL2" s="504">
        <v>0</v>
      </c>
      <c r="DM2" s="504">
        <v>0</v>
      </c>
      <c r="DN2" s="504">
        <v>0</v>
      </c>
      <c r="DO2" s="504">
        <v>0</v>
      </c>
      <c r="DP2" s="504">
        <v>0</v>
      </c>
      <c r="DQ2" s="504">
        <v>0</v>
      </c>
      <c r="DR2" s="504">
        <v>0</v>
      </c>
      <c r="DS2" s="504">
        <v>0</v>
      </c>
      <c r="DT2" s="504">
        <v>0</v>
      </c>
      <c r="DU2" s="504">
        <v>0</v>
      </c>
      <c r="DV2" s="504">
        <v>0</v>
      </c>
      <c r="DW2" s="504">
        <v>0</v>
      </c>
      <c r="DX2" s="504">
        <v>0</v>
      </c>
      <c r="DY2" s="504">
        <v>0</v>
      </c>
      <c r="DZ2" s="504">
        <v>0</v>
      </c>
      <c r="EA2" s="504">
        <v>0</v>
      </c>
      <c r="EB2" s="504">
        <v>0</v>
      </c>
      <c r="EC2" s="504">
        <v>0</v>
      </c>
      <c r="ED2" s="504">
        <v>0</v>
      </c>
      <c r="EE2" s="504">
        <v>0</v>
      </c>
      <c r="EF2" s="504">
        <v>0</v>
      </c>
      <c r="EG2" s="504">
        <v>0</v>
      </c>
      <c r="EH2" s="504">
        <v>0</v>
      </c>
      <c r="EI2" s="504">
        <v>0</v>
      </c>
      <c r="EJ2" s="504">
        <v>0</v>
      </c>
      <c r="EK2" s="504">
        <v>0</v>
      </c>
      <c r="EL2" s="504">
        <v>0</v>
      </c>
      <c r="EM2" s="504">
        <v>0</v>
      </c>
      <c r="EN2" s="504">
        <v>0</v>
      </c>
      <c r="EO2" s="504">
        <v>0</v>
      </c>
      <c r="EP2" s="504">
        <v>0</v>
      </c>
      <c r="EQ2" s="504">
        <v>0</v>
      </c>
      <c r="ER2" s="504">
        <v>0</v>
      </c>
      <c r="ES2" s="504">
        <v>0</v>
      </c>
      <c r="ET2" s="504">
        <v>0</v>
      </c>
      <c r="EU2" s="504">
        <v>0</v>
      </c>
      <c r="EV2" s="504">
        <v>0</v>
      </c>
      <c r="EW2" s="504">
        <v>0</v>
      </c>
      <c r="EX2" s="504">
        <v>0</v>
      </c>
      <c r="EY2" s="504">
        <v>0</v>
      </c>
      <c r="EZ2" s="504">
        <v>0</v>
      </c>
      <c r="FA2" s="504">
        <v>0</v>
      </c>
      <c r="FB2" s="504">
        <v>0</v>
      </c>
      <c r="FC2" s="504">
        <v>0</v>
      </c>
      <c r="FD2" s="504">
        <v>0</v>
      </c>
      <c r="FE2" s="504">
        <v>0</v>
      </c>
      <c r="FF2" s="504">
        <v>0</v>
      </c>
      <c r="FG2" s="504">
        <v>0</v>
      </c>
      <c r="FH2" s="504">
        <v>0</v>
      </c>
      <c r="FI2" s="504">
        <v>0</v>
      </c>
      <c r="FJ2" s="504">
        <v>0</v>
      </c>
      <c r="FK2" s="504">
        <v>0</v>
      </c>
      <c r="FL2" s="504">
        <v>0</v>
      </c>
      <c r="FM2" s="504">
        <v>0</v>
      </c>
      <c r="FN2" s="504">
        <v>0</v>
      </c>
      <c r="FO2" s="504">
        <v>0</v>
      </c>
      <c r="FP2" s="504">
        <v>0</v>
      </c>
      <c r="FQ2" s="504">
        <v>0</v>
      </c>
      <c r="FR2" s="504">
        <v>0</v>
      </c>
      <c r="FS2" s="504">
        <v>0</v>
      </c>
      <c r="FT2" s="504">
        <v>0</v>
      </c>
      <c r="FU2" s="504">
        <v>0</v>
      </c>
      <c r="FV2" s="504">
        <v>0</v>
      </c>
      <c r="FW2" s="504">
        <v>0</v>
      </c>
      <c r="FX2" s="504">
        <v>0</v>
      </c>
      <c r="FY2" s="504">
        <v>0</v>
      </c>
      <c r="FZ2" s="504">
        <v>0</v>
      </c>
      <c r="GA2" s="504">
        <v>0</v>
      </c>
      <c r="GB2" s="504">
        <v>0</v>
      </c>
      <c r="GC2" s="504">
        <v>0</v>
      </c>
      <c r="GD2" s="504">
        <v>0</v>
      </c>
      <c r="GE2" s="504">
        <v>0</v>
      </c>
      <c r="GF2" s="504">
        <v>0</v>
      </c>
      <c r="GG2" s="504">
        <v>0</v>
      </c>
      <c r="GH2" s="504">
        <v>0</v>
      </c>
      <c r="GI2" s="504">
        <v>0</v>
      </c>
      <c r="GJ2" s="504">
        <v>0</v>
      </c>
      <c r="GK2" s="504">
        <v>0</v>
      </c>
      <c r="GL2" s="504">
        <v>0</v>
      </c>
      <c r="GM2" s="504">
        <v>0</v>
      </c>
      <c r="GN2" s="504">
        <v>0</v>
      </c>
      <c r="GO2" s="504">
        <v>0</v>
      </c>
      <c r="GP2" s="504">
        <v>0</v>
      </c>
      <c r="GQ2" s="504">
        <v>0</v>
      </c>
      <c r="GR2" s="504">
        <v>0</v>
      </c>
      <c r="GS2" s="504">
        <v>0</v>
      </c>
      <c r="GT2" s="504">
        <v>0</v>
      </c>
      <c r="GU2" s="504">
        <v>0</v>
      </c>
      <c r="GV2" s="504">
        <v>0</v>
      </c>
      <c r="GW2" s="1654">
        <v>0</v>
      </c>
      <c r="GX2" s="504">
        <v>0</v>
      </c>
      <c r="GY2" s="504">
        <v>32125</v>
      </c>
      <c r="GZ2" s="504">
        <v>51235</v>
      </c>
      <c r="HA2" s="504">
        <v>52000</v>
      </c>
      <c r="HB2" s="504">
        <v>51000</v>
      </c>
      <c r="HC2" s="504">
        <v>50000</v>
      </c>
      <c r="HD2" s="504">
        <v>0</v>
      </c>
      <c r="HE2" s="504">
        <v>0</v>
      </c>
      <c r="HF2" s="504">
        <v>0</v>
      </c>
      <c r="HG2" s="504">
        <v>0</v>
      </c>
      <c r="HH2" s="504">
        <v>0</v>
      </c>
      <c r="HI2" s="504">
        <v>0</v>
      </c>
      <c r="HJ2" s="504">
        <v>0</v>
      </c>
      <c r="HK2" s="504">
        <v>0</v>
      </c>
      <c r="HL2" s="504">
        <v>0</v>
      </c>
      <c r="HM2" s="504">
        <v>0</v>
      </c>
      <c r="HN2" s="504">
        <v>0</v>
      </c>
      <c r="HO2" s="504">
        <v>0</v>
      </c>
      <c r="HP2" s="504">
        <v>0</v>
      </c>
      <c r="HQ2" s="504">
        <v>0</v>
      </c>
      <c r="HR2" s="504">
        <v>0</v>
      </c>
      <c r="HS2" s="504">
        <v>0</v>
      </c>
      <c r="HT2" s="504">
        <v>0</v>
      </c>
      <c r="HU2" s="504">
        <v>0</v>
      </c>
      <c r="HV2" s="504">
        <v>0</v>
      </c>
      <c r="HW2" s="504">
        <v>0</v>
      </c>
      <c r="HX2" s="504">
        <v>0</v>
      </c>
      <c r="HY2" s="504">
        <v>0</v>
      </c>
      <c r="HZ2" s="504">
        <v>0</v>
      </c>
      <c r="IA2" s="504">
        <v>0</v>
      </c>
      <c r="IB2" s="504">
        <v>0</v>
      </c>
      <c r="IC2" s="504">
        <v>0</v>
      </c>
      <c r="ID2" s="504">
        <v>0</v>
      </c>
      <c r="IE2" s="504">
        <v>0</v>
      </c>
      <c r="IF2" s="504">
        <v>0</v>
      </c>
      <c r="IG2" s="504">
        <v>0</v>
      </c>
      <c r="IH2" s="504">
        <v>0</v>
      </c>
      <c r="II2" s="504">
        <v>0</v>
      </c>
      <c r="IJ2" s="504">
        <v>0</v>
      </c>
      <c r="IK2" s="504">
        <v>0</v>
      </c>
      <c r="IL2" s="504">
        <v>0</v>
      </c>
      <c r="IM2" s="504">
        <v>0</v>
      </c>
      <c r="IN2" s="504">
        <v>0</v>
      </c>
      <c r="IO2" s="504">
        <v>0</v>
      </c>
      <c r="IP2" s="504">
        <v>0</v>
      </c>
      <c r="IQ2" s="504">
        <v>0</v>
      </c>
      <c r="IR2" s="504">
        <v>0</v>
      </c>
      <c r="IS2" s="504">
        <v>0</v>
      </c>
      <c r="IT2" s="504">
        <v>0</v>
      </c>
      <c r="IU2" s="504">
        <v>0</v>
      </c>
      <c r="IV2" s="504">
        <v>0</v>
      </c>
      <c r="IW2" s="504">
        <v>0</v>
      </c>
      <c r="IX2" s="504">
        <v>0</v>
      </c>
      <c r="IY2" s="504">
        <v>0</v>
      </c>
      <c r="IZ2" s="504">
        <v>0</v>
      </c>
      <c r="JA2" s="504">
        <v>0</v>
      </c>
      <c r="JB2" s="504">
        <v>0</v>
      </c>
      <c r="JC2" s="504">
        <v>0</v>
      </c>
      <c r="JD2" s="504">
        <v>0</v>
      </c>
      <c r="JE2" s="504">
        <v>0</v>
      </c>
      <c r="JF2" s="504">
        <v>0</v>
      </c>
      <c r="JG2" s="504">
        <v>0</v>
      </c>
      <c r="JH2" s="504">
        <v>0</v>
      </c>
      <c r="JI2" s="504">
        <v>0</v>
      </c>
      <c r="JJ2" s="504">
        <v>0</v>
      </c>
      <c r="JK2" s="504">
        <v>0</v>
      </c>
      <c r="JL2" s="504">
        <v>0</v>
      </c>
      <c r="JM2" s="504">
        <v>0</v>
      </c>
      <c r="JN2" s="504">
        <v>0</v>
      </c>
      <c r="JO2" s="504">
        <v>0</v>
      </c>
      <c r="JP2" s="504">
        <v>0</v>
      </c>
      <c r="JQ2" s="504">
        <v>0</v>
      </c>
      <c r="JR2" s="504">
        <v>0</v>
      </c>
      <c r="JS2" s="504">
        <v>0</v>
      </c>
      <c r="JT2" s="504">
        <v>0</v>
      </c>
      <c r="JU2" s="504">
        <v>0</v>
      </c>
      <c r="JV2" s="504">
        <v>0</v>
      </c>
      <c r="JW2" s="504">
        <v>0</v>
      </c>
      <c r="JX2" s="504">
        <v>0</v>
      </c>
      <c r="JY2" s="504">
        <v>0</v>
      </c>
      <c r="JZ2" s="504">
        <v>0</v>
      </c>
      <c r="KA2" s="504">
        <v>0</v>
      </c>
      <c r="KB2" s="504">
        <v>0</v>
      </c>
      <c r="KC2" s="504">
        <v>0</v>
      </c>
      <c r="KD2" s="504">
        <v>0</v>
      </c>
      <c r="KE2" s="504">
        <v>0</v>
      </c>
      <c r="KF2" s="504">
        <v>0</v>
      </c>
      <c r="KG2" s="504">
        <v>0</v>
      </c>
      <c r="KH2" s="504">
        <v>0</v>
      </c>
      <c r="KI2" s="504">
        <v>0</v>
      </c>
      <c r="KJ2" s="504">
        <v>0</v>
      </c>
      <c r="KK2" s="504">
        <v>0</v>
      </c>
      <c r="KL2" s="504">
        <v>0</v>
      </c>
      <c r="KM2" s="504">
        <v>0</v>
      </c>
      <c r="KN2" s="504">
        <v>0</v>
      </c>
      <c r="KO2" s="504">
        <v>0</v>
      </c>
      <c r="KP2" s="504">
        <v>0</v>
      </c>
      <c r="KQ2" s="504">
        <v>0</v>
      </c>
      <c r="KR2" s="504">
        <v>0</v>
      </c>
      <c r="KS2" s="504">
        <v>0</v>
      </c>
      <c r="KT2" s="1654">
        <v>0</v>
      </c>
      <c r="KU2" s="504">
        <v>0</v>
      </c>
      <c r="KV2" s="504">
        <v>0</v>
      </c>
      <c r="KW2" s="504">
        <v>0</v>
      </c>
      <c r="KX2" s="504">
        <v>1112</v>
      </c>
      <c r="KY2" s="504">
        <v>1317</v>
      </c>
      <c r="KZ2" s="504">
        <v>1564</v>
      </c>
      <c r="LA2" s="504">
        <v>0</v>
      </c>
      <c r="LB2" s="504">
        <v>0</v>
      </c>
      <c r="LC2" s="504">
        <v>0</v>
      </c>
      <c r="LD2" s="504">
        <v>0</v>
      </c>
      <c r="LE2" s="504">
        <v>0</v>
      </c>
      <c r="LF2" s="504">
        <v>0</v>
      </c>
      <c r="LG2" s="504">
        <v>0</v>
      </c>
      <c r="LH2" s="504">
        <v>0</v>
      </c>
      <c r="LI2" s="504">
        <v>0</v>
      </c>
      <c r="LJ2" s="504">
        <v>0</v>
      </c>
      <c r="LK2" s="504">
        <v>0</v>
      </c>
      <c r="LL2" s="504">
        <v>0</v>
      </c>
      <c r="LM2" s="504">
        <v>0</v>
      </c>
      <c r="LN2" s="504">
        <v>0</v>
      </c>
      <c r="LO2" s="504">
        <v>0</v>
      </c>
      <c r="LP2" s="504">
        <v>0</v>
      </c>
      <c r="LQ2" s="504">
        <v>0</v>
      </c>
      <c r="LR2" s="504">
        <v>0</v>
      </c>
      <c r="LS2" s="504">
        <v>0</v>
      </c>
      <c r="LT2" s="504">
        <v>0</v>
      </c>
      <c r="LU2" s="504">
        <v>0</v>
      </c>
      <c r="LV2" s="504">
        <v>0</v>
      </c>
      <c r="LW2" s="504">
        <v>0</v>
      </c>
      <c r="LX2" s="504">
        <v>0</v>
      </c>
      <c r="LY2" s="504">
        <v>0</v>
      </c>
      <c r="LZ2" s="504">
        <v>0</v>
      </c>
      <c r="MA2" s="504">
        <v>0</v>
      </c>
      <c r="MB2" s="504">
        <v>0</v>
      </c>
      <c r="MC2" s="504">
        <v>0</v>
      </c>
      <c r="MD2" s="504">
        <v>0</v>
      </c>
      <c r="ME2" s="504">
        <v>0</v>
      </c>
      <c r="MF2" s="504">
        <v>0</v>
      </c>
      <c r="MG2" s="504">
        <v>0</v>
      </c>
      <c r="MH2" s="504">
        <v>0</v>
      </c>
      <c r="MI2" s="504">
        <v>0</v>
      </c>
      <c r="MJ2" s="504">
        <v>0</v>
      </c>
      <c r="MK2" s="504">
        <v>0</v>
      </c>
      <c r="ML2" s="504">
        <v>0</v>
      </c>
      <c r="MM2" s="504">
        <v>0</v>
      </c>
      <c r="MN2" s="504">
        <v>0</v>
      </c>
      <c r="MO2" s="504">
        <v>0</v>
      </c>
      <c r="MP2" s="504">
        <v>0</v>
      </c>
      <c r="MQ2" s="504">
        <v>0</v>
      </c>
      <c r="MR2" s="504">
        <v>0</v>
      </c>
      <c r="MS2" s="504">
        <v>0</v>
      </c>
      <c r="MT2" s="504">
        <v>0</v>
      </c>
      <c r="MU2" s="504">
        <v>0</v>
      </c>
      <c r="MV2" s="504">
        <v>0</v>
      </c>
      <c r="MW2" s="504">
        <v>0</v>
      </c>
      <c r="MX2" s="504">
        <v>0</v>
      </c>
      <c r="MY2" s="504">
        <v>0</v>
      </c>
      <c r="MZ2" s="504">
        <v>0</v>
      </c>
      <c r="NA2" s="504">
        <v>0</v>
      </c>
      <c r="NB2" s="504">
        <v>0</v>
      </c>
      <c r="NC2" s="504">
        <v>0</v>
      </c>
      <c r="ND2" s="504">
        <v>0</v>
      </c>
      <c r="NE2" s="504">
        <v>0</v>
      </c>
      <c r="NF2" s="504">
        <v>0</v>
      </c>
      <c r="NG2" s="504">
        <v>0</v>
      </c>
      <c r="NH2" s="504">
        <v>0</v>
      </c>
      <c r="NI2" s="504">
        <v>0</v>
      </c>
      <c r="NJ2" s="504">
        <v>0</v>
      </c>
      <c r="NK2" s="504">
        <v>0</v>
      </c>
      <c r="NL2" s="504">
        <v>0</v>
      </c>
      <c r="NM2" s="504">
        <v>0</v>
      </c>
      <c r="NN2" s="504">
        <v>0</v>
      </c>
      <c r="NO2" s="504">
        <v>0</v>
      </c>
      <c r="NP2" s="504">
        <v>0</v>
      </c>
      <c r="NQ2" s="504">
        <v>0</v>
      </c>
      <c r="NR2" s="504">
        <v>0</v>
      </c>
      <c r="NS2" s="504">
        <v>0</v>
      </c>
      <c r="NT2" s="504">
        <v>0</v>
      </c>
      <c r="NU2" s="504">
        <v>0</v>
      </c>
      <c r="NV2" s="504">
        <v>0</v>
      </c>
      <c r="NW2" s="504">
        <v>0</v>
      </c>
      <c r="NX2" s="504">
        <v>0</v>
      </c>
      <c r="NY2" s="504">
        <v>0</v>
      </c>
      <c r="NZ2" s="504">
        <v>0</v>
      </c>
      <c r="OA2" s="504">
        <v>0</v>
      </c>
      <c r="OB2" s="504">
        <v>0</v>
      </c>
      <c r="OC2" s="504">
        <v>0</v>
      </c>
      <c r="OD2" s="504">
        <v>0</v>
      </c>
      <c r="OE2" s="504">
        <v>0</v>
      </c>
      <c r="OF2" s="504">
        <v>0</v>
      </c>
      <c r="OG2" s="504">
        <v>0</v>
      </c>
      <c r="OH2" s="504">
        <v>0</v>
      </c>
      <c r="OI2" s="504">
        <v>0</v>
      </c>
      <c r="OJ2" s="504">
        <v>0</v>
      </c>
      <c r="OK2" s="504">
        <v>0</v>
      </c>
      <c r="OL2" s="504">
        <v>0</v>
      </c>
      <c r="OM2" s="504">
        <v>0</v>
      </c>
      <c r="ON2" s="504">
        <v>0</v>
      </c>
      <c r="OO2" s="504">
        <v>0</v>
      </c>
      <c r="OP2" s="504">
        <v>0</v>
      </c>
      <c r="OQ2" s="504">
        <v>0</v>
      </c>
      <c r="OR2" s="1656"/>
    </row>
    <row r="3" spans="1:408" ht="21.5">
      <c r="A3" s="1466" t="s">
        <v>1624</v>
      </c>
      <c r="B3" s="1583" t="s">
        <v>2358</v>
      </c>
      <c r="C3" s="1583" t="s">
        <v>14</v>
      </c>
      <c r="D3" s="1583">
        <v>26</v>
      </c>
      <c r="E3" s="504">
        <v>34</v>
      </c>
      <c r="F3" s="504">
        <v>145</v>
      </c>
      <c r="G3" s="504">
        <v>376</v>
      </c>
      <c r="H3" s="504">
        <v>591</v>
      </c>
      <c r="I3" s="504">
        <v>848</v>
      </c>
      <c r="J3" s="504">
        <v>1035</v>
      </c>
      <c r="K3" s="504">
        <v>1046</v>
      </c>
      <c r="L3" s="504">
        <v>1056</v>
      </c>
      <c r="M3" s="504">
        <v>1067</v>
      </c>
      <c r="N3" s="504">
        <v>1079</v>
      </c>
      <c r="O3" s="504">
        <v>1090</v>
      </c>
      <c r="P3" s="504">
        <v>1102</v>
      </c>
      <c r="Q3" s="504">
        <v>1115</v>
      </c>
      <c r="R3" s="504">
        <v>1127</v>
      </c>
      <c r="S3" s="504">
        <v>1140</v>
      </c>
      <c r="T3" s="504">
        <v>1154</v>
      </c>
      <c r="U3" s="504">
        <v>1167</v>
      </c>
      <c r="V3" s="504">
        <v>1181</v>
      </c>
      <c r="W3" s="504">
        <v>1196</v>
      </c>
      <c r="X3" s="504">
        <v>1210</v>
      </c>
      <c r="Y3" s="504">
        <v>1226</v>
      </c>
      <c r="Z3" s="504">
        <v>1241</v>
      </c>
      <c r="AA3" s="504">
        <v>1257</v>
      </c>
      <c r="AB3" s="504">
        <v>1273</v>
      </c>
      <c r="AC3" s="504">
        <v>1290</v>
      </c>
      <c r="AD3" s="504">
        <v>1307</v>
      </c>
      <c r="AE3" s="504">
        <v>1324</v>
      </c>
      <c r="AF3" s="504">
        <v>1342</v>
      </c>
      <c r="AG3" s="504">
        <v>1360</v>
      </c>
      <c r="AH3" s="504">
        <v>1379</v>
      </c>
      <c r="AI3" s="504">
        <v>1398</v>
      </c>
      <c r="AJ3" s="504">
        <v>1418</v>
      </c>
      <c r="AK3" s="504">
        <v>1438</v>
      </c>
      <c r="AL3" s="504">
        <v>1458</v>
      </c>
      <c r="AM3" s="504">
        <v>1479</v>
      </c>
      <c r="AN3" s="504">
        <v>1500</v>
      </c>
      <c r="AO3" s="504">
        <v>1522</v>
      </c>
      <c r="AP3" s="504">
        <v>1544</v>
      </c>
      <c r="AQ3" s="504">
        <v>1566</v>
      </c>
      <c r="AR3" s="504">
        <v>1589</v>
      </c>
      <c r="AS3" s="504">
        <v>1612</v>
      </c>
      <c r="AT3" s="504">
        <v>1636</v>
      </c>
      <c r="AU3" s="504">
        <v>1660</v>
      </c>
      <c r="AV3" s="504">
        <v>1684</v>
      </c>
      <c r="AW3" s="504">
        <v>1709</v>
      </c>
      <c r="AX3" s="504">
        <v>1735</v>
      </c>
      <c r="AY3" s="504">
        <v>1761</v>
      </c>
      <c r="AZ3" s="504">
        <v>1787</v>
      </c>
      <c r="BA3" s="504">
        <v>1815</v>
      </c>
      <c r="BB3" s="504">
        <v>1844</v>
      </c>
      <c r="BC3" s="504">
        <v>1874</v>
      </c>
      <c r="BD3" s="504">
        <v>1907</v>
      </c>
      <c r="BE3" s="504">
        <v>1942</v>
      </c>
      <c r="BF3" s="504">
        <v>2000</v>
      </c>
      <c r="BG3" s="504">
        <v>0</v>
      </c>
      <c r="BH3" s="504">
        <v>0</v>
      </c>
      <c r="BI3" s="504">
        <v>0</v>
      </c>
      <c r="BJ3" s="504">
        <v>0</v>
      </c>
      <c r="BK3" s="504">
        <v>0</v>
      </c>
      <c r="BL3" s="504">
        <v>0</v>
      </c>
      <c r="BM3" s="504">
        <v>0</v>
      </c>
      <c r="BN3" s="504">
        <v>0</v>
      </c>
      <c r="BO3" s="504">
        <v>0</v>
      </c>
      <c r="BP3" s="504">
        <v>0</v>
      </c>
      <c r="BQ3" s="504">
        <v>0</v>
      </c>
      <c r="BR3" s="504">
        <v>0</v>
      </c>
      <c r="BS3" s="504">
        <v>0</v>
      </c>
      <c r="BT3" s="504">
        <v>0</v>
      </c>
      <c r="BU3" s="504">
        <v>0</v>
      </c>
      <c r="BV3" s="504">
        <v>0</v>
      </c>
      <c r="BW3" s="504">
        <v>0</v>
      </c>
      <c r="BX3" s="504">
        <v>0</v>
      </c>
      <c r="BY3" s="504">
        <v>0</v>
      </c>
      <c r="BZ3" s="504">
        <v>0</v>
      </c>
      <c r="CA3" s="504">
        <v>0</v>
      </c>
      <c r="CB3" s="504">
        <v>0</v>
      </c>
      <c r="CC3" s="504">
        <v>0</v>
      </c>
      <c r="CD3" s="504">
        <v>0</v>
      </c>
      <c r="CE3" s="504">
        <v>0</v>
      </c>
      <c r="CF3" s="504">
        <v>0</v>
      </c>
      <c r="CG3" s="504">
        <v>0</v>
      </c>
      <c r="CH3" s="504">
        <v>0</v>
      </c>
      <c r="CI3" s="504">
        <v>0</v>
      </c>
      <c r="CJ3" s="504">
        <v>0</v>
      </c>
      <c r="CK3" s="504">
        <v>0</v>
      </c>
      <c r="CL3" s="504">
        <v>0</v>
      </c>
      <c r="CM3" s="504">
        <v>0</v>
      </c>
      <c r="CN3" s="504">
        <v>0</v>
      </c>
      <c r="CO3" s="504">
        <v>0</v>
      </c>
      <c r="CP3" s="504">
        <v>0</v>
      </c>
      <c r="CQ3" s="504">
        <v>0</v>
      </c>
      <c r="CR3" s="504">
        <v>0</v>
      </c>
      <c r="CS3" s="504">
        <v>0</v>
      </c>
      <c r="CT3" s="504">
        <v>0</v>
      </c>
      <c r="CU3" s="504">
        <v>0</v>
      </c>
      <c r="CV3" s="504">
        <v>0</v>
      </c>
      <c r="CW3" s="504">
        <v>0</v>
      </c>
      <c r="CX3" s="504">
        <v>0</v>
      </c>
      <c r="CY3" s="504">
        <v>0</v>
      </c>
      <c r="CZ3" s="1654">
        <v>0</v>
      </c>
      <c r="DA3" s="504">
        <v>0</v>
      </c>
      <c r="DB3" s="504">
        <v>139</v>
      </c>
      <c r="DC3" s="504">
        <v>578</v>
      </c>
      <c r="DD3" s="504">
        <v>1118</v>
      </c>
      <c r="DE3" s="504">
        <v>1326</v>
      </c>
      <c r="DF3" s="504">
        <v>1575</v>
      </c>
      <c r="DG3" s="504">
        <v>0</v>
      </c>
      <c r="DH3" s="504">
        <v>0</v>
      </c>
      <c r="DI3" s="504">
        <v>0</v>
      </c>
      <c r="DJ3" s="504">
        <v>0</v>
      </c>
      <c r="DK3" s="504">
        <v>0</v>
      </c>
      <c r="DL3" s="504">
        <v>0</v>
      </c>
      <c r="DM3" s="504">
        <v>0</v>
      </c>
      <c r="DN3" s="504">
        <v>0</v>
      </c>
      <c r="DO3" s="504">
        <v>0</v>
      </c>
      <c r="DP3" s="504">
        <v>0</v>
      </c>
      <c r="DQ3" s="504">
        <v>0</v>
      </c>
      <c r="DR3" s="504">
        <v>0</v>
      </c>
      <c r="DS3" s="504">
        <v>0</v>
      </c>
      <c r="DT3" s="504">
        <v>0</v>
      </c>
      <c r="DU3" s="504">
        <v>0</v>
      </c>
      <c r="DV3" s="504">
        <v>0</v>
      </c>
      <c r="DW3" s="504">
        <v>0</v>
      </c>
      <c r="DX3" s="504">
        <v>0</v>
      </c>
      <c r="DY3" s="504">
        <v>0</v>
      </c>
      <c r="DZ3" s="504">
        <v>0</v>
      </c>
      <c r="EA3" s="504">
        <v>0</v>
      </c>
      <c r="EB3" s="504">
        <v>0</v>
      </c>
      <c r="EC3" s="504">
        <v>0</v>
      </c>
      <c r="ED3" s="504">
        <v>0</v>
      </c>
      <c r="EE3" s="504">
        <v>0</v>
      </c>
      <c r="EF3" s="504">
        <v>0</v>
      </c>
      <c r="EG3" s="504">
        <v>0</v>
      </c>
      <c r="EH3" s="504">
        <v>0</v>
      </c>
      <c r="EI3" s="504">
        <v>0</v>
      </c>
      <c r="EJ3" s="504">
        <v>0</v>
      </c>
      <c r="EK3" s="504">
        <v>0</v>
      </c>
      <c r="EL3" s="504">
        <v>0</v>
      </c>
      <c r="EM3" s="504">
        <v>0</v>
      </c>
      <c r="EN3" s="504">
        <v>0</v>
      </c>
      <c r="EO3" s="504">
        <v>0</v>
      </c>
      <c r="EP3" s="504">
        <v>0</v>
      </c>
      <c r="EQ3" s="504">
        <v>0</v>
      </c>
      <c r="ER3" s="504">
        <v>0</v>
      </c>
      <c r="ES3" s="504">
        <v>0</v>
      </c>
      <c r="ET3" s="504">
        <v>0</v>
      </c>
      <c r="EU3" s="504">
        <v>0</v>
      </c>
      <c r="EV3" s="504">
        <v>0</v>
      </c>
      <c r="EW3" s="504">
        <v>0</v>
      </c>
      <c r="EX3" s="504">
        <v>0</v>
      </c>
      <c r="EY3" s="504">
        <v>0</v>
      </c>
      <c r="EZ3" s="504">
        <v>0</v>
      </c>
      <c r="FA3" s="504">
        <v>0</v>
      </c>
      <c r="FB3" s="504">
        <v>0</v>
      </c>
      <c r="FC3" s="504">
        <v>0</v>
      </c>
      <c r="FD3" s="504">
        <v>0</v>
      </c>
      <c r="FE3" s="504">
        <v>0</v>
      </c>
      <c r="FF3" s="504">
        <v>0</v>
      </c>
      <c r="FG3" s="504">
        <v>0</v>
      </c>
      <c r="FH3" s="504">
        <v>0</v>
      </c>
      <c r="FI3" s="504">
        <v>0</v>
      </c>
      <c r="FJ3" s="504">
        <v>0</v>
      </c>
      <c r="FK3" s="504">
        <v>0</v>
      </c>
      <c r="FL3" s="504">
        <v>0</v>
      </c>
      <c r="FM3" s="504">
        <v>0</v>
      </c>
      <c r="FN3" s="504">
        <v>0</v>
      </c>
      <c r="FO3" s="504">
        <v>0</v>
      </c>
      <c r="FP3" s="504">
        <v>0</v>
      </c>
      <c r="FQ3" s="504">
        <v>0</v>
      </c>
      <c r="FR3" s="504">
        <v>0</v>
      </c>
      <c r="FS3" s="504">
        <v>0</v>
      </c>
      <c r="FT3" s="504">
        <v>0</v>
      </c>
      <c r="FU3" s="504">
        <v>0</v>
      </c>
      <c r="FV3" s="504">
        <v>0</v>
      </c>
      <c r="FW3" s="504">
        <v>0</v>
      </c>
      <c r="FX3" s="504">
        <v>0</v>
      </c>
      <c r="FY3" s="504">
        <v>0</v>
      </c>
      <c r="FZ3" s="504">
        <v>0</v>
      </c>
      <c r="GA3" s="504">
        <v>0</v>
      </c>
      <c r="GB3" s="504">
        <v>0</v>
      </c>
      <c r="GC3" s="504">
        <v>0</v>
      </c>
      <c r="GD3" s="504">
        <v>0</v>
      </c>
      <c r="GE3" s="504">
        <v>0</v>
      </c>
      <c r="GF3" s="504">
        <v>0</v>
      </c>
      <c r="GG3" s="504">
        <v>0</v>
      </c>
      <c r="GH3" s="504">
        <v>0</v>
      </c>
      <c r="GI3" s="504">
        <v>0</v>
      </c>
      <c r="GJ3" s="504">
        <v>0</v>
      </c>
      <c r="GK3" s="504">
        <v>0</v>
      </c>
      <c r="GL3" s="504">
        <v>0</v>
      </c>
      <c r="GM3" s="504">
        <v>0</v>
      </c>
      <c r="GN3" s="504">
        <v>0</v>
      </c>
      <c r="GO3" s="504">
        <v>0</v>
      </c>
      <c r="GP3" s="504">
        <v>0</v>
      </c>
      <c r="GQ3" s="504">
        <v>0</v>
      </c>
      <c r="GR3" s="504">
        <v>0</v>
      </c>
      <c r="GS3" s="504">
        <v>0</v>
      </c>
      <c r="GT3" s="504">
        <v>0</v>
      </c>
      <c r="GU3" s="504">
        <v>0</v>
      </c>
      <c r="GV3" s="504">
        <v>0</v>
      </c>
      <c r="GW3" s="1654">
        <v>0</v>
      </c>
      <c r="GX3" s="504">
        <v>0</v>
      </c>
      <c r="GY3" s="504">
        <v>31068</v>
      </c>
      <c r="GZ3" s="504">
        <v>50168</v>
      </c>
      <c r="HA3" s="504">
        <v>51000</v>
      </c>
      <c r="HB3" s="504">
        <v>50000</v>
      </c>
      <c r="HC3" s="504">
        <v>49000</v>
      </c>
      <c r="HD3" s="504">
        <v>0</v>
      </c>
      <c r="HE3" s="504">
        <v>0</v>
      </c>
      <c r="HF3" s="504">
        <v>0</v>
      </c>
      <c r="HG3" s="504">
        <v>0</v>
      </c>
      <c r="HH3" s="504">
        <v>0</v>
      </c>
      <c r="HI3" s="504">
        <v>0</v>
      </c>
      <c r="HJ3" s="504">
        <v>0</v>
      </c>
      <c r="HK3" s="504">
        <v>0</v>
      </c>
      <c r="HL3" s="504">
        <v>0</v>
      </c>
      <c r="HM3" s="504">
        <v>0</v>
      </c>
      <c r="HN3" s="504">
        <v>0</v>
      </c>
      <c r="HO3" s="504">
        <v>0</v>
      </c>
      <c r="HP3" s="504">
        <v>0</v>
      </c>
      <c r="HQ3" s="504">
        <v>0</v>
      </c>
      <c r="HR3" s="504">
        <v>0</v>
      </c>
      <c r="HS3" s="504">
        <v>0</v>
      </c>
      <c r="HT3" s="504">
        <v>0</v>
      </c>
      <c r="HU3" s="504">
        <v>0</v>
      </c>
      <c r="HV3" s="504">
        <v>0</v>
      </c>
      <c r="HW3" s="504">
        <v>0</v>
      </c>
      <c r="HX3" s="504">
        <v>0</v>
      </c>
      <c r="HY3" s="504">
        <v>0</v>
      </c>
      <c r="HZ3" s="504">
        <v>0</v>
      </c>
      <c r="IA3" s="504">
        <v>0</v>
      </c>
      <c r="IB3" s="504">
        <v>0</v>
      </c>
      <c r="IC3" s="504">
        <v>0</v>
      </c>
      <c r="ID3" s="504">
        <v>0</v>
      </c>
      <c r="IE3" s="504">
        <v>0</v>
      </c>
      <c r="IF3" s="504">
        <v>0</v>
      </c>
      <c r="IG3" s="504">
        <v>0</v>
      </c>
      <c r="IH3" s="504">
        <v>0</v>
      </c>
      <c r="II3" s="504">
        <v>0</v>
      </c>
      <c r="IJ3" s="504">
        <v>0</v>
      </c>
      <c r="IK3" s="504">
        <v>0</v>
      </c>
      <c r="IL3" s="504">
        <v>0</v>
      </c>
      <c r="IM3" s="504">
        <v>0</v>
      </c>
      <c r="IN3" s="504">
        <v>0</v>
      </c>
      <c r="IO3" s="504">
        <v>0</v>
      </c>
      <c r="IP3" s="504">
        <v>0</v>
      </c>
      <c r="IQ3" s="504">
        <v>0</v>
      </c>
      <c r="IR3" s="504">
        <v>0</v>
      </c>
      <c r="IS3" s="504">
        <v>0</v>
      </c>
      <c r="IT3" s="504">
        <v>0</v>
      </c>
      <c r="IU3" s="504">
        <v>0</v>
      </c>
      <c r="IV3" s="504">
        <v>0</v>
      </c>
      <c r="IW3" s="504">
        <v>0</v>
      </c>
      <c r="IX3" s="504">
        <v>0</v>
      </c>
      <c r="IY3" s="504">
        <v>0</v>
      </c>
      <c r="IZ3" s="504">
        <v>0</v>
      </c>
      <c r="JA3" s="504">
        <v>0</v>
      </c>
      <c r="JB3" s="504">
        <v>0</v>
      </c>
      <c r="JC3" s="504">
        <v>0</v>
      </c>
      <c r="JD3" s="504">
        <v>0</v>
      </c>
      <c r="JE3" s="504">
        <v>0</v>
      </c>
      <c r="JF3" s="504">
        <v>0</v>
      </c>
      <c r="JG3" s="504">
        <v>0</v>
      </c>
      <c r="JH3" s="504">
        <v>0</v>
      </c>
      <c r="JI3" s="504">
        <v>0</v>
      </c>
      <c r="JJ3" s="504">
        <v>0</v>
      </c>
      <c r="JK3" s="504">
        <v>0</v>
      </c>
      <c r="JL3" s="504">
        <v>0</v>
      </c>
      <c r="JM3" s="504">
        <v>0</v>
      </c>
      <c r="JN3" s="504">
        <v>0</v>
      </c>
      <c r="JO3" s="504">
        <v>0</v>
      </c>
      <c r="JP3" s="504">
        <v>0</v>
      </c>
      <c r="JQ3" s="504">
        <v>0</v>
      </c>
      <c r="JR3" s="504">
        <v>0</v>
      </c>
      <c r="JS3" s="504">
        <v>0</v>
      </c>
      <c r="JT3" s="504">
        <v>0</v>
      </c>
      <c r="JU3" s="504">
        <v>0</v>
      </c>
      <c r="JV3" s="504">
        <v>0</v>
      </c>
      <c r="JW3" s="504">
        <v>0</v>
      </c>
      <c r="JX3" s="504">
        <v>0</v>
      </c>
      <c r="JY3" s="504">
        <v>0</v>
      </c>
      <c r="JZ3" s="504">
        <v>0</v>
      </c>
      <c r="KA3" s="504">
        <v>0</v>
      </c>
      <c r="KB3" s="504">
        <v>0</v>
      </c>
      <c r="KC3" s="504">
        <v>0</v>
      </c>
      <c r="KD3" s="504">
        <v>0</v>
      </c>
      <c r="KE3" s="504">
        <v>0</v>
      </c>
      <c r="KF3" s="504">
        <v>0</v>
      </c>
      <c r="KG3" s="504">
        <v>0</v>
      </c>
      <c r="KH3" s="504">
        <v>0</v>
      </c>
      <c r="KI3" s="504">
        <v>0</v>
      </c>
      <c r="KJ3" s="504">
        <v>0</v>
      </c>
      <c r="KK3" s="504">
        <v>0</v>
      </c>
      <c r="KL3" s="504">
        <v>0</v>
      </c>
      <c r="KM3" s="504">
        <v>0</v>
      </c>
      <c r="KN3" s="504">
        <v>0</v>
      </c>
      <c r="KO3" s="504">
        <v>0</v>
      </c>
      <c r="KP3" s="504">
        <v>0</v>
      </c>
      <c r="KQ3" s="504">
        <v>0</v>
      </c>
      <c r="KR3" s="504">
        <v>0</v>
      </c>
      <c r="KS3" s="504">
        <v>0</v>
      </c>
      <c r="KT3" s="1654">
        <v>0</v>
      </c>
      <c r="KU3" s="504">
        <v>0</v>
      </c>
      <c r="KV3" s="504">
        <v>0</v>
      </c>
      <c r="KW3" s="504">
        <v>0</v>
      </c>
      <c r="KX3" s="504">
        <v>1108</v>
      </c>
      <c r="KY3" s="504">
        <v>1316</v>
      </c>
      <c r="KZ3" s="504">
        <v>1565</v>
      </c>
      <c r="LA3" s="504">
        <v>0</v>
      </c>
      <c r="LB3" s="504">
        <v>0</v>
      </c>
      <c r="LC3" s="504">
        <v>0</v>
      </c>
      <c r="LD3" s="504">
        <v>0</v>
      </c>
      <c r="LE3" s="504">
        <v>0</v>
      </c>
      <c r="LF3" s="504">
        <v>0</v>
      </c>
      <c r="LG3" s="504">
        <v>0</v>
      </c>
      <c r="LH3" s="504">
        <v>0</v>
      </c>
      <c r="LI3" s="504">
        <v>0</v>
      </c>
      <c r="LJ3" s="504">
        <v>0</v>
      </c>
      <c r="LK3" s="504">
        <v>0</v>
      </c>
      <c r="LL3" s="504">
        <v>0</v>
      </c>
      <c r="LM3" s="504">
        <v>0</v>
      </c>
      <c r="LN3" s="504">
        <v>0</v>
      </c>
      <c r="LO3" s="504">
        <v>0</v>
      </c>
      <c r="LP3" s="504">
        <v>0</v>
      </c>
      <c r="LQ3" s="504">
        <v>0</v>
      </c>
      <c r="LR3" s="504">
        <v>0</v>
      </c>
      <c r="LS3" s="504">
        <v>0</v>
      </c>
      <c r="LT3" s="504">
        <v>0</v>
      </c>
      <c r="LU3" s="504">
        <v>0</v>
      </c>
      <c r="LV3" s="504">
        <v>0</v>
      </c>
      <c r="LW3" s="504">
        <v>0</v>
      </c>
      <c r="LX3" s="504">
        <v>0</v>
      </c>
      <c r="LY3" s="504">
        <v>0</v>
      </c>
      <c r="LZ3" s="504">
        <v>0</v>
      </c>
      <c r="MA3" s="504">
        <v>0</v>
      </c>
      <c r="MB3" s="504">
        <v>0</v>
      </c>
      <c r="MC3" s="504">
        <v>0</v>
      </c>
      <c r="MD3" s="504">
        <v>0</v>
      </c>
      <c r="ME3" s="504">
        <v>0</v>
      </c>
      <c r="MF3" s="504">
        <v>0</v>
      </c>
      <c r="MG3" s="504">
        <v>0</v>
      </c>
      <c r="MH3" s="504">
        <v>0</v>
      </c>
      <c r="MI3" s="504">
        <v>0</v>
      </c>
      <c r="MJ3" s="504">
        <v>0</v>
      </c>
      <c r="MK3" s="504">
        <v>0</v>
      </c>
      <c r="ML3" s="504">
        <v>0</v>
      </c>
      <c r="MM3" s="504">
        <v>0</v>
      </c>
      <c r="MN3" s="504">
        <v>0</v>
      </c>
      <c r="MO3" s="504">
        <v>0</v>
      </c>
      <c r="MP3" s="504">
        <v>0</v>
      </c>
      <c r="MQ3" s="504">
        <v>0</v>
      </c>
      <c r="MR3" s="504">
        <v>0</v>
      </c>
      <c r="MS3" s="504">
        <v>0</v>
      </c>
      <c r="MT3" s="504">
        <v>0</v>
      </c>
      <c r="MU3" s="504">
        <v>0</v>
      </c>
      <c r="MV3" s="504">
        <v>0</v>
      </c>
      <c r="MW3" s="504">
        <v>0</v>
      </c>
      <c r="MX3" s="504">
        <v>0</v>
      </c>
      <c r="MY3" s="504">
        <v>0</v>
      </c>
      <c r="MZ3" s="504">
        <v>0</v>
      </c>
      <c r="NA3" s="504">
        <v>0</v>
      </c>
      <c r="NB3" s="504">
        <v>0</v>
      </c>
      <c r="NC3" s="504">
        <v>0</v>
      </c>
      <c r="ND3" s="504">
        <v>0</v>
      </c>
      <c r="NE3" s="504">
        <v>0</v>
      </c>
      <c r="NF3" s="504">
        <v>0</v>
      </c>
      <c r="NG3" s="504">
        <v>0</v>
      </c>
      <c r="NH3" s="504">
        <v>0</v>
      </c>
      <c r="NI3" s="504">
        <v>0</v>
      </c>
      <c r="NJ3" s="504">
        <v>0</v>
      </c>
      <c r="NK3" s="504">
        <v>0</v>
      </c>
      <c r="NL3" s="504">
        <v>0</v>
      </c>
      <c r="NM3" s="504">
        <v>0</v>
      </c>
      <c r="NN3" s="504">
        <v>0</v>
      </c>
      <c r="NO3" s="504">
        <v>0</v>
      </c>
      <c r="NP3" s="504">
        <v>0</v>
      </c>
      <c r="NQ3" s="504">
        <v>0</v>
      </c>
      <c r="NR3" s="504">
        <v>0</v>
      </c>
      <c r="NS3" s="504">
        <v>0</v>
      </c>
      <c r="NT3" s="504">
        <v>0</v>
      </c>
      <c r="NU3" s="504">
        <v>0</v>
      </c>
      <c r="NV3" s="504">
        <v>0</v>
      </c>
      <c r="NW3" s="504">
        <v>0</v>
      </c>
      <c r="NX3" s="504">
        <v>0</v>
      </c>
      <c r="NY3" s="504">
        <v>0</v>
      </c>
      <c r="NZ3" s="504">
        <v>0</v>
      </c>
      <c r="OA3" s="504">
        <v>0</v>
      </c>
      <c r="OB3" s="504">
        <v>0</v>
      </c>
      <c r="OC3" s="504">
        <v>0</v>
      </c>
      <c r="OD3" s="504">
        <v>0</v>
      </c>
      <c r="OE3" s="504">
        <v>0</v>
      </c>
      <c r="OF3" s="504">
        <v>0</v>
      </c>
      <c r="OG3" s="504">
        <v>0</v>
      </c>
      <c r="OH3" s="504">
        <v>0</v>
      </c>
      <c r="OI3" s="504">
        <v>0</v>
      </c>
      <c r="OJ3" s="504">
        <v>0</v>
      </c>
      <c r="OK3" s="504">
        <v>0</v>
      </c>
      <c r="OL3" s="504">
        <v>0</v>
      </c>
      <c r="OM3" s="504">
        <v>0</v>
      </c>
      <c r="ON3" s="504">
        <v>0</v>
      </c>
      <c r="OO3" s="504">
        <v>0</v>
      </c>
      <c r="OP3" s="504">
        <v>0</v>
      </c>
      <c r="OQ3" s="504">
        <v>0</v>
      </c>
      <c r="OR3" s="1656"/>
    </row>
    <row r="4" spans="1:408" ht="21.5">
      <c r="A4" s="1466" t="s">
        <v>1625</v>
      </c>
      <c r="B4" s="1583" t="s">
        <v>2358</v>
      </c>
      <c r="C4" s="1583" t="s">
        <v>14</v>
      </c>
      <c r="D4" s="1583">
        <v>27</v>
      </c>
      <c r="E4" s="504">
        <v>35</v>
      </c>
      <c r="F4" s="504">
        <v>147</v>
      </c>
      <c r="G4" s="504">
        <v>380</v>
      </c>
      <c r="H4" s="504">
        <v>597</v>
      </c>
      <c r="I4" s="504">
        <v>856</v>
      </c>
      <c r="J4" s="504">
        <v>1046</v>
      </c>
      <c r="K4" s="504">
        <v>1056</v>
      </c>
      <c r="L4" s="504">
        <v>1067</v>
      </c>
      <c r="M4" s="504">
        <v>1079</v>
      </c>
      <c r="N4" s="504">
        <v>1090</v>
      </c>
      <c r="O4" s="504">
        <v>1102</v>
      </c>
      <c r="P4" s="504">
        <v>1115</v>
      </c>
      <c r="Q4" s="504">
        <v>1127</v>
      </c>
      <c r="R4" s="504">
        <v>1140</v>
      </c>
      <c r="S4" s="504">
        <v>1154</v>
      </c>
      <c r="T4" s="504">
        <v>1167</v>
      </c>
      <c r="U4" s="504">
        <v>1181</v>
      </c>
      <c r="V4" s="504">
        <v>1196</v>
      </c>
      <c r="W4" s="504">
        <v>1210</v>
      </c>
      <c r="X4" s="504">
        <v>1226</v>
      </c>
      <c r="Y4" s="504">
        <v>1241</v>
      </c>
      <c r="Z4" s="504">
        <v>1257</v>
      </c>
      <c r="AA4" s="504">
        <v>1273</v>
      </c>
      <c r="AB4" s="504">
        <v>1290</v>
      </c>
      <c r="AC4" s="504">
        <v>1307</v>
      </c>
      <c r="AD4" s="504">
        <v>1324</v>
      </c>
      <c r="AE4" s="504">
        <v>1342</v>
      </c>
      <c r="AF4" s="504">
        <v>1360</v>
      </c>
      <c r="AG4" s="504">
        <v>1379</v>
      </c>
      <c r="AH4" s="504">
        <v>1398</v>
      </c>
      <c r="AI4" s="504">
        <v>1418</v>
      </c>
      <c r="AJ4" s="504">
        <v>1438</v>
      </c>
      <c r="AK4" s="504">
        <v>1458</v>
      </c>
      <c r="AL4" s="504">
        <v>1479</v>
      </c>
      <c r="AM4" s="504">
        <v>1500</v>
      </c>
      <c r="AN4" s="504">
        <v>1522</v>
      </c>
      <c r="AO4" s="504">
        <v>1544</v>
      </c>
      <c r="AP4" s="504">
        <v>1566</v>
      </c>
      <c r="AQ4" s="504">
        <v>1589</v>
      </c>
      <c r="AR4" s="504">
        <v>1612</v>
      </c>
      <c r="AS4" s="504">
        <v>1636</v>
      </c>
      <c r="AT4" s="504">
        <v>1660</v>
      </c>
      <c r="AU4" s="504">
        <v>1684</v>
      </c>
      <c r="AV4" s="504">
        <v>1709</v>
      </c>
      <c r="AW4" s="504">
        <v>1735</v>
      </c>
      <c r="AX4" s="504">
        <v>1761</v>
      </c>
      <c r="AY4" s="504">
        <v>1787</v>
      </c>
      <c r="AZ4" s="504">
        <v>1815</v>
      </c>
      <c r="BA4" s="504">
        <v>1844</v>
      </c>
      <c r="BB4" s="504">
        <v>1874</v>
      </c>
      <c r="BC4" s="504">
        <v>1907</v>
      </c>
      <c r="BD4" s="504">
        <v>1942</v>
      </c>
      <c r="BE4" s="504">
        <v>2000</v>
      </c>
      <c r="BF4" s="504">
        <v>0</v>
      </c>
      <c r="BG4" s="504">
        <v>0</v>
      </c>
      <c r="BH4" s="504">
        <v>0</v>
      </c>
      <c r="BI4" s="504">
        <v>0</v>
      </c>
      <c r="BJ4" s="504">
        <v>0</v>
      </c>
      <c r="BK4" s="504">
        <v>0</v>
      </c>
      <c r="BL4" s="504">
        <v>0</v>
      </c>
      <c r="BM4" s="504">
        <v>0</v>
      </c>
      <c r="BN4" s="504">
        <v>0</v>
      </c>
      <c r="BO4" s="504">
        <v>0</v>
      </c>
      <c r="BP4" s="504">
        <v>0</v>
      </c>
      <c r="BQ4" s="504">
        <v>0</v>
      </c>
      <c r="BR4" s="504">
        <v>0</v>
      </c>
      <c r="BS4" s="504">
        <v>0</v>
      </c>
      <c r="BT4" s="504">
        <v>0</v>
      </c>
      <c r="BU4" s="504">
        <v>0</v>
      </c>
      <c r="BV4" s="504">
        <v>0</v>
      </c>
      <c r="BW4" s="504">
        <v>0</v>
      </c>
      <c r="BX4" s="504">
        <v>0</v>
      </c>
      <c r="BY4" s="504">
        <v>0</v>
      </c>
      <c r="BZ4" s="504">
        <v>0</v>
      </c>
      <c r="CA4" s="504">
        <v>0</v>
      </c>
      <c r="CB4" s="504">
        <v>0</v>
      </c>
      <c r="CC4" s="504">
        <v>0</v>
      </c>
      <c r="CD4" s="504">
        <v>0</v>
      </c>
      <c r="CE4" s="504">
        <v>0</v>
      </c>
      <c r="CF4" s="504">
        <v>0</v>
      </c>
      <c r="CG4" s="504">
        <v>0</v>
      </c>
      <c r="CH4" s="504">
        <v>0</v>
      </c>
      <c r="CI4" s="504">
        <v>0</v>
      </c>
      <c r="CJ4" s="504">
        <v>0</v>
      </c>
      <c r="CK4" s="504">
        <v>0</v>
      </c>
      <c r="CL4" s="504">
        <v>0</v>
      </c>
      <c r="CM4" s="504">
        <v>0</v>
      </c>
      <c r="CN4" s="504">
        <v>0</v>
      </c>
      <c r="CO4" s="504">
        <v>0</v>
      </c>
      <c r="CP4" s="504">
        <v>0</v>
      </c>
      <c r="CQ4" s="504">
        <v>0</v>
      </c>
      <c r="CR4" s="504">
        <v>0</v>
      </c>
      <c r="CS4" s="504">
        <v>0</v>
      </c>
      <c r="CT4" s="504">
        <v>0</v>
      </c>
      <c r="CU4" s="504">
        <v>0</v>
      </c>
      <c r="CV4" s="504">
        <v>0</v>
      </c>
      <c r="CW4" s="504">
        <v>0</v>
      </c>
      <c r="CX4" s="504">
        <v>0</v>
      </c>
      <c r="CY4" s="504">
        <v>0</v>
      </c>
      <c r="CZ4" s="1654">
        <v>0</v>
      </c>
      <c r="DA4" s="504">
        <v>0</v>
      </c>
      <c r="DB4" s="504">
        <v>140</v>
      </c>
      <c r="DC4" s="504">
        <v>570</v>
      </c>
      <c r="DD4" s="504">
        <v>1115</v>
      </c>
      <c r="DE4" s="504">
        <v>1324</v>
      </c>
      <c r="DF4" s="504">
        <v>1576</v>
      </c>
      <c r="DG4" s="504">
        <v>0</v>
      </c>
      <c r="DH4" s="504">
        <v>0</v>
      </c>
      <c r="DI4" s="504">
        <v>0</v>
      </c>
      <c r="DJ4" s="504">
        <v>0</v>
      </c>
      <c r="DK4" s="504">
        <v>0</v>
      </c>
      <c r="DL4" s="504">
        <v>0</v>
      </c>
      <c r="DM4" s="504">
        <v>0</v>
      </c>
      <c r="DN4" s="504">
        <v>0</v>
      </c>
      <c r="DO4" s="504">
        <v>0</v>
      </c>
      <c r="DP4" s="504">
        <v>0</v>
      </c>
      <c r="DQ4" s="504">
        <v>0</v>
      </c>
      <c r="DR4" s="504">
        <v>0</v>
      </c>
      <c r="DS4" s="504">
        <v>0</v>
      </c>
      <c r="DT4" s="504">
        <v>0</v>
      </c>
      <c r="DU4" s="504">
        <v>0</v>
      </c>
      <c r="DV4" s="504">
        <v>0</v>
      </c>
      <c r="DW4" s="504">
        <v>0</v>
      </c>
      <c r="DX4" s="504">
        <v>0</v>
      </c>
      <c r="DY4" s="504">
        <v>0</v>
      </c>
      <c r="DZ4" s="504">
        <v>0</v>
      </c>
      <c r="EA4" s="504">
        <v>0</v>
      </c>
      <c r="EB4" s="504">
        <v>0</v>
      </c>
      <c r="EC4" s="504">
        <v>0</v>
      </c>
      <c r="ED4" s="504">
        <v>0</v>
      </c>
      <c r="EE4" s="504">
        <v>0</v>
      </c>
      <c r="EF4" s="504">
        <v>0</v>
      </c>
      <c r="EG4" s="504">
        <v>0</v>
      </c>
      <c r="EH4" s="504">
        <v>0</v>
      </c>
      <c r="EI4" s="504">
        <v>0</v>
      </c>
      <c r="EJ4" s="504">
        <v>0</v>
      </c>
      <c r="EK4" s="504">
        <v>0</v>
      </c>
      <c r="EL4" s="504">
        <v>0</v>
      </c>
      <c r="EM4" s="504">
        <v>0</v>
      </c>
      <c r="EN4" s="504">
        <v>0</v>
      </c>
      <c r="EO4" s="504">
        <v>0</v>
      </c>
      <c r="EP4" s="504">
        <v>0</v>
      </c>
      <c r="EQ4" s="504">
        <v>0</v>
      </c>
      <c r="ER4" s="504">
        <v>0</v>
      </c>
      <c r="ES4" s="504">
        <v>0</v>
      </c>
      <c r="ET4" s="504">
        <v>0</v>
      </c>
      <c r="EU4" s="504">
        <v>0</v>
      </c>
      <c r="EV4" s="504">
        <v>0</v>
      </c>
      <c r="EW4" s="504">
        <v>0</v>
      </c>
      <c r="EX4" s="504">
        <v>0</v>
      </c>
      <c r="EY4" s="504">
        <v>0</v>
      </c>
      <c r="EZ4" s="504">
        <v>0</v>
      </c>
      <c r="FA4" s="504">
        <v>0</v>
      </c>
      <c r="FB4" s="504">
        <v>0</v>
      </c>
      <c r="FC4" s="504">
        <v>0</v>
      </c>
      <c r="FD4" s="504">
        <v>0</v>
      </c>
      <c r="FE4" s="504">
        <v>0</v>
      </c>
      <c r="FF4" s="504">
        <v>0</v>
      </c>
      <c r="FG4" s="504">
        <v>0</v>
      </c>
      <c r="FH4" s="504">
        <v>0</v>
      </c>
      <c r="FI4" s="504">
        <v>0</v>
      </c>
      <c r="FJ4" s="504">
        <v>0</v>
      </c>
      <c r="FK4" s="504">
        <v>0</v>
      </c>
      <c r="FL4" s="504">
        <v>0</v>
      </c>
      <c r="FM4" s="504">
        <v>0</v>
      </c>
      <c r="FN4" s="504">
        <v>0</v>
      </c>
      <c r="FO4" s="504">
        <v>0</v>
      </c>
      <c r="FP4" s="504">
        <v>0</v>
      </c>
      <c r="FQ4" s="504">
        <v>0</v>
      </c>
      <c r="FR4" s="504">
        <v>0</v>
      </c>
      <c r="FS4" s="504">
        <v>0</v>
      </c>
      <c r="FT4" s="504">
        <v>0</v>
      </c>
      <c r="FU4" s="504">
        <v>0</v>
      </c>
      <c r="FV4" s="504">
        <v>0</v>
      </c>
      <c r="FW4" s="504">
        <v>0</v>
      </c>
      <c r="FX4" s="504">
        <v>0</v>
      </c>
      <c r="FY4" s="504">
        <v>0</v>
      </c>
      <c r="FZ4" s="504">
        <v>0</v>
      </c>
      <c r="GA4" s="504">
        <v>0</v>
      </c>
      <c r="GB4" s="504">
        <v>0</v>
      </c>
      <c r="GC4" s="504">
        <v>0</v>
      </c>
      <c r="GD4" s="504">
        <v>0</v>
      </c>
      <c r="GE4" s="504">
        <v>0</v>
      </c>
      <c r="GF4" s="504">
        <v>0</v>
      </c>
      <c r="GG4" s="504">
        <v>0</v>
      </c>
      <c r="GH4" s="504">
        <v>0</v>
      </c>
      <c r="GI4" s="504">
        <v>0</v>
      </c>
      <c r="GJ4" s="504">
        <v>0</v>
      </c>
      <c r="GK4" s="504">
        <v>0</v>
      </c>
      <c r="GL4" s="504">
        <v>0</v>
      </c>
      <c r="GM4" s="504">
        <v>0</v>
      </c>
      <c r="GN4" s="504">
        <v>0</v>
      </c>
      <c r="GO4" s="504">
        <v>0</v>
      </c>
      <c r="GP4" s="504">
        <v>0</v>
      </c>
      <c r="GQ4" s="504">
        <v>0</v>
      </c>
      <c r="GR4" s="504">
        <v>0</v>
      </c>
      <c r="GS4" s="504">
        <v>0</v>
      </c>
      <c r="GT4" s="504">
        <v>0</v>
      </c>
      <c r="GU4" s="504">
        <v>0</v>
      </c>
      <c r="GV4" s="504">
        <v>0</v>
      </c>
      <c r="GW4" s="1654">
        <v>0</v>
      </c>
      <c r="GX4" s="504">
        <v>0</v>
      </c>
      <c r="GY4" s="504">
        <v>30171</v>
      </c>
      <c r="GZ4" s="504">
        <v>49102</v>
      </c>
      <c r="HA4" s="504">
        <v>50000</v>
      </c>
      <c r="HB4" s="504">
        <v>49000</v>
      </c>
      <c r="HC4" s="504">
        <v>48000</v>
      </c>
      <c r="HD4" s="504">
        <v>0</v>
      </c>
      <c r="HE4" s="504">
        <v>0</v>
      </c>
      <c r="HF4" s="504">
        <v>0</v>
      </c>
      <c r="HG4" s="504">
        <v>0</v>
      </c>
      <c r="HH4" s="504">
        <v>0</v>
      </c>
      <c r="HI4" s="504">
        <v>0</v>
      </c>
      <c r="HJ4" s="504">
        <v>0</v>
      </c>
      <c r="HK4" s="504">
        <v>0</v>
      </c>
      <c r="HL4" s="504">
        <v>0</v>
      </c>
      <c r="HM4" s="504">
        <v>0</v>
      </c>
      <c r="HN4" s="504">
        <v>0</v>
      </c>
      <c r="HO4" s="504">
        <v>0</v>
      </c>
      <c r="HP4" s="504">
        <v>0</v>
      </c>
      <c r="HQ4" s="504">
        <v>0</v>
      </c>
      <c r="HR4" s="504">
        <v>0</v>
      </c>
      <c r="HS4" s="504">
        <v>0</v>
      </c>
      <c r="HT4" s="504">
        <v>0</v>
      </c>
      <c r="HU4" s="504">
        <v>0</v>
      </c>
      <c r="HV4" s="504">
        <v>0</v>
      </c>
      <c r="HW4" s="504">
        <v>0</v>
      </c>
      <c r="HX4" s="504">
        <v>0</v>
      </c>
      <c r="HY4" s="504">
        <v>0</v>
      </c>
      <c r="HZ4" s="504">
        <v>0</v>
      </c>
      <c r="IA4" s="504">
        <v>0</v>
      </c>
      <c r="IB4" s="504">
        <v>0</v>
      </c>
      <c r="IC4" s="504">
        <v>0</v>
      </c>
      <c r="ID4" s="504">
        <v>0</v>
      </c>
      <c r="IE4" s="504">
        <v>0</v>
      </c>
      <c r="IF4" s="504">
        <v>0</v>
      </c>
      <c r="IG4" s="504">
        <v>0</v>
      </c>
      <c r="IH4" s="504">
        <v>0</v>
      </c>
      <c r="II4" s="504">
        <v>0</v>
      </c>
      <c r="IJ4" s="504">
        <v>0</v>
      </c>
      <c r="IK4" s="504">
        <v>0</v>
      </c>
      <c r="IL4" s="504">
        <v>0</v>
      </c>
      <c r="IM4" s="504">
        <v>0</v>
      </c>
      <c r="IN4" s="504">
        <v>0</v>
      </c>
      <c r="IO4" s="504">
        <v>0</v>
      </c>
      <c r="IP4" s="504">
        <v>0</v>
      </c>
      <c r="IQ4" s="504">
        <v>0</v>
      </c>
      <c r="IR4" s="504">
        <v>0</v>
      </c>
      <c r="IS4" s="504">
        <v>0</v>
      </c>
      <c r="IT4" s="504">
        <v>0</v>
      </c>
      <c r="IU4" s="504">
        <v>0</v>
      </c>
      <c r="IV4" s="504">
        <v>0</v>
      </c>
      <c r="IW4" s="504">
        <v>0</v>
      </c>
      <c r="IX4" s="504">
        <v>0</v>
      </c>
      <c r="IY4" s="504">
        <v>0</v>
      </c>
      <c r="IZ4" s="504">
        <v>0</v>
      </c>
      <c r="JA4" s="504">
        <v>0</v>
      </c>
      <c r="JB4" s="504">
        <v>0</v>
      </c>
      <c r="JC4" s="504">
        <v>0</v>
      </c>
      <c r="JD4" s="504">
        <v>0</v>
      </c>
      <c r="JE4" s="504">
        <v>0</v>
      </c>
      <c r="JF4" s="504">
        <v>0</v>
      </c>
      <c r="JG4" s="504">
        <v>0</v>
      </c>
      <c r="JH4" s="504">
        <v>0</v>
      </c>
      <c r="JI4" s="504">
        <v>0</v>
      </c>
      <c r="JJ4" s="504">
        <v>0</v>
      </c>
      <c r="JK4" s="504">
        <v>0</v>
      </c>
      <c r="JL4" s="504">
        <v>0</v>
      </c>
      <c r="JM4" s="504">
        <v>0</v>
      </c>
      <c r="JN4" s="504">
        <v>0</v>
      </c>
      <c r="JO4" s="504">
        <v>0</v>
      </c>
      <c r="JP4" s="504">
        <v>0</v>
      </c>
      <c r="JQ4" s="504">
        <v>0</v>
      </c>
      <c r="JR4" s="504">
        <v>0</v>
      </c>
      <c r="JS4" s="504">
        <v>0</v>
      </c>
      <c r="JT4" s="504">
        <v>0</v>
      </c>
      <c r="JU4" s="504">
        <v>0</v>
      </c>
      <c r="JV4" s="504">
        <v>0</v>
      </c>
      <c r="JW4" s="504">
        <v>0</v>
      </c>
      <c r="JX4" s="504">
        <v>0</v>
      </c>
      <c r="JY4" s="504">
        <v>0</v>
      </c>
      <c r="JZ4" s="504">
        <v>0</v>
      </c>
      <c r="KA4" s="504">
        <v>0</v>
      </c>
      <c r="KB4" s="504">
        <v>0</v>
      </c>
      <c r="KC4" s="504">
        <v>0</v>
      </c>
      <c r="KD4" s="504">
        <v>0</v>
      </c>
      <c r="KE4" s="504">
        <v>0</v>
      </c>
      <c r="KF4" s="504">
        <v>0</v>
      </c>
      <c r="KG4" s="504">
        <v>0</v>
      </c>
      <c r="KH4" s="504">
        <v>0</v>
      </c>
      <c r="KI4" s="504">
        <v>0</v>
      </c>
      <c r="KJ4" s="504">
        <v>0</v>
      </c>
      <c r="KK4" s="504">
        <v>0</v>
      </c>
      <c r="KL4" s="504">
        <v>0</v>
      </c>
      <c r="KM4" s="504">
        <v>0</v>
      </c>
      <c r="KN4" s="504">
        <v>0</v>
      </c>
      <c r="KO4" s="504">
        <v>0</v>
      </c>
      <c r="KP4" s="504">
        <v>0</v>
      </c>
      <c r="KQ4" s="504">
        <v>0</v>
      </c>
      <c r="KR4" s="504">
        <v>0</v>
      </c>
      <c r="KS4" s="504">
        <v>0</v>
      </c>
      <c r="KT4" s="1654">
        <v>0</v>
      </c>
      <c r="KU4" s="504">
        <v>0</v>
      </c>
      <c r="KV4" s="504">
        <v>0</v>
      </c>
      <c r="KW4" s="504">
        <v>0</v>
      </c>
      <c r="KX4" s="504">
        <v>1105</v>
      </c>
      <c r="KY4" s="504">
        <v>1314</v>
      </c>
      <c r="KZ4" s="504">
        <v>1565</v>
      </c>
      <c r="LA4" s="504">
        <v>0</v>
      </c>
      <c r="LB4" s="504">
        <v>0</v>
      </c>
      <c r="LC4" s="504">
        <v>0</v>
      </c>
      <c r="LD4" s="504">
        <v>0</v>
      </c>
      <c r="LE4" s="504">
        <v>0</v>
      </c>
      <c r="LF4" s="504">
        <v>0</v>
      </c>
      <c r="LG4" s="504">
        <v>0</v>
      </c>
      <c r="LH4" s="504">
        <v>0</v>
      </c>
      <c r="LI4" s="504">
        <v>0</v>
      </c>
      <c r="LJ4" s="504">
        <v>0</v>
      </c>
      <c r="LK4" s="504">
        <v>0</v>
      </c>
      <c r="LL4" s="504">
        <v>0</v>
      </c>
      <c r="LM4" s="504">
        <v>0</v>
      </c>
      <c r="LN4" s="504">
        <v>0</v>
      </c>
      <c r="LO4" s="504">
        <v>0</v>
      </c>
      <c r="LP4" s="504">
        <v>0</v>
      </c>
      <c r="LQ4" s="504">
        <v>0</v>
      </c>
      <c r="LR4" s="504">
        <v>0</v>
      </c>
      <c r="LS4" s="504">
        <v>0</v>
      </c>
      <c r="LT4" s="504">
        <v>0</v>
      </c>
      <c r="LU4" s="504">
        <v>0</v>
      </c>
      <c r="LV4" s="504">
        <v>0</v>
      </c>
      <c r="LW4" s="504">
        <v>0</v>
      </c>
      <c r="LX4" s="504">
        <v>0</v>
      </c>
      <c r="LY4" s="504">
        <v>0</v>
      </c>
      <c r="LZ4" s="504">
        <v>0</v>
      </c>
      <c r="MA4" s="504">
        <v>0</v>
      </c>
      <c r="MB4" s="504">
        <v>0</v>
      </c>
      <c r="MC4" s="504">
        <v>0</v>
      </c>
      <c r="MD4" s="504">
        <v>0</v>
      </c>
      <c r="ME4" s="504">
        <v>0</v>
      </c>
      <c r="MF4" s="504">
        <v>0</v>
      </c>
      <c r="MG4" s="504">
        <v>0</v>
      </c>
      <c r="MH4" s="504">
        <v>0</v>
      </c>
      <c r="MI4" s="504">
        <v>0</v>
      </c>
      <c r="MJ4" s="504">
        <v>0</v>
      </c>
      <c r="MK4" s="504">
        <v>0</v>
      </c>
      <c r="ML4" s="504">
        <v>0</v>
      </c>
      <c r="MM4" s="504">
        <v>0</v>
      </c>
      <c r="MN4" s="504">
        <v>0</v>
      </c>
      <c r="MO4" s="504">
        <v>0</v>
      </c>
      <c r="MP4" s="504">
        <v>0</v>
      </c>
      <c r="MQ4" s="504">
        <v>0</v>
      </c>
      <c r="MR4" s="504">
        <v>0</v>
      </c>
      <c r="MS4" s="504">
        <v>0</v>
      </c>
      <c r="MT4" s="504">
        <v>0</v>
      </c>
      <c r="MU4" s="504">
        <v>0</v>
      </c>
      <c r="MV4" s="504">
        <v>0</v>
      </c>
      <c r="MW4" s="504">
        <v>0</v>
      </c>
      <c r="MX4" s="504">
        <v>0</v>
      </c>
      <c r="MY4" s="504">
        <v>0</v>
      </c>
      <c r="MZ4" s="504">
        <v>0</v>
      </c>
      <c r="NA4" s="504">
        <v>0</v>
      </c>
      <c r="NB4" s="504">
        <v>0</v>
      </c>
      <c r="NC4" s="504">
        <v>0</v>
      </c>
      <c r="ND4" s="504">
        <v>0</v>
      </c>
      <c r="NE4" s="504">
        <v>0</v>
      </c>
      <c r="NF4" s="504">
        <v>0</v>
      </c>
      <c r="NG4" s="504">
        <v>0</v>
      </c>
      <c r="NH4" s="504">
        <v>0</v>
      </c>
      <c r="NI4" s="504">
        <v>0</v>
      </c>
      <c r="NJ4" s="504">
        <v>0</v>
      </c>
      <c r="NK4" s="504">
        <v>0</v>
      </c>
      <c r="NL4" s="504">
        <v>0</v>
      </c>
      <c r="NM4" s="504">
        <v>0</v>
      </c>
      <c r="NN4" s="504">
        <v>0</v>
      </c>
      <c r="NO4" s="504">
        <v>0</v>
      </c>
      <c r="NP4" s="504">
        <v>0</v>
      </c>
      <c r="NQ4" s="504">
        <v>0</v>
      </c>
      <c r="NR4" s="504">
        <v>0</v>
      </c>
      <c r="NS4" s="504">
        <v>0</v>
      </c>
      <c r="NT4" s="504">
        <v>0</v>
      </c>
      <c r="NU4" s="504">
        <v>0</v>
      </c>
      <c r="NV4" s="504">
        <v>0</v>
      </c>
      <c r="NW4" s="504">
        <v>0</v>
      </c>
      <c r="NX4" s="504">
        <v>0</v>
      </c>
      <c r="NY4" s="504">
        <v>0</v>
      </c>
      <c r="NZ4" s="504">
        <v>0</v>
      </c>
      <c r="OA4" s="504">
        <v>0</v>
      </c>
      <c r="OB4" s="504">
        <v>0</v>
      </c>
      <c r="OC4" s="504">
        <v>0</v>
      </c>
      <c r="OD4" s="504">
        <v>0</v>
      </c>
      <c r="OE4" s="504">
        <v>0</v>
      </c>
      <c r="OF4" s="504">
        <v>0</v>
      </c>
      <c r="OG4" s="504">
        <v>0</v>
      </c>
      <c r="OH4" s="504">
        <v>0</v>
      </c>
      <c r="OI4" s="504">
        <v>0</v>
      </c>
      <c r="OJ4" s="504">
        <v>0</v>
      </c>
      <c r="OK4" s="504">
        <v>0</v>
      </c>
      <c r="OL4" s="504">
        <v>0</v>
      </c>
      <c r="OM4" s="504">
        <v>0</v>
      </c>
      <c r="ON4" s="504">
        <v>0</v>
      </c>
      <c r="OO4" s="504">
        <v>0</v>
      </c>
      <c r="OP4" s="504">
        <v>0</v>
      </c>
      <c r="OQ4" s="504">
        <v>0</v>
      </c>
      <c r="OR4" s="1656"/>
    </row>
    <row r="5" spans="1:408" ht="21.5">
      <c r="A5" s="1466" t="s">
        <v>1626</v>
      </c>
      <c r="B5" s="1583" t="s">
        <v>2358</v>
      </c>
      <c r="C5" s="1583" t="s">
        <v>14</v>
      </c>
      <c r="D5" s="1583">
        <v>28</v>
      </c>
      <c r="E5" s="504">
        <v>35</v>
      </c>
      <c r="F5" s="504">
        <v>148</v>
      </c>
      <c r="G5" s="504">
        <v>384</v>
      </c>
      <c r="H5" s="504">
        <v>603</v>
      </c>
      <c r="I5" s="504">
        <v>865</v>
      </c>
      <c r="J5" s="504">
        <v>1056</v>
      </c>
      <c r="K5" s="504">
        <v>1067</v>
      </c>
      <c r="L5" s="504">
        <v>1079</v>
      </c>
      <c r="M5" s="504">
        <v>1090</v>
      </c>
      <c r="N5" s="504">
        <v>1102</v>
      </c>
      <c r="O5" s="504">
        <v>1115</v>
      </c>
      <c r="P5" s="504">
        <v>1127</v>
      </c>
      <c r="Q5" s="504">
        <v>1140</v>
      </c>
      <c r="R5" s="504">
        <v>1154</v>
      </c>
      <c r="S5" s="504">
        <v>1167</v>
      </c>
      <c r="T5" s="504">
        <v>1181</v>
      </c>
      <c r="U5" s="504">
        <v>1196</v>
      </c>
      <c r="V5" s="504">
        <v>1210</v>
      </c>
      <c r="W5" s="504">
        <v>1226</v>
      </c>
      <c r="X5" s="504">
        <v>1241</v>
      </c>
      <c r="Y5" s="504">
        <v>1257</v>
      </c>
      <c r="Z5" s="504">
        <v>1273</v>
      </c>
      <c r="AA5" s="504">
        <v>1290</v>
      </c>
      <c r="AB5" s="504">
        <v>1307</v>
      </c>
      <c r="AC5" s="504">
        <v>1324</v>
      </c>
      <c r="AD5" s="504">
        <v>1342</v>
      </c>
      <c r="AE5" s="504">
        <v>1360</v>
      </c>
      <c r="AF5" s="504">
        <v>1379</v>
      </c>
      <c r="AG5" s="504">
        <v>1398</v>
      </c>
      <c r="AH5" s="504">
        <v>1418</v>
      </c>
      <c r="AI5" s="504">
        <v>1438</v>
      </c>
      <c r="AJ5" s="504">
        <v>1458</v>
      </c>
      <c r="AK5" s="504">
        <v>1479</v>
      </c>
      <c r="AL5" s="504">
        <v>1500</v>
      </c>
      <c r="AM5" s="504">
        <v>1522</v>
      </c>
      <c r="AN5" s="504">
        <v>1544</v>
      </c>
      <c r="AO5" s="504">
        <v>1566</v>
      </c>
      <c r="AP5" s="504">
        <v>1589</v>
      </c>
      <c r="AQ5" s="504">
        <v>1612</v>
      </c>
      <c r="AR5" s="504">
        <v>1636</v>
      </c>
      <c r="AS5" s="504">
        <v>1660</v>
      </c>
      <c r="AT5" s="504">
        <v>1684</v>
      </c>
      <c r="AU5" s="504">
        <v>1709</v>
      </c>
      <c r="AV5" s="504">
        <v>1735</v>
      </c>
      <c r="AW5" s="504">
        <v>1761</v>
      </c>
      <c r="AX5" s="504">
        <v>1787</v>
      </c>
      <c r="AY5" s="504">
        <v>1815</v>
      </c>
      <c r="AZ5" s="504">
        <v>1844</v>
      </c>
      <c r="BA5" s="504">
        <v>1874</v>
      </c>
      <c r="BB5" s="504">
        <v>1907</v>
      </c>
      <c r="BC5" s="504">
        <v>1942</v>
      </c>
      <c r="BD5" s="504">
        <v>2000</v>
      </c>
      <c r="BE5" s="504">
        <v>0</v>
      </c>
      <c r="BF5" s="504">
        <v>0</v>
      </c>
      <c r="BG5" s="504">
        <v>0</v>
      </c>
      <c r="BH5" s="504">
        <v>0</v>
      </c>
      <c r="BI5" s="504">
        <v>0</v>
      </c>
      <c r="BJ5" s="504">
        <v>0</v>
      </c>
      <c r="BK5" s="504">
        <v>0</v>
      </c>
      <c r="BL5" s="504">
        <v>0</v>
      </c>
      <c r="BM5" s="504">
        <v>0</v>
      </c>
      <c r="BN5" s="504">
        <v>0</v>
      </c>
      <c r="BO5" s="504">
        <v>0</v>
      </c>
      <c r="BP5" s="504">
        <v>0</v>
      </c>
      <c r="BQ5" s="504">
        <v>0</v>
      </c>
      <c r="BR5" s="504">
        <v>0</v>
      </c>
      <c r="BS5" s="504">
        <v>0</v>
      </c>
      <c r="BT5" s="504">
        <v>0</v>
      </c>
      <c r="BU5" s="504">
        <v>0</v>
      </c>
      <c r="BV5" s="504">
        <v>0</v>
      </c>
      <c r="BW5" s="504">
        <v>0</v>
      </c>
      <c r="BX5" s="504">
        <v>0</v>
      </c>
      <c r="BY5" s="504">
        <v>0</v>
      </c>
      <c r="BZ5" s="504">
        <v>0</v>
      </c>
      <c r="CA5" s="504">
        <v>0</v>
      </c>
      <c r="CB5" s="504">
        <v>0</v>
      </c>
      <c r="CC5" s="504">
        <v>0</v>
      </c>
      <c r="CD5" s="504">
        <v>0</v>
      </c>
      <c r="CE5" s="504">
        <v>0</v>
      </c>
      <c r="CF5" s="504">
        <v>0</v>
      </c>
      <c r="CG5" s="504">
        <v>0</v>
      </c>
      <c r="CH5" s="504">
        <v>0</v>
      </c>
      <c r="CI5" s="504">
        <v>0</v>
      </c>
      <c r="CJ5" s="504">
        <v>0</v>
      </c>
      <c r="CK5" s="504">
        <v>0</v>
      </c>
      <c r="CL5" s="504">
        <v>0</v>
      </c>
      <c r="CM5" s="504">
        <v>0</v>
      </c>
      <c r="CN5" s="504">
        <v>0</v>
      </c>
      <c r="CO5" s="504">
        <v>0</v>
      </c>
      <c r="CP5" s="504">
        <v>0</v>
      </c>
      <c r="CQ5" s="504">
        <v>0</v>
      </c>
      <c r="CR5" s="504">
        <v>0</v>
      </c>
      <c r="CS5" s="504">
        <v>0</v>
      </c>
      <c r="CT5" s="504">
        <v>0</v>
      </c>
      <c r="CU5" s="504">
        <v>0</v>
      </c>
      <c r="CV5" s="504">
        <v>0</v>
      </c>
      <c r="CW5" s="504">
        <v>0</v>
      </c>
      <c r="CX5" s="504">
        <v>0</v>
      </c>
      <c r="CY5" s="504">
        <v>0</v>
      </c>
      <c r="CZ5" s="1654">
        <v>0</v>
      </c>
      <c r="DA5" s="504">
        <v>0</v>
      </c>
      <c r="DB5" s="504">
        <v>136</v>
      </c>
      <c r="DC5" s="504">
        <v>558</v>
      </c>
      <c r="DD5" s="504">
        <v>1111</v>
      </c>
      <c r="DE5" s="504">
        <v>1323</v>
      </c>
      <c r="DF5" s="504">
        <v>1577</v>
      </c>
      <c r="DG5" s="504">
        <v>0</v>
      </c>
      <c r="DH5" s="504">
        <v>0</v>
      </c>
      <c r="DI5" s="504">
        <v>0</v>
      </c>
      <c r="DJ5" s="504">
        <v>0</v>
      </c>
      <c r="DK5" s="504">
        <v>0</v>
      </c>
      <c r="DL5" s="504">
        <v>0</v>
      </c>
      <c r="DM5" s="504">
        <v>0</v>
      </c>
      <c r="DN5" s="504">
        <v>0</v>
      </c>
      <c r="DO5" s="504">
        <v>0</v>
      </c>
      <c r="DP5" s="504">
        <v>0</v>
      </c>
      <c r="DQ5" s="504">
        <v>0</v>
      </c>
      <c r="DR5" s="504">
        <v>0</v>
      </c>
      <c r="DS5" s="504">
        <v>0</v>
      </c>
      <c r="DT5" s="504">
        <v>0</v>
      </c>
      <c r="DU5" s="504">
        <v>0</v>
      </c>
      <c r="DV5" s="504">
        <v>0</v>
      </c>
      <c r="DW5" s="504">
        <v>0</v>
      </c>
      <c r="DX5" s="504">
        <v>0</v>
      </c>
      <c r="DY5" s="504">
        <v>0</v>
      </c>
      <c r="DZ5" s="504">
        <v>0</v>
      </c>
      <c r="EA5" s="504">
        <v>0</v>
      </c>
      <c r="EB5" s="504">
        <v>0</v>
      </c>
      <c r="EC5" s="504">
        <v>0</v>
      </c>
      <c r="ED5" s="504">
        <v>0</v>
      </c>
      <c r="EE5" s="504">
        <v>0</v>
      </c>
      <c r="EF5" s="504">
        <v>0</v>
      </c>
      <c r="EG5" s="504">
        <v>0</v>
      </c>
      <c r="EH5" s="504">
        <v>0</v>
      </c>
      <c r="EI5" s="504">
        <v>0</v>
      </c>
      <c r="EJ5" s="504">
        <v>0</v>
      </c>
      <c r="EK5" s="504">
        <v>0</v>
      </c>
      <c r="EL5" s="504">
        <v>0</v>
      </c>
      <c r="EM5" s="504">
        <v>0</v>
      </c>
      <c r="EN5" s="504">
        <v>0</v>
      </c>
      <c r="EO5" s="504">
        <v>0</v>
      </c>
      <c r="EP5" s="504">
        <v>0</v>
      </c>
      <c r="EQ5" s="504">
        <v>0</v>
      </c>
      <c r="ER5" s="504">
        <v>0</v>
      </c>
      <c r="ES5" s="504">
        <v>0</v>
      </c>
      <c r="ET5" s="504">
        <v>0</v>
      </c>
      <c r="EU5" s="504">
        <v>0</v>
      </c>
      <c r="EV5" s="504">
        <v>0</v>
      </c>
      <c r="EW5" s="504">
        <v>0</v>
      </c>
      <c r="EX5" s="504">
        <v>0</v>
      </c>
      <c r="EY5" s="504">
        <v>0</v>
      </c>
      <c r="EZ5" s="504">
        <v>0</v>
      </c>
      <c r="FA5" s="504">
        <v>0</v>
      </c>
      <c r="FB5" s="504">
        <v>0</v>
      </c>
      <c r="FC5" s="504">
        <v>0</v>
      </c>
      <c r="FD5" s="504">
        <v>0</v>
      </c>
      <c r="FE5" s="504">
        <v>0</v>
      </c>
      <c r="FF5" s="504">
        <v>0</v>
      </c>
      <c r="FG5" s="504">
        <v>0</v>
      </c>
      <c r="FH5" s="504">
        <v>0</v>
      </c>
      <c r="FI5" s="504">
        <v>0</v>
      </c>
      <c r="FJ5" s="504">
        <v>0</v>
      </c>
      <c r="FK5" s="504">
        <v>0</v>
      </c>
      <c r="FL5" s="504">
        <v>0</v>
      </c>
      <c r="FM5" s="504">
        <v>0</v>
      </c>
      <c r="FN5" s="504">
        <v>0</v>
      </c>
      <c r="FO5" s="504">
        <v>0</v>
      </c>
      <c r="FP5" s="504">
        <v>0</v>
      </c>
      <c r="FQ5" s="504">
        <v>0</v>
      </c>
      <c r="FR5" s="504">
        <v>0</v>
      </c>
      <c r="FS5" s="504">
        <v>0</v>
      </c>
      <c r="FT5" s="504">
        <v>0</v>
      </c>
      <c r="FU5" s="504">
        <v>0</v>
      </c>
      <c r="FV5" s="504">
        <v>0</v>
      </c>
      <c r="FW5" s="504">
        <v>0</v>
      </c>
      <c r="FX5" s="504">
        <v>0</v>
      </c>
      <c r="FY5" s="504">
        <v>0</v>
      </c>
      <c r="FZ5" s="504">
        <v>0</v>
      </c>
      <c r="GA5" s="504">
        <v>0</v>
      </c>
      <c r="GB5" s="504">
        <v>0</v>
      </c>
      <c r="GC5" s="504">
        <v>0</v>
      </c>
      <c r="GD5" s="504">
        <v>0</v>
      </c>
      <c r="GE5" s="504">
        <v>0</v>
      </c>
      <c r="GF5" s="504">
        <v>0</v>
      </c>
      <c r="GG5" s="504">
        <v>0</v>
      </c>
      <c r="GH5" s="504">
        <v>0</v>
      </c>
      <c r="GI5" s="504">
        <v>0</v>
      </c>
      <c r="GJ5" s="504">
        <v>0</v>
      </c>
      <c r="GK5" s="504">
        <v>0</v>
      </c>
      <c r="GL5" s="504">
        <v>0</v>
      </c>
      <c r="GM5" s="504">
        <v>0</v>
      </c>
      <c r="GN5" s="504">
        <v>0</v>
      </c>
      <c r="GO5" s="504">
        <v>0</v>
      </c>
      <c r="GP5" s="504">
        <v>0</v>
      </c>
      <c r="GQ5" s="504">
        <v>0</v>
      </c>
      <c r="GR5" s="504">
        <v>0</v>
      </c>
      <c r="GS5" s="504">
        <v>0</v>
      </c>
      <c r="GT5" s="504">
        <v>0</v>
      </c>
      <c r="GU5" s="504">
        <v>0</v>
      </c>
      <c r="GV5" s="504">
        <v>0</v>
      </c>
      <c r="GW5" s="1654">
        <v>0</v>
      </c>
      <c r="GX5" s="504">
        <v>0</v>
      </c>
      <c r="GY5" s="504">
        <v>29118</v>
      </c>
      <c r="GZ5" s="504">
        <v>47364</v>
      </c>
      <c r="HA5" s="504">
        <v>49000</v>
      </c>
      <c r="HB5" s="504">
        <v>48000</v>
      </c>
      <c r="HC5" s="504">
        <v>47000</v>
      </c>
      <c r="HD5" s="504">
        <v>0</v>
      </c>
      <c r="HE5" s="504">
        <v>0</v>
      </c>
      <c r="HF5" s="504">
        <v>0</v>
      </c>
      <c r="HG5" s="504">
        <v>0</v>
      </c>
      <c r="HH5" s="504">
        <v>0</v>
      </c>
      <c r="HI5" s="504">
        <v>0</v>
      </c>
      <c r="HJ5" s="504">
        <v>0</v>
      </c>
      <c r="HK5" s="504">
        <v>0</v>
      </c>
      <c r="HL5" s="504">
        <v>0</v>
      </c>
      <c r="HM5" s="504">
        <v>0</v>
      </c>
      <c r="HN5" s="504">
        <v>0</v>
      </c>
      <c r="HO5" s="504">
        <v>0</v>
      </c>
      <c r="HP5" s="504">
        <v>0</v>
      </c>
      <c r="HQ5" s="504">
        <v>0</v>
      </c>
      <c r="HR5" s="504">
        <v>0</v>
      </c>
      <c r="HS5" s="504">
        <v>0</v>
      </c>
      <c r="HT5" s="504">
        <v>0</v>
      </c>
      <c r="HU5" s="504">
        <v>0</v>
      </c>
      <c r="HV5" s="504">
        <v>0</v>
      </c>
      <c r="HW5" s="504">
        <v>0</v>
      </c>
      <c r="HX5" s="504">
        <v>0</v>
      </c>
      <c r="HY5" s="504">
        <v>0</v>
      </c>
      <c r="HZ5" s="504">
        <v>0</v>
      </c>
      <c r="IA5" s="504">
        <v>0</v>
      </c>
      <c r="IB5" s="504">
        <v>0</v>
      </c>
      <c r="IC5" s="504">
        <v>0</v>
      </c>
      <c r="ID5" s="504">
        <v>0</v>
      </c>
      <c r="IE5" s="504">
        <v>0</v>
      </c>
      <c r="IF5" s="504">
        <v>0</v>
      </c>
      <c r="IG5" s="504">
        <v>0</v>
      </c>
      <c r="IH5" s="504">
        <v>0</v>
      </c>
      <c r="II5" s="504">
        <v>0</v>
      </c>
      <c r="IJ5" s="504">
        <v>0</v>
      </c>
      <c r="IK5" s="504">
        <v>0</v>
      </c>
      <c r="IL5" s="504">
        <v>0</v>
      </c>
      <c r="IM5" s="504">
        <v>0</v>
      </c>
      <c r="IN5" s="504">
        <v>0</v>
      </c>
      <c r="IO5" s="504">
        <v>0</v>
      </c>
      <c r="IP5" s="504">
        <v>0</v>
      </c>
      <c r="IQ5" s="504">
        <v>0</v>
      </c>
      <c r="IR5" s="504">
        <v>0</v>
      </c>
      <c r="IS5" s="504">
        <v>0</v>
      </c>
      <c r="IT5" s="504">
        <v>0</v>
      </c>
      <c r="IU5" s="504">
        <v>0</v>
      </c>
      <c r="IV5" s="504">
        <v>0</v>
      </c>
      <c r="IW5" s="504">
        <v>0</v>
      </c>
      <c r="IX5" s="504">
        <v>0</v>
      </c>
      <c r="IY5" s="504">
        <v>0</v>
      </c>
      <c r="IZ5" s="504">
        <v>0</v>
      </c>
      <c r="JA5" s="504">
        <v>0</v>
      </c>
      <c r="JB5" s="504">
        <v>0</v>
      </c>
      <c r="JC5" s="504">
        <v>0</v>
      </c>
      <c r="JD5" s="504">
        <v>0</v>
      </c>
      <c r="JE5" s="504">
        <v>0</v>
      </c>
      <c r="JF5" s="504">
        <v>0</v>
      </c>
      <c r="JG5" s="504">
        <v>0</v>
      </c>
      <c r="JH5" s="504">
        <v>0</v>
      </c>
      <c r="JI5" s="504">
        <v>0</v>
      </c>
      <c r="JJ5" s="504">
        <v>0</v>
      </c>
      <c r="JK5" s="504">
        <v>0</v>
      </c>
      <c r="JL5" s="504">
        <v>0</v>
      </c>
      <c r="JM5" s="504">
        <v>0</v>
      </c>
      <c r="JN5" s="504">
        <v>0</v>
      </c>
      <c r="JO5" s="504">
        <v>0</v>
      </c>
      <c r="JP5" s="504">
        <v>0</v>
      </c>
      <c r="JQ5" s="504">
        <v>0</v>
      </c>
      <c r="JR5" s="504">
        <v>0</v>
      </c>
      <c r="JS5" s="504">
        <v>0</v>
      </c>
      <c r="JT5" s="504">
        <v>0</v>
      </c>
      <c r="JU5" s="504">
        <v>0</v>
      </c>
      <c r="JV5" s="504">
        <v>0</v>
      </c>
      <c r="JW5" s="504">
        <v>0</v>
      </c>
      <c r="JX5" s="504">
        <v>0</v>
      </c>
      <c r="JY5" s="504">
        <v>0</v>
      </c>
      <c r="JZ5" s="504">
        <v>0</v>
      </c>
      <c r="KA5" s="504">
        <v>0</v>
      </c>
      <c r="KB5" s="504">
        <v>0</v>
      </c>
      <c r="KC5" s="504">
        <v>0</v>
      </c>
      <c r="KD5" s="504">
        <v>0</v>
      </c>
      <c r="KE5" s="504">
        <v>0</v>
      </c>
      <c r="KF5" s="504">
        <v>0</v>
      </c>
      <c r="KG5" s="504">
        <v>0</v>
      </c>
      <c r="KH5" s="504">
        <v>0</v>
      </c>
      <c r="KI5" s="504">
        <v>0</v>
      </c>
      <c r="KJ5" s="504">
        <v>0</v>
      </c>
      <c r="KK5" s="504">
        <v>0</v>
      </c>
      <c r="KL5" s="504">
        <v>0</v>
      </c>
      <c r="KM5" s="504">
        <v>0</v>
      </c>
      <c r="KN5" s="504">
        <v>0</v>
      </c>
      <c r="KO5" s="504">
        <v>0</v>
      </c>
      <c r="KP5" s="504">
        <v>0</v>
      </c>
      <c r="KQ5" s="504">
        <v>0</v>
      </c>
      <c r="KR5" s="504">
        <v>0</v>
      </c>
      <c r="KS5" s="504">
        <v>0</v>
      </c>
      <c r="KT5" s="1654">
        <v>0</v>
      </c>
      <c r="KU5" s="504">
        <v>0</v>
      </c>
      <c r="KV5" s="504">
        <v>0</v>
      </c>
      <c r="KW5" s="504">
        <v>0</v>
      </c>
      <c r="KX5" s="504">
        <v>1101</v>
      </c>
      <c r="KY5" s="504">
        <v>1312</v>
      </c>
      <c r="KZ5" s="504">
        <v>1566</v>
      </c>
      <c r="LA5" s="504">
        <v>0</v>
      </c>
      <c r="LB5" s="504">
        <v>0</v>
      </c>
      <c r="LC5" s="504">
        <v>0</v>
      </c>
      <c r="LD5" s="504">
        <v>0</v>
      </c>
      <c r="LE5" s="504">
        <v>0</v>
      </c>
      <c r="LF5" s="504">
        <v>0</v>
      </c>
      <c r="LG5" s="504">
        <v>0</v>
      </c>
      <c r="LH5" s="504">
        <v>0</v>
      </c>
      <c r="LI5" s="504">
        <v>0</v>
      </c>
      <c r="LJ5" s="504">
        <v>0</v>
      </c>
      <c r="LK5" s="504">
        <v>0</v>
      </c>
      <c r="LL5" s="504">
        <v>0</v>
      </c>
      <c r="LM5" s="504">
        <v>0</v>
      </c>
      <c r="LN5" s="504">
        <v>0</v>
      </c>
      <c r="LO5" s="504">
        <v>0</v>
      </c>
      <c r="LP5" s="504">
        <v>0</v>
      </c>
      <c r="LQ5" s="504">
        <v>0</v>
      </c>
      <c r="LR5" s="504">
        <v>0</v>
      </c>
      <c r="LS5" s="504">
        <v>0</v>
      </c>
      <c r="LT5" s="504">
        <v>0</v>
      </c>
      <c r="LU5" s="504">
        <v>0</v>
      </c>
      <c r="LV5" s="504">
        <v>0</v>
      </c>
      <c r="LW5" s="504">
        <v>0</v>
      </c>
      <c r="LX5" s="504">
        <v>0</v>
      </c>
      <c r="LY5" s="504">
        <v>0</v>
      </c>
      <c r="LZ5" s="504">
        <v>0</v>
      </c>
      <c r="MA5" s="504">
        <v>0</v>
      </c>
      <c r="MB5" s="504">
        <v>0</v>
      </c>
      <c r="MC5" s="504">
        <v>0</v>
      </c>
      <c r="MD5" s="504">
        <v>0</v>
      </c>
      <c r="ME5" s="504">
        <v>0</v>
      </c>
      <c r="MF5" s="504">
        <v>0</v>
      </c>
      <c r="MG5" s="504">
        <v>0</v>
      </c>
      <c r="MH5" s="504">
        <v>0</v>
      </c>
      <c r="MI5" s="504">
        <v>0</v>
      </c>
      <c r="MJ5" s="504">
        <v>0</v>
      </c>
      <c r="MK5" s="504">
        <v>0</v>
      </c>
      <c r="ML5" s="504">
        <v>0</v>
      </c>
      <c r="MM5" s="504">
        <v>0</v>
      </c>
      <c r="MN5" s="504">
        <v>0</v>
      </c>
      <c r="MO5" s="504">
        <v>0</v>
      </c>
      <c r="MP5" s="504">
        <v>0</v>
      </c>
      <c r="MQ5" s="504">
        <v>0</v>
      </c>
      <c r="MR5" s="504">
        <v>0</v>
      </c>
      <c r="MS5" s="504">
        <v>0</v>
      </c>
      <c r="MT5" s="504">
        <v>0</v>
      </c>
      <c r="MU5" s="504">
        <v>0</v>
      </c>
      <c r="MV5" s="504">
        <v>0</v>
      </c>
      <c r="MW5" s="504">
        <v>0</v>
      </c>
      <c r="MX5" s="504">
        <v>0</v>
      </c>
      <c r="MY5" s="504">
        <v>0</v>
      </c>
      <c r="MZ5" s="504">
        <v>0</v>
      </c>
      <c r="NA5" s="504">
        <v>0</v>
      </c>
      <c r="NB5" s="504">
        <v>0</v>
      </c>
      <c r="NC5" s="504">
        <v>0</v>
      </c>
      <c r="ND5" s="504">
        <v>0</v>
      </c>
      <c r="NE5" s="504">
        <v>0</v>
      </c>
      <c r="NF5" s="504">
        <v>0</v>
      </c>
      <c r="NG5" s="504">
        <v>0</v>
      </c>
      <c r="NH5" s="504">
        <v>0</v>
      </c>
      <c r="NI5" s="504">
        <v>0</v>
      </c>
      <c r="NJ5" s="504">
        <v>0</v>
      </c>
      <c r="NK5" s="504">
        <v>0</v>
      </c>
      <c r="NL5" s="504">
        <v>0</v>
      </c>
      <c r="NM5" s="504">
        <v>0</v>
      </c>
      <c r="NN5" s="504">
        <v>0</v>
      </c>
      <c r="NO5" s="504">
        <v>0</v>
      </c>
      <c r="NP5" s="504">
        <v>0</v>
      </c>
      <c r="NQ5" s="504">
        <v>0</v>
      </c>
      <c r="NR5" s="504">
        <v>0</v>
      </c>
      <c r="NS5" s="504">
        <v>0</v>
      </c>
      <c r="NT5" s="504">
        <v>0</v>
      </c>
      <c r="NU5" s="504">
        <v>0</v>
      </c>
      <c r="NV5" s="504">
        <v>0</v>
      </c>
      <c r="NW5" s="504">
        <v>0</v>
      </c>
      <c r="NX5" s="504">
        <v>0</v>
      </c>
      <c r="NY5" s="504">
        <v>0</v>
      </c>
      <c r="NZ5" s="504">
        <v>0</v>
      </c>
      <c r="OA5" s="504">
        <v>0</v>
      </c>
      <c r="OB5" s="504">
        <v>0</v>
      </c>
      <c r="OC5" s="504">
        <v>0</v>
      </c>
      <c r="OD5" s="504">
        <v>0</v>
      </c>
      <c r="OE5" s="504">
        <v>0</v>
      </c>
      <c r="OF5" s="504">
        <v>0</v>
      </c>
      <c r="OG5" s="504">
        <v>0</v>
      </c>
      <c r="OH5" s="504">
        <v>0</v>
      </c>
      <c r="OI5" s="504">
        <v>0</v>
      </c>
      <c r="OJ5" s="504">
        <v>0</v>
      </c>
      <c r="OK5" s="504">
        <v>0</v>
      </c>
      <c r="OL5" s="504">
        <v>0</v>
      </c>
      <c r="OM5" s="504">
        <v>0</v>
      </c>
      <c r="ON5" s="504">
        <v>0</v>
      </c>
      <c r="OO5" s="504">
        <v>0</v>
      </c>
      <c r="OP5" s="504">
        <v>0</v>
      </c>
      <c r="OQ5" s="504">
        <v>0</v>
      </c>
      <c r="OR5" s="1656"/>
    </row>
    <row r="6" spans="1:408" ht="21.5">
      <c r="A6" s="1466" t="s">
        <v>1627</v>
      </c>
      <c r="B6" s="1583" t="s">
        <v>2358</v>
      </c>
      <c r="C6" s="1583" t="s">
        <v>14</v>
      </c>
      <c r="D6" s="1583">
        <v>29</v>
      </c>
      <c r="E6" s="504">
        <v>36</v>
      </c>
      <c r="F6" s="504">
        <v>150</v>
      </c>
      <c r="G6" s="504">
        <v>389</v>
      </c>
      <c r="H6" s="504">
        <v>609</v>
      </c>
      <c r="I6" s="504">
        <v>874</v>
      </c>
      <c r="J6" s="504">
        <v>1067</v>
      </c>
      <c r="K6" s="504">
        <v>1079</v>
      </c>
      <c r="L6" s="504">
        <v>1090</v>
      </c>
      <c r="M6" s="504">
        <v>1102</v>
      </c>
      <c r="N6" s="504">
        <v>1115</v>
      </c>
      <c r="O6" s="504">
        <v>1127</v>
      </c>
      <c r="P6" s="504">
        <v>1140</v>
      </c>
      <c r="Q6" s="504">
        <v>1154</v>
      </c>
      <c r="R6" s="504">
        <v>1167</v>
      </c>
      <c r="S6" s="504">
        <v>1181</v>
      </c>
      <c r="T6" s="504">
        <v>1196</v>
      </c>
      <c r="U6" s="504">
        <v>1210</v>
      </c>
      <c r="V6" s="504">
        <v>1226</v>
      </c>
      <c r="W6" s="504">
        <v>1241</v>
      </c>
      <c r="X6" s="504">
        <v>1257</v>
      </c>
      <c r="Y6" s="504">
        <v>1273</v>
      </c>
      <c r="Z6" s="504">
        <v>1290</v>
      </c>
      <c r="AA6" s="504">
        <v>1307</v>
      </c>
      <c r="AB6" s="504">
        <v>1324</v>
      </c>
      <c r="AC6" s="504">
        <v>1342</v>
      </c>
      <c r="AD6" s="504">
        <v>1360</v>
      </c>
      <c r="AE6" s="504">
        <v>1379</v>
      </c>
      <c r="AF6" s="504">
        <v>1398</v>
      </c>
      <c r="AG6" s="504">
        <v>1418</v>
      </c>
      <c r="AH6" s="504">
        <v>1438</v>
      </c>
      <c r="AI6" s="504">
        <v>1458</v>
      </c>
      <c r="AJ6" s="504">
        <v>1479</v>
      </c>
      <c r="AK6" s="504">
        <v>1500</v>
      </c>
      <c r="AL6" s="504">
        <v>1522</v>
      </c>
      <c r="AM6" s="504">
        <v>1544</v>
      </c>
      <c r="AN6" s="504">
        <v>1566</v>
      </c>
      <c r="AO6" s="504">
        <v>1589</v>
      </c>
      <c r="AP6" s="504">
        <v>1612</v>
      </c>
      <c r="AQ6" s="504">
        <v>1636</v>
      </c>
      <c r="AR6" s="504">
        <v>1660</v>
      </c>
      <c r="AS6" s="504">
        <v>1684</v>
      </c>
      <c r="AT6" s="504">
        <v>1709</v>
      </c>
      <c r="AU6" s="504">
        <v>1735</v>
      </c>
      <c r="AV6" s="504">
        <v>1761</v>
      </c>
      <c r="AW6" s="504">
        <v>1787</v>
      </c>
      <c r="AX6" s="504">
        <v>1815</v>
      </c>
      <c r="AY6" s="504">
        <v>1844</v>
      </c>
      <c r="AZ6" s="504">
        <v>1874</v>
      </c>
      <c r="BA6" s="504">
        <v>1907</v>
      </c>
      <c r="BB6" s="504">
        <v>1942</v>
      </c>
      <c r="BC6" s="504">
        <v>2000</v>
      </c>
      <c r="BD6" s="504">
        <v>0</v>
      </c>
      <c r="BE6" s="504">
        <v>0</v>
      </c>
      <c r="BF6" s="504">
        <v>0</v>
      </c>
      <c r="BG6" s="504">
        <v>0</v>
      </c>
      <c r="BH6" s="504">
        <v>0</v>
      </c>
      <c r="BI6" s="504">
        <v>0</v>
      </c>
      <c r="BJ6" s="504">
        <v>0</v>
      </c>
      <c r="BK6" s="504">
        <v>0</v>
      </c>
      <c r="BL6" s="504">
        <v>0</v>
      </c>
      <c r="BM6" s="504">
        <v>0</v>
      </c>
      <c r="BN6" s="504">
        <v>0</v>
      </c>
      <c r="BO6" s="504">
        <v>0</v>
      </c>
      <c r="BP6" s="504">
        <v>0</v>
      </c>
      <c r="BQ6" s="504">
        <v>0</v>
      </c>
      <c r="BR6" s="504">
        <v>0</v>
      </c>
      <c r="BS6" s="504">
        <v>0</v>
      </c>
      <c r="BT6" s="504">
        <v>0</v>
      </c>
      <c r="BU6" s="504">
        <v>0</v>
      </c>
      <c r="BV6" s="504">
        <v>0</v>
      </c>
      <c r="BW6" s="504">
        <v>0</v>
      </c>
      <c r="BX6" s="504">
        <v>0</v>
      </c>
      <c r="BY6" s="504">
        <v>0</v>
      </c>
      <c r="BZ6" s="504">
        <v>0</v>
      </c>
      <c r="CA6" s="504">
        <v>0</v>
      </c>
      <c r="CB6" s="504">
        <v>0</v>
      </c>
      <c r="CC6" s="504">
        <v>0</v>
      </c>
      <c r="CD6" s="504">
        <v>0</v>
      </c>
      <c r="CE6" s="504">
        <v>0</v>
      </c>
      <c r="CF6" s="504">
        <v>0</v>
      </c>
      <c r="CG6" s="504">
        <v>0</v>
      </c>
      <c r="CH6" s="504">
        <v>0</v>
      </c>
      <c r="CI6" s="504">
        <v>0</v>
      </c>
      <c r="CJ6" s="504">
        <v>0</v>
      </c>
      <c r="CK6" s="504">
        <v>0</v>
      </c>
      <c r="CL6" s="504">
        <v>0</v>
      </c>
      <c r="CM6" s="504">
        <v>0</v>
      </c>
      <c r="CN6" s="504">
        <v>0</v>
      </c>
      <c r="CO6" s="504">
        <v>0</v>
      </c>
      <c r="CP6" s="504">
        <v>0</v>
      </c>
      <c r="CQ6" s="504">
        <v>0</v>
      </c>
      <c r="CR6" s="504">
        <v>0</v>
      </c>
      <c r="CS6" s="504">
        <v>0</v>
      </c>
      <c r="CT6" s="504">
        <v>0</v>
      </c>
      <c r="CU6" s="504">
        <v>0</v>
      </c>
      <c r="CV6" s="504">
        <v>0</v>
      </c>
      <c r="CW6" s="504">
        <v>0</v>
      </c>
      <c r="CX6" s="504">
        <v>0</v>
      </c>
      <c r="CY6" s="504">
        <v>0</v>
      </c>
      <c r="CZ6" s="1654">
        <v>0</v>
      </c>
      <c r="DA6" s="504">
        <v>0</v>
      </c>
      <c r="DB6" s="504">
        <v>136</v>
      </c>
      <c r="DC6" s="504">
        <v>550</v>
      </c>
      <c r="DD6" s="504">
        <v>1109</v>
      </c>
      <c r="DE6" s="504">
        <v>1321</v>
      </c>
      <c r="DF6" s="504">
        <v>1577</v>
      </c>
      <c r="DG6" s="504">
        <v>0</v>
      </c>
      <c r="DH6" s="504">
        <v>0</v>
      </c>
      <c r="DI6" s="504">
        <v>0</v>
      </c>
      <c r="DJ6" s="504">
        <v>0</v>
      </c>
      <c r="DK6" s="504">
        <v>0</v>
      </c>
      <c r="DL6" s="504">
        <v>0</v>
      </c>
      <c r="DM6" s="504">
        <v>0</v>
      </c>
      <c r="DN6" s="504">
        <v>0</v>
      </c>
      <c r="DO6" s="504">
        <v>0</v>
      </c>
      <c r="DP6" s="504">
        <v>0</v>
      </c>
      <c r="DQ6" s="504">
        <v>0</v>
      </c>
      <c r="DR6" s="504">
        <v>0</v>
      </c>
      <c r="DS6" s="504">
        <v>0</v>
      </c>
      <c r="DT6" s="504">
        <v>0</v>
      </c>
      <c r="DU6" s="504">
        <v>0</v>
      </c>
      <c r="DV6" s="504">
        <v>0</v>
      </c>
      <c r="DW6" s="504">
        <v>0</v>
      </c>
      <c r="DX6" s="504">
        <v>0</v>
      </c>
      <c r="DY6" s="504">
        <v>0</v>
      </c>
      <c r="DZ6" s="504">
        <v>0</v>
      </c>
      <c r="EA6" s="504">
        <v>0</v>
      </c>
      <c r="EB6" s="504">
        <v>0</v>
      </c>
      <c r="EC6" s="504">
        <v>0</v>
      </c>
      <c r="ED6" s="504">
        <v>0</v>
      </c>
      <c r="EE6" s="504">
        <v>0</v>
      </c>
      <c r="EF6" s="504">
        <v>0</v>
      </c>
      <c r="EG6" s="504">
        <v>0</v>
      </c>
      <c r="EH6" s="504">
        <v>0</v>
      </c>
      <c r="EI6" s="504">
        <v>0</v>
      </c>
      <c r="EJ6" s="504">
        <v>0</v>
      </c>
      <c r="EK6" s="504">
        <v>0</v>
      </c>
      <c r="EL6" s="504">
        <v>0</v>
      </c>
      <c r="EM6" s="504">
        <v>0</v>
      </c>
      <c r="EN6" s="504">
        <v>0</v>
      </c>
      <c r="EO6" s="504">
        <v>0</v>
      </c>
      <c r="EP6" s="504">
        <v>0</v>
      </c>
      <c r="EQ6" s="504">
        <v>0</v>
      </c>
      <c r="ER6" s="504">
        <v>0</v>
      </c>
      <c r="ES6" s="504">
        <v>0</v>
      </c>
      <c r="ET6" s="504">
        <v>0</v>
      </c>
      <c r="EU6" s="504">
        <v>0</v>
      </c>
      <c r="EV6" s="504">
        <v>0</v>
      </c>
      <c r="EW6" s="504">
        <v>0</v>
      </c>
      <c r="EX6" s="504">
        <v>0</v>
      </c>
      <c r="EY6" s="504">
        <v>0</v>
      </c>
      <c r="EZ6" s="504">
        <v>0</v>
      </c>
      <c r="FA6" s="504">
        <v>0</v>
      </c>
      <c r="FB6" s="504">
        <v>0</v>
      </c>
      <c r="FC6" s="504">
        <v>0</v>
      </c>
      <c r="FD6" s="504">
        <v>0</v>
      </c>
      <c r="FE6" s="504">
        <v>0</v>
      </c>
      <c r="FF6" s="504">
        <v>0</v>
      </c>
      <c r="FG6" s="504">
        <v>0</v>
      </c>
      <c r="FH6" s="504">
        <v>0</v>
      </c>
      <c r="FI6" s="504">
        <v>0</v>
      </c>
      <c r="FJ6" s="504">
        <v>0</v>
      </c>
      <c r="FK6" s="504">
        <v>0</v>
      </c>
      <c r="FL6" s="504">
        <v>0</v>
      </c>
      <c r="FM6" s="504">
        <v>0</v>
      </c>
      <c r="FN6" s="504">
        <v>0</v>
      </c>
      <c r="FO6" s="504">
        <v>0</v>
      </c>
      <c r="FP6" s="504">
        <v>0</v>
      </c>
      <c r="FQ6" s="504">
        <v>0</v>
      </c>
      <c r="FR6" s="504">
        <v>0</v>
      </c>
      <c r="FS6" s="504">
        <v>0</v>
      </c>
      <c r="FT6" s="504">
        <v>0</v>
      </c>
      <c r="FU6" s="504">
        <v>0</v>
      </c>
      <c r="FV6" s="504">
        <v>0</v>
      </c>
      <c r="FW6" s="504">
        <v>0</v>
      </c>
      <c r="FX6" s="504">
        <v>0</v>
      </c>
      <c r="FY6" s="504">
        <v>0</v>
      </c>
      <c r="FZ6" s="504">
        <v>0</v>
      </c>
      <c r="GA6" s="504">
        <v>0</v>
      </c>
      <c r="GB6" s="504">
        <v>0</v>
      </c>
      <c r="GC6" s="504">
        <v>0</v>
      </c>
      <c r="GD6" s="504">
        <v>0</v>
      </c>
      <c r="GE6" s="504">
        <v>0</v>
      </c>
      <c r="GF6" s="504">
        <v>0</v>
      </c>
      <c r="GG6" s="504">
        <v>0</v>
      </c>
      <c r="GH6" s="504">
        <v>0</v>
      </c>
      <c r="GI6" s="504">
        <v>0</v>
      </c>
      <c r="GJ6" s="504">
        <v>0</v>
      </c>
      <c r="GK6" s="504">
        <v>0</v>
      </c>
      <c r="GL6" s="504">
        <v>0</v>
      </c>
      <c r="GM6" s="504">
        <v>0</v>
      </c>
      <c r="GN6" s="504">
        <v>0</v>
      </c>
      <c r="GO6" s="504">
        <v>0</v>
      </c>
      <c r="GP6" s="504">
        <v>0</v>
      </c>
      <c r="GQ6" s="504">
        <v>0</v>
      </c>
      <c r="GR6" s="504">
        <v>0</v>
      </c>
      <c r="GS6" s="504">
        <v>0</v>
      </c>
      <c r="GT6" s="504">
        <v>0</v>
      </c>
      <c r="GU6" s="504">
        <v>0</v>
      </c>
      <c r="GV6" s="504">
        <v>0</v>
      </c>
      <c r="GW6" s="1654">
        <v>0</v>
      </c>
      <c r="GX6" s="504">
        <v>0</v>
      </c>
      <c r="GY6" s="504">
        <v>28215</v>
      </c>
      <c r="GZ6" s="504">
        <v>46299</v>
      </c>
      <c r="HA6" s="504">
        <v>48000</v>
      </c>
      <c r="HB6" s="504">
        <v>47000</v>
      </c>
      <c r="HC6" s="504">
        <v>46000</v>
      </c>
      <c r="HD6" s="504">
        <v>0</v>
      </c>
      <c r="HE6" s="504">
        <v>0</v>
      </c>
      <c r="HF6" s="504">
        <v>0</v>
      </c>
      <c r="HG6" s="504">
        <v>0</v>
      </c>
      <c r="HH6" s="504">
        <v>0</v>
      </c>
      <c r="HI6" s="504">
        <v>0</v>
      </c>
      <c r="HJ6" s="504">
        <v>0</v>
      </c>
      <c r="HK6" s="504">
        <v>0</v>
      </c>
      <c r="HL6" s="504">
        <v>0</v>
      </c>
      <c r="HM6" s="504">
        <v>0</v>
      </c>
      <c r="HN6" s="504">
        <v>0</v>
      </c>
      <c r="HO6" s="504">
        <v>0</v>
      </c>
      <c r="HP6" s="504">
        <v>0</v>
      </c>
      <c r="HQ6" s="504">
        <v>0</v>
      </c>
      <c r="HR6" s="504">
        <v>0</v>
      </c>
      <c r="HS6" s="504">
        <v>0</v>
      </c>
      <c r="HT6" s="504">
        <v>0</v>
      </c>
      <c r="HU6" s="504">
        <v>0</v>
      </c>
      <c r="HV6" s="504">
        <v>0</v>
      </c>
      <c r="HW6" s="504">
        <v>0</v>
      </c>
      <c r="HX6" s="504">
        <v>0</v>
      </c>
      <c r="HY6" s="504">
        <v>0</v>
      </c>
      <c r="HZ6" s="504">
        <v>0</v>
      </c>
      <c r="IA6" s="504">
        <v>0</v>
      </c>
      <c r="IB6" s="504">
        <v>0</v>
      </c>
      <c r="IC6" s="504">
        <v>0</v>
      </c>
      <c r="ID6" s="504">
        <v>0</v>
      </c>
      <c r="IE6" s="504">
        <v>0</v>
      </c>
      <c r="IF6" s="504">
        <v>0</v>
      </c>
      <c r="IG6" s="504">
        <v>0</v>
      </c>
      <c r="IH6" s="504">
        <v>0</v>
      </c>
      <c r="II6" s="504">
        <v>0</v>
      </c>
      <c r="IJ6" s="504">
        <v>0</v>
      </c>
      <c r="IK6" s="504">
        <v>0</v>
      </c>
      <c r="IL6" s="504">
        <v>0</v>
      </c>
      <c r="IM6" s="504">
        <v>0</v>
      </c>
      <c r="IN6" s="504">
        <v>0</v>
      </c>
      <c r="IO6" s="504">
        <v>0</v>
      </c>
      <c r="IP6" s="504">
        <v>0</v>
      </c>
      <c r="IQ6" s="504">
        <v>0</v>
      </c>
      <c r="IR6" s="504">
        <v>0</v>
      </c>
      <c r="IS6" s="504">
        <v>0</v>
      </c>
      <c r="IT6" s="504">
        <v>0</v>
      </c>
      <c r="IU6" s="504">
        <v>0</v>
      </c>
      <c r="IV6" s="504">
        <v>0</v>
      </c>
      <c r="IW6" s="504">
        <v>0</v>
      </c>
      <c r="IX6" s="504">
        <v>0</v>
      </c>
      <c r="IY6" s="504">
        <v>0</v>
      </c>
      <c r="IZ6" s="504">
        <v>0</v>
      </c>
      <c r="JA6" s="504">
        <v>0</v>
      </c>
      <c r="JB6" s="504">
        <v>0</v>
      </c>
      <c r="JC6" s="504">
        <v>0</v>
      </c>
      <c r="JD6" s="504">
        <v>0</v>
      </c>
      <c r="JE6" s="504">
        <v>0</v>
      </c>
      <c r="JF6" s="504">
        <v>0</v>
      </c>
      <c r="JG6" s="504">
        <v>0</v>
      </c>
      <c r="JH6" s="504">
        <v>0</v>
      </c>
      <c r="JI6" s="504">
        <v>0</v>
      </c>
      <c r="JJ6" s="504">
        <v>0</v>
      </c>
      <c r="JK6" s="504">
        <v>0</v>
      </c>
      <c r="JL6" s="504">
        <v>0</v>
      </c>
      <c r="JM6" s="504">
        <v>0</v>
      </c>
      <c r="JN6" s="504">
        <v>0</v>
      </c>
      <c r="JO6" s="504">
        <v>0</v>
      </c>
      <c r="JP6" s="504">
        <v>0</v>
      </c>
      <c r="JQ6" s="504">
        <v>0</v>
      </c>
      <c r="JR6" s="504">
        <v>0</v>
      </c>
      <c r="JS6" s="504">
        <v>0</v>
      </c>
      <c r="JT6" s="504">
        <v>0</v>
      </c>
      <c r="JU6" s="504">
        <v>0</v>
      </c>
      <c r="JV6" s="504">
        <v>0</v>
      </c>
      <c r="JW6" s="504">
        <v>0</v>
      </c>
      <c r="JX6" s="504">
        <v>0</v>
      </c>
      <c r="JY6" s="504">
        <v>0</v>
      </c>
      <c r="JZ6" s="504">
        <v>0</v>
      </c>
      <c r="KA6" s="504">
        <v>0</v>
      </c>
      <c r="KB6" s="504">
        <v>0</v>
      </c>
      <c r="KC6" s="504">
        <v>0</v>
      </c>
      <c r="KD6" s="504">
        <v>0</v>
      </c>
      <c r="KE6" s="504">
        <v>0</v>
      </c>
      <c r="KF6" s="504">
        <v>0</v>
      </c>
      <c r="KG6" s="504">
        <v>0</v>
      </c>
      <c r="KH6" s="504">
        <v>0</v>
      </c>
      <c r="KI6" s="504">
        <v>0</v>
      </c>
      <c r="KJ6" s="504">
        <v>0</v>
      </c>
      <c r="KK6" s="504">
        <v>0</v>
      </c>
      <c r="KL6" s="504">
        <v>0</v>
      </c>
      <c r="KM6" s="504">
        <v>0</v>
      </c>
      <c r="KN6" s="504">
        <v>0</v>
      </c>
      <c r="KO6" s="504">
        <v>0</v>
      </c>
      <c r="KP6" s="504">
        <v>0</v>
      </c>
      <c r="KQ6" s="504">
        <v>0</v>
      </c>
      <c r="KR6" s="504">
        <v>0</v>
      </c>
      <c r="KS6" s="504">
        <v>0</v>
      </c>
      <c r="KT6" s="1654">
        <v>0</v>
      </c>
      <c r="KU6" s="504">
        <v>0</v>
      </c>
      <c r="KV6" s="504">
        <v>0</v>
      </c>
      <c r="KW6" s="504">
        <v>0</v>
      </c>
      <c r="KX6" s="504">
        <v>1098</v>
      </c>
      <c r="KY6" s="504">
        <v>1310</v>
      </c>
      <c r="KZ6" s="504">
        <v>1567</v>
      </c>
      <c r="LA6" s="504">
        <v>0</v>
      </c>
      <c r="LB6" s="504">
        <v>0</v>
      </c>
      <c r="LC6" s="504">
        <v>0</v>
      </c>
      <c r="LD6" s="504">
        <v>0</v>
      </c>
      <c r="LE6" s="504">
        <v>0</v>
      </c>
      <c r="LF6" s="504">
        <v>0</v>
      </c>
      <c r="LG6" s="504">
        <v>0</v>
      </c>
      <c r="LH6" s="504">
        <v>0</v>
      </c>
      <c r="LI6" s="504">
        <v>0</v>
      </c>
      <c r="LJ6" s="504">
        <v>0</v>
      </c>
      <c r="LK6" s="504">
        <v>0</v>
      </c>
      <c r="LL6" s="504">
        <v>0</v>
      </c>
      <c r="LM6" s="504">
        <v>0</v>
      </c>
      <c r="LN6" s="504">
        <v>0</v>
      </c>
      <c r="LO6" s="504">
        <v>0</v>
      </c>
      <c r="LP6" s="504">
        <v>0</v>
      </c>
      <c r="LQ6" s="504">
        <v>0</v>
      </c>
      <c r="LR6" s="504">
        <v>0</v>
      </c>
      <c r="LS6" s="504">
        <v>0</v>
      </c>
      <c r="LT6" s="504">
        <v>0</v>
      </c>
      <c r="LU6" s="504">
        <v>0</v>
      </c>
      <c r="LV6" s="504">
        <v>0</v>
      </c>
      <c r="LW6" s="504">
        <v>0</v>
      </c>
      <c r="LX6" s="504">
        <v>0</v>
      </c>
      <c r="LY6" s="504">
        <v>0</v>
      </c>
      <c r="LZ6" s="504">
        <v>0</v>
      </c>
      <c r="MA6" s="504">
        <v>0</v>
      </c>
      <c r="MB6" s="504">
        <v>0</v>
      </c>
      <c r="MC6" s="504">
        <v>0</v>
      </c>
      <c r="MD6" s="504">
        <v>0</v>
      </c>
      <c r="ME6" s="504">
        <v>0</v>
      </c>
      <c r="MF6" s="504">
        <v>0</v>
      </c>
      <c r="MG6" s="504">
        <v>0</v>
      </c>
      <c r="MH6" s="504">
        <v>0</v>
      </c>
      <c r="MI6" s="504">
        <v>0</v>
      </c>
      <c r="MJ6" s="504">
        <v>0</v>
      </c>
      <c r="MK6" s="504">
        <v>0</v>
      </c>
      <c r="ML6" s="504">
        <v>0</v>
      </c>
      <c r="MM6" s="504">
        <v>0</v>
      </c>
      <c r="MN6" s="504">
        <v>0</v>
      </c>
      <c r="MO6" s="504">
        <v>0</v>
      </c>
      <c r="MP6" s="504">
        <v>0</v>
      </c>
      <c r="MQ6" s="504">
        <v>0</v>
      </c>
      <c r="MR6" s="504">
        <v>0</v>
      </c>
      <c r="MS6" s="504">
        <v>0</v>
      </c>
      <c r="MT6" s="504">
        <v>0</v>
      </c>
      <c r="MU6" s="504">
        <v>0</v>
      </c>
      <c r="MV6" s="504">
        <v>0</v>
      </c>
      <c r="MW6" s="504">
        <v>0</v>
      </c>
      <c r="MX6" s="504">
        <v>0</v>
      </c>
      <c r="MY6" s="504">
        <v>0</v>
      </c>
      <c r="MZ6" s="504">
        <v>0</v>
      </c>
      <c r="NA6" s="504">
        <v>0</v>
      </c>
      <c r="NB6" s="504">
        <v>0</v>
      </c>
      <c r="NC6" s="504">
        <v>0</v>
      </c>
      <c r="ND6" s="504">
        <v>0</v>
      </c>
      <c r="NE6" s="504">
        <v>0</v>
      </c>
      <c r="NF6" s="504">
        <v>0</v>
      </c>
      <c r="NG6" s="504">
        <v>0</v>
      </c>
      <c r="NH6" s="504">
        <v>0</v>
      </c>
      <c r="NI6" s="504">
        <v>0</v>
      </c>
      <c r="NJ6" s="504">
        <v>0</v>
      </c>
      <c r="NK6" s="504">
        <v>0</v>
      </c>
      <c r="NL6" s="504">
        <v>0</v>
      </c>
      <c r="NM6" s="504">
        <v>0</v>
      </c>
      <c r="NN6" s="504">
        <v>0</v>
      </c>
      <c r="NO6" s="504">
        <v>0</v>
      </c>
      <c r="NP6" s="504">
        <v>0</v>
      </c>
      <c r="NQ6" s="504">
        <v>0</v>
      </c>
      <c r="NR6" s="504">
        <v>0</v>
      </c>
      <c r="NS6" s="504">
        <v>0</v>
      </c>
      <c r="NT6" s="504">
        <v>0</v>
      </c>
      <c r="NU6" s="504">
        <v>0</v>
      </c>
      <c r="NV6" s="504">
        <v>0</v>
      </c>
      <c r="NW6" s="504">
        <v>0</v>
      </c>
      <c r="NX6" s="504">
        <v>0</v>
      </c>
      <c r="NY6" s="504">
        <v>0</v>
      </c>
      <c r="NZ6" s="504">
        <v>0</v>
      </c>
      <c r="OA6" s="504">
        <v>0</v>
      </c>
      <c r="OB6" s="504">
        <v>0</v>
      </c>
      <c r="OC6" s="504">
        <v>0</v>
      </c>
      <c r="OD6" s="504">
        <v>0</v>
      </c>
      <c r="OE6" s="504">
        <v>0</v>
      </c>
      <c r="OF6" s="504">
        <v>0</v>
      </c>
      <c r="OG6" s="504">
        <v>0</v>
      </c>
      <c r="OH6" s="504">
        <v>0</v>
      </c>
      <c r="OI6" s="504">
        <v>0</v>
      </c>
      <c r="OJ6" s="504">
        <v>0</v>
      </c>
      <c r="OK6" s="504">
        <v>0</v>
      </c>
      <c r="OL6" s="504">
        <v>0</v>
      </c>
      <c r="OM6" s="504">
        <v>0</v>
      </c>
      <c r="ON6" s="504">
        <v>0</v>
      </c>
      <c r="OO6" s="504">
        <v>0</v>
      </c>
      <c r="OP6" s="504">
        <v>0</v>
      </c>
      <c r="OQ6" s="504">
        <v>0</v>
      </c>
      <c r="OR6" s="1656"/>
    </row>
    <row r="7" spans="1:408" ht="21.5">
      <c r="A7" s="1466" t="s">
        <v>1628</v>
      </c>
      <c r="B7" s="1583" t="s">
        <v>2358</v>
      </c>
      <c r="C7" s="1583" t="s">
        <v>14</v>
      </c>
      <c r="D7" s="1583">
        <v>30</v>
      </c>
      <c r="E7" s="504">
        <v>36</v>
      </c>
      <c r="F7" s="504">
        <v>152</v>
      </c>
      <c r="G7" s="504">
        <v>393</v>
      </c>
      <c r="H7" s="504">
        <v>616</v>
      </c>
      <c r="I7" s="504">
        <v>884</v>
      </c>
      <c r="J7" s="504">
        <v>1079</v>
      </c>
      <c r="K7" s="504">
        <v>1090</v>
      </c>
      <c r="L7" s="504">
        <v>1102</v>
      </c>
      <c r="M7" s="504">
        <v>1115</v>
      </c>
      <c r="N7" s="504">
        <v>1127</v>
      </c>
      <c r="O7" s="504">
        <v>1140</v>
      </c>
      <c r="P7" s="504">
        <v>1154</v>
      </c>
      <c r="Q7" s="504">
        <v>1167</v>
      </c>
      <c r="R7" s="504">
        <v>1181</v>
      </c>
      <c r="S7" s="504">
        <v>1196</v>
      </c>
      <c r="T7" s="504">
        <v>1210</v>
      </c>
      <c r="U7" s="504">
        <v>1226</v>
      </c>
      <c r="V7" s="504">
        <v>1241</v>
      </c>
      <c r="W7" s="504">
        <v>1257</v>
      </c>
      <c r="X7" s="504">
        <v>1273</v>
      </c>
      <c r="Y7" s="504">
        <v>1290</v>
      </c>
      <c r="Z7" s="504">
        <v>1307</v>
      </c>
      <c r="AA7" s="504">
        <v>1324</v>
      </c>
      <c r="AB7" s="504">
        <v>1342</v>
      </c>
      <c r="AC7" s="504">
        <v>1360</v>
      </c>
      <c r="AD7" s="504">
        <v>1379</v>
      </c>
      <c r="AE7" s="504">
        <v>1398</v>
      </c>
      <c r="AF7" s="504">
        <v>1418</v>
      </c>
      <c r="AG7" s="504">
        <v>1438</v>
      </c>
      <c r="AH7" s="504">
        <v>1458</v>
      </c>
      <c r="AI7" s="504">
        <v>1479</v>
      </c>
      <c r="AJ7" s="504">
        <v>1500</v>
      </c>
      <c r="AK7" s="504">
        <v>1522</v>
      </c>
      <c r="AL7" s="504">
        <v>1544</v>
      </c>
      <c r="AM7" s="504">
        <v>1566</v>
      </c>
      <c r="AN7" s="504">
        <v>1589</v>
      </c>
      <c r="AO7" s="504">
        <v>1612</v>
      </c>
      <c r="AP7" s="504">
        <v>1636</v>
      </c>
      <c r="AQ7" s="504">
        <v>1660</v>
      </c>
      <c r="AR7" s="504">
        <v>1684</v>
      </c>
      <c r="AS7" s="504">
        <v>1709</v>
      </c>
      <c r="AT7" s="504">
        <v>1735</v>
      </c>
      <c r="AU7" s="504">
        <v>1761</v>
      </c>
      <c r="AV7" s="504">
        <v>1787</v>
      </c>
      <c r="AW7" s="504">
        <v>1815</v>
      </c>
      <c r="AX7" s="504">
        <v>1844</v>
      </c>
      <c r="AY7" s="504">
        <v>1874</v>
      </c>
      <c r="AZ7" s="504">
        <v>1907</v>
      </c>
      <c r="BA7" s="504">
        <v>1942</v>
      </c>
      <c r="BB7" s="504">
        <v>2000</v>
      </c>
      <c r="BC7" s="504">
        <v>0</v>
      </c>
      <c r="BD7" s="504">
        <v>0</v>
      </c>
      <c r="BE7" s="504">
        <v>0</v>
      </c>
      <c r="BF7" s="504">
        <v>0</v>
      </c>
      <c r="BG7" s="504">
        <v>0</v>
      </c>
      <c r="BH7" s="504">
        <v>0</v>
      </c>
      <c r="BI7" s="504">
        <v>0</v>
      </c>
      <c r="BJ7" s="504">
        <v>0</v>
      </c>
      <c r="BK7" s="504">
        <v>0</v>
      </c>
      <c r="BL7" s="504">
        <v>0</v>
      </c>
      <c r="BM7" s="504">
        <v>0</v>
      </c>
      <c r="BN7" s="504">
        <v>0</v>
      </c>
      <c r="BO7" s="504">
        <v>0</v>
      </c>
      <c r="BP7" s="504">
        <v>0</v>
      </c>
      <c r="BQ7" s="504">
        <v>0</v>
      </c>
      <c r="BR7" s="504">
        <v>0</v>
      </c>
      <c r="BS7" s="504">
        <v>0</v>
      </c>
      <c r="BT7" s="504">
        <v>0</v>
      </c>
      <c r="BU7" s="504">
        <v>0</v>
      </c>
      <c r="BV7" s="504">
        <v>0</v>
      </c>
      <c r="BW7" s="504">
        <v>0</v>
      </c>
      <c r="BX7" s="504">
        <v>0</v>
      </c>
      <c r="BY7" s="504">
        <v>0</v>
      </c>
      <c r="BZ7" s="504">
        <v>0</v>
      </c>
      <c r="CA7" s="504">
        <v>0</v>
      </c>
      <c r="CB7" s="504">
        <v>0</v>
      </c>
      <c r="CC7" s="504">
        <v>0</v>
      </c>
      <c r="CD7" s="504">
        <v>0</v>
      </c>
      <c r="CE7" s="504">
        <v>0</v>
      </c>
      <c r="CF7" s="504">
        <v>0</v>
      </c>
      <c r="CG7" s="504">
        <v>0</v>
      </c>
      <c r="CH7" s="504">
        <v>0</v>
      </c>
      <c r="CI7" s="504">
        <v>0</v>
      </c>
      <c r="CJ7" s="504">
        <v>0</v>
      </c>
      <c r="CK7" s="504">
        <v>0</v>
      </c>
      <c r="CL7" s="504">
        <v>0</v>
      </c>
      <c r="CM7" s="504">
        <v>0</v>
      </c>
      <c r="CN7" s="504">
        <v>0</v>
      </c>
      <c r="CO7" s="504">
        <v>0</v>
      </c>
      <c r="CP7" s="504">
        <v>0</v>
      </c>
      <c r="CQ7" s="504">
        <v>0</v>
      </c>
      <c r="CR7" s="504">
        <v>0</v>
      </c>
      <c r="CS7" s="504">
        <v>0</v>
      </c>
      <c r="CT7" s="504">
        <v>0</v>
      </c>
      <c r="CU7" s="504">
        <v>0</v>
      </c>
      <c r="CV7" s="504">
        <v>0</v>
      </c>
      <c r="CW7" s="504">
        <v>0</v>
      </c>
      <c r="CX7" s="504">
        <v>0</v>
      </c>
      <c r="CY7" s="504">
        <v>0</v>
      </c>
      <c r="CZ7" s="1654">
        <v>0</v>
      </c>
      <c r="DA7" s="504">
        <v>0</v>
      </c>
      <c r="DB7" s="504">
        <v>132</v>
      </c>
      <c r="DC7" s="504">
        <v>542</v>
      </c>
      <c r="DD7" s="504">
        <v>1105</v>
      </c>
      <c r="DE7" s="504">
        <v>1319</v>
      </c>
      <c r="DF7" s="504">
        <v>1579</v>
      </c>
      <c r="DG7" s="504">
        <v>0</v>
      </c>
      <c r="DH7" s="504">
        <v>0</v>
      </c>
      <c r="DI7" s="504">
        <v>0</v>
      </c>
      <c r="DJ7" s="504">
        <v>0</v>
      </c>
      <c r="DK7" s="504">
        <v>0</v>
      </c>
      <c r="DL7" s="504">
        <v>0</v>
      </c>
      <c r="DM7" s="504">
        <v>0</v>
      </c>
      <c r="DN7" s="504">
        <v>0</v>
      </c>
      <c r="DO7" s="504">
        <v>0</v>
      </c>
      <c r="DP7" s="504">
        <v>0</v>
      </c>
      <c r="DQ7" s="504">
        <v>0</v>
      </c>
      <c r="DR7" s="504">
        <v>0</v>
      </c>
      <c r="DS7" s="504">
        <v>0</v>
      </c>
      <c r="DT7" s="504">
        <v>0</v>
      </c>
      <c r="DU7" s="504">
        <v>0</v>
      </c>
      <c r="DV7" s="504">
        <v>0</v>
      </c>
      <c r="DW7" s="504">
        <v>0</v>
      </c>
      <c r="DX7" s="504">
        <v>0</v>
      </c>
      <c r="DY7" s="504">
        <v>0</v>
      </c>
      <c r="DZ7" s="504">
        <v>0</v>
      </c>
      <c r="EA7" s="504">
        <v>0</v>
      </c>
      <c r="EB7" s="504">
        <v>0</v>
      </c>
      <c r="EC7" s="504">
        <v>0</v>
      </c>
      <c r="ED7" s="504">
        <v>0</v>
      </c>
      <c r="EE7" s="504">
        <v>0</v>
      </c>
      <c r="EF7" s="504">
        <v>0</v>
      </c>
      <c r="EG7" s="504">
        <v>0</v>
      </c>
      <c r="EH7" s="504">
        <v>0</v>
      </c>
      <c r="EI7" s="504">
        <v>0</v>
      </c>
      <c r="EJ7" s="504">
        <v>0</v>
      </c>
      <c r="EK7" s="504">
        <v>0</v>
      </c>
      <c r="EL7" s="504">
        <v>0</v>
      </c>
      <c r="EM7" s="504">
        <v>0</v>
      </c>
      <c r="EN7" s="504">
        <v>0</v>
      </c>
      <c r="EO7" s="504">
        <v>0</v>
      </c>
      <c r="EP7" s="504">
        <v>0</v>
      </c>
      <c r="EQ7" s="504">
        <v>0</v>
      </c>
      <c r="ER7" s="504">
        <v>0</v>
      </c>
      <c r="ES7" s="504">
        <v>0</v>
      </c>
      <c r="ET7" s="504">
        <v>0</v>
      </c>
      <c r="EU7" s="504">
        <v>0</v>
      </c>
      <c r="EV7" s="504">
        <v>0</v>
      </c>
      <c r="EW7" s="504">
        <v>0</v>
      </c>
      <c r="EX7" s="504">
        <v>0</v>
      </c>
      <c r="EY7" s="504">
        <v>0</v>
      </c>
      <c r="EZ7" s="504">
        <v>0</v>
      </c>
      <c r="FA7" s="504">
        <v>0</v>
      </c>
      <c r="FB7" s="504">
        <v>0</v>
      </c>
      <c r="FC7" s="504">
        <v>0</v>
      </c>
      <c r="FD7" s="504">
        <v>0</v>
      </c>
      <c r="FE7" s="504">
        <v>0</v>
      </c>
      <c r="FF7" s="504">
        <v>0</v>
      </c>
      <c r="FG7" s="504">
        <v>0</v>
      </c>
      <c r="FH7" s="504">
        <v>0</v>
      </c>
      <c r="FI7" s="504">
        <v>0</v>
      </c>
      <c r="FJ7" s="504">
        <v>0</v>
      </c>
      <c r="FK7" s="504">
        <v>0</v>
      </c>
      <c r="FL7" s="504">
        <v>0</v>
      </c>
      <c r="FM7" s="504">
        <v>0</v>
      </c>
      <c r="FN7" s="504">
        <v>0</v>
      </c>
      <c r="FO7" s="504">
        <v>0</v>
      </c>
      <c r="FP7" s="504">
        <v>0</v>
      </c>
      <c r="FQ7" s="504">
        <v>0</v>
      </c>
      <c r="FR7" s="504">
        <v>0</v>
      </c>
      <c r="FS7" s="504">
        <v>0</v>
      </c>
      <c r="FT7" s="504">
        <v>0</v>
      </c>
      <c r="FU7" s="504">
        <v>0</v>
      </c>
      <c r="FV7" s="504">
        <v>0</v>
      </c>
      <c r="FW7" s="504">
        <v>0</v>
      </c>
      <c r="FX7" s="504">
        <v>0</v>
      </c>
      <c r="FY7" s="504">
        <v>0</v>
      </c>
      <c r="FZ7" s="504">
        <v>0</v>
      </c>
      <c r="GA7" s="504">
        <v>0</v>
      </c>
      <c r="GB7" s="504">
        <v>0</v>
      </c>
      <c r="GC7" s="504">
        <v>0</v>
      </c>
      <c r="GD7" s="504">
        <v>0</v>
      </c>
      <c r="GE7" s="504">
        <v>0</v>
      </c>
      <c r="GF7" s="504">
        <v>0</v>
      </c>
      <c r="GG7" s="504">
        <v>0</v>
      </c>
      <c r="GH7" s="504">
        <v>0</v>
      </c>
      <c r="GI7" s="504">
        <v>0</v>
      </c>
      <c r="GJ7" s="504">
        <v>0</v>
      </c>
      <c r="GK7" s="504">
        <v>0</v>
      </c>
      <c r="GL7" s="504">
        <v>0</v>
      </c>
      <c r="GM7" s="504">
        <v>0</v>
      </c>
      <c r="GN7" s="504">
        <v>0</v>
      </c>
      <c r="GO7" s="504">
        <v>0</v>
      </c>
      <c r="GP7" s="504">
        <v>0</v>
      </c>
      <c r="GQ7" s="504">
        <v>0</v>
      </c>
      <c r="GR7" s="504">
        <v>0</v>
      </c>
      <c r="GS7" s="504">
        <v>0</v>
      </c>
      <c r="GT7" s="504">
        <v>0</v>
      </c>
      <c r="GU7" s="504">
        <v>0</v>
      </c>
      <c r="GV7" s="504">
        <v>0</v>
      </c>
      <c r="GW7" s="1654">
        <v>0</v>
      </c>
      <c r="GX7" s="504">
        <v>0</v>
      </c>
      <c r="GY7" s="504">
        <v>27165</v>
      </c>
      <c r="GZ7" s="504">
        <v>45234</v>
      </c>
      <c r="HA7" s="504">
        <v>47000</v>
      </c>
      <c r="HB7" s="504">
        <v>46000</v>
      </c>
      <c r="HC7" s="504">
        <v>45000</v>
      </c>
      <c r="HD7" s="504">
        <v>0</v>
      </c>
      <c r="HE7" s="504">
        <v>0</v>
      </c>
      <c r="HF7" s="504">
        <v>0</v>
      </c>
      <c r="HG7" s="504">
        <v>0</v>
      </c>
      <c r="HH7" s="504">
        <v>0</v>
      </c>
      <c r="HI7" s="504">
        <v>0</v>
      </c>
      <c r="HJ7" s="504">
        <v>0</v>
      </c>
      <c r="HK7" s="504">
        <v>0</v>
      </c>
      <c r="HL7" s="504">
        <v>0</v>
      </c>
      <c r="HM7" s="504">
        <v>0</v>
      </c>
      <c r="HN7" s="504">
        <v>0</v>
      </c>
      <c r="HO7" s="504">
        <v>0</v>
      </c>
      <c r="HP7" s="504">
        <v>0</v>
      </c>
      <c r="HQ7" s="504">
        <v>0</v>
      </c>
      <c r="HR7" s="504">
        <v>0</v>
      </c>
      <c r="HS7" s="504">
        <v>0</v>
      </c>
      <c r="HT7" s="504">
        <v>0</v>
      </c>
      <c r="HU7" s="504">
        <v>0</v>
      </c>
      <c r="HV7" s="504">
        <v>0</v>
      </c>
      <c r="HW7" s="504">
        <v>0</v>
      </c>
      <c r="HX7" s="504">
        <v>0</v>
      </c>
      <c r="HY7" s="504">
        <v>0</v>
      </c>
      <c r="HZ7" s="504">
        <v>0</v>
      </c>
      <c r="IA7" s="504">
        <v>0</v>
      </c>
      <c r="IB7" s="504">
        <v>0</v>
      </c>
      <c r="IC7" s="504">
        <v>0</v>
      </c>
      <c r="ID7" s="504">
        <v>0</v>
      </c>
      <c r="IE7" s="504">
        <v>0</v>
      </c>
      <c r="IF7" s="504">
        <v>0</v>
      </c>
      <c r="IG7" s="504">
        <v>0</v>
      </c>
      <c r="IH7" s="504">
        <v>0</v>
      </c>
      <c r="II7" s="504">
        <v>0</v>
      </c>
      <c r="IJ7" s="504">
        <v>0</v>
      </c>
      <c r="IK7" s="504">
        <v>0</v>
      </c>
      <c r="IL7" s="504">
        <v>0</v>
      </c>
      <c r="IM7" s="504">
        <v>0</v>
      </c>
      <c r="IN7" s="504">
        <v>0</v>
      </c>
      <c r="IO7" s="504">
        <v>0</v>
      </c>
      <c r="IP7" s="504">
        <v>0</v>
      </c>
      <c r="IQ7" s="504">
        <v>0</v>
      </c>
      <c r="IR7" s="504">
        <v>0</v>
      </c>
      <c r="IS7" s="504">
        <v>0</v>
      </c>
      <c r="IT7" s="504">
        <v>0</v>
      </c>
      <c r="IU7" s="504">
        <v>0</v>
      </c>
      <c r="IV7" s="504">
        <v>0</v>
      </c>
      <c r="IW7" s="504">
        <v>0</v>
      </c>
      <c r="IX7" s="504">
        <v>0</v>
      </c>
      <c r="IY7" s="504">
        <v>0</v>
      </c>
      <c r="IZ7" s="504">
        <v>0</v>
      </c>
      <c r="JA7" s="504">
        <v>0</v>
      </c>
      <c r="JB7" s="504">
        <v>0</v>
      </c>
      <c r="JC7" s="504">
        <v>0</v>
      </c>
      <c r="JD7" s="504">
        <v>0</v>
      </c>
      <c r="JE7" s="504">
        <v>0</v>
      </c>
      <c r="JF7" s="504">
        <v>0</v>
      </c>
      <c r="JG7" s="504">
        <v>0</v>
      </c>
      <c r="JH7" s="504">
        <v>0</v>
      </c>
      <c r="JI7" s="504">
        <v>0</v>
      </c>
      <c r="JJ7" s="504">
        <v>0</v>
      </c>
      <c r="JK7" s="504">
        <v>0</v>
      </c>
      <c r="JL7" s="504">
        <v>0</v>
      </c>
      <c r="JM7" s="504">
        <v>0</v>
      </c>
      <c r="JN7" s="504">
        <v>0</v>
      </c>
      <c r="JO7" s="504">
        <v>0</v>
      </c>
      <c r="JP7" s="504">
        <v>0</v>
      </c>
      <c r="JQ7" s="504">
        <v>0</v>
      </c>
      <c r="JR7" s="504">
        <v>0</v>
      </c>
      <c r="JS7" s="504">
        <v>0</v>
      </c>
      <c r="JT7" s="504">
        <v>0</v>
      </c>
      <c r="JU7" s="504">
        <v>0</v>
      </c>
      <c r="JV7" s="504">
        <v>0</v>
      </c>
      <c r="JW7" s="504">
        <v>0</v>
      </c>
      <c r="JX7" s="504">
        <v>0</v>
      </c>
      <c r="JY7" s="504">
        <v>0</v>
      </c>
      <c r="JZ7" s="504">
        <v>0</v>
      </c>
      <c r="KA7" s="504">
        <v>0</v>
      </c>
      <c r="KB7" s="504">
        <v>0</v>
      </c>
      <c r="KC7" s="504">
        <v>0</v>
      </c>
      <c r="KD7" s="504">
        <v>0</v>
      </c>
      <c r="KE7" s="504">
        <v>0</v>
      </c>
      <c r="KF7" s="504">
        <v>0</v>
      </c>
      <c r="KG7" s="504">
        <v>0</v>
      </c>
      <c r="KH7" s="504">
        <v>0</v>
      </c>
      <c r="KI7" s="504">
        <v>0</v>
      </c>
      <c r="KJ7" s="504">
        <v>0</v>
      </c>
      <c r="KK7" s="504">
        <v>0</v>
      </c>
      <c r="KL7" s="504">
        <v>0</v>
      </c>
      <c r="KM7" s="504">
        <v>0</v>
      </c>
      <c r="KN7" s="504">
        <v>0</v>
      </c>
      <c r="KO7" s="504">
        <v>0</v>
      </c>
      <c r="KP7" s="504">
        <v>0</v>
      </c>
      <c r="KQ7" s="504">
        <v>0</v>
      </c>
      <c r="KR7" s="504">
        <v>0</v>
      </c>
      <c r="KS7" s="504">
        <v>0</v>
      </c>
      <c r="KT7" s="1654">
        <v>0</v>
      </c>
      <c r="KU7" s="504">
        <v>0</v>
      </c>
      <c r="KV7" s="504">
        <v>0</v>
      </c>
      <c r="KW7" s="504">
        <v>0</v>
      </c>
      <c r="KX7" s="504">
        <v>1094</v>
      </c>
      <c r="KY7" s="504">
        <v>1309</v>
      </c>
      <c r="KZ7" s="504">
        <v>1568</v>
      </c>
      <c r="LA7" s="504">
        <v>0</v>
      </c>
      <c r="LB7" s="504">
        <v>0</v>
      </c>
      <c r="LC7" s="504">
        <v>0</v>
      </c>
      <c r="LD7" s="504">
        <v>0</v>
      </c>
      <c r="LE7" s="504">
        <v>0</v>
      </c>
      <c r="LF7" s="504">
        <v>0</v>
      </c>
      <c r="LG7" s="504">
        <v>0</v>
      </c>
      <c r="LH7" s="504">
        <v>0</v>
      </c>
      <c r="LI7" s="504">
        <v>0</v>
      </c>
      <c r="LJ7" s="504">
        <v>0</v>
      </c>
      <c r="LK7" s="504">
        <v>0</v>
      </c>
      <c r="LL7" s="504">
        <v>0</v>
      </c>
      <c r="LM7" s="504">
        <v>0</v>
      </c>
      <c r="LN7" s="504">
        <v>0</v>
      </c>
      <c r="LO7" s="504">
        <v>0</v>
      </c>
      <c r="LP7" s="504">
        <v>0</v>
      </c>
      <c r="LQ7" s="504">
        <v>0</v>
      </c>
      <c r="LR7" s="504">
        <v>0</v>
      </c>
      <c r="LS7" s="504">
        <v>0</v>
      </c>
      <c r="LT7" s="504">
        <v>0</v>
      </c>
      <c r="LU7" s="504">
        <v>0</v>
      </c>
      <c r="LV7" s="504">
        <v>0</v>
      </c>
      <c r="LW7" s="504">
        <v>0</v>
      </c>
      <c r="LX7" s="504">
        <v>0</v>
      </c>
      <c r="LY7" s="504">
        <v>0</v>
      </c>
      <c r="LZ7" s="504">
        <v>0</v>
      </c>
      <c r="MA7" s="504">
        <v>0</v>
      </c>
      <c r="MB7" s="504">
        <v>0</v>
      </c>
      <c r="MC7" s="504">
        <v>0</v>
      </c>
      <c r="MD7" s="504">
        <v>0</v>
      </c>
      <c r="ME7" s="504">
        <v>0</v>
      </c>
      <c r="MF7" s="504">
        <v>0</v>
      </c>
      <c r="MG7" s="504">
        <v>0</v>
      </c>
      <c r="MH7" s="504">
        <v>0</v>
      </c>
      <c r="MI7" s="504">
        <v>0</v>
      </c>
      <c r="MJ7" s="504">
        <v>0</v>
      </c>
      <c r="MK7" s="504">
        <v>0</v>
      </c>
      <c r="ML7" s="504">
        <v>0</v>
      </c>
      <c r="MM7" s="504">
        <v>0</v>
      </c>
      <c r="MN7" s="504">
        <v>0</v>
      </c>
      <c r="MO7" s="504">
        <v>0</v>
      </c>
      <c r="MP7" s="504">
        <v>0</v>
      </c>
      <c r="MQ7" s="504">
        <v>0</v>
      </c>
      <c r="MR7" s="504">
        <v>0</v>
      </c>
      <c r="MS7" s="504">
        <v>0</v>
      </c>
      <c r="MT7" s="504">
        <v>0</v>
      </c>
      <c r="MU7" s="504">
        <v>0</v>
      </c>
      <c r="MV7" s="504">
        <v>0</v>
      </c>
      <c r="MW7" s="504">
        <v>0</v>
      </c>
      <c r="MX7" s="504">
        <v>0</v>
      </c>
      <c r="MY7" s="504">
        <v>0</v>
      </c>
      <c r="MZ7" s="504">
        <v>0</v>
      </c>
      <c r="NA7" s="504">
        <v>0</v>
      </c>
      <c r="NB7" s="504">
        <v>0</v>
      </c>
      <c r="NC7" s="504">
        <v>0</v>
      </c>
      <c r="ND7" s="504">
        <v>0</v>
      </c>
      <c r="NE7" s="504">
        <v>0</v>
      </c>
      <c r="NF7" s="504">
        <v>0</v>
      </c>
      <c r="NG7" s="504">
        <v>0</v>
      </c>
      <c r="NH7" s="504">
        <v>0</v>
      </c>
      <c r="NI7" s="504">
        <v>0</v>
      </c>
      <c r="NJ7" s="504">
        <v>0</v>
      </c>
      <c r="NK7" s="504">
        <v>0</v>
      </c>
      <c r="NL7" s="504">
        <v>0</v>
      </c>
      <c r="NM7" s="504">
        <v>0</v>
      </c>
      <c r="NN7" s="504">
        <v>0</v>
      </c>
      <c r="NO7" s="504">
        <v>0</v>
      </c>
      <c r="NP7" s="504">
        <v>0</v>
      </c>
      <c r="NQ7" s="504">
        <v>0</v>
      </c>
      <c r="NR7" s="504">
        <v>0</v>
      </c>
      <c r="NS7" s="504">
        <v>0</v>
      </c>
      <c r="NT7" s="504">
        <v>0</v>
      </c>
      <c r="NU7" s="504">
        <v>0</v>
      </c>
      <c r="NV7" s="504">
        <v>0</v>
      </c>
      <c r="NW7" s="504">
        <v>0</v>
      </c>
      <c r="NX7" s="504">
        <v>0</v>
      </c>
      <c r="NY7" s="504">
        <v>0</v>
      </c>
      <c r="NZ7" s="504">
        <v>0</v>
      </c>
      <c r="OA7" s="504">
        <v>0</v>
      </c>
      <c r="OB7" s="504">
        <v>0</v>
      </c>
      <c r="OC7" s="504">
        <v>0</v>
      </c>
      <c r="OD7" s="504">
        <v>0</v>
      </c>
      <c r="OE7" s="504">
        <v>0</v>
      </c>
      <c r="OF7" s="504">
        <v>0</v>
      </c>
      <c r="OG7" s="504">
        <v>0</v>
      </c>
      <c r="OH7" s="504">
        <v>0</v>
      </c>
      <c r="OI7" s="504">
        <v>0</v>
      </c>
      <c r="OJ7" s="504">
        <v>0</v>
      </c>
      <c r="OK7" s="504">
        <v>0</v>
      </c>
      <c r="OL7" s="504">
        <v>0</v>
      </c>
      <c r="OM7" s="504">
        <v>0</v>
      </c>
      <c r="ON7" s="504">
        <v>0</v>
      </c>
      <c r="OO7" s="504">
        <v>0</v>
      </c>
      <c r="OP7" s="504">
        <v>0</v>
      </c>
      <c r="OQ7" s="504">
        <v>0</v>
      </c>
      <c r="OR7" s="1656"/>
    </row>
    <row r="8" spans="1:408" ht="21.5">
      <c r="A8" s="1466" t="s">
        <v>1629</v>
      </c>
      <c r="B8" s="1583" t="s">
        <v>2358</v>
      </c>
      <c r="C8" s="1583" t="s">
        <v>14</v>
      </c>
      <c r="D8" s="1583">
        <v>31</v>
      </c>
      <c r="E8" s="504">
        <v>37</v>
      </c>
      <c r="F8" s="504">
        <v>154</v>
      </c>
      <c r="G8" s="504">
        <v>397</v>
      </c>
      <c r="H8" s="504">
        <v>623</v>
      </c>
      <c r="I8" s="504">
        <v>893</v>
      </c>
      <c r="J8" s="504">
        <v>1090</v>
      </c>
      <c r="K8" s="504">
        <v>1102</v>
      </c>
      <c r="L8" s="504">
        <v>1115</v>
      </c>
      <c r="M8" s="504">
        <v>1127</v>
      </c>
      <c r="N8" s="504">
        <v>1140</v>
      </c>
      <c r="O8" s="504">
        <v>1154</v>
      </c>
      <c r="P8" s="504">
        <v>1167</v>
      </c>
      <c r="Q8" s="504">
        <v>1181</v>
      </c>
      <c r="R8" s="504">
        <v>1196</v>
      </c>
      <c r="S8" s="504">
        <v>1210</v>
      </c>
      <c r="T8" s="504">
        <v>1226</v>
      </c>
      <c r="U8" s="504">
        <v>1241</v>
      </c>
      <c r="V8" s="504">
        <v>1257</v>
      </c>
      <c r="W8" s="504">
        <v>1273</v>
      </c>
      <c r="X8" s="504">
        <v>1290</v>
      </c>
      <c r="Y8" s="504">
        <v>1307</v>
      </c>
      <c r="Z8" s="504">
        <v>1324</v>
      </c>
      <c r="AA8" s="504">
        <v>1342</v>
      </c>
      <c r="AB8" s="504">
        <v>1360</v>
      </c>
      <c r="AC8" s="504">
        <v>1379</v>
      </c>
      <c r="AD8" s="504">
        <v>1398</v>
      </c>
      <c r="AE8" s="504">
        <v>1418</v>
      </c>
      <c r="AF8" s="504">
        <v>1438</v>
      </c>
      <c r="AG8" s="504">
        <v>1458</v>
      </c>
      <c r="AH8" s="504">
        <v>1479</v>
      </c>
      <c r="AI8" s="504">
        <v>1500</v>
      </c>
      <c r="AJ8" s="504">
        <v>1522</v>
      </c>
      <c r="AK8" s="504">
        <v>1544</v>
      </c>
      <c r="AL8" s="504">
        <v>1566</v>
      </c>
      <c r="AM8" s="504">
        <v>1589</v>
      </c>
      <c r="AN8" s="504">
        <v>1612</v>
      </c>
      <c r="AO8" s="504">
        <v>1636</v>
      </c>
      <c r="AP8" s="504">
        <v>1660</v>
      </c>
      <c r="AQ8" s="504">
        <v>1684</v>
      </c>
      <c r="AR8" s="504">
        <v>1709</v>
      </c>
      <c r="AS8" s="504">
        <v>1735</v>
      </c>
      <c r="AT8" s="504">
        <v>1761</v>
      </c>
      <c r="AU8" s="504">
        <v>1787</v>
      </c>
      <c r="AV8" s="504">
        <v>1815</v>
      </c>
      <c r="AW8" s="504">
        <v>1844</v>
      </c>
      <c r="AX8" s="504">
        <v>1874</v>
      </c>
      <c r="AY8" s="504">
        <v>1907</v>
      </c>
      <c r="AZ8" s="504">
        <v>1942</v>
      </c>
      <c r="BA8" s="504">
        <v>2000</v>
      </c>
      <c r="BB8" s="504">
        <v>0</v>
      </c>
      <c r="BC8" s="504">
        <v>0</v>
      </c>
      <c r="BD8" s="504">
        <v>0</v>
      </c>
      <c r="BE8" s="504">
        <v>0</v>
      </c>
      <c r="BF8" s="504">
        <v>0</v>
      </c>
      <c r="BG8" s="504">
        <v>0</v>
      </c>
      <c r="BH8" s="504">
        <v>0</v>
      </c>
      <c r="BI8" s="504">
        <v>0</v>
      </c>
      <c r="BJ8" s="504">
        <v>0</v>
      </c>
      <c r="BK8" s="504">
        <v>0</v>
      </c>
      <c r="BL8" s="504">
        <v>0</v>
      </c>
      <c r="BM8" s="504">
        <v>0</v>
      </c>
      <c r="BN8" s="504">
        <v>0</v>
      </c>
      <c r="BO8" s="504">
        <v>0</v>
      </c>
      <c r="BP8" s="504">
        <v>0</v>
      </c>
      <c r="BQ8" s="504">
        <v>0</v>
      </c>
      <c r="BR8" s="504">
        <v>0</v>
      </c>
      <c r="BS8" s="504">
        <v>0</v>
      </c>
      <c r="BT8" s="504">
        <v>0</v>
      </c>
      <c r="BU8" s="504">
        <v>0</v>
      </c>
      <c r="BV8" s="504">
        <v>0</v>
      </c>
      <c r="BW8" s="504">
        <v>0</v>
      </c>
      <c r="BX8" s="504">
        <v>0</v>
      </c>
      <c r="BY8" s="504">
        <v>0</v>
      </c>
      <c r="BZ8" s="504">
        <v>0</v>
      </c>
      <c r="CA8" s="504">
        <v>0</v>
      </c>
      <c r="CB8" s="504">
        <v>0</v>
      </c>
      <c r="CC8" s="504">
        <v>0</v>
      </c>
      <c r="CD8" s="504">
        <v>0</v>
      </c>
      <c r="CE8" s="504">
        <v>0</v>
      </c>
      <c r="CF8" s="504">
        <v>0</v>
      </c>
      <c r="CG8" s="504">
        <v>0</v>
      </c>
      <c r="CH8" s="504">
        <v>0</v>
      </c>
      <c r="CI8" s="504">
        <v>0</v>
      </c>
      <c r="CJ8" s="504">
        <v>0</v>
      </c>
      <c r="CK8" s="504">
        <v>0</v>
      </c>
      <c r="CL8" s="504">
        <v>0</v>
      </c>
      <c r="CM8" s="504">
        <v>0</v>
      </c>
      <c r="CN8" s="504">
        <v>0</v>
      </c>
      <c r="CO8" s="504">
        <v>0</v>
      </c>
      <c r="CP8" s="504">
        <v>0</v>
      </c>
      <c r="CQ8" s="504">
        <v>0</v>
      </c>
      <c r="CR8" s="504">
        <v>0</v>
      </c>
      <c r="CS8" s="504">
        <v>0</v>
      </c>
      <c r="CT8" s="504">
        <v>0</v>
      </c>
      <c r="CU8" s="504">
        <v>0</v>
      </c>
      <c r="CV8" s="504">
        <v>0</v>
      </c>
      <c r="CW8" s="504">
        <v>0</v>
      </c>
      <c r="CX8" s="504">
        <v>0</v>
      </c>
      <c r="CY8" s="504">
        <v>0</v>
      </c>
      <c r="CZ8" s="1654">
        <v>0</v>
      </c>
      <c r="DA8" s="504">
        <v>0</v>
      </c>
      <c r="DB8" s="504">
        <v>132</v>
      </c>
      <c r="DC8" s="504">
        <v>534</v>
      </c>
      <c r="DD8" s="504">
        <v>1100</v>
      </c>
      <c r="DE8" s="504">
        <v>1318</v>
      </c>
      <c r="DF8" s="504">
        <v>1579</v>
      </c>
      <c r="DG8" s="504">
        <v>0</v>
      </c>
      <c r="DH8" s="504">
        <v>0</v>
      </c>
      <c r="DI8" s="504">
        <v>0</v>
      </c>
      <c r="DJ8" s="504">
        <v>0</v>
      </c>
      <c r="DK8" s="504">
        <v>0</v>
      </c>
      <c r="DL8" s="504">
        <v>0</v>
      </c>
      <c r="DM8" s="504">
        <v>0</v>
      </c>
      <c r="DN8" s="504">
        <v>0</v>
      </c>
      <c r="DO8" s="504">
        <v>0</v>
      </c>
      <c r="DP8" s="504">
        <v>0</v>
      </c>
      <c r="DQ8" s="504">
        <v>0</v>
      </c>
      <c r="DR8" s="504">
        <v>0</v>
      </c>
      <c r="DS8" s="504">
        <v>0</v>
      </c>
      <c r="DT8" s="504">
        <v>0</v>
      </c>
      <c r="DU8" s="504">
        <v>0</v>
      </c>
      <c r="DV8" s="504">
        <v>0</v>
      </c>
      <c r="DW8" s="504">
        <v>0</v>
      </c>
      <c r="DX8" s="504">
        <v>0</v>
      </c>
      <c r="DY8" s="504">
        <v>0</v>
      </c>
      <c r="DZ8" s="504">
        <v>0</v>
      </c>
      <c r="EA8" s="504">
        <v>0</v>
      </c>
      <c r="EB8" s="504">
        <v>0</v>
      </c>
      <c r="EC8" s="504">
        <v>0</v>
      </c>
      <c r="ED8" s="504">
        <v>0</v>
      </c>
      <c r="EE8" s="504">
        <v>0</v>
      </c>
      <c r="EF8" s="504">
        <v>0</v>
      </c>
      <c r="EG8" s="504">
        <v>0</v>
      </c>
      <c r="EH8" s="504">
        <v>0</v>
      </c>
      <c r="EI8" s="504">
        <v>0</v>
      </c>
      <c r="EJ8" s="504">
        <v>0</v>
      </c>
      <c r="EK8" s="504">
        <v>0</v>
      </c>
      <c r="EL8" s="504">
        <v>0</v>
      </c>
      <c r="EM8" s="504">
        <v>0</v>
      </c>
      <c r="EN8" s="504">
        <v>0</v>
      </c>
      <c r="EO8" s="504">
        <v>0</v>
      </c>
      <c r="EP8" s="504">
        <v>0</v>
      </c>
      <c r="EQ8" s="504">
        <v>0</v>
      </c>
      <c r="ER8" s="504">
        <v>0</v>
      </c>
      <c r="ES8" s="504">
        <v>0</v>
      </c>
      <c r="ET8" s="504">
        <v>0</v>
      </c>
      <c r="EU8" s="504">
        <v>0</v>
      </c>
      <c r="EV8" s="504">
        <v>0</v>
      </c>
      <c r="EW8" s="504">
        <v>0</v>
      </c>
      <c r="EX8" s="504">
        <v>0</v>
      </c>
      <c r="EY8" s="504">
        <v>0</v>
      </c>
      <c r="EZ8" s="504">
        <v>0</v>
      </c>
      <c r="FA8" s="504">
        <v>0</v>
      </c>
      <c r="FB8" s="504">
        <v>0</v>
      </c>
      <c r="FC8" s="504">
        <v>0</v>
      </c>
      <c r="FD8" s="504">
        <v>0</v>
      </c>
      <c r="FE8" s="504">
        <v>0</v>
      </c>
      <c r="FF8" s="504">
        <v>0</v>
      </c>
      <c r="FG8" s="504">
        <v>0</v>
      </c>
      <c r="FH8" s="504">
        <v>0</v>
      </c>
      <c r="FI8" s="504">
        <v>0</v>
      </c>
      <c r="FJ8" s="504">
        <v>0</v>
      </c>
      <c r="FK8" s="504">
        <v>0</v>
      </c>
      <c r="FL8" s="504">
        <v>0</v>
      </c>
      <c r="FM8" s="504">
        <v>0</v>
      </c>
      <c r="FN8" s="504">
        <v>0</v>
      </c>
      <c r="FO8" s="504">
        <v>0</v>
      </c>
      <c r="FP8" s="504">
        <v>0</v>
      </c>
      <c r="FQ8" s="504">
        <v>0</v>
      </c>
      <c r="FR8" s="504">
        <v>0</v>
      </c>
      <c r="FS8" s="504">
        <v>0</v>
      </c>
      <c r="FT8" s="504">
        <v>0</v>
      </c>
      <c r="FU8" s="504">
        <v>0</v>
      </c>
      <c r="FV8" s="504">
        <v>0</v>
      </c>
      <c r="FW8" s="504">
        <v>0</v>
      </c>
      <c r="FX8" s="504">
        <v>0</v>
      </c>
      <c r="FY8" s="504">
        <v>0</v>
      </c>
      <c r="FZ8" s="504">
        <v>0</v>
      </c>
      <c r="GA8" s="504">
        <v>0</v>
      </c>
      <c r="GB8" s="504">
        <v>0</v>
      </c>
      <c r="GC8" s="504">
        <v>0</v>
      </c>
      <c r="GD8" s="504">
        <v>0</v>
      </c>
      <c r="GE8" s="504">
        <v>0</v>
      </c>
      <c r="GF8" s="504">
        <v>0</v>
      </c>
      <c r="GG8" s="504">
        <v>0</v>
      </c>
      <c r="GH8" s="504">
        <v>0</v>
      </c>
      <c r="GI8" s="504">
        <v>0</v>
      </c>
      <c r="GJ8" s="504">
        <v>0</v>
      </c>
      <c r="GK8" s="504">
        <v>0</v>
      </c>
      <c r="GL8" s="504">
        <v>0</v>
      </c>
      <c r="GM8" s="504">
        <v>0</v>
      </c>
      <c r="GN8" s="504">
        <v>0</v>
      </c>
      <c r="GO8" s="504">
        <v>0</v>
      </c>
      <c r="GP8" s="504">
        <v>0</v>
      </c>
      <c r="GQ8" s="504">
        <v>0</v>
      </c>
      <c r="GR8" s="504">
        <v>0</v>
      </c>
      <c r="GS8" s="504">
        <v>0</v>
      </c>
      <c r="GT8" s="504">
        <v>0</v>
      </c>
      <c r="GU8" s="504">
        <v>0</v>
      </c>
      <c r="GV8" s="504">
        <v>0</v>
      </c>
      <c r="GW8" s="1654">
        <v>0</v>
      </c>
      <c r="GX8" s="504">
        <v>0</v>
      </c>
      <c r="GY8" s="504">
        <v>26257</v>
      </c>
      <c r="GZ8" s="504">
        <v>44170</v>
      </c>
      <c r="HA8" s="504">
        <v>46000</v>
      </c>
      <c r="HB8" s="504">
        <v>45000</v>
      </c>
      <c r="HC8" s="504">
        <v>44000</v>
      </c>
      <c r="HD8" s="504">
        <v>0</v>
      </c>
      <c r="HE8" s="504">
        <v>0</v>
      </c>
      <c r="HF8" s="504">
        <v>0</v>
      </c>
      <c r="HG8" s="504">
        <v>0</v>
      </c>
      <c r="HH8" s="504">
        <v>0</v>
      </c>
      <c r="HI8" s="504">
        <v>0</v>
      </c>
      <c r="HJ8" s="504">
        <v>0</v>
      </c>
      <c r="HK8" s="504">
        <v>0</v>
      </c>
      <c r="HL8" s="504">
        <v>0</v>
      </c>
      <c r="HM8" s="504">
        <v>0</v>
      </c>
      <c r="HN8" s="504">
        <v>0</v>
      </c>
      <c r="HO8" s="504">
        <v>0</v>
      </c>
      <c r="HP8" s="504">
        <v>0</v>
      </c>
      <c r="HQ8" s="504">
        <v>0</v>
      </c>
      <c r="HR8" s="504">
        <v>0</v>
      </c>
      <c r="HS8" s="504">
        <v>0</v>
      </c>
      <c r="HT8" s="504">
        <v>0</v>
      </c>
      <c r="HU8" s="504">
        <v>0</v>
      </c>
      <c r="HV8" s="504">
        <v>0</v>
      </c>
      <c r="HW8" s="504">
        <v>0</v>
      </c>
      <c r="HX8" s="504">
        <v>0</v>
      </c>
      <c r="HY8" s="504">
        <v>0</v>
      </c>
      <c r="HZ8" s="504">
        <v>0</v>
      </c>
      <c r="IA8" s="504">
        <v>0</v>
      </c>
      <c r="IB8" s="504">
        <v>0</v>
      </c>
      <c r="IC8" s="504">
        <v>0</v>
      </c>
      <c r="ID8" s="504">
        <v>0</v>
      </c>
      <c r="IE8" s="504">
        <v>0</v>
      </c>
      <c r="IF8" s="504">
        <v>0</v>
      </c>
      <c r="IG8" s="504">
        <v>0</v>
      </c>
      <c r="IH8" s="504">
        <v>0</v>
      </c>
      <c r="II8" s="504">
        <v>0</v>
      </c>
      <c r="IJ8" s="504">
        <v>0</v>
      </c>
      <c r="IK8" s="504">
        <v>0</v>
      </c>
      <c r="IL8" s="504">
        <v>0</v>
      </c>
      <c r="IM8" s="504">
        <v>0</v>
      </c>
      <c r="IN8" s="504">
        <v>0</v>
      </c>
      <c r="IO8" s="504">
        <v>0</v>
      </c>
      <c r="IP8" s="504">
        <v>0</v>
      </c>
      <c r="IQ8" s="504">
        <v>0</v>
      </c>
      <c r="IR8" s="504">
        <v>0</v>
      </c>
      <c r="IS8" s="504">
        <v>0</v>
      </c>
      <c r="IT8" s="504">
        <v>0</v>
      </c>
      <c r="IU8" s="504">
        <v>0</v>
      </c>
      <c r="IV8" s="504">
        <v>0</v>
      </c>
      <c r="IW8" s="504">
        <v>0</v>
      </c>
      <c r="IX8" s="504">
        <v>0</v>
      </c>
      <c r="IY8" s="504">
        <v>0</v>
      </c>
      <c r="IZ8" s="504">
        <v>0</v>
      </c>
      <c r="JA8" s="504">
        <v>0</v>
      </c>
      <c r="JB8" s="504">
        <v>0</v>
      </c>
      <c r="JC8" s="504">
        <v>0</v>
      </c>
      <c r="JD8" s="504">
        <v>0</v>
      </c>
      <c r="JE8" s="504">
        <v>0</v>
      </c>
      <c r="JF8" s="504">
        <v>0</v>
      </c>
      <c r="JG8" s="504">
        <v>0</v>
      </c>
      <c r="JH8" s="504">
        <v>0</v>
      </c>
      <c r="JI8" s="504">
        <v>0</v>
      </c>
      <c r="JJ8" s="504">
        <v>0</v>
      </c>
      <c r="JK8" s="504">
        <v>0</v>
      </c>
      <c r="JL8" s="504">
        <v>0</v>
      </c>
      <c r="JM8" s="504">
        <v>0</v>
      </c>
      <c r="JN8" s="504">
        <v>0</v>
      </c>
      <c r="JO8" s="504">
        <v>0</v>
      </c>
      <c r="JP8" s="504">
        <v>0</v>
      </c>
      <c r="JQ8" s="504">
        <v>0</v>
      </c>
      <c r="JR8" s="504">
        <v>0</v>
      </c>
      <c r="JS8" s="504">
        <v>0</v>
      </c>
      <c r="JT8" s="504">
        <v>0</v>
      </c>
      <c r="JU8" s="504">
        <v>0</v>
      </c>
      <c r="JV8" s="504">
        <v>0</v>
      </c>
      <c r="JW8" s="504">
        <v>0</v>
      </c>
      <c r="JX8" s="504">
        <v>0</v>
      </c>
      <c r="JY8" s="504">
        <v>0</v>
      </c>
      <c r="JZ8" s="504">
        <v>0</v>
      </c>
      <c r="KA8" s="504">
        <v>0</v>
      </c>
      <c r="KB8" s="504">
        <v>0</v>
      </c>
      <c r="KC8" s="504">
        <v>0</v>
      </c>
      <c r="KD8" s="504">
        <v>0</v>
      </c>
      <c r="KE8" s="504">
        <v>0</v>
      </c>
      <c r="KF8" s="504">
        <v>0</v>
      </c>
      <c r="KG8" s="504">
        <v>0</v>
      </c>
      <c r="KH8" s="504">
        <v>0</v>
      </c>
      <c r="KI8" s="504">
        <v>0</v>
      </c>
      <c r="KJ8" s="504">
        <v>0</v>
      </c>
      <c r="KK8" s="504">
        <v>0</v>
      </c>
      <c r="KL8" s="504">
        <v>0</v>
      </c>
      <c r="KM8" s="504">
        <v>0</v>
      </c>
      <c r="KN8" s="504">
        <v>0</v>
      </c>
      <c r="KO8" s="504">
        <v>0</v>
      </c>
      <c r="KP8" s="504">
        <v>0</v>
      </c>
      <c r="KQ8" s="504">
        <v>0</v>
      </c>
      <c r="KR8" s="504">
        <v>0</v>
      </c>
      <c r="KS8" s="504">
        <v>0</v>
      </c>
      <c r="KT8" s="1654">
        <v>0</v>
      </c>
      <c r="KU8" s="504">
        <v>0</v>
      </c>
      <c r="KV8" s="504">
        <v>0</v>
      </c>
      <c r="KW8" s="504">
        <v>0</v>
      </c>
      <c r="KX8" s="504">
        <v>1090</v>
      </c>
      <c r="KY8" s="504">
        <v>1307</v>
      </c>
      <c r="KZ8" s="504">
        <v>1568</v>
      </c>
      <c r="LA8" s="504">
        <v>0</v>
      </c>
      <c r="LB8" s="504">
        <v>0</v>
      </c>
      <c r="LC8" s="504">
        <v>0</v>
      </c>
      <c r="LD8" s="504">
        <v>0</v>
      </c>
      <c r="LE8" s="504">
        <v>0</v>
      </c>
      <c r="LF8" s="504">
        <v>0</v>
      </c>
      <c r="LG8" s="504">
        <v>0</v>
      </c>
      <c r="LH8" s="504">
        <v>0</v>
      </c>
      <c r="LI8" s="504">
        <v>0</v>
      </c>
      <c r="LJ8" s="504">
        <v>0</v>
      </c>
      <c r="LK8" s="504">
        <v>0</v>
      </c>
      <c r="LL8" s="504">
        <v>0</v>
      </c>
      <c r="LM8" s="504">
        <v>0</v>
      </c>
      <c r="LN8" s="504">
        <v>0</v>
      </c>
      <c r="LO8" s="504">
        <v>0</v>
      </c>
      <c r="LP8" s="504">
        <v>0</v>
      </c>
      <c r="LQ8" s="504">
        <v>0</v>
      </c>
      <c r="LR8" s="504">
        <v>0</v>
      </c>
      <c r="LS8" s="504">
        <v>0</v>
      </c>
      <c r="LT8" s="504">
        <v>0</v>
      </c>
      <c r="LU8" s="504">
        <v>0</v>
      </c>
      <c r="LV8" s="504">
        <v>0</v>
      </c>
      <c r="LW8" s="504">
        <v>0</v>
      </c>
      <c r="LX8" s="504">
        <v>0</v>
      </c>
      <c r="LY8" s="504">
        <v>0</v>
      </c>
      <c r="LZ8" s="504">
        <v>0</v>
      </c>
      <c r="MA8" s="504">
        <v>0</v>
      </c>
      <c r="MB8" s="504">
        <v>0</v>
      </c>
      <c r="MC8" s="504">
        <v>0</v>
      </c>
      <c r="MD8" s="504">
        <v>0</v>
      </c>
      <c r="ME8" s="504">
        <v>0</v>
      </c>
      <c r="MF8" s="504">
        <v>0</v>
      </c>
      <c r="MG8" s="504">
        <v>0</v>
      </c>
      <c r="MH8" s="504">
        <v>0</v>
      </c>
      <c r="MI8" s="504">
        <v>0</v>
      </c>
      <c r="MJ8" s="504">
        <v>0</v>
      </c>
      <c r="MK8" s="504">
        <v>0</v>
      </c>
      <c r="ML8" s="504">
        <v>0</v>
      </c>
      <c r="MM8" s="504">
        <v>0</v>
      </c>
      <c r="MN8" s="504">
        <v>0</v>
      </c>
      <c r="MO8" s="504">
        <v>0</v>
      </c>
      <c r="MP8" s="504">
        <v>0</v>
      </c>
      <c r="MQ8" s="504">
        <v>0</v>
      </c>
      <c r="MR8" s="504">
        <v>0</v>
      </c>
      <c r="MS8" s="504">
        <v>0</v>
      </c>
      <c r="MT8" s="504">
        <v>0</v>
      </c>
      <c r="MU8" s="504">
        <v>0</v>
      </c>
      <c r="MV8" s="504">
        <v>0</v>
      </c>
      <c r="MW8" s="504">
        <v>0</v>
      </c>
      <c r="MX8" s="504">
        <v>0</v>
      </c>
      <c r="MY8" s="504">
        <v>0</v>
      </c>
      <c r="MZ8" s="504">
        <v>0</v>
      </c>
      <c r="NA8" s="504">
        <v>0</v>
      </c>
      <c r="NB8" s="504">
        <v>0</v>
      </c>
      <c r="NC8" s="504">
        <v>0</v>
      </c>
      <c r="ND8" s="504">
        <v>0</v>
      </c>
      <c r="NE8" s="504">
        <v>0</v>
      </c>
      <c r="NF8" s="504">
        <v>0</v>
      </c>
      <c r="NG8" s="504">
        <v>0</v>
      </c>
      <c r="NH8" s="504">
        <v>0</v>
      </c>
      <c r="NI8" s="504">
        <v>0</v>
      </c>
      <c r="NJ8" s="504">
        <v>0</v>
      </c>
      <c r="NK8" s="504">
        <v>0</v>
      </c>
      <c r="NL8" s="504">
        <v>0</v>
      </c>
      <c r="NM8" s="504">
        <v>0</v>
      </c>
      <c r="NN8" s="504">
        <v>0</v>
      </c>
      <c r="NO8" s="504">
        <v>0</v>
      </c>
      <c r="NP8" s="504">
        <v>0</v>
      </c>
      <c r="NQ8" s="504">
        <v>0</v>
      </c>
      <c r="NR8" s="504">
        <v>0</v>
      </c>
      <c r="NS8" s="504">
        <v>0</v>
      </c>
      <c r="NT8" s="504">
        <v>0</v>
      </c>
      <c r="NU8" s="504">
        <v>0</v>
      </c>
      <c r="NV8" s="504">
        <v>0</v>
      </c>
      <c r="NW8" s="504">
        <v>0</v>
      </c>
      <c r="NX8" s="504">
        <v>0</v>
      </c>
      <c r="NY8" s="504">
        <v>0</v>
      </c>
      <c r="NZ8" s="504">
        <v>0</v>
      </c>
      <c r="OA8" s="504">
        <v>0</v>
      </c>
      <c r="OB8" s="504">
        <v>0</v>
      </c>
      <c r="OC8" s="504">
        <v>0</v>
      </c>
      <c r="OD8" s="504">
        <v>0</v>
      </c>
      <c r="OE8" s="504">
        <v>0</v>
      </c>
      <c r="OF8" s="504">
        <v>0</v>
      </c>
      <c r="OG8" s="504">
        <v>0</v>
      </c>
      <c r="OH8" s="504">
        <v>0</v>
      </c>
      <c r="OI8" s="504">
        <v>0</v>
      </c>
      <c r="OJ8" s="504">
        <v>0</v>
      </c>
      <c r="OK8" s="504">
        <v>0</v>
      </c>
      <c r="OL8" s="504">
        <v>0</v>
      </c>
      <c r="OM8" s="504">
        <v>0</v>
      </c>
      <c r="ON8" s="504">
        <v>0</v>
      </c>
      <c r="OO8" s="504">
        <v>0</v>
      </c>
      <c r="OP8" s="504">
        <v>0</v>
      </c>
      <c r="OQ8" s="504">
        <v>0</v>
      </c>
      <c r="OR8" s="1656"/>
    </row>
    <row r="9" spans="1:408" ht="21.5">
      <c r="A9" s="1466" t="s">
        <v>1630</v>
      </c>
      <c r="B9" s="1583" t="s">
        <v>2358</v>
      </c>
      <c r="C9" s="1583" t="s">
        <v>14</v>
      </c>
      <c r="D9" s="1583">
        <v>32</v>
      </c>
      <c r="E9" s="504">
        <v>38</v>
      </c>
      <c r="F9" s="504">
        <v>156</v>
      </c>
      <c r="G9" s="504">
        <v>402</v>
      </c>
      <c r="H9" s="504">
        <v>630</v>
      </c>
      <c r="I9" s="504">
        <v>903</v>
      </c>
      <c r="J9" s="504">
        <v>1102</v>
      </c>
      <c r="K9" s="504">
        <v>1115</v>
      </c>
      <c r="L9" s="504">
        <v>1127</v>
      </c>
      <c r="M9" s="504">
        <v>1140</v>
      </c>
      <c r="N9" s="504">
        <v>1154</v>
      </c>
      <c r="O9" s="504">
        <v>1167</v>
      </c>
      <c r="P9" s="504">
        <v>1181</v>
      </c>
      <c r="Q9" s="504">
        <v>1196</v>
      </c>
      <c r="R9" s="504">
        <v>1210</v>
      </c>
      <c r="S9" s="504">
        <v>1226</v>
      </c>
      <c r="T9" s="504">
        <v>1241</v>
      </c>
      <c r="U9" s="504">
        <v>1257</v>
      </c>
      <c r="V9" s="504">
        <v>1273</v>
      </c>
      <c r="W9" s="504">
        <v>1290</v>
      </c>
      <c r="X9" s="504">
        <v>1307</v>
      </c>
      <c r="Y9" s="504">
        <v>1324</v>
      </c>
      <c r="Z9" s="504">
        <v>1342</v>
      </c>
      <c r="AA9" s="504">
        <v>1360</v>
      </c>
      <c r="AB9" s="504">
        <v>1379</v>
      </c>
      <c r="AC9" s="504">
        <v>1398</v>
      </c>
      <c r="AD9" s="504">
        <v>1418</v>
      </c>
      <c r="AE9" s="504">
        <v>1438</v>
      </c>
      <c r="AF9" s="504">
        <v>1458</v>
      </c>
      <c r="AG9" s="504">
        <v>1479</v>
      </c>
      <c r="AH9" s="504">
        <v>1500</v>
      </c>
      <c r="AI9" s="504">
        <v>1522</v>
      </c>
      <c r="AJ9" s="504">
        <v>1544</v>
      </c>
      <c r="AK9" s="504">
        <v>1566</v>
      </c>
      <c r="AL9" s="504">
        <v>1589</v>
      </c>
      <c r="AM9" s="504">
        <v>1612</v>
      </c>
      <c r="AN9" s="504">
        <v>1636</v>
      </c>
      <c r="AO9" s="504">
        <v>1660</v>
      </c>
      <c r="AP9" s="504">
        <v>1684</v>
      </c>
      <c r="AQ9" s="504">
        <v>1709</v>
      </c>
      <c r="AR9" s="504">
        <v>1735</v>
      </c>
      <c r="AS9" s="504">
        <v>1761</v>
      </c>
      <c r="AT9" s="504">
        <v>1787</v>
      </c>
      <c r="AU9" s="504">
        <v>1815</v>
      </c>
      <c r="AV9" s="504">
        <v>1844</v>
      </c>
      <c r="AW9" s="504">
        <v>1874</v>
      </c>
      <c r="AX9" s="504">
        <v>1907</v>
      </c>
      <c r="AY9" s="504">
        <v>1942</v>
      </c>
      <c r="AZ9" s="504">
        <v>2000</v>
      </c>
      <c r="BA9" s="504">
        <v>0</v>
      </c>
      <c r="BB9" s="504">
        <v>0</v>
      </c>
      <c r="BC9" s="504">
        <v>0</v>
      </c>
      <c r="BD9" s="504">
        <v>0</v>
      </c>
      <c r="BE9" s="504">
        <v>0</v>
      </c>
      <c r="BF9" s="504">
        <v>0</v>
      </c>
      <c r="BG9" s="504">
        <v>0</v>
      </c>
      <c r="BH9" s="504">
        <v>0</v>
      </c>
      <c r="BI9" s="504">
        <v>0</v>
      </c>
      <c r="BJ9" s="504">
        <v>0</v>
      </c>
      <c r="BK9" s="504">
        <v>0</v>
      </c>
      <c r="BL9" s="504">
        <v>0</v>
      </c>
      <c r="BM9" s="504">
        <v>0</v>
      </c>
      <c r="BN9" s="504">
        <v>0</v>
      </c>
      <c r="BO9" s="504">
        <v>0</v>
      </c>
      <c r="BP9" s="504">
        <v>0</v>
      </c>
      <c r="BQ9" s="504">
        <v>0</v>
      </c>
      <c r="BR9" s="504">
        <v>0</v>
      </c>
      <c r="BS9" s="504">
        <v>0</v>
      </c>
      <c r="BT9" s="504">
        <v>0</v>
      </c>
      <c r="BU9" s="504">
        <v>0</v>
      </c>
      <c r="BV9" s="504">
        <v>0</v>
      </c>
      <c r="BW9" s="504">
        <v>0</v>
      </c>
      <c r="BX9" s="504">
        <v>0</v>
      </c>
      <c r="BY9" s="504">
        <v>0</v>
      </c>
      <c r="BZ9" s="504">
        <v>0</v>
      </c>
      <c r="CA9" s="504">
        <v>0</v>
      </c>
      <c r="CB9" s="504">
        <v>0</v>
      </c>
      <c r="CC9" s="504">
        <v>0</v>
      </c>
      <c r="CD9" s="504">
        <v>0</v>
      </c>
      <c r="CE9" s="504">
        <v>0</v>
      </c>
      <c r="CF9" s="504">
        <v>0</v>
      </c>
      <c r="CG9" s="504">
        <v>0</v>
      </c>
      <c r="CH9" s="504">
        <v>0</v>
      </c>
      <c r="CI9" s="504">
        <v>0</v>
      </c>
      <c r="CJ9" s="504">
        <v>0</v>
      </c>
      <c r="CK9" s="504">
        <v>0</v>
      </c>
      <c r="CL9" s="504">
        <v>0</v>
      </c>
      <c r="CM9" s="504">
        <v>0</v>
      </c>
      <c r="CN9" s="504">
        <v>0</v>
      </c>
      <c r="CO9" s="504">
        <v>0</v>
      </c>
      <c r="CP9" s="504">
        <v>0</v>
      </c>
      <c r="CQ9" s="504">
        <v>0</v>
      </c>
      <c r="CR9" s="504">
        <v>0</v>
      </c>
      <c r="CS9" s="504">
        <v>0</v>
      </c>
      <c r="CT9" s="504">
        <v>0</v>
      </c>
      <c r="CU9" s="504">
        <v>0</v>
      </c>
      <c r="CV9" s="504">
        <v>0</v>
      </c>
      <c r="CW9" s="504">
        <v>0</v>
      </c>
      <c r="CX9" s="504">
        <v>0</v>
      </c>
      <c r="CY9" s="504">
        <v>0</v>
      </c>
      <c r="CZ9" s="1654">
        <v>0</v>
      </c>
      <c r="DA9" s="504">
        <v>0</v>
      </c>
      <c r="DB9" s="504">
        <v>132</v>
      </c>
      <c r="DC9" s="504">
        <v>526</v>
      </c>
      <c r="DD9" s="504">
        <v>1097</v>
      </c>
      <c r="DE9" s="504">
        <v>1316</v>
      </c>
      <c r="DF9" s="504">
        <v>1580</v>
      </c>
      <c r="DG9" s="504">
        <v>0</v>
      </c>
      <c r="DH9" s="504">
        <v>0</v>
      </c>
      <c r="DI9" s="504">
        <v>0</v>
      </c>
      <c r="DJ9" s="504">
        <v>0</v>
      </c>
      <c r="DK9" s="504">
        <v>0</v>
      </c>
      <c r="DL9" s="504">
        <v>0</v>
      </c>
      <c r="DM9" s="504">
        <v>0</v>
      </c>
      <c r="DN9" s="504">
        <v>0</v>
      </c>
      <c r="DO9" s="504">
        <v>0</v>
      </c>
      <c r="DP9" s="504">
        <v>0</v>
      </c>
      <c r="DQ9" s="504">
        <v>0</v>
      </c>
      <c r="DR9" s="504">
        <v>0</v>
      </c>
      <c r="DS9" s="504">
        <v>0</v>
      </c>
      <c r="DT9" s="504">
        <v>0</v>
      </c>
      <c r="DU9" s="504">
        <v>0</v>
      </c>
      <c r="DV9" s="504">
        <v>0</v>
      </c>
      <c r="DW9" s="504">
        <v>0</v>
      </c>
      <c r="DX9" s="504">
        <v>0</v>
      </c>
      <c r="DY9" s="504">
        <v>0</v>
      </c>
      <c r="DZ9" s="504">
        <v>0</v>
      </c>
      <c r="EA9" s="504">
        <v>0</v>
      </c>
      <c r="EB9" s="504">
        <v>0</v>
      </c>
      <c r="EC9" s="504">
        <v>0</v>
      </c>
      <c r="ED9" s="504">
        <v>0</v>
      </c>
      <c r="EE9" s="504">
        <v>0</v>
      </c>
      <c r="EF9" s="504">
        <v>0</v>
      </c>
      <c r="EG9" s="504">
        <v>0</v>
      </c>
      <c r="EH9" s="504">
        <v>0</v>
      </c>
      <c r="EI9" s="504">
        <v>0</v>
      </c>
      <c r="EJ9" s="504">
        <v>0</v>
      </c>
      <c r="EK9" s="504">
        <v>0</v>
      </c>
      <c r="EL9" s="504">
        <v>0</v>
      </c>
      <c r="EM9" s="504">
        <v>0</v>
      </c>
      <c r="EN9" s="504">
        <v>0</v>
      </c>
      <c r="EO9" s="504">
        <v>0</v>
      </c>
      <c r="EP9" s="504">
        <v>0</v>
      </c>
      <c r="EQ9" s="504">
        <v>0</v>
      </c>
      <c r="ER9" s="504">
        <v>0</v>
      </c>
      <c r="ES9" s="504">
        <v>0</v>
      </c>
      <c r="ET9" s="504">
        <v>0</v>
      </c>
      <c r="EU9" s="504">
        <v>0</v>
      </c>
      <c r="EV9" s="504">
        <v>0</v>
      </c>
      <c r="EW9" s="504">
        <v>0</v>
      </c>
      <c r="EX9" s="504">
        <v>0</v>
      </c>
      <c r="EY9" s="504">
        <v>0</v>
      </c>
      <c r="EZ9" s="504">
        <v>0</v>
      </c>
      <c r="FA9" s="504">
        <v>0</v>
      </c>
      <c r="FB9" s="504">
        <v>0</v>
      </c>
      <c r="FC9" s="504">
        <v>0</v>
      </c>
      <c r="FD9" s="504">
        <v>0</v>
      </c>
      <c r="FE9" s="504">
        <v>0</v>
      </c>
      <c r="FF9" s="504">
        <v>0</v>
      </c>
      <c r="FG9" s="504">
        <v>0</v>
      </c>
      <c r="FH9" s="504">
        <v>0</v>
      </c>
      <c r="FI9" s="504">
        <v>0</v>
      </c>
      <c r="FJ9" s="504">
        <v>0</v>
      </c>
      <c r="FK9" s="504">
        <v>0</v>
      </c>
      <c r="FL9" s="504">
        <v>0</v>
      </c>
      <c r="FM9" s="504">
        <v>0</v>
      </c>
      <c r="FN9" s="504">
        <v>0</v>
      </c>
      <c r="FO9" s="504">
        <v>0</v>
      </c>
      <c r="FP9" s="504">
        <v>0</v>
      </c>
      <c r="FQ9" s="504">
        <v>0</v>
      </c>
      <c r="FR9" s="504">
        <v>0</v>
      </c>
      <c r="FS9" s="504">
        <v>0</v>
      </c>
      <c r="FT9" s="504">
        <v>0</v>
      </c>
      <c r="FU9" s="504">
        <v>0</v>
      </c>
      <c r="FV9" s="504">
        <v>0</v>
      </c>
      <c r="FW9" s="504">
        <v>0</v>
      </c>
      <c r="FX9" s="504">
        <v>0</v>
      </c>
      <c r="FY9" s="504">
        <v>0</v>
      </c>
      <c r="FZ9" s="504">
        <v>0</v>
      </c>
      <c r="GA9" s="504">
        <v>0</v>
      </c>
      <c r="GB9" s="504">
        <v>0</v>
      </c>
      <c r="GC9" s="504">
        <v>0</v>
      </c>
      <c r="GD9" s="504">
        <v>0</v>
      </c>
      <c r="GE9" s="504">
        <v>0</v>
      </c>
      <c r="GF9" s="504">
        <v>0</v>
      </c>
      <c r="GG9" s="504">
        <v>0</v>
      </c>
      <c r="GH9" s="504">
        <v>0</v>
      </c>
      <c r="GI9" s="504">
        <v>0</v>
      </c>
      <c r="GJ9" s="504">
        <v>0</v>
      </c>
      <c r="GK9" s="504">
        <v>0</v>
      </c>
      <c r="GL9" s="504">
        <v>0</v>
      </c>
      <c r="GM9" s="504">
        <v>0</v>
      </c>
      <c r="GN9" s="504">
        <v>0</v>
      </c>
      <c r="GO9" s="504">
        <v>0</v>
      </c>
      <c r="GP9" s="504">
        <v>0</v>
      </c>
      <c r="GQ9" s="504">
        <v>0</v>
      </c>
      <c r="GR9" s="504">
        <v>0</v>
      </c>
      <c r="GS9" s="504">
        <v>0</v>
      </c>
      <c r="GT9" s="504">
        <v>0</v>
      </c>
      <c r="GU9" s="504">
        <v>0</v>
      </c>
      <c r="GV9" s="504">
        <v>0</v>
      </c>
      <c r="GW9" s="1654">
        <v>0</v>
      </c>
      <c r="GX9" s="504">
        <v>0</v>
      </c>
      <c r="GY9" s="504">
        <v>25347</v>
      </c>
      <c r="GZ9" s="504">
        <v>43107</v>
      </c>
      <c r="HA9" s="504">
        <v>45000</v>
      </c>
      <c r="HB9" s="504">
        <v>44000</v>
      </c>
      <c r="HC9" s="504">
        <v>43000</v>
      </c>
      <c r="HD9" s="504">
        <v>0</v>
      </c>
      <c r="HE9" s="504">
        <v>0</v>
      </c>
      <c r="HF9" s="504">
        <v>0</v>
      </c>
      <c r="HG9" s="504">
        <v>0</v>
      </c>
      <c r="HH9" s="504">
        <v>0</v>
      </c>
      <c r="HI9" s="504">
        <v>0</v>
      </c>
      <c r="HJ9" s="504">
        <v>0</v>
      </c>
      <c r="HK9" s="504">
        <v>0</v>
      </c>
      <c r="HL9" s="504">
        <v>0</v>
      </c>
      <c r="HM9" s="504">
        <v>0</v>
      </c>
      <c r="HN9" s="504">
        <v>0</v>
      </c>
      <c r="HO9" s="504">
        <v>0</v>
      </c>
      <c r="HP9" s="504">
        <v>0</v>
      </c>
      <c r="HQ9" s="504">
        <v>0</v>
      </c>
      <c r="HR9" s="504">
        <v>0</v>
      </c>
      <c r="HS9" s="504">
        <v>0</v>
      </c>
      <c r="HT9" s="504">
        <v>0</v>
      </c>
      <c r="HU9" s="504">
        <v>0</v>
      </c>
      <c r="HV9" s="504">
        <v>0</v>
      </c>
      <c r="HW9" s="504">
        <v>0</v>
      </c>
      <c r="HX9" s="504">
        <v>0</v>
      </c>
      <c r="HY9" s="504">
        <v>0</v>
      </c>
      <c r="HZ9" s="504">
        <v>0</v>
      </c>
      <c r="IA9" s="504">
        <v>0</v>
      </c>
      <c r="IB9" s="504">
        <v>0</v>
      </c>
      <c r="IC9" s="504">
        <v>0</v>
      </c>
      <c r="ID9" s="504">
        <v>0</v>
      </c>
      <c r="IE9" s="504">
        <v>0</v>
      </c>
      <c r="IF9" s="504">
        <v>0</v>
      </c>
      <c r="IG9" s="504">
        <v>0</v>
      </c>
      <c r="IH9" s="504">
        <v>0</v>
      </c>
      <c r="II9" s="504">
        <v>0</v>
      </c>
      <c r="IJ9" s="504">
        <v>0</v>
      </c>
      <c r="IK9" s="504">
        <v>0</v>
      </c>
      <c r="IL9" s="504">
        <v>0</v>
      </c>
      <c r="IM9" s="504">
        <v>0</v>
      </c>
      <c r="IN9" s="504">
        <v>0</v>
      </c>
      <c r="IO9" s="504">
        <v>0</v>
      </c>
      <c r="IP9" s="504">
        <v>0</v>
      </c>
      <c r="IQ9" s="504">
        <v>0</v>
      </c>
      <c r="IR9" s="504">
        <v>0</v>
      </c>
      <c r="IS9" s="504">
        <v>0</v>
      </c>
      <c r="IT9" s="504">
        <v>0</v>
      </c>
      <c r="IU9" s="504">
        <v>0</v>
      </c>
      <c r="IV9" s="504">
        <v>0</v>
      </c>
      <c r="IW9" s="504">
        <v>0</v>
      </c>
      <c r="IX9" s="504">
        <v>0</v>
      </c>
      <c r="IY9" s="504">
        <v>0</v>
      </c>
      <c r="IZ9" s="504">
        <v>0</v>
      </c>
      <c r="JA9" s="504">
        <v>0</v>
      </c>
      <c r="JB9" s="504">
        <v>0</v>
      </c>
      <c r="JC9" s="504">
        <v>0</v>
      </c>
      <c r="JD9" s="504">
        <v>0</v>
      </c>
      <c r="JE9" s="504">
        <v>0</v>
      </c>
      <c r="JF9" s="504">
        <v>0</v>
      </c>
      <c r="JG9" s="504">
        <v>0</v>
      </c>
      <c r="JH9" s="504">
        <v>0</v>
      </c>
      <c r="JI9" s="504">
        <v>0</v>
      </c>
      <c r="JJ9" s="504">
        <v>0</v>
      </c>
      <c r="JK9" s="504">
        <v>0</v>
      </c>
      <c r="JL9" s="504">
        <v>0</v>
      </c>
      <c r="JM9" s="504">
        <v>0</v>
      </c>
      <c r="JN9" s="504">
        <v>0</v>
      </c>
      <c r="JO9" s="504">
        <v>0</v>
      </c>
      <c r="JP9" s="504">
        <v>0</v>
      </c>
      <c r="JQ9" s="504">
        <v>0</v>
      </c>
      <c r="JR9" s="504">
        <v>0</v>
      </c>
      <c r="JS9" s="504">
        <v>0</v>
      </c>
      <c r="JT9" s="504">
        <v>0</v>
      </c>
      <c r="JU9" s="504">
        <v>0</v>
      </c>
      <c r="JV9" s="504">
        <v>0</v>
      </c>
      <c r="JW9" s="504">
        <v>0</v>
      </c>
      <c r="JX9" s="504">
        <v>0</v>
      </c>
      <c r="JY9" s="504">
        <v>0</v>
      </c>
      <c r="JZ9" s="504">
        <v>0</v>
      </c>
      <c r="KA9" s="504">
        <v>0</v>
      </c>
      <c r="KB9" s="504">
        <v>0</v>
      </c>
      <c r="KC9" s="504">
        <v>0</v>
      </c>
      <c r="KD9" s="504">
        <v>0</v>
      </c>
      <c r="KE9" s="504">
        <v>0</v>
      </c>
      <c r="KF9" s="504">
        <v>0</v>
      </c>
      <c r="KG9" s="504">
        <v>0</v>
      </c>
      <c r="KH9" s="504">
        <v>0</v>
      </c>
      <c r="KI9" s="504">
        <v>0</v>
      </c>
      <c r="KJ9" s="504">
        <v>0</v>
      </c>
      <c r="KK9" s="504">
        <v>0</v>
      </c>
      <c r="KL9" s="504">
        <v>0</v>
      </c>
      <c r="KM9" s="504">
        <v>0</v>
      </c>
      <c r="KN9" s="504">
        <v>0</v>
      </c>
      <c r="KO9" s="504">
        <v>0</v>
      </c>
      <c r="KP9" s="504">
        <v>0</v>
      </c>
      <c r="KQ9" s="504">
        <v>0</v>
      </c>
      <c r="KR9" s="504">
        <v>0</v>
      </c>
      <c r="KS9" s="504">
        <v>0</v>
      </c>
      <c r="KT9" s="1654">
        <v>0</v>
      </c>
      <c r="KU9" s="504">
        <v>0</v>
      </c>
      <c r="KV9" s="504">
        <v>0</v>
      </c>
      <c r="KW9" s="504">
        <v>0</v>
      </c>
      <c r="KX9" s="504">
        <v>1086</v>
      </c>
      <c r="KY9" s="504">
        <v>1305</v>
      </c>
      <c r="KZ9" s="504">
        <v>1569</v>
      </c>
      <c r="LA9" s="504">
        <v>0</v>
      </c>
      <c r="LB9" s="504">
        <v>0</v>
      </c>
      <c r="LC9" s="504">
        <v>0</v>
      </c>
      <c r="LD9" s="504">
        <v>0</v>
      </c>
      <c r="LE9" s="504">
        <v>0</v>
      </c>
      <c r="LF9" s="504">
        <v>0</v>
      </c>
      <c r="LG9" s="504">
        <v>0</v>
      </c>
      <c r="LH9" s="504">
        <v>0</v>
      </c>
      <c r="LI9" s="504">
        <v>0</v>
      </c>
      <c r="LJ9" s="504">
        <v>0</v>
      </c>
      <c r="LK9" s="504">
        <v>0</v>
      </c>
      <c r="LL9" s="504">
        <v>0</v>
      </c>
      <c r="LM9" s="504">
        <v>0</v>
      </c>
      <c r="LN9" s="504">
        <v>0</v>
      </c>
      <c r="LO9" s="504">
        <v>0</v>
      </c>
      <c r="LP9" s="504">
        <v>0</v>
      </c>
      <c r="LQ9" s="504">
        <v>0</v>
      </c>
      <c r="LR9" s="504">
        <v>0</v>
      </c>
      <c r="LS9" s="504">
        <v>0</v>
      </c>
      <c r="LT9" s="504">
        <v>0</v>
      </c>
      <c r="LU9" s="504">
        <v>0</v>
      </c>
      <c r="LV9" s="504">
        <v>0</v>
      </c>
      <c r="LW9" s="504">
        <v>0</v>
      </c>
      <c r="LX9" s="504">
        <v>0</v>
      </c>
      <c r="LY9" s="504">
        <v>0</v>
      </c>
      <c r="LZ9" s="504">
        <v>0</v>
      </c>
      <c r="MA9" s="504">
        <v>0</v>
      </c>
      <c r="MB9" s="504">
        <v>0</v>
      </c>
      <c r="MC9" s="504">
        <v>0</v>
      </c>
      <c r="MD9" s="504">
        <v>0</v>
      </c>
      <c r="ME9" s="504">
        <v>0</v>
      </c>
      <c r="MF9" s="504">
        <v>0</v>
      </c>
      <c r="MG9" s="504">
        <v>0</v>
      </c>
      <c r="MH9" s="504">
        <v>0</v>
      </c>
      <c r="MI9" s="504">
        <v>0</v>
      </c>
      <c r="MJ9" s="504">
        <v>0</v>
      </c>
      <c r="MK9" s="504">
        <v>0</v>
      </c>
      <c r="ML9" s="504">
        <v>0</v>
      </c>
      <c r="MM9" s="504">
        <v>0</v>
      </c>
      <c r="MN9" s="504">
        <v>0</v>
      </c>
      <c r="MO9" s="504">
        <v>0</v>
      </c>
      <c r="MP9" s="504">
        <v>0</v>
      </c>
      <c r="MQ9" s="504">
        <v>0</v>
      </c>
      <c r="MR9" s="504">
        <v>0</v>
      </c>
      <c r="MS9" s="504">
        <v>0</v>
      </c>
      <c r="MT9" s="504">
        <v>0</v>
      </c>
      <c r="MU9" s="504">
        <v>0</v>
      </c>
      <c r="MV9" s="504">
        <v>0</v>
      </c>
      <c r="MW9" s="504">
        <v>0</v>
      </c>
      <c r="MX9" s="504">
        <v>0</v>
      </c>
      <c r="MY9" s="504">
        <v>0</v>
      </c>
      <c r="MZ9" s="504">
        <v>0</v>
      </c>
      <c r="NA9" s="504">
        <v>0</v>
      </c>
      <c r="NB9" s="504">
        <v>0</v>
      </c>
      <c r="NC9" s="504">
        <v>0</v>
      </c>
      <c r="ND9" s="504">
        <v>0</v>
      </c>
      <c r="NE9" s="504">
        <v>0</v>
      </c>
      <c r="NF9" s="504">
        <v>0</v>
      </c>
      <c r="NG9" s="504">
        <v>0</v>
      </c>
      <c r="NH9" s="504">
        <v>0</v>
      </c>
      <c r="NI9" s="504">
        <v>0</v>
      </c>
      <c r="NJ9" s="504">
        <v>0</v>
      </c>
      <c r="NK9" s="504">
        <v>0</v>
      </c>
      <c r="NL9" s="504">
        <v>0</v>
      </c>
      <c r="NM9" s="504">
        <v>0</v>
      </c>
      <c r="NN9" s="504">
        <v>0</v>
      </c>
      <c r="NO9" s="504">
        <v>0</v>
      </c>
      <c r="NP9" s="504">
        <v>0</v>
      </c>
      <c r="NQ9" s="504">
        <v>0</v>
      </c>
      <c r="NR9" s="504">
        <v>0</v>
      </c>
      <c r="NS9" s="504">
        <v>0</v>
      </c>
      <c r="NT9" s="504">
        <v>0</v>
      </c>
      <c r="NU9" s="504">
        <v>0</v>
      </c>
      <c r="NV9" s="504">
        <v>0</v>
      </c>
      <c r="NW9" s="504">
        <v>0</v>
      </c>
      <c r="NX9" s="504">
        <v>0</v>
      </c>
      <c r="NY9" s="504">
        <v>0</v>
      </c>
      <c r="NZ9" s="504">
        <v>0</v>
      </c>
      <c r="OA9" s="504">
        <v>0</v>
      </c>
      <c r="OB9" s="504">
        <v>0</v>
      </c>
      <c r="OC9" s="504">
        <v>0</v>
      </c>
      <c r="OD9" s="504">
        <v>0</v>
      </c>
      <c r="OE9" s="504">
        <v>0</v>
      </c>
      <c r="OF9" s="504">
        <v>0</v>
      </c>
      <c r="OG9" s="504">
        <v>0</v>
      </c>
      <c r="OH9" s="504">
        <v>0</v>
      </c>
      <c r="OI9" s="504">
        <v>0</v>
      </c>
      <c r="OJ9" s="504">
        <v>0</v>
      </c>
      <c r="OK9" s="504">
        <v>0</v>
      </c>
      <c r="OL9" s="504">
        <v>0</v>
      </c>
      <c r="OM9" s="504">
        <v>0</v>
      </c>
      <c r="ON9" s="504">
        <v>0</v>
      </c>
      <c r="OO9" s="504">
        <v>0</v>
      </c>
      <c r="OP9" s="504">
        <v>0</v>
      </c>
      <c r="OQ9" s="504">
        <v>0</v>
      </c>
      <c r="OR9" s="1656"/>
    </row>
    <row r="10" spans="1:408" ht="21.5">
      <c r="A10" s="1466" t="s">
        <v>1631</v>
      </c>
      <c r="B10" s="1583" t="s">
        <v>2358</v>
      </c>
      <c r="C10" s="1583" t="s">
        <v>14</v>
      </c>
      <c r="D10" s="1583">
        <v>33</v>
      </c>
      <c r="E10" s="504">
        <v>38</v>
      </c>
      <c r="F10" s="504">
        <v>157</v>
      </c>
      <c r="G10" s="504">
        <v>407</v>
      </c>
      <c r="H10" s="504">
        <v>637</v>
      </c>
      <c r="I10" s="504">
        <v>913</v>
      </c>
      <c r="J10" s="504">
        <v>1115</v>
      </c>
      <c r="K10" s="504">
        <v>1127</v>
      </c>
      <c r="L10" s="504">
        <v>1140</v>
      </c>
      <c r="M10" s="504">
        <v>1154</v>
      </c>
      <c r="N10" s="504">
        <v>1167</v>
      </c>
      <c r="O10" s="504">
        <v>1181</v>
      </c>
      <c r="P10" s="504">
        <v>1196</v>
      </c>
      <c r="Q10" s="504">
        <v>1210</v>
      </c>
      <c r="R10" s="504">
        <v>1226</v>
      </c>
      <c r="S10" s="504">
        <v>1241</v>
      </c>
      <c r="T10" s="504">
        <v>1257</v>
      </c>
      <c r="U10" s="504">
        <v>1273</v>
      </c>
      <c r="V10" s="504">
        <v>1290</v>
      </c>
      <c r="W10" s="504">
        <v>1307</v>
      </c>
      <c r="X10" s="504">
        <v>1324</v>
      </c>
      <c r="Y10" s="504">
        <v>1342</v>
      </c>
      <c r="Z10" s="504">
        <v>1360</v>
      </c>
      <c r="AA10" s="504">
        <v>1379</v>
      </c>
      <c r="AB10" s="504">
        <v>1398</v>
      </c>
      <c r="AC10" s="504">
        <v>1418</v>
      </c>
      <c r="AD10" s="504">
        <v>1438</v>
      </c>
      <c r="AE10" s="504">
        <v>1458</v>
      </c>
      <c r="AF10" s="504">
        <v>1479</v>
      </c>
      <c r="AG10" s="504">
        <v>1500</v>
      </c>
      <c r="AH10" s="504">
        <v>1522</v>
      </c>
      <c r="AI10" s="504">
        <v>1544</v>
      </c>
      <c r="AJ10" s="504">
        <v>1566</v>
      </c>
      <c r="AK10" s="504">
        <v>1589</v>
      </c>
      <c r="AL10" s="504">
        <v>1612</v>
      </c>
      <c r="AM10" s="504">
        <v>1636</v>
      </c>
      <c r="AN10" s="504">
        <v>1660</v>
      </c>
      <c r="AO10" s="504">
        <v>1684</v>
      </c>
      <c r="AP10" s="504">
        <v>1709</v>
      </c>
      <c r="AQ10" s="504">
        <v>1735</v>
      </c>
      <c r="AR10" s="504">
        <v>1761</v>
      </c>
      <c r="AS10" s="504">
        <v>1787</v>
      </c>
      <c r="AT10" s="504">
        <v>1815</v>
      </c>
      <c r="AU10" s="504">
        <v>1844</v>
      </c>
      <c r="AV10" s="504">
        <v>1874</v>
      </c>
      <c r="AW10" s="504">
        <v>1907</v>
      </c>
      <c r="AX10" s="504">
        <v>1942</v>
      </c>
      <c r="AY10" s="504">
        <v>2000</v>
      </c>
      <c r="AZ10" s="504">
        <v>0</v>
      </c>
      <c r="BA10" s="504">
        <v>0</v>
      </c>
      <c r="BB10" s="504">
        <v>0</v>
      </c>
      <c r="BC10" s="504">
        <v>0</v>
      </c>
      <c r="BD10" s="504">
        <v>0</v>
      </c>
      <c r="BE10" s="504">
        <v>0</v>
      </c>
      <c r="BF10" s="504">
        <v>0</v>
      </c>
      <c r="BG10" s="504">
        <v>0</v>
      </c>
      <c r="BH10" s="504">
        <v>0</v>
      </c>
      <c r="BI10" s="504">
        <v>0</v>
      </c>
      <c r="BJ10" s="504">
        <v>0</v>
      </c>
      <c r="BK10" s="504">
        <v>0</v>
      </c>
      <c r="BL10" s="504">
        <v>0</v>
      </c>
      <c r="BM10" s="504">
        <v>0</v>
      </c>
      <c r="BN10" s="504">
        <v>0</v>
      </c>
      <c r="BO10" s="504">
        <v>0</v>
      </c>
      <c r="BP10" s="504">
        <v>0</v>
      </c>
      <c r="BQ10" s="504">
        <v>0</v>
      </c>
      <c r="BR10" s="504">
        <v>0</v>
      </c>
      <c r="BS10" s="504">
        <v>0</v>
      </c>
      <c r="BT10" s="504">
        <v>0</v>
      </c>
      <c r="BU10" s="504">
        <v>0</v>
      </c>
      <c r="BV10" s="504">
        <v>0</v>
      </c>
      <c r="BW10" s="504">
        <v>0</v>
      </c>
      <c r="BX10" s="504">
        <v>0</v>
      </c>
      <c r="BY10" s="504">
        <v>0</v>
      </c>
      <c r="BZ10" s="504">
        <v>0</v>
      </c>
      <c r="CA10" s="504">
        <v>0</v>
      </c>
      <c r="CB10" s="504">
        <v>0</v>
      </c>
      <c r="CC10" s="504">
        <v>0</v>
      </c>
      <c r="CD10" s="504">
        <v>0</v>
      </c>
      <c r="CE10" s="504">
        <v>0</v>
      </c>
      <c r="CF10" s="504">
        <v>0</v>
      </c>
      <c r="CG10" s="504">
        <v>0</v>
      </c>
      <c r="CH10" s="504">
        <v>0</v>
      </c>
      <c r="CI10" s="504">
        <v>0</v>
      </c>
      <c r="CJ10" s="504">
        <v>0</v>
      </c>
      <c r="CK10" s="504">
        <v>0</v>
      </c>
      <c r="CL10" s="504">
        <v>0</v>
      </c>
      <c r="CM10" s="504">
        <v>0</v>
      </c>
      <c r="CN10" s="504">
        <v>0</v>
      </c>
      <c r="CO10" s="504">
        <v>0</v>
      </c>
      <c r="CP10" s="504">
        <v>0</v>
      </c>
      <c r="CQ10" s="504">
        <v>0</v>
      </c>
      <c r="CR10" s="504">
        <v>0</v>
      </c>
      <c r="CS10" s="504">
        <v>0</v>
      </c>
      <c r="CT10" s="504">
        <v>0</v>
      </c>
      <c r="CU10" s="504">
        <v>0</v>
      </c>
      <c r="CV10" s="504">
        <v>0</v>
      </c>
      <c r="CW10" s="504">
        <v>0</v>
      </c>
      <c r="CX10" s="504">
        <v>0</v>
      </c>
      <c r="CY10" s="504">
        <v>0</v>
      </c>
      <c r="CZ10" s="1654">
        <v>0</v>
      </c>
      <c r="DA10" s="504">
        <v>0</v>
      </c>
      <c r="DB10" s="504">
        <v>128</v>
      </c>
      <c r="DC10" s="504">
        <v>515</v>
      </c>
      <c r="DD10" s="504">
        <v>1093</v>
      </c>
      <c r="DE10" s="504">
        <v>1314</v>
      </c>
      <c r="DF10" s="504">
        <v>1581</v>
      </c>
      <c r="DG10" s="504">
        <v>0</v>
      </c>
      <c r="DH10" s="504">
        <v>0</v>
      </c>
      <c r="DI10" s="504">
        <v>0</v>
      </c>
      <c r="DJ10" s="504">
        <v>0</v>
      </c>
      <c r="DK10" s="504">
        <v>0</v>
      </c>
      <c r="DL10" s="504">
        <v>0</v>
      </c>
      <c r="DM10" s="504">
        <v>0</v>
      </c>
      <c r="DN10" s="504">
        <v>0</v>
      </c>
      <c r="DO10" s="504">
        <v>0</v>
      </c>
      <c r="DP10" s="504">
        <v>0</v>
      </c>
      <c r="DQ10" s="504">
        <v>0</v>
      </c>
      <c r="DR10" s="504">
        <v>0</v>
      </c>
      <c r="DS10" s="504">
        <v>0</v>
      </c>
      <c r="DT10" s="504">
        <v>0</v>
      </c>
      <c r="DU10" s="504">
        <v>0</v>
      </c>
      <c r="DV10" s="504">
        <v>0</v>
      </c>
      <c r="DW10" s="504">
        <v>0</v>
      </c>
      <c r="DX10" s="504">
        <v>0</v>
      </c>
      <c r="DY10" s="504">
        <v>0</v>
      </c>
      <c r="DZ10" s="504">
        <v>0</v>
      </c>
      <c r="EA10" s="504">
        <v>0</v>
      </c>
      <c r="EB10" s="504">
        <v>0</v>
      </c>
      <c r="EC10" s="504">
        <v>0</v>
      </c>
      <c r="ED10" s="504">
        <v>0</v>
      </c>
      <c r="EE10" s="504">
        <v>0</v>
      </c>
      <c r="EF10" s="504">
        <v>0</v>
      </c>
      <c r="EG10" s="504">
        <v>0</v>
      </c>
      <c r="EH10" s="504">
        <v>0</v>
      </c>
      <c r="EI10" s="504">
        <v>0</v>
      </c>
      <c r="EJ10" s="504">
        <v>0</v>
      </c>
      <c r="EK10" s="504">
        <v>0</v>
      </c>
      <c r="EL10" s="504">
        <v>0</v>
      </c>
      <c r="EM10" s="504">
        <v>0</v>
      </c>
      <c r="EN10" s="504">
        <v>0</v>
      </c>
      <c r="EO10" s="504">
        <v>0</v>
      </c>
      <c r="EP10" s="504">
        <v>0</v>
      </c>
      <c r="EQ10" s="504">
        <v>0</v>
      </c>
      <c r="ER10" s="504">
        <v>0</v>
      </c>
      <c r="ES10" s="504">
        <v>0</v>
      </c>
      <c r="ET10" s="504">
        <v>0</v>
      </c>
      <c r="EU10" s="504">
        <v>0</v>
      </c>
      <c r="EV10" s="504">
        <v>0</v>
      </c>
      <c r="EW10" s="504">
        <v>0</v>
      </c>
      <c r="EX10" s="504">
        <v>0</v>
      </c>
      <c r="EY10" s="504">
        <v>0</v>
      </c>
      <c r="EZ10" s="504">
        <v>0</v>
      </c>
      <c r="FA10" s="504">
        <v>0</v>
      </c>
      <c r="FB10" s="504">
        <v>0</v>
      </c>
      <c r="FC10" s="504">
        <v>0</v>
      </c>
      <c r="FD10" s="504">
        <v>0</v>
      </c>
      <c r="FE10" s="504">
        <v>0</v>
      </c>
      <c r="FF10" s="504">
        <v>0</v>
      </c>
      <c r="FG10" s="504">
        <v>0</v>
      </c>
      <c r="FH10" s="504">
        <v>0</v>
      </c>
      <c r="FI10" s="504">
        <v>0</v>
      </c>
      <c r="FJ10" s="504">
        <v>0</v>
      </c>
      <c r="FK10" s="504">
        <v>0</v>
      </c>
      <c r="FL10" s="504">
        <v>0</v>
      </c>
      <c r="FM10" s="504">
        <v>0</v>
      </c>
      <c r="FN10" s="504">
        <v>0</v>
      </c>
      <c r="FO10" s="504">
        <v>0</v>
      </c>
      <c r="FP10" s="504">
        <v>0</v>
      </c>
      <c r="FQ10" s="504">
        <v>0</v>
      </c>
      <c r="FR10" s="504">
        <v>0</v>
      </c>
      <c r="FS10" s="504">
        <v>0</v>
      </c>
      <c r="FT10" s="504">
        <v>0</v>
      </c>
      <c r="FU10" s="504">
        <v>0</v>
      </c>
      <c r="FV10" s="504">
        <v>0</v>
      </c>
      <c r="FW10" s="504">
        <v>0</v>
      </c>
      <c r="FX10" s="504">
        <v>0</v>
      </c>
      <c r="FY10" s="504">
        <v>0</v>
      </c>
      <c r="FZ10" s="504">
        <v>0</v>
      </c>
      <c r="GA10" s="504">
        <v>0</v>
      </c>
      <c r="GB10" s="504">
        <v>0</v>
      </c>
      <c r="GC10" s="504">
        <v>0</v>
      </c>
      <c r="GD10" s="504">
        <v>0</v>
      </c>
      <c r="GE10" s="504">
        <v>0</v>
      </c>
      <c r="GF10" s="504">
        <v>0</v>
      </c>
      <c r="GG10" s="504">
        <v>0</v>
      </c>
      <c r="GH10" s="504">
        <v>0</v>
      </c>
      <c r="GI10" s="504">
        <v>0</v>
      </c>
      <c r="GJ10" s="504">
        <v>0</v>
      </c>
      <c r="GK10" s="504">
        <v>0</v>
      </c>
      <c r="GL10" s="504">
        <v>0</v>
      </c>
      <c r="GM10" s="504">
        <v>0</v>
      </c>
      <c r="GN10" s="504">
        <v>0</v>
      </c>
      <c r="GO10" s="504">
        <v>0</v>
      </c>
      <c r="GP10" s="504">
        <v>0</v>
      </c>
      <c r="GQ10" s="504">
        <v>0</v>
      </c>
      <c r="GR10" s="504">
        <v>0</v>
      </c>
      <c r="GS10" s="504">
        <v>0</v>
      </c>
      <c r="GT10" s="504">
        <v>0</v>
      </c>
      <c r="GU10" s="504">
        <v>0</v>
      </c>
      <c r="GV10" s="504">
        <v>0</v>
      </c>
      <c r="GW10" s="1654">
        <v>0</v>
      </c>
      <c r="GX10" s="504">
        <v>0</v>
      </c>
      <c r="GY10" s="504">
        <v>24304</v>
      </c>
      <c r="GZ10" s="504">
        <v>42012</v>
      </c>
      <c r="HA10" s="504">
        <v>44000</v>
      </c>
      <c r="HB10" s="504">
        <v>43000</v>
      </c>
      <c r="HC10" s="504">
        <v>42000</v>
      </c>
      <c r="HD10" s="504">
        <v>0</v>
      </c>
      <c r="HE10" s="504">
        <v>0</v>
      </c>
      <c r="HF10" s="504">
        <v>0</v>
      </c>
      <c r="HG10" s="504">
        <v>0</v>
      </c>
      <c r="HH10" s="504">
        <v>0</v>
      </c>
      <c r="HI10" s="504">
        <v>0</v>
      </c>
      <c r="HJ10" s="504">
        <v>0</v>
      </c>
      <c r="HK10" s="504">
        <v>0</v>
      </c>
      <c r="HL10" s="504">
        <v>0</v>
      </c>
      <c r="HM10" s="504">
        <v>0</v>
      </c>
      <c r="HN10" s="504">
        <v>0</v>
      </c>
      <c r="HO10" s="504">
        <v>0</v>
      </c>
      <c r="HP10" s="504">
        <v>0</v>
      </c>
      <c r="HQ10" s="504">
        <v>0</v>
      </c>
      <c r="HR10" s="504">
        <v>0</v>
      </c>
      <c r="HS10" s="504">
        <v>0</v>
      </c>
      <c r="HT10" s="504">
        <v>0</v>
      </c>
      <c r="HU10" s="504">
        <v>0</v>
      </c>
      <c r="HV10" s="504">
        <v>0</v>
      </c>
      <c r="HW10" s="504">
        <v>0</v>
      </c>
      <c r="HX10" s="504">
        <v>0</v>
      </c>
      <c r="HY10" s="504">
        <v>0</v>
      </c>
      <c r="HZ10" s="504">
        <v>0</v>
      </c>
      <c r="IA10" s="504">
        <v>0</v>
      </c>
      <c r="IB10" s="504">
        <v>0</v>
      </c>
      <c r="IC10" s="504">
        <v>0</v>
      </c>
      <c r="ID10" s="504">
        <v>0</v>
      </c>
      <c r="IE10" s="504">
        <v>0</v>
      </c>
      <c r="IF10" s="504">
        <v>0</v>
      </c>
      <c r="IG10" s="504">
        <v>0</v>
      </c>
      <c r="IH10" s="504">
        <v>0</v>
      </c>
      <c r="II10" s="504">
        <v>0</v>
      </c>
      <c r="IJ10" s="504">
        <v>0</v>
      </c>
      <c r="IK10" s="504">
        <v>0</v>
      </c>
      <c r="IL10" s="504">
        <v>0</v>
      </c>
      <c r="IM10" s="504">
        <v>0</v>
      </c>
      <c r="IN10" s="504">
        <v>0</v>
      </c>
      <c r="IO10" s="504">
        <v>0</v>
      </c>
      <c r="IP10" s="504">
        <v>0</v>
      </c>
      <c r="IQ10" s="504">
        <v>0</v>
      </c>
      <c r="IR10" s="504">
        <v>0</v>
      </c>
      <c r="IS10" s="504">
        <v>0</v>
      </c>
      <c r="IT10" s="504">
        <v>0</v>
      </c>
      <c r="IU10" s="504">
        <v>0</v>
      </c>
      <c r="IV10" s="504">
        <v>0</v>
      </c>
      <c r="IW10" s="504">
        <v>0</v>
      </c>
      <c r="IX10" s="504">
        <v>0</v>
      </c>
      <c r="IY10" s="504">
        <v>0</v>
      </c>
      <c r="IZ10" s="504">
        <v>0</v>
      </c>
      <c r="JA10" s="504">
        <v>0</v>
      </c>
      <c r="JB10" s="504">
        <v>0</v>
      </c>
      <c r="JC10" s="504">
        <v>0</v>
      </c>
      <c r="JD10" s="504">
        <v>0</v>
      </c>
      <c r="JE10" s="504">
        <v>0</v>
      </c>
      <c r="JF10" s="504">
        <v>0</v>
      </c>
      <c r="JG10" s="504">
        <v>0</v>
      </c>
      <c r="JH10" s="504">
        <v>0</v>
      </c>
      <c r="JI10" s="504">
        <v>0</v>
      </c>
      <c r="JJ10" s="504">
        <v>0</v>
      </c>
      <c r="JK10" s="504">
        <v>0</v>
      </c>
      <c r="JL10" s="504">
        <v>0</v>
      </c>
      <c r="JM10" s="504">
        <v>0</v>
      </c>
      <c r="JN10" s="504">
        <v>0</v>
      </c>
      <c r="JO10" s="504">
        <v>0</v>
      </c>
      <c r="JP10" s="504">
        <v>0</v>
      </c>
      <c r="JQ10" s="504">
        <v>0</v>
      </c>
      <c r="JR10" s="504">
        <v>0</v>
      </c>
      <c r="JS10" s="504">
        <v>0</v>
      </c>
      <c r="JT10" s="504">
        <v>0</v>
      </c>
      <c r="JU10" s="504">
        <v>0</v>
      </c>
      <c r="JV10" s="504">
        <v>0</v>
      </c>
      <c r="JW10" s="504">
        <v>0</v>
      </c>
      <c r="JX10" s="504">
        <v>0</v>
      </c>
      <c r="JY10" s="504">
        <v>0</v>
      </c>
      <c r="JZ10" s="504">
        <v>0</v>
      </c>
      <c r="KA10" s="504">
        <v>0</v>
      </c>
      <c r="KB10" s="504">
        <v>0</v>
      </c>
      <c r="KC10" s="504">
        <v>0</v>
      </c>
      <c r="KD10" s="504">
        <v>0</v>
      </c>
      <c r="KE10" s="504">
        <v>0</v>
      </c>
      <c r="KF10" s="504">
        <v>0</v>
      </c>
      <c r="KG10" s="504">
        <v>0</v>
      </c>
      <c r="KH10" s="504">
        <v>0</v>
      </c>
      <c r="KI10" s="504">
        <v>0</v>
      </c>
      <c r="KJ10" s="504">
        <v>0</v>
      </c>
      <c r="KK10" s="504">
        <v>0</v>
      </c>
      <c r="KL10" s="504">
        <v>0</v>
      </c>
      <c r="KM10" s="504">
        <v>0</v>
      </c>
      <c r="KN10" s="504">
        <v>0</v>
      </c>
      <c r="KO10" s="504">
        <v>0</v>
      </c>
      <c r="KP10" s="504">
        <v>0</v>
      </c>
      <c r="KQ10" s="504">
        <v>0</v>
      </c>
      <c r="KR10" s="504">
        <v>0</v>
      </c>
      <c r="KS10" s="504">
        <v>0</v>
      </c>
      <c r="KT10" s="1654">
        <v>0</v>
      </c>
      <c r="KU10" s="504">
        <v>0</v>
      </c>
      <c r="KV10" s="504">
        <v>0</v>
      </c>
      <c r="KW10" s="504">
        <v>0</v>
      </c>
      <c r="KX10" s="504">
        <v>1082</v>
      </c>
      <c r="KY10" s="504">
        <v>1303</v>
      </c>
      <c r="KZ10" s="504">
        <v>1570</v>
      </c>
      <c r="LA10" s="504">
        <v>0</v>
      </c>
      <c r="LB10" s="504">
        <v>0</v>
      </c>
      <c r="LC10" s="504">
        <v>0</v>
      </c>
      <c r="LD10" s="504">
        <v>0</v>
      </c>
      <c r="LE10" s="504">
        <v>0</v>
      </c>
      <c r="LF10" s="504">
        <v>0</v>
      </c>
      <c r="LG10" s="504">
        <v>0</v>
      </c>
      <c r="LH10" s="504">
        <v>0</v>
      </c>
      <c r="LI10" s="504">
        <v>0</v>
      </c>
      <c r="LJ10" s="504">
        <v>0</v>
      </c>
      <c r="LK10" s="504">
        <v>0</v>
      </c>
      <c r="LL10" s="504">
        <v>0</v>
      </c>
      <c r="LM10" s="504">
        <v>0</v>
      </c>
      <c r="LN10" s="504">
        <v>0</v>
      </c>
      <c r="LO10" s="504">
        <v>0</v>
      </c>
      <c r="LP10" s="504">
        <v>0</v>
      </c>
      <c r="LQ10" s="504">
        <v>0</v>
      </c>
      <c r="LR10" s="504">
        <v>0</v>
      </c>
      <c r="LS10" s="504">
        <v>0</v>
      </c>
      <c r="LT10" s="504">
        <v>0</v>
      </c>
      <c r="LU10" s="504">
        <v>0</v>
      </c>
      <c r="LV10" s="504">
        <v>0</v>
      </c>
      <c r="LW10" s="504">
        <v>0</v>
      </c>
      <c r="LX10" s="504">
        <v>0</v>
      </c>
      <c r="LY10" s="504">
        <v>0</v>
      </c>
      <c r="LZ10" s="504">
        <v>0</v>
      </c>
      <c r="MA10" s="504">
        <v>0</v>
      </c>
      <c r="MB10" s="504">
        <v>0</v>
      </c>
      <c r="MC10" s="504">
        <v>0</v>
      </c>
      <c r="MD10" s="504">
        <v>0</v>
      </c>
      <c r="ME10" s="504">
        <v>0</v>
      </c>
      <c r="MF10" s="504">
        <v>0</v>
      </c>
      <c r="MG10" s="504">
        <v>0</v>
      </c>
      <c r="MH10" s="504">
        <v>0</v>
      </c>
      <c r="MI10" s="504">
        <v>0</v>
      </c>
      <c r="MJ10" s="504">
        <v>0</v>
      </c>
      <c r="MK10" s="504">
        <v>0</v>
      </c>
      <c r="ML10" s="504">
        <v>0</v>
      </c>
      <c r="MM10" s="504">
        <v>0</v>
      </c>
      <c r="MN10" s="504">
        <v>0</v>
      </c>
      <c r="MO10" s="504">
        <v>0</v>
      </c>
      <c r="MP10" s="504">
        <v>0</v>
      </c>
      <c r="MQ10" s="504">
        <v>0</v>
      </c>
      <c r="MR10" s="504">
        <v>0</v>
      </c>
      <c r="MS10" s="504">
        <v>0</v>
      </c>
      <c r="MT10" s="504">
        <v>0</v>
      </c>
      <c r="MU10" s="504">
        <v>0</v>
      </c>
      <c r="MV10" s="504">
        <v>0</v>
      </c>
      <c r="MW10" s="504">
        <v>0</v>
      </c>
      <c r="MX10" s="504">
        <v>0</v>
      </c>
      <c r="MY10" s="504">
        <v>0</v>
      </c>
      <c r="MZ10" s="504">
        <v>0</v>
      </c>
      <c r="NA10" s="504">
        <v>0</v>
      </c>
      <c r="NB10" s="504">
        <v>0</v>
      </c>
      <c r="NC10" s="504">
        <v>0</v>
      </c>
      <c r="ND10" s="504">
        <v>0</v>
      </c>
      <c r="NE10" s="504">
        <v>0</v>
      </c>
      <c r="NF10" s="504">
        <v>0</v>
      </c>
      <c r="NG10" s="504">
        <v>0</v>
      </c>
      <c r="NH10" s="504">
        <v>0</v>
      </c>
      <c r="NI10" s="504">
        <v>0</v>
      </c>
      <c r="NJ10" s="504">
        <v>0</v>
      </c>
      <c r="NK10" s="504">
        <v>0</v>
      </c>
      <c r="NL10" s="504">
        <v>0</v>
      </c>
      <c r="NM10" s="504">
        <v>0</v>
      </c>
      <c r="NN10" s="504">
        <v>0</v>
      </c>
      <c r="NO10" s="504">
        <v>0</v>
      </c>
      <c r="NP10" s="504">
        <v>0</v>
      </c>
      <c r="NQ10" s="504">
        <v>0</v>
      </c>
      <c r="NR10" s="504">
        <v>0</v>
      </c>
      <c r="NS10" s="504">
        <v>0</v>
      </c>
      <c r="NT10" s="504">
        <v>0</v>
      </c>
      <c r="NU10" s="504">
        <v>0</v>
      </c>
      <c r="NV10" s="504">
        <v>0</v>
      </c>
      <c r="NW10" s="504">
        <v>0</v>
      </c>
      <c r="NX10" s="504">
        <v>0</v>
      </c>
      <c r="NY10" s="504">
        <v>0</v>
      </c>
      <c r="NZ10" s="504">
        <v>0</v>
      </c>
      <c r="OA10" s="504">
        <v>0</v>
      </c>
      <c r="OB10" s="504">
        <v>0</v>
      </c>
      <c r="OC10" s="504">
        <v>0</v>
      </c>
      <c r="OD10" s="504">
        <v>0</v>
      </c>
      <c r="OE10" s="504">
        <v>0</v>
      </c>
      <c r="OF10" s="504">
        <v>0</v>
      </c>
      <c r="OG10" s="504">
        <v>0</v>
      </c>
      <c r="OH10" s="504">
        <v>0</v>
      </c>
      <c r="OI10" s="504">
        <v>0</v>
      </c>
      <c r="OJ10" s="504">
        <v>0</v>
      </c>
      <c r="OK10" s="504">
        <v>0</v>
      </c>
      <c r="OL10" s="504">
        <v>0</v>
      </c>
      <c r="OM10" s="504">
        <v>0</v>
      </c>
      <c r="ON10" s="504">
        <v>0</v>
      </c>
      <c r="OO10" s="504">
        <v>0</v>
      </c>
      <c r="OP10" s="504">
        <v>0</v>
      </c>
      <c r="OQ10" s="504">
        <v>0</v>
      </c>
      <c r="OR10" s="1656"/>
    </row>
    <row r="11" spans="1:408" ht="21.5">
      <c r="A11" s="1466" t="s">
        <v>1632</v>
      </c>
      <c r="B11" s="1583" t="s">
        <v>2358</v>
      </c>
      <c r="C11" s="1583" t="s">
        <v>14</v>
      </c>
      <c r="D11" s="1583">
        <v>34</v>
      </c>
      <c r="E11" s="504">
        <v>39</v>
      </c>
      <c r="F11" s="504">
        <v>159</v>
      </c>
      <c r="G11" s="504">
        <v>411</v>
      </c>
      <c r="H11" s="504">
        <v>644</v>
      </c>
      <c r="I11" s="504">
        <v>923</v>
      </c>
      <c r="J11" s="504">
        <v>1127</v>
      </c>
      <c r="K11" s="504">
        <v>1140</v>
      </c>
      <c r="L11" s="504">
        <v>1154</v>
      </c>
      <c r="M11" s="504">
        <v>1167</v>
      </c>
      <c r="N11" s="504">
        <v>1181</v>
      </c>
      <c r="O11" s="504">
        <v>1196</v>
      </c>
      <c r="P11" s="504">
        <v>1210</v>
      </c>
      <c r="Q11" s="504">
        <v>1226</v>
      </c>
      <c r="R11" s="504">
        <v>1241</v>
      </c>
      <c r="S11" s="504">
        <v>1257</v>
      </c>
      <c r="T11" s="504">
        <v>1273</v>
      </c>
      <c r="U11" s="504">
        <v>1290</v>
      </c>
      <c r="V11" s="504">
        <v>1307</v>
      </c>
      <c r="W11" s="504">
        <v>1324</v>
      </c>
      <c r="X11" s="504">
        <v>1342</v>
      </c>
      <c r="Y11" s="504">
        <v>1360</v>
      </c>
      <c r="Z11" s="504">
        <v>1379</v>
      </c>
      <c r="AA11" s="504">
        <v>1398</v>
      </c>
      <c r="AB11" s="504">
        <v>1418</v>
      </c>
      <c r="AC11" s="504">
        <v>1438</v>
      </c>
      <c r="AD11" s="504">
        <v>1458</v>
      </c>
      <c r="AE11" s="504">
        <v>1479</v>
      </c>
      <c r="AF11" s="504">
        <v>1500</v>
      </c>
      <c r="AG11" s="504">
        <v>1522</v>
      </c>
      <c r="AH11" s="504">
        <v>1544</v>
      </c>
      <c r="AI11" s="504">
        <v>1566</v>
      </c>
      <c r="AJ11" s="504">
        <v>1589</v>
      </c>
      <c r="AK11" s="504">
        <v>1612</v>
      </c>
      <c r="AL11" s="504">
        <v>1636</v>
      </c>
      <c r="AM11" s="504">
        <v>1660</v>
      </c>
      <c r="AN11" s="504">
        <v>1684</v>
      </c>
      <c r="AO11" s="504">
        <v>1709</v>
      </c>
      <c r="AP11" s="504">
        <v>1735</v>
      </c>
      <c r="AQ11" s="504">
        <v>1761</v>
      </c>
      <c r="AR11" s="504">
        <v>1787</v>
      </c>
      <c r="AS11" s="504">
        <v>1815</v>
      </c>
      <c r="AT11" s="504">
        <v>1844</v>
      </c>
      <c r="AU11" s="504">
        <v>1874</v>
      </c>
      <c r="AV11" s="504">
        <v>1907</v>
      </c>
      <c r="AW11" s="504">
        <v>1942</v>
      </c>
      <c r="AX11" s="504">
        <v>2000</v>
      </c>
      <c r="AY11" s="504">
        <v>0</v>
      </c>
      <c r="AZ11" s="504">
        <v>0</v>
      </c>
      <c r="BA11" s="504">
        <v>0</v>
      </c>
      <c r="BB11" s="504">
        <v>0</v>
      </c>
      <c r="BC11" s="504">
        <v>0</v>
      </c>
      <c r="BD11" s="504">
        <v>0</v>
      </c>
      <c r="BE11" s="504">
        <v>0</v>
      </c>
      <c r="BF11" s="504">
        <v>0</v>
      </c>
      <c r="BG11" s="504">
        <v>0</v>
      </c>
      <c r="BH11" s="504">
        <v>0</v>
      </c>
      <c r="BI11" s="504">
        <v>0</v>
      </c>
      <c r="BJ11" s="504">
        <v>0</v>
      </c>
      <c r="BK11" s="504">
        <v>0</v>
      </c>
      <c r="BL11" s="504">
        <v>0</v>
      </c>
      <c r="BM11" s="504">
        <v>0</v>
      </c>
      <c r="BN11" s="504">
        <v>0</v>
      </c>
      <c r="BO11" s="504">
        <v>0</v>
      </c>
      <c r="BP11" s="504">
        <v>0</v>
      </c>
      <c r="BQ11" s="504">
        <v>0</v>
      </c>
      <c r="BR11" s="504">
        <v>0</v>
      </c>
      <c r="BS11" s="504">
        <v>0</v>
      </c>
      <c r="BT11" s="504">
        <v>0</v>
      </c>
      <c r="BU11" s="504">
        <v>0</v>
      </c>
      <c r="BV11" s="504">
        <v>0</v>
      </c>
      <c r="BW11" s="504">
        <v>0</v>
      </c>
      <c r="BX11" s="504">
        <v>0</v>
      </c>
      <c r="BY11" s="504">
        <v>0</v>
      </c>
      <c r="BZ11" s="504">
        <v>0</v>
      </c>
      <c r="CA11" s="504">
        <v>0</v>
      </c>
      <c r="CB11" s="504">
        <v>0</v>
      </c>
      <c r="CC11" s="504">
        <v>0</v>
      </c>
      <c r="CD11" s="504">
        <v>0</v>
      </c>
      <c r="CE11" s="504">
        <v>0</v>
      </c>
      <c r="CF11" s="504">
        <v>0</v>
      </c>
      <c r="CG11" s="504">
        <v>0</v>
      </c>
      <c r="CH11" s="504">
        <v>0</v>
      </c>
      <c r="CI11" s="504">
        <v>0</v>
      </c>
      <c r="CJ11" s="504">
        <v>0</v>
      </c>
      <c r="CK11" s="504">
        <v>0</v>
      </c>
      <c r="CL11" s="504">
        <v>0</v>
      </c>
      <c r="CM11" s="504">
        <v>0</v>
      </c>
      <c r="CN11" s="504">
        <v>0</v>
      </c>
      <c r="CO11" s="504">
        <v>0</v>
      </c>
      <c r="CP11" s="504">
        <v>0</v>
      </c>
      <c r="CQ11" s="504">
        <v>0</v>
      </c>
      <c r="CR11" s="504">
        <v>0</v>
      </c>
      <c r="CS11" s="504">
        <v>0</v>
      </c>
      <c r="CT11" s="504">
        <v>0</v>
      </c>
      <c r="CU11" s="504">
        <v>0</v>
      </c>
      <c r="CV11" s="504">
        <v>0</v>
      </c>
      <c r="CW11" s="504">
        <v>0</v>
      </c>
      <c r="CX11" s="504">
        <v>0</v>
      </c>
      <c r="CY11" s="504">
        <v>0</v>
      </c>
      <c r="CZ11" s="1654">
        <v>0</v>
      </c>
      <c r="DA11" s="504">
        <v>0</v>
      </c>
      <c r="DB11" s="504">
        <v>128</v>
      </c>
      <c r="DC11" s="504">
        <v>507</v>
      </c>
      <c r="DD11" s="504">
        <v>1088</v>
      </c>
      <c r="DE11" s="504">
        <v>1312</v>
      </c>
      <c r="DF11" s="504">
        <v>1582</v>
      </c>
      <c r="DG11" s="504">
        <v>0</v>
      </c>
      <c r="DH11" s="504">
        <v>0</v>
      </c>
      <c r="DI11" s="504">
        <v>0</v>
      </c>
      <c r="DJ11" s="504">
        <v>0</v>
      </c>
      <c r="DK11" s="504">
        <v>0</v>
      </c>
      <c r="DL11" s="504">
        <v>0</v>
      </c>
      <c r="DM11" s="504">
        <v>0</v>
      </c>
      <c r="DN11" s="504">
        <v>0</v>
      </c>
      <c r="DO11" s="504">
        <v>0</v>
      </c>
      <c r="DP11" s="504">
        <v>0</v>
      </c>
      <c r="DQ11" s="504">
        <v>0</v>
      </c>
      <c r="DR11" s="504">
        <v>0</v>
      </c>
      <c r="DS11" s="504">
        <v>0</v>
      </c>
      <c r="DT11" s="504">
        <v>0</v>
      </c>
      <c r="DU11" s="504">
        <v>0</v>
      </c>
      <c r="DV11" s="504">
        <v>0</v>
      </c>
      <c r="DW11" s="504">
        <v>0</v>
      </c>
      <c r="DX11" s="504">
        <v>0</v>
      </c>
      <c r="DY11" s="504">
        <v>0</v>
      </c>
      <c r="DZ11" s="504">
        <v>0</v>
      </c>
      <c r="EA11" s="504">
        <v>0</v>
      </c>
      <c r="EB11" s="504">
        <v>0</v>
      </c>
      <c r="EC11" s="504">
        <v>0</v>
      </c>
      <c r="ED11" s="504">
        <v>0</v>
      </c>
      <c r="EE11" s="504">
        <v>0</v>
      </c>
      <c r="EF11" s="504">
        <v>0</v>
      </c>
      <c r="EG11" s="504">
        <v>0</v>
      </c>
      <c r="EH11" s="504">
        <v>0</v>
      </c>
      <c r="EI11" s="504">
        <v>0</v>
      </c>
      <c r="EJ11" s="504">
        <v>0</v>
      </c>
      <c r="EK11" s="504">
        <v>0</v>
      </c>
      <c r="EL11" s="504">
        <v>0</v>
      </c>
      <c r="EM11" s="504">
        <v>0</v>
      </c>
      <c r="EN11" s="504">
        <v>0</v>
      </c>
      <c r="EO11" s="504">
        <v>0</v>
      </c>
      <c r="EP11" s="504">
        <v>0</v>
      </c>
      <c r="EQ11" s="504">
        <v>0</v>
      </c>
      <c r="ER11" s="504">
        <v>0</v>
      </c>
      <c r="ES11" s="504">
        <v>0</v>
      </c>
      <c r="ET11" s="504">
        <v>0</v>
      </c>
      <c r="EU11" s="504">
        <v>0</v>
      </c>
      <c r="EV11" s="504">
        <v>0</v>
      </c>
      <c r="EW11" s="504">
        <v>0</v>
      </c>
      <c r="EX11" s="504">
        <v>0</v>
      </c>
      <c r="EY11" s="504">
        <v>0</v>
      </c>
      <c r="EZ11" s="504">
        <v>0</v>
      </c>
      <c r="FA11" s="504">
        <v>0</v>
      </c>
      <c r="FB11" s="504">
        <v>0</v>
      </c>
      <c r="FC11" s="504">
        <v>0</v>
      </c>
      <c r="FD11" s="504">
        <v>0</v>
      </c>
      <c r="FE11" s="504">
        <v>0</v>
      </c>
      <c r="FF11" s="504">
        <v>0</v>
      </c>
      <c r="FG11" s="504">
        <v>0</v>
      </c>
      <c r="FH11" s="504">
        <v>0</v>
      </c>
      <c r="FI11" s="504">
        <v>0</v>
      </c>
      <c r="FJ11" s="504">
        <v>0</v>
      </c>
      <c r="FK11" s="504">
        <v>0</v>
      </c>
      <c r="FL11" s="504">
        <v>0</v>
      </c>
      <c r="FM11" s="504">
        <v>0</v>
      </c>
      <c r="FN11" s="504">
        <v>0</v>
      </c>
      <c r="FO11" s="504">
        <v>0</v>
      </c>
      <c r="FP11" s="504">
        <v>0</v>
      </c>
      <c r="FQ11" s="504">
        <v>0</v>
      </c>
      <c r="FR11" s="504">
        <v>0</v>
      </c>
      <c r="FS11" s="504">
        <v>0</v>
      </c>
      <c r="FT11" s="504">
        <v>0</v>
      </c>
      <c r="FU11" s="504">
        <v>0</v>
      </c>
      <c r="FV11" s="504">
        <v>0</v>
      </c>
      <c r="FW11" s="504">
        <v>0</v>
      </c>
      <c r="FX11" s="504">
        <v>0</v>
      </c>
      <c r="FY11" s="504">
        <v>0</v>
      </c>
      <c r="FZ11" s="504">
        <v>0</v>
      </c>
      <c r="GA11" s="504">
        <v>0</v>
      </c>
      <c r="GB11" s="504">
        <v>0</v>
      </c>
      <c r="GC11" s="504">
        <v>0</v>
      </c>
      <c r="GD11" s="504">
        <v>0</v>
      </c>
      <c r="GE11" s="504">
        <v>0</v>
      </c>
      <c r="GF11" s="504">
        <v>0</v>
      </c>
      <c r="GG11" s="504">
        <v>0</v>
      </c>
      <c r="GH11" s="504">
        <v>0</v>
      </c>
      <c r="GI11" s="504">
        <v>0</v>
      </c>
      <c r="GJ11" s="504">
        <v>0</v>
      </c>
      <c r="GK11" s="504">
        <v>0</v>
      </c>
      <c r="GL11" s="504">
        <v>0</v>
      </c>
      <c r="GM11" s="504">
        <v>0</v>
      </c>
      <c r="GN11" s="504">
        <v>0</v>
      </c>
      <c r="GO11" s="504">
        <v>0</v>
      </c>
      <c r="GP11" s="504">
        <v>0</v>
      </c>
      <c r="GQ11" s="504">
        <v>0</v>
      </c>
      <c r="GR11" s="504">
        <v>0</v>
      </c>
      <c r="GS11" s="504">
        <v>0</v>
      </c>
      <c r="GT11" s="504">
        <v>0</v>
      </c>
      <c r="GU11" s="504">
        <v>0</v>
      </c>
      <c r="GV11" s="504">
        <v>0</v>
      </c>
      <c r="GW11" s="1654">
        <v>0</v>
      </c>
      <c r="GX11" s="504">
        <v>0</v>
      </c>
      <c r="GY11" s="504">
        <v>24026</v>
      </c>
      <c r="GZ11" s="504">
        <v>40316</v>
      </c>
      <c r="HA11" s="504">
        <v>43000</v>
      </c>
      <c r="HB11" s="504">
        <v>42000</v>
      </c>
      <c r="HC11" s="504">
        <v>41000</v>
      </c>
      <c r="HD11" s="504">
        <v>0</v>
      </c>
      <c r="HE11" s="504">
        <v>0</v>
      </c>
      <c r="HF11" s="504">
        <v>0</v>
      </c>
      <c r="HG11" s="504">
        <v>0</v>
      </c>
      <c r="HH11" s="504">
        <v>0</v>
      </c>
      <c r="HI11" s="504">
        <v>0</v>
      </c>
      <c r="HJ11" s="504">
        <v>0</v>
      </c>
      <c r="HK11" s="504">
        <v>0</v>
      </c>
      <c r="HL11" s="504">
        <v>0</v>
      </c>
      <c r="HM11" s="504">
        <v>0</v>
      </c>
      <c r="HN11" s="504">
        <v>0</v>
      </c>
      <c r="HO11" s="504">
        <v>0</v>
      </c>
      <c r="HP11" s="504">
        <v>0</v>
      </c>
      <c r="HQ11" s="504">
        <v>0</v>
      </c>
      <c r="HR11" s="504">
        <v>0</v>
      </c>
      <c r="HS11" s="504">
        <v>0</v>
      </c>
      <c r="HT11" s="504">
        <v>0</v>
      </c>
      <c r="HU11" s="504">
        <v>0</v>
      </c>
      <c r="HV11" s="504">
        <v>0</v>
      </c>
      <c r="HW11" s="504">
        <v>0</v>
      </c>
      <c r="HX11" s="504">
        <v>0</v>
      </c>
      <c r="HY11" s="504">
        <v>0</v>
      </c>
      <c r="HZ11" s="504">
        <v>0</v>
      </c>
      <c r="IA11" s="504">
        <v>0</v>
      </c>
      <c r="IB11" s="504">
        <v>0</v>
      </c>
      <c r="IC11" s="504">
        <v>0</v>
      </c>
      <c r="ID11" s="504">
        <v>0</v>
      </c>
      <c r="IE11" s="504">
        <v>0</v>
      </c>
      <c r="IF11" s="504">
        <v>0</v>
      </c>
      <c r="IG11" s="504">
        <v>0</v>
      </c>
      <c r="IH11" s="504">
        <v>0</v>
      </c>
      <c r="II11" s="504">
        <v>0</v>
      </c>
      <c r="IJ11" s="504">
        <v>0</v>
      </c>
      <c r="IK11" s="504">
        <v>0</v>
      </c>
      <c r="IL11" s="504">
        <v>0</v>
      </c>
      <c r="IM11" s="504">
        <v>0</v>
      </c>
      <c r="IN11" s="504">
        <v>0</v>
      </c>
      <c r="IO11" s="504">
        <v>0</v>
      </c>
      <c r="IP11" s="504">
        <v>0</v>
      </c>
      <c r="IQ11" s="504">
        <v>0</v>
      </c>
      <c r="IR11" s="504">
        <v>0</v>
      </c>
      <c r="IS11" s="504">
        <v>0</v>
      </c>
      <c r="IT11" s="504">
        <v>0</v>
      </c>
      <c r="IU11" s="504">
        <v>0</v>
      </c>
      <c r="IV11" s="504">
        <v>0</v>
      </c>
      <c r="IW11" s="504">
        <v>0</v>
      </c>
      <c r="IX11" s="504">
        <v>0</v>
      </c>
      <c r="IY11" s="504">
        <v>0</v>
      </c>
      <c r="IZ11" s="504">
        <v>0</v>
      </c>
      <c r="JA11" s="504">
        <v>0</v>
      </c>
      <c r="JB11" s="504">
        <v>0</v>
      </c>
      <c r="JC11" s="504">
        <v>0</v>
      </c>
      <c r="JD11" s="504">
        <v>0</v>
      </c>
      <c r="JE11" s="504">
        <v>0</v>
      </c>
      <c r="JF11" s="504">
        <v>0</v>
      </c>
      <c r="JG11" s="504">
        <v>0</v>
      </c>
      <c r="JH11" s="504">
        <v>0</v>
      </c>
      <c r="JI11" s="504">
        <v>0</v>
      </c>
      <c r="JJ11" s="504">
        <v>0</v>
      </c>
      <c r="JK11" s="504">
        <v>0</v>
      </c>
      <c r="JL11" s="504">
        <v>0</v>
      </c>
      <c r="JM11" s="504">
        <v>0</v>
      </c>
      <c r="JN11" s="504">
        <v>0</v>
      </c>
      <c r="JO11" s="504">
        <v>0</v>
      </c>
      <c r="JP11" s="504">
        <v>0</v>
      </c>
      <c r="JQ11" s="504">
        <v>0</v>
      </c>
      <c r="JR11" s="504">
        <v>0</v>
      </c>
      <c r="JS11" s="504">
        <v>0</v>
      </c>
      <c r="JT11" s="504">
        <v>0</v>
      </c>
      <c r="JU11" s="504">
        <v>0</v>
      </c>
      <c r="JV11" s="504">
        <v>0</v>
      </c>
      <c r="JW11" s="504">
        <v>0</v>
      </c>
      <c r="JX11" s="504">
        <v>0</v>
      </c>
      <c r="JY11" s="504">
        <v>0</v>
      </c>
      <c r="JZ11" s="504">
        <v>0</v>
      </c>
      <c r="KA11" s="504">
        <v>0</v>
      </c>
      <c r="KB11" s="504">
        <v>0</v>
      </c>
      <c r="KC11" s="504">
        <v>0</v>
      </c>
      <c r="KD11" s="504">
        <v>0</v>
      </c>
      <c r="KE11" s="504">
        <v>0</v>
      </c>
      <c r="KF11" s="504">
        <v>0</v>
      </c>
      <c r="KG11" s="504">
        <v>0</v>
      </c>
      <c r="KH11" s="504">
        <v>0</v>
      </c>
      <c r="KI11" s="504">
        <v>0</v>
      </c>
      <c r="KJ11" s="504">
        <v>0</v>
      </c>
      <c r="KK11" s="504">
        <v>0</v>
      </c>
      <c r="KL11" s="504">
        <v>0</v>
      </c>
      <c r="KM11" s="504">
        <v>0</v>
      </c>
      <c r="KN11" s="504">
        <v>0</v>
      </c>
      <c r="KO11" s="504">
        <v>0</v>
      </c>
      <c r="KP11" s="504">
        <v>0</v>
      </c>
      <c r="KQ11" s="504">
        <v>0</v>
      </c>
      <c r="KR11" s="504">
        <v>0</v>
      </c>
      <c r="KS11" s="504">
        <v>0</v>
      </c>
      <c r="KT11" s="1654">
        <v>0</v>
      </c>
      <c r="KU11" s="504">
        <v>0</v>
      </c>
      <c r="KV11" s="504">
        <v>0</v>
      </c>
      <c r="KW11" s="504">
        <v>0</v>
      </c>
      <c r="KX11" s="504">
        <v>1077</v>
      </c>
      <c r="KY11" s="504">
        <v>1301</v>
      </c>
      <c r="KZ11" s="504">
        <v>1570</v>
      </c>
      <c r="LA11" s="504">
        <v>0</v>
      </c>
      <c r="LB11" s="504">
        <v>0</v>
      </c>
      <c r="LC11" s="504">
        <v>0</v>
      </c>
      <c r="LD11" s="504">
        <v>0</v>
      </c>
      <c r="LE11" s="504">
        <v>0</v>
      </c>
      <c r="LF11" s="504">
        <v>0</v>
      </c>
      <c r="LG11" s="504">
        <v>0</v>
      </c>
      <c r="LH11" s="504">
        <v>0</v>
      </c>
      <c r="LI11" s="504">
        <v>0</v>
      </c>
      <c r="LJ11" s="504">
        <v>0</v>
      </c>
      <c r="LK11" s="504">
        <v>0</v>
      </c>
      <c r="LL11" s="504">
        <v>0</v>
      </c>
      <c r="LM11" s="504">
        <v>0</v>
      </c>
      <c r="LN11" s="504">
        <v>0</v>
      </c>
      <c r="LO11" s="504">
        <v>0</v>
      </c>
      <c r="LP11" s="504">
        <v>0</v>
      </c>
      <c r="LQ11" s="504">
        <v>0</v>
      </c>
      <c r="LR11" s="504">
        <v>0</v>
      </c>
      <c r="LS11" s="504">
        <v>0</v>
      </c>
      <c r="LT11" s="504">
        <v>0</v>
      </c>
      <c r="LU11" s="504">
        <v>0</v>
      </c>
      <c r="LV11" s="504">
        <v>0</v>
      </c>
      <c r="LW11" s="504">
        <v>0</v>
      </c>
      <c r="LX11" s="504">
        <v>0</v>
      </c>
      <c r="LY11" s="504">
        <v>0</v>
      </c>
      <c r="LZ11" s="504">
        <v>0</v>
      </c>
      <c r="MA11" s="504">
        <v>0</v>
      </c>
      <c r="MB11" s="504">
        <v>0</v>
      </c>
      <c r="MC11" s="504">
        <v>0</v>
      </c>
      <c r="MD11" s="504">
        <v>0</v>
      </c>
      <c r="ME11" s="504">
        <v>0</v>
      </c>
      <c r="MF11" s="504">
        <v>0</v>
      </c>
      <c r="MG11" s="504">
        <v>0</v>
      </c>
      <c r="MH11" s="504">
        <v>0</v>
      </c>
      <c r="MI11" s="504">
        <v>0</v>
      </c>
      <c r="MJ11" s="504">
        <v>0</v>
      </c>
      <c r="MK11" s="504">
        <v>0</v>
      </c>
      <c r="ML11" s="504">
        <v>0</v>
      </c>
      <c r="MM11" s="504">
        <v>0</v>
      </c>
      <c r="MN11" s="504">
        <v>0</v>
      </c>
      <c r="MO11" s="504">
        <v>0</v>
      </c>
      <c r="MP11" s="504">
        <v>0</v>
      </c>
      <c r="MQ11" s="504">
        <v>0</v>
      </c>
      <c r="MR11" s="504">
        <v>0</v>
      </c>
      <c r="MS11" s="504">
        <v>0</v>
      </c>
      <c r="MT11" s="504">
        <v>0</v>
      </c>
      <c r="MU11" s="504">
        <v>0</v>
      </c>
      <c r="MV11" s="504">
        <v>0</v>
      </c>
      <c r="MW11" s="504">
        <v>0</v>
      </c>
      <c r="MX11" s="504">
        <v>0</v>
      </c>
      <c r="MY11" s="504">
        <v>0</v>
      </c>
      <c r="MZ11" s="504">
        <v>0</v>
      </c>
      <c r="NA11" s="504">
        <v>0</v>
      </c>
      <c r="NB11" s="504">
        <v>0</v>
      </c>
      <c r="NC11" s="504">
        <v>0</v>
      </c>
      <c r="ND11" s="504">
        <v>0</v>
      </c>
      <c r="NE11" s="504">
        <v>0</v>
      </c>
      <c r="NF11" s="504">
        <v>0</v>
      </c>
      <c r="NG11" s="504">
        <v>0</v>
      </c>
      <c r="NH11" s="504">
        <v>0</v>
      </c>
      <c r="NI11" s="504">
        <v>0</v>
      </c>
      <c r="NJ11" s="504">
        <v>0</v>
      </c>
      <c r="NK11" s="504">
        <v>0</v>
      </c>
      <c r="NL11" s="504">
        <v>0</v>
      </c>
      <c r="NM11" s="504">
        <v>0</v>
      </c>
      <c r="NN11" s="504">
        <v>0</v>
      </c>
      <c r="NO11" s="504">
        <v>0</v>
      </c>
      <c r="NP11" s="504">
        <v>0</v>
      </c>
      <c r="NQ11" s="504">
        <v>0</v>
      </c>
      <c r="NR11" s="504">
        <v>0</v>
      </c>
      <c r="NS11" s="504">
        <v>0</v>
      </c>
      <c r="NT11" s="504">
        <v>0</v>
      </c>
      <c r="NU11" s="504">
        <v>0</v>
      </c>
      <c r="NV11" s="504">
        <v>0</v>
      </c>
      <c r="NW11" s="504">
        <v>0</v>
      </c>
      <c r="NX11" s="504">
        <v>0</v>
      </c>
      <c r="NY11" s="504">
        <v>0</v>
      </c>
      <c r="NZ11" s="504">
        <v>0</v>
      </c>
      <c r="OA11" s="504">
        <v>0</v>
      </c>
      <c r="OB11" s="504">
        <v>0</v>
      </c>
      <c r="OC11" s="504">
        <v>0</v>
      </c>
      <c r="OD11" s="504">
        <v>0</v>
      </c>
      <c r="OE11" s="504">
        <v>0</v>
      </c>
      <c r="OF11" s="504">
        <v>0</v>
      </c>
      <c r="OG11" s="504">
        <v>0</v>
      </c>
      <c r="OH11" s="504">
        <v>0</v>
      </c>
      <c r="OI11" s="504">
        <v>0</v>
      </c>
      <c r="OJ11" s="504">
        <v>0</v>
      </c>
      <c r="OK11" s="504">
        <v>0</v>
      </c>
      <c r="OL11" s="504">
        <v>0</v>
      </c>
      <c r="OM11" s="504">
        <v>0</v>
      </c>
      <c r="ON11" s="504">
        <v>0</v>
      </c>
      <c r="OO11" s="504">
        <v>0</v>
      </c>
      <c r="OP11" s="504">
        <v>0</v>
      </c>
      <c r="OQ11" s="504">
        <v>0</v>
      </c>
      <c r="OR11" s="1656"/>
    </row>
    <row r="12" spans="1:408" ht="21.5">
      <c r="A12" s="1466" t="s">
        <v>1633</v>
      </c>
      <c r="B12" s="1583" t="s">
        <v>2358</v>
      </c>
      <c r="C12" s="1583" t="s">
        <v>14</v>
      </c>
      <c r="D12" s="1583">
        <v>35</v>
      </c>
      <c r="E12" s="504">
        <v>39</v>
      </c>
      <c r="F12" s="504">
        <v>161</v>
      </c>
      <c r="G12" s="504">
        <v>416</v>
      </c>
      <c r="H12" s="504">
        <v>652</v>
      </c>
      <c r="I12" s="504">
        <v>934</v>
      </c>
      <c r="J12" s="504">
        <v>1140</v>
      </c>
      <c r="K12" s="504">
        <v>1154</v>
      </c>
      <c r="L12" s="504">
        <v>1167</v>
      </c>
      <c r="M12" s="504">
        <v>1181</v>
      </c>
      <c r="N12" s="504">
        <v>1196</v>
      </c>
      <c r="O12" s="504">
        <v>1210</v>
      </c>
      <c r="P12" s="504">
        <v>1226</v>
      </c>
      <c r="Q12" s="504">
        <v>1241</v>
      </c>
      <c r="R12" s="504">
        <v>1257</v>
      </c>
      <c r="S12" s="504">
        <v>1273</v>
      </c>
      <c r="T12" s="504">
        <v>1290</v>
      </c>
      <c r="U12" s="504">
        <v>1307</v>
      </c>
      <c r="V12" s="504">
        <v>1324</v>
      </c>
      <c r="W12" s="504">
        <v>1342</v>
      </c>
      <c r="X12" s="504">
        <v>1360</v>
      </c>
      <c r="Y12" s="504">
        <v>1379</v>
      </c>
      <c r="Z12" s="504">
        <v>1398</v>
      </c>
      <c r="AA12" s="504">
        <v>1418</v>
      </c>
      <c r="AB12" s="504">
        <v>1438</v>
      </c>
      <c r="AC12" s="504">
        <v>1458</v>
      </c>
      <c r="AD12" s="504">
        <v>1479</v>
      </c>
      <c r="AE12" s="504">
        <v>1500</v>
      </c>
      <c r="AF12" s="504">
        <v>1522</v>
      </c>
      <c r="AG12" s="504">
        <v>1544</v>
      </c>
      <c r="AH12" s="504">
        <v>1566</v>
      </c>
      <c r="AI12" s="504">
        <v>1589</v>
      </c>
      <c r="AJ12" s="504">
        <v>1612</v>
      </c>
      <c r="AK12" s="504">
        <v>1636</v>
      </c>
      <c r="AL12" s="504">
        <v>1660</v>
      </c>
      <c r="AM12" s="504">
        <v>1684</v>
      </c>
      <c r="AN12" s="504">
        <v>1709</v>
      </c>
      <c r="AO12" s="504">
        <v>1735</v>
      </c>
      <c r="AP12" s="504">
        <v>1761</v>
      </c>
      <c r="AQ12" s="504">
        <v>1787</v>
      </c>
      <c r="AR12" s="504">
        <v>1815</v>
      </c>
      <c r="AS12" s="504">
        <v>1844</v>
      </c>
      <c r="AT12" s="504">
        <v>1874</v>
      </c>
      <c r="AU12" s="504">
        <v>1907</v>
      </c>
      <c r="AV12" s="504">
        <v>1942</v>
      </c>
      <c r="AW12" s="504">
        <v>2000</v>
      </c>
      <c r="AX12" s="504">
        <v>0</v>
      </c>
      <c r="AY12" s="504">
        <v>0</v>
      </c>
      <c r="AZ12" s="504">
        <v>0</v>
      </c>
      <c r="BA12" s="504">
        <v>0</v>
      </c>
      <c r="BB12" s="504">
        <v>0</v>
      </c>
      <c r="BC12" s="504">
        <v>0</v>
      </c>
      <c r="BD12" s="504">
        <v>0</v>
      </c>
      <c r="BE12" s="504">
        <v>0</v>
      </c>
      <c r="BF12" s="504">
        <v>0</v>
      </c>
      <c r="BG12" s="504">
        <v>0</v>
      </c>
      <c r="BH12" s="504">
        <v>0</v>
      </c>
      <c r="BI12" s="504">
        <v>0</v>
      </c>
      <c r="BJ12" s="504">
        <v>0</v>
      </c>
      <c r="BK12" s="504">
        <v>0</v>
      </c>
      <c r="BL12" s="504">
        <v>0</v>
      </c>
      <c r="BM12" s="504">
        <v>0</v>
      </c>
      <c r="BN12" s="504">
        <v>0</v>
      </c>
      <c r="BO12" s="504">
        <v>0</v>
      </c>
      <c r="BP12" s="504">
        <v>0</v>
      </c>
      <c r="BQ12" s="504">
        <v>0</v>
      </c>
      <c r="BR12" s="504">
        <v>0</v>
      </c>
      <c r="BS12" s="504">
        <v>0</v>
      </c>
      <c r="BT12" s="504">
        <v>0</v>
      </c>
      <c r="BU12" s="504">
        <v>0</v>
      </c>
      <c r="BV12" s="504">
        <v>0</v>
      </c>
      <c r="BW12" s="504">
        <v>0</v>
      </c>
      <c r="BX12" s="504">
        <v>0</v>
      </c>
      <c r="BY12" s="504">
        <v>0</v>
      </c>
      <c r="BZ12" s="504">
        <v>0</v>
      </c>
      <c r="CA12" s="504">
        <v>0</v>
      </c>
      <c r="CB12" s="504">
        <v>0</v>
      </c>
      <c r="CC12" s="504">
        <v>0</v>
      </c>
      <c r="CD12" s="504">
        <v>0</v>
      </c>
      <c r="CE12" s="504">
        <v>0</v>
      </c>
      <c r="CF12" s="504">
        <v>0</v>
      </c>
      <c r="CG12" s="504">
        <v>0</v>
      </c>
      <c r="CH12" s="504">
        <v>0</v>
      </c>
      <c r="CI12" s="504">
        <v>0</v>
      </c>
      <c r="CJ12" s="504">
        <v>0</v>
      </c>
      <c r="CK12" s="504">
        <v>0</v>
      </c>
      <c r="CL12" s="504">
        <v>0</v>
      </c>
      <c r="CM12" s="504">
        <v>0</v>
      </c>
      <c r="CN12" s="504">
        <v>0</v>
      </c>
      <c r="CO12" s="504">
        <v>0</v>
      </c>
      <c r="CP12" s="504">
        <v>0</v>
      </c>
      <c r="CQ12" s="504">
        <v>0</v>
      </c>
      <c r="CR12" s="504">
        <v>0</v>
      </c>
      <c r="CS12" s="504">
        <v>0</v>
      </c>
      <c r="CT12" s="504">
        <v>0</v>
      </c>
      <c r="CU12" s="504">
        <v>0</v>
      </c>
      <c r="CV12" s="504">
        <v>0</v>
      </c>
      <c r="CW12" s="504">
        <v>0</v>
      </c>
      <c r="CX12" s="504">
        <v>0</v>
      </c>
      <c r="CY12" s="504">
        <v>0</v>
      </c>
      <c r="CZ12" s="1654">
        <v>0</v>
      </c>
      <c r="DA12" s="504">
        <v>0</v>
      </c>
      <c r="DB12" s="504">
        <v>124</v>
      </c>
      <c r="DC12" s="504">
        <v>499</v>
      </c>
      <c r="DD12" s="504">
        <v>1084</v>
      </c>
      <c r="DE12" s="504">
        <v>1311</v>
      </c>
      <c r="DF12" s="504">
        <v>1583</v>
      </c>
      <c r="DG12" s="504">
        <v>0</v>
      </c>
      <c r="DH12" s="504">
        <v>0</v>
      </c>
      <c r="DI12" s="504">
        <v>0</v>
      </c>
      <c r="DJ12" s="504">
        <v>0</v>
      </c>
      <c r="DK12" s="504">
        <v>0</v>
      </c>
      <c r="DL12" s="504">
        <v>0</v>
      </c>
      <c r="DM12" s="504">
        <v>0</v>
      </c>
      <c r="DN12" s="504">
        <v>0</v>
      </c>
      <c r="DO12" s="504">
        <v>0</v>
      </c>
      <c r="DP12" s="504">
        <v>0</v>
      </c>
      <c r="DQ12" s="504">
        <v>0</v>
      </c>
      <c r="DR12" s="504">
        <v>0</v>
      </c>
      <c r="DS12" s="504">
        <v>0</v>
      </c>
      <c r="DT12" s="504">
        <v>0</v>
      </c>
      <c r="DU12" s="504">
        <v>0</v>
      </c>
      <c r="DV12" s="504">
        <v>0</v>
      </c>
      <c r="DW12" s="504">
        <v>0</v>
      </c>
      <c r="DX12" s="504">
        <v>0</v>
      </c>
      <c r="DY12" s="504">
        <v>0</v>
      </c>
      <c r="DZ12" s="504">
        <v>0</v>
      </c>
      <c r="EA12" s="504">
        <v>0</v>
      </c>
      <c r="EB12" s="504">
        <v>0</v>
      </c>
      <c r="EC12" s="504">
        <v>0</v>
      </c>
      <c r="ED12" s="504">
        <v>0</v>
      </c>
      <c r="EE12" s="504">
        <v>0</v>
      </c>
      <c r="EF12" s="504">
        <v>0</v>
      </c>
      <c r="EG12" s="504">
        <v>0</v>
      </c>
      <c r="EH12" s="504">
        <v>0</v>
      </c>
      <c r="EI12" s="504">
        <v>0</v>
      </c>
      <c r="EJ12" s="504">
        <v>0</v>
      </c>
      <c r="EK12" s="504">
        <v>0</v>
      </c>
      <c r="EL12" s="504">
        <v>0</v>
      </c>
      <c r="EM12" s="504">
        <v>0</v>
      </c>
      <c r="EN12" s="504">
        <v>0</v>
      </c>
      <c r="EO12" s="504">
        <v>0</v>
      </c>
      <c r="EP12" s="504">
        <v>0</v>
      </c>
      <c r="EQ12" s="504">
        <v>0</v>
      </c>
      <c r="ER12" s="504">
        <v>0</v>
      </c>
      <c r="ES12" s="504">
        <v>0</v>
      </c>
      <c r="ET12" s="504">
        <v>0</v>
      </c>
      <c r="EU12" s="504">
        <v>0</v>
      </c>
      <c r="EV12" s="504">
        <v>0</v>
      </c>
      <c r="EW12" s="504">
        <v>0</v>
      </c>
      <c r="EX12" s="504">
        <v>0</v>
      </c>
      <c r="EY12" s="504">
        <v>0</v>
      </c>
      <c r="EZ12" s="504">
        <v>0</v>
      </c>
      <c r="FA12" s="504">
        <v>0</v>
      </c>
      <c r="FB12" s="504">
        <v>0</v>
      </c>
      <c r="FC12" s="504">
        <v>0</v>
      </c>
      <c r="FD12" s="504">
        <v>0</v>
      </c>
      <c r="FE12" s="504">
        <v>0</v>
      </c>
      <c r="FF12" s="504">
        <v>0</v>
      </c>
      <c r="FG12" s="504">
        <v>0</v>
      </c>
      <c r="FH12" s="504">
        <v>0</v>
      </c>
      <c r="FI12" s="504">
        <v>0</v>
      </c>
      <c r="FJ12" s="504">
        <v>0</v>
      </c>
      <c r="FK12" s="504">
        <v>0</v>
      </c>
      <c r="FL12" s="504">
        <v>0</v>
      </c>
      <c r="FM12" s="504">
        <v>0</v>
      </c>
      <c r="FN12" s="504">
        <v>0</v>
      </c>
      <c r="FO12" s="504">
        <v>0</v>
      </c>
      <c r="FP12" s="504">
        <v>0</v>
      </c>
      <c r="FQ12" s="504">
        <v>0</v>
      </c>
      <c r="FR12" s="504">
        <v>0</v>
      </c>
      <c r="FS12" s="504">
        <v>0</v>
      </c>
      <c r="FT12" s="504">
        <v>0</v>
      </c>
      <c r="FU12" s="504">
        <v>0</v>
      </c>
      <c r="FV12" s="504">
        <v>0</v>
      </c>
      <c r="FW12" s="504">
        <v>0</v>
      </c>
      <c r="FX12" s="504">
        <v>0</v>
      </c>
      <c r="FY12" s="504">
        <v>0</v>
      </c>
      <c r="FZ12" s="504">
        <v>0</v>
      </c>
      <c r="GA12" s="504">
        <v>0</v>
      </c>
      <c r="GB12" s="504">
        <v>0</v>
      </c>
      <c r="GC12" s="504">
        <v>0</v>
      </c>
      <c r="GD12" s="504">
        <v>0</v>
      </c>
      <c r="GE12" s="504">
        <v>0</v>
      </c>
      <c r="GF12" s="504">
        <v>0</v>
      </c>
      <c r="GG12" s="504">
        <v>0</v>
      </c>
      <c r="GH12" s="504">
        <v>0</v>
      </c>
      <c r="GI12" s="504">
        <v>0</v>
      </c>
      <c r="GJ12" s="504">
        <v>0</v>
      </c>
      <c r="GK12" s="504">
        <v>0</v>
      </c>
      <c r="GL12" s="504">
        <v>0</v>
      </c>
      <c r="GM12" s="504">
        <v>0</v>
      </c>
      <c r="GN12" s="504">
        <v>0</v>
      </c>
      <c r="GO12" s="504">
        <v>0</v>
      </c>
      <c r="GP12" s="504">
        <v>0</v>
      </c>
      <c r="GQ12" s="504">
        <v>0</v>
      </c>
      <c r="GR12" s="504">
        <v>0</v>
      </c>
      <c r="GS12" s="504">
        <v>0</v>
      </c>
      <c r="GT12" s="504">
        <v>0</v>
      </c>
      <c r="GU12" s="504">
        <v>0</v>
      </c>
      <c r="GV12" s="504">
        <v>0</v>
      </c>
      <c r="GW12" s="1654">
        <v>0</v>
      </c>
      <c r="GX12" s="504">
        <v>0</v>
      </c>
      <c r="GY12" s="504">
        <v>22359</v>
      </c>
      <c r="GZ12" s="504">
        <v>39256</v>
      </c>
      <c r="HA12" s="504">
        <v>42000</v>
      </c>
      <c r="HB12" s="504">
        <v>41000</v>
      </c>
      <c r="HC12" s="504">
        <v>40000</v>
      </c>
      <c r="HD12" s="504">
        <v>0</v>
      </c>
      <c r="HE12" s="504">
        <v>0</v>
      </c>
      <c r="HF12" s="504">
        <v>0</v>
      </c>
      <c r="HG12" s="504">
        <v>0</v>
      </c>
      <c r="HH12" s="504">
        <v>0</v>
      </c>
      <c r="HI12" s="504">
        <v>0</v>
      </c>
      <c r="HJ12" s="504">
        <v>0</v>
      </c>
      <c r="HK12" s="504">
        <v>0</v>
      </c>
      <c r="HL12" s="504">
        <v>0</v>
      </c>
      <c r="HM12" s="504">
        <v>0</v>
      </c>
      <c r="HN12" s="504">
        <v>0</v>
      </c>
      <c r="HO12" s="504">
        <v>0</v>
      </c>
      <c r="HP12" s="504">
        <v>0</v>
      </c>
      <c r="HQ12" s="504">
        <v>0</v>
      </c>
      <c r="HR12" s="504">
        <v>0</v>
      </c>
      <c r="HS12" s="504">
        <v>0</v>
      </c>
      <c r="HT12" s="504">
        <v>0</v>
      </c>
      <c r="HU12" s="504">
        <v>0</v>
      </c>
      <c r="HV12" s="504">
        <v>0</v>
      </c>
      <c r="HW12" s="504">
        <v>0</v>
      </c>
      <c r="HX12" s="504">
        <v>0</v>
      </c>
      <c r="HY12" s="504">
        <v>0</v>
      </c>
      <c r="HZ12" s="504">
        <v>0</v>
      </c>
      <c r="IA12" s="504">
        <v>0</v>
      </c>
      <c r="IB12" s="504">
        <v>0</v>
      </c>
      <c r="IC12" s="504">
        <v>0</v>
      </c>
      <c r="ID12" s="504">
        <v>0</v>
      </c>
      <c r="IE12" s="504">
        <v>0</v>
      </c>
      <c r="IF12" s="504">
        <v>0</v>
      </c>
      <c r="IG12" s="504">
        <v>0</v>
      </c>
      <c r="IH12" s="504">
        <v>0</v>
      </c>
      <c r="II12" s="504">
        <v>0</v>
      </c>
      <c r="IJ12" s="504">
        <v>0</v>
      </c>
      <c r="IK12" s="504">
        <v>0</v>
      </c>
      <c r="IL12" s="504">
        <v>0</v>
      </c>
      <c r="IM12" s="504">
        <v>0</v>
      </c>
      <c r="IN12" s="504">
        <v>0</v>
      </c>
      <c r="IO12" s="504">
        <v>0</v>
      </c>
      <c r="IP12" s="504">
        <v>0</v>
      </c>
      <c r="IQ12" s="504">
        <v>0</v>
      </c>
      <c r="IR12" s="504">
        <v>0</v>
      </c>
      <c r="IS12" s="504">
        <v>0</v>
      </c>
      <c r="IT12" s="504">
        <v>0</v>
      </c>
      <c r="IU12" s="504">
        <v>0</v>
      </c>
      <c r="IV12" s="504">
        <v>0</v>
      </c>
      <c r="IW12" s="504">
        <v>0</v>
      </c>
      <c r="IX12" s="504">
        <v>0</v>
      </c>
      <c r="IY12" s="504">
        <v>0</v>
      </c>
      <c r="IZ12" s="504">
        <v>0</v>
      </c>
      <c r="JA12" s="504">
        <v>0</v>
      </c>
      <c r="JB12" s="504">
        <v>0</v>
      </c>
      <c r="JC12" s="504">
        <v>0</v>
      </c>
      <c r="JD12" s="504">
        <v>0</v>
      </c>
      <c r="JE12" s="504">
        <v>0</v>
      </c>
      <c r="JF12" s="504">
        <v>0</v>
      </c>
      <c r="JG12" s="504">
        <v>0</v>
      </c>
      <c r="JH12" s="504">
        <v>0</v>
      </c>
      <c r="JI12" s="504">
        <v>0</v>
      </c>
      <c r="JJ12" s="504">
        <v>0</v>
      </c>
      <c r="JK12" s="504">
        <v>0</v>
      </c>
      <c r="JL12" s="504">
        <v>0</v>
      </c>
      <c r="JM12" s="504">
        <v>0</v>
      </c>
      <c r="JN12" s="504">
        <v>0</v>
      </c>
      <c r="JO12" s="504">
        <v>0</v>
      </c>
      <c r="JP12" s="504">
        <v>0</v>
      </c>
      <c r="JQ12" s="504">
        <v>0</v>
      </c>
      <c r="JR12" s="504">
        <v>0</v>
      </c>
      <c r="JS12" s="504">
        <v>0</v>
      </c>
      <c r="JT12" s="504">
        <v>0</v>
      </c>
      <c r="JU12" s="504">
        <v>0</v>
      </c>
      <c r="JV12" s="504">
        <v>0</v>
      </c>
      <c r="JW12" s="504">
        <v>0</v>
      </c>
      <c r="JX12" s="504">
        <v>0</v>
      </c>
      <c r="JY12" s="504">
        <v>0</v>
      </c>
      <c r="JZ12" s="504">
        <v>0</v>
      </c>
      <c r="KA12" s="504">
        <v>0</v>
      </c>
      <c r="KB12" s="504">
        <v>0</v>
      </c>
      <c r="KC12" s="504">
        <v>0</v>
      </c>
      <c r="KD12" s="504">
        <v>0</v>
      </c>
      <c r="KE12" s="504">
        <v>0</v>
      </c>
      <c r="KF12" s="504">
        <v>0</v>
      </c>
      <c r="KG12" s="504">
        <v>0</v>
      </c>
      <c r="KH12" s="504">
        <v>0</v>
      </c>
      <c r="KI12" s="504">
        <v>0</v>
      </c>
      <c r="KJ12" s="504">
        <v>0</v>
      </c>
      <c r="KK12" s="504">
        <v>0</v>
      </c>
      <c r="KL12" s="504">
        <v>0</v>
      </c>
      <c r="KM12" s="504">
        <v>0</v>
      </c>
      <c r="KN12" s="504">
        <v>0</v>
      </c>
      <c r="KO12" s="504">
        <v>0</v>
      </c>
      <c r="KP12" s="504">
        <v>0</v>
      </c>
      <c r="KQ12" s="504">
        <v>0</v>
      </c>
      <c r="KR12" s="504">
        <v>0</v>
      </c>
      <c r="KS12" s="504">
        <v>0</v>
      </c>
      <c r="KT12" s="1654">
        <v>0</v>
      </c>
      <c r="KU12" s="504">
        <v>0</v>
      </c>
      <c r="KV12" s="504">
        <v>0</v>
      </c>
      <c r="KW12" s="504">
        <v>0</v>
      </c>
      <c r="KX12" s="504">
        <v>1073</v>
      </c>
      <c r="KY12" s="504">
        <v>1299</v>
      </c>
      <c r="KZ12" s="504">
        <v>1572</v>
      </c>
      <c r="LA12" s="504">
        <v>0</v>
      </c>
      <c r="LB12" s="504">
        <v>0</v>
      </c>
      <c r="LC12" s="504">
        <v>0</v>
      </c>
      <c r="LD12" s="504">
        <v>0</v>
      </c>
      <c r="LE12" s="504">
        <v>0</v>
      </c>
      <c r="LF12" s="504">
        <v>0</v>
      </c>
      <c r="LG12" s="504">
        <v>0</v>
      </c>
      <c r="LH12" s="504">
        <v>0</v>
      </c>
      <c r="LI12" s="504">
        <v>0</v>
      </c>
      <c r="LJ12" s="504">
        <v>0</v>
      </c>
      <c r="LK12" s="504">
        <v>0</v>
      </c>
      <c r="LL12" s="504">
        <v>0</v>
      </c>
      <c r="LM12" s="504">
        <v>0</v>
      </c>
      <c r="LN12" s="504">
        <v>0</v>
      </c>
      <c r="LO12" s="504">
        <v>0</v>
      </c>
      <c r="LP12" s="504">
        <v>0</v>
      </c>
      <c r="LQ12" s="504">
        <v>0</v>
      </c>
      <c r="LR12" s="504">
        <v>0</v>
      </c>
      <c r="LS12" s="504">
        <v>0</v>
      </c>
      <c r="LT12" s="504">
        <v>0</v>
      </c>
      <c r="LU12" s="504">
        <v>0</v>
      </c>
      <c r="LV12" s="504">
        <v>0</v>
      </c>
      <c r="LW12" s="504">
        <v>0</v>
      </c>
      <c r="LX12" s="504">
        <v>0</v>
      </c>
      <c r="LY12" s="504">
        <v>0</v>
      </c>
      <c r="LZ12" s="504">
        <v>0</v>
      </c>
      <c r="MA12" s="504">
        <v>0</v>
      </c>
      <c r="MB12" s="504">
        <v>0</v>
      </c>
      <c r="MC12" s="504">
        <v>0</v>
      </c>
      <c r="MD12" s="504">
        <v>0</v>
      </c>
      <c r="ME12" s="504">
        <v>0</v>
      </c>
      <c r="MF12" s="504">
        <v>0</v>
      </c>
      <c r="MG12" s="504">
        <v>0</v>
      </c>
      <c r="MH12" s="504">
        <v>0</v>
      </c>
      <c r="MI12" s="504">
        <v>0</v>
      </c>
      <c r="MJ12" s="504">
        <v>0</v>
      </c>
      <c r="MK12" s="504">
        <v>0</v>
      </c>
      <c r="ML12" s="504">
        <v>0</v>
      </c>
      <c r="MM12" s="504">
        <v>0</v>
      </c>
      <c r="MN12" s="504">
        <v>0</v>
      </c>
      <c r="MO12" s="504">
        <v>0</v>
      </c>
      <c r="MP12" s="504">
        <v>0</v>
      </c>
      <c r="MQ12" s="504">
        <v>0</v>
      </c>
      <c r="MR12" s="504">
        <v>0</v>
      </c>
      <c r="MS12" s="504">
        <v>0</v>
      </c>
      <c r="MT12" s="504">
        <v>0</v>
      </c>
      <c r="MU12" s="504">
        <v>0</v>
      </c>
      <c r="MV12" s="504">
        <v>0</v>
      </c>
      <c r="MW12" s="504">
        <v>0</v>
      </c>
      <c r="MX12" s="504">
        <v>0</v>
      </c>
      <c r="MY12" s="504">
        <v>0</v>
      </c>
      <c r="MZ12" s="504">
        <v>0</v>
      </c>
      <c r="NA12" s="504">
        <v>0</v>
      </c>
      <c r="NB12" s="504">
        <v>0</v>
      </c>
      <c r="NC12" s="504">
        <v>0</v>
      </c>
      <c r="ND12" s="504">
        <v>0</v>
      </c>
      <c r="NE12" s="504">
        <v>0</v>
      </c>
      <c r="NF12" s="504">
        <v>0</v>
      </c>
      <c r="NG12" s="504">
        <v>0</v>
      </c>
      <c r="NH12" s="504">
        <v>0</v>
      </c>
      <c r="NI12" s="504">
        <v>0</v>
      </c>
      <c r="NJ12" s="504">
        <v>0</v>
      </c>
      <c r="NK12" s="504">
        <v>0</v>
      </c>
      <c r="NL12" s="504">
        <v>0</v>
      </c>
      <c r="NM12" s="504">
        <v>0</v>
      </c>
      <c r="NN12" s="504">
        <v>0</v>
      </c>
      <c r="NO12" s="504">
        <v>0</v>
      </c>
      <c r="NP12" s="504">
        <v>0</v>
      </c>
      <c r="NQ12" s="504">
        <v>0</v>
      </c>
      <c r="NR12" s="504">
        <v>0</v>
      </c>
      <c r="NS12" s="504">
        <v>0</v>
      </c>
      <c r="NT12" s="504">
        <v>0</v>
      </c>
      <c r="NU12" s="504">
        <v>0</v>
      </c>
      <c r="NV12" s="504">
        <v>0</v>
      </c>
      <c r="NW12" s="504">
        <v>0</v>
      </c>
      <c r="NX12" s="504">
        <v>0</v>
      </c>
      <c r="NY12" s="504">
        <v>0</v>
      </c>
      <c r="NZ12" s="504">
        <v>0</v>
      </c>
      <c r="OA12" s="504">
        <v>0</v>
      </c>
      <c r="OB12" s="504">
        <v>0</v>
      </c>
      <c r="OC12" s="504">
        <v>0</v>
      </c>
      <c r="OD12" s="504">
        <v>0</v>
      </c>
      <c r="OE12" s="504">
        <v>0</v>
      </c>
      <c r="OF12" s="504">
        <v>0</v>
      </c>
      <c r="OG12" s="504">
        <v>0</v>
      </c>
      <c r="OH12" s="504">
        <v>0</v>
      </c>
      <c r="OI12" s="504">
        <v>0</v>
      </c>
      <c r="OJ12" s="504">
        <v>0</v>
      </c>
      <c r="OK12" s="504">
        <v>0</v>
      </c>
      <c r="OL12" s="504">
        <v>0</v>
      </c>
      <c r="OM12" s="504">
        <v>0</v>
      </c>
      <c r="ON12" s="504">
        <v>0</v>
      </c>
      <c r="OO12" s="504">
        <v>0</v>
      </c>
      <c r="OP12" s="504">
        <v>0</v>
      </c>
      <c r="OQ12" s="504">
        <v>0</v>
      </c>
      <c r="OR12" s="1656"/>
    </row>
    <row r="13" spans="1:408" ht="21.5">
      <c r="A13" s="1466" t="s">
        <v>1634</v>
      </c>
      <c r="B13" s="1583" t="s">
        <v>2358</v>
      </c>
      <c r="C13" s="1583" t="s">
        <v>14</v>
      </c>
      <c r="D13" s="1583">
        <v>36</v>
      </c>
      <c r="E13" s="504">
        <v>40</v>
      </c>
      <c r="F13" s="504">
        <v>164</v>
      </c>
      <c r="G13" s="504">
        <v>422</v>
      </c>
      <c r="H13" s="504">
        <v>660</v>
      </c>
      <c r="I13" s="504">
        <v>945</v>
      </c>
      <c r="J13" s="504">
        <v>1154</v>
      </c>
      <c r="K13" s="504">
        <v>1167</v>
      </c>
      <c r="L13" s="504">
        <v>1181</v>
      </c>
      <c r="M13" s="504">
        <v>1196</v>
      </c>
      <c r="N13" s="504">
        <v>1210</v>
      </c>
      <c r="O13" s="504">
        <v>1226</v>
      </c>
      <c r="P13" s="504">
        <v>1241</v>
      </c>
      <c r="Q13" s="504">
        <v>1257</v>
      </c>
      <c r="R13" s="504">
        <v>1273</v>
      </c>
      <c r="S13" s="504">
        <v>1290</v>
      </c>
      <c r="T13" s="504">
        <v>1307</v>
      </c>
      <c r="U13" s="504">
        <v>1324</v>
      </c>
      <c r="V13" s="504">
        <v>1342</v>
      </c>
      <c r="W13" s="504">
        <v>1360</v>
      </c>
      <c r="X13" s="504">
        <v>1379</v>
      </c>
      <c r="Y13" s="504">
        <v>1398</v>
      </c>
      <c r="Z13" s="504">
        <v>1418</v>
      </c>
      <c r="AA13" s="504">
        <v>1438</v>
      </c>
      <c r="AB13" s="504">
        <v>1458</v>
      </c>
      <c r="AC13" s="504">
        <v>1479</v>
      </c>
      <c r="AD13" s="504">
        <v>1500</v>
      </c>
      <c r="AE13" s="504">
        <v>1522</v>
      </c>
      <c r="AF13" s="504">
        <v>1544</v>
      </c>
      <c r="AG13" s="504">
        <v>1566</v>
      </c>
      <c r="AH13" s="504">
        <v>1589</v>
      </c>
      <c r="AI13" s="504">
        <v>1612</v>
      </c>
      <c r="AJ13" s="504">
        <v>1636</v>
      </c>
      <c r="AK13" s="504">
        <v>1660</v>
      </c>
      <c r="AL13" s="504">
        <v>1684</v>
      </c>
      <c r="AM13" s="504">
        <v>1709</v>
      </c>
      <c r="AN13" s="504">
        <v>1735</v>
      </c>
      <c r="AO13" s="504">
        <v>1761</v>
      </c>
      <c r="AP13" s="504">
        <v>1787</v>
      </c>
      <c r="AQ13" s="504">
        <v>1815</v>
      </c>
      <c r="AR13" s="504">
        <v>1844</v>
      </c>
      <c r="AS13" s="504">
        <v>1874</v>
      </c>
      <c r="AT13" s="504">
        <v>1907</v>
      </c>
      <c r="AU13" s="504">
        <v>1942</v>
      </c>
      <c r="AV13" s="504">
        <v>2000</v>
      </c>
      <c r="AW13" s="504">
        <v>0</v>
      </c>
      <c r="AX13" s="504">
        <v>0</v>
      </c>
      <c r="AY13" s="504">
        <v>0</v>
      </c>
      <c r="AZ13" s="504">
        <v>0</v>
      </c>
      <c r="BA13" s="504">
        <v>0</v>
      </c>
      <c r="BB13" s="504">
        <v>0</v>
      </c>
      <c r="BC13" s="504">
        <v>0</v>
      </c>
      <c r="BD13" s="504">
        <v>0</v>
      </c>
      <c r="BE13" s="504">
        <v>0</v>
      </c>
      <c r="BF13" s="504">
        <v>0</v>
      </c>
      <c r="BG13" s="504">
        <v>0</v>
      </c>
      <c r="BH13" s="504">
        <v>0</v>
      </c>
      <c r="BI13" s="504">
        <v>0</v>
      </c>
      <c r="BJ13" s="504">
        <v>0</v>
      </c>
      <c r="BK13" s="504">
        <v>0</v>
      </c>
      <c r="BL13" s="504">
        <v>0</v>
      </c>
      <c r="BM13" s="504">
        <v>0</v>
      </c>
      <c r="BN13" s="504">
        <v>0</v>
      </c>
      <c r="BO13" s="504">
        <v>0</v>
      </c>
      <c r="BP13" s="504">
        <v>0</v>
      </c>
      <c r="BQ13" s="504">
        <v>0</v>
      </c>
      <c r="BR13" s="504">
        <v>0</v>
      </c>
      <c r="BS13" s="504">
        <v>0</v>
      </c>
      <c r="BT13" s="504">
        <v>0</v>
      </c>
      <c r="BU13" s="504">
        <v>0</v>
      </c>
      <c r="BV13" s="504">
        <v>0</v>
      </c>
      <c r="BW13" s="504">
        <v>0</v>
      </c>
      <c r="BX13" s="504">
        <v>0</v>
      </c>
      <c r="BY13" s="504">
        <v>0</v>
      </c>
      <c r="BZ13" s="504">
        <v>0</v>
      </c>
      <c r="CA13" s="504">
        <v>0</v>
      </c>
      <c r="CB13" s="504">
        <v>0</v>
      </c>
      <c r="CC13" s="504">
        <v>0</v>
      </c>
      <c r="CD13" s="504">
        <v>0</v>
      </c>
      <c r="CE13" s="504">
        <v>0</v>
      </c>
      <c r="CF13" s="504">
        <v>0</v>
      </c>
      <c r="CG13" s="504">
        <v>0</v>
      </c>
      <c r="CH13" s="504">
        <v>0</v>
      </c>
      <c r="CI13" s="504">
        <v>0</v>
      </c>
      <c r="CJ13" s="504">
        <v>0</v>
      </c>
      <c r="CK13" s="504">
        <v>0</v>
      </c>
      <c r="CL13" s="504">
        <v>0</v>
      </c>
      <c r="CM13" s="504">
        <v>0</v>
      </c>
      <c r="CN13" s="504">
        <v>0</v>
      </c>
      <c r="CO13" s="504">
        <v>0</v>
      </c>
      <c r="CP13" s="504">
        <v>0</v>
      </c>
      <c r="CQ13" s="504">
        <v>0</v>
      </c>
      <c r="CR13" s="504">
        <v>0</v>
      </c>
      <c r="CS13" s="504">
        <v>0</v>
      </c>
      <c r="CT13" s="504">
        <v>0</v>
      </c>
      <c r="CU13" s="504">
        <v>0</v>
      </c>
      <c r="CV13" s="504">
        <v>0</v>
      </c>
      <c r="CW13" s="504">
        <v>0</v>
      </c>
      <c r="CX13" s="504">
        <v>0</v>
      </c>
      <c r="CY13" s="504">
        <v>0</v>
      </c>
      <c r="CZ13" s="1654">
        <v>0</v>
      </c>
      <c r="DA13" s="504">
        <v>0</v>
      </c>
      <c r="DB13" s="504">
        <v>124</v>
      </c>
      <c r="DC13" s="504">
        <v>494</v>
      </c>
      <c r="DD13" s="504">
        <v>1081</v>
      </c>
      <c r="DE13" s="504">
        <v>1309</v>
      </c>
      <c r="DF13" s="504">
        <v>1584</v>
      </c>
      <c r="DG13" s="504">
        <v>0</v>
      </c>
      <c r="DH13" s="504">
        <v>0</v>
      </c>
      <c r="DI13" s="504">
        <v>0</v>
      </c>
      <c r="DJ13" s="504">
        <v>0</v>
      </c>
      <c r="DK13" s="504">
        <v>0</v>
      </c>
      <c r="DL13" s="504">
        <v>0</v>
      </c>
      <c r="DM13" s="504">
        <v>0</v>
      </c>
      <c r="DN13" s="504">
        <v>0</v>
      </c>
      <c r="DO13" s="504">
        <v>0</v>
      </c>
      <c r="DP13" s="504">
        <v>0</v>
      </c>
      <c r="DQ13" s="504">
        <v>0</v>
      </c>
      <c r="DR13" s="504">
        <v>0</v>
      </c>
      <c r="DS13" s="504">
        <v>0</v>
      </c>
      <c r="DT13" s="504">
        <v>0</v>
      </c>
      <c r="DU13" s="504">
        <v>0</v>
      </c>
      <c r="DV13" s="504">
        <v>0</v>
      </c>
      <c r="DW13" s="504">
        <v>0</v>
      </c>
      <c r="DX13" s="504">
        <v>0</v>
      </c>
      <c r="DY13" s="504">
        <v>0</v>
      </c>
      <c r="DZ13" s="504">
        <v>0</v>
      </c>
      <c r="EA13" s="504">
        <v>0</v>
      </c>
      <c r="EB13" s="504">
        <v>0</v>
      </c>
      <c r="EC13" s="504">
        <v>0</v>
      </c>
      <c r="ED13" s="504">
        <v>0</v>
      </c>
      <c r="EE13" s="504">
        <v>0</v>
      </c>
      <c r="EF13" s="504">
        <v>0</v>
      </c>
      <c r="EG13" s="504">
        <v>0</v>
      </c>
      <c r="EH13" s="504">
        <v>0</v>
      </c>
      <c r="EI13" s="504">
        <v>0</v>
      </c>
      <c r="EJ13" s="504">
        <v>0</v>
      </c>
      <c r="EK13" s="504">
        <v>0</v>
      </c>
      <c r="EL13" s="504">
        <v>0</v>
      </c>
      <c r="EM13" s="504">
        <v>0</v>
      </c>
      <c r="EN13" s="504">
        <v>0</v>
      </c>
      <c r="EO13" s="504">
        <v>0</v>
      </c>
      <c r="EP13" s="504">
        <v>0</v>
      </c>
      <c r="EQ13" s="504">
        <v>0</v>
      </c>
      <c r="ER13" s="504">
        <v>0</v>
      </c>
      <c r="ES13" s="504">
        <v>0</v>
      </c>
      <c r="ET13" s="504">
        <v>0</v>
      </c>
      <c r="EU13" s="504">
        <v>0</v>
      </c>
      <c r="EV13" s="504">
        <v>0</v>
      </c>
      <c r="EW13" s="504">
        <v>0</v>
      </c>
      <c r="EX13" s="504">
        <v>0</v>
      </c>
      <c r="EY13" s="504">
        <v>0</v>
      </c>
      <c r="EZ13" s="504">
        <v>0</v>
      </c>
      <c r="FA13" s="504">
        <v>0</v>
      </c>
      <c r="FB13" s="504">
        <v>0</v>
      </c>
      <c r="FC13" s="504">
        <v>0</v>
      </c>
      <c r="FD13" s="504">
        <v>0</v>
      </c>
      <c r="FE13" s="504">
        <v>0</v>
      </c>
      <c r="FF13" s="504">
        <v>0</v>
      </c>
      <c r="FG13" s="504">
        <v>0</v>
      </c>
      <c r="FH13" s="504">
        <v>0</v>
      </c>
      <c r="FI13" s="504">
        <v>0</v>
      </c>
      <c r="FJ13" s="504">
        <v>0</v>
      </c>
      <c r="FK13" s="504">
        <v>0</v>
      </c>
      <c r="FL13" s="504">
        <v>0</v>
      </c>
      <c r="FM13" s="504">
        <v>0</v>
      </c>
      <c r="FN13" s="504">
        <v>0</v>
      </c>
      <c r="FO13" s="504">
        <v>0</v>
      </c>
      <c r="FP13" s="504">
        <v>0</v>
      </c>
      <c r="FQ13" s="504">
        <v>0</v>
      </c>
      <c r="FR13" s="504">
        <v>0</v>
      </c>
      <c r="FS13" s="504">
        <v>0</v>
      </c>
      <c r="FT13" s="504">
        <v>0</v>
      </c>
      <c r="FU13" s="504">
        <v>0</v>
      </c>
      <c r="FV13" s="504">
        <v>0</v>
      </c>
      <c r="FW13" s="504">
        <v>0</v>
      </c>
      <c r="FX13" s="504">
        <v>0</v>
      </c>
      <c r="FY13" s="504">
        <v>0</v>
      </c>
      <c r="FZ13" s="504">
        <v>0</v>
      </c>
      <c r="GA13" s="504">
        <v>0</v>
      </c>
      <c r="GB13" s="504">
        <v>0</v>
      </c>
      <c r="GC13" s="504">
        <v>0</v>
      </c>
      <c r="GD13" s="504">
        <v>0</v>
      </c>
      <c r="GE13" s="504">
        <v>0</v>
      </c>
      <c r="GF13" s="504">
        <v>0</v>
      </c>
      <c r="GG13" s="504">
        <v>0</v>
      </c>
      <c r="GH13" s="504">
        <v>0</v>
      </c>
      <c r="GI13" s="504">
        <v>0</v>
      </c>
      <c r="GJ13" s="504">
        <v>0</v>
      </c>
      <c r="GK13" s="504">
        <v>0</v>
      </c>
      <c r="GL13" s="504">
        <v>0</v>
      </c>
      <c r="GM13" s="504">
        <v>0</v>
      </c>
      <c r="GN13" s="504">
        <v>0</v>
      </c>
      <c r="GO13" s="504">
        <v>0</v>
      </c>
      <c r="GP13" s="504">
        <v>0</v>
      </c>
      <c r="GQ13" s="504">
        <v>0</v>
      </c>
      <c r="GR13" s="504">
        <v>0</v>
      </c>
      <c r="GS13" s="504">
        <v>0</v>
      </c>
      <c r="GT13" s="504">
        <v>0</v>
      </c>
      <c r="GU13" s="504">
        <v>0</v>
      </c>
      <c r="GV13" s="504">
        <v>0</v>
      </c>
      <c r="GW13" s="1654">
        <v>0</v>
      </c>
      <c r="GX13" s="504">
        <v>0</v>
      </c>
      <c r="GY13" s="504">
        <v>22080</v>
      </c>
      <c r="GZ13" s="504">
        <v>38227</v>
      </c>
      <c r="HA13" s="504">
        <v>41000</v>
      </c>
      <c r="HB13" s="504">
        <v>40000</v>
      </c>
      <c r="HC13" s="504">
        <v>39000</v>
      </c>
      <c r="HD13" s="504">
        <v>0</v>
      </c>
      <c r="HE13" s="504">
        <v>0</v>
      </c>
      <c r="HF13" s="504">
        <v>0</v>
      </c>
      <c r="HG13" s="504">
        <v>0</v>
      </c>
      <c r="HH13" s="504">
        <v>0</v>
      </c>
      <c r="HI13" s="504">
        <v>0</v>
      </c>
      <c r="HJ13" s="504">
        <v>0</v>
      </c>
      <c r="HK13" s="504">
        <v>0</v>
      </c>
      <c r="HL13" s="504">
        <v>0</v>
      </c>
      <c r="HM13" s="504">
        <v>0</v>
      </c>
      <c r="HN13" s="504">
        <v>0</v>
      </c>
      <c r="HO13" s="504">
        <v>0</v>
      </c>
      <c r="HP13" s="504">
        <v>0</v>
      </c>
      <c r="HQ13" s="504">
        <v>0</v>
      </c>
      <c r="HR13" s="504">
        <v>0</v>
      </c>
      <c r="HS13" s="504">
        <v>0</v>
      </c>
      <c r="HT13" s="504">
        <v>0</v>
      </c>
      <c r="HU13" s="504">
        <v>0</v>
      </c>
      <c r="HV13" s="504">
        <v>0</v>
      </c>
      <c r="HW13" s="504">
        <v>0</v>
      </c>
      <c r="HX13" s="504">
        <v>0</v>
      </c>
      <c r="HY13" s="504">
        <v>0</v>
      </c>
      <c r="HZ13" s="504">
        <v>0</v>
      </c>
      <c r="IA13" s="504">
        <v>0</v>
      </c>
      <c r="IB13" s="504">
        <v>0</v>
      </c>
      <c r="IC13" s="504">
        <v>0</v>
      </c>
      <c r="ID13" s="504">
        <v>0</v>
      </c>
      <c r="IE13" s="504">
        <v>0</v>
      </c>
      <c r="IF13" s="504">
        <v>0</v>
      </c>
      <c r="IG13" s="504">
        <v>0</v>
      </c>
      <c r="IH13" s="504">
        <v>0</v>
      </c>
      <c r="II13" s="504">
        <v>0</v>
      </c>
      <c r="IJ13" s="504">
        <v>0</v>
      </c>
      <c r="IK13" s="504">
        <v>0</v>
      </c>
      <c r="IL13" s="504">
        <v>0</v>
      </c>
      <c r="IM13" s="504">
        <v>0</v>
      </c>
      <c r="IN13" s="504">
        <v>0</v>
      </c>
      <c r="IO13" s="504">
        <v>0</v>
      </c>
      <c r="IP13" s="504">
        <v>0</v>
      </c>
      <c r="IQ13" s="504">
        <v>0</v>
      </c>
      <c r="IR13" s="504">
        <v>0</v>
      </c>
      <c r="IS13" s="504">
        <v>0</v>
      </c>
      <c r="IT13" s="504">
        <v>0</v>
      </c>
      <c r="IU13" s="504">
        <v>0</v>
      </c>
      <c r="IV13" s="504">
        <v>0</v>
      </c>
      <c r="IW13" s="504">
        <v>0</v>
      </c>
      <c r="IX13" s="504">
        <v>0</v>
      </c>
      <c r="IY13" s="504">
        <v>0</v>
      </c>
      <c r="IZ13" s="504">
        <v>0</v>
      </c>
      <c r="JA13" s="504">
        <v>0</v>
      </c>
      <c r="JB13" s="504">
        <v>0</v>
      </c>
      <c r="JC13" s="504">
        <v>0</v>
      </c>
      <c r="JD13" s="504">
        <v>0</v>
      </c>
      <c r="JE13" s="504">
        <v>0</v>
      </c>
      <c r="JF13" s="504">
        <v>0</v>
      </c>
      <c r="JG13" s="504">
        <v>0</v>
      </c>
      <c r="JH13" s="504">
        <v>0</v>
      </c>
      <c r="JI13" s="504">
        <v>0</v>
      </c>
      <c r="JJ13" s="504">
        <v>0</v>
      </c>
      <c r="JK13" s="504">
        <v>0</v>
      </c>
      <c r="JL13" s="504">
        <v>0</v>
      </c>
      <c r="JM13" s="504">
        <v>0</v>
      </c>
      <c r="JN13" s="504">
        <v>0</v>
      </c>
      <c r="JO13" s="504">
        <v>0</v>
      </c>
      <c r="JP13" s="504">
        <v>0</v>
      </c>
      <c r="JQ13" s="504">
        <v>0</v>
      </c>
      <c r="JR13" s="504">
        <v>0</v>
      </c>
      <c r="JS13" s="504">
        <v>0</v>
      </c>
      <c r="JT13" s="504">
        <v>0</v>
      </c>
      <c r="JU13" s="504">
        <v>0</v>
      </c>
      <c r="JV13" s="504">
        <v>0</v>
      </c>
      <c r="JW13" s="504">
        <v>0</v>
      </c>
      <c r="JX13" s="504">
        <v>0</v>
      </c>
      <c r="JY13" s="504">
        <v>0</v>
      </c>
      <c r="JZ13" s="504">
        <v>0</v>
      </c>
      <c r="KA13" s="504">
        <v>0</v>
      </c>
      <c r="KB13" s="504">
        <v>0</v>
      </c>
      <c r="KC13" s="504">
        <v>0</v>
      </c>
      <c r="KD13" s="504">
        <v>0</v>
      </c>
      <c r="KE13" s="504">
        <v>0</v>
      </c>
      <c r="KF13" s="504">
        <v>0</v>
      </c>
      <c r="KG13" s="504">
        <v>0</v>
      </c>
      <c r="KH13" s="504">
        <v>0</v>
      </c>
      <c r="KI13" s="504">
        <v>0</v>
      </c>
      <c r="KJ13" s="504">
        <v>0</v>
      </c>
      <c r="KK13" s="504">
        <v>0</v>
      </c>
      <c r="KL13" s="504">
        <v>0</v>
      </c>
      <c r="KM13" s="504">
        <v>0</v>
      </c>
      <c r="KN13" s="504">
        <v>0</v>
      </c>
      <c r="KO13" s="504">
        <v>0</v>
      </c>
      <c r="KP13" s="504">
        <v>0</v>
      </c>
      <c r="KQ13" s="504">
        <v>0</v>
      </c>
      <c r="KR13" s="504">
        <v>0</v>
      </c>
      <c r="KS13" s="504">
        <v>0</v>
      </c>
      <c r="KT13" s="1654">
        <v>0</v>
      </c>
      <c r="KU13" s="504">
        <v>0</v>
      </c>
      <c r="KV13" s="504">
        <v>0</v>
      </c>
      <c r="KW13" s="504">
        <v>0</v>
      </c>
      <c r="KX13" s="504">
        <v>1069</v>
      </c>
      <c r="KY13" s="504">
        <v>1298</v>
      </c>
      <c r="KZ13" s="504">
        <v>1573</v>
      </c>
      <c r="LA13" s="504">
        <v>0</v>
      </c>
      <c r="LB13" s="504">
        <v>0</v>
      </c>
      <c r="LC13" s="504">
        <v>0</v>
      </c>
      <c r="LD13" s="504">
        <v>0</v>
      </c>
      <c r="LE13" s="504">
        <v>0</v>
      </c>
      <c r="LF13" s="504">
        <v>0</v>
      </c>
      <c r="LG13" s="504">
        <v>0</v>
      </c>
      <c r="LH13" s="504">
        <v>0</v>
      </c>
      <c r="LI13" s="504">
        <v>0</v>
      </c>
      <c r="LJ13" s="504">
        <v>0</v>
      </c>
      <c r="LK13" s="504">
        <v>0</v>
      </c>
      <c r="LL13" s="504">
        <v>0</v>
      </c>
      <c r="LM13" s="504">
        <v>0</v>
      </c>
      <c r="LN13" s="504">
        <v>0</v>
      </c>
      <c r="LO13" s="504">
        <v>0</v>
      </c>
      <c r="LP13" s="504">
        <v>0</v>
      </c>
      <c r="LQ13" s="504">
        <v>0</v>
      </c>
      <c r="LR13" s="504">
        <v>0</v>
      </c>
      <c r="LS13" s="504">
        <v>0</v>
      </c>
      <c r="LT13" s="504">
        <v>0</v>
      </c>
      <c r="LU13" s="504">
        <v>0</v>
      </c>
      <c r="LV13" s="504">
        <v>0</v>
      </c>
      <c r="LW13" s="504">
        <v>0</v>
      </c>
      <c r="LX13" s="504">
        <v>0</v>
      </c>
      <c r="LY13" s="504">
        <v>0</v>
      </c>
      <c r="LZ13" s="504">
        <v>0</v>
      </c>
      <c r="MA13" s="504">
        <v>0</v>
      </c>
      <c r="MB13" s="504">
        <v>0</v>
      </c>
      <c r="MC13" s="504">
        <v>0</v>
      </c>
      <c r="MD13" s="504">
        <v>0</v>
      </c>
      <c r="ME13" s="504">
        <v>0</v>
      </c>
      <c r="MF13" s="504">
        <v>0</v>
      </c>
      <c r="MG13" s="504">
        <v>0</v>
      </c>
      <c r="MH13" s="504">
        <v>0</v>
      </c>
      <c r="MI13" s="504">
        <v>0</v>
      </c>
      <c r="MJ13" s="504">
        <v>0</v>
      </c>
      <c r="MK13" s="504">
        <v>0</v>
      </c>
      <c r="ML13" s="504">
        <v>0</v>
      </c>
      <c r="MM13" s="504">
        <v>0</v>
      </c>
      <c r="MN13" s="504">
        <v>0</v>
      </c>
      <c r="MO13" s="504">
        <v>0</v>
      </c>
      <c r="MP13" s="504">
        <v>0</v>
      </c>
      <c r="MQ13" s="504">
        <v>0</v>
      </c>
      <c r="MR13" s="504">
        <v>0</v>
      </c>
      <c r="MS13" s="504">
        <v>0</v>
      </c>
      <c r="MT13" s="504">
        <v>0</v>
      </c>
      <c r="MU13" s="504">
        <v>0</v>
      </c>
      <c r="MV13" s="504">
        <v>0</v>
      </c>
      <c r="MW13" s="504">
        <v>0</v>
      </c>
      <c r="MX13" s="504">
        <v>0</v>
      </c>
      <c r="MY13" s="504">
        <v>0</v>
      </c>
      <c r="MZ13" s="504">
        <v>0</v>
      </c>
      <c r="NA13" s="504">
        <v>0</v>
      </c>
      <c r="NB13" s="504">
        <v>0</v>
      </c>
      <c r="NC13" s="504">
        <v>0</v>
      </c>
      <c r="ND13" s="504">
        <v>0</v>
      </c>
      <c r="NE13" s="504">
        <v>0</v>
      </c>
      <c r="NF13" s="504">
        <v>0</v>
      </c>
      <c r="NG13" s="504">
        <v>0</v>
      </c>
      <c r="NH13" s="504">
        <v>0</v>
      </c>
      <c r="NI13" s="504">
        <v>0</v>
      </c>
      <c r="NJ13" s="504">
        <v>0</v>
      </c>
      <c r="NK13" s="504">
        <v>0</v>
      </c>
      <c r="NL13" s="504">
        <v>0</v>
      </c>
      <c r="NM13" s="504">
        <v>0</v>
      </c>
      <c r="NN13" s="504">
        <v>0</v>
      </c>
      <c r="NO13" s="504">
        <v>0</v>
      </c>
      <c r="NP13" s="504">
        <v>0</v>
      </c>
      <c r="NQ13" s="504">
        <v>0</v>
      </c>
      <c r="NR13" s="504">
        <v>0</v>
      </c>
      <c r="NS13" s="504">
        <v>0</v>
      </c>
      <c r="NT13" s="504">
        <v>0</v>
      </c>
      <c r="NU13" s="504">
        <v>0</v>
      </c>
      <c r="NV13" s="504">
        <v>0</v>
      </c>
      <c r="NW13" s="504">
        <v>0</v>
      </c>
      <c r="NX13" s="504">
        <v>0</v>
      </c>
      <c r="NY13" s="504">
        <v>0</v>
      </c>
      <c r="NZ13" s="504">
        <v>0</v>
      </c>
      <c r="OA13" s="504">
        <v>0</v>
      </c>
      <c r="OB13" s="504">
        <v>0</v>
      </c>
      <c r="OC13" s="504">
        <v>0</v>
      </c>
      <c r="OD13" s="504">
        <v>0</v>
      </c>
      <c r="OE13" s="504">
        <v>0</v>
      </c>
      <c r="OF13" s="504">
        <v>0</v>
      </c>
      <c r="OG13" s="504">
        <v>0</v>
      </c>
      <c r="OH13" s="504">
        <v>0</v>
      </c>
      <c r="OI13" s="504">
        <v>0</v>
      </c>
      <c r="OJ13" s="504">
        <v>0</v>
      </c>
      <c r="OK13" s="504">
        <v>0</v>
      </c>
      <c r="OL13" s="504">
        <v>0</v>
      </c>
      <c r="OM13" s="504">
        <v>0</v>
      </c>
      <c r="ON13" s="504">
        <v>0</v>
      </c>
      <c r="OO13" s="504">
        <v>0</v>
      </c>
      <c r="OP13" s="504">
        <v>0</v>
      </c>
      <c r="OQ13" s="504">
        <v>0</v>
      </c>
      <c r="OR13" s="1656"/>
    </row>
    <row r="14" spans="1:408" ht="21.5">
      <c r="A14" s="1466" t="s">
        <v>1635</v>
      </c>
      <c r="B14" s="1583" t="s">
        <v>2358</v>
      </c>
      <c r="C14" s="1583" t="s">
        <v>14</v>
      </c>
      <c r="D14" s="1583">
        <v>37</v>
      </c>
      <c r="E14" s="504">
        <v>41</v>
      </c>
      <c r="F14" s="504">
        <v>166</v>
      </c>
      <c r="G14" s="504">
        <v>427</v>
      </c>
      <c r="H14" s="504">
        <v>667</v>
      </c>
      <c r="I14" s="504">
        <v>956</v>
      </c>
      <c r="J14" s="504">
        <v>1167</v>
      </c>
      <c r="K14" s="504">
        <v>1181</v>
      </c>
      <c r="L14" s="504">
        <v>1196</v>
      </c>
      <c r="M14" s="504">
        <v>1210</v>
      </c>
      <c r="N14" s="504">
        <v>1226</v>
      </c>
      <c r="O14" s="504">
        <v>1241</v>
      </c>
      <c r="P14" s="504">
        <v>1257</v>
      </c>
      <c r="Q14" s="504">
        <v>1273</v>
      </c>
      <c r="R14" s="504">
        <v>1290</v>
      </c>
      <c r="S14" s="504">
        <v>1307</v>
      </c>
      <c r="T14" s="504">
        <v>1324</v>
      </c>
      <c r="U14" s="504">
        <v>1342</v>
      </c>
      <c r="V14" s="504">
        <v>1360</v>
      </c>
      <c r="W14" s="504">
        <v>1379</v>
      </c>
      <c r="X14" s="504">
        <v>1398</v>
      </c>
      <c r="Y14" s="504">
        <v>1418</v>
      </c>
      <c r="Z14" s="504">
        <v>1438</v>
      </c>
      <c r="AA14" s="504">
        <v>1458</v>
      </c>
      <c r="AB14" s="504">
        <v>1479</v>
      </c>
      <c r="AC14" s="504">
        <v>1500</v>
      </c>
      <c r="AD14" s="504">
        <v>1522</v>
      </c>
      <c r="AE14" s="504">
        <v>1544</v>
      </c>
      <c r="AF14" s="504">
        <v>1566</v>
      </c>
      <c r="AG14" s="504">
        <v>1589</v>
      </c>
      <c r="AH14" s="504">
        <v>1612</v>
      </c>
      <c r="AI14" s="504">
        <v>1636</v>
      </c>
      <c r="AJ14" s="504">
        <v>1660</v>
      </c>
      <c r="AK14" s="504">
        <v>1684</v>
      </c>
      <c r="AL14" s="504">
        <v>1709</v>
      </c>
      <c r="AM14" s="504">
        <v>1735</v>
      </c>
      <c r="AN14" s="504">
        <v>1761</v>
      </c>
      <c r="AO14" s="504">
        <v>1787</v>
      </c>
      <c r="AP14" s="504">
        <v>1815</v>
      </c>
      <c r="AQ14" s="504">
        <v>1844</v>
      </c>
      <c r="AR14" s="504">
        <v>1874</v>
      </c>
      <c r="AS14" s="504">
        <v>1907</v>
      </c>
      <c r="AT14" s="504">
        <v>1942</v>
      </c>
      <c r="AU14" s="504">
        <v>2000</v>
      </c>
      <c r="AV14" s="504">
        <v>0</v>
      </c>
      <c r="AW14" s="504">
        <v>0</v>
      </c>
      <c r="AX14" s="504">
        <v>0</v>
      </c>
      <c r="AY14" s="504">
        <v>0</v>
      </c>
      <c r="AZ14" s="504">
        <v>0</v>
      </c>
      <c r="BA14" s="504">
        <v>0</v>
      </c>
      <c r="BB14" s="504">
        <v>0</v>
      </c>
      <c r="BC14" s="504">
        <v>0</v>
      </c>
      <c r="BD14" s="504">
        <v>0</v>
      </c>
      <c r="BE14" s="504">
        <v>0</v>
      </c>
      <c r="BF14" s="504">
        <v>0</v>
      </c>
      <c r="BG14" s="504">
        <v>0</v>
      </c>
      <c r="BH14" s="504">
        <v>0</v>
      </c>
      <c r="BI14" s="504">
        <v>0</v>
      </c>
      <c r="BJ14" s="504">
        <v>0</v>
      </c>
      <c r="BK14" s="504">
        <v>0</v>
      </c>
      <c r="BL14" s="504">
        <v>0</v>
      </c>
      <c r="BM14" s="504">
        <v>0</v>
      </c>
      <c r="BN14" s="504">
        <v>0</v>
      </c>
      <c r="BO14" s="504">
        <v>0</v>
      </c>
      <c r="BP14" s="504">
        <v>0</v>
      </c>
      <c r="BQ14" s="504">
        <v>0</v>
      </c>
      <c r="BR14" s="504">
        <v>0</v>
      </c>
      <c r="BS14" s="504">
        <v>0</v>
      </c>
      <c r="BT14" s="504">
        <v>0</v>
      </c>
      <c r="BU14" s="504">
        <v>0</v>
      </c>
      <c r="BV14" s="504">
        <v>0</v>
      </c>
      <c r="BW14" s="504">
        <v>0</v>
      </c>
      <c r="BX14" s="504">
        <v>0</v>
      </c>
      <c r="BY14" s="504">
        <v>0</v>
      </c>
      <c r="BZ14" s="504">
        <v>0</v>
      </c>
      <c r="CA14" s="504">
        <v>0</v>
      </c>
      <c r="CB14" s="504">
        <v>0</v>
      </c>
      <c r="CC14" s="504">
        <v>0</v>
      </c>
      <c r="CD14" s="504">
        <v>0</v>
      </c>
      <c r="CE14" s="504">
        <v>0</v>
      </c>
      <c r="CF14" s="504">
        <v>0</v>
      </c>
      <c r="CG14" s="504">
        <v>0</v>
      </c>
      <c r="CH14" s="504">
        <v>0</v>
      </c>
      <c r="CI14" s="504">
        <v>0</v>
      </c>
      <c r="CJ14" s="504">
        <v>0</v>
      </c>
      <c r="CK14" s="504">
        <v>0</v>
      </c>
      <c r="CL14" s="504">
        <v>0</v>
      </c>
      <c r="CM14" s="504">
        <v>0</v>
      </c>
      <c r="CN14" s="504">
        <v>0</v>
      </c>
      <c r="CO14" s="504">
        <v>0</v>
      </c>
      <c r="CP14" s="504">
        <v>0</v>
      </c>
      <c r="CQ14" s="504">
        <v>0</v>
      </c>
      <c r="CR14" s="504">
        <v>0</v>
      </c>
      <c r="CS14" s="504">
        <v>0</v>
      </c>
      <c r="CT14" s="504">
        <v>0</v>
      </c>
      <c r="CU14" s="504">
        <v>0</v>
      </c>
      <c r="CV14" s="504">
        <v>0</v>
      </c>
      <c r="CW14" s="504">
        <v>0</v>
      </c>
      <c r="CX14" s="504">
        <v>0</v>
      </c>
      <c r="CY14" s="504">
        <v>0</v>
      </c>
      <c r="CZ14" s="1654">
        <v>0</v>
      </c>
      <c r="DA14" s="504">
        <v>0</v>
      </c>
      <c r="DB14" s="504">
        <v>124</v>
      </c>
      <c r="DC14" s="504">
        <v>487</v>
      </c>
      <c r="DD14" s="504">
        <v>1076</v>
      </c>
      <c r="DE14" s="504">
        <v>1306</v>
      </c>
      <c r="DF14" s="504">
        <v>1585</v>
      </c>
      <c r="DG14" s="504">
        <v>0</v>
      </c>
      <c r="DH14" s="504">
        <v>0</v>
      </c>
      <c r="DI14" s="504">
        <v>0</v>
      </c>
      <c r="DJ14" s="504">
        <v>0</v>
      </c>
      <c r="DK14" s="504">
        <v>0</v>
      </c>
      <c r="DL14" s="504">
        <v>0</v>
      </c>
      <c r="DM14" s="504">
        <v>0</v>
      </c>
      <c r="DN14" s="504">
        <v>0</v>
      </c>
      <c r="DO14" s="504">
        <v>0</v>
      </c>
      <c r="DP14" s="504">
        <v>0</v>
      </c>
      <c r="DQ14" s="504">
        <v>0</v>
      </c>
      <c r="DR14" s="504">
        <v>0</v>
      </c>
      <c r="DS14" s="504">
        <v>0</v>
      </c>
      <c r="DT14" s="504">
        <v>0</v>
      </c>
      <c r="DU14" s="504">
        <v>0</v>
      </c>
      <c r="DV14" s="504">
        <v>0</v>
      </c>
      <c r="DW14" s="504">
        <v>0</v>
      </c>
      <c r="DX14" s="504">
        <v>0</v>
      </c>
      <c r="DY14" s="504">
        <v>0</v>
      </c>
      <c r="DZ14" s="504">
        <v>0</v>
      </c>
      <c r="EA14" s="504">
        <v>0</v>
      </c>
      <c r="EB14" s="504">
        <v>0</v>
      </c>
      <c r="EC14" s="504">
        <v>0</v>
      </c>
      <c r="ED14" s="504">
        <v>0</v>
      </c>
      <c r="EE14" s="504">
        <v>0</v>
      </c>
      <c r="EF14" s="504">
        <v>0</v>
      </c>
      <c r="EG14" s="504">
        <v>0</v>
      </c>
      <c r="EH14" s="504">
        <v>0</v>
      </c>
      <c r="EI14" s="504">
        <v>0</v>
      </c>
      <c r="EJ14" s="504">
        <v>0</v>
      </c>
      <c r="EK14" s="504">
        <v>0</v>
      </c>
      <c r="EL14" s="504">
        <v>0</v>
      </c>
      <c r="EM14" s="504">
        <v>0</v>
      </c>
      <c r="EN14" s="504">
        <v>0</v>
      </c>
      <c r="EO14" s="504">
        <v>0</v>
      </c>
      <c r="EP14" s="504">
        <v>0</v>
      </c>
      <c r="EQ14" s="504">
        <v>0</v>
      </c>
      <c r="ER14" s="504">
        <v>0</v>
      </c>
      <c r="ES14" s="504">
        <v>0</v>
      </c>
      <c r="ET14" s="504">
        <v>0</v>
      </c>
      <c r="EU14" s="504">
        <v>0</v>
      </c>
      <c r="EV14" s="504">
        <v>0</v>
      </c>
      <c r="EW14" s="504">
        <v>0</v>
      </c>
      <c r="EX14" s="504">
        <v>0</v>
      </c>
      <c r="EY14" s="504">
        <v>0</v>
      </c>
      <c r="EZ14" s="504">
        <v>0</v>
      </c>
      <c r="FA14" s="504">
        <v>0</v>
      </c>
      <c r="FB14" s="504">
        <v>0</v>
      </c>
      <c r="FC14" s="504">
        <v>0</v>
      </c>
      <c r="FD14" s="504">
        <v>0</v>
      </c>
      <c r="FE14" s="504">
        <v>0</v>
      </c>
      <c r="FF14" s="504">
        <v>0</v>
      </c>
      <c r="FG14" s="504">
        <v>0</v>
      </c>
      <c r="FH14" s="504">
        <v>0</v>
      </c>
      <c r="FI14" s="504">
        <v>0</v>
      </c>
      <c r="FJ14" s="504">
        <v>0</v>
      </c>
      <c r="FK14" s="504">
        <v>0</v>
      </c>
      <c r="FL14" s="504">
        <v>0</v>
      </c>
      <c r="FM14" s="504">
        <v>0</v>
      </c>
      <c r="FN14" s="504">
        <v>0</v>
      </c>
      <c r="FO14" s="504">
        <v>0</v>
      </c>
      <c r="FP14" s="504">
        <v>0</v>
      </c>
      <c r="FQ14" s="504">
        <v>0</v>
      </c>
      <c r="FR14" s="504">
        <v>0</v>
      </c>
      <c r="FS14" s="504">
        <v>0</v>
      </c>
      <c r="FT14" s="504">
        <v>0</v>
      </c>
      <c r="FU14" s="504">
        <v>0</v>
      </c>
      <c r="FV14" s="504">
        <v>0</v>
      </c>
      <c r="FW14" s="504">
        <v>0</v>
      </c>
      <c r="FX14" s="504">
        <v>0</v>
      </c>
      <c r="FY14" s="504">
        <v>0</v>
      </c>
      <c r="FZ14" s="504">
        <v>0</v>
      </c>
      <c r="GA14" s="504">
        <v>0</v>
      </c>
      <c r="GB14" s="504">
        <v>0</v>
      </c>
      <c r="GC14" s="504">
        <v>0</v>
      </c>
      <c r="GD14" s="504">
        <v>0</v>
      </c>
      <c r="GE14" s="504">
        <v>0</v>
      </c>
      <c r="GF14" s="504">
        <v>0</v>
      </c>
      <c r="GG14" s="504">
        <v>0</v>
      </c>
      <c r="GH14" s="504">
        <v>0</v>
      </c>
      <c r="GI14" s="504">
        <v>0</v>
      </c>
      <c r="GJ14" s="504">
        <v>0</v>
      </c>
      <c r="GK14" s="504">
        <v>0</v>
      </c>
      <c r="GL14" s="504">
        <v>0</v>
      </c>
      <c r="GM14" s="504">
        <v>0</v>
      </c>
      <c r="GN14" s="504">
        <v>0</v>
      </c>
      <c r="GO14" s="504">
        <v>0</v>
      </c>
      <c r="GP14" s="504">
        <v>0</v>
      </c>
      <c r="GQ14" s="504">
        <v>0</v>
      </c>
      <c r="GR14" s="504">
        <v>0</v>
      </c>
      <c r="GS14" s="504">
        <v>0</v>
      </c>
      <c r="GT14" s="504">
        <v>0</v>
      </c>
      <c r="GU14" s="504">
        <v>0</v>
      </c>
      <c r="GV14" s="504">
        <v>0</v>
      </c>
      <c r="GW14" s="1654">
        <v>0</v>
      </c>
      <c r="GX14" s="504">
        <v>0</v>
      </c>
      <c r="GY14" s="504">
        <v>21167</v>
      </c>
      <c r="GZ14" s="504">
        <v>37169</v>
      </c>
      <c r="HA14" s="504">
        <v>40000</v>
      </c>
      <c r="HB14" s="504">
        <v>39000</v>
      </c>
      <c r="HC14" s="504">
        <v>38000</v>
      </c>
      <c r="HD14" s="504">
        <v>0</v>
      </c>
      <c r="HE14" s="504">
        <v>0</v>
      </c>
      <c r="HF14" s="504">
        <v>0</v>
      </c>
      <c r="HG14" s="504">
        <v>0</v>
      </c>
      <c r="HH14" s="504">
        <v>0</v>
      </c>
      <c r="HI14" s="504">
        <v>0</v>
      </c>
      <c r="HJ14" s="504">
        <v>0</v>
      </c>
      <c r="HK14" s="504">
        <v>0</v>
      </c>
      <c r="HL14" s="504">
        <v>0</v>
      </c>
      <c r="HM14" s="504">
        <v>0</v>
      </c>
      <c r="HN14" s="504">
        <v>0</v>
      </c>
      <c r="HO14" s="504">
        <v>0</v>
      </c>
      <c r="HP14" s="504">
        <v>0</v>
      </c>
      <c r="HQ14" s="504">
        <v>0</v>
      </c>
      <c r="HR14" s="504">
        <v>0</v>
      </c>
      <c r="HS14" s="504">
        <v>0</v>
      </c>
      <c r="HT14" s="504">
        <v>0</v>
      </c>
      <c r="HU14" s="504">
        <v>0</v>
      </c>
      <c r="HV14" s="504">
        <v>0</v>
      </c>
      <c r="HW14" s="504">
        <v>0</v>
      </c>
      <c r="HX14" s="504">
        <v>0</v>
      </c>
      <c r="HY14" s="504">
        <v>0</v>
      </c>
      <c r="HZ14" s="504">
        <v>0</v>
      </c>
      <c r="IA14" s="504">
        <v>0</v>
      </c>
      <c r="IB14" s="504">
        <v>0</v>
      </c>
      <c r="IC14" s="504">
        <v>0</v>
      </c>
      <c r="ID14" s="504">
        <v>0</v>
      </c>
      <c r="IE14" s="504">
        <v>0</v>
      </c>
      <c r="IF14" s="504">
        <v>0</v>
      </c>
      <c r="IG14" s="504">
        <v>0</v>
      </c>
      <c r="IH14" s="504">
        <v>0</v>
      </c>
      <c r="II14" s="504">
        <v>0</v>
      </c>
      <c r="IJ14" s="504">
        <v>0</v>
      </c>
      <c r="IK14" s="504">
        <v>0</v>
      </c>
      <c r="IL14" s="504">
        <v>0</v>
      </c>
      <c r="IM14" s="504">
        <v>0</v>
      </c>
      <c r="IN14" s="504">
        <v>0</v>
      </c>
      <c r="IO14" s="504">
        <v>0</v>
      </c>
      <c r="IP14" s="504">
        <v>0</v>
      </c>
      <c r="IQ14" s="504">
        <v>0</v>
      </c>
      <c r="IR14" s="504">
        <v>0</v>
      </c>
      <c r="IS14" s="504">
        <v>0</v>
      </c>
      <c r="IT14" s="504">
        <v>0</v>
      </c>
      <c r="IU14" s="504">
        <v>0</v>
      </c>
      <c r="IV14" s="504">
        <v>0</v>
      </c>
      <c r="IW14" s="504">
        <v>0</v>
      </c>
      <c r="IX14" s="504">
        <v>0</v>
      </c>
      <c r="IY14" s="504">
        <v>0</v>
      </c>
      <c r="IZ14" s="504">
        <v>0</v>
      </c>
      <c r="JA14" s="504">
        <v>0</v>
      </c>
      <c r="JB14" s="504">
        <v>0</v>
      </c>
      <c r="JC14" s="504">
        <v>0</v>
      </c>
      <c r="JD14" s="504">
        <v>0</v>
      </c>
      <c r="JE14" s="504">
        <v>0</v>
      </c>
      <c r="JF14" s="504">
        <v>0</v>
      </c>
      <c r="JG14" s="504">
        <v>0</v>
      </c>
      <c r="JH14" s="504">
        <v>0</v>
      </c>
      <c r="JI14" s="504">
        <v>0</v>
      </c>
      <c r="JJ14" s="504">
        <v>0</v>
      </c>
      <c r="JK14" s="504">
        <v>0</v>
      </c>
      <c r="JL14" s="504">
        <v>0</v>
      </c>
      <c r="JM14" s="504">
        <v>0</v>
      </c>
      <c r="JN14" s="504">
        <v>0</v>
      </c>
      <c r="JO14" s="504">
        <v>0</v>
      </c>
      <c r="JP14" s="504">
        <v>0</v>
      </c>
      <c r="JQ14" s="504">
        <v>0</v>
      </c>
      <c r="JR14" s="504">
        <v>0</v>
      </c>
      <c r="JS14" s="504">
        <v>0</v>
      </c>
      <c r="JT14" s="504">
        <v>0</v>
      </c>
      <c r="JU14" s="504">
        <v>0</v>
      </c>
      <c r="JV14" s="504">
        <v>0</v>
      </c>
      <c r="JW14" s="504">
        <v>0</v>
      </c>
      <c r="JX14" s="504">
        <v>0</v>
      </c>
      <c r="JY14" s="504">
        <v>0</v>
      </c>
      <c r="JZ14" s="504">
        <v>0</v>
      </c>
      <c r="KA14" s="504">
        <v>0</v>
      </c>
      <c r="KB14" s="504">
        <v>0</v>
      </c>
      <c r="KC14" s="504">
        <v>0</v>
      </c>
      <c r="KD14" s="504">
        <v>0</v>
      </c>
      <c r="KE14" s="504">
        <v>0</v>
      </c>
      <c r="KF14" s="504">
        <v>0</v>
      </c>
      <c r="KG14" s="504">
        <v>0</v>
      </c>
      <c r="KH14" s="504">
        <v>0</v>
      </c>
      <c r="KI14" s="504">
        <v>0</v>
      </c>
      <c r="KJ14" s="504">
        <v>0</v>
      </c>
      <c r="KK14" s="504">
        <v>0</v>
      </c>
      <c r="KL14" s="504">
        <v>0</v>
      </c>
      <c r="KM14" s="504">
        <v>0</v>
      </c>
      <c r="KN14" s="504">
        <v>0</v>
      </c>
      <c r="KO14" s="504">
        <v>0</v>
      </c>
      <c r="KP14" s="504">
        <v>0</v>
      </c>
      <c r="KQ14" s="504">
        <v>0</v>
      </c>
      <c r="KR14" s="504">
        <v>0</v>
      </c>
      <c r="KS14" s="504">
        <v>0</v>
      </c>
      <c r="KT14" s="1654">
        <v>0</v>
      </c>
      <c r="KU14" s="504">
        <v>0</v>
      </c>
      <c r="KV14" s="504">
        <v>0</v>
      </c>
      <c r="KW14" s="504">
        <v>0</v>
      </c>
      <c r="KX14" s="504">
        <v>1065</v>
      </c>
      <c r="KY14" s="504">
        <v>1295</v>
      </c>
      <c r="KZ14" s="504">
        <v>1573</v>
      </c>
      <c r="LA14" s="504">
        <v>0</v>
      </c>
      <c r="LB14" s="504">
        <v>0</v>
      </c>
      <c r="LC14" s="504">
        <v>0</v>
      </c>
      <c r="LD14" s="504">
        <v>0</v>
      </c>
      <c r="LE14" s="504">
        <v>0</v>
      </c>
      <c r="LF14" s="504">
        <v>0</v>
      </c>
      <c r="LG14" s="504">
        <v>0</v>
      </c>
      <c r="LH14" s="504">
        <v>0</v>
      </c>
      <c r="LI14" s="504">
        <v>0</v>
      </c>
      <c r="LJ14" s="504">
        <v>0</v>
      </c>
      <c r="LK14" s="504">
        <v>0</v>
      </c>
      <c r="LL14" s="504">
        <v>0</v>
      </c>
      <c r="LM14" s="504">
        <v>0</v>
      </c>
      <c r="LN14" s="504">
        <v>0</v>
      </c>
      <c r="LO14" s="504">
        <v>0</v>
      </c>
      <c r="LP14" s="504">
        <v>0</v>
      </c>
      <c r="LQ14" s="504">
        <v>0</v>
      </c>
      <c r="LR14" s="504">
        <v>0</v>
      </c>
      <c r="LS14" s="504">
        <v>0</v>
      </c>
      <c r="LT14" s="504">
        <v>0</v>
      </c>
      <c r="LU14" s="504">
        <v>0</v>
      </c>
      <c r="LV14" s="504">
        <v>0</v>
      </c>
      <c r="LW14" s="504">
        <v>0</v>
      </c>
      <c r="LX14" s="504">
        <v>0</v>
      </c>
      <c r="LY14" s="504">
        <v>0</v>
      </c>
      <c r="LZ14" s="504">
        <v>0</v>
      </c>
      <c r="MA14" s="504">
        <v>0</v>
      </c>
      <c r="MB14" s="504">
        <v>0</v>
      </c>
      <c r="MC14" s="504">
        <v>0</v>
      </c>
      <c r="MD14" s="504">
        <v>0</v>
      </c>
      <c r="ME14" s="504">
        <v>0</v>
      </c>
      <c r="MF14" s="504">
        <v>0</v>
      </c>
      <c r="MG14" s="504">
        <v>0</v>
      </c>
      <c r="MH14" s="504">
        <v>0</v>
      </c>
      <c r="MI14" s="504">
        <v>0</v>
      </c>
      <c r="MJ14" s="504">
        <v>0</v>
      </c>
      <c r="MK14" s="504">
        <v>0</v>
      </c>
      <c r="ML14" s="504">
        <v>0</v>
      </c>
      <c r="MM14" s="504">
        <v>0</v>
      </c>
      <c r="MN14" s="504">
        <v>0</v>
      </c>
      <c r="MO14" s="504">
        <v>0</v>
      </c>
      <c r="MP14" s="504">
        <v>0</v>
      </c>
      <c r="MQ14" s="504">
        <v>0</v>
      </c>
      <c r="MR14" s="504">
        <v>0</v>
      </c>
      <c r="MS14" s="504">
        <v>0</v>
      </c>
      <c r="MT14" s="504">
        <v>0</v>
      </c>
      <c r="MU14" s="504">
        <v>0</v>
      </c>
      <c r="MV14" s="504">
        <v>0</v>
      </c>
      <c r="MW14" s="504">
        <v>0</v>
      </c>
      <c r="MX14" s="504">
        <v>0</v>
      </c>
      <c r="MY14" s="504">
        <v>0</v>
      </c>
      <c r="MZ14" s="504">
        <v>0</v>
      </c>
      <c r="NA14" s="504">
        <v>0</v>
      </c>
      <c r="NB14" s="504">
        <v>0</v>
      </c>
      <c r="NC14" s="504">
        <v>0</v>
      </c>
      <c r="ND14" s="504">
        <v>0</v>
      </c>
      <c r="NE14" s="504">
        <v>0</v>
      </c>
      <c r="NF14" s="504">
        <v>0</v>
      </c>
      <c r="NG14" s="504">
        <v>0</v>
      </c>
      <c r="NH14" s="504">
        <v>0</v>
      </c>
      <c r="NI14" s="504">
        <v>0</v>
      </c>
      <c r="NJ14" s="504">
        <v>0</v>
      </c>
      <c r="NK14" s="504">
        <v>0</v>
      </c>
      <c r="NL14" s="504">
        <v>0</v>
      </c>
      <c r="NM14" s="504">
        <v>0</v>
      </c>
      <c r="NN14" s="504">
        <v>0</v>
      </c>
      <c r="NO14" s="504">
        <v>0</v>
      </c>
      <c r="NP14" s="504">
        <v>0</v>
      </c>
      <c r="NQ14" s="504">
        <v>0</v>
      </c>
      <c r="NR14" s="504">
        <v>0</v>
      </c>
      <c r="NS14" s="504">
        <v>0</v>
      </c>
      <c r="NT14" s="504">
        <v>0</v>
      </c>
      <c r="NU14" s="504">
        <v>0</v>
      </c>
      <c r="NV14" s="504">
        <v>0</v>
      </c>
      <c r="NW14" s="504">
        <v>0</v>
      </c>
      <c r="NX14" s="504">
        <v>0</v>
      </c>
      <c r="NY14" s="504">
        <v>0</v>
      </c>
      <c r="NZ14" s="504">
        <v>0</v>
      </c>
      <c r="OA14" s="504">
        <v>0</v>
      </c>
      <c r="OB14" s="504">
        <v>0</v>
      </c>
      <c r="OC14" s="504">
        <v>0</v>
      </c>
      <c r="OD14" s="504">
        <v>0</v>
      </c>
      <c r="OE14" s="504">
        <v>0</v>
      </c>
      <c r="OF14" s="504">
        <v>0</v>
      </c>
      <c r="OG14" s="504">
        <v>0</v>
      </c>
      <c r="OH14" s="504">
        <v>0</v>
      </c>
      <c r="OI14" s="504">
        <v>0</v>
      </c>
      <c r="OJ14" s="504">
        <v>0</v>
      </c>
      <c r="OK14" s="504">
        <v>0</v>
      </c>
      <c r="OL14" s="504">
        <v>0</v>
      </c>
      <c r="OM14" s="504">
        <v>0</v>
      </c>
      <c r="ON14" s="504">
        <v>0</v>
      </c>
      <c r="OO14" s="504">
        <v>0</v>
      </c>
      <c r="OP14" s="504">
        <v>0</v>
      </c>
      <c r="OQ14" s="504">
        <v>0</v>
      </c>
      <c r="OR14" s="1656"/>
    </row>
    <row r="15" spans="1:408" ht="21.5">
      <c r="A15" s="1466" t="s">
        <v>1636</v>
      </c>
      <c r="B15" s="1583" t="s">
        <v>2358</v>
      </c>
      <c r="C15" s="1583" t="s">
        <v>14</v>
      </c>
      <c r="D15" s="1583">
        <v>38</v>
      </c>
      <c r="E15" s="504">
        <v>41</v>
      </c>
      <c r="F15" s="504">
        <v>168</v>
      </c>
      <c r="G15" s="504">
        <v>432</v>
      </c>
      <c r="H15" s="504">
        <v>676</v>
      </c>
      <c r="I15" s="504">
        <v>968</v>
      </c>
      <c r="J15" s="504">
        <v>1181</v>
      </c>
      <c r="K15" s="504">
        <v>1196</v>
      </c>
      <c r="L15" s="504">
        <v>1210</v>
      </c>
      <c r="M15" s="504">
        <v>1226</v>
      </c>
      <c r="N15" s="504">
        <v>1241</v>
      </c>
      <c r="O15" s="504">
        <v>1257</v>
      </c>
      <c r="P15" s="504">
        <v>1273</v>
      </c>
      <c r="Q15" s="504">
        <v>1290</v>
      </c>
      <c r="R15" s="504">
        <v>1307</v>
      </c>
      <c r="S15" s="504">
        <v>1324</v>
      </c>
      <c r="T15" s="504">
        <v>1342</v>
      </c>
      <c r="U15" s="504">
        <v>1360</v>
      </c>
      <c r="V15" s="504">
        <v>1379</v>
      </c>
      <c r="W15" s="504">
        <v>1398</v>
      </c>
      <c r="X15" s="504">
        <v>1418</v>
      </c>
      <c r="Y15" s="504">
        <v>1438</v>
      </c>
      <c r="Z15" s="504">
        <v>1458</v>
      </c>
      <c r="AA15" s="504">
        <v>1479</v>
      </c>
      <c r="AB15" s="504">
        <v>1500</v>
      </c>
      <c r="AC15" s="504">
        <v>1522</v>
      </c>
      <c r="AD15" s="504">
        <v>1544</v>
      </c>
      <c r="AE15" s="504">
        <v>1566</v>
      </c>
      <c r="AF15" s="504">
        <v>1589</v>
      </c>
      <c r="AG15" s="504">
        <v>1612</v>
      </c>
      <c r="AH15" s="504">
        <v>1636</v>
      </c>
      <c r="AI15" s="504">
        <v>1660</v>
      </c>
      <c r="AJ15" s="504">
        <v>1684</v>
      </c>
      <c r="AK15" s="504">
        <v>1709</v>
      </c>
      <c r="AL15" s="504">
        <v>1735</v>
      </c>
      <c r="AM15" s="504">
        <v>1761</v>
      </c>
      <c r="AN15" s="504">
        <v>1787</v>
      </c>
      <c r="AO15" s="504">
        <v>1815</v>
      </c>
      <c r="AP15" s="504">
        <v>1844</v>
      </c>
      <c r="AQ15" s="504">
        <v>1874</v>
      </c>
      <c r="AR15" s="504">
        <v>1907</v>
      </c>
      <c r="AS15" s="504">
        <v>1942</v>
      </c>
      <c r="AT15" s="504">
        <v>2000</v>
      </c>
      <c r="AU15" s="504">
        <v>0</v>
      </c>
      <c r="AV15" s="504">
        <v>0</v>
      </c>
      <c r="AW15" s="504">
        <v>0</v>
      </c>
      <c r="AX15" s="504">
        <v>0</v>
      </c>
      <c r="AY15" s="504">
        <v>0</v>
      </c>
      <c r="AZ15" s="504">
        <v>0</v>
      </c>
      <c r="BA15" s="504">
        <v>0</v>
      </c>
      <c r="BB15" s="504">
        <v>0</v>
      </c>
      <c r="BC15" s="504">
        <v>0</v>
      </c>
      <c r="BD15" s="504">
        <v>0</v>
      </c>
      <c r="BE15" s="504">
        <v>0</v>
      </c>
      <c r="BF15" s="504">
        <v>0</v>
      </c>
      <c r="BG15" s="504">
        <v>0</v>
      </c>
      <c r="BH15" s="504">
        <v>0</v>
      </c>
      <c r="BI15" s="504">
        <v>0</v>
      </c>
      <c r="BJ15" s="504">
        <v>0</v>
      </c>
      <c r="BK15" s="504">
        <v>0</v>
      </c>
      <c r="BL15" s="504">
        <v>0</v>
      </c>
      <c r="BM15" s="504">
        <v>0</v>
      </c>
      <c r="BN15" s="504">
        <v>0</v>
      </c>
      <c r="BO15" s="504">
        <v>0</v>
      </c>
      <c r="BP15" s="504">
        <v>0</v>
      </c>
      <c r="BQ15" s="504">
        <v>0</v>
      </c>
      <c r="BR15" s="504">
        <v>0</v>
      </c>
      <c r="BS15" s="504">
        <v>0</v>
      </c>
      <c r="BT15" s="504">
        <v>0</v>
      </c>
      <c r="BU15" s="504">
        <v>0</v>
      </c>
      <c r="BV15" s="504">
        <v>0</v>
      </c>
      <c r="BW15" s="504">
        <v>0</v>
      </c>
      <c r="BX15" s="504">
        <v>0</v>
      </c>
      <c r="BY15" s="504">
        <v>0</v>
      </c>
      <c r="BZ15" s="504">
        <v>0</v>
      </c>
      <c r="CA15" s="504">
        <v>0</v>
      </c>
      <c r="CB15" s="504">
        <v>0</v>
      </c>
      <c r="CC15" s="504">
        <v>0</v>
      </c>
      <c r="CD15" s="504">
        <v>0</v>
      </c>
      <c r="CE15" s="504">
        <v>0</v>
      </c>
      <c r="CF15" s="504">
        <v>0</v>
      </c>
      <c r="CG15" s="504">
        <v>0</v>
      </c>
      <c r="CH15" s="504">
        <v>0</v>
      </c>
      <c r="CI15" s="504">
        <v>0</v>
      </c>
      <c r="CJ15" s="504">
        <v>0</v>
      </c>
      <c r="CK15" s="504">
        <v>0</v>
      </c>
      <c r="CL15" s="504">
        <v>0</v>
      </c>
      <c r="CM15" s="504">
        <v>0</v>
      </c>
      <c r="CN15" s="504">
        <v>0</v>
      </c>
      <c r="CO15" s="504">
        <v>0</v>
      </c>
      <c r="CP15" s="504">
        <v>0</v>
      </c>
      <c r="CQ15" s="504">
        <v>0</v>
      </c>
      <c r="CR15" s="504">
        <v>0</v>
      </c>
      <c r="CS15" s="504">
        <v>0</v>
      </c>
      <c r="CT15" s="504">
        <v>0</v>
      </c>
      <c r="CU15" s="504">
        <v>0</v>
      </c>
      <c r="CV15" s="504">
        <v>0</v>
      </c>
      <c r="CW15" s="504">
        <v>0</v>
      </c>
      <c r="CX15" s="504">
        <v>0</v>
      </c>
      <c r="CY15" s="504">
        <v>0</v>
      </c>
      <c r="CZ15" s="1654">
        <v>0</v>
      </c>
      <c r="DA15" s="504">
        <v>0</v>
      </c>
      <c r="DB15" s="504">
        <v>120</v>
      </c>
      <c r="DC15" s="504">
        <v>479</v>
      </c>
      <c r="DD15" s="504">
        <v>1071</v>
      </c>
      <c r="DE15" s="504">
        <v>1305</v>
      </c>
      <c r="DF15" s="504">
        <v>1587</v>
      </c>
      <c r="DG15" s="504">
        <v>0</v>
      </c>
      <c r="DH15" s="504">
        <v>0</v>
      </c>
      <c r="DI15" s="504">
        <v>0</v>
      </c>
      <c r="DJ15" s="504">
        <v>0</v>
      </c>
      <c r="DK15" s="504">
        <v>0</v>
      </c>
      <c r="DL15" s="504">
        <v>0</v>
      </c>
      <c r="DM15" s="504">
        <v>0</v>
      </c>
      <c r="DN15" s="504">
        <v>0</v>
      </c>
      <c r="DO15" s="504">
        <v>0</v>
      </c>
      <c r="DP15" s="504">
        <v>0</v>
      </c>
      <c r="DQ15" s="504">
        <v>0</v>
      </c>
      <c r="DR15" s="504">
        <v>0</v>
      </c>
      <c r="DS15" s="504">
        <v>0</v>
      </c>
      <c r="DT15" s="504">
        <v>0</v>
      </c>
      <c r="DU15" s="504">
        <v>0</v>
      </c>
      <c r="DV15" s="504">
        <v>0</v>
      </c>
      <c r="DW15" s="504">
        <v>0</v>
      </c>
      <c r="DX15" s="504">
        <v>0</v>
      </c>
      <c r="DY15" s="504">
        <v>0</v>
      </c>
      <c r="DZ15" s="504">
        <v>0</v>
      </c>
      <c r="EA15" s="504">
        <v>0</v>
      </c>
      <c r="EB15" s="504">
        <v>0</v>
      </c>
      <c r="EC15" s="504">
        <v>0</v>
      </c>
      <c r="ED15" s="504">
        <v>0</v>
      </c>
      <c r="EE15" s="504">
        <v>0</v>
      </c>
      <c r="EF15" s="504">
        <v>0</v>
      </c>
      <c r="EG15" s="504">
        <v>0</v>
      </c>
      <c r="EH15" s="504">
        <v>0</v>
      </c>
      <c r="EI15" s="504">
        <v>0</v>
      </c>
      <c r="EJ15" s="504">
        <v>0</v>
      </c>
      <c r="EK15" s="504">
        <v>0</v>
      </c>
      <c r="EL15" s="504">
        <v>0</v>
      </c>
      <c r="EM15" s="504">
        <v>0</v>
      </c>
      <c r="EN15" s="504">
        <v>0</v>
      </c>
      <c r="EO15" s="504">
        <v>0</v>
      </c>
      <c r="EP15" s="504">
        <v>0</v>
      </c>
      <c r="EQ15" s="504">
        <v>0</v>
      </c>
      <c r="ER15" s="504">
        <v>0</v>
      </c>
      <c r="ES15" s="504">
        <v>0</v>
      </c>
      <c r="ET15" s="504">
        <v>0</v>
      </c>
      <c r="EU15" s="504">
        <v>0</v>
      </c>
      <c r="EV15" s="504">
        <v>0</v>
      </c>
      <c r="EW15" s="504">
        <v>0</v>
      </c>
      <c r="EX15" s="504">
        <v>0</v>
      </c>
      <c r="EY15" s="504">
        <v>0</v>
      </c>
      <c r="EZ15" s="504">
        <v>0</v>
      </c>
      <c r="FA15" s="504">
        <v>0</v>
      </c>
      <c r="FB15" s="504">
        <v>0</v>
      </c>
      <c r="FC15" s="504">
        <v>0</v>
      </c>
      <c r="FD15" s="504">
        <v>0</v>
      </c>
      <c r="FE15" s="504">
        <v>0</v>
      </c>
      <c r="FF15" s="504">
        <v>0</v>
      </c>
      <c r="FG15" s="504">
        <v>0</v>
      </c>
      <c r="FH15" s="504">
        <v>0</v>
      </c>
      <c r="FI15" s="504">
        <v>0</v>
      </c>
      <c r="FJ15" s="504">
        <v>0</v>
      </c>
      <c r="FK15" s="504">
        <v>0</v>
      </c>
      <c r="FL15" s="504">
        <v>0</v>
      </c>
      <c r="FM15" s="504">
        <v>0</v>
      </c>
      <c r="FN15" s="504">
        <v>0</v>
      </c>
      <c r="FO15" s="504">
        <v>0</v>
      </c>
      <c r="FP15" s="504">
        <v>0</v>
      </c>
      <c r="FQ15" s="504">
        <v>0</v>
      </c>
      <c r="FR15" s="504">
        <v>0</v>
      </c>
      <c r="FS15" s="504">
        <v>0</v>
      </c>
      <c r="FT15" s="504">
        <v>0</v>
      </c>
      <c r="FU15" s="504">
        <v>0</v>
      </c>
      <c r="FV15" s="504">
        <v>0</v>
      </c>
      <c r="FW15" s="504">
        <v>0</v>
      </c>
      <c r="FX15" s="504">
        <v>0</v>
      </c>
      <c r="FY15" s="504">
        <v>0</v>
      </c>
      <c r="FZ15" s="504">
        <v>0</v>
      </c>
      <c r="GA15" s="504">
        <v>0</v>
      </c>
      <c r="GB15" s="504">
        <v>0</v>
      </c>
      <c r="GC15" s="504">
        <v>0</v>
      </c>
      <c r="GD15" s="504">
        <v>0</v>
      </c>
      <c r="GE15" s="504">
        <v>0</v>
      </c>
      <c r="GF15" s="504">
        <v>0</v>
      </c>
      <c r="GG15" s="504">
        <v>0</v>
      </c>
      <c r="GH15" s="504">
        <v>0</v>
      </c>
      <c r="GI15" s="504">
        <v>0</v>
      </c>
      <c r="GJ15" s="504">
        <v>0</v>
      </c>
      <c r="GK15" s="504">
        <v>0</v>
      </c>
      <c r="GL15" s="504">
        <v>0</v>
      </c>
      <c r="GM15" s="504">
        <v>0</v>
      </c>
      <c r="GN15" s="504">
        <v>0</v>
      </c>
      <c r="GO15" s="504">
        <v>0</v>
      </c>
      <c r="GP15" s="504">
        <v>0</v>
      </c>
      <c r="GQ15" s="504">
        <v>0</v>
      </c>
      <c r="GR15" s="504">
        <v>0</v>
      </c>
      <c r="GS15" s="504">
        <v>0</v>
      </c>
      <c r="GT15" s="504">
        <v>0</v>
      </c>
      <c r="GU15" s="504">
        <v>0</v>
      </c>
      <c r="GV15" s="504">
        <v>0</v>
      </c>
      <c r="GW15" s="1654">
        <v>0</v>
      </c>
      <c r="GX15" s="504">
        <v>0</v>
      </c>
      <c r="GY15" s="504">
        <v>20151</v>
      </c>
      <c r="GZ15" s="504">
        <v>36113</v>
      </c>
      <c r="HA15" s="504">
        <v>39000</v>
      </c>
      <c r="HB15" s="504">
        <v>38000</v>
      </c>
      <c r="HC15" s="504">
        <v>37000</v>
      </c>
      <c r="HD15" s="504">
        <v>0</v>
      </c>
      <c r="HE15" s="504">
        <v>0</v>
      </c>
      <c r="HF15" s="504">
        <v>0</v>
      </c>
      <c r="HG15" s="504">
        <v>0</v>
      </c>
      <c r="HH15" s="504">
        <v>0</v>
      </c>
      <c r="HI15" s="504">
        <v>0</v>
      </c>
      <c r="HJ15" s="504">
        <v>0</v>
      </c>
      <c r="HK15" s="504">
        <v>0</v>
      </c>
      <c r="HL15" s="504">
        <v>0</v>
      </c>
      <c r="HM15" s="504">
        <v>0</v>
      </c>
      <c r="HN15" s="504">
        <v>0</v>
      </c>
      <c r="HO15" s="504">
        <v>0</v>
      </c>
      <c r="HP15" s="504">
        <v>0</v>
      </c>
      <c r="HQ15" s="504">
        <v>0</v>
      </c>
      <c r="HR15" s="504">
        <v>0</v>
      </c>
      <c r="HS15" s="504">
        <v>0</v>
      </c>
      <c r="HT15" s="504">
        <v>0</v>
      </c>
      <c r="HU15" s="504">
        <v>0</v>
      </c>
      <c r="HV15" s="504">
        <v>0</v>
      </c>
      <c r="HW15" s="504">
        <v>0</v>
      </c>
      <c r="HX15" s="504">
        <v>0</v>
      </c>
      <c r="HY15" s="504">
        <v>0</v>
      </c>
      <c r="HZ15" s="504">
        <v>0</v>
      </c>
      <c r="IA15" s="504">
        <v>0</v>
      </c>
      <c r="IB15" s="504">
        <v>0</v>
      </c>
      <c r="IC15" s="504">
        <v>0</v>
      </c>
      <c r="ID15" s="504">
        <v>0</v>
      </c>
      <c r="IE15" s="504">
        <v>0</v>
      </c>
      <c r="IF15" s="504">
        <v>0</v>
      </c>
      <c r="IG15" s="504">
        <v>0</v>
      </c>
      <c r="IH15" s="504">
        <v>0</v>
      </c>
      <c r="II15" s="504">
        <v>0</v>
      </c>
      <c r="IJ15" s="504">
        <v>0</v>
      </c>
      <c r="IK15" s="504">
        <v>0</v>
      </c>
      <c r="IL15" s="504">
        <v>0</v>
      </c>
      <c r="IM15" s="504">
        <v>0</v>
      </c>
      <c r="IN15" s="504">
        <v>0</v>
      </c>
      <c r="IO15" s="504">
        <v>0</v>
      </c>
      <c r="IP15" s="504">
        <v>0</v>
      </c>
      <c r="IQ15" s="504">
        <v>0</v>
      </c>
      <c r="IR15" s="504">
        <v>0</v>
      </c>
      <c r="IS15" s="504">
        <v>0</v>
      </c>
      <c r="IT15" s="504">
        <v>0</v>
      </c>
      <c r="IU15" s="504">
        <v>0</v>
      </c>
      <c r="IV15" s="504">
        <v>0</v>
      </c>
      <c r="IW15" s="504">
        <v>0</v>
      </c>
      <c r="IX15" s="504">
        <v>0</v>
      </c>
      <c r="IY15" s="504">
        <v>0</v>
      </c>
      <c r="IZ15" s="504">
        <v>0</v>
      </c>
      <c r="JA15" s="504">
        <v>0</v>
      </c>
      <c r="JB15" s="504">
        <v>0</v>
      </c>
      <c r="JC15" s="504">
        <v>0</v>
      </c>
      <c r="JD15" s="504">
        <v>0</v>
      </c>
      <c r="JE15" s="504">
        <v>0</v>
      </c>
      <c r="JF15" s="504">
        <v>0</v>
      </c>
      <c r="JG15" s="504">
        <v>0</v>
      </c>
      <c r="JH15" s="504">
        <v>0</v>
      </c>
      <c r="JI15" s="504">
        <v>0</v>
      </c>
      <c r="JJ15" s="504">
        <v>0</v>
      </c>
      <c r="JK15" s="504">
        <v>0</v>
      </c>
      <c r="JL15" s="504">
        <v>0</v>
      </c>
      <c r="JM15" s="504">
        <v>0</v>
      </c>
      <c r="JN15" s="504">
        <v>0</v>
      </c>
      <c r="JO15" s="504">
        <v>0</v>
      </c>
      <c r="JP15" s="504">
        <v>0</v>
      </c>
      <c r="JQ15" s="504">
        <v>0</v>
      </c>
      <c r="JR15" s="504">
        <v>0</v>
      </c>
      <c r="JS15" s="504">
        <v>0</v>
      </c>
      <c r="JT15" s="504">
        <v>0</v>
      </c>
      <c r="JU15" s="504">
        <v>0</v>
      </c>
      <c r="JV15" s="504">
        <v>0</v>
      </c>
      <c r="JW15" s="504">
        <v>0</v>
      </c>
      <c r="JX15" s="504">
        <v>0</v>
      </c>
      <c r="JY15" s="504">
        <v>0</v>
      </c>
      <c r="JZ15" s="504">
        <v>0</v>
      </c>
      <c r="KA15" s="504">
        <v>0</v>
      </c>
      <c r="KB15" s="504">
        <v>0</v>
      </c>
      <c r="KC15" s="504">
        <v>0</v>
      </c>
      <c r="KD15" s="504">
        <v>0</v>
      </c>
      <c r="KE15" s="504">
        <v>0</v>
      </c>
      <c r="KF15" s="504">
        <v>0</v>
      </c>
      <c r="KG15" s="504">
        <v>0</v>
      </c>
      <c r="KH15" s="504">
        <v>0</v>
      </c>
      <c r="KI15" s="504">
        <v>0</v>
      </c>
      <c r="KJ15" s="504">
        <v>0</v>
      </c>
      <c r="KK15" s="504">
        <v>0</v>
      </c>
      <c r="KL15" s="504">
        <v>0</v>
      </c>
      <c r="KM15" s="504">
        <v>0</v>
      </c>
      <c r="KN15" s="504">
        <v>0</v>
      </c>
      <c r="KO15" s="504">
        <v>0</v>
      </c>
      <c r="KP15" s="504">
        <v>0</v>
      </c>
      <c r="KQ15" s="504">
        <v>0</v>
      </c>
      <c r="KR15" s="504">
        <v>0</v>
      </c>
      <c r="KS15" s="504">
        <v>0</v>
      </c>
      <c r="KT15" s="1654">
        <v>0</v>
      </c>
      <c r="KU15" s="504">
        <v>0</v>
      </c>
      <c r="KV15" s="504">
        <v>0</v>
      </c>
      <c r="KW15" s="504">
        <v>0</v>
      </c>
      <c r="KX15" s="504">
        <v>1060</v>
      </c>
      <c r="KY15" s="504">
        <v>1293</v>
      </c>
      <c r="KZ15" s="504">
        <v>1575</v>
      </c>
      <c r="LA15" s="504">
        <v>0</v>
      </c>
      <c r="LB15" s="504">
        <v>0</v>
      </c>
      <c r="LC15" s="504">
        <v>0</v>
      </c>
      <c r="LD15" s="504">
        <v>0</v>
      </c>
      <c r="LE15" s="504">
        <v>0</v>
      </c>
      <c r="LF15" s="504">
        <v>0</v>
      </c>
      <c r="LG15" s="504">
        <v>0</v>
      </c>
      <c r="LH15" s="504">
        <v>0</v>
      </c>
      <c r="LI15" s="504">
        <v>0</v>
      </c>
      <c r="LJ15" s="504">
        <v>0</v>
      </c>
      <c r="LK15" s="504">
        <v>0</v>
      </c>
      <c r="LL15" s="504">
        <v>0</v>
      </c>
      <c r="LM15" s="504">
        <v>0</v>
      </c>
      <c r="LN15" s="504">
        <v>0</v>
      </c>
      <c r="LO15" s="504">
        <v>0</v>
      </c>
      <c r="LP15" s="504">
        <v>0</v>
      </c>
      <c r="LQ15" s="504">
        <v>0</v>
      </c>
      <c r="LR15" s="504">
        <v>0</v>
      </c>
      <c r="LS15" s="504">
        <v>0</v>
      </c>
      <c r="LT15" s="504">
        <v>0</v>
      </c>
      <c r="LU15" s="504">
        <v>0</v>
      </c>
      <c r="LV15" s="504">
        <v>0</v>
      </c>
      <c r="LW15" s="504">
        <v>0</v>
      </c>
      <c r="LX15" s="504">
        <v>0</v>
      </c>
      <c r="LY15" s="504">
        <v>0</v>
      </c>
      <c r="LZ15" s="504">
        <v>0</v>
      </c>
      <c r="MA15" s="504">
        <v>0</v>
      </c>
      <c r="MB15" s="504">
        <v>0</v>
      </c>
      <c r="MC15" s="504">
        <v>0</v>
      </c>
      <c r="MD15" s="504">
        <v>0</v>
      </c>
      <c r="ME15" s="504">
        <v>0</v>
      </c>
      <c r="MF15" s="504">
        <v>0</v>
      </c>
      <c r="MG15" s="504">
        <v>0</v>
      </c>
      <c r="MH15" s="504">
        <v>0</v>
      </c>
      <c r="MI15" s="504">
        <v>0</v>
      </c>
      <c r="MJ15" s="504">
        <v>0</v>
      </c>
      <c r="MK15" s="504">
        <v>0</v>
      </c>
      <c r="ML15" s="504">
        <v>0</v>
      </c>
      <c r="MM15" s="504">
        <v>0</v>
      </c>
      <c r="MN15" s="504">
        <v>0</v>
      </c>
      <c r="MO15" s="504">
        <v>0</v>
      </c>
      <c r="MP15" s="504">
        <v>0</v>
      </c>
      <c r="MQ15" s="504">
        <v>0</v>
      </c>
      <c r="MR15" s="504">
        <v>0</v>
      </c>
      <c r="MS15" s="504">
        <v>0</v>
      </c>
      <c r="MT15" s="504">
        <v>0</v>
      </c>
      <c r="MU15" s="504">
        <v>0</v>
      </c>
      <c r="MV15" s="504">
        <v>0</v>
      </c>
      <c r="MW15" s="504">
        <v>0</v>
      </c>
      <c r="MX15" s="504">
        <v>0</v>
      </c>
      <c r="MY15" s="504">
        <v>0</v>
      </c>
      <c r="MZ15" s="504">
        <v>0</v>
      </c>
      <c r="NA15" s="504">
        <v>0</v>
      </c>
      <c r="NB15" s="504">
        <v>0</v>
      </c>
      <c r="NC15" s="504">
        <v>0</v>
      </c>
      <c r="ND15" s="504">
        <v>0</v>
      </c>
      <c r="NE15" s="504">
        <v>0</v>
      </c>
      <c r="NF15" s="504">
        <v>0</v>
      </c>
      <c r="NG15" s="504">
        <v>0</v>
      </c>
      <c r="NH15" s="504">
        <v>0</v>
      </c>
      <c r="NI15" s="504">
        <v>0</v>
      </c>
      <c r="NJ15" s="504">
        <v>0</v>
      </c>
      <c r="NK15" s="504">
        <v>0</v>
      </c>
      <c r="NL15" s="504">
        <v>0</v>
      </c>
      <c r="NM15" s="504">
        <v>0</v>
      </c>
      <c r="NN15" s="504">
        <v>0</v>
      </c>
      <c r="NO15" s="504">
        <v>0</v>
      </c>
      <c r="NP15" s="504">
        <v>0</v>
      </c>
      <c r="NQ15" s="504">
        <v>0</v>
      </c>
      <c r="NR15" s="504">
        <v>0</v>
      </c>
      <c r="NS15" s="504">
        <v>0</v>
      </c>
      <c r="NT15" s="504">
        <v>0</v>
      </c>
      <c r="NU15" s="504">
        <v>0</v>
      </c>
      <c r="NV15" s="504">
        <v>0</v>
      </c>
      <c r="NW15" s="504">
        <v>0</v>
      </c>
      <c r="NX15" s="504">
        <v>0</v>
      </c>
      <c r="NY15" s="504">
        <v>0</v>
      </c>
      <c r="NZ15" s="504">
        <v>0</v>
      </c>
      <c r="OA15" s="504">
        <v>0</v>
      </c>
      <c r="OB15" s="504">
        <v>0</v>
      </c>
      <c r="OC15" s="504">
        <v>0</v>
      </c>
      <c r="OD15" s="504">
        <v>0</v>
      </c>
      <c r="OE15" s="504">
        <v>0</v>
      </c>
      <c r="OF15" s="504">
        <v>0</v>
      </c>
      <c r="OG15" s="504">
        <v>0</v>
      </c>
      <c r="OH15" s="504">
        <v>0</v>
      </c>
      <c r="OI15" s="504">
        <v>0</v>
      </c>
      <c r="OJ15" s="504">
        <v>0</v>
      </c>
      <c r="OK15" s="504">
        <v>0</v>
      </c>
      <c r="OL15" s="504">
        <v>0</v>
      </c>
      <c r="OM15" s="504">
        <v>0</v>
      </c>
      <c r="ON15" s="504">
        <v>0</v>
      </c>
      <c r="OO15" s="504">
        <v>0</v>
      </c>
      <c r="OP15" s="504">
        <v>0</v>
      </c>
      <c r="OQ15" s="504">
        <v>0</v>
      </c>
      <c r="OR15" s="1656"/>
    </row>
    <row r="16" spans="1:408" ht="21.5">
      <c r="A16" s="1466" t="s">
        <v>1637</v>
      </c>
      <c r="B16" s="1583" t="s">
        <v>2358</v>
      </c>
      <c r="C16" s="1583" t="s">
        <v>14</v>
      </c>
      <c r="D16" s="1583">
        <v>39</v>
      </c>
      <c r="E16" s="504">
        <v>42</v>
      </c>
      <c r="F16" s="504">
        <v>170</v>
      </c>
      <c r="G16" s="504">
        <v>437</v>
      </c>
      <c r="H16" s="504">
        <v>684</v>
      </c>
      <c r="I16" s="504">
        <v>979</v>
      </c>
      <c r="J16" s="504">
        <v>1196</v>
      </c>
      <c r="K16" s="504">
        <v>1210</v>
      </c>
      <c r="L16" s="504">
        <v>1226</v>
      </c>
      <c r="M16" s="504">
        <v>1241</v>
      </c>
      <c r="N16" s="504">
        <v>1257</v>
      </c>
      <c r="O16" s="504">
        <v>1273</v>
      </c>
      <c r="P16" s="504">
        <v>1290</v>
      </c>
      <c r="Q16" s="504">
        <v>1307</v>
      </c>
      <c r="R16" s="504">
        <v>1324</v>
      </c>
      <c r="S16" s="504">
        <v>1342</v>
      </c>
      <c r="T16" s="504">
        <v>1360</v>
      </c>
      <c r="U16" s="504">
        <v>1379</v>
      </c>
      <c r="V16" s="504">
        <v>1398</v>
      </c>
      <c r="W16" s="504">
        <v>1418</v>
      </c>
      <c r="X16" s="504">
        <v>1438</v>
      </c>
      <c r="Y16" s="504">
        <v>1458</v>
      </c>
      <c r="Z16" s="504">
        <v>1479</v>
      </c>
      <c r="AA16" s="504">
        <v>1500</v>
      </c>
      <c r="AB16" s="504">
        <v>1522</v>
      </c>
      <c r="AC16" s="504">
        <v>1544</v>
      </c>
      <c r="AD16" s="504">
        <v>1566</v>
      </c>
      <c r="AE16" s="504">
        <v>1589</v>
      </c>
      <c r="AF16" s="504">
        <v>1612</v>
      </c>
      <c r="AG16" s="504">
        <v>1636</v>
      </c>
      <c r="AH16" s="504">
        <v>1660</v>
      </c>
      <c r="AI16" s="504">
        <v>1684</v>
      </c>
      <c r="AJ16" s="504">
        <v>1709</v>
      </c>
      <c r="AK16" s="504">
        <v>1735</v>
      </c>
      <c r="AL16" s="504">
        <v>1761</v>
      </c>
      <c r="AM16" s="504">
        <v>1787</v>
      </c>
      <c r="AN16" s="504">
        <v>1815</v>
      </c>
      <c r="AO16" s="504">
        <v>1844</v>
      </c>
      <c r="AP16" s="504">
        <v>1874</v>
      </c>
      <c r="AQ16" s="504">
        <v>1907</v>
      </c>
      <c r="AR16" s="504">
        <v>1942</v>
      </c>
      <c r="AS16" s="504">
        <v>2000</v>
      </c>
      <c r="AT16" s="504">
        <v>0</v>
      </c>
      <c r="AU16" s="504">
        <v>0</v>
      </c>
      <c r="AV16" s="504">
        <v>0</v>
      </c>
      <c r="AW16" s="504">
        <v>0</v>
      </c>
      <c r="AX16" s="504">
        <v>0</v>
      </c>
      <c r="AY16" s="504">
        <v>0</v>
      </c>
      <c r="AZ16" s="504">
        <v>0</v>
      </c>
      <c r="BA16" s="504">
        <v>0</v>
      </c>
      <c r="BB16" s="504">
        <v>0</v>
      </c>
      <c r="BC16" s="504">
        <v>0</v>
      </c>
      <c r="BD16" s="504">
        <v>0</v>
      </c>
      <c r="BE16" s="504">
        <v>0</v>
      </c>
      <c r="BF16" s="504">
        <v>0</v>
      </c>
      <c r="BG16" s="504">
        <v>0</v>
      </c>
      <c r="BH16" s="504">
        <v>0</v>
      </c>
      <c r="BI16" s="504">
        <v>0</v>
      </c>
      <c r="BJ16" s="504">
        <v>0</v>
      </c>
      <c r="BK16" s="504">
        <v>0</v>
      </c>
      <c r="BL16" s="504">
        <v>0</v>
      </c>
      <c r="BM16" s="504">
        <v>0</v>
      </c>
      <c r="BN16" s="504">
        <v>0</v>
      </c>
      <c r="BO16" s="504">
        <v>0</v>
      </c>
      <c r="BP16" s="504">
        <v>0</v>
      </c>
      <c r="BQ16" s="504">
        <v>0</v>
      </c>
      <c r="BR16" s="504">
        <v>0</v>
      </c>
      <c r="BS16" s="504">
        <v>0</v>
      </c>
      <c r="BT16" s="504">
        <v>0</v>
      </c>
      <c r="BU16" s="504">
        <v>0</v>
      </c>
      <c r="BV16" s="504">
        <v>0</v>
      </c>
      <c r="BW16" s="504">
        <v>0</v>
      </c>
      <c r="BX16" s="504">
        <v>0</v>
      </c>
      <c r="BY16" s="504">
        <v>0</v>
      </c>
      <c r="BZ16" s="504">
        <v>0</v>
      </c>
      <c r="CA16" s="504">
        <v>0</v>
      </c>
      <c r="CB16" s="504">
        <v>0</v>
      </c>
      <c r="CC16" s="504">
        <v>0</v>
      </c>
      <c r="CD16" s="504">
        <v>0</v>
      </c>
      <c r="CE16" s="504">
        <v>0</v>
      </c>
      <c r="CF16" s="504">
        <v>0</v>
      </c>
      <c r="CG16" s="504">
        <v>0</v>
      </c>
      <c r="CH16" s="504">
        <v>0</v>
      </c>
      <c r="CI16" s="504">
        <v>0</v>
      </c>
      <c r="CJ16" s="504">
        <v>0</v>
      </c>
      <c r="CK16" s="504">
        <v>0</v>
      </c>
      <c r="CL16" s="504">
        <v>0</v>
      </c>
      <c r="CM16" s="504">
        <v>0</v>
      </c>
      <c r="CN16" s="504">
        <v>0</v>
      </c>
      <c r="CO16" s="504">
        <v>0</v>
      </c>
      <c r="CP16" s="504">
        <v>0</v>
      </c>
      <c r="CQ16" s="504">
        <v>0</v>
      </c>
      <c r="CR16" s="504">
        <v>0</v>
      </c>
      <c r="CS16" s="504">
        <v>0</v>
      </c>
      <c r="CT16" s="504">
        <v>0</v>
      </c>
      <c r="CU16" s="504">
        <v>0</v>
      </c>
      <c r="CV16" s="504">
        <v>0</v>
      </c>
      <c r="CW16" s="504">
        <v>0</v>
      </c>
      <c r="CX16" s="504">
        <v>0</v>
      </c>
      <c r="CY16" s="504">
        <v>0</v>
      </c>
      <c r="CZ16" s="1654">
        <v>0</v>
      </c>
      <c r="DA16" s="504">
        <v>0</v>
      </c>
      <c r="DB16" s="504">
        <v>120</v>
      </c>
      <c r="DC16" s="504">
        <v>471</v>
      </c>
      <c r="DD16" s="504">
        <v>1066</v>
      </c>
      <c r="DE16" s="504">
        <v>1303</v>
      </c>
      <c r="DF16" s="504">
        <v>1587</v>
      </c>
      <c r="DG16" s="504">
        <v>0</v>
      </c>
      <c r="DH16" s="504">
        <v>0</v>
      </c>
      <c r="DI16" s="504">
        <v>0</v>
      </c>
      <c r="DJ16" s="504">
        <v>0</v>
      </c>
      <c r="DK16" s="504">
        <v>0</v>
      </c>
      <c r="DL16" s="504">
        <v>0</v>
      </c>
      <c r="DM16" s="504">
        <v>0</v>
      </c>
      <c r="DN16" s="504">
        <v>0</v>
      </c>
      <c r="DO16" s="504">
        <v>0</v>
      </c>
      <c r="DP16" s="504">
        <v>0</v>
      </c>
      <c r="DQ16" s="504">
        <v>0</v>
      </c>
      <c r="DR16" s="504">
        <v>0</v>
      </c>
      <c r="DS16" s="504">
        <v>0</v>
      </c>
      <c r="DT16" s="504">
        <v>0</v>
      </c>
      <c r="DU16" s="504">
        <v>0</v>
      </c>
      <c r="DV16" s="504">
        <v>0</v>
      </c>
      <c r="DW16" s="504">
        <v>0</v>
      </c>
      <c r="DX16" s="504">
        <v>0</v>
      </c>
      <c r="DY16" s="504">
        <v>0</v>
      </c>
      <c r="DZ16" s="504">
        <v>0</v>
      </c>
      <c r="EA16" s="504">
        <v>0</v>
      </c>
      <c r="EB16" s="504">
        <v>0</v>
      </c>
      <c r="EC16" s="504">
        <v>0</v>
      </c>
      <c r="ED16" s="504">
        <v>0</v>
      </c>
      <c r="EE16" s="504">
        <v>0</v>
      </c>
      <c r="EF16" s="504">
        <v>0</v>
      </c>
      <c r="EG16" s="504">
        <v>0</v>
      </c>
      <c r="EH16" s="504">
        <v>0</v>
      </c>
      <c r="EI16" s="504">
        <v>0</v>
      </c>
      <c r="EJ16" s="504">
        <v>0</v>
      </c>
      <c r="EK16" s="504">
        <v>0</v>
      </c>
      <c r="EL16" s="504">
        <v>0</v>
      </c>
      <c r="EM16" s="504">
        <v>0</v>
      </c>
      <c r="EN16" s="504">
        <v>0</v>
      </c>
      <c r="EO16" s="504">
        <v>0</v>
      </c>
      <c r="EP16" s="504">
        <v>0</v>
      </c>
      <c r="EQ16" s="504">
        <v>0</v>
      </c>
      <c r="ER16" s="504">
        <v>0</v>
      </c>
      <c r="ES16" s="504">
        <v>0</v>
      </c>
      <c r="ET16" s="504">
        <v>0</v>
      </c>
      <c r="EU16" s="504">
        <v>0</v>
      </c>
      <c r="EV16" s="504">
        <v>0</v>
      </c>
      <c r="EW16" s="504">
        <v>0</v>
      </c>
      <c r="EX16" s="504">
        <v>0</v>
      </c>
      <c r="EY16" s="504">
        <v>0</v>
      </c>
      <c r="EZ16" s="504">
        <v>0</v>
      </c>
      <c r="FA16" s="504">
        <v>0</v>
      </c>
      <c r="FB16" s="504">
        <v>0</v>
      </c>
      <c r="FC16" s="504">
        <v>0</v>
      </c>
      <c r="FD16" s="504">
        <v>0</v>
      </c>
      <c r="FE16" s="504">
        <v>0</v>
      </c>
      <c r="FF16" s="504">
        <v>0</v>
      </c>
      <c r="FG16" s="504">
        <v>0</v>
      </c>
      <c r="FH16" s="504">
        <v>0</v>
      </c>
      <c r="FI16" s="504">
        <v>0</v>
      </c>
      <c r="FJ16" s="504">
        <v>0</v>
      </c>
      <c r="FK16" s="504">
        <v>0</v>
      </c>
      <c r="FL16" s="504">
        <v>0</v>
      </c>
      <c r="FM16" s="504">
        <v>0</v>
      </c>
      <c r="FN16" s="504">
        <v>0</v>
      </c>
      <c r="FO16" s="504">
        <v>0</v>
      </c>
      <c r="FP16" s="504">
        <v>0</v>
      </c>
      <c r="FQ16" s="504">
        <v>0</v>
      </c>
      <c r="FR16" s="504">
        <v>0</v>
      </c>
      <c r="FS16" s="504">
        <v>0</v>
      </c>
      <c r="FT16" s="504">
        <v>0</v>
      </c>
      <c r="FU16" s="504">
        <v>0</v>
      </c>
      <c r="FV16" s="504">
        <v>0</v>
      </c>
      <c r="FW16" s="504">
        <v>0</v>
      </c>
      <c r="FX16" s="504">
        <v>0</v>
      </c>
      <c r="FY16" s="504">
        <v>0</v>
      </c>
      <c r="FZ16" s="504">
        <v>0</v>
      </c>
      <c r="GA16" s="504">
        <v>0</v>
      </c>
      <c r="GB16" s="504">
        <v>0</v>
      </c>
      <c r="GC16" s="504">
        <v>0</v>
      </c>
      <c r="GD16" s="504">
        <v>0</v>
      </c>
      <c r="GE16" s="504">
        <v>0</v>
      </c>
      <c r="GF16" s="504">
        <v>0</v>
      </c>
      <c r="GG16" s="504">
        <v>0</v>
      </c>
      <c r="GH16" s="504">
        <v>0</v>
      </c>
      <c r="GI16" s="504">
        <v>0</v>
      </c>
      <c r="GJ16" s="504">
        <v>0</v>
      </c>
      <c r="GK16" s="504">
        <v>0</v>
      </c>
      <c r="GL16" s="504">
        <v>0</v>
      </c>
      <c r="GM16" s="504">
        <v>0</v>
      </c>
      <c r="GN16" s="504">
        <v>0</v>
      </c>
      <c r="GO16" s="504">
        <v>0</v>
      </c>
      <c r="GP16" s="504">
        <v>0</v>
      </c>
      <c r="GQ16" s="504">
        <v>0</v>
      </c>
      <c r="GR16" s="504">
        <v>0</v>
      </c>
      <c r="GS16" s="504">
        <v>0</v>
      </c>
      <c r="GT16" s="504">
        <v>0</v>
      </c>
      <c r="GU16" s="504">
        <v>0</v>
      </c>
      <c r="GV16" s="504">
        <v>0</v>
      </c>
      <c r="GW16" s="1654">
        <v>0</v>
      </c>
      <c r="GX16" s="504">
        <v>0</v>
      </c>
      <c r="GY16" s="504">
        <v>19245</v>
      </c>
      <c r="GZ16" s="504">
        <v>35060</v>
      </c>
      <c r="HA16" s="504">
        <v>38000</v>
      </c>
      <c r="HB16" s="504">
        <v>37000</v>
      </c>
      <c r="HC16" s="504">
        <v>36000</v>
      </c>
      <c r="HD16" s="504">
        <v>0</v>
      </c>
      <c r="HE16" s="504">
        <v>0</v>
      </c>
      <c r="HF16" s="504">
        <v>0</v>
      </c>
      <c r="HG16" s="504">
        <v>0</v>
      </c>
      <c r="HH16" s="504">
        <v>0</v>
      </c>
      <c r="HI16" s="504">
        <v>0</v>
      </c>
      <c r="HJ16" s="504">
        <v>0</v>
      </c>
      <c r="HK16" s="504">
        <v>0</v>
      </c>
      <c r="HL16" s="504">
        <v>0</v>
      </c>
      <c r="HM16" s="504">
        <v>0</v>
      </c>
      <c r="HN16" s="504">
        <v>0</v>
      </c>
      <c r="HO16" s="504">
        <v>0</v>
      </c>
      <c r="HP16" s="504">
        <v>0</v>
      </c>
      <c r="HQ16" s="504">
        <v>0</v>
      </c>
      <c r="HR16" s="504">
        <v>0</v>
      </c>
      <c r="HS16" s="504">
        <v>0</v>
      </c>
      <c r="HT16" s="504">
        <v>0</v>
      </c>
      <c r="HU16" s="504">
        <v>0</v>
      </c>
      <c r="HV16" s="504">
        <v>0</v>
      </c>
      <c r="HW16" s="504">
        <v>0</v>
      </c>
      <c r="HX16" s="504">
        <v>0</v>
      </c>
      <c r="HY16" s="504">
        <v>0</v>
      </c>
      <c r="HZ16" s="504">
        <v>0</v>
      </c>
      <c r="IA16" s="504">
        <v>0</v>
      </c>
      <c r="IB16" s="504">
        <v>0</v>
      </c>
      <c r="IC16" s="504">
        <v>0</v>
      </c>
      <c r="ID16" s="504">
        <v>0</v>
      </c>
      <c r="IE16" s="504">
        <v>0</v>
      </c>
      <c r="IF16" s="504">
        <v>0</v>
      </c>
      <c r="IG16" s="504">
        <v>0</v>
      </c>
      <c r="IH16" s="504">
        <v>0</v>
      </c>
      <c r="II16" s="504">
        <v>0</v>
      </c>
      <c r="IJ16" s="504">
        <v>0</v>
      </c>
      <c r="IK16" s="504">
        <v>0</v>
      </c>
      <c r="IL16" s="504">
        <v>0</v>
      </c>
      <c r="IM16" s="504">
        <v>0</v>
      </c>
      <c r="IN16" s="504">
        <v>0</v>
      </c>
      <c r="IO16" s="504">
        <v>0</v>
      </c>
      <c r="IP16" s="504">
        <v>0</v>
      </c>
      <c r="IQ16" s="504">
        <v>0</v>
      </c>
      <c r="IR16" s="504">
        <v>0</v>
      </c>
      <c r="IS16" s="504">
        <v>0</v>
      </c>
      <c r="IT16" s="504">
        <v>0</v>
      </c>
      <c r="IU16" s="504">
        <v>0</v>
      </c>
      <c r="IV16" s="504">
        <v>0</v>
      </c>
      <c r="IW16" s="504">
        <v>0</v>
      </c>
      <c r="IX16" s="504">
        <v>0</v>
      </c>
      <c r="IY16" s="504">
        <v>0</v>
      </c>
      <c r="IZ16" s="504">
        <v>0</v>
      </c>
      <c r="JA16" s="504">
        <v>0</v>
      </c>
      <c r="JB16" s="504">
        <v>0</v>
      </c>
      <c r="JC16" s="504">
        <v>0</v>
      </c>
      <c r="JD16" s="504">
        <v>0</v>
      </c>
      <c r="JE16" s="504">
        <v>0</v>
      </c>
      <c r="JF16" s="504">
        <v>0</v>
      </c>
      <c r="JG16" s="504">
        <v>0</v>
      </c>
      <c r="JH16" s="504">
        <v>0</v>
      </c>
      <c r="JI16" s="504">
        <v>0</v>
      </c>
      <c r="JJ16" s="504">
        <v>0</v>
      </c>
      <c r="JK16" s="504">
        <v>0</v>
      </c>
      <c r="JL16" s="504">
        <v>0</v>
      </c>
      <c r="JM16" s="504">
        <v>0</v>
      </c>
      <c r="JN16" s="504">
        <v>0</v>
      </c>
      <c r="JO16" s="504">
        <v>0</v>
      </c>
      <c r="JP16" s="504">
        <v>0</v>
      </c>
      <c r="JQ16" s="504">
        <v>0</v>
      </c>
      <c r="JR16" s="504">
        <v>0</v>
      </c>
      <c r="JS16" s="504">
        <v>0</v>
      </c>
      <c r="JT16" s="504">
        <v>0</v>
      </c>
      <c r="JU16" s="504">
        <v>0</v>
      </c>
      <c r="JV16" s="504">
        <v>0</v>
      </c>
      <c r="JW16" s="504">
        <v>0</v>
      </c>
      <c r="JX16" s="504">
        <v>0</v>
      </c>
      <c r="JY16" s="504">
        <v>0</v>
      </c>
      <c r="JZ16" s="504">
        <v>0</v>
      </c>
      <c r="KA16" s="504">
        <v>0</v>
      </c>
      <c r="KB16" s="504">
        <v>0</v>
      </c>
      <c r="KC16" s="504">
        <v>0</v>
      </c>
      <c r="KD16" s="504">
        <v>0</v>
      </c>
      <c r="KE16" s="504">
        <v>0</v>
      </c>
      <c r="KF16" s="504">
        <v>0</v>
      </c>
      <c r="KG16" s="504">
        <v>0</v>
      </c>
      <c r="KH16" s="504">
        <v>0</v>
      </c>
      <c r="KI16" s="504">
        <v>0</v>
      </c>
      <c r="KJ16" s="504">
        <v>0</v>
      </c>
      <c r="KK16" s="504">
        <v>0</v>
      </c>
      <c r="KL16" s="504">
        <v>0</v>
      </c>
      <c r="KM16" s="504">
        <v>0</v>
      </c>
      <c r="KN16" s="504">
        <v>0</v>
      </c>
      <c r="KO16" s="504">
        <v>0</v>
      </c>
      <c r="KP16" s="504">
        <v>0</v>
      </c>
      <c r="KQ16" s="504">
        <v>0</v>
      </c>
      <c r="KR16" s="504">
        <v>0</v>
      </c>
      <c r="KS16" s="504">
        <v>0</v>
      </c>
      <c r="KT16" s="1654">
        <v>0</v>
      </c>
      <c r="KU16" s="504">
        <v>0</v>
      </c>
      <c r="KV16" s="504">
        <v>0</v>
      </c>
      <c r="KW16" s="504">
        <v>0</v>
      </c>
      <c r="KX16" s="504">
        <v>1054</v>
      </c>
      <c r="KY16" s="504">
        <v>1291</v>
      </c>
      <c r="KZ16" s="504">
        <v>1575</v>
      </c>
      <c r="LA16" s="504">
        <v>0</v>
      </c>
      <c r="LB16" s="504">
        <v>0</v>
      </c>
      <c r="LC16" s="504">
        <v>0</v>
      </c>
      <c r="LD16" s="504">
        <v>0</v>
      </c>
      <c r="LE16" s="504">
        <v>0</v>
      </c>
      <c r="LF16" s="504">
        <v>0</v>
      </c>
      <c r="LG16" s="504">
        <v>0</v>
      </c>
      <c r="LH16" s="504">
        <v>0</v>
      </c>
      <c r="LI16" s="504">
        <v>0</v>
      </c>
      <c r="LJ16" s="504">
        <v>0</v>
      </c>
      <c r="LK16" s="504">
        <v>0</v>
      </c>
      <c r="LL16" s="504">
        <v>0</v>
      </c>
      <c r="LM16" s="504">
        <v>0</v>
      </c>
      <c r="LN16" s="504">
        <v>0</v>
      </c>
      <c r="LO16" s="504">
        <v>0</v>
      </c>
      <c r="LP16" s="504">
        <v>0</v>
      </c>
      <c r="LQ16" s="504">
        <v>0</v>
      </c>
      <c r="LR16" s="504">
        <v>0</v>
      </c>
      <c r="LS16" s="504">
        <v>0</v>
      </c>
      <c r="LT16" s="504">
        <v>0</v>
      </c>
      <c r="LU16" s="504">
        <v>0</v>
      </c>
      <c r="LV16" s="504">
        <v>0</v>
      </c>
      <c r="LW16" s="504">
        <v>0</v>
      </c>
      <c r="LX16" s="504">
        <v>0</v>
      </c>
      <c r="LY16" s="504">
        <v>0</v>
      </c>
      <c r="LZ16" s="504">
        <v>0</v>
      </c>
      <c r="MA16" s="504">
        <v>0</v>
      </c>
      <c r="MB16" s="504">
        <v>0</v>
      </c>
      <c r="MC16" s="504">
        <v>0</v>
      </c>
      <c r="MD16" s="504">
        <v>0</v>
      </c>
      <c r="ME16" s="504">
        <v>0</v>
      </c>
      <c r="MF16" s="504">
        <v>0</v>
      </c>
      <c r="MG16" s="504">
        <v>0</v>
      </c>
      <c r="MH16" s="504">
        <v>0</v>
      </c>
      <c r="MI16" s="504">
        <v>0</v>
      </c>
      <c r="MJ16" s="504">
        <v>0</v>
      </c>
      <c r="MK16" s="504">
        <v>0</v>
      </c>
      <c r="ML16" s="504">
        <v>0</v>
      </c>
      <c r="MM16" s="504">
        <v>0</v>
      </c>
      <c r="MN16" s="504">
        <v>0</v>
      </c>
      <c r="MO16" s="504">
        <v>0</v>
      </c>
      <c r="MP16" s="504">
        <v>0</v>
      </c>
      <c r="MQ16" s="504">
        <v>0</v>
      </c>
      <c r="MR16" s="504">
        <v>0</v>
      </c>
      <c r="MS16" s="504">
        <v>0</v>
      </c>
      <c r="MT16" s="504">
        <v>0</v>
      </c>
      <c r="MU16" s="504">
        <v>0</v>
      </c>
      <c r="MV16" s="504">
        <v>0</v>
      </c>
      <c r="MW16" s="504">
        <v>0</v>
      </c>
      <c r="MX16" s="504">
        <v>0</v>
      </c>
      <c r="MY16" s="504">
        <v>0</v>
      </c>
      <c r="MZ16" s="504">
        <v>0</v>
      </c>
      <c r="NA16" s="504">
        <v>0</v>
      </c>
      <c r="NB16" s="504">
        <v>0</v>
      </c>
      <c r="NC16" s="504">
        <v>0</v>
      </c>
      <c r="ND16" s="504">
        <v>0</v>
      </c>
      <c r="NE16" s="504">
        <v>0</v>
      </c>
      <c r="NF16" s="504">
        <v>0</v>
      </c>
      <c r="NG16" s="504">
        <v>0</v>
      </c>
      <c r="NH16" s="504">
        <v>0</v>
      </c>
      <c r="NI16" s="504">
        <v>0</v>
      </c>
      <c r="NJ16" s="504">
        <v>0</v>
      </c>
      <c r="NK16" s="504">
        <v>0</v>
      </c>
      <c r="NL16" s="504">
        <v>0</v>
      </c>
      <c r="NM16" s="504">
        <v>0</v>
      </c>
      <c r="NN16" s="504">
        <v>0</v>
      </c>
      <c r="NO16" s="504">
        <v>0</v>
      </c>
      <c r="NP16" s="504">
        <v>0</v>
      </c>
      <c r="NQ16" s="504">
        <v>0</v>
      </c>
      <c r="NR16" s="504">
        <v>0</v>
      </c>
      <c r="NS16" s="504">
        <v>0</v>
      </c>
      <c r="NT16" s="504">
        <v>0</v>
      </c>
      <c r="NU16" s="504">
        <v>0</v>
      </c>
      <c r="NV16" s="504">
        <v>0</v>
      </c>
      <c r="NW16" s="504">
        <v>0</v>
      </c>
      <c r="NX16" s="504">
        <v>0</v>
      </c>
      <c r="NY16" s="504">
        <v>0</v>
      </c>
      <c r="NZ16" s="504">
        <v>0</v>
      </c>
      <c r="OA16" s="504">
        <v>0</v>
      </c>
      <c r="OB16" s="504">
        <v>0</v>
      </c>
      <c r="OC16" s="504">
        <v>0</v>
      </c>
      <c r="OD16" s="504">
        <v>0</v>
      </c>
      <c r="OE16" s="504">
        <v>0</v>
      </c>
      <c r="OF16" s="504">
        <v>0</v>
      </c>
      <c r="OG16" s="504">
        <v>0</v>
      </c>
      <c r="OH16" s="504">
        <v>0</v>
      </c>
      <c r="OI16" s="504">
        <v>0</v>
      </c>
      <c r="OJ16" s="504">
        <v>0</v>
      </c>
      <c r="OK16" s="504">
        <v>0</v>
      </c>
      <c r="OL16" s="504">
        <v>0</v>
      </c>
      <c r="OM16" s="504">
        <v>0</v>
      </c>
      <c r="ON16" s="504">
        <v>0</v>
      </c>
      <c r="OO16" s="504">
        <v>0</v>
      </c>
      <c r="OP16" s="504">
        <v>0</v>
      </c>
      <c r="OQ16" s="504">
        <v>0</v>
      </c>
      <c r="OR16" s="1656"/>
    </row>
    <row r="17" spans="1:408" ht="21.5">
      <c r="A17" s="1466" t="s">
        <v>1638</v>
      </c>
      <c r="B17" s="1583" t="s">
        <v>2358</v>
      </c>
      <c r="C17" s="1583" t="s">
        <v>14</v>
      </c>
      <c r="D17" s="1583">
        <v>40</v>
      </c>
      <c r="E17" s="504">
        <v>43</v>
      </c>
      <c r="F17" s="504">
        <v>172</v>
      </c>
      <c r="G17" s="504">
        <v>443</v>
      </c>
      <c r="H17" s="504">
        <v>692</v>
      </c>
      <c r="I17" s="504">
        <v>991</v>
      </c>
      <c r="J17" s="504">
        <v>1210</v>
      </c>
      <c r="K17" s="504">
        <v>1226</v>
      </c>
      <c r="L17" s="504">
        <v>1241</v>
      </c>
      <c r="M17" s="504">
        <v>1257</v>
      </c>
      <c r="N17" s="504">
        <v>1273</v>
      </c>
      <c r="O17" s="504">
        <v>1290</v>
      </c>
      <c r="P17" s="504">
        <v>1307</v>
      </c>
      <c r="Q17" s="504">
        <v>1324</v>
      </c>
      <c r="R17" s="504">
        <v>1342</v>
      </c>
      <c r="S17" s="504">
        <v>1360</v>
      </c>
      <c r="T17" s="504">
        <v>1379</v>
      </c>
      <c r="U17" s="504">
        <v>1398</v>
      </c>
      <c r="V17" s="504">
        <v>1418</v>
      </c>
      <c r="W17" s="504">
        <v>1438</v>
      </c>
      <c r="X17" s="504">
        <v>1458</v>
      </c>
      <c r="Y17" s="504">
        <v>1479</v>
      </c>
      <c r="Z17" s="504">
        <v>1500</v>
      </c>
      <c r="AA17" s="504">
        <v>1522</v>
      </c>
      <c r="AB17" s="504">
        <v>1544</v>
      </c>
      <c r="AC17" s="504">
        <v>1566</v>
      </c>
      <c r="AD17" s="504">
        <v>1589</v>
      </c>
      <c r="AE17" s="504">
        <v>1612</v>
      </c>
      <c r="AF17" s="504">
        <v>1636</v>
      </c>
      <c r="AG17" s="504">
        <v>1660</v>
      </c>
      <c r="AH17" s="504">
        <v>1684</v>
      </c>
      <c r="AI17" s="504">
        <v>1709</v>
      </c>
      <c r="AJ17" s="504">
        <v>1735</v>
      </c>
      <c r="AK17" s="504">
        <v>1761</v>
      </c>
      <c r="AL17" s="504">
        <v>1787</v>
      </c>
      <c r="AM17" s="504">
        <v>1815</v>
      </c>
      <c r="AN17" s="504">
        <v>1844</v>
      </c>
      <c r="AO17" s="504">
        <v>1874</v>
      </c>
      <c r="AP17" s="504">
        <v>1907</v>
      </c>
      <c r="AQ17" s="504">
        <v>1942</v>
      </c>
      <c r="AR17" s="504">
        <v>2000</v>
      </c>
      <c r="AS17" s="504">
        <v>0</v>
      </c>
      <c r="AT17" s="504">
        <v>0</v>
      </c>
      <c r="AU17" s="504">
        <v>0</v>
      </c>
      <c r="AV17" s="504">
        <v>0</v>
      </c>
      <c r="AW17" s="504">
        <v>0</v>
      </c>
      <c r="AX17" s="504">
        <v>0</v>
      </c>
      <c r="AY17" s="504">
        <v>0</v>
      </c>
      <c r="AZ17" s="504">
        <v>0</v>
      </c>
      <c r="BA17" s="504">
        <v>0</v>
      </c>
      <c r="BB17" s="504">
        <v>0</v>
      </c>
      <c r="BC17" s="504">
        <v>0</v>
      </c>
      <c r="BD17" s="504">
        <v>0</v>
      </c>
      <c r="BE17" s="504">
        <v>0</v>
      </c>
      <c r="BF17" s="504">
        <v>0</v>
      </c>
      <c r="BG17" s="504">
        <v>0</v>
      </c>
      <c r="BH17" s="504">
        <v>0</v>
      </c>
      <c r="BI17" s="504">
        <v>0</v>
      </c>
      <c r="BJ17" s="504">
        <v>0</v>
      </c>
      <c r="BK17" s="504">
        <v>0</v>
      </c>
      <c r="BL17" s="504">
        <v>0</v>
      </c>
      <c r="BM17" s="504">
        <v>0</v>
      </c>
      <c r="BN17" s="504">
        <v>0</v>
      </c>
      <c r="BO17" s="504">
        <v>0</v>
      </c>
      <c r="BP17" s="504">
        <v>0</v>
      </c>
      <c r="BQ17" s="504">
        <v>0</v>
      </c>
      <c r="BR17" s="504">
        <v>0</v>
      </c>
      <c r="BS17" s="504">
        <v>0</v>
      </c>
      <c r="BT17" s="504">
        <v>0</v>
      </c>
      <c r="BU17" s="504">
        <v>0</v>
      </c>
      <c r="BV17" s="504">
        <v>0</v>
      </c>
      <c r="BW17" s="504">
        <v>0</v>
      </c>
      <c r="BX17" s="504">
        <v>0</v>
      </c>
      <c r="BY17" s="504">
        <v>0</v>
      </c>
      <c r="BZ17" s="504">
        <v>0</v>
      </c>
      <c r="CA17" s="504">
        <v>0</v>
      </c>
      <c r="CB17" s="504">
        <v>0</v>
      </c>
      <c r="CC17" s="504">
        <v>0</v>
      </c>
      <c r="CD17" s="504">
        <v>0</v>
      </c>
      <c r="CE17" s="504">
        <v>0</v>
      </c>
      <c r="CF17" s="504">
        <v>0</v>
      </c>
      <c r="CG17" s="504">
        <v>0</v>
      </c>
      <c r="CH17" s="504">
        <v>0</v>
      </c>
      <c r="CI17" s="504">
        <v>0</v>
      </c>
      <c r="CJ17" s="504">
        <v>0</v>
      </c>
      <c r="CK17" s="504">
        <v>0</v>
      </c>
      <c r="CL17" s="504">
        <v>0</v>
      </c>
      <c r="CM17" s="504">
        <v>0</v>
      </c>
      <c r="CN17" s="504">
        <v>0</v>
      </c>
      <c r="CO17" s="504">
        <v>0</v>
      </c>
      <c r="CP17" s="504">
        <v>0</v>
      </c>
      <c r="CQ17" s="504">
        <v>0</v>
      </c>
      <c r="CR17" s="504">
        <v>0</v>
      </c>
      <c r="CS17" s="504">
        <v>0</v>
      </c>
      <c r="CT17" s="504">
        <v>0</v>
      </c>
      <c r="CU17" s="504">
        <v>0</v>
      </c>
      <c r="CV17" s="504">
        <v>0</v>
      </c>
      <c r="CW17" s="504">
        <v>0</v>
      </c>
      <c r="CX17" s="504">
        <v>0</v>
      </c>
      <c r="CY17" s="504">
        <v>0</v>
      </c>
      <c r="CZ17" s="1654">
        <v>0</v>
      </c>
      <c r="DA17" s="504">
        <v>0</v>
      </c>
      <c r="DB17" s="504">
        <v>119</v>
      </c>
      <c r="DC17" s="504">
        <v>464</v>
      </c>
      <c r="DD17" s="504">
        <v>1062</v>
      </c>
      <c r="DE17" s="504">
        <v>1300</v>
      </c>
      <c r="DF17" s="504">
        <v>1588</v>
      </c>
      <c r="DG17" s="504">
        <v>0</v>
      </c>
      <c r="DH17" s="504">
        <v>0</v>
      </c>
      <c r="DI17" s="504">
        <v>0</v>
      </c>
      <c r="DJ17" s="504">
        <v>0</v>
      </c>
      <c r="DK17" s="504">
        <v>0</v>
      </c>
      <c r="DL17" s="504">
        <v>0</v>
      </c>
      <c r="DM17" s="504">
        <v>0</v>
      </c>
      <c r="DN17" s="504">
        <v>0</v>
      </c>
      <c r="DO17" s="504">
        <v>0</v>
      </c>
      <c r="DP17" s="504">
        <v>0</v>
      </c>
      <c r="DQ17" s="504">
        <v>0</v>
      </c>
      <c r="DR17" s="504">
        <v>0</v>
      </c>
      <c r="DS17" s="504">
        <v>0</v>
      </c>
      <c r="DT17" s="504">
        <v>0</v>
      </c>
      <c r="DU17" s="504">
        <v>0</v>
      </c>
      <c r="DV17" s="504">
        <v>0</v>
      </c>
      <c r="DW17" s="504">
        <v>0</v>
      </c>
      <c r="DX17" s="504">
        <v>0</v>
      </c>
      <c r="DY17" s="504">
        <v>0</v>
      </c>
      <c r="DZ17" s="504">
        <v>0</v>
      </c>
      <c r="EA17" s="504">
        <v>0</v>
      </c>
      <c r="EB17" s="504">
        <v>0</v>
      </c>
      <c r="EC17" s="504">
        <v>0</v>
      </c>
      <c r="ED17" s="504">
        <v>0</v>
      </c>
      <c r="EE17" s="504">
        <v>0</v>
      </c>
      <c r="EF17" s="504">
        <v>0</v>
      </c>
      <c r="EG17" s="504">
        <v>0</v>
      </c>
      <c r="EH17" s="504">
        <v>0</v>
      </c>
      <c r="EI17" s="504">
        <v>0</v>
      </c>
      <c r="EJ17" s="504">
        <v>0</v>
      </c>
      <c r="EK17" s="504">
        <v>0</v>
      </c>
      <c r="EL17" s="504">
        <v>0</v>
      </c>
      <c r="EM17" s="504">
        <v>0</v>
      </c>
      <c r="EN17" s="504">
        <v>0</v>
      </c>
      <c r="EO17" s="504">
        <v>0</v>
      </c>
      <c r="EP17" s="504">
        <v>0</v>
      </c>
      <c r="EQ17" s="504">
        <v>0</v>
      </c>
      <c r="ER17" s="504">
        <v>0</v>
      </c>
      <c r="ES17" s="504">
        <v>0</v>
      </c>
      <c r="ET17" s="504">
        <v>0</v>
      </c>
      <c r="EU17" s="504">
        <v>0</v>
      </c>
      <c r="EV17" s="504">
        <v>0</v>
      </c>
      <c r="EW17" s="504">
        <v>0</v>
      </c>
      <c r="EX17" s="504">
        <v>0</v>
      </c>
      <c r="EY17" s="504">
        <v>0</v>
      </c>
      <c r="EZ17" s="504">
        <v>0</v>
      </c>
      <c r="FA17" s="504">
        <v>0</v>
      </c>
      <c r="FB17" s="504">
        <v>0</v>
      </c>
      <c r="FC17" s="504">
        <v>0</v>
      </c>
      <c r="FD17" s="504">
        <v>0</v>
      </c>
      <c r="FE17" s="504">
        <v>0</v>
      </c>
      <c r="FF17" s="504">
        <v>0</v>
      </c>
      <c r="FG17" s="504">
        <v>0</v>
      </c>
      <c r="FH17" s="504">
        <v>0</v>
      </c>
      <c r="FI17" s="504">
        <v>0</v>
      </c>
      <c r="FJ17" s="504">
        <v>0</v>
      </c>
      <c r="FK17" s="504">
        <v>0</v>
      </c>
      <c r="FL17" s="504">
        <v>0</v>
      </c>
      <c r="FM17" s="504">
        <v>0</v>
      </c>
      <c r="FN17" s="504">
        <v>0</v>
      </c>
      <c r="FO17" s="504">
        <v>0</v>
      </c>
      <c r="FP17" s="504">
        <v>0</v>
      </c>
      <c r="FQ17" s="504">
        <v>0</v>
      </c>
      <c r="FR17" s="504">
        <v>0</v>
      </c>
      <c r="FS17" s="504">
        <v>0</v>
      </c>
      <c r="FT17" s="504">
        <v>0</v>
      </c>
      <c r="FU17" s="504">
        <v>0</v>
      </c>
      <c r="FV17" s="504">
        <v>0</v>
      </c>
      <c r="FW17" s="504">
        <v>0</v>
      </c>
      <c r="FX17" s="504">
        <v>0</v>
      </c>
      <c r="FY17" s="504">
        <v>0</v>
      </c>
      <c r="FZ17" s="504">
        <v>0</v>
      </c>
      <c r="GA17" s="504">
        <v>0</v>
      </c>
      <c r="GB17" s="504">
        <v>0</v>
      </c>
      <c r="GC17" s="504">
        <v>0</v>
      </c>
      <c r="GD17" s="504">
        <v>0</v>
      </c>
      <c r="GE17" s="504">
        <v>0</v>
      </c>
      <c r="GF17" s="504">
        <v>0</v>
      </c>
      <c r="GG17" s="504">
        <v>0</v>
      </c>
      <c r="GH17" s="504">
        <v>0</v>
      </c>
      <c r="GI17" s="504">
        <v>0</v>
      </c>
      <c r="GJ17" s="504">
        <v>0</v>
      </c>
      <c r="GK17" s="504">
        <v>0</v>
      </c>
      <c r="GL17" s="504">
        <v>0</v>
      </c>
      <c r="GM17" s="504">
        <v>0</v>
      </c>
      <c r="GN17" s="504">
        <v>0</v>
      </c>
      <c r="GO17" s="504">
        <v>0</v>
      </c>
      <c r="GP17" s="504">
        <v>0</v>
      </c>
      <c r="GQ17" s="504">
        <v>0</v>
      </c>
      <c r="GR17" s="504">
        <v>0</v>
      </c>
      <c r="GS17" s="504">
        <v>0</v>
      </c>
      <c r="GT17" s="504">
        <v>0</v>
      </c>
      <c r="GU17" s="504">
        <v>0</v>
      </c>
      <c r="GV17" s="504">
        <v>0</v>
      </c>
      <c r="GW17" s="1654">
        <v>0</v>
      </c>
      <c r="GX17" s="504">
        <v>0</v>
      </c>
      <c r="GY17" s="504">
        <v>18342</v>
      </c>
      <c r="GZ17" s="504">
        <v>34008</v>
      </c>
      <c r="HA17" s="504">
        <v>37000</v>
      </c>
      <c r="HB17" s="504">
        <v>36000</v>
      </c>
      <c r="HC17" s="504">
        <v>35000</v>
      </c>
      <c r="HD17" s="504">
        <v>0</v>
      </c>
      <c r="HE17" s="504">
        <v>0</v>
      </c>
      <c r="HF17" s="504">
        <v>0</v>
      </c>
      <c r="HG17" s="504">
        <v>0</v>
      </c>
      <c r="HH17" s="504">
        <v>0</v>
      </c>
      <c r="HI17" s="504">
        <v>0</v>
      </c>
      <c r="HJ17" s="504">
        <v>0</v>
      </c>
      <c r="HK17" s="504">
        <v>0</v>
      </c>
      <c r="HL17" s="504">
        <v>0</v>
      </c>
      <c r="HM17" s="504">
        <v>0</v>
      </c>
      <c r="HN17" s="504">
        <v>0</v>
      </c>
      <c r="HO17" s="504">
        <v>0</v>
      </c>
      <c r="HP17" s="504">
        <v>0</v>
      </c>
      <c r="HQ17" s="504">
        <v>0</v>
      </c>
      <c r="HR17" s="504">
        <v>0</v>
      </c>
      <c r="HS17" s="504">
        <v>0</v>
      </c>
      <c r="HT17" s="504">
        <v>0</v>
      </c>
      <c r="HU17" s="504">
        <v>0</v>
      </c>
      <c r="HV17" s="504">
        <v>0</v>
      </c>
      <c r="HW17" s="504">
        <v>0</v>
      </c>
      <c r="HX17" s="504">
        <v>0</v>
      </c>
      <c r="HY17" s="504">
        <v>0</v>
      </c>
      <c r="HZ17" s="504">
        <v>0</v>
      </c>
      <c r="IA17" s="504">
        <v>0</v>
      </c>
      <c r="IB17" s="504">
        <v>0</v>
      </c>
      <c r="IC17" s="504">
        <v>0</v>
      </c>
      <c r="ID17" s="504">
        <v>0</v>
      </c>
      <c r="IE17" s="504">
        <v>0</v>
      </c>
      <c r="IF17" s="504">
        <v>0</v>
      </c>
      <c r="IG17" s="504">
        <v>0</v>
      </c>
      <c r="IH17" s="504">
        <v>0</v>
      </c>
      <c r="II17" s="504">
        <v>0</v>
      </c>
      <c r="IJ17" s="504">
        <v>0</v>
      </c>
      <c r="IK17" s="504">
        <v>0</v>
      </c>
      <c r="IL17" s="504">
        <v>0</v>
      </c>
      <c r="IM17" s="504">
        <v>0</v>
      </c>
      <c r="IN17" s="504">
        <v>0</v>
      </c>
      <c r="IO17" s="504">
        <v>0</v>
      </c>
      <c r="IP17" s="504">
        <v>0</v>
      </c>
      <c r="IQ17" s="504">
        <v>0</v>
      </c>
      <c r="IR17" s="504">
        <v>0</v>
      </c>
      <c r="IS17" s="504">
        <v>0</v>
      </c>
      <c r="IT17" s="504">
        <v>0</v>
      </c>
      <c r="IU17" s="504">
        <v>0</v>
      </c>
      <c r="IV17" s="504">
        <v>0</v>
      </c>
      <c r="IW17" s="504">
        <v>0</v>
      </c>
      <c r="IX17" s="504">
        <v>0</v>
      </c>
      <c r="IY17" s="504">
        <v>0</v>
      </c>
      <c r="IZ17" s="504">
        <v>0</v>
      </c>
      <c r="JA17" s="504">
        <v>0</v>
      </c>
      <c r="JB17" s="504">
        <v>0</v>
      </c>
      <c r="JC17" s="504">
        <v>0</v>
      </c>
      <c r="JD17" s="504">
        <v>0</v>
      </c>
      <c r="JE17" s="504">
        <v>0</v>
      </c>
      <c r="JF17" s="504">
        <v>0</v>
      </c>
      <c r="JG17" s="504">
        <v>0</v>
      </c>
      <c r="JH17" s="504">
        <v>0</v>
      </c>
      <c r="JI17" s="504">
        <v>0</v>
      </c>
      <c r="JJ17" s="504">
        <v>0</v>
      </c>
      <c r="JK17" s="504">
        <v>0</v>
      </c>
      <c r="JL17" s="504">
        <v>0</v>
      </c>
      <c r="JM17" s="504">
        <v>0</v>
      </c>
      <c r="JN17" s="504">
        <v>0</v>
      </c>
      <c r="JO17" s="504">
        <v>0</v>
      </c>
      <c r="JP17" s="504">
        <v>0</v>
      </c>
      <c r="JQ17" s="504">
        <v>0</v>
      </c>
      <c r="JR17" s="504">
        <v>0</v>
      </c>
      <c r="JS17" s="504">
        <v>0</v>
      </c>
      <c r="JT17" s="504">
        <v>0</v>
      </c>
      <c r="JU17" s="504">
        <v>0</v>
      </c>
      <c r="JV17" s="504">
        <v>0</v>
      </c>
      <c r="JW17" s="504">
        <v>0</v>
      </c>
      <c r="JX17" s="504">
        <v>0</v>
      </c>
      <c r="JY17" s="504">
        <v>0</v>
      </c>
      <c r="JZ17" s="504">
        <v>0</v>
      </c>
      <c r="KA17" s="504">
        <v>0</v>
      </c>
      <c r="KB17" s="504">
        <v>0</v>
      </c>
      <c r="KC17" s="504">
        <v>0</v>
      </c>
      <c r="KD17" s="504">
        <v>0</v>
      </c>
      <c r="KE17" s="504">
        <v>0</v>
      </c>
      <c r="KF17" s="504">
        <v>0</v>
      </c>
      <c r="KG17" s="504">
        <v>0</v>
      </c>
      <c r="KH17" s="504">
        <v>0</v>
      </c>
      <c r="KI17" s="504">
        <v>0</v>
      </c>
      <c r="KJ17" s="504">
        <v>0</v>
      </c>
      <c r="KK17" s="504">
        <v>0</v>
      </c>
      <c r="KL17" s="504">
        <v>0</v>
      </c>
      <c r="KM17" s="504">
        <v>0</v>
      </c>
      <c r="KN17" s="504">
        <v>0</v>
      </c>
      <c r="KO17" s="504">
        <v>0</v>
      </c>
      <c r="KP17" s="504">
        <v>0</v>
      </c>
      <c r="KQ17" s="504">
        <v>0</v>
      </c>
      <c r="KR17" s="504">
        <v>0</v>
      </c>
      <c r="KS17" s="504">
        <v>0</v>
      </c>
      <c r="KT17" s="1654">
        <v>0</v>
      </c>
      <c r="KU17" s="504">
        <v>0</v>
      </c>
      <c r="KV17" s="504">
        <v>0</v>
      </c>
      <c r="KW17" s="504">
        <v>0</v>
      </c>
      <c r="KX17" s="504">
        <v>1050</v>
      </c>
      <c r="KY17" s="504">
        <v>1288</v>
      </c>
      <c r="KZ17" s="504">
        <v>1576</v>
      </c>
      <c r="LA17" s="504">
        <v>0</v>
      </c>
      <c r="LB17" s="504">
        <v>0</v>
      </c>
      <c r="LC17" s="504">
        <v>0</v>
      </c>
      <c r="LD17" s="504">
        <v>0</v>
      </c>
      <c r="LE17" s="504">
        <v>0</v>
      </c>
      <c r="LF17" s="504">
        <v>0</v>
      </c>
      <c r="LG17" s="504">
        <v>0</v>
      </c>
      <c r="LH17" s="504">
        <v>0</v>
      </c>
      <c r="LI17" s="504">
        <v>0</v>
      </c>
      <c r="LJ17" s="504">
        <v>0</v>
      </c>
      <c r="LK17" s="504">
        <v>0</v>
      </c>
      <c r="LL17" s="504">
        <v>0</v>
      </c>
      <c r="LM17" s="504">
        <v>0</v>
      </c>
      <c r="LN17" s="504">
        <v>0</v>
      </c>
      <c r="LO17" s="504">
        <v>0</v>
      </c>
      <c r="LP17" s="504">
        <v>0</v>
      </c>
      <c r="LQ17" s="504">
        <v>0</v>
      </c>
      <c r="LR17" s="504">
        <v>0</v>
      </c>
      <c r="LS17" s="504">
        <v>0</v>
      </c>
      <c r="LT17" s="504">
        <v>0</v>
      </c>
      <c r="LU17" s="504">
        <v>0</v>
      </c>
      <c r="LV17" s="504">
        <v>0</v>
      </c>
      <c r="LW17" s="504">
        <v>0</v>
      </c>
      <c r="LX17" s="504">
        <v>0</v>
      </c>
      <c r="LY17" s="504">
        <v>0</v>
      </c>
      <c r="LZ17" s="504">
        <v>0</v>
      </c>
      <c r="MA17" s="504">
        <v>0</v>
      </c>
      <c r="MB17" s="504">
        <v>0</v>
      </c>
      <c r="MC17" s="504">
        <v>0</v>
      </c>
      <c r="MD17" s="504">
        <v>0</v>
      </c>
      <c r="ME17" s="504">
        <v>0</v>
      </c>
      <c r="MF17" s="504">
        <v>0</v>
      </c>
      <c r="MG17" s="504">
        <v>0</v>
      </c>
      <c r="MH17" s="504">
        <v>0</v>
      </c>
      <c r="MI17" s="504">
        <v>0</v>
      </c>
      <c r="MJ17" s="504">
        <v>0</v>
      </c>
      <c r="MK17" s="504">
        <v>0</v>
      </c>
      <c r="ML17" s="504">
        <v>0</v>
      </c>
      <c r="MM17" s="504">
        <v>0</v>
      </c>
      <c r="MN17" s="504">
        <v>0</v>
      </c>
      <c r="MO17" s="504">
        <v>0</v>
      </c>
      <c r="MP17" s="504">
        <v>0</v>
      </c>
      <c r="MQ17" s="504">
        <v>0</v>
      </c>
      <c r="MR17" s="504">
        <v>0</v>
      </c>
      <c r="MS17" s="504">
        <v>0</v>
      </c>
      <c r="MT17" s="504">
        <v>0</v>
      </c>
      <c r="MU17" s="504">
        <v>0</v>
      </c>
      <c r="MV17" s="504">
        <v>0</v>
      </c>
      <c r="MW17" s="504">
        <v>0</v>
      </c>
      <c r="MX17" s="504">
        <v>0</v>
      </c>
      <c r="MY17" s="504">
        <v>0</v>
      </c>
      <c r="MZ17" s="504">
        <v>0</v>
      </c>
      <c r="NA17" s="504">
        <v>0</v>
      </c>
      <c r="NB17" s="504">
        <v>0</v>
      </c>
      <c r="NC17" s="504">
        <v>0</v>
      </c>
      <c r="ND17" s="504">
        <v>0</v>
      </c>
      <c r="NE17" s="504">
        <v>0</v>
      </c>
      <c r="NF17" s="504">
        <v>0</v>
      </c>
      <c r="NG17" s="504">
        <v>0</v>
      </c>
      <c r="NH17" s="504">
        <v>0</v>
      </c>
      <c r="NI17" s="504">
        <v>0</v>
      </c>
      <c r="NJ17" s="504">
        <v>0</v>
      </c>
      <c r="NK17" s="504">
        <v>0</v>
      </c>
      <c r="NL17" s="504">
        <v>0</v>
      </c>
      <c r="NM17" s="504">
        <v>0</v>
      </c>
      <c r="NN17" s="504">
        <v>0</v>
      </c>
      <c r="NO17" s="504">
        <v>0</v>
      </c>
      <c r="NP17" s="504">
        <v>0</v>
      </c>
      <c r="NQ17" s="504">
        <v>0</v>
      </c>
      <c r="NR17" s="504">
        <v>0</v>
      </c>
      <c r="NS17" s="504">
        <v>0</v>
      </c>
      <c r="NT17" s="504">
        <v>0</v>
      </c>
      <c r="NU17" s="504">
        <v>0</v>
      </c>
      <c r="NV17" s="504">
        <v>0</v>
      </c>
      <c r="NW17" s="504">
        <v>0</v>
      </c>
      <c r="NX17" s="504">
        <v>0</v>
      </c>
      <c r="NY17" s="504">
        <v>0</v>
      </c>
      <c r="NZ17" s="504">
        <v>0</v>
      </c>
      <c r="OA17" s="504">
        <v>0</v>
      </c>
      <c r="OB17" s="504">
        <v>0</v>
      </c>
      <c r="OC17" s="504">
        <v>0</v>
      </c>
      <c r="OD17" s="504">
        <v>0</v>
      </c>
      <c r="OE17" s="504">
        <v>0</v>
      </c>
      <c r="OF17" s="504">
        <v>0</v>
      </c>
      <c r="OG17" s="504">
        <v>0</v>
      </c>
      <c r="OH17" s="504">
        <v>0</v>
      </c>
      <c r="OI17" s="504">
        <v>0</v>
      </c>
      <c r="OJ17" s="504">
        <v>0</v>
      </c>
      <c r="OK17" s="504">
        <v>0</v>
      </c>
      <c r="OL17" s="504">
        <v>0</v>
      </c>
      <c r="OM17" s="504">
        <v>0</v>
      </c>
      <c r="ON17" s="504">
        <v>0</v>
      </c>
      <c r="OO17" s="504">
        <v>0</v>
      </c>
      <c r="OP17" s="504">
        <v>0</v>
      </c>
      <c r="OQ17" s="504">
        <v>0</v>
      </c>
      <c r="OR17" s="1656"/>
    </row>
    <row r="18" spans="1:408" ht="21.5">
      <c r="A18" s="1466" t="s">
        <v>1639</v>
      </c>
      <c r="B18" s="1583" t="s">
        <v>2358</v>
      </c>
      <c r="C18" s="1583" t="s">
        <v>14</v>
      </c>
      <c r="D18" s="1583">
        <v>41</v>
      </c>
      <c r="E18" s="504">
        <v>43</v>
      </c>
      <c r="F18" s="504">
        <v>175</v>
      </c>
      <c r="G18" s="504">
        <v>449</v>
      </c>
      <c r="H18" s="504">
        <v>701</v>
      </c>
      <c r="I18" s="504">
        <v>1004</v>
      </c>
      <c r="J18" s="504">
        <v>1226</v>
      </c>
      <c r="K18" s="504">
        <v>1241</v>
      </c>
      <c r="L18" s="504">
        <v>1257</v>
      </c>
      <c r="M18" s="504">
        <v>1273</v>
      </c>
      <c r="N18" s="504">
        <v>1290</v>
      </c>
      <c r="O18" s="504">
        <v>1307</v>
      </c>
      <c r="P18" s="504">
        <v>1324</v>
      </c>
      <c r="Q18" s="504">
        <v>1342</v>
      </c>
      <c r="R18" s="504">
        <v>1360</v>
      </c>
      <c r="S18" s="504">
        <v>1379</v>
      </c>
      <c r="T18" s="504">
        <v>1398</v>
      </c>
      <c r="U18" s="504">
        <v>1418</v>
      </c>
      <c r="V18" s="504">
        <v>1438</v>
      </c>
      <c r="W18" s="504">
        <v>1458</v>
      </c>
      <c r="X18" s="504">
        <v>1479</v>
      </c>
      <c r="Y18" s="504">
        <v>1500</v>
      </c>
      <c r="Z18" s="504">
        <v>1522</v>
      </c>
      <c r="AA18" s="504">
        <v>1544</v>
      </c>
      <c r="AB18" s="504">
        <v>1566</v>
      </c>
      <c r="AC18" s="504">
        <v>1589</v>
      </c>
      <c r="AD18" s="504">
        <v>1612</v>
      </c>
      <c r="AE18" s="504">
        <v>1636</v>
      </c>
      <c r="AF18" s="504">
        <v>1660</v>
      </c>
      <c r="AG18" s="504">
        <v>1684</v>
      </c>
      <c r="AH18" s="504">
        <v>1709</v>
      </c>
      <c r="AI18" s="504">
        <v>1735</v>
      </c>
      <c r="AJ18" s="504">
        <v>1761</v>
      </c>
      <c r="AK18" s="504">
        <v>1787</v>
      </c>
      <c r="AL18" s="504">
        <v>1815</v>
      </c>
      <c r="AM18" s="504">
        <v>1844</v>
      </c>
      <c r="AN18" s="504">
        <v>1874</v>
      </c>
      <c r="AO18" s="504">
        <v>1907</v>
      </c>
      <c r="AP18" s="504">
        <v>1942</v>
      </c>
      <c r="AQ18" s="504">
        <v>2000</v>
      </c>
      <c r="AR18" s="504">
        <v>0</v>
      </c>
      <c r="AS18" s="504">
        <v>0</v>
      </c>
      <c r="AT18" s="504">
        <v>0</v>
      </c>
      <c r="AU18" s="504">
        <v>0</v>
      </c>
      <c r="AV18" s="504">
        <v>0</v>
      </c>
      <c r="AW18" s="504">
        <v>0</v>
      </c>
      <c r="AX18" s="504">
        <v>0</v>
      </c>
      <c r="AY18" s="504">
        <v>0</v>
      </c>
      <c r="AZ18" s="504">
        <v>0</v>
      </c>
      <c r="BA18" s="504">
        <v>0</v>
      </c>
      <c r="BB18" s="504">
        <v>0</v>
      </c>
      <c r="BC18" s="504">
        <v>0</v>
      </c>
      <c r="BD18" s="504">
        <v>0</v>
      </c>
      <c r="BE18" s="504">
        <v>0</v>
      </c>
      <c r="BF18" s="504">
        <v>0</v>
      </c>
      <c r="BG18" s="504">
        <v>0</v>
      </c>
      <c r="BH18" s="504">
        <v>0</v>
      </c>
      <c r="BI18" s="504">
        <v>0</v>
      </c>
      <c r="BJ18" s="504">
        <v>0</v>
      </c>
      <c r="BK18" s="504">
        <v>0</v>
      </c>
      <c r="BL18" s="504">
        <v>0</v>
      </c>
      <c r="BM18" s="504">
        <v>0</v>
      </c>
      <c r="BN18" s="504">
        <v>0</v>
      </c>
      <c r="BO18" s="504">
        <v>0</v>
      </c>
      <c r="BP18" s="504">
        <v>0</v>
      </c>
      <c r="BQ18" s="504">
        <v>0</v>
      </c>
      <c r="BR18" s="504">
        <v>0</v>
      </c>
      <c r="BS18" s="504">
        <v>0</v>
      </c>
      <c r="BT18" s="504">
        <v>0</v>
      </c>
      <c r="BU18" s="504">
        <v>0</v>
      </c>
      <c r="BV18" s="504">
        <v>0</v>
      </c>
      <c r="BW18" s="504">
        <v>0</v>
      </c>
      <c r="BX18" s="504">
        <v>0</v>
      </c>
      <c r="BY18" s="504">
        <v>0</v>
      </c>
      <c r="BZ18" s="504">
        <v>0</v>
      </c>
      <c r="CA18" s="504">
        <v>0</v>
      </c>
      <c r="CB18" s="504">
        <v>0</v>
      </c>
      <c r="CC18" s="504">
        <v>0</v>
      </c>
      <c r="CD18" s="504">
        <v>0</v>
      </c>
      <c r="CE18" s="504">
        <v>0</v>
      </c>
      <c r="CF18" s="504">
        <v>0</v>
      </c>
      <c r="CG18" s="504">
        <v>0</v>
      </c>
      <c r="CH18" s="504">
        <v>0</v>
      </c>
      <c r="CI18" s="504">
        <v>0</v>
      </c>
      <c r="CJ18" s="504">
        <v>0</v>
      </c>
      <c r="CK18" s="504">
        <v>0</v>
      </c>
      <c r="CL18" s="504">
        <v>0</v>
      </c>
      <c r="CM18" s="504">
        <v>0</v>
      </c>
      <c r="CN18" s="504">
        <v>0</v>
      </c>
      <c r="CO18" s="504">
        <v>0</v>
      </c>
      <c r="CP18" s="504">
        <v>0</v>
      </c>
      <c r="CQ18" s="504">
        <v>0</v>
      </c>
      <c r="CR18" s="504">
        <v>0</v>
      </c>
      <c r="CS18" s="504">
        <v>0</v>
      </c>
      <c r="CT18" s="504">
        <v>0</v>
      </c>
      <c r="CU18" s="504">
        <v>0</v>
      </c>
      <c r="CV18" s="504">
        <v>0</v>
      </c>
      <c r="CW18" s="504">
        <v>0</v>
      </c>
      <c r="CX18" s="504">
        <v>0</v>
      </c>
      <c r="CY18" s="504">
        <v>0</v>
      </c>
      <c r="CZ18" s="1654">
        <v>0</v>
      </c>
      <c r="DA18" s="504">
        <v>0</v>
      </c>
      <c r="DB18" s="504">
        <v>116</v>
      </c>
      <c r="DC18" s="504">
        <v>459</v>
      </c>
      <c r="DD18" s="504">
        <v>1057</v>
      </c>
      <c r="DE18" s="504">
        <v>1298</v>
      </c>
      <c r="DF18" s="504">
        <v>1590</v>
      </c>
      <c r="DG18" s="504">
        <v>0</v>
      </c>
      <c r="DH18" s="504">
        <v>0</v>
      </c>
      <c r="DI18" s="504">
        <v>0</v>
      </c>
      <c r="DJ18" s="504">
        <v>0</v>
      </c>
      <c r="DK18" s="504">
        <v>0</v>
      </c>
      <c r="DL18" s="504">
        <v>0</v>
      </c>
      <c r="DM18" s="504">
        <v>0</v>
      </c>
      <c r="DN18" s="504">
        <v>0</v>
      </c>
      <c r="DO18" s="504">
        <v>0</v>
      </c>
      <c r="DP18" s="504">
        <v>0</v>
      </c>
      <c r="DQ18" s="504">
        <v>0</v>
      </c>
      <c r="DR18" s="504">
        <v>0</v>
      </c>
      <c r="DS18" s="504">
        <v>0</v>
      </c>
      <c r="DT18" s="504">
        <v>0</v>
      </c>
      <c r="DU18" s="504">
        <v>0</v>
      </c>
      <c r="DV18" s="504">
        <v>0</v>
      </c>
      <c r="DW18" s="504">
        <v>0</v>
      </c>
      <c r="DX18" s="504">
        <v>0</v>
      </c>
      <c r="DY18" s="504">
        <v>0</v>
      </c>
      <c r="DZ18" s="504">
        <v>0</v>
      </c>
      <c r="EA18" s="504">
        <v>0</v>
      </c>
      <c r="EB18" s="504">
        <v>0</v>
      </c>
      <c r="EC18" s="504">
        <v>0</v>
      </c>
      <c r="ED18" s="504">
        <v>0</v>
      </c>
      <c r="EE18" s="504">
        <v>0</v>
      </c>
      <c r="EF18" s="504">
        <v>0</v>
      </c>
      <c r="EG18" s="504">
        <v>0</v>
      </c>
      <c r="EH18" s="504">
        <v>0</v>
      </c>
      <c r="EI18" s="504">
        <v>0</v>
      </c>
      <c r="EJ18" s="504">
        <v>0</v>
      </c>
      <c r="EK18" s="504">
        <v>0</v>
      </c>
      <c r="EL18" s="504">
        <v>0</v>
      </c>
      <c r="EM18" s="504">
        <v>0</v>
      </c>
      <c r="EN18" s="504">
        <v>0</v>
      </c>
      <c r="EO18" s="504">
        <v>0</v>
      </c>
      <c r="EP18" s="504">
        <v>0</v>
      </c>
      <c r="EQ18" s="504">
        <v>0</v>
      </c>
      <c r="ER18" s="504">
        <v>0</v>
      </c>
      <c r="ES18" s="504">
        <v>0</v>
      </c>
      <c r="ET18" s="504">
        <v>0</v>
      </c>
      <c r="EU18" s="504">
        <v>0</v>
      </c>
      <c r="EV18" s="504">
        <v>0</v>
      </c>
      <c r="EW18" s="504">
        <v>0</v>
      </c>
      <c r="EX18" s="504">
        <v>0</v>
      </c>
      <c r="EY18" s="504">
        <v>0</v>
      </c>
      <c r="EZ18" s="504">
        <v>0</v>
      </c>
      <c r="FA18" s="504">
        <v>0</v>
      </c>
      <c r="FB18" s="504">
        <v>0</v>
      </c>
      <c r="FC18" s="504">
        <v>0</v>
      </c>
      <c r="FD18" s="504">
        <v>0</v>
      </c>
      <c r="FE18" s="504">
        <v>0</v>
      </c>
      <c r="FF18" s="504">
        <v>0</v>
      </c>
      <c r="FG18" s="504">
        <v>0</v>
      </c>
      <c r="FH18" s="504">
        <v>0</v>
      </c>
      <c r="FI18" s="504">
        <v>0</v>
      </c>
      <c r="FJ18" s="504">
        <v>0</v>
      </c>
      <c r="FK18" s="504">
        <v>0</v>
      </c>
      <c r="FL18" s="504">
        <v>0</v>
      </c>
      <c r="FM18" s="504">
        <v>0</v>
      </c>
      <c r="FN18" s="504">
        <v>0</v>
      </c>
      <c r="FO18" s="504">
        <v>0</v>
      </c>
      <c r="FP18" s="504">
        <v>0</v>
      </c>
      <c r="FQ18" s="504">
        <v>0</v>
      </c>
      <c r="FR18" s="504">
        <v>0</v>
      </c>
      <c r="FS18" s="504">
        <v>0</v>
      </c>
      <c r="FT18" s="504">
        <v>0</v>
      </c>
      <c r="FU18" s="504">
        <v>0</v>
      </c>
      <c r="FV18" s="504">
        <v>0</v>
      </c>
      <c r="FW18" s="504">
        <v>0</v>
      </c>
      <c r="FX18" s="504">
        <v>0</v>
      </c>
      <c r="FY18" s="504">
        <v>0</v>
      </c>
      <c r="FZ18" s="504">
        <v>0</v>
      </c>
      <c r="GA18" s="504">
        <v>0</v>
      </c>
      <c r="GB18" s="504">
        <v>0</v>
      </c>
      <c r="GC18" s="504">
        <v>0</v>
      </c>
      <c r="GD18" s="504">
        <v>0</v>
      </c>
      <c r="GE18" s="504">
        <v>0</v>
      </c>
      <c r="GF18" s="504">
        <v>0</v>
      </c>
      <c r="GG18" s="504">
        <v>0</v>
      </c>
      <c r="GH18" s="504">
        <v>0</v>
      </c>
      <c r="GI18" s="504">
        <v>0</v>
      </c>
      <c r="GJ18" s="504">
        <v>0</v>
      </c>
      <c r="GK18" s="504">
        <v>0</v>
      </c>
      <c r="GL18" s="504">
        <v>0</v>
      </c>
      <c r="GM18" s="504">
        <v>0</v>
      </c>
      <c r="GN18" s="504">
        <v>0</v>
      </c>
      <c r="GO18" s="504">
        <v>0</v>
      </c>
      <c r="GP18" s="504">
        <v>0</v>
      </c>
      <c r="GQ18" s="504">
        <v>0</v>
      </c>
      <c r="GR18" s="504">
        <v>0</v>
      </c>
      <c r="GS18" s="504">
        <v>0</v>
      </c>
      <c r="GT18" s="504">
        <v>0</v>
      </c>
      <c r="GU18" s="504">
        <v>0</v>
      </c>
      <c r="GV18" s="504">
        <v>0</v>
      </c>
      <c r="GW18" s="1654">
        <v>0</v>
      </c>
      <c r="GX18" s="504">
        <v>0</v>
      </c>
      <c r="GY18" s="504">
        <v>17348</v>
      </c>
      <c r="GZ18" s="504">
        <v>32350</v>
      </c>
      <c r="HA18" s="504">
        <v>36000</v>
      </c>
      <c r="HB18" s="504">
        <v>35000</v>
      </c>
      <c r="HC18" s="504">
        <v>34000</v>
      </c>
      <c r="HD18" s="504">
        <v>0</v>
      </c>
      <c r="HE18" s="504">
        <v>0</v>
      </c>
      <c r="HF18" s="504">
        <v>0</v>
      </c>
      <c r="HG18" s="504">
        <v>0</v>
      </c>
      <c r="HH18" s="504">
        <v>0</v>
      </c>
      <c r="HI18" s="504">
        <v>0</v>
      </c>
      <c r="HJ18" s="504">
        <v>0</v>
      </c>
      <c r="HK18" s="504">
        <v>0</v>
      </c>
      <c r="HL18" s="504">
        <v>0</v>
      </c>
      <c r="HM18" s="504">
        <v>0</v>
      </c>
      <c r="HN18" s="504">
        <v>0</v>
      </c>
      <c r="HO18" s="504">
        <v>0</v>
      </c>
      <c r="HP18" s="504">
        <v>0</v>
      </c>
      <c r="HQ18" s="504">
        <v>0</v>
      </c>
      <c r="HR18" s="504">
        <v>0</v>
      </c>
      <c r="HS18" s="504">
        <v>0</v>
      </c>
      <c r="HT18" s="504">
        <v>0</v>
      </c>
      <c r="HU18" s="504">
        <v>0</v>
      </c>
      <c r="HV18" s="504">
        <v>0</v>
      </c>
      <c r="HW18" s="504">
        <v>0</v>
      </c>
      <c r="HX18" s="504">
        <v>0</v>
      </c>
      <c r="HY18" s="504">
        <v>0</v>
      </c>
      <c r="HZ18" s="504">
        <v>0</v>
      </c>
      <c r="IA18" s="504">
        <v>0</v>
      </c>
      <c r="IB18" s="504">
        <v>0</v>
      </c>
      <c r="IC18" s="504">
        <v>0</v>
      </c>
      <c r="ID18" s="504">
        <v>0</v>
      </c>
      <c r="IE18" s="504">
        <v>0</v>
      </c>
      <c r="IF18" s="504">
        <v>0</v>
      </c>
      <c r="IG18" s="504">
        <v>0</v>
      </c>
      <c r="IH18" s="504">
        <v>0</v>
      </c>
      <c r="II18" s="504">
        <v>0</v>
      </c>
      <c r="IJ18" s="504">
        <v>0</v>
      </c>
      <c r="IK18" s="504">
        <v>0</v>
      </c>
      <c r="IL18" s="504">
        <v>0</v>
      </c>
      <c r="IM18" s="504">
        <v>0</v>
      </c>
      <c r="IN18" s="504">
        <v>0</v>
      </c>
      <c r="IO18" s="504">
        <v>0</v>
      </c>
      <c r="IP18" s="504">
        <v>0</v>
      </c>
      <c r="IQ18" s="504">
        <v>0</v>
      </c>
      <c r="IR18" s="504">
        <v>0</v>
      </c>
      <c r="IS18" s="504">
        <v>0</v>
      </c>
      <c r="IT18" s="504">
        <v>0</v>
      </c>
      <c r="IU18" s="504">
        <v>0</v>
      </c>
      <c r="IV18" s="504">
        <v>0</v>
      </c>
      <c r="IW18" s="504">
        <v>0</v>
      </c>
      <c r="IX18" s="504">
        <v>0</v>
      </c>
      <c r="IY18" s="504">
        <v>0</v>
      </c>
      <c r="IZ18" s="504">
        <v>0</v>
      </c>
      <c r="JA18" s="504">
        <v>0</v>
      </c>
      <c r="JB18" s="504">
        <v>0</v>
      </c>
      <c r="JC18" s="504">
        <v>0</v>
      </c>
      <c r="JD18" s="504">
        <v>0</v>
      </c>
      <c r="JE18" s="504">
        <v>0</v>
      </c>
      <c r="JF18" s="504">
        <v>0</v>
      </c>
      <c r="JG18" s="504">
        <v>0</v>
      </c>
      <c r="JH18" s="504">
        <v>0</v>
      </c>
      <c r="JI18" s="504">
        <v>0</v>
      </c>
      <c r="JJ18" s="504">
        <v>0</v>
      </c>
      <c r="JK18" s="504">
        <v>0</v>
      </c>
      <c r="JL18" s="504">
        <v>0</v>
      </c>
      <c r="JM18" s="504">
        <v>0</v>
      </c>
      <c r="JN18" s="504">
        <v>0</v>
      </c>
      <c r="JO18" s="504">
        <v>0</v>
      </c>
      <c r="JP18" s="504">
        <v>0</v>
      </c>
      <c r="JQ18" s="504">
        <v>0</v>
      </c>
      <c r="JR18" s="504">
        <v>0</v>
      </c>
      <c r="JS18" s="504">
        <v>0</v>
      </c>
      <c r="JT18" s="504">
        <v>0</v>
      </c>
      <c r="JU18" s="504">
        <v>0</v>
      </c>
      <c r="JV18" s="504">
        <v>0</v>
      </c>
      <c r="JW18" s="504">
        <v>0</v>
      </c>
      <c r="JX18" s="504">
        <v>0</v>
      </c>
      <c r="JY18" s="504">
        <v>0</v>
      </c>
      <c r="JZ18" s="504">
        <v>0</v>
      </c>
      <c r="KA18" s="504">
        <v>0</v>
      </c>
      <c r="KB18" s="504">
        <v>0</v>
      </c>
      <c r="KC18" s="504">
        <v>0</v>
      </c>
      <c r="KD18" s="504">
        <v>0</v>
      </c>
      <c r="KE18" s="504">
        <v>0</v>
      </c>
      <c r="KF18" s="504">
        <v>0</v>
      </c>
      <c r="KG18" s="504">
        <v>0</v>
      </c>
      <c r="KH18" s="504">
        <v>0</v>
      </c>
      <c r="KI18" s="504">
        <v>0</v>
      </c>
      <c r="KJ18" s="504">
        <v>0</v>
      </c>
      <c r="KK18" s="504">
        <v>0</v>
      </c>
      <c r="KL18" s="504">
        <v>0</v>
      </c>
      <c r="KM18" s="504">
        <v>0</v>
      </c>
      <c r="KN18" s="504">
        <v>0</v>
      </c>
      <c r="KO18" s="504">
        <v>0</v>
      </c>
      <c r="KP18" s="504">
        <v>0</v>
      </c>
      <c r="KQ18" s="504">
        <v>0</v>
      </c>
      <c r="KR18" s="504">
        <v>0</v>
      </c>
      <c r="KS18" s="504">
        <v>0</v>
      </c>
      <c r="KT18" s="1654">
        <v>0</v>
      </c>
      <c r="KU18" s="504">
        <v>0</v>
      </c>
      <c r="KV18" s="504">
        <v>0</v>
      </c>
      <c r="KW18" s="504">
        <v>0</v>
      </c>
      <c r="KX18" s="504">
        <v>1045</v>
      </c>
      <c r="KY18" s="504">
        <v>1286</v>
      </c>
      <c r="KZ18" s="504">
        <v>1577</v>
      </c>
      <c r="LA18" s="504">
        <v>0</v>
      </c>
      <c r="LB18" s="504">
        <v>0</v>
      </c>
      <c r="LC18" s="504">
        <v>0</v>
      </c>
      <c r="LD18" s="504">
        <v>0</v>
      </c>
      <c r="LE18" s="504">
        <v>0</v>
      </c>
      <c r="LF18" s="504">
        <v>0</v>
      </c>
      <c r="LG18" s="504">
        <v>0</v>
      </c>
      <c r="LH18" s="504">
        <v>0</v>
      </c>
      <c r="LI18" s="504">
        <v>0</v>
      </c>
      <c r="LJ18" s="504">
        <v>0</v>
      </c>
      <c r="LK18" s="504">
        <v>0</v>
      </c>
      <c r="LL18" s="504">
        <v>0</v>
      </c>
      <c r="LM18" s="504">
        <v>0</v>
      </c>
      <c r="LN18" s="504">
        <v>0</v>
      </c>
      <c r="LO18" s="504">
        <v>0</v>
      </c>
      <c r="LP18" s="504">
        <v>0</v>
      </c>
      <c r="LQ18" s="504">
        <v>0</v>
      </c>
      <c r="LR18" s="504">
        <v>0</v>
      </c>
      <c r="LS18" s="504">
        <v>0</v>
      </c>
      <c r="LT18" s="504">
        <v>0</v>
      </c>
      <c r="LU18" s="504">
        <v>0</v>
      </c>
      <c r="LV18" s="504">
        <v>0</v>
      </c>
      <c r="LW18" s="504">
        <v>0</v>
      </c>
      <c r="LX18" s="504">
        <v>0</v>
      </c>
      <c r="LY18" s="504">
        <v>0</v>
      </c>
      <c r="LZ18" s="504">
        <v>0</v>
      </c>
      <c r="MA18" s="504">
        <v>0</v>
      </c>
      <c r="MB18" s="504">
        <v>0</v>
      </c>
      <c r="MC18" s="504">
        <v>0</v>
      </c>
      <c r="MD18" s="504">
        <v>0</v>
      </c>
      <c r="ME18" s="504">
        <v>0</v>
      </c>
      <c r="MF18" s="504">
        <v>0</v>
      </c>
      <c r="MG18" s="504">
        <v>0</v>
      </c>
      <c r="MH18" s="504">
        <v>0</v>
      </c>
      <c r="MI18" s="504">
        <v>0</v>
      </c>
      <c r="MJ18" s="504">
        <v>0</v>
      </c>
      <c r="MK18" s="504">
        <v>0</v>
      </c>
      <c r="ML18" s="504">
        <v>0</v>
      </c>
      <c r="MM18" s="504">
        <v>0</v>
      </c>
      <c r="MN18" s="504">
        <v>0</v>
      </c>
      <c r="MO18" s="504">
        <v>0</v>
      </c>
      <c r="MP18" s="504">
        <v>0</v>
      </c>
      <c r="MQ18" s="504">
        <v>0</v>
      </c>
      <c r="MR18" s="504">
        <v>0</v>
      </c>
      <c r="MS18" s="504">
        <v>0</v>
      </c>
      <c r="MT18" s="504">
        <v>0</v>
      </c>
      <c r="MU18" s="504">
        <v>0</v>
      </c>
      <c r="MV18" s="504">
        <v>0</v>
      </c>
      <c r="MW18" s="504">
        <v>0</v>
      </c>
      <c r="MX18" s="504">
        <v>0</v>
      </c>
      <c r="MY18" s="504">
        <v>0</v>
      </c>
      <c r="MZ18" s="504">
        <v>0</v>
      </c>
      <c r="NA18" s="504">
        <v>0</v>
      </c>
      <c r="NB18" s="504">
        <v>0</v>
      </c>
      <c r="NC18" s="504">
        <v>0</v>
      </c>
      <c r="ND18" s="504">
        <v>0</v>
      </c>
      <c r="NE18" s="504">
        <v>0</v>
      </c>
      <c r="NF18" s="504">
        <v>0</v>
      </c>
      <c r="NG18" s="504">
        <v>0</v>
      </c>
      <c r="NH18" s="504">
        <v>0</v>
      </c>
      <c r="NI18" s="504">
        <v>0</v>
      </c>
      <c r="NJ18" s="504">
        <v>0</v>
      </c>
      <c r="NK18" s="504">
        <v>0</v>
      </c>
      <c r="NL18" s="504">
        <v>0</v>
      </c>
      <c r="NM18" s="504">
        <v>0</v>
      </c>
      <c r="NN18" s="504">
        <v>0</v>
      </c>
      <c r="NO18" s="504">
        <v>0</v>
      </c>
      <c r="NP18" s="504">
        <v>0</v>
      </c>
      <c r="NQ18" s="504">
        <v>0</v>
      </c>
      <c r="NR18" s="504">
        <v>0</v>
      </c>
      <c r="NS18" s="504">
        <v>0</v>
      </c>
      <c r="NT18" s="504">
        <v>0</v>
      </c>
      <c r="NU18" s="504">
        <v>0</v>
      </c>
      <c r="NV18" s="504">
        <v>0</v>
      </c>
      <c r="NW18" s="504">
        <v>0</v>
      </c>
      <c r="NX18" s="504">
        <v>0</v>
      </c>
      <c r="NY18" s="504">
        <v>0</v>
      </c>
      <c r="NZ18" s="504">
        <v>0</v>
      </c>
      <c r="OA18" s="504">
        <v>0</v>
      </c>
      <c r="OB18" s="504">
        <v>0</v>
      </c>
      <c r="OC18" s="504">
        <v>0</v>
      </c>
      <c r="OD18" s="504">
        <v>0</v>
      </c>
      <c r="OE18" s="504">
        <v>0</v>
      </c>
      <c r="OF18" s="504">
        <v>0</v>
      </c>
      <c r="OG18" s="504">
        <v>0</v>
      </c>
      <c r="OH18" s="504">
        <v>0</v>
      </c>
      <c r="OI18" s="504">
        <v>0</v>
      </c>
      <c r="OJ18" s="504">
        <v>0</v>
      </c>
      <c r="OK18" s="504">
        <v>0</v>
      </c>
      <c r="OL18" s="504">
        <v>0</v>
      </c>
      <c r="OM18" s="504">
        <v>0</v>
      </c>
      <c r="ON18" s="504">
        <v>0</v>
      </c>
      <c r="OO18" s="504">
        <v>0</v>
      </c>
      <c r="OP18" s="504">
        <v>0</v>
      </c>
      <c r="OQ18" s="504">
        <v>0</v>
      </c>
      <c r="OR18" s="1656"/>
    </row>
    <row r="19" spans="1:408" ht="21.5">
      <c r="A19" s="1466" t="s">
        <v>1640</v>
      </c>
      <c r="B19" s="1583" t="s">
        <v>2358</v>
      </c>
      <c r="C19" s="1583" t="s">
        <v>14</v>
      </c>
      <c r="D19" s="1583">
        <v>42</v>
      </c>
      <c r="E19" s="504">
        <v>44</v>
      </c>
      <c r="F19" s="504">
        <v>177</v>
      </c>
      <c r="G19" s="504">
        <v>455</v>
      </c>
      <c r="H19" s="504">
        <v>710</v>
      </c>
      <c r="I19" s="504">
        <v>1016</v>
      </c>
      <c r="J19" s="504">
        <v>1241</v>
      </c>
      <c r="K19" s="504">
        <v>1257</v>
      </c>
      <c r="L19" s="504">
        <v>1273</v>
      </c>
      <c r="M19" s="504">
        <v>1290</v>
      </c>
      <c r="N19" s="504">
        <v>1307</v>
      </c>
      <c r="O19" s="504">
        <v>1324</v>
      </c>
      <c r="P19" s="504">
        <v>1342</v>
      </c>
      <c r="Q19" s="504">
        <v>1360</v>
      </c>
      <c r="R19" s="504">
        <v>1379</v>
      </c>
      <c r="S19" s="504">
        <v>1398</v>
      </c>
      <c r="T19" s="504">
        <v>1418</v>
      </c>
      <c r="U19" s="504">
        <v>1438</v>
      </c>
      <c r="V19" s="504">
        <v>1458</v>
      </c>
      <c r="W19" s="504">
        <v>1479</v>
      </c>
      <c r="X19" s="504">
        <v>1500</v>
      </c>
      <c r="Y19" s="504">
        <v>1522</v>
      </c>
      <c r="Z19" s="504">
        <v>1544</v>
      </c>
      <c r="AA19" s="504">
        <v>1566</v>
      </c>
      <c r="AB19" s="504">
        <v>1589</v>
      </c>
      <c r="AC19" s="504">
        <v>1612</v>
      </c>
      <c r="AD19" s="504">
        <v>1636</v>
      </c>
      <c r="AE19" s="504">
        <v>1660</v>
      </c>
      <c r="AF19" s="504">
        <v>1684</v>
      </c>
      <c r="AG19" s="504">
        <v>1709</v>
      </c>
      <c r="AH19" s="504">
        <v>1735</v>
      </c>
      <c r="AI19" s="504">
        <v>1761</v>
      </c>
      <c r="AJ19" s="504">
        <v>1787</v>
      </c>
      <c r="AK19" s="504">
        <v>1815</v>
      </c>
      <c r="AL19" s="504">
        <v>1844</v>
      </c>
      <c r="AM19" s="504">
        <v>1874</v>
      </c>
      <c r="AN19" s="504">
        <v>1907</v>
      </c>
      <c r="AO19" s="504">
        <v>1942</v>
      </c>
      <c r="AP19" s="504">
        <v>2000</v>
      </c>
      <c r="AQ19" s="504">
        <v>0</v>
      </c>
      <c r="AR19" s="504">
        <v>0</v>
      </c>
      <c r="AS19" s="504">
        <v>0</v>
      </c>
      <c r="AT19" s="504">
        <v>0</v>
      </c>
      <c r="AU19" s="504">
        <v>0</v>
      </c>
      <c r="AV19" s="504">
        <v>0</v>
      </c>
      <c r="AW19" s="504">
        <v>0</v>
      </c>
      <c r="AX19" s="504">
        <v>0</v>
      </c>
      <c r="AY19" s="504">
        <v>0</v>
      </c>
      <c r="AZ19" s="504">
        <v>0</v>
      </c>
      <c r="BA19" s="504">
        <v>0</v>
      </c>
      <c r="BB19" s="504">
        <v>0</v>
      </c>
      <c r="BC19" s="504">
        <v>0</v>
      </c>
      <c r="BD19" s="504">
        <v>0</v>
      </c>
      <c r="BE19" s="504">
        <v>0</v>
      </c>
      <c r="BF19" s="504">
        <v>0</v>
      </c>
      <c r="BG19" s="504">
        <v>0</v>
      </c>
      <c r="BH19" s="504">
        <v>0</v>
      </c>
      <c r="BI19" s="504">
        <v>0</v>
      </c>
      <c r="BJ19" s="504">
        <v>0</v>
      </c>
      <c r="BK19" s="504">
        <v>0</v>
      </c>
      <c r="BL19" s="504">
        <v>0</v>
      </c>
      <c r="BM19" s="504">
        <v>0</v>
      </c>
      <c r="BN19" s="504">
        <v>0</v>
      </c>
      <c r="BO19" s="504">
        <v>0</v>
      </c>
      <c r="BP19" s="504">
        <v>0</v>
      </c>
      <c r="BQ19" s="504">
        <v>0</v>
      </c>
      <c r="BR19" s="504">
        <v>0</v>
      </c>
      <c r="BS19" s="504">
        <v>0</v>
      </c>
      <c r="BT19" s="504">
        <v>0</v>
      </c>
      <c r="BU19" s="504">
        <v>0</v>
      </c>
      <c r="BV19" s="504">
        <v>0</v>
      </c>
      <c r="BW19" s="504">
        <v>0</v>
      </c>
      <c r="BX19" s="504">
        <v>0</v>
      </c>
      <c r="BY19" s="504">
        <v>0</v>
      </c>
      <c r="BZ19" s="504">
        <v>0</v>
      </c>
      <c r="CA19" s="504">
        <v>0</v>
      </c>
      <c r="CB19" s="504">
        <v>0</v>
      </c>
      <c r="CC19" s="504">
        <v>0</v>
      </c>
      <c r="CD19" s="504">
        <v>0</v>
      </c>
      <c r="CE19" s="504">
        <v>0</v>
      </c>
      <c r="CF19" s="504">
        <v>0</v>
      </c>
      <c r="CG19" s="504">
        <v>0</v>
      </c>
      <c r="CH19" s="504">
        <v>0</v>
      </c>
      <c r="CI19" s="504">
        <v>0</v>
      </c>
      <c r="CJ19" s="504">
        <v>0</v>
      </c>
      <c r="CK19" s="504">
        <v>0</v>
      </c>
      <c r="CL19" s="504">
        <v>0</v>
      </c>
      <c r="CM19" s="504">
        <v>0</v>
      </c>
      <c r="CN19" s="504">
        <v>0</v>
      </c>
      <c r="CO19" s="504">
        <v>0</v>
      </c>
      <c r="CP19" s="504">
        <v>0</v>
      </c>
      <c r="CQ19" s="504">
        <v>0</v>
      </c>
      <c r="CR19" s="504">
        <v>0</v>
      </c>
      <c r="CS19" s="504">
        <v>0</v>
      </c>
      <c r="CT19" s="504">
        <v>0</v>
      </c>
      <c r="CU19" s="504">
        <v>0</v>
      </c>
      <c r="CV19" s="504">
        <v>0</v>
      </c>
      <c r="CW19" s="504">
        <v>0</v>
      </c>
      <c r="CX19" s="504">
        <v>0</v>
      </c>
      <c r="CY19" s="504">
        <v>0</v>
      </c>
      <c r="CZ19" s="1654">
        <v>0</v>
      </c>
      <c r="DA19" s="504">
        <v>0</v>
      </c>
      <c r="DB19" s="504">
        <v>115</v>
      </c>
      <c r="DC19" s="504">
        <v>452</v>
      </c>
      <c r="DD19" s="504">
        <v>1052</v>
      </c>
      <c r="DE19" s="504">
        <v>1296</v>
      </c>
      <c r="DF19" s="504">
        <v>1590</v>
      </c>
      <c r="DG19" s="504">
        <v>0</v>
      </c>
      <c r="DH19" s="504">
        <v>0</v>
      </c>
      <c r="DI19" s="504">
        <v>0</v>
      </c>
      <c r="DJ19" s="504">
        <v>0</v>
      </c>
      <c r="DK19" s="504">
        <v>0</v>
      </c>
      <c r="DL19" s="504">
        <v>0</v>
      </c>
      <c r="DM19" s="504">
        <v>0</v>
      </c>
      <c r="DN19" s="504">
        <v>0</v>
      </c>
      <c r="DO19" s="504">
        <v>0</v>
      </c>
      <c r="DP19" s="504">
        <v>0</v>
      </c>
      <c r="DQ19" s="504">
        <v>0</v>
      </c>
      <c r="DR19" s="504">
        <v>0</v>
      </c>
      <c r="DS19" s="504">
        <v>0</v>
      </c>
      <c r="DT19" s="504">
        <v>0</v>
      </c>
      <c r="DU19" s="504">
        <v>0</v>
      </c>
      <c r="DV19" s="504">
        <v>0</v>
      </c>
      <c r="DW19" s="504">
        <v>0</v>
      </c>
      <c r="DX19" s="504">
        <v>0</v>
      </c>
      <c r="DY19" s="504">
        <v>0</v>
      </c>
      <c r="DZ19" s="504">
        <v>0</v>
      </c>
      <c r="EA19" s="504">
        <v>0</v>
      </c>
      <c r="EB19" s="504">
        <v>0</v>
      </c>
      <c r="EC19" s="504">
        <v>0</v>
      </c>
      <c r="ED19" s="504">
        <v>0</v>
      </c>
      <c r="EE19" s="504">
        <v>0</v>
      </c>
      <c r="EF19" s="504">
        <v>0</v>
      </c>
      <c r="EG19" s="504">
        <v>0</v>
      </c>
      <c r="EH19" s="504">
        <v>0</v>
      </c>
      <c r="EI19" s="504">
        <v>0</v>
      </c>
      <c r="EJ19" s="504">
        <v>0</v>
      </c>
      <c r="EK19" s="504">
        <v>0</v>
      </c>
      <c r="EL19" s="504">
        <v>0</v>
      </c>
      <c r="EM19" s="504">
        <v>0</v>
      </c>
      <c r="EN19" s="504">
        <v>0</v>
      </c>
      <c r="EO19" s="504">
        <v>0</v>
      </c>
      <c r="EP19" s="504">
        <v>0</v>
      </c>
      <c r="EQ19" s="504">
        <v>0</v>
      </c>
      <c r="ER19" s="504">
        <v>0</v>
      </c>
      <c r="ES19" s="504">
        <v>0</v>
      </c>
      <c r="ET19" s="504">
        <v>0</v>
      </c>
      <c r="EU19" s="504">
        <v>0</v>
      </c>
      <c r="EV19" s="504">
        <v>0</v>
      </c>
      <c r="EW19" s="504">
        <v>0</v>
      </c>
      <c r="EX19" s="504">
        <v>0</v>
      </c>
      <c r="EY19" s="504">
        <v>0</v>
      </c>
      <c r="EZ19" s="504">
        <v>0</v>
      </c>
      <c r="FA19" s="504">
        <v>0</v>
      </c>
      <c r="FB19" s="504">
        <v>0</v>
      </c>
      <c r="FC19" s="504">
        <v>0</v>
      </c>
      <c r="FD19" s="504">
        <v>0</v>
      </c>
      <c r="FE19" s="504">
        <v>0</v>
      </c>
      <c r="FF19" s="504">
        <v>0</v>
      </c>
      <c r="FG19" s="504">
        <v>0</v>
      </c>
      <c r="FH19" s="504">
        <v>0</v>
      </c>
      <c r="FI19" s="504">
        <v>0</v>
      </c>
      <c r="FJ19" s="504">
        <v>0</v>
      </c>
      <c r="FK19" s="504">
        <v>0</v>
      </c>
      <c r="FL19" s="504">
        <v>0</v>
      </c>
      <c r="FM19" s="504">
        <v>0</v>
      </c>
      <c r="FN19" s="504">
        <v>0</v>
      </c>
      <c r="FO19" s="504">
        <v>0</v>
      </c>
      <c r="FP19" s="504">
        <v>0</v>
      </c>
      <c r="FQ19" s="504">
        <v>0</v>
      </c>
      <c r="FR19" s="504">
        <v>0</v>
      </c>
      <c r="FS19" s="504">
        <v>0</v>
      </c>
      <c r="FT19" s="504">
        <v>0</v>
      </c>
      <c r="FU19" s="504">
        <v>0</v>
      </c>
      <c r="FV19" s="504">
        <v>0</v>
      </c>
      <c r="FW19" s="504">
        <v>0</v>
      </c>
      <c r="FX19" s="504">
        <v>0</v>
      </c>
      <c r="FY19" s="504">
        <v>0</v>
      </c>
      <c r="FZ19" s="504">
        <v>0</v>
      </c>
      <c r="GA19" s="504">
        <v>0</v>
      </c>
      <c r="GB19" s="504">
        <v>0</v>
      </c>
      <c r="GC19" s="504">
        <v>0</v>
      </c>
      <c r="GD19" s="504">
        <v>0</v>
      </c>
      <c r="GE19" s="504">
        <v>0</v>
      </c>
      <c r="GF19" s="504">
        <v>0</v>
      </c>
      <c r="GG19" s="504">
        <v>0</v>
      </c>
      <c r="GH19" s="504">
        <v>0</v>
      </c>
      <c r="GI19" s="504">
        <v>0</v>
      </c>
      <c r="GJ19" s="504">
        <v>0</v>
      </c>
      <c r="GK19" s="504">
        <v>0</v>
      </c>
      <c r="GL19" s="504">
        <v>0</v>
      </c>
      <c r="GM19" s="504">
        <v>0</v>
      </c>
      <c r="GN19" s="504">
        <v>0</v>
      </c>
      <c r="GO19" s="504">
        <v>0</v>
      </c>
      <c r="GP19" s="504">
        <v>0</v>
      </c>
      <c r="GQ19" s="504">
        <v>0</v>
      </c>
      <c r="GR19" s="504">
        <v>0</v>
      </c>
      <c r="GS19" s="504">
        <v>0</v>
      </c>
      <c r="GT19" s="504">
        <v>0</v>
      </c>
      <c r="GU19" s="504">
        <v>0</v>
      </c>
      <c r="GV19" s="504">
        <v>0</v>
      </c>
      <c r="GW19" s="1654">
        <v>0</v>
      </c>
      <c r="GX19" s="504">
        <v>0</v>
      </c>
      <c r="GY19" s="504">
        <v>17085</v>
      </c>
      <c r="GZ19" s="504">
        <v>31301</v>
      </c>
      <c r="HA19" s="504">
        <v>35000</v>
      </c>
      <c r="HB19" s="504">
        <v>34000</v>
      </c>
      <c r="HC19" s="504">
        <v>33000</v>
      </c>
      <c r="HD19" s="504">
        <v>0</v>
      </c>
      <c r="HE19" s="504">
        <v>0</v>
      </c>
      <c r="HF19" s="504">
        <v>0</v>
      </c>
      <c r="HG19" s="504">
        <v>0</v>
      </c>
      <c r="HH19" s="504">
        <v>0</v>
      </c>
      <c r="HI19" s="504">
        <v>0</v>
      </c>
      <c r="HJ19" s="504">
        <v>0</v>
      </c>
      <c r="HK19" s="504">
        <v>0</v>
      </c>
      <c r="HL19" s="504">
        <v>0</v>
      </c>
      <c r="HM19" s="504">
        <v>0</v>
      </c>
      <c r="HN19" s="504">
        <v>0</v>
      </c>
      <c r="HO19" s="504">
        <v>0</v>
      </c>
      <c r="HP19" s="504">
        <v>0</v>
      </c>
      <c r="HQ19" s="504">
        <v>0</v>
      </c>
      <c r="HR19" s="504">
        <v>0</v>
      </c>
      <c r="HS19" s="504">
        <v>0</v>
      </c>
      <c r="HT19" s="504">
        <v>0</v>
      </c>
      <c r="HU19" s="504">
        <v>0</v>
      </c>
      <c r="HV19" s="504">
        <v>0</v>
      </c>
      <c r="HW19" s="504">
        <v>0</v>
      </c>
      <c r="HX19" s="504">
        <v>0</v>
      </c>
      <c r="HY19" s="504">
        <v>0</v>
      </c>
      <c r="HZ19" s="504">
        <v>0</v>
      </c>
      <c r="IA19" s="504">
        <v>0</v>
      </c>
      <c r="IB19" s="504">
        <v>0</v>
      </c>
      <c r="IC19" s="504">
        <v>0</v>
      </c>
      <c r="ID19" s="504">
        <v>0</v>
      </c>
      <c r="IE19" s="504">
        <v>0</v>
      </c>
      <c r="IF19" s="504">
        <v>0</v>
      </c>
      <c r="IG19" s="504">
        <v>0</v>
      </c>
      <c r="IH19" s="504">
        <v>0</v>
      </c>
      <c r="II19" s="504">
        <v>0</v>
      </c>
      <c r="IJ19" s="504">
        <v>0</v>
      </c>
      <c r="IK19" s="504">
        <v>0</v>
      </c>
      <c r="IL19" s="504">
        <v>0</v>
      </c>
      <c r="IM19" s="504">
        <v>0</v>
      </c>
      <c r="IN19" s="504">
        <v>0</v>
      </c>
      <c r="IO19" s="504">
        <v>0</v>
      </c>
      <c r="IP19" s="504">
        <v>0</v>
      </c>
      <c r="IQ19" s="504">
        <v>0</v>
      </c>
      <c r="IR19" s="504">
        <v>0</v>
      </c>
      <c r="IS19" s="504">
        <v>0</v>
      </c>
      <c r="IT19" s="504">
        <v>0</v>
      </c>
      <c r="IU19" s="504">
        <v>0</v>
      </c>
      <c r="IV19" s="504">
        <v>0</v>
      </c>
      <c r="IW19" s="504">
        <v>0</v>
      </c>
      <c r="IX19" s="504">
        <v>0</v>
      </c>
      <c r="IY19" s="504">
        <v>0</v>
      </c>
      <c r="IZ19" s="504">
        <v>0</v>
      </c>
      <c r="JA19" s="504">
        <v>0</v>
      </c>
      <c r="JB19" s="504">
        <v>0</v>
      </c>
      <c r="JC19" s="504">
        <v>0</v>
      </c>
      <c r="JD19" s="504">
        <v>0</v>
      </c>
      <c r="JE19" s="504">
        <v>0</v>
      </c>
      <c r="JF19" s="504">
        <v>0</v>
      </c>
      <c r="JG19" s="504">
        <v>0</v>
      </c>
      <c r="JH19" s="504">
        <v>0</v>
      </c>
      <c r="JI19" s="504">
        <v>0</v>
      </c>
      <c r="JJ19" s="504">
        <v>0</v>
      </c>
      <c r="JK19" s="504">
        <v>0</v>
      </c>
      <c r="JL19" s="504">
        <v>0</v>
      </c>
      <c r="JM19" s="504">
        <v>0</v>
      </c>
      <c r="JN19" s="504">
        <v>0</v>
      </c>
      <c r="JO19" s="504">
        <v>0</v>
      </c>
      <c r="JP19" s="504">
        <v>0</v>
      </c>
      <c r="JQ19" s="504">
        <v>0</v>
      </c>
      <c r="JR19" s="504">
        <v>0</v>
      </c>
      <c r="JS19" s="504">
        <v>0</v>
      </c>
      <c r="JT19" s="504">
        <v>0</v>
      </c>
      <c r="JU19" s="504">
        <v>0</v>
      </c>
      <c r="JV19" s="504">
        <v>0</v>
      </c>
      <c r="JW19" s="504">
        <v>0</v>
      </c>
      <c r="JX19" s="504">
        <v>0</v>
      </c>
      <c r="JY19" s="504">
        <v>0</v>
      </c>
      <c r="JZ19" s="504">
        <v>0</v>
      </c>
      <c r="KA19" s="504">
        <v>0</v>
      </c>
      <c r="KB19" s="504">
        <v>0</v>
      </c>
      <c r="KC19" s="504">
        <v>0</v>
      </c>
      <c r="KD19" s="504">
        <v>0</v>
      </c>
      <c r="KE19" s="504">
        <v>0</v>
      </c>
      <c r="KF19" s="504">
        <v>0</v>
      </c>
      <c r="KG19" s="504">
        <v>0</v>
      </c>
      <c r="KH19" s="504">
        <v>0</v>
      </c>
      <c r="KI19" s="504">
        <v>0</v>
      </c>
      <c r="KJ19" s="504">
        <v>0</v>
      </c>
      <c r="KK19" s="504">
        <v>0</v>
      </c>
      <c r="KL19" s="504">
        <v>0</v>
      </c>
      <c r="KM19" s="504">
        <v>0</v>
      </c>
      <c r="KN19" s="504">
        <v>0</v>
      </c>
      <c r="KO19" s="504">
        <v>0</v>
      </c>
      <c r="KP19" s="504">
        <v>0</v>
      </c>
      <c r="KQ19" s="504">
        <v>0</v>
      </c>
      <c r="KR19" s="504">
        <v>0</v>
      </c>
      <c r="KS19" s="504">
        <v>0</v>
      </c>
      <c r="KT19" s="1654">
        <v>0</v>
      </c>
      <c r="KU19" s="504">
        <v>0</v>
      </c>
      <c r="KV19" s="504">
        <v>0</v>
      </c>
      <c r="KW19" s="504">
        <v>0</v>
      </c>
      <c r="KX19" s="504">
        <v>1040</v>
      </c>
      <c r="KY19" s="504">
        <v>1283</v>
      </c>
      <c r="KZ19" s="504">
        <v>1578</v>
      </c>
      <c r="LA19" s="504">
        <v>0</v>
      </c>
      <c r="LB19" s="504">
        <v>0</v>
      </c>
      <c r="LC19" s="504">
        <v>0</v>
      </c>
      <c r="LD19" s="504">
        <v>0</v>
      </c>
      <c r="LE19" s="504">
        <v>0</v>
      </c>
      <c r="LF19" s="504">
        <v>0</v>
      </c>
      <c r="LG19" s="504">
        <v>0</v>
      </c>
      <c r="LH19" s="504">
        <v>0</v>
      </c>
      <c r="LI19" s="504">
        <v>0</v>
      </c>
      <c r="LJ19" s="504">
        <v>0</v>
      </c>
      <c r="LK19" s="504">
        <v>0</v>
      </c>
      <c r="LL19" s="504">
        <v>0</v>
      </c>
      <c r="LM19" s="504">
        <v>0</v>
      </c>
      <c r="LN19" s="504">
        <v>0</v>
      </c>
      <c r="LO19" s="504">
        <v>0</v>
      </c>
      <c r="LP19" s="504">
        <v>0</v>
      </c>
      <c r="LQ19" s="504">
        <v>0</v>
      </c>
      <c r="LR19" s="504">
        <v>0</v>
      </c>
      <c r="LS19" s="504">
        <v>0</v>
      </c>
      <c r="LT19" s="504">
        <v>0</v>
      </c>
      <c r="LU19" s="504">
        <v>0</v>
      </c>
      <c r="LV19" s="504">
        <v>0</v>
      </c>
      <c r="LW19" s="504">
        <v>0</v>
      </c>
      <c r="LX19" s="504">
        <v>0</v>
      </c>
      <c r="LY19" s="504">
        <v>0</v>
      </c>
      <c r="LZ19" s="504">
        <v>0</v>
      </c>
      <c r="MA19" s="504">
        <v>0</v>
      </c>
      <c r="MB19" s="504">
        <v>0</v>
      </c>
      <c r="MC19" s="504">
        <v>0</v>
      </c>
      <c r="MD19" s="504">
        <v>0</v>
      </c>
      <c r="ME19" s="504">
        <v>0</v>
      </c>
      <c r="MF19" s="504">
        <v>0</v>
      </c>
      <c r="MG19" s="504">
        <v>0</v>
      </c>
      <c r="MH19" s="504">
        <v>0</v>
      </c>
      <c r="MI19" s="504">
        <v>0</v>
      </c>
      <c r="MJ19" s="504">
        <v>0</v>
      </c>
      <c r="MK19" s="504">
        <v>0</v>
      </c>
      <c r="ML19" s="504">
        <v>0</v>
      </c>
      <c r="MM19" s="504">
        <v>0</v>
      </c>
      <c r="MN19" s="504">
        <v>0</v>
      </c>
      <c r="MO19" s="504">
        <v>0</v>
      </c>
      <c r="MP19" s="504">
        <v>0</v>
      </c>
      <c r="MQ19" s="504">
        <v>0</v>
      </c>
      <c r="MR19" s="504">
        <v>0</v>
      </c>
      <c r="MS19" s="504">
        <v>0</v>
      </c>
      <c r="MT19" s="504">
        <v>0</v>
      </c>
      <c r="MU19" s="504">
        <v>0</v>
      </c>
      <c r="MV19" s="504">
        <v>0</v>
      </c>
      <c r="MW19" s="504">
        <v>0</v>
      </c>
      <c r="MX19" s="504">
        <v>0</v>
      </c>
      <c r="MY19" s="504">
        <v>0</v>
      </c>
      <c r="MZ19" s="504">
        <v>0</v>
      </c>
      <c r="NA19" s="504">
        <v>0</v>
      </c>
      <c r="NB19" s="504">
        <v>0</v>
      </c>
      <c r="NC19" s="504">
        <v>0</v>
      </c>
      <c r="ND19" s="504">
        <v>0</v>
      </c>
      <c r="NE19" s="504">
        <v>0</v>
      </c>
      <c r="NF19" s="504">
        <v>0</v>
      </c>
      <c r="NG19" s="504">
        <v>0</v>
      </c>
      <c r="NH19" s="504">
        <v>0</v>
      </c>
      <c r="NI19" s="504">
        <v>0</v>
      </c>
      <c r="NJ19" s="504">
        <v>0</v>
      </c>
      <c r="NK19" s="504">
        <v>0</v>
      </c>
      <c r="NL19" s="504">
        <v>0</v>
      </c>
      <c r="NM19" s="504">
        <v>0</v>
      </c>
      <c r="NN19" s="504">
        <v>0</v>
      </c>
      <c r="NO19" s="504">
        <v>0</v>
      </c>
      <c r="NP19" s="504">
        <v>0</v>
      </c>
      <c r="NQ19" s="504">
        <v>0</v>
      </c>
      <c r="NR19" s="504">
        <v>0</v>
      </c>
      <c r="NS19" s="504">
        <v>0</v>
      </c>
      <c r="NT19" s="504">
        <v>0</v>
      </c>
      <c r="NU19" s="504">
        <v>0</v>
      </c>
      <c r="NV19" s="504">
        <v>0</v>
      </c>
      <c r="NW19" s="504">
        <v>0</v>
      </c>
      <c r="NX19" s="504">
        <v>0</v>
      </c>
      <c r="NY19" s="504">
        <v>0</v>
      </c>
      <c r="NZ19" s="504">
        <v>0</v>
      </c>
      <c r="OA19" s="504">
        <v>0</v>
      </c>
      <c r="OB19" s="504">
        <v>0</v>
      </c>
      <c r="OC19" s="504">
        <v>0</v>
      </c>
      <c r="OD19" s="504">
        <v>0</v>
      </c>
      <c r="OE19" s="504">
        <v>0</v>
      </c>
      <c r="OF19" s="504">
        <v>0</v>
      </c>
      <c r="OG19" s="504">
        <v>0</v>
      </c>
      <c r="OH19" s="504">
        <v>0</v>
      </c>
      <c r="OI19" s="504">
        <v>0</v>
      </c>
      <c r="OJ19" s="504">
        <v>0</v>
      </c>
      <c r="OK19" s="504">
        <v>0</v>
      </c>
      <c r="OL19" s="504">
        <v>0</v>
      </c>
      <c r="OM19" s="504">
        <v>0</v>
      </c>
      <c r="ON19" s="504">
        <v>0</v>
      </c>
      <c r="OO19" s="504">
        <v>0</v>
      </c>
      <c r="OP19" s="504">
        <v>0</v>
      </c>
      <c r="OQ19" s="504">
        <v>0</v>
      </c>
      <c r="OR19" s="1656"/>
    </row>
    <row r="20" spans="1:408" ht="21.5">
      <c r="A20" s="1466" t="s">
        <v>1641</v>
      </c>
      <c r="B20" s="1583" t="s">
        <v>2358</v>
      </c>
      <c r="C20" s="1583" t="s">
        <v>14</v>
      </c>
      <c r="D20" s="1583">
        <v>43</v>
      </c>
      <c r="E20" s="504">
        <v>45</v>
      </c>
      <c r="F20" s="504">
        <v>180</v>
      </c>
      <c r="G20" s="504">
        <v>461</v>
      </c>
      <c r="H20" s="504">
        <v>719</v>
      </c>
      <c r="I20" s="504">
        <v>1029</v>
      </c>
      <c r="J20" s="504">
        <v>1257</v>
      </c>
      <c r="K20" s="504">
        <v>1273</v>
      </c>
      <c r="L20" s="504">
        <v>1290</v>
      </c>
      <c r="M20" s="504">
        <v>1307</v>
      </c>
      <c r="N20" s="504">
        <v>1324</v>
      </c>
      <c r="O20" s="504">
        <v>1342</v>
      </c>
      <c r="P20" s="504">
        <v>1360</v>
      </c>
      <c r="Q20" s="504">
        <v>1379</v>
      </c>
      <c r="R20" s="504">
        <v>1398</v>
      </c>
      <c r="S20" s="504">
        <v>1418</v>
      </c>
      <c r="T20" s="504">
        <v>1438</v>
      </c>
      <c r="U20" s="504">
        <v>1458</v>
      </c>
      <c r="V20" s="504">
        <v>1479</v>
      </c>
      <c r="W20" s="504">
        <v>1500</v>
      </c>
      <c r="X20" s="504">
        <v>1522</v>
      </c>
      <c r="Y20" s="504">
        <v>1544</v>
      </c>
      <c r="Z20" s="504">
        <v>1566</v>
      </c>
      <c r="AA20" s="504">
        <v>1589</v>
      </c>
      <c r="AB20" s="504">
        <v>1612</v>
      </c>
      <c r="AC20" s="504">
        <v>1636</v>
      </c>
      <c r="AD20" s="504">
        <v>1660</v>
      </c>
      <c r="AE20" s="504">
        <v>1684</v>
      </c>
      <c r="AF20" s="504">
        <v>1709</v>
      </c>
      <c r="AG20" s="504">
        <v>1735</v>
      </c>
      <c r="AH20" s="504">
        <v>1761</v>
      </c>
      <c r="AI20" s="504">
        <v>1787</v>
      </c>
      <c r="AJ20" s="504">
        <v>1815</v>
      </c>
      <c r="AK20" s="504">
        <v>1844</v>
      </c>
      <c r="AL20" s="504">
        <v>1874</v>
      </c>
      <c r="AM20" s="504">
        <v>1907</v>
      </c>
      <c r="AN20" s="504">
        <v>1942</v>
      </c>
      <c r="AO20" s="504">
        <v>2000</v>
      </c>
      <c r="AP20" s="504">
        <v>0</v>
      </c>
      <c r="AQ20" s="504">
        <v>0</v>
      </c>
      <c r="AR20" s="504">
        <v>0</v>
      </c>
      <c r="AS20" s="504">
        <v>0</v>
      </c>
      <c r="AT20" s="504">
        <v>0</v>
      </c>
      <c r="AU20" s="504">
        <v>0</v>
      </c>
      <c r="AV20" s="504">
        <v>0</v>
      </c>
      <c r="AW20" s="504">
        <v>0</v>
      </c>
      <c r="AX20" s="504">
        <v>0</v>
      </c>
      <c r="AY20" s="504">
        <v>0</v>
      </c>
      <c r="AZ20" s="504">
        <v>0</v>
      </c>
      <c r="BA20" s="504">
        <v>0</v>
      </c>
      <c r="BB20" s="504">
        <v>0</v>
      </c>
      <c r="BC20" s="504">
        <v>0</v>
      </c>
      <c r="BD20" s="504">
        <v>0</v>
      </c>
      <c r="BE20" s="504">
        <v>0</v>
      </c>
      <c r="BF20" s="504">
        <v>0</v>
      </c>
      <c r="BG20" s="504">
        <v>0</v>
      </c>
      <c r="BH20" s="504">
        <v>0</v>
      </c>
      <c r="BI20" s="504">
        <v>0</v>
      </c>
      <c r="BJ20" s="504">
        <v>0</v>
      </c>
      <c r="BK20" s="504">
        <v>0</v>
      </c>
      <c r="BL20" s="504">
        <v>0</v>
      </c>
      <c r="BM20" s="504">
        <v>0</v>
      </c>
      <c r="BN20" s="504">
        <v>0</v>
      </c>
      <c r="BO20" s="504">
        <v>0</v>
      </c>
      <c r="BP20" s="504">
        <v>0</v>
      </c>
      <c r="BQ20" s="504">
        <v>0</v>
      </c>
      <c r="BR20" s="504">
        <v>0</v>
      </c>
      <c r="BS20" s="504">
        <v>0</v>
      </c>
      <c r="BT20" s="504">
        <v>0</v>
      </c>
      <c r="BU20" s="504">
        <v>0</v>
      </c>
      <c r="BV20" s="504">
        <v>0</v>
      </c>
      <c r="BW20" s="504">
        <v>0</v>
      </c>
      <c r="BX20" s="504">
        <v>0</v>
      </c>
      <c r="BY20" s="504">
        <v>0</v>
      </c>
      <c r="BZ20" s="504">
        <v>0</v>
      </c>
      <c r="CA20" s="504">
        <v>0</v>
      </c>
      <c r="CB20" s="504">
        <v>0</v>
      </c>
      <c r="CC20" s="504">
        <v>0</v>
      </c>
      <c r="CD20" s="504">
        <v>0</v>
      </c>
      <c r="CE20" s="504">
        <v>0</v>
      </c>
      <c r="CF20" s="504">
        <v>0</v>
      </c>
      <c r="CG20" s="504">
        <v>0</v>
      </c>
      <c r="CH20" s="504">
        <v>0</v>
      </c>
      <c r="CI20" s="504">
        <v>0</v>
      </c>
      <c r="CJ20" s="504">
        <v>0</v>
      </c>
      <c r="CK20" s="504">
        <v>0</v>
      </c>
      <c r="CL20" s="504">
        <v>0</v>
      </c>
      <c r="CM20" s="504">
        <v>0</v>
      </c>
      <c r="CN20" s="504">
        <v>0</v>
      </c>
      <c r="CO20" s="504">
        <v>0</v>
      </c>
      <c r="CP20" s="504">
        <v>0</v>
      </c>
      <c r="CQ20" s="504">
        <v>0</v>
      </c>
      <c r="CR20" s="504">
        <v>0</v>
      </c>
      <c r="CS20" s="504">
        <v>0</v>
      </c>
      <c r="CT20" s="504">
        <v>0</v>
      </c>
      <c r="CU20" s="504">
        <v>0</v>
      </c>
      <c r="CV20" s="504">
        <v>0</v>
      </c>
      <c r="CW20" s="504">
        <v>0</v>
      </c>
      <c r="CX20" s="504">
        <v>0</v>
      </c>
      <c r="CY20" s="504">
        <v>0</v>
      </c>
      <c r="CZ20" s="1654">
        <v>0</v>
      </c>
      <c r="DA20" s="504">
        <v>0</v>
      </c>
      <c r="DB20" s="504">
        <v>115</v>
      </c>
      <c r="DC20" s="504">
        <v>447</v>
      </c>
      <c r="DD20" s="504">
        <v>1047</v>
      </c>
      <c r="DE20" s="504">
        <v>1293</v>
      </c>
      <c r="DF20" s="504">
        <v>1592</v>
      </c>
      <c r="DG20" s="504">
        <v>0</v>
      </c>
      <c r="DH20" s="504">
        <v>0</v>
      </c>
      <c r="DI20" s="504">
        <v>0</v>
      </c>
      <c r="DJ20" s="504">
        <v>0</v>
      </c>
      <c r="DK20" s="504">
        <v>0</v>
      </c>
      <c r="DL20" s="504">
        <v>0</v>
      </c>
      <c r="DM20" s="504">
        <v>0</v>
      </c>
      <c r="DN20" s="504">
        <v>0</v>
      </c>
      <c r="DO20" s="504">
        <v>0</v>
      </c>
      <c r="DP20" s="504">
        <v>0</v>
      </c>
      <c r="DQ20" s="504">
        <v>0</v>
      </c>
      <c r="DR20" s="504">
        <v>0</v>
      </c>
      <c r="DS20" s="504">
        <v>0</v>
      </c>
      <c r="DT20" s="504">
        <v>0</v>
      </c>
      <c r="DU20" s="504">
        <v>0</v>
      </c>
      <c r="DV20" s="504">
        <v>0</v>
      </c>
      <c r="DW20" s="504">
        <v>0</v>
      </c>
      <c r="DX20" s="504">
        <v>0</v>
      </c>
      <c r="DY20" s="504">
        <v>0</v>
      </c>
      <c r="DZ20" s="504">
        <v>0</v>
      </c>
      <c r="EA20" s="504">
        <v>0</v>
      </c>
      <c r="EB20" s="504">
        <v>0</v>
      </c>
      <c r="EC20" s="504">
        <v>0</v>
      </c>
      <c r="ED20" s="504">
        <v>0</v>
      </c>
      <c r="EE20" s="504">
        <v>0</v>
      </c>
      <c r="EF20" s="504">
        <v>0</v>
      </c>
      <c r="EG20" s="504">
        <v>0</v>
      </c>
      <c r="EH20" s="504">
        <v>0</v>
      </c>
      <c r="EI20" s="504">
        <v>0</v>
      </c>
      <c r="EJ20" s="504">
        <v>0</v>
      </c>
      <c r="EK20" s="504">
        <v>0</v>
      </c>
      <c r="EL20" s="504">
        <v>0</v>
      </c>
      <c r="EM20" s="504">
        <v>0</v>
      </c>
      <c r="EN20" s="504">
        <v>0</v>
      </c>
      <c r="EO20" s="504">
        <v>0</v>
      </c>
      <c r="EP20" s="504">
        <v>0</v>
      </c>
      <c r="EQ20" s="504">
        <v>0</v>
      </c>
      <c r="ER20" s="504">
        <v>0</v>
      </c>
      <c r="ES20" s="504">
        <v>0</v>
      </c>
      <c r="ET20" s="504">
        <v>0</v>
      </c>
      <c r="EU20" s="504">
        <v>0</v>
      </c>
      <c r="EV20" s="504">
        <v>0</v>
      </c>
      <c r="EW20" s="504">
        <v>0</v>
      </c>
      <c r="EX20" s="504">
        <v>0</v>
      </c>
      <c r="EY20" s="504">
        <v>0</v>
      </c>
      <c r="EZ20" s="504">
        <v>0</v>
      </c>
      <c r="FA20" s="504">
        <v>0</v>
      </c>
      <c r="FB20" s="504">
        <v>0</v>
      </c>
      <c r="FC20" s="504">
        <v>0</v>
      </c>
      <c r="FD20" s="504">
        <v>0</v>
      </c>
      <c r="FE20" s="504">
        <v>0</v>
      </c>
      <c r="FF20" s="504">
        <v>0</v>
      </c>
      <c r="FG20" s="504">
        <v>0</v>
      </c>
      <c r="FH20" s="504">
        <v>0</v>
      </c>
      <c r="FI20" s="504">
        <v>0</v>
      </c>
      <c r="FJ20" s="504">
        <v>0</v>
      </c>
      <c r="FK20" s="504">
        <v>0</v>
      </c>
      <c r="FL20" s="504">
        <v>0</v>
      </c>
      <c r="FM20" s="504">
        <v>0</v>
      </c>
      <c r="FN20" s="504">
        <v>0</v>
      </c>
      <c r="FO20" s="504">
        <v>0</v>
      </c>
      <c r="FP20" s="504">
        <v>0</v>
      </c>
      <c r="FQ20" s="504">
        <v>0</v>
      </c>
      <c r="FR20" s="504">
        <v>0</v>
      </c>
      <c r="FS20" s="504">
        <v>0</v>
      </c>
      <c r="FT20" s="504">
        <v>0</v>
      </c>
      <c r="FU20" s="504">
        <v>0</v>
      </c>
      <c r="FV20" s="504">
        <v>0</v>
      </c>
      <c r="FW20" s="504">
        <v>0</v>
      </c>
      <c r="FX20" s="504">
        <v>0</v>
      </c>
      <c r="FY20" s="504">
        <v>0</v>
      </c>
      <c r="FZ20" s="504">
        <v>0</v>
      </c>
      <c r="GA20" s="504">
        <v>0</v>
      </c>
      <c r="GB20" s="504">
        <v>0</v>
      </c>
      <c r="GC20" s="504">
        <v>0</v>
      </c>
      <c r="GD20" s="504">
        <v>0</v>
      </c>
      <c r="GE20" s="504">
        <v>0</v>
      </c>
      <c r="GF20" s="504">
        <v>0</v>
      </c>
      <c r="GG20" s="504">
        <v>0</v>
      </c>
      <c r="GH20" s="504">
        <v>0</v>
      </c>
      <c r="GI20" s="504">
        <v>0</v>
      </c>
      <c r="GJ20" s="504">
        <v>0</v>
      </c>
      <c r="GK20" s="504">
        <v>0</v>
      </c>
      <c r="GL20" s="504">
        <v>0</v>
      </c>
      <c r="GM20" s="504">
        <v>0</v>
      </c>
      <c r="GN20" s="504">
        <v>0</v>
      </c>
      <c r="GO20" s="504">
        <v>0</v>
      </c>
      <c r="GP20" s="504">
        <v>0</v>
      </c>
      <c r="GQ20" s="504">
        <v>0</v>
      </c>
      <c r="GR20" s="504">
        <v>0</v>
      </c>
      <c r="GS20" s="504">
        <v>0</v>
      </c>
      <c r="GT20" s="504">
        <v>0</v>
      </c>
      <c r="GU20" s="504">
        <v>0</v>
      </c>
      <c r="GV20" s="504">
        <v>0</v>
      </c>
      <c r="GW20" s="1654">
        <v>0</v>
      </c>
      <c r="GX20" s="504">
        <v>0</v>
      </c>
      <c r="GY20" s="504">
        <v>16190</v>
      </c>
      <c r="GZ20" s="504">
        <v>30279</v>
      </c>
      <c r="HA20" s="504">
        <v>34000</v>
      </c>
      <c r="HB20" s="504">
        <v>33000</v>
      </c>
      <c r="HC20" s="504">
        <v>32000</v>
      </c>
      <c r="HD20" s="504">
        <v>0</v>
      </c>
      <c r="HE20" s="504">
        <v>0</v>
      </c>
      <c r="HF20" s="504">
        <v>0</v>
      </c>
      <c r="HG20" s="504">
        <v>0</v>
      </c>
      <c r="HH20" s="504">
        <v>0</v>
      </c>
      <c r="HI20" s="504">
        <v>0</v>
      </c>
      <c r="HJ20" s="504">
        <v>0</v>
      </c>
      <c r="HK20" s="504">
        <v>0</v>
      </c>
      <c r="HL20" s="504">
        <v>0</v>
      </c>
      <c r="HM20" s="504">
        <v>0</v>
      </c>
      <c r="HN20" s="504">
        <v>0</v>
      </c>
      <c r="HO20" s="504">
        <v>0</v>
      </c>
      <c r="HP20" s="504">
        <v>0</v>
      </c>
      <c r="HQ20" s="504">
        <v>0</v>
      </c>
      <c r="HR20" s="504">
        <v>0</v>
      </c>
      <c r="HS20" s="504">
        <v>0</v>
      </c>
      <c r="HT20" s="504">
        <v>0</v>
      </c>
      <c r="HU20" s="504">
        <v>0</v>
      </c>
      <c r="HV20" s="504">
        <v>0</v>
      </c>
      <c r="HW20" s="504">
        <v>0</v>
      </c>
      <c r="HX20" s="504">
        <v>0</v>
      </c>
      <c r="HY20" s="504">
        <v>0</v>
      </c>
      <c r="HZ20" s="504">
        <v>0</v>
      </c>
      <c r="IA20" s="504">
        <v>0</v>
      </c>
      <c r="IB20" s="504">
        <v>0</v>
      </c>
      <c r="IC20" s="504">
        <v>0</v>
      </c>
      <c r="ID20" s="504">
        <v>0</v>
      </c>
      <c r="IE20" s="504">
        <v>0</v>
      </c>
      <c r="IF20" s="504">
        <v>0</v>
      </c>
      <c r="IG20" s="504">
        <v>0</v>
      </c>
      <c r="IH20" s="504">
        <v>0</v>
      </c>
      <c r="II20" s="504">
        <v>0</v>
      </c>
      <c r="IJ20" s="504">
        <v>0</v>
      </c>
      <c r="IK20" s="504">
        <v>0</v>
      </c>
      <c r="IL20" s="504">
        <v>0</v>
      </c>
      <c r="IM20" s="504">
        <v>0</v>
      </c>
      <c r="IN20" s="504">
        <v>0</v>
      </c>
      <c r="IO20" s="504">
        <v>0</v>
      </c>
      <c r="IP20" s="504">
        <v>0</v>
      </c>
      <c r="IQ20" s="504">
        <v>0</v>
      </c>
      <c r="IR20" s="504">
        <v>0</v>
      </c>
      <c r="IS20" s="504">
        <v>0</v>
      </c>
      <c r="IT20" s="504">
        <v>0</v>
      </c>
      <c r="IU20" s="504">
        <v>0</v>
      </c>
      <c r="IV20" s="504">
        <v>0</v>
      </c>
      <c r="IW20" s="504">
        <v>0</v>
      </c>
      <c r="IX20" s="504">
        <v>0</v>
      </c>
      <c r="IY20" s="504">
        <v>0</v>
      </c>
      <c r="IZ20" s="504">
        <v>0</v>
      </c>
      <c r="JA20" s="504">
        <v>0</v>
      </c>
      <c r="JB20" s="504">
        <v>0</v>
      </c>
      <c r="JC20" s="504">
        <v>0</v>
      </c>
      <c r="JD20" s="504">
        <v>0</v>
      </c>
      <c r="JE20" s="504">
        <v>0</v>
      </c>
      <c r="JF20" s="504">
        <v>0</v>
      </c>
      <c r="JG20" s="504">
        <v>0</v>
      </c>
      <c r="JH20" s="504">
        <v>0</v>
      </c>
      <c r="JI20" s="504">
        <v>0</v>
      </c>
      <c r="JJ20" s="504">
        <v>0</v>
      </c>
      <c r="JK20" s="504">
        <v>0</v>
      </c>
      <c r="JL20" s="504">
        <v>0</v>
      </c>
      <c r="JM20" s="504">
        <v>0</v>
      </c>
      <c r="JN20" s="504">
        <v>0</v>
      </c>
      <c r="JO20" s="504">
        <v>0</v>
      </c>
      <c r="JP20" s="504">
        <v>0</v>
      </c>
      <c r="JQ20" s="504">
        <v>0</v>
      </c>
      <c r="JR20" s="504">
        <v>0</v>
      </c>
      <c r="JS20" s="504">
        <v>0</v>
      </c>
      <c r="JT20" s="504">
        <v>0</v>
      </c>
      <c r="JU20" s="504">
        <v>0</v>
      </c>
      <c r="JV20" s="504">
        <v>0</v>
      </c>
      <c r="JW20" s="504">
        <v>0</v>
      </c>
      <c r="JX20" s="504">
        <v>0</v>
      </c>
      <c r="JY20" s="504">
        <v>0</v>
      </c>
      <c r="JZ20" s="504">
        <v>0</v>
      </c>
      <c r="KA20" s="504">
        <v>0</v>
      </c>
      <c r="KB20" s="504">
        <v>0</v>
      </c>
      <c r="KC20" s="504">
        <v>0</v>
      </c>
      <c r="KD20" s="504">
        <v>0</v>
      </c>
      <c r="KE20" s="504">
        <v>0</v>
      </c>
      <c r="KF20" s="504">
        <v>0</v>
      </c>
      <c r="KG20" s="504">
        <v>0</v>
      </c>
      <c r="KH20" s="504">
        <v>0</v>
      </c>
      <c r="KI20" s="504">
        <v>0</v>
      </c>
      <c r="KJ20" s="504">
        <v>0</v>
      </c>
      <c r="KK20" s="504">
        <v>0</v>
      </c>
      <c r="KL20" s="504">
        <v>0</v>
      </c>
      <c r="KM20" s="504">
        <v>0</v>
      </c>
      <c r="KN20" s="504">
        <v>0</v>
      </c>
      <c r="KO20" s="504">
        <v>0</v>
      </c>
      <c r="KP20" s="504">
        <v>0</v>
      </c>
      <c r="KQ20" s="504">
        <v>0</v>
      </c>
      <c r="KR20" s="504">
        <v>0</v>
      </c>
      <c r="KS20" s="504">
        <v>0</v>
      </c>
      <c r="KT20" s="1654">
        <v>0</v>
      </c>
      <c r="KU20" s="504">
        <v>0</v>
      </c>
      <c r="KV20" s="504">
        <v>0</v>
      </c>
      <c r="KW20" s="504">
        <v>0</v>
      </c>
      <c r="KX20" s="504">
        <v>1034</v>
      </c>
      <c r="KY20" s="504">
        <v>1281</v>
      </c>
      <c r="KZ20" s="504">
        <v>1579</v>
      </c>
      <c r="LA20" s="504">
        <v>0</v>
      </c>
      <c r="LB20" s="504">
        <v>0</v>
      </c>
      <c r="LC20" s="504">
        <v>0</v>
      </c>
      <c r="LD20" s="504">
        <v>0</v>
      </c>
      <c r="LE20" s="504">
        <v>0</v>
      </c>
      <c r="LF20" s="504">
        <v>0</v>
      </c>
      <c r="LG20" s="504">
        <v>0</v>
      </c>
      <c r="LH20" s="504">
        <v>0</v>
      </c>
      <c r="LI20" s="504">
        <v>0</v>
      </c>
      <c r="LJ20" s="504">
        <v>0</v>
      </c>
      <c r="LK20" s="504">
        <v>0</v>
      </c>
      <c r="LL20" s="504">
        <v>0</v>
      </c>
      <c r="LM20" s="504">
        <v>0</v>
      </c>
      <c r="LN20" s="504">
        <v>0</v>
      </c>
      <c r="LO20" s="504">
        <v>0</v>
      </c>
      <c r="LP20" s="504">
        <v>0</v>
      </c>
      <c r="LQ20" s="504">
        <v>0</v>
      </c>
      <c r="LR20" s="504">
        <v>0</v>
      </c>
      <c r="LS20" s="504">
        <v>0</v>
      </c>
      <c r="LT20" s="504">
        <v>0</v>
      </c>
      <c r="LU20" s="504">
        <v>0</v>
      </c>
      <c r="LV20" s="504">
        <v>0</v>
      </c>
      <c r="LW20" s="504">
        <v>0</v>
      </c>
      <c r="LX20" s="504">
        <v>0</v>
      </c>
      <c r="LY20" s="504">
        <v>0</v>
      </c>
      <c r="LZ20" s="504">
        <v>0</v>
      </c>
      <c r="MA20" s="504">
        <v>0</v>
      </c>
      <c r="MB20" s="504">
        <v>0</v>
      </c>
      <c r="MC20" s="504">
        <v>0</v>
      </c>
      <c r="MD20" s="504">
        <v>0</v>
      </c>
      <c r="ME20" s="504">
        <v>0</v>
      </c>
      <c r="MF20" s="504">
        <v>0</v>
      </c>
      <c r="MG20" s="504">
        <v>0</v>
      </c>
      <c r="MH20" s="504">
        <v>0</v>
      </c>
      <c r="MI20" s="504">
        <v>0</v>
      </c>
      <c r="MJ20" s="504">
        <v>0</v>
      </c>
      <c r="MK20" s="504">
        <v>0</v>
      </c>
      <c r="ML20" s="504">
        <v>0</v>
      </c>
      <c r="MM20" s="504">
        <v>0</v>
      </c>
      <c r="MN20" s="504">
        <v>0</v>
      </c>
      <c r="MO20" s="504">
        <v>0</v>
      </c>
      <c r="MP20" s="504">
        <v>0</v>
      </c>
      <c r="MQ20" s="504">
        <v>0</v>
      </c>
      <c r="MR20" s="504">
        <v>0</v>
      </c>
      <c r="MS20" s="504">
        <v>0</v>
      </c>
      <c r="MT20" s="504">
        <v>0</v>
      </c>
      <c r="MU20" s="504">
        <v>0</v>
      </c>
      <c r="MV20" s="504">
        <v>0</v>
      </c>
      <c r="MW20" s="504">
        <v>0</v>
      </c>
      <c r="MX20" s="504">
        <v>0</v>
      </c>
      <c r="MY20" s="504">
        <v>0</v>
      </c>
      <c r="MZ20" s="504">
        <v>0</v>
      </c>
      <c r="NA20" s="504">
        <v>0</v>
      </c>
      <c r="NB20" s="504">
        <v>0</v>
      </c>
      <c r="NC20" s="504">
        <v>0</v>
      </c>
      <c r="ND20" s="504">
        <v>0</v>
      </c>
      <c r="NE20" s="504">
        <v>0</v>
      </c>
      <c r="NF20" s="504">
        <v>0</v>
      </c>
      <c r="NG20" s="504">
        <v>0</v>
      </c>
      <c r="NH20" s="504">
        <v>0</v>
      </c>
      <c r="NI20" s="504">
        <v>0</v>
      </c>
      <c r="NJ20" s="504">
        <v>0</v>
      </c>
      <c r="NK20" s="504">
        <v>0</v>
      </c>
      <c r="NL20" s="504">
        <v>0</v>
      </c>
      <c r="NM20" s="504">
        <v>0</v>
      </c>
      <c r="NN20" s="504">
        <v>0</v>
      </c>
      <c r="NO20" s="504">
        <v>0</v>
      </c>
      <c r="NP20" s="504">
        <v>0</v>
      </c>
      <c r="NQ20" s="504">
        <v>0</v>
      </c>
      <c r="NR20" s="504">
        <v>0</v>
      </c>
      <c r="NS20" s="504">
        <v>0</v>
      </c>
      <c r="NT20" s="504">
        <v>0</v>
      </c>
      <c r="NU20" s="504">
        <v>0</v>
      </c>
      <c r="NV20" s="504">
        <v>0</v>
      </c>
      <c r="NW20" s="504">
        <v>0</v>
      </c>
      <c r="NX20" s="504">
        <v>0</v>
      </c>
      <c r="NY20" s="504">
        <v>0</v>
      </c>
      <c r="NZ20" s="504">
        <v>0</v>
      </c>
      <c r="OA20" s="504">
        <v>0</v>
      </c>
      <c r="OB20" s="504">
        <v>0</v>
      </c>
      <c r="OC20" s="504">
        <v>0</v>
      </c>
      <c r="OD20" s="504">
        <v>0</v>
      </c>
      <c r="OE20" s="504">
        <v>0</v>
      </c>
      <c r="OF20" s="504">
        <v>0</v>
      </c>
      <c r="OG20" s="504">
        <v>0</v>
      </c>
      <c r="OH20" s="504">
        <v>0</v>
      </c>
      <c r="OI20" s="504">
        <v>0</v>
      </c>
      <c r="OJ20" s="504">
        <v>0</v>
      </c>
      <c r="OK20" s="504">
        <v>0</v>
      </c>
      <c r="OL20" s="504">
        <v>0</v>
      </c>
      <c r="OM20" s="504">
        <v>0</v>
      </c>
      <c r="ON20" s="504">
        <v>0</v>
      </c>
      <c r="OO20" s="504">
        <v>0</v>
      </c>
      <c r="OP20" s="504">
        <v>0</v>
      </c>
      <c r="OQ20" s="504">
        <v>0</v>
      </c>
      <c r="OR20" s="1656"/>
    </row>
    <row r="21" spans="1:408" ht="21.5">
      <c r="A21" s="1466" t="s">
        <v>1642</v>
      </c>
      <c r="B21" s="1583" t="s">
        <v>2358</v>
      </c>
      <c r="C21" s="1583" t="s">
        <v>14</v>
      </c>
      <c r="D21" s="1583">
        <v>44</v>
      </c>
      <c r="E21" s="504">
        <v>45</v>
      </c>
      <c r="F21" s="504">
        <v>182</v>
      </c>
      <c r="G21" s="504">
        <v>467</v>
      </c>
      <c r="H21" s="504">
        <v>729</v>
      </c>
      <c r="I21" s="504">
        <v>1043</v>
      </c>
      <c r="J21" s="504">
        <v>1273</v>
      </c>
      <c r="K21" s="504">
        <v>1290</v>
      </c>
      <c r="L21" s="504">
        <v>1307</v>
      </c>
      <c r="M21" s="504">
        <v>1324</v>
      </c>
      <c r="N21" s="504">
        <v>1342</v>
      </c>
      <c r="O21" s="504">
        <v>1360</v>
      </c>
      <c r="P21" s="504">
        <v>1379</v>
      </c>
      <c r="Q21" s="504">
        <v>1398</v>
      </c>
      <c r="R21" s="504">
        <v>1418</v>
      </c>
      <c r="S21" s="504">
        <v>1438</v>
      </c>
      <c r="T21" s="504">
        <v>1458</v>
      </c>
      <c r="U21" s="504">
        <v>1479</v>
      </c>
      <c r="V21" s="504">
        <v>1500</v>
      </c>
      <c r="W21" s="504">
        <v>1522</v>
      </c>
      <c r="X21" s="504">
        <v>1544</v>
      </c>
      <c r="Y21" s="504">
        <v>1566</v>
      </c>
      <c r="Z21" s="504">
        <v>1589</v>
      </c>
      <c r="AA21" s="504">
        <v>1612</v>
      </c>
      <c r="AB21" s="504">
        <v>1636</v>
      </c>
      <c r="AC21" s="504">
        <v>1660</v>
      </c>
      <c r="AD21" s="504">
        <v>1684</v>
      </c>
      <c r="AE21" s="504">
        <v>1709</v>
      </c>
      <c r="AF21" s="504">
        <v>1735</v>
      </c>
      <c r="AG21" s="504">
        <v>1761</v>
      </c>
      <c r="AH21" s="504">
        <v>1787</v>
      </c>
      <c r="AI21" s="504">
        <v>1815</v>
      </c>
      <c r="AJ21" s="504">
        <v>1844</v>
      </c>
      <c r="AK21" s="504">
        <v>1874</v>
      </c>
      <c r="AL21" s="504">
        <v>1907</v>
      </c>
      <c r="AM21" s="504">
        <v>1942</v>
      </c>
      <c r="AN21" s="504">
        <v>2000</v>
      </c>
      <c r="AO21" s="504">
        <v>0</v>
      </c>
      <c r="AP21" s="504">
        <v>0</v>
      </c>
      <c r="AQ21" s="504">
        <v>0</v>
      </c>
      <c r="AR21" s="504">
        <v>0</v>
      </c>
      <c r="AS21" s="504">
        <v>0</v>
      </c>
      <c r="AT21" s="504">
        <v>0</v>
      </c>
      <c r="AU21" s="504">
        <v>0</v>
      </c>
      <c r="AV21" s="504">
        <v>0</v>
      </c>
      <c r="AW21" s="504">
        <v>0</v>
      </c>
      <c r="AX21" s="504">
        <v>0</v>
      </c>
      <c r="AY21" s="504">
        <v>0</v>
      </c>
      <c r="AZ21" s="504">
        <v>0</v>
      </c>
      <c r="BA21" s="504">
        <v>0</v>
      </c>
      <c r="BB21" s="504">
        <v>0</v>
      </c>
      <c r="BC21" s="504">
        <v>0</v>
      </c>
      <c r="BD21" s="504">
        <v>0</v>
      </c>
      <c r="BE21" s="504">
        <v>0</v>
      </c>
      <c r="BF21" s="504">
        <v>0</v>
      </c>
      <c r="BG21" s="504">
        <v>0</v>
      </c>
      <c r="BH21" s="504">
        <v>0</v>
      </c>
      <c r="BI21" s="504">
        <v>0</v>
      </c>
      <c r="BJ21" s="504">
        <v>0</v>
      </c>
      <c r="BK21" s="504">
        <v>0</v>
      </c>
      <c r="BL21" s="504">
        <v>0</v>
      </c>
      <c r="BM21" s="504">
        <v>0</v>
      </c>
      <c r="BN21" s="504">
        <v>0</v>
      </c>
      <c r="BO21" s="504">
        <v>0</v>
      </c>
      <c r="BP21" s="504">
        <v>0</v>
      </c>
      <c r="BQ21" s="504">
        <v>0</v>
      </c>
      <c r="BR21" s="504">
        <v>0</v>
      </c>
      <c r="BS21" s="504">
        <v>0</v>
      </c>
      <c r="BT21" s="504">
        <v>0</v>
      </c>
      <c r="BU21" s="504">
        <v>0</v>
      </c>
      <c r="BV21" s="504">
        <v>0</v>
      </c>
      <c r="BW21" s="504">
        <v>0</v>
      </c>
      <c r="BX21" s="504">
        <v>0</v>
      </c>
      <c r="BY21" s="504">
        <v>0</v>
      </c>
      <c r="BZ21" s="504">
        <v>0</v>
      </c>
      <c r="CA21" s="504">
        <v>0</v>
      </c>
      <c r="CB21" s="504">
        <v>0</v>
      </c>
      <c r="CC21" s="504">
        <v>0</v>
      </c>
      <c r="CD21" s="504">
        <v>0</v>
      </c>
      <c r="CE21" s="504">
        <v>0</v>
      </c>
      <c r="CF21" s="504">
        <v>0</v>
      </c>
      <c r="CG21" s="504">
        <v>0</v>
      </c>
      <c r="CH21" s="504">
        <v>0</v>
      </c>
      <c r="CI21" s="504">
        <v>0</v>
      </c>
      <c r="CJ21" s="504">
        <v>0</v>
      </c>
      <c r="CK21" s="504">
        <v>0</v>
      </c>
      <c r="CL21" s="504">
        <v>0</v>
      </c>
      <c r="CM21" s="504">
        <v>0</v>
      </c>
      <c r="CN21" s="504">
        <v>0</v>
      </c>
      <c r="CO21" s="504">
        <v>0</v>
      </c>
      <c r="CP21" s="504">
        <v>0</v>
      </c>
      <c r="CQ21" s="504">
        <v>0</v>
      </c>
      <c r="CR21" s="504">
        <v>0</v>
      </c>
      <c r="CS21" s="504">
        <v>0</v>
      </c>
      <c r="CT21" s="504">
        <v>0</v>
      </c>
      <c r="CU21" s="504">
        <v>0</v>
      </c>
      <c r="CV21" s="504">
        <v>0</v>
      </c>
      <c r="CW21" s="504">
        <v>0</v>
      </c>
      <c r="CX21" s="504">
        <v>0</v>
      </c>
      <c r="CY21" s="504">
        <v>0</v>
      </c>
      <c r="CZ21" s="1654">
        <v>0</v>
      </c>
      <c r="DA21" s="504">
        <v>0</v>
      </c>
      <c r="DB21" s="504">
        <v>112</v>
      </c>
      <c r="DC21" s="504">
        <v>440</v>
      </c>
      <c r="DD21" s="504">
        <v>1041</v>
      </c>
      <c r="DE21" s="504">
        <v>1292</v>
      </c>
      <c r="DF21" s="504">
        <v>1594</v>
      </c>
      <c r="DG21" s="504">
        <v>0</v>
      </c>
      <c r="DH21" s="504">
        <v>0</v>
      </c>
      <c r="DI21" s="504">
        <v>0</v>
      </c>
      <c r="DJ21" s="504">
        <v>0</v>
      </c>
      <c r="DK21" s="504">
        <v>0</v>
      </c>
      <c r="DL21" s="504">
        <v>0</v>
      </c>
      <c r="DM21" s="504">
        <v>0</v>
      </c>
      <c r="DN21" s="504">
        <v>0</v>
      </c>
      <c r="DO21" s="504">
        <v>0</v>
      </c>
      <c r="DP21" s="504">
        <v>0</v>
      </c>
      <c r="DQ21" s="504">
        <v>0</v>
      </c>
      <c r="DR21" s="504">
        <v>0</v>
      </c>
      <c r="DS21" s="504">
        <v>0</v>
      </c>
      <c r="DT21" s="504">
        <v>0</v>
      </c>
      <c r="DU21" s="504">
        <v>0</v>
      </c>
      <c r="DV21" s="504">
        <v>0</v>
      </c>
      <c r="DW21" s="504">
        <v>0</v>
      </c>
      <c r="DX21" s="504">
        <v>0</v>
      </c>
      <c r="DY21" s="504">
        <v>0</v>
      </c>
      <c r="DZ21" s="504">
        <v>0</v>
      </c>
      <c r="EA21" s="504">
        <v>0</v>
      </c>
      <c r="EB21" s="504">
        <v>0</v>
      </c>
      <c r="EC21" s="504">
        <v>0</v>
      </c>
      <c r="ED21" s="504">
        <v>0</v>
      </c>
      <c r="EE21" s="504">
        <v>0</v>
      </c>
      <c r="EF21" s="504">
        <v>0</v>
      </c>
      <c r="EG21" s="504">
        <v>0</v>
      </c>
      <c r="EH21" s="504">
        <v>0</v>
      </c>
      <c r="EI21" s="504">
        <v>0</v>
      </c>
      <c r="EJ21" s="504">
        <v>0</v>
      </c>
      <c r="EK21" s="504">
        <v>0</v>
      </c>
      <c r="EL21" s="504">
        <v>0</v>
      </c>
      <c r="EM21" s="504">
        <v>0</v>
      </c>
      <c r="EN21" s="504">
        <v>0</v>
      </c>
      <c r="EO21" s="504">
        <v>0</v>
      </c>
      <c r="EP21" s="504">
        <v>0</v>
      </c>
      <c r="EQ21" s="504">
        <v>0</v>
      </c>
      <c r="ER21" s="504">
        <v>0</v>
      </c>
      <c r="ES21" s="504">
        <v>0</v>
      </c>
      <c r="ET21" s="504">
        <v>0</v>
      </c>
      <c r="EU21" s="504">
        <v>0</v>
      </c>
      <c r="EV21" s="504">
        <v>0</v>
      </c>
      <c r="EW21" s="504">
        <v>0</v>
      </c>
      <c r="EX21" s="504">
        <v>0</v>
      </c>
      <c r="EY21" s="504">
        <v>0</v>
      </c>
      <c r="EZ21" s="504">
        <v>0</v>
      </c>
      <c r="FA21" s="504">
        <v>0</v>
      </c>
      <c r="FB21" s="504">
        <v>0</v>
      </c>
      <c r="FC21" s="504">
        <v>0</v>
      </c>
      <c r="FD21" s="504">
        <v>0</v>
      </c>
      <c r="FE21" s="504">
        <v>0</v>
      </c>
      <c r="FF21" s="504">
        <v>0</v>
      </c>
      <c r="FG21" s="504">
        <v>0</v>
      </c>
      <c r="FH21" s="504">
        <v>0</v>
      </c>
      <c r="FI21" s="504">
        <v>0</v>
      </c>
      <c r="FJ21" s="504">
        <v>0</v>
      </c>
      <c r="FK21" s="504">
        <v>0</v>
      </c>
      <c r="FL21" s="504">
        <v>0</v>
      </c>
      <c r="FM21" s="504">
        <v>0</v>
      </c>
      <c r="FN21" s="504">
        <v>0</v>
      </c>
      <c r="FO21" s="504">
        <v>0</v>
      </c>
      <c r="FP21" s="504">
        <v>0</v>
      </c>
      <c r="FQ21" s="504">
        <v>0</v>
      </c>
      <c r="FR21" s="504">
        <v>0</v>
      </c>
      <c r="FS21" s="504">
        <v>0</v>
      </c>
      <c r="FT21" s="504">
        <v>0</v>
      </c>
      <c r="FU21" s="504">
        <v>0</v>
      </c>
      <c r="FV21" s="504">
        <v>0</v>
      </c>
      <c r="FW21" s="504">
        <v>0</v>
      </c>
      <c r="FX21" s="504">
        <v>0</v>
      </c>
      <c r="FY21" s="504">
        <v>0</v>
      </c>
      <c r="FZ21" s="504">
        <v>0</v>
      </c>
      <c r="GA21" s="504">
        <v>0</v>
      </c>
      <c r="GB21" s="504">
        <v>0</v>
      </c>
      <c r="GC21" s="504">
        <v>0</v>
      </c>
      <c r="GD21" s="504">
        <v>0</v>
      </c>
      <c r="GE21" s="504">
        <v>0</v>
      </c>
      <c r="GF21" s="504">
        <v>0</v>
      </c>
      <c r="GG21" s="504">
        <v>0</v>
      </c>
      <c r="GH21" s="504">
        <v>0</v>
      </c>
      <c r="GI21" s="504">
        <v>0</v>
      </c>
      <c r="GJ21" s="504">
        <v>0</v>
      </c>
      <c r="GK21" s="504">
        <v>0</v>
      </c>
      <c r="GL21" s="504">
        <v>0</v>
      </c>
      <c r="GM21" s="504">
        <v>0</v>
      </c>
      <c r="GN21" s="504">
        <v>0</v>
      </c>
      <c r="GO21" s="504">
        <v>0</v>
      </c>
      <c r="GP21" s="504">
        <v>0</v>
      </c>
      <c r="GQ21" s="504">
        <v>0</v>
      </c>
      <c r="GR21" s="504">
        <v>0</v>
      </c>
      <c r="GS21" s="504">
        <v>0</v>
      </c>
      <c r="GT21" s="504">
        <v>0</v>
      </c>
      <c r="GU21" s="504">
        <v>0</v>
      </c>
      <c r="GV21" s="504">
        <v>0</v>
      </c>
      <c r="GW21" s="1654">
        <v>0</v>
      </c>
      <c r="GX21" s="504">
        <v>0</v>
      </c>
      <c r="GY21" s="504">
        <v>15219</v>
      </c>
      <c r="GZ21" s="504">
        <v>29235</v>
      </c>
      <c r="HA21" s="504">
        <v>33000</v>
      </c>
      <c r="HB21" s="504">
        <v>32000</v>
      </c>
      <c r="HC21" s="504">
        <v>31000</v>
      </c>
      <c r="HD21" s="504">
        <v>0</v>
      </c>
      <c r="HE21" s="504">
        <v>0</v>
      </c>
      <c r="HF21" s="504">
        <v>0</v>
      </c>
      <c r="HG21" s="504">
        <v>0</v>
      </c>
      <c r="HH21" s="504">
        <v>0</v>
      </c>
      <c r="HI21" s="504">
        <v>0</v>
      </c>
      <c r="HJ21" s="504">
        <v>0</v>
      </c>
      <c r="HK21" s="504">
        <v>0</v>
      </c>
      <c r="HL21" s="504">
        <v>0</v>
      </c>
      <c r="HM21" s="504">
        <v>0</v>
      </c>
      <c r="HN21" s="504">
        <v>0</v>
      </c>
      <c r="HO21" s="504">
        <v>0</v>
      </c>
      <c r="HP21" s="504">
        <v>0</v>
      </c>
      <c r="HQ21" s="504">
        <v>0</v>
      </c>
      <c r="HR21" s="504">
        <v>0</v>
      </c>
      <c r="HS21" s="504">
        <v>0</v>
      </c>
      <c r="HT21" s="504">
        <v>0</v>
      </c>
      <c r="HU21" s="504">
        <v>0</v>
      </c>
      <c r="HV21" s="504">
        <v>0</v>
      </c>
      <c r="HW21" s="504">
        <v>0</v>
      </c>
      <c r="HX21" s="504">
        <v>0</v>
      </c>
      <c r="HY21" s="504">
        <v>0</v>
      </c>
      <c r="HZ21" s="504">
        <v>0</v>
      </c>
      <c r="IA21" s="504">
        <v>0</v>
      </c>
      <c r="IB21" s="504">
        <v>0</v>
      </c>
      <c r="IC21" s="504">
        <v>0</v>
      </c>
      <c r="ID21" s="504">
        <v>0</v>
      </c>
      <c r="IE21" s="504">
        <v>0</v>
      </c>
      <c r="IF21" s="504">
        <v>0</v>
      </c>
      <c r="IG21" s="504">
        <v>0</v>
      </c>
      <c r="IH21" s="504">
        <v>0</v>
      </c>
      <c r="II21" s="504">
        <v>0</v>
      </c>
      <c r="IJ21" s="504">
        <v>0</v>
      </c>
      <c r="IK21" s="504">
        <v>0</v>
      </c>
      <c r="IL21" s="504">
        <v>0</v>
      </c>
      <c r="IM21" s="504">
        <v>0</v>
      </c>
      <c r="IN21" s="504">
        <v>0</v>
      </c>
      <c r="IO21" s="504">
        <v>0</v>
      </c>
      <c r="IP21" s="504">
        <v>0</v>
      </c>
      <c r="IQ21" s="504">
        <v>0</v>
      </c>
      <c r="IR21" s="504">
        <v>0</v>
      </c>
      <c r="IS21" s="504">
        <v>0</v>
      </c>
      <c r="IT21" s="504">
        <v>0</v>
      </c>
      <c r="IU21" s="504">
        <v>0</v>
      </c>
      <c r="IV21" s="504">
        <v>0</v>
      </c>
      <c r="IW21" s="504">
        <v>0</v>
      </c>
      <c r="IX21" s="504">
        <v>0</v>
      </c>
      <c r="IY21" s="504">
        <v>0</v>
      </c>
      <c r="IZ21" s="504">
        <v>0</v>
      </c>
      <c r="JA21" s="504">
        <v>0</v>
      </c>
      <c r="JB21" s="504">
        <v>0</v>
      </c>
      <c r="JC21" s="504">
        <v>0</v>
      </c>
      <c r="JD21" s="504">
        <v>0</v>
      </c>
      <c r="JE21" s="504">
        <v>0</v>
      </c>
      <c r="JF21" s="504">
        <v>0</v>
      </c>
      <c r="JG21" s="504">
        <v>0</v>
      </c>
      <c r="JH21" s="504">
        <v>0</v>
      </c>
      <c r="JI21" s="504">
        <v>0</v>
      </c>
      <c r="JJ21" s="504">
        <v>0</v>
      </c>
      <c r="JK21" s="504">
        <v>0</v>
      </c>
      <c r="JL21" s="504">
        <v>0</v>
      </c>
      <c r="JM21" s="504">
        <v>0</v>
      </c>
      <c r="JN21" s="504">
        <v>0</v>
      </c>
      <c r="JO21" s="504">
        <v>0</v>
      </c>
      <c r="JP21" s="504">
        <v>0</v>
      </c>
      <c r="JQ21" s="504">
        <v>0</v>
      </c>
      <c r="JR21" s="504">
        <v>0</v>
      </c>
      <c r="JS21" s="504">
        <v>0</v>
      </c>
      <c r="JT21" s="504">
        <v>0</v>
      </c>
      <c r="JU21" s="504">
        <v>0</v>
      </c>
      <c r="JV21" s="504">
        <v>0</v>
      </c>
      <c r="JW21" s="504">
        <v>0</v>
      </c>
      <c r="JX21" s="504">
        <v>0</v>
      </c>
      <c r="JY21" s="504">
        <v>0</v>
      </c>
      <c r="JZ21" s="504">
        <v>0</v>
      </c>
      <c r="KA21" s="504">
        <v>0</v>
      </c>
      <c r="KB21" s="504">
        <v>0</v>
      </c>
      <c r="KC21" s="504">
        <v>0</v>
      </c>
      <c r="KD21" s="504">
        <v>0</v>
      </c>
      <c r="KE21" s="504">
        <v>0</v>
      </c>
      <c r="KF21" s="504">
        <v>0</v>
      </c>
      <c r="KG21" s="504">
        <v>0</v>
      </c>
      <c r="KH21" s="504">
        <v>0</v>
      </c>
      <c r="KI21" s="504">
        <v>0</v>
      </c>
      <c r="KJ21" s="504">
        <v>0</v>
      </c>
      <c r="KK21" s="504">
        <v>0</v>
      </c>
      <c r="KL21" s="504">
        <v>0</v>
      </c>
      <c r="KM21" s="504">
        <v>0</v>
      </c>
      <c r="KN21" s="504">
        <v>0</v>
      </c>
      <c r="KO21" s="504">
        <v>0</v>
      </c>
      <c r="KP21" s="504">
        <v>0</v>
      </c>
      <c r="KQ21" s="504">
        <v>0</v>
      </c>
      <c r="KR21" s="504">
        <v>0</v>
      </c>
      <c r="KS21" s="504">
        <v>0</v>
      </c>
      <c r="KT21" s="1654">
        <v>0</v>
      </c>
      <c r="KU21" s="504">
        <v>0</v>
      </c>
      <c r="KV21" s="504">
        <v>0</v>
      </c>
      <c r="KW21" s="504">
        <v>0</v>
      </c>
      <c r="KX21" s="504">
        <v>1029</v>
      </c>
      <c r="KY21" s="504">
        <v>1279</v>
      </c>
      <c r="KZ21" s="504">
        <v>1581</v>
      </c>
      <c r="LA21" s="504">
        <v>0</v>
      </c>
      <c r="LB21" s="504">
        <v>0</v>
      </c>
      <c r="LC21" s="504">
        <v>0</v>
      </c>
      <c r="LD21" s="504">
        <v>0</v>
      </c>
      <c r="LE21" s="504">
        <v>0</v>
      </c>
      <c r="LF21" s="504">
        <v>0</v>
      </c>
      <c r="LG21" s="504">
        <v>0</v>
      </c>
      <c r="LH21" s="504">
        <v>0</v>
      </c>
      <c r="LI21" s="504">
        <v>0</v>
      </c>
      <c r="LJ21" s="504">
        <v>0</v>
      </c>
      <c r="LK21" s="504">
        <v>0</v>
      </c>
      <c r="LL21" s="504">
        <v>0</v>
      </c>
      <c r="LM21" s="504">
        <v>0</v>
      </c>
      <c r="LN21" s="504">
        <v>0</v>
      </c>
      <c r="LO21" s="504">
        <v>0</v>
      </c>
      <c r="LP21" s="504">
        <v>0</v>
      </c>
      <c r="LQ21" s="504">
        <v>0</v>
      </c>
      <c r="LR21" s="504">
        <v>0</v>
      </c>
      <c r="LS21" s="504">
        <v>0</v>
      </c>
      <c r="LT21" s="504">
        <v>0</v>
      </c>
      <c r="LU21" s="504">
        <v>0</v>
      </c>
      <c r="LV21" s="504">
        <v>0</v>
      </c>
      <c r="LW21" s="504">
        <v>0</v>
      </c>
      <c r="LX21" s="504">
        <v>0</v>
      </c>
      <c r="LY21" s="504">
        <v>0</v>
      </c>
      <c r="LZ21" s="504">
        <v>0</v>
      </c>
      <c r="MA21" s="504">
        <v>0</v>
      </c>
      <c r="MB21" s="504">
        <v>0</v>
      </c>
      <c r="MC21" s="504">
        <v>0</v>
      </c>
      <c r="MD21" s="504">
        <v>0</v>
      </c>
      <c r="ME21" s="504">
        <v>0</v>
      </c>
      <c r="MF21" s="504">
        <v>0</v>
      </c>
      <c r="MG21" s="504">
        <v>0</v>
      </c>
      <c r="MH21" s="504">
        <v>0</v>
      </c>
      <c r="MI21" s="504">
        <v>0</v>
      </c>
      <c r="MJ21" s="504">
        <v>0</v>
      </c>
      <c r="MK21" s="504">
        <v>0</v>
      </c>
      <c r="ML21" s="504">
        <v>0</v>
      </c>
      <c r="MM21" s="504">
        <v>0</v>
      </c>
      <c r="MN21" s="504">
        <v>0</v>
      </c>
      <c r="MO21" s="504">
        <v>0</v>
      </c>
      <c r="MP21" s="504">
        <v>0</v>
      </c>
      <c r="MQ21" s="504">
        <v>0</v>
      </c>
      <c r="MR21" s="504">
        <v>0</v>
      </c>
      <c r="MS21" s="504">
        <v>0</v>
      </c>
      <c r="MT21" s="504">
        <v>0</v>
      </c>
      <c r="MU21" s="504">
        <v>0</v>
      </c>
      <c r="MV21" s="504">
        <v>0</v>
      </c>
      <c r="MW21" s="504">
        <v>0</v>
      </c>
      <c r="MX21" s="504">
        <v>0</v>
      </c>
      <c r="MY21" s="504">
        <v>0</v>
      </c>
      <c r="MZ21" s="504">
        <v>0</v>
      </c>
      <c r="NA21" s="504">
        <v>0</v>
      </c>
      <c r="NB21" s="504">
        <v>0</v>
      </c>
      <c r="NC21" s="504">
        <v>0</v>
      </c>
      <c r="ND21" s="504">
        <v>0</v>
      </c>
      <c r="NE21" s="504">
        <v>0</v>
      </c>
      <c r="NF21" s="504">
        <v>0</v>
      </c>
      <c r="NG21" s="504">
        <v>0</v>
      </c>
      <c r="NH21" s="504">
        <v>0</v>
      </c>
      <c r="NI21" s="504">
        <v>0</v>
      </c>
      <c r="NJ21" s="504">
        <v>0</v>
      </c>
      <c r="NK21" s="504">
        <v>0</v>
      </c>
      <c r="NL21" s="504">
        <v>0</v>
      </c>
      <c r="NM21" s="504">
        <v>0</v>
      </c>
      <c r="NN21" s="504">
        <v>0</v>
      </c>
      <c r="NO21" s="504">
        <v>0</v>
      </c>
      <c r="NP21" s="504">
        <v>0</v>
      </c>
      <c r="NQ21" s="504">
        <v>0</v>
      </c>
      <c r="NR21" s="504">
        <v>0</v>
      </c>
      <c r="NS21" s="504">
        <v>0</v>
      </c>
      <c r="NT21" s="504">
        <v>0</v>
      </c>
      <c r="NU21" s="504">
        <v>0</v>
      </c>
      <c r="NV21" s="504">
        <v>0</v>
      </c>
      <c r="NW21" s="504">
        <v>0</v>
      </c>
      <c r="NX21" s="504">
        <v>0</v>
      </c>
      <c r="NY21" s="504">
        <v>0</v>
      </c>
      <c r="NZ21" s="504">
        <v>0</v>
      </c>
      <c r="OA21" s="504">
        <v>0</v>
      </c>
      <c r="OB21" s="504">
        <v>0</v>
      </c>
      <c r="OC21" s="504">
        <v>0</v>
      </c>
      <c r="OD21" s="504">
        <v>0</v>
      </c>
      <c r="OE21" s="504">
        <v>0</v>
      </c>
      <c r="OF21" s="504">
        <v>0</v>
      </c>
      <c r="OG21" s="504">
        <v>0</v>
      </c>
      <c r="OH21" s="504">
        <v>0</v>
      </c>
      <c r="OI21" s="504">
        <v>0</v>
      </c>
      <c r="OJ21" s="504">
        <v>0</v>
      </c>
      <c r="OK21" s="504">
        <v>0</v>
      </c>
      <c r="OL21" s="504">
        <v>0</v>
      </c>
      <c r="OM21" s="504">
        <v>0</v>
      </c>
      <c r="ON21" s="504">
        <v>0</v>
      </c>
      <c r="OO21" s="504">
        <v>0</v>
      </c>
      <c r="OP21" s="504">
        <v>0</v>
      </c>
      <c r="OQ21" s="504">
        <v>0</v>
      </c>
      <c r="OR21" s="1656"/>
    </row>
    <row r="22" spans="1:408" ht="21.5">
      <c r="A22" s="1466" t="s">
        <v>1643</v>
      </c>
      <c r="B22" s="1583" t="s">
        <v>2358</v>
      </c>
      <c r="C22" s="1583" t="s">
        <v>14</v>
      </c>
      <c r="D22" s="1583">
        <v>45</v>
      </c>
      <c r="E22" s="504">
        <v>46</v>
      </c>
      <c r="F22" s="504">
        <v>185</v>
      </c>
      <c r="G22" s="504">
        <v>473</v>
      </c>
      <c r="H22" s="504">
        <v>738</v>
      </c>
      <c r="I22" s="504">
        <v>1056</v>
      </c>
      <c r="J22" s="504">
        <v>1290</v>
      </c>
      <c r="K22" s="504">
        <v>1307</v>
      </c>
      <c r="L22" s="504">
        <v>1324</v>
      </c>
      <c r="M22" s="504">
        <v>1342</v>
      </c>
      <c r="N22" s="504">
        <v>1360</v>
      </c>
      <c r="O22" s="504">
        <v>1379</v>
      </c>
      <c r="P22" s="504">
        <v>1398</v>
      </c>
      <c r="Q22" s="504">
        <v>1418</v>
      </c>
      <c r="R22" s="504">
        <v>1438</v>
      </c>
      <c r="S22" s="504">
        <v>1458</v>
      </c>
      <c r="T22" s="504">
        <v>1479</v>
      </c>
      <c r="U22" s="504">
        <v>1500</v>
      </c>
      <c r="V22" s="504">
        <v>1522</v>
      </c>
      <c r="W22" s="504">
        <v>1544</v>
      </c>
      <c r="X22" s="504">
        <v>1566</v>
      </c>
      <c r="Y22" s="504">
        <v>1589</v>
      </c>
      <c r="Z22" s="504">
        <v>1612</v>
      </c>
      <c r="AA22" s="504">
        <v>1636</v>
      </c>
      <c r="AB22" s="504">
        <v>1660</v>
      </c>
      <c r="AC22" s="504">
        <v>1684</v>
      </c>
      <c r="AD22" s="504">
        <v>1709</v>
      </c>
      <c r="AE22" s="504">
        <v>1735</v>
      </c>
      <c r="AF22" s="504">
        <v>1761</v>
      </c>
      <c r="AG22" s="504">
        <v>1787</v>
      </c>
      <c r="AH22" s="504">
        <v>1815</v>
      </c>
      <c r="AI22" s="504">
        <v>1844</v>
      </c>
      <c r="AJ22" s="504">
        <v>1874</v>
      </c>
      <c r="AK22" s="504">
        <v>1907</v>
      </c>
      <c r="AL22" s="504">
        <v>1942</v>
      </c>
      <c r="AM22" s="504">
        <v>2000</v>
      </c>
      <c r="AN22" s="504">
        <v>0</v>
      </c>
      <c r="AO22" s="504">
        <v>0</v>
      </c>
      <c r="AP22" s="504">
        <v>0</v>
      </c>
      <c r="AQ22" s="504">
        <v>0</v>
      </c>
      <c r="AR22" s="504">
        <v>0</v>
      </c>
      <c r="AS22" s="504">
        <v>0</v>
      </c>
      <c r="AT22" s="504">
        <v>0</v>
      </c>
      <c r="AU22" s="504">
        <v>0</v>
      </c>
      <c r="AV22" s="504">
        <v>0</v>
      </c>
      <c r="AW22" s="504">
        <v>0</v>
      </c>
      <c r="AX22" s="504">
        <v>0</v>
      </c>
      <c r="AY22" s="504">
        <v>0</v>
      </c>
      <c r="AZ22" s="504">
        <v>0</v>
      </c>
      <c r="BA22" s="504">
        <v>0</v>
      </c>
      <c r="BB22" s="504">
        <v>0</v>
      </c>
      <c r="BC22" s="504">
        <v>0</v>
      </c>
      <c r="BD22" s="504">
        <v>0</v>
      </c>
      <c r="BE22" s="504">
        <v>0</v>
      </c>
      <c r="BF22" s="504">
        <v>0</v>
      </c>
      <c r="BG22" s="504">
        <v>0</v>
      </c>
      <c r="BH22" s="504">
        <v>0</v>
      </c>
      <c r="BI22" s="504">
        <v>0</v>
      </c>
      <c r="BJ22" s="504">
        <v>0</v>
      </c>
      <c r="BK22" s="504">
        <v>0</v>
      </c>
      <c r="BL22" s="504">
        <v>0</v>
      </c>
      <c r="BM22" s="504">
        <v>0</v>
      </c>
      <c r="BN22" s="504">
        <v>0</v>
      </c>
      <c r="BO22" s="504">
        <v>0</v>
      </c>
      <c r="BP22" s="504">
        <v>0</v>
      </c>
      <c r="BQ22" s="504">
        <v>0</v>
      </c>
      <c r="BR22" s="504">
        <v>0</v>
      </c>
      <c r="BS22" s="504">
        <v>0</v>
      </c>
      <c r="BT22" s="504">
        <v>0</v>
      </c>
      <c r="BU22" s="504">
        <v>0</v>
      </c>
      <c r="BV22" s="504">
        <v>0</v>
      </c>
      <c r="BW22" s="504">
        <v>0</v>
      </c>
      <c r="BX22" s="504">
        <v>0</v>
      </c>
      <c r="BY22" s="504">
        <v>0</v>
      </c>
      <c r="BZ22" s="504">
        <v>0</v>
      </c>
      <c r="CA22" s="504">
        <v>0</v>
      </c>
      <c r="CB22" s="504">
        <v>0</v>
      </c>
      <c r="CC22" s="504">
        <v>0</v>
      </c>
      <c r="CD22" s="504">
        <v>0</v>
      </c>
      <c r="CE22" s="504">
        <v>0</v>
      </c>
      <c r="CF22" s="504">
        <v>0</v>
      </c>
      <c r="CG22" s="504">
        <v>0</v>
      </c>
      <c r="CH22" s="504">
        <v>0</v>
      </c>
      <c r="CI22" s="504">
        <v>0</v>
      </c>
      <c r="CJ22" s="504">
        <v>0</v>
      </c>
      <c r="CK22" s="504">
        <v>0</v>
      </c>
      <c r="CL22" s="504">
        <v>0</v>
      </c>
      <c r="CM22" s="504">
        <v>0</v>
      </c>
      <c r="CN22" s="504">
        <v>0</v>
      </c>
      <c r="CO22" s="504">
        <v>0</v>
      </c>
      <c r="CP22" s="504">
        <v>0</v>
      </c>
      <c r="CQ22" s="504">
        <v>0</v>
      </c>
      <c r="CR22" s="504">
        <v>0</v>
      </c>
      <c r="CS22" s="504">
        <v>0</v>
      </c>
      <c r="CT22" s="504">
        <v>0</v>
      </c>
      <c r="CU22" s="504">
        <v>0</v>
      </c>
      <c r="CV22" s="504">
        <v>0</v>
      </c>
      <c r="CW22" s="504">
        <v>0</v>
      </c>
      <c r="CX22" s="504">
        <v>0</v>
      </c>
      <c r="CY22" s="504">
        <v>0</v>
      </c>
      <c r="CZ22" s="1654">
        <v>0</v>
      </c>
      <c r="DA22" s="504">
        <v>0</v>
      </c>
      <c r="DB22" s="504">
        <v>111</v>
      </c>
      <c r="DC22" s="504">
        <v>435</v>
      </c>
      <c r="DD22" s="504">
        <v>1036</v>
      </c>
      <c r="DE22" s="504">
        <v>1289</v>
      </c>
      <c r="DF22" s="504">
        <v>1594</v>
      </c>
      <c r="DG22" s="504">
        <v>0</v>
      </c>
      <c r="DH22" s="504">
        <v>0</v>
      </c>
      <c r="DI22" s="504">
        <v>0</v>
      </c>
      <c r="DJ22" s="504">
        <v>0</v>
      </c>
      <c r="DK22" s="504">
        <v>0</v>
      </c>
      <c r="DL22" s="504">
        <v>0</v>
      </c>
      <c r="DM22" s="504">
        <v>0</v>
      </c>
      <c r="DN22" s="504">
        <v>0</v>
      </c>
      <c r="DO22" s="504">
        <v>0</v>
      </c>
      <c r="DP22" s="504">
        <v>0</v>
      </c>
      <c r="DQ22" s="504">
        <v>0</v>
      </c>
      <c r="DR22" s="504">
        <v>0</v>
      </c>
      <c r="DS22" s="504">
        <v>0</v>
      </c>
      <c r="DT22" s="504">
        <v>0</v>
      </c>
      <c r="DU22" s="504">
        <v>0</v>
      </c>
      <c r="DV22" s="504">
        <v>0</v>
      </c>
      <c r="DW22" s="504">
        <v>0</v>
      </c>
      <c r="DX22" s="504">
        <v>0</v>
      </c>
      <c r="DY22" s="504">
        <v>0</v>
      </c>
      <c r="DZ22" s="504">
        <v>0</v>
      </c>
      <c r="EA22" s="504">
        <v>0</v>
      </c>
      <c r="EB22" s="504">
        <v>0</v>
      </c>
      <c r="EC22" s="504">
        <v>0</v>
      </c>
      <c r="ED22" s="504">
        <v>0</v>
      </c>
      <c r="EE22" s="504">
        <v>0</v>
      </c>
      <c r="EF22" s="504">
        <v>0</v>
      </c>
      <c r="EG22" s="504">
        <v>0</v>
      </c>
      <c r="EH22" s="504">
        <v>0</v>
      </c>
      <c r="EI22" s="504">
        <v>0</v>
      </c>
      <c r="EJ22" s="504">
        <v>0</v>
      </c>
      <c r="EK22" s="504">
        <v>0</v>
      </c>
      <c r="EL22" s="504">
        <v>0</v>
      </c>
      <c r="EM22" s="504">
        <v>0</v>
      </c>
      <c r="EN22" s="504">
        <v>0</v>
      </c>
      <c r="EO22" s="504">
        <v>0</v>
      </c>
      <c r="EP22" s="504">
        <v>0</v>
      </c>
      <c r="EQ22" s="504">
        <v>0</v>
      </c>
      <c r="ER22" s="504">
        <v>0</v>
      </c>
      <c r="ES22" s="504">
        <v>0</v>
      </c>
      <c r="ET22" s="504">
        <v>0</v>
      </c>
      <c r="EU22" s="504">
        <v>0</v>
      </c>
      <c r="EV22" s="504">
        <v>0</v>
      </c>
      <c r="EW22" s="504">
        <v>0</v>
      </c>
      <c r="EX22" s="504">
        <v>0</v>
      </c>
      <c r="EY22" s="504">
        <v>0</v>
      </c>
      <c r="EZ22" s="504">
        <v>0</v>
      </c>
      <c r="FA22" s="504">
        <v>0</v>
      </c>
      <c r="FB22" s="504">
        <v>0</v>
      </c>
      <c r="FC22" s="504">
        <v>0</v>
      </c>
      <c r="FD22" s="504">
        <v>0</v>
      </c>
      <c r="FE22" s="504">
        <v>0</v>
      </c>
      <c r="FF22" s="504">
        <v>0</v>
      </c>
      <c r="FG22" s="504">
        <v>0</v>
      </c>
      <c r="FH22" s="504">
        <v>0</v>
      </c>
      <c r="FI22" s="504">
        <v>0</v>
      </c>
      <c r="FJ22" s="504">
        <v>0</v>
      </c>
      <c r="FK22" s="504">
        <v>0</v>
      </c>
      <c r="FL22" s="504">
        <v>0</v>
      </c>
      <c r="FM22" s="504">
        <v>0</v>
      </c>
      <c r="FN22" s="504">
        <v>0</v>
      </c>
      <c r="FO22" s="504">
        <v>0</v>
      </c>
      <c r="FP22" s="504">
        <v>0</v>
      </c>
      <c r="FQ22" s="504">
        <v>0</v>
      </c>
      <c r="FR22" s="504">
        <v>0</v>
      </c>
      <c r="FS22" s="504">
        <v>0</v>
      </c>
      <c r="FT22" s="504">
        <v>0</v>
      </c>
      <c r="FU22" s="504">
        <v>0</v>
      </c>
      <c r="FV22" s="504">
        <v>0</v>
      </c>
      <c r="FW22" s="504">
        <v>0</v>
      </c>
      <c r="FX22" s="504">
        <v>0</v>
      </c>
      <c r="FY22" s="504">
        <v>0</v>
      </c>
      <c r="FZ22" s="504">
        <v>0</v>
      </c>
      <c r="GA22" s="504">
        <v>0</v>
      </c>
      <c r="GB22" s="504">
        <v>0</v>
      </c>
      <c r="GC22" s="504">
        <v>0</v>
      </c>
      <c r="GD22" s="504">
        <v>0</v>
      </c>
      <c r="GE22" s="504">
        <v>0</v>
      </c>
      <c r="GF22" s="504">
        <v>0</v>
      </c>
      <c r="GG22" s="504">
        <v>0</v>
      </c>
      <c r="GH22" s="504">
        <v>0</v>
      </c>
      <c r="GI22" s="504">
        <v>0</v>
      </c>
      <c r="GJ22" s="504">
        <v>0</v>
      </c>
      <c r="GK22" s="504">
        <v>0</v>
      </c>
      <c r="GL22" s="504">
        <v>0</v>
      </c>
      <c r="GM22" s="504">
        <v>0</v>
      </c>
      <c r="GN22" s="504">
        <v>0</v>
      </c>
      <c r="GO22" s="504">
        <v>0</v>
      </c>
      <c r="GP22" s="504">
        <v>0</v>
      </c>
      <c r="GQ22" s="504">
        <v>0</v>
      </c>
      <c r="GR22" s="504">
        <v>0</v>
      </c>
      <c r="GS22" s="504">
        <v>0</v>
      </c>
      <c r="GT22" s="504">
        <v>0</v>
      </c>
      <c r="GU22" s="504">
        <v>0</v>
      </c>
      <c r="GV22" s="504">
        <v>0</v>
      </c>
      <c r="GW22" s="1654">
        <v>0</v>
      </c>
      <c r="GX22" s="504">
        <v>0</v>
      </c>
      <c r="GY22" s="504">
        <v>14336</v>
      </c>
      <c r="GZ22" s="504">
        <v>28217</v>
      </c>
      <c r="HA22" s="504">
        <v>32000</v>
      </c>
      <c r="HB22" s="504">
        <v>31000</v>
      </c>
      <c r="HC22" s="504">
        <v>30000</v>
      </c>
      <c r="HD22" s="504">
        <v>0</v>
      </c>
      <c r="HE22" s="504">
        <v>0</v>
      </c>
      <c r="HF22" s="504">
        <v>0</v>
      </c>
      <c r="HG22" s="504">
        <v>0</v>
      </c>
      <c r="HH22" s="504">
        <v>0</v>
      </c>
      <c r="HI22" s="504">
        <v>0</v>
      </c>
      <c r="HJ22" s="504">
        <v>0</v>
      </c>
      <c r="HK22" s="504">
        <v>0</v>
      </c>
      <c r="HL22" s="504">
        <v>0</v>
      </c>
      <c r="HM22" s="504">
        <v>0</v>
      </c>
      <c r="HN22" s="504">
        <v>0</v>
      </c>
      <c r="HO22" s="504">
        <v>0</v>
      </c>
      <c r="HP22" s="504">
        <v>0</v>
      </c>
      <c r="HQ22" s="504">
        <v>0</v>
      </c>
      <c r="HR22" s="504">
        <v>0</v>
      </c>
      <c r="HS22" s="504">
        <v>0</v>
      </c>
      <c r="HT22" s="504">
        <v>0</v>
      </c>
      <c r="HU22" s="504">
        <v>0</v>
      </c>
      <c r="HV22" s="504">
        <v>0</v>
      </c>
      <c r="HW22" s="504">
        <v>0</v>
      </c>
      <c r="HX22" s="504">
        <v>0</v>
      </c>
      <c r="HY22" s="504">
        <v>0</v>
      </c>
      <c r="HZ22" s="504">
        <v>0</v>
      </c>
      <c r="IA22" s="504">
        <v>0</v>
      </c>
      <c r="IB22" s="504">
        <v>0</v>
      </c>
      <c r="IC22" s="504">
        <v>0</v>
      </c>
      <c r="ID22" s="504">
        <v>0</v>
      </c>
      <c r="IE22" s="504">
        <v>0</v>
      </c>
      <c r="IF22" s="504">
        <v>0</v>
      </c>
      <c r="IG22" s="504">
        <v>0</v>
      </c>
      <c r="IH22" s="504">
        <v>0</v>
      </c>
      <c r="II22" s="504">
        <v>0</v>
      </c>
      <c r="IJ22" s="504">
        <v>0</v>
      </c>
      <c r="IK22" s="504">
        <v>0</v>
      </c>
      <c r="IL22" s="504">
        <v>0</v>
      </c>
      <c r="IM22" s="504">
        <v>0</v>
      </c>
      <c r="IN22" s="504">
        <v>0</v>
      </c>
      <c r="IO22" s="504">
        <v>0</v>
      </c>
      <c r="IP22" s="504">
        <v>0</v>
      </c>
      <c r="IQ22" s="504">
        <v>0</v>
      </c>
      <c r="IR22" s="504">
        <v>0</v>
      </c>
      <c r="IS22" s="504">
        <v>0</v>
      </c>
      <c r="IT22" s="504">
        <v>0</v>
      </c>
      <c r="IU22" s="504">
        <v>0</v>
      </c>
      <c r="IV22" s="504">
        <v>0</v>
      </c>
      <c r="IW22" s="504">
        <v>0</v>
      </c>
      <c r="IX22" s="504">
        <v>0</v>
      </c>
      <c r="IY22" s="504">
        <v>0</v>
      </c>
      <c r="IZ22" s="504">
        <v>0</v>
      </c>
      <c r="JA22" s="504">
        <v>0</v>
      </c>
      <c r="JB22" s="504">
        <v>0</v>
      </c>
      <c r="JC22" s="504">
        <v>0</v>
      </c>
      <c r="JD22" s="504">
        <v>0</v>
      </c>
      <c r="JE22" s="504">
        <v>0</v>
      </c>
      <c r="JF22" s="504">
        <v>0</v>
      </c>
      <c r="JG22" s="504">
        <v>0</v>
      </c>
      <c r="JH22" s="504">
        <v>0</v>
      </c>
      <c r="JI22" s="504">
        <v>0</v>
      </c>
      <c r="JJ22" s="504">
        <v>0</v>
      </c>
      <c r="JK22" s="504">
        <v>0</v>
      </c>
      <c r="JL22" s="504">
        <v>0</v>
      </c>
      <c r="JM22" s="504">
        <v>0</v>
      </c>
      <c r="JN22" s="504">
        <v>0</v>
      </c>
      <c r="JO22" s="504">
        <v>0</v>
      </c>
      <c r="JP22" s="504">
        <v>0</v>
      </c>
      <c r="JQ22" s="504">
        <v>0</v>
      </c>
      <c r="JR22" s="504">
        <v>0</v>
      </c>
      <c r="JS22" s="504">
        <v>0</v>
      </c>
      <c r="JT22" s="504">
        <v>0</v>
      </c>
      <c r="JU22" s="504">
        <v>0</v>
      </c>
      <c r="JV22" s="504">
        <v>0</v>
      </c>
      <c r="JW22" s="504">
        <v>0</v>
      </c>
      <c r="JX22" s="504">
        <v>0</v>
      </c>
      <c r="JY22" s="504">
        <v>0</v>
      </c>
      <c r="JZ22" s="504">
        <v>0</v>
      </c>
      <c r="KA22" s="504">
        <v>0</v>
      </c>
      <c r="KB22" s="504">
        <v>0</v>
      </c>
      <c r="KC22" s="504">
        <v>0</v>
      </c>
      <c r="KD22" s="504">
        <v>0</v>
      </c>
      <c r="KE22" s="504">
        <v>0</v>
      </c>
      <c r="KF22" s="504">
        <v>0</v>
      </c>
      <c r="KG22" s="504">
        <v>0</v>
      </c>
      <c r="KH22" s="504">
        <v>0</v>
      </c>
      <c r="KI22" s="504">
        <v>0</v>
      </c>
      <c r="KJ22" s="504">
        <v>0</v>
      </c>
      <c r="KK22" s="504">
        <v>0</v>
      </c>
      <c r="KL22" s="504">
        <v>0</v>
      </c>
      <c r="KM22" s="504">
        <v>0</v>
      </c>
      <c r="KN22" s="504">
        <v>0</v>
      </c>
      <c r="KO22" s="504">
        <v>0</v>
      </c>
      <c r="KP22" s="504">
        <v>0</v>
      </c>
      <c r="KQ22" s="504">
        <v>0</v>
      </c>
      <c r="KR22" s="504">
        <v>0</v>
      </c>
      <c r="KS22" s="504">
        <v>0</v>
      </c>
      <c r="KT22" s="1654">
        <v>0</v>
      </c>
      <c r="KU22" s="504">
        <v>0</v>
      </c>
      <c r="KV22" s="504">
        <v>0</v>
      </c>
      <c r="KW22" s="504">
        <v>0</v>
      </c>
      <c r="KX22" s="504">
        <v>1023</v>
      </c>
      <c r="KY22" s="504">
        <v>1276</v>
      </c>
      <c r="KZ22" s="504">
        <v>1581</v>
      </c>
      <c r="LA22" s="504">
        <v>0</v>
      </c>
      <c r="LB22" s="504">
        <v>0</v>
      </c>
      <c r="LC22" s="504">
        <v>0</v>
      </c>
      <c r="LD22" s="504">
        <v>0</v>
      </c>
      <c r="LE22" s="504">
        <v>0</v>
      </c>
      <c r="LF22" s="504">
        <v>0</v>
      </c>
      <c r="LG22" s="504">
        <v>0</v>
      </c>
      <c r="LH22" s="504">
        <v>0</v>
      </c>
      <c r="LI22" s="504">
        <v>0</v>
      </c>
      <c r="LJ22" s="504">
        <v>0</v>
      </c>
      <c r="LK22" s="504">
        <v>0</v>
      </c>
      <c r="LL22" s="504">
        <v>0</v>
      </c>
      <c r="LM22" s="504">
        <v>0</v>
      </c>
      <c r="LN22" s="504">
        <v>0</v>
      </c>
      <c r="LO22" s="504">
        <v>0</v>
      </c>
      <c r="LP22" s="504">
        <v>0</v>
      </c>
      <c r="LQ22" s="504">
        <v>0</v>
      </c>
      <c r="LR22" s="504">
        <v>0</v>
      </c>
      <c r="LS22" s="504">
        <v>0</v>
      </c>
      <c r="LT22" s="504">
        <v>0</v>
      </c>
      <c r="LU22" s="504">
        <v>0</v>
      </c>
      <c r="LV22" s="504">
        <v>0</v>
      </c>
      <c r="LW22" s="504">
        <v>0</v>
      </c>
      <c r="LX22" s="504">
        <v>0</v>
      </c>
      <c r="LY22" s="504">
        <v>0</v>
      </c>
      <c r="LZ22" s="504">
        <v>0</v>
      </c>
      <c r="MA22" s="504">
        <v>0</v>
      </c>
      <c r="MB22" s="504">
        <v>0</v>
      </c>
      <c r="MC22" s="504">
        <v>0</v>
      </c>
      <c r="MD22" s="504">
        <v>0</v>
      </c>
      <c r="ME22" s="504">
        <v>0</v>
      </c>
      <c r="MF22" s="504">
        <v>0</v>
      </c>
      <c r="MG22" s="504">
        <v>0</v>
      </c>
      <c r="MH22" s="504">
        <v>0</v>
      </c>
      <c r="MI22" s="504">
        <v>0</v>
      </c>
      <c r="MJ22" s="504">
        <v>0</v>
      </c>
      <c r="MK22" s="504">
        <v>0</v>
      </c>
      <c r="ML22" s="504">
        <v>0</v>
      </c>
      <c r="MM22" s="504">
        <v>0</v>
      </c>
      <c r="MN22" s="504">
        <v>0</v>
      </c>
      <c r="MO22" s="504">
        <v>0</v>
      </c>
      <c r="MP22" s="504">
        <v>0</v>
      </c>
      <c r="MQ22" s="504">
        <v>0</v>
      </c>
      <c r="MR22" s="504">
        <v>0</v>
      </c>
      <c r="MS22" s="504">
        <v>0</v>
      </c>
      <c r="MT22" s="504">
        <v>0</v>
      </c>
      <c r="MU22" s="504">
        <v>0</v>
      </c>
      <c r="MV22" s="504">
        <v>0</v>
      </c>
      <c r="MW22" s="504">
        <v>0</v>
      </c>
      <c r="MX22" s="504">
        <v>0</v>
      </c>
      <c r="MY22" s="504">
        <v>0</v>
      </c>
      <c r="MZ22" s="504">
        <v>0</v>
      </c>
      <c r="NA22" s="504">
        <v>0</v>
      </c>
      <c r="NB22" s="504">
        <v>0</v>
      </c>
      <c r="NC22" s="504">
        <v>0</v>
      </c>
      <c r="ND22" s="504">
        <v>0</v>
      </c>
      <c r="NE22" s="504">
        <v>0</v>
      </c>
      <c r="NF22" s="504">
        <v>0</v>
      </c>
      <c r="NG22" s="504">
        <v>0</v>
      </c>
      <c r="NH22" s="504">
        <v>0</v>
      </c>
      <c r="NI22" s="504">
        <v>0</v>
      </c>
      <c r="NJ22" s="504">
        <v>0</v>
      </c>
      <c r="NK22" s="504">
        <v>0</v>
      </c>
      <c r="NL22" s="504">
        <v>0</v>
      </c>
      <c r="NM22" s="504">
        <v>0</v>
      </c>
      <c r="NN22" s="504">
        <v>0</v>
      </c>
      <c r="NO22" s="504">
        <v>0</v>
      </c>
      <c r="NP22" s="504">
        <v>0</v>
      </c>
      <c r="NQ22" s="504">
        <v>0</v>
      </c>
      <c r="NR22" s="504">
        <v>0</v>
      </c>
      <c r="NS22" s="504">
        <v>0</v>
      </c>
      <c r="NT22" s="504">
        <v>0</v>
      </c>
      <c r="NU22" s="504">
        <v>0</v>
      </c>
      <c r="NV22" s="504">
        <v>0</v>
      </c>
      <c r="NW22" s="504">
        <v>0</v>
      </c>
      <c r="NX22" s="504">
        <v>0</v>
      </c>
      <c r="NY22" s="504">
        <v>0</v>
      </c>
      <c r="NZ22" s="504">
        <v>0</v>
      </c>
      <c r="OA22" s="504">
        <v>0</v>
      </c>
      <c r="OB22" s="504">
        <v>0</v>
      </c>
      <c r="OC22" s="504">
        <v>0</v>
      </c>
      <c r="OD22" s="504">
        <v>0</v>
      </c>
      <c r="OE22" s="504">
        <v>0</v>
      </c>
      <c r="OF22" s="504">
        <v>0</v>
      </c>
      <c r="OG22" s="504">
        <v>0</v>
      </c>
      <c r="OH22" s="504">
        <v>0</v>
      </c>
      <c r="OI22" s="504">
        <v>0</v>
      </c>
      <c r="OJ22" s="504">
        <v>0</v>
      </c>
      <c r="OK22" s="504">
        <v>0</v>
      </c>
      <c r="OL22" s="504">
        <v>0</v>
      </c>
      <c r="OM22" s="504">
        <v>0</v>
      </c>
      <c r="ON22" s="504">
        <v>0</v>
      </c>
      <c r="OO22" s="504">
        <v>0</v>
      </c>
      <c r="OP22" s="504">
        <v>0</v>
      </c>
      <c r="OQ22" s="504">
        <v>0</v>
      </c>
      <c r="OR22" s="1656"/>
    </row>
    <row r="23" spans="1:408" ht="21.5">
      <c r="A23" s="1466" t="s">
        <v>1644</v>
      </c>
      <c r="B23" s="1583" t="s">
        <v>2358</v>
      </c>
      <c r="C23" s="1583" t="s">
        <v>14</v>
      </c>
      <c r="D23" s="1583">
        <v>46</v>
      </c>
      <c r="E23" s="504">
        <v>47</v>
      </c>
      <c r="F23" s="504">
        <v>187</v>
      </c>
      <c r="G23" s="504">
        <v>479</v>
      </c>
      <c r="H23" s="504">
        <v>748</v>
      </c>
      <c r="I23" s="504">
        <v>1070</v>
      </c>
      <c r="J23" s="504">
        <v>1307</v>
      </c>
      <c r="K23" s="504">
        <v>1324</v>
      </c>
      <c r="L23" s="504">
        <v>1342</v>
      </c>
      <c r="M23" s="504">
        <v>1360</v>
      </c>
      <c r="N23" s="504">
        <v>1379</v>
      </c>
      <c r="O23" s="504">
        <v>1398</v>
      </c>
      <c r="P23" s="504">
        <v>1418</v>
      </c>
      <c r="Q23" s="504">
        <v>1438</v>
      </c>
      <c r="R23" s="504">
        <v>1458</v>
      </c>
      <c r="S23" s="504">
        <v>1479</v>
      </c>
      <c r="T23" s="504">
        <v>1500</v>
      </c>
      <c r="U23" s="504">
        <v>1522</v>
      </c>
      <c r="V23" s="504">
        <v>1544</v>
      </c>
      <c r="W23" s="504">
        <v>1566</v>
      </c>
      <c r="X23" s="504">
        <v>1589</v>
      </c>
      <c r="Y23" s="504">
        <v>1612</v>
      </c>
      <c r="Z23" s="504">
        <v>1636</v>
      </c>
      <c r="AA23" s="504">
        <v>1660</v>
      </c>
      <c r="AB23" s="504">
        <v>1684</v>
      </c>
      <c r="AC23" s="504">
        <v>1709</v>
      </c>
      <c r="AD23" s="504">
        <v>1735</v>
      </c>
      <c r="AE23" s="504">
        <v>1761</v>
      </c>
      <c r="AF23" s="504">
        <v>1787</v>
      </c>
      <c r="AG23" s="504">
        <v>1815</v>
      </c>
      <c r="AH23" s="504">
        <v>1844</v>
      </c>
      <c r="AI23" s="504">
        <v>1874</v>
      </c>
      <c r="AJ23" s="504">
        <v>1907</v>
      </c>
      <c r="AK23" s="504">
        <v>1942</v>
      </c>
      <c r="AL23" s="504">
        <v>2000</v>
      </c>
      <c r="AM23" s="504">
        <v>0</v>
      </c>
      <c r="AN23" s="504">
        <v>0</v>
      </c>
      <c r="AO23" s="504">
        <v>0</v>
      </c>
      <c r="AP23" s="504">
        <v>0</v>
      </c>
      <c r="AQ23" s="504">
        <v>0</v>
      </c>
      <c r="AR23" s="504">
        <v>0</v>
      </c>
      <c r="AS23" s="504">
        <v>0</v>
      </c>
      <c r="AT23" s="504">
        <v>0</v>
      </c>
      <c r="AU23" s="504">
        <v>0</v>
      </c>
      <c r="AV23" s="504">
        <v>0</v>
      </c>
      <c r="AW23" s="504">
        <v>0</v>
      </c>
      <c r="AX23" s="504">
        <v>0</v>
      </c>
      <c r="AY23" s="504">
        <v>0</v>
      </c>
      <c r="AZ23" s="504">
        <v>0</v>
      </c>
      <c r="BA23" s="504">
        <v>0</v>
      </c>
      <c r="BB23" s="504">
        <v>0</v>
      </c>
      <c r="BC23" s="504">
        <v>0</v>
      </c>
      <c r="BD23" s="504">
        <v>0</v>
      </c>
      <c r="BE23" s="504">
        <v>0</v>
      </c>
      <c r="BF23" s="504">
        <v>0</v>
      </c>
      <c r="BG23" s="504">
        <v>0</v>
      </c>
      <c r="BH23" s="504">
        <v>0</v>
      </c>
      <c r="BI23" s="504">
        <v>0</v>
      </c>
      <c r="BJ23" s="504">
        <v>0</v>
      </c>
      <c r="BK23" s="504">
        <v>0</v>
      </c>
      <c r="BL23" s="504">
        <v>0</v>
      </c>
      <c r="BM23" s="504">
        <v>0</v>
      </c>
      <c r="BN23" s="504">
        <v>0</v>
      </c>
      <c r="BO23" s="504">
        <v>0</v>
      </c>
      <c r="BP23" s="504">
        <v>0</v>
      </c>
      <c r="BQ23" s="504">
        <v>0</v>
      </c>
      <c r="BR23" s="504">
        <v>0</v>
      </c>
      <c r="BS23" s="504">
        <v>0</v>
      </c>
      <c r="BT23" s="504">
        <v>0</v>
      </c>
      <c r="BU23" s="504">
        <v>0</v>
      </c>
      <c r="BV23" s="504">
        <v>0</v>
      </c>
      <c r="BW23" s="504">
        <v>0</v>
      </c>
      <c r="BX23" s="504">
        <v>0</v>
      </c>
      <c r="BY23" s="504">
        <v>0</v>
      </c>
      <c r="BZ23" s="504">
        <v>0</v>
      </c>
      <c r="CA23" s="504">
        <v>0</v>
      </c>
      <c r="CB23" s="504">
        <v>0</v>
      </c>
      <c r="CC23" s="504">
        <v>0</v>
      </c>
      <c r="CD23" s="504">
        <v>0</v>
      </c>
      <c r="CE23" s="504">
        <v>0</v>
      </c>
      <c r="CF23" s="504">
        <v>0</v>
      </c>
      <c r="CG23" s="504">
        <v>0</v>
      </c>
      <c r="CH23" s="504">
        <v>0</v>
      </c>
      <c r="CI23" s="504">
        <v>0</v>
      </c>
      <c r="CJ23" s="504">
        <v>0</v>
      </c>
      <c r="CK23" s="504">
        <v>0</v>
      </c>
      <c r="CL23" s="504">
        <v>0</v>
      </c>
      <c r="CM23" s="504">
        <v>0</v>
      </c>
      <c r="CN23" s="504">
        <v>0</v>
      </c>
      <c r="CO23" s="504">
        <v>0</v>
      </c>
      <c r="CP23" s="504">
        <v>0</v>
      </c>
      <c r="CQ23" s="504">
        <v>0</v>
      </c>
      <c r="CR23" s="504">
        <v>0</v>
      </c>
      <c r="CS23" s="504">
        <v>0</v>
      </c>
      <c r="CT23" s="504">
        <v>0</v>
      </c>
      <c r="CU23" s="504">
        <v>0</v>
      </c>
      <c r="CV23" s="504">
        <v>0</v>
      </c>
      <c r="CW23" s="504">
        <v>0</v>
      </c>
      <c r="CX23" s="504">
        <v>0</v>
      </c>
      <c r="CY23" s="504">
        <v>0</v>
      </c>
      <c r="CZ23" s="1654">
        <v>0</v>
      </c>
      <c r="DA23" s="504">
        <v>0</v>
      </c>
      <c r="DB23" s="504">
        <v>110</v>
      </c>
      <c r="DC23" s="504">
        <v>428</v>
      </c>
      <c r="DD23" s="504">
        <v>1030</v>
      </c>
      <c r="DE23" s="504">
        <v>1286</v>
      </c>
      <c r="DF23" s="504">
        <v>1596</v>
      </c>
      <c r="DG23" s="504">
        <v>0</v>
      </c>
      <c r="DH23" s="504">
        <v>0</v>
      </c>
      <c r="DI23" s="504">
        <v>0</v>
      </c>
      <c r="DJ23" s="504">
        <v>0</v>
      </c>
      <c r="DK23" s="504">
        <v>0</v>
      </c>
      <c r="DL23" s="504">
        <v>0</v>
      </c>
      <c r="DM23" s="504">
        <v>0</v>
      </c>
      <c r="DN23" s="504">
        <v>0</v>
      </c>
      <c r="DO23" s="504">
        <v>0</v>
      </c>
      <c r="DP23" s="504">
        <v>0</v>
      </c>
      <c r="DQ23" s="504">
        <v>0</v>
      </c>
      <c r="DR23" s="504">
        <v>0</v>
      </c>
      <c r="DS23" s="504">
        <v>0</v>
      </c>
      <c r="DT23" s="504">
        <v>0</v>
      </c>
      <c r="DU23" s="504">
        <v>0</v>
      </c>
      <c r="DV23" s="504">
        <v>0</v>
      </c>
      <c r="DW23" s="504">
        <v>0</v>
      </c>
      <c r="DX23" s="504">
        <v>0</v>
      </c>
      <c r="DY23" s="504">
        <v>0</v>
      </c>
      <c r="DZ23" s="504">
        <v>0</v>
      </c>
      <c r="EA23" s="504">
        <v>0</v>
      </c>
      <c r="EB23" s="504">
        <v>0</v>
      </c>
      <c r="EC23" s="504">
        <v>0</v>
      </c>
      <c r="ED23" s="504">
        <v>0</v>
      </c>
      <c r="EE23" s="504">
        <v>0</v>
      </c>
      <c r="EF23" s="504">
        <v>0</v>
      </c>
      <c r="EG23" s="504">
        <v>0</v>
      </c>
      <c r="EH23" s="504">
        <v>0</v>
      </c>
      <c r="EI23" s="504">
        <v>0</v>
      </c>
      <c r="EJ23" s="504">
        <v>0</v>
      </c>
      <c r="EK23" s="504">
        <v>0</v>
      </c>
      <c r="EL23" s="504">
        <v>0</v>
      </c>
      <c r="EM23" s="504">
        <v>0</v>
      </c>
      <c r="EN23" s="504">
        <v>0</v>
      </c>
      <c r="EO23" s="504">
        <v>0</v>
      </c>
      <c r="EP23" s="504">
        <v>0</v>
      </c>
      <c r="EQ23" s="504">
        <v>0</v>
      </c>
      <c r="ER23" s="504">
        <v>0</v>
      </c>
      <c r="ES23" s="504">
        <v>0</v>
      </c>
      <c r="ET23" s="504">
        <v>0</v>
      </c>
      <c r="EU23" s="504">
        <v>0</v>
      </c>
      <c r="EV23" s="504">
        <v>0</v>
      </c>
      <c r="EW23" s="504">
        <v>0</v>
      </c>
      <c r="EX23" s="504">
        <v>0</v>
      </c>
      <c r="EY23" s="504">
        <v>0</v>
      </c>
      <c r="EZ23" s="504">
        <v>0</v>
      </c>
      <c r="FA23" s="504">
        <v>0</v>
      </c>
      <c r="FB23" s="504">
        <v>0</v>
      </c>
      <c r="FC23" s="504">
        <v>0</v>
      </c>
      <c r="FD23" s="504">
        <v>0</v>
      </c>
      <c r="FE23" s="504">
        <v>0</v>
      </c>
      <c r="FF23" s="504">
        <v>0</v>
      </c>
      <c r="FG23" s="504">
        <v>0</v>
      </c>
      <c r="FH23" s="504">
        <v>0</v>
      </c>
      <c r="FI23" s="504">
        <v>0</v>
      </c>
      <c r="FJ23" s="504">
        <v>0</v>
      </c>
      <c r="FK23" s="504">
        <v>0</v>
      </c>
      <c r="FL23" s="504">
        <v>0</v>
      </c>
      <c r="FM23" s="504">
        <v>0</v>
      </c>
      <c r="FN23" s="504">
        <v>0</v>
      </c>
      <c r="FO23" s="504">
        <v>0</v>
      </c>
      <c r="FP23" s="504">
        <v>0</v>
      </c>
      <c r="FQ23" s="504">
        <v>0</v>
      </c>
      <c r="FR23" s="504">
        <v>0</v>
      </c>
      <c r="FS23" s="504">
        <v>0</v>
      </c>
      <c r="FT23" s="504">
        <v>0</v>
      </c>
      <c r="FU23" s="504">
        <v>0</v>
      </c>
      <c r="FV23" s="504">
        <v>0</v>
      </c>
      <c r="FW23" s="504">
        <v>0</v>
      </c>
      <c r="FX23" s="504">
        <v>0</v>
      </c>
      <c r="FY23" s="504">
        <v>0</v>
      </c>
      <c r="FZ23" s="504">
        <v>0</v>
      </c>
      <c r="GA23" s="504">
        <v>0</v>
      </c>
      <c r="GB23" s="504">
        <v>0</v>
      </c>
      <c r="GC23" s="504">
        <v>0</v>
      </c>
      <c r="GD23" s="504">
        <v>0</v>
      </c>
      <c r="GE23" s="504">
        <v>0</v>
      </c>
      <c r="GF23" s="504">
        <v>0</v>
      </c>
      <c r="GG23" s="504">
        <v>0</v>
      </c>
      <c r="GH23" s="504">
        <v>0</v>
      </c>
      <c r="GI23" s="504">
        <v>0</v>
      </c>
      <c r="GJ23" s="504">
        <v>0</v>
      </c>
      <c r="GK23" s="504">
        <v>0</v>
      </c>
      <c r="GL23" s="504">
        <v>0</v>
      </c>
      <c r="GM23" s="504">
        <v>0</v>
      </c>
      <c r="GN23" s="504">
        <v>0</v>
      </c>
      <c r="GO23" s="504">
        <v>0</v>
      </c>
      <c r="GP23" s="504">
        <v>0</v>
      </c>
      <c r="GQ23" s="504">
        <v>0</v>
      </c>
      <c r="GR23" s="504">
        <v>0</v>
      </c>
      <c r="GS23" s="504">
        <v>0</v>
      </c>
      <c r="GT23" s="504">
        <v>0</v>
      </c>
      <c r="GU23" s="504">
        <v>0</v>
      </c>
      <c r="GV23" s="504">
        <v>0</v>
      </c>
      <c r="GW23" s="1654">
        <v>0</v>
      </c>
      <c r="GX23" s="504">
        <v>0</v>
      </c>
      <c r="GY23" s="504">
        <v>14087</v>
      </c>
      <c r="GZ23" s="504">
        <v>27178</v>
      </c>
      <c r="HA23" s="504">
        <v>31000</v>
      </c>
      <c r="HB23" s="504">
        <v>30000</v>
      </c>
      <c r="HC23" s="504">
        <v>29000</v>
      </c>
      <c r="HD23" s="504">
        <v>0</v>
      </c>
      <c r="HE23" s="504">
        <v>0</v>
      </c>
      <c r="HF23" s="504">
        <v>0</v>
      </c>
      <c r="HG23" s="504">
        <v>0</v>
      </c>
      <c r="HH23" s="504">
        <v>0</v>
      </c>
      <c r="HI23" s="504">
        <v>0</v>
      </c>
      <c r="HJ23" s="504">
        <v>0</v>
      </c>
      <c r="HK23" s="504">
        <v>0</v>
      </c>
      <c r="HL23" s="504">
        <v>0</v>
      </c>
      <c r="HM23" s="504">
        <v>0</v>
      </c>
      <c r="HN23" s="504">
        <v>0</v>
      </c>
      <c r="HO23" s="504">
        <v>0</v>
      </c>
      <c r="HP23" s="504">
        <v>0</v>
      </c>
      <c r="HQ23" s="504">
        <v>0</v>
      </c>
      <c r="HR23" s="504">
        <v>0</v>
      </c>
      <c r="HS23" s="504">
        <v>0</v>
      </c>
      <c r="HT23" s="504">
        <v>0</v>
      </c>
      <c r="HU23" s="504">
        <v>0</v>
      </c>
      <c r="HV23" s="504">
        <v>0</v>
      </c>
      <c r="HW23" s="504">
        <v>0</v>
      </c>
      <c r="HX23" s="504">
        <v>0</v>
      </c>
      <c r="HY23" s="504">
        <v>0</v>
      </c>
      <c r="HZ23" s="504">
        <v>0</v>
      </c>
      <c r="IA23" s="504">
        <v>0</v>
      </c>
      <c r="IB23" s="504">
        <v>0</v>
      </c>
      <c r="IC23" s="504">
        <v>0</v>
      </c>
      <c r="ID23" s="504">
        <v>0</v>
      </c>
      <c r="IE23" s="504">
        <v>0</v>
      </c>
      <c r="IF23" s="504">
        <v>0</v>
      </c>
      <c r="IG23" s="504">
        <v>0</v>
      </c>
      <c r="IH23" s="504">
        <v>0</v>
      </c>
      <c r="II23" s="504">
        <v>0</v>
      </c>
      <c r="IJ23" s="504">
        <v>0</v>
      </c>
      <c r="IK23" s="504">
        <v>0</v>
      </c>
      <c r="IL23" s="504">
        <v>0</v>
      </c>
      <c r="IM23" s="504">
        <v>0</v>
      </c>
      <c r="IN23" s="504">
        <v>0</v>
      </c>
      <c r="IO23" s="504">
        <v>0</v>
      </c>
      <c r="IP23" s="504">
        <v>0</v>
      </c>
      <c r="IQ23" s="504">
        <v>0</v>
      </c>
      <c r="IR23" s="504">
        <v>0</v>
      </c>
      <c r="IS23" s="504">
        <v>0</v>
      </c>
      <c r="IT23" s="504">
        <v>0</v>
      </c>
      <c r="IU23" s="504">
        <v>0</v>
      </c>
      <c r="IV23" s="504">
        <v>0</v>
      </c>
      <c r="IW23" s="504">
        <v>0</v>
      </c>
      <c r="IX23" s="504">
        <v>0</v>
      </c>
      <c r="IY23" s="504">
        <v>0</v>
      </c>
      <c r="IZ23" s="504">
        <v>0</v>
      </c>
      <c r="JA23" s="504">
        <v>0</v>
      </c>
      <c r="JB23" s="504">
        <v>0</v>
      </c>
      <c r="JC23" s="504">
        <v>0</v>
      </c>
      <c r="JD23" s="504">
        <v>0</v>
      </c>
      <c r="JE23" s="504">
        <v>0</v>
      </c>
      <c r="JF23" s="504">
        <v>0</v>
      </c>
      <c r="JG23" s="504">
        <v>0</v>
      </c>
      <c r="JH23" s="504">
        <v>0</v>
      </c>
      <c r="JI23" s="504">
        <v>0</v>
      </c>
      <c r="JJ23" s="504">
        <v>0</v>
      </c>
      <c r="JK23" s="504">
        <v>0</v>
      </c>
      <c r="JL23" s="504">
        <v>0</v>
      </c>
      <c r="JM23" s="504">
        <v>0</v>
      </c>
      <c r="JN23" s="504">
        <v>0</v>
      </c>
      <c r="JO23" s="504">
        <v>0</v>
      </c>
      <c r="JP23" s="504">
        <v>0</v>
      </c>
      <c r="JQ23" s="504">
        <v>0</v>
      </c>
      <c r="JR23" s="504">
        <v>0</v>
      </c>
      <c r="JS23" s="504">
        <v>0</v>
      </c>
      <c r="JT23" s="504">
        <v>0</v>
      </c>
      <c r="JU23" s="504">
        <v>0</v>
      </c>
      <c r="JV23" s="504">
        <v>0</v>
      </c>
      <c r="JW23" s="504">
        <v>0</v>
      </c>
      <c r="JX23" s="504">
        <v>0</v>
      </c>
      <c r="JY23" s="504">
        <v>0</v>
      </c>
      <c r="JZ23" s="504">
        <v>0</v>
      </c>
      <c r="KA23" s="504">
        <v>0</v>
      </c>
      <c r="KB23" s="504">
        <v>0</v>
      </c>
      <c r="KC23" s="504">
        <v>0</v>
      </c>
      <c r="KD23" s="504">
        <v>0</v>
      </c>
      <c r="KE23" s="504">
        <v>0</v>
      </c>
      <c r="KF23" s="504">
        <v>0</v>
      </c>
      <c r="KG23" s="504">
        <v>0</v>
      </c>
      <c r="KH23" s="504">
        <v>0</v>
      </c>
      <c r="KI23" s="504">
        <v>0</v>
      </c>
      <c r="KJ23" s="504">
        <v>0</v>
      </c>
      <c r="KK23" s="504">
        <v>0</v>
      </c>
      <c r="KL23" s="504">
        <v>0</v>
      </c>
      <c r="KM23" s="504">
        <v>0</v>
      </c>
      <c r="KN23" s="504">
        <v>0</v>
      </c>
      <c r="KO23" s="504">
        <v>0</v>
      </c>
      <c r="KP23" s="504">
        <v>0</v>
      </c>
      <c r="KQ23" s="504">
        <v>0</v>
      </c>
      <c r="KR23" s="504">
        <v>0</v>
      </c>
      <c r="KS23" s="504">
        <v>0</v>
      </c>
      <c r="KT23" s="1654">
        <v>0</v>
      </c>
      <c r="KU23" s="504">
        <v>0</v>
      </c>
      <c r="KV23" s="504">
        <v>0</v>
      </c>
      <c r="KW23" s="504">
        <v>0</v>
      </c>
      <c r="KX23" s="504">
        <v>1017</v>
      </c>
      <c r="KY23" s="504">
        <v>1273</v>
      </c>
      <c r="KZ23" s="504">
        <v>1583</v>
      </c>
      <c r="LA23" s="504">
        <v>0</v>
      </c>
      <c r="LB23" s="504">
        <v>0</v>
      </c>
      <c r="LC23" s="504">
        <v>0</v>
      </c>
      <c r="LD23" s="504">
        <v>0</v>
      </c>
      <c r="LE23" s="504">
        <v>0</v>
      </c>
      <c r="LF23" s="504">
        <v>0</v>
      </c>
      <c r="LG23" s="504">
        <v>0</v>
      </c>
      <c r="LH23" s="504">
        <v>0</v>
      </c>
      <c r="LI23" s="504">
        <v>0</v>
      </c>
      <c r="LJ23" s="504">
        <v>0</v>
      </c>
      <c r="LK23" s="504">
        <v>0</v>
      </c>
      <c r="LL23" s="504">
        <v>0</v>
      </c>
      <c r="LM23" s="504">
        <v>0</v>
      </c>
      <c r="LN23" s="504">
        <v>0</v>
      </c>
      <c r="LO23" s="504">
        <v>0</v>
      </c>
      <c r="LP23" s="504">
        <v>0</v>
      </c>
      <c r="LQ23" s="504">
        <v>0</v>
      </c>
      <c r="LR23" s="504">
        <v>0</v>
      </c>
      <c r="LS23" s="504">
        <v>0</v>
      </c>
      <c r="LT23" s="504">
        <v>0</v>
      </c>
      <c r="LU23" s="504">
        <v>0</v>
      </c>
      <c r="LV23" s="504">
        <v>0</v>
      </c>
      <c r="LW23" s="504">
        <v>0</v>
      </c>
      <c r="LX23" s="504">
        <v>0</v>
      </c>
      <c r="LY23" s="504">
        <v>0</v>
      </c>
      <c r="LZ23" s="504">
        <v>0</v>
      </c>
      <c r="MA23" s="504">
        <v>0</v>
      </c>
      <c r="MB23" s="504">
        <v>0</v>
      </c>
      <c r="MC23" s="504">
        <v>0</v>
      </c>
      <c r="MD23" s="504">
        <v>0</v>
      </c>
      <c r="ME23" s="504">
        <v>0</v>
      </c>
      <c r="MF23" s="504">
        <v>0</v>
      </c>
      <c r="MG23" s="504">
        <v>0</v>
      </c>
      <c r="MH23" s="504">
        <v>0</v>
      </c>
      <c r="MI23" s="504">
        <v>0</v>
      </c>
      <c r="MJ23" s="504">
        <v>0</v>
      </c>
      <c r="MK23" s="504">
        <v>0</v>
      </c>
      <c r="ML23" s="504">
        <v>0</v>
      </c>
      <c r="MM23" s="504">
        <v>0</v>
      </c>
      <c r="MN23" s="504">
        <v>0</v>
      </c>
      <c r="MO23" s="504">
        <v>0</v>
      </c>
      <c r="MP23" s="504">
        <v>0</v>
      </c>
      <c r="MQ23" s="504">
        <v>0</v>
      </c>
      <c r="MR23" s="504">
        <v>0</v>
      </c>
      <c r="MS23" s="504">
        <v>0</v>
      </c>
      <c r="MT23" s="504">
        <v>0</v>
      </c>
      <c r="MU23" s="504">
        <v>0</v>
      </c>
      <c r="MV23" s="504">
        <v>0</v>
      </c>
      <c r="MW23" s="504">
        <v>0</v>
      </c>
      <c r="MX23" s="504">
        <v>0</v>
      </c>
      <c r="MY23" s="504">
        <v>0</v>
      </c>
      <c r="MZ23" s="504">
        <v>0</v>
      </c>
      <c r="NA23" s="504">
        <v>0</v>
      </c>
      <c r="NB23" s="504">
        <v>0</v>
      </c>
      <c r="NC23" s="504">
        <v>0</v>
      </c>
      <c r="ND23" s="504">
        <v>0</v>
      </c>
      <c r="NE23" s="504">
        <v>0</v>
      </c>
      <c r="NF23" s="504">
        <v>0</v>
      </c>
      <c r="NG23" s="504">
        <v>0</v>
      </c>
      <c r="NH23" s="504">
        <v>0</v>
      </c>
      <c r="NI23" s="504">
        <v>0</v>
      </c>
      <c r="NJ23" s="504">
        <v>0</v>
      </c>
      <c r="NK23" s="504">
        <v>0</v>
      </c>
      <c r="NL23" s="504">
        <v>0</v>
      </c>
      <c r="NM23" s="504">
        <v>0</v>
      </c>
      <c r="NN23" s="504">
        <v>0</v>
      </c>
      <c r="NO23" s="504">
        <v>0</v>
      </c>
      <c r="NP23" s="504">
        <v>0</v>
      </c>
      <c r="NQ23" s="504">
        <v>0</v>
      </c>
      <c r="NR23" s="504">
        <v>0</v>
      </c>
      <c r="NS23" s="504">
        <v>0</v>
      </c>
      <c r="NT23" s="504">
        <v>0</v>
      </c>
      <c r="NU23" s="504">
        <v>0</v>
      </c>
      <c r="NV23" s="504">
        <v>0</v>
      </c>
      <c r="NW23" s="504">
        <v>0</v>
      </c>
      <c r="NX23" s="504">
        <v>0</v>
      </c>
      <c r="NY23" s="504">
        <v>0</v>
      </c>
      <c r="NZ23" s="504">
        <v>0</v>
      </c>
      <c r="OA23" s="504">
        <v>0</v>
      </c>
      <c r="OB23" s="504">
        <v>0</v>
      </c>
      <c r="OC23" s="504">
        <v>0</v>
      </c>
      <c r="OD23" s="504">
        <v>0</v>
      </c>
      <c r="OE23" s="504">
        <v>0</v>
      </c>
      <c r="OF23" s="504">
        <v>0</v>
      </c>
      <c r="OG23" s="504">
        <v>0</v>
      </c>
      <c r="OH23" s="504">
        <v>0</v>
      </c>
      <c r="OI23" s="504">
        <v>0</v>
      </c>
      <c r="OJ23" s="504">
        <v>0</v>
      </c>
      <c r="OK23" s="504">
        <v>0</v>
      </c>
      <c r="OL23" s="504">
        <v>0</v>
      </c>
      <c r="OM23" s="504">
        <v>0</v>
      </c>
      <c r="ON23" s="504">
        <v>0</v>
      </c>
      <c r="OO23" s="504">
        <v>0</v>
      </c>
      <c r="OP23" s="504">
        <v>0</v>
      </c>
      <c r="OQ23" s="504">
        <v>0</v>
      </c>
      <c r="OR23" s="1656"/>
    </row>
    <row r="24" spans="1:408" ht="21.5">
      <c r="A24" s="1466" t="s">
        <v>1645</v>
      </c>
      <c r="B24" s="1583" t="s">
        <v>2358</v>
      </c>
      <c r="C24" s="1583" t="s">
        <v>14</v>
      </c>
      <c r="D24" s="1583">
        <v>47</v>
      </c>
      <c r="E24" s="504">
        <v>48</v>
      </c>
      <c r="F24" s="504">
        <v>190</v>
      </c>
      <c r="G24" s="504">
        <v>486</v>
      </c>
      <c r="H24" s="504">
        <v>758</v>
      </c>
      <c r="I24" s="504">
        <v>1084</v>
      </c>
      <c r="J24" s="504">
        <v>1324</v>
      </c>
      <c r="K24" s="504">
        <v>1342</v>
      </c>
      <c r="L24" s="504">
        <v>1360</v>
      </c>
      <c r="M24" s="504">
        <v>1379</v>
      </c>
      <c r="N24" s="504">
        <v>1398</v>
      </c>
      <c r="O24" s="504">
        <v>1418</v>
      </c>
      <c r="P24" s="504">
        <v>1438</v>
      </c>
      <c r="Q24" s="504">
        <v>1458</v>
      </c>
      <c r="R24" s="504">
        <v>1479</v>
      </c>
      <c r="S24" s="504">
        <v>1500</v>
      </c>
      <c r="T24" s="504">
        <v>1522</v>
      </c>
      <c r="U24" s="504">
        <v>1544</v>
      </c>
      <c r="V24" s="504">
        <v>1566</v>
      </c>
      <c r="W24" s="504">
        <v>1589</v>
      </c>
      <c r="X24" s="504">
        <v>1612</v>
      </c>
      <c r="Y24" s="504">
        <v>1636</v>
      </c>
      <c r="Z24" s="504">
        <v>1660</v>
      </c>
      <c r="AA24" s="504">
        <v>1684</v>
      </c>
      <c r="AB24" s="504">
        <v>1709</v>
      </c>
      <c r="AC24" s="504">
        <v>1735</v>
      </c>
      <c r="AD24" s="504">
        <v>1761</v>
      </c>
      <c r="AE24" s="504">
        <v>1787</v>
      </c>
      <c r="AF24" s="504">
        <v>1815</v>
      </c>
      <c r="AG24" s="504">
        <v>1844</v>
      </c>
      <c r="AH24" s="504">
        <v>1874</v>
      </c>
      <c r="AI24" s="504">
        <v>1907</v>
      </c>
      <c r="AJ24" s="504">
        <v>1942</v>
      </c>
      <c r="AK24" s="504">
        <v>2000</v>
      </c>
      <c r="AL24" s="504">
        <v>0</v>
      </c>
      <c r="AM24" s="504">
        <v>0</v>
      </c>
      <c r="AN24" s="504">
        <v>0</v>
      </c>
      <c r="AO24" s="504">
        <v>0</v>
      </c>
      <c r="AP24" s="504">
        <v>0</v>
      </c>
      <c r="AQ24" s="504">
        <v>0</v>
      </c>
      <c r="AR24" s="504">
        <v>0</v>
      </c>
      <c r="AS24" s="504">
        <v>0</v>
      </c>
      <c r="AT24" s="504">
        <v>0</v>
      </c>
      <c r="AU24" s="504">
        <v>0</v>
      </c>
      <c r="AV24" s="504">
        <v>0</v>
      </c>
      <c r="AW24" s="504">
        <v>0</v>
      </c>
      <c r="AX24" s="504">
        <v>0</v>
      </c>
      <c r="AY24" s="504">
        <v>0</v>
      </c>
      <c r="AZ24" s="504">
        <v>0</v>
      </c>
      <c r="BA24" s="504">
        <v>0</v>
      </c>
      <c r="BB24" s="504">
        <v>0</v>
      </c>
      <c r="BC24" s="504">
        <v>0</v>
      </c>
      <c r="BD24" s="504">
        <v>0</v>
      </c>
      <c r="BE24" s="504">
        <v>0</v>
      </c>
      <c r="BF24" s="504">
        <v>0</v>
      </c>
      <c r="BG24" s="504">
        <v>0</v>
      </c>
      <c r="BH24" s="504">
        <v>0</v>
      </c>
      <c r="BI24" s="504">
        <v>0</v>
      </c>
      <c r="BJ24" s="504">
        <v>0</v>
      </c>
      <c r="BK24" s="504">
        <v>0</v>
      </c>
      <c r="BL24" s="504">
        <v>0</v>
      </c>
      <c r="BM24" s="504">
        <v>0</v>
      </c>
      <c r="BN24" s="504">
        <v>0</v>
      </c>
      <c r="BO24" s="504">
        <v>0</v>
      </c>
      <c r="BP24" s="504">
        <v>0</v>
      </c>
      <c r="BQ24" s="504">
        <v>0</v>
      </c>
      <c r="BR24" s="504">
        <v>0</v>
      </c>
      <c r="BS24" s="504">
        <v>0</v>
      </c>
      <c r="BT24" s="504">
        <v>0</v>
      </c>
      <c r="BU24" s="504">
        <v>0</v>
      </c>
      <c r="BV24" s="504">
        <v>0</v>
      </c>
      <c r="BW24" s="504">
        <v>0</v>
      </c>
      <c r="BX24" s="504">
        <v>0</v>
      </c>
      <c r="BY24" s="504">
        <v>0</v>
      </c>
      <c r="BZ24" s="504">
        <v>0</v>
      </c>
      <c r="CA24" s="504">
        <v>0</v>
      </c>
      <c r="CB24" s="504">
        <v>0</v>
      </c>
      <c r="CC24" s="504">
        <v>0</v>
      </c>
      <c r="CD24" s="504">
        <v>0</v>
      </c>
      <c r="CE24" s="504">
        <v>0</v>
      </c>
      <c r="CF24" s="504">
        <v>0</v>
      </c>
      <c r="CG24" s="504">
        <v>0</v>
      </c>
      <c r="CH24" s="504">
        <v>0</v>
      </c>
      <c r="CI24" s="504">
        <v>0</v>
      </c>
      <c r="CJ24" s="504">
        <v>0</v>
      </c>
      <c r="CK24" s="504">
        <v>0</v>
      </c>
      <c r="CL24" s="504">
        <v>0</v>
      </c>
      <c r="CM24" s="504">
        <v>0</v>
      </c>
      <c r="CN24" s="504">
        <v>0</v>
      </c>
      <c r="CO24" s="504">
        <v>0</v>
      </c>
      <c r="CP24" s="504">
        <v>0</v>
      </c>
      <c r="CQ24" s="504">
        <v>0</v>
      </c>
      <c r="CR24" s="504">
        <v>0</v>
      </c>
      <c r="CS24" s="504">
        <v>0</v>
      </c>
      <c r="CT24" s="504">
        <v>0</v>
      </c>
      <c r="CU24" s="504">
        <v>0</v>
      </c>
      <c r="CV24" s="504">
        <v>0</v>
      </c>
      <c r="CW24" s="504">
        <v>0</v>
      </c>
      <c r="CX24" s="504">
        <v>0</v>
      </c>
      <c r="CY24" s="504">
        <v>0</v>
      </c>
      <c r="CZ24" s="1654">
        <v>0</v>
      </c>
      <c r="DA24" s="504">
        <v>0</v>
      </c>
      <c r="DB24" s="504">
        <v>110</v>
      </c>
      <c r="DC24" s="504">
        <v>423</v>
      </c>
      <c r="DD24" s="504">
        <v>1024</v>
      </c>
      <c r="DE24" s="504">
        <v>1284</v>
      </c>
      <c r="DF24" s="504">
        <v>1597</v>
      </c>
      <c r="DG24" s="504">
        <v>0</v>
      </c>
      <c r="DH24" s="504">
        <v>0</v>
      </c>
      <c r="DI24" s="504">
        <v>0</v>
      </c>
      <c r="DJ24" s="504">
        <v>0</v>
      </c>
      <c r="DK24" s="504">
        <v>0</v>
      </c>
      <c r="DL24" s="504">
        <v>0</v>
      </c>
      <c r="DM24" s="504">
        <v>0</v>
      </c>
      <c r="DN24" s="504">
        <v>0</v>
      </c>
      <c r="DO24" s="504">
        <v>0</v>
      </c>
      <c r="DP24" s="504">
        <v>0</v>
      </c>
      <c r="DQ24" s="504">
        <v>0</v>
      </c>
      <c r="DR24" s="504">
        <v>0</v>
      </c>
      <c r="DS24" s="504">
        <v>0</v>
      </c>
      <c r="DT24" s="504">
        <v>0</v>
      </c>
      <c r="DU24" s="504">
        <v>0</v>
      </c>
      <c r="DV24" s="504">
        <v>0</v>
      </c>
      <c r="DW24" s="504">
        <v>0</v>
      </c>
      <c r="DX24" s="504">
        <v>0</v>
      </c>
      <c r="DY24" s="504">
        <v>0</v>
      </c>
      <c r="DZ24" s="504">
        <v>0</v>
      </c>
      <c r="EA24" s="504">
        <v>0</v>
      </c>
      <c r="EB24" s="504">
        <v>0</v>
      </c>
      <c r="EC24" s="504">
        <v>0</v>
      </c>
      <c r="ED24" s="504">
        <v>0</v>
      </c>
      <c r="EE24" s="504">
        <v>0</v>
      </c>
      <c r="EF24" s="504">
        <v>0</v>
      </c>
      <c r="EG24" s="504">
        <v>0</v>
      </c>
      <c r="EH24" s="504">
        <v>0</v>
      </c>
      <c r="EI24" s="504">
        <v>0</v>
      </c>
      <c r="EJ24" s="504">
        <v>0</v>
      </c>
      <c r="EK24" s="504">
        <v>0</v>
      </c>
      <c r="EL24" s="504">
        <v>0</v>
      </c>
      <c r="EM24" s="504">
        <v>0</v>
      </c>
      <c r="EN24" s="504">
        <v>0</v>
      </c>
      <c r="EO24" s="504">
        <v>0</v>
      </c>
      <c r="EP24" s="504">
        <v>0</v>
      </c>
      <c r="EQ24" s="504">
        <v>0</v>
      </c>
      <c r="ER24" s="504">
        <v>0</v>
      </c>
      <c r="ES24" s="504">
        <v>0</v>
      </c>
      <c r="ET24" s="504">
        <v>0</v>
      </c>
      <c r="EU24" s="504">
        <v>0</v>
      </c>
      <c r="EV24" s="504">
        <v>0</v>
      </c>
      <c r="EW24" s="504">
        <v>0</v>
      </c>
      <c r="EX24" s="504">
        <v>0</v>
      </c>
      <c r="EY24" s="504">
        <v>0</v>
      </c>
      <c r="EZ24" s="504">
        <v>0</v>
      </c>
      <c r="FA24" s="504">
        <v>0</v>
      </c>
      <c r="FB24" s="504">
        <v>0</v>
      </c>
      <c r="FC24" s="504">
        <v>0</v>
      </c>
      <c r="FD24" s="504">
        <v>0</v>
      </c>
      <c r="FE24" s="504">
        <v>0</v>
      </c>
      <c r="FF24" s="504">
        <v>0</v>
      </c>
      <c r="FG24" s="504">
        <v>0</v>
      </c>
      <c r="FH24" s="504">
        <v>0</v>
      </c>
      <c r="FI24" s="504">
        <v>0</v>
      </c>
      <c r="FJ24" s="504">
        <v>0</v>
      </c>
      <c r="FK24" s="504">
        <v>0</v>
      </c>
      <c r="FL24" s="504">
        <v>0</v>
      </c>
      <c r="FM24" s="504">
        <v>0</v>
      </c>
      <c r="FN24" s="504">
        <v>0</v>
      </c>
      <c r="FO24" s="504">
        <v>0</v>
      </c>
      <c r="FP24" s="504">
        <v>0</v>
      </c>
      <c r="FQ24" s="504">
        <v>0</v>
      </c>
      <c r="FR24" s="504">
        <v>0</v>
      </c>
      <c r="FS24" s="504">
        <v>0</v>
      </c>
      <c r="FT24" s="504">
        <v>0</v>
      </c>
      <c r="FU24" s="504">
        <v>0</v>
      </c>
      <c r="FV24" s="504">
        <v>0</v>
      </c>
      <c r="FW24" s="504">
        <v>0</v>
      </c>
      <c r="FX24" s="504">
        <v>0</v>
      </c>
      <c r="FY24" s="504">
        <v>0</v>
      </c>
      <c r="FZ24" s="504">
        <v>0</v>
      </c>
      <c r="GA24" s="504">
        <v>0</v>
      </c>
      <c r="GB24" s="504">
        <v>0</v>
      </c>
      <c r="GC24" s="504">
        <v>0</v>
      </c>
      <c r="GD24" s="504">
        <v>0</v>
      </c>
      <c r="GE24" s="504">
        <v>0</v>
      </c>
      <c r="GF24" s="504">
        <v>0</v>
      </c>
      <c r="GG24" s="504">
        <v>0</v>
      </c>
      <c r="GH24" s="504">
        <v>0</v>
      </c>
      <c r="GI24" s="504">
        <v>0</v>
      </c>
      <c r="GJ24" s="504">
        <v>0</v>
      </c>
      <c r="GK24" s="504">
        <v>0</v>
      </c>
      <c r="GL24" s="504">
        <v>0</v>
      </c>
      <c r="GM24" s="504">
        <v>0</v>
      </c>
      <c r="GN24" s="504">
        <v>0</v>
      </c>
      <c r="GO24" s="504">
        <v>0</v>
      </c>
      <c r="GP24" s="504">
        <v>0</v>
      </c>
      <c r="GQ24" s="504">
        <v>0</v>
      </c>
      <c r="GR24" s="504">
        <v>0</v>
      </c>
      <c r="GS24" s="504">
        <v>0</v>
      </c>
      <c r="GT24" s="504">
        <v>0</v>
      </c>
      <c r="GU24" s="504">
        <v>0</v>
      </c>
      <c r="GV24" s="504">
        <v>0</v>
      </c>
      <c r="GW24" s="1654">
        <v>0</v>
      </c>
      <c r="GX24" s="504">
        <v>0</v>
      </c>
      <c r="GY24" s="504">
        <v>13206</v>
      </c>
      <c r="GZ24" s="504">
        <v>26164</v>
      </c>
      <c r="HA24" s="504">
        <v>30000</v>
      </c>
      <c r="HB24" s="504">
        <v>29000</v>
      </c>
      <c r="HC24" s="504">
        <v>28000</v>
      </c>
      <c r="HD24" s="504">
        <v>0</v>
      </c>
      <c r="HE24" s="504">
        <v>0</v>
      </c>
      <c r="HF24" s="504">
        <v>0</v>
      </c>
      <c r="HG24" s="504">
        <v>0</v>
      </c>
      <c r="HH24" s="504">
        <v>0</v>
      </c>
      <c r="HI24" s="504">
        <v>0</v>
      </c>
      <c r="HJ24" s="504">
        <v>0</v>
      </c>
      <c r="HK24" s="504">
        <v>0</v>
      </c>
      <c r="HL24" s="504">
        <v>0</v>
      </c>
      <c r="HM24" s="504">
        <v>0</v>
      </c>
      <c r="HN24" s="504">
        <v>0</v>
      </c>
      <c r="HO24" s="504">
        <v>0</v>
      </c>
      <c r="HP24" s="504">
        <v>0</v>
      </c>
      <c r="HQ24" s="504">
        <v>0</v>
      </c>
      <c r="HR24" s="504">
        <v>0</v>
      </c>
      <c r="HS24" s="504">
        <v>0</v>
      </c>
      <c r="HT24" s="504">
        <v>0</v>
      </c>
      <c r="HU24" s="504">
        <v>0</v>
      </c>
      <c r="HV24" s="504">
        <v>0</v>
      </c>
      <c r="HW24" s="504">
        <v>0</v>
      </c>
      <c r="HX24" s="504">
        <v>0</v>
      </c>
      <c r="HY24" s="504">
        <v>0</v>
      </c>
      <c r="HZ24" s="504">
        <v>0</v>
      </c>
      <c r="IA24" s="504">
        <v>0</v>
      </c>
      <c r="IB24" s="504">
        <v>0</v>
      </c>
      <c r="IC24" s="504">
        <v>0</v>
      </c>
      <c r="ID24" s="504">
        <v>0</v>
      </c>
      <c r="IE24" s="504">
        <v>0</v>
      </c>
      <c r="IF24" s="504">
        <v>0</v>
      </c>
      <c r="IG24" s="504">
        <v>0</v>
      </c>
      <c r="IH24" s="504">
        <v>0</v>
      </c>
      <c r="II24" s="504">
        <v>0</v>
      </c>
      <c r="IJ24" s="504">
        <v>0</v>
      </c>
      <c r="IK24" s="504">
        <v>0</v>
      </c>
      <c r="IL24" s="504">
        <v>0</v>
      </c>
      <c r="IM24" s="504">
        <v>0</v>
      </c>
      <c r="IN24" s="504">
        <v>0</v>
      </c>
      <c r="IO24" s="504">
        <v>0</v>
      </c>
      <c r="IP24" s="504">
        <v>0</v>
      </c>
      <c r="IQ24" s="504">
        <v>0</v>
      </c>
      <c r="IR24" s="504">
        <v>0</v>
      </c>
      <c r="IS24" s="504">
        <v>0</v>
      </c>
      <c r="IT24" s="504">
        <v>0</v>
      </c>
      <c r="IU24" s="504">
        <v>0</v>
      </c>
      <c r="IV24" s="504">
        <v>0</v>
      </c>
      <c r="IW24" s="504">
        <v>0</v>
      </c>
      <c r="IX24" s="504">
        <v>0</v>
      </c>
      <c r="IY24" s="504">
        <v>0</v>
      </c>
      <c r="IZ24" s="504">
        <v>0</v>
      </c>
      <c r="JA24" s="504">
        <v>0</v>
      </c>
      <c r="JB24" s="504">
        <v>0</v>
      </c>
      <c r="JC24" s="504">
        <v>0</v>
      </c>
      <c r="JD24" s="504">
        <v>0</v>
      </c>
      <c r="JE24" s="504">
        <v>0</v>
      </c>
      <c r="JF24" s="504">
        <v>0</v>
      </c>
      <c r="JG24" s="504">
        <v>0</v>
      </c>
      <c r="JH24" s="504">
        <v>0</v>
      </c>
      <c r="JI24" s="504">
        <v>0</v>
      </c>
      <c r="JJ24" s="504">
        <v>0</v>
      </c>
      <c r="JK24" s="504">
        <v>0</v>
      </c>
      <c r="JL24" s="504">
        <v>0</v>
      </c>
      <c r="JM24" s="504">
        <v>0</v>
      </c>
      <c r="JN24" s="504">
        <v>0</v>
      </c>
      <c r="JO24" s="504">
        <v>0</v>
      </c>
      <c r="JP24" s="504">
        <v>0</v>
      </c>
      <c r="JQ24" s="504">
        <v>0</v>
      </c>
      <c r="JR24" s="504">
        <v>0</v>
      </c>
      <c r="JS24" s="504">
        <v>0</v>
      </c>
      <c r="JT24" s="504">
        <v>0</v>
      </c>
      <c r="JU24" s="504">
        <v>0</v>
      </c>
      <c r="JV24" s="504">
        <v>0</v>
      </c>
      <c r="JW24" s="504">
        <v>0</v>
      </c>
      <c r="JX24" s="504">
        <v>0</v>
      </c>
      <c r="JY24" s="504">
        <v>0</v>
      </c>
      <c r="JZ24" s="504">
        <v>0</v>
      </c>
      <c r="KA24" s="504">
        <v>0</v>
      </c>
      <c r="KB24" s="504">
        <v>0</v>
      </c>
      <c r="KC24" s="504">
        <v>0</v>
      </c>
      <c r="KD24" s="504">
        <v>0</v>
      </c>
      <c r="KE24" s="504">
        <v>0</v>
      </c>
      <c r="KF24" s="504">
        <v>0</v>
      </c>
      <c r="KG24" s="504">
        <v>0</v>
      </c>
      <c r="KH24" s="504">
        <v>0</v>
      </c>
      <c r="KI24" s="504">
        <v>0</v>
      </c>
      <c r="KJ24" s="504">
        <v>0</v>
      </c>
      <c r="KK24" s="504">
        <v>0</v>
      </c>
      <c r="KL24" s="504">
        <v>0</v>
      </c>
      <c r="KM24" s="504">
        <v>0</v>
      </c>
      <c r="KN24" s="504">
        <v>0</v>
      </c>
      <c r="KO24" s="504">
        <v>0</v>
      </c>
      <c r="KP24" s="504">
        <v>0</v>
      </c>
      <c r="KQ24" s="504">
        <v>0</v>
      </c>
      <c r="KR24" s="504">
        <v>0</v>
      </c>
      <c r="KS24" s="504">
        <v>0</v>
      </c>
      <c r="KT24" s="1654">
        <v>0</v>
      </c>
      <c r="KU24" s="504">
        <v>0</v>
      </c>
      <c r="KV24" s="504">
        <v>0</v>
      </c>
      <c r="KW24" s="504">
        <v>0</v>
      </c>
      <c r="KX24" s="504">
        <v>1011</v>
      </c>
      <c r="KY24" s="504">
        <v>1271</v>
      </c>
      <c r="KZ24" s="504">
        <v>1583</v>
      </c>
      <c r="LA24" s="504">
        <v>0</v>
      </c>
      <c r="LB24" s="504">
        <v>0</v>
      </c>
      <c r="LC24" s="504">
        <v>0</v>
      </c>
      <c r="LD24" s="504">
        <v>0</v>
      </c>
      <c r="LE24" s="504">
        <v>0</v>
      </c>
      <c r="LF24" s="504">
        <v>0</v>
      </c>
      <c r="LG24" s="504">
        <v>0</v>
      </c>
      <c r="LH24" s="504">
        <v>0</v>
      </c>
      <c r="LI24" s="504">
        <v>0</v>
      </c>
      <c r="LJ24" s="504">
        <v>0</v>
      </c>
      <c r="LK24" s="504">
        <v>0</v>
      </c>
      <c r="LL24" s="504">
        <v>0</v>
      </c>
      <c r="LM24" s="504">
        <v>0</v>
      </c>
      <c r="LN24" s="504">
        <v>0</v>
      </c>
      <c r="LO24" s="504">
        <v>0</v>
      </c>
      <c r="LP24" s="504">
        <v>0</v>
      </c>
      <c r="LQ24" s="504">
        <v>0</v>
      </c>
      <c r="LR24" s="504">
        <v>0</v>
      </c>
      <c r="LS24" s="504">
        <v>0</v>
      </c>
      <c r="LT24" s="504">
        <v>0</v>
      </c>
      <c r="LU24" s="504">
        <v>0</v>
      </c>
      <c r="LV24" s="504">
        <v>0</v>
      </c>
      <c r="LW24" s="504">
        <v>0</v>
      </c>
      <c r="LX24" s="504">
        <v>0</v>
      </c>
      <c r="LY24" s="504">
        <v>0</v>
      </c>
      <c r="LZ24" s="504">
        <v>0</v>
      </c>
      <c r="MA24" s="504">
        <v>0</v>
      </c>
      <c r="MB24" s="504">
        <v>0</v>
      </c>
      <c r="MC24" s="504">
        <v>0</v>
      </c>
      <c r="MD24" s="504">
        <v>0</v>
      </c>
      <c r="ME24" s="504">
        <v>0</v>
      </c>
      <c r="MF24" s="504">
        <v>0</v>
      </c>
      <c r="MG24" s="504">
        <v>0</v>
      </c>
      <c r="MH24" s="504">
        <v>0</v>
      </c>
      <c r="MI24" s="504">
        <v>0</v>
      </c>
      <c r="MJ24" s="504">
        <v>0</v>
      </c>
      <c r="MK24" s="504">
        <v>0</v>
      </c>
      <c r="ML24" s="504">
        <v>0</v>
      </c>
      <c r="MM24" s="504">
        <v>0</v>
      </c>
      <c r="MN24" s="504">
        <v>0</v>
      </c>
      <c r="MO24" s="504">
        <v>0</v>
      </c>
      <c r="MP24" s="504">
        <v>0</v>
      </c>
      <c r="MQ24" s="504">
        <v>0</v>
      </c>
      <c r="MR24" s="504">
        <v>0</v>
      </c>
      <c r="MS24" s="504">
        <v>0</v>
      </c>
      <c r="MT24" s="504">
        <v>0</v>
      </c>
      <c r="MU24" s="504">
        <v>0</v>
      </c>
      <c r="MV24" s="504">
        <v>0</v>
      </c>
      <c r="MW24" s="504">
        <v>0</v>
      </c>
      <c r="MX24" s="504">
        <v>0</v>
      </c>
      <c r="MY24" s="504">
        <v>0</v>
      </c>
      <c r="MZ24" s="504">
        <v>0</v>
      </c>
      <c r="NA24" s="504">
        <v>0</v>
      </c>
      <c r="NB24" s="504">
        <v>0</v>
      </c>
      <c r="NC24" s="504">
        <v>0</v>
      </c>
      <c r="ND24" s="504">
        <v>0</v>
      </c>
      <c r="NE24" s="504">
        <v>0</v>
      </c>
      <c r="NF24" s="504">
        <v>0</v>
      </c>
      <c r="NG24" s="504">
        <v>0</v>
      </c>
      <c r="NH24" s="504">
        <v>0</v>
      </c>
      <c r="NI24" s="504">
        <v>0</v>
      </c>
      <c r="NJ24" s="504">
        <v>0</v>
      </c>
      <c r="NK24" s="504">
        <v>0</v>
      </c>
      <c r="NL24" s="504">
        <v>0</v>
      </c>
      <c r="NM24" s="504">
        <v>0</v>
      </c>
      <c r="NN24" s="504">
        <v>0</v>
      </c>
      <c r="NO24" s="504">
        <v>0</v>
      </c>
      <c r="NP24" s="504">
        <v>0</v>
      </c>
      <c r="NQ24" s="504">
        <v>0</v>
      </c>
      <c r="NR24" s="504">
        <v>0</v>
      </c>
      <c r="NS24" s="504">
        <v>0</v>
      </c>
      <c r="NT24" s="504">
        <v>0</v>
      </c>
      <c r="NU24" s="504">
        <v>0</v>
      </c>
      <c r="NV24" s="504">
        <v>0</v>
      </c>
      <c r="NW24" s="504">
        <v>0</v>
      </c>
      <c r="NX24" s="504">
        <v>0</v>
      </c>
      <c r="NY24" s="504">
        <v>0</v>
      </c>
      <c r="NZ24" s="504">
        <v>0</v>
      </c>
      <c r="OA24" s="504">
        <v>0</v>
      </c>
      <c r="OB24" s="504">
        <v>0</v>
      </c>
      <c r="OC24" s="504">
        <v>0</v>
      </c>
      <c r="OD24" s="504">
        <v>0</v>
      </c>
      <c r="OE24" s="504">
        <v>0</v>
      </c>
      <c r="OF24" s="504">
        <v>0</v>
      </c>
      <c r="OG24" s="504">
        <v>0</v>
      </c>
      <c r="OH24" s="504">
        <v>0</v>
      </c>
      <c r="OI24" s="504">
        <v>0</v>
      </c>
      <c r="OJ24" s="504">
        <v>0</v>
      </c>
      <c r="OK24" s="504">
        <v>0</v>
      </c>
      <c r="OL24" s="504">
        <v>0</v>
      </c>
      <c r="OM24" s="504">
        <v>0</v>
      </c>
      <c r="ON24" s="504">
        <v>0</v>
      </c>
      <c r="OO24" s="504">
        <v>0</v>
      </c>
      <c r="OP24" s="504">
        <v>0</v>
      </c>
      <c r="OQ24" s="504">
        <v>0</v>
      </c>
      <c r="OR24" s="1656"/>
    </row>
    <row r="25" spans="1:408" ht="21.5">
      <c r="A25" s="1466" t="s">
        <v>1646</v>
      </c>
      <c r="B25" s="1583" t="s">
        <v>2358</v>
      </c>
      <c r="C25" s="1583" t="s">
        <v>14</v>
      </c>
      <c r="D25" s="1583">
        <v>48</v>
      </c>
      <c r="E25" s="504">
        <v>49</v>
      </c>
      <c r="F25" s="504">
        <v>193</v>
      </c>
      <c r="G25" s="504">
        <v>493</v>
      </c>
      <c r="H25" s="504">
        <v>768</v>
      </c>
      <c r="I25" s="504">
        <v>1099</v>
      </c>
      <c r="J25" s="504">
        <v>1342</v>
      </c>
      <c r="K25" s="504">
        <v>1360</v>
      </c>
      <c r="L25" s="504">
        <v>1379</v>
      </c>
      <c r="M25" s="504">
        <v>1398</v>
      </c>
      <c r="N25" s="504">
        <v>1418</v>
      </c>
      <c r="O25" s="504">
        <v>1438</v>
      </c>
      <c r="P25" s="504">
        <v>1458</v>
      </c>
      <c r="Q25" s="504">
        <v>1479</v>
      </c>
      <c r="R25" s="504">
        <v>1500</v>
      </c>
      <c r="S25" s="504">
        <v>1522</v>
      </c>
      <c r="T25" s="504">
        <v>1544</v>
      </c>
      <c r="U25" s="504">
        <v>1566</v>
      </c>
      <c r="V25" s="504">
        <v>1589</v>
      </c>
      <c r="W25" s="504">
        <v>1612</v>
      </c>
      <c r="X25" s="504">
        <v>1636</v>
      </c>
      <c r="Y25" s="504">
        <v>1660</v>
      </c>
      <c r="Z25" s="504">
        <v>1684</v>
      </c>
      <c r="AA25" s="504">
        <v>1709</v>
      </c>
      <c r="AB25" s="504">
        <v>1735</v>
      </c>
      <c r="AC25" s="504">
        <v>1761</v>
      </c>
      <c r="AD25" s="504">
        <v>1787</v>
      </c>
      <c r="AE25" s="504">
        <v>1815</v>
      </c>
      <c r="AF25" s="504">
        <v>1844</v>
      </c>
      <c r="AG25" s="504">
        <v>1874</v>
      </c>
      <c r="AH25" s="504">
        <v>1907</v>
      </c>
      <c r="AI25" s="504">
        <v>1942</v>
      </c>
      <c r="AJ25" s="504">
        <v>2000</v>
      </c>
      <c r="AK25" s="504">
        <v>0</v>
      </c>
      <c r="AL25" s="504">
        <v>0</v>
      </c>
      <c r="AM25" s="504">
        <v>0</v>
      </c>
      <c r="AN25" s="504">
        <v>0</v>
      </c>
      <c r="AO25" s="504">
        <v>0</v>
      </c>
      <c r="AP25" s="504">
        <v>0</v>
      </c>
      <c r="AQ25" s="504">
        <v>0</v>
      </c>
      <c r="AR25" s="504">
        <v>0</v>
      </c>
      <c r="AS25" s="504">
        <v>0</v>
      </c>
      <c r="AT25" s="504">
        <v>0</v>
      </c>
      <c r="AU25" s="504">
        <v>0</v>
      </c>
      <c r="AV25" s="504">
        <v>0</v>
      </c>
      <c r="AW25" s="504">
        <v>0</v>
      </c>
      <c r="AX25" s="504">
        <v>0</v>
      </c>
      <c r="AY25" s="504">
        <v>0</v>
      </c>
      <c r="AZ25" s="504">
        <v>0</v>
      </c>
      <c r="BA25" s="504">
        <v>0</v>
      </c>
      <c r="BB25" s="504">
        <v>0</v>
      </c>
      <c r="BC25" s="504">
        <v>0</v>
      </c>
      <c r="BD25" s="504">
        <v>0</v>
      </c>
      <c r="BE25" s="504">
        <v>0</v>
      </c>
      <c r="BF25" s="504">
        <v>0</v>
      </c>
      <c r="BG25" s="504">
        <v>0</v>
      </c>
      <c r="BH25" s="504">
        <v>0</v>
      </c>
      <c r="BI25" s="504">
        <v>0</v>
      </c>
      <c r="BJ25" s="504">
        <v>0</v>
      </c>
      <c r="BK25" s="504">
        <v>0</v>
      </c>
      <c r="BL25" s="504">
        <v>0</v>
      </c>
      <c r="BM25" s="504">
        <v>0</v>
      </c>
      <c r="BN25" s="504">
        <v>0</v>
      </c>
      <c r="BO25" s="504">
        <v>0</v>
      </c>
      <c r="BP25" s="504">
        <v>0</v>
      </c>
      <c r="BQ25" s="504">
        <v>0</v>
      </c>
      <c r="BR25" s="504">
        <v>0</v>
      </c>
      <c r="BS25" s="504">
        <v>0</v>
      </c>
      <c r="BT25" s="504">
        <v>0</v>
      </c>
      <c r="BU25" s="504">
        <v>0</v>
      </c>
      <c r="BV25" s="504">
        <v>0</v>
      </c>
      <c r="BW25" s="504">
        <v>0</v>
      </c>
      <c r="BX25" s="504">
        <v>0</v>
      </c>
      <c r="BY25" s="504">
        <v>0</v>
      </c>
      <c r="BZ25" s="504">
        <v>0</v>
      </c>
      <c r="CA25" s="504">
        <v>0</v>
      </c>
      <c r="CB25" s="504">
        <v>0</v>
      </c>
      <c r="CC25" s="504">
        <v>0</v>
      </c>
      <c r="CD25" s="504">
        <v>0</v>
      </c>
      <c r="CE25" s="504">
        <v>0</v>
      </c>
      <c r="CF25" s="504">
        <v>0</v>
      </c>
      <c r="CG25" s="504">
        <v>0</v>
      </c>
      <c r="CH25" s="504">
        <v>0</v>
      </c>
      <c r="CI25" s="504">
        <v>0</v>
      </c>
      <c r="CJ25" s="504">
        <v>0</v>
      </c>
      <c r="CK25" s="504">
        <v>0</v>
      </c>
      <c r="CL25" s="504">
        <v>0</v>
      </c>
      <c r="CM25" s="504">
        <v>0</v>
      </c>
      <c r="CN25" s="504">
        <v>0</v>
      </c>
      <c r="CO25" s="504">
        <v>0</v>
      </c>
      <c r="CP25" s="504">
        <v>0</v>
      </c>
      <c r="CQ25" s="504">
        <v>0</v>
      </c>
      <c r="CR25" s="504">
        <v>0</v>
      </c>
      <c r="CS25" s="504">
        <v>0</v>
      </c>
      <c r="CT25" s="504">
        <v>0</v>
      </c>
      <c r="CU25" s="504">
        <v>0</v>
      </c>
      <c r="CV25" s="504">
        <v>0</v>
      </c>
      <c r="CW25" s="504">
        <v>0</v>
      </c>
      <c r="CX25" s="504">
        <v>0</v>
      </c>
      <c r="CY25" s="504">
        <v>0</v>
      </c>
      <c r="CZ25" s="1654">
        <v>0</v>
      </c>
      <c r="DA25" s="504">
        <v>0</v>
      </c>
      <c r="DB25" s="504">
        <v>109</v>
      </c>
      <c r="DC25" s="504">
        <v>418</v>
      </c>
      <c r="DD25" s="504">
        <v>1019</v>
      </c>
      <c r="DE25" s="504">
        <v>1281</v>
      </c>
      <c r="DF25" s="504">
        <v>1598</v>
      </c>
      <c r="DG25" s="504">
        <v>0</v>
      </c>
      <c r="DH25" s="504">
        <v>0</v>
      </c>
      <c r="DI25" s="504">
        <v>0</v>
      </c>
      <c r="DJ25" s="504">
        <v>0</v>
      </c>
      <c r="DK25" s="504">
        <v>0</v>
      </c>
      <c r="DL25" s="504">
        <v>0</v>
      </c>
      <c r="DM25" s="504">
        <v>0</v>
      </c>
      <c r="DN25" s="504">
        <v>0</v>
      </c>
      <c r="DO25" s="504">
        <v>0</v>
      </c>
      <c r="DP25" s="504">
        <v>0</v>
      </c>
      <c r="DQ25" s="504">
        <v>0</v>
      </c>
      <c r="DR25" s="504">
        <v>0</v>
      </c>
      <c r="DS25" s="504">
        <v>0</v>
      </c>
      <c r="DT25" s="504">
        <v>0</v>
      </c>
      <c r="DU25" s="504">
        <v>0</v>
      </c>
      <c r="DV25" s="504">
        <v>0</v>
      </c>
      <c r="DW25" s="504">
        <v>0</v>
      </c>
      <c r="DX25" s="504">
        <v>0</v>
      </c>
      <c r="DY25" s="504">
        <v>0</v>
      </c>
      <c r="DZ25" s="504">
        <v>0</v>
      </c>
      <c r="EA25" s="504">
        <v>0</v>
      </c>
      <c r="EB25" s="504">
        <v>0</v>
      </c>
      <c r="EC25" s="504">
        <v>0</v>
      </c>
      <c r="ED25" s="504">
        <v>0</v>
      </c>
      <c r="EE25" s="504">
        <v>0</v>
      </c>
      <c r="EF25" s="504">
        <v>0</v>
      </c>
      <c r="EG25" s="504">
        <v>0</v>
      </c>
      <c r="EH25" s="504">
        <v>0</v>
      </c>
      <c r="EI25" s="504">
        <v>0</v>
      </c>
      <c r="EJ25" s="504">
        <v>0</v>
      </c>
      <c r="EK25" s="504">
        <v>0</v>
      </c>
      <c r="EL25" s="504">
        <v>0</v>
      </c>
      <c r="EM25" s="504">
        <v>0</v>
      </c>
      <c r="EN25" s="504">
        <v>0</v>
      </c>
      <c r="EO25" s="504">
        <v>0</v>
      </c>
      <c r="EP25" s="504">
        <v>0</v>
      </c>
      <c r="EQ25" s="504">
        <v>0</v>
      </c>
      <c r="ER25" s="504">
        <v>0</v>
      </c>
      <c r="ES25" s="504">
        <v>0</v>
      </c>
      <c r="ET25" s="504">
        <v>0</v>
      </c>
      <c r="EU25" s="504">
        <v>0</v>
      </c>
      <c r="EV25" s="504">
        <v>0</v>
      </c>
      <c r="EW25" s="504">
        <v>0</v>
      </c>
      <c r="EX25" s="504">
        <v>0</v>
      </c>
      <c r="EY25" s="504">
        <v>0</v>
      </c>
      <c r="EZ25" s="504">
        <v>0</v>
      </c>
      <c r="FA25" s="504">
        <v>0</v>
      </c>
      <c r="FB25" s="504">
        <v>0</v>
      </c>
      <c r="FC25" s="504">
        <v>0</v>
      </c>
      <c r="FD25" s="504">
        <v>0</v>
      </c>
      <c r="FE25" s="504">
        <v>0</v>
      </c>
      <c r="FF25" s="504">
        <v>0</v>
      </c>
      <c r="FG25" s="504">
        <v>0</v>
      </c>
      <c r="FH25" s="504">
        <v>0</v>
      </c>
      <c r="FI25" s="504">
        <v>0</v>
      </c>
      <c r="FJ25" s="504">
        <v>0</v>
      </c>
      <c r="FK25" s="504">
        <v>0</v>
      </c>
      <c r="FL25" s="504">
        <v>0</v>
      </c>
      <c r="FM25" s="504">
        <v>0</v>
      </c>
      <c r="FN25" s="504">
        <v>0</v>
      </c>
      <c r="FO25" s="504">
        <v>0</v>
      </c>
      <c r="FP25" s="504">
        <v>0</v>
      </c>
      <c r="FQ25" s="504">
        <v>0</v>
      </c>
      <c r="FR25" s="504">
        <v>0</v>
      </c>
      <c r="FS25" s="504">
        <v>0</v>
      </c>
      <c r="FT25" s="504">
        <v>0</v>
      </c>
      <c r="FU25" s="504">
        <v>0</v>
      </c>
      <c r="FV25" s="504">
        <v>0</v>
      </c>
      <c r="FW25" s="504">
        <v>0</v>
      </c>
      <c r="FX25" s="504">
        <v>0</v>
      </c>
      <c r="FY25" s="504">
        <v>0</v>
      </c>
      <c r="FZ25" s="504">
        <v>0</v>
      </c>
      <c r="GA25" s="504">
        <v>0</v>
      </c>
      <c r="GB25" s="504">
        <v>0</v>
      </c>
      <c r="GC25" s="504">
        <v>0</v>
      </c>
      <c r="GD25" s="504">
        <v>0</v>
      </c>
      <c r="GE25" s="504">
        <v>0</v>
      </c>
      <c r="GF25" s="504">
        <v>0</v>
      </c>
      <c r="GG25" s="504">
        <v>0</v>
      </c>
      <c r="GH25" s="504">
        <v>0</v>
      </c>
      <c r="GI25" s="504">
        <v>0</v>
      </c>
      <c r="GJ25" s="504">
        <v>0</v>
      </c>
      <c r="GK25" s="504">
        <v>0</v>
      </c>
      <c r="GL25" s="504">
        <v>0</v>
      </c>
      <c r="GM25" s="504">
        <v>0</v>
      </c>
      <c r="GN25" s="504">
        <v>0</v>
      </c>
      <c r="GO25" s="504">
        <v>0</v>
      </c>
      <c r="GP25" s="504">
        <v>0</v>
      </c>
      <c r="GQ25" s="504">
        <v>0</v>
      </c>
      <c r="GR25" s="504">
        <v>0</v>
      </c>
      <c r="GS25" s="504">
        <v>0</v>
      </c>
      <c r="GT25" s="504">
        <v>0</v>
      </c>
      <c r="GU25" s="504">
        <v>0</v>
      </c>
      <c r="GV25" s="504">
        <v>0</v>
      </c>
      <c r="GW25" s="1654">
        <v>0</v>
      </c>
      <c r="GX25" s="504">
        <v>0</v>
      </c>
      <c r="GY25" s="504">
        <v>12331</v>
      </c>
      <c r="GZ25" s="504">
        <v>25152</v>
      </c>
      <c r="HA25" s="504">
        <v>29000</v>
      </c>
      <c r="HB25" s="504">
        <v>28000</v>
      </c>
      <c r="HC25" s="504">
        <v>27000</v>
      </c>
      <c r="HD25" s="504">
        <v>0</v>
      </c>
      <c r="HE25" s="504">
        <v>0</v>
      </c>
      <c r="HF25" s="504">
        <v>0</v>
      </c>
      <c r="HG25" s="504">
        <v>0</v>
      </c>
      <c r="HH25" s="504">
        <v>0</v>
      </c>
      <c r="HI25" s="504">
        <v>0</v>
      </c>
      <c r="HJ25" s="504">
        <v>0</v>
      </c>
      <c r="HK25" s="504">
        <v>0</v>
      </c>
      <c r="HL25" s="504">
        <v>0</v>
      </c>
      <c r="HM25" s="504">
        <v>0</v>
      </c>
      <c r="HN25" s="504">
        <v>0</v>
      </c>
      <c r="HO25" s="504">
        <v>0</v>
      </c>
      <c r="HP25" s="504">
        <v>0</v>
      </c>
      <c r="HQ25" s="504">
        <v>0</v>
      </c>
      <c r="HR25" s="504">
        <v>0</v>
      </c>
      <c r="HS25" s="504">
        <v>0</v>
      </c>
      <c r="HT25" s="504">
        <v>0</v>
      </c>
      <c r="HU25" s="504">
        <v>0</v>
      </c>
      <c r="HV25" s="504">
        <v>0</v>
      </c>
      <c r="HW25" s="504">
        <v>0</v>
      </c>
      <c r="HX25" s="504">
        <v>0</v>
      </c>
      <c r="HY25" s="504">
        <v>0</v>
      </c>
      <c r="HZ25" s="504">
        <v>0</v>
      </c>
      <c r="IA25" s="504">
        <v>0</v>
      </c>
      <c r="IB25" s="504">
        <v>0</v>
      </c>
      <c r="IC25" s="504">
        <v>0</v>
      </c>
      <c r="ID25" s="504">
        <v>0</v>
      </c>
      <c r="IE25" s="504">
        <v>0</v>
      </c>
      <c r="IF25" s="504">
        <v>0</v>
      </c>
      <c r="IG25" s="504">
        <v>0</v>
      </c>
      <c r="IH25" s="504">
        <v>0</v>
      </c>
      <c r="II25" s="504">
        <v>0</v>
      </c>
      <c r="IJ25" s="504">
        <v>0</v>
      </c>
      <c r="IK25" s="504">
        <v>0</v>
      </c>
      <c r="IL25" s="504">
        <v>0</v>
      </c>
      <c r="IM25" s="504">
        <v>0</v>
      </c>
      <c r="IN25" s="504">
        <v>0</v>
      </c>
      <c r="IO25" s="504">
        <v>0</v>
      </c>
      <c r="IP25" s="504">
        <v>0</v>
      </c>
      <c r="IQ25" s="504">
        <v>0</v>
      </c>
      <c r="IR25" s="504">
        <v>0</v>
      </c>
      <c r="IS25" s="504">
        <v>0</v>
      </c>
      <c r="IT25" s="504">
        <v>0</v>
      </c>
      <c r="IU25" s="504">
        <v>0</v>
      </c>
      <c r="IV25" s="504">
        <v>0</v>
      </c>
      <c r="IW25" s="504">
        <v>0</v>
      </c>
      <c r="IX25" s="504">
        <v>0</v>
      </c>
      <c r="IY25" s="504">
        <v>0</v>
      </c>
      <c r="IZ25" s="504">
        <v>0</v>
      </c>
      <c r="JA25" s="504">
        <v>0</v>
      </c>
      <c r="JB25" s="504">
        <v>0</v>
      </c>
      <c r="JC25" s="504">
        <v>0</v>
      </c>
      <c r="JD25" s="504">
        <v>0</v>
      </c>
      <c r="JE25" s="504">
        <v>0</v>
      </c>
      <c r="JF25" s="504">
        <v>0</v>
      </c>
      <c r="JG25" s="504">
        <v>0</v>
      </c>
      <c r="JH25" s="504">
        <v>0</v>
      </c>
      <c r="JI25" s="504">
        <v>0</v>
      </c>
      <c r="JJ25" s="504">
        <v>0</v>
      </c>
      <c r="JK25" s="504">
        <v>0</v>
      </c>
      <c r="JL25" s="504">
        <v>0</v>
      </c>
      <c r="JM25" s="504">
        <v>0</v>
      </c>
      <c r="JN25" s="504">
        <v>0</v>
      </c>
      <c r="JO25" s="504">
        <v>0</v>
      </c>
      <c r="JP25" s="504">
        <v>0</v>
      </c>
      <c r="JQ25" s="504">
        <v>0</v>
      </c>
      <c r="JR25" s="504">
        <v>0</v>
      </c>
      <c r="JS25" s="504">
        <v>0</v>
      </c>
      <c r="JT25" s="504">
        <v>0</v>
      </c>
      <c r="JU25" s="504">
        <v>0</v>
      </c>
      <c r="JV25" s="504">
        <v>0</v>
      </c>
      <c r="JW25" s="504">
        <v>0</v>
      </c>
      <c r="JX25" s="504">
        <v>0</v>
      </c>
      <c r="JY25" s="504">
        <v>0</v>
      </c>
      <c r="JZ25" s="504">
        <v>0</v>
      </c>
      <c r="KA25" s="504">
        <v>0</v>
      </c>
      <c r="KB25" s="504">
        <v>0</v>
      </c>
      <c r="KC25" s="504">
        <v>0</v>
      </c>
      <c r="KD25" s="504">
        <v>0</v>
      </c>
      <c r="KE25" s="504">
        <v>0</v>
      </c>
      <c r="KF25" s="504">
        <v>0</v>
      </c>
      <c r="KG25" s="504">
        <v>0</v>
      </c>
      <c r="KH25" s="504">
        <v>0</v>
      </c>
      <c r="KI25" s="504">
        <v>0</v>
      </c>
      <c r="KJ25" s="504">
        <v>0</v>
      </c>
      <c r="KK25" s="504">
        <v>0</v>
      </c>
      <c r="KL25" s="504">
        <v>0</v>
      </c>
      <c r="KM25" s="504">
        <v>0</v>
      </c>
      <c r="KN25" s="504">
        <v>0</v>
      </c>
      <c r="KO25" s="504">
        <v>0</v>
      </c>
      <c r="KP25" s="504">
        <v>0</v>
      </c>
      <c r="KQ25" s="504">
        <v>0</v>
      </c>
      <c r="KR25" s="504">
        <v>0</v>
      </c>
      <c r="KS25" s="504">
        <v>0</v>
      </c>
      <c r="KT25" s="1654">
        <v>0</v>
      </c>
      <c r="KU25" s="504">
        <v>0</v>
      </c>
      <c r="KV25" s="504">
        <v>0</v>
      </c>
      <c r="KW25" s="504">
        <v>0</v>
      </c>
      <c r="KX25" s="504">
        <v>1006</v>
      </c>
      <c r="KY25" s="504">
        <v>1267</v>
      </c>
      <c r="KZ25" s="504">
        <v>1585</v>
      </c>
      <c r="LA25" s="504">
        <v>0</v>
      </c>
      <c r="LB25" s="504">
        <v>0</v>
      </c>
      <c r="LC25" s="504">
        <v>0</v>
      </c>
      <c r="LD25" s="504">
        <v>0</v>
      </c>
      <c r="LE25" s="504">
        <v>0</v>
      </c>
      <c r="LF25" s="504">
        <v>0</v>
      </c>
      <c r="LG25" s="504">
        <v>0</v>
      </c>
      <c r="LH25" s="504">
        <v>0</v>
      </c>
      <c r="LI25" s="504">
        <v>0</v>
      </c>
      <c r="LJ25" s="504">
        <v>0</v>
      </c>
      <c r="LK25" s="504">
        <v>0</v>
      </c>
      <c r="LL25" s="504">
        <v>0</v>
      </c>
      <c r="LM25" s="504">
        <v>0</v>
      </c>
      <c r="LN25" s="504">
        <v>0</v>
      </c>
      <c r="LO25" s="504">
        <v>0</v>
      </c>
      <c r="LP25" s="504">
        <v>0</v>
      </c>
      <c r="LQ25" s="504">
        <v>0</v>
      </c>
      <c r="LR25" s="504">
        <v>0</v>
      </c>
      <c r="LS25" s="504">
        <v>0</v>
      </c>
      <c r="LT25" s="504">
        <v>0</v>
      </c>
      <c r="LU25" s="504">
        <v>0</v>
      </c>
      <c r="LV25" s="504">
        <v>0</v>
      </c>
      <c r="LW25" s="504">
        <v>0</v>
      </c>
      <c r="LX25" s="504">
        <v>0</v>
      </c>
      <c r="LY25" s="504">
        <v>0</v>
      </c>
      <c r="LZ25" s="504">
        <v>0</v>
      </c>
      <c r="MA25" s="504">
        <v>0</v>
      </c>
      <c r="MB25" s="504">
        <v>0</v>
      </c>
      <c r="MC25" s="504">
        <v>0</v>
      </c>
      <c r="MD25" s="504">
        <v>0</v>
      </c>
      <c r="ME25" s="504">
        <v>0</v>
      </c>
      <c r="MF25" s="504">
        <v>0</v>
      </c>
      <c r="MG25" s="504">
        <v>0</v>
      </c>
      <c r="MH25" s="504">
        <v>0</v>
      </c>
      <c r="MI25" s="504">
        <v>0</v>
      </c>
      <c r="MJ25" s="504">
        <v>0</v>
      </c>
      <c r="MK25" s="504">
        <v>0</v>
      </c>
      <c r="ML25" s="504">
        <v>0</v>
      </c>
      <c r="MM25" s="504">
        <v>0</v>
      </c>
      <c r="MN25" s="504">
        <v>0</v>
      </c>
      <c r="MO25" s="504">
        <v>0</v>
      </c>
      <c r="MP25" s="504">
        <v>0</v>
      </c>
      <c r="MQ25" s="504">
        <v>0</v>
      </c>
      <c r="MR25" s="504">
        <v>0</v>
      </c>
      <c r="MS25" s="504">
        <v>0</v>
      </c>
      <c r="MT25" s="504">
        <v>0</v>
      </c>
      <c r="MU25" s="504">
        <v>0</v>
      </c>
      <c r="MV25" s="504">
        <v>0</v>
      </c>
      <c r="MW25" s="504">
        <v>0</v>
      </c>
      <c r="MX25" s="504">
        <v>0</v>
      </c>
      <c r="MY25" s="504">
        <v>0</v>
      </c>
      <c r="MZ25" s="504">
        <v>0</v>
      </c>
      <c r="NA25" s="504">
        <v>0</v>
      </c>
      <c r="NB25" s="504">
        <v>0</v>
      </c>
      <c r="NC25" s="504">
        <v>0</v>
      </c>
      <c r="ND25" s="504">
        <v>0</v>
      </c>
      <c r="NE25" s="504">
        <v>0</v>
      </c>
      <c r="NF25" s="504">
        <v>0</v>
      </c>
      <c r="NG25" s="504">
        <v>0</v>
      </c>
      <c r="NH25" s="504">
        <v>0</v>
      </c>
      <c r="NI25" s="504">
        <v>0</v>
      </c>
      <c r="NJ25" s="504">
        <v>0</v>
      </c>
      <c r="NK25" s="504">
        <v>0</v>
      </c>
      <c r="NL25" s="504">
        <v>0</v>
      </c>
      <c r="NM25" s="504">
        <v>0</v>
      </c>
      <c r="NN25" s="504">
        <v>0</v>
      </c>
      <c r="NO25" s="504">
        <v>0</v>
      </c>
      <c r="NP25" s="504">
        <v>0</v>
      </c>
      <c r="NQ25" s="504">
        <v>0</v>
      </c>
      <c r="NR25" s="504">
        <v>0</v>
      </c>
      <c r="NS25" s="504">
        <v>0</v>
      </c>
      <c r="NT25" s="504">
        <v>0</v>
      </c>
      <c r="NU25" s="504">
        <v>0</v>
      </c>
      <c r="NV25" s="504">
        <v>0</v>
      </c>
      <c r="NW25" s="504">
        <v>0</v>
      </c>
      <c r="NX25" s="504">
        <v>0</v>
      </c>
      <c r="NY25" s="504">
        <v>0</v>
      </c>
      <c r="NZ25" s="504">
        <v>0</v>
      </c>
      <c r="OA25" s="504">
        <v>0</v>
      </c>
      <c r="OB25" s="504">
        <v>0</v>
      </c>
      <c r="OC25" s="504">
        <v>0</v>
      </c>
      <c r="OD25" s="504">
        <v>0</v>
      </c>
      <c r="OE25" s="504">
        <v>0</v>
      </c>
      <c r="OF25" s="504">
        <v>0</v>
      </c>
      <c r="OG25" s="504">
        <v>0</v>
      </c>
      <c r="OH25" s="504">
        <v>0</v>
      </c>
      <c r="OI25" s="504">
        <v>0</v>
      </c>
      <c r="OJ25" s="504">
        <v>0</v>
      </c>
      <c r="OK25" s="504">
        <v>0</v>
      </c>
      <c r="OL25" s="504">
        <v>0</v>
      </c>
      <c r="OM25" s="504">
        <v>0</v>
      </c>
      <c r="ON25" s="504">
        <v>0</v>
      </c>
      <c r="OO25" s="504">
        <v>0</v>
      </c>
      <c r="OP25" s="504">
        <v>0</v>
      </c>
      <c r="OQ25" s="504">
        <v>0</v>
      </c>
      <c r="OR25" s="1656"/>
    </row>
    <row r="26" spans="1:408" ht="21.5">
      <c r="A26" s="1466" t="s">
        <v>1647</v>
      </c>
      <c r="B26" s="1583" t="s">
        <v>2358</v>
      </c>
      <c r="C26" s="1583" t="s">
        <v>14</v>
      </c>
      <c r="D26" s="1583">
        <v>49</v>
      </c>
      <c r="E26" s="504">
        <v>49</v>
      </c>
      <c r="F26" s="504">
        <v>196</v>
      </c>
      <c r="G26" s="504">
        <v>500</v>
      </c>
      <c r="H26" s="504">
        <v>779</v>
      </c>
      <c r="I26" s="504">
        <v>1114</v>
      </c>
      <c r="J26" s="504">
        <v>1360</v>
      </c>
      <c r="K26" s="504">
        <v>1379</v>
      </c>
      <c r="L26" s="504">
        <v>1398</v>
      </c>
      <c r="M26" s="504">
        <v>1418</v>
      </c>
      <c r="N26" s="504">
        <v>1438</v>
      </c>
      <c r="O26" s="504">
        <v>1458</v>
      </c>
      <c r="P26" s="504">
        <v>1479</v>
      </c>
      <c r="Q26" s="504">
        <v>1500</v>
      </c>
      <c r="R26" s="504">
        <v>1522</v>
      </c>
      <c r="S26" s="504">
        <v>1544</v>
      </c>
      <c r="T26" s="504">
        <v>1566</v>
      </c>
      <c r="U26" s="504">
        <v>1589</v>
      </c>
      <c r="V26" s="504">
        <v>1612</v>
      </c>
      <c r="W26" s="504">
        <v>1636</v>
      </c>
      <c r="X26" s="504">
        <v>1660</v>
      </c>
      <c r="Y26" s="504">
        <v>1684</v>
      </c>
      <c r="Z26" s="504">
        <v>1709</v>
      </c>
      <c r="AA26" s="504">
        <v>1735</v>
      </c>
      <c r="AB26" s="504">
        <v>1761</v>
      </c>
      <c r="AC26" s="504">
        <v>1787</v>
      </c>
      <c r="AD26" s="504">
        <v>1815</v>
      </c>
      <c r="AE26" s="504">
        <v>1844</v>
      </c>
      <c r="AF26" s="504">
        <v>1874</v>
      </c>
      <c r="AG26" s="504">
        <v>1907</v>
      </c>
      <c r="AH26" s="504">
        <v>1942</v>
      </c>
      <c r="AI26" s="504">
        <v>2000</v>
      </c>
      <c r="AJ26" s="504">
        <v>0</v>
      </c>
      <c r="AK26" s="504">
        <v>0</v>
      </c>
      <c r="AL26" s="504">
        <v>0</v>
      </c>
      <c r="AM26" s="504">
        <v>0</v>
      </c>
      <c r="AN26" s="504">
        <v>0</v>
      </c>
      <c r="AO26" s="504">
        <v>0</v>
      </c>
      <c r="AP26" s="504">
        <v>0</v>
      </c>
      <c r="AQ26" s="504">
        <v>0</v>
      </c>
      <c r="AR26" s="504">
        <v>0</v>
      </c>
      <c r="AS26" s="504">
        <v>0</v>
      </c>
      <c r="AT26" s="504">
        <v>0</v>
      </c>
      <c r="AU26" s="504">
        <v>0</v>
      </c>
      <c r="AV26" s="504">
        <v>0</v>
      </c>
      <c r="AW26" s="504">
        <v>0</v>
      </c>
      <c r="AX26" s="504">
        <v>0</v>
      </c>
      <c r="AY26" s="504">
        <v>0</v>
      </c>
      <c r="AZ26" s="504">
        <v>0</v>
      </c>
      <c r="BA26" s="504">
        <v>0</v>
      </c>
      <c r="BB26" s="504">
        <v>0</v>
      </c>
      <c r="BC26" s="504">
        <v>0</v>
      </c>
      <c r="BD26" s="504">
        <v>0</v>
      </c>
      <c r="BE26" s="504">
        <v>0</v>
      </c>
      <c r="BF26" s="504">
        <v>0</v>
      </c>
      <c r="BG26" s="504">
        <v>0</v>
      </c>
      <c r="BH26" s="504">
        <v>0</v>
      </c>
      <c r="BI26" s="504">
        <v>0</v>
      </c>
      <c r="BJ26" s="504">
        <v>0</v>
      </c>
      <c r="BK26" s="504">
        <v>0</v>
      </c>
      <c r="BL26" s="504">
        <v>0</v>
      </c>
      <c r="BM26" s="504">
        <v>0</v>
      </c>
      <c r="BN26" s="504">
        <v>0</v>
      </c>
      <c r="BO26" s="504">
        <v>0</v>
      </c>
      <c r="BP26" s="504">
        <v>0</v>
      </c>
      <c r="BQ26" s="504">
        <v>0</v>
      </c>
      <c r="BR26" s="504">
        <v>0</v>
      </c>
      <c r="BS26" s="504">
        <v>0</v>
      </c>
      <c r="BT26" s="504">
        <v>0</v>
      </c>
      <c r="BU26" s="504">
        <v>0</v>
      </c>
      <c r="BV26" s="504">
        <v>0</v>
      </c>
      <c r="BW26" s="504">
        <v>0</v>
      </c>
      <c r="BX26" s="504">
        <v>0</v>
      </c>
      <c r="BY26" s="504">
        <v>0</v>
      </c>
      <c r="BZ26" s="504">
        <v>0</v>
      </c>
      <c r="CA26" s="504">
        <v>0</v>
      </c>
      <c r="CB26" s="504">
        <v>0</v>
      </c>
      <c r="CC26" s="504">
        <v>0</v>
      </c>
      <c r="CD26" s="504">
        <v>0</v>
      </c>
      <c r="CE26" s="504">
        <v>0</v>
      </c>
      <c r="CF26" s="504">
        <v>0</v>
      </c>
      <c r="CG26" s="504">
        <v>0</v>
      </c>
      <c r="CH26" s="504">
        <v>0</v>
      </c>
      <c r="CI26" s="504">
        <v>0</v>
      </c>
      <c r="CJ26" s="504">
        <v>0</v>
      </c>
      <c r="CK26" s="504">
        <v>0</v>
      </c>
      <c r="CL26" s="504">
        <v>0</v>
      </c>
      <c r="CM26" s="504">
        <v>0</v>
      </c>
      <c r="CN26" s="504">
        <v>0</v>
      </c>
      <c r="CO26" s="504">
        <v>0</v>
      </c>
      <c r="CP26" s="504">
        <v>0</v>
      </c>
      <c r="CQ26" s="504">
        <v>0</v>
      </c>
      <c r="CR26" s="504">
        <v>0</v>
      </c>
      <c r="CS26" s="504">
        <v>0</v>
      </c>
      <c r="CT26" s="504">
        <v>0</v>
      </c>
      <c r="CU26" s="504">
        <v>0</v>
      </c>
      <c r="CV26" s="504">
        <v>0</v>
      </c>
      <c r="CW26" s="504">
        <v>0</v>
      </c>
      <c r="CX26" s="504">
        <v>0</v>
      </c>
      <c r="CY26" s="504">
        <v>0</v>
      </c>
      <c r="CZ26" s="1654">
        <v>0</v>
      </c>
      <c r="DA26" s="504">
        <v>0</v>
      </c>
      <c r="DB26" s="504">
        <v>106</v>
      </c>
      <c r="DC26" s="504">
        <v>413</v>
      </c>
      <c r="DD26" s="504">
        <v>1013</v>
      </c>
      <c r="DE26" s="504">
        <v>1278</v>
      </c>
      <c r="DF26" s="504">
        <v>1600</v>
      </c>
      <c r="DG26" s="504">
        <v>0</v>
      </c>
      <c r="DH26" s="504">
        <v>0</v>
      </c>
      <c r="DI26" s="504">
        <v>0</v>
      </c>
      <c r="DJ26" s="504">
        <v>0</v>
      </c>
      <c r="DK26" s="504">
        <v>0</v>
      </c>
      <c r="DL26" s="504">
        <v>0</v>
      </c>
      <c r="DM26" s="504">
        <v>0</v>
      </c>
      <c r="DN26" s="504">
        <v>0</v>
      </c>
      <c r="DO26" s="504">
        <v>0</v>
      </c>
      <c r="DP26" s="504">
        <v>0</v>
      </c>
      <c r="DQ26" s="504">
        <v>0</v>
      </c>
      <c r="DR26" s="504">
        <v>0</v>
      </c>
      <c r="DS26" s="504">
        <v>0</v>
      </c>
      <c r="DT26" s="504">
        <v>0</v>
      </c>
      <c r="DU26" s="504">
        <v>0</v>
      </c>
      <c r="DV26" s="504">
        <v>0</v>
      </c>
      <c r="DW26" s="504">
        <v>0</v>
      </c>
      <c r="DX26" s="504">
        <v>0</v>
      </c>
      <c r="DY26" s="504">
        <v>0</v>
      </c>
      <c r="DZ26" s="504">
        <v>0</v>
      </c>
      <c r="EA26" s="504">
        <v>0</v>
      </c>
      <c r="EB26" s="504">
        <v>0</v>
      </c>
      <c r="EC26" s="504">
        <v>0</v>
      </c>
      <c r="ED26" s="504">
        <v>0</v>
      </c>
      <c r="EE26" s="504">
        <v>0</v>
      </c>
      <c r="EF26" s="504">
        <v>0</v>
      </c>
      <c r="EG26" s="504">
        <v>0</v>
      </c>
      <c r="EH26" s="504">
        <v>0</v>
      </c>
      <c r="EI26" s="504">
        <v>0</v>
      </c>
      <c r="EJ26" s="504">
        <v>0</v>
      </c>
      <c r="EK26" s="504">
        <v>0</v>
      </c>
      <c r="EL26" s="504">
        <v>0</v>
      </c>
      <c r="EM26" s="504">
        <v>0</v>
      </c>
      <c r="EN26" s="504">
        <v>0</v>
      </c>
      <c r="EO26" s="504">
        <v>0</v>
      </c>
      <c r="EP26" s="504">
        <v>0</v>
      </c>
      <c r="EQ26" s="504">
        <v>0</v>
      </c>
      <c r="ER26" s="504">
        <v>0</v>
      </c>
      <c r="ES26" s="504">
        <v>0</v>
      </c>
      <c r="ET26" s="504">
        <v>0</v>
      </c>
      <c r="EU26" s="504">
        <v>0</v>
      </c>
      <c r="EV26" s="504">
        <v>0</v>
      </c>
      <c r="EW26" s="504">
        <v>0</v>
      </c>
      <c r="EX26" s="504">
        <v>0</v>
      </c>
      <c r="EY26" s="504">
        <v>0</v>
      </c>
      <c r="EZ26" s="504">
        <v>0</v>
      </c>
      <c r="FA26" s="504">
        <v>0</v>
      </c>
      <c r="FB26" s="504">
        <v>0</v>
      </c>
      <c r="FC26" s="504">
        <v>0</v>
      </c>
      <c r="FD26" s="504">
        <v>0</v>
      </c>
      <c r="FE26" s="504">
        <v>0</v>
      </c>
      <c r="FF26" s="504">
        <v>0</v>
      </c>
      <c r="FG26" s="504">
        <v>0</v>
      </c>
      <c r="FH26" s="504">
        <v>0</v>
      </c>
      <c r="FI26" s="504">
        <v>0</v>
      </c>
      <c r="FJ26" s="504">
        <v>0</v>
      </c>
      <c r="FK26" s="504">
        <v>0</v>
      </c>
      <c r="FL26" s="504">
        <v>0</v>
      </c>
      <c r="FM26" s="504">
        <v>0</v>
      </c>
      <c r="FN26" s="504">
        <v>0</v>
      </c>
      <c r="FO26" s="504">
        <v>0</v>
      </c>
      <c r="FP26" s="504">
        <v>0</v>
      </c>
      <c r="FQ26" s="504">
        <v>0</v>
      </c>
      <c r="FR26" s="504">
        <v>0</v>
      </c>
      <c r="FS26" s="504">
        <v>0</v>
      </c>
      <c r="FT26" s="504">
        <v>0</v>
      </c>
      <c r="FU26" s="504">
        <v>0</v>
      </c>
      <c r="FV26" s="504">
        <v>0</v>
      </c>
      <c r="FW26" s="504">
        <v>0</v>
      </c>
      <c r="FX26" s="504">
        <v>0</v>
      </c>
      <c r="FY26" s="504">
        <v>0</v>
      </c>
      <c r="FZ26" s="504">
        <v>0</v>
      </c>
      <c r="GA26" s="504">
        <v>0</v>
      </c>
      <c r="GB26" s="504">
        <v>0</v>
      </c>
      <c r="GC26" s="504">
        <v>0</v>
      </c>
      <c r="GD26" s="504">
        <v>0</v>
      </c>
      <c r="GE26" s="504">
        <v>0</v>
      </c>
      <c r="GF26" s="504">
        <v>0</v>
      </c>
      <c r="GG26" s="504">
        <v>0</v>
      </c>
      <c r="GH26" s="504">
        <v>0</v>
      </c>
      <c r="GI26" s="504">
        <v>0</v>
      </c>
      <c r="GJ26" s="504">
        <v>0</v>
      </c>
      <c r="GK26" s="504">
        <v>0</v>
      </c>
      <c r="GL26" s="504">
        <v>0</v>
      </c>
      <c r="GM26" s="504">
        <v>0</v>
      </c>
      <c r="GN26" s="504">
        <v>0</v>
      </c>
      <c r="GO26" s="504">
        <v>0</v>
      </c>
      <c r="GP26" s="504">
        <v>0</v>
      </c>
      <c r="GQ26" s="504">
        <v>0</v>
      </c>
      <c r="GR26" s="504">
        <v>0</v>
      </c>
      <c r="GS26" s="504">
        <v>0</v>
      </c>
      <c r="GT26" s="504">
        <v>0</v>
      </c>
      <c r="GU26" s="504">
        <v>0</v>
      </c>
      <c r="GV26" s="504">
        <v>0</v>
      </c>
      <c r="GW26" s="1654">
        <v>0</v>
      </c>
      <c r="GX26" s="504">
        <v>0</v>
      </c>
      <c r="GY26" s="504">
        <v>12032</v>
      </c>
      <c r="GZ26" s="504">
        <v>24143</v>
      </c>
      <c r="HA26" s="504">
        <v>28000</v>
      </c>
      <c r="HB26" s="504">
        <v>27000</v>
      </c>
      <c r="HC26" s="504">
        <v>26000</v>
      </c>
      <c r="HD26" s="504">
        <v>0</v>
      </c>
      <c r="HE26" s="504">
        <v>0</v>
      </c>
      <c r="HF26" s="504">
        <v>0</v>
      </c>
      <c r="HG26" s="504">
        <v>0</v>
      </c>
      <c r="HH26" s="504">
        <v>0</v>
      </c>
      <c r="HI26" s="504">
        <v>0</v>
      </c>
      <c r="HJ26" s="504">
        <v>0</v>
      </c>
      <c r="HK26" s="504">
        <v>0</v>
      </c>
      <c r="HL26" s="504">
        <v>0</v>
      </c>
      <c r="HM26" s="504">
        <v>0</v>
      </c>
      <c r="HN26" s="504">
        <v>0</v>
      </c>
      <c r="HO26" s="504">
        <v>0</v>
      </c>
      <c r="HP26" s="504">
        <v>0</v>
      </c>
      <c r="HQ26" s="504">
        <v>0</v>
      </c>
      <c r="HR26" s="504">
        <v>0</v>
      </c>
      <c r="HS26" s="504">
        <v>0</v>
      </c>
      <c r="HT26" s="504">
        <v>0</v>
      </c>
      <c r="HU26" s="504">
        <v>0</v>
      </c>
      <c r="HV26" s="504">
        <v>0</v>
      </c>
      <c r="HW26" s="504">
        <v>0</v>
      </c>
      <c r="HX26" s="504">
        <v>0</v>
      </c>
      <c r="HY26" s="504">
        <v>0</v>
      </c>
      <c r="HZ26" s="504">
        <v>0</v>
      </c>
      <c r="IA26" s="504">
        <v>0</v>
      </c>
      <c r="IB26" s="504">
        <v>0</v>
      </c>
      <c r="IC26" s="504">
        <v>0</v>
      </c>
      <c r="ID26" s="504">
        <v>0</v>
      </c>
      <c r="IE26" s="504">
        <v>0</v>
      </c>
      <c r="IF26" s="504">
        <v>0</v>
      </c>
      <c r="IG26" s="504">
        <v>0</v>
      </c>
      <c r="IH26" s="504">
        <v>0</v>
      </c>
      <c r="II26" s="504">
        <v>0</v>
      </c>
      <c r="IJ26" s="504">
        <v>0</v>
      </c>
      <c r="IK26" s="504">
        <v>0</v>
      </c>
      <c r="IL26" s="504">
        <v>0</v>
      </c>
      <c r="IM26" s="504">
        <v>0</v>
      </c>
      <c r="IN26" s="504">
        <v>0</v>
      </c>
      <c r="IO26" s="504">
        <v>0</v>
      </c>
      <c r="IP26" s="504">
        <v>0</v>
      </c>
      <c r="IQ26" s="504">
        <v>0</v>
      </c>
      <c r="IR26" s="504">
        <v>0</v>
      </c>
      <c r="IS26" s="504">
        <v>0</v>
      </c>
      <c r="IT26" s="504">
        <v>0</v>
      </c>
      <c r="IU26" s="504">
        <v>0</v>
      </c>
      <c r="IV26" s="504">
        <v>0</v>
      </c>
      <c r="IW26" s="504">
        <v>0</v>
      </c>
      <c r="IX26" s="504">
        <v>0</v>
      </c>
      <c r="IY26" s="504">
        <v>0</v>
      </c>
      <c r="IZ26" s="504">
        <v>0</v>
      </c>
      <c r="JA26" s="504">
        <v>0</v>
      </c>
      <c r="JB26" s="504">
        <v>0</v>
      </c>
      <c r="JC26" s="504">
        <v>0</v>
      </c>
      <c r="JD26" s="504">
        <v>0</v>
      </c>
      <c r="JE26" s="504">
        <v>0</v>
      </c>
      <c r="JF26" s="504">
        <v>0</v>
      </c>
      <c r="JG26" s="504">
        <v>0</v>
      </c>
      <c r="JH26" s="504">
        <v>0</v>
      </c>
      <c r="JI26" s="504">
        <v>0</v>
      </c>
      <c r="JJ26" s="504">
        <v>0</v>
      </c>
      <c r="JK26" s="504">
        <v>0</v>
      </c>
      <c r="JL26" s="504">
        <v>0</v>
      </c>
      <c r="JM26" s="504">
        <v>0</v>
      </c>
      <c r="JN26" s="504">
        <v>0</v>
      </c>
      <c r="JO26" s="504">
        <v>0</v>
      </c>
      <c r="JP26" s="504">
        <v>0</v>
      </c>
      <c r="JQ26" s="504">
        <v>0</v>
      </c>
      <c r="JR26" s="504">
        <v>0</v>
      </c>
      <c r="JS26" s="504">
        <v>0</v>
      </c>
      <c r="JT26" s="504">
        <v>0</v>
      </c>
      <c r="JU26" s="504">
        <v>0</v>
      </c>
      <c r="JV26" s="504">
        <v>0</v>
      </c>
      <c r="JW26" s="504">
        <v>0</v>
      </c>
      <c r="JX26" s="504">
        <v>0</v>
      </c>
      <c r="JY26" s="504">
        <v>0</v>
      </c>
      <c r="JZ26" s="504">
        <v>0</v>
      </c>
      <c r="KA26" s="504">
        <v>0</v>
      </c>
      <c r="KB26" s="504">
        <v>0</v>
      </c>
      <c r="KC26" s="504">
        <v>0</v>
      </c>
      <c r="KD26" s="504">
        <v>0</v>
      </c>
      <c r="KE26" s="504">
        <v>0</v>
      </c>
      <c r="KF26" s="504">
        <v>0</v>
      </c>
      <c r="KG26" s="504">
        <v>0</v>
      </c>
      <c r="KH26" s="504">
        <v>0</v>
      </c>
      <c r="KI26" s="504">
        <v>0</v>
      </c>
      <c r="KJ26" s="504">
        <v>0</v>
      </c>
      <c r="KK26" s="504">
        <v>0</v>
      </c>
      <c r="KL26" s="504">
        <v>0</v>
      </c>
      <c r="KM26" s="504">
        <v>0</v>
      </c>
      <c r="KN26" s="504">
        <v>0</v>
      </c>
      <c r="KO26" s="504">
        <v>0</v>
      </c>
      <c r="KP26" s="504">
        <v>0</v>
      </c>
      <c r="KQ26" s="504">
        <v>0</v>
      </c>
      <c r="KR26" s="504">
        <v>0</v>
      </c>
      <c r="KS26" s="504">
        <v>0</v>
      </c>
      <c r="KT26" s="1654">
        <v>0</v>
      </c>
      <c r="KU26" s="504">
        <v>0</v>
      </c>
      <c r="KV26" s="504">
        <v>0</v>
      </c>
      <c r="KW26" s="504">
        <v>0</v>
      </c>
      <c r="KX26" s="504">
        <v>998</v>
      </c>
      <c r="KY26" s="504">
        <v>1265</v>
      </c>
      <c r="KZ26" s="504">
        <v>1586</v>
      </c>
      <c r="LA26" s="504">
        <v>0</v>
      </c>
      <c r="LB26" s="504">
        <v>0</v>
      </c>
      <c r="LC26" s="504">
        <v>0</v>
      </c>
      <c r="LD26" s="504">
        <v>0</v>
      </c>
      <c r="LE26" s="504">
        <v>0</v>
      </c>
      <c r="LF26" s="504">
        <v>0</v>
      </c>
      <c r="LG26" s="504">
        <v>0</v>
      </c>
      <c r="LH26" s="504">
        <v>0</v>
      </c>
      <c r="LI26" s="504">
        <v>0</v>
      </c>
      <c r="LJ26" s="504">
        <v>0</v>
      </c>
      <c r="LK26" s="504">
        <v>0</v>
      </c>
      <c r="LL26" s="504">
        <v>0</v>
      </c>
      <c r="LM26" s="504">
        <v>0</v>
      </c>
      <c r="LN26" s="504">
        <v>0</v>
      </c>
      <c r="LO26" s="504">
        <v>0</v>
      </c>
      <c r="LP26" s="504">
        <v>0</v>
      </c>
      <c r="LQ26" s="504">
        <v>0</v>
      </c>
      <c r="LR26" s="504">
        <v>0</v>
      </c>
      <c r="LS26" s="504">
        <v>0</v>
      </c>
      <c r="LT26" s="504">
        <v>0</v>
      </c>
      <c r="LU26" s="504">
        <v>0</v>
      </c>
      <c r="LV26" s="504">
        <v>0</v>
      </c>
      <c r="LW26" s="504">
        <v>0</v>
      </c>
      <c r="LX26" s="504">
        <v>0</v>
      </c>
      <c r="LY26" s="504">
        <v>0</v>
      </c>
      <c r="LZ26" s="504">
        <v>0</v>
      </c>
      <c r="MA26" s="504">
        <v>0</v>
      </c>
      <c r="MB26" s="504">
        <v>0</v>
      </c>
      <c r="MC26" s="504">
        <v>0</v>
      </c>
      <c r="MD26" s="504">
        <v>0</v>
      </c>
      <c r="ME26" s="504">
        <v>0</v>
      </c>
      <c r="MF26" s="504">
        <v>0</v>
      </c>
      <c r="MG26" s="504">
        <v>0</v>
      </c>
      <c r="MH26" s="504">
        <v>0</v>
      </c>
      <c r="MI26" s="504">
        <v>0</v>
      </c>
      <c r="MJ26" s="504">
        <v>0</v>
      </c>
      <c r="MK26" s="504">
        <v>0</v>
      </c>
      <c r="ML26" s="504">
        <v>0</v>
      </c>
      <c r="MM26" s="504">
        <v>0</v>
      </c>
      <c r="MN26" s="504">
        <v>0</v>
      </c>
      <c r="MO26" s="504">
        <v>0</v>
      </c>
      <c r="MP26" s="504">
        <v>0</v>
      </c>
      <c r="MQ26" s="504">
        <v>0</v>
      </c>
      <c r="MR26" s="504">
        <v>0</v>
      </c>
      <c r="MS26" s="504">
        <v>0</v>
      </c>
      <c r="MT26" s="504">
        <v>0</v>
      </c>
      <c r="MU26" s="504">
        <v>0</v>
      </c>
      <c r="MV26" s="504">
        <v>0</v>
      </c>
      <c r="MW26" s="504">
        <v>0</v>
      </c>
      <c r="MX26" s="504">
        <v>0</v>
      </c>
      <c r="MY26" s="504">
        <v>0</v>
      </c>
      <c r="MZ26" s="504">
        <v>0</v>
      </c>
      <c r="NA26" s="504">
        <v>0</v>
      </c>
      <c r="NB26" s="504">
        <v>0</v>
      </c>
      <c r="NC26" s="504">
        <v>0</v>
      </c>
      <c r="ND26" s="504">
        <v>0</v>
      </c>
      <c r="NE26" s="504">
        <v>0</v>
      </c>
      <c r="NF26" s="504">
        <v>0</v>
      </c>
      <c r="NG26" s="504">
        <v>0</v>
      </c>
      <c r="NH26" s="504">
        <v>0</v>
      </c>
      <c r="NI26" s="504">
        <v>0</v>
      </c>
      <c r="NJ26" s="504">
        <v>0</v>
      </c>
      <c r="NK26" s="504">
        <v>0</v>
      </c>
      <c r="NL26" s="504">
        <v>0</v>
      </c>
      <c r="NM26" s="504">
        <v>0</v>
      </c>
      <c r="NN26" s="504">
        <v>0</v>
      </c>
      <c r="NO26" s="504">
        <v>0</v>
      </c>
      <c r="NP26" s="504">
        <v>0</v>
      </c>
      <c r="NQ26" s="504">
        <v>0</v>
      </c>
      <c r="NR26" s="504">
        <v>0</v>
      </c>
      <c r="NS26" s="504">
        <v>0</v>
      </c>
      <c r="NT26" s="504">
        <v>0</v>
      </c>
      <c r="NU26" s="504">
        <v>0</v>
      </c>
      <c r="NV26" s="504">
        <v>0</v>
      </c>
      <c r="NW26" s="504">
        <v>0</v>
      </c>
      <c r="NX26" s="504">
        <v>0</v>
      </c>
      <c r="NY26" s="504">
        <v>0</v>
      </c>
      <c r="NZ26" s="504">
        <v>0</v>
      </c>
      <c r="OA26" s="504">
        <v>0</v>
      </c>
      <c r="OB26" s="504">
        <v>0</v>
      </c>
      <c r="OC26" s="504">
        <v>0</v>
      </c>
      <c r="OD26" s="504">
        <v>0</v>
      </c>
      <c r="OE26" s="504">
        <v>0</v>
      </c>
      <c r="OF26" s="504">
        <v>0</v>
      </c>
      <c r="OG26" s="504">
        <v>0</v>
      </c>
      <c r="OH26" s="504">
        <v>0</v>
      </c>
      <c r="OI26" s="504">
        <v>0</v>
      </c>
      <c r="OJ26" s="504">
        <v>0</v>
      </c>
      <c r="OK26" s="504">
        <v>0</v>
      </c>
      <c r="OL26" s="504">
        <v>0</v>
      </c>
      <c r="OM26" s="504">
        <v>0</v>
      </c>
      <c r="ON26" s="504">
        <v>0</v>
      </c>
      <c r="OO26" s="504">
        <v>0</v>
      </c>
      <c r="OP26" s="504">
        <v>0</v>
      </c>
      <c r="OQ26" s="504">
        <v>0</v>
      </c>
      <c r="OR26" s="1656"/>
    </row>
    <row r="27" spans="1:408" ht="21.5">
      <c r="A27" s="1466" t="s">
        <v>1648</v>
      </c>
      <c r="B27" s="1583" t="s">
        <v>2358</v>
      </c>
      <c r="C27" s="1583" t="s">
        <v>14</v>
      </c>
      <c r="D27" s="1583">
        <v>50</v>
      </c>
      <c r="E27" s="504">
        <v>50</v>
      </c>
      <c r="F27" s="504">
        <v>198</v>
      </c>
      <c r="G27" s="504">
        <v>507</v>
      </c>
      <c r="H27" s="504">
        <v>790</v>
      </c>
      <c r="I27" s="504">
        <v>1129</v>
      </c>
      <c r="J27" s="504">
        <v>1379</v>
      </c>
      <c r="K27" s="504">
        <v>1398</v>
      </c>
      <c r="L27" s="504">
        <v>1418</v>
      </c>
      <c r="M27" s="504">
        <v>1438</v>
      </c>
      <c r="N27" s="504">
        <v>1458</v>
      </c>
      <c r="O27" s="504">
        <v>1479</v>
      </c>
      <c r="P27" s="504">
        <v>1500</v>
      </c>
      <c r="Q27" s="504">
        <v>1522</v>
      </c>
      <c r="R27" s="504">
        <v>1544</v>
      </c>
      <c r="S27" s="504">
        <v>1566</v>
      </c>
      <c r="T27" s="504">
        <v>1589</v>
      </c>
      <c r="U27" s="504">
        <v>1612</v>
      </c>
      <c r="V27" s="504">
        <v>1636</v>
      </c>
      <c r="W27" s="504">
        <v>1660</v>
      </c>
      <c r="X27" s="504">
        <v>1684</v>
      </c>
      <c r="Y27" s="504">
        <v>1709</v>
      </c>
      <c r="Z27" s="504">
        <v>1735</v>
      </c>
      <c r="AA27" s="504">
        <v>1761</v>
      </c>
      <c r="AB27" s="504">
        <v>1787</v>
      </c>
      <c r="AC27" s="504">
        <v>1815</v>
      </c>
      <c r="AD27" s="504">
        <v>1844</v>
      </c>
      <c r="AE27" s="504">
        <v>1874</v>
      </c>
      <c r="AF27" s="504">
        <v>1907</v>
      </c>
      <c r="AG27" s="504">
        <v>1942</v>
      </c>
      <c r="AH27" s="504">
        <v>2000</v>
      </c>
      <c r="AI27" s="504">
        <v>0</v>
      </c>
      <c r="AJ27" s="504">
        <v>0</v>
      </c>
      <c r="AK27" s="504">
        <v>0</v>
      </c>
      <c r="AL27" s="504">
        <v>0</v>
      </c>
      <c r="AM27" s="504">
        <v>0</v>
      </c>
      <c r="AN27" s="504">
        <v>0</v>
      </c>
      <c r="AO27" s="504">
        <v>0</v>
      </c>
      <c r="AP27" s="504">
        <v>0</v>
      </c>
      <c r="AQ27" s="504">
        <v>0</v>
      </c>
      <c r="AR27" s="504">
        <v>0</v>
      </c>
      <c r="AS27" s="504">
        <v>0</v>
      </c>
      <c r="AT27" s="504">
        <v>0</v>
      </c>
      <c r="AU27" s="504">
        <v>0</v>
      </c>
      <c r="AV27" s="504">
        <v>0</v>
      </c>
      <c r="AW27" s="504">
        <v>0</v>
      </c>
      <c r="AX27" s="504">
        <v>0</v>
      </c>
      <c r="AY27" s="504">
        <v>0</v>
      </c>
      <c r="AZ27" s="504">
        <v>0</v>
      </c>
      <c r="BA27" s="504">
        <v>0</v>
      </c>
      <c r="BB27" s="504">
        <v>0</v>
      </c>
      <c r="BC27" s="504">
        <v>0</v>
      </c>
      <c r="BD27" s="504">
        <v>0</v>
      </c>
      <c r="BE27" s="504">
        <v>0</v>
      </c>
      <c r="BF27" s="504">
        <v>0</v>
      </c>
      <c r="BG27" s="504">
        <v>0</v>
      </c>
      <c r="BH27" s="504">
        <v>0</v>
      </c>
      <c r="BI27" s="504">
        <v>0</v>
      </c>
      <c r="BJ27" s="504">
        <v>0</v>
      </c>
      <c r="BK27" s="504">
        <v>0</v>
      </c>
      <c r="BL27" s="504">
        <v>0</v>
      </c>
      <c r="BM27" s="504">
        <v>0</v>
      </c>
      <c r="BN27" s="504">
        <v>0</v>
      </c>
      <c r="BO27" s="504">
        <v>0</v>
      </c>
      <c r="BP27" s="504">
        <v>0</v>
      </c>
      <c r="BQ27" s="504">
        <v>0</v>
      </c>
      <c r="BR27" s="504">
        <v>0</v>
      </c>
      <c r="BS27" s="504">
        <v>0</v>
      </c>
      <c r="BT27" s="504">
        <v>0</v>
      </c>
      <c r="BU27" s="504">
        <v>0</v>
      </c>
      <c r="BV27" s="504">
        <v>0</v>
      </c>
      <c r="BW27" s="504">
        <v>0</v>
      </c>
      <c r="BX27" s="504">
        <v>0</v>
      </c>
      <c r="BY27" s="504">
        <v>0</v>
      </c>
      <c r="BZ27" s="504">
        <v>0</v>
      </c>
      <c r="CA27" s="504">
        <v>0</v>
      </c>
      <c r="CB27" s="504">
        <v>0</v>
      </c>
      <c r="CC27" s="504">
        <v>0</v>
      </c>
      <c r="CD27" s="504">
        <v>0</v>
      </c>
      <c r="CE27" s="504">
        <v>0</v>
      </c>
      <c r="CF27" s="504">
        <v>0</v>
      </c>
      <c r="CG27" s="504">
        <v>0</v>
      </c>
      <c r="CH27" s="504">
        <v>0</v>
      </c>
      <c r="CI27" s="504">
        <v>0</v>
      </c>
      <c r="CJ27" s="504">
        <v>0</v>
      </c>
      <c r="CK27" s="504">
        <v>0</v>
      </c>
      <c r="CL27" s="504">
        <v>0</v>
      </c>
      <c r="CM27" s="504">
        <v>0</v>
      </c>
      <c r="CN27" s="504">
        <v>0</v>
      </c>
      <c r="CO27" s="504">
        <v>0</v>
      </c>
      <c r="CP27" s="504">
        <v>0</v>
      </c>
      <c r="CQ27" s="504">
        <v>0</v>
      </c>
      <c r="CR27" s="504">
        <v>0</v>
      </c>
      <c r="CS27" s="504">
        <v>0</v>
      </c>
      <c r="CT27" s="504">
        <v>0</v>
      </c>
      <c r="CU27" s="504">
        <v>0</v>
      </c>
      <c r="CV27" s="504">
        <v>0</v>
      </c>
      <c r="CW27" s="504">
        <v>0</v>
      </c>
      <c r="CX27" s="504">
        <v>0</v>
      </c>
      <c r="CY27" s="504">
        <v>0</v>
      </c>
      <c r="CZ27" s="1654">
        <v>0</v>
      </c>
      <c r="DA27" s="504">
        <v>0</v>
      </c>
      <c r="DB27" s="504">
        <v>105</v>
      </c>
      <c r="DC27" s="504">
        <v>406</v>
      </c>
      <c r="DD27" s="504">
        <v>1006</v>
      </c>
      <c r="DE27" s="504">
        <v>1276</v>
      </c>
      <c r="DF27" s="504">
        <v>1601</v>
      </c>
      <c r="DG27" s="504">
        <v>0</v>
      </c>
      <c r="DH27" s="504">
        <v>0</v>
      </c>
      <c r="DI27" s="504">
        <v>0</v>
      </c>
      <c r="DJ27" s="504">
        <v>0</v>
      </c>
      <c r="DK27" s="504">
        <v>0</v>
      </c>
      <c r="DL27" s="504">
        <v>0</v>
      </c>
      <c r="DM27" s="504">
        <v>0</v>
      </c>
      <c r="DN27" s="504">
        <v>0</v>
      </c>
      <c r="DO27" s="504">
        <v>0</v>
      </c>
      <c r="DP27" s="504">
        <v>0</v>
      </c>
      <c r="DQ27" s="504">
        <v>0</v>
      </c>
      <c r="DR27" s="504">
        <v>0</v>
      </c>
      <c r="DS27" s="504">
        <v>0</v>
      </c>
      <c r="DT27" s="504">
        <v>0</v>
      </c>
      <c r="DU27" s="504">
        <v>0</v>
      </c>
      <c r="DV27" s="504">
        <v>0</v>
      </c>
      <c r="DW27" s="504">
        <v>0</v>
      </c>
      <c r="DX27" s="504">
        <v>0</v>
      </c>
      <c r="DY27" s="504">
        <v>0</v>
      </c>
      <c r="DZ27" s="504">
        <v>0</v>
      </c>
      <c r="EA27" s="504">
        <v>0</v>
      </c>
      <c r="EB27" s="504">
        <v>0</v>
      </c>
      <c r="EC27" s="504">
        <v>0</v>
      </c>
      <c r="ED27" s="504">
        <v>0</v>
      </c>
      <c r="EE27" s="504">
        <v>0</v>
      </c>
      <c r="EF27" s="504">
        <v>0</v>
      </c>
      <c r="EG27" s="504">
        <v>0</v>
      </c>
      <c r="EH27" s="504">
        <v>0</v>
      </c>
      <c r="EI27" s="504">
        <v>0</v>
      </c>
      <c r="EJ27" s="504">
        <v>0</v>
      </c>
      <c r="EK27" s="504">
        <v>0</v>
      </c>
      <c r="EL27" s="504">
        <v>0</v>
      </c>
      <c r="EM27" s="504">
        <v>0</v>
      </c>
      <c r="EN27" s="504">
        <v>0</v>
      </c>
      <c r="EO27" s="504">
        <v>0</v>
      </c>
      <c r="EP27" s="504">
        <v>0</v>
      </c>
      <c r="EQ27" s="504">
        <v>0</v>
      </c>
      <c r="ER27" s="504">
        <v>0</v>
      </c>
      <c r="ES27" s="504">
        <v>0</v>
      </c>
      <c r="ET27" s="504">
        <v>0</v>
      </c>
      <c r="EU27" s="504">
        <v>0</v>
      </c>
      <c r="EV27" s="504">
        <v>0</v>
      </c>
      <c r="EW27" s="504">
        <v>0</v>
      </c>
      <c r="EX27" s="504">
        <v>0</v>
      </c>
      <c r="EY27" s="504">
        <v>0</v>
      </c>
      <c r="EZ27" s="504">
        <v>0</v>
      </c>
      <c r="FA27" s="504">
        <v>0</v>
      </c>
      <c r="FB27" s="504">
        <v>0</v>
      </c>
      <c r="FC27" s="504">
        <v>0</v>
      </c>
      <c r="FD27" s="504">
        <v>0</v>
      </c>
      <c r="FE27" s="504">
        <v>0</v>
      </c>
      <c r="FF27" s="504">
        <v>0</v>
      </c>
      <c r="FG27" s="504">
        <v>0</v>
      </c>
      <c r="FH27" s="504">
        <v>0</v>
      </c>
      <c r="FI27" s="504">
        <v>0</v>
      </c>
      <c r="FJ27" s="504">
        <v>0</v>
      </c>
      <c r="FK27" s="504">
        <v>0</v>
      </c>
      <c r="FL27" s="504">
        <v>0</v>
      </c>
      <c r="FM27" s="504">
        <v>0</v>
      </c>
      <c r="FN27" s="504">
        <v>0</v>
      </c>
      <c r="FO27" s="504">
        <v>0</v>
      </c>
      <c r="FP27" s="504">
        <v>0</v>
      </c>
      <c r="FQ27" s="504">
        <v>0</v>
      </c>
      <c r="FR27" s="504">
        <v>0</v>
      </c>
      <c r="FS27" s="504">
        <v>0</v>
      </c>
      <c r="FT27" s="504">
        <v>0</v>
      </c>
      <c r="FU27" s="504">
        <v>0</v>
      </c>
      <c r="FV27" s="504">
        <v>0</v>
      </c>
      <c r="FW27" s="504">
        <v>0</v>
      </c>
      <c r="FX27" s="504">
        <v>0</v>
      </c>
      <c r="FY27" s="504">
        <v>0</v>
      </c>
      <c r="FZ27" s="504">
        <v>0</v>
      </c>
      <c r="GA27" s="504">
        <v>0</v>
      </c>
      <c r="GB27" s="504">
        <v>0</v>
      </c>
      <c r="GC27" s="504">
        <v>0</v>
      </c>
      <c r="GD27" s="504">
        <v>0</v>
      </c>
      <c r="GE27" s="504">
        <v>0</v>
      </c>
      <c r="GF27" s="504">
        <v>0</v>
      </c>
      <c r="GG27" s="504">
        <v>0</v>
      </c>
      <c r="GH27" s="504">
        <v>0</v>
      </c>
      <c r="GI27" s="504">
        <v>0</v>
      </c>
      <c r="GJ27" s="504">
        <v>0</v>
      </c>
      <c r="GK27" s="504">
        <v>0</v>
      </c>
      <c r="GL27" s="504">
        <v>0</v>
      </c>
      <c r="GM27" s="504">
        <v>0</v>
      </c>
      <c r="GN27" s="504">
        <v>0</v>
      </c>
      <c r="GO27" s="504">
        <v>0</v>
      </c>
      <c r="GP27" s="504">
        <v>0</v>
      </c>
      <c r="GQ27" s="504">
        <v>0</v>
      </c>
      <c r="GR27" s="504">
        <v>0</v>
      </c>
      <c r="GS27" s="504">
        <v>0</v>
      </c>
      <c r="GT27" s="504">
        <v>0</v>
      </c>
      <c r="GU27" s="504">
        <v>0</v>
      </c>
      <c r="GV27" s="504">
        <v>0</v>
      </c>
      <c r="GW27" s="1654">
        <v>0</v>
      </c>
      <c r="GX27" s="504">
        <v>0</v>
      </c>
      <c r="GY27" s="504">
        <v>11163</v>
      </c>
      <c r="GZ27" s="504">
        <v>23115</v>
      </c>
      <c r="HA27" s="504">
        <v>27000</v>
      </c>
      <c r="HB27" s="504">
        <v>26000</v>
      </c>
      <c r="HC27" s="504">
        <v>25000</v>
      </c>
      <c r="HD27" s="504">
        <v>0</v>
      </c>
      <c r="HE27" s="504">
        <v>0</v>
      </c>
      <c r="HF27" s="504">
        <v>0</v>
      </c>
      <c r="HG27" s="504">
        <v>0</v>
      </c>
      <c r="HH27" s="504">
        <v>0</v>
      </c>
      <c r="HI27" s="504">
        <v>0</v>
      </c>
      <c r="HJ27" s="504">
        <v>0</v>
      </c>
      <c r="HK27" s="504">
        <v>0</v>
      </c>
      <c r="HL27" s="504">
        <v>0</v>
      </c>
      <c r="HM27" s="504">
        <v>0</v>
      </c>
      <c r="HN27" s="504">
        <v>0</v>
      </c>
      <c r="HO27" s="504">
        <v>0</v>
      </c>
      <c r="HP27" s="504">
        <v>0</v>
      </c>
      <c r="HQ27" s="504">
        <v>0</v>
      </c>
      <c r="HR27" s="504">
        <v>0</v>
      </c>
      <c r="HS27" s="504">
        <v>0</v>
      </c>
      <c r="HT27" s="504">
        <v>0</v>
      </c>
      <c r="HU27" s="504">
        <v>0</v>
      </c>
      <c r="HV27" s="504">
        <v>0</v>
      </c>
      <c r="HW27" s="504">
        <v>0</v>
      </c>
      <c r="HX27" s="504">
        <v>0</v>
      </c>
      <c r="HY27" s="504">
        <v>0</v>
      </c>
      <c r="HZ27" s="504">
        <v>0</v>
      </c>
      <c r="IA27" s="504">
        <v>0</v>
      </c>
      <c r="IB27" s="504">
        <v>0</v>
      </c>
      <c r="IC27" s="504">
        <v>0</v>
      </c>
      <c r="ID27" s="504">
        <v>0</v>
      </c>
      <c r="IE27" s="504">
        <v>0</v>
      </c>
      <c r="IF27" s="504">
        <v>0</v>
      </c>
      <c r="IG27" s="504">
        <v>0</v>
      </c>
      <c r="IH27" s="504">
        <v>0</v>
      </c>
      <c r="II27" s="504">
        <v>0</v>
      </c>
      <c r="IJ27" s="504">
        <v>0</v>
      </c>
      <c r="IK27" s="504">
        <v>0</v>
      </c>
      <c r="IL27" s="504">
        <v>0</v>
      </c>
      <c r="IM27" s="504">
        <v>0</v>
      </c>
      <c r="IN27" s="504">
        <v>0</v>
      </c>
      <c r="IO27" s="504">
        <v>0</v>
      </c>
      <c r="IP27" s="504">
        <v>0</v>
      </c>
      <c r="IQ27" s="504">
        <v>0</v>
      </c>
      <c r="IR27" s="504">
        <v>0</v>
      </c>
      <c r="IS27" s="504">
        <v>0</v>
      </c>
      <c r="IT27" s="504">
        <v>0</v>
      </c>
      <c r="IU27" s="504">
        <v>0</v>
      </c>
      <c r="IV27" s="504">
        <v>0</v>
      </c>
      <c r="IW27" s="504">
        <v>0</v>
      </c>
      <c r="IX27" s="504">
        <v>0</v>
      </c>
      <c r="IY27" s="504">
        <v>0</v>
      </c>
      <c r="IZ27" s="504">
        <v>0</v>
      </c>
      <c r="JA27" s="504">
        <v>0</v>
      </c>
      <c r="JB27" s="504">
        <v>0</v>
      </c>
      <c r="JC27" s="504">
        <v>0</v>
      </c>
      <c r="JD27" s="504">
        <v>0</v>
      </c>
      <c r="JE27" s="504">
        <v>0</v>
      </c>
      <c r="JF27" s="504">
        <v>0</v>
      </c>
      <c r="JG27" s="504">
        <v>0</v>
      </c>
      <c r="JH27" s="504">
        <v>0</v>
      </c>
      <c r="JI27" s="504">
        <v>0</v>
      </c>
      <c r="JJ27" s="504">
        <v>0</v>
      </c>
      <c r="JK27" s="504">
        <v>0</v>
      </c>
      <c r="JL27" s="504">
        <v>0</v>
      </c>
      <c r="JM27" s="504">
        <v>0</v>
      </c>
      <c r="JN27" s="504">
        <v>0</v>
      </c>
      <c r="JO27" s="504">
        <v>0</v>
      </c>
      <c r="JP27" s="504">
        <v>0</v>
      </c>
      <c r="JQ27" s="504">
        <v>0</v>
      </c>
      <c r="JR27" s="504">
        <v>0</v>
      </c>
      <c r="JS27" s="504">
        <v>0</v>
      </c>
      <c r="JT27" s="504">
        <v>0</v>
      </c>
      <c r="JU27" s="504">
        <v>0</v>
      </c>
      <c r="JV27" s="504">
        <v>0</v>
      </c>
      <c r="JW27" s="504">
        <v>0</v>
      </c>
      <c r="JX27" s="504">
        <v>0</v>
      </c>
      <c r="JY27" s="504">
        <v>0</v>
      </c>
      <c r="JZ27" s="504">
        <v>0</v>
      </c>
      <c r="KA27" s="504">
        <v>0</v>
      </c>
      <c r="KB27" s="504">
        <v>0</v>
      </c>
      <c r="KC27" s="504">
        <v>0</v>
      </c>
      <c r="KD27" s="504">
        <v>0</v>
      </c>
      <c r="KE27" s="504">
        <v>0</v>
      </c>
      <c r="KF27" s="504">
        <v>0</v>
      </c>
      <c r="KG27" s="504">
        <v>0</v>
      </c>
      <c r="KH27" s="504">
        <v>0</v>
      </c>
      <c r="KI27" s="504">
        <v>0</v>
      </c>
      <c r="KJ27" s="504">
        <v>0</v>
      </c>
      <c r="KK27" s="504">
        <v>0</v>
      </c>
      <c r="KL27" s="504">
        <v>0</v>
      </c>
      <c r="KM27" s="504">
        <v>0</v>
      </c>
      <c r="KN27" s="504">
        <v>0</v>
      </c>
      <c r="KO27" s="504">
        <v>0</v>
      </c>
      <c r="KP27" s="504">
        <v>0</v>
      </c>
      <c r="KQ27" s="504">
        <v>0</v>
      </c>
      <c r="KR27" s="504">
        <v>0</v>
      </c>
      <c r="KS27" s="504">
        <v>0</v>
      </c>
      <c r="KT27" s="1654">
        <v>0</v>
      </c>
      <c r="KU27" s="504">
        <v>0</v>
      </c>
      <c r="KV27" s="504">
        <v>0</v>
      </c>
      <c r="KW27" s="504">
        <v>0</v>
      </c>
      <c r="KX27" s="504">
        <v>969</v>
      </c>
      <c r="KY27" s="504">
        <v>1262</v>
      </c>
      <c r="KZ27" s="504">
        <v>1588</v>
      </c>
      <c r="LA27" s="504">
        <v>0</v>
      </c>
      <c r="LB27" s="504">
        <v>0</v>
      </c>
      <c r="LC27" s="504">
        <v>0</v>
      </c>
      <c r="LD27" s="504">
        <v>0</v>
      </c>
      <c r="LE27" s="504">
        <v>0</v>
      </c>
      <c r="LF27" s="504">
        <v>0</v>
      </c>
      <c r="LG27" s="504">
        <v>0</v>
      </c>
      <c r="LH27" s="504">
        <v>0</v>
      </c>
      <c r="LI27" s="504">
        <v>0</v>
      </c>
      <c r="LJ27" s="504">
        <v>0</v>
      </c>
      <c r="LK27" s="504">
        <v>0</v>
      </c>
      <c r="LL27" s="504">
        <v>0</v>
      </c>
      <c r="LM27" s="504">
        <v>0</v>
      </c>
      <c r="LN27" s="504">
        <v>0</v>
      </c>
      <c r="LO27" s="504">
        <v>0</v>
      </c>
      <c r="LP27" s="504">
        <v>0</v>
      </c>
      <c r="LQ27" s="504">
        <v>0</v>
      </c>
      <c r="LR27" s="504">
        <v>0</v>
      </c>
      <c r="LS27" s="504">
        <v>0</v>
      </c>
      <c r="LT27" s="504">
        <v>0</v>
      </c>
      <c r="LU27" s="504">
        <v>0</v>
      </c>
      <c r="LV27" s="504">
        <v>0</v>
      </c>
      <c r="LW27" s="504">
        <v>0</v>
      </c>
      <c r="LX27" s="504">
        <v>0</v>
      </c>
      <c r="LY27" s="504">
        <v>0</v>
      </c>
      <c r="LZ27" s="504">
        <v>0</v>
      </c>
      <c r="MA27" s="504">
        <v>0</v>
      </c>
      <c r="MB27" s="504">
        <v>0</v>
      </c>
      <c r="MC27" s="504">
        <v>0</v>
      </c>
      <c r="MD27" s="504">
        <v>0</v>
      </c>
      <c r="ME27" s="504">
        <v>0</v>
      </c>
      <c r="MF27" s="504">
        <v>0</v>
      </c>
      <c r="MG27" s="504">
        <v>0</v>
      </c>
      <c r="MH27" s="504">
        <v>0</v>
      </c>
      <c r="MI27" s="504">
        <v>0</v>
      </c>
      <c r="MJ27" s="504">
        <v>0</v>
      </c>
      <c r="MK27" s="504">
        <v>0</v>
      </c>
      <c r="ML27" s="504">
        <v>0</v>
      </c>
      <c r="MM27" s="504">
        <v>0</v>
      </c>
      <c r="MN27" s="504">
        <v>0</v>
      </c>
      <c r="MO27" s="504">
        <v>0</v>
      </c>
      <c r="MP27" s="504">
        <v>0</v>
      </c>
      <c r="MQ27" s="504">
        <v>0</v>
      </c>
      <c r="MR27" s="504">
        <v>0</v>
      </c>
      <c r="MS27" s="504">
        <v>0</v>
      </c>
      <c r="MT27" s="504">
        <v>0</v>
      </c>
      <c r="MU27" s="504">
        <v>0</v>
      </c>
      <c r="MV27" s="504">
        <v>0</v>
      </c>
      <c r="MW27" s="504">
        <v>0</v>
      </c>
      <c r="MX27" s="504">
        <v>0</v>
      </c>
      <c r="MY27" s="504">
        <v>0</v>
      </c>
      <c r="MZ27" s="504">
        <v>0</v>
      </c>
      <c r="NA27" s="504">
        <v>0</v>
      </c>
      <c r="NB27" s="504">
        <v>0</v>
      </c>
      <c r="NC27" s="504">
        <v>0</v>
      </c>
      <c r="ND27" s="504">
        <v>0</v>
      </c>
      <c r="NE27" s="504">
        <v>0</v>
      </c>
      <c r="NF27" s="504">
        <v>0</v>
      </c>
      <c r="NG27" s="504">
        <v>0</v>
      </c>
      <c r="NH27" s="504">
        <v>0</v>
      </c>
      <c r="NI27" s="504">
        <v>0</v>
      </c>
      <c r="NJ27" s="504">
        <v>0</v>
      </c>
      <c r="NK27" s="504">
        <v>0</v>
      </c>
      <c r="NL27" s="504">
        <v>0</v>
      </c>
      <c r="NM27" s="504">
        <v>0</v>
      </c>
      <c r="NN27" s="504">
        <v>0</v>
      </c>
      <c r="NO27" s="504">
        <v>0</v>
      </c>
      <c r="NP27" s="504">
        <v>0</v>
      </c>
      <c r="NQ27" s="504">
        <v>0</v>
      </c>
      <c r="NR27" s="504">
        <v>0</v>
      </c>
      <c r="NS27" s="504">
        <v>0</v>
      </c>
      <c r="NT27" s="504">
        <v>0</v>
      </c>
      <c r="NU27" s="504">
        <v>0</v>
      </c>
      <c r="NV27" s="504">
        <v>0</v>
      </c>
      <c r="NW27" s="504">
        <v>0</v>
      </c>
      <c r="NX27" s="504">
        <v>0</v>
      </c>
      <c r="NY27" s="504">
        <v>0</v>
      </c>
      <c r="NZ27" s="504">
        <v>0</v>
      </c>
      <c r="OA27" s="504">
        <v>0</v>
      </c>
      <c r="OB27" s="504">
        <v>0</v>
      </c>
      <c r="OC27" s="504">
        <v>0</v>
      </c>
      <c r="OD27" s="504">
        <v>0</v>
      </c>
      <c r="OE27" s="504">
        <v>0</v>
      </c>
      <c r="OF27" s="504">
        <v>0</v>
      </c>
      <c r="OG27" s="504">
        <v>0</v>
      </c>
      <c r="OH27" s="504">
        <v>0</v>
      </c>
      <c r="OI27" s="504">
        <v>0</v>
      </c>
      <c r="OJ27" s="504">
        <v>0</v>
      </c>
      <c r="OK27" s="504">
        <v>0</v>
      </c>
      <c r="OL27" s="504">
        <v>0</v>
      </c>
      <c r="OM27" s="504">
        <v>0</v>
      </c>
      <c r="ON27" s="504">
        <v>0</v>
      </c>
      <c r="OO27" s="504">
        <v>0</v>
      </c>
      <c r="OP27" s="504">
        <v>0</v>
      </c>
      <c r="OQ27" s="504">
        <v>0</v>
      </c>
      <c r="OR27" s="1656"/>
    </row>
    <row r="28" spans="1:408" ht="21.5">
      <c r="A28" s="1466" t="s">
        <v>1649</v>
      </c>
      <c r="B28" s="1583" t="s">
        <v>2358</v>
      </c>
      <c r="C28" s="1583" t="s">
        <v>14</v>
      </c>
      <c r="D28" s="1583">
        <v>51</v>
      </c>
      <c r="E28" s="504">
        <v>51</v>
      </c>
      <c r="F28" s="504">
        <v>201</v>
      </c>
      <c r="G28" s="504">
        <v>514</v>
      </c>
      <c r="H28" s="504">
        <v>801</v>
      </c>
      <c r="I28" s="504">
        <v>1145</v>
      </c>
      <c r="J28" s="504">
        <v>1398</v>
      </c>
      <c r="K28" s="504">
        <v>1418</v>
      </c>
      <c r="L28" s="504">
        <v>1438</v>
      </c>
      <c r="M28" s="504">
        <v>1458</v>
      </c>
      <c r="N28" s="504">
        <v>1479</v>
      </c>
      <c r="O28" s="504">
        <v>1500</v>
      </c>
      <c r="P28" s="504">
        <v>1522</v>
      </c>
      <c r="Q28" s="504">
        <v>1544</v>
      </c>
      <c r="R28" s="504">
        <v>1566</v>
      </c>
      <c r="S28" s="504">
        <v>1589</v>
      </c>
      <c r="T28" s="504">
        <v>1612</v>
      </c>
      <c r="U28" s="504">
        <v>1636</v>
      </c>
      <c r="V28" s="504">
        <v>1660</v>
      </c>
      <c r="W28" s="504">
        <v>1684</v>
      </c>
      <c r="X28" s="504">
        <v>1709</v>
      </c>
      <c r="Y28" s="504">
        <v>1735</v>
      </c>
      <c r="Z28" s="504">
        <v>1761</v>
      </c>
      <c r="AA28" s="504">
        <v>1787</v>
      </c>
      <c r="AB28" s="504">
        <v>1815</v>
      </c>
      <c r="AC28" s="504">
        <v>1844</v>
      </c>
      <c r="AD28" s="504">
        <v>1874</v>
      </c>
      <c r="AE28" s="504">
        <v>1907</v>
      </c>
      <c r="AF28" s="504">
        <v>1942</v>
      </c>
      <c r="AG28" s="504">
        <v>2000</v>
      </c>
      <c r="AH28" s="504">
        <v>0</v>
      </c>
      <c r="AI28" s="504">
        <v>0</v>
      </c>
      <c r="AJ28" s="504">
        <v>0</v>
      </c>
      <c r="AK28" s="504">
        <v>0</v>
      </c>
      <c r="AL28" s="504">
        <v>0</v>
      </c>
      <c r="AM28" s="504">
        <v>0</v>
      </c>
      <c r="AN28" s="504">
        <v>0</v>
      </c>
      <c r="AO28" s="504">
        <v>0</v>
      </c>
      <c r="AP28" s="504">
        <v>0</v>
      </c>
      <c r="AQ28" s="504">
        <v>0</v>
      </c>
      <c r="AR28" s="504">
        <v>0</v>
      </c>
      <c r="AS28" s="504">
        <v>0</v>
      </c>
      <c r="AT28" s="504">
        <v>0</v>
      </c>
      <c r="AU28" s="504">
        <v>0</v>
      </c>
      <c r="AV28" s="504">
        <v>0</v>
      </c>
      <c r="AW28" s="504">
        <v>0</v>
      </c>
      <c r="AX28" s="504">
        <v>0</v>
      </c>
      <c r="AY28" s="504">
        <v>0</v>
      </c>
      <c r="AZ28" s="504">
        <v>0</v>
      </c>
      <c r="BA28" s="504">
        <v>0</v>
      </c>
      <c r="BB28" s="504">
        <v>0</v>
      </c>
      <c r="BC28" s="504">
        <v>0</v>
      </c>
      <c r="BD28" s="504">
        <v>0</v>
      </c>
      <c r="BE28" s="504">
        <v>0</v>
      </c>
      <c r="BF28" s="504">
        <v>0</v>
      </c>
      <c r="BG28" s="504">
        <v>0</v>
      </c>
      <c r="BH28" s="504">
        <v>0</v>
      </c>
      <c r="BI28" s="504">
        <v>0</v>
      </c>
      <c r="BJ28" s="504">
        <v>0</v>
      </c>
      <c r="BK28" s="504">
        <v>0</v>
      </c>
      <c r="BL28" s="504">
        <v>0</v>
      </c>
      <c r="BM28" s="504">
        <v>0</v>
      </c>
      <c r="BN28" s="504">
        <v>0</v>
      </c>
      <c r="BO28" s="504">
        <v>0</v>
      </c>
      <c r="BP28" s="504">
        <v>0</v>
      </c>
      <c r="BQ28" s="504">
        <v>0</v>
      </c>
      <c r="BR28" s="504">
        <v>0</v>
      </c>
      <c r="BS28" s="504">
        <v>0</v>
      </c>
      <c r="BT28" s="504">
        <v>0</v>
      </c>
      <c r="BU28" s="504">
        <v>0</v>
      </c>
      <c r="BV28" s="504">
        <v>0</v>
      </c>
      <c r="BW28" s="504">
        <v>0</v>
      </c>
      <c r="BX28" s="504">
        <v>0</v>
      </c>
      <c r="BY28" s="504">
        <v>0</v>
      </c>
      <c r="BZ28" s="504">
        <v>0</v>
      </c>
      <c r="CA28" s="504">
        <v>0</v>
      </c>
      <c r="CB28" s="504">
        <v>0</v>
      </c>
      <c r="CC28" s="504">
        <v>0</v>
      </c>
      <c r="CD28" s="504">
        <v>0</v>
      </c>
      <c r="CE28" s="504">
        <v>0</v>
      </c>
      <c r="CF28" s="504">
        <v>0</v>
      </c>
      <c r="CG28" s="504">
        <v>0</v>
      </c>
      <c r="CH28" s="504">
        <v>0</v>
      </c>
      <c r="CI28" s="504">
        <v>0</v>
      </c>
      <c r="CJ28" s="504">
        <v>0</v>
      </c>
      <c r="CK28" s="504">
        <v>0</v>
      </c>
      <c r="CL28" s="504">
        <v>0</v>
      </c>
      <c r="CM28" s="504">
        <v>0</v>
      </c>
      <c r="CN28" s="504">
        <v>0</v>
      </c>
      <c r="CO28" s="504">
        <v>0</v>
      </c>
      <c r="CP28" s="504">
        <v>0</v>
      </c>
      <c r="CQ28" s="504">
        <v>0</v>
      </c>
      <c r="CR28" s="504">
        <v>0</v>
      </c>
      <c r="CS28" s="504">
        <v>0</v>
      </c>
      <c r="CT28" s="504">
        <v>0</v>
      </c>
      <c r="CU28" s="504">
        <v>0</v>
      </c>
      <c r="CV28" s="504">
        <v>0</v>
      </c>
      <c r="CW28" s="504">
        <v>0</v>
      </c>
      <c r="CX28" s="504">
        <v>0</v>
      </c>
      <c r="CY28" s="504">
        <v>0</v>
      </c>
      <c r="CZ28" s="1654">
        <v>0</v>
      </c>
      <c r="DA28" s="504">
        <v>0</v>
      </c>
      <c r="DB28" s="504">
        <v>105</v>
      </c>
      <c r="DC28" s="504">
        <v>401</v>
      </c>
      <c r="DD28" s="504">
        <v>999</v>
      </c>
      <c r="DE28" s="504">
        <v>1273</v>
      </c>
      <c r="DF28" s="504">
        <v>1602</v>
      </c>
      <c r="DG28" s="504">
        <v>0</v>
      </c>
      <c r="DH28" s="504">
        <v>0</v>
      </c>
      <c r="DI28" s="504">
        <v>0</v>
      </c>
      <c r="DJ28" s="504">
        <v>0</v>
      </c>
      <c r="DK28" s="504">
        <v>0</v>
      </c>
      <c r="DL28" s="504">
        <v>0</v>
      </c>
      <c r="DM28" s="504">
        <v>0</v>
      </c>
      <c r="DN28" s="504">
        <v>0</v>
      </c>
      <c r="DO28" s="504">
        <v>0</v>
      </c>
      <c r="DP28" s="504">
        <v>0</v>
      </c>
      <c r="DQ28" s="504">
        <v>0</v>
      </c>
      <c r="DR28" s="504">
        <v>0</v>
      </c>
      <c r="DS28" s="504">
        <v>0</v>
      </c>
      <c r="DT28" s="504">
        <v>0</v>
      </c>
      <c r="DU28" s="504">
        <v>0</v>
      </c>
      <c r="DV28" s="504">
        <v>0</v>
      </c>
      <c r="DW28" s="504">
        <v>0</v>
      </c>
      <c r="DX28" s="504">
        <v>0</v>
      </c>
      <c r="DY28" s="504">
        <v>0</v>
      </c>
      <c r="DZ28" s="504">
        <v>0</v>
      </c>
      <c r="EA28" s="504">
        <v>0</v>
      </c>
      <c r="EB28" s="504">
        <v>0</v>
      </c>
      <c r="EC28" s="504">
        <v>0</v>
      </c>
      <c r="ED28" s="504">
        <v>0</v>
      </c>
      <c r="EE28" s="504">
        <v>0</v>
      </c>
      <c r="EF28" s="504">
        <v>0</v>
      </c>
      <c r="EG28" s="504">
        <v>0</v>
      </c>
      <c r="EH28" s="504">
        <v>0</v>
      </c>
      <c r="EI28" s="504">
        <v>0</v>
      </c>
      <c r="EJ28" s="504">
        <v>0</v>
      </c>
      <c r="EK28" s="504">
        <v>0</v>
      </c>
      <c r="EL28" s="504">
        <v>0</v>
      </c>
      <c r="EM28" s="504">
        <v>0</v>
      </c>
      <c r="EN28" s="504">
        <v>0</v>
      </c>
      <c r="EO28" s="504">
        <v>0</v>
      </c>
      <c r="EP28" s="504">
        <v>0</v>
      </c>
      <c r="EQ28" s="504">
        <v>0</v>
      </c>
      <c r="ER28" s="504">
        <v>0</v>
      </c>
      <c r="ES28" s="504">
        <v>0</v>
      </c>
      <c r="ET28" s="504">
        <v>0</v>
      </c>
      <c r="EU28" s="504">
        <v>0</v>
      </c>
      <c r="EV28" s="504">
        <v>0</v>
      </c>
      <c r="EW28" s="504">
        <v>0</v>
      </c>
      <c r="EX28" s="504">
        <v>0</v>
      </c>
      <c r="EY28" s="504">
        <v>0</v>
      </c>
      <c r="EZ28" s="504">
        <v>0</v>
      </c>
      <c r="FA28" s="504">
        <v>0</v>
      </c>
      <c r="FB28" s="504">
        <v>0</v>
      </c>
      <c r="FC28" s="504">
        <v>0</v>
      </c>
      <c r="FD28" s="504">
        <v>0</v>
      </c>
      <c r="FE28" s="504">
        <v>0</v>
      </c>
      <c r="FF28" s="504">
        <v>0</v>
      </c>
      <c r="FG28" s="504">
        <v>0</v>
      </c>
      <c r="FH28" s="504">
        <v>0</v>
      </c>
      <c r="FI28" s="504">
        <v>0</v>
      </c>
      <c r="FJ28" s="504">
        <v>0</v>
      </c>
      <c r="FK28" s="504">
        <v>0</v>
      </c>
      <c r="FL28" s="504">
        <v>0</v>
      </c>
      <c r="FM28" s="504">
        <v>0</v>
      </c>
      <c r="FN28" s="504">
        <v>0</v>
      </c>
      <c r="FO28" s="504">
        <v>0</v>
      </c>
      <c r="FP28" s="504">
        <v>0</v>
      </c>
      <c r="FQ28" s="504">
        <v>0</v>
      </c>
      <c r="FR28" s="504">
        <v>0</v>
      </c>
      <c r="FS28" s="504">
        <v>0</v>
      </c>
      <c r="FT28" s="504">
        <v>0</v>
      </c>
      <c r="FU28" s="504">
        <v>0</v>
      </c>
      <c r="FV28" s="504">
        <v>0</v>
      </c>
      <c r="FW28" s="504">
        <v>0</v>
      </c>
      <c r="FX28" s="504">
        <v>0</v>
      </c>
      <c r="FY28" s="504">
        <v>0</v>
      </c>
      <c r="FZ28" s="504">
        <v>0</v>
      </c>
      <c r="GA28" s="504">
        <v>0</v>
      </c>
      <c r="GB28" s="504">
        <v>0</v>
      </c>
      <c r="GC28" s="504">
        <v>0</v>
      </c>
      <c r="GD28" s="504">
        <v>0</v>
      </c>
      <c r="GE28" s="504">
        <v>0</v>
      </c>
      <c r="GF28" s="504">
        <v>0</v>
      </c>
      <c r="GG28" s="504">
        <v>0</v>
      </c>
      <c r="GH28" s="504">
        <v>0</v>
      </c>
      <c r="GI28" s="504">
        <v>0</v>
      </c>
      <c r="GJ28" s="504">
        <v>0</v>
      </c>
      <c r="GK28" s="504">
        <v>0</v>
      </c>
      <c r="GL28" s="504">
        <v>0</v>
      </c>
      <c r="GM28" s="504">
        <v>0</v>
      </c>
      <c r="GN28" s="504">
        <v>0</v>
      </c>
      <c r="GO28" s="504">
        <v>0</v>
      </c>
      <c r="GP28" s="504">
        <v>0</v>
      </c>
      <c r="GQ28" s="504">
        <v>0</v>
      </c>
      <c r="GR28" s="504">
        <v>0</v>
      </c>
      <c r="GS28" s="504">
        <v>0</v>
      </c>
      <c r="GT28" s="504">
        <v>0</v>
      </c>
      <c r="GU28" s="504">
        <v>0</v>
      </c>
      <c r="GV28" s="504">
        <v>0</v>
      </c>
      <c r="GW28" s="1654">
        <v>0</v>
      </c>
      <c r="GX28" s="504">
        <v>0</v>
      </c>
      <c r="GY28" s="504">
        <v>10301</v>
      </c>
      <c r="GZ28" s="504">
        <v>22111</v>
      </c>
      <c r="HA28" s="504">
        <v>26000</v>
      </c>
      <c r="HB28" s="504">
        <v>25000</v>
      </c>
      <c r="HC28" s="504">
        <v>24000</v>
      </c>
      <c r="HD28" s="504">
        <v>0</v>
      </c>
      <c r="HE28" s="504">
        <v>0</v>
      </c>
      <c r="HF28" s="504">
        <v>0</v>
      </c>
      <c r="HG28" s="504">
        <v>0</v>
      </c>
      <c r="HH28" s="504">
        <v>0</v>
      </c>
      <c r="HI28" s="504">
        <v>0</v>
      </c>
      <c r="HJ28" s="504">
        <v>0</v>
      </c>
      <c r="HK28" s="504">
        <v>0</v>
      </c>
      <c r="HL28" s="504">
        <v>0</v>
      </c>
      <c r="HM28" s="504">
        <v>0</v>
      </c>
      <c r="HN28" s="504">
        <v>0</v>
      </c>
      <c r="HO28" s="504">
        <v>0</v>
      </c>
      <c r="HP28" s="504">
        <v>0</v>
      </c>
      <c r="HQ28" s="504">
        <v>0</v>
      </c>
      <c r="HR28" s="504">
        <v>0</v>
      </c>
      <c r="HS28" s="504">
        <v>0</v>
      </c>
      <c r="HT28" s="504">
        <v>0</v>
      </c>
      <c r="HU28" s="504">
        <v>0</v>
      </c>
      <c r="HV28" s="504">
        <v>0</v>
      </c>
      <c r="HW28" s="504">
        <v>0</v>
      </c>
      <c r="HX28" s="504">
        <v>0</v>
      </c>
      <c r="HY28" s="504">
        <v>0</v>
      </c>
      <c r="HZ28" s="504">
        <v>0</v>
      </c>
      <c r="IA28" s="504">
        <v>0</v>
      </c>
      <c r="IB28" s="504">
        <v>0</v>
      </c>
      <c r="IC28" s="504">
        <v>0</v>
      </c>
      <c r="ID28" s="504">
        <v>0</v>
      </c>
      <c r="IE28" s="504">
        <v>0</v>
      </c>
      <c r="IF28" s="504">
        <v>0</v>
      </c>
      <c r="IG28" s="504">
        <v>0</v>
      </c>
      <c r="IH28" s="504">
        <v>0</v>
      </c>
      <c r="II28" s="504">
        <v>0</v>
      </c>
      <c r="IJ28" s="504">
        <v>0</v>
      </c>
      <c r="IK28" s="504">
        <v>0</v>
      </c>
      <c r="IL28" s="504">
        <v>0</v>
      </c>
      <c r="IM28" s="504">
        <v>0</v>
      </c>
      <c r="IN28" s="504">
        <v>0</v>
      </c>
      <c r="IO28" s="504">
        <v>0</v>
      </c>
      <c r="IP28" s="504">
        <v>0</v>
      </c>
      <c r="IQ28" s="504">
        <v>0</v>
      </c>
      <c r="IR28" s="504">
        <v>0</v>
      </c>
      <c r="IS28" s="504">
        <v>0</v>
      </c>
      <c r="IT28" s="504">
        <v>0</v>
      </c>
      <c r="IU28" s="504">
        <v>0</v>
      </c>
      <c r="IV28" s="504">
        <v>0</v>
      </c>
      <c r="IW28" s="504">
        <v>0</v>
      </c>
      <c r="IX28" s="504">
        <v>0</v>
      </c>
      <c r="IY28" s="504">
        <v>0</v>
      </c>
      <c r="IZ28" s="504">
        <v>0</v>
      </c>
      <c r="JA28" s="504">
        <v>0</v>
      </c>
      <c r="JB28" s="504">
        <v>0</v>
      </c>
      <c r="JC28" s="504">
        <v>0</v>
      </c>
      <c r="JD28" s="504">
        <v>0</v>
      </c>
      <c r="JE28" s="504">
        <v>0</v>
      </c>
      <c r="JF28" s="504">
        <v>0</v>
      </c>
      <c r="JG28" s="504">
        <v>0</v>
      </c>
      <c r="JH28" s="504">
        <v>0</v>
      </c>
      <c r="JI28" s="504">
        <v>0</v>
      </c>
      <c r="JJ28" s="504">
        <v>0</v>
      </c>
      <c r="JK28" s="504">
        <v>0</v>
      </c>
      <c r="JL28" s="504">
        <v>0</v>
      </c>
      <c r="JM28" s="504">
        <v>0</v>
      </c>
      <c r="JN28" s="504">
        <v>0</v>
      </c>
      <c r="JO28" s="504">
        <v>0</v>
      </c>
      <c r="JP28" s="504">
        <v>0</v>
      </c>
      <c r="JQ28" s="504">
        <v>0</v>
      </c>
      <c r="JR28" s="504">
        <v>0</v>
      </c>
      <c r="JS28" s="504">
        <v>0</v>
      </c>
      <c r="JT28" s="504">
        <v>0</v>
      </c>
      <c r="JU28" s="504">
        <v>0</v>
      </c>
      <c r="JV28" s="504">
        <v>0</v>
      </c>
      <c r="JW28" s="504">
        <v>0</v>
      </c>
      <c r="JX28" s="504">
        <v>0</v>
      </c>
      <c r="JY28" s="504">
        <v>0</v>
      </c>
      <c r="JZ28" s="504">
        <v>0</v>
      </c>
      <c r="KA28" s="504">
        <v>0</v>
      </c>
      <c r="KB28" s="504">
        <v>0</v>
      </c>
      <c r="KC28" s="504">
        <v>0</v>
      </c>
      <c r="KD28" s="504">
        <v>0</v>
      </c>
      <c r="KE28" s="504">
        <v>0</v>
      </c>
      <c r="KF28" s="504">
        <v>0</v>
      </c>
      <c r="KG28" s="504">
        <v>0</v>
      </c>
      <c r="KH28" s="504">
        <v>0</v>
      </c>
      <c r="KI28" s="504">
        <v>0</v>
      </c>
      <c r="KJ28" s="504">
        <v>0</v>
      </c>
      <c r="KK28" s="504">
        <v>0</v>
      </c>
      <c r="KL28" s="504">
        <v>0</v>
      </c>
      <c r="KM28" s="504">
        <v>0</v>
      </c>
      <c r="KN28" s="504">
        <v>0</v>
      </c>
      <c r="KO28" s="504">
        <v>0</v>
      </c>
      <c r="KP28" s="504">
        <v>0</v>
      </c>
      <c r="KQ28" s="504">
        <v>0</v>
      </c>
      <c r="KR28" s="504">
        <v>0</v>
      </c>
      <c r="KS28" s="504">
        <v>0</v>
      </c>
      <c r="KT28" s="1654">
        <v>0</v>
      </c>
      <c r="KU28" s="504">
        <v>0</v>
      </c>
      <c r="KV28" s="504">
        <v>0</v>
      </c>
      <c r="KW28" s="504">
        <v>0</v>
      </c>
      <c r="KX28" s="504">
        <v>941</v>
      </c>
      <c r="KY28" s="504">
        <v>1260</v>
      </c>
      <c r="KZ28" s="504">
        <v>1589</v>
      </c>
      <c r="LA28" s="504">
        <v>0</v>
      </c>
      <c r="LB28" s="504">
        <v>0</v>
      </c>
      <c r="LC28" s="504">
        <v>0</v>
      </c>
      <c r="LD28" s="504">
        <v>0</v>
      </c>
      <c r="LE28" s="504">
        <v>0</v>
      </c>
      <c r="LF28" s="504">
        <v>0</v>
      </c>
      <c r="LG28" s="504">
        <v>0</v>
      </c>
      <c r="LH28" s="504">
        <v>0</v>
      </c>
      <c r="LI28" s="504">
        <v>0</v>
      </c>
      <c r="LJ28" s="504">
        <v>0</v>
      </c>
      <c r="LK28" s="504">
        <v>0</v>
      </c>
      <c r="LL28" s="504">
        <v>0</v>
      </c>
      <c r="LM28" s="504">
        <v>0</v>
      </c>
      <c r="LN28" s="504">
        <v>0</v>
      </c>
      <c r="LO28" s="504">
        <v>0</v>
      </c>
      <c r="LP28" s="504">
        <v>0</v>
      </c>
      <c r="LQ28" s="504">
        <v>0</v>
      </c>
      <c r="LR28" s="504">
        <v>0</v>
      </c>
      <c r="LS28" s="504">
        <v>0</v>
      </c>
      <c r="LT28" s="504">
        <v>0</v>
      </c>
      <c r="LU28" s="504">
        <v>0</v>
      </c>
      <c r="LV28" s="504">
        <v>0</v>
      </c>
      <c r="LW28" s="504">
        <v>0</v>
      </c>
      <c r="LX28" s="504">
        <v>0</v>
      </c>
      <c r="LY28" s="504">
        <v>0</v>
      </c>
      <c r="LZ28" s="504">
        <v>0</v>
      </c>
      <c r="MA28" s="504">
        <v>0</v>
      </c>
      <c r="MB28" s="504">
        <v>0</v>
      </c>
      <c r="MC28" s="504">
        <v>0</v>
      </c>
      <c r="MD28" s="504">
        <v>0</v>
      </c>
      <c r="ME28" s="504">
        <v>0</v>
      </c>
      <c r="MF28" s="504">
        <v>0</v>
      </c>
      <c r="MG28" s="504">
        <v>0</v>
      </c>
      <c r="MH28" s="504">
        <v>0</v>
      </c>
      <c r="MI28" s="504">
        <v>0</v>
      </c>
      <c r="MJ28" s="504">
        <v>0</v>
      </c>
      <c r="MK28" s="504">
        <v>0</v>
      </c>
      <c r="ML28" s="504">
        <v>0</v>
      </c>
      <c r="MM28" s="504">
        <v>0</v>
      </c>
      <c r="MN28" s="504">
        <v>0</v>
      </c>
      <c r="MO28" s="504">
        <v>0</v>
      </c>
      <c r="MP28" s="504">
        <v>0</v>
      </c>
      <c r="MQ28" s="504">
        <v>0</v>
      </c>
      <c r="MR28" s="504">
        <v>0</v>
      </c>
      <c r="MS28" s="504">
        <v>0</v>
      </c>
      <c r="MT28" s="504">
        <v>0</v>
      </c>
      <c r="MU28" s="504">
        <v>0</v>
      </c>
      <c r="MV28" s="504">
        <v>0</v>
      </c>
      <c r="MW28" s="504">
        <v>0</v>
      </c>
      <c r="MX28" s="504">
        <v>0</v>
      </c>
      <c r="MY28" s="504">
        <v>0</v>
      </c>
      <c r="MZ28" s="504">
        <v>0</v>
      </c>
      <c r="NA28" s="504">
        <v>0</v>
      </c>
      <c r="NB28" s="504">
        <v>0</v>
      </c>
      <c r="NC28" s="504">
        <v>0</v>
      </c>
      <c r="ND28" s="504">
        <v>0</v>
      </c>
      <c r="NE28" s="504">
        <v>0</v>
      </c>
      <c r="NF28" s="504">
        <v>0</v>
      </c>
      <c r="NG28" s="504">
        <v>0</v>
      </c>
      <c r="NH28" s="504">
        <v>0</v>
      </c>
      <c r="NI28" s="504">
        <v>0</v>
      </c>
      <c r="NJ28" s="504">
        <v>0</v>
      </c>
      <c r="NK28" s="504">
        <v>0</v>
      </c>
      <c r="NL28" s="504">
        <v>0</v>
      </c>
      <c r="NM28" s="504">
        <v>0</v>
      </c>
      <c r="NN28" s="504">
        <v>0</v>
      </c>
      <c r="NO28" s="504">
        <v>0</v>
      </c>
      <c r="NP28" s="504">
        <v>0</v>
      </c>
      <c r="NQ28" s="504">
        <v>0</v>
      </c>
      <c r="NR28" s="504">
        <v>0</v>
      </c>
      <c r="NS28" s="504">
        <v>0</v>
      </c>
      <c r="NT28" s="504">
        <v>0</v>
      </c>
      <c r="NU28" s="504">
        <v>0</v>
      </c>
      <c r="NV28" s="504">
        <v>0</v>
      </c>
      <c r="NW28" s="504">
        <v>0</v>
      </c>
      <c r="NX28" s="504">
        <v>0</v>
      </c>
      <c r="NY28" s="504">
        <v>0</v>
      </c>
      <c r="NZ28" s="504">
        <v>0</v>
      </c>
      <c r="OA28" s="504">
        <v>0</v>
      </c>
      <c r="OB28" s="504">
        <v>0</v>
      </c>
      <c r="OC28" s="504">
        <v>0</v>
      </c>
      <c r="OD28" s="504">
        <v>0</v>
      </c>
      <c r="OE28" s="504">
        <v>0</v>
      </c>
      <c r="OF28" s="504">
        <v>0</v>
      </c>
      <c r="OG28" s="504">
        <v>0</v>
      </c>
      <c r="OH28" s="504">
        <v>0</v>
      </c>
      <c r="OI28" s="504">
        <v>0</v>
      </c>
      <c r="OJ28" s="504">
        <v>0</v>
      </c>
      <c r="OK28" s="504">
        <v>0</v>
      </c>
      <c r="OL28" s="504">
        <v>0</v>
      </c>
      <c r="OM28" s="504">
        <v>0</v>
      </c>
      <c r="ON28" s="504">
        <v>0</v>
      </c>
      <c r="OO28" s="504">
        <v>0</v>
      </c>
      <c r="OP28" s="504">
        <v>0</v>
      </c>
      <c r="OQ28" s="504">
        <v>0</v>
      </c>
      <c r="OR28" s="1656"/>
    </row>
    <row r="29" spans="1:408" ht="21.5">
      <c r="A29" s="1466" t="s">
        <v>1650</v>
      </c>
      <c r="B29" s="1583" t="s">
        <v>2358</v>
      </c>
      <c r="C29" s="1583" t="s">
        <v>14</v>
      </c>
      <c r="D29" s="1583">
        <v>52</v>
      </c>
      <c r="E29" s="504">
        <v>52</v>
      </c>
      <c r="F29" s="504">
        <v>204</v>
      </c>
      <c r="G29" s="504">
        <v>521</v>
      </c>
      <c r="H29" s="504">
        <v>812</v>
      </c>
      <c r="I29" s="504">
        <v>1161</v>
      </c>
      <c r="J29" s="504">
        <v>1418</v>
      </c>
      <c r="K29" s="504">
        <v>1438</v>
      </c>
      <c r="L29" s="504">
        <v>1458</v>
      </c>
      <c r="M29" s="504">
        <v>1479</v>
      </c>
      <c r="N29" s="504">
        <v>1500</v>
      </c>
      <c r="O29" s="504">
        <v>1522</v>
      </c>
      <c r="P29" s="504">
        <v>1544</v>
      </c>
      <c r="Q29" s="504">
        <v>1566</v>
      </c>
      <c r="R29" s="504">
        <v>1589</v>
      </c>
      <c r="S29" s="504">
        <v>1612</v>
      </c>
      <c r="T29" s="504">
        <v>1636</v>
      </c>
      <c r="U29" s="504">
        <v>1660</v>
      </c>
      <c r="V29" s="504">
        <v>1684</v>
      </c>
      <c r="W29" s="504">
        <v>1709</v>
      </c>
      <c r="X29" s="504">
        <v>1735</v>
      </c>
      <c r="Y29" s="504">
        <v>1761</v>
      </c>
      <c r="Z29" s="504">
        <v>1787</v>
      </c>
      <c r="AA29" s="504">
        <v>1815</v>
      </c>
      <c r="AB29" s="504">
        <v>1844</v>
      </c>
      <c r="AC29" s="504">
        <v>1874</v>
      </c>
      <c r="AD29" s="504">
        <v>1907</v>
      </c>
      <c r="AE29" s="504">
        <v>1942</v>
      </c>
      <c r="AF29" s="504">
        <v>2000</v>
      </c>
      <c r="AG29" s="504">
        <v>0</v>
      </c>
      <c r="AH29" s="504">
        <v>0</v>
      </c>
      <c r="AI29" s="504">
        <v>0</v>
      </c>
      <c r="AJ29" s="504">
        <v>0</v>
      </c>
      <c r="AK29" s="504">
        <v>0</v>
      </c>
      <c r="AL29" s="504">
        <v>0</v>
      </c>
      <c r="AM29" s="504">
        <v>0</v>
      </c>
      <c r="AN29" s="504">
        <v>0</v>
      </c>
      <c r="AO29" s="504">
        <v>0</v>
      </c>
      <c r="AP29" s="504">
        <v>0</v>
      </c>
      <c r="AQ29" s="504">
        <v>0</v>
      </c>
      <c r="AR29" s="504">
        <v>0</v>
      </c>
      <c r="AS29" s="504">
        <v>0</v>
      </c>
      <c r="AT29" s="504">
        <v>0</v>
      </c>
      <c r="AU29" s="504">
        <v>0</v>
      </c>
      <c r="AV29" s="504">
        <v>0</v>
      </c>
      <c r="AW29" s="504">
        <v>0</v>
      </c>
      <c r="AX29" s="504">
        <v>0</v>
      </c>
      <c r="AY29" s="504">
        <v>0</v>
      </c>
      <c r="AZ29" s="504">
        <v>0</v>
      </c>
      <c r="BA29" s="504">
        <v>0</v>
      </c>
      <c r="BB29" s="504">
        <v>0</v>
      </c>
      <c r="BC29" s="504">
        <v>0</v>
      </c>
      <c r="BD29" s="504">
        <v>0</v>
      </c>
      <c r="BE29" s="504">
        <v>0</v>
      </c>
      <c r="BF29" s="504">
        <v>0</v>
      </c>
      <c r="BG29" s="504">
        <v>0</v>
      </c>
      <c r="BH29" s="504">
        <v>0</v>
      </c>
      <c r="BI29" s="504">
        <v>0</v>
      </c>
      <c r="BJ29" s="504">
        <v>0</v>
      </c>
      <c r="BK29" s="504">
        <v>0</v>
      </c>
      <c r="BL29" s="504">
        <v>0</v>
      </c>
      <c r="BM29" s="504">
        <v>0</v>
      </c>
      <c r="BN29" s="504">
        <v>0</v>
      </c>
      <c r="BO29" s="504">
        <v>0</v>
      </c>
      <c r="BP29" s="504">
        <v>0</v>
      </c>
      <c r="BQ29" s="504">
        <v>0</v>
      </c>
      <c r="BR29" s="504">
        <v>0</v>
      </c>
      <c r="BS29" s="504">
        <v>0</v>
      </c>
      <c r="BT29" s="504">
        <v>0</v>
      </c>
      <c r="BU29" s="504">
        <v>0</v>
      </c>
      <c r="BV29" s="504">
        <v>0</v>
      </c>
      <c r="BW29" s="504">
        <v>0</v>
      </c>
      <c r="BX29" s="504">
        <v>0</v>
      </c>
      <c r="BY29" s="504">
        <v>0</v>
      </c>
      <c r="BZ29" s="504">
        <v>0</v>
      </c>
      <c r="CA29" s="504">
        <v>0</v>
      </c>
      <c r="CB29" s="504">
        <v>0</v>
      </c>
      <c r="CC29" s="504">
        <v>0</v>
      </c>
      <c r="CD29" s="504">
        <v>0</v>
      </c>
      <c r="CE29" s="504">
        <v>0</v>
      </c>
      <c r="CF29" s="504">
        <v>0</v>
      </c>
      <c r="CG29" s="504">
        <v>0</v>
      </c>
      <c r="CH29" s="504">
        <v>0</v>
      </c>
      <c r="CI29" s="504">
        <v>0</v>
      </c>
      <c r="CJ29" s="504">
        <v>0</v>
      </c>
      <c r="CK29" s="504">
        <v>0</v>
      </c>
      <c r="CL29" s="504">
        <v>0</v>
      </c>
      <c r="CM29" s="504">
        <v>0</v>
      </c>
      <c r="CN29" s="504">
        <v>0</v>
      </c>
      <c r="CO29" s="504">
        <v>0</v>
      </c>
      <c r="CP29" s="504">
        <v>0</v>
      </c>
      <c r="CQ29" s="504">
        <v>0</v>
      </c>
      <c r="CR29" s="504">
        <v>0</v>
      </c>
      <c r="CS29" s="504">
        <v>0</v>
      </c>
      <c r="CT29" s="504">
        <v>0</v>
      </c>
      <c r="CU29" s="504">
        <v>0</v>
      </c>
      <c r="CV29" s="504">
        <v>0</v>
      </c>
      <c r="CW29" s="504">
        <v>0</v>
      </c>
      <c r="CX29" s="504">
        <v>0</v>
      </c>
      <c r="CY29" s="504">
        <v>0</v>
      </c>
      <c r="CZ29" s="1654">
        <v>0</v>
      </c>
      <c r="DA29" s="504">
        <v>0</v>
      </c>
      <c r="DB29" s="504">
        <v>104</v>
      </c>
      <c r="DC29" s="504">
        <v>397</v>
      </c>
      <c r="DD29" s="504">
        <v>986</v>
      </c>
      <c r="DE29" s="504">
        <v>1269</v>
      </c>
      <c r="DF29" s="504">
        <v>1604</v>
      </c>
      <c r="DG29" s="504">
        <v>0</v>
      </c>
      <c r="DH29" s="504">
        <v>0</v>
      </c>
      <c r="DI29" s="504">
        <v>0</v>
      </c>
      <c r="DJ29" s="504">
        <v>0</v>
      </c>
      <c r="DK29" s="504">
        <v>0</v>
      </c>
      <c r="DL29" s="504">
        <v>0</v>
      </c>
      <c r="DM29" s="504">
        <v>0</v>
      </c>
      <c r="DN29" s="504">
        <v>0</v>
      </c>
      <c r="DO29" s="504">
        <v>0</v>
      </c>
      <c r="DP29" s="504">
        <v>0</v>
      </c>
      <c r="DQ29" s="504">
        <v>0</v>
      </c>
      <c r="DR29" s="504">
        <v>0</v>
      </c>
      <c r="DS29" s="504">
        <v>0</v>
      </c>
      <c r="DT29" s="504">
        <v>0</v>
      </c>
      <c r="DU29" s="504">
        <v>0</v>
      </c>
      <c r="DV29" s="504">
        <v>0</v>
      </c>
      <c r="DW29" s="504">
        <v>0</v>
      </c>
      <c r="DX29" s="504">
        <v>0</v>
      </c>
      <c r="DY29" s="504">
        <v>0</v>
      </c>
      <c r="DZ29" s="504">
        <v>0</v>
      </c>
      <c r="EA29" s="504">
        <v>0</v>
      </c>
      <c r="EB29" s="504">
        <v>0</v>
      </c>
      <c r="EC29" s="504">
        <v>0</v>
      </c>
      <c r="ED29" s="504">
        <v>0</v>
      </c>
      <c r="EE29" s="504">
        <v>0</v>
      </c>
      <c r="EF29" s="504">
        <v>0</v>
      </c>
      <c r="EG29" s="504">
        <v>0</v>
      </c>
      <c r="EH29" s="504">
        <v>0</v>
      </c>
      <c r="EI29" s="504">
        <v>0</v>
      </c>
      <c r="EJ29" s="504">
        <v>0</v>
      </c>
      <c r="EK29" s="504">
        <v>0</v>
      </c>
      <c r="EL29" s="504">
        <v>0</v>
      </c>
      <c r="EM29" s="504">
        <v>0</v>
      </c>
      <c r="EN29" s="504">
        <v>0</v>
      </c>
      <c r="EO29" s="504">
        <v>0</v>
      </c>
      <c r="EP29" s="504">
        <v>0</v>
      </c>
      <c r="EQ29" s="504">
        <v>0</v>
      </c>
      <c r="ER29" s="504">
        <v>0</v>
      </c>
      <c r="ES29" s="504">
        <v>0</v>
      </c>
      <c r="ET29" s="504">
        <v>0</v>
      </c>
      <c r="EU29" s="504">
        <v>0</v>
      </c>
      <c r="EV29" s="504">
        <v>0</v>
      </c>
      <c r="EW29" s="504">
        <v>0</v>
      </c>
      <c r="EX29" s="504">
        <v>0</v>
      </c>
      <c r="EY29" s="504">
        <v>0</v>
      </c>
      <c r="EZ29" s="504">
        <v>0</v>
      </c>
      <c r="FA29" s="504">
        <v>0</v>
      </c>
      <c r="FB29" s="504">
        <v>0</v>
      </c>
      <c r="FC29" s="504">
        <v>0</v>
      </c>
      <c r="FD29" s="504">
        <v>0</v>
      </c>
      <c r="FE29" s="504">
        <v>0</v>
      </c>
      <c r="FF29" s="504">
        <v>0</v>
      </c>
      <c r="FG29" s="504">
        <v>0</v>
      </c>
      <c r="FH29" s="504">
        <v>0</v>
      </c>
      <c r="FI29" s="504">
        <v>0</v>
      </c>
      <c r="FJ29" s="504">
        <v>0</v>
      </c>
      <c r="FK29" s="504">
        <v>0</v>
      </c>
      <c r="FL29" s="504">
        <v>0</v>
      </c>
      <c r="FM29" s="504">
        <v>0</v>
      </c>
      <c r="FN29" s="504">
        <v>0</v>
      </c>
      <c r="FO29" s="504">
        <v>0</v>
      </c>
      <c r="FP29" s="504">
        <v>0</v>
      </c>
      <c r="FQ29" s="504">
        <v>0</v>
      </c>
      <c r="FR29" s="504">
        <v>0</v>
      </c>
      <c r="FS29" s="504">
        <v>0</v>
      </c>
      <c r="FT29" s="504">
        <v>0</v>
      </c>
      <c r="FU29" s="504">
        <v>0</v>
      </c>
      <c r="FV29" s="504">
        <v>0</v>
      </c>
      <c r="FW29" s="504">
        <v>0</v>
      </c>
      <c r="FX29" s="504">
        <v>0</v>
      </c>
      <c r="FY29" s="504">
        <v>0</v>
      </c>
      <c r="FZ29" s="504">
        <v>0</v>
      </c>
      <c r="GA29" s="504">
        <v>0</v>
      </c>
      <c r="GB29" s="504">
        <v>0</v>
      </c>
      <c r="GC29" s="504">
        <v>0</v>
      </c>
      <c r="GD29" s="504">
        <v>0</v>
      </c>
      <c r="GE29" s="504">
        <v>0</v>
      </c>
      <c r="GF29" s="504">
        <v>0</v>
      </c>
      <c r="GG29" s="504">
        <v>0</v>
      </c>
      <c r="GH29" s="504">
        <v>0</v>
      </c>
      <c r="GI29" s="504">
        <v>0</v>
      </c>
      <c r="GJ29" s="504">
        <v>0</v>
      </c>
      <c r="GK29" s="504">
        <v>0</v>
      </c>
      <c r="GL29" s="504">
        <v>0</v>
      </c>
      <c r="GM29" s="504">
        <v>0</v>
      </c>
      <c r="GN29" s="504">
        <v>0</v>
      </c>
      <c r="GO29" s="504">
        <v>0</v>
      </c>
      <c r="GP29" s="504">
        <v>0</v>
      </c>
      <c r="GQ29" s="504">
        <v>0</v>
      </c>
      <c r="GR29" s="504">
        <v>0</v>
      </c>
      <c r="GS29" s="504">
        <v>0</v>
      </c>
      <c r="GT29" s="504">
        <v>0</v>
      </c>
      <c r="GU29" s="504">
        <v>0</v>
      </c>
      <c r="GV29" s="504">
        <v>0</v>
      </c>
      <c r="GW29" s="1654">
        <v>0</v>
      </c>
      <c r="GX29" s="504">
        <v>0</v>
      </c>
      <c r="GY29" s="504">
        <v>10077</v>
      </c>
      <c r="GZ29" s="504">
        <v>21111</v>
      </c>
      <c r="HA29" s="504">
        <v>25000</v>
      </c>
      <c r="HB29" s="504">
        <v>24000</v>
      </c>
      <c r="HC29" s="504">
        <v>23000</v>
      </c>
      <c r="HD29" s="504">
        <v>0</v>
      </c>
      <c r="HE29" s="504">
        <v>0</v>
      </c>
      <c r="HF29" s="504">
        <v>0</v>
      </c>
      <c r="HG29" s="504">
        <v>0</v>
      </c>
      <c r="HH29" s="504">
        <v>0</v>
      </c>
      <c r="HI29" s="504">
        <v>0</v>
      </c>
      <c r="HJ29" s="504">
        <v>0</v>
      </c>
      <c r="HK29" s="504">
        <v>0</v>
      </c>
      <c r="HL29" s="504">
        <v>0</v>
      </c>
      <c r="HM29" s="504">
        <v>0</v>
      </c>
      <c r="HN29" s="504">
        <v>0</v>
      </c>
      <c r="HO29" s="504">
        <v>0</v>
      </c>
      <c r="HP29" s="504">
        <v>0</v>
      </c>
      <c r="HQ29" s="504">
        <v>0</v>
      </c>
      <c r="HR29" s="504">
        <v>0</v>
      </c>
      <c r="HS29" s="504">
        <v>0</v>
      </c>
      <c r="HT29" s="504">
        <v>0</v>
      </c>
      <c r="HU29" s="504">
        <v>0</v>
      </c>
      <c r="HV29" s="504">
        <v>0</v>
      </c>
      <c r="HW29" s="504">
        <v>0</v>
      </c>
      <c r="HX29" s="504">
        <v>0</v>
      </c>
      <c r="HY29" s="504">
        <v>0</v>
      </c>
      <c r="HZ29" s="504">
        <v>0</v>
      </c>
      <c r="IA29" s="504">
        <v>0</v>
      </c>
      <c r="IB29" s="504">
        <v>0</v>
      </c>
      <c r="IC29" s="504">
        <v>0</v>
      </c>
      <c r="ID29" s="504">
        <v>0</v>
      </c>
      <c r="IE29" s="504">
        <v>0</v>
      </c>
      <c r="IF29" s="504">
        <v>0</v>
      </c>
      <c r="IG29" s="504">
        <v>0</v>
      </c>
      <c r="IH29" s="504">
        <v>0</v>
      </c>
      <c r="II29" s="504">
        <v>0</v>
      </c>
      <c r="IJ29" s="504">
        <v>0</v>
      </c>
      <c r="IK29" s="504">
        <v>0</v>
      </c>
      <c r="IL29" s="504">
        <v>0</v>
      </c>
      <c r="IM29" s="504">
        <v>0</v>
      </c>
      <c r="IN29" s="504">
        <v>0</v>
      </c>
      <c r="IO29" s="504">
        <v>0</v>
      </c>
      <c r="IP29" s="504">
        <v>0</v>
      </c>
      <c r="IQ29" s="504">
        <v>0</v>
      </c>
      <c r="IR29" s="504">
        <v>0</v>
      </c>
      <c r="IS29" s="504">
        <v>0</v>
      </c>
      <c r="IT29" s="504">
        <v>0</v>
      </c>
      <c r="IU29" s="504">
        <v>0</v>
      </c>
      <c r="IV29" s="504">
        <v>0</v>
      </c>
      <c r="IW29" s="504">
        <v>0</v>
      </c>
      <c r="IX29" s="504">
        <v>0</v>
      </c>
      <c r="IY29" s="504">
        <v>0</v>
      </c>
      <c r="IZ29" s="504">
        <v>0</v>
      </c>
      <c r="JA29" s="504">
        <v>0</v>
      </c>
      <c r="JB29" s="504">
        <v>0</v>
      </c>
      <c r="JC29" s="504">
        <v>0</v>
      </c>
      <c r="JD29" s="504">
        <v>0</v>
      </c>
      <c r="JE29" s="504">
        <v>0</v>
      </c>
      <c r="JF29" s="504">
        <v>0</v>
      </c>
      <c r="JG29" s="504">
        <v>0</v>
      </c>
      <c r="JH29" s="504">
        <v>0</v>
      </c>
      <c r="JI29" s="504">
        <v>0</v>
      </c>
      <c r="JJ29" s="504">
        <v>0</v>
      </c>
      <c r="JK29" s="504">
        <v>0</v>
      </c>
      <c r="JL29" s="504">
        <v>0</v>
      </c>
      <c r="JM29" s="504">
        <v>0</v>
      </c>
      <c r="JN29" s="504">
        <v>0</v>
      </c>
      <c r="JO29" s="504">
        <v>0</v>
      </c>
      <c r="JP29" s="504">
        <v>0</v>
      </c>
      <c r="JQ29" s="504">
        <v>0</v>
      </c>
      <c r="JR29" s="504">
        <v>0</v>
      </c>
      <c r="JS29" s="504">
        <v>0</v>
      </c>
      <c r="JT29" s="504">
        <v>0</v>
      </c>
      <c r="JU29" s="504">
        <v>0</v>
      </c>
      <c r="JV29" s="504">
        <v>0</v>
      </c>
      <c r="JW29" s="504">
        <v>0</v>
      </c>
      <c r="JX29" s="504">
        <v>0</v>
      </c>
      <c r="JY29" s="504">
        <v>0</v>
      </c>
      <c r="JZ29" s="504">
        <v>0</v>
      </c>
      <c r="KA29" s="504">
        <v>0</v>
      </c>
      <c r="KB29" s="504">
        <v>0</v>
      </c>
      <c r="KC29" s="504">
        <v>0</v>
      </c>
      <c r="KD29" s="504">
        <v>0</v>
      </c>
      <c r="KE29" s="504">
        <v>0</v>
      </c>
      <c r="KF29" s="504">
        <v>0</v>
      </c>
      <c r="KG29" s="504">
        <v>0</v>
      </c>
      <c r="KH29" s="504">
        <v>0</v>
      </c>
      <c r="KI29" s="504">
        <v>0</v>
      </c>
      <c r="KJ29" s="504">
        <v>0</v>
      </c>
      <c r="KK29" s="504">
        <v>0</v>
      </c>
      <c r="KL29" s="504">
        <v>0</v>
      </c>
      <c r="KM29" s="504">
        <v>0</v>
      </c>
      <c r="KN29" s="504">
        <v>0</v>
      </c>
      <c r="KO29" s="504">
        <v>0</v>
      </c>
      <c r="KP29" s="504">
        <v>0</v>
      </c>
      <c r="KQ29" s="504">
        <v>0</v>
      </c>
      <c r="KR29" s="504">
        <v>0</v>
      </c>
      <c r="KS29" s="504">
        <v>0</v>
      </c>
      <c r="KT29" s="1654">
        <v>0</v>
      </c>
      <c r="KU29" s="504">
        <v>0</v>
      </c>
      <c r="KV29" s="504">
        <v>0</v>
      </c>
      <c r="KW29" s="504">
        <v>0</v>
      </c>
      <c r="KX29" s="504">
        <v>913</v>
      </c>
      <c r="KY29" s="504">
        <v>1256</v>
      </c>
      <c r="KZ29" s="504">
        <v>1591</v>
      </c>
      <c r="LA29" s="504">
        <v>0</v>
      </c>
      <c r="LB29" s="504">
        <v>0</v>
      </c>
      <c r="LC29" s="504">
        <v>0</v>
      </c>
      <c r="LD29" s="504">
        <v>0</v>
      </c>
      <c r="LE29" s="504">
        <v>0</v>
      </c>
      <c r="LF29" s="504">
        <v>0</v>
      </c>
      <c r="LG29" s="504">
        <v>0</v>
      </c>
      <c r="LH29" s="504">
        <v>0</v>
      </c>
      <c r="LI29" s="504">
        <v>0</v>
      </c>
      <c r="LJ29" s="504">
        <v>0</v>
      </c>
      <c r="LK29" s="504">
        <v>0</v>
      </c>
      <c r="LL29" s="504">
        <v>0</v>
      </c>
      <c r="LM29" s="504">
        <v>0</v>
      </c>
      <c r="LN29" s="504">
        <v>0</v>
      </c>
      <c r="LO29" s="504">
        <v>0</v>
      </c>
      <c r="LP29" s="504">
        <v>0</v>
      </c>
      <c r="LQ29" s="504">
        <v>0</v>
      </c>
      <c r="LR29" s="504">
        <v>0</v>
      </c>
      <c r="LS29" s="504">
        <v>0</v>
      </c>
      <c r="LT29" s="504">
        <v>0</v>
      </c>
      <c r="LU29" s="504">
        <v>0</v>
      </c>
      <c r="LV29" s="504">
        <v>0</v>
      </c>
      <c r="LW29" s="504">
        <v>0</v>
      </c>
      <c r="LX29" s="504">
        <v>0</v>
      </c>
      <c r="LY29" s="504">
        <v>0</v>
      </c>
      <c r="LZ29" s="504">
        <v>0</v>
      </c>
      <c r="MA29" s="504">
        <v>0</v>
      </c>
      <c r="MB29" s="504">
        <v>0</v>
      </c>
      <c r="MC29" s="504">
        <v>0</v>
      </c>
      <c r="MD29" s="504">
        <v>0</v>
      </c>
      <c r="ME29" s="504">
        <v>0</v>
      </c>
      <c r="MF29" s="504">
        <v>0</v>
      </c>
      <c r="MG29" s="504">
        <v>0</v>
      </c>
      <c r="MH29" s="504">
        <v>0</v>
      </c>
      <c r="MI29" s="504">
        <v>0</v>
      </c>
      <c r="MJ29" s="504">
        <v>0</v>
      </c>
      <c r="MK29" s="504">
        <v>0</v>
      </c>
      <c r="ML29" s="504">
        <v>0</v>
      </c>
      <c r="MM29" s="504">
        <v>0</v>
      </c>
      <c r="MN29" s="504">
        <v>0</v>
      </c>
      <c r="MO29" s="504">
        <v>0</v>
      </c>
      <c r="MP29" s="504">
        <v>0</v>
      </c>
      <c r="MQ29" s="504">
        <v>0</v>
      </c>
      <c r="MR29" s="504">
        <v>0</v>
      </c>
      <c r="MS29" s="504">
        <v>0</v>
      </c>
      <c r="MT29" s="504">
        <v>0</v>
      </c>
      <c r="MU29" s="504">
        <v>0</v>
      </c>
      <c r="MV29" s="504">
        <v>0</v>
      </c>
      <c r="MW29" s="504">
        <v>0</v>
      </c>
      <c r="MX29" s="504">
        <v>0</v>
      </c>
      <c r="MY29" s="504">
        <v>0</v>
      </c>
      <c r="MZ29" s="504">
        <v>0</v>
      </c>
      <c r="NA29" s="504">
        <v>0</v>
      </c>
      <c r="NB29" s="504">
        <v>0</v>
      </c>
      <c r="NC29" s="504">
        <v>0</v>
      </c>
      <c r="ND29" s="504">
        <v>0</v>
      </c>
      <c r="NE29" s="504">
        <v>0</v>
      </c>
      <c r="NF29" s="504">
        <v>0</v>
      </c>
      <c r="NG29" s="504">
        <v>0</v>
      </c>
      <c r="NH29" s="504">
        <v>0</v>
      </c>
      <c r="NI29" s="504">
        <v>0</v>
      </c>
      <c r="NJ29" s="504">
        <v>0</v>
      </c>
      <c r="NK29" s="504">
        <v>0</v>
      </c>
      <c r="NL29" s="504">
        <v>0</v>
      </c>
      <c r="NM29" s="504">
        <v>0</v>
      </c>
      <c r="NN29" s="504">
        <v>0</v>
      </c>
      <c r="NO29" s="504">
        <v>0</v>
      </c>
      <c r="NP29" s="504">
        <v>0</v>
      </c>
      <c r="NQ29" s="504">
        <v>0</v>
      </c>
      <c r="NR29" s="504">
        <v>0</v>
      </c>
      <c r="NS29" s="504">
        <v>0</v>
      </c>
      <c r="NT29" s="504">
        <v>0</v>
      </c>
      <c r="NU29" s="504">
        <v>0</v>
      </c>
      <c r="NV29" s="504">
        <v>0</v>
      </c>
      <c r="NW29" s="504">
        <v>0</v>
      </c>
      <c r="NX29" s="504">
        <v>0</v>
      </c>
      <c r="NY29" s="504">
        <v>0</v>
      </c>
      <c r="NZ29" s="504">
        <v>0</v>
      </c>
      <c r="OA29" s="504">
        <v>0</v>
      </c>
      <c r="OB29" s="504">
        <v>0</v>
      </c>
      <c r="OC29" s="504">
        <v>0</v>
      </c>
      <c r="OD29" s="504">
        <v>0</v>
      </c>
      <c r="OE29" s="504">
        <v>0</v>
      </c>
      <c r="OF29" s="504">
        <v>0</v>
      </c>
      <c r="OG29" s="504">
        <v>0</v>
      </c>
      <c r="OH29" s="504">
        <v>0</v>
      </c>
      <c r="OI29" s="504">
        <v>0</v>
      </c>
      <c r="OJ29" s="504">
        <v>0</v>
      </c>
      <c r="OK29" s="504">
        <v>0</v>
      </c>
      <c r="OL29" s="504">
        <v>0</v>
      </c>
      <c r="OM29" s="504">
        <v>0</v>
      </c>
      <c r="ON29" s="504">
        <v>0</v>
      </c>
      <c r="OO29" s="504">
        <v>0</v>
      </c>
      <c r="OP29" s="504">
        <v>0</v>
      </c>
      <c r="OQ29" s="504">
        <v>0</v>
      </c>
      <c r="OR29" s="1656"/>
    </row>
    <row r="30" spans="1:408" ht="21.5">
      <c r="A30" s="1466" t="s">
        <v>1651</v>
      </c>
      <c r="B30" s="1583" t="s">
        <v>2358</v>
      </c>
      <c r="C30" s="1583" t="s">
        <v>14</v>
      </c>
      <c r="D30" s="1583">
        <v>53</v>
      </c>
      <c r="E30" s="504">
        <v>53</v>
      </c>
      <c r="F30" s="504">
        <v>207</v>
      </c>
      <c r="G30" s="504">
        <v>529</v>
      </c>
      <c r="H30" s="504">
        <v>823</v>
      </c>
      <c r="I30" s="504">
        <v>1177</v>
      </c>
      <c r="J30" s="504">
        <v>1438</v>
      </c>
      <c r="K30" s="504">
        <v>1458</v>
      </c>
      <c r="L30" s="504">
        <v>1479</v>
      </c>
      <c r="M30" s="504">
        <v>1500</v>
      </c>
      <c r="N30" s="504">
        <v>1522</v>
      </c>
      <c r="O30" s="504">
        <v>1544</v>
      </c>
      <c r="P30" s="504">
        <v>1566</v>
      </c>
      <c r="Q30" s="504">
        <v>1589</v>
      </c>
      <c r="R30" s="504">
        <v>1612</v>
      </c>
      <c r="S30" s="504">
        <v>1636</v>
      </c>
      <c r="T30" s="504">
        <v>1660</v>
      </c>
      <c r="U30" s="504">
        <v>1684</v>
      </c>
      <c r="V30" s="504">
        <v>1709</v>
      </c>
      <c r="W30" s="504">
        <v>1735</v>
      </c>
      <c r="X30" s="504">
        <v>1761</v>
      </c>
      <c r="Y30" s="504">
        <v>1787</v>
      </c>
      <c r="Z30" s="504">
        <v>1815</v>
      </c>
      <c r="AA30" s="504">
        <v>1844</v>
      </c>
      <c r="AB30" s="504">
        <v>1874</v>
      </c>
      <c r="AC30" s="504">
        <v>1907</v>
      </c>
      <c r="AD30" s="504">
        <v>1942</v>
      </c>
      <c r="AE30" s="504">
        <v>2000</v>
      </c>
      <c r="AF30" s="504">
        <v>0</v>
      </c>
      <c r="AG30" s="504">
        <v>0</v>
      </c>
      <c r="AH30" s="504">
        <v>0</v>
      </c>
      <c r="AI30" s="504">
        <v>0</v>
      </c>
      <c r="AJ30" s="504">
        <v>0</v>
      </c>
      <c r="AK30" s="504">
        <v>0</v>
      </c>
      <c r="AL30" s="504">
        <v>0</v>
      </c>
      <c r="AM30" s="504">
        <v>0</v>
      </c>
      <c r="AN30" s="504">
        <v>0</v>
      </c>
      <c r="AO30" s="504">
        <v>0</v>
      </c>
      <c r="AP30" s="504">
        <v>0</v>
      </c>
      <c r="AQ30" s="504">
        <v>0</v>
      </c>
      <c r="AR30" s="504">
        <v>0</v>
      </c>
      <c r="AS30" s="504">
        <v>0</v>
      </c>
      <c r="AT30" s="504">
        <v>0</v>
      </c>
      <c r="AU30" s="504">
        <v>0</v>
      </c>
      <c r="AV30" s="504">
        <v>0</v>
      </c>
      <c r="AW30" s="504">
        <v>0</v>
      </c>
      <c r="AX30" s="504">
        <v>0</v>
      </c>
      <c r="AY30" s="504">
        <v>0</v>
      </c>
      <c r="AZ30" s="504">
        <v>0</v>
      </c>
      <c r="BA30" s="504">
        <v>0</v>
      </c>
      <c r="BB30" s="504">
        <v>0</v>
      </c>
      <c r="BC30" s="504">
        <v>0</v>
      </c>
      <c r="BD30" s="504">
        <v>0</v>
      </c>
      <c r="BE30" s="504">
        <v>0</v>
      </c>
      <c r="BF30" s="504">
        <v>0</v>
      </c>
      <c r="BG30" s="504">
        <v>0</v>
      </c>
      <c r="BH30" s="504">
        <v>0</v>
      </c>
      <c r="BI30" s="504">
        <v>0</v>
      </c>
      <c r="BJ30" s="504">
        <v>0</v>
      </c>
      <c r="BK30" s="504">
        <v>0</v>
      </c>
      <c r="BL30" s="504">
        <v>0</v>
      </c>
      <c r="BM30" s="504">
        <v>0</v>
      </c>
      <c r="BN30" s="504">
        <v>0</v>
      </c>
      <c r="BO30" s="504">
        <v>0</v>
      </c>
      <c r="BP30" s="504">
        <v>0</v>
      </c>
      <c r="BQ30" s="504">
        <v>0</v>
      </c>
      <c r="BR30" s="504">
        <v>0</v>
      </c>
      <c r="BS30" s="504">
        <v>0</v>
      </c>
      <c r="BT30" s="504">
        <v>0</v>
      </c>
      <c r="BU30" s="504">
        <v>0</v>
      </c>
      <c r="BV30" s="504">
        <v>0</v>
      </c>
      <c r="BW30" s="504">
        <v>0</v>
      </c>
      <c r="BX30" s="504">
        <v>0</v>
      </c>
      <c r="BY30" s="504">
        <v>0</v>
      </c>
      <c r="BZ30" s="504">
        <v>0</v>
      </c>
      <c r="CA30" s="504">
        <v>0</v>
      </c>
      <c r="CB30" s="504">
        <v>0</v>
      </c>
      <c r="CC30" s="504">
        <v>0</v>
      </c>
      <c r="CD30" s="504">
        <v>0</v>
      </c>
      <c r="CE30" s="504">
        <v>0</v>
      </c>
      <c r="CF30" s="504">
        <v>0</v>
      </c>
      <c r="CG30" s="504">
        <v>0</v>
      </c>
      <c r="CH30" s="504">
        <v>0</v>
      </c>
      <c r="CI30" s="504">
        <v>0</v>
      </c>
      <c r="CJ30" s="504">
        <v>0</v>
      </c>
      <c r="CK30" s="504">
        <v>0</v>
      </c>
      <c r="CL30" s="504">
        <v>0</v>
      </c>
      <c r="CM30" s="504">
        <v>0</v>
      </c>
      <c r="CN30" s="504">
        <v>0</v>
      </c>
      <c r="CO30" s="504">
        <v>0</v>
      </c>
      <c r="CP30" s="504">
        <v>0</v>
      </c>
      <c r="CQ30" s="504">
        <v>0</v>
      </c>
      <c r="CR30" s="504">
        <v>0</v>
      </c>
      <c r="CS30" s="504">
        <v>0</v>
      </c>
      <c r="CT30" s="504">
        <v>0</v>
      </c>
      <c r="CU30" s="504">
        <v>0</v>
      </c>
      <c r="CV30" s="504">
        <v>0</v>
      </c>
      <c r="CW30" s="504">
        <v>0</v>
      </c>
      <c r="CX30" s="504">
        <v>0</v>
      </c>
      <c r="CY30" s="504">
        <v>0</v>
      </c>
      <c r="CZ30" s="1654">
        <v>0</v>
      </c>
      <c r="DA30" s="504">
        <v>0</v>
      </c>
      <c r="DB30" s="504">
        <v>103</v>
      </c>
      <c r="DC30" s="504">
        <v>392</v>
      </c>
      <c r="DD30" s="504">
        <v>975</v>
      </c>
      <c r="DE30" s="504">
        <v>1266</v>
      </c>
      <c r="DF30" s="504">
        <v>1605</v>
      </c>
      <c r="DG30" s="504">
        <v>0</v>
      </c>
      <c r="DH30" s="504">
        <v>0</v>
      </c>
      <c r="DI30" s="504">
        <v>0</v>
      </c>
      <c r="DJ30" s="504">
        <v>0</v>
      </c>
      <c r="DK30" s="504">
        <v>0</v>
      </c>
      <c r="DL30" s="504">
        <v>0</v>
      </c>
      <c r="DM30" s="504">
        <v>0</v>
      </c>
      <c r="DN30" s="504">
        <v>0</v>
      </c>
      <c r="DO30" s="504">
        <v>0</v>
      </c>
      <c r="DP30" s="504">
        <v>0</v>
      </c>
      <c r="DQ30" s="504">
        <v>0</v>
      </c>
      <c r="DR30" s="504">
        <v>0</v>
      </c>
      <c r="DS30" s="504">
        <v>0</v>
      </c>
      <c r="DT30" s="504">
        <v>0</v>
      </c>
      <c r="DU30" s="504">
        <v>0</v>
      </c>
      <c r="DV30" s="504">
        <v>0</v>
      </c>
      <c r="DW30" s="504">
        <v>0</v>
      </c>
      <c r="DX30" s="504">
        <v>0</v>
      </c>
      <c r="DY30" s="504">
        <v>0</v>
      </c>
      <c r="DZ30" s="504">
        <v>0</v>
      </c>
      <c r="EA30" s="504">
        <v>0</v>
      </c>
      <c r="EB30" s="504">
        <v>0</v>
      </c>
      <c r="EC30" s="504">
        <v>0</v>
      </c>
      <c r="ED30" s="504">
        <v>0</v>
      </c>
      <c r="EE30" s="504">
        <v>0</v>
      </c>
      <c r="EF30" s="504">
        <v>0</v>
      </c>
      <c r="EG30" s="504">
        <v>0</v>
      </c>
      <c r="EH30" s="504">
        <v>0</v>
      </c>
      <c r="EI30" s="504">
        <v>0</v>
      </c>
      <c r="EJ30" s="504">
        <v>0</v>
      </c>
      <c r="EK30" s="504">
        <v>0</v>
      </c>
      <c r="EL30" s="504">
        <v>0</v>
      </c>
      <c r="EM30" s="504">
        <v>0</v>
      </c>
      <c r="EN30" s="504">
        <v>0</v>
      </c>
      <c r="EO30" s="504">
        <v>0</v>
      </c>
      <c r="EP30" s="504">
        <v>0</v>
      </c>
      <c r="EQ30" s="504">
        <v>0</v>
      </c>
      <c r="ER30" s="504">
        <v>0</v>
      </c>
      <c r="ES30" s="504">
        <v>0</v>
      </c>
      <c r="ET30" s="504">
        <v>0</v>
      </c>
      <c r="EU30" s="504">
        <v>0</v>
      </c>
      <c r="EV30" s="504">
        <v>0</v>
      </c>
      <c r="EW30" s="504">
        <v>0</v>
      </c>
      <c r="EX30" s="504">
        <v>0</v>
      </c>
      <c r="EY30" s="504">
        <v>0</v>
      </c>
      <c r="EZ30" s="504">
        <v>0</v>
      </c>
      <c r="FA30" s="504">
        <v>0</v>
      </c>
      <c r="FB30" s="504">
        <v>0</v>
      </c>
      <c r="FC30" s="504">
        <v>0</v>
      </c>
      <c r="FD30" s="504">
        <v>0</v>
      </c>
      <c r="FE30" s="504">
        <v>0</v>
      </c>
      <c r="FF30" s="504">
        <v>0</v>
      </c>
      <c r="FG30" s="504">
        <v>0</v>
      </c>
      <c r="FH30" s="504">
        <v>0</v>
      </c>
      <c r="FI30" s="504">
        <v>0</v>
      </c>
      <c r="FJ30" s="504">
        <v>0</v>
      </c>
      <c r="FK30" s="504">
        <v>0</v>
      </c>
      <c r="FL30" s="504">
        <v>0</v>
      </c>
      <c r="FM30" s="504">
        <v>0</v>
      </c>
      <c r="FN30" s="504">
        <v>0</v>
      </c>
      <c r="FO30" s="504">
        <v>0</v>
      </c>
      <c r="FP30" s="504">
        <v>0</v>
      </c>
      <c r="FQ30" s="504">
        <v>0</v>
      </c>
      <c r="FR30" s="504">
        <v>0</v>
      </c>
      <c r="FS30" s="504">
        <v>0</v>
      </c>
      <c r="FT30" s="504">
        <v>0</v>
      </c>
      <c r="FU30" s="504">
        <v>0</v>
      </c>
      <c r="FV30" s="504">
        <v>0</v>
      </c>
      <c r="FW30" s="504">
        <v>0</v>
      </c>
      <c r="FX30" s="504">
        <v>0</v>
      </c>
      <c r="FY30" s="504">
        <v>0</v>
      </c>
      <c r="FZ30" s="504">
        <v>0</v>
      </c>
      <c r="GA30" s="504">
        <v>0</v>
      </c>
      <c r="GB30" s="504">
        <v>0</v>
      </c>
      <c r="GC30" s="504">
        <v>0</v>
      </c>
      <c r="GD30" s="504">
        <v>0</v>
      </c>
      <c r="GE30" s="504">
        <v>0</v>
      </c>
      <c r="GF30" s="504">
        <v>0</v>
      </c>
      <c r="GG30" s="504">
        <v>0</v>
      </c>
      <c r="GH30" s="504">
        <v>0</v>
      </c>
      <c r="GI30" s="504">
        <v>0</v>
      </c>
      <c r="GJ30" s="504">
        <v>0</v>
      </c>
      <c r="GK30" s="504">
        <v>0</v>
      </c>
      <c r="GL30" s="504">
        <v>0</v>
      </c>
      <c r="GM30" s="504">
        <v>0</v>
      </c>
      <c r="GN30" s="504">
        <v>0</v>
      </c>
      <c r="GO30" s="504">
        <v>0</v>
      </c>
      <c r="GP30" s="504">
        <v>0</v>
      </c>
      <c r="GQ30" s="504">
        <v>0</v>
      </c>
      <c r="GR30" s="504">
        <v>0</v>
      </c>
      <c r="GS30" s="504">
        <v>0</v>
      </c>
      <c r="GT30" s="504">
        <v>0</v>
      </c>
      <c r="GU30" s="504">
        <v>0</v>
      </c>
      <c r="GV30" s="504">
        <v>0</v>
      </c>
      <c r="GW30" s="1654">
        <v>0</v>
      </c>
      <c r="GX30" s="504">
        <v>0</v>
      </c>
      <c r="GY30" s="504">
        <v>9223</v>
      </c>
      <c r="GZ30" s="504">
        <v>20114</v>
      </c>
      <c r="HA30" s="504">
        <v>24000</v>
      </c>
      <c r="HB30" s="504">
        <v>23000</v>
      </c>
      <c r="HC30" s="504">
        <v>22000</v>
      </c>
      <c r="HD30" s="504">
        <v>0</v>
      </c>
      <c r="HE30" s="504">
        <v>0</v>
      </c>
      <c r="HF30" s="504">
        <v>0</v>
      </c>
      <c r="HG30" s="504">
        <v>0</v>
      </c>
      <c r="HH30" s="504">
        <v>0</v>
      </c>
      <c r="HI30" s="504">
        <v>0</v>
      </c>
      <c r="HJ30" s="504">
        <v>0</v>
      </c>
      <c r="HK30" s="504">
        <v>0</v>
      </c>
      <c r="HL30" s="504">
        <v>0</v>
      </c>
      <c r="HM30" s="504">
        <v>0</v>
      </c>
      <c r="HN30" s="504">
        <v>0</v>
      </c>
      <c r="HO30" s="504">
        <v>0</v>
      </c>
      <c r="HP30" s="504">
        <v>0</v>
      </c>
      <c r="HQ30" s="504">
        <v>0</v>
      </c>
      <c r="HR30" s="504">
        <v>0</v>
      </c>
      <c r="HS30" s="504">
        <v>0</v>
      </c>
      <c r="HT30" s="504">
        <v>0</v>
      </c>
      <c r="HU30" s="504">
        <v>0</v>
      </c>
      <c r="HV30" s="504">
        <v>0</v>
      </c>
      <c r="HW30" s="504">
        <v>0</v>
      </c>
      <c r="HX30" s="504">
        <v>0</v>
      </c>
      <c r="HY30" s="504">
        <v>0</v>
      </c>
      <c r="HZ30" s="504">
        <v>0</v>
      </c>
      <c r="IA30" s="504">
        <v>0</v>
      </c>
      <c r="IB30" s="504">
        <v>0</v>
      </c>
      <c r="IC30" s="504">
        <v>0</v>
      </c>
      <c r="ID30" s="504">
        <v>0</v>
      </c>
      <c r="IE30" s="504">
        <v>0</v>
      </c>
      <c r="IF30" s="504">
        <v>0</v>
      </c>
      <c r="IG30" s="504">
        <v>0</v>
      </c>
      <c r="IH30" s="504">
        <v>0</v>
      </c>
      <c r="II30" s="504">
        <v>0</v>
      </c>
      <c r="IJ30" s="504">
        <v>0</v>
      </c>
      <c r="IK30" s="504">
        <v>0</v>
      </c>
      <c r="IL30" s="504">
        <v>0</v>
      </c>
      <c r="IM30" s="504">
        <v>0</v>
      </c>
      <c r="IN30" s="504">
        <v>0</v>
      </c>
      <c r="IO30" s="504">
        <v>0</v>
      </c>
      <c r="IP30" s="504">
        <v>0</v>
      </c>
      <c r="IQ30" s="504">
        <v>0</v>
      </c>
      <c r="IR30" s="504">
        <v>0</v>
      </c>
      <c r="IS30" s="504">
        <v>0</v>
      </c>
      <c r="IT30" s="504">
        <v>0</v>
      </c>
      <c r="IU30" s="504">
        <v>0</v>
      </c>
      <c r="IV30" s="504">
        <v>0</v>
      </c>
      <c r="IW30" s="504">
        <v>0</v>
      </c>
      <c r="IX30" s="504">
        <v>0</v>
      </c>
      <c r="IY30" s="504">
        <v>0</v>
      </c>
      <c r="IZ30" s="504">
        <v>0</v>
      </c>
      <c r="JA30" s="504">
        <v>0</v>
      </c>
      <c r="JB30" s="504">
        <v>0</v>
      </c>
      <c r="JC30" s="504">
        <v>0</v>
      </c>
      <c r="JD30" s="504">
        <v>0</v>
      </c>
      <c r="JE30" s="504">
        <v>0</v>
      </c>
      <c r="JF30" s="504">
        <v>0</v>
      </c>
      <c r="JG30" s="504">
        <v>0</v>
      </c>
      <c r="JH30" s="504">
        <v>0</v>
      </c>
      <c r="JI30" s="504">
        <v>0</v>
      </c>
      <c r="JJ30" s="504">
        <v>0</v>
      </c>
      <c r="JK30" s="504">
        <v>0</v>
      </c>
      <c r="JL30" s="504">
        <v>0</v>
      </c>
      <c r="JM30" s="504">
        <v>0</v>
      </c>
      <c r="JN30" s="504">
        <v>0</v>
      </c>
      <c r="JO30" s="504">
        <v>0</v>
      </c>
      <c r="JP30" s="504">
        <v>0</v>
      </c>
      <c r="JQ30" s="504">
        <v>0</v>
      </c>
      <c r="JR30" s="504">
        <v>0</v>
      </c>
      <c r="JS30" s="504">
        <v>0</v>
      </c>
      <c r="JT30" s="504">
        <v>0</v>
      </c>
      <c r="JU30" s="504">
        <v>0</v>
      </c>
      <c r="JV30" s="504">
        <v>0</v>
      </c>
      <c r="JW30" s="504">
        <v>0</v>
      </c>
      <c r="JX30" s="504">
        <v>0</v>
      </c>
      <c r="JY30" s="504">
        <v>0</v>
      </c>
      <c r="JZ30" s="504">
        <v>0</v>
      </c>
      <c r="KA30" s="504">
        <v>0</v>
      </c>
      <c r="KB30" s="504">
        <v>0</v>
      </c>
      <c r="KC30" s="504">
        <v>0</v>
      </c>
      <c r="KD30" s="504">
        <v>0</v>
      </c>
      <c r="KE30" s="504">
        <v>0</v>
      </c>
      <c r="KF30" s="504">
        <v>0</v>
      </c>
      <c r="KG30" s="504">
        <v>0</v>
      </c>
      <c r="KH30" s="504">
        <v>0</v>
      </c>
      <c r="KI30" s="504">
        <v>0</v>
      </c>
      <c r="KJ30" s="504">
        <v>0</v>
      </c>
      <c r="KK30" s="504">
        <v>0</v>
      </c>
      <c r="KL30" s="504">
        <v>0</v>
      </c>
      <c r="KM30" s="504">
        <v>0</v>
      </c>
      <c r="KN30" s="504">
        <v>0</v>
      </c>
      <c r="KO30" s="504">
        <v>0</v>
      </c>
      <c r="KP30" s="504">
        <v>0</v>
      </c>
      <c r="KQ30" s="504">
        <v>0</v>
      </c>
      <c r="KR30" s="504">
        <v>0</v>
      </c>
      <c r="KS30" s="504">
        <v>0</v>
      </c>
      <c r="KT30" s="1654">
        <v>0</v>
      </c>
      <c r="KU30" s="504">
        <v>0</v>
      </c>
      <c r="KV30" s="504">
        <v>0</v>
      </c>
      <c r="KW30" s="504">
        <v>0</v>
      </c>
      <c r="KX30" s="504">
        <v>890</v>
      </c>
      <c r="KY30" s="504">
        <v>1253</v>
      </c>
      <c r="KZ30" s="504">
        <v>1592</v>
      </c>
      <c r="LA30" s="504">
        <v>0</v>
      </c>
      <c r="LB30" s="504">
        <v>0</v>
      </c>
      <c r="LC30" s="504">
        <v>0</v>
      </c>
      <c r="LD30" s="504">
        <v>0</v>
      </c>
      <c r="LE30" s="504">
        <v>0</v>
      </c>
      <c r="LF30" s="504">
        <v>0</v>
      </c>
      <c r="LG30" s="504">
        <v>0</v>
      </c>
      <c r="LH30" s="504">
        <v>0</v>
      </c>
      <c r="LI30" s="504">
        <v>0</v>
      </c>
      <c r="LJ30" s="504">
        <v>0</v>
      </c>
      <c r="LK30" s="504">
        <v>0</v>
      </c>
      <c r="LL30" s="504">
        <v>0</v>
      </c>
      <c r="LM30" s="504">
        <v>0</v>
      </c>
      <c r="LN30" s="504">
        <v>0</v>
      </c>
      <c r="LO30" s="504">
        <v>0</v>
      </c>
      <c r="LP30" s="504">
        <v>0</v>
      </c>
      <c r="LQ30" s="504">
        <v>0</v>
      </c>
      <c r="LR30" s="504">
        <v>0</v>
      </c>
      <c r="LS30" s="504">
        <v>0</v>
      </c>
      <c r="LT30" s="504">
        <v>0</v>
      </c>
      <c r="LU30" s="504">
        <v>0</v>
      </c>
      <c r="LV30" s="504">
        <v>0</v>
      </c>
      <c r="LW30" s="504">
        <v>0</v>
      </c>
      <c r="LX30" s="504">
        <v>0</v>
      </c>
      <c r="LY30" s="504">
        <v>0</v>
      </c>
      <c r="LZ30" s="504">
        <v>0</v>
      </c>
      <c r="MA30" s="504">
        <v>0</v>
      </c>
      <c r="MB30" s="504">
        <v>0</v>
      </c>
      <c r="MC30" s="504">
        <v>0</v>
      </c>
      <c r="MD30" s="504">
        <v>0</v>
      </c>
      <c r="ME30" s="504">
        <v>0</v>
      </c>
      <c r="MF30" s="504">
        <v>0</v>
      </c>
      <c r="MG30" s="504">
        <v>0</v>
      </c>
      <c r="MH30" s="504">
        <v>0</v>
      </c>
      <c r="MI30" s="504">
        <v>0</v>
      </c>
      <c r="MJ30" s="504">
        <v>0</v>
      </c>
      <c r="MK30" s="504">
        <v>0</v>
      </c>
      <c r="ML30" s="504">
        <v>0</v>
      </c>
      <c r="MM30" s="504">
        <v>0</v>
      </c>
      <c r="MN30" s="504">
        <v>0</v>
      </c>
      <c r="MO30" s="504">
        <v>0</v>
      </c>
      <c r="MP30" s="504">
        <v>0</v>
      </c>
      <c r="MQ30" s="504">
        <v>0</v>
      </c>
      <c r="MR30" s="504">
        <v>0</v>
      </c>
      <c r="MS30" s="504">
        <v>0</v>
      </c>
      <c r="MT30" s="504">
        <v>0</v>
      </c>
      <c r="MU30" s="504">
        <v>0</v>
      </c>
      <c r="MV30" s="504">
        <v>0</v>
      </c>
      <c r="MW30" s="504">
        <v>0</v>
      </c>
      <c r="MX30" s="504">
        <v>0</v>
      </c>
      <c r="MY30" s="504">
        <v>0</v>
      </c>
      <c r="MZ30" s="504">
        <v>0</v>
      </c>
      <c r="NA30" s="504">
        <v>0</v>
      </c>
      <c r="NB30" s="504">
        <v>0</v>
      </c>
      <c r="NC30" s="504">
        <v>0</v>
      </c>
      <c r="ND30" s="504">
        <v>0</v>
      </c>
      <c r="NE30" s="504">
        <v>0</v>
      </c>
      <c r="NF30" s="504">
        <v>0</v>
      </c>
      <c r="NG30" s="504">
        <v>0</v>
      </c>
      <c r="NH30" s="504">
        <v>0</v>
      </c>
      <c r="NI30" s="504">
        <v>0</v>
      </c>
      <c r="NJ30" s="504">
        <v>0</v>
      </c>
      <c r="NK30" s="504">
        <v>0</v>
      </c>
      <c r="NL30" s="504">
        <v>0</v>
      </c>
      <c r="NM30" s="504">
        <v>0</v>
      </c>
      <c r="NN30" s="504">
        <v>0</v>
      </c>
      <c r="NO30" s="504">
        <v>0</v>
      </c>
      <c r="NP30" s="504">
        <v>0</v>
      </c>
      <c r="NQ30" s="504">
        <v>0</v>
      </c>
      <c r="NR30" s="504">
        <v>0</v>
      </c>
      <c r="NS30" s="504">
        <v>0</v>
      </c>
      <c r="NT30" s="504">
        <v>0</v>
      </c>
      <c r="NU30" s="504">
        <v>0</v>
      </c>
      <c r="NV30" s="504">
        <v>0</v>
      </c>
      <c r="NW30" s="504">
        <v>0</v>
      </c>
      <c r="NX30" s="504">
        <v>0</v>
      </c>
      <c r="NY30" s="504">
        <v>0</v>
      </c>
      <c r="NZ30" s="504">
        <v>0</v>
      </c>
      <c r="OA30" s="504">
        <v>0</v>
      </c>
      <c r="OB30" s="504">
        <v>0</v>
      </c>
      <c r="OC30" s="504">
        <v>0</v>
      </c>
      <c r="OD30" s="504">
        <v>0</v>
      </c>
      <c r="OE30" s="504">
        <v>0</v>
      </c>
      <c r="OF30" s="504">
        <v>0</v>
      </c>
      <c r="OG30" s="504">
        <v>0</v>
      </c>
      <c r="OH30" s="504">
        <v>0</v>
      </c>
      <c r="OI30" s="504">
        <v>0</v>
      </c>
      <c r="OJ30" s="504">
        <v>0</v>
      </c>
      <c r="OK30" s="504">
        <v>0</v>
      </c>
      <c r="OL30" s="504">
        <v>0</v>
      </c>
      <c r="OM30" s="504">
        <v>0</v>
      </c>
      <c r="ON30" s="504">
        <v>0</v>
      </c>
      <c r="OO30" s="504">
        <v>0</v>
      </c>
      <c r="OP30" s="504">
        <v>0</v>
      </c>
      <c r="OQ30" s="504">
        <v>0</v>
      </c>
      <c r="OR30" s="1656"/>
    </row>
    <row r="31" spans="1:408" ht="21.5">
      <c r="A31" s="1466" t="s">
        <v>1652</v>
      </c>
      <c r="B31" s="1583" t="s">
        <v>2358</v>
      </c>
      <c r="C31" s="1583" t="s">
        <v>14</v>
      </c>
      <c r="D31" s="1583">
        <v>54</v>
      </c>
      <c r="E31" s="504">
        <v>54</v>
      </c>
      <c r="F31" s="504">
        <v>210</v>
      </c>
      <c r="G31" s="504">
        <v>536</v>
      </c>
      <c r="H31" s="504">
        <v>835</v>
      </c>
      <c r="I31" s="504">
        <v>1193</v>
      </c>
      <c r="J31" s="504">
        <v>1458</v>
      </c>
      <c r="K31" s="504">
        <v>1479</v>
      </c>
      <c r="L31" s="504">
        <v>1500</v>
      </c>
      <c r="M31" s="504">
        <v>1522</v>
      </c>
      <c r="N31" s="504">
        <v>1544</v>
      </c>
      <c r="O31" s="504">
        <v>1566</v>
      </c>
      <c r="P31" s="504">
        <v>1589</v>
      </c>
      <c r="Q31" s="504">
        <v>1612</v>
      </c>
      <c r="R31" s="504">
        <v>1636</v>
      </c>
      <c r="S31" s="504">
        <v>1660</v>
      </c>
      <c r="T31" s="504">
        <v>1684</v>
      </c>
      <c r="U31" s="504">
        <v>1709</v>
      </c>
      <c r="V31" s="504">
        <v>1735</v>
      </c>
      <c r="W31" s="504">
        <v>1761</v>
      </c>
      <c r="X31" s="504">
        <v>1787</v>
      </c>
      <c r="Y31" s="504">
        <v>1815</v>
      </c>
      <c r="Z31" s="504">
        <v>1844</v>
      </c>
      <c r="AA31" s="504">
        <v>1874</v>
      </c>
      <c r="AB31" s="504">
        <v>1907</v>
      </c>
      <c r="AC31" s="504">
        <v>1942</v>
      </c>
      <c r="AD31" s="504">
        <v>2000</v>
      </c>
      <c r="AE31" s="504">
        <v>0</v>
      </c>
      <c r="AF31" s="504">
        <v>0</v>
      </c>
      <c r="AG31" s="504">
        <v>0</v>
      </c>
      <c r="AH31" s="504">
        <v>0</v>
      </c>
      <c r="AI31" s="504">
        <v>0</v>
      </c>
      <c r="AJ31" s="504">
        <v>0</v>
      </c>
      <c r="AK31" s="504">
        <v>0</v>
      </c>
      <c r="AL31" s="504">
        <v>0</v>
      </c>
      <c r="AM31" s="504">
        <v>0</v>
      </c>
      <c r="AN31" s="504">
        <v>0</v>
      </c>
      <c r="AO31" s="504">
        <v>0</v>
      </c>
      <c r="AP31" s="504">
        <v>0</v>
      </c>
      <c r="AQ31" s="504">
        <v>0</v>
      </c>
      <c r="AR31" s="504">
        <v>0</v>
      </c>
      <c r="AS31" s="504">
        <v>0</v>
      </c>
      <c r="AT31" s="504">
        <v>0</v>
      </c>
      <c r="AU31" s="504">
        <v>0</v>
      </c>
      <c r="AV31" s="504">
        <v>0</v>
      </c>
      <c r="AW31" s="504">
        <v>0</v>
      </c>
      <c r="AX31" s="504">
        <v>0</v>
      </c>
      <c r="AY31" s="504">
        <v>0</v>
      </c>
      <c r="AZ31" s="504">
        <v>0</v>
      </c>
      <c r="BA31" s="504">
        <v>0</v>
      </c>
      <c r="BB31" s="504">
        <v>0</v>
      </c>
      <c r="BC31" s="504">
        <v>0</v>
      </c>
      <c r="BD31" s="504">
        <v>0</v>
      </c>
      <c r="BE31" s="504">
        <v>0</v>
      </c>
      <c r="BF31" s="504">
        <v>0</v>
      </c>
      <c r="BG31" s="504">
        <v>0</v>
      </c>
      <c r="BH31" s="504">
        <v>0</v>
      </c>
      <c r="BI31" s="504">
        <v>0</v>
      </c>
      <c r="BJ31" s="504">
        <v>0</v>
      </c>
      <c r="BK31" s="504">
        <v>0</v>
      </c>
      <c r="BL31" s="504">
        <v>0</v>
      </c>
      <c r="BM31" s="504">
        <v>0</v>
      </c>
      <c r="BN31" s="504">
        <v>0</v>
      </c>
      <c r="BO31" s="504">
        <v>0</v>
      </c>
      <c r="BP31" s="504">
        <v>0</v>
      </c>
      <c r="BQ31" s="504">
        <v>0</v>
      </c>
      <c r="BR31" s="504">
        <v>0</v>
      </c>
      <c r="BS31" s="504">
        <v>0</v>
      </c>
      <c r="BT31" s="504">
        <v>0</v>
      </c>
      <c r="BU31" s="504">
        <v>0</v>
      </c>
      <c r="BV31" s="504">
        <v>0</v>
      </c>
      <c r="BW31" s="504">
        <v>0</v>
      </c>
      <c r="BX31" s="504">
        <v>0</v>
      </c>
      <c r="BY31" s="504">
        <v>0</v>
      </c>
      <c r="BZ31" s="504">
        <v>0</v>
      </c>
      <c r="CA31" s="504">
        <v>0</v>
      </c>
      <c r="CB31" s="504">
        <v>0</v>
      </c>
      <c r="CC31" s="504">
        <v>0</v>
      </c>
      <c r="CD31" s="504">
        <v>0</v>
      </c>
      <c r="CE31" s="504">
        <v>0</v>
      </c>
      <c r="CF31" s="504">
        <v>0</v>
      </c>
      <c r="CG31" s="504">
        <v>0</v>
      </c>
      <c r="CH31" s="504">
        <v>0</v>
      </c>
      <c r="CI31" s="504">
        <v>0</v>
      </c>
      <c r="CJ31" s="504">
        <v>0</v>
      </c>
      <c r="CK31" s="504">
        <v>0</v>
      </c>
      <c r="CL31" s="504">
        <v>0</v>
      </c>
      <c r="CM31" s="504">
        <v>0</v>
      </c>
      <c r="CN31" s="504">
        <v>0</v>
      </c>
      <c r="CO31" s="504">
        <v>0</v>
      </c>
      <c r="CP31" s="504">
        <v>0</v>
      </c>
      <c r="CQ31" s="504">
        <v>0</v>
      </c>
      <c r="CR31" s="504">
        <v>0</v>
      </c>
      <c r="CS31" s="504">
        <v>0</v>
      </c>
      <c r="CT31" s="504">
        <v>0</v>
      </c>
      <c r="CU31" s="504">
        <v>0</v>
      </c>
      <c r="CV31" s="504">
        <v>0</v>
      </c>
      <c r="CW31" s="504">
        <v>0</v>
      </c>
      <c r="CX31" s="504">
        <v>0</v>
      </c>
      <c r="CY31" s="504">
        <v>0</v>
      </c>
      <c r="CZ31" s="1654">
        <v>0</v>
      </c>
      <c r="DA31" s="504">
        <v>0</v>
      </c>
      <c r="DB31" s="504">
        <v>102</v>
      </c>
      <c r="DC31" s="504">
        <v>387</v>
      </c>
      <c r="DD31" s="504">
        <v>962</v>
      </c>
      <c r="DE31" s="504">
        <v>1263</v>
      </c>
      <c r="DF31" s="504">
        <v>1606</v>
      </c>
      <c r="DG31" s="504">
        <v>0</v>
      </c>
      <c r="DH31" s="504">
        <v>0</v>
      </c>
      <c r="DI31" s="504">
        <v>0</v>
      </c>
      <c r="DJ31" s="504">
        <v>0</v>
      </c>
      <c r="DK31" s="504">
        <v>0</v>
      </c>
      <c r="DL31" s="504">
        <v>0</v>
      </c>
      <c r="DM31" s="504">
        <v>0</v>
      </c>
      <c r="DN31" s="504">
        <v>0</v>
      </c>
      <c r="DO31" s="504">
        <v>0</v>
      </c>
      <c r="DP31" s="504">
        <v>0</v>
      </c>
      <c r="DQ31" s="504">
        <v>0</v>
      </c>
      <c r="DR31" s="504">
        <v>0</v>
      </c>
      <c r="DS31" s="504">
        <v>0</v>
      </c>
      <c r="DT31" s="504">
        <v>0</v>
      </c>
      <c r="DU31" s="504">
        <v>0</v>
      </c>
      <c r="DV31" s="504">
        <v>0</v>
      </c>
      <c r="DW31" s="504">
        <v>0</v>
      </c>
      <c r="DX31" s="504">
        <v>0</v>
      </c>
      <c r="DY31" s="504">
        <v>0</v>
      </c>
      <c r="DZ31" s="504">
        <v>0</v>
      </c>
      <c r="EA31" s="504">
        <v>0</v>
      </c>
      <c r="EB31" s="504">
        <v>0</v>
      </c>
      <c r="EC31" s="504">
        <v>0</v>
      </c>
      <c r="ED31" s="504">
        <v>0</v>
      </c>
      <c r="EE31" s="504">
        <v>0</v>
      </c>
      <c r="EF31" s="504">
        <v>0</v>
      </c>
      <c r="EG31" s="504">
        <v>0</v>
      </c>
      <c r="EH31" s="504">
        <v>0</v>
      </c>
      <c r="EI31" s="504">
        <v>0</v>
      </c>
      <c r="EJ31" s="504">
        <v>0</v>
      </c>
      <c r="EK31" s="504">
        <v>0</v>
      </c>
      <c r="EL31" s="504">
        <v>0</v>
      </c>
      <c r="EM31" s="504">
        <v>0</v>
      </c>
      <c r="EN31" s="504">
        <v>0</v>
      </c>
      <c r="EO31" s="504">
        <v>0</v>
      </c>
      <c r="EP31" s="504">
        <v>0</v>
      </c>
      <c r="EQ31" s="504">
        <v>0</v>
      </c>
      <c r="ER31" s="504">
        <v>0</v>
      </c>
      <c r="ES31" s="504">
        <v>0</v>
      </c>
      <c r="ET31" s="504">
        <v>0</v>
      </c>
      <c r="EU31" s="504">
        <v>0</v>
      </c>
      <c r="EV31" s="504">
        <v>0</v>
      </c>
      <c r="EW31" s="504">
        <v>0</v>
      </c>
      <c r="EX31" s="504">
        <v>0</v>
      </c>
      <c r="EY31" s="504">
        <v>0</v>
      </c>
      <c r="EZ31" s="504">
        <v>0</v>
      </c>
      <c r="FA31" s="504">
        <v>0</v>
      </c>
      <c r="FB31" s="504">
        <v>0</v>
      </c>
      <c r="FC31" s="504">
        <v>0</v>
      </c>
      <c r="FD31" s="504">
        <v>0</v>
      </c>
      <c r="FE31" s="504">
        <v>0</v>
      </c>
      <c r="FF31" s="504">
        <v>0</v>
      </c>
      <c r="FG31" s="504">
        <v>0</v>
      </c>
      <c r="FH31" s="504">
        <v>0</v>
      </c>
      <c r="FI31" s="504">
        <v>0</v>
      </c>
      <c r="FJ31" s="504">
        <v>0</v>
      </c>
      <c r="FK31" s="504">
        <v>0</v>
      </c>
      <c r="FL31" s="504">
        <v>0</v>
      </c>
      <c r="FM31" s="504">
        <v>0</v>
      </c>
      <c r="FN31" s="504">
        <v>0</v>
      </c>
      <c r="FO31" s="504">
        <v>0</v>
      </c>
      <c r="FP31" s="504">
        <v>0</v>
      </c>
      <c r="FQ31" s="504">
        <v>0</v>
      </c>
      <c r="FR31" s="504">
        <v>0</v>
      </c>
      <c r="FS31" s="504">
        <v>0</v>
      </c>
      <c r="FT31" s="504">
        <v>0</v>
      </c>
      <c r="FU31" s="504">
        <v>0</v>
      </c>
      <c r="FV31" s="504">
        <v>0</v>
      </c>
      <c r="FW31" s="504">
        <v>0</v>
      </c>
      <c r="FX31" s="504">
        <v>0</v>
      </c>
      <c r="FY31" s="504">
        <v>0</v>
      </c>
      <c r="FZ31" s="504">
        <v>0</v>
      </c>
      <c r="GA31" s="504">
        <v>0</v>
      </c>
      <c r="GB31" s="504">
        <v>0</v>
      </c>
      <c r="GC31" s="504">
        <v>0</v>
      </c>
      <c r="GD31" s="504">
        <v>0</v>
      </c>
      <c r="GE31" s="504">
        <v>0</v>
      </c>
      <c r="GF31" s="504">
        <v>0</v>
      </c>
      <c r="GG31" s="504">
        <v>0</v>
      </c>
      <c r="GH31" s="504">
        <v>0</v>
      </c>
      <c r="GI31" s="504">
        <v>0</v>
      </c>
      <c r="GJ31" s="504">
        <v>0</v>
      </c>
      <c r="GK31" s="504">
        <v>0</v>
      </c>
      <c r="GL31" s="504">
        <v>0</v>
      </c>
      <c r="GM31" s="504">
        <v>0</v>
      </c>
      <c r="GN31" s="504">
        <v>0</v>
      </c>
      <c r="GO31" s="504">
        <v>0</v>
      </c>
      <c r="GP31" s="504">
        <v>0</v>
      </c>
      <c r="GQ31" s="504">
        <v>0</v>
      </c>
      <c r="GR31" s="504">
        <v>0</v>
      </c>
      <c r="GS31" s="504">
        <v>0</v>
      </c>
      <c r="GT31" s="504">
        <v>0</v>
      </c>
      <c r="GU31" s="504">
        <v>0</v>
      </c>
      <c r="GV31" s="504">
        <v>0</v>
      </c>
      <c r="GW31" s="1654">
        <v>0</v>
      </c>
      <c r="GX31" s="504">
        <v>0</v>
      </c>
      <c r="GY31" s="504">
        <v>9013</v>
      </c>
      <c r="GZ31" s="504">
        <v>19121</v>
      </c>
      <c r="HA31" s="504">
        <v>23000</v>
      </c>
      <c r="HB31" s="504">
        <v>22000</v>
      </c>
      <c r="HC31" s="504">
        <v>21000</v>
      </c>
      <c r="HD31" s="504">
        <v>0</v>
      </c>
      <c r="HE31" s="504">
        <v>0</v>
      </c>
      <c r="HF31" s="504">
        <v>0</v>
      </c>
      <c r="HG31" s="504">
        <v>0</v>
      </c>
      <c r="HH31" s="504">
        <v>0</v>
      </c>
      <c r="HI31" s="504">
        <v>0</v>
      </c>
      <c r="HJ31" s="504">
        <v>0</v>
      </c>
      <c r="HK31" s="504">
        <v>0</v>
      </c>
      <c r="HL31" s="504">
        <v>0</v>
      </c>
      <c r="HM31" s="504">
        <v>0</v>
      </c>
      <c r="HN31" s="504">
        <v>0</v>
      </c>
      <c r="HO31" s="504">
        <v>0</v>
      </c>
      <c r="HP31" s="504">
        <v>0</v>
      </c>
      <c r="HQ31" s="504">
        <v>0</v>
      </c>
      <c r="HR31" s="504">
        <v>0</v>
      </c>
      <c r="HS31" s="504">
        <v>0</v>
      </c>
      <c r="HT31" s="504">
        <v>0</v>
      </c>
      <c r="HU31" s="504">
        <v>0</v>
      </c>
      <c r="HV31" s="504">
        <v>0</v>
      </c>
      <c r="HW31" s="504">
        <v>0</v>
      </c>
      <c r="HX31" s="504">
        <v>0</v>
      </c>
      <c r="HY31" s="504">
        <v>0</v>
      </c>
      <c r="HZ31" s="504">
        <v>0</v>
      </c>
      <c r="IA31" s="504">
        <v>0</v>
      </c>
      <c r="IB31" s="504">
        <v>0</v>
      </c>
      <c r="IC31" s="504">
        <v>0</v>
      </c>
      <c r="ID31" s="504">
        <v>0</v>
      </c>
      <c r="IE31" s="504">
        <v>0</v>
      </c>
      <c r="IF31" s="504">
        <v>0</v>
      </c>
      <c r="IG31" s="504">
        <v>0</v>
      </c>
      <c r="IH31" s="504">
        <v>0</v>
      </c>
      <c r="II31" s="504">
        <v>0</v>
      </c>
      <c r="IJ31" s="504">
        <v>0</v>
      </c>
      <c r="IK31" s="504">
        <v>0</v>
      </c>
      <c r="IL31" s="504">
        <v>0</v>
      </c>
      <c r="IM31" s="504">
        <v>0</v>
      </c>
      <c r="IN31" s="504">
        <v>0</v>
      </c>
      <c r="IO31" s="504">
        <v>0</v>
      </c>
      <c r="IP31" s="504">
        <v>0</v>
      </c>
      <c r="IQ31" s="504">
        <v>0</v>
      </c>
      <c r="IR31" s="504">
        <v>0</v>
      </c>
      <c r="IS31" s="504">
        <v>0</v>
      </c>
      <c r="IT31" s="504">
        <v>0</v>
      </c>
      <c r="IU31" s="504">
        <v>0</v>
      </c>
      <c r="IV31" s="504">
        <v>0</v>
      </c>
      <c r="IW31" s="504">
        <v>0</v>
      </c>
      <c r="IX31" s="504">
        <v>0</v>
      </c>
      <c r="IY31" s="504">
        <v>0</v>
      </c>
      <c r="IZ31" s="504">
        <v>0</v>
      </c>
      <c r="JA31" s="504">
        <v>0</v>
      </c>
      <c r="JB31" s="504">
        <v>0</v>
      </c>
      <c r="JC31" s="504">
        <v>0</v>
      </c>
      <c r="JD31" s="504">
        <v>0</v>
      </c>
      <c r="JE31" s="504">
        <v>0</v>
      </c>
      <c r="JF31" s="504">
        <v>0</v>
      </c>
      <c r="JG31" s="504">
        <v>0</v>
      </c>
      <c r="JH31" s="504">
        <v>0</v>
      </c>
      <c r="JI31" s="504">
        <v>0</v>
      </c>
      <c r="JJ31" s="504">
        <v>0</v>
      </c>
      <c r="JK31" s="504">
        <v>0</v>
      </c>
      <c r="JL31" s="504">
        <v>0</v>
      </c>
      <c r="JM31" s="504">
        <v>0</v>
      </c>
      <c r="JN31" s="504">
        <v>0</v>
      </c>
      <c r="JO31" s="504">
        <v>0</v>
      </c>
      <c r="JP31" s="504">
        <v>0</v>
      </c>
      <c r="JQ31" s="504">
        <v>0</v>
      </c>
      <c r="JR31" s="504">
        <v>0</v>
      </c>
      <c r="JS31" s="504">
        <v>0</v>
      </c>
      <c r="JT31" s="504">
        <v>0</v>
      </c>
      <c r="JU31" s="504">
        <v>0</v>
      </c>
      <c r="JV31" s="504">
        <v>0</v>
      </c>
      <c r="JW31" s="504">
        <v>0</v>
      </c>
      <c r="JX31" s="504">
        <v>0</v>
      </c>
      <c r="JY31" s="504">
        <v>0</v>
      </c>
      <c r="JZ31" s="504">
        <v>0</v>
      </c>
      <c r="KA31" s="504">
        <v>0</v>
      </c>
      <c r="KB31" s="504">
        <v>0</v>
      </c>
      <c r="KC31" s="504">
        <v>0</v>
      </c>
      <c r="KD31" s="504">
        <v>0</v>
      </c>
      <c r="KE31" s="504">
        <v>0</v>
      </c>
      <c r="KF31" s="504">
        <v>0</v>
      </c>
      <c r="KG31" s="504">
        <v>0</v>
      </c>
      <c r="KH31" s="504">
        <v>0</v>
      </c>
      <c r="KI31" s="504">
        <v>0</v>
      </c>
      <c r="KJ31" s="504">
        <v>0</v>
      </c>
      <c r="KK31" s="504">
        <v>0</v>
      </c>
      <c r="KL31" s="504">
        <v>0</v>
      </c>
      <c r="KM31" s="504">
        <v>0</v>
      </c>
      <c r="KN31" s="504">
        <v>0</v>
      </c>
      <c r="KO31" s="504">
        <v>0</v>
      </c>
      <c r="KP31" s="504">
        <v>0</v>
      </c>
      <c r="KQ31" s="504">
        <v>0</v>
      </c>
      <c r="KR31" s="504">
        <v>0</v>
      </c>
      <c r="KS31" s="504">
        <v>0</v>
      </c>
      <c r="KT31" s="1654">
        <v>0</v>
      </c>
      <c r="KU31" s="504">
        <v>0</v>
      </c>
      <c r="KV31" s="504">
        <v>0</v>
      </c>
      <c r="KW31" s="504">
        <v>0</v>
      </c>
      <c r="KX31" s="504">
        <v>864</v>
      </c>
      <c r="KY31" s="504">
        <v>1250</v>
      </c>
      <c r="KZ31" s="504">
        <v>1593</v>
      </c>
      <c r="LA31" s="504">
        <v>0</v>
      </c>
      <c r="LB31" s="504">
        <v>0</v>
      </c>
      <c r="LC31" s="504">
        <v>0</v>
      </c>
      <c r="LD31" s="504">
        <v>0</v>
      </c>
      <c r="LE31" s="504">
        <v>0</v>
      </c>
      <c r="LF31" s="504">
        <v>0</v>
      </c>
      <c r="LG31" s="504">
        <v>0</v>
      </c>
      <c r="LH31" s="504">
        <v>0</v>
      </c>
      <c r="LI31" s="504">
        <v>0</v>
      </c>
      <c r="LJ31" s="504">
        <v>0</v>
      </c>
      <c r="LK31" s="504">
        <v>0</v>
      </c>
      <c r="LL31" s="504">
        <v>0</v>
      </c>
      <c r="LM31" s="504">
        <v>0</v>
      </c>
      <c r="LN31" s="504">
        <v>0</v>
      </c>
      <c r="LO31" s="504">
        <v>0</v>
      </c>
      <c r="LP31" s="504">
        <v>0</v>
      </c>
      <c r="LQ31" s="504">
        <v>0</v>
      </c>
      <c r="LR31" s="504">
        <v>0</v>
      </c>
      <c r="LS31" s="504">
        <v>0</v>
      </c>
      <c r="LT31" s="504">
        <v>0</v>
      </c>
      <c r="LU31" s="504">
        <v>0</v>
      </c>
      <c r="LV31" s="504">
        <v>0</v>
      </c>
      <c r="LW31" s="504">
        <v>0</v>
      </c>
      <c r="LX31" s="504">
        <v>0</v>
      </c>
      <c r="LY31" s="504">
        <v>0</v>
      </c>
      <c r="LZ31" s="504">
        <v>0</v>
      </c>
      <c r="MA31" s="504">
        <v>0</v>
      </c>
      <c r="MB31" s="504">
        <v>0</v>
      </c>
      <c r="MC31" s="504">
        <v>0</v>
      </c>
      <c r="MD31" s="504">
        <v>0</v>
      </c>
      <c r="ME31" s="504">
        <v>0</v>
      </c>
      <c r="MF31" s="504">
        <v>0</v>
      </c>
      <c r="MG31" s="504">
        <v>0</v>
      </c>
      <c r="MH31" s="504">
        <v>0</v>
      </c>
      <c r="MI31" s="504">
        <v>0</v>
      </c>
      <c r="MJ31" s="504">
        <v>0</v>
      </c>
      <c r="MK31" s="504">
        <v>0</v>
      </c>
      <c r="ML31" s="504">
        <v>0</v>
      </c>
      <c r="MM31" s="504">
        <v>0</v>
      </c>
      <c r="MN31" s="504">
        <v>0</v>
      </c>
      <c r="MO31" s="504">
        <v>0</v>
      </c>
      <c r="MP31" s="504">
        <v>0</v>
      </c>
      <c r="MQ31" s="504">
        <v>0</v>
      </c>
      <c r="MR31" s="504">
        <v>0</v>
      </c>
      <c r="MS31" s="504">
        <v>0</v>
      </c>
      <c r="MT31" s="504">
        <v>0</v>
      </c>
      <c r="MU31" s="504">
        <v>0</v>
      </c>
      <c r="MV31" s="504">
        <v>0</v>
      </c>
      <c r="MW31" s="504">
        <v>0</v>
      </c>
      <c r="MX31" s="504">
        <v>0</v>
      </c>
      <c r="MY31" s="504">
        <v>0</v>
      </c>
      <c r="MZ31" s="504">
        <v>0</v>
      </c>
      <c r="NA31" s="504">
        <v>0</v>
      </c>
      <c r="NB31" s="504">
        <v>0</v>
      </c>
      <c r="NC31" s="504">
        <v>0</v>
      </c>
      <c r="ND31" s="504">
        <v>0</v>
      </c>
      <c r="NE31" s="504">
        <v>0</v>
      </c>
      <c r="NF31" s="504">
        <v>0</v>
      </c>
      <c r="NG31" s="504">
        <v>0</v>
      </c>
      <c r="NH31" s="504">
        <v>0</v>
      </c>
      <c r="NI31" s="504">
        <v>0</v>
      </c>
      <c r="NJ31" s="504">
        <v>0</v>
      </c>
      <c r="NK31" s="504">
        <v>0</v>
      </c>
      <c r="NL31" s="504">
        <v>0</v>
      </c>
      <c r="NM31" s="504">
        <v>0</v>
      </c>
      <c r="NN31" s="504">
        <v>0</v>
      </c>
      <c r="NO31" s="504">
        <v>0</v>
      </c>
      <c r="NP31" s="504">
        <v>0</v>
      </c>
      <c r="NQ31" s="504">
        <v>0</v>
      </c>
      <c r="NR31" s="504">
        <v>0</v>
      </c>
      <c r="NS31" s="504">
        <v>0</v>
      </c>
      <c r="NT31" s="504">
        <v>0</v>
      </c>
      <c r="NU31" s="504">
        <v>0</v>
      </c>
      <c r="NV31" s="504">
        <v>0</v>
      </c>
      <c r="NW31" s="504">
        <v>0</v>
      </c>
      <c r="NX31" s="504">
        <v>0</v>
      </c>
      <c r="NY31" s="504">
        <v>0</v>
      </c>
      <c r="NZ31" s="504">
        <v>0</v>
      </c>
      <c r="OA31" s="504">
        <v>0</v>
      </c>
      <c r="OB31" s="504">
        <v>0</v>
      </c>
      <c r="OC31" s="504">
        <v>0</v>
      </c>
      <c r="OD31" s="504">
        <v>0</v>
      </c>
      <c r="OE31" s="504">
        <v>0</v>
      </c>
      <c r="OF31" s="504">
        <v>0</v>
      </c>
      <c r="OG31" s="504">
        <v>0</v>
      </c>
      <c r="OH31" s="504">
        <v>0</v>
      </c>
      <c r="OI31" s="504">
        <v>0</v>
      </c>
      <c r="OJ31" s="504">
        <v>0</v>
      </c>
      <c r="OK31" s="504">
        <v>0</v>
      </c>
      <c r="OL31" s="504">
        <v>0</v>
      </c>
      <c r="OM31" s="504">
        <v>0</v>
      </c>
      <c r="ON31" s="504">
        <v>0</v>
      </c>
      <c r="OO31" s="504">
        <v>0</v>
      </c>
      <c r="OP31" s="504">
        <v>0</v>
      </c>
      <c r="OQ31" s="504">
        <v>0</v>
      </c>
      <c r="OR31" s="1656"/>
    </row>
    <row r="32" spans="1:408" ht="21.5">
      <c r="A32" s="1466" t="s">
        <v>1653</v>
      </c>
      <c r="B32" s="1583" t="s">
        <v>2358</v>
      </c>
      <c r="C32" s="1583" t="s">
        <v>14</v>
      </c>
      <c r="D32" s="1583">
        <v>55</v>
      </c>
      <c r="E32" s="504">
        <v>55</v>
      </c>
      <c r="F32" s="504">
        <v>214</v>
      </c>
      <c r="G32" s="504">
        <v>544</v>
      </c>
      <c r="H32" s="504">
        <v>847</v>
      </c>
      <c r="I32" s="504">
        <v>1210</v>
      </c>
      <c r="J32" s="504">
        <v>1479</v>
      </c>
      <c r="K32" s="504">
        <v>1500</v>
      </c>
      <c r="L32" s="504">
        <v>1522</v>
      </c>
      <c r="M32" s="504">
        <v>1544</v>
      </c>
      <c r="N32" s="504">
        <v>1566</v>
      </c>
      <c r="O32" s="504">
        <v>1589</v>
      </c>
      <c r="P32" s="504">
        <v>1612</v>
      </c>
      <c r="Q32" s="504">
        <v>1636</v>
      </c>
      <c r="R32" s="504">
        <v>1660</v>
      </c>
      <c r="S32" s="504">
        <v>1684</v>
      </c>
      <c r="T32" s="504">
        <v>1709</v>
      </c>
      <c r="U32" s="504">
        <v>1735</v>
      </c>
      <c r="V32" s="504">
        <v>1761</v>
      </c>
      <c r="W32" s="504">
        <v>1787</v>
      </c>
      <c r="X32" s="504">
        <v>1815</v>
      </c>
      <c r="Y32" s="504">
        <v>1844</v>
      </c>
      <c r="Z32" s="504">
        <v>1874</v>
      </c>
      <c r="AA32" s="504">
        <v>1907</v>
      </c>
      <c r="AB32" s="504">
        <v>1942</v>
      </c>
      <c r="AC32" s="504">
        <v>2000</v>
      </c>
      <c r="AD32" s="504">
        <v>0</v>
      </c>
      <c r="AE32" s="504">
        <v>0</v>
      </c>
      <c r="AF32" s="504">
        <v>0</v>
      </c>
      <c r="AG32" s="504">
        <v>0</v>
      </c>
      <c r="AH32" s="504">
        <v>0</v>
      </c>
      <c r="AI32" s="504">
        <v>0</v>
      </c>
      <c r="AJ32" s="504">
        <v>0</v>
      </c>
      <c r="AK32" s="504">
        <v>0</v>
      </c>
      <c r="AL32" s="504">
        <v>0</v>
      </c>
      <c r="AM32" s="504">
        <v>0</v>
      </c>
      <c r="AN32" s="504">
        <v>0</v>
      </c>
      <c r="AO32" s="504">
        <v>0</v>
      </c>
      <c r="AP32" s="504">
        <v>0</v>
      </c>
      <c r="AQ32" s="504">
        <v>0</v>
      </c>
      <c r="AR32" s="504">
        <v>0</v>
      </c>
      <c r="AS32" s="504">
        <v>0</v>
      </c>
      <c r="AT32" s="504">
        <v>0</v>
      </c>
      <c r="AU32" s="504">
        <v>0</v>
      </c>
      <c r="AV32" s="504">
        <v>0</v>
      </c>
      <c r="AW32" s="504">
        <v>0</v>
      </c>
      <c r="AX32" s="504">
        <v>0</v>
      </c>
      <c r="AY32" s="504">
        <v>0</v>
      </c>
      <c r="AZ32" s="504">
        <v>0</v>
      </c>
      <c r="BA32" s="504">
        <v>0</v>
      </c>
      <c r="BB32" s="504">
        <v>0</v>
      </c>
      <c r="BC32" s="504">
        <v>0</v>
      </c>
      <c r="BD32" s="504">
        <v>0</v>
      </c>
      <c r="BE32" s="504">
        <v>0</v>
      </c>
      <c r="BF32" s="504">
        <v>0</v>
      </c>
      <c r="BG32" s="504">
        <v>0</v>
      </c>
      <c r="BH32" s="504">
        <v>0</v>
      </c>
      <c r="BI32" s="504">
        <v>0</v>
      </c>
      <c r="BJ32" s="504">
        <v>0</v>
      </c>
      <c r="BK32" s="504">
        <v>0</v>
      </c>
      <c r="BL32" s="504">
        <v>0</v>
      </c>
      <c r="BM32" s="504">
        <v>0</v>
      </c>
      <c r="BN32" s="504">
        <v>0</v>
      </c>
      <c r="BO32" s="504">
        <v>0</v>
      </c>
      <c r="BP32" s="504">
        <v>0</v>
      </c>
      <c r="BQ32" s="504">
        <v>0</v>
      </c>
      <c r="BR32" s="504">
        <v>0</v>
      </c>
      <c r="BS32" s="504">
        <v>0</v>
      </c>
      <c r="BT32" s="504">
        <v>0</v>
      </c>
      <c r="BU32" s="504">
        <v>0</v>
      </c>
      <c r="BV32" s="504">
        <v>0</v>
      </c>
      <c r="BW32" s="504">
        <v>0</v>
      </c>
      <c r="BX32" s="504">
        <v>0</v>
      </c>
      <c r="BY32" s="504">
        <v>0</v>
      </c>
      <c r="BZ32" s="504">
        <v>0</v>
      </c>
      <c r="CA32" s="504">
        <v>0</v>
      </c>
      <c r="CB32" s="504">
        <v>0</v>
      </c>
      <c r="CC32" s="504">
        <v>0</v>
      </c>
      <c r="CD32" s="504">
        <v>0</v>
      </c>
      <c r="CE32" s="504">
        <v>0</v>
      </c>
      <c r="CF32" s="504">
        <v>0</v>
      </c>
      <c r="CG32" s="504">
        <v>0</v>
      </c>
      <c r="CH32" s="504">
        <v>0</v>
      </c>
      <c r="CI32" s="504">
        <v>0</v>
      </c>
      <c r="CJ32" s="504">
        <v>0</v>
      </c>
      <c r="CK32" s="504">
        <v>0</v>
      </c>
      <c r="CL32" s="504">
        <v>0</v>
      </c>
      <c r="CM32" s="504">
        <v>0</v>
      </c>
      <c r="CN32" s="504">
        <v>0</v>
      </c>
      <c r="CO32" s="504">
        <v>0</v>
      </c>
      <c r="CP32" s="504">
        <v>0</v>
      </c>
      <c r="CQ32" s="504">
        <v>0</v>
      </c>
      <c r="CR32" s="504">
        <v>0</v>
      </c>
      <c r="CS32" s="504">
        <v>0</v>
      </c>
      <c r="CT32" s="504">
        <v>0</v>
      </c>
      <c r="CU32" s="504">
        <v>0</v>
      </c>
      <c r="CV32" s="504">
        <v>0</v>
      </c>
      <c r="CW32" s="504">
        <v>0</v>
      </c>
      <c r="CX32" s="504">
        <v>0</v>
      </c>
      <c r="CY32" s="504">
        <v>0</v>
      </c>
      <c r="CZ32" s="1654">
        <v>0</v>
      </c>
      <c r="DA32" s="504">
        <v>0</v>
      </c>
      <c r="DB32" s="504">
        <v>101</v>
      </c>
      <c r="DC32" s="504">
        <v>384</v>
      </c>
      <c r="DD32" s="504">
        <v>951</v>
      </c>
      <c r="DE32" s="504">
        <v>1260</v>
      </c>
      <c r="DF32" s="504">
        <v>1607</v>
      </c>
      <c r="DG32" s="504">
        <v>0</v>
      </c>
      <c r="DH32" s="504">
        <v>0</v>
      </c>
      <c r="DI32" s="504">
        <v>0</v>
      </c>
      <c r="DJ32" s="504">
        <v>0</v>
      </c>
      <c r="DK32" s="504">
        <v>0</v>
      </c>
      <c r="DL32" s="504">
        <v>0</v>
      </c>
      <c r="DM32" s="504">
        <v>0</v>
      </c>
      <c r="DN32" s="504">
        <v>0</v>
      </c>
      <c r="DO32" s="504">
        <v>0</v>
      </c>
      <c r="DP32" s="504">
        <v>0</v>
      </c>
      <c r="DQ32" s="504">
        <v>0</v>
      </c>
      <c r="DR32" s="504">
        <v>0</v>
      </c>
      <c r="DS32" s="504">
        <v>0</v>
      </c>
      <c r="DT32" s="504">
        <v>0</v>
      </c>
      <c r="DU32" s="504">
        <v>0</v>
      </c>
      <c r="DV32" s="504">
        <v>0</v>
      </c>
      <c r="DW32" s="504">
        <v>0</v>
      </c>
      <c r="DX32" s="504">
        <v>0</v>
      </c>
      <c r="DY32" s="504">
        <v>0</v>
      </c>
      <c r="DZ32" s="504">
        <v>0</v>
      </c>
      <c r="EA32" s="504">
        <v>0</v>
      </c>
      <c r="EB32" s="504">
        <v>0</v>
      </c>
      <c r="EC32" s="504">
        <v>0</v>
      </c>
      <c r="ED32" s="504">
        <v>0</v>
      </c>
      <c r="EE32" s="504">
        <v>0</v>
      </c>
      <c r="EF32" s="504">
        <v>0</v>
      </c>
      <c r="EG32" s="504">
        <v>0</v>
      </c>
      <c r="EH32" s="504">
        <v>0</v>
      </c>
      <c r="EI32" s="504">
        <v>0</v>
      </c>
      <c r="EJ32" s="504">
        <v>0</v>
      </c>
      <c r="EK32" s="504">
        <v>0</v>
      </c>
      <c r="EL32" s="504">
        <v>0</v>
      </c>
      <c r="EM32" s="504">
        <v>0</v>
      </c>
      <c r="EN32" s="504">
        <v>0</v>
      </c>
      <c r="EO32" s="504">
        <v>0</v>
      </c>
      <c r="EP32" s="504">
        <v>0</v>
      </c>
      <c r="EQ32" s="504">
        <v>0</v>
      </c>
      <c r="ER32" s="504">
        <v>0</v>
      </c>
      <c r="ES32" s="504">
        <v>0</v>
      </c>
      <c r="ET32" s="504">
        <v>0</v>
      </c>
      <c r="EU32" s="504">
        <v>0</v>
      </c>
      <c r="EV32" s="504">
        <v>0</v>
      </c>
      <c r="EW32" s="504">
        <v>0</v>
      </c>
      <c r="EX32" s="504">
        <v>0</v>
      </c>
      <c r="EY32" s="504">
        <v>0</v>
      </c>
      <c r="EZ32" s="504">
        <v>0</v>
      </c>
      <c r="FA32" s="504">
        <v>0</v>
      </c>
      <c r="FB32" s="504">
        <v>0</v>
      </c>
      <c r="FC32" s="504">
        <v>0</v>
      </c>
      <c r="FD32" s="504">
        <v>0</v>
      </c>
      <c r="FE32" s="504">
        <v>0</v>
      </c>
      <c r="FF32" s="504">
        <v>0</v>
      </c>
      <c r="FG32" s="504">
        <v>0</v>
      </c>
      <c r="FH32" s="504">
        <v>0</v>
      </c>
      <c r="FI32" s="504">
        <v>0</v>
      </c>
      <c r="FJ32" s="504">
        <v>0</v>
      </c>
      <c r="FK32" s="504">
        <v>0</v>
      </c>
      <c r="FL32" s="504">
        <v>0</v>
      </c>
      <c r="FM32" s="504">
        <v>0</v>
      </c>
      <c r="FN32" s="504">
        <v>0</v>
      </c>
      <c r="FO32" s="504">
        <v>0</v>
      </c>
      <c r="FP32" s="504">
        <v>0</v>
      </c>
      <c r="FQ32" s="504">
        <v>0</v>
      </c>
      <c r="FR32" s="504">
        <v>0</v>
      </c>
      <c r="FS32" s="504">
        <v>0</v>
      </c>
      <c r="FT32" s="504">
        <v>0</v>
      </c>
      <c r="FU32" s="504">
        <v>0</v>
      </c>
      <c r="FV32" s="504">
        <v>0</v>
      </c>
      <c r="FW32" s="504">
        <v>0</v>
      </c>
      <c r="FX32" s="504">
        <v>0</v>
      </c>
      <c r="FY32" s="504">
        <v>0</v>
      </c>
      <c r="FZ32" s="504">
        <v>0</v>
      </c>
      <c r="GA32" s="504">
        <v>0</v>
      </c>
      <c r="GB32" s="504">
        <v>0</v>
      </c>
      <c r="GC32" s="504">
        <v>0</v>
      </c>
      <c r="GD32" s="504">
        <v>0</v>
      </c>
      <c r="GE32" s="504">
        <v>0</v>
      </c>
      <c r="GF32" s="504">
        <v>0</v>
      </c>
      <c r="GG32" s="504">
        <v>0</v>
      </c>
      <c r="GH32" s="504">
        <v>0</v>
      </c>
      <c r="GI32" s="504">
        <v>0</v>
      </c>
      <c r="GJ32" s="504">
        <v>0</v>
      </c>
      <c r="GK32" s="504">
        <v>0</v>
      </c>
      <c r="GL32" s="504">
        <v>0</v>
      </c>
      <c r="GM32" s="504">
        <v>0</v>
      </c>
      <c r="GN32" s="504">
        <v>0</v>
      </c>
      <c r="GO32" s="504">
        <v>0</v>
      </c>
      <c r="GP32" s="504">
        <v>0</v>
      </c>
      <c r="GQ32" s="504">
        <v>0</v>
      </c>
      <c r="GR32" s="504">
        <v>0</v>
      </c>
      <c r="GS32" s="504">
        <v>0</v>
      </c>
      <c r="GT32" s="504">
        <v>0</v>
      </c>
      <c r="GU32" s="504">
        <v>0</v>
      </c>
      <c r="GV32" s="504">
        <v>0</v>
      </c>
      <c r="GW32" s="1654">
        <v>0</v>
      </c>
      <c r="GX32" s="504">
        <v>0</v>
      </c>
      <c r="GY32" s="504">
        <v>8168</v>
      </c>
      <c r="GZ32" s="504">
        <v>18150</v>
      </c>
      <c r="HA32" s="504">
        <v>22000</v>
      </c>
      <c r="HB32" s="504">
        <v>21000</v>
      </c>
      <c r="HC32" s="504">
        <v>20000</v>
      </c>
      <c r="HD32" s="504">
        <v>0</v>
      </c>
      <c r="HE32" s="504">
        <v>0</v>
      </c>
      <c r="HF32" s="504">
        <v>0</v>
      </c>
      <c r="HG32" s="504">
        <v>0</v>
      </c>
      <c r="HH32" s="504">
        <v>0</v>
      </c>
      <c r="HI32" s="504">
        <v>0</v>
      </c>
      <c r="HJ32" s="504">
        <v>0</v>
      </c>
      <c r="HK32" s="504">
        <v>0</v>
      </c>
      <c r="HL32" s="504">
        <v>0</v>
      </c>
      <c r="HM32" s="504">
        <v>0</v>
      </c>
      <c r="HN32" s="504">
        <v>0</v>
      </c>
      <c r="HO32" s="504">
        <v>0</v>
      </c>
      <c r="HP32" s="504">
        <v>0</v>
      </c>
      <c r="HQ32" s="504">
        <v>0</v>
      </c>
      <c r="HR32" s="504">
        <v>0</v>
      </c>
      <c r="HS32" s="504">
        <v>0</v>
      </c>
      <c r="HT32" s="504">
        <v>0</v>
      </c>
      <c r="HU32" s="504">
        <v>0</v>
      </c>
      <c r="HV32" s="504">
        <v>0</v>
      </c>
      <c r="HW32" s="504">
        <v>0</v>
      </c>
      <c r="HX32" s="504">
        <v>0</v>
      </c>
      <c r="HY32" s="504">
        <v>0</v>
      </c>
      <c r="HZ32" s="504">
        <v>0</v>
      </c>
      <c r="IA32" s="504">
        <v>0</v>
      </c>
      <c r="IB32" s="504">
        <v>0</v>
      </c>
      <c r="IC32" s="504">
        <v>0</v>
      </c>
      <c r="ID32" s="504">
        <v>0</v>
      </c>
      <c r="IE32" s="504">
        <v>0</v>
      </c>
      <c r="IF32" s="504">
        <v>0</v>
      </c>
      <c r="IG32" s="504">
        <v>0</v>
      </c>
      <c r="IH32" s="504">
        <v>0</v>
      </c>
      <c r="II32" s="504">
        <v>0</v>
      </c>
      <c r="IJ32" s="504">
        <v>0</v>
      </c>
      <c r="IK32" s="504">
        <v>0</v>
      </c>
      <c r="IL32" s="504">
        <v>0</v>
      </c>
      <c r="IM32" s="504">
        <v>0</v>
      </c>
      <c r="IN32" s="504">
        <v>0</v>
      </c>
      <c r="IO32" s="504">
        <v>0</v>
      </c>
      <c r="IP32" s="504">
        <v>0</v>
      </c>
      <c r="IQ32" s="504">
        <v>0</v>
      </c>
      <c r="IR32" s="504">
        <v>0</v>
      </c>
      <c r="IS32" s="504">
        <v>0</v>
      </c>
      <c r="IT32" s="504">
        <v>0</v>
      </c>
      <c r="IU32" s="504">
        <v>0</v>
      </c>
      <c r="IV32" s="504">
        <v>0</v>
      </c>
      <c r="IW32" s="504">
        <v>0</v>
      </c>
      <c r="IX32" s="504">
        <v>0</v>
      </c>
      <c r="IY32" s="504">
        <v>0</v>
      </c>
      <c r="IZ32" s="504">
        <v>0</v>
      </c>
      <c r="JA32" s="504">
        <v>0</v>
      </c>
      <c r="JB32" s="504">
        <v>0</v>
      </c>
      <c r="JC32" s="504">
        <v>0</v>
      </c>
      <c r="JD32" s="504">
        <v>0</v>
      </c>
      <c r="JE32" s="504">
        <v>0</v>
      </c>
      <c r="JF32" s="504">
        <v>0</v>
      </c>
      <c r="JG32" s="504">
        <v>0</v>
      </c>
      <c r="JH32" s="504">
        <v>0</v>
      </c>
      <c r="JI32" s="504">
        <v>0</v>
      </c>
      <c r="JJ32" s="504">
        <v>0</v>
      </c>
      <c r="JK32" s="504">
        <v>0</v>
      </c>
      <c r="JL32" s="504">
        <v>0</v>
      </c>
      <c r="JM32" s="504">
        <v>0</v>
      </c>
      <c r="JN32" s="504">
        <v>0</v>
      </c>
      <c r="JO32" s="504">
        <v>0</v>
      </c>
      <c r="JP32" s="504">
        <v>0</v>
      </c>
      <c r="JQ32" s="504">
        <v>0</v>
      </c>
      <c r="JR32" s="504">
        <v>0</v>
      </c>
      <c r="JS32" s="504">
        <v>0</v>
      </c>
      <c r="JT32" s="504">
        <v>0</v>
      </c>
      <c r="JU32" s="504">
        <v>0</v>
      </c>
      <c r="JV32" s="504">
        <v>0</v>
      </c>
      <c r="JW32" s="504">
        <v>0</v>
      </c>
      <c r="JX32" s="504">
        <v>0</v>
      </c>
      <c r="JY32" s="504">
        <v>0</v>
      </c>
      <c r="JZ32" s="504">
        <v>0</v>
      </c>
      <c r="KA32" s="504">
        <v>0</v>
      </c>
      <c r="KB32" s="504">
        <v>0</v>
      </c>
      <c r="KC32" s="504">
        <v>0</v>
      </c>
      <c r="KD32" s="504">
        <v>0</v>
      </c>
      <c r="KE32" s="504">
        <v>0</v>
      </c>
      <c r="KF32" s="504">
        <v>0</v>
      </c>
      <c r="KG32" s="504">
        <v>0</v>
      </c>
      <c r="KH32" s="504">
        <v>0</v>
      </c>
      <c r="KI32" s="504">
        <v>0</v>
      </c>
      <c r="KJ32" s="504">
        <v>0</v>
      </c>
      <c r="KK32" s="504">
        <v>0</v>
      </c>
      <c r="KL32" s="504">
        <v>0</v>
      </c>
      <c r="KM32" s="504">
        <v>0</v>
      </c>
      <c r="KN32" s="504">
        <v>0</v>
      </c>
      <c r="KO32" s="504">
        <v>0</v>
      </c>
      <c r="KP32" s="504">
        <v>0</v>
      </c>
      <c r="KQ32" s="504">
        <v>0</v>
      </c>
      <c r="KR32" s="504">
        <v>0</v>
      </c>
      <c r="KS32" s="504">
        <v>0</v>
      </c>
      <c r="KT32" s="1654">
        <v>0</v>
      </c>
      <c r="KU32" s="504">
        <v>0</v>
      </c>
      <c r="KV32" s="504">
        <v>0</v>
      </c>
      <c r="KW32" s="504">
        <v>0</v>
      </c>
      <c r="KX32" s="504">
        <v>843</v>
      </c>
      <c r="KY32" s="504">
        <v>1247</v>
      </c>
      <c r="KZ32" s="504">
        <v>1595</v>
      </c>
      <c r="LA32" s="504">
        <v>0</v>
      </c>
      <c r="LB32" s="504">
        <v>0</v>
      </c>
      <c r="LC32" s="504">
        <v>0</v>
      </c>
      <c r="LD32" s="504">
        <v>0</v>
      </c>
      <c r="LE32" s="504">
        <v>0</v>
      </c>
      <c r="LF32" s="504">
        <v>0</v>
      </c>
      <c r="LG32" s="504">
        <v>0</v>
      </c>
      <c r="LH32" s="504">
        <v>0</v>
      </c>
      <c r="LI32" s="504">
        <v>0</v>
      </c>
      <c r="LJ32" s="504">
        <v>0</v>
      </c>
      <c r="LK32" s="504">
        <v>0</v>
      </c>
      <c r="LL32" s="504">
        <v>0</v>
      </c>
      <c r="LM32" s="504">
        <v>0</v>
      </c>
      <c r="LN32" s="504">
        <v>0</v>
      </c>
      <c r="LO32" s="504">
        <v>0</v>
      </c>
      <c r="LP32" s="504">
        <v>0</v>
      </c>
      <c r="LQ32" s="504">
        <v>0</v>
      </c>
      <c r="LR32" s="504">
        <v>0</v>
      </c>
      <c r="LS32" s="504">
        <v>0</v>
      </c>
      <c r="LT32" s="504">
        <v>0</v>
      </c>
      <c r="LU32" s="504">
        <v>0</v>
      </c>
      <c r="LV32" s="504">
        <v>0</v>
      </c>
      <c r="LW32" s="504">
        <v>0</v>
      </c>
      <c r="LX32" s="504">
        <v>0</v>
      </c>
      <c r="LY32" s="504">
        <v>0</v>
      </c>
      <c r="LZ32" s="504">
        <v>0</v>
      </c>
      <c r="MA32" s="504">
        <v>0</v>
      </c>
      <c r="MB32" s="504">
        <v>0</v>
      </c>
      <c r="MC32" s="504">
        <v>0</v>
      </c>
      <c r="MD32" s="504">
        <v>0</v>
      </c>
      <c r="ME32" s="504">
        <v>0</v>
      </c>
      <c r="MF32" s="504">
        <v>0</v>
      </c>
      <c r="MG32" s="504">
        <v>0</v>
      </c>
      <c r="MH32" s="504">
        <v>0</v>
      </c>
      <c r="MI32" s="504">
        <v>0</v>
      </c>
      <c r="MJ32" s="504">
        <v>0</v>
      </c>
      <c r="MK32" s="504">
        <v>0</v>
      </c>
      <c r="ML32" s="504">
        <v>0</v>
      </c>
      <c r="MM32" s="504">
        <v>0</v>
      </c>
      <c r="MN32" s="504">
        <v>0</v>
      </c>
      <c r="MO32" s="504">
        <v>0</v>
      </c>
      <c r="MP32" s="504">
        <v>0</v>
      </c>
      <c r="MQ32" s="504">
        <v>0</v>
      </c>
      <c r="MR32" s="504">
        <v>0</v>
      </c>
      <c r="MS32" s="504">
        <v>0</v>
      </c>
      <c r="MT32" s="504">
        <v>0</v>
      </c>
      <c r="MU32" s="504">
        <v>0</v>
      </c>
      <c r="MV32" s="504">
        <v>0</v>
      </c>
      <c r="MW32" s="504">
        <v>0</v>
      </c>
      <c r="MX32" s="504">
        <v>0</v>
      </c>
      <c r="MY32" s="504">
        <v>0</v>
      </c>
      <c r="MZ32" s="504">
        <v>0</v>
      </c>
      <c r="NA32" s="504">
        <v>0</v>
      </c>
      <c r="NB32" s="504">
        <v>0</v>
      </c>
      <c r="NC32" s="504">
        <v>0</v>
      </c>
      <c r="ND32" s="504">
        <v>0</v>
      </c>
      <c r="NE32" s="504">
        <v>0</v>
      </c>
      <c r="NF32" s="504">
        <v>0</v>
      </c>
      <c r="NG32" s="504">
        <v>0</v>
      </c>
      <c r="NH32" s="504">
        <v>0</v>
      </c>
      <c r="NI32" s="504">
        <v>0</v>
      </c>
      <c r="NJ32" s="504">
        <v>0</v>
      </c>
      <c r="NK32" s="504">
        <v>0</v>
      </c>
      <c r="NL32" s="504">
        <v>0</v>
      </c>
      <c r="NM32" s="504">
        <v>0</v>
      </c>
      <c r="NN32" s="504">
        <v>0</v>
      </c>
      <c r="NO32" s="504">
        <v>0</v>
      </c>
      <c r="NP32" s="504">
        <v>0</v>
      </c>
      <c r="NQ32" s="504">
        <v>0</v>
      </c>
      <c r="NR32" s="504">
        <v>0</v>
      </c>
      <c r="NS32" s="504">
        <v>0</v>
      </c>
      <c r="NT32" s="504">
        <v>0</v>
      </c>
      <c r="NU32" s="504">
        <v>0</v>
      </c>
      <c r="NV32" s="504">
        <v>0</v>
      </c>
      <c r="NW32" s="504">
        <v>0</v>
      </c>
      <c r="NX32" s="504">
        <v>0</v>
      </c>
      <c r="NY32" s="504">
        <v>0</v>
      </c>
      <c r="NZ32" s="504">
        <v>0</v>
      </c>
      <c r="OA32" s="504">
        <v>0</v>
      </c>
      <c r="OB32" s="504">
        <v>0</v>
      </c>
      <c r="OC32" s="504">
        <v>0</v>
      </c>
      <c r="OD32" s="504">
        <v>0</v>
      </c>
      <c r="OE32" s="504">
        <v>0</v>
      </c>
      <c r="OF32" s="504">
        <v>0</v>
      </c>
      <c r="OG32" s="504">
        <v>0</v>
      </c>
      <c r="OH32" s="504">
        <v>0</v>
      </c>
      <c r="OI32" s="504">
        <v>0</v>
      </c>
      <c r="OJ32" s="504">
        <v>0</v>
      </c>
      <c r="OK32" s="504">
        <v>0</v>
      </c>
      <c r="OL32" s="504">
        <v>0</v>
      </c>
      <c r="OM32" s="504">
        <v>0</v>
      </c>
      <c r="ON32" s="504">
        <v>0</v>
      </c>
      <c r="OO32" s="504">
        <v>0</v>
      </c>
      <c r="OP32" s="504">
        <v>0</v>
      </c>
      <c r="OQ32" s="504">
        <v>0</v>
      </c>
      <c r="OR32" s="1656"/>
    </row>
    <row r="33" spans="1:408" ht="21.5">
      <c r="A33" s="1466" t="s">
        <v>1654</v>
      </c>
      <c r="B33" s="1583" t="s">
        <v>2358</v>
      </c>
      <c r="C33" s="1583" t="s">
        <v>14</v>
      </c>
      <c r="D33" s="1583">
        <v>56</v>
      </c>
      <c r="E33" s="504">
        <v>56</v>
      </c>
      <c r="F33" s="504">
        <v>218</v>
      </c>
      <c r="G33" s="504">
        <v>555</v>
      </c>
      <c r="H33" s="504">
        <v>863</v>
      </c>
      <c r="I33" s="504">
        <v>1233</v>
      </c>
      <c r="J33" s="504">
        <v>1508</v>
      </c>
      <c r="K33" s="504">
        <v>1529</v>
      </c>
      <c r="L33" s="504">
        <v>1552</v>
      </c>
      <c r="M33" s="504">
        <v>1574</v>
      </c>
      <c r="N33" s="504">
        <v>1597</v>
      </c>
      <c r="O33" s="504">
        <v>1621</v>
      </c>
      <c r="P33" s="504">
        <v>1645</v>
      </c>
      <c r="Q33" s="504">
        <v>1669</v>
      </c>
      <c r="R33" s="504">
        <v>1694</v>
      </c>
      <c r="S33" s="504">
        <v>1719</v>
      </c>
      <c r="T33" s="504">
        <v>1744</v>
      </c>
      <c r="U33" s="504">
        <v>1771</v>
      </c>
      <c r="V33" s="504">
        <v>1798</v>
      </c>
      <c r="W33" s="504">
        <v>1825</v>
      </c>
      <c r="X33" s="504">
        <v>1855</v>
      </c>
      <c r="Y33" s="504">
        <v>1885</v>
      </c>
      <c r="Z33" s="504">
        <v>1918</v>
      </c>
      <c r="AA33" s="504">
        <v>1953</v>
      </c>
      <c r="AB33" s="504">
        <v>2012</v>
      </c>
      <c r="AC33" s="504">
        <v>0</v>
      </c>
      <c r="AD33" s="504">
        <v>0</v>
      </c>
      <c r="AE33" s="504">
        <v>0</v>
      </c>
      <c r="AF33" s="504">
        <v>0</v>
      </c>
      <c r="AG33" s="504">
        <v>0</v>
      </c>
      <c r="AH33" s="504">
        <v>0</v>
      </c>
      <c r="AI33" s="504">
        <v>0</v>
      </c>
      <c r="AJ33" s="504">
        <v>0</v>
      </c>
      <c r="AK33" s="504">
        <v>0</v>
      </c>
      <c r="AL33" s="504">
        <v>0</v>
      </c>
      <c r="AM33" s="504">
        <v>0</v>
      </c>
      <c r="AN33" s="504">
        <v>0</v>
      </c>
      <c r="AO33" s="504">
        <v>0</v>
      </c>
      <c r="AP33" s="504">
        <v>0</v>
      </c>
      <c r="AQ33" s="504">
        <v>0</v>
      </c>
      <c r="AR33" s="504">
        <v>0</v>
      </c>
      <c r="AS33" s="504">
        <v>0</v>
      </c>
      <c r="AT33" s="504">
        <v>0</v>
      </c>
      <c r="AU33" s="504">
        <v>0</v>
      </c>
      <c r="AV33" s="504">
        <v>0</v>
      </c>
      <c r="AW33" s="504">
        <v>0</v>
      </c>
      <c r="AX33" s="504">
        <v>0</v>
      </c>
      <c r="AY33" s="504">
        <v>0</v>
      </c>
      <c r="AZ33" s="504">
        <v>0</v>
      </c>
      <c r="BA33" s="504">
        <v>0</v>
      </c>
      <c r="BB33" s="504">
        <v>0</v>
      </c>
      <c r="BC33" s="504">
        <v>0</v>
      </c>
      <c r="BD33" s="504">
        <v>0</v>
      </c>
      <c r="BE33" s="504">
        <v>0</v>
      </c>
      <c r="BF33" s="504">
        <v>0</v>
      </c>
      <c r="BG33" s="504">
        <v>0</v>
      </c>
      <c r="BH33" s="504">
        <v>0</v>
      </c>
      <c r="BI33" s="504">
        <v>0</v>
      </c>
      <c r="BJ33" s="504">
        <v>0</v>
      </c>
      <c r="BK33" s="504">
        <v>0</v>
      </c>
      <c r="BL33" s="504">
        <v>0</v>
      </c>
      <c r="BM33" s="504">
        <v>0</v>
      </c>
      <c r="BN33" s="504">
        <v>0</v>
      </c>
      <c r="BO33" s="504">
        <v>0</v>
      </c>
      <c r="BP33" s="504">
        <v>0</v>
      </c>
      <c r="BQ33" s="504">
        <v>0</v>
      </c>
      <c r="BR33" s="504">
        <v>0</v>
      </c>
      <c r="BS33" s="504">
        <v>0</v>
      </c>
      <c r="BT33" s="504">
        <v>0</v>
      </c>
      <c r="BU33" s="504">
        <v>0</v>
      </c>
      <c r="BV33" s="504">
        <v>0</v>
      </c>
      <c r="BW33" s="504">
        <v>0</v>
      </c>
      <c r="BX33" s="504">
        <v>0</v>
      </c>
      <c r="BY33" s="504">
        <v>0</v>
      </c>
      <c r="BZ33" s="504">
        <v>0</v>
      </c>
      <c r="CA33" s="504">
        <v>0</v>
      </c>
      <c r="CB33" s="504">
        <v>0</v>
      </c>
      <c r="CC33" s="504">
        <v>0</v>
      </c>
      <c r="CD33" s="504">
        <v>0</v>
      </c>
      <c r="CE33" s="504">
        <v>0</v>
      </c>
      <c r="CF33" s="504">
        <v>0</v>
      </c>
      <c r="CG33" s="504">
        <v>0</v>
      </c>
      <c r="CH33" s="504">
        <v>0</v>
      </c>
      <c r="CI33" s="504">
        <v>0</v>
      </c>
      <c r="CJ33" s="504">
        <v>0</v>
      </c>
      <c r="CK33" s="504">
        <v>0</v>
      </c>
      <c r="CL33" s="504">
        <v>0</v>
      </c>
      <c r="CM33" s="504">
        <v>0</v>
      </c>
      <c r="CN33" s="504">
        <v>0</v>
      </c>
      <c r="CO33" s="504">
        <v>0</v>
      </c>
      <c r="CP33" s="504">
        <v>0</v>
      </c>
      <c r="CQ33" s="504">
        <v>0</v>
      </c>
      <c r="CR33" s="504">
        <v>0</v>
      </c>
      <c r="CS33" s="504">
        <v>0</v>
      </c>
      <c r="CT33" s="504">
        <v>0</v>
      </c>
      <c r="CU33" s="504">
        <v>0</v>
      </c>
      <c r="CV33" s="504">
        <v>0</v>
      </c>
      <c r="CW33" s="504">
        <v>0</v>
      </c>
      <c r="CX33" s="504">
        <v>0</v>
      </c>
      <c r="CY33" s="504">
        <v>0</v>
      </c>
      <c r="CZ33" s="1654">
        <v>0</v>
      </c>
      <c r="DA33" s="504">
        <v>0</v>
      </c>
      <c r="DB33" s="504">
        <v>101</v>
      </c>
      <c r="DC33" s="504">
        <v>381</v>
      </c>
      <c r="DD33" s="504">
        <v>945</v>
      </c>
      <c r="DE33" s="504">
        <v>1260</v>
      </c>
      <c r="DF33" s="504">
        <v>1615</v>
      </c>
      <c r="DG33" s="504">
        <v>0</v>
      </c>
      <c r="DH33" s="504">
        <v>0</v>
      </c>
      <c r="DI33" s="504">
        <v>0</v>
      </c>
      <c r="DJ33" s="504">
        <v>0</v>
      </c>
      <c r="DK33" s="504">
        <v>0</v>
      </c>
      <c r="DL33" s="504">
        <v>0</v>
      </c>
      <c r="DM33" s="504">
        <v>0</v>
      </c>
      <c r="DN33" s="504">
        <v>0</v>
      </c>
      <c r="DO33" s="504">
        <v>0</v>
      </c>
      <c r="DP33" s="504">
        <v>0</v>
      </c>
      <c r="DQ33" s="504">
        <v>0</v>
      </c>
      <c r="DR33" s="504">
        <v>0</v>
      </c>
      <c r="DS33" s="504">
        <v>0</v>
      </c>
      <c r="DT33" s="504">
        <v>0</v>
      </c>
      <c r="DU33" s="504">
        <v>0</v>
      </c>
      <c r="DV33" s="504">
        <v>0</v>
      </c>
      <c r="DW33" s="504">
        <v>0</v>
      </c>
      <c r="DX33" s="504">
        <v>0</v>
      </c>
      <c r="DY33" s="504">
        <v>0</v>
      </c>
      <c r="DZ33" s="504">
        <v>0</v>
      </c>
      <c r="EA33" s="504">
        <v>0</v>
      </c>
      <c r="EB33" s="504">
        <v>0</v>
      </c>
      <c r="EC33" s="504">
        <v>0</v>
      </c>
      <c r="ED33" s="504">
        <v>0</v>
      </c>
      <c r="EE33" s="504">
        <v>0</v>
      </c>
      <c r="EF33" s="504">
        <v>0</v>
      </c>
      <c r="EG33" s="504">
        <v>0</v>
      </c>
      <c r="EH33" s="504">
        <v>0</v>
      </c>
      <c r="EI33" s="504">
        <v>0</v>
      </c>
      <c r="EJ33" s="504">
        <v>0</v>
      </c>
      <c r="EK33" s="504">
        <v>0</v>
      </c>
      <c r="EL33" s="504">
        <v>0</v>
      </c>
      <c r="EM33" s="504">
        <v>0</v>
      </c>
      <c r="EN33" s="504">
        <v>0</v>
      </c>
      <c r="EO33" s="504">
        <v>0</v>
      </c>
      <c r="EP33" s="504">
        <v>0</v>
      </c>
      <c r="EQ33" s="504">
        <v>0</v>
      </c>
      <c r="ER33" s="504">
        <v>0</v>
      </c>
      <c r="ES33" s="504">
        <v>0</v>
      </c>
      <c r="ET33" s="504">
        <v>0</v>
      </c>
      <c r="EU33" s="504">
        <v>0</v>
      </c>
      <c r="EV33" s="504">
        <v>0</v>
      </c>
      <c r="EW33" s="504">
        <v>0</v>
      </c>
      <c r="EX33" s="504">
        <v>0</v>
      </c>
      <c r="EY33" s="504">
        <v>0</v>
      </c>
      <c r="EZ33" s="504">
        <v>0</v>
      </c>
      <c r="FA33" s="504">
        <v>0</v>
      </c>
      <c r="FB33" s="504">
        <v>0</v>
      </c>
      <c r="FC33" s="504">
        <v>0</v>
      </c>
      <c r="FD33" s="504">
        <v>0</v>
      </c>
      <c r="FE33" s="504">
        <v>0</v>
      </c>
      <c r="FF33" s="504">
        <v>0</v>
      </c>
      <c r="FG33" s="504">
        <v>0</v>
      </c>
      <c r="FH33" s="504">
        <v>0</v>
      </c>
      <c r="FI33" s="504">
        <v>0</v>
      </c>
      <c r="FJ33" s="504">
        <v>0</v>
      </c>
      <c r="FK33" s="504">
        <v>0</v>
      </c>
      <c r="FL33" s="504">
        <v>0</v>
      </c>
      <c r="FM33" s="504">
        <v>0</v>
      </c>
      <c r="FN33" s="504">
        <v>0</v>
      </c>
      <c r="FO33" s="504">
        <v>0</v>
      </c>
      <c r="FP33" s="504">
        <v>0</v>
      </c>
      <c r="FQ33" s="504">
        <v>0</v>
      </c>
      <c r="FR33" s="504">
        <v>0</v>
      </c>
      <c r="FS33" s="504">
        <v>0</v>
      </c>
      <c r="FT33" s="504">
        <v>0</v>
      </c>
      <c r="FU33" s="504">
        <v>0</v>
      </c>
      <c r="FV33" s="504">
        <v>0</v>
      </c>
      <c r="FW33" s="504">
        <v>0</v>
      </c>
      <c r="FX33" s="504">
        <v>0</v>
      </c>
      <c r="FY33" s="504">
        <v>0</v>
      </c>
      <c r="FZ33" s="504">
        <v>0</v>
      </c>
      <c r="GA33" s="504">
        <v>0</v>
      </c>
      <c r="GB33" s="504">
        <v>0</v>
      </c>
      <c r="GC33" s="504">
        <v>0</v>
      </c>
      <c r="GD33" s="504">
        <v>0</v>
      </c>
      <c r="GE33" s="504">
        <v>0</v>
      </c>
      <c r="GF33" s="504">
        <v>0</v>
      </c>
      <c r="GG33" s="504">
        <v>0</v>
      </c>
      <c r="GH33" s="504">
        <v>0</v>
      </c>
      <c r="GI33" s="504">
        <v>0</v>
      </c>
      <c r="GJ33" s="504">
        <v>0</v>
      </c>
      <c r="GK33" s="504">
        <v>0</v>
      </c>
      <c r="GL33" s="504">
        <v>0</v>
      </c>
      <c r="GM33" s="504">
        <v>0</v>
      </c>
      <c r="GN33" s="504">
        <v>0</v>
      </c>
      <c r="GO33" s="504">
        <v>0</v>
      </c>
      <c r="GP33" s="504">
        <v>0</v>
      </c>
      <c r="GQ33" s="504">
        <v>0</v>
      </c>
      <c r="GR33" s="504">
        <v>0</v>
      </c>
      <c r="GS33" s="504">
        <v>0</v>
      </c>
      <c r="GT33" s="504">
        <v>0</v>
      </c>
      <c r="GU33" s="504">
        <v>0</v>
      </c>
      <c r="GV33" s="504">
        <v>0</v>
      </c>
      <c r="GW33" s="1654">
        <v>0</v>
      </c>
      <c r="GX33" s="504">
        <v>0</v>
      </c>
      <c r="GY33" s="504">
        <v>7335</v>
      </c>
      <c r="GZ33" s="504">
        <v>17182</v>
      </c>
      <c r="HA33" s="504">
        <v>21000</v>
      </c>
      <c r="HB33" s="504">
        <v>20000</v>
      </c>
      <c r="HC33" s="504">
        <v>19000</v>
      </c>
      <c r="HD33" s="504">
        <v>0</v>
      </c>
      <c r="HE33" s="504">
        <v>0</v>
      </c>
      <c r="HF33" s="504">
        <v>0</v>
      </c>
      <c r="HG33" s="504">
        <v>0</v>
      </c>
      <c r="HH33" s="504">
        <v>0</v>
      </c>
      <c r="HI33" s="504">
        <v>0</v>
      </c>
      <c r="HJ33" s="504">
        <v>0</v>
      </c>
      <c r="HK33" s="504">
        <v>0</v>
      </c>
      <c r="HL33" s="504">
        <v>0</v>
      </c>
      <c r="HM33" s="504">
        <v>0</v>
      </c>
      <c r="HN33" s="504">
        <v>0</v>
      </c>
      <c r="HO33" s="504">
        <v>0</v>
      </c>
      <c r="HP33" s="504">
        <v>0</v>
      </c>
      <c r="HQ33" s="504">
        <v>0</v>
      </c>
      <c r="HR33" s="504">
        <v>0</v>
      </c>
      <c r="HS33" s="504">
        <v>0</v>
      </c>
      <c r="HT33" s="504">
        <v>0</v>
      </c>
      <c r="HU33" s="504">
        <v>0</v>
      </c>
      <c r="HV33" s="504">
        <v>0</v>
      </c>
      <c r="HW33" s="504">
        <v>0</v>
      </c>
      <c r="HX33" s="504">
        <v>0</v>
      </c>
      <c r="HY33" s="504">
        <v>0</v>
      </c>
      <c r="HZ33" s="504">
        <v>0</v>
      </c>
      <c r="IA33" s="504">
        <v>0</v>
      </c>
      <c r="IB33" s="504">
        <v>0</v>
      </c>
      <c r="IC33" s="504">
        <v>0</v>
      </c>
      <c r="ID33" s="504">
        <v>0</v>
      </c>
      <c r="IE33" s="504">
        <v>0</v>
      </c>
      <c r="IF33" s="504">
        <v>0</v>
      </c>
      <c r="IG33" s="504">
        <v>0</v>
      </c>
      <c r="IH33" s="504">
        <v>0</v>
      </c>
      <c r="II33" s="504">
        <v>0</v>
      </c>
      <c r="IJ33" s="504">
        <v>0</v>
      </c>
      <c r="IK33" s="504">
        <v>0</v>
      </c>
      <c r="IL33" s="504">
        <v>0</v>
      </c>
      <c r="IM33" s="504">
        <v>0</v>
      </c>
      <c r="IN33" s="504">
        <v>0</v>
      </c>
      <c r="IO33" s="504">
        <v>0</v>
      </c>
      <c r="IP33" s="504">
        <v>0</v>
      </c>
      <c r="IQ33" s="504">
        <v>0</v>
      </c>
      <c r="IR33" s="504">
        <v>0</v>
      </c>
      <c r="IS33" s="504">
        <v>0</v>
      </c>
      <c r="IT33" s="504">
        <v>0</v>
      </c>
      <c r="IU33" s="504">
        <v>0</v>
      </c>
      <c r="IV33" s="504">
        <v>0</v>
      </c>
      <c r="IW33" s="504">
        <v>0</v>
      </c>
      <c r="IX33" s="504">
        <v>0</v>
      </c>
      <c r="IY33" s="504">
        <v>0</v>
      </c>
      <c r="IZ33" s="504">
        <v>0</v>
      </c>
      <c r="JA33" s="504">
        <v>0</v>
      </c>
      <c r="JB33" s="504">
        <v>0</v>
      </c>
      <c r="JC33" s="504">
        <v>0</v>
      </c>
      <c r="JD33" s="504">
        <v>0</v>
      </c>
      <c r="JE33" s="504">
        <v>0</v>
      </c>
      <c r="JF33" s="504">
        <v>0</v>
      </c>
      <c r="JG33" s="504">
        <v>0</v>
      </c>
      <c r="JH33" s="504">
        <v>0</v>
      </c>
      <c r="JI33" s="504">
        <v>0</v>
      </c>
      <c r="JJ33" s="504">
        <v>0</v>
      </c>
      <c r="JK33" s="504">
        <v>0</v>
      </c>
      <c r="JL33" s="504">
        <v>0</v>
      </c>
      <c r="JM33" s="504">
        <v>0</v>
      </c>
      <c r="JN33" s="504">
        <v>0</v>
      </c>
      <c r="JO33" s="504">
        <v>0</v>
      </c>
      <c r="JP33" s="504">
        <v>0</v>
      </c>
      <c r="JQ33" s="504">
        <v>0</v>
      </c>
      <c r="JR33" s="504">
        <v>0</v>
      </c>
      <c r="JS33" s="504">
        <v>0</v>
      </c>
      <c r="JT33" s="504">
        <v>0</v>
      </c>
      <c r="JU33" s="504">
        <v>0</v>
      </c>
      <c r="JV33" s="504">
        <v>0</v>
      </c>
      <c r="JW33" s="504">
        <v>0</v>
      </c>
      <c r="JX33" s="504">
        <v>0</v>
      </c>
      <c r="JY33" s="504">
        <v>0</v>
      </c>
      <c r="JZ33" s="504">
        <v>0</v>
      </c>
      <c r="KA33" s="504">
        <v>0</v>
      </c>
      <c r="KB33" s="504">
        <v>0</v>
      </c>
      <c r="KC33" s="504">
        <v>0</v>
      </c>
      <c r="KD33" s="504">
        <v>0</v>
      </c>
      <c r="KE33" s="504">
        <v>0</v>
      </c>
      <c r="KF33" s="504">
        <v>0</v>
      </c>
      <c r="KG33" s="504">
        <v>0</v>
      </c>
      <c r="KH33" s="504">
        <v>0</v>
      </c>
      <c r="KI33" s="504">
        <v>0</v>
      </c>
      <c r="KJ33" s="504">
        <v>0</v>
      </c>
      <c r="KK33" s="504">
        <v>0</v>
      </c>
      <c r="KL33" s="504">
        <v>0</v>
      </c>
      <c r="KM33" s="504">
        <v>0</v>
      </c>
      <c r="KN33" s="504">
        <v>0</v>
      </c>
      <c r="KO33" s="504">
        <v>0</v>
      </c>
      <c r="KP33" s="504">
        <v>0</v>
      </c>
      <c r="KQ33" s="504">
        <v>0</v>
      </c>
      <c r="KR33" s="504">
        <v>0</v>
      </c>
      <c r="KS33" s="504">
        <v>0</v>
      </c>
      <c r="KT33" s="1654">
        <v>0</v>
      </c>
      <c r="KU33" s="504">
        <v>0</v>
      </c>
      <c r="KV33" s="504">
        <v>0</v>
      </c>
      <c r="KW33" s="504">
        <v>0</v>
      </c>
      <c r="KX33" s="504">
        <v>834</v>
      </c>
      <c r="KY33" s="504">
        <v>1248</v>
      </c>
      <c r="KZ33" s="504">
        <v>1602</v>
      </c>
      <c r="LA33" s="504">
        <v>0</v>
      </c>
      <c r="LB33" s="504">
        <v>0</v>
      </c>
      <c r="LC33" s="504">
        <v>0</v>
      </c>
      <c r="LD33" s="504">
        <v>0</v>
      </c>
      <c r="LE33" s="504">
        <v>0</v>
      </c>
      <c r="LF33" s="504">
        <v>0</v>
      </c>
      <c r="LG33" s="504">
        <v>0</v>
      </c>
      <c r="LH33" s="504">
        <v>0</v>
      </c>
      <c r="LI33" s="504">
        <v>0</v>
      </c>
      <c r="LJ33" s="504">
        <v>0</v>
      </c>
      <c r="LK33" s="504">
        <v>0</v>
      </c>
      <c r="LL33" s="504">
        <v>0</v>
      </c>
      <c r="LM33" s="504">
        <v>0</v>
      </c>
      <c r="LN33" s="504">
        <v>0</v>
      </c>
      <c r="LO33" s="504">
        <v>0</v>
      </c>
      <c r="LP33" s="504">
        <v>0</v>
      </c>
      <c r="LQ33" s="504">
        <v>0</v>
      </c>
      <c r="LR33" s="504">
        <v>0</v>
      </c>
      <c r="LS33" s="504">
        <v>0</v>
      </c>
      <c r="LT33" s="504">
        <v>0</v>
      </c>
      <c r="LU33" s="504">
        <v>0</v>
      </c>
      <c r="LV33" s="504">
        <v>0</v>
      </c>
      <c r="LW33" s="504">
        <v>0</v>
      </c>
      <c r="LX33" s="504">
        <v>0</v>
      </c>
      <c r="LY33" s="504">
        <v>0</v>
      </c>
      <c r="LZ33" s="504">
        <v>0</v>
      </c>
      <c r="MA33" s="504">
        <v>0</v>
      </c>
      <c r="MB33" s="504">
        <v>0</v>
      </c>
      <c r="MC33" s="504">
        <v>0</v>
      </c>
      <c r="MD33" s="504">
        <v>0</v>
      </c>
      <c r="ME33" s="504">
        <v>0</v>
      </c>
      <c r="MF33" s="504">
        <v>0</v>
      </c>
      <c r="MG33" s="504">
        <v>0</v>
      </c>
      <c r="MH33" s="504">
        <v>0</v>
      </c>
      <c r="MI33" s="504">
        <v>0</v>
      </c>
      <c r="MJ33" s="504">
        <v>0</v>
      </c>
      <c r="MK33" s="504">
        <v>0</v>
      </c>
      <c r="ML33" s="504">
        <v>0</v>
      </c>
      <c r="MM33" s="504">
        <v>0</v>
      </c>
      <c r="MN33" s="504">
        <v>0</v>
      </c>
      <c r="MO33" s="504">
        <v>0</v>
      </c>
      <c r="MP33" s="504">
        <v>0</v>
      </c>
      <c r="MQ33" s="504">
        <v>0</v>
      </c>
      <c r="MR33" s="504">
        <v>0</v>
      </c>
      <c r="MS33" s="504">
        <v>0</v>
      </c>
      <c r="MT33" s="504">
        <v>0</v>
      </c>
      <c r="MU33" s="504">
        <v>0</v>
      </c>
      <c r="MV33" s="504">
        <v>0</v>
      </c>
      <c r="MW33" s="504">
        <v>0</v>
      </c>
      <c r="MX33" s="504">
        <v>0</v>
      </c>
      <c r="MY33" s="504">
        <v>0</v>
      </c>
      <c r="MZ33" s="504">
        <v>0</v>
      </c>
      <c r="NA33" s="504">
        <v>0</v>
      </c>
      <c r="NB33" s="504">
        <v>0</v>
      </c>
      <c r="NC33" s="504">
        <v>0</v>
      </c>
      <c r="ND33" s="504">
        <v>0</v>
      </c>
      <c r="NE33" s="504">
        <v>0</v>
      </c>
      <c r="NF33" s="504">
        <v>0</v>
      </c>
      <c r="NG33" s="504">
        <v>0</v>
      </c>
      <c r="NH33" s="504">
        <v>0</v>
      </c>
      <c r="NI33" s="504">
        <v>0</v>
      </c>
      <c r="NJ33" s="504">
        <v>0</v>
      </c>
      <c r="NK33" s="504">
        <v>0</v>
      </c>
      <c r="NL33" s="504">
        <v>0</v>
      </c>
      <c r="NM33" s="504">
        <v>0</v>
      </c>
      <c r="NN33" s="504">
        <v>0</v>
      </c>
      <c r="NO33" s="504">
        <v>0</v>
      </c>
      <c r="NP33" s="504">
        <v>0</v>
      </c>
      <c r="NQ33" s="504">
        <v>0</v>
      </c>
      <c r="NR33" s="504">
        <v>0</v>
      </c>
      <c r="NS33" s="504">
        <v>0</v>
      </c>
      <c r="NT33" s="504">
        <v>0</v>
      </c>
      <c r="NU33" s="504">
        <v>0</v>
      </c>
      <c r="NV33" s="504">
        <v>0</v>
      </c>
      <c r="NW33" s="504">
        <v>0</v>
      </c>
      <c r="NX33" s="504">
        <v>0</v>
      </c>
      <c r="NY33" s="504">
        <v>0</v>
      </c>
      <c r="NZ33" s="504">
        <v>0</v>
      </c>
      <c r="OA33" s="504">
        <v>0</v>
      </c>
      <c r="OB33" s="504">
        <v>0</v>
      </c>
      <c r="OC33" s="504">
        <v>0</v>
      </c>
      <c r="OD33" s="504">
        <v>0</v>
      </c>
      <c r="OE33" s="504">
        <v>0</v>
      </c>
      <c r="OF33" s="504">
        <v>0</v>
      </c>
      <c r="OG33" s="504">
        <v>0</v>
      </c>
      <c r="OH33" s="504">
        <v>0</v>
      </c>
      <c r="OI33" s="504">
        <v>0</v>
      </c>
      <c r="OJ33" s="504">
        <v>0</v>
      </c>
      <c r="OK33" s="504">
        <v>0</v>
      </c>
      <c r="OL33" s="504">
        <v>0</v>
      </c>
      <c r="OM33" s="504">
        <v>0</v>
      </c>
      <c r="ON33" s="504">
        <v>0</v>
      </c>
      <c r="OO33" s="504">
        <v>0</v>
      </c>
      <c r="OP33" s="504">
        <v>0</v>
      </c>
      <c r="OQ33" s="504">
        <v>0</v>
      </c>
      <c r="OR33" s="1656"/>
    </row>
    <row r="34" spans="1:408" ht="21.5">
      <c r="A34" s="1466" t="s">
        <v>1655</v>
      </c>
      <c r="B34" s="1583" t="s">
        <v>2358</v>
      </c>
      <c r="C34" s="1583" t="s">
        <v>14</v>
      </c>
      <c r="D34" s="1583">
        <v>57</v>
      </c>
      <c r="E34" s="504">
        <v>58</v>
      </c>
      <c r="F34" s="504">
        <v>225</v>
      </c>
      <c r="G34" s="504">
        <v>572</v>
      </c>
      <c r="H34" s="504">
        <v>889</v>
      </c>
      <c r="I34" s="504">
        <v>1271</v>
      </c>
      <c r="J34" s="504">
        <v>1553</v>
      </c>
      <c r="K34" s="504">
        <v>1576</v>
      </c>
      <c r="L34" s="504">
        <v>1599</v>
      </c>
      <c r="M34" s="504">
        <v>1623</v>
      </c>
      <c r="N34" s="504">
        <v>1647</v>
      </c>
      <c r="O34" s="504">
        <v>1671</v>
      </c>
      <c r="P34" s="504">
        <v>1696</v>
      </c>
      <c r="Q34" s="504">
        <v>1722</v>
      </c>
      <c r="R34" s="504">
        <v>1748</v>
      </c>
      <c r="S34" s="504">
        <v>1774</v>
      </c>
      <c r="T34" s="504">
        <v>1801</v>
      </c>
      <c r="U34" s="504">
        <v>1829</v>
      </c>
      <c r="V34" s="504">
        <v>1857</v>
      </c>
      <c r="W34" s="504">
        <v>1887</v>
      </c>
      <c r="X34" s="504">
        <v>1919</v>
      </c>
      <c r="Y34" s="504">
        <v>1952</v>
      </c>
      <c r="Z34" s="504">
        <v>1989</v>
      </c>
      <c r="AA34" s="504">
        <v>2048</v>
      </c>
      <c r="AB34" s="504">
        <v>0</v>
      </c>
      <c r="AC34" s="504">
        <v>0</v>
      </c>
      <c r="AD34" s="504">
        <v>0</v>
      </c>
      <c r="AE34" s="504">
        <v>0</v>
      </c>
      <c r="AF34" s="504">
        <v>0</v>
      </c>
      <c r="AG34" s="504">
        <v>0</v>
      </c>
      <c r="AH34" s="504">
        <v>0</v>
      </c>
      <c r="AI34" s="504">
        <v>0</v>
      </c>
      <c r="AJ34" s="504">
        <v>0</v>
      </c>
      <c r="AK34" s="504">
        <v>0</v>
      </c>
      <c r="AL34" s="504">
        <v>0</v>
      </c>
      <c r="AM34" s="504">
        <v>0</v>
      </c>
      <c r="AN34" s="504">
        <v>0</v>
      </c>
      <c r="AO34" s="504">
        <v>0</v>
      </c>
      <c r="AP34" s="504">
        <v>0</v>
      </c>
      <c r="AQ34" s="504">
        <v>0</v>
      </c>
      <c r="AR34" s="504">
        <v>0</v>
      </c>
      <c r="AS34" s="504">
        <v>0</v>
      </c>
      <c r="AT34" s="504">
        <v>0</v>
      </c>
      <c r="AU34" s="504">
        <v>0</v>
      </c>
      <c r="AV34" s="504">
        <v>0</v>
      </c>
      <c r="AW34" s="504">
        <v>0</v>
      </c>
      <c r="AX34" s="504">
        <v>0</v>
      </c>
      <c r="AY34" s="504">
        <v>0</v>
      </c>
      <c r="AZ34" s="504">
        <v>0</v>
      </c>
      <c r="BA34" s="504">
        <v>0</v>
      </c>
      <c r="BB34" s="504">
        <v>0</v>
      </c>
      <c r="BC34" s="504">
        <v>0</v>
      </c>
      <c r="BD34" s="504">
        <v>0</v>
      </c>
      <c r="BE34" s="504">
        <v>0</v>
      </c>
      <c r="BF34" s="504">
        <v>0</v>
      </c>
      <c r="BG34" s="504">
        <v>0</v>
      </c>
      <c r="BH34" s="504">
        <v>0</v>
      </c>
      <c r="BI34" s="504">
        <v>0</v>
      </c>
      <c r="BJ34" s="504">
        <v>0</v>
      </c>
      <c r="BK34" s="504">
        <v>0</v>
      </c>
      <c r="BL34" s="504">
        <v>0</v>
      </c>
      <c r="BM34" s="504">
        <v>0</v>
      </c>
      <c r="BN34" s="504">
        <v>0</v>
      </c>
      <c r="BO34" s="504">
        <v>0</v>
      </c>
      <c r="BP34" s="504">
        <v>0</v>
      </c>
      <c r="BQ34" s="504">
        <v>0</v>
      </c>
      <c r="BR34" s="504">
        <v>0</v>
      </c>
      <c r="BS34" s="504">
        <v>0</v>
      </c>
      <c r="BT34" s="504">
        <v>0</v>
      </c>
      <c r="BU34" s="504">
        <v>0</v>
      </c>
      <c r="BV34" s="504">
        <v>0</v>
      </c>
      <c r="BW34" s="504">
        <v>0</v>
      </c>
      <c r="BX34" s="504">
        <v>0</v>
      </c>
      <c r="BY34" s="504">
        <v>0</v>
      </c>
      <c r="BZ34" s="504">
        <v>0</v>
      </c>
      <c r="CA34" s="504">
        <v>0</v>
      </c>
      <c r="CB34" s="504">
        <v>0</v>
      </c>
      <c r="CC34" s="504">
        <v>0</v>
      </c>
      <c r="CD34" s="504">
        <v>0</v>
      </c>
      <c r="CE34" s="504">
        <v>0</v>
      </c>
      <c r="CF34" s="504">
        <v>0</v>
      </c>
      <c r="CG34" s="504">
        <v>0</v>
      </c>
      <c r="CH34" s="504">
        <v>0</v>
      </c>
      <c r="CI34" s="504">
        <v>0</v>
      </c>
      <c r="CJ34" s="504">
        <v>0</v>
      </c>
      <c r="CK34" s="504">
        <v>0</v>
      </c>
      <c r="CL34" s="504">
        <v>0</v>
      </c>
      <c r="CM34" s="504">
        <v>0</v>
      </c>
      <c r="CN34" s="504">
        <v>0</v>
      </c>
      <c r="CO34" s="504">
        <v>0</v>
      </c>
      <c r="CP34" s="504">
        <v>0</v>
      </c>
      <c r="CQ34" s="504">
        <v>0</v>
      </c>
      <c r="CR34" s="504">
        <v>0</v>
      </c>
      <c r="CS34" s="504">
        <v>0</v>
      </c>
      <c r="CT34" s="504">
        <v>0</v>
      </c>
      <c r="CU34" s="504">
        <v>0</v>
      </c>
      <c r="CV34" s="504">
        <v>0</v>
      </c>
      <c r="CW34" s="504">
        <v>0</v>
      </c>
      <c r="CX34" s="504">
        <v>0</v>
      </c>
      <c r="CY34" s="504">
        <v>0</v>
      </c>
      <c r="CZ34" s="1654">
        <v>0</v>
      </c>
      <c r="DA34" s="504">
        <v>0</v>
      </c>
      <c r="DB34" s="504">
        <v>101</v>
      </c>
      <c r="DC34" s="504">
        <v>383</v>
      </c>
      <c r="DD34" s="504">
        <v>949</v>
      </c>
      <c r="DE34" s="504">
        <v>1271</v>
      </c>
      <c r="DF34" s="504">
        <v>1636</v>
      </c>
      <c r="DG34" s="504">
        <v>0</v>
      </c>
      <c r="DH34" s="504">
        <v>0</v>
      </c>
      <c r="DI34" s="504">
        <v>0</v>
      </c>
      <c r="DJ34" s="504">
        <v>0</v>
      </c>
      <c r="DK34" s="504">
        <v>0</v>
      </c>
      <c r="DL34" s="504">
        <v>0</v>
      </c>
      <c r="DM34" s="504">
        <v>0</v>
      </c>
      <c r="DN34" s="504">
        <v>0</v>
      </c>
      <c r="DO34" s="504">
        <v>0</v>
      </c>
      <c r="DP34" s="504">
        <v>0</v>
      </c>
      <c r="DQ34" s="504">
        <v>0</v>
      </c>
      <c r="DR34" s="504">
        <v>0</v>
      </c>
      <c r="DS34" s="504">
        <v>0</v>
      </c>
      <c r="DT34" s="504">
        <v>0</v>
      </c>
      <c r="DU34" s="504">
        <v>0</v>
      </c>
      <c r="DV34" s="504">
        <v>0</v>
      </c>
      <c r="DW34" s="504">
        <v>0</v>
      </c>
      <c r="DX34" s="504">
        <v>0</v>
      </c>
      <c r="DY34" s="504">
        <v>0</v>
      </c>
      <c r="DZ34" s="504">
        <v>0</v>
      </c>
      <c r="EA34" s="504">
        <v>0</v>
      </c>
      <c r="EB34" s="504">
        <v>0</v>
      </c>
      <c r="EC34" s="504">
        <v>0</v>
      </c>
      <c r="ED34" s="504">
        <v>0</v>
      </c>
      <c r="EE34" s="504">
        <v>0</v>
      </c>
      <c r="EF34" s="504">
        <v>0</v>
      </c>
      <c r="EG34" s="504">
        <v>0</v>
      </c>
      <c r="EH34" s="504">
        <v>0</v>
      </c>
      <c r="EI34" s="504">
        <v>0</v>
      </c>
      <c r="EJ34" s="504">
        <v>0</v>
      </c>
      <c r="EK34" s="504">
        <v>0</v>
      </c>
      <c r="EL34" s="504">
        <v>0</v>
      </c>
      <c r="EM34" s="504">
        <v>0</v>
      </c>
      <c r="EN34" s="504">
        <v>0</v>
      </c>
      <c r="EO34" s="504">
        <v>0</v>
      </c>
      <c r="EP34" s="504">
        <v>0</v>
      </c>
      <c r="EQ34" s="504">
        <v>0</v>
      </c>
      <c r="ER34" s="504">
        <v>0</v>
      </c>
      <c r="ES34" s="504">
        <v>0</v>
      </c>
      <c r="ET34" s="504">
        <v>0</v>
      </c>
      <c r="EU34" s="504">
        <v>0</v>
      </c>
      <c r="EV34" s="504">
        <v>0</v>
      </c>
      <c r="EW34" s="504">
        <v>0</v>
      </c>
      <c r="EX34" s="504">
        <v>0</v>
      </c>
      <c r="EY34" s="504">
        <v>0</v>
      </c>
      <c r="EZ34" s="504">
        <v>0</v>
      </c>
      <c r="FA34" s="504">
        <v>0</v>
      </c>
      <c r="FB34" s="504">
        <v>0</v>
      </c>
      <c r="FC34" s="504">
        <v>0</v>
      </c>
      <c r="FD34" s="504">
        <v>0</v>
      </c>
      <c r="FE34" s="504">
        <v>0</v>
      </c>
      <c r="FF34" s="504">
        <v>0</v>
      </c>
      <c r="FG34" s="504">
        <v>0</v>
      </c>
      <c r="FH34" s="504">
        <v>0</v>
      </c>
      <c r="FI34" s="504">
        <v>0</v>
      </c>
      <c r="FJ34" s="504">
        <v>0</v>
      </c>
      <c r="FK34" s="504">
        <v>0</v>
      </c>
      <c r="FL34" s="504">
        <v>0</v>
      </c>
      <c r="FM34" s="504">
        <v>0</v>
      </c>
      <c r="FN34" s="504">
        <v>0</v>
      </c>
      <c r="FO34" s="504">
        <v>0</v>
      </c>
      <c r="FP34" s="504">
        <v>0</v>
      </c>
      <c r="FQ34" s="504">
        <v>0</v>
      </c>
      <c r="FR34" s="504">
        <v>0</v>
      </c>
      <c r="FS34" s="504">
        <v>0</v>
      </c>
      <c r="FT34" s="504">
        <v>0</v>
      </c>
      <c r="FU34" s="504">
        <v>0</v>
      </c>
      <c r="FV34" s="504">
        <v>0</v>
      </c>
      <c r="FW34" s="504">
        <v>0</v>
      </c>
      <c r="FX34" s="504">
        <v>0</v>
      </c>
      <c r="FY34" s="504">
        <v>0</v>
      </c>
      <c r="FZ34" s="504">
        <v>0</v>
      </c>
      <c r="GA34" s="504">
        <v>0</v>
      </c>
      <c r="GB34" s="504">
        <v>0</v>
      </c>
      <c r="GC34" s="504">
        <v>0</v>
      </c>
      <c r="GD34" s="504">
        <v>0</v>
      </c>
      <c r="GE34" s="504">
        <v>0</v>
      </c>
      <c r="GF34" s="504">
        <v>0</v>
      </c>
      <c r="GG34" s="504">
        <v>0</v>
      </c>
      <c r="GH34" s="504">
        <v>0</v>
      </c>
      <c r="GI34" s="504">
        <v>0</v>
      </c>
      <c r="GJ34" s="504">
        <v>0</v>
      </c>
      <c r="GK34" s="504">
        <v>0</v>
      </c>
      <c r="GL34" s="504">
        <v>0</v>
      </c>
      <c r="GM34" s="504">
        <v>0</v>
      </c>
      <c r="GN34" s="504">
        <v>0</v>
      </c>
      <c r="GO34" s="504">
        <v>0</v>
      </c>
      <c r="GP34" s="504">
        <v>0</v>
      </c>
      <c r="GQ34" s="504">
        <v>0</v>
      </c>
      <c r="GR34" s="504">
        <v>0</v>
      </c>
      <c r="GS34" s="504">
        <v>0</v>
      </c>
      <c r="GT34" s="504">
        <v>0</v>
      </c>
      <c r="GU34" s="504">
        <v>0</v>
      </c>
      <c r="GV34" s="504">
        <v>0</v>
      </c>
      <c r="GW34" s="1654">
        <v>0</v>
      </c>
      <c r="GX34" s="504">
        <v>0</v>
      </c>
      <c r="GY34" s="504">
        <v>7175</v>
      </c>
      <c r="GZ34" s="504">
        <v>16267</v>
      </c>
      <c r="HA34" s="504">
        <v>20000</v>
      </c>
      <c r="HB34" s="504">
        <v>19000</v>
      </c>
      <c r="HC34" s="504">
        <v>18000</v>
      </c>
      <c r="HD34" s="504">
        <v>0</v>
      </c>
      <c r="HE34" s="504">
        <v>0</v>
      </c>
      <c r="HF34" s="504">
        <v>0</v>
      </c>
      <c r="HG34" s="504">
        <v>0</v>
      </c>
      <c r="HH34" s="504">
        <v>0</v>
      </c>
      <c r="HI34" s="504">
        <v>0</v>
      </c>
      <c r="HJ34" s="504">
        <v>0</v>
      </c>
      <c r="HK34" s="504">
        <v>0</v>
      </c>
      <c r="HL34" s="504">
        <v>0</v>
      </c>
      <c r="HM34" s="504">
        <v>0</v>
      </c>
      <c r="HN34" s="504">
        <v>0</v>
      </c>
      <c r="HO34" s="504">
        <v>0</v>
      </c>
      <c r="HP34" s="504">
        <v>0</v>
      </c>
      <c r="HQ34" s="504">
        <v>0</v>
      </c>
      <c r="HR34" s="504">
        <v>0</v>
      </c>
      <c r="HS34" s="504">
        <v>0</v>
      </c>
      <c r="HT34" s="504">
        <v>0</v>
      </c>
      <c r="HU34" s="504">
        <v>0</v>
      </c>
      <c r="HV34" s="504">
        <v>0</v>
      </c>
      <c r="HW34" s="504">
        <v>0</v>
      </c>
      <c r="HX34" s="504">
        <v>0</v>
      </c>
      <c r="HY34" s="504">
        <v>0</v>
      </c>
      <c r="HZ34" s="504">
        <v>0</v>
      </c>
      <c r="IA34" s="504">
        <v>0</v>
      </c>
      <c r="IB34" s="504">
        <v>0</v>
      </c>
      <c r="IC34" s="504">
        <v>0</v>
      </c>
      <c r="ID34" s="504">
        <v>0</v>
      </c>
      <c r="IE34" s="504">
        <v>0</v>
      </c>
      <c r="IF34" s="504">
        <v>0</v>
      </c>
      <c r="IG34" s="504">
        <v>0</v>
      </c>
      <c r="IH34" s="504">
        <v>0</v>
      </c>
      <c r="II34" s="504">
        <v>0</v>
      </c>
      <c r="IJ34" s="504">
        <v>0</v>
      </c>
      <c r="IK34" s="504">
        <v>0</v>
      </c>
      <c r="IL34" s="504">
        <v>0</v>
      </c>
      <c r="IM34" s="504">
        <v>0</v>
      </c>
      <c r="IN34" s="504">
        <v>0</v>
      </c>
      <c r="IO34" s="504">
        <v>0</v>
      </c>
      <c r="IP34" s="504">
        <v>0</v>
      </c>
      <c r="IQ34" s="504">
        <v>0</v>
      </c>
      <c r="IR34" s="504">
        <v>0</v>
      </c>
      <c r="IS34" s="504">
        <v>0</v>
      </c>
      <c r="IT34" s="504">
        <v>0</v>
      </c>
      <c r="IU34" s="504">
        <v>0</v>
      </c>
      <c r="IV34" s="504">
        <v>0</v>
      </c>
      <c r="IW34" s="504">
        <v>0</v>
      </c>
      <c r="IX34" s="504">
        <v>0</v>
      </c>
      <c r="IY34" s="504">
        <v>0</v>
      </c>
      <c r="IZ34" s="504">
        <v>0</v>
      </c>
      <c r="JA34" s="504">
        <v>0</v>
      </c>
      <c r="JB34" s="504">
        <v>0</v>
      </c>
      <c r="JC34" s="504">
        <v>0</v>
      </c>
      <c r="JD34" s="504">
        <v>0</v>
      </c>
      <c r="JE34" s="504">
        <v>0</v>
      </c>
      <c r="JF34" s="504">
        <v>0</v>
      </c>
      <c r="JG34" s="504">
        <v>0</v>
      </c>
      <c r="JH34" s="504">
        <v>0</v>
      </c>
      <c r="JI34" s="504">
        <v>0</v>
      </c>
      <c r="JJ34" s="504">
        <v>0</v>
      </c>
      <c r="JK34" s="504">
        <v>0</v>
      </c>
      <c r="JL34" s="504">
        <v>0</v>
      </c>
      <c r="JM34" s="504">
        <v>0</v>
      </c>
      <c r="JN34" s="504">
        <v>0</v>
      </c>
      <c r="JO34" s="504">
        <v>0</v>
      </c>
      <c r="JP34" s="504">
        <v>0</v>
      </c>
      <c r="JQ34" s="504">
        <v>0</v>
      </c>
      <c r="JR34" s="504">
        <v>0</v>
      </c>
      <c r="JS34" s="504">
        <v>0</v>
      </c>
      <c r="JT34" s="504">
        <v>0</v>
      </c>
      <c r="JU34" s="504">
        <v>0</v>
      </c>
      <c r="JV34" s="504">
        <v>0</v>
      </c>
      <c r="JW34" s="504">
        <v>0</v>
      </c>
      <c r="JX34" s="504">
        <v>0</v>
      </c>
      <c r="JY34" s="504">
        <v>0</v>
      </c>
      <c r="JZ34" s="504">
        <v>0</v>
      </c>
      <c r="KA34" s="504">
        <v>0</v>
      </c>
      <c r="KB34" s="504">
        <v>0</v>
      </c>
      <c r="KC34" s="504">
        <v>0</v>
      </c>
      <c r="KD34" s="504">
        <v>0</v>
      </c>
      <c r="KE34" s="504">
        <v>0</v>
      </c>
      <c r="KF34" s="504">
        <v>0</v>
      </c>
      <c r="KG34" s="504">
        <v>0</v>
      </c>
      <c r="KH34" s="504">
        <v>0</v>
      </c>
      <c r="KI34" s="504">
        <v>0</v>
      </c>
      <c r="KJ34" s="504">
        <v>0</v>
      </c>
      <c r="KK34" s="504">
        <v>0</v>
      </c>
      <c r="KL34" s="504">
        <v>0</v>
      </c>
      <c r="KM34" s="504">
        <v>0</v>
      </c>
      <c r="KN34" s="504">
        <v>0</v>
      </c>
      <c r="KO34" s="504">
        <v>0</v>
      </c>
      <c r="KP34" s="504">
        <v>0</v>
      </c>
      <c r="KQ34" s="504">
        <v>0</v>
      </c>
      <c r="KR34" s="504">
        <v>0</v>
      </c>
      <c r="KS34" s="504">
        <v>0</v>
      </c>
      <c r="KT34" s="1654">
        <v>0</v>
      </c>
      <c r="KU34" s="504">
        <v>0</v>
      </c>
      <c r="KV34" s="504">
        <v>0</v>
      </c>
      <c r="KW34" s="504">
        <v>0</v>
      </c>
      <c r="KX34" s="504">
        <v>846</v>
      </c>
      <c r="KY34" s="504">
        <v>1258</v>
      </c>
      <c r="KZ34" s="504">
        <v>1624</v>
      </c>
      <c r="LA34" s="504">
        <v>0</v>
      </c>
      <c r="LB34" s="504">
        <v>0</v>
      </c>
      <c r="LC34" s="504">
        <v>0</v>
      </c>
      <c r="LD34" s="504">
        <v>0</v>
      </c>
      <c r="LE34" s="504">
        <v>0</v>
      </c>
      <c r="LF34" s="504">
        <v>0</v>
      </c>
      <c r="LG34" s="504">
        <v>0</v>
      </c>
      <c r="LH34" s="504">
        <v>0</v>
      </c>
      <c r="LI34" s="504">
        <v>0</v>
      </c>
      <c r="LJ34" s="504">
        <v>0</v>
      </c>
      <c r="LK34" s="504">
        <v>0</v>
      </c>
      <c r="LL34" s="504">
        <v>0</v>
      </c>
      <c r="LM34" s="504">
        <v>0</v>
      </c>
      <c r="LN34" s="504">
        <v>0</v>
      </c>
      <c r="LO34" s="504">
        <v>0</v>
      </c>
      <c r="LP34" s="504">
        <v>0</v>
      </c>
      <c r="LQ34" s="504">
        <v>0</v>
      </c>
      <c r="LR34" s="504">
        <v>0</v>
      </c>
      <c r="LS34" s="504">
        <v>0</v>
      </c>
      <c r="LT34" s="504">
        <v>0</v>
      </c>
      <c r="LU34" s="504">
        <v>0</v>
      </c>
      <c r="LV34" s="504">
        <v>0</v>
      </c>
      <c r="LW34" s="504">
        <v>0</v>
      </c>
      <c r="LX34" s="504">
        <v>0</v>
      </c>
      <c r="LY34" s="504">
        <v>0</v>
      </c>
      <c r="LZ34" s="504">
        <v>0</v>
      </c>
      <c r="MA34" s="504">
        <v>0</v>
      </c>
      <c r="MB34" s="504">
        <v>0</v>
      </c>
      <c r="MC34" s="504">
        <v>0</v>
      </c>
      <c r="MD34" s="504">
        <v>0</v>
      </c>
      <c r="ME34" s="504">
        <v>0</v>
      </c>
      <c r="MF34" s="504">
        <v>0</v>
      </c>
      <c r="MG34" s="504">
        <v>0</v>
      </c>
      <c r="MH34" s="504">
        <v>0</v>
      </c>
      <c r="MI34" s="504">
        <v>0</v>
      </c>
      <c r="MJ34" s="504">
        <v>0</v>
      </c>
      <c r="MK34" s="504">
        <v>0</v>
      </c>
      <c r="ML34" s="504">
        <v>0</v>
      </c>
      <c r="MM34" s="504">
        <v>0</v>
      </c>
      <c r="MN34" s="504">
        <v>0</v>
      </c>
      <c r="MO34" s="504">
        <v>0</v>
      </c>
      <c r="MP34" s="504">
        <v>0</v>
      </c>
      <c r="MQ34" s="504">
        <v>0</v>
      </c>
      <c r="MR34" s="504">
        <v>0</v>
      </c>
      <c r="MS34" s="504">
        <v>0</v>
      </c>
      <c r="MT34" s="504">
        <v>0</v>
      </c>
      <c r="MU34" s="504">
        <v>0</v>
      </c>
      <c r="MV34" s="504">
        <v>0</v>
      </c>
      <c r="MW34" s="504">
        <v>0</v>
      </c>
      <c r="MX34" s="504">
        <v>0</v>
      </c>
      <c r="MY34" s="504">
        <v>0</v>
      </c>
      <c r="MZ34" s="504">
        <v>0</v>
      </c>
      <c r="NA34" s="504">
        <v>0</v>
      </c>
      <c r="NB34" s="504">
        <v>0</v>
      </c>
      <c r="NC34" s="504">
        <v>0</v>
      </c>
      <c r="ND34" s="504">
        <v>0</v>
      </c>
      <c r="NE34" s="504">
        <v>0</v>
      </c>
      <c r="NF34" s="504">
        <v>0</v>
      </c>
      <c r="NG34" s="504">
        <v>0</v>
      </c>
      <c r="NH34" s="504">
        <v>0</v>
      </c>
      <c r="NI34" s="504">
        <v>0</v>
      </c>
      <c r="NJ34" s="504">
        <v>0</v>
      </c>
      <c r="NK34" s="504">
        <v>0</v>
      </c>
      <c r="NL34" s="504">
        <v>0</v>
      </c>
      <c r="NM34" s="504">
        <v>0</v>
      </c>
      <c r="NN34" s="504">
        <v>0</v>
      </c>
      <c r="NO34" s="504">
        <v>0</v>
      </c>
      <c r="NP34" s="504">
        <v>0</v>
      </c>
      <c r="NQ34" s="504">
        <v>0</v>
      </c>
      <c r="NR34" s="504">
        <v>0</v>
      </c>
      <c r="NS34" s="504">
        <v>0</v>
      </c>
      <c r="NT34" s="504">
        <v>0</v>
      </c>
      <c r="NU34" s="504">
        <v>0</v>
      </c>
      <c r="NV34" s="504">
        <v>0</v>
      </c>
      <c r="NW34" s="504">
        <v>0</v>
      </c>
      <c r="NX34" s="504">
        <v>0</v>
      </c>
      <c r="NY34" s="504">
        <v>0</v>
      </c>
      <c r="NZ34" s="504">
        <v>0</v>
      </c>
      <c r="OA34" s="504">
        <v>0</v>
      </c>
      <c r="OB34" s="504">
        <v>0</v>
      </c>
      <c r="OC34" s="504">
        <v>0</v>
      </c>
      <c r="OD34" s="504">
        <v>0</v>
      </c>
      <c r="OE34" s="504">
        <v>0</v>
      </c>
      <c r="OF34" s="504">
        <v>0</v>
      </c>
      <c r="OG34" s="504">
        <v>0</v>
      </c>
      <c r="OH34" s="504">
        <v>0</v>
      </c>
      <c r="OI34" s="504">
        <v>0</v>
      </c>
      <c r="OJ34" s="504">
        <v>0</v>
      </c>
      <c r="OK34" s="504">
        <v>0</v>
      </c>
      <c r="OL34" s="504">
        <v>0</v>
      </c>
      <c r="OM34" s="504">
        <v>0</v>
      </c>
      <c r="ON34" s="504">
        <v>0</v>
      </c>
      <c r="OO34" s="504">
        <v>0</v>
      </c>
      <c r="OP34" s="504">
        <v>0</v>
      </c>
      <c r="OQ34" s="504">
        <v>0</v>
      </c>
      <c r="OR34" s="1656"/>
    </row>
    <row r="35" spans="1:408" ht="21.5">
      <c r="A35" s="1466" t="s">
        <v>1656</v>
      </c>
      <c r="B35" s="1583" t="s">
        <v>2358</v>
      </c>
      <c r="C35" s="1583" t="s">
        <v>14</v>
      </c>
      <c r="D35" s="1583">
        <v>58</v>
      </c>
      <c r="E35" s="504">
        <v>60</v>
      </c>
      <c r="F35" s="504">
        <v>233</v>
      </c>
      <c r="G35" s="504">
        <v>591</v>
      </c>
      <c r="H35" s="504">
        <v>918</v>
      </c>
      <c r="I35" s="504">
        <v>1312</v>
      </c>
      <c r="J35" s="504">
        <v>1604</v>
      </c>
      <c r="K35" s="504">
        <v>1628</v>
      </c>
      <c r="L35" s="504">
        <v>1653</v>
      </c>
      <c r="M35" s="504">
        <v>1678</v>
      </c>
      <c r="N35" s="504">
        <v>1703</v>
      </c>
      <c r="O35" s="504">
        <v>1729</v>
      </c>
      <c r="P35" s="504">
        <v>1755</v>
      </c>
      <c r="Q35" s="504">
        <v>1781</v>
      </c>
      <c r="R35" s="504">
        <v>1808</v>
      </c>
      <c r="S35" s="504">
        <v>1836</v>
      </c>
      <c r="T35" s="504">
        <v>1865</v>
      </c>
      <c r="U35" s="504">
        <v>1894</v>
      </c>
      <c r="V35" s="504">
        <v>1925</v>
      </c>
      <c r="W35" s="504">
        <v>1958</v>
      </c>
      <c r="X35" s="504">
        <v>1992</v>
      </c>
      <c r="Y35" s="504">
        <v>2030</v>
      </c>
      <c r="Z35" s="504">
        <v>2091</v>
      </c>
      <c r="AA35" s="504">
        <v>0</v>
      </c>
      <c r="AB35" s="504">
        <v>0</v>
      </c>
      <c r="AC35" s="504">
        <v>0</v>
      </c>
      <c r="AD35" s="504">
        <v>0</v>
      </c>
      <c r="AE35" s="504">
        <v>0</v>
      </c>
      <c r="AF35" s="504">
        <v>0</v>
      </c>
      <c r="AG35" s="504">
        <v>0</v>
      </c>
      <c r="AH35" s="504">
        <v>0</v>
      </c>
      <c r="AI35" s="504">
        <v>0</v>
      </c>
      <c r="AJ35" s="504">
        <v>0</v>
      </c>
      <c r="AK35" s="504">
        <v>0</v>
      </c>
      <c r="AL35" s="504">
        <v>0</v>
      </c>
      <c r="AM35" s="504">
        <v>0</v>
      </c>
      <c r="AN35" s="504">
        <v>0</v>
      </c>
      <c r="AO35" s="504">
        <v>0</v>
      </c>
      <c r="AP35" s="504">
        <v>0</v>
      </c>
      <c r="AQ35" s="504">
        <v>0</v>
      </c>
      <c r="AR35" s="504">
        <v>0</v>
      </c>
      <c r="AS35" s="504">
        <v>0</v>
      </c>
      <c r="AT35" s="504">
        <v>0</v>
      </c>
      <c r="AU35" s="504">
        <v>0</v>
      </c>
      <c r="AV35" s="504">
        <v>0</v>
      </c>
      <c r="AW35" s="504">
        <v>0</v>
      </c>
      <c r="AX35" s="504">
        <v>0</v>
      </c>
      <c r="AY35" s="504">
        <v>0</v>
      </c>
      <c r="AZ35" s="504">
        <v>0</v>
      </c>
      <c r="BA35" s="504">
        <v>0</v>
      </c>
      <c r="BB35" s="504">
        <v>0</v>
      </c>
      <c r="BC35" s="504">
        <v>0</v>
      </c>
      <c r="BD35" s="504">
        <v>0</v>
      </c>
      <c r="BE35" s="504">
        <v>0</v>
      </c>
      <c r="BF35" s="504">
        <v>0</v>
      </c>
      <c r="BG35" s="504">
        <v>0</v>
      </c>
      <c r="BH35" s="504">
        <v>0</v>
      </c>
      <c r="BI35" s="504">
        <v>0</v>
      </c>
      <c r="BJ35" s="504">
        <v>0</v>
      </c>
      <c r="BK35" s="504">
        <v>0</v>
      </c>
      <c r="BL35" s="504">
        <v>0</v>
      </c>
      <c r="BM35" s="504">
        <v>0</v>
      </c>
      <c r="BN35" s="504">
        <v>0</v>
      </c>
      <c r="BO35" s="504">
        <v>0</v>
      </c>
      <c r="BP35" s="504">
        <v>0</v>
      </c>
      <c r="BQ35" s="504">
        <v>0</v>
      </c>
      <c r="BR35" s="504">
        <v>0</v>
      </c>
      <c r="BS35" s="504">
        <v>0</v>
      </c>
      <c r="BT35" s="504">
        <v>0</v>
      </c>
      <c r="BU35" s="504">
        <v>0</v>
      </c>
      <c r="BV35" s="504">
        <v>0</v>
      </c>
      <c r="BW35" s="504">
        <v>0</v>
      </c>
      <c r="BX35" s="504">
        <v>0</v>
      </c>
      <c r="BY35" s="504">
        <v>0</v>
      </c>
      <c r="BZ35" s="504">
        <v>0</v>
      </c>
      <c r="CA35" s="504">
        <v>0</v>
      </c>
      <c r="CB35" s="504">
        <v>0</v>
      </c>
      <c r="CC35" s="504">
        <v>0</v>
      </c>
      <c r="CD35" s="504">
        <v>0</v>
      </c>
      <c r="CE35" s="504">
        <v>0</v>
      </c>
      <c r="CF35" s="504">
        <v>0</v>
      </c>
      <c r="CG35" s="504">
        <v>0</v>
      </c>
      <c r="CH35" s="504">
        <v>0</v>
      </c>
      <c r="CI35" s="504">
        <v>0</v>
      </c>
      <c r="CJ35" s="504">
        <v>0</v>
      </c>
      <c r="CK35" s="504">
        <v>0</v>
      </c>
      <c r="CL35" s="504">
        <v>0</v>
      </c>
      <c r="CM35" s="504">
        <v>0</v>
      </c>
      <c r="CN35" s="504">
        <v>0</v>
      </c>
      <c r="CO35" s="504">
        <v>0</v>
      </c>
      <c r="CP35" s="504">
        <v>0</v>
      </c>
      <c r="CQ35" s="504">
        <v>0</v>
      </c>
      <c r="CR35" s="504">
        <v>0</v>
      </c>
      <c r="CS35" s="504">
        <v>0</v>
      </c>
      <c r="CT35" s="504">
        <v>0</v>
      </c>
      <c r="CU35" s="504">
        <v>0</v>
      </c>
      <c r="CV35" s="504">
        <v>0</v>
      </c>
      <c r="CW35" s="504">
        <v>0</v>
      </c>
      <c r="CX35" s="504">
        <v>0</v>
      </c>
      <c r="CY35" s="504">
        <v>0</v>
      </c>
      <c r="CZ35" s="1654">
        <v>0</v>
      </c>
      <c r="DA35" s="504">
        <v>0</v>
      </c>
      <c r="DB35" s="504">
        <v>102</v>
      </c>
      <c r="DC35" s="504">
        <v>387</v>
      </c>
      <c r="DD35" s="504">
        <v>956</v>
      </c>
      <c r="DE35" s="504">
        <v>1283</v>
      </c>
      <c r="DF35" s="504">
        <v>1661</v>
      </c>
      <c r="DG35" s="504">
        <v>0</v>
      </c>
      <c r="DH35" s="504">
        <v>0</v>
      </c>
      <c r="DI35" s="504">
        <v>0</v>
      </c>
      <c r="DJ35" s="504">
        <v>0</v>
      </c>
      <c r="DK35" s="504">
        <v>0</v>
      </c>
      <c r="DL35" s="504">
        <v>0</v>
      </c>
      <c r="DM35" s="504">
        <v>0</v>
      </c>
      <c r="DN35" s="504">
        <v>0</v>
      </c>
      <c r="DO35" s="504">
        <v>0</v>
      </c>
      <c r="DP35" s="504">
        <v>0</v>
      </c>
      <c r="DQ35" s="504">
        <v>0</v>
      </c>
      <c r="DR35" s="504">
        <v>0</v>
      </c>
      <c r="DS35" s="504">
        <v>0</v>
      </c>
      <c r="DT35" s="504">
        <v>0</v>
      </c>
      <c r="DU35" s="504">
        <v>0</v>
      </c>
      <c r="DV35" s="504">
        <v>0</v>
      </c>
      <c r="DW35" s="504">
        <v>0</v>
      </c>
      <c r="DX35" s="504">
        <v>0</v>
      </c>
      <c r="DY35" s="504">
        <v>0</v>
      </c>
      <c r="DZ35" s="504">
        <v>0</v>
      </c>
      <c r="EA35" s="504">
        <v>0</v>
      </c>
      <c r="EB35" s="504">
        <v>0</v>
      </c>
      <c r="EC35" s="504">
        <v>0</v>
      </c>
      <c r="ED35" s="504">
        <v>0</v>
      </c>
      <c r="EE35" s="504">
        <v>0</v>
      </c>
      <c r="EF35" s="504">
        <v>0</v>
      </c>
      <c r="EG35" s="504">
        <v>0</v>
      </c>
      <c r="EH35" s="504">
        <v>0</v>
      </c>
      <c r="EI35" s="504">
        <v>0</v>
      </c>
      <c r="EJ35" s="504">
        <v>0</v>
      </c>
      <c r="EK35" s="504">
        <v>0</v>
      </c>
      <c r="EL35" s="504">
        <v>0</v>
      </c>
      <c r="EM35" s="504">
        <v>0</v>
      </c>
      <c r="EN35" s="504">
        <v>0</v>
      </c>
      <c r="EO35" s="504">
        <v>0</v>
      </c>
      <c r="EP35" s="504">
        <v>0</v>
      </c>
      <c r="EQ35" s="504">
        <v>0</v>
      </c>
      <c r="ER35" s="504">
        <v>0</v>
      </c>
      <c r="ES35" s="504">
        <v>0</v>
      </c>
      <c r="ET35" s="504">
        <v>0</v>
      </c>
      <c r="EU35" s="504">
        <v>0</v>
      </c>
      <c r="EV35" s="504">
        <v>0</v>
      </c>
      <c r="EW35" s="504">
        <v>0</v>
      </c>
      <c r="EX35" s="504">
        <v>0</v>
      </c>
      <c r="EY35" s="504">
        <v>0</v>
      </c>
      <c r="EZ35" s="504">
        <v>0</v>
      </c>
      <c r="FA35" s="504">
        <v>0</v>
      </c>
      <c r="FB35" s="504">
        <v>0</v>
      </c>
      <c r="FC35" s="504">
        <v>0</v>
      </c>
      <c r="FD35" s="504">
        <v>0</v>
      </c>
      <c r="FE35" s="504">
        <v>0</v>
      </c>
      <c r="FF35" s="504">
        <v>0</v>
      </c>
      <c r="FG35" s="504">
        <v>0</v>
      </c>
      <c r="FH35" s="504">
        <v>0</v>
      </c>
      <c r="FI35" s="504">
        <v>0</v>
      </c>
      <c r="FJ35" s="504">
        <v>0</v>
      </c>
      <c r="FK35" s="504">
        <v>0</v>
      </c>
      <c r="FL35" s="504">
        <v>0</v>
      </c>
      <c r="FM35" s="504">
        <v>0</v>
      </c>
      <c r="FN35" s="504">
        <v>0</v>
      </c>
      <c r="FO35" s="504">
        <v>0</v>
      </c>
      <c r="FP35" s="504">
        <v>0</v>
      </c>
      <c r="FQ35" s="504">
        <v>0</v>
      </c>
      <c r="FR35" s="504">
        <v>0</v>
      </c>
      <c r="FS35" s="504">
        <v>0</v>
      </c>
      <c r="FT35" s="504">
        <v>0</v>
      </c>
      <c r="FU35" s="504">
        <v>0</v>
      </c>
      <c r="FV35" s="504">
        <v>0</v>
      </c>
      <c r="FW35" s="504">
        <v>0</v>
      </c>
      <c r="FX35" s="504">
        <v>0</v>
      </c>
      <c r="FY35" s="504">
        <v>0</v>
      </c>
      <c r="FZ35" s="504">
        <v>0</v>
      </c>
      <c r="GA35" s="504">
        <v>0</v>
      </c>
      <c r="GB35" s="504">
        <v>0</v>
      </c>
      <c r="GC35" s="504">
        <v>0</v>
      </c>
      <c r="GD35" s="504">
        <v>0</v>
      </c>
      <c r="GE35" s="504">
        <v>0</v>
      </c>
      <c r="GF35" s="504">
        <v>0</v>
      </c>
      <c r="GG35" s="504">
        <v>0</v>
      </c>
      <c r="GH35" s="504">
        <v>0</v>
      </c>
      <c r="GI35" s="504">
        <v>0</v>
      </c>
      <c r="GJ35" s="504">
        <v>0</v>
      </c>
      <c r="GK35" s="504">
        <v>0</v>
      </c>
      <c r="GL35" s="504">
        <v>0</v>
      </c>
      <c r="GM35" s="504">
        <v>0</v>
      </c>
      <c r="GN35" s="504">
        <v>0</v>
      </c>
      <c r="GO35" s="504">
        <v>0</v>
      </c>
      <c r="GP35" s="504">
        <v>0</v>
      </c>
      <c r="GQ35" s="504">
        <v>0</v>
      </c>
      <c r="GR35" s="504">
        <v>0</v>
      </c>
      <c r="GS35" s="504">
        <v>0</v>
      </c>
      <c r="GT35" s="504">
        <v>0</v>
      </c>
      <c r="GU35" s="504">
        <v>0</v>
      </c>
      <c r="GV35" s="504">
        <v>0</v>
      </c>
      <c r="GW35" s="1654">
        <v>0</v>
      </c>
      <c r="GX35" s="504">
        <v>0</v>
      </c>
      <c r="GY35" s="504">
        <v>7021</v>
      </c>
      <c r="GZ35" s="504">
        <v>16002</v>
      </c>
      <c r="HA35" s="504">
        <v>19000</v>
      </c>
      <c r="HB35" s="504">
        <v>18000</v>
      </c>
      <c r="HC35" s="504">
        <v>17000</v>
      </c>
      <c r="HD35" s="504">
        <v>0</v>
      </c>
      <c r="HE35" s="504">
        <v>0</v>
      </c>
      <c r="HF35" s="504">
        <v>0</v>
      </c>
      <c r="HG35" s="504">
        <v>0</v>
      </c>
      <c r="HH35" s="504">
        <v>0</v>
      </c>
      <c r="HI35" s="504">
        <v>0</v>
      </c>
      <c r="HJ35" s="504">
        <v>0</v>
      </c>
      <c r="HK35" s="504">
        <v>0</v>
      </c>
      <c r="HL35" s="504">
        <v>0</v>
      </c>
      <c r="HM35" s="504">
        <v>0</v>
      </c>
      <c r="HN35" s="504">
        <v>0</v>
      </c>
      <c r="HO35" s="504">
        <v>0</v>
      </c>
      <c r="HP35" s="504">
        <v>0</v>
      </c>
      <c r="HQ35" s="504">
        <v>0</v>
      </c>
      <c r="HR35" s="504">
        <v>0</v>
      </c>
      <c r="HS35" s="504">
        <v>0</v>
      </c>
      <c r="HT35" s="504">
        <v>0</v>
      </c>
      <c r="HU35" s="504">
        <v>0</v>
      </c>
      <c r="HV35" s="504">
        <v>0</v>
      </c>
      <c r="HW35" s="504">
        <v>0</v>
      </c>
      <c r="HX35" s="504">
        <v>0</v>
      </c>
      <c r="HY35" s="504">
        <v>0</v>
      </c>
      <c r="HZ35" s="504">
        <v>0</v>
      </c>
      <c r="IA35" s="504">
        <v>0</v>
      </c>
      <c r="IB35" s="504">
        <v>0</v>
      </c>
      <c r="IC35" s="504">
        <v>0</v>
      </c>
      <c r="ID35" s="504">
        <v>0</v>
      </c>
      <c r="IE35" s="504">
        <v>0</v>
      </c>
      <c r="IF35" s="504">
        <v>0</v>
      </c>
      <c r="IG35" s="504">
        <v>0</v>
      </c>
      <c r="IH35" s="504">
        <v>0</v>
      </c>
      <c r="II35" s="504">
        <v>0</v>
      </c>
      <c r="IJ35" s="504">
        <v>0</v>
      </c>
      <c r="IK35" s="504">
        <v>0</v>
      </c>
      <c r="IL35" s="504">
        <v>0</v>
      </c>
      <c r="IM35" s="504">
        <v>0</v>
      </c>
      <c r="IN35" s="504">
        <v>0</v>
      </c>
      <c r="IO35" s="504">
        <v>0</v>
      </c>
      <c r="IP35" s="504">
        <v>0</v>
      </c>
      <c r="IQ35" s="504">
        <v>0</v>
      </c>
      <c r="IR35" s="504">
        <v>0</v>
      </c>
      <c r="IS35" s="504">
        <v>0</v>
      </c>
      <c r="IT35" s="504">
        <v>0</v>
      </c>
      <c r="IU35" s="504">
        <v>0</v>
      </c>
      <c r="IV35" s="504">
        <v>0</v>
      </c>
      <c r="IW35" s="504">
        <v>0</v>
      </c>
      <c r="IX35" s="504">
        <v>0</v>
      </c>
      <c r="IY35" s="504">
        <v>0</v>
      </c>
      <c r="IZ35" s="504">
        <v>0</v>
      </c>
      <c r="JA35" s="504">
        <v>0</v>
      </c>
      <c r="JB35" s="504">
        <v>0</v>
      </c>
      <c r="JC35" s="504">
        <v>0</v>
      </c>
      <c r="JD35" s="504">
        <v>0</v>
      </c>
      <c r="JE35" s="504">
        <v>0</v>
      </c>
      <c r="JF35" s="504">
        <v>0</v>
      </c>
      <c r="JG35" s="504">
        <v>0</v>
      </c>
      <c r="JH35" s="504">
        <v>0</v>
      </c>
      <c r="JI35" s="504">
        <v>0</v>
      </c>
      <c r="JJ35" s="504">
        <v>0</v>
      </c>
      <c r="JK35" s="504">
        <v>0</v>
      </c>
      <c r="JL35" s="504">
        <v>0</v>
      </c>
      <c r="JM35" s="504">
        <v>0</v>
      </c>
      <c r="JN35" s="504">
        <v>0</v>
      </c>
      <c r="JO35" s="504">
        <v>0</v>
      </c>
      <c r="JP35" s="504">
        <v>0</v>
      </c>
      <c r="JQ35" s="504">
        <v>0</v>
      </c>
      <c r="JR35" s="504">
        <v>0</v>
      </c>
      <c r="JS35" s="504">
        <v>0</v>
      </c>
      <c r="JT35" s="504">
        <v>0</v>
      </c>
      <c r="JU35" s="504">
        <v>0</v>
      </c>
      <c r="JV35" s="504">
        <v>0</v>
      </c>
      <c r="JW35" s="504">
        <v>0</v>
      </c>
      <c r="JX35" s="504">
        <v>0</v>
      </c>
      <c r="JY35" s="504">
        <v>0</v>
      </c>
      <c r="JZ35" s="504">
        <v>0</v>
      </c>
      <c r="KA35" s="504">
        <v>0</v>
      </c>
      <c r="KB35" s="504">
        <v>0</v>
      </c>
      <c r="KC35" s="504">
        <v>0</v>
      </c>
      <c r="KD35" s="504">
        <v>0</v>
      </c>
      <c r="KE35" s="504">
        <v>0</v>
      </c>
      <c r="KF35" s="504">
        <v>0</v>
      </c>
      <c r="KG35" s="504">
        <v>0</v>
      </c>
      <c r="KH35" s="504">
        <v>0</v>
      </c>
      <c r="KI35" s="504">
        <v>0</v>
      </c>
      <c r="KJ35" s="504">
        <v>0</v>
      </c>
      <c r="KK35" s="504">
        <v>0</v>
      </c>
      <c r="KL35" s="504">
        <v>0</v>
      </c>
      <c r="KM35" s="504">
        <v>0</v>
      </c>
      <c r="KN35" s="504">
        <v>0</v>
      </c>
      <c r="KO35" s="504">
        <v>0</v>
      </c>
      <c r="KP35" s="504">
        <v>0</v>
      </c>
      <c r="KQ35" s="504">
        <v>0</v>
      </c>
      <c r="KR35" s="504">
        <v>0</v>
      </c>
      <c r="KS35" s="504">
        <v>0</v>
      </c>
      <c r="KT35" s="1654">
        <v>0</v>
      </c>
      <c r="KU35" s="504">
        <v>0</v>
      </c>
      <c r="KV35" s="504">
        <v>0</v>
      </c>
      <c r="KW35" s="504">
        <v>0</v>
      </c>
      <c r="KX35" s="504">
        <v>863</v>
      </c>
      <c r="KY35" s="504">
        <v>1271</v>
      </c>
      <c r="KZ35" s="504">
        <v>1649</v>
      </c>
      <c r="LA35" s="504">
        <v>0</v>
      </c>
      <c r="LB35" s="504">
        <v>0</v>
      </c>
      <c r="LC35" s="504">
        <v>0</v>
      </c>
      <c r="LD35" s="504">
        <v>0</v>
      </c>
      <c r="LE35" s="504">
        <v>0</v>
      </c>
      <c r="LF35" s="504">
        <v>0</v>
      </c>
      <c r="LG35" s="504">
        <v>0</v>
      </c>
      <c r="LH35" s="504">
        <v>0</v>
      </c>
      <c r="LI35" s="504">
        <v>0</v>
      </c>
      <c r="LJ35" s="504">
        <v>0</v>
      </c>
      <c r="LK35" s="504">
        <v>0</v>
      </c>
      <c r="LL35" s="504">
        <v>0</v>
      </c>
      <c r="LM35" s="504">
        <v>0</v>
      </c>
      <c r="LN35" s="504">
        <v>0</v>
      </c>
      <c r="LO35" s="504">
        <v>0</v>
      </c>
      <c r="LP35" s="504">
        <v>0</v>
      </c>
      <c r="LQ35" s="504">
        <v>0</v>
      </c>
      <c r="LR35" s="504">
        <v>0</v>
      </c>
      <c r="LS35" s="504">
        <v>0</v>
      </c>
      <c r="LT35" s="504">
        <v>0</v>
      </c>
      <c r="LU35" s="504">
        <v>0</v>
      </c>
      <c r="LV35" s="504">
        <v>0</v>
      </c>
      <c r="LW35" s="504">
        <v>0</v>
      </c>
      <c r="LX35" s="504">
        <v>0</v>
      </c>
      <c r="LY35" s="504">
        <v>0</v>
      </c>
      <c r="LZ35" s="504">
        <v>0</v>
      </c>
      <c r="MA35" s="504">
        <v>0</v>
      </c>
      <c r="MB35" s="504">
        <v>0</v>
      </c>
      <c r="MC35" s="504">
        <v>0</v>
      </c>
      <c r="MD35" s="504">
        <v>0</v>
      </c>
      <c r="ME35" s="504">
        <v>0</v>
      </c>
      <c r="MF35" s="504">
        <v>0</v>
      </c>
      <c r="MG35" s="504">
        <v>0</v>
      </c>
      <c r="MH35" s="504">
        <v>0</v>
      </c>
      <c r="MI35" s="504">
        <v>0</v>
      </c>
      <c r="MJ35" s="504">
        <v>0</v>
      </c>
      <c r="MK35" s="504">
        <v>0</v>
      </c>
      <c r="ML35" s="504">
        <v>0</v>
      </c>
      <c r="MM35" s="504">
        <v>0</v>
      </c>
      <c r="MN35" s="504">
        <v>0</v>
      </c>
      <c r="MO35" s="504">
        <v>0</v>
      </c>
      <c r="MP35" s="504">
        <v>0</v>
      </c>
      <c r="MQ35" s="504">
        <v>0</v>
      </c>
      <c r="MR35" s="504">
        <v>0</v>
      </c>
      <c r="MS35" s="504">
        <v>0</v>
      </c>
      <c r="MT35" s="504">
        <v>0</v>
      </c>
      <c r="MU35" s="504">
        <v>0</v>
      </c>
      <c r="MV35" s="504">
        <v>0</v>
      </c>
      <c r="MW35" s="504">
        <v>0</v>
      </c>
      <c r="MX35" s="504">
        <v>0</v>
      </c>
      <c r="MY35" s="504">
        <v>0</v>
      </c>
      <c r="MZ35" s="504">
        <v>0</v>
      </c>
      <c r="NA35" s="504">
        <v>0</v>
      </c>
      <c r="NB35" s="504">
        <v>0</v>
      </c>
      <c r="NC35" s="504">
        <v>0</v>
      </c>
      <c r="ND35" s="504">
        <v>0</v>
      </c>
      <c r="NE35" s="504">
        <v>0</v>
      </c>
      <c r="NF35" s="504">
        <v>0</v>
      </c>
      <c r="NG35" s="504">
        <v>0</v>
      </c>
      <c r="NH35" s="504">
        <v>0</v>
      </c>
      <c r="NI35" s="504">
        <v>0</v>
      </c>
      <c r="NJ35" s="504">
        <v>0</v>
      </c>
      <c r="NK35" s="504">
        <v>0</v>
      </c>
      <c r="NL35" s="504">
        <v>0</v>
      </c>
      <c r="NM35" s="504">
        <v>0</v>
      </c>
      <c r="NN35" s="504">
        <v>0</v>
      </c>
      <c r="NO35" s="504">
        <v>0</v>
      </c>
      <c r="NP35" s="504">
        <v>0</v>
      </c>
      <c r="NQ35" s="504">
        <v>0</v>
      </c>
      <c r="NR35" s="504">
        <v>0</v>
      </c>
      <c r="NS35" s="504">
        <v>0</v>
      </c>
      <c r="NT35" s="504">
        <v>0</v>
      </c>
      <c r="NU35" s="504">
        <v>0</v>
      </c>
      <c r="NV35" s="504">
        <v>0</v>
      </c>
      <c r="NW35" s="504">
        <v>0</v>
      </c>
      <c r="NX35" s="504">
        <v>0</v>
      </c>
      <c r="NY35" s="504">
        <v>0</v>
      </c>
      <c r="NZ35" s="504">
        <v>0</v>
      </c>
      <c r="OA35" s="504">
        <v>0</v>
      </c>
      <c r="OB35" s="504">
        <v>0</v>
      </c>
      <c r="OC35" s="504">
        <v>0</v>
      </c>
      <c r="OD35" s="504">
        <v>0</v>
      </c>
      <c r="OE35" s="504">
        <v>0</v>
      </c>
      <c r="OF35" s="504">
        <v>0</v>
      </c>
      <c r="OG35" s="504">
        <v>0</v>
      </c>
      <c r="OH35" s="504">
        <v>0</v>
      </c>
      <c r="OI35" s="504">
        <v>0</v>
      </c>
      <c r="OJ35" s="504">
        <v>0</v>
      </c>
      <c r="OK35" s="504">
        <v>0</v>
      </c>
      <c r="OL35" s="504">
        <v>0</v>
      </c>
      <c r="OM35" s="504">
        <v>0</v>
      </c>
      <c r="ON35" s="504">
        <v>0</v>
      </c>
      <c r="OO35" s="504">
        <v>0</v>
      </c>
      <c r="OP35" s="504">
        <v>0</v>
      </c>
      <c r="OQ35" s="504">
        <v>0</v>
      </c>
      <c r="OR35" s="1656"/>
    </row>
    <row r="36" spans="1:408" ht="21.5">
      <c r="A36" s="1466" t="s">
        <v>1657</v>
      </c>
      <c r="B36" s="1583" t="s">
        <v>2358</v>
      </c>
      <c r="C36" s="1583" t="s">
        <v>14</v>
      </c>
      <c r="D36" s="1583">
        <v>59</v>
      </c>
      <c r="E36" s="504">
        <v>63</v>
      </c>
      <c r="F36" s="504">
        <v>243</v>
      </c>
      <c r="G36" s="504">
        <v>615</v>
      </c>
      <c r="H36" s="504">
        <v>956</v>
      </c>
      <c r="I36" s="504">
        <v>1366</v>
      </c>
      <c r="J36" s="504">
        <v>1670</v>
      </c>
      <c r="K36" s="504">
        <v>1695</v>
      </c>
      <c r="L36" s="504">
        <v>1721</v>
      </c>
      <c r="M36" s="504">
        <v>1748</v>
      </c>
      <c r="N36" s="504">
        <v>1774</v>
      </c>
      <c r="O36" s="504">
        <v>1802</v>
      </c>
      <c r="P36" s="504">
        <v>1829</v>
      </c>
      <c r="Q36" s="504">
        <v>1858</v>
      </c>
      <c r="R36" s="504">
        <v>1887</v>
      </c>
      <c r="S36" s="504">
        <v>1916</v>
      </c>
      <c r="T36" s="504">
        <v>1947</v>
      </c>
      <c r="U36" s="504">
        <v>1980</v>
      </c>
      <c r="V36" s="504">
        <v>2013</v>
      </c>
      <c r="W36" s="504">
        <v>2050</v>
      </c>
      <c r="X36" s="504">
        <v>2089</v>
      </c>
      <c r="Y36" s="504">
        <v>2151</v>
      </c>
      <c r="Z36" s="504">
        <v>0</v>
      </c>
      <c r="AA36" s="504">
        <v>0</v>
      </c>
      <c r="AB36" s="504">
        <v>0</v>
      </c>
      <c r="AC36" s="504">
        <v>0</v>
      </c>
      <c r="AD36" s="504">
        <v>0</v>
      </c>
      <c r="AE36" s="504">
        <v>0</v>
      </c>
      <c r="AF36" s="504">
        <v>0</v>
      </c>
      <c r="AG36" s="504">
        <v>0</v>
      </c>
      <c r="AH36" s="504">
        <v>0</v>
      </c>
      <c r="AI36" s="504">
        <v>0</v>
      </c>
      <c r="AJ36" s="504">
        <v>0</v>
      </c>
      <c r="AK36" s="504">
        <v>0</v>
      </c>
      <c r="AL36" s="504">
        <v>0</v>
      </c>
      <c r="AM36" s="504">
        <v>0</v>
      </c>
      <c r="AN36" s="504">
        <v>0</v>
      </c>
      <c r="AO36" s="504">
        <v>0</v>
      </c>
      <c r="AP36" s="504">
        <v>0</v>
      </c>
      <c r="AQ36" s="504">
        <v>0</v>
      </c>
      <c r="AR36" s="504">
        <v>0</v>
      </c>
      <c r="AS36" s="504">
        <v>0</v>
      </c>
      <c r="AT36" s="504">
        <v>0</v>
      </c>
      <c r="AU36" s="504">
        <v>0</v>
      </c>
      <c r="AV36" s="504">
        <v>0</v>
      </c>
      <c r="AW36" s="504">
        <v>0</v>
      </c>
      <c r="AX36" s="504">
        <v>0</v>
      </c>
      <c r="AY36" s="504">
        <v>0</v>
      </c>
      <c r="AZ36" s="504">
        <v>0</v>
      </c>
      <c r="BA36" s="504">
        <v>0</v>
      </c>
      <c r="BB36" s="504">
        <v>0</v>
      </c>
      <c r="BC36" s="504">
        <v>0</v>
      </c>
      <c r="BD36" s="504">
        <v>0</v>
      </c>
      <c r="BE36" s="504">
        <v>0</v>
      </c>
      <c r="BF36" s="504">
        <v>0</v>
      </c>
      <c r="BG36" s="504">
        <v>0</v>
      </c>
      <c r="BH36" s="504">
        <v>0</v>
      </c>
      <c r="BI36" s="504">
        <v>0</v>
      </c>
      <c r="BJ36" s="504">
        <v>0</v>
      </c>
      <c r="BK36" s="504">
        <v>0</v>
      </c>
      <c r="BL36" s="504">
        <v>0</v>
      </c>
      <c r="BM36" s="504">
        <v>0</v>
      </c>
      <c r="BN36" s="504">
        <v>0</v>
      </c>
      <c r="BO36" s="504">
        <v>0</v>
      </c>
      <c r="BP36" s="504">
        <v>0</v>
      </c>
      <c r="BQ36" s="504">
        <v>0</v>
      </c>
      <c r="BR36" s="504">
        <v>0</v>
      </c>
      <c r="BS36" s="504">
        <v>0</v>
      </c>
      <c r="BT36" s="504">
        <v>0</v>
      </c>
      <c r="BU36" s="504">
        <v>0</v>
      </c>
      <c r="BV36" s="504">
        <v>0</v>
      </c>
      <c r="BW36" s="504">
        <v>0</v>
      </c>
      <c r="BX36" s="504">
        <v>0</v>
      </c>
      <c r="BY36" s="504">
        <v>0</v>
      </c>
      <c r="BZ36" s="504">
        <v>0</v>
      </c>
      <c r="CA36" s="504">
        <v>0</v>
      </c>
      <c r="CB36" s="504">
        <v>0</v>
      </c>
      <c r="CC36" s="504">
        <v>0</v>
      </c>
      <c r="CD36" s="504">
        <v>0</v>
      </c>
      <c r="CE36" s="504">
        <v>0</v>
      </c>
      <c r="CF36" s="504">
        <v>0</v>
      </c>
      <c r="CG36" s="504">
        <v>0</v>
      </c>
      <c r="CH36" s="504">
        <v>0</v>
      </c>
      <c r="CI36" s="504">
        <v>0</v>
      </c>
      <c r="CJ36" s="504">
        <v>0</v>
      </c>
      <c r="CK36" s="504">
        <v>0</v>
      </c>
      <c r="CL36" s="504">
        <v>0</v>
      </c>
      <c r="CM36" s="504">
        <v>0</v>
      </c>
      <c r="CN36" s="504">
        <v>0</v>
      </c>
      <c r="CO36" s="504">
        <v>0</v>
      </c>
      <c r="CP36" s="504">
        <v>0</v>
      </c>
      <c r="CQ36" s="504">
        <v>0</v>
      </c>
      <c r="CR36" s="504">
        <v>0</v>
      </c>
      <c r="CS36" s="504">
        <v>0</v>
      </c>
      <c r="CT36" s="504">
        <v>0</v>
      </c>
      <c r="CU36" s="504">
        <v>0</v>
      </c>
      <c r="CV36" s="504">
        <v>0</v>
      </c>
      <c r="CW36" s="504">
        <v>0</v>
      </c>
      <c r="CX36" s="504">
        <v>0</v>
      </c>
      <c r="CY36" s="504">
        <v>0</v>
      </c>
      <c r="CZ36" s="1654">
        <v>0</v>
      </c>
      <c r="DA36" s="504">
        <v>0</v>
      </c>
      <c r="DB36" s="504">
        <v>105</v>
      </c>
      <c r="DC36" s="504">
        <v>393</v>
      </c>
      <c r="DD36" s="504">
        <v>969</v>
      </c>
      <c r="DE36" s="504">
        <v>1305</v>
      </c>
      <c r="DF36" s="504">
        <v>1698</v>
      </c>
      <c r="DG36" s="504">
        <v>0</v>
      </c>
      <c r="DH36" s="504">
        <v>0</v>
      </c>
      <c r="DI36" s="504">
        <v>0</v>
      </c>
      <c r="DJ36" s="504">
        <v>0</v>
      </c>
      <c r="DK36" s="504">
        <v>0</v>
      </c>
      <c r="DL36" s="504">
        <v>0</v>
      </c>
      <c r="DM36" s="504">
        <v>0</v>
      </c>
      <c r="DN36" s="504">
        <v>0</v>
      </c>
      <c r="DO36" s="504">
        <v>0</v>
      </c>
      <c r="DP36" s="504">
        <v>0</v>
      </c>
      <c r="DQ36" s="504">
        <v>0</v>
      </c>
      <c r="DR36" s="504">
        <v>0</v>
      </c>
      <c r="DS36" s="504">
        <v>0</v>
      </c>
      <c r="DT36" s="504">
        <v>0</v>
      </c>
      <c r="DU36" s="504">
        <v>0</v>
      </c>
      <c r="DV36" s="504">
        <v>0</v>
      </c>
      <c r="DW36" s="504">
        <v>0</v>
      </c>
      <c r="DX36" s="504">
        <v>0</v>
      </c>
      <c r="DY36" s="504">
        <v>0</v>
      </c>
      <c r="DZ36" s="504">
        <v>0</v>
      </c>
      <c r="EA36" s="504">
        <v>0</v>
      </c>
      <c r="EB36" s="504">
        <v>0</v>
      </c>
      <c r="EC36" s="504">
        <v>0</v>
      </c>
      <c r="ED36" s="504">
        <v>0</v>
      </c>
      <c r="EE36" s="504">
        <v>0</v>
      </c>
      <c r="EF36" s="504">
        <v>0</v>
      </c>
      <c r="EG36" s="504">
        <v>0</v>
      </c>
      <c r="EH36" s="504">
        <v>0</v>
      </c>
      <c r="EI36" s="504">
        <v>0</v>
      </c>
      <c r="EJ36" s="504">
        <v>0</v>
      </c>
      <c r="EK36" s="504">
        <v>0</v>
      </c>
      <c r="EL36" s="504">
        <v>0</v>
      </c>
      <c r="EM36" s="504">
        <v>0</v>
      </c>
      <c r="EN36" s="504">
        <v>0</v>
      </c>
      <c r="EO36" s="504">
        <v>0</v>
      </c>
      <c r="EP36" s="504">
        <v>0</v>
      </c>
      <c r="EQ36" s="504">
        <v>0</v>
      </c>
      <c r="ER36" s="504">
        <v>0</v>
      </c>
      <c r="ES36" s="504">
        <v>0</v>
      </c>
      <c r="ET36" s="504">
        <v>0</v>
      </c>
      <c r="EU36" s="504">
        <v>0</v>
      </c>
      <c r="EV36" s="504">
        <v>0</v>
      </c>
      <c r="EW36" s="504">
        <v>0</v>
      </c>
      <c r="EX36" s="504">
        <v>0</v>
      </c>
      <c r="EY36" s="504">
        <v>0</v>
      </c>
      <c r="EZ36" s="504">
        <v>0</v>
      </c>
      <c r="FA36" s="504">
        <v>0</v>
      </c>
      <c r="FB36" s="504">
        <v>0</v>
      </c>
      <c r="FC36" s="504">
        <v>0</v>
      </c>
      <c r="FD36" s="504">
        <v>0</v>
      </c>
      <c r="FE36" s="504">
        <v>0</v>
      </c>
      <c r="FF36" s="504">
        <v>0</v>
      </c>
      <c r="FG36" s="504">
        <v>0</v>
      </c>
      <c r="FH36" s="504">
        <v>0</v>
      </c>
      <c r="FI36" s="504">
        <v>0</v>
      </c>
      <c r="FJ36" s="504">
        <v>0</v>
      </c>
      <c r="FK36" s="504">
        <v>0</v>
      </c>
      <c r="FL36" s="504">
        <v>0</v>
      </c>
      <c r="FM36" s="504">
        <v>0</v>
      </c>
      <c r="FN36" s="504">
        <v>0</v>
      </c>
      <c r="FO36" s="504">
        <v>0</v>
      </c>
      <c r="FP36" s="504">
        <v>0</v>
      </c>
      <c r="FQ36" s="504">
        <v>0</v>
      </c>
      <c r="FR36" s="504">
        <v>0</v>
      </c>
      <c r="FS36" s="504">
        <v>0</v>
      </c>
      <c r="FT36" s="504">
        <v>0</v>
      </c>
      <c r="FU36" s="504">
        <v>0</v>
      </c>
      <c r="FV36" s="504">
        <v>0</v>
      </c>
      <c r="FW36" s="504">
        <v>0</v>
      </c>
      <c r="FX36" s="504">
        <v>0</v>
      </c>
      <c r="FY36" s="504">
        <v>0</v>
      </c>
      <c r="FZ36" s="504">
        <v>0</v>
      </c>
      <c r="GA36" s="504">
        <v>0</v>
      </c>
      <c r="GB36" s="504">
        <v>0</v>
      </c>
      <c r="GC36" s="504">
        <v>0</v>
      </c>
      <c r="GD36" s="504">
        <v>0</v>
      </c>
      <c r="GE36" s="504">
        <v>0</v>
      </c>
      <c r="GF36" s="504">
        <v>0</v>
      </c>
      <c r="GG36" s="504">
        <v>0</v>
      </c>
      <c r="GH36" s="504">
        <v>0</v>
      </c>
      <c r="GI36" s="504">
        <v>0</v>
      </c>
      <c r="GJ36" s="504">
        <v>0</v>
      </c>
      <c r="GK36" s="504">
        <v>0</v>
      </c>
      <c r="GL36" s="504">
        <v>0</v>
      </c>
      <c r="GM36" s="504">
        <v>0</v>
      </c>
      <c r="GN36" s="504">
        <v>0</v>
      </c>
      <c r="GO36" s="504">
        <v>0</v>
      </c>
      <c r="GP36" s="504">
        <v>0</v>
      </c>
      <c r="GQ36" s="504">
        <v>0</v>
      </c>
      <c r="GR36" s="504">
        <v>0</v>
      </c>
      <c r="GS36" s="504">
        <v>0</v>
      </c>
      <c r="GT36" s="504">
        <v>0</v>
      </c>
      <c r="GU36" s="504">
        <v>0</v>
      </c>
      <c r="GV36" s="504">
        <v>0</v>
      </c>
      <c r="GW36" s="1654">
        <v>0</v>
      </c>
      <c r="GX36" s="504">
        <v>0</v>
      </c>
      <c r="GY36" s="504">
        <v>6258</v>
      </c>
      <c r="GZ36" s="504">
        <v>15128</v>
      </c>
      <c r="HA36" s="504">
        <v>18000</v>
      </c>
      <c r="HB36" s="504">
        <v>17000</v>
      </c>
      <c r="HC36" s="504">
        <v>16000</v>
      </c>
      <c r="HD36" s="504">
        <v>0</v>
      </c>
      <c r="HE36" s="504">
        <v>0</v>
      </c>
      <c r="HF36" s="504">
        <v>0</v>
      </c>
      <c r="HG36" s="504">
        <v>0</v>
      </c>
      <c r="HH36" s="504">
        <v>0</v>
      </c>
      <c r="HI36" s="504">
        <v>0</v>
      </c>
      <c r="HJ36" s="504">
        <v>0</v>
      </c>
      <c r="HK36" s="504">
        <v>0</v>
      </c>
      <c r="HL36" s="504">
        <v>0</v>
      </c>
      <c r="HM36" s="504">
        <v>0</v>
      </c>
      <c r="HN36" s="504">
        <v>0</v>
      </c>
      <c r="HO36" s="504">
        <v>0</v>
      </c>
      <c r="HP36" s="504">
        <v>0</v>
      </c>
      <c r="HQ36" s="504">
        <v>0</v>
      </c>
      <c r="HR36" s="504">
        <v>0</v>
      </c>
      <c r="HS36" s="504">
        <v>0</v>
      </c>
      <c r="HT36" s="504">
        <v>0</v>
      </c>
      <c r="HU36" s="504">
        <v>0</v>
      </c>
      <c r="HV36" s="504">
        <v>0</v>
      </c>
      <c r="HW36" s="504">
        <v>0</v>
      </c>
      <c r="HX36" s="504">
        <v>0</v>
      </c>
      <c r="HY36" s="504">
        <v>0</v>
      </c>
      <c r="HZ36" s="504">
        <v>0</v>
      </c>
      <c r="IA36" s="504">
        <v>0</v>
      </c>
      <c r="IB36" s="504">
        <v>0</v>
      </c>
      <c r="IC36" s="504">
        <v>0</v>
      </c>
      <c r="ID36" s="504">
        <v>0</v>
      </c>
      <c r="IE36" s="504">
        <v>0</v>
      </c>
      <c r="IF36" s="504">
        <v>0</v>
      </c>
      <c r="IG36" s="504">
        <v>0</v>
      </c>
      <c r="IH36" s="504">
        <v>0</v>
      </c>
      <c r="II36" s="504">
        <v>0</v>
      </c>
      <c r="IJ36" s="504">
        <v>0</v>
      </c>
      <c r="IK36" s="504">
        <v>0</v>
      </c>
      <c r="IL36" s="504">
        <v>0</v>
      </c>
      <c r="IM36" s="504">
        <v>0</v>
      </c>
      <c r="IN36" s="504">
        <v>0</v>
      </c>
      <c r="IO36" s="504">
        <v>0</v>
      </c>
      <c r="IP36" s="504">
        <v>0</v>
      </c>
      <c r="IQ36" s="504">
        <v>0</v>
      </c>
      <c r="IR36" s="504">
        <v>0</v>
      </c>
      <c r="IS36" s="504">
        <v>0</v>
      </c>
      <c r="IT36" s="504">
        <v>0</v>
      </c>
      <c r="IU36" s="504">
        <v>0</v>
      </c>
      <c r="IV36" s="504">
        <v>0</v>
      </c>
      <c r="IW36" s="504">
        <v>0</v>
      </c>
      <c r="IX36" s="504">
        <v>0</v>
      </c>
      <c r="IY36" s="504">
        <v>0</v>
      </c>
      <c r="IZ36" s="504">
        <v>0</v>
      </c>
      <c r="JA36" s="504">
        <v>0</v>
      </c>
      <c r="JB36" s="504">
        <v>0</v>
      </c>
      <c r="JC36" s="504">
        <v>0</v>
      </c>
      <c r="JD36" s="504">
        <v>0</v>
      </c>
      <c r="JE36" s="504">
        <v>0</v>
      </c>
      <c r="JF36" s="504">
        <v>0</v>
      </c>
      <c r="JG36" s="504">
        <v>0</v>
      </c>
      <c r="JH36" s="504">
        <v>0</v>
      </c>
      <c r="JI36" s="504">
        <v>0</v>
      </c>
      <c r="JJ36" s="504">
        <v>0</v>
      </c>
      <c r="JK36" s="504">
        <v>0</v>
      </c>
      <c r="JL36" s="504">
        <v>0</v>
      </c>
      <c r="JM36" s="504">
        <v>0</v>
      </c>
      <c r="JN36" s="504">
        <v>0</v>
      </c>
      <c r="JO36" s="504">
        <v>0</v>
      </c>
      <c r="JP36" s="504">
        <v>0</v>
      </c>
      <c r="JQ36" s="504">
        <v>0</v>
      </c>
      <c r="JR36" s="504">
        <v>0</v>
      </c>
      <c r="JS36" s="504">
        <v>0</v>
      </c>
      <c r="JT36" s="504">
        <v>0</v>
      </c>
      <c r="JU36" s="504">
        <v>0</v>
      </c>
      <c r="JV36" s="504">
        <v>0</v>
      </c>
      <c r="JW36" s="504">
        <v>0</v>
      </c>
      <c r="JX36" s="504">
        <v>0</v>
      </c>
      <c r="JY36" s="504">
        <v>0</v>
      </c>
      <c r="JZ36" s="504">
        <v>0</v>
      </c>
      <c r="KA36" s="504">
        <v>0</v>
      </c>
      <c r="KB36" s="504">
        <v>0</v>
      </c>
      <c r="KC36" s="504">
        <v>0</v>
      </c>
      <c r="KD36" s="504">
        <v>0</v>
      </c>
      <c r="KE36" s="504">
        <v>0</v>
      </c>
      <c r="KF36" s="504">
        <v>0</v>
      </c>
      <c r="KG36" s="504">
        <v>0</v>
      </c>
      <c r="KH36" s="504">
        <v>0</v>
      </c>
      <c r="KI36" s="504">
        <v>0</v>
      </c>
      <c r="KJ36" s="504">
        <v>0</v>
      </c>
      <c r="KK36" s="504">
        <v>0</v>
      </c>
      <c r="KL36" s="504">
        <v>0</v>
      </c>
      <c r="KM36" s="504">
        <v>0</v>
      </c>
      <c r="KN36" s="504">
        <v>0</v>
      </c>
      <c r="KO36" s="504">
        <v>0</v>
      </c>
      <c r="KP36" s="504">
        <v>0</v>
      </c>
      <c r="KQ36" s="504">
        <v>0</v>
      </c>
      <c r="KR36" s="504">
        <v>0</v>
      </c>
      <c r="KS36" s="504">
        <v>0</v>
      </c>
      <c r="KT36" s="1654">
        <v>0</v>
      </c>
      <c r="KU36" s="504">
        <v>0</v>
      </c>
      <c r="KV36" s="504">
        <v>0</v>
      </c>
      <c r="KW36" s="504">
        <v>0</v>
      </c>
      <c r="KX36" s="504">
        <v>895</v>
      </c>
      <c r="KY36" s="504">
        <v>1293</v>
      </c>
      <c r="KZ36" s="504">
        <v>1687</v>
      </c>
      <c r="LA36" s="504">
        <v>0</v>
      </c>
      <c r="LB36" s="504">
        <v>0</v>
      </c>
      <c r="LC36" s="504">
        <v>0</v>
      </c>
      <c r="LD36" s="504">
        <v>0</v>
      </c>
      <c r="LE36" s="504">
        <v>0</v>
      </c>
      <c r="LF36" s="504">
        <v>0</v>
      </c>
      <c r="LG36" s="504">
        <v>0</v>
      </c>
      <c r="LH36" s="504">
        <v>0</v>
      </c>
      <c r="LI36" s="504">
        <v>0</v>
      </c>
      <c r="LJ36" s="504">
        <v>0</v>
      </c>
      <c r="LK36" s="504">
        <v>0</v>
      </c>
      <c r="LL36" s="504">
        <v>0</v>
      </c>
      <c r="LM36" s="504">
        <v>0</v>
      </c>
      <c r="LN36" s="504">
        <v>0</v>
      </c>
      <c r="LO36" s="504">
        <v>0</v>
      </c>
      <c r="LP36" s="504">
        <v>0</v>
      </c>
      <c r="LQ36" s="504">
        <v>0</v>
      </c>
      <c r="LR36" s="504">
        <v>0</v>
      </c>
      <c r="LS36" s="504">
        <v>0</v>
      </c>
      <c r="LT36" s="504">
        <v>0</v>
      </c>
      <c r="LU36" s="504">
        <v>0</v>
      </c>
      <c r="LV36" s="504">
        <v>0</v>
      </c>
      <c r="LW36" s="504">
        <v>0</v>
      </c>
      <c r="LX36" s="504">
        <v>0</v>
      </c>
      <c r="LY36" s="504">
        <v>0</v>
      </c>
      <c r="LZ36" s="504">
        <v>0</v>
      </c>
      <c r="MA36" s="504">
        <v>0</v>
      </c>
      <c r="MB36" s="504">
        <v>0</v>
      </c>
      <c r="MC36" s="504">
        <v>0</v>
      </c>
      <c r="MD36" s="504">
        <v>0</v>
      </c>
      <c r="ME36" s="504">
        <v>0</v>
      </c>
      <c r="MF36" s="504">
        <v>0</v>
      </c>
      <c r="MG36" s="504">
        <v>0</v>
      </c>
      <c r="MH36" s="504">
        <v>0</v>
      </c>
      <c r="MI36" s="504">
        <v>0</v>
      </c>
      <c r="MJ36" s="504">
        <v>0</v>
      </c>
      <c r="MK36" s="504">
        <v>0</v>
      </c>
      <c r="ML36" s="504">
        <v>0</v>
      </c>
      <c r="MM36" s="504">
        <v>0</v>
      </c>
      <c r="MN36" s="504">
        <v>0</v>
      </c>
      <c r="MO36" s="504">
        <v>0</v>
      </c>
      <c r="MP36" s="504">
        <v>0</v>
      </c>
      <c r="MQ36" s="504">
        <v>0</v>
      </c>
      <c r="MR36" s="504">
        <v>0</v>
      </c>
      <c r="MS36" s="504">
        <v>0</v>
      </c>
      <c r="MT36" s="504">
        <v>0</v>
      </c>
      <c r="MU36" s="504">
        <v>0</v>
      </c>
      <c r="MV36" s="504">
        <v>0</v>
      </c>
      <c r="MW36" s="504">
        <v>0</v>
      </c>
      <c r="MX36" s="504">
        <v>0</v>
      </c>
      <c r="MY36" s="504">
        <v>0</v>
      </c>
      <c r="MZ36" s="504">
        <v>0</v>
      </c>
      <c r="NA36" s="504">
        <v>0</v>
      </c>
      <c r="NB36" s="504">
        <v>0</v>
      </c>
      <c r="NC36" s="504">
        <v>0</v>
      </c>
      <c r="ND36" s="504">
        <v>0</v>
      </c>
      <c r="NE36" s="504">
        <v>0</v>
      </c>
      <c r="NF36" s="504">
        <v>0</v>
      </c>
      <c r="NG36" s="504">
        <v>0</v>
      </c>
      <c r="NH36" s="504">
        <v>0</v>
      </c>
      <c r="NI36" s="504">
        <v>0</v>
      </c>
      <c r="NJ36" s="504">
        <v>0</v>
      </c>
      <c r="NK36" s="504">
        <v>0</v>
      </c>
      <c r="NL36" s="504">
        <v>0</v>
      </c>
      <c r="NM36" s="504">
        <v>0</v>
      </c>
      <c r="NN36" s="504">
        <v>0</v>
      </c>
      <c r="NO36" s="504">
        <v>0</v>
      </c>
      <c r="NP36" s="504">
        <v>0</v>
      </c>
      <c r="NQ36" s="504">
        <v>0</v>
      </c>
      <c r="NR36" s="504">
        <v>0</v>
      </c>
      <c r="NS36" s="504">
        <v>0</v>
      </c>
      <c r="NT36" s="504">
        <v>0</v>
      </c>
      <c r="NU36" s="504">
        <v>0</v>
      </c>
      <c r="NV36" s="504">
        <v>0</v>
      </c>
      <c r="NW36" s="504">
        <v>0</v>
      </c>
      <c r="NX36" s="504">
        <v>0</v>
      </c>
      <c r="NY36" s="504">
        <v>0</v>
      </c>
      <c r="NZ36" s="504">
        <v>0</v>
      </c>
      <c r="OA36" s="504">
        <v>0</v>
      </c>
      <c r="OB36" s="504">
        <v>0</v>
      </c>
      <c r="OC36" s="504">
        <v>0</v>
      </c>
      <c r="OD36" s="504">
        <v>0</v>
      </c>
      <c r="OE36" s="504">
        <v>0</v>
      </c>
      <c r="OF36" s="504">
        <v>0</v>
      </c>
      <c r="OG36" s="504">
        <v>0</v>
      </c>
      <c r="OH36" s="504">
        <v>0</v>
      </c>
      <c r="OI36" s="504">
        <v>0</v>
      </c>
      <c r="OJ36" s="504">
        <v>0</v>
      </c>
      <c r="OK36" s="504">
        <v>0</v>
      </c>
      <c r="OL36" s="504">
        <v>0</v>
      </c>
      <c r="OM36" s="504">
        <v>0</v>
      </c>
      <c r="ON36" s="504">
        <v>0</v>
      </c>
      <c r="OO36" s="504">
        <v>0</v>
      </c>
      <c r="OP36" s="504">
        <v>0</v>
      </c>
      <c r="OQ36" s="504">
        <v>0</v>
      </c>
      <c r="OR36" s="1656"/>
    </row>
    <row r="37" spans="1:408" ht="21.5">
      <c r="A37" s="1466" t="s">
        <v>1658</v>
      </c>
      <c r="B37" s="1583" t="s">
        <v>2358</v>
      </c>
      <c r="C37" s="1583" t="s">
        <v>14</v>
      </c>
      <c r="D37" s="1583">
        <v>60</v>
      </c>
      <c r="E37" s="504">
        <v>68</v>
      </c>
      <c r="F37" s="504">
        <v>260</v>
      </c>
      <c r="G37" s="504">
        <v>657</v>
      </c>
      <c r="H37" s="504">
        <v>1020</v>
      </c>
      <c r="I37" s="504">
        <v>1457</v>
      </c>
      <c r="J37" s="504">
        <v>1780</v>
      </c>
      <c r="K37" s="504">
        <v>1808</v>
      </c>
      <c r="L37" s="504">
        <v>1837</v>
      </c>
      <c r="M37" s="504">
        <v>1866</v>
      </c>
      <c r="N37" s="504">
        <v>1896</v>
      </c>
      <c r="O37" s="504">
        <v>1926</v>
      </c>
      <c r="P37" s="504">
        <v>1956</v>
      </c>
      <c r="Q37" s="504">
        <v>1988</v>
      </c>
      <c r="R37" s="504">
        <v>2020</v>
      </c>
      <c r="S37" s="504">
        <v>2053</v>
      </c>
      <c r="T37" s="504">
        <v>2088</v>
      </c>
      <c r="U37" s="504">
        <v>2125</v>
      </c>
      <c r="V37" s="504">
        <v>2164</v>
      </c>
      <c r="W37" s="504">
        <v>2206</v>
      </c>
      <c r="X37" s="504">
        <v>2273</v>
      </c>
      <c r="Y37" s="504">
        <v>0</v>
      </c>
      <c r="Z37" s="504">
        <v>0</v>
      </c>
      <c r="AA37" s="504">
        <v>0</v>
      </c>
      <c r="AB37" s="504">
        <v>0</v>
      </c>
      <c r="AC37" s="504">
        <v>0</v>
      </c>
      <c r="AD37" s="504">
        <v>0</v>
      </c>
      <c r="AE37" s="504">
        <v>0</v>
      </c>
      <c r="AF37" s="504">
        <v>0</v>
      </c>
      <c r="AG37" s="504">
        <v>0</v>
      </c>
      <c r="AH37" s="504">
        <v>0</v>
      </c>
      <c r="AI37" s="504">
        <v>0</v>
      </c>
      <c r="AJ37" s="504">
        <v>0</v>
      </c>
      <c r="AK37" s="504">
        <v>0</v>
      </c>
      <c r="AL37" s="504">
        <v>0</v>
      </c>
      <c r="AM37" s="504">
        <v>0</v>
      </c>
      <c r="AN37" s="504">
        <v>0</v>
      </c>
      <c r="AO37" s="504">
        <v>0</v>
      </c>
      <c r="AP37" s="504">
        <v>0</v>
      </c>
      <c r="AQ37" s="504">
        <v>0</v>
      </c>
      <c r="AR37" s="504">
        <v>0</v>
      </c>
      <c r="AS37" s="504">
        <v>0</v>
      </c>
      <c r="AT37" s="504">
        <v>0</v>
      </c>
      <c r="AU37" s="504">
        <v>0</v>
      </c>
      <c r="AV37" s="504">
        <v>0</v>
      </c>
      <c r="AW37" s="504">
        <v>0</v>
      </c>
      <c r="AX37" s="504">
        <v>0</v>
      </c>
      <c r="AY37" s="504">
        <v>0</v>
      </c>
      <c r="AZ37" s="504">
        <v>0</v>
      </c>
      <c r="BA37" s="504">
        <v>0</v>
      </c>
      <c r="BB37" s="504">
        <v>0</v>
      </c>
      <c r="BC37" s="504">
        <v>0</v>
      </c>
      <c r="BD37" s="504">
        <v>0</v>
      </c>
      <c r="BE37" s="504">
        <v>0</v>
      </c>
      <c r="BF37" s="504">
        <v>0</v>
      </c>
      <c r="BG37" s="504">
        <v>0</v>
      </c>
      <c r="BH37" s="504">
        <v>0</v>
      </c>
      <c r="BI37" s="504">
        <v>0</v>
      </c>
      <c r="BJ37" s="504">
        <v>0</v>
      </c>
      <c r="BK37" s="504">
        <v>0</v>
      </c>
      <c r="BL37" s="504">
        <v>0</v>
      </c>
      <c r="BM37" s="504">
        <v>0</v>
      </c>
      <c r="BN37" s="504">
        <v>0</v>
      </c>
      <c r="BO37" s="504">
        <v>0</v>
      </c>
      <c r="BP37" s="504">
        <v>0</v>
      </c>
      <c r="BQ37" s="504">
        <v>0</v>
      </c>
      <c r="BR37" s="504">
        <v>0</v>
      </c>
      <c r="BS37" s="504">
        <v>0</v>
      </c>
      <c r="BT37" s="504">
        <v>0</v>
      </c>
      <c r="BU37" s="504">
        <v>0</v>
      </c>
      <c r="BV37" s="504">
        <v>0</v>
      </c>
      <c r="BW37" s="504">
        <v>0</v>
      </c>
      <c r="BX37" s="504">
        <v>0</v>
      </c>
      <c r="BY37" s="504">
        <v>0</v>
      </c>
      <c r="BZ37" s="504">
        <v>0</v>
      </c>
      <c r="CA37" s="504">
        <v>0</v>
      </c>
      <c r="CB37" s="504">
        <v>0</v>
      </c>
      <c r="CC37" s="504">
        <v>0</v>
      </c>
      <c r="CD37" s="504">
        <v>0</v>
      </c>
      <c r="CE37" s="504">
        <v>0</v>
      </c>
      <c r="CF37" s="504">
        <v>0</v>
      </c>
      <c r="CG37" s="504">
        <v>0</v>
      </c>
      <c r="CH37" s="504">
        <v>0</v>
      </c>
      <c r="CI37" s="504">
        <v>0</v>
      </c>
      <c r="CJ37" s="504">
        <v>0</v>
      </c>
      <c r="CK37" s="504">
        <v>0</v>
      </c>
      <c r="CL37" s="504">
        <v>0</v>
      </c>
      <c r="CM37" s="504">
        <v>0</v>
      </c>
      <c r="CN37" s="504">
        <v>0</v>
      </c>
      <c r="CO37" s="504">
        <v>0</v>
      </c>
      <c r="CP37" s="504">
        <v>0</v>
      </c>
      <c r="CQ37" s="504">
        <v>0</v>
      </c>
      <c r="CR37" s="504">
        <v>0</v>
      </c>
      <c r="CS37" s="504">
        <v>0</v>
      </c>
      <c r="CT37" s="504">
        <v>0</v>
      </c>
      <c r="CU37" s="504">
        <v>0</v>
      </c>
      <c r="CV37" s="504">
        <v>0</v>
      </c>
      <c r="CW37" s="504">
        <v>0</v>
      </c>
      <c r="CX37" s="504">
        <v>0</v>
      </c>
      <c r="CY37" s="504">
        <v>0</v>
      </c>
      <c r="CZ37" s="1654">
        <v>0</v>
      </c>
      <c r="DA37" s="504">
        <v>0</v>
      </c>
      <c r="DB37" s="504">
        <v>110</v>
      </c>
      <c r="DC37" s="504">
        <v>410</v>
      </c>
      <c r="DD37" s="504">
        <v>1006</v>
      </c>
      <c r="DE37" s="504">
        <v>1352</v>
      </c>
      <c r="DF37" s="504">
        <v>1772</v>
      </c>
      <c r="DG37" s="504">
        <v>0</v>
      </c>
      <c r="DH37" s="504">
        <v>0</v>
      </c>
      <c r="DI37" s="504">
        <v>0</v>
      </c>
      <c r="DJ37" s="504">
        <v>0</v>
      </c>
      <c r="DK37" s="504">
        <v>0</v>
      </c>
      <c r="DL37" s="504">
        <v>0</v>
      </c>
      <c r="DM37" s="504">
        <v>0</v>
      </c>
      <c r="DN37" s="504">
        <v>0</v>
      </c>
      <c r="DO37" s="504">
        <v>0</v>
      </c>
      <c r="DP37" s="504">
        <v>0</v>
      </c>
      <c r="DQ37" s="504">
        <v>0</v>
      </c>
      <c r="DR37" s="504">
        <v>0</v>
      </c>
      <c r="DS37" s="504">
        <v>0</v>
      </c>
      <c r="DT37" s="504">
        <v>0</v>
      </c>
      <c r="DU37" s="504">
        <v>0</v>
      </c>
      <c r="DV37" s="504">
        <v>0</v>
      </c>
      <c r="DW37" s="504">
        <v>0</v>
      </c>
      <c r="DX37" s="504">
        <v>0</v>
      </c>
      <c r="DY37" s="504">
        <v>0</v>
      </c>
      <c r="DZ37" s="504">
        <v>0</v>
      </c>
      <c r="EA37" s="504">
        <v>0</v>
      </c>
      <c r="EB37" s="504">
        <v>0</v>
      </c>
      <c r="EC37" s="504">
        <v>0</v>
      </c>
      <c r="ED37" s="504">
        <v>0</v>
      </c>
      <c r="EE37" s="504">
        <v>0</v>
      </c>
      <c r="EF37" s="504">
        <v>0</v>
      </c>
      <c r="EG37" s="504">
        <v>0</v>
      </c>
      <c r="EH37" s="504">
        <v>0</v>
      </c>
      <c r="EI37" s="504">
        <v>0</v>
      </c>
      <c r="EJ37" s="504">
        <v>0</v>
      </c>
      <c r="EK37" s="504">
        <v>0</v>
      </c>
      <c r="EL37" s="504">
        <v>0</v>
      </c>
      <c r="EM37" s="504">
        <v>0</v>
      </c>
      <c r="EN37" s="504">
        <v>0</v>
      </c>
      <c r="EO37" s="504">
        <v>0</v>
      </c>
      <c r="EP37" s="504">
        <v>0</v>
      </c>
      <c r="EQ37" s="504">
        <v>0</v>
      </c>
      <c r="ER37" s="504">
        <v>0</v>
      </c>
      <c r="ES37" s="504">
        <v>0</v>
      </c>
      <c r="ET37" s="504">
        <v>0</v>
      </c>
      <c r="EU37" s="504">
        <v>0</v>
      </c>
      <c r="EV37" s="504">
        <v>0</v>
      </c>
      <c r="EW37" s="504">
        <v>0</v>
      </c>
      <c r="EX37" s="504">
        <v>0</v>
      </c>
      <c r="EY37" s="504">
        <v>0</v>
      </c>
      <c r="EZ37" s="504">
        <v>0</v>
      </c>
      <c r="FA37" s="504">
        <v>0</v>
      </c>
      <c r="FB37" s="504">
        <v>0</v>
      </c>
      <c r="FC37" s="504">
        <v>0</v>
      </c>
      <c r="FD37" s="504">
        <v>0</v>
      </c>
      <c r="FE37" s="504">
        <v>0</v>
      </c>
      <c r="FF37" s="504">
        <v>0</v>
      </c>
      <c r="FG37" s="504">
        <v>0</v>
      </c>
      <c r="FH37" s="504">
        <v>0</v>
      </c>
      <c r="FI37" s="504">
        <v>0</v>
      </c>
      <c r="FJ37" s="504">
        <v>0</v>
      </c>
      <c r="FK37" s="504">
        <v>0</v>
      </c>
      <c r="FL37" s="504">
        <v>0</v>
      </c>
      <c r="FM37" s="504">
        <v>0</v>
      </c>
      <c r="FN37" s="504">
        <v>0</v>
      </c>
      <c r="FO37" s="504">
        <v>0</v>
      </c>
      <c r="FP37" s="504">
        <v>0</v>
      </c>
      <c r="FQ37" s="504">
        <v>0</v>
      </c>
      <c r="FR37" s="504">
        <v>0</v>
      </c>
      <c r="FS37" s="504">
        <v>0</v>
      </c>
      <c r="FT37" s="504">
        <v>0</v>
      </c>
      <c r="FU37" s="504">
        <v>0</v>
      </c>
      <c r="FV37" s="504">
        <v>0</v>
      </c>
      <c r="FW37" s="504">
        <v>0</v>
      </c>
      <c r="FX37" s="504">
        <v>0</v>
      </c>
      <c r="FY37" s="504">
        <v>0</v>
      </c>
      <c r="FZ37" s="504">
        <v>0</v>
      </c>
      <c r="GA37" s="504">
        <v>0</v>
      </c>
      <c r="GB37" s="504">
        <v>0</v>
      </c>
      <c r="GC37" s="504">
        <v>0</v>
      </c>
      <c r="GD37" s="504">
        <v>0</v>
      </c>
      <c r="GE37" s="504">
        <v>0</v>
      </c>
      <c r="GF37" s="504">
        <v>0</v>
      </c>
      <c r="GG37" s="504">
        <v>0</v>
      </c>
      <c r="GH37" s="504">
        <v>0</v>
      </c>
      <c r="GI37" s="504">
        <v>0</v>
      </c>
      <c r="GJ37" s="504">
        <v>0</v>
      </c>
      <c r="GK37" s="504">
        <v>0</v>
      </c>
      <c r="GL37" s="504">
        <v>0</v>
      </c>
      <c r="GM37" s="504">
        <v>0</v>
      </c>
      <c r="GN37" s="504">
        <v>0</v>
      </c>
      <c r="GO37" s="504">
        <v>0</v>
      </c>
      <c r="GP37" s="504">
        <v>0</v>
      </c>
      <c r="GQ37" s="504">
        <v>0</v>
      </c>
      <c r="GR37" s="504">
        <v>0</v>
      </c>
      <c r="GS37" s="504">
        <v>0</v>
      </c>
      <c r="GT37" s="504">
        <v>0</v>
      </c>
      <c r="GU37" s="504">
        <v>0</v>
      </c>
      <c r="GV37" s="504">
        <v>0</v>
      </c>
      <c r="GW37" s="1654">
        <v>0</v>
      </c>
      <c r="GX37" s="504">
        <v>0</v>
      </c>
      <c r="GY37" s="504">
        <v>6182</v>
      </c>
      <c r="GZ37" s="504">
        <v>14349</v>
      </c>
      <c r="HA37" s="504">
        <v>17000</v>
      </c>
      <c r="HB37" s="504">
        <v>16000</v>
      </c>
      <c r="HC37" s="504">
        <v>15000</v>
      </c>
      <c r="HD37" s="504">
        <v>0</v>
      </c>
      <c r="HE37" s="504">
        <v>0</v>
      </c>
      <c r="HF37" s="504">
        <v>0</v>
      </c>
      <c r="HG37" s="504">
        <v>0</v>
      </c>
      <c r="HH37" s="504">
        <v>0</v>
      </c>
      <c r="HI37" s="504">
        <v>0</v>
      </c>
      <c r="HJ37" s="504">
        <v>0</v>
      </c>
      <c r="HK37" s="504">
        <v>0</v>
      </c>
      <c r="HL37" s="504">
        <v>0</v>
      </c>
      <c r="HM37" s="504">
        <v>0</v>
      </c>
      <c r="HN37" s="504">
        <v>0</v>
      </c>
      <c r="HO37" s="504">
        <v>0</v>
      </c>
      <c r="HP37" s="504">
        <v>0</v>
      </c>
      <c r="HQ37" s="504">
        <v>0</v>
      </c>
      <c r="HR37" s="504">
        <v>0</v>
      </c>
      <c r="HS37" s="504">
        <v>0</v>
      </c>
      <c r="HT37" s="504">
        <v>0</v>
      </c>
      <c r="HU37" s="504">
        <v>0</v>
      </c>
      <c r="HV37" s="504">
        <v>0</v>
      </c>
      <c r="HW37" s="504">
        <v>0</v>
      </c>
      <c r="HX37" s="504">
        <v>0</v>
      </c>
      <c r="HY37" s="504">
        <v>0</v>
      </c>
      <c r="HZ37" s="504">
        <v>0</v>
      </c>
      <c r="IA37" s="504">
        <v>0</v>
      </c>
      <c r="IB37" s="504">
        <v>0</v>
      </c>
      <c r="IC37" s="504">
        <v>0</v>
      </c>
      <c r="ID37" s="504">
        <v>0</v>
      </c>
      <c r="IE37" s="504">
        <v>0</v>
      </c>
      <c r="IF37" s="504">
        <v>0</v>
      </c>
      <c r="IG37" s="504">
        <v>0</v>
      </c>
      <c r="IH37" s="504">
        <v>0</v>
      </c>
      <c r="II37" s="504">
        <v>0</v>
      </c>
      <c r="IJ37" s="504">
        <v>0</v>
      </c>
      <c r="IK37" s="504">
        <v>0</v>
      </c>
      <c r="IL37" s="504">
        <v>0</v>
      </c>
      <c r="IM37" s="504">
        <v>0</v>
      </c>
      <c r="IN37" s="504">
        <v>0</v>
      </c>
      <c r="IO37" s="504">
        <v>0</v>
      </c>
      <c r="IP37" s="504">
        <v>0</v>
      </c>
      <c r="IQ37" s="504">
        <v>0</v>
      </c>
      <c r="IR37" s="504">
        <v>0</v>
      </c>
      <c r="IS37" s="504">
        <v>0</v>
      </c>
      <c r="IT37" s="504">
        <v>0</v>
      </c>
      <c r="IU37" s="504">
        <v>0</v>
      </c>
      <c r="IV37" s="504">
        <v>0</v>
      </c>
      <c r="IW37" s="504">
        <v>0</v>
      </c>
      <c r="IX37" s="504">
        <v>0</v>
      </c>
      <c r="IY37" s="504">
        <v>0</v>
      </c>
      <c r="IZ37" s="504">
        <v>0</v>
      </c>
      <c r="JA37" s="504">
        <v>0</v>
      </c>
      <c r="JB37" s="504">
        <v>0</v>
      </c>
      <c r="JC37" s="504">
        <v>0</v>
      </c>
      <c r="JD37" s="504">
        <v>0</v>
      </c>
      <c r="JE37" s="504">
        <v>0</v>
      </c>
      <c r="JF37" s="504">
        <v>0</v>
      </c>
      <c r="JG37" s="504">
        <v>0</v>
      </c>
      <c r="JH37" s="504">
        <v>0</v>
      </c>
      <c r="JI37" s="504">
        <v>0</v>
      </c>
      <c r="JJ37" s="504">
        <v>0</v>
      </c>
      <c r="JK37" s="504">
        <v>0</v>
      </c>
      <c r="JL37" s="504">
        <v>0</v>
      </c>
      <c r="JM37" s="504">
        <v>0</v>
      </c>
      <c r="JN37" s="504">
        <v>0</v>
      </c>
      <c r="JO37" s="504">
        <v>0</v>
      </c>
      <c r="JP37" s="504">
        <v>0</v>
      </c>
      <c r="JQ37" s="504">
        <v>0</v>
      </c>
      <c r="JR37" s="504">
        <v>0</v>
      </c>
      <c r="JS37" s="504">
        <v>0</v>
      </c>
      <c r="JT37" s="504">
        <v>0</v>
      </c>
      <c r="JU37" s="504">
        <v>0</v>
      </c>
      <c r="JV37" s="504">
        <v>0</v>
      </c>
      <c r="JW37" s="504">
        <v>0</v>
      </c>
      <c r="JX37" s="504">
        <v>0</v>
      </c>
      <c r="JY37" s="504">
        <v>0</v>
      </c>
      <c r="JZ37" s="504">
        <v>0</v>
      </c>
      <c r="KA37" s="504">
        <v>0</v>
      </c>
      <c r="KB37" s="504">
        <v>0</v>
      </c>
      <c r="KC37" s="504">
        <v>0</v>
      </c>
      <c r="KD37" s="504">
        <v>0</v>
      </c>
      <c r="KE37" s="504">
        <v>0</v>
      </c>
      <c r="KF37" s="504">
        <v>0</v>
      </c>
      <c r="KG37" s="504">
        <v>0</v>
      </c>
      <c r="KH37" s="504">
        <v>0</v>
      </c>
      <c r="KI37" s="504">
        <v>0</v>
      </c>
      <c r="KJ37" s="504">
        <v>0</v>
      </c>
      <c r="KK37" s="504">
        <v>0</v>
      </c>
      <c r="KL37" s="504">
        <v>0</v>
      </c>
      <c r="KM37" s="504">
        <v>0</v>
      </c>
      <c r="KN37" s="504">
        <v>0</v>
      </c>
      <c r="KO37" s="504">
        <v>0</v>
      </c>
      <c r="KP37" s="504">
        <v>0</v>
      </c>
      <c r="KQ37" s="504">
        <v>0</v>
      </c>
      <c r="KR37" s="504">
        <v>0</v>
      </c>
      <c r="KS37" s="504">
        <v>0</v>
      </c>
      <c r="KT37" s="1654">
        <v>0</v>
      </c>
      <c r="KU37" s="504">
        <v>0</v>
      </c>
      <c r="KV37" s="504">
        <v>0</v>
      </c>
      <c r="KW37" s="504">
        <v>0</v>
      </c>
      <c r="KX37" s="504">
        <v>981</v>
      </c>
      <c r="KY37" s="504">
        <v>1341</v>
      </c>
      <c r="KZ37" s="504">
        <v>1761</v>
      </c>
      <c r="LA37" s="504">
        <v>0</v>
      </c>
      <c r="LB37" s="504">
        <v>0</v>
      </c>
      <c r="LC37" s="504">
        <v>0</v>
      </c>
      <c r="LD37" s="504">
        <v>0</v>
      </c>
      <c r="LE37" s="504">
        <v>0</v>
      </c>
      <c r="LF37" s="504">
        <v>0</v>
      </c>
      <c r="LG37" s="504">
        <v>0</v>
      </c>
      <c r="LH37" s="504">
        <v>0</v>
      </c>
      <c r="LI37" s="504">
        <v>0</v>
      </c>
      <c r="LJ37" s="504">
        <v>0</v>
      </c>
      <c r="LK37" s="504">
        <v>0</v>
      </c>
      <c r="LL37" s="504">
        <v>0</v>
      </c>
      <c r="LM37" s="504">
        <v>0</v>
      </c>
      <c r="LN37" s="504">
        <v>0</v>
      </c>
      <c r="LO37" s="504">
        <v>0</v>
      </c>
      <c r="LP37" s="504">
        <v>0</v>
      </c>
      <c r="LQ37" s="504">
        <v>0</v>
      </c>
      <c r="LR37" s="504">
        <v>0</v>
      </c>
      <c r="LS37" s="504">
        <v>0</v>
      </c>
      <c r="LT37" s="504">
        <v>0</v>
      </c>
      <c r="LU37" s="504">
        <v>0</v>
      </c>
      <c r="LV37" s="504">
        <v>0</v>
      </c>
      <c r="LW37" s="504">
        <v>0</v>
      </c>
      <c r="LX37" s="504">
        <v>0</v>
      </c>
      <c r="LY37" s="504">
        <v>0</v>
      </c>
      <c r="LZ37" s="504">
        <v>0</v>
      </c>
      <c r="MA37" s="504">
        <v>0</v>
      </c>
      <c r="MB37" s="504">
        <v>0</v>
      </c>
      <c r="MC37" s="504">
        <v>0</v>
      </c>
      <c r="MD37" s="504">
        <v>0</v>
      </c>
      <c r="ME37" s="504">
        <v>0</v>
      </c>
      <c r="MF37" s="504">
        <v>0</v>
      </c>
      <c r="MG37" s="504">
        <v>0</v>
      </c>
      <c r="MH37" s="504">
        <v>0</v>
      </c>
      <c r="MI37" s="504">
        <v>0</v>
      </c>
      <c r="MJ37" s="504">
        <v>0</v>
      </c>
      <c r="MK37" s="504">
        <v>0</v>
      </c>
      <c r="ML37" s="504">
        <v>0</v>
      </c>
      <c r="MM37" s="504">
        <v>0</v>
      </c>
      <c r="MN37" s="504">
        <v>0</v>
      </c>
      <c r="MO37" s="504">
        <v>0</v>
      </c>
      <c r="MP37" s="504">
        <v>0</v>
      </c>
      <c r="MQ37" s="504">
        <v>0</v>
      </c>
      <c r="MR37" s="504">
        <v>0</v>
      </c>
      <c r="MS37" s="504">
        <v>0</v>
      </c>
      <c r="MT37" s="504">
        <v>0</v>
      </c>
      <c r="MU37" s="504">
        <v>0</v>
      </c>
      <c r="MV37" s="504">
        <v>0</v>
      </c>
      <c r="MW37" s="504">
        <v>0</v>
      </c>
      <c r="MX37" s="504">
        <v>0</v>
      </c>
      <c r="MY37" s="504">
        <v>0</v>
      </c>
      <c r="MZ37" s="504">
        <v>0</v>
      </c>
      <c r="NA37" s="504">
        <v>0</v>
      </c>
      <c r="NB37" s="504">
        <v>0</v>
      </c>
      <c r="NC37" s="504">
        <v>0</v>
      </c>
      <c r="ND37" s="504">
        <v>0</v>
      </c>
      <c r="NE37" s="504">
        <v>0</v>
      </c>
      <c r="NF37" s="504">
        <v>0</v>
      </c>
      <c r="NG37" s="504">
        <v>0</v>
      </c>
      <c r="NH37" s="504">
        <v>0</v>
      </c>
      <c r="NI37" s="504">
        <v>0</v>
      </c>
      <c r="NJ37" s="504">
        <v>0</v>
      </c>
      <c r="NK37" s="504">
        <v>0</v>
      </c>
      <c r="NL37" s="504">
        <v>0</v>
      </c>
      <c r="NM37" s="504">
        <v>0</v>
      </c>
      <c r="NN37" s="504">
        <v>0</v>
      </c>
      <c r="NO37" s="504">
        <v>0</v>
      </c>
      <c r="NP37" s="504">
        <v>0</v>
      </c>
      <c r="NQ37" s="504">
        <v>0</v>
      </c>
      <c r="NR37" s="504">
        <v>0</v>
      </c>
      <c r="NS37" s="504">
        <v>0</v>
      </c>
      <c r="NT37" s="504">
        <v>0</v>
      </c>
      <c r="NU37" s="504">
        <v>0</v>
      </c>
      <c r="NV37" s="504">
        <v>0</v>
      </c>
      <c r="NW37" s="504">
        <v>0</v>
      </c>
      <c r="NX37" s="504">
        <v>0</v>
      </c>
      <c r="NY37" s="504">
        <v>0</v>
      </c>
      <c r="NZ37" s="504">
        <v>0</v>
      </c>
      <c r="OA37" s="504">
        <v>0</v>
      </c>
      <c r="OB37" s="504">
        <v>0</v>
      </c>
      <c r="OC37" s="504">
        <v>0</v>
      </c>
      <c r="OD37" s="504">
        <v>0</v>
      </c>
      <c r="OE37" s="504">
        <v>0</v>
      </c>
      <c r="OF37" s="504">
        <v>0</v>
      </c>
      <c r="OG37" s="504">
        <v>0</v>
      </c>
      <c r="OH37" s="504">
        <v>0</v>
      </c>
      <c r="OI37" s="504">
        <v>0</v>
      </c>
      <c r="OJ37" s="504">
        <v>0</v>
      </c>
      <c r="OK37" s="504">
        <v>0</v>
      </c>
      <c r="OL37" s="504">
        <v>0</v>
      </c>
      <c r="OM37" s="504">
        <v>0</v>
      </c>
      <c r="ON37" s="504">
        <v>0</v>
      </c>
      <c r="OO37" s="504">
        <v>0</v>
      </c>
      <c r="OP37" s="504">
        <v>0</v>
      </c>
      <c r="OQ37" s="504">
        <v>0</v>
      </c>
      <c r="OR37" s="1656"/>
    </row>
    <row r="38" spans="1:408" ht="21.5">
      <c r="A38" s="1466" t="s">
        <v>1659</v>
      </c>
      <c r="B38" s="1583" t="s">
        <v>2358</v>
      </c>
      <c r="C38" s="1583" t="s">
        <v>14</v>
      </c>
      <c r="D38" s="1583">
        <v>61</v>
      </c>
      <c r="E38" s="504">
        <v>75</v>
      </c>
      <c r="F38" s="504">
        <v>284</v>
      </c>
      <c r="G38" s="504">
        <v>717</v>
      </c>
      <c r="H38" s="504">
        <v>1112</v>
      </c>
      <c r="I38" s="504">
        <v>1588</v>
      </c>
      <c r="J38" s="504">
        <v>1939</v>
      </c>
      <c r="K38" s="504">
        <v>1971</v>
      </c>
      <c r="L38" s="504">
        <v>2003</v>
      </c>
      <c r="M38" s="504">
        <v>2036</v>
      </c>
      <c r="N38" s="504">
        <v>2070</v>
      </c>
      <c r="O38" s="504">
        <v>2104</v>
      </c>
      <c r="P38" s="504">
        <v>2139</v>
      </c>
      <c r="Q38" s="504">
        <v>2175</v>
      </c>
      <c r="R38" s="504">
        <v>2212</v>
      </c>
      <c r="S38" s="504">
        <v>2251</v>
      </c>
      <c r="T38" s="504">
        <v>2292</v>
      </c>
      <c r="U38" s="504">
        <v>2336</v>
      </c>
      <c r="V38" s="504">
        <v>2383</v>
      </c>
      <c r="W38" s="504">
        <v>2454</v>
      </c>
      <c r="X38" s="504">
        <v>0</v>
      </c>
      <c r="Y38" s="504">
        <v>0</v>
      </c>
      <c r="Z38" s="504">
        <v>0</v>
      </c>
      <c r="AA38" s="504">
        <v>0</v>
      </c>
      <c r="AB38" s="504">
        <v>0</v>
      </c>
      <c r="AC38" s="504">
        <v>0</v>
      </c>
      <c r="AD38" s="504">
        <v>0</v>
      </c>
      <c r="AE38" s="504">
        <v>0</v>
      </c>
      <c r="AF38" s="504">
        <v>0</v>
      </c>
      <c r="AG38" s="504">
        <v>0</v>
      </c>
      <c r="AH38" s="504">
        <v>0</v>
      </c>
      <c r="AI38" s="504">
        <v>0</v>
      </c>
      <c r="AJ38" s="504">
        <v>0</v>
      </c>
      <c r="AK38" s="504">
        <v>0</v>
      </c>
      <c r="AL38" s="504">
        <v>0</v>
      </c>
      <c r="AM38" s="504">
        <v>0</v>
      </c>
      <c r="AN38" s="504">
        <v>0</v>
      </c>
      <c r="AO38" s="504">
        <v>0</v>
      </c>
      <c r="AP38" s="504">
        <v>0</v>
      </c>
      <c r="AQ38" s="504">
        <v>0</v>
      </c>
      <c r="AR38" s="504">
        <v>0</v>
      </c>
      <c r="AS38" s="504">
        <v>0</v>
      </c>
      <c r="AT38" s="504">
        <v>0</v>
      </c>
      <c r="AU38" s="504">
        <v>0</v>
      </c>
      <c r="AV38" s="504">
        <v>0</v>
      </c>
      <c r="AW38" s="504">
        <v>0</v>
      </c>
      <c r="AX38" s="504">
        <v>0</v>
      </c>
      <c r="AY38" s="504">
        <v>0</v>
      </c>
      <c r="AZ38" s="504">
        <v>0</v>
      </c>
      <c r="BA38" s="504">
        <v>0</v>
      </c>
      <c r="BB38" s="504">
        <v>0</v>
      </c>
      <c r="BC38" s="504">
        <v>0</v>
      </c>
      <c r="BD38" s="504">
        <v>0</v>
      </c>
      <c r="BE38" s="504">
        <v>0</v>
      </c>
      <c r="BF38" s="504">
        <v>0</v>
      </c>
      <c r="BG38" s="504">
        <v>0</v>
      </c>
      <c r="BH38" s="504">
        <v>0</v>
      </c>
      <c r="BI38" s="504">
        <v>0</v>
      </c>
      <c r="BJ38" s="504">
        <v>0</v>
      </c>
      <c r="BK38" s="504">
        <v>0</v>
      </c>
      <c r="BL38" s="504">
        <v>0</v>
      </c>
      <c r="BM38" s="504">
        <v>0</v>
      </c>
      <c r="BN38" s="504">
        <v>0</v>
      </c>
      <c r="BO38" s="504">
        <v>0</v>
      </c>
      <c r="BP38" s="504">
        <v>0</v>
      </c>
      <c r="BQ38" s="504">
        <v>0</v>
      </c>
      <c r="BR38" s="504">
        <v>0</v>
      </c>
      <c r="BS38" s="504">
        <v>0</v>
      </c>
      <c r="BT38" s="504">
        <v>0</v>
      </c>
      <c r="BU38" s="504">
        <v>0</v>
      </c>
      <c r="BV38" s="504">
        <v>0</v>
      </c>
      <c r="BW38" s="504">
        <v>0</v>
      </c>
      <c r="BX38" s="504">
        <v>0</v>
      </c>
      <c r="BY38" s="504">
        <v>0</v>
      </c>
      <c r="BZ38" s="504">
        <v>0</v>
      </c>
      <c r="CA38" s="504">
        <v>0</v>
      </c>
      <c r="CB38" s="504">
        <v>0</v>
      </c>
      <c r="CC38" s="504">
        <v>0</v>
      </c>
      <c r="CD38" s="504">
        <v>0</v>
      </c>
      <c r="CE38" s="504">
        <v>0</v>
      </c>
      <c r="CF38" s="504">
        <v>0</v>
      </c>
      <c r="CG38" s="504">
        <v>0</v>
      </c>
      <c r="CH38" s="504">
        <v>0</v>
      </c>
      <c r="CI38" s="504">
        <v>0</v>
      </c>
      <c r="CJ38" s="504">
        <v>0</v>
      </c>
      <c r="CK38" s="504">
        <v>0</v>
      </c>
      <c r="CL38" s="504">
        <v>0</v>
      </c>
      <c r="CM38" s="504">
        <v>0</v>
      </c>
      <c r="CN38" s="504">
        <v>0</v>
      </c>
      <c r="CO38" s="504">
        <v>0</v>
      </c>
      <c r="CP38" s="504">
        <v>0</v>
      </c>
      <c r="CQ38" s="504">
        <v>0</v>
      </c>
      <c r="CR38" s="504">
        <v>0</v>
      </c>
      <c r="CS38" s="504">
        <v>0</v>
      </c>
      <c r="CT38" s="504">
        <v>0</v>
      </c>
      <c r="CU38" s="504">
        <v>0</v>
      </c>
      <c r="CV38" s="504">
        <v>0</v>
      </c>
      <c r="CW38" s="504">
        <v>0</v>
      </c>
      <c r="CX38" s="504">
        <v>0</v>
      </c>
      <c r="CY38" s="504">
        <v>0</v>
      </c>
      <c r="CZ38" s="1654">
        <v>0</v>
      </c>
      <c r="DA38" s="504">
        <v>0</v>
      </c>
      <c r="DB38" s="504">
        <v>118</v>
      </c>
      <c r="DC38" s="504">
        <v>436</v>
      </c>
      <c r="DD38" s="504">
        <v>1049</v>
      </c>
      <c r="DE38" s="504">
        <v>1427</v>
      </c>
      <c r="DF38" s="504">
        <v>1886</v>
      </c>
      <c r="DG38" s="504">
        <v>0</v>
      </c>
      <c r="DH38" s="504">
        <v>0</v>
      </c>
      <c r="DI38" s="504">
        <v>0</v>
      </c>
      <c r="DJ38" s="504">
        <v>0</v>
      </c>
      <c r="DK38" s="504">
        <v>0</v>
      </c>
      <c r="DL38" s="504">
        <v>0</v>
      </c>
      <c r="DM38" s="504">
        <v>0</v>
      </c>
      <c r="DN38" s="504">
        <v>0</v>
      </c>
      <c r="DO38" s="504">
        <v>0</v>
      </c>
      <c r="DP38" s="504">
        <v>0</v>
      </c>
      <c r="DQ38" s="504">
        <v>0</v>
      </c>
      <c r="DR38" s="504">
        <v>0</v>
      </c>
      <c r="DS38" s="504">
        <v>0</v>
      </c>
      <c r="DT38" s="504">
        <v>0</v>
      </c>
      <c r="DU38" s="504">
        <v>0</v>
      </c>
      <c r="DV38" s="504">
        <v>0</v>
      </c>
      <c r="DW38" s="504">
        <v>0</v>
      </c>
      <c r="DX38" s="504">
        <v>0</v>
      </c>
      <c r="DY38" s="504">
        <v>0</v>
      </c>
      <c r="DZ38" s="504">
        <v>0</v>
      </c>
      <c r="EA38" s="504">
        <v>0</v>
      </c>
      <c r="EB38" s="504">
        <v>0</v>
      </c>
      <c r="EC38" s="504">
        <v>0</v>
      </c>
      <c r="ED38" s="504">
        <v>0</v>
      </c>
      <c r="EE38" s="504">
        <v>0</v>
      </c>
      <c r="EF38" s="504">
        <v>0</v>
      </c>
      <c r="EG38" s="504">
        <v>0</v>
      </c>
      <c r="EH38" s="504">
        <v>0</v>
      </c>
      <c r="EI38" s="504">
        <v>0</v>
      </c>
      <c r="EJ38" s="504">
        <v>0</v>
      </c>
      <c r="EK38" s="504">
        <v>0</v>
      </c>
      <c r="EL38" s="504">
        <v>0</v>
      </c>
      <c r="EM38" s="504">
        <v>0</v>
      </c>
      <c r="EN38" s="504">
        <v>0</v>
      </c>
      <c r="EO38" s="504">
        <v>0</v>
      </c>
      <c r="EP38" s="504">
        <v>0</v>
      </c>
      <c r="EQ38" s="504">
        <v>0</v>
      </c>
      <c r="ER38" s="504">
        <v>0</v>
      </c>
      <c r="ES38" s="504">
        <v>0</v>
      </c>
      <c r="ET38" s="504">
        <v>0</v>
      </c>
      <c r="EU38" s="504">
        <v>0</v>
      </c>
      <c r="EV38" s="504">
        <v>0</v>
      </c>
      <c r="EW38" s="504">
        <v>0</v>
      </c>
      <c r="EX38" s="504">
        <v>0</v>
      </c>
      <c r="EY38" s="504">
        <v>0</v>
      </c>
      <c r="EZ38" s="504">
        <v>0</v>
      </c>
      <c r="FA38" s="504">
        <v>0</v>
      </c>
      <c r="FB38" s="504">
        <v>0</v>
      </c>
      <c r="FC38" s="504">
        <v>0</v>
      </c>
      <c r="FD38" s="504">
        <v>0</v>
      </c>
      <c r="FE38" s="504">
        <v>0</v>
      </c>
      <c r="FF38" s="504">
        <v>0</v>
      </c>
      <c r="FG38" s="504">
        <v>0</v>
      </c>
      <c r="FH38" s="504">
        <v>0</v>
      </c>
      <c r="FI38" s="504">
        <v>0</v>
      </c>
      <c r="FJ38" s="504">
        <v>0</v>
      </c>
      <c r="FK38" s="504">
        <v>0</v>
      </c>
      <c r="FL38" s="504">
        <v>0</v>
      </c>
      <c r="FM38" s="504">
        <v>0</v>
      </c>
      <c r="FN38" s="504">
        <v>0</v>
      </c>
      <c r="FO38" s="504">
        <v>0</v>
      </c>
      <c r="FP38" s="504">
        <v>0</v>
      </c>
      <c r="FQ38" s="504">
        <v>0</v>
      </c>
      <c r="FR38" s="504">
        <v>0</v>
      </c>
      <c r="FS38" s="504">
        <v>0</v>
      </c>
      <c r="FT38" s="504">
        <v>0</v>
      </c>
      <c r="FU38" s="504">
        <v>0</v>
      </c>
      <c r="FV38" s="504">
        <v>0</v>
      </c>
      <c r="FW38" s="504">
        <v>0</v>
      </c>
      <c r="FX38" s="504">
        <v>0</v>
      </c>
      <c r="FY38" s="504">
        <v>0</v>
      </c>
      <c r="FZ38" s="504">
        <v>0</v>
      </c>
      <c r="GA38" s="504">
        <v>0</v>
      </c>
      <c r="GB38" s="504">
        <v>0</v>
      </c>
      <c r="GC38" s="504">
        <v>0</v>
      </c>
      <c r="GD38" s="504">
        <v>0</v>
      </c>
      <c r="GE38" s="504">
        <v>0</v>
      </c>
      <c r="GF38" s="504">
        <v>0</v>
      </c>
      <c r="GG38" s="504">
        <v>0</v>
      </c>
      <c r="GH38" s="504">
        <v>0</v>
      </c>
      <c r="GI38" s="504">
        <v>0</v>
      </c>
      <c r="GJ38" s="504">
        <v>0</v>
      </c>
      <c r="GK38" s="504">
        <v>0</v>
      </c>
      <c r="GL38" s="504">
        <v>0</v>
      </c>
      <c r="GM38" s="504">
        <v>0</v>
      </c>
      <c r="GN38" s="504">
        <v>0</v>
      </c>
      <c r="GO38" s="504">
        <v>0</v>
      </c>
      <c r="GP38" s="504">
        <v>0</v>
      </c>
      <c r="GQ38" s="504">
        <v>0</v>
      </c>
      <c r="GR38" s="504">
        <v>0</v>
      </c>
      <c r="GS38" s="504">
        <v>0</v>
      </c>
      <c r="GT38" s="504">
        <v>0</v>
      </c>
      <c r="GU38" s="504">
        <v>0</v>
      </c>
      <c r="GV38" s="504">
        <v>0</v>
      </c>
      <c r="GW38" s="1654">
        <v>0</v>
      </c>
      <c r="GX38" s="504">
        <v>0</v>
      </c>
      <c r="GY38" s="504">
        <v>6143</v>
      </c>
      <c r="GZ38" s="504">
        <v>14282</v>
      </c>
      <c r="HA38" s="504">
        <v>16000</v>
      </c>
      <c r="HB38" s="504">
        <v>15000</v>
      </c>
      <c r="HC38" s="504">
        <v>14000</v>
      </c>
      <c r="HD38" s="504">
        <v>0</v>
      </c>
      <c r="HE38" s="504">
        <v>0</v>
      </c>
      <c r="HF38" s="504">
        <v>0</v>
      </c>
      <c r="HG38" s="504">
        <v>0</v>
      </c>
      <c r="HH38" s="504">
        <v>0</v>
      </c>
      <c r="HI38" s="504">
        <v>0</v>
      </c>
      <c r="HJ38" s="504">
        <v>0</v>
      </c>
      <c r="HK38" s="504">
        <v>0</v>
      </c>
      <c r="HL38" s="504">
        <v>0</v>
      </c>
      <c r="HM38" s="504">
        <v>0</v>
      </c>
      <c r="HN38" s="504">
        <v>0</v>
      </c>
      <c r="HO38" s="504">
        <v>0</v>
      </c>
      <c r="HP38" s="504">
        <v>0</v>
      </c>
      <c r="HQ38" s="504">
        <v>0</v>
      </c>
      <c r="HR38" s="504">
        <v>0</v>
      </c>
      <c r="HS38" s="504">
        <v>0</v>
      </c>
      <c r="HT38" s="504">
        <v>0</v>
      </c>
      <c r="HU38" s="504">
        <v>0</v>
      </c>
      <c r="HV38" s="504">
        <v>0</v>
      </c>
      <c r="HW38" s="504">
        <v>0</v>
      </c>
      <c r="HX38" s="504">
        <v>0</v>
      </c>
      <c r="HY38" s="504">
        <v>0</v>
      </c>
      <c r="HZ38" s="504">
        <v>0</v>
      </c>
      <c r="IA38" s="504">
        <v>0</v>
      </c>
      <c r="IB38" s="504">
        <v>0</v>
      </c>
      <c r="IC38" s="504">
        <v>0</v>
      </c>
      <c r="ID38" s="504">
        <v>0</v>
      </c>
      <c r="IE38" s="504">
        <v>0</v>
      </c>
      <c r="IF38" s="504">
        <v>0</v>
      </c>
      <c r="IG38" s="504">
        <v>0</v>
      </c>
      <c r="IH38" s="504">
        <v>0</v>
      </c>
      <c r="II38" s="504">
        <v>0</v>
      </c>
      <c r="IJ38" s="504">
        <v>0</v>
      </c>
      <c r="IK38" s="504">
        <v>0</v>
      </c>
      <c r="IL38" s="504">
        <v>0</v>
      </c>
      <c r="IM38" s="504">
        <v>0</v>
      </c>
      <c r="IN38" s="504">
        <v>0</v>
      </c>
      <c r="IO38" s="504">
        <v>0</v>
      </c>
      <c r="IP38" s="504">
        <v>0</v>
      </c>
      <c r="IQ38" s="504">
        <v>0</v>
      </c>
      <c r="IR38" s="504">
        <v>0</v>
      </c>
      <c r="IS38" s="504">
        <v>0</v>
      </c>
      <c r="IT38" s="504">
        <v>0</v>
      </c>
      <c r="IU38" s="504">
        <v>0</v>
      </c>
      <c r="IV38" s="504">
        <v>0</v>
      </c>
      <c r="IW38" s="504">
        <v>0</v>
      </c>
      <c r="IX38" s="504">
        <v>0</v>
      </c>
      <c r="IY38" s="504">
        <v>0</v>
      </c>
      <c r="IZ38" s="504">
        <v>0</v>
      </c>
      <c r="JA38" s="504">
        <v>0</v>
      </c>
      <c r="JB38" s="504">
        <v>0</v>
      </c>
      <c r="JC38" s="504">
        <v>0</v>
      </c>
      <c r="JD38" s="504">
        <v>0</v>
      </c>
      <c r="JE38" s="504">
        <v>0</v>
      </c>
      <c r="JF38" s="504">
        <v>0</v>
      </c>
      <c r="JG38" s="504">
        <v>0</v>
      </c>
      <c r="JH38" s="504">
        <v>0</v>
      </c>
      <c r="JI38" s="504">
        <v>0</v>
      </c>
      <c r="JJ38" s="504">
        <v>0</v>
      </c>
      <c r="JK38" s="504">
        <v>0</v>
      </c>
      <c r="JL38" s="504">
        <v>0</v>
      </c>
      <c r="JM38" s="504">
        <v>0</v>
      </c>
      <c r="JN38" s="504">
        <v>0</v>
      </c>
      <c r="JO38" s="504">
        <v>0</v>
      </c>
      <c r="JP38" s="504">
        <v>0</v>
      </c>
      <c r="JQ38" s="504">
        <v>0</v>
      </c>
      <c r="JR38" s="504">
        <v>0</v>
      </c>
      <c r="JS38" s="504">
        <v>0</v>
      </c>
      <c r="JT38" s="504">
        <v>0</v>
      </c>
      <c r="JU38" s="504">
        <v>0</v>
      </c>
      <c r="JV38" s="504">
        <v>0</v>
      </c>
      <c r="JW38" s="504">
        <v>0</v>
      </c>
      <c r="JX38" s="504">
        <v>0</v>
      </c>
      <c r="JY38" s="504">
        <v>0</v>
      </c>
      <c r="JZ38" s="504">
        <v>0</v>
      </c>
      <c r="KA38" s="504">
        <v>0</v>
      </c>
      <c r="KB38" s="504">
        <v>0</v>
      </c>
      <c r="KC38" s="504">
        <v>0</v>
      </c>
      <c r="KD38" s="504">
        <v>0</v>
      </c>
      <c r="KE38" s="504">
        <v>0</v>
      </c>
      <c r="KF38" s="504">
        <v>0</v>
      </c>
      <c r="KG38" s="504">
        <v>0</v>
      </c>
      <c r="KH38" s="504">
        <v>0</v>
      </c>
      <c r="KI38" s="504">
        <v>0</v>
      </c>
      <c r="KJ38" s="504">
        <v>0</v>
      </c>
      <c r="KK38" s="504">
        <v>0</v>
      </c>
      <c r="KL38" s="504">
        <v>0</v>
      </c>
      <c r="KM38" s="504">
        <v>0</v>
      </c>
      <c r="KN38" s="504">
        <v>0</v>
      </c>
      <c r="KO38" s="504">
        <v>0</v>
      </c>
      <c r="KP38" s="504">
        <v>0</v>
      </c>
      <c r="KQ38" s="504">
        <v>0</v>
      </c>
      <c r="KR38" s="504">
        <v>0</v>
      </c>
      <c r="KS38" s="504">
        <v>0</v>
      </c>
      <c r="KT38" s="1654">
        <v>0</v>
      </c>
      <c r="KU38" s="504">
        <v>0</v>
      </c>
      <c r="KV38" s="504">
        <v>0</v>
      </c>
      <c r="KW38" s="504">
        <v>0</v>
      </c>
      <c r="KX38" s="504">
        <v>1038</v>
      </c>
      <c r="KY38" s="504">
        <v>1416</v>
      </c>
      <c r="KZ38" s="504">
        <v>1875</v>
      </c>
      <c r="LA38" s="504">
        <v>0</v>
      </c>
      <c r="LB38" s="504">
        <v>0</v>
      </c>
      <c r="LC38" s="504">
        <v>0</v>
      </c>
      <c r="LD38" s="504">
        <v>0</v>
      </c>
      <c r="LE38" s="504">
        <v>0</v>
      </c>
      <c r="LF38" s="504">
        <v>0</v>
      </c>
      <c r="LG38" s="504">
        <v>0</v>
      </c>
      <c r="LH38" s="504">
        <v>0</v>
      </c>
      <c r="LI38" s="504">
        <v>0</v>
      </c>
      <c r="LJ38" s="504">
        <v>0</v>
      </c>
      <c r="LK38" s="504">
        <v>0</v>
      </c>
      <c r="LL38" s="504">
        <v>0</v>
      </c>
      <c r="LM38" s="504">
        <v>0</v>
      </c>
      <c r="LN38" s="504">
        <v>0</v>
      </c>
      <c r="LO38" s="504">
        <v>0</v>
      </c>
      <c r="LP38" s="504">
        <v>0</v>
      </c>
      <c r="LQ38" s="504">
        <v>0</v>
      </c>
      <c r="LR38" s="504">
        <v>0</v>
      </c>
      <c r="LS38" s="504">
        <v>0</v>
      </c>
      <c r="LT38" s="504">
        <v>0</v>
      </c>
      <c r="LU38" s="504">
        <v>0</v>
      </c>
      <c r="LV38" s="504">
        <v>0</v>
      </c>
      <c r="LW38" s="504">
        <v>0</v>
      </c>
      <c r="LX38" s="504">
        <v>0</v>
      </c>
      <c r="LY38" s="504">
        <v>0</v>
      </c>
      <c r="LZ38" s="504">
        <v>0</v>
      </c>
      <c r="MA38" s="504">
        <v>0</v>
      </c>
      <c r="MB38" s="504">
        <v>0</v>
      </c>
      <c r="MC38" s="504">
        <v>0</v>
      </c>
      <c r="MD38" s="504">
        <v>0</v>
      </c>
      <c r="ME38" s="504">
        <v>0</v>
      </c>
      <c r="MF38" s="504">
        <v>0</v>
      </c>
      <c r="MG38" s="504">
        <v>0</v>
      </c>
      <c r="MH38" s="504">
        <v>0</v>
      </c>
      <c r="MI38" s="504">
        <v>0</v>
      </c>
      <c r="MJ38" s="504">
        <v>0</v>
      </c>
      <c r="MK38" s="504">
        <v>0</v>
      </c>
      <c r="ML38" s="504">
        <v>0</v>
      </c>
      <c r="MM38" s="504">
        <v>0</v>
      </c>
      <c r="MN38" s="504">
        <v>0</v>
      </c>
      <c r="MO38" s="504">
        <v>0</v>
      </c>
      <c r="MP38" s="504">
        <v>0</v>
      </c>
      <c r="MQ38" s="504">
        <v>0</v>
      </c>
      <c r="MR38" s="504">
        <v>0</v>
      </c>
      <c r="MS38" s="504">
        <v>0</v>
      </c>
      <c r="MT38" s="504">
        <v>0</v>
      </c>
      <c r="MU38" s="504">
        <v>0</v>
      </c>
      <c r="MV38" s="504">
        <v>0</v>
      </c>
      <c r="MW38" s="504">
        <v>0</v>
      </c>
      <c r="MX38" s="504">
        <v>0</v>
      </c>
      <c r="MY38" s="504">
        <v>0</v>
      </c>
      <c r="MZ38" s="504">
        <v>0</v>
      </c>
      <c r="NA38" s="504">
        <v>0</v>
      </c>
      <c r="NB38" s="504">
        <v>0</v>
      </c>
      <c r="NC38" s="504">
        <v>0</v>
      </c>
      <c r="ND38" s="504">
        <v>0</v>
      </c>
      <c r="NE38" s="504">
        <v>0</v>
      </c>
      <c r="NF38" s="504">
        <v>0</v>
      </c>
      <c r="NG38" s="504">
        <v>0</v>
      </c>
      <c r="NH38" s="504">
        <v>0</v>
      </c>
      <c r="NI38" s="504">
        <v>0</v>
      </c>
      <c r="NJ38" s="504">
        <v>0</v>
      </c>
      <c r="NK38" s="504">
        <v>0</v>
      </c>
      <c r="NL38" s="504">
        <v>0</v>
      </c>
      <c r="NM38" s="504">
        <v>0</v>
      </c>
      <c r="NN38" s="504">
        <v>0</v>
      </c>
      <c r="NO38" s="504">
        <v>0</v>
      </c>
      <c r="NP38" s="504">
        <v>0</v>
      </c>
      <c r="NQ38" s="504">
        <v>0</v>
      </c>
      <c r="NR38" s="504">
        <v>0</v>
      </c>
      <c r="NS38" s="504">
        <v>0</v>
      </c>
      <c r="NT38" s="504">
        <v>0</v>
      </c>
      <c r="NU38" s="504">
        <v>0</v>
      </c>
      <c r="NV38" s="504">
        <v>0</v>
      </c>
      <c r="NW38" s="504">
        <v>0</v>
      </c>
      <c r="NX38" s="504">
        <v>0</v>
      </c>
      <c r="NY38" s="504">
        <v>0</v>
      </c>
      <c r="NZ38" s="504">
        <v>0</v>
      </c>
      <c r="OA38" s="504">
        <v>0</v>
      </c>
      <c r="OB38" s="504">
        <v>0</v>
      </c>
      <c r="OC38" s="504">
        <v>0</v>
      </c>
      <c r="OD38" s="504">
        <v>0</v>
      </c>
      <c r="OE38" s="504">
        <v>0</v>
      </c>
      <c r="OF38" s="504">
        <v>0</v>
      </c>
      <c r="OG38" s="504">
        <v>0</v>
      </c>
      <c r="OH38" s="504">
        <v>0</v>
      </c>
      <c r="OI38" s="504">
        <v>0</v>
      </c>
      <c r="OJ38" s="504">
        <v>0</v>
      </c>
      <c r="OK38" s="504">
        <v>0</v>
      </c>
      <c r="OL38" s="504">
        <v>0</v>
      </c>
      <c r="OM38" s="504">
        <v>0</v>
      </c>
      <c r="ON38" s="504">
        <v>0</v>
      </c>
      <c r="OO38" s="504">
        <v>0</v>
      </c>
      <c r="OP38" s="504">
        <v>0</v>
      </c>
      <c r="OQ38" s="504">
        <v>0</v>
      </c>
      <c r="OR38" s="1656"/>
    </row>
    <row r="39" spans="1:408" ht="21.5">
      <c r="A39" s="1466" t="s">
        <v>1660</v>
      </c>
      <c r="B39" s="1583" t="s">
        <v>2358</v>
      </c>
      <c r="C39" s="1583" t="s">
        <v>14</v>
      </c>
      <c r="D39" s="1583">
        <v>62</v>
      </c>
      <c r="E39" s="504">
        <v>84</v>
      </c>
      <c r="F39" s="504">
        <v>313</v>
      </c>
      <c r="G39" s="504">
        <v>789</v>
      </c>
      <c r="H39" s="504">
        <v>1222</v>
      </c>
      <c r="I39" s="504">
        <v>1743</v>
      </c>
      <c r="J39" s="504">
        <v>2128</v>
      </c>
      <c r="K39" s="504">
        <v>2164</v>
      </c>
      <c r="L39" s="504">
        <v>2201</v>
      </c>
      <c r="M39" s="504">
        <v>2238</v>
      </c>
      <c r="N39" s="504">
        <v>2277</v>
      </c>
      <c r="O39" s="504">
        <v>2316</v>
      </c>
      <c r="P39" s="504">
        <v>2356</v>
      </c>
      <c r="Q39" s="504">
        <v>2398</v>
      </c>
      <c r="R39" s="504">
        <v>2441</v>
      </c>
      <c r="S39" s="504">
        <v>2487</v>
      </c>
      <c r="T39" s="504">
        <v>2536</v>
      </c>
      <c r="U39" s="504">
        <v>2589</v>
      </c>
      <c r="V39" s="504">
        <v>2666</v>
      </c>
      <c r="W39" s="504">
        <v>0</v>
      </c>
      <c r="X39" s="504">
        <v>0</v>
      </c>
      <c r="Y39" s="504">
        <v>0</v>
      </c>
      <c r="Z39" s="504">
        <v>0</v>
      </c>
      <c r="AA39" s="504">
        <v>0</v>
      </c>
      <c r="AB39" s="504">
        <v>0</v>
      </c>
      <c r="AC39" s="504">
        <v>0</v>
      </c>
      <c r="AD39" s="504">
        <v>0</v>
      </c>
      <c r="AE39" s="504">
        <v>0</v>
      </c>
      <c r="AF39" s="504">
        <v>0</v>
      </c>
      <c r="AG39" s="504">
        <v>0</v>
      </c>
      <c r="AH39" s="504">
        <v>0</v>
      </c>
      <c r="AI39" s="504">
        <v>0</v>
      </c>
      <c r="AJ39" s="504">
        <v>0</v>
      </c>
      <c r="AK39" s="504">
        <v>0</v>
      </c>
      <c r="AL39" s="504">
        <v>0</v>
      </c>
      <c r="AM39" s="504">
        <v>0</v>
      </c>
      <c r="AN39" s="504">
        <v>0</v>
      </c>
      <c r="AO39" s="504">
        <v>0</v>
      </c>
      <c r="AP39" s="504">
        <v>0</v>
      </c>
      <c r="AQ39" s="504">
        <v>0</v>
      </c>
      <c r="AR39" s="504">
        <v>0</v>
      </c>
      <c r="AS39" s="504">
        <v>0</v>
      </c>
      <c r="AT39" s="504">
        <v>0</v>
      </c>
      <c r="AU39" s="504">
        <v>0</v>
      </c>
      <c r="AV39" s="504">
        <v>0</v>
      </c>
      <c r="AW39" s="504">
        <v>0</v>
      </c>
      <c r="AX39" s="504">
        <v>0</v>
      </c>
      <c r="AY39" s="504">
        <v>0</v>
      </c>
      <c r="AZ39" s="504">
        <v>0</v>
      </c>
      <c r="BA39" s="504">
        <v>0</v>
      </c>
      <c r="BB39" s="504">
        <v>0</v>
      </c>
      <c r="BC39" s="504">
        <v>0</v>
      </c>
      <c r="BD39" s="504">
        <v>0</v>
      </c>
      <c r="BE39" s="504">
        <v>0</v>
      </c>
      <c r="BF39" s="504">
        <v>0</v>
      </c>
      <c r="BG39" s="504">
        <v>0</v>
      </c>
      <c r="BH39" s="504">
        <v>0</v>
      </c>
      <c r="BI39" s="504">
        <v>0</v>
      </c>
      <c r="BJ39" s="504">
        <v>0</v>
      </c>
      <c r="BK39" s="504">
        <v>0</v>
      </c>
      <c r="BL39" s="504">
        <v>0</v>
      </c>
      <c r="BM39" s="504">
        <v>0</v>
      </c>
      <c r="BN39" s="504">
        <v>0</v>
      </c>
      <c r="BO39" s="504">
        <v>0</v>
      </c>
      <c r="BP39" s="504">
        <v>0</v>
      </c>
      <c r="BQ39" s="504">
        <v>0</v>
      </c>
      <c r="BR39" s="504">
        <v>0</v>
      </c>
      <c r="BS39" s="504">
        <v>0</v>
      </c>
      <c r="BT39" s="504">
        <v>0</v>
      </c>
      <c r="BU39" s="504">
        <v>0</v>
      </c>
      <c r="BV39" s="504">
        <v>0</v>
      </c>
      <c r="BW39" s="504">
        <v>0</v>
      </c>
      <c r="BX39" s="504">
        <v>0</v>
      </c>
      <c r="BY39" s="504">
        <v>0</v>
      </c>
      <c r="BZ39" s="504">
        <v>0</v>
      </c>
      <c r="CA39" s="504">
        <v>0</v>
      </c>
      <c r="CB39" s="504">
        <v>0</v>
      </c>
      <c r="CC39" s="504">
        <v>0</v>
      </c>
      <c r="CD39" s="504">
        <v>0</v>
      </c>
      <c r="CE39" s="504">
        <v>0</v>
      </c>
      <c r="CF39" s="504">
        <v>0</v>
      </c>
      <c r="CG39" s="504">
        <v>0</v>
      </c>
      <c r="CH39" s="504">
        <v>0</v>
      </c>
      <c r="CI39" s="504">
        <v>0</v>
      </c>
      <c r="CJ39" s="504">
        <v>0</v>
      </c>
      <c r="CK39" s="504">
        <v>0</v>
      </c>
      <c r="CL39" s="504">
        <v>0</v>
      </c>
      <c r="CM39" s="504">
        <v>0</v>
      </c>
      <c r="CN39" s="504">
        <v>0</v>
      </c>
      <c r="CO39" s="504">
        <v>0</v>
      </c>
      <c r="CP39" s="504">
        <v>0</v>
      </c>
      <c r="CQ39" s="504">
        <v>0</v>
      </c>
      <c r="CR39" s="504">
        <v>0</v>
      </c>
      <c r="CS39" s="504">
        <v>0</v>
      </c>
      <c r="CT39" s="504">
        <v>0</v>
      </c>
      <c r="CU39" s="504">
        <v>0</v>
      </c>
      <c r="CV39" s="504">
        <v>0</v>
      </c>
      <c r="CW39" s="504">
        <v>0</v>
      </c>
      <c r="CX39" s="504">
        <v>0</v>
      </c>
      <c r="CY39" s="504">
        <v>0</v>
      </c>
      <c r="CZ39" s="1654">
        <v>0</v>
      </c>
      <c r="DA39" s="504">
        <v>0</v>
      </c>
      <c r="DB39" s="504">
        <v>129</v>
      </c>
      <c r="DC39" s="504">
        <v>469</v>
      </c>
      <c r="DD39" s="504">
        <v>1104</v>
      </c>
      <c r="DE39" s="504">
        <v>1520</v>
      </c>
      <c r="DF39" s="504">
        <v>2023</v>
      </c>
      <c r="DG39" s="504">
        <v>0</v>
      </c>
      <c r="DH39" s="504">
        <v>0</v>
      </c>
      <c r="DI39" s="504">
        <v>0</v>
      </c>
      <c r="DJ39" s="504">
        <v>0</v>
      </c>
      <c r="DK39" s="504">
        <v>0</v>
      </c>
      <c r="DL39" s="504">
        <v>0</v>
      </c>
      <c r="DM39" s="504">
        <v>0</v>
      </c>
      <c r="DN39" s="504">
        <v>0</v>
      </c>
      <c r="DO39" s="504">
        <v>0</v>
      </c>
      <c r="DP39" s="504">
        <v>0</v>
      </c>
      <c r="DQ39" s="504">
        <v>0</v>
      </c>
      <c r="DR39" s="504">
        <v>0</v>
      </c>
      <c r="DS39" s="504">
        <v>0</v>
      </c>
      <c r="DT39" s="504">
        <v>0</v>
      </c>
      <c r="DU39" s="504">
        <v>0</v>
      </c>
      <c r="DV39" s="504">
        <v>0</v>
      </c>
      <c r="DW39" s="504">
        <v>0</v>
      </c>
      <c r="DX39" s="504">
        <v>0</v>
      </c>
      <c r="DY39" s="504">
        <v>0</v>
      </c>
      <c r="DZ39" s="504">
        <v>0</v>
      </c>
      <c r="EA39" s="504">
        <v>0</v>
      </c>
      <c r="EB39" s="504">
        <v>0</v>
      </c>
      <c r="EC39" s="504">
        <v>0</v>
      </c>
      <c r="ED39" s="504">
        <v>0</v>
      </c>
      <c r="EE39" s="504">
        <v>0</v>
      </c>
      <c r="EF39" s="504">
        <v>0</v>
      </c>
      <c r="EG39" s="504">
        <v>0</v>
      </c>
      <c r="EH39" s="504">
        <v>0</v>
      </c>
      <c r="EI39" s="504">
        <v>0</v>
      </c>
      <c r="EJ39" s="504">
        <v>0</v>
      </c>
      <c r="EK39" s="504">
        <v>0</v>
      </c>
      <c r="EL39" s="504">
        <v>0</v>
      </c>
      <c r="EM39" s="504">
        <v>0</v>
      </c>
      <c r="EN39" s="504">
        <v>0</v>
      </c>
      <c r="EO39" s="504">
        <v>0</v>
      </c>
      <c r="EP39" s="504">
        <v>0</v>
      </c>
      <c r="EQ39" s="504">
        <v>0</v>
      </c>
      <c r="ER39" s="504">
        <v>0</v>
      </c>
      <c r="ES39" s="504">
        <v>0</v>
      </c>
      <c r="ET39" s="504">
        <v>0</v>
      </c>
      <c r="EU39" s="504">
        <v>0</v>
      </c>
      <c r="EV39" s="504">
        <v>0</v>
      </c>
      <c r="EW39" s="504">
        <v>0</v>
      </c>
      <c r="EX39" s="504">
        <v>0</v>
      </c>
      <c r="EY39" s="504">
        <v>0</v>
      </c>
      <c r="EZ39" s="504">
        <v>0</v>
      </c>
      <c r="FA39" s="504">
        <v>0</v>
      </c>
      <c r="FB39" s="504">
        <v>0</v>
      </c>
      <c r="FC39" s="504">
        <v>0</v>
      </c>
      <c r="FD39" s="504">
        <v>0</v>
      </c>
      <c r="FE39" s="504">
        <v>0</v>
      </c>
      <c r="FF39" s="504">
        <v>0</v>
      </c>
      <c r="FG39" s="504">
        <v>0</v>
      </c>
      <c r="FH39" s="504">
        <v>0</v>
      </c>
      <c r="FI39" s="504">
        <v>0</v>
      </c>
      <c r="FJ39" s="504">
        <v>0</v>
      </c>
      <c r="FK39" s="504">
        <v>0</v>
      </c>
      <c r="FL39" s="504">
        <v>0</v>
      </c>
      <c r="FM39" s="504">
        <v>0</v>
      </c>
      <c r="FN39" s="504">
        <v>0</v>
      </c>
      <c r="FO39" s="504">
        <v>0</v>
      </c>
      <c r="FP39" s="504">
        <v>0</v>
      </c>
      <c r="FQ39" s="504">
        <v>0</v>
      </c>
      <c r="FR39" s="504">
        <v>0</v>
      </c>
      <c r="FS39" s="504">
        <v>0</v>
      </c>
      <c r="FT39" s="504">
        <v>0</v>
      </c>
      <c r="FU39" s="504">
        <v>0</v>
      </c>
      <c r="FV39" s="504">
        <v>0</v>
      </c>
      <c r="FW39" s="504">
        <v>0</v>
      </c>
      <c r="FX39" s="504">
        <v>0</v>
      </c>
      <c r="FY39" s="504">
        <v>0</v>
      </c>
      <c r="FZ39" s="504">
        <v>0</v>
      </c>
      <c r="GA39" s="504">
        <v>0</v>
      </c>
      <c r="GB39" s="504">
        <v>0</v>
      </c>
      <c r="GC39" s="504">
        <v>0</v>
      </c>
      <c r="GD39" s="504">
        <v>0</v>
      </c>
      <c r="GE39" s="504">
        <v>0</v>
      </c>
      <c r="GF39" s="504">
        <v>0</v>
      </c>
      <c r="GG39" s="504">
        <v>0</v>
      </c>
      <c r="GH39" s="504">
        <v>0</v>
      </c>
      <c r="GI39" s="504">
        <v>0</v>
      </c>
      <c r="GJ39" s="504">
        <v>0</v>
      </c>
      <c r="GK39" s="504">
        <v>0</v>
      </c>
      <c r="GL39" s="504">
        <v>0</v>
      </c>
      <c r="GM39" s="504">
        <v>0</v>
      </c>
      <c r="GN39" s="504">
        <v>0</v>
      </c>
      <c r="GO39" s="504">
        <v>0</v>
      </c>
      <c r="GP39" s="504">
        <v>0</v>
      </c>
      <c r="GQ39" s="504">
        <v>0</v>
      </c>
      <c r="GR39" s="504">
        <v>0</v>
      </c>
      <c r="GS39" s="504">
        <v>0</v>
      </c>
      <c r="GT39" s="504">
        <v>0</v>
      </c>
      <c r="GU39" s="504">
        <v>0</v>
      </c>
      <c r="GV39" s="504">
        <v>0</v>
      </c>
      <c r="GW39" s="1654">
        <v>0</v>
      </c>
      <c r="GX39" s="504">
        <v>0</v>
      </c>
      <c r="GY39" s="504">
        <v>6125</v>
      </c>
      <c r="GZ39" s="504">
        <v>14259</v>
      </c>
      <c r="HA39" s="504">
        <v>15000</v>
      </c>
      <c r="HB39" s="504">
        <v>14000</v>
      </c>
      <c r="HC39" s="504">
        <v>13000</v>
      </c>
      <c r="HD39" s="504">
        <v>0</v>
      </c>
      <c r="HE39" s="504">
        <v>0</v>
      </c>
      <c r="HF39" s="504">
        <v>0</v>
      </c>
      <c r="HG39" s="504">
        <v>0</v>
      </c>
      <c r="HH39" s="504">
        <v>0</v>
      </c>
      <c r="HI39" s="504">
        <v>0</v>
      </c>
      <c r="HJ39" s="504">
        <v>0</v>
      </c>
      <c r="HK39" s="504">
        <v>0</v>
      </c>
      <c r="HL39" s="504">
        <v>0</v>
      </c>
      <c r="HM39" s="504">
        <v>0</v>
      </c>
      <c r="HN39" s="504">
        <v>0</v>
      </c>
      <c r="HO39" s="504">
        <v>0</v>
      </c>
      <c r="HP39" s="504">
        <v>0</v>
      </c>
      <c r="HQ39" s="504">
        <v>0</v>
      </c>
      <c r="HR39" s="504">
        <v>0</v>
      </c>
      <c r="HS39" s="504">
        <v>0</v>
      </c>
      <c r="HT39" s="504">
        <v>0</v>
      </c>
      <c r="HU39" s="504">
        <v>0</v>
      </c>
      <c r="HV39" s="504">
        <v>0</v>
      </c>
      <c r="HW39" s="504">
        <v>0</v>
      </c>
      <c r="HX39" s="504">
        <v>0</v>
      </c>
      <c r="HY39" s="504">
        <v>0</v>
      </c>
      <c r="HZ39" s="504">
        <v>0</v>
      </c>
      <c r="IA39" s="504">
        <v>0</v>
      </c>
      <c r="IB39" s="504">
        <v>0</v>
      </c>
      <c r="IC39" s="504">
        <v>0</v>
      </c>
      <c r="ID39" s="504">
        <v>0</v>
      </c>
      <c r="IE39" s="504">
        <v>0</v>
      </c>
      <c r="IF39" s="504">
        <v>0</v>
      </c>
      <c r="IG39" s="504">
        <v>0</v>
      </c>
      <c r="IH39" s="504">
        <v>0</v>
      </c>
      <c r="II39" s="504">
        <v>0</v>
      </c>
      <c r="IJ39" s="504">
        <v>0</v>
      </c>
      <c r="IK39" s="504">
        <v>0</v>
      </c>
      <c r="IL39" s="504">
        <v>0</v>
      </c>
      <c r="IM39" s="504">
        <v>0</v>
      </c>
      <c r="IN39" s="504">
        <v>0</v>
      </c>
      <c r="IO39" s="504">
        <v>0</v>
      </c>
      <c r="IP39" s="504">
        <v>0</v>
      </c>
      <c r="IQ39" s="504">
        <v>0</v>
      </c>
      <c r="IR39" s="504">
        <v>0</v>
      </c>
      <c r="IS39" s="504">
        <v>0</v>
      </c>
      <c r="IT39" s="504">
        <v>0</v>
      </c>
      <c r="IU39" s="504">
        <v>0</v>
      </c>
      <c r="IV39" s="504">
        <v>0</v>
      </c>
      <c r="IW39" s="504">
        <v>0</v>
      </c>
      <c r="IX39" s="504">
        <v>0</v>
      </c>
      <c r="IY39" s="504">
        <v>0</v>
      </c>
      <c r="IZ39" s="504">
        <v>0</v>
      </c>
      <c r="JA39" s="504">
        <v>0</v>
      </c>
      <c r="JB39" s="504">
        <v>0</v>
      </c>
      <c r="JC39" s="504">
        <v>0</v>
      </c>
      <c r="JD39" s="504">
        <v>0</v>
      </c>
      <c r="JE39" s="504">
        <v>0</v>
      </c>
      <c r="JF39" s="504">
        <v>0</v>
      </c>
      <c r="JG39" s="504">
        <v>0</v>
      </c>
      <c r="JH39" s="504">
        <v>0</v>
      </c>
      <c r="JI39" s="504">
        <v>0</v>
      </c>
      <c r="JJ39" s="504">
        <v>0</v>
      </c>
      <c r="JK39" s="504">
        <v>0</v>
      </c>
      <c r="JL39" s="504">
        <v>0</v>
      </c>
      <c r="JM39" s="504">
        <v>0</v>
      </c>
      <c r="JN39" s="504">
        <v>0</v>
      </c>
      <c r="JO39" s="504">
        <v>0</v>
      </c>
      <c r="JP39" s="504">
        <v>0</v>
      </c>
      <c r="JQ39" s="504">
        <v>0</v>
      </c>
      <c r="JR39" s="504">
        <v>0</v>
      </c>
      <c r="JS39" s="504">
        <v>0</v>
      </c>
      <c r="JT39" s="504">
        <v>0</v>
      </c>
      <c r="JU39" s="504">
        <v>0</v>
      </c>
      <c r="JV39" s="504">
        <v>0</v>
      </c>
      <c r="JW39" s="504">
        <v>0</v>
      </c>
      <c r="JX39" s="504">
        <v>0</v>
      </c>
      <c r="JY39" s="504">
        <v>0</v>
      </c>
      <c r="JZ39" s="504">
        <v>0</v>
      </c>
      <c r="KA39" s="504">
        <v>0</v>
      </c>
      <c r="KB39" s="504">
        <v>0</v>
      </c>
      <c r="KC39" s="504">
        <v>0</v>
      </c>
      <c r="KD39" s="504">
        <v>0</v>
      </c>
      <c r="KE39" s="504">
        <v>0</v>
      </c>
      <c r="KF39" s="504">
        <v>0</v>
      </c>
      <c r="KG39" s="504">
        <v>0</v>
      </c>
      <c r="KH39" s="504">
        <v>0</v>
      </c>
      <c r="KI39" s="504">
        <v>0</v>
      </c>
      <c r="KJ39" s="504">
        <v>0</v>
      </c>
      <c r="KK39" s="504">
        <v>0</v>
      </c>
      <c r="KL39" s="504">
        <v>0</v>
      </c>
      <c r="KM39" s="504">
        <v>0</v>
      </c>
      <c r="KN39" s="504">
        <v>0</v>
      </c>
      <c r="KO39" s="504">
        <v>0</v>
      </c>
      <c r="KP39" s="504">
        <v>0</v>
      </c>
      <c r="KQ39" s="504">
        <v>0</v>
      </c>
      <c r="KR39" s="504">
        <v>0</v>
      </c>
      <c r="KS39" s="504">
        <v>0</v>
      </c>
      <c r="KT39" s="1654">
        <v>0</v>
      </c>
      <c r="KU39" s="504">
        <v>0</v>
      </c>
      <c r="KV39" s="504">
        <v>0</v>
      </c>
      <c r="KW39" s="504">
        <v>0</v>
      </c>
      <c r="KX39" s="504">
        <v>1093</v>
      </c>
      <c r="KY39" s="504">
        <v>1509</v>
      </c>
      <c r="KZ39" s="504">
        <v>2013</v>
      </c>
      <c r="LA39" s="504">
        <v>0</v>
      </c>
      <c r="LB39" s="504">
        <v>0</v>
      </c>
      <c r="LC39" s="504">
        <v>0</v>
      </c>
      <c r="LD39" s="504">
        <v>0</v>
      </c>
      <c r="LE39" s="504">
        <v>0</v>
      </c>
      <c r="LF39" s="504">
        <v>0</v>
      </c>
      <c r="LG39" s="504">
        <v>0</v>
      </c>
      <c r="LH39" s="504">
        <v>0</v>
      </c>
      <c r="LI39" s="504">
        <v>0</v>
      </c>
      <c r="LJ39" s="504">
        <v>0</v>
      </c>
      <c r="LK39" s="504">
        <v>0</v>
      </c>
      <c r="LL39" s="504">
        <v>0</v>
      </c>
      <c r="LM39" s="504">
        <v>0</v>
      </c>
      <c r="LN39" s="504">
        <v>0</v>
      </c>
      <c r="LO39" s="504">
        <v>0</v>
      </c>
      <c r="LP39" s="504">
        <v>0</v>
      </c>
      <c r="LQ39" s="504">
        <v>0</v>
      </c>
      <c r="LR39" s="504">
        <v>0</v>
      </c>
      <c r="LS39" s="504">
        <v>0</v>
      </c>
      <c r="LT39" s="504">
        <v>0</v>
      </c>
      <c r="LU39" s="504">
        <v>0</v>
      </c>
      <c r="LV39" s="504">
        <v>0</v>
      </c>
      <c r="LW39" s="504">
        <v>0</v>
      </c>
      <c r="LX39" s="504">
        <v>0</v>
      </c>
      <c r="LY39" s="504">
        <v>0</v>
      </c>
      <c r="LZ39" s="504">
        <v>0</v>
      </c>
      <c r="MA39" s="504">
        <v>0</v>
      </c>
      <c r="MB39" s="504">
        <v>0</v>
      </c>
      <c r="MC39" s="504">
        <v>0</v>
      </c>
      <c r="MD39" s="504">
        <v>0</v>
      </c>
      <c r="ME39" s="504">
        <v>0</v>
      </c>
      <c r="MF39" s="504">
        <v>0</v>
      </c>
      <c r="MG39" s="504">
        <v>0</v>
      </c>
      <c r="MH39" s="504">
        <v>0</v>
      </c>
      <c r="MI39" s="504">
        <v>0</v>
      </c>
      <c r="MJ39" s="504">
        <v>0</v>
      </c>
      <c r="MK39" s="504">
        <v>0</v>
      </c>
      <c r="ML39" s="504">
        <v>0</v>
      </c>
      <c r="MM39" s="504">
        <v>0</v>
      </c>
      <c r="MN39" s="504">
        <v>0</v>
      </c>
      <c r="MO39" s="504">
        <v>0</v>
      </c>
      <c r="MP39" s="504">
        <v>0</v>
      </c>
      <c r="MQ39" s="504">
        <v>0</v>
      </c>
      <c r="MR39" s="504">
        <v>0</v>
      </c>
      <c r="MS39" s="504">
        <v>0</v>
      </c>
      <c r="MT39" s="504">
        <v>0</v>
      </c>
      <c r="MU39" s="504">
        <v>0</v>
      </c>
      <c r="MV39" s="504">
        <v>0</v>
      </c>
      <c r="MW39" s="504">
        <v>0</v>
      </c>
      <c r="MX39" s="504">
        <v>0</v>
      </c>
      <c r="MY39" s="504">
        <v>0</v>
      </c>
      <c r="MZ39" s="504">
        <v>0</v>
      </c>
      <c r="NA39" s="504">
        <v>0</v>
      </c>
      <c r="NB39" s="504">
        <v>0</v>
      </c>
      <c r="NC39" s="504">
        <v>0</v>
      </c>
      <c r="ND39" s="504">
        <v>0</v>
      </c>
      <c r="NE39" s="504">
        <v>0</v>
      </c>
      <c r="NF39" s="504">
        <v>0</v>
      </c>
      <c r="NG39" s="504">
        <v>0</v>
      </c>
      <c r="NH39" s="504">
        <v>0</v>
      </c>
      <c r="NI39" s="504">
        <v>0</v>
      </c>
      <c r="NJ39" s="504">
        <v>0</v>
      </c>
      <c r="NK39" s="504">
        <v>0</v>
      </c>
      <c r="NL39" s="504">
        <v>0</v>
      </c>
      <c r="NM39" s="504">
        <v>0</v>
      </c>
      <c r="NN39" s="504">
        <v>0</v>
      </c>
      <c r="NO39" s="504">
        <v>0</v>
      </c>
      <c r="NP39" s="504">
        <v>0</v>
      </c>
      <c r="NQ39" s="504">
        <v>0</v>
      </c>
      <c r="NR39" s="504">
        <v>0</v>
      </c>
      <c r="NS39" s="504">
        <v>0</v>
      </c>
      <c r="NT39" s="504">
        <v>0</v>
      </c>
      <c r="NU39" s="504">
        <v>0</v>
      </c>
      <c r="NV39" s="504">
        <v>0</v>
      </c>
      <c r="NW39" s="504">
        <v>0</v>
      </c>
      <c r="NX39" s="504">
        <v>0</v>
      </c>
      <c r="NY39" s="504">
        <v>0</v>
      </c>
      <c r="NZ39" s="504">
        <v>0</v>
      </c>
      <c r="OA39" s="504">
        <v>0</v>
      </c>
      <c r="OB39" s="504">
        <v>0</v>
      </c>
      <c r="OC39" s="504">
        <v>0</v>
      </c>
      <c r="OD39" s="504">
        <v>0</v>
      </c>
      <c r="OE39" s="504">
        <v>0</v>
      </c>
      <c r="OF39" s="504">
        <v>0</v>
      </c>
      <c r="OG39" s="504">
        <v>0</v>
      </c>
      <c r="OH39" s="504">
        <v>0</v>
      </c>
      <c r="OI39" s="504">
        <v>0</v>
      </c>
      <c r="OJ39" s="504">
        <v>0</v>
      </c>
      <c r="OK39" s="504">
        <v>0</v>
      </c>
      <c r="OL39" s="504">
        <v>0</v>
      </c>
      <c r="OM39" s="504">
        <v>0</v>
      </c>
      <c r="ON39" s="504">
        <v>0</v>
      </c>
      <c r="OO39" s="504">
        <v>0</v>
      </c>
      <c r="OP39" s="504">
        <v>0</v>
      </c>
      <c r="OQ39" s="504">
        <v>0</v>
      </c>
      <c r="OR39" s="1656"/>
    </row>
    <row r="40" spans="1:408" ht="21.5">
      <c r="A40" s="1466" t="s">
        <v>1661</v>
      </c>
      <c r="B40" s="1583" t="s">
        <v>2358</v>
      </c>
      <c r="C40" s="1583" t="s">
        <v>14</v>
      </c>
      <c r="D40" s="1583">
        <v>63</v>
      </c>
      <c r="E40" s="504">
        <v>93</v>
      </c>
      <c r="F40" s="504">
        <v>344</v>
      </c>
      <c r="G40" s="504">
        <v>864</v>
      </c>
      <c r="H40" s="504">
        <v>1338</v>
      </c>
      <c r="I40" s="504">
        <v>1905</v>
      </c>
      <c r="J40" s="504">
        <v>2324</v>
      </c>
      <c r="K40" s="504">
        <v>2365</v>
      </c>
      <c r="L40" s="504">
        <v>2407</v>
      </c>
      <c r="M40" s="504">
        <v>2449</v>
      </c>
      <c r="N40" s="504">
        <v>2492</v>
      </c>
      <c r="O40" s="504">
        <v>2537</v>
      </c>
      <c r="P40" s="504">
        <v>2583</v>
      </c>
      <c r="Q40" s="504">
        <v>2631</v>
      </c>
      <c r="R40" s="504">
        <v>2682</v>
      </c>
      <c r="S40" s="504">
        <v>2736</v>
      </c>
      <c r="T40" s="504">
        <v>2795</v>
      </c>
      <c r="U40" s="504">
        <v>2879</v>
      </c>
      <c r="V40" s="504">
        <v>0</v>
      </c>
      <c r="W40" s="504">
        <v>0</v>
      </c>
      <c r="X40" s="504">
        <v>0</v>
      </c>
      <c r="Y40" s="504">
        <v>0</v>
      </c>
      <c r="Z40" s="504">
        <v>0</v>
      </c>
      <c r="AA40" s="504">
        <v>0</v>
      </c>
      <c r="AB40" s="504">
        <v>0</v>
      </c>
      <c r="AC40" s="504">
        <v>0</v>
      </c>
      <c r="AD40" s="504">
        <v>0</v>
      </c>
      <c r="AE40" s="504">
        <v>0</v>
      </c>
      <c r="AF40" s="504">
        <v>0</v>
      </c>
      <c r="AG40" s="504">
        <v>0</v>
      </c>
      <c r="AH40" s="504">
        <v>0</v>
      </c>
      <c r="AI40" s="504">
        <v>0</v>
      </c>
      <c r="AJ40" s="504">
        <v>0</v>
      </c>
      <c r="AK40" s="504">
        <v>0</v>
      </c>
      <c r="AL40" s="504">
        <v>0</v>
      </c>
      <c r="AM40" s="504">
        <v>0</v>
      </c>
      <c r="AN40" s="504">
        <v>0</v>
      </c>
      <c r="AO40" s="504">
        <v>0</v>
      </c>
      <c r="AP40" s="504">
        <v>0</v>
      </c>
      <c r="AQ40" s="504">
        <v>0</v>
      </c>
      <c r="AR40" s="504">
        <v>0</v>
      </c>
      <c r="AS40" s="504">
        <v>0</v>
      </c>
      <c r="AT40" s="504">
        <v>0</v>
      </c>
      <c r="AU40" s="504">
        <v>0</v>
      </c>
      <c r="AV40" s="504">
        <v>0</v>
      </c>
      <c r="AW40" s="504">
        <v>0</v>
      </c>
      <c r="AX40" s="504">
        <v>0</v>
      </c>
      <c r="AY40" s="504">
        <v>0</v>
      </c>
      <c r="AZ40" s="504">
        <v>0</v>
      </c>
      <c r="BA40" s="504">
        <v>0</v>
      </c>
      <c r="BB40" s="504">
        <v>0</v>
      </c>
      <c r="BC40" s="504">
        <v>0</v>
      </c>
      <c r="BD40" s="504">
        <v>0</v>
      </c>
      <c r="BE40" s="504">
        <v>0</v>
      </c>
      <c r="BF40" s="504">
        <v>0</v>
      </c>
      <c r="BG40" s="504">
        <v>0</v>
      </c>
      <c r="BH40" s="504">
        <v>0</v>
      </c>
      <c r="BI40" s="504">
        <v>0</v>
      </c>
      <c r="BJ40" s="504">
        <v>0</v>
      </c>
      <c r="BK40" s="504">
        <v>0</v>
      </c>
      <c r="BL40" s="504">
        <v>0</v>
      </c>
      <c r="BM40" s="504">
        <v>0</v>
      </c>
      <c r="BN40" s="504">
        <v>0</v>
      </c>
      <c r="BO40" s="504">
        <v>0</v>
      </c>
      <c r="BP40" s="504">
        <v>0</v>
      </c>
      <c r="BQ40" s="504">
        <v>0</v>
      </c>
      <c r="BR40" s="504">
        <v>0</v>
      </c>
      <c r="BS40" s="504">
        <v>0</v>
      </c>
      <c r="BT40" s="504">
        <v>0</v>
      </c>
      <c r="BU40" s="504">
        <v>0</v>
      </c>
      <c r="BV40" s="504">
        <v>0</v>
      </c>
      <c r="BW40" s="504">
        <v>0</v>
      </c>
      <c r="BX40" s="504">
        <v>0</v>
      </c>
      <c r="BY40" s="504">
        <v>0</v>
      </c>
      <c r="BZ40" s="504">
        <v>0</v>
      </c>
      <c r="CA40" s="504">
        <v>0</v>
      </c>
      <c r="CB40" s="504">
        <v>0</v>
      </c>
      <c r="CC40" s="504">
        <v>0</v>
      </c>
      <c r="CD40" s="504">
        <v>0</v>
      </c>
      <c r="CE40" s="504">
        <v>0</v>
      </c>
      <c r="CF40" s="504">
        <v>0</v>
      </c>
      <c r="CG40" s="504">
        <v>0</v>
      </c>
      <c r="CH40" s="504">
        <v>0</v>
      </c>
      <c r="CI40" s="504">
        <v>0</v>
      </c>
      <c r="CJ40" s="504">
        <v>0</v>
      </c>
      <c r="CK40" s="504">
        <v>0</v>
      </c>
      <c r="CL40" s="504">
        <v>0</v>
      </c>
      <c r="CM40" s="504">
        <v>0</v>
      </c>
      <c r="CN40" s="504">
        <v>0</v>
      </c>
      <c r="CO40" s="504">
        <v>0</v>
      </c>
      <c r="CP40" s="504">
        <v>0</v>
      </c>
      <c r="CQ40" s="504">
        <v>0</v>
      </c>
      <c r="CR40" s="504">
        <v>0</v>
      </c>
      <c r="CS40" s="504">
        <v>0</v>
      </c>
      <c r="CT40" s="504">
        <v>0</v>
      </c>
      <c r="CU40" s="504">
        <v>0</v>
      </c>
      <c r="CV40" s="504">
        <v>0</v>
      </c>
      <c r="CW40" s="504">
        <v>0</v>
      </c>
      <c r="CX40" s="504">
        <v>0</v>
      </c>
      <c r="CY40" s="504">
        <v>0</v>
      </c>
      <c r="CZ40" s="1654">
        <v>0</v>
      </c>
      <c r="DA40" s="504">
        <v>0</v>
      </c>
      <c r="DB40" s="504">
        <v>139</v>
      </c>
      <c r="DC40" s="504">
        <v>502</v>
      </c>
      <c r="DD40" s="504">
        <v>1162</v>
      </c>
      <c r="DE40" s="504">
        <v>1618</v>
      </c>
      <c r="DF40" s="504">
        <v>2167</v>
      </c>
      <c r="DG40" s="504">
        <v>0</v>
      </c>
      <c r="DH40" s="504">
        <v>0</v>
      </c>
      <c r="DI40" s="504">
        <v>0</v>
      </c>
      <c r="DJ40" s="504">
        <v>0</v>
      </c>
      <c r="DK40" s="504">
        <v>0</v>
      </c>
      <c r="DL40" s="504">
        <v>0</v>
      </c>
      <c r="DM40" s="504">
        <v>0</v>
      </c>
      <c r="DN40" s="504">
        <v>0</v>
      </c>
      <c r="DO40" s="504">
        <v>0</v>
      </c>
      <c r="DP40" s="504">
        <v>0</v>
      </c>
      <c r="DQ40" s="504">
        <v>0</v>
      </c>
      <c r="DR40" s="504">
        <v>0</v>
      </c>
      <c r="DS40" s="504">
        <v>0</v>
      </c>
      <c r="DT40" s="504">
        <v>0</v>
      </c>
      <c r="DU40" s="504">
        <v>0</v>
      </c>
      <c r="DV40" s="504">
        <v>0</v>
      </c>
      <c r="DW40" s="504">
        <v>0</v>
      </c>
      <c r="DX40" s="504">
        <v>0</v>
      </c>
      <c r="DY40" s="504">
        <v>0</v>
      </c>
      <c r="DZ40" s="504">
        <v>0</v>
      </c>
      <c r="EA40" s="504">
        <v>0</v>
      </c>
      <c r="EB40" s="504">
        <v>0</v>
      </c>
      <c r="EC40" s="504">
        <v>0</v>
      </c>
      <c r="ED40" s="504">
        <v>0</v>
      </c>
      <c r="EE40" s="504">
        <v>0</v>
      </c>
      <c r="EF40" s="504">
        <v>0</v>
      </c>
      <c r="EG40" s="504">
        <v>0</v>
      </c>
      <c r="EH40" s="504">
        <v>0</v>
      </c>
      <c r="EI40" s="504">
        <v>0</v>
      </c>
      <c r="EJ40" s="504">
        <v>0</v>
      </c>
      <c r="EK40" s="504">
        <v>0</v>
      </c>
      <c r="EL40" s="504">
        <v>0</v>
      </c>
      <c r="EM40" s="504">
        <v>0</v>
      </c>
      <c r="EN40" s="504">
        <v>0</v>
      </c>
      <c r="EO40" s="504">
        <v>0</v>
      </c>
      <c r="EP40" s="504">
        <v>0</v>
      </c>
      <c r="EQ40" s="504">
        <v>0</v>
      </c>
      <c r="ER40" s="504">
        <v>0</v>
      </c>
      <c r="ES40" s="504">
        <v>0</v>
      </c>
      <c r="ET40" s="504">
        <v>0</v>
      </c>
      <c r="EU40" s="504">
        <v>0</v>
      </c>
      <c r="EV40" s="504">
        <v>0</v>
      </c>
      <c r="EW40" s="504">
        <v>0</v>
      </c>
      <c r="EX40" s="504">
        <v>0</v>
      </c>
      <c r="EY40" s="504">
        <v>0</v>
      </c>
      <c r="EZ40" s="504">
        <v>0</v>
      </c>
      <c r="FA40" s="504">
        <v>0</v>
      </c>
      <c r="FB40" s="504">
        <v>0</v>
      </c>
      <c r="FC40" s="504">
        <v>0</v>
      </c>
      <c r="FD40" s="504">
        <v>0</v>
      </c>
      <c r="FE40" s="504">
        <v>0</v>
      </c>
      <c r="FF40" s="504">
        <v>0</v>
      </c>
      <c r="FG40" s="504">
        <v>0</v>
      </c>
      <c r="FH40" s="504">
        <v>0</v>
      </c>
      <c r="FI40" s="504">
        <v>0</v>
      </c>
      <c r="FJ40" s="504">
        <v>0</v>
      </c>
      <c r="FK40" s="504">
        <v>0</v>
      </c>
      <c r="FL40" s="504">
        <v>0</v>
      </c>
      <c r="FM40" s="504">
        <v>0</v>
      </c>
      <c r="FN40" s="504">
        <v>0</v>
      </c>
      <c r="FO40" s="504">
        <v>0</v>
      </c>
      <c r="FP40" s="504">
        <v>0</v>
      </c>
      <c r="FQ40" s="504">
        <v>0</v>
      </c>
      <c r="FR40" s="504">
        <v>0</v>
      </c>
      <c r="FS40" s="504">
        <v>0</v>
      </c>
      <c r="FT40" s="504">
        <v>0</v>
      </c>
      <c r="FU40" s="504">
        <v>0</v>
      </c>
      <c r="FV40" s="504">
        <v>0</v>
      </c>
      <c r="FW40" s="504">
        <v>0</v>
      </c>
      <c r="FX40" s="504">
        <v>0</v>
      </c>
      <c r="FY40" s="504">
        <v>0</v>
      </c>
      <c r="FZ40" s="504">
        <v>0</v>
      </c>
      <c r="GA40" s="504">
        <v>0</v>
      </c>
      <c r="GB40" s="504">
        <v>0</v>
      </c>
      <c r="GC40" s="504">
        <v>0</v>
      </c>
      <c r="GD40" s="504">
        <v>0</v>
      </c>
      <c r="GE40" s="504">
        <v>0</v>
      </c>
      <c r="GF40" s="504">
        <v>0</v>
      </c>
      <c r="GG40" s="504">
        <v>0</v>
      </c>
      <c r="GH40" s="504">
        <v>0</v>
      </c>
      <c r="GI40" s="504">
        <v>0</v>
      </c>
      <c r="GJ40" s="504">
        <v>0</v>
      </c>
      <c r="GK40" s="504">
        <v>0</v>
      </c>
      <c r="GL40" s="504">
        <v>0</v>
      </c>
      <c r="GM40" s="504">
        <v>0</v>
      </c>
      <c r="GN40" s="504">
        <v>0</v>
      </c>
      <c r="GO40" s="504">
        <v>0</v>
      </c>
      <c r="GP40" s="504">
        <v>0</v>
      </c>
      <c r="GQ40" s="504">
        <v>0</v>
      </c>
      <c r="GR40" s="504">
        <v>0</v>
      </c>
      <c r="GS40" s="504">
        <v>0</v>
      </c>
      <c r="GT40" s="504">
        <v>0</v>
      </c>
      <c r="GU40" s="504">
        <v>0</v>
      </c>
      <c r="GV40" s="504">
        <v>0</v>
      </c>
      <c r="GW40" s="1654">
        <v>0</v>
      </c>
      <c r="GX40" s="504">
        <v>0</v>
      </c>
      <c r="GY40" s="504">
        <v>6083</v>
      </c>
      <c r="GZ40" s="504">
        <v>14241</v>
      </c>
      <c r="HA40" s="504">
        <v>14000</v>
      </c>
      <c r="HB40" s="504">
        <v>13000</v>
      </c>
      <c r="HC40" s="504">
        <v>12000</v>
      </c>
      <c r="HD40" s="504">
        <v>0</v>
      </c>
      <c r="HE40" s="504">
        <v>0</v>
      </c>
      <c r="HF40" s="504">
        <v>0</v>
      </c>
      <c r="HG40" s="504">
        <v>0</v>
      </c>
      <c r="HH40" s="504">
        <v>0</v>
      </c>
      <c r="HI40" s="504">
        <v>0</v>
      </c>
      <c r="HJ40" s="504">
        <v>0</v>
      </c>
      <c r="HK40" s="504">
        <v>0</v>
      </c>
      <c r="HL40" s="504">
        <v>0</v>
      </c>
      <c r="HM40" s="504">
        <v>0</v>
      </c>
      <c r="HN40" s="504">
        <v>0</v>
      </c>
      <c r="HO40" s="504">
        <v>0</v>
      </c>
      <c r="HP40" s="504">
        <v>0</v>
      </c>
      <c r="HQ40" s="504">
        <v>0</v>
      </c>
      <c r="HR40" s="504">
        <v>0</v>
      </c>
      <c r="HS40" s="504">
        <v>0</v>
      </c>
      <c r="HT40" s="504">
        <v>0</v>
      </c>
      <c r="HU40" s="504">
        <v>0</v>
      </c>
      <c r="HV40" s="504">
        <v>0</v>
      </c>
      <c r="HW40" s="504">
        <v>0</v>
      </c>
      <c r="HX40" s="504">
        <v>0</v>
      </c>
      <c r="HY40" s="504">
        <v>0</v>
      </c>
      <c r="HZ40" s="504">
        <v>0</v>
      </c>
      <c r="IA40" s="504">
        <v>0</v>
      </c>
      <c r="IB40" s="504">
        <v>0</v>
      </c>
      <c r="IC40" s="504">
        <v>0</v>
      </c>
      <c r="ID40" s="504">
        <v>0</v>
      </c>
      <c r="IE40" s="504">
        <v>0</v>
      </c>
      <c r="IF40" s="504">
        <v>0</v>
      </c>
      <c r="IG40" s="504">
        <v>0</v>
      </c>
      <c r="IH40" s="504">
        <v>0</v>
      </c>
      <c r="II40" s="504">
        <v>0</v>
      </c>
      <c r="IJ40" s="504">
        <v>0</v>
      </c>
      <c r="IK40" s="504">
        <v>0</v>
      </c>
      <c r="IL40" s="504">
        <v>0</v>
      </c>
      <c r="IM40" s="504">
        <v>0</v>
      </c>
      <c r="IN40" s="504">
        <v>0</v>
      </c>
      <c r="IO40" s="504">
        <v>0</v>
      </c>
      <c r="IP40" s="504">
        <v>0</v>
      </c>
      <c r="IQ40" s="504">
        <v>0</v>
      </c>
      <c r="IR40" s="504">
        <v>0</v>
      </c>
      <c r="IS40" s="504">
        <v>0</v>
      </c>
      <c r="IT40" s="504">
        <v>0</v>
      </c>
      <c r="IU40" s="504">
        <v>0</v>
      </c>
      <c r="IV40" s="504">
        <v>0</v>
      </c>
      <c r="IW40" s="504">
        <v>0</v>
      </c>
      <c r="IX40" s="504">
        <v>0</v>
      </c>
      <c r="IY40" s="504">
        <v>0</v>
      </c>
      <c r="IZ40" s="504">
        <v>0</v>
      </c>
      <c r="JA40" s="504">
        <v>0</v>
      </c>
      <c r="JB40" s="504">
        <v>0</v>
      </c>
      <c r="JC40" s="504">
        <v>0</v>
      </c>
      <c r="JD40" s="504">
        <v>0</v>
      </c>
      <c r="JE40" s="504">
        <v>0</v>
      </c>
      <c r="JF40" s="504">
        <v>0</v>
      </c>
      <c r="JG40" s="504">
        <v>0</v>
      </c>
      <c r="JH40" s="504">
        <v>0</v>
      </c>
      <c r="JI40" s="504">
        <v>0</v>
      </c>
      <c r="JJ40" s="504">
        <v>0</v>
      </c>
      <c r="JK40" s="504">
        <v>0</v>
      </c>
      <c r="JL40" s="504">
        <v>0</v>
      </c>
      <c r="JM40" s="504">
        <v>0</v>
      </c>
      <c r="JN40" s="504">
        <v>0</v>
      </c>
      <c r="JO40" s="504">
        <v>0</v>
      </c>
      <c r="JP40" s="504">
        <v>0</v>
      </c>
      <c r="JQ40" s="504">
        <v>0</v>
      </c>
      <c r="JR40" s="504">
        <v>0</v>
      </c>
      <c r="JS40" s="504">
        <v>0</v>
      </c>
      <c r="JT40" s="504">
        <v>0</v>
      </c>
      <c r="JU40" s="504">
        <v>0</v>
      </c>
      <c r="JV40" s="504">
        <v>0</v>
      </c>
      <c r="JW40" s="504">
        <v>0</v>
      </c>
      <c r="JX40" s="504">
        <v>0</v>
      </c>
      <c r="JY40" s="504">
        <v>0</v>
      </c>
      <c r="JZ40" s="504">
        <v>0</v>
      </c>
      <c r="KA40" s="504">
        <v>0</v>
      </c>
      <c r="KB40" s="504">
        <v>0</v>
      </c>
      <c r="KC40" s="504">
        <v>0</v>
      </c>
      <c r="KD40" s="504">
        <v>0</v>
      </c>
      <c r="KE40" s="504">
        <v>0</v>
      </c>
      <c r="KF40" s="504">
        <v>0</v>
      </c>
      <c r="KG40" s="504">
        <v>0</v>
      </c>
      <c r="KH40" s="504">
        <v>0</v>
      </c>
      <c r="KI40" s="504">
        <v>0</v>
      </c>
      <c r="KJ40" s="504">
        <v>0</v>
      </c>
      <c r="KK40" s="504">
        <v>0</v>
      </c>
      <c r="KL40" s="504">
        <v>0</v>
      </c>
      <c r="KM40" s="504">
        <v>0</v>
      </c>
      <c r="KN40" s="504">
        <v>0</v>
      </c>
      <c r="KO40" s="504">
        <v>0</v>
      </c>
      <c r="KP40" s="504">
        <v>0</v>
      </c>
      <c r="KQ40" s="504">
        <v>0</v>
      </c>
      <c r="KR40" s="504">
        <v>0</v>
      </c>
      <c r="KS40" s="504">
        <v>0</v>
      </c>
      <c r="KT40" s="1654">
        <v>0</v>
      </c>
      <c r="KU40" s="504">
        <v>0</v>
      </c>
      <c r="KV40" s="504">
        <v>0</v>
      </c>
      <c r="KW40" s="504">
        <v>0</v>
      </c>
      <c r="KX40" s="504">
        <v>1151</v>
      </c>
      <c r="KY40" s="504">
        <v>1608</v>
      </c>
      <c r="KZ40" s="504">
        <v>2157</v>
      </c>
      <c r="LA40" s="504">
        <v>0</v>
      </c>
      <c r="LB40" s="504">
        <v>0</v>
      </c>
      <c r="LC40" s="504">
        <v>0</v>
      </c>
      <c r="LD40" s="504">
        <v>0</v>
      </c>
      <c r="LE40" s="504">
        <v>0</v>
      </c>
      <c r="LF40" s="504">
        <v>0</v>
      </c>
      <c r="LG40" s="504">
        <v>0</v>
      </c>
      <c r="LH40" s="504">
        <v>0</v>
      </c>
      <c r="LI40" s="504">
        <v>0</v>
      </c>
      <c r="LJ40" s="504">
        <v>0</v>
      </c>
      <c r="LK40" s="504">
        <v>0</v>
      </c>
      <c r="LL40" s="504">
        <v>0</v>
      </c>
      <c r="LM40" s="504">
        <v>0</v>
      </c>
      <c r="LN40" s="504">
        <v>0</v>
      </c>
      <c r="LO40" s="504">
        <v>0</v>
      </c>
      <c r="LP40" s="504">
        <v>0</v>
      </c>
      <c r="LQ40" s="504">
        <v>0</v>
      </c>
      <c r="LR40" s="504">
        <v>0</v>
      </c>
      <c r="LS40" s="504">
        <v>0</v>
      </c>
      <c r="LT40" s="504">
        <v>0</v>
      </c>
      <c r="LU40" s="504">
        <v>0</v>
      </c>
      <c r="LV40" s="504">
        <v>0</v>
      </c>
      <c r="LW40" s="504">
        <v>0</v>
      </c>
      <c r="LX40" s="504">
        <v>0</v>
      </c>
      <c r="LY40" s="504">
        <v>0</v>
      </c>
      <c r="LZ40" s="504">
        <v>0</v>
      </c>
      <c r="MA40" s="504">
        <v>0</v>
      </c>
      <c r="MB40" s="504">
        <v>0</v>
      </c>
      <c r="MC40" s="504">
        <v>0</v>
      </c>
      <c r="MD40" s="504">
        <v>0</v>
      </c>
      <c r="ME40" s="504">
        <v>0</v>
      </c>
      <c r="MF40" s="504">
        <v>0</v>
      </c>
      <c r="MG40" s="504">
        <v>0</v>
      </c>
      <c r="MH40" s="504">
        <v>0</v>
      </c>
      <c r="MI40" s="504">
        <v>0</v>
      </c>
      <c r="MJ40" s="504">
        <v>0</v>
      </c>
      <c r="MK40" s="504">
        <v>0</v>
      </c>
      <c r="ML40" s="504">
        <v>0</v>
      </c>
      <c r="MM40" s="504">
        <v>0</v>
      </c>
      <c r="MN40" s="504">
        <v>0</v>
      </c>
      <c r="MO40" s="504">
        <v>0</v>
      </c>
      <c r="MP40" s="504">
        <v>0</v>
      </c>
      <c r="MQ40" s="504">
        <v>0</v>
      </c>
      <c r="MR40" s="504">
        <v>0</v>
      </c>
      <c r="MS40" s="504">
        <v>0</v>
      </c>
      <c r="MT40" s="504">
        <v>0</v>
      </c>
      <c r="MU40" s="504">
        <v>0</v>
      </c>
      <c r="MV40" s="504">
        <v>0</v>
      </c>
      <c r="MW40" s="504">
        <v>0</v>
      </c>
      <c r="MX40" s="504">
        <v>0</v>
      </c>
      <c r="MY40" s="504">
        <v>0</v>
      </c>
      <c r="MZ40" s="504">
        <v>0</v>
      </c>
      <c r="NA40" s="504">
        <v>0</v>
      </c>
      <c r="NB40" s="504">
        <v>0</v>
      </c>
      <c r="NC40" s="504">
        <v>0</v>
      </c>
      <c r="ND40" s="504">
        <v>0</v>
      </c>
      <c r="NE40" s="504">
        <v>0</v>
      </c>
      <c r="NF40" s="504">
        <v>0</v>
      </c>
      <c r="NG40" s="504">
        <v>0</v>
      </c>
      <c r="NH40" s="504">
        <v>0</v>
      </c>
      <c r="NI40" s="504">
        <v>0</v>
      </c>
      <c r="NJ40" s="504">
        <v>0</v>
      </c>
      <c r="NK40" s="504">
        <v>0</v>
      </c>
      <c r="NL40" s="504">
        <v>0</v>
      </c>
      <c r="NM40" s="504">
        <v>0</v>
      </c>
      <c r="NN40" s="504">
        <v>0</v>
      </c>
      <c r="NO40" s="504">
        <v>0</v>
      </c>
      <c r="NP40" s="504">
        <v>0</v>
      </c>
      <c r="NQ40" s="504">
        <v>0</v>
      </c>
      <c r="NR40" s="504">
        <v>0</v>
      </c>
      <c r="NS40" s="504">
        <v>0</v>
      </c>
      <c r="NT40" s="504">
        <v>0</v>
      </c>
      <c r="NU40" s="504">
        <v>0</v>
      </c>
      <c r="NV40" s="504">
        <v>0</v>
      </c>
      <c r="NW40" s="504">
        <v>0</v>
      </c>
      <c r="NX40" s="504">
        <v>0</v>
      </c>
      <c r="NY40" s="504">
        <v>0</v>
      </c>
      <c r="NZ40" s="504">
        <v>0</v>
      </c>
      <c r="OA40" s="504">
        <v>0</v>
      </c>
      <c r="OB40" s="504">
        <v>0</v>
      </c>
      <c r="OC40" s="504">
        <v>0</v>
      </c>
      <c r="OD40" s="504">
        <v>0</v>
      </c>
      <c r="OE40" s="504">
        <v>0</v>
      </c>
      <c r="OF40" s="504">
        <v>0</v>
      </c>
      <c r="OG40" s="504">
        <v>0</v>
      </c>
      <c r="OH40" s="504">
        <v>0</v>
      </c>
      <c r="OI40" s="504">
        <v>0</v>
      </c>
      <c r="OJ40" s="504">
        <v>0</v>
      </c>
      <c r="OK40" s="504">
        <v>0</v>
      </c>
      <c r="OL40" s="504">
        <v>0</v>
      </c>
      <c r="OM40" s="504">
        <v>0</v>
      </c>
      <c r="ON40" s="504">
        <v>0</v>
      </c>
      <c r="OO40" s="504">
        <v>0</v>
      </c>
      <c r="OP40" s="504">
        <v>0</v>
      </c>
      <c r="OQ40" s="504">
        <v>0</v>
      </c>
      <c r="OR40" s="1656"/>
    </row>
    <row r="41" spans="1:408" ht="21.5">
      <c r="A41" s="1466" t="s">
        <v>1662</v>
      </c>
      <c r="B41" s="1583" t="s">
        <v>2358</v>
      </c>
      <c r="C41" s="1583" t="s">
        <v>14</v>
      </c>
      <c r="D41" s="1583">
        <v>64</v>
      </c>
      <c r="E41" s="504">
        <v>102</v>
      </c>
      <c r="F41" s="504">
        <v>376</v>
      </c>
      <c r="G41" s="504">
        <v>942</v>
      </c>
      <c r="H41" s="504">
        <v>1458</v>
      </c>
      <c r="I41" s="504">
        <v>2074</v>
      </c>
      <c r="J41" s="504">
        <v>2529</v>
      </c>
      <c r="K41" s="504">
        <v>2575</v>
      </c>
      <c r="L41" s="504">
        <v>2622</v>
      </c>
      <c r="M41" s="504">
        <v>2669</v>
      </c>
      <c r="N41" s="504">
        <v>2718</v>
      </c>
      <c r="O41" s="504">
        <v>2769</v>
      </c>
      <c r="P41" s="504">
        <v>2822</v>
      </c>
      <c r="Q41" s="504">
        <v>2877</v>
      </c>
      <c r="R41" s="504">
        <v>2937</v>
      </c>
      <c r="S41" s="504">
        <v>3001</v>
      </c>
      <c r="T41" s="504">
        <v>3091</v>
      </c>
      <c r="U41" s="504">
        <v>0</v>
      </c>
      <c r="V41" s="504">
        <v>0</v>
      </c>
      <c r="W41" s="504">
        <v>0</v>
      </c>
      <c r="X41" s="504">
        <v>0</v>
      </c>
      <c r="Y41" s="504">
        <v>0</v>
      </c>
      <c r="Z41" s="504">
        <v>0</v>
      </c>
      <c r="AA41" s="504">
        <v>0</v>
      </c>
      <c r="AB41" s="504">
        <v>0</v>
      </c>
      <c r="AC41" s="504">
        <v>0</v>
      </c>
      <c r="AD41" s="504">
        <v>0</v>
      </c>
      <c r="AE41" s="504">
        <v>0</v>
      </c>
      <c r="AF41" s="504">
        <v>0</v>
      </c>
      <c r="AG41" s="504">
        <v>0</v>
      </c>
      <c r="AH41" s="504">
        <v>0</v>
      </c>
      <c r="AI41" s="504">
        <v>0</v>
      </c>
      <c r="AJ41" s="504">
        <v>0</v>
      </c>
      <c r="AK41" s="504">
        <v>0</v>
      </c>
      <c r="AL41" s="504">
        <v>0</v>
      </c>
      <c r="AM41" s="504">
        <v>0</v>
      </c>
      <c r="AN41" s="504">
        <v>0</v>
      </c>
      <c r="AO41" s="504">
        <v>0</v>
      </c>
      <c r="AP41" s="504">
        <v>0</v>
      </c>
      <c r="AQ41" s="504">
        <v>0</v>
      </c>
      <c r="AR41" s="504">
        <v>0</v>
      </c>
      <c r="AS41" s="504">
        <v>0</v>
      </c>
      <c r="AT41" s="504">
        <v>0</v>
      </c>
      <c r="AU41" s="504">
        <v>0</v>
      </c>
      <c r="AV41" s="504">
        <v>0</v>
      </c>
      <c r="AW41" s="504">
        <v>0</v>
      </c>
      <c r="AX41" s="504">
        <v>0</v>
      </c>
      <c r="AY41" s="504">
        <v>0</v>
      </c>
      <c r="AZ41" s="504">
        <v>0</v>
      </c>
      <c r="BA41" s="504">
        <v>0</v>
      </c>
      <c r="BB41" s="504">
        <v>0</v>
      </c>
      <c r="BC41" s="504">
        <v>0</v>
      </c>
      <c r="BD41" s="504">
        <v>0</v>
      </c>
      <c r="BE41" s="504">
        <v>0</v>
      </c>
      <c r="BF41" s="504">
        <v>0</v>
      </c>
      <c r="BG41" s="504">
        <v>0</v>
      </c>
      <c r="BH41" s="504">
        <v>0</v>
      </c>
      <c r="BI41" s="504">
        <v>0</v>
      </c>
      <c r="BJ41" s="504">
        <v>0</v>
      </c>
      <c r="BK41" s="504">
        <v>0</v>
      </c>
      <c r="BL41" s="504">
        <v>0</v>
      </c>
      <c r="BM41" s="504">
        <v>0</v>
      </c>
      <c r="BN41" s="504">
        <v>0</v>
      </c>
      <c r="BO41" s="504">
        <v>0</v>
      </c>
      <c r="BP41" s="504">
        <v>0</v>
      </c>
      <c r="BQ41" s="504">
        <v>0</v>
      </c>
      <c r="BR41" s="504">
        <v>0</v>
      </c>
      <c r="BS41" s="504">
        <v>0</v>
      </c>
      <c r="BT41" s="504">
        <v>0</v>
      </c>
      <c r="BU41" s="504">
        <v>0</v>
      </c>
      <c r="BV41" s="504">
        <v>0</v>
      </c>
      <c r="BW41" s="504">
        <v>0</v>
      </c>
      <c r="BX41" s="504">
        <v>0</v>
      </c>
      <c r="BY41" s="504">
        <v>0</v>
      </c>
      <c r="BZ41" s="504">
        <v>0</v>
      </c>
      <c r="CA41" s="504">
        <v>0</v>
      </c>
      <c r="CB41" s="504">
        <v>0</v>
      </c>
      <c r="CC41" s="504">
        <v>0</v>
      </c>
      <c r="CD41" s="504">
        <v>0</v>
      </c>
      <c r="CE41" s="504">
        <v>0</v>
      </c>
      <c r="CF41" s="504">
        <v>0</v>
      </c>
      <c r="CG41" s="504">
        <v>0</v>
      </c>
      <c r="CH41" s="504">
        <v>0</v>
      </c>
      <c r="CI41" s="504">
        <v>0</v>
      </c>
      <c r="CJ41" s="504">
        <v>0</v>
      </c>
      <c r="CK41" s="504">
        <v>0</v>
      </c>
      <c r="CL41" s="504">
        <v>0</v>
      </c>
      <c r="CM41" s="504">
        <v>0</v>
      </c>
      <c r="CN41" s="504">
        <v>0</v>
      </c>
      <c r="CO41" s="504">
        <v>0</v>
      </c>
      <c r="CP41" s="504">
        <v>0</v>
      </c>
      <c r="CQ41" s="504">
        <v>0</v>
      </c>
      <c r="CR41" s="504">
        <v>0</v>
      </c>
      <c r="CS41" s="504">
        <v>0</v>
      </c>
      <c r="CT41" s="504">
        <v>0</v>
      </c>
      <c r="CU41" s="504">
        <v>0</v>
      </c>
      <c r="CV41" s="504">
        <v>0</v>
      </c>
      <c r="CW41" s="504">
        <v>0</v>
      </c>
      <c r="CX41" s="504">
        <v>0</v>
      </c>
      <c r="CY41" s="504">
        <v>0</v>
      </c>
      <c r="CZ41" s="1654">
        <v>0</v>
      </c>
      <c r="DA41" s="504">
        <v>0</v>
      </c>
      <c r="DB41" s="504">
        <v>149</v>
      </c>
      <c r="DC41" s="504">
        <v>535</v>
      </c>
      <c r="DD41" s="504">
        <v>1222</v>
      </c>
      <c r="DE41" s="504">
        <v>1720</v>
      </c>
      <c r="DF41" s="504">
        <v>2318</v>
      </c>
      <c r="DG41" s="504">
        <v>0</v>
      </c>
      <c r="DH41" s="504">
        <v>0</v>
      </c>
      <c r="DI41" s="504">
        <v>0</v>
      </c>
      <c r="DJ41" s="504">
        <v>0</v>
      </c>
      <c r="DK41" s="504">
        <v>0</v>
      </c>
      <c r="DL41" s="504">
        <v>0</v>
      </c>
      <c r="DM41" s="504">
        <v>0</v>
      </c>
      <c r="DN41" s="504">
        <v>0</v>
      </c>
      <c r="DO41" s="504">
        <v>0</v>
      </c>
      <c r="DP41" s="504">
        <v>0</v>
      </c>
      <c r="DQ41" s="504">
        <v>0</v>
      </c>
      <c r="DR41" s="504">
        <v>0</v>
      </c>
      <c r="DS41" s="504">
        <v>0</v>
      </c>
      <c r="DT41" s="504">
        <v>0</v>
      </c>
      <c r="DU41" s="504">
        <v>0</v>
      </c>
      <c r="DV41" s="504">
        <v>0</v>
      </c>
      <c r="DW41" s="504">
        <v>0</v>
      </c>
      <c r="DX41" s="504">
        <v>0</v>
      </c>
      <c r="DY41" s="504">
        <v>0</v>
      </c>
      <c r="DZ41" s="504">
        <v>0</v>
      </c>
      <c r="EA41" s="504">
        <v>0</v>
      </c>
      <c r="EB41" s="504">
        <v>0</v>
      </c>
      <c r="EC41" s="504">
        <v>0</v>
      </c>
      <c r="ED41" s="504">
        <v>0</v>
      </c>
      <c r="EE41" s="504">
        <v>0</v>
      </c>
      <c r="EF41" s="504">
        <v>0</v>
      </c>
      <c r="EG41" s="504">
        <v>0</v>
      </c>
      <c r="EH41" s="504">
        <v>0</v>
      </c>
      <c r="EI41" s="504">
        <v>0</v>
      </c>
      <c r="EJ41" s="504">
        <v>0</v>
      </c>
      <c r="EK41" s="504">
        <v>0</v>
      </c>
      <c r="EL41" s="504">
        <v>0</v>
      </c>
      <c r="EM41" s="504">
        <v>0</v>
      </c>
      <c r="EN41" s="504">
        <v>0</v>
      </c>
      <c r="EO41" s="504">
        <v>0</v>
      </c>
      <c r="EP41" s="504">
        <v>0</v>
      </c>
      <c r="EQ41" s="504">
        <v>0</v>
      </c>
      <c r="ER41" s="504">
        <v>0</v>
      </c>
      <c r="ES41" s="504">
        <v>0</v>
      </c>
      <c r="ET41" s="504">
        <v>0</v>
      </c>
      <c r="EU41" s="504">
        <v>0</v>
      </c>
      <c r="EV41" s="504">
        <v>0</v>
      </c>
      <c r="EW41" s="504">
        <v>0</v>
      </c>
      <c r="EX41" s="504">
        <v>0</v>
      </c>
      <c r="EY41" s="504">
        <v>0</v>
      </c>
      <c r="EZ41" s="504">
        <v>0</v>
      </c>
      <c r="FA41" s="504">
        <v>0</v>
      </c>
      <c r="FB41" s="504">
        <v>0</v>
      </c>
      <c r="FC41" s="504">
        <v>0</v>
      </c>
      <c r="FD41" s="504">
        <v>0</v>
      </c>
      <c r="FE41" s="504">
        <v>0</v>
      </c>
      <c r="FF41" s="504">
        <v>0</v>
      </c>
      <c r="FG41" s="504">
        <v>0</v>
      </c>
      <c r="FH41" s="504">
        <v>0</v>
      </c>
      <c r="FI41" s="504">
        <v>0</v>
      </c>
      <c r="FJ41" s="504">
        <v>0</v>
      </c>
      <c r="FK41" s="504">
        <v>0</v>
      </c>
      <c r="FL41" s="504">
        <v>0</v>
      </c>
      <c r="FM41" s="504">
        <v>0</v>
      </c>
      <c r="FN41" s="504">
        <v>0</v>
      </c>
      <c r="FO41" s="504">
        <v>0</v>
      </c>
      <c r="FP41" s="504">
        <v>0</v>
      </c>
      <c r="FQ41" s="504">
        <v>0</v>
      </c>
      <c r="FR41" s="504">
        <v>0</v>
      </c>
      <c r="FS41" s="504">
        <v>0</v>
      </c>
      <c r="FT41" s="504">
        <v>0</v>
      </c>
      <c r="FU41" s="504">
        <v>0</v>
      </c>
      <c r="FV41" s="504">
        <v>0</v>
      </c>
      <c r="FW41" s="504">
        <v>0</v>
      </c>
      <c r="FX41" s="504">
        <v>0</v>
      </c>
      <c r="FY41" s="504">
        <v>0</v>
      </c>
      <c r="FZ41" s="504">
        <v>0</v>
      </c>
      <c r="GA41" s="504">
        <v>0</v>
      </c>
      <c r="GB41" s="504">
        <v>0</v>
      </c>
      <c r="GC41" s="504">
        <v>0</v>
      </c>
      <c r="GD41" s="504">
        <v>0</v>
      </c>
      <c r="GE41" s="504">
        <v>0</v>
      </c>
      <c r="GF41" s="504">
        <v>0</v>
      </c>
      <c r="GG41" s="504">
        <v>0</v>
      </c>
      <c r="GH41" s="504">
        <v>0</v>
      </c>
      <c r="GI41" s="504">
        <v>0</v>
      </c>
      <c r="GJ41" s="504">
        <v>0</v>
      </c>
      <c r="GK41" s="504">
        <v>0</v>
      </c>
      <c r="GL41" s="504">
        <v>0</v>
      </c>
      <c r="GM41" s="504">
        <v>0</v>
      </c>
      <c r="GN41" s="504">
        <v>0</v>
      </c>
      <c r="GO41" s="504">
        <v>0</v>
      </c>
      <c r="GP41" s="504">
        <v>0</v>
      </c>
      <c r="GQ41" s="504">
        <v>0</v>
      </c>
      <c r="GR41" s="504">
        <v>0</v>
      </c>
      <c r="GS41" s="504">
        <v>0</v>
      </c>
      <c r="GT41" s="504">
        <v>0</v>
      </c>
      <c r="GU41" s="504">
        <v>0</v>
      </c>
      <c r="GV41" s="504">
        <v>0</v>
      </c>
      <c r="GW41" s="1654">
        <v>0</v>
      </c>
      <c r="GX41" s="504">
        <v>0</v>
      </c>
      <c r="GY41" s="504">
        <v>6022</v>
      </c>
      <c r="GZ41" s="504">
        <v>14000</v>
      </c>
      <c r="HA41" s="504">
        <v>13000</v>
      </c>
      <c r="HB41" s="504">
        <v>12000</v>
      </c>
      <c r="HC41" s="504">
        <v>11000</v>
      </c>
      <c r="HD41" s="504">
        <v>0</v>
      </c>
      <c r="HE41" s="504">
        <v>0</v>
      </c>
      <c r="HF41" s="504">
        <v>0</v>
      </c>
      <c r="HG41" s="504">
        <v>0</v>
      </c>
      <c r="HH41" s="504">
        <v>0</v>
      </c>
      <c r="HI41" s="504">
        <v>0</v>
      </c>
      <c r="HJ41" s="504">
        <v>0</v>
      </c>
      <c r="HK41" s="504">
        <v>0</v>
      </c>
      <c r="HL41" s="504">
        <v>0</v>
      </c>
      <c r="HM41" s="504">
        <v>0</v>
      </c>
      <c r="HN41" s="504">
        <v>0</v>
      </c>
      <c r="HO41" s="504">
        <v>0</v>
      </c>
      <c r="HP41" s="504">
        <v>0</v>
      </c>
      <c r="HQ41" s="504">
        <v>0</v>
      </c>
      <c r="HR41" s="504">
        <v>0</v>
      </c>
      <c r="HS41" s="504">
        <v>0</v>
      </c>
      <c r="HT41" s="504">
        <v>0</v>
      </c>
      <c r="HU41" s="504">
        <v>0</v>
      </c>
      <c r="HV41" s="504">
        <v>0</v>
      </c>
      <c r="HW41" s="504">
        <v>0</v>
      </c>
      <c r="HX41" s="504">
        <v>0</v>
      </c>
      <c r="HY41" s="504">
        <v>0</v>
      </c>
      <c r="HZ41" s="504">
        <v>0</v>
      </c>
      <c r="IA41" s="504">
        <v>0</v>
      </c>
      <c r="IB41" s="504">
        <v>0</v>
      </c>
      <c r="IC41" s="504">
        <v>0</v>
      </c>
      <c r="ID41" s="504">
        <v>0</v>
      </c>
      <c r="IE41" s="504">
        <v>0</v>
      </c>
      <c r="IF41" s="504">
        <v>0</v>
      </c>
      <c r="IG41" s="504">
        <v>0</v>
      </c>
      <c r="IH41" s="504">
        <v>0</v>
      </c>
      <c r="II41" s="504">
        <v>0</v>
      </c>
      <c r="IJ41" s="504">
        <v>0</v>
      </c>
      <c r="IK41" s="504">
        <v>0</v>
      </c>
      <c r="IL41" s="504">
        <v>0</v>
      </c>
      <c r="IM41" s="504">
        <v>0</v>
      </c>
      <c r="IN41" s="504">
        <v>0</v>
      </c>
      <c r="IO41" s="504">
        <v>0</v>
      </c>
      <c r="IP41" s="504">
        <v>0</v>
      </c>
      <c r="IQ41" s="504">
        <v>0</v>
      </c>
      <c r="IR41" s="504">
        <v>0</v>
      </c>
      <c r="IS41" s="504">
        <v>0</v>
      </c>
      <c r="IT41" s="504">
        <v>0</v>
      </c>
      <c r="IU41" s="504">
        <v>0</v>
      </c>
      <c r="IV41" s="504">
        <v>0</v>
      </c>
      <c r="IW41" s="504">
        <v>0</v>
      </c>
      <c r="IX41" s="504">
        <v>0</v>
      </c>
      <c r="IY41" s="504">
        <v>0</v>
      </c>
      <c r="IZ41" s="504">
        <v>0</v>
      </c>
      <c r="JA41" s="504">
        <v>0</v>
      </c>
      <c r="JB41" s="504">
        <v>0</v>
      </c>
      <c r="JC41" s="504">
        <v>0</v>
      </c>
      <c r="JD41" s="504">
        <v>0</v>
      </c>
      <c r="JE41" s="504">
        <v>0</v>
      </c>
      <c r="JF41" s="504">
        <v>0</v>
      </c>
      <c r="JG41" s="504">
        <v>0</v>
      </c>
      <c r="JH41" s="504">
        <v>0</v>
      </c>
      <c r="JI41" s="504">
        <v>0</v>
      </c>
      <c r="JJ41" s="504">
        <v>0</v>
      </c>
      <c r="JK41" s="504">
        <v>0</v>
      </c>
      <c r="JL41" s="504">
        <v>0</v>
      </c>
      <c r="JM41" s="504">
        <v>0</v>
      </c>
      <c r="JN41" s="504">
        <v>0</v>
      </c>
      <c r="JO41" s="504">
        <v>0</v>
      </c>
      <c r="JP41" s="504">
        <v>0</v>
      </c>
      <c r="JQ41" s="504">
        <v>0</v>
      </c>
      <c r="JR41" s="504">
        <v>0</v>
      </c>
      <c r="JS41" s="504">
        <v>0</v>
      </c>
      <c r="JT41" s="504">
        <v>0</v>
      </c>
      <c r="JU41" s="504">
        <v>0</v>
      </c>
      <c r="JV41" s="504">
        <v>0</v>
      </c>
      <c r="JW41" s="504">
        <v>0</v>
      </c>
      <c r="JX41" s="504">
        <v>0</v>
      </c>
      <c r="JY41" s="504">
        <v>0</v>
      </c>
      <c r="JZ41" s="504">
        <v>0</v>
      </c>
      <c r="KA41" s="504">
        <v>0</v>
      </c>
      <c r="KB41" s="504">
        <v>0</v>
      </c>
      <c r="KC41" s="504">
        <v>0</v>
      </c>
      <c r="KD41" s="504">
        <v>0</v>
      </c>
      <c r="KE41" s="504">
        <v>0</v>
      </c>
      <c r="KF41" s="504">
        <v>0</v>
      </c>
      <c r="KG41" s="504">
        <v>0</v>
      </c>
      <c r="KH41" s="504">
        <v>0</v>
      </c>
      <c r="KI41" s="504">
        <v>0</v>
      </c>
      <c r="KJ41" s="504">
        <v>0</v>
      </c>
      <c r="KK41" s="504">
        <v>0</v>
      </c>
      <c r="KL41" s="504">
        <v>0</v>
      </c>
      <c r="KM41" s="504">
        <v>0</v>
      </c>
      <c r="KN41" s="504">
        <v>0</v>
      </c>
      <c r="KO41" s="504">
        <v>0</v>
      </c>
      <c r="KP41" s="504">
        <v>0</v>
      </c>
      <c r="KQ41" s="504">
        <v>0</v>
      </c>
      <c r="KR41" s="504">
        <v>0</v>
      </c>
      <c r="KS41" s="504">
        <v>0</v>
      </c>
      <c r="KT41" s="1654">
        <v>0</v>
      </c>
      <c r="KU41" s="504">
        <v>0</v>
      </c>
      <c r="KV41" s="504">
        <v>0</v>
      </c>
      <c r="KW41" s="504">
        <v>55</v>
      </c>
      <c r="KX41" s="504">
        <v>1212</v>
      </c>
      <c r="KY41" s="504">
        <v>1710</v>
      </c>
      <c r="KZ41" s="504">
        <v>2309</v>
      </c>
      <c r="LA41" s="504">
        <v>0</v>
      </c>
      <c r="LB41" s="504">
        <v>0</v>
      </c>
      <c r="LC41" s="504">
        <v>0</v>
      </c>
      <c r="LD41" s="504">
        <v>0</v>
      </c>
      <c r="LE41" s="504">
        <v>0</v>
      </c>
      <c r="LF41" s="504">
        <v>0</v>
      </c>
      <c r="LG41" s="504">
        <v>0</v>
      </c>
      <c r="LH41" s="504">
        <v>0</v>
      </c>
      <c r="LI41" s="504">
        <v>0</v>
      </c>
      <c r="LJ41" s="504">
        <v>0</v>
      </c>
      <c r="LK41" s="504">
        <v>0</v>
      </c>
      <c r="LL41" s="504">
        <v>0</v>
      </c>
      <c r="LM41" s="504">
        <v>0</v>
      </c>
      <c r="LN41" s="504">
        <v>0</v>
      </c>
      <c r="LO41" s="504">
        <v>0</v>
      </c>
      <c r="LP41" s="504">
        <v>0</v>
      </c>
      <c r="LQ41" s="504">
        <v>0</v>
      </c>
      <c r="LR41" s="504">
        <v>0</v>
      </c>
      <c r="LS41" s="504">
        <v>0</v>
      </c>
      <c r="LT41" s="504">
        <v>0</v>
      </c>
      <c r="LU41" s="504">
        <v>0</v>
      </c>
      <c r="LV41" s="504">
        <v>0</v>
      </c>
      <c r="LW41" s="504">
        <v>0</v>
      </c>
      <c r="LX41" s="504">
        <v>0</v>
      </c>
      <c r="LY41" s="504">
        <v>0</v>
      </c>
      <c r="LZ41" s="504">
        <v>0</v>
      </c>
      <c r="MA41" s="504">
        <v>0</v>
      </c>
      <c r="MB41" s="504">
        <v>0</v>
      </c>
      <c r="MC41" s="504">
        <v>0</v>
      </c>
      <c r="MD41" s="504">
        <v>0</v>
      </c>
      <c r="ME41" s="504">
        <v>0</v>
      </c>
      <c r="MF41" s="504">
        <v>0</v>
      </c>
      <c r="MG41" s="504">
        <v>0</v>
      </c>
      <c r="MH41" s="504">
        <v>0</v>
      </c>
      <c r="MI41" s="504">
        <v>0</v>
      </c>
      <c r="MJ41" s="504">
        <v>0</v>
      </c>
      <c r="MK41" s="504">
        <v>0</v>
      </c>
      <c r="ML41" s="504">
        <v>0</v>
      </c>
      <c r="MM41" s="504">
        <v>0</v>
      </c>
      <c r="MN41" s="504">
        <v>0</v>
      </c>
      <c r="MO41" s="504">
        <v>0</v>
      </c>
      <c r="MP41" s="504">
        <v>0</v>
      </c>
      <c r="MQ41" s="504">
        <v>0</v>
      </c>
      <c r="MR41" s="504">
        <v>0</v>
      </c>
      <c r="MS41" s="504">
        <v>0</v>
      </c>
      <c r="MT41" s="504">
        <v>0</v>
      </c>
      <c r="MU41" s="504">
        <v>0</v>
      </c>
      <c r="MV41" s="504">
        <v>0</v>
      </c>
      <c r="MW41" s="504">
        <v>0</v>
      </c>
      <c r="MX41" s="504">
        <v>0</v>
      </c>
      <c r="MY41" s="504">
        <v>0</v>
      </c>
      <c r="MZ41" s="504">
        <v>0</v>
      </c>
      <c r="NA41" s="504">
        <v>0</v>
      </c>
      <c r="NB41" s="504">
        <v>0</v>
      </c>
      <c r="NC41" s="504">
        <v>0</v>
      </c>
      <c r="ND41" s="504">
        <v>0</v>
      </c>
      <c r="NE41" s="504">
        <v>0</v>
      </c>
      <c r="NF41" s="504">
        <v>0</v>
      </c>
      <c r="NG41" s="504">
        <v>0</v>
      </c>
      <c r="NH41" s="504">
        <v>0</v>
      </c>
      <c r="NI41" s="504">
        <v>0</v>
      </c>
      <c r="NJ41" s="504">
        <v>0</v>
      </c>
      <c r="NK41" s="504">
        <v>0</v>
      </c>
      <c r="NL41" s="504">
        <v>0</v>
      </c>
      <c r="NM41" s="504">
        <v>0</v>
      </c>
      <c r="NN41" s="504">
        <v>0</v>
      </c>
      <c r="NO41" s="504">
        <v>0</v>
      </c>
      <c r="NP41" s="504">
        <v>0</v>
      </c>
      <c r="NQ41" s="504">
        <v>0</v>
      </c>
      <c r="NR41" s="504">
        <v>0</v>
      </c>
      <c r="NS41" s="504">
        <v>0</v>
      </c>
      <c r="NT41" s="504">
        <v>0</v>
      </c>
      <c r="NU41" s="504">
        <v>0</v>
      </c>
      <c r="NV41" s="504">
        <v>0</v>
      </c>
      <c r="NW41" s="504">
        <v>0</v>
      </c>
      <c r="NX41" s="504">
        <v>0</v>
      </c>
      <c r="NY41" s="504">
        <v>0</v>
      </c>
      <c r="NZ41" s="504">
        <v>0</v>
      </c>
      <c r="OA41" s="504">
        <v>0</v>
      </c>
      <c r="OB41" s="504">
        <v>0</v>
      </c>
      <c r="OC41" s="504">
        <v>0</v>
      </c>
      <c r="OD41" s="504">
        <v>0</v>
      </c>
      <c r="OE41" s="504">
        <v>0</v>
      </c>
      <c r="OF41" s="504">
        <v>0</v>
      </c>
      <c r="OG41" s="504">
        <v>0</v>
      </c>
      <c r="OH41" s="504">
        <v>0</v>
      </c>
      <c r="OI41" s="504">
        <v>0</v>
      </c>
      <c r="OJ41" s="504">
        <v>0</v>
      </c>
      <c r="OK41" s="504">
        <v>0</v>
      </c>
      <c r="OL41" s="504">
        <v>0</v>
      </c>
      <c r="OM41" s="504">
        <v>0</v>
      </c>
      <c r="ON41" s="504">
        <v>0</v>
      </c>
      <c r="OO41" s="504">
        <v>0</v>
      </c>
      <c r="OP41" s="504">
        <v>0</v>
      </c>
      <c r="OQ41" s="504">
        <v>0</v>
      </c>
      <c r="OR41" s="1656"/>
    </row>
    <row r="42" spans="1:408" ht="21.5">
      <c r="A42" s="1466" t="s">
        <v>1663</v>
      </c>
      <c r="B42" s="1583" t="s">
        <v>2358</v>
      </c>
      <c r="C42" s="1583" t="s">
        <v>14</v>
      </c>
      <c r="D42" s="1583">
        <v>65</v>
      </c>
      <c r="E42" s="504">
        <v>112</v>
      </c>
      <c r="F42" s="504">
        <v>409</v>
      </c>
      <c r="G42" s="504">
        <v>1024</v>
      </c>
      <c r="H42" s="504">
        <v>1583</v>
      </c>
      <c r="I42" s="504">
        <v>2250</v>
      </c>
      <c r="J42" s="504">
        <v>2743</v>
      </c>
      <c r="K42" s="504">
        <v>2794</v>
      </c>
      <c r="L42" s="504">
        <v>2846</v>
      </c>
      <c r="M42" s="504">
        <v>2899</v>
      </c>
      <c r="N42" s="504">
        <v>2954</v>
      </c>
      <c r="O42" s="504">
        <v>3012</v>
      </c>
      <c r="P42" s="504">
        <v>3072</v>
      </c>
      <c r="Q42" s="504">
        <v>3137</v>
      </c>
      <c r="R42" s="504">
        <v>3207</v>
      </c>
      <c r="S42" s="504">
        <v>3303</v>
      </c>
      <c r="T42" s="504">
        <v>0</v>
      </c>
      <c r="U42" s="504">
        <v>0</v>
      </c>
      <c r="V42" s="504">
        <v>0</v>
      </c>
      <c r="W42" s="504">
        <v>0</v>
      </c>
      <c r="X42" s="504">
        <v>0</v>
      </c>
      <c r="Y42" s="504">
        <v>0</v>
      </c>
      <c r="Z42" s="504">
        <v>0</v>
      </c>
      <c r="AA42" s="504">
        <v>0</v>
      </c>
      <c r="AB42" s="504">
        <v>0</v>
      </c>
      <c r="AC42" s="504">
        <v>0</v>
      </c>
      <c r="AD42" s="504">
        <v>0</v>
      </c>
      <c r="AE42" s="504">
        <v>0</v>
      </c>
      <c r="AF42" s="504">
        <v>0</v>
      </c>
      <c r="AG42" s="504">
        <v>0</v>
      </c>
      <c r="AH42" s="504">
        <v>0</v>
      </c>
      <c r="AI42" s="504">
        <v>0</v>
      </c>
      <c r="AJ42" s="504">
        <v>0</v>
      </c>
      <c r="AK42" s="504">
        <v>0</v>
      </c>
      <c r="AL42" s="504">
        <v>0</v>
      </c>
      <c r="AM42" s="504">
        <v>0</v>
      </c>
      <c r="AN42" s="504">
        <v>0</v>
      </c>
      <c r="AO42" s="504">
        <v>0</v>
      </c>
      <c r="AP42" s="504">
        <v>0</v>
      </c>
      <c r="AQ42" s="504">
        <v>0</v>
      </c>
      <c r="AR42" s="504">
        <v>0</v>
      </c>
      <c r="AS42" s="504">
        <v>0</v>
      </c>
      <c r="AT42" s="504">
        <v>0</v>
      </c>
      <c r="AU42" s="504">
        <v>0</v>
      </c>
      <c r="AV42" s="504">
        <v>0</v>
      </c>
      <c r="AW42" s="504">
        <v>0</v>
      </c>
      <c r="AX42" s="504">
        <v>0</v>
      </c>
      <c r="AY42" s="504">
        <v>0</v>
      </c>
      <c r="AZ42" s="504">
        <v>0</v>
      </c>
      <c r="BA42" s="504">
        <v>0</v>
      </c>
      <c r="BB42" s="504">
        <v>0</v>
      </c>
      <c r="BC42" s="504">
        <v>0</v>
      </c>
      <c r="BD42" s="504">
        <v>0</v>
      </c>
      <c r="BE42" s="504">
        <v>0</v>
      </c>
      <c r="BF42" s="504">
        <v>0</v>
      </c>
      <c r="BG42" s="504">
        <v>0</v>
      </c>
      <c r="BH42" s="504">
        <v>0</v>
      </c>
      <c r="BI42" s="504">
        <v>0</v>
      </c>
      <c r="BJ42" s="504">
        <v>0</v>
      </c>
      <c r="BK42" s="504">
        <v>0</v>
      </c>
      <c r="BL42" s="504">
        <v>0</v>
      </c>
      <c r="BM42" s="504">
        <v>0</v>
      </c>
      <c r="BN42" s="504">
        <v>0</v>
      </c>
      <c r="BO42" s="504">
        <v>0</v>
      </c>
      <c r="BP42" s="504">
        <v>0</v>
      </c>
      <c r="BQ42" s="504">
        <v>0</v>
      </c>
      <c r="BR42" s="504">
        <v>0</v>
      </c>
      <c r="BS42" s="504">
        <v>0</v>
      </c>
      <c r="BT42" s="504">
        <v>0</v>
      </c>
      <c r="BU42" s="504">
        <v>0</v>
      </c>
      <c r="BV42" s="504">
        <v>0</v>
      </c>
      <c r="BW42" s="504">
        <v>0</v>
      </c>
      <c r="BX42" s="504">
        <v>0</v>
      </c>
      <c r="BY42" s="504">
        <v>0</v>
      </c>
      <c r="BZ42" s="504">
        <v>0</v>
      </c>
      <c r="CA42" s="504">
        <v>0</v>
      </c>
      <c r="CB42" s="504">
        <v>0</v>
      </c>
      <c r="CC42" s="504">
        <v>0</v>
      </c>
      <c r="CD42" s="504">
        <v>0</v>
      </c>
      <c r="CE42" s="504">
        <v>0</v>
      </c>
      <c r="CF42" s="504">
        <v>0</v>
      </c>
      <c r="CG42" s="504">
        <v>0</v>
      </c>
      <c r="CH42" s="504">
        <v>0</v>
      </c>
      <c r="CI42" s="504">
        <v>0</v>
      </c>
      <c r="CJ42" s="504">
        <v>0</v>
      </c>
      <c r="CK42" s="504">
        <v>0</v>
      </c>
      <c r="CL42" s="504">
        <v>0</v>
      </c>
      <c r="CM42" s="504">
        <v>0</v>
      </c>
      <c r="CN42" s="504">
        <v>0</v>
      </c>
      <c r="CO42" s="504">
        <v>0</v>
      </c>
      <c r="CP42" s="504">
        <v>0</v>
      </c>
      <c r="CQ42" s="504">
        <v>0</v>
      </c>
      <c r="CR42" s="504">
        <v>0</v>
      </c>
      <c r="CS42" s="504">
        <v>0</v>
      </c>
      <c r="CT42" s="504">
        <v>0</v>
      </c>
      <c r="CU42" s="504">
        <v>0</v>
      </c>
      <c r="CV42" s="504">
        <v>0</v>
      </c>
      <c r="CW42" s="504">
        <v>0</v>
      </c>
      <c r="CX42" s="504">
        <v>0</v>
      </c>
      <c r="CY42" s="504">
        <v>0</v>
      </c>
      <c r="CZ42" s="1654">
        <v>0</v>
      </c>
      <c r="DA42" s="504">
        <v>0</v>
      </c>
      <c r="DB42" s="504">
        <v>159</v>
      </c>
      <c r="DC42" s="504">
        <v>568</v>
      </c>
      <c r="DD42" s="504">
        <v>1286</v>
      </c>
      <c r="DE42" s="504">
        <v>1827</v>
      </c>
      <c r="DF42" s="504">
        <v>2475</v>
      </c>
      <c r="DG42" s="504">
        <v>0</v>
      </c>
      <c r="DH42" s="504">
        <v>0</v>
      </c>
      <c r="DI42" s="504">
        <v>0</v>
      </c>
      <c r="DJ42" s="504">
        <v>0</v>
      </c>
      <c r="DK42" s="504">
        <v>0</v>
      </c>
      <c r="DL42" s="504">
        <v>0</v>
      </c>
      <c r="DM42" s="504">
        <v>0</v>
      </c>
      <c r="DN42" s="504">
        <v>0</v>
      </c>
      <c r="DO42" s="504">
        <v>0</v>
      </c>
      <c r="DP42" s="504">
        <v>0</v>
      </c>
      <c r="DQ42" s="504">
        <v>0</v>
      </c>
      <c r="DR42" s="504">
        <v>0</v>
      </c>
      <c r="DS42" s="504">
        <v>0</v>
      </c>
      <c r="DT42" s="504">
        <v>0</v>
      </c>
      <c r="DU42" s="504">
        <v>0</v>
      </c>
      <c r="DV42" s="504">
        <v>0</v>
      </c>
      <c r="DW42" s="504">
        <v>0</v>
      </c>
      <c r="DX42" s="504">
        <v>0</v>
      </c>
      <c r="DY42" s="504">
        <v>0</v>
      </c>
      <c r="DZ42" s="504">
        <v>0</v>
      </c>
      <c r="EA42" s="504">
        <v>0</v>
      </c>
      <c r="EB42" s="504">
        <v>0</v>
      </c>
      <c r="EC42" s="504">
        <v>0</v>
      </c>
      <c r="ED42" s="504">
        <v>0</v>
      </c>
      <c r="EE42" s="504">
        <v>0</v>
      </c>
      <c r="EF42" s="504">
        <v>0</v>
      </c>
      <c r="EG42" s="504">
        <v>0</v>
      </c>
      <c r="EH42" s="504">
        <v>0</v>
      </c>
      <c r="EI42" s="504">
        <v>0</v>
      </c>
      <c r="EJ42" s="504">
        <v>0</v>
      </c>
      <c r="EK42" s="504">
        <v>0</v>
      </c>
      <c r="EL42" s="504">
        <v>0</v>
      </c>
      <c r="EM42" s="504">
        <v>0</v>
      </c>
      <c r="EN42" s="504">
        <v>0</v>
      </c>
      <c r="EO42" s="504">
        <v>0</v>
      </c>
      <c r="EP42" s="504">
        <v>0</v>
      </c>
      <c r="EQ42" s="504">
        <v>0</v>
      </c>
      <c r="ER42" s="504">
        <v>0</v>
      </c>
      <c r="ES42" s="504">
        <v>0</v>
      </c>
      <c r="ET42" s="504">
        <v>0</v>
      </c>
      <c r="EU42" s="504">
        <v>0</v>
      </c>
      <c r="EV42" s="504">
        <v>0</v>
      </c>
      <c r="EW42" s="504">
        <v>0</v>
      </c>
      <c r="EX42" s="504">
        <v>0</v>
      </c>
      <c r="EY42" s="504">
        <v>0</v>
      </c>
      <c r="EZ42" s="504">
        <v>0</v>
      </c>
      <c r="FA42" s="504">
        <v>0</v>
      </c>
      <c r="FB42" s="504">
        <v>0</v>
      </c>
      <c r="FC42" s="504">
        <v>0</v>
      </c>
      <c r="FD42" s="504">
        <v>0</v>
      </c>
      <c r="FE42" s="504">
        <v>0</v>
      </c>
      <c r="FF42" s="504">
        <v>0</v>
      </c>
      <c r="FG42" s="504">
        <v>0</v>
      </c>
      <c r="FH42" s="504">
        <v>0</v>
      </c>
      <c r="FI42" s="504">
        <v>0</v>
      </c>
      <c r="FJ42" s="504">
        <v>0</v>
      </c>
      <c r="FK42" s="504">
        <v>0</v>
      </c>
      <c r="FL42" s="504">
        <v>0</v>
      </c>
      <c r="FM42" s="504">
        <v>0</v>
      </c>
      <c r="FN42" s="504">
        <v>0</v>
      </c>
      <c r="FO42" s="504">
        <v>0</v>
      </c>
      <c r="FP42" s="504">
        <v>0</v>
      </c>
      <c r="FQ42" s="504">
        <v>0</v>
      </c>
      <c r="FR42" s="504">
        <v>0</v>
      </c>
      <c r="FS42" s="504">
        <v>0</v>
      </c>
      <c r="FT42" s="504">
        <v>0</v>
      </c>
      <c r="FU42" s="504">
        <v>0</v>
      </c>
      <c r="FV42" s="504">
        <v>0</v>
      </c>
      <c r="FW42" s="504">
        <v>0</v>
      </c>
      <c r="FX42" s="504">
        <v>0</v>
      </c>
      <c r="FY42" s="504">
        <v>0</v>
      </c>
      <c r="FZ42" s="504">
        <v>0</v>
      </c>
      <c r="GA42" s="504">
        <v>0</v>
      </c>
      <c r="GB42" s="504">
        <v>0</v>
      </c>
      <c r="GC42" s="504">
        <v>0</v>
      </c>
      <c r="GD42" s="504">
        <v>0</v>
      </c>
      <c r="GE42" s="504">
        <v>0</v>
      </c>
      <c r="GF42" s="504">
        <v>0</v>
      </c>
      <c r="GG42" s="504">
        <v>0</v>
      </c>
      <c r="GH42" s="504">
        <v>0</v>
      </c>
      <c r="GI42" s="504">
        <v>0</v>
      </c>
      <c r="GJ42" s="504">
        <v>0</v>
      </c>
      <c r="GK42" s="504">
        <v>0</v>
      </c>
      <c r="GL42" s="504">
        <v>0</v>
      </c>
      <c r="GM42" s="504">
        <v>0</v>
      </c>
      <c r="GN42" s="504">
        <v>0</v>
      </c>
      <c r="GO42" s="504">
        <v>0</v>
      </c>
      <c r="GP42" s="504">
        <v>0</v>
      </c>
      <c r="GQ42" s="504">
        <v>0</v>
      </c>
      <c r="GR42" s="504">
        <v>0</v>
      </c>
      <c r="GS42" s="504">
        <v>0</v>
      </c>
      <c r="GT42" s="504">
        <v>0</v>
      </c>
      <c r="GU42" s="504">
        <v>0</v>
      </c>
      <c r="GV42" s="504">
        <v>0</v>
      </c>
      <c r="GW42" s="1654">
        <v>0</v>
      </c>
      <c r="GX42" s="504">
        <v>0</v>
      </c>
      <c r="GY42" s="504">
        <v>5324</v>
      </c>
      <c r="GZ42" s="504">
        <v>13000</v>
      </c>
      <c r="HA42" s="504">
        <v>12000</v>
      </c>
      <c r="HB42" s="504">
        <v>11000</v>
      </c>
      <c r="HC42" s="504">
        <v>10000</v>
      </c>
      <c r="HD42" s="504">
        <v>0</v>
      </c>
      <c r="HE42" s="504">
        <v>0</v>
      </c>
      <c r="HF42" s="504">
        <v>0</v>
      </c>
      <c r="HG42" s="504">
        <v>0</v>
      </c>
      <c r="HH42" s="504">
        <v>0</v>
      </c>
      <c r="HI42" s="504">
        <v>0</v>
      </c>
      <c r="HJ42" s="504">
        <v>0</v>
      </c>
      <c r="HK42" s="504">
        <v>0</v>
      </c>
      <c r="HL42" s="504">
        <v>0</v>
      </c>
      <c r="HM42" s="504">
        <v>0</v>
      </c>
      <c r="HN42" s="504">
        <v>0</v>
      </c>
      <c r="HO42" s="504">
        <v>0</v>
      </c>
      <c r="HP42" s="504">
        <v>0</v>
      </c>
      <c r="HQ42" s="504">
        <v>0</v>
      </c>
      <c r="HR42" s="504">
        <v>0</v>
      </c>
      <c r="HS42" s="504">
        <v>0</v>
      </c>
      <c r="HT42" s="504">
        <v>0</v>
      </c>
      <c r="HU42" s="504">
        <v>0</v>
      </c>
      <c r="HV42" s="504">
        <v>0</v>
      </c>
      <c r="HW42" s="504">
        <v>0</v>
      </c>
      <c r="HX42" s="504">
        <v>0</v>
      </c>
      <c r="HY42" s="504">
        <v>0</v>
      </c>
      <c r="HZ42" s="504">
        <v>0</v>
      </c>
      <c r="IA42" s="504">
        <v>0</v>
      </c>
      <c r="IB42" s="504">
        <v>0</v>
      </c>
      <c r="IC42" s="504">
        <v>0</v>
      </c>
      <c r="ID42" s="504">
        <v>0</v>
      </c>
      <c r="IE42" s="504">
        <v>0</v>
      </c>
      <c r="IF42" s="504">
        <v>0</v>
      </c>
      <c r="IG42" s="504">
        <v>0</v>
      </c>
      <c r="IH42" s="504">
        <v>0</v>
      </c>
      <c r="II42" s="504">
        <v>0</v>
      </c>
      <c r="IJ42" s="504">
        <v>0</v>
      </c>
      <c r="IK42" s="504">
        <v>0</v>
      </c>
      <c r="IL42" s="504">
        <v>0</v>
      </c>
      <c r="IM42" s="504">
        <v>0</v>
      </c>
      <c r="IN42" s="504">
        <v>0</v>
      </c>
      <c r="IO42" s="504">
        <v>0</v>
      </c>
      <c r="IP42" s="504">
        <v>0</v>
      </c>
      <c r="IQ42" s="504">
        <v>0</v>
      </c>
      <c r="IR42" s="504">
        <v>0</v>
      </c>
      <c r="IS42" s="504">
        <v>0</v>
      </c>
      <c r="IT42" s="504">
        <v>0</v>
      </c>
      <c r="IU42" s="504">
        <v>0</v>
      </c>
      <c r="IV42" s="504">
        <v>0</v>
      </c>
      <c r="IW42" s="504">
        <v>0</v>
      </c>
      <c r="IX42" s="504">
        <v>0</v>
      </c>
      <c r="IY42" s="504">
        <v>0</v>
      </c>
      <c r="IZ42" s="504">
        <v>0</v>
      </c>
      <c r="JA42" s="504">
        <v>0</v>
      </c>
      <c r="JB42" s="504">
        <v>0</v>
      </c>
      <c r="JC42" s="504">
        <v>0</v>
      </c>
      <c r="JD42" s="504">
        <v>0</v>
      </c>
      <c r="JE42" s="504">
        <v>0</v>
      </c>
      <c r="JF42" s="504">
        <v>0</v>
      </c>
      <c r="JG42" s="504">
        <v>0</v>
      </c>
      <c r="JH42" s="504">
        <v>0</v>
      </c>
      <c r="JI42" s="504">
        <v>0</v>
      </c>
      <c r="JJ42" s="504">
        <v>0</v>
      </c>
      <c r="JK42" s="504">
        <v>0</v>
      </c>
      <c r="JL42" s="504">
        <v>0</v>
      </c>
      <c r="JM42" s="504">
        <v>0</v>
      </c>
      <c r="JN42" s="504">
        <v>0</v>
      </c>
      <c r="JO42" s="504">
        <v>0</v>
      </c>
      <c r="JP42" s="504">
        <v>0</v>
      </c>
      <c r="JQ42" s="504">
        <v>0</v>
      </c>
      <c r="JR42" s="504">
        <v>0</v>
      </c>
      <c r="JS42" s="504">
        <v>0</v>
      </c>
      <c r="JT42" s="504">
        <v>0</v>
      </c>
      <c r="JU42" s="504">
        <v>0</v>
      </c>
      <c r="JV42" s="504">
        <v>0</v>
      </c>
      <c r="JW42" s="504">
        <v>0</v>
      </c>
      <c r="JX42" s="504">
        <v>0</v>
      </c>
      <c r="JY42" s="504">
        <v>0</v>
      </c>
      <c r="JZ42" s="504">
        <v>0</v>
      </c>
      <c r="KA42" s="504">
        <v>0</v>
      </c>
      <c r="KB42" s="504">
        <v>0</v>
      </c>
      <c r="KC42" s="504">
        <v>0</v>
      </c>
      <c r="KD42" s="504">
        <v>0</v>
      </c>
      <c r="KE42" s="504">
        <v>0</v>
      </c>
      <c r="KF42" s="504">
        <v>0</v>
      </c>
      <c r="KG42" s="504">
        <v>0</v>
      </c>
      <c r="KH42" s="504">
        <v>0</v>
      </c>
      <c r="KI42" s="504">
        <v>0</v>
      </c>
      <c r="KJ42" s="504">
        <v>0</v>
      </c>
      <c r="KK42" s="504">
        <v>0</v>
      </c>
      <c r="KL42" s="504">
        <v>0</v>
      </c>
      <c r="KM42" s="504">
        <v>0</v>
      </c>
      <c r="KN42" s="504">
        <v>0</v>
      </c>
      <c r="KO42" s="504">
        <v>0</v>
      </c>
      <c r="KP42" s="504">
        <v>0</v>
      </c>
      <c r="KQ42" s="504">
        <v>0</v>
      </c>
      <c r="KR42" s="504">
        <v>0</v>
      </c>
      <c r="KS42" s="504">
        <v>0</v>
      </c>
      <c r="KT42" s="1654">
        <v>0</v>
      </c>
      <c r="KU42" s="504">
        <v>0</v>
      </c>
      <c r="KV42" s="504">
        <v>0</v>
      </c>
      <c r="KW42" s="504">
        <v>139</v>
      </c>
      <c r="KX42" s="504">
        <v>1276</v>
      </c>
      <c r="KY42" s="504">
        <v>1818</v>
      </c>
      <c r="KZ42" s="504">
        <v>2467</v>
      </c>
      <c r="LA42" s="504">
        <v>0</v>
      </c>
      <c r="LB42" s="504">
        <v>0</v>
      </c>
      <c r="LC42" s="504">
        <v>0</v>
      </c>
      <c r="LD42" s="504">
        <v>0</v>
      </c>
      <c r="LE42" s="504">
        <v>0</v>
      </c>
      <c r="LF42" s="504">
        <v>0</v>
      </c>
      <c r="LG42" s="504">
        <v>0</v>
      </c>
      <c r="LH42" s="504">
        <v>0</v>
      </c>
      <c r="LI42" s="504">
        <v>0</v>
      </c>
      <c r="LJ42" s="504">
        <v>0</v>
      </c>
      <c r="LK42" s="504">
        <v>0</v>
      </c>
      <c r="LL42" s="504">
        <v>0</v>
      </c>
      <c r="LM42" s="504">
        <v>0</v>
      </c>
      <c r="LN42" s="504">
        <v>0</v>
      </c>
      <c r="LO42" s="504">
        <v>0</v>
      </c>
      <c r="LP42" s="504">
        <v>0</v>
      </c>
      <c r="LQ42" s="504">
        <v>0</v>
      </c>
      <c r="LR42" s="504">
        <v>0</v>
      </c>
      <c r="LS42" s="504">
        <v>0</v>
      </c>
      <c r="LT42" s="504">
        <v>0</v>
      </c>
      <c r="LU42" s="504">
        <v>0</v>
      </c>
      <c r="LV42" s="504">
        <v>0</v>
      </c>
      <c r="LW42" s="504">
        <v>0</v>
      </c>
      <c r="LX42" s="504">
        <v>0</v>
      </c>
      <c r="LY42" s="504">
        <v>0</v>
      </c>
      <c r="LZ42" s="504">
        <v>0</v>
      </c>
      <c r="MA42" s="504">
        <v>0</v>
      </c>
      <c r="MB42" s="504">
        <v>0</v>
      </c>
      <c r="MC42" s="504">
        <v>0</v>
      </c>
      <c r="MD42" s="504">
        <v>0</v>
      </c>
      <c r="ME42" s="504">
        <v>0</v>
      </c>
      <c r="MF42" s="504">
        <v>0</v>
      </c>
      <c r="MG42" s="504">
        <v>0</v>
      </c>
      <c r="MH42" s="504">
        <v>0</v>
      </c>
      <c r="MI42" s="504">
        <v>0</v>
      </c>
      <c r="MJ42" s="504">
        <v>0</v>
      </c>
      <c r="MK42" s="504">
        <v>0</v>
      </c>
      <c r="ML42" s="504">
        <v>0</v>
      </c>
      <c r="MM42" s="504">
        <v>0</v>
      </c>
      <c r="MN42" s="504">
        <v>0</v>
      </c>
      <c r="MO42" s="504">
        <v>0</v>
      </c>
      <c r="MP42" s="504">
        <v>0</v>
      </c>
      <c r="MQ42" s="504">
        <v>0</v>
      </c>
      <c r="MR42" s="504">
        <v>0</v>
      </c>
      <c r="MS42" s="504">
        <v>0</v>
      </c>
      <c r="MT42" s="504">
        <v>0</v>
      </c>
      <c r="MU42" s="504">
        <v>0</v>
      </c>
      <c r="MV42" s="504">
        <v>0</v>
      </c>
      <c r="MW42" s="504">
        <v>0</v>
      </c>
      <c r="MX42" s="504">
        <v>0</v>
      </c>
      <c r="MY42" s="504">
        <v>0</v>
      </c>
      <c r="MZ42" s="504">
        <v>0</v>
      </c>
      <c r="NA42" s="504">
        <v>0</v>
      </c>
      <c r="NB42" s="504">
        <v>0</v>
      </c>
      <c r="NC42" s="504">
        <v>0</v>
      </c>
      <c r="ND42" s="504">
        <v>0</v>
      </c>
      <c r="NE42" s="504">
        <v>0</v>
      </c>
      <c r="NF42" s="504">
        <v>0</v>
      </c>
      <c r="NG42" s="504">
        <v>0</v>
      </c>
      <c r="NH42" s="504">
        <v>0</v>
      </c>
      <c r="NI42" s="504">
        <v>0</v>
      </c>
      <c r="NJ42" s="504">
        <v>0</v>
      </c>
      <c r="NK42" s="504">
        <v>0</v>
      </c>
      <c r="NL42" s="504">
        <v>0</v>
      </c>
      <c r="NM42" s="504">
        <v>0</v>
      </c>
      <c r="NN42" s="504">
        <v>0</v>
      </c>
      <c r="NO42" s="504">
        <v>0</v>
      </c>
      <c r="NP42" s="504">
        <v>0</v>
      </c>
      <c r="NQ42" s="504">
        <v>0</v>
      </c>
      <c r="NR42" s="504">
        <v>0</v>
      </c>
      <c r="NS42" s="504">
        <v>0</v>
      </c>
      <c r="NT42" s="504">
        <v>0</v>
      </c>
      <c r="NU42" s="504">
        <v>0</v>
      </c>
      <c r="NV42" s="504">
        <v>0</v>
      </c>
      <c r="NW42" s="504">
        <v>0</v>
      </c>
      <c r="NX42" s="504">
        <v>0</v>
      </c>
      <c r="NY42" s="504">
        <v>0</v>
      </c>
      <c r="NZ42" s="504">
        <v>0</v>
      </c>
      <c r="OA42" s="504">
        <v>0</v>
      </c>
      <c r="OB42" s="504">
        <v>0</v>
      </c>
      <c r="OC42" s="504">
        <v>0</v>
      </c>
      <c r="OD42" s="504">
        <v>0</v>
      </c>
      <c r="OE42" s="504">
        <v>0</v>
      </c>
      <c r="OF42" s="504">
        <v>0</v>
      </c>
      <c r="OG42" s="504">
        <v>0</v>
      </c>
      <c r="OH42" s="504">
        <v>0</v>
      </c>
      <c r="OI42" s="504">
        <v>0</v>
      </c>
      <c r="OJ42" s="504">
        <v>0</v>
      </c>
      <c r="OK42" s="504">
        <v>0</v>
      </c>
      <c r="OL42" s="504">
        <v>0</v>
      </c>
      <c r="OM42" s="504">
        <v>0</v>
      </c>
      <c r="ON42" s="504">
        <v>0</v>
      </c>
      <c r="OO42" s="504">
        <v>0</v>
      </c>
      <c r="OP42" s="504">
        <v>0</v>
      </c>
      <c r="OQ42" s="504">
        <v>0</v>
      </c>
      <c r="OR42" s="1656"/>
    </row>
    <row r="43" spans="1:408" ht="21.5">
      <c r="A43" s="1466"/>
      <c r="B43" s="1583"/>
      <c r="C43" s="1583"/>
      <c r="D43" s="1583"/>
      <c r="E43" s="1584"/>
      <c r="F43" s="1584"/>
      <c r="G43" s="1584"/>
      <c r="H43" s="1584"/>
      <c r="I43" s="1584"/>
      <c r="J43" s="1584"/>
      <c r="K43" s="1584"/>
      <c r="L43" s="1584"/>
      <c r="M43" s="1584"/>
      <c r="N43" s="1584"/>
      <c r="O43" s="1584"/>
      <c r="P43" s="1584"/>
      <c r="Q43" s="1584"/>
      <c r="R43" s="1584"/>
      <c r="S43" s="1584"/>
      <c r="T43" s="1584"/>
      <c r="U43" s="1584"/>
      <c r="V43" s="1584"/>
      <c r="W43" s="1584"/>
      <c r="X43" s="1584"/>
      <c r="Y43" s="1584"/>
      <c r="Z43" s="1584"/>
      <c r="AA43" s="1584"/>
      <c r="AB43" s="1584"/>
      <c r="AC43" s="1584"/>
      <c r="AD43" s="1584"/>
      <c r="AE43" s="1584"/>
      <c r="AF43" s="1584"/>
      <c r="AG43" s="1584"/>
      <c r="AH43" s="1584"/>
      <c r="AI43" s="1584"/>
      <c r="AJ43" s="1584"/>
      <c r="AK43" s="1584"/>
      <c r="AL43" s="1584"/>
      <c r="AM43" s="1584"/>
      <c r="AN43" s="1584"/>
      <c r="AO43" s="1584"/>
      <c r="AP43" s="1584"/>
      <c r="AQ43" s="1584"/>
      <c r="AR43" s="1584"/>
      <c r="AS43" s="1584"/>
      <c r="AT43" s="1584"/>
      <c r="AU43" s="1584"/>
      <c r="AV43" s="1584"/>
      <c r="AW43" s="1584"/>
      <c r="AX43" s="1584"/>
      <c r="AY43" s="1584"/>
      <c r="AZ43" s="1584"/>
      <c r="BA43" s="1584"/>
      <c r="BB43" s="1584"/>
      <c r="BC43" s="1584"/>
      <c r="BD43" s="1584"/>
      <c r="BE43" s="1584"/>
      <c r="BF43" s="1584"/>
      <c r="BG43" s="1584"/>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s="1655"/>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s="1655"/>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s="1655"/>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s="1656"/>
      <c r="OR43" s="1656"/>
    </row>
    <row r="44" spans="1:408" ht="21.5">
      <c r="A44" s="1466"/>
      <c r="B44" s="1583"/>
      <c r="C44" s="1583"/>
      <c r="D44" s="1583"/>
      <c r="E44" s="1584"/>
      <c r="F44" s="1584"/>
      <c r="G44" s="1584"/>
      <c r="H44" s="1584"/>
      <c r="I44" s="1584"/>
      <c r="J44" s="1584"/>
      <c r="K44" s="1584"/>
      <c r="L44" s="1584"/>
      <c r="M44" s="1584"/>
      <c r="N44" s="1584"/>
      <c r="O44" s="1584"/>
      <c r="P44" s="1584"/>
      <c r="Q44" s="1584"/>
      <c r="R44" s="1584"/>
      <c r="S44" s="1584"/>
      <c r="T44" s="1584"/>
      <c r="U44" s="1584"/>
      <c r="V44" s="1584"/>
      <c r="W44" s="1584"/>
      <c r="X44" s="1584"/>
      <c r="Y44" s="1584"/>
      <c r="Z44" s="1584"/>
      <c r="AA44" s="1584"/>
      <c r="AB44" s="1584"/>
      <c r="AC44" s="1584"/>
      <c r="AD44" s="1584"/>
      <c r="AE44" s="1584"/>
      <c r="AF44" s="1584"/>
      <c r="AG44" s="1584"/>
      <c r="AH44" s="1584"/>
      <c r="AI44" s="1584"/>
      <c r="AJ44" s="1584"/>
      <c r="AK44" s="1584"/>
      <c r="AL44" s="1584"/>
      <c r="AM44" s="1584"/>
      <c r="AN44" s="1584"/>
      <c r="AO44" s="1584"/>
      <c r="AP44" s="1584"/>
      <c r="AQ44" s="1584"/>
      <c r="AR44" s="1584"/>
      <c r="AS44" s="1584"/>
      <c r="AT44" s="1584"/>
      <c r="AU44" s="1584"/>
      <c r="AV44" s="1584"/>
      <c r="AW44" s="1584"/>
      <c r="AX44" s="1584"/>
      <c r="AY44" s="1584"/>
      <c r="AZ44" s="1584"/>
      <c r="BA44" s="1584"/>
      <c r="BB44" s="1584"/>
      <c r="BC44" s="1584"/>
      <c r="BD44" s="1584"/>
      <c r="BE44" s="1584"/>
      <c r="BF44" s="1584"/>
      <c r="BG44" s="158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s="1655"/>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s="1655"/>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s="1655"/>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s="1656"/>
      <c r="OR44" s="1656"/>
    </row>
    <row r="45" spans="1:408" ht="21.5">
      <c r="A45" s="1466"/>
      <c r="B45" s="1583"/>
      <c r="C45" s="1583"/>
      <c r="D45" s="1583"/>
      <c r="E45" s="1584"/>
      <c r="F45" s="1584"/>
      <c r="G45" s="1584"/>
      <c r="H45" s="1584"/>
      <c r="I45" s="1584"/>
      <c r="J45" s="1584"/>
      <c r="K45" s="1584"/>
      <c r="L45" s="1584"/>
      <c r="M45" s="1584"/>
      <c r="N45" s="1584"/>
      <c r="O45" s="1584"/>
      <c r="P45" s="1584"/>
      <c r="Q45" s="1584"/>
      <c r="R45" s="1584"/>
      <c r="S45" s="1584"/>
      <c r="T45" s="1584"/>
      <c r="U45" s="1584"/>
      <c r="V45" s="1584"/>
      <c r="W45" s="1584"/>
      <c r="X45" s="1584"/>
      <c r="Y45" s="1584"/>
      <c r="Z45" s="1584"/>
      <c r="AA45" s="1584"/>
      <c r="AB45" s="1584"/>
      <c r="AC45" s="1584"/>
      <c r="AD45" s="1584"/>
      <c r="AE45" s="1584"/>
      <c r="AF45" s="1584"/>
      <c r="AG45" s="1584"/>
      <c r="AH45" s="1584"/>
      <c r="AI45" s="1584"/>
      <c r="AJ45" s="1584"/>
      <c r="AK45" s="1584"/>
      <c r="AL45" s="1584"/>
      <c r="AM45" s="1584"/>
      <c r="AN45" s="1584"/>
      <c r="AO45" s="1584"/>
      <c r="AP45" s="1584"/>
      <c r="AQ45" s="1584"/>
      <c r="AR45" s="1584"/>
      <c r="AS45" s="1584"/>
      <c r="AT45" s="1584"/>
      <c r="AU45" s="1584"/>
      <c r="AV45" s="1584"/>
      <c r="AW45" s="1584"/>
      <c r="AX45" s="1584"/>
      <c r="AY45" s="1584"/>
      <c r="AZ45" s="1584"/>
      <c r="BA45" s="1584"/>
      <c r="BB45" s="1584"/>
      <c r="BC45" s="1584"/>
      <c r="BD45" s="1584"/>
      <c r="BE45" s="1584"/>
      <c r="BF45" s="1584"/>
      <c r="BG45" s="1584"/>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s="165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s="165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s="165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s="1656"/>
      <c r="OR45" s="1656"/>
    </row>
    <row r="46" spans="1:408" ht="21.5">
      <c r="A46" s="1466"/>
      <c r="B46" s="1583"/>
      <c r="C46" s="1583"/>
      <c r="D46" s="1583"/>
      <c r="E46" s="1584"/>
      <c r="F46" s="1584"/>
      <c r="G46" s="1584"/>
      <c r="H46" s="1584"/>
      <c r="I46" s="1584"/>
      <c r="J46" s="1584"/>
      <c r="K46" s="1584"/>
      <c r="L46" s="1584"/>
      <c r="M46" s="1584"/>
      <c r="N46" s="1584"/>
      <c r="O46" s="1584"/>
      <c r="P46" s="1584"/>
      <c r="Q46" s="1584"/>
      <c r="R46" s="1584"/>
      <c r="S46" s="1584"/>
      <c r="T46" s="1584"/>
      <c r="U46" s="1584"/>
      <c r="V46" s="1584"/>
      <c r="W46" s="1584"/>
      <c r="X46" s="1584"/>
      <c r="Y46" s="1584"/>
      <c r="Z46" s="1584"/>
      <c r="AA46" s="1584"/>
      <c r="AB46" s="1584"/>
      <c r="AC46" s="1584"/>
      <c r="AD46" s="1584"/>
      <c r="AE46" s="1584"/>
      <c r="AF46" s="1584"/>
      <c r="AG46" s="1584"/>
      <c r="AH46" s="1584"/>
      <c r="AI46" s="1584"/>
      <c r="AJ46" s="1584"/>
      <c r="AK46" s="1584"/>
      <c r="AL46" s="1584"/>
      <c r="AM46" s="1584"/>
      <c r="AN46" s="1584"/>
      <c r="AO46" s="1584"/>
      <c r="AP46" s="1584"/>
      <c r="AQ46" s="1584"/>
      <c r="AR46" s="1584"/>
      <c r="AS46" s="1584"/>
      <c r="AT46" s="1584"/>
      <c r="AU46" s="1584"/>
      <c r="AV46" s="1584"/>
      <c r="AW46" s="1584"/>
      <c r="AX46" s="1584"/>
      <c r="AY46" s="1584"/>
      <c r="AZ46" s="1584"/>
      <c r="BA46" s="1584"/>
      <c r="BB46" s="1584"/>
      <c r="BC46" s="1584"/>
      <c r="BD46" s="1584"/>
      <c r="BE46" s="1584"/>
      <c r="BF46" s="1584"/>
      <c r="BG46" s="1584"/>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s="1655"/>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s="1655"/>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s="1655"/>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s="1656"/>
      <c r="OR46" s="1656"/>
    </row>
    <row r="47" spans="1:408" ht="21.5">
      <c r="A47" s="1466"/>
      <c r="B47" s="1583"/>
      <c r="C47" s="1583"/>
      <c r="D47" s="1583"/>
      <c r="E47" s="1584"/>
      <c r="F47" s="1584"/>
      <c r="G47" s="1584"/>
      <c r="H47" s="1584"/>
      <c r="I47" s="1584"/>
      <c r="J47" s="1584"/>
      <c r="K47" s="1584"/>
      <c r="L47" s="1584"/>
      <c r="M47" s="1584"/>
      <c r="N47" s="1584"/>
      <c r="O47" s="1584"/>
      <c r="P47" s="1584"/>
      <c r="Q47" s="1584"/>
      <c r="R47" s="1584"/>
      <c r="S47" s="1584"/>
      <c r="T47" s="1584"/>
      <c r="U47" s="1584"/>
      <c r="V47" s="1584"/>
      <c r="W47" s="1584"/>
      <c r="X47" s="1584"/>
      <c r="Y47" s="1584"/>
      <c r="Z47" s="1584"/>
      <c r="AA47" s="1584"/>
      <c r="AB47" s="1584"/>
      <c r="AC47" s="1584"/>
      <c r="AD47" s="1584"/>
      <c r="AE47" s="1584"/>
      <c r="AF47" s="1584"/>
      <c r="AG47" s="1584"/>
      <c r="AH47" s="1584"/>
      <c r="AI47" s="1584"/>
      <c r="AJ47" s="1584"/>
      <c r="AK47" s="1584"/>
      <c r="AL47" s="1584"/>
      <c r="AM47" s="1584"/>
      <c r="AN47" s="1584"/>
      <c r="AO47" s="1584"/>
      <c r="AP47" s="1584"/>
      <c r="AQ47" s="1584"/>
      <c r="AR47" s="1584"/>
      <c r="AS47" s="1584"/>
      <c r="AT47" s="1584"/>
      <c r="AU47" s="1584"/>
      <c r="AV47" s="1584"/>
      <c r="AW47" s="1584"/>
      <c r="AX47" s="1584"/>
      <c r="AY47" s="1584"/>
      <c r="AZ47" s="1584"/>
      <c r="BA47" s="1584"/>
      <c r="BB47" s="1584"/>
      <c r="BC47" s="1584"/>
      <c r="BD47" s="1584"/>
      <c r="BE47" s="1584"/>
      <c r="BF47" s="1584"/>
      <c r="BG47" s="1584"/>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s="1655"/>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s="1655"/>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s="1655"/>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s="1656"/>
      <c r="OR47" s="1656"/>
    </row>
    <row r="48" spans="1:408" ht="21.5">
      <c r="A48" s="1466"/>
      <c r="B48" s="1583"/>
      <c r="C48" s="1583"/>
      <c r="D48" s="1583"/>
      <c r="E48" s="1584"/>
      <c r="F48" s="1584"/>
      <c r="G48" s="1584"/>
      <c r="H48" s="1584"/>
      <c r="I48" s="1584"/>
      <c r="J48" s="1584"/>
      <c r="K48" s="1584"/>
      <c r="L48" s="1584"/>
      <c r="M48" s="1584"/>
      <c r="N48" s="1584"/>
      <c r="O48" s="1584"/>
      <c r="P48" s="1584"/>
      <c r="Q48" s="1584"/>
      <c r="R48" s="1584"/>
      <c r="S48" s="1584"/>
      <c r="T48" s="1584"/>
      <c r="U48" s="1584"/>
      <c r="V48" s="1584"/>
      <c r="W48" s="1584"/>
      <c r="X48" s="1584"/>
      <c r="Y48" s="1584"/>
      <c r="Z48" s="1584"/>
      <c r="AA48" s="1584"/>
      <c r="AB48" s="1584"/>
      <c r="AC48" s="1584"/>
      <c r="AD48" s="1584"/>
      <c r="AE48" s="1584"/>
      <c r="AF48" s="1584"/>
      <c r="AG48" s="1584"/>
      <c r="AH48" s="1584"/>
      <c r="AI48" s="1584"/>
      <c r="AJ48" s="1584"/>
      <c r="AK48" s="1584"/>
      <c r="AL48" s="1584"/>
      <c r="AM48" s="1584"/>
      <c r="AN48" s="1584"/>
      <c r="AO48" s="1584"/>
      <c r="AP48" s="1584"/>
      <c r="AQ48" s="1584"/>
      <c r="AR48" s="1584"/>
      <c r="AS48" s="1584"/>
      <c r="AT48" s="1584"/>
      <c r="AU48" s="1584"/>
      <c r="AV48" s="1584"/>
      <c r="AW48" s="1584"/>
      <c r="AX48" s="1584"/>
      <c r="AY48" s="1584"/>
      <c r="AZ48" s="1584"/>
      <c r="BA48" s="1584"/>
      <c r="BB48" s="1584"/>
      <c r="BC48" s="1584"/>
      <c r="BD48" s="1584"/>
      <c r="BE48" s="1584"/>
      <c r="BF48" s="1584"/>
      <c r="BG48" s="1584"/>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s="1655"/>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s="1655"/>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s="1655"/>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s="1656"/>
      <c r="OR48" s="1656"/>
    </row>
    <row r="49" spans="1:408" ht="21.5">
      <c r="A49" s="1466"/>
      <c r="B49" s="1583"/>
      <c r="C49" s="1583"/>
      <c r="D49" s="1583"/>
      <c r="E49" s="1584"/>
      <c r="F49" s="1584"/>
      <c r="G49" s="1584"/>
      <c r="H49" s="1584"/>
      <c r="I49" s="1584"/>
      <c r="J49" s="1584"/>
      <c r="K49" s="1584"/>
      <c r="L49" s="1584"/>
      <c r="M49" s="1584"/>
      <c r="N49" s="1584"/>
      <c r="O49" s="1584"/>
      <c r="P49" s="1584"/>
      <c r="Q49" s="1584"/>
      <c r="R49" s="1584"/>
      <c r="S49" s="1584"/>
      <c r="T49" s="1584"/>
      <c r="U49" s="1584"/>
      <c r="V49" s="1584"/>
      <c r="W49" s="1584"/>
      <c r="X49" s="1584"/>
      <c r="Y49" s="1584"/>
      <c r="Z49" s="1584"/>
      <c r="AA49" s="1584"/>
      <c r="AB49" s="1584"/>
      <c r="AC49" s="1584"/>
      <c r="AD49" s="1584"/>
      <c r="AE49" s="1584"/>
      <c r="AF49" s="1584"/>
      <c r="AG49" s="1584"/>
      <c r="AH49" s="1584"/>
      <c r="AI49" s="1584"/>
      <c r="AJ49" s="1584"/>
      <c r="AK49" s="1584"/>
      <c r="AL49" s="1584"/>
      <c r="AM49" s="1584"/>
      <c r="AN49" s="1584"/>
      <c r="AO49" s="1584"/>
      <c r="AP49" s="1584"/>
      <c r="AQ49" s="1584"/>
      <c r="AR49" s="1584"/>
      <c r="AS49" s="1584"/>
      <c r="AT49" s="1584"/>
      <c r="AU49" s="1584"/>
      <c r="AV49" s="1584"/>
      <c r="AW49" s="1584"/>
      <c r="AX49" s="1584"/>
      <c r="AY49" s="1584"/>
      <c r="AZ49" s="1584"/>
      <c r="BA49" s="1584"/>
      <c r="BB49" s="1584"/>
      <c r="BC49" s="1584"/>
      <c r="BD49" s="1584"/>
      <c r="BE49" s="1584"/>
      <c r="BF49" s="1584"/>
      <c r="BG49" s="1584"/>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s="1655"/>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s="1655"/>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s="1655"/>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c r="MR49"/>
      <c r="MS49"/>
      <c r="MT49"/>
      <c r="MU49"/>
      <c r="MV49"/>
      <c r="MW49"/>
      <c r="MX49"/>
      <c r="MY49"/>
      <c r="MZ49"/>
      <c r="NA49"/>
      <c r="NB49"/>
      <c r="NC49"/>
      <c r="ND49"/>
      <c r="NE49"/>
      <c r="NF49"/>
      <c r="NG49"/>
      <c r="NH49"/>
      <c r="NI49"/>
      <c r="NJ49"/>
      <c r="NK49"/>
      <c r="NL49"/>
      <c r="NM49"/>
      <c r="NN49"/>
      <c r="NO49"/>
      <c r="NP49"/>
      <c r="NQ49"/>
      <c r="NR49"/>
      <c r="NS49"/>
      <c r="NT49"/>
      <c r="NU49"/>
      <c r="NV49"/>
      <c r="NW49"/>
      <c r="NX49"/>
      <c r="NY49"/>
      <c r="NZ49"/>
      <c r="OA49"/>
      <c r="OB49"/>
      <c r="OC49"/>
      <c r="OD49"/>
      <c r="OE49"/>
      <c r="OF49"/>
      <c r="OG49"/>
      <c r="OH49"/>
      <c r="OI49"/>
      <c r="OJ49"/>
      <c r="OK49"/>
      <c r="OL49"/>
      <c r="OM49"/>
      <c r="ON49"/>
      <c r="OO49"/>
      <c r="OP49"/>
      <c r="OQ49" s="1656"/>
      <c r="OR49" s="1656"/>
    </row>
    <row r="50" spans="1:408" ht="21.5">
      <c r="A50" s="1466"/>
      <c r="B50" s="1583"/>
      <c r="C50" s="1583"/>
      <c r="D50" s="1583"/>
      <c r="E50" s="1584"/>
      <c r="F50" s="1584"/>
      <c r="G50" s="1584"/>
      <c r="H50" s="1584"/>
      <c r="I50" s="1584"/>
      <c r="J50" s="1584"/>
      <c r="K50" s="1584"/>
      <c r="L50" s="1584"/>
      <c r="M50" s="1584"/>
      <c r="N50" s="1584"/>
      <c r="O50" s="1584"/>
      <c r="P50" s="1584"/>
      <c r="Q50" s="1584"/>
      <c r="R50" s="1584"/>
      <c r="S50" s="1584"/>
      <c r="T50" s="1584"/>
      <c r="U50" s="1584"/>
      <c r="V50" s="1584"/>
      <c r="W50" s="1584"/>
      <c r="X50" s="1584"/>
      <c r="Y50" s="1584"/>
      <c r="Z50" s="1584"/>
      <c r="AA50" s="1584"/>
      <c r="AB50" s="1584"/>
      <c r="AC50" s="1584"/>
      <c r="AD50" s="1584"/>
      <c r="AE50" s="1584"/>
      <c r="AF50" s="1584"/>
      <c r="AG50" s="1584"/>
      <c r="AH50" s="1584"/>
      <c r="AI50" s="1584"/>
      <c r="AJ50" s="1584"/>
      <c r="AK50" s="1584"/>
      <c r="AL50" s="1584"/>
      <c r="AM50" s="1584"/>
      <c r="AN50" s="1584"/>
      <c r="AO50" s="1584"/>
      <c r="AP50" s="1584"/>
      <c r="AQ50" s="1584"/>
      <c r="AR50" s="1584"/>
      <c r="AS50" s="1584"/>
      <c r="AT50" s="1584"/>
      <c r="AU50" s="1584"/>
      <c r="AV50" s="1584"/>
      <c r="AW50" s="1584"/>
      <c r="AX50" s="1584"/>
      <c r="AY50" s="1584"/>
      <c r="AZ50" s="1584"/>
      <c r="BA50" s="1584"/>
      <c r="BB50" s="1584"/>
      <c r="BC50" s="1584"/>
      <c r="BD50" s="1584"/>
      <c r="BE50" s="1584"/>
      <c r="BF50" s="1584"/>
      <c r="BG50" s="1584"/>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s="1655"/>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s="1655"/>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s="1655"/>
      <c r="KU50"/>
      <c r="KV50"/>
      <c r="KW50"/>
      <c r="KX50"/>
      <c r="KY50"/>
      <c r="KZ50"/>
      <c r="LA50"/>
      <c r="LB50"/>
      <c r="LC50"/>
      <c r="LD50"/>
      <c r="LE50"/>
      <c r="LF50"/>
      <c r="LG50"/>
      <c r="LH50"/>
      <c r="LI50"/>
      <c r="LJ50"/>
      <c r="LK50"/>
      <c r="LL50"/>
      <c r="LM50"/>
      <c r="LN50"/>
      <c r="LO50"/>
      <c r="LP50"/>
      <c r="LQ50"/>
      <c r="LR50"/>
      <c r="LS50"/>
      <c r="LT50"/>
      <c r="LU50"/>
      <c r="LV50"/>
      <c r="LW50"/>
      <c r="LX50"/>
      <c r="LY50"/>
      <c r="LZ50"/>
      <c r="MA50"/>
      <c r="MB50"/>
      <c r="MC50"/>
      <c r="MD50"/>
      <c r="ME50"/>
      <c r="MF50"/>
      <c r="MG50"/>
      <c r="MH50"/>
      <c r="MI50"/>
      <c r="MJ50"/>
      <c r="MK50"/>
      <c r="ML50"/>
      <c r="MM50"/>
      <c r="MN50"/>
      <c r="MO50"/>
      <c r="MP50"/>
      <c r="MQ50"/>
      <c r="MR50"/>
      <c r="MS50"/>
      <c r="MT50"/>
      <c r="MU50"/>
      <c r="MV50"/>
      <c r="MW50"/>
      <c r="MX50"/>
      <c r="MY50"/>
      <c r="MZ50"/>
      <c r="NA50"/>
      <c r="NB50"/>
      <c r="NC50"/>
      <c r="ND50"/>
      <c r="NE50"/>
      <c r="NF50"/>
      <c r="NG50"/>
      <c r="NH50"/>
      <c r="NI50"/>
      <c r="NJ50"/>
      <c r="NK50"/>
      <c r="NL50"/>
      <c r="NM50"/>
      <c r="NN50"/>
      <c r="NO50"/>
      <c r="NP50"/>
      <c r="NQ50"/>
      <c r="NR50"/>
      <c r="NS50"/>
      <c r="NT50"/>
      <c r="NU50"/>
      <c r="NV50"/>
      <c r="NW50"/>
      <c r="NX50"/>
      <c r="NY50"/>
      <c r="NZ50"/>
      <c r="OA50"/>
      <c r="OB50"/>
      <c r="OC50"/>
      <c r="OD50"/>
      <c r="OE50"/>
      <c r="OF50"/>
      <c r="OG50"/>
      <c r="OH50"/>
      <c r="OI50"/>
      <c r="OJ50"/>
      <c r="OK50"/>
      <c r="OL50"/>
      <c r="OM50"/>
      <c r="ON50"/>
      <c r="OO50"/>
      <c r="OP50"/>
      <c r="OQ50" s="1656"/>
      <c r="OR50" s="1656"/>
    </row>
    <row r="51" spans="1:408" ht="21.5">
      <c r="A51" s="1466"/>
      <c r="B51" s="1583"/>
      <c r="C51" s="1583"/>
      <c r="D51" s="1583"/>
      <c r="E51" s="1584"/>
      <c r="F51" s="1584"/>
      <c r="G51" s="1584"/>
      <c r="H51" s="1584"/>
      <c r="I51" s="1584"/>
      <c r="J51" s="1584"/>
      <c r="K51" s="1584"/>
      <c r="L51" s="1584"/>
      <c r="M51" s="1584"/>
      <c r="N51" s="1584"/>
      <c r="O51" s="1584"/>
      <c r="P51" s="1584"/>
      <c r="Q51" s="1584"/>
      <c r="R51" s="1584"/>
      <c r="S51" s="1584"/>
      <c r="T51" s="1584"/>
      <c r="U51" s="1584"/>
      <c r="V51" s="1584"/>
      <c r="W51" s="1584"/>
      <c r="X51" s="1584"/>
      <c r="Y51" s="1584"/>
      <c r="Z51" s="1584"/>
      <c r="AA51" s="1584"/>
      <c r="AB51" s="1584"/>
      <c r="AC51" s="1584"/>
      <c r="AD51" s="1584"/>
      <c r="AE51" s="1584"/>
      <c r="AF51" s="1584"/>
      <c r="AG51" s="1584"/>
      <c r="AH51" s="1584"/>
      <c r="AI51" s="1584"/>
      <c r="AJ51" s="1584"/>
      <c r="AK51" s="1584"/>
      <c r="AL51" s="1584"/>
      <c r="AM51" s="1584"/>
      <c r="AN51" s="1584"/>
      <c r="AO51" s="1584"/>
      <c r="AP51" s="1584"/>
      <c r="AQ51" s="1584"/>
      <c r="AR51" s="1584"/>
      <c r="AS51" s="1584"/>
      <c r="AT51" s="1584"/>
      <c r="AU51" s="1584"/>
      <c r="AV51" s="1584"/>
      <c r="AW51" s="1584"/>
      <c r="AX51" s="1584"/>
      <c r="AY51" s="1584"/>
      <c r="AZ51" s="1584"/>
      <c r="BA51" s="1584"/>
      <c r="BB51" s="1584"/>
      <c r="BC51" s="1584"/>
      <c r="BD51" s="1584"/>
      <c r="BE51" s="1584"/>
      <c r="BF51" s="1584"/>
      <c r="BG51" s="1584"/>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s="1655"/>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s="1655"/>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s="1655"/>
      <c r="KU51"/>
      <c r="KV51"/>
      <c r="KW51"/>
      <c r="KX51"/>
      <c r="KY51"/>
      <c r="KZ51"/>
      <c r="LA51"/>
      <c r="LB51"/>
      <c r="LC51"/>
      <c r="LD51"/>
      <c r="LE51"/>
      <c r="LF51"/>
      <c r="LG51"/>
      <c r="LH51"/>
      <c r="LI51"/>
      <c r="LJ51"/>
      <c r="LK51"/>
      <c r="LL51"/>
      <c r="LM51"/>
      <c r="LN51"/>
      <c r="LO51"/>
      <c r="LP51"/>
      <c r="LQ51"/>
      <c r="LR51"/>
      <c r="LS51"/>
      <c r="LT51"/>
      <c r="LU51"/>
      <c r="LV51"/>
      <c r="LW51"/>
      <c r="LX51"/>
      <c r="LY51"/>
      <c r="LZ51"/>
      <c r="MA51"/>
      <c r="MB51"/>
      <c r="MC51"/>
      <c r="MD51"/>
      <c r="ME51"/>
      <c r="MF51"/>
      <c r="MG51"/>
      <c r="MH51"/>
      <c r="MI51"/>
      <c r="MJ51"/>
      <c r="MK51"/>
      <c r="ML51"/>
      <c r="MM51"/>
      <c r="MN51"/>
      <c r="MO51"/>
      <c r="MP51"/>
      <c r="MQ51"/>
      <c r="MR51"/>
      <c r="MS51"/>
      <c r="MT51"/>
      <c r="MU51"/>
      <c r="MV51"/>
      <c r="MW51"/>
      <c r="MX51"/>
      <c r="MY51"/>
      <c r="MZ51"/>
      <c r="NA51"/>
      <c r="NB51"/>
      <c r="NC51"/>
      <c r="ND51"/>
      <c r="NE51"/>
      <c r="NF51"/>
      <c r="NG51"/>
      <c r="NH51"/>
      <c r="NI51"/>
      <c r="NJ51"/>
      <c r="NK51"/>
      <c r="NL51"/>
      <c r="NM51"/>
      <c r="NN51"/>
      <c r="NO51"/>
      <c r="NP51"/>
      <c r="NQ51"/>
      <c r="NR51"/>
      <c r="NS51"/>
      <c r="NT51"/>
      <c r="NU51"/>
      <c r="NV51"/>
      <c r="NW51"/>
      <c r="NX51"/>
      <c r="NY51"/>
      <c r="NZ51"/>
      <c r="OA51"/>
      <c r="OB51"/>
      <c r="OC51"/>
      <c r="OD51"/>
      <c r="OE51"/>
      <c r="OF51"/>
      <c r="OG51"/>
      <c r="OH51"/>
      <c r="OI51"/>
      <c r="OJ51"/>
      <c r="OK51"/>
      <c r="OL51"/>
      <c r="OM51"/>
      <c r="ON51"/>
      <c r="OO51"/>
      <c r="OP51"/>
      <c r="OQ51" s="1656"/>
      <c r="OR51" s="1656"/>
    </row>
    <row r="52" spans="1:408" ht="21.5">
      <c r="A52" s="1466"/>
      <c r="B52" s="1583"/>
      <c r="C52" s="1583"/>
      <c r="D52" s="1583"/>
      <c r="E52" s="1584"/>
      <c r="F52" s="1584"/>
      <c r="G52" s="1584"/>
      <c r="H52" s="1584"/>
      <c r="I52" s="1584"/>
      <c r="J52" s="1584"/>
      <c r="K52" s="1584"/>
      <c r="L52" s="1584"/>
      <c r="M52" s="1584"/>
      <c r="N52" s="1584"/>
      <c r="O52" s="1584"/>
      <c r="P52" s="1584"/>
      <c r="Q52" s="1584"/>
      <c r="R52" s="1584"/>
      <c r="S52" s="1584"/>
      <c r="T52" s="1584"/>
      <c r="U52" s="1584"/>
      <c r="V52" s="1584"/>
      <c r="W52" s="1584"/>
      <c r="X52" s="1584"/>
      <c r="Y52" s="1584"/>
      <c r="Z52" s="1584"/>
      <c r="AA52" s="1584"/>
      <c r="AB52" s="1584"/>
      <c r="AC52" s="1584"/>
      <c r="AD52" s="1584"/>
      <c r="AE52" s="1584"/>
      <c r="AF52" s="1584"/>
      <c r="AG52" s="1584"/>
      <c r="AH52" s="1584"/>
      <c r="AI52" s="1584"/>
      <c r="AJ52" s="1584"/>
      <c r="AK52" s="1584"/>
      <c r="AL52" s="1584"/>
      <c r="AM52" s="1584"/>
      <c r="AN52" s="1584"/>
      <c r="AO52" s="1584"/>
      <c r="AP52" s="1584"/>
      <c r="AQ52" s="1584"/>
      <c r="AR52" s="1584"/>
      <c r="AS52" s="1584"/>
      <c r="AT52" s="1584"/>
      <c r="AU52" s="1584"/>
      <c r="AV52" s="1584"/>
      <c r="AW52" s="1584"/>
      <c r="AX52" s="1584"/>
      <c r="AY52" s="1584"/>
      <c r="AZ52" s="1584"/>
      <c r="BA52" s="1584"/>
      <c r="BB52" s="1584"/>
      <c r="BC52" s="1584"/>
      <c r="BD52" s="1584"/>
      <c r="BE52" s="1584"/>
      <c r="BF52" s="1584"/>
      <c r="BG52" s="1584"/>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s="1655"/>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s="1655"/>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s="1655"/>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c r="MO52"/>
      <c r="MP52"/>
      <c r="MQ52"/>
      <c r="MR52"/>
      <c r="MS52"/>
      <c r="MT52"/>
      <c r="MU52"/>
      <c r="MV52"/>
      <c r="MW52"/>
      <c r="MX52"/>
      <c r="MY52"/>
      <c r="MZ52"/>
      <c r="NA52"/>
      <c r="NB52"/>
      <c r="NC52"/>
      <c r="ND52"/>
      <c r="NE52"/>
      <c r="NF52"/>
      <c r="NG52"/>
      <c r="NH52"/>
      <c r="NI52"/>
      <c r="NJ52"/>
      <c r="NK52"/>
      <c r="NL52"/>
      <c r="NM52"/>
      <c r="NN52"/>
      <c r="NO52"/>
      <c r="NP52"/>
      <c r="NQ52"/>
      <c r="NR52"/>
      <c r="NS52"/>
      <c r="NT52"/>
      <c r="NU52"/>
      <c r="NV52"/>
      <c r="NW52"/>
      <c r="NX52"/>
      <c r="NY52"/>
      <c r="NZ52"/>
      <c r="OA52"/>
      <c r="OB52"/>
      <c r="OC52"/>
      <c r="OD52"/>
      <c r="OE52"/>
      <c r="OF52"/>
      <c r="OG52"/>
      <c r="OH52"/>
      <c r="OI52"/>
      <c r="OJ52"/>
      <c r="OK52"/>
      <c r="OL52"/>
      <c r="OM52"/>
      <c r="ON52"/>
      <c r="OO52"/>
      <c r="OP52"/>
      <c r="OQ52" s="1656"/>
      <c r="OR52" s="1656"/>
    </row>
    <row r="53" spans="1:408" ht="21.5">
      <c r="A53" s="1466"/>
      <c r="B53" s="1583"/>
      <c r="C53" s="1583"/>
      <c r="D53" s="1583"/>
      <c r="E53" s="1584"/>
      <c r="F53" s="1584"/>
      <c r="G53" s="1584"/>
      <c r="H53" s="1584"/>
      <c r="I53" s="1584"/>
      <c r="J53" s="1584"/>
      <c r="K53" s="1584"/>
      <c r="L53" s="1584"/>
      <c r="M53" s="1584"/>
      <c r="N53" s="1584"/>
      <c r="O53" s="1584"/>
      <c r="P53" s="1584"/>
      <c r="Q53" s="1584"/>
      <c r="R53" s="1584"/>
      <c r="S53" s="1584"/>
      <c r="T53" s="1584"/>
      <c r="U53" s="1584"/>
      <c r="V53" s="1584"/>
      <c r="W53" s="1584"/>
      <c r="X53" s="1584"/>
      <c r="Y53" s="1584"/>
      <c r="Z53" s="1584"/>
      <c r="AA53" s="1584"/>
      <c r="AB53" s="1584"/>
      <c r="AC53" s="1584"/>
      <c r="AD53" s="1584"/>
      <c r="AE53" s="1584"/>
      <c r="AF53" s="1584"/>
      <c r="AG53" s="1584"/>
      <c r="AH53" s="1584"/>
      <c r="AI53" s="1584"/>
      <c r="AJ53" s="1584"/>
      <c r="AK53" s="1584"/>
      <c r="AL53" s="1584"/>
      <c r="AM53" s="1584"/>
      <c r="AN53" s="1584"/>
      <c r="AO53" s="1584"/>
      <c r="AP53" s="1584"/>
      <c r="AQ53" s="1584"/>
      <c r="AR53" s="1584"/>
      <c r="AS53" s="1584"/>
      <c r="AT53" s="1584"/>
      <c r="AU53" s="1584"/>
      <c r="AV53" s="1584"/>
      <c r="AW53" s="1584"/>
      <c r="AX53" s="1584"/>
      <c r="AY53" s="1584"/>
      <c r="AZ53" s="1584"/>
      <c r="BA53" s="1584"/>
      <c r="BB53" s="1584"/>
      <c r="BC53" s="1584"/>
      <c r="BD53" s="1584"/>
      <c r="BE53" s="1584"/>
      <c r="BF53" s="1584"/>
      <c r="BG53" s="1584"/>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s="1655"/>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s="1655"/>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s="1655"/>
      <c r="KU53"/>
      <c r="KV53"/>
      <c r="KW53"/>
      <c r="KX53"/>
      <c r="KY53"/>
      <c r="KZ53"/>
      <c r="LA53"/>
      <c r="LB53"/>
      <c r="LC53"/>
      <c r="LD53"/>
      <c r="LE53"/>
      <c r="LF53"/>
      <c r="LG53"/>
      <c r="LH53"/>
      <c r="LI53"/>
      <c r="LJ53"/>
      <c r="LK53"/>
      <c r="LL53"/>
      <c r="LM53"/>
      <c r="LN53"/>
      <c r="LO53"/>
      <c r="LP53"/>
      <c r="LQ53"/>
      <c r="LR53"/>
      <c r="LS53"/>
      <c r="LT53"/>
      <c r="LU53"/>
      <c r="LV53"/>
      <c r="LW53"/>
      <c r="LX53"/>
      <c r="LY53"/>
      <c r="LZ53"/>
      <c r="MA53"/>
      <c r="MB53"/>
      <c r="MC53"/>
      <c r="MD53"/>
      <c r="ME53"/>
      <c r="MF53"/>
      <c r="MG53"/>
      <c r="MH53"/>
      <c r="MI53"/>
      <c r="MJ53"/>
      <c r="MK53"/>
      <c r="ML53"/>
      <c r="MM53"/>
      <c r="MN53"/>
      <c r="MO53"/>
      <c r="MP53"/>
      <c r="MQ53"/>
      <c r="MR53"/>
      <c r="MS53"/>
      <c r="MT53"/>
      <c r="MU53"/>
      <c r="MV53"/>
      <c r="MW53"/>
      <c r="MX53"/>
      <c r="MY53"/>
      <c r="MZ53"/>
      <c r="NA53"/>
      <c r="NB53"/>
      <c r="NC53"/>
      <c r="ND53"/>
      <c r="NE53"/>
      <c r="NF53"/>
      <c r="NG53"/>
      <c r="NH53"/>
      <c r="NI53"/>
      <c r="NJ53"/>
      <c r="NK53"/>
      <c r="NL53"/>
      <c r="NM53"/>
      <c r="NN53"/>
      <c r="NO53"/>
      <c r="NP53"/>
      <c r="NQ53"/>
      <c r="NR53"/>
      <c r="NS53"/>
      <c r="NT53"/>
      <c r="NU53"/>
      <c r="NV53"/>
      <c r="NW53"/>
      <c r="NX53"/>
      <c r="NY53"/>
      <c r="NZ53"/>
      <c r="OA53"/>
      <c r="OB53"/>
      <c r="OC53"/>
      <c r="OD53"/>
      <c r="OE53"/>
      <c r="OF53"/>
      <c r="OG53"/>
      <c r="OH53"/>
      <c r="OI53"/>
      <c r="OJ53"/>
      <c r="OK53"/>
      <c r="OL53"/>
      <c r="OM53"/>
      <c r="ON53"/>
      <c r="OO53"/>
      <c r="OP53"/>
      <c r="OQ53" s="1656"/>
      <c r="OR53" s="1656"/>
    </row>
    <row r="54" spans="1:408" ht="21.5">
      <c r="A54" s="1466"/>
      <c r="B54" s="1583"/>
      <c r="C54" s="1583"/>
      <c r="D54" s="1583"/>
      <c r="E54" s="1584"/>
      <c r="F54" s="1584"/>
      <c r="G54" s="1584"/>
      <c r="H54" s="1584"/>
      <c r="I54" s="1584"/>
      <c r="J54" s="1584"/>
      <c r="K54" s="1584"/>
      <c r="L54" s="1584"/>
      <c r="M54" s="1584"/>
      <c r="N54" s="1584"/>
      <c r="O54" s="1584"/>
      <c r="P54" s="1584"/>
      <c r="Q54" s="1584"/>
      <c r="R54" s="1584"/>
      <c r="S54" s="1584"/>
      <c r="T54" s="1584"/>
      <c r="U54" s="1584"/>
      <c r="V54" s="1584"/>
      <c r="W54" s="1584"/>
      <c r="X54" s="1584"/>
      <c r="Y54" s="1584"/>
      <c r="Z54" s="1584"/>
      <c r="AA54" s="1584"/>
      <c r="AB54" s="1584"/>
      <c r="AC54" s="1584"/>
      <c r="AD54" s="1584"/>
      <c r="AE54" s="1584"/>
      <c r="AF54" s="1584"/>
      <c r="AG54" s="1584"/>
      <c r="AH54" s="1584"/>
      <c r="AI54" s="1584"/>
      <c r="AJ54" s="1584"/>
      <c r="AK54" s="1584"/>
      <c r="AL54" s="1584"/>
      <c r="AM54" s="1584"/>
      <c r="AN54" s="1584"/>
      <c r="AO54" s="1584"/>
      <c r="AP54" s="1584"/>
      <c r="AQ54" s="1584"/>
      <c r="AR54" s="1584"/>
      <c r="AS54" s="1584"/>
      <c r="AT54" s="1584"/>
      <c r="AU54" s="1584"/>
      <c r="AV54" s="1584"/>
      <c r="AW54" s="1584"/>
      <c r="AX54" s="1584"/>
      <c r="AY54" s="1584"/>
      <c r="AZ54" s="1584"/>
      <c r="BA54" s="1584"/>
      <c r="BB54" s="1584"/>
      <c r="BC54" s="1584"/>
      <c r="BD54" s="1584"/>
      <c r="BE54" s="1584"/>
      <c r="BF54" s="1584"/>
      <c r="BG54" s="158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s="1655"/>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s="1655"/>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s="1655"/>
      <c r="KU54"/>
      <c r="KV54"/>
      <c r="KW54"/>
      <c r="KX54"/>
      <c r="KY54"/>
      <c r="KZ54"/>
      <c r="LA54"/>
      <c r="LB54"/>
      <c r="LC54"/>
      <c r="LD54"/>
      <c r="LE54"/>
      <c r="LF54"/>
      <c r="LG54"/>
      <c r="LH54"/>
      <c r="LI54"/>
      <c r="LJ54"/>
      <c r="LK54"/>
      <c r="LL54"/>
      <c r="LM54"/>
      <c r="LN54"/>
      <c r="LO54"/>
      <c r="LP54"/>
      <c r="LQ54"/>
      <c r="LR54"/>
      <c r="LS54"/>
      <c r="LT54"/>
      <c r="LU54"/>
      <c r="LV54"/>
      <c r="LW54"/>
      <c r="LX54"/>
      <c r="LY54"/>
      <c r="LZ54"/>
      <c r="MA54"/>
      <c r="MB54"/>
      <c r="MC54"/>
      <c r="MD54"/>
      <c r="ME54"/>
      <c r="MF54"/>
      <c r="MG54"/>
      <c r="MH54"/>
      <c r="MI54"/>
      <c r="MJ54"/>
      <c r="MK54"/>
      <c r="ML54"/>
      <c r="MM54"/>
      <c r="MN54"/>
      <c r="MO54"/>
      <c r="MP54"/>
      <c r="MQ54"/>
      <c r="MR54"/>
      <c r="MS54"/>
      <c r="MT54"/>
      <c r="MU54"/>
      <c r="MV54"/>
      <c r="MW54"/>
      <c r="MX54"/>
      <c r="MY54"/>
      <c r="MZ54"/>
      <c r="NA54"/>
      <c r="NB54"/>
      <c r="NC54"/>
      <c r="ND54"/>
      <c r="NE54"/>
      <c r="NF54"/>
      <c r="NG54"/>
      <c r="NH54"/>
      <c r="NI54"/>
      <c r="NJ54"/>
      <c r="NK54"/>
      <c r="NL54"/>
      <c r="NM54"/>
      <c r="NN54"/>
      <c r="NO54"/>
      <c r="NP54"/>
      <c r="NQ54"/>
      <c r="NR54"/>
      <c r="NS54"/>
      <c r="NT54"/>
      <c r="NU54"/>
      <c r="NV54"/>
      <c r="NW54"/>
      <c r="NX54"/>
      <c r="NY54"/>
      <c r="NZ54"/>
      <c r="OA54"/>
      <c r="OB54"/>
      <c r="OC54"/>
      <c r="OD54"/>
      <c r="OE54"/>
      <c r="OF54"/>
      <c r="OG54"/>
      <c r="OH54"/>
      <c r="OI54"/>
      <c r="OJ54"/>
      <c r="OK54"/>
      <c r="OL54"/>
      <c r="OM54"/>
      <c r="ON54"/>
      <c r="OO54"/>
      <c r="OP54"/>
      <c r="OQ54" s="1656"/>
      <c r="OR54" s="1656"/>
    </row>
    <row r="55" spans="1:408" ht="21.5">
      <c r="A55" s="1466"/>
      <c r="B55" s="1583"/>
      <c r="C55" s="1583"/>
      <c r="D55" s="1583"/>
      <c r="E55" s="1584"/>
      <c r="F55" s="1584"/>
      <c r="G55" s="1584"/>
      <c r="H55" s="1584"/>
      <c r="I55" s="1584"/>
      <c r="J55" s="1584"/>
      <c r="K55" s="1584"/>
      <c r="L55" s="1584"/>
      <c r="M55" s="1584"/>
      <c r="N55" s="1584"/>
      <c r="O55" s="1584"/>
      <c r="P55" s="1584"/>
      <c r="Q55" s="1584"/>
      <c r="R55" s="1584"/>
      <c r="S55" s="1584"/>
      <c r="T55" s="1584"/>
      <c r="U55" s="1584"/>
      <c r="V55" s="1584"/>
      <c r="W55" s="1584"/>
      <c r="X55" s="1584"/>
      <c r="Y55" s="1584"/>
      <c r="Z55" s="1584"/>
      <c r="AA55" s="1584"/>
      <c r="AB55" s="1584"/>
      <c r="AC55" s="1584"/>
      <c r="AD55" s="1584"/>
      <c r="AE55" s="1584"/>
      <c r="AF55" s="1584"/>
      <c r="AG55" s="1584"/>
      <c r="AH55" s="1584"/>
      <c r="AI55" s="1584"/>
      <c r="AJ55" s="1584"/>
      <c r="AK55" s="1584"/>
      <c r="AL55" s="1584"/>
      <c r="AM55" s="1584"/>
      <c r="AN55" s="1584"/>
      <c r="AO55" s="1584"/>
      <c r="AP55" s="1584"/>
      <c r="AQ55" s="1584"/>
      <c r="AR55" s="1584"/>
      <c r="AS55" s="1584"/>
      <c r="AT55" s="1584"/>
      <c r="AU55" s="1584"/>
      <c r="AV55" s="1584"/>
      <c r="AW55" s="1584"/>
      <c r="AX55" s="1584"/>
      <c r="AY55" s="1584"/>
      <c r="AZ55" s="1584"/>
      <c r="BA55" s="1584"/>
      <c r="BB55" s="1584"/>
      <c r="BC55" s="1584"/>
      <c r="BD55" s="1584"/>
      <c r="BE55" s="1584"/>
      <c r="BF55" s="1584"/>
      <c r="BG55" s="1584"/>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s="16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s="16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s="1655"/>
      <c r="KU55"/>
      <c r="KV55"/>
      <c r="KW55"/>
      <c r="KX55"/>
      <c r="KY55"/>
      <c r="KZ55"/>
      <c r="LA55"/>
      <c r="LB55"/>
      <c r="LC55"/>
      <c r="LD55"/>
      <c r="LE55"/>
      <c r="LF55"/>
      <c r="LG55"/>
      <c r="LH55"/>
      <c r="LI55"/>
      <c r="LJ55"/>
      <c r="LK55"/>
      <c r="LL55"/>
      <c r="LM55"/>
      <c r="LN55"/>
      <c r="LO55"/>
      <c r="LP55"/>
      <c r="LQ55"/>
      <c r="LR55"/>
      <c r="LS55"/>
      <c r="LT55"/>
      <c r="LU55"/>
      <c r="LV55"/>
      <c r="LW55"/>
      <c r="LX55"/>
      <c r="LY55"/>
      <c r="LZ55"/>
      <c r="MA55"/>
      <c r="MB55"/>
      <c r="MC55"/>
      <c r="MD55"/>
      <c r="ME55"/>
      <c r="MF55"/>
      <c r="MG55"/>
      <c r="MH55"/>
      <c r="MI55"/>
      <c r="MJ55"/>
      <c r="MK55"/>
      <c r="ML55"/>
      <c r="MM55"/>
      <c r="MN55"/>
      <c r="MO55"/>
      <c r="MP55"/>
      <c r="MQ55"/>
      <c r="MR55"/>
      <c r="MS55"/>
      <c r="MT55"/>
      <c r="MU55"/>
      <c r="MV55"/>
      <c r="MW55"/>
      <c r="MX55"/>
      <c r="MY55"/>
      <c r="MZ55"/>
      <c r="NA55"/>
      <c r="NB55"/>
      <c r="NC55"/>
      <c r="ND55"/>
      <c r="NE55"/>
      <c r="NF55"/>
      <c r="NG55"/>
      <c r="NH55"/>
      <c r="NI55"/>
      <c r="NJ55"/>
      <c r="NK55"/>
      <c r="NL55"/>
      <c r="NM55"/>
      <c r="NN55"/>
      <c r="NO55"/>
      <c r="NP55"/>
      <c r="NQ55"/>
      <c r="NR55"/>
      <c r="NS55"/>
      <c r="NT55"/>
      <c r="NU55"/>
      <c r="NV55"/>
      <c r="NW55"/>
      <c r="NX55"/>
      <c r="NY55"/>
      <c r="NZ55"/>
      <c r="OA55"/>
      <c r="OB55"/>
      <c r="OC55"/>
      <c r="OD55"/>
      <c r="OE55"/>
      <c r="OF55"/>
      <c r="OG55"/>
      <c r="OH55"/>
      <c r="OI55"/>
      <c r="OJ55"/>
      <c r="OK55"/>
      <c r="OL55"/>
      <c r="OM55"/>
      <c r="ON55"/>
      <c r="OO55"/>
      <c r="OP55"/>
      <c r="OQ55" s="1656"/>
      <c r="OR55" s="1656"/>
    </row>
    <row r="56" spans="1:408" ht="21.5">
      <c r="A56" s="1466"/>
      <c r="B56" s="1583"/>
      <c r="C56" s="1583"/>
      <c r="D56" s="1583"/>
      <c r="E56" s="1584"/>
      <c r="F56" s="1584"/>
      <c r="G56" s="1584"/>
      <c r="H56" s="1584"/>
      <c r="I56" s="1584"/>
      <c r="J56" s="1584"/>
      <c r="K56" s="1584"/>
      <c r="L56" s="1584"/>
      <c r="M56" s="1584"/>
      <c r="N56" s="1584"/>
      <c r="O56" s="1584"/>
      <c r="P56" s="1584"/>
      <c r="Q56" s="1584"/>
      <c r="R56" s="1584"/>
      <c r="S56" s="1584"/>
      <c r="T56" s="1584"/>
      <c r="U56" s="1584"/>
      <c r="V56" s="1584"/>
      <c r="W56" s="1584"/>
      <c r="X56" s="1584"/>
      <c r="Y56" s="1584"/>
      <c r="Z56" s="1584"/>
      <c r="AA56" s="1584"/>
      <c r="AB56" s="1584"/>
      <c r="AC56" s="1584"/>
      <c r="AD56" s="1584"/>
      <c r="AE56" s="1584"/>
      <c r="AF56" s="1584"/>
      <c r="AG56" s="1584"/>
      <c r="AH56" s="1584"/>
      <c r="AI56" s="1584"/>
      <c r="AJ56" s="1584"/>
      <c r="AK56" s="1584"/>
      <c r="AL56" s="1584"/>
      <c r="AM56" s="1584"/>
      <c r="AN56" s="1584"/>
      <c r="AO56" s="1584"/>
      <c r="AP56" s="1584"/>
      <c r="AQ56" s="1584"/>
      <c r="AR56" s="1584"/>
      <c r="AS56" s="1584"/>
      <c r="AT56" s="1584"/>
      <c r="AU56" s="1584"/>
      <c r="AV56" s="1584"/>
      <c r="AW56" s="1584"/>
      <c r="AX56" s="1584"/>
      <c r="AY56" s="1584"/>
      <c r="AZ56" s="1584"/>
      <c r="BA56" s="1584"/>
      <c r="BB56" s="1584"/>
      <c r="BC56" s="1584"/>
      <c r="BD56" s="1584"/>
      <c r="BE56" s="1584"/>
      <c r="BF56" s="1584"/>
      <c r="BG56" s="1584"/>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s="1655"/>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s="1655"/>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s="1655"/>
      <c r="KU56"/>
      <c r="KV56"/>
      <c r="KW56"/>
      <c r="KX56"/>
      <c r="KY56"/>
      <c r="KZ56"/>
      <c r="LA56"/>
      <c r="LB56"/>
      <c r="LC56"/>
      <c r="LD56"/>
      <c r="LE56"/>
      <c r="LF56"/>
      <c r="LG56"/>
      <c r="LH56"/>
      <c r="LI56"/>
      <c r="LJ56"/>
      <c r="LK56"/>
      <c r="LL56"/>
      <c r="LM56"/>
      <c r="LN56"/>
      <c r="LO56"/>
      <c r="LP56"/>
      <c r="LQ56"/>
      <c r="LR56"/>
      <c r="LS56"/>
      <c r="LT56"/>
      <c r="LU56"/>
      <c r="LV56"/>
      <c r="LW56"/>
      <c r="LX56"/>
      <c r="LY56"/>
      <c r="LZ56"/>
      <c r="MA56"/>
      <c r="MB56"/>
      <c r="MC56"/>
      <c r="MD56"/>
      <c r="ME56"/>
      <c r="MF56"/>
      <c r="MG56"/>
      <c r="MH56"/>
      <c r="MI56"/>
      <c r="MJ56"/>
      <c r="MK56"/>
      <c r="ML56"/>
      <c r="MM56"/>
      <c r="MN56"/>
      <c r="MO56"/>
      <c r="MP56"/>
      <c r="MQ56"/>
      <c r="MR56"/>
      <c r="MS56"/>
      <c r="MT56"/>
      <c r="MU56"/>
      <c r="MV56"/>
      <c r="MW56"/>
      <c r="MX56"/>
      <c r="MY56"/>
      <c r="MZ56"/>
      <c r="NA56"/>
      <c r="NB56"/>
      <c r="NC56"/>
      <c r="ND56"/>
      <c r="NE56"/>
      <c r="NF56"/>
      <c r="NG56"/>
      <c r="NH56"/>
      <c r="NI56"/>
      <c r="NJ56"/>
      <c r="NK56"/>
      <c r="NL56"/>
      <c r="NM56"/>
      <c r="NN56"/>
      <c r="NO56"/>
      <c r="NP56"/>
      <c r="NQ56"/>
      <c r="NR56"/>
      <c r="NS56"/>
      <c r="NT56"/>
      <c r="NU56"/>
      <c r="NV56"/>
      <c r="NW56"/>
      <c r="NX56"/>
      <c r="NY56"/>
      <c r="NZ56"/>
      <c r="OA56"/>
      <c r="OB56"/>
      <c r="OC56"/>
      <c r="OD56"/>
      <c r="OE56"/>
      <c r="OF56"/>
      <c r="OG56"/>
      <c r="OH56"/>
      <c r="OI56"/>
      <c r="OJ56"/>
      <c r="OK56"/>
      <c r="OL56"/>
      <c r="OM56"/>
      <c r="ON56"/>
      <c r="OO56"/>
      <c r="OP56"/>
      <c r="OQ56" s="1656"/>
      <c r="OR56" s="1656"/>
    </row>
    <row r="57" spans="1:408" ht="21.5">
      <c r="A57" s="1466"/>
      <c r="B57" s="1583"/>
      <c r="C57" s="1583"/>
      <c r="D57" s="1583"/>
      <c r="E57" s="1584"/>
      <c r="F57" s="1584"/>
      <c r="G57" s="1584"/>
      <c r="H57" s="1584"/>
      <c r="I57" s="1584"/>
      <c r="J57" s="1584"/>
      <c r="K57" s="1584"/>
      <c r="L57" s="1584"/>
      <c r="M57" s="1584"/>
      <c r="N57" s="1584"/>
      <c r="O57" s="1584"/>
      <c r="P57" s="1584"/>
      <c r="Q57" s="1584"/>
      <c r="R57" s="1584"/>
      <c r="S57" s="1584"/>
      <c r="T57" s="1584"/>
      <c r="U57" s="1584"/>
      <c r="V57" s="1584"/>
      <c r="W57" s="1584"/>
      <c r="X57" s="1584"/>
      <c r="Y57" s="1584"/>
      <c r="Z57" s="1584"/>
      <c r="AA57" s="1584"/>
      <c r="AB57" s="1584"/>
      <c r="AC57" s="1584"/>
      <c r="AD57" s="1584"/>
      <c r="AE57" s="1584"/>
      <c r="AF57" s="1584"/>
      <c r="AG57" s="1584"/>
      <c r="AH57" s="1584"/>
      <c r="AI57" s="1584"/>
      <c r="AJ57" s="1584"/>
      <c r="AK57" s="1584"/>
      <c r="AL57" s="1584"/>
      <c r="AM57" s="1584"/>
      <c r="AN57" s="1584"/>
      <c r="AO57" s="1584"/>
      <c r="AP57" s="1584"/>
      <c r="AQ57" s="1584"/>
      <c r="AR57" s="1584"/>
      <c r="AS57" s="1584"/>
      <c r="AT57" s="1584"/>
      <c r="AU57" s="1584"/>
      <c r="AV57" s="1584"/>
      <c r="AW57" s="1584"/>
      <c r="AX57" s="1584"/>
      <c r="AY57" s="1584"/>
      <c r="AZ57" s="1584"/>
      <c r="BA57" s="1584"/>
      <c r="BB57" s="1584"/>
      <c r="BC57" s="1584"/>
      <c r="BD57" s="1584"/>
      <c r="BE57" s="1584"/>
      <c r="BF57" s="1584"/>
      <c r="BG57" s="1584"/>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s="1655"/>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s="1655"/>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s="1655"/>
      <c r="KU57"/>
      <c r="KV57"/>
      <c r="KW57"/>
      <c r="KX57"/>
      <c r="KY57"/>
      <c r="KZ57"/>
      <c r="LA57"/>
      <c r="LB57"/>
      <c r="LC57"/>
      <c r="LD57"/>
      <c r="LE57"/>
      <c r="LF57"/>
      <c r="LG57"/>
      <c r="LH57"/>
      <c r="LI57"/>
      <c r="LJ57"/>
      <c r="LK57"/>
      <c r="LL57"/>
      <c r="LM57"/>
      <c r="LN57"/>
      <c r="LO57"/>
      <c r="LP57"/>
      <c r="LQ57"/>
      <c r="LR57"/>
      <c r="LS57"/>
      <c r="LT57"/>
      <c r="LU57"/>
      <c r="LV57"/>
      <c r="LW57"/>
      <c r="LX57"/>
      <c r="LY57"/>
      <c r="LZ57"/>
      <c r="MA57"/>
      <c r="MB57"/>
      <c r="MC57"/>
      <c r="MD57"/>
      <c r="ME57"/>
      <c r="MF57"/>
      <c r="MG57"/>
      <c r="MH57"/>
      <c r="MI57"/>
      <c r="MJ57"/>
      <c r="MK57"/>
      <c r="ML57"/>
      <c r="MM57"/>
      <c r="MN57"/>
      <c r="MO57"/>
      <c r="MP57"/>
      <c r="MQ57"/>
      <c r="MR57"/>
      <c r="MS57"/>
      <c r="MT57"/>
      <c r="MU57"/>
      <c r="MV57"/>
      <c r="MW57"/>
      <c r="MX57"/>
      <c r="MY57"/>
      <c r="MZ57"/>
      <c r="NA57"/>
      <c r="NB57"/>
      <c r="NC57"/>
      <c r="ND57"/>
      <c r="NE57"/>
      <c r="NF57"/>
      <c r="NG57"/>
      <c r="NH57"/>
      <c r="NI57"/>
      <c r="NJ57"/>
      <c r="NK57"/>
      <c r="NL57"/>
      <c r="NM57"/>
      <c r="NN57"/>
      <c r="NO57"/>
      <c r="NP57"/>
      <c r="NQ57"/>
      <c r="NR57"/>
      <c r="NS57"/>
      <c r="NT57"/>
      <c r="NU57"/>
      <c r="NV57"/>
      <c r="NW57"/>
      <c r="NX57"/>
      <c r="NY57"/>
      <c r="NZ57"/>
      <c r="OA57"/>
      <c r="OB57"/>
      <c r="OC57"/>
      <c r="OD57"/>
      <c r="OE57"/>
      <c r="OF57"/>
      <c r="OG57"/>
      <c r="OH57"/>
      <c r="OI57"/>
      <c r="OJ57"/>
      <c r="OK57"/>
      <c r="OL57"/>
      <c r="OM57"/>
      <c r="ON57"/>
      <c r="OO57"/>
      <c r="OP57"/>
      <c r="OQ57" s="1656"/>
      <c r="OR57" s="1656"/>
    </row>
    <row r="58" spans="1:408" ht="21.5">
      <c r="A58" s="1466"/>
      <c r="B58" s="1583"/>
      <c r="C58" s="1583"/>
      <c r="D58" s="1583"/>
      <c r="E58" s="1584"/>
      <c r="F58" s="1584"/>
      <c r="G58" s="1584"/>
      <c r="H58" s="1584"/>
      <c r="I58" s="1584"/>
      <c r="J58" s="1584"/>
      <c r="K58" s="1584"/>
      <c r="L58" s="1584"/>
      <c r="M58" s="1584"/>
      <c r="N58" s="1584"/>
      <c r="O58" s="1584"/>
      <c r="P58" s="1584"/>
      <c r="Q58" s="1584"/>
      <c r="R58" s="1584"/>
      <c r="S58" s="1584"/>
      <c r="T58" s="1584"/>
      <c r="U58" s="1584"/>
      <c r="V58" s="1584"/>
      <c r="W58" s="1584"/>
      <c r="X58" s="1584"/>
      <c r="Y58" s="1584"/>
      <c r="Z58" s="1584"/>
      <c r="AA58" s="1584"/>
      <c r="AB58" s="1584"/>
      <c r="AC58" s="1584"/>
      <c r="AD58" s="1584"/>
      <c r="AE58" s="1584"/>
      <c r="AF58" s="1584"/>
      <c r="AG58" s="1584"/>
      <c r="AH58" s="1584"/>
      <c r="AI58" s="1584"/>
      <c r="AJ58" s="1584"/>
      <c r="AK58" s="1584"/>
      <c r="AL58" s="1584"/>
      <c r="AM58" s="1584"/>
      <c r="AN58" s="1584"/>
      <c r="AO58" s="1584"/>
      <c r="AP58" s="1584"/>
      <c r="AQ58" s="1584"/>
      <c r="AR58" s="1584"/>
      <c r="AS58" s="1584"/>
      <c r="AT58" s="1584"/>
      <c r="AU58" s="1584"/>
      <c r="AV58" s="1584"/>
      <c r="AW58" s="1584"/>
      <c r="AX58" s="1584"/>
      <c r="AY58" s="1584"/>
      <c r="AZ58" s="1584"/>
      <c r="BA58" s="1584"/>
      <c r="BB58" s="1584"/>
      <c r="BC58" s="1584"/>
      <c r="BD58" s="1584"/>
      <c r="BE58" s="1584"/>
      <c r="BF58" s="1584"/>
      <c r="BG58" s="1584"/>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s="1655"/>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s="1655"/>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s="1655"/>
      <c r="KU58"/>
      <c r="KV58"/>
      <c r="KW58"/>
      <c r="KX58"/>
      <c r="KY58"/>
      <c r="KZ58"/>
      <c r="LA58"/>
      <c r="LB58"/>
      <c r="LC58"/>
      <c r="LD58"/>
      <c r="LE58"/>
      <c r="LF58"/>
      <c r="LG58"/>
      <c r="LH58"/>
      <c r="LI58"/>
      <c r="LJ58"/>
      <c r="LK58"/>
      <c r="LL58"/>
      <c r="LM58"/>
      <c r="LN58"/>
      <c r="LO58"/>
      <c r="LP58"/>
      <c r="LQ58"/>
      <c r="LR58"/>
      <c r="LS58"/>
      <c r="LT58"/>
      <c r="LU58"/>
      <c r="LV58"/>
      <c r="LW58"/>
      <c r="LX58"/>
      <c r="LY58"/>
      <c r="LZ58"/>
      <c r="MA58"/>
      <c r="MB58"/>
      <c r="MC58"/>
      <c r="MD58"/>
      <c r="ME58"/>
      <c r="MF58"/>
      <c r="MG58"/>
      <c r="MH58"/>
      <c r="MI58"/>
      <c r="MJ58"/>
      <c r="MK58"/>
      <c r="ML58"/>
      <c r="MM58"/>
      <c r="MN58"/>
      <c r="MO58"/>
      <c r="MP58"/>
      <c r="MQ58"/>
      <c r="MR58"/>
      <c r="MS58"/>
      <c r="MT58"/>
      <c r="MU58"/>
      <c r="MV58"/>
      <c r="MW58"/>
      <c r="MX58"/>
      <c r="MY58"/>
      <c r="MZ58"/>
      <c r="NA58"/>
      <c r="NB58"/>
      <c r="NC58"/>
      <c r="ND58"/>
      <c r="NE58"/>
      <c r="NF58"/>
      <c r="NG58"/>
      <c r="NH58"/>
      <c r="NI58"/>
      <c r="NJ58"/>
      <c r="NK58"/>
      <c r="NL58"/>
      <c r="NM58"/>
      <c r="NN58"/>
      <c r="NO58"/>
      <c r="NP58"/>
      <c r="NQ58"/>
      <c r="NR58"/>
      <c r="NS58"/>
      <c r="NT58"/>
      <c r="NU58"/>
      <c r="NV58"/>
      <c r="NW58"/>
      <c r="NX58"/>
      <c r="NY58"/>
      <c r="NZ58"/>
      <c r="OA58"/>
      <c r="OB58"/>
      <c r="OC58"/>
      <c r="OD58"/>
      <c r="OE58"/>
      <c r="OF58"/>
      <c r="OG58"/>
      <c r="OH58"/>
      <c r="OI58"/>
      <c r="OJ58"/>
      <c r="OK58"/>
      <c r="OL58"/>
      <c r="OM58"/>
      <c r="ON58"/>
      <c r="OO58"/>
      <c r="OP58"/>
      <c r="OQ58" s="1656"/>
      <c r="OR58" s="1656"/>
    </row>
    <row r="59" spans="1:408" ht="21.5">
      <c r="A59" s="1466"/>
      <c r="B59" s="1583"/>
      <c r="C59" s="1583"/>
      <c r="D59" s="1583"/>
      <c r="E59" s="1584"/>
      <c r="F59" s="1584"/>
      <c r="G59" s="1584"/>
      <c r="H59" s="1584"/>
      <c r="I59" s="1584"/>
      <c r="J59" s="1584"/>
      <c r="K59" s="1584"/>
      <c r="L59" s="1584"/>
      <c r="M59" s="1584"/>
      <c r="N59" s="1584"/>
      <c r="O59" s="1584"/>
      <c r="P59" s="1584"/>
      <c r="Q59" s="1584"/>
      <c r="R59" s="1584"/>
      <c r="S59" s="1584"/>
      <c r="T59" s="1584"/>
      <c r="U59" s="1584"/>
      <c r="V59" s="1584"/>
      <c r="W59" s="1584"/>
      <c r="X59" s="1584"/>
      <c r="Y59" s="1584"/>
      <c r="Z59" s="1584"/>
      <c r="AA59" s="1584"/>
      <c r="AB59" s="1584"/>
      <c r="AC59" s="1584"/>
      <c r="AD59" s="1584"/>
      <c r="AE59" s="1584"/>
      <c r="AF59" s="1584"/>
      <c r="AG59" s="1584"/>
      <c r="AH59" s="1584"/>
      <c r="AI59" s="1584"/>
      <c r="AJ59" s="1584"/>
      <c r="AK59" s="1584"/>
      <c r="AL59" s="1584"/>
      <c r="AM59" s="1584"/>
      <c r="AN59" s="1584"/>
      <c r="AO59" s="1584"/>
      <c r="AP59" s="1584"/>
      <c r="AQ59" s="1584"/>
      <c r="AR59" s="1584"/>
      <c r="AS59" s="1584"/>
      <c r="AT59" s="1584"/>
      <c r="AU59" s="1584"/>
      <c r="AV59" s="1584"/>
      <c r="AW59" s="1584"/>
      <c r="AX59" s="1584"/>
      <c r="AY59" s="1584"/>
      <c r="AZ59" s="1584"/>
      <c r="BA59" s="1584"/>
      <c r="BB59" s="1584"/>
      <c r="BC59" s="1584"/>
      <c r="BD59" s="1584"/>
      <c r="BE59" s="1584"/>
      <c r="BF59" s="1584"/>
      <c r="BG59" s="1584"/>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s="1655"/>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s="1655"/>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s="1655"/>
      <c r="KU59"/>
      <c r="KV59"/>
      <c r="KW59"/>
      <c r="KX59"/>
      <c r="KY59"/>
      <c r="KZ59"/>
      <c r="LA59"/>
      <c r="LB59"/>
      <c r="LC59"/>
      <c r="LD59"/>
      <c r="LE59"/>
      <c r="LF59"/>
      <c r="LG59"/>
      <c r="LH59"/>
      <c r="LI59"/>
      <c r="LJ59"/>
      <c r="LK59"/>
      <c r="LL59"/>
      <c r="LM59"/>
      <c r="LN59"/>
      <c r="LO59"/>
      <c r="LP59"/>
      <c r="LQ59"/>
      <c r="LR59"/>
      <c r="LS59"/>
      <c r="LT59"/>
      <c r="LU59"/>
      <c r="LV59"/>
      <c r="LW59"/>
      <c r="LX59"/>
      <c r="LY59"/>
      <c r="LZ59"/>
      <c r="MA59"/>
      <c r="MB59"/>
      <c r="MC59"/>
      <c r="MD59"/>
      <c r="ME59"/>
      <c r="MF59"/>
      <c r="MG59"/>
      <c r="MH59"/>
      <c r="MI59"/>
      <c r="MJ59"/>
      <c r="MK59"/>
      <c r="ML59"/>
      <c r="MM59"/>
      <c r="MN59"/>
      <c r="MO59"/>
      <c r="MP59"/>
      <c r="MQ59"/>
      <c r="MR59"/>
      <c r="MS59"/>
      <c r="MT59"/>
      <c r="MU59"/>
      <c r="MV59"/>
      <c r="MW59"/>
      <c r="MX59"/>
      <c r="MY59"/>
      <c r="MZ59"/>
      <c r="NA59"/>
      <c r="NB59"/>
      <c r="NC59"/>
      <c r="ND59"/>
      <c r="NE59"/>
      <c r="NF59"/>
      <c r="NG59"/>
      <c r="NH59"/>
      <c r="NI59"/>
      <c r="NJ59"/>
      <c r="NK59"/>
      <c r="NL59"/>
      <c r="NM59"/>
      <c r="NN59"/>
      <c r="NO59"/>
      <c r="NP59"/>
      <c r="NQ59"/>
      <c r="NR59"/>
      <c r="NS59"/>
      <c r="NT59"/>
      <c r="NU59"/>
      <c r="NV59"/>
      <c r="NW59"/>
      <c r="NX59"/>
      <c r="NY59"/>
      <c r="NZ59"/>
      <c r="OA59"/>
      <c r="OB59"/>
      <c r="OC59"/>
      <c r="OD59"/>
      <c r="OE59"/>
      <c r="OF59"/>
      <c r="OG59"/>
      <c r="OH59"/>
      <c r="OI59"/>
      <c r="OJ59"/>
      <c r="OK59"/>
      <c r="OL59"/>
      <c r="OM59"/>
      <c r="ON59"/>
      <c r="OO59"/>
      <c r="OP59"/>
      <c r="OQ59" s="1656"/>
      <c r="OR59" s="1656"/>
    </row>
    <row r="60" spans="1:408" ht="21.5">
      <c r="A60" s="1466"/>
      <c r="B60" s="1583"/>
      <c r="C60" s="1583"/>
      <c r="D60" s="1583"/>
      <c r="E60" s="1584"/>
      <c r="F60" s="1584"/>
      <c r="G60" s="1584"/>
      <c r="H60" s="1584"/>
      <c r="I60" s="1584"/>
      <c r="J60" s="1584"/>
      <c r="K60" s="1584"/>
      <c r="L60" s="1584"/>
      <c r="M60" s="1584"/>
      <c r="N60" s="1584"/>
      <c r="O60" s="1584"/>
      <c r="P60" s="1584"/>
      <c r="Q60" s="1584"/>
      <c r="R60" s="1584"/>
      <c r="S60" s="1584"/>
      <c r="T60" s="1584"/>
      <c r="U60" s="1584"/>
      <c r="V60" s="1584"/>
      <c r="W60" s="1584"/>
      <c r="X60" s="1584"/>
      <c r="Y60" s="1584"/>
      <c r="Z60" s="1584"/>
      <c r="AA60" s="1584"/>
      <c r="AB60" s="1584"/>
      <c r="AC60" s="1584"/>
      <c r="AD60" s="1584"/>
      <c r="AE60" s="1584"/>
      <c r="AF60" s="1584"/>
      <c r="AG60" s="1584"/>
      <c r="AH60" s="1584"/>
      <c r="AI60" s="1584"/>
      <c r="AJ60" s="1584"/>
      <c r="AK60" s="1584"/>
      <c r="AL60" s="1584"/>
      <c r="AM60" s="1584"/>
      <c r="AN60" s="1584"/>
      <c r="AO60" s="1584"/>
      <c r="AP60" s="1584"/>
      <c r="AQ60" s="1584"/>
      <c r="AR60" s="1584"/>
      <c r="AS60" s="1584"/>
      <c r="AT60" s="1584"/>
      <c r="AU60" s="1584"/>
      <c r="AV60" s="1584"/>
      <c r="AW60" s="1584"/>
      <c r="AX60" s="1584"/>
      <c r="AY60" s="1584"/>
      <c r="AZ60" s="1584"/>
      <c r="BA60" s="1584"/>
      <c r="BB60" s="1584"/>
      <c r="BC60" s="1584"/>
      <c r="BD60" s="1584"/>
      <c r="BE60" s="1584"/>
      <c r="BF60" s="1584"/>
      <c r="BG60" s="1584"/>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s="1655"/>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s="1655"/>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s="1655"/>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c r="NG60"/>
      <c r="NH60"/>
      <c r="NI60"/>
      <c r="NJ60"/>
      <c r="NK60"/>
      <c r="NL60"/>
      <c r="NM60"/>
      <c r="NN60"/>
      <c r="NO60"/>
      <c r="NP60"/>
      <c r="NQ60"/>
      <c r="NR60"/>
      <c r="NS60"/>
      <c r="NT60"/>
      <c r="NU60"/>
      <c r="NV60"/>
      <c r="NW60"/>
      <c r="NX60"/>
      <c r="NY60"/>
      <c r="NZ60"/>
      <c r="OA60"/>
      <c r="OB60"/>
      <c r="OC60"/>
      <c r="OD60"/>
      <c r="OE60"/>
      <c r="OF60"/>
      <c r="OG60"/>
      <c r="OH60"/>
      <c r="OI60"/>
      <c r="OJ60"/>
      <c r="OK60"/>
      <c r="OL60"/>
      <c r="OM60"/>
      <c r="ON60"/>
      <c r="OO60"/>
      <c r="OP60"/>
      <c r="OQ60" s="1656"/>
      <c r="OR60" s="1656"/>
    </row>
    <row r="61" spans="1:408" ht="21.5">
      <c r="A61" s="1466"/>
      <c r="B61" s="1583"/>
      <c r="C61" s="1583"/>
      <c r="D61" s="1583"/>
      <c r="E61" s="1584"/>
      <c r="F61" s="1584"/>
      <c r="G61" s="1584"/>
      <c r="H61" s="1584"/>
      <c r="I61" s="1584"/>
      <c r="J61" s="1584"/>
      <c r="K61" s="1584"/>
      <c r="L61" s="1584"/>
      <c r="M61" s="1584"/>
      <c r="N61" s="1584"/>
      <c r="O61" s="1584"/>
      <c r="P61" s="1584"/>
      <c r="Q61" s="1584"/>
      <c r="R61" s="1584"/>
      <c r="S61" s="1584"/>
      <c r="T61" s="1584"/>
      <c r="U61" s="1584"/>
      <c r="V61" s="1584"/>
      <c r="W61" s="1584"/>
      <c r="X61" s="1584"/>
      <c r="Y61" s="1584"/>
      <c r="Z61" s="1584"/>
      <c r="AA61" s="1584"/>
      <c r="AB61" s="1584"/>
      <c r="AC61" s="1584"/>
      <c r="AD61" s="1584"/>
      <c r="AE61" s="1584"/>
      <c r="AF61" s="1584"/>
      <c r="AG61" s="1584"/>
      <c r="AH61" s="1584"/>
      <c r="AI61" s="1584"/>
      <c r="AJ61" s="1584"/>
      <c r="AK61" s="1584"/>
      <c r="AL61" s="1584"/>
      <c r="AM61" s="1584"/>
      <c r="AN61" s="1584"/>
      <c r="AO61" s="1584"/>
      <c r="AP61" s="1584"/>
      <c r="AQ61" s="1584"/>
      <c r="AR61" s="1584"/>
      <c r="AS61" s="1584"/>
      <c r="AT61" s="1584"/>
      <c r="AU61" s="1584"/>
      <c r="AV61" s="1584"/>
      <c r="AW61" s="1584"/>
      <c r="AX61" s="1584"/>
      <c r="AY61" s="1584"/>
      <c r="AZ61" s="1584"/>
      <c r="BA61" s="1584"/>
      <c r="BB61" s="1584"/>
      <c r="BC61" s="1584"/>
      <c r="BD61" s="1584"/>
      <c r="BE61" s="1584"/>
      <c r="BF61" s="1584"/>
      <c r="BG61" s="1584"/>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s="1655"/>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s="1655"/>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s="1655"/>
      <c r="KU61"/>
      <c r="KV61"/>
      <c r="KW61"/>
      <c r="KX61"/>
      <c r="KY61"/>
      <c r="KZ61"/>
      <c r="LA61"/>
      <c r="LB61"/>
      <c r="LC61"/>
      <c r="LD61"/>
      <c r="LE61"/>
      <c r="LF61"/>
      <c r="LG61"/>
      <c r="LH61"/>
      <c r="LI61"/>
      <c r="LJ61"/>
      <c r="LK61"/>
      <c r="LL61"/>
      <c r="LM61"/>
      <c r="LN61"/>
      <c r="LO61"/>
      <c r="LP61"/>
      <c r="LQ61"/>
      <c r="LR61"/>
      <c r="LS61"/>
      <c r="LT61"/>
      <c r="LU61"/>
      <c r="LV61"/>
      <c r="LW61"/>
      <c r="LX61"/>
      <c r="LY61"/>
      <c r="LZ61"/>
      <c r="MA61"/>
      <c r="MB61"/>
      <c r="MC61"/>
      <c r="MD61"/>
      <c r="ME61"/>
      <c r="MF61"/>
      <c r="MG61"/>
      <c r="MH61"/>
      <c r="MI61"/>
      <c r="MJ61"/>
      <c r="MK61"/>
      <c r="ML61"/>
      <c r="MM61"/>
      <c r="MN61"/>
      <c r="MO61"/>
      <c r="MP61"/>
      <c r="MQ61"/>
      <c r="MR61"/>
      <c r="MS61"/>
      <c r="MT61"/>
      <c r="MU61"/>
      <c r="MV61"/>
      <c r="MW61"/>
      <c r="MX61"/>
      <c r="MY61"/>
      <c r="MZ61"/>
      <c r="NA61"/>
      <c r="NB61"/>
      <c r="NC61"/>
      <c r="ND61"/>
      <c r="NE61"/>
      <c r="NF61"/>
      <c r="NG61"/>
      <c r="NH61"/>
      <c r="NI61"/>
      <c r="NJ61"/>
      <c r="NK61"/>
      <c r="NL61"/>
      <c r="NM61"/>
      <c r="NN61"/>
      <c r="NO61"/>
      <c r="NP61"/>
      <c r="NQ61"/>
      <c r="NR61"/>
      <c r="NS61"/>
      <c r="NT61"/>
      <c r="NU61"/>
      <c r="NV61"/>
      <c r="NW61"/>
      <c r="NX61"/>
      <c r="NY61"/>
      <c r="NZ61"/>
      <c r="OA61"/>
      <c r="OB61"/>
      <c r="OC61"/>
      <c r="OD61"/>
      <c r="OE61"/>
      <c r="OF61"/>
      <c r="OG61"/>
      <c r="OH61"/>
      <c r="OI61"/>
      <c r="OJ61"/>
      <c r="OK61"/>
      <c r="OL61"/>
      <c r="OM61"/>
      <c r="ON61"/>
      <c r="OO61"/>
      <c r="OP61"/>
      <c r="OQ61" s="1656"/>
      <c r="OR61" s="1656"/>
    </row>
    <row r="62" spans="1:408" ht="21.5">
      <c r="A62" s="1466"/>
      <c r="B62" s="1583"/>
      <c r="C62" s="1583"/>
      <c r="D62" s="1583"/>
      <c r="E62" s="1584"/>
      <c r="F62" s="1584"/>
      <c r="G62" s="1584"/>
      <c r="H62" s="1584"/>
      <c r="I62" s="1584"/>
      <c r="J62" s="1584"/>
      <c r="K62" s="1584"/>
      <c r="L62" s="1584"/>
      <c r="M62" s="1584"/>
      <c r="N62" s="1584"/>
      <c r="O62" s="1584"/>
      <c r="P62" s="1584"/>
      <c r="Q62" s="1584"/>
      <c r="R62" s="1584"/>
      <c r="S62" s="1584"/>
      <c r="T62" s="1584"/>
      <c r="U62" s="1584"/>
      <c r="V62" s="1584"/>
      <c r="W62" s="1584"/>
      <c r="X62" s="1584"/>
      <c r="Y62" s="1584"/>
      <c r="Z62" s="1584"/>
      <c r="AA62" s="1584"/>
      <c r="AB62" s="1584"/>
      <c r="AC62" s="1584"/>
      <c r="AD62" s="1584"/>
      <c r="AE62" s="1584"/>
      <c r="AF62" s="1584"/>
      <c r="AG62" s="1584"/>
      <c r="AH62" s="1584"/>
      <c r="AI62" s="1584"/>
      <c r="AJ62" s="1584"/>
      <c r="AK62" s="1584"/>
      <c r="AL62" s="1584"/>
      <c r="AM62" s="1584"/>
      <c r="AN62" s="1584"/>
      <c r="AO62" s="1584"/>
      <c r="AP62" s="1584"/>
      <c r="AQ62" s="1584"/>
      <c r="AR62" s="1584"/>
      <c r="AS62" s="1584"/>
      <c r="AT62" s="1584"/>
      <c r="AU62" s="1584"/>
      <c r="AV62" s="1584"/>
      <c r="AW62" s="1584"/>
      <c r="AX62" s="1584"/>
      <c r="AY62" s="1584"/>
      <c r="AZ62" s="1584"/>
      <c r="BA62" s="1584"/>
      <c r="BB62" s="1584"/>
      <c r="BC62" s="1584"/>
      <c r="BD62" s="1584"/>
      <c r="BE62" s="1584"/>
      <c r="BF62" s="1584"/>
      <c r="BG62" s="1584"/>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s="1655"/>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s="1655"/>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s="1655"/>
      <c r="KU62"/>
      <c r="KV62"/>
      <c r="KW62"/>
      <c r="KX62"/>
      <c r="KY62"/>
      <c r="KZ62"/>
      <c r="LA62"/>
      <c r="LB62"/>
      <c r="LC62"/>
      <c r="LD62"/>
      <c r="LE62"/>
      <c r="LF62"/>
      <c r="LG62"/>
      <c r="LH62"/>
      <c r="LI62"/>
      <c r="LJ62"/>
      <c r="LK62"/>
      <c r="LL62"/>
      <c r="LM62"/>
      <c r="LN62"/>
      <c r="LO62"/>
      <c r="LP62"/>
      <c r="LQ62"/>
      <c r="LR62"/>
      <c r="LS62"/>
      <c r="LT62"/>
      <c r="LU62"/>
      <c r="LV62"/>
      <c r="LW62"/>
      <c r="LX62"/>
      <c r="LY62"/>
      <c r="LZ62"/>
      <c r="MA62"/>
      <c r="MB62"/>
      <c r="MC62"/>
      <c r="MD62"/>
      <c r="ME62"/>
      <c r="MF62"/>
      <c r="MG62"/>
      <c r="MH62"/>
      <c r="MI62"/>
      <c r="MJ62"/>
      <c r="MK62"/>
      <c r="ML62"/>
      <c r="MM62"/>
      <c r="MN62"/>
      <c r="MO62"/>
      <c r="MP62"/>
      <c r="MQ62"/>
      <c r="MR62"/>
      <c r="MS62"/>
      <c r="MT62"/>
      <c r="MU62"/>
      <c r="MV62"/>
      <c r="MW62"/>
      <c r="MX62"/>
      <c r="MY62"/>
      <c r="MZ62"/>
      <c r="NA62"/>
      <c r="NB62"/>
      <c r="NC62"/>
      <c r="ND62"/>
      <c r="NE62"/>
      <c r="NF62"/>
      <c r="NG62"/>
      <c r="NH62"/>
      <c r="NI62"/>
      <c r="NJ62"/>
      <c r="NK62"/>
      <c r="NL62"/>
      <c r="NM62"/>
      <c r="NN62"/>
      <c r="NO62"/>
      <c r="NP62"/>
      <c r="NQ62"/>
      <c r="NR62"/>
      <c r="NS62"/>
      <c r="NT62"/>
      <c r="NU62"/>
      <c r="NV62"/>
      <c r="NW62"/>
      <c r="NX62"/>
      <c r="NY62"/>
      <c r="NZ62"/>
      <c r="OA62"/>
      <c r="OB62"/>
      <c r="OC62"/>
      <c r="OD62"/>
      <c r="OE62"/>
      <c r="OF62"/>
      <c r="OG62"/>
      <c r="OH62"/>
      <c r="OI62"/>
      <c r="OJ62"/>
      <c r="OK62"/>
      <c r="OL62"/>
      <c r="OM62"/>
      <c r="ON62"/>
      <c r="OO62"/>
      <c r="OP62"/>
      <c r="OQ62" s="1656"/>
      <c r="OR62" s="1656"/>
    </row>
    <row r="63" spans="1:408" ht="21.5">
      <c r="A63" s="1466"/>
      <c r="B63" s="1583"/>
      <c r="C63" s="1583"/>
      <c r="D63" s="1583"/>
      <c r="E63" s="1584"/>
      <c r="F63" s="1584"/>
      <c r="G63" s="1584"/>
      <c r="H63" s="1584"/>
      <c r="I63" s="1584"/>
      <c r="J63" s="1584"/>
      <c r="K63" s="1584"/>
      <c r="L63" s="1584"/>
      <c r="M63" s="1584"/>
      <c r="N63" s="1584"/>
      <c r="O63" s="1584"/>
      <c r="P63" s="1584"/>
      <c r="Q63" s="1584"/>
      <c r="R63" s="1584"/>
      <c r="S63" s="1584"/>
      <c r="T63" s="1584"/>
      <c r="U63" s="1584"/>
      <c r="V63" s="1584"/>
      <c r="W63" s="1584"/>
      <c r="X63" s="1584"/>
      <c r="Y63" s="1584"/>
      <c r="Z63" s="1584"/>
      <c r="AA63" s="1584"/>
      <c r="AB63" s="1584"/>
      <c r="AC63" s="1584"/>
      <c r="AD63" s="1584"/>
      <c r="AE63" s="1584"/>
      <c r="AF63" s="1584"/>
      <c r="AG63" s="1584"/>
      <c r="AH63" s="1584"/>
      <c r="AI63" s="1584"/>
      <c r="AJ63" s="1584"/>
      <c r="AK63" s="1584"/>
      <c r="AL63" s="1584"/>
      <c r="AM63" s="1584"/>
      <c r="AN63" s="1584"/>
      <c r="AO63" s="1584"/>
      <c r="AP63" s="1584"/>
      <c r="AQ63" s="1584"/>
      <c r="AR63" s="1584"/>
      <c r="AS63" s="1584"/>
      <c r="AT63" s="1584"/>
      <c r="AU63" s="1584"/>
      <c r="AV63" s="1584"/>
      <c r="AW63" s="1584"/>
      <c r="AX63" s="1584"/>
      <c r="AY63" s="1584"/>
      <c r="AZ63" s="1584"/>
      <c r="BA63" s="1584"/>
      <c r="BB63" s="1584"/>
      <c r="BC63" s="1584"/>
      <c r="BD63" s="1584"/>
      <c r="BE63" s="1584"/>
      <c r="BF63" s="1584"/>
      <c r="BG63" s="1584"/>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s="1655"/>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s="1655"/>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c r="KS63"/>
      <c r="KT63" s="1655"/>
      <c r="KU63"/>
      <c r="KV63"/>
      <c r="KW63"/>
      <c r="KX63"/>
      <c r="KY63"/>
      <c r="KZ63"/>
      <c r="LA63"/>
      <c r="LB63"/>
      <c r="LC63"/>
      <c r="LD63"/>
      <c r="LE63"/>
      <c r="LF63"/>
      <c r="LG63"/>
      <c r="LH63"/>
      <c r="LI63"/>
      <c r="LJ63"/>
      <c r="LK63"/>
      <c r="LL63"/>
      <c r="LM63"/>
      <c r="LN63"/>
      <c r="LO63"/>
      <c r="LP63"/>
      <c r="LQ63"/>
      <c r="LR63"/>
      <c r="LS63"/>
      <c r="LT63"/>
      <c r="LU63"/>
      <c r="LV63"/>
      <c r="LW63"/>
      <c r="LX63"/>
      <c r="LY63"/>
      <c r="LZ63"/>
      <c r="MA63"/>
      <c r="MB63"/>
      <c r="MC63"/>
      <c r="MD63"/>
      <c r="ME63"/>
      <c r="MF63"/>
      <c r="MG63"/>
      <c r="MH63"/>
      <c r="MI63"/>
      <c r="MJ63"/>
      <c r="MK63"/>
      <c r="ML63"/>
      <c r="MM63"/>
      <c r="MN63"/>
      <c r="MO63"/>
      <c r="MP63"/>
      <c r="MQ63"/>
      <c r="MR63"/>
      <c r="MS63"/>
      <c r="MT63"/>
      <c r="MU63"/>
      <c r="MV63"/>
      <c r="MW63"/>
      <c r="MX63"/>
      <c r="MY63"/>
      <c r="MZ63"/>
      <c r="NA63"/>
      <c r="NB63"/>
      <c r="NC63"/>
      <c r="ND63"/>
      <c r="NE63"/>
      <c r="NF63"/>
      <c r="NG63"/>
      <c r="NH63"/>
      <c r="NI63"/>
      <c r="NJ63"/>
      <c r="NK63"/>
      <c r="NL63"/>
      <c r="NM63"/>
      <c r="NN63"/>
      <c r="NO63"/>
      <c r="NP63"/>
      <c r="NQ63"/>
      <c r="NR63"/>
      <c r="NS63"/>
      <c r="NT63"/>
      <c r="NU63"/>
      <c r="NV63"/>
      <c r="NW63"/>
      <c r="NX63"/>
      <c r="NY63"/>
      <c r="NZ63"/>
      <c r="OA63"/>
      <c r="OB63"/>
      <c r="OC63"/>
      <c r="OD63"/>
      <c r="OE63"/>
      <c r="OF63"/>
      <c r="OG63"/>
      <c r="OH63"/>
      <c r="OI63"/>
      <c r="OJ63"/>
      <c r="OK63"/>
      <c r="OL63"/>
      <c r="OM63"/>
      <c r="ON63"/>
      <c r="OO63"/>
      <c r="OP63"/>
      <c r="OQ63" s="1656"/>
      <c r="OR63" s="1656"/>
    </row>
    <row r="64" spans="1:408" ht="21.5">
      <c r="A64" s="1466"/>
      <c r="B64" s="1583"/>
      <c r="C64" s="1583"/>
      <c r="D64" s="1583"/>
      <c r="E64" s="1584"/>
      <c r="F64" s="1584"/>
      <c r="G64" s="1584"/>
      <c r="H64" s="1584"/>
      <c r="I64" s="1584"/>
      <c r="J64" s="1584"/>
      <c r="K64" s="1584"/>
      <c r="L64" s="1584"/>
      <c r="M64" s="1584"/>
      <c r="N64" s="1584"/>
      <c r="O64" s="1584"/>
      <c r="P64" s="1584"/>
      <c r="Q64" s="1584"/>
      <c r="R64" s="1584"/>
      <c r="S64" s="1584"/>
      <c r="T64" s="1584"/>
      <c r="U64" s="1584"/>
      <c r="V64" s="1584"/>
      <c r="W64" s="1584"/>
      <c r="X64" s="1584"/>
      <c r="Y64" s="1584"/>
      <c r="Z64" s="1584"/>
      <c r="AA64" s="1584"/>
      <c r="AB64" s="1584"/>
      <c r="AC64" s="1584"/>
      <c r="AD64" s="1584"/>
      <c r="AE64" s="1584"/>
      <c r="AF64" s="1584"/>
      <c r="AG64" s="1584"/>
      <c r="AH64" s="1584"/>
      <c r="AI64" s="1584"/>
      <c r="AJ64" s="1584"/>
      <c r="AK64" s="1584"/>
      <c r="AL64" s="1584"/>
      <c r="AM64" s="1584"/>
      <c r="AN64" s="1584"/>
      <c r="AO64" s="1584"/>
      <c r="AP64" s="1584"/>
      <c r="AQ64" s="1584"/>
      <c r="AR64" s="1584"/>
      <c r="AS64" s="1584"/>
      <c r="AT64" s="1584"/>
      <c r="AU64" s="1584"/>
      <c r="AV64" s="1584"/>
      <c r="AW64" s="1584"/>
      <c r="AX64" s="1584"/>
      <c r="AY64" s="1584"/>
      <c r="AZ64" s="1584"/>
      <c r="BA64" s="1584"/>
      <c r="BB64" s="1584"/>
      <c r="BC64" s="1584"/>
      <c r="BD64" s="1584"/>
      <c r="BE64" s="1584"/>
      <c r="BF64" s="1584"/>
      <c r="BG64" s="158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s="1655"/>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s="1655"/>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c r="KR64"/>
      <c r="KS64"/>
      <c r="KT64" s="1655"/>
      <c r="KU64"/>
      <c r="KV64"/>
      <c r="KW64"/>
      <c r="KX64"/>
      <c r="KY64"/>
      <c r="KZ64"/>
      <c r="LA64"/>
      <c r="LB64"/>
      <c r="LC64"/>
      <c r="LD64"/>
      <c r="LE64"/>
      <c r="LF64"/>
      <c r="LG64"/>
      <c r="LH64"/>
      <c r="LI64"/>
      <c r="LJ64"/>
      <c r="LK64"/>
      <c r="LL64"/>
      <c r="LM64"/>
      <c r="LN64"/>
      <c r="LO64"/>
      <c r="LP64"/>
      <c r="LQ64"/>
      <c r="LR64"/>
      <c r="LS64"/>
      <c r="LT64"/>
      <c r="LU64"/>
      <c r="LV64"/>
      <c r="LW64"/>
      <c r="LX64"/>
      <c r="LY64"/>
      <c r="LZ64"/>
      <c r="MA64"/>
      <c r="MB64"/>
      <c r="MC64"/>
      <c r="MD64"/>
      <c r="ME64"/>
      <c r="MF64"/>
      <c r="MG64"/>
      <c r="MH64"/>
      <c r="MI64"/>
      <c r="MJ64"/>
      <c r="MK64"/>
      <c r="ML64"/>
      <c r="MM64"/>
      <c r="MN64"/>
      <c r="MO64"/>
      <c r="MP64"/>
      <c r="MQ64"/>
      <c r="MR64"/>
      <c r="MS64"/>
      <c r="MT64"/>
      <c r="MU64"/>
      <c r="MV64"/>
      <c r="MW64"/>
      <c r="MX64"/>
      <c r="MY64"/>
      <c r="MZ64"/>
      <c r="NA64"/>
      <c r="NB64"/>
      <c r="NC64"/>
      <c r="ND64"/>
      <c r="NE64"/>
      <c r="NF64"/>
      <c r="NG64"/>
      <c r="NH64"/>
      <c r="NI64"/>
      <c r="NJ64"/>
      <c r="NK64"/>
      <c r="NL64"/>
      <c r="NM64"/>
      <c r="NN64"/>
      <c r="NO64"/>
      <c r="NP64"/>
      <c r="NQ64"/>
      <c r="NR64"/>
      <c r="NS64"/>
      <c r="NT64"/>
      <c r="NU64"/>
      <c r="NV64"/>
      <c r="NW64"/>
      <c r="NX64"/>
      <c r="NY64"/>
      <c r="NZ64"/>
      <c r="OA64"/>
      <c r="OB64"/>
      <c r="OC64"/>
      <c r="OD64"/>
      <c r="OE64"/>
      <c r="OF64"/>
      <c r="OG64"/>
      <c r="OH64"/>
      <c r="OI64"/>
      <c r="OJ64"/>
      <c r="OK64"/>
      <c r="OL64"/>
      <c r="OM64"/>
      <c r="ON64"/>
      <c r="OO64"/>
      <c r="OP64"/>
      <c r="OQ64" s="1656"/>
      <c r="OR64" s="1656"/>
    </row>
    <row r="65" spans="1:408" ht="21.5">
      <c r="A65" s="1466"/>
      <c r="B65" s="1583"/>
      <c r="C65" s="1583"/>
      <c r="D65" s="1583"/>
      <c r="E65" s="1584"/>
      <c r="F65" s="1584"/>
      <c r="G65" s="1584"/>
      <c r="H65" s="1584"/>
      <c r="I65" s="1584"/>
      <c r="J65" s="1584"/>
      <c r="K65" s="1584"/>
      <c r="L65" s="1584"/>
      <c r="M65" s="1584"/>
      <c r="N65" s="1584"/>
      <c r="O65" s="1584"/>
      <c r="P65" s="1584"/>
      <c r="Q65" s="1584"/>
      <c r="R65" s="1584"/>
      <c r="S65" s="1584"/>
      <c r="T65" s="1584"/>
      <c r="U65" s="1584"/>
      <c r="V65" s="1584"/>
      <c r="W65" s="1584"/>
      <c r="X65" s="1584"/>
      <c r="Y65" s="1584"/>
      <c r="Z65" s="1584"/>
      <c r="AA65" s="1584"/>
      <c r="AB65" s="1584"/>
      <c r="AC65" s="1584"/>
      <c r="AD65" s="1584"/>
      <c r="AE65" s="1584"/>
      <c r="AF65" s="1584"/>
      <c r="AG65" s="1584"/>
      <c r="AH65" s="1584"/>
      <c r="AI65" s="1584"/>
      <c r="AJ65" s="1584"/>
      <c r="AK65" s="1584"/>
      <c r="AL65" s="1584"/>
      <c r="AM65" s="1584"/>
      <c r="AN65" s="1584"/>
      <c r="AO65" s="1584"/>
      <c r="AP65" s="1584"/>
      <c r="AQ65" s="1584"/>
      <c r="AR65" s="1584"/>
      <c r="AS65" s="1584"/>
      <c r="AT65" s="1584"/>
      <c r="AU65" s="1584"/>
      <c r="AV65" s="1584"/>
      <c r="AW65" s="1584"/>
      <c r="AX65" s="1584"/>
      <c r="AY65" s="1584"/>
      <c r="AZ65" s="1584"/>
      <c r="BA65" s="1584"/>
      <c r="BB65" s="1584"/>
      <c r="BC65" s="1584"/>
      <c r="BD65" s="1584"/>
      <c r="BE65" s="1584"/>
      <c r="BF65" s="1584"/>
      <c r="BG65" s="1584"/>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s="165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s="165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s="1655"/>
      <c r="KU65"/>
      <c r="KV65"/>
      <c r="KW65"/>
      <c r="KX65"/>
      <c r="KY65"/>
      <c r="KZ65"/>
      <c r="LA65"/>
      <c r="LB65"/>
      <c r="LC65"/>
      <c r="LD65"/>
      <c r="LE65"/>
      <c r="LF65"/>
      <c r="LG65"/>
      <c r="LH65"/>
      <c r="LI65"/>
      <c r="LJ65"/>
      <c r="LK65"/>
      <c r="LL65"/>
      <c r="LM65"/>
      <c r="LN65"/>
      <c r="LO65"/>
      <c r="LP65"/>
      <c r="LQ65"/>
      <c r="LR65"/>
      <c r="LS65"/>
      <c r="LT65"/>
      <c r="LU65"/>
      <c r="LV65"/>
      <c r="LW65"/>
      <c r="LX65"/>
      <c r="LY65"/>
      <c r="LZ65"/>
      <c r="MA65"/>
      <c r="MB65"/>
      <c r="MC65"/>
      <c r="MD65"/>
      <c r="ME65"/>
      <c r="MF65"/>
      <c r="MG65"/>
      <c r="MH65"/>
      <c r="MI65"/>
      <c r="MJ65"/>
      <c r="MK65"/>
      <c r="ML65"/>
      <c r="MM65"/>
      <c r="MN65"/>
      <c r="MO65"/>
      <c r="MP65"/>
      <c r="MQ65"/>
      <c r="MR65"/>
      <c r="MS65"/>
      <c r="MT65"/>
      <c r="MU65"/>
      <c r="MV65"/>
      <c r="MW65"/>
      <c r="MX65"/>
      <c r="MY65"/>
      <c r="MZ65"/>
      <c r="NA65"/>
      <c r="NB65"/>
      <c r="NC65"/>
      <c r="ND65"/>
      <c r="NE65"/>
      <c r="NF65"/>
      <c r="NG65"/>
      <c r="NH65"/>
      <c r="NI65"/>
      <c r="NJ65"/>
      <c r="NK65"/>
      <c r="NL65"/>
      <c r="NM65"/>
      <c r="NN65"/>
      <c r="NO65"/>
      <c r="NP65"/>
      <c r="NQ65"/>
      <c r="NR65"/>
      <c r="NS65"/>
      <c r="NT65"/>
      <c r="NU65"/>
      <c r="NV65"/>
      <c r="NW65"/>
      <c r="NX65"/>
      <c r="NY65"/>
      <c r="NZ65"/>
      <c r="OA65"/>
      <c r="OB65"/>
      <c r="OC65"/>
      <c r="OD65"/>
      <c r="OE65"/>
      <c r="OF65"/>
      <c r="OG65"/>
      <c r="OH65"/>
      <c r="OI65"/>
      <c r="OJ65"/>
      <c r="OK65"/>
      <c r="OL65"/>
      <c r="OM65"/>
      <c r="ON65"/>
      <c r="OO65"/>
      <c r="OP65"/>
      <c r="OQ65" s="1656"/>
      <c r="OR65" s="1656"/>
    </row>
    <row r="66" spans="1:408" ht="21.5">
      <c r="A66" s="1466"/>
      <c r="B66" s="1583"/>
      <c r="C66" s="1583"/>
      <c r="D66" s="1583"/>
      <c r="E66" s="1584"/>
      <c r="F66" s="1584"/>
      <c r="G66" s="1584"/>
      <c r="H66" s="1584"/>
      <c r="I66" s="1584"/>
      <c r="J66" s="1584"/>
      <c r="K66" s="1584"/>
      <c r="L66" s="1584"/>
      <c r="M66" s="1584"/>
      <c r="N66" s="1584"/>
      <c r="O66" s="1584"/>
      <c r="P66" s="1584"/>
      <c r="Q66" s="1584"/>
      <c r="R66" s="1584"/>
      <c r="S66" s="1584"/>
      <c r="T66" s="1584"/>
      <c r="U66" s="1584"/>
      <c r="V66" s="1584"/>
      <c r="W66" s="1584"/>
      <c r="X66" s="1584"/>
      <c r="Y66" s="1584"/>
      <c r="Z66" s="1584"/>
      <c r="AA66" s="1584"/>
      <c r="AB66" s="1584"/>
      <c r="AC66" s="1584"/>
      <c r="AD66" s="1584"/>
      <c r="AE66" s="1584"/>
      <c r="AF66" s="1584"/>
      <c r="AG66" s="1584"/>
      <c r="AH66" s="1584"/>
      <c r="AI66" s="1584"/>
      <c r="AJ66" s="1584"/>
      <c r="AK66" s="1584"/>
      <c r="AL66" s="1584"/>
      <c r="AM66" s="1584"/>
      <c r="AN66" s="1584"/>
      <c r="AO66" s="1584"/>
      <c r="AP66" s="1584"/>
      <c r="AQ66" s="1584"/>
      <c r="AR66" s="1584"/>
      <c r="AS66" s="1584"/>
      <c r="AT66" s="1584"/>
      <c r="AU66" s="1584"/>
      <c r="AV66" s="1584"/>
      <c r="AW66" s="1584"/>
      <c r="AX66" s="1584"/>
      <c r="AY66" s="1584"/>
      <c r="AZ66" s="1584"/>
      <c r="BA66" s="1584"/>
      <c r="BB66" s="1584"/>
      <c r="BC66" s="1584"/>
      <c r="BD66" s="1584"/>
      <c r="BE66" s="1584"/>
      <c r="BF66" s="1584"/>
      <c r="BG66" s="1584"/>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s="1655"/>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s="1655"/>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s="1655"/>
      <c r="KU66"/>
      <c r="KV66"/>
      <c r="KW66"/>
      <c r="KX66"/>
      <c r="KY66"/>
      <c r="KZ66"/>
      <c r="LA66"/>
      <c r="LB66"/>
      <c r="LC66"/>
      <c r="LD66"/>
      <c r="LE66"/>
      <c r="LF66"/>
      <c r="LG66"/>
      <c r="LH66"/>
      <c r="LI66"/>
      <c r="LJ66"/>
      <c r="LK66"/>
      <c r="LL66"/>
      <c r="LM66"/>
      <c r="LN66"/>
      <c r="LO66"/>
      <c r="LP66"/>
      <c r="LQ66"/>
      <c r="LR66"/>
      <c r="LS66"/>
      <c r="LT66"/>
      <c r="LU66"/>
      <c r="LV66"/>
      <c r="LW66"/>
      <c r="LX66"/>
      <c r="LY66"/>
      <c r="LZ66"/>
      <c r="MA66"/>
      <c r="MB66"/>
      <c r="MC66"/>
      <c r="MD66"/>
      <c r="ME66"/>
      <c r="MF66"/>
      <c r="MG66"/>
      <c r="MH66"/>
      <c r="MI66"/>
      <c r="MJ66"/>
      <c r="MK66"/>
      <c r="ML66"/>
      <c r="MM66"/>
      <c r="MN66"/>
      <c r="MO66"/>
      <c r="MP66"/>
      <c r="MQ66"/>
      <c r="MR66"/>
      <c r="MS66"/>
      <c r="MT66"/>
      <c r="MU66"/>
      <c r="MV66"/>
      <c r="MW66"/>
      <c r="MX66"/>
      <c r="MY66"/>
      <c r="MZ66"/>
      <c r="NA66"/>
      <c r="NB66"/>
      <c r="NC66"/>
      <c r="ND66"/>
      <c r="NE66"/>
      <c r="NF66"/>
      <c r="NG66"/>
      <c r="NH66"/>
      <c r="NI66"/>
      <c r="NJ66"/>
      <c r="NK66"/>
      <c r="NL66"/>
      <c r="NM66"/>
      <c r="NN66"/>
      <c r="NO66"/>
      <c r="NP66"/>
      <c r="NQ66"/>
      <c r="NR66"/>
      <c r="NS66"/>
      <c r="NT66"/>
      <c r="NU66"/>
      <c r="NV66"/>
      <c r="NW66"/>
      <c r="NX66"/>
      <c r="NY66"/>
      <c r="NZ66"/>
      <c r="OA66"/>
      <c r="OB66"/>
      <c r="OC66"/>
      <c r="OD66"/>
      <c r="OE66"/>
      <c r="OF66"/>
      <c r="OG66"/>
      <c r="OH66"/>
      <c r="OI66"/>
      <c r="OJ66"/>
      <c r="OK66"/>
      <c r="OL66"/>
      <c r="OM66"/>
      <c r="ON66"/>
      <c r="OO66"/>
      <c r="OP66"/>
      <c r="OQ66" s="1656"/>
      <c r="OR66" s="1656"/>
    </row>
    <row r="67" spans="1:408" ht="21.5">
      <c r="A67" s="1466"/>
      <c r="B67" s="1583"/>
      <c r="C67" s="1583"/>
      <c r="D67" s="1583"/>
      <c r="E67" s="1584"/>
      <c r="F67" s="1584"/>
      <c r="G67" s="1584"/>
      <c r="H67" s="1584"/>
      <c r="I67" s="1584"/>
      <c r="J67" s="1584"/>
      <c r="K67" s="1584"/>
      <c r="L67" s="1584"/>
      <c r="M67" s="1584"/>
      <c r="N67" s="1584"/>
      <c r="O67" s="1584"/>
      <c r="P67" s="1584"/>
      <c r="Q67" s="1584"/>
      <c r="R67" s="1584"/>
      <c r="S67" s="1584"/>
      <c r="T67" s="1584"/>
      <c r="U67" s="1584"/>
      <c r="V67" s="1584"/>
      <c r="W67" s="1584"/>
      <c r="X67" s="1584"/>
      <c r="Y67" s="1584"/>
      <c r="Z67" s="1584"/>
      <c r="AA67" s="1584"/>
      <c r="AB67" s="1584"/>
      <c r="AC67" s="1584"/>
      <c r="AD67" s="1584"/>
      <c r="AE67" s="1584"/>
      <c r="AF67" s="1584"/>
      <c r="AG67" s="1584"/>
      <c r="AH67" s="1584"/>
      <c r="AI67" s="1584"/>
      <c r="AJ67" s="1584"/>
      <c r="AK67" s="1584"/>
      <c r="AL67" s="1584"/>
      <c r="AM67" s="1584"/>
      <c r="AN67" s="1584"/>
      <c r="AO67" s="1584"/>
      <c r="AP67" s="1584"/>
      <c r="AQ67" s="1584"/>
      <c r="AR67" s="1584"/>
      <c r="AS67" s="1584"/>
      <c r="AT67" s="1584"/>
      <c r="AU67" s="1584"/>
      <c r="AV67" s="1584"/>
      <c r="AW67" s="1584"/>
      <c r="AX67" s="1584"/>
      <c r="AY67" s="1584"/>
      <c r="AZ67" s="1584"/>
      <c r="BA67" s="1584"/>
      <c r="BB67" s="1584"/>
      <c r="BC67" s="1584"/>
      <c r="BD67" s="1584"/>
      <c r="BE67" s="1584"/>
      <c r="BF67" s="1584"/>
      <c r="BG67" s="1584"/>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s="1655"/>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s="1655"/>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s="1655"/>
      <c r="KU67"/>
      <c r="KV67"/>
      <c r="KW67"/>
      <c r="KX67"/>
      <c r="KY67"/>
      <c r="KZ67"/>
      <c r="LA67"/>
      <c r="LB67"/>
      <c r="LC67"/>
      <c r="LD67"/>
      <c r="LE67"/>
      <c r="LF67"/>
      <c r="LG67"/>
      <c r="LH67"/>
      <c r="LI67"/>
      <c r="LJ67"/>
      <c r="LK67"/>
      <c r="LL67"/>
      <c r="LM67"/>
      <c r="LN67"/>
      <c r="LO67"/>
      <c r="LP67"/>
      <c r="LQ67"/>
      <c r="LR67"/>
      <c r="LS67"/>
      <c r="LT67"/>
      <c r="LU67"/>
      <c r="LV67"/>
      <c r="LW67"/>
      <c r="LX67"/>
      <c r="LY67"/>
      <c r="LZ67"/>
      <c r="MA67"/>
      <c r="MB67"/>
      <c r="MC67"/>
      <c r="MD67"/>
      <c r="ME67"/>
      <c r="MF67"/>
      <c r="MG67"/>
      <c r="MH67"/>
      <c r="MI67"/>
      <c r="MJ67"/>
      <c r="MK67"/>
      <c r="ML67"/>
      <c r="MM67"/>
      <c r="MN67"/>
      <c r="MO67"/>
      <c r="MP67"/>
      <c r="MQ67"/>
      <c r="MR67"/>
      <c r="MS67"/>
      <c r="MT67"/>
      <c r="MU67"/>
      <c r="MV67"/>
      <c r="MW67"/>
      <c r="MX67"/>
      <c r="MY67"/>
      <c r="MZ67"/>
      <c r="NA67"/>
      <c r="NB67"/>
      <c r="NC67"/>
      <c r="ND67"/>
      <c r="NE67"/>
      <c r="NF67"/>
      <c r="NG67"/>
      <c r="NH67"/>
      <c r="NI67"/>
      <c r="NJ67"/>
      <c r="NK67"/>
      <c r="NL67"/>
      <c r="NM67"/>
      <c r="NN67"/>
      <c r="NO67"/>
      <c r="NP67"/>
      <c r="NQ67"/>
      <c r="NR67"/>
      <c r="NS67"/>
      <c r="NT67"/>
      <c r="NU67"/>
      <c r="NV67"/>
      <c r="NW67"/>
      <c r="NX67"/>
      <c r="NY67"/>
      <c r="NZ67"/>
      <c r="OA67"/>
      <c r="OB67"/>
      <c r="OC67"/>
      <c r="OD67"/>
      <c r="OE67"/>
      <c r="OF67"/>
      <c r="OG67"/>
      <c r="OH67"/>
      <c r="OI67"/>
      <c r="OJ67"/>
      <c r="OK67"/>
      <c r="OL67"/>
      <c r="OM67"/>
      <c r="ON67"/>
      <c r="OO67"/>
      <c r="OP67"/>
      <c r="OQ67" s="1656"/>
      <c r="OR67" s="1656"/>
    </row>
    <row r="68" spans="1:408" ht="21.5">
      <c r="A68" s="1466"/>
      <c r="B68" s="1583"/>
      <c r="C68" s="1583"/>
      <c r="D68" s="1583"/>
      <c r="E68" s="1585"/>
      <c r="F68" s="1585"/>
      <c r="G68" s="1585"/>
      <c r="H68" s="1585"/>
      <c r="I68" s="1585"/>
      <c r="J68" s="1585"/>
      <c r="K68" s="1585"/>
      <c r="L68" s="1585"/>
      <c r="M68" s="1585"/>
      <c r="N68" s="1585"/>
      <c r="O68" s="1585"/>
      <c r="P68" s="1585"/>
      <c r="Q68" s="1585"/>
      <c r="R68" s="1585"/>
      <c r="S68" s="1585"/>
      <c r="T68" s="1585"/>
      <c r="U68" s="1585"/>
      <c r="V68" s="1585"/>
      <c r="W68" s="1585"/>
      <c r="X68" s="1585"/>
      <c r="Y68" s="1585"/>
      <c r="Z68" s="1585"/>
      <c r="AA68" s="1585"/>
      <c r="AB68" s="1585"/>
      <c r="AC68" s="1585"/>
      <c r="AD68" s="1585"/>
      <c r="AE68" s="1585"/>
      <c r="AF68" s="1585"/>
      <c r="AG68" s="1585"/>
      <c r="AH68" s="1585"/>
      <c r="AI68" s="1585"/>
      <c r="AJ68" s="1585"/>
      <c r="AK68" s="1585"/>
      <c r="AL68" s="1585"/>
      <c r="AM68" s="1585"/>
      <c r="AN68" s="1585"/>
      <c r="AO68" s="1585"/>
      <c r="AP68" s="1585"/>
      <c r="AQ68" s="1585"/>
      <c r="AR68" s="1585"/>
      <c r="AS68" s="1585"/>
      <c r="AT68" s="1585"/>
      <c r="AU68" s="1585"/>
      <c r="AV68" s="1585"/>
      <c r="AW68" s="1585"/>
      <c r="AX68" s="1585"/>
      <c r="AY68" s="1585"/>
      <c r="AZ68" s="1585"/>
      <c r="BA68" s="1585"/>
      <c r="BB68" s="1585"/>
      <c r="BC68" s="1585"/>
      <c r="BD68" s="1585"/>
      <c r="BE68" s="1585"/>
      <c r="BF68" s="1585"/>
      <c r="BG68" s="1585"/>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s="1655"/>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s="1655"/>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s="1655"/>
      <c r="KU68"/>
      <c r="KV68"/>
      <c r="KW68"/>
      <c r="KX68"/>
      <c r="KY68"/>
      <c r="KZ68"/>
      <c r="LA68"/>
      <c r="LB68"/>
      <c r="LC68"/>
      <c r="LD68"/>
      <c r="LE68"/>
      <c r="LF68"/>
      <c r="LG68"/>
      <c r="LH68"/>
      <c r="LI68"/>
      <c r="LJ68"/>
      <c r="LK68"/>
      <c r="LL68"/>
      <c r="LM68"/>
      <c r="LN68"/>
      <c r="LO68"/>
      <c r="LP68"/>
      <c r="LQ68"/>
      <c r="LR68"/>
      <c r="LS68"/>
      <c r="LT68"/>
      <c r="LU68"/>
      <c r="LV68"/>
      <c r="LW68"/>
      <c r="LX68"/>
      <c r="LY68"/>
      <c r="LZ68"/>
      <c r="MA68"/>
      <c r="MB68"/>
      <c r="MC68"/>
      <c r="MD68"/>
      <c r="ME68"/>
      <c r="MF68"/>
      <c r="MG68"/>
      <c r="MH68"/>
      <c r="MI68"/>
      <c r="MJ68"/>
      <c r="MK68"/>
      <c r="ML68"/>
      <c r="MM68"/>
      <c r="MN68"/>
      <c r="MO68"/>
      <c r="MP68"/>
      <c r="MQ68"/>
      <c r="MR68"/>
      <c r="MS68"/>
      <c r="MT68"/>
      <c r="MU68"/>
      <c r="MV68"/>
      <c r="MW68"/>
      <c r="MX68"/>
      <c r="MY68"/>
      <c r="MZ68"/>
      <c r="NA68"/>
      <c r="NB68"/>
      <c r="NC68"/>
      <c r="ND68"/>
      <c r="NE68"/>
      <c r="NF68"/>
      <c r="NG68"/>
      <c r="NH68"/>
      <c r="NI68"/>
      <c r="NJ68"/>
      <c r="NK68"/>
      <c r="NL68"/>
      <c r="NM68"/>
      <c r="NN68"/>
      <c r="NO68"/>
      <c r="NP68"/>
      <c r="NQ68"/>
      <c r="NR68"/>
      <c r="NS68"/>
      <c r="NT68"/>
      <c r="NU68"/>
      <c r="NV68"/>
      <c r="NW68"/>
      <c r="NX68"/>
      <c r="NY68"/>
      <c r="NZ68"/>
      <c r="OA68"/>
      <c r="OB68"/>
      <c r="OC68"/>
      <c r="OD68"/>
      <c r="OE68"/>
      <c r="OF68"/>
      <c r="OG68"/>
      <c r="OH68"/>
      <c r="OI68"/>
      <c r="OJ68"/>
      <c r="OK68"/>
      <c r="OL68"/>
      <c r="OM68"/>
      <c r="ON68"/>
      <c r="OO68"/>
      <c r="OP68"/>
      <c r="OQ68" s="1656"/>
      <c r="OR68" s="1656"/>
    </row>
    <row r="69" spans="1:408" ht="21.5">
      <c r="A69" s="1466"/>
      <c r="B69" s="1583"/>
      <c r="C69" s="1583"/>
      <c r="D69" s="1583"/>
      <c r="E69" s="1585"/>
      <c r="F69" s="1585"/>
      <c r="G69" s="1585"/>
      <c r="H69" s="1585"/>
      <c r="I69" s="1585"/>
      <c r="J69" s="1585"/>
      <c r="K69" s="1585"/>
      <c r="L69" s="1585"/>
      <c r="M69" s="1585"/>
      <c r="N69" s="1585"/>
      <c r="O69" s="1585"/>
      <c r="P69" s="1585"/>
      <c r="Q69" s="1585"/>
      <c r="R69" s="1585"/>
      <c r="S69" s="1585"/>
      <c r="T69" s="1585"/>
      <c r="U69" s="1585"/>
      <c r="V69" s="1585"/>
      <c r="W69" s="1585"/>
      <c r="X69" s="1585"/>
      <c r="Y69" s="1585"/>
      <c r="Z69" s="1585"/>
      <c r="AA69" s="1585"/>
      <c r="AB69" s="1585"/>
      <c r="AC69" s="1585"/>
      <c r="AD69" s="1585"/>
      <c r="AE69" s="1585"/>
      <c r="AF69" s="1585"/>
      <c r="AG69" s="1585"/>
      <c r="AH69" s="1585"/>
      <c r="AI69" s="1585"/>
      <c r="AJ69" s="1585"/>
      <c r="AK69" s="1585"/>
      <c r="AL69" s="1585"/>
      <c r="AM69" s="1585"/>
      <c r="AN69" s="1585"/>
      <c r="AO69" s="1585"/>
      <c r="AP69" s="1585"/>
      <c r="AQ69" s="1585"/>
      <c r="AR69" s="1585"/>
      <c r="AS69" s="1585"/>
      <c r="AT69" s="1585"/>
      <c r="AU69" s="1585"/>
      <c r="AV69" s="1585"/>
      <c r="AW69" s="1585"/>
      <c r="AX69" s="1585"/>
      <c r="AY69" s="1585"/>
      <c r="AZ69" s="1585"/>
      <c r="BA69" s="1585"/>
      <c r="BB69" s="1585"/>
      <c r="BC69" s="1585"/>
      <c r="BD69" s="1585"/>
      <c r="BE69" s="1585"/>
      <c r="BF69" s="1585"/>
      <c r="BG69" s="1585"/>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s="1655"/>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s="1655"/>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s="1655"/>
      <c r="KU69"/>
      <c r="KV69"/>
      <c r="KW69"/>
      <c r="KX69"/>
      <c r="KY69"/>
      <c r="KZ69"/>
      <c r="LA69"/>
      <c r="LB69"/>
      <c r="LC69"/>
      <c r="LD69"/>
      <c r="LE69"/>
      <c r="LF69"/>
      <c r="LG69"/>
      <c r="LH69"/>
      <c r="LI69"/>
      <c r="LJ69"/>
      <c r="LK69"/>
      <c r="LL69"/>
      <c r="LM69"/>
      <c r="LN69"/>
      <c r="LO69"/>
      <c r="LP69"/>
      <c r="LQ69"/>
      <c r="LR69"/>
      <c r="LS69"/>
      <c r="LT69"/>
      <c r="LU69"/>
      <c r="LV69"/>
      <c r="LW69"/>
      <c r="LX69"/>
      <c r="LY69"/>
      <c r="LZ69"/>
      <c r="MA69"/>
      <c r="MB69"/>
      <c r="MC69"/>
      <c r="MD69"/>
      <c r="ME69"/>
      <c r="MF69"/>
      <c r="MG69"/>
      <c r="MH69"/>
      <c r="MI69"/>
      <c r="MJ69"/>
      <c r="MK69"/>
      <c r="ML69"/>
      <c r="MM69"/>
      <c r="MN69"/>
      <c r="MO69"/>
      <c r="MP69"/>
      <c r="MQ69"/>
      <c r="MR69"/>
      <c r="MS69"/>
      <c r="MT69"/>
      <c r="MU69"/>
      <c r="MV69"/>
      <c r="MW69"/>
      <c r="MX69"/>
      <c r="MY69"/>
      <c r="MZ69"/>
      <c r="NA69"/>
      <c r="NB69"/>
      <c r="NC69"/>
      <c r="ND69"/>
      <c r="NE69"/>
      <c r="NF69"/>
      <c r="NG69"/>
      <c r="NH69"/>
      <c r="NI69"/>
      <c r="NJ69"/>
      <c r="NK69"/>
      <c r="NL69"/>
      <c r="NM69"/>
      <c r="NN69"/>
      <c r="NO69"/>
      <c r="NP69"/>
      <c r="NQ69"/>
      <c r="NR69"/>
      <c r="NS69"/>
      <c r="NT69"/>
      <c r="NU69"/>
      <c r="NV69"/>
      <c r="NW69"/>
      <c r="NX69"/>
      <c r="NY69"/>
      <c r="NZ69"/>
      <c r="OA69"/>
      <c r="OB69"/>
      <c r="OC69"/>
      <c r="OD69"/>
      <c r="OE69"/>
      <c r="OF69"/>
      <c r="OG69"/>
      <c r="OH69"/>
      <c r="OI69"/>
      <c r="OJ69"/>
      <c r="OK69"/>
      <c r="OL69"/>
      <c r="OM69"/>
      <c r="ON69"/>
      <c r="OO69"/>
      <c r="OP69"/>
      <c r="OQ69" s="1656"/>
      <c r="OR69" s="1656"/>
    </row>
    <row r="70" spans="1:408" ht="21.5">
      <c r="A70" s="1466"/>
      <c r="B70" s="1583"/>
      <c r="C70" s="1583"/>
      <c r="D70" s="1583"/>
      <c r="E70" s="1585"/>
      <c r="F70" s="1585"/>
      <c r="G70" s="1585"/>
      <c r="H70" s="1585"/>
      <c r="I70" s="1585"/>
      <c r="J70" s="1585"/>
      <c r="K70" s="1585"/>
      <c r="L70" s="1585"/>
      <c r="M70" s="1585"/>
      <c r="N70" s="1585"/>
      <c r="O70" s="1585"/>
      <c r="P70" s="1585"/>
      <c r="Q70" s="1585"/>
      <c r="R70" s="1585"/>
      <c r="S70" s="1585"/>
      <c r="T70" s="1585"/>
      <c r="U70" s="1585"/>
      <c r="V70" s="1585"/>
      <c r="W70" s="1585"/>
      <c r="X70" s="1585"/>
      <c r="Y70" s="1585"/>
      <c r="Z70" s="1585"/>
      <c r="AA70" s="1585"/>
      <c r="AB70" s="1585"/>
      <c r="AC70" s="1585"/>
      <c r="AD70" s="1585"/>
      <c r="AE70" s="1585"/>
      <c r="AF70" s="1585"/>
      <c r="AG70" s="1585"/>
      <c r="AH70" s="1585"/>
      <c r="AI70" s="1585"/>
      <c r="AJ70" s="1585"/>
      <c r="AK70" s="1585"/>
      <c r="AL70" s="1585"/>
      <c r="AM70" s="1585"/>
      <c r="AN70" s="1585"/>
      <c r="AO70" s="1585"/>
      <c r="AP70" s="1585"/>
      <c r="AQ70" s="1585"/>
      <c r="AR70" s="1585"/>
      <c r="AS70" s="1585"/>
      <c r="AT70" s="1585"/>
      <c r="AU70" s="1585"/>
      <c r="AV70" s="1585"/>
      <c r="AW70" s="1585"/>
      <c r="AX70" s="1585"/>
      <c r="AY70" s="1585"/>
      <c r="AZ70" s="1585"/>
      <c r="BA70" s="1585"/>
      <c r="BB70" s="1585"/>
      <c r="BC70" s="1585"/>
      <c r="BD70" s="1585"/>
      <c r="BE70" s="1585"/>
      <c r="BF70" s="1585"/>
      <c r="BG70" s="1585"/>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s="1655"/>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s="1655"/>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s="1655"/>
      <c r="KU70"/>
      <c r="KV70"/>
      <c r="KW70"/>
      <c r="KX70"/>
      <c r="KY70"/>
      <c r="KZ70"/>
      <c r="LA70"/>
      <c r="LB70"/>
      <c r="LC70"/>
      <c r="LD70"/>
      <c r="LE70"/>
      <c r="LF70"/>
      <c r="LG70"/>
      <c r="LH70"/>
      <c r="LI70"/>
      <c r="LJ70"/>
      <c r="LK70"/>
      <c r="LL70"/>
      <c r="LM70"/>
      <c r="LN70"/>
      <c r="LO70"/>
      <c r="LP70"/>
      <c r="LQ70"/>
      <c r="LR70"/>
      <c r="LS70"/>
      <c r="LT70"/>
      <c r="LU70"/>
      <c r="LV70"/>
      <c r="LW70"/>
      <c r="LX70"/>
      <c r="LY70"/>
      <c r="LZ70"/>
      <c r="MA70"/>
      <c r="MB70"/>
      <c r="MC70"/>
      <c r="MD70"/>
      <c r="ME70"/>
      <c r="MF70"/>
      <c r="MG70"/>
      <c r="MH70"/>
      <c r="MI70"/>
      <c r="MJ70"/>
      <c r="MK70"/>
      <c r="ML70"/>
      <c r="MM70"/>
      <c r="MN70"/>
      <c r="MO70"/>
      <c r="MP70"/>
      <c r="MQ70"/>
      <c r="MR70"/>
      <c r="MS70"/>
      <c r="MT70"/>
      <c r="MU70"/>
      <c r="MV70"/>
      <c r="MW70"/>
      <c r="MX70"/>
      <c r="MY70"/>
      <c r="MZ70"/>
      <c r="NA70"/>
      <c r="NB70"/>
      <c r="NC70"/>
      <c r="ND70"/>
      <c r="NE70"/>
      <c r="NF70"/>
      <c r="NG70"/>
      <c r="NH70"/>
      <c r="NI70"/>
      <c r="NJ70"/>
      <c r="NK70"/>
      <c r="NL70"/>
      <c r="NM70"/>
      <c r="NN70"/>
      <c r="NO70"/>
      <c r="NP70"/>
      <c r="NQ70"/>
      <c r="NR70"/>
      <c r="NS70"/>
      <c r="NT70"/>
      <c r="NU70"/>
      <c r="NV70"/>
      <c r="NW70"/>
      <c r="NX70"/>
      <c r="NY70"/>
      <c r="NZ70"/>
      <c r="OA70"/>
      <c r="OB70"/>
      <c r="OC70"/>
      <c r="OD70"/>
      <c r="OE70"/>
      <c r="OF70"/>
      <c r="OG70"/>
      <c r="OH70"/>
      <c r="OI70"/>
      <c r="OJ70"/>
      <c r="OK70"/>
      <c r="OL70"/>
      <c r="OM70"/>
      <c r="ON70"/>
      <c r="OO70"/>
      <c r="OP70"/>
      <c r="OQ70" s="1656"/>
      <c r="OR70" s="1656"/>
    </row>
    <row r="71" spans="1:408" ht="21.5">
      <c r="A71" s="1466"/>
      <c r="B71" s="1583"/>
      <c r="C71" s="1583"/>
      <c r="D71" s="1583"/>
      <c r="E71" s="1585"/>
      <c r="F71" s="1585"/>
      <c r="G71" s="1585"/>
      <c r="H71" s="1585"/>
      <c r="I71" s="1585"/>
      <c r="J71" s="1585"/>
      <c r="K71" s="1585"/>
      <c r="L71" s="1585"/>
      <c r="M71" s="1585"/>
      <c r="N71" s="1585"/>
      <c r="O71" s="1585"/>
      <c r="P71" s="1585"/>
      <c r="Q71" s="1585"/>
      <c r="R71" s="1585"/>
      <c r="S71" s="1585"/>
      <c r="T71" s="1585"/>
      <c r="U71" s="1585"/>
      <c r="V71" s="1585"/>
      <c r="W71" s="1585"/>
      <c r="X71" s="1585"/>
      <c r="Y71" s="1585"/>
      <c r="Z71" s="1585"/>
      <c r="AA71" s="1585"/>
      <c r="AB71" s="1585"/>
      <c r="AC71" s="1585"/>
      <c r="AD71" s="1585"/>
      <c r="AE71" s="1585"/>
      <c r="AF71" s="1585"/>
      <c r="AG71" s="1585"/>
      <c r="AH71" s="1585"/>
      <c r="AI71" s="1585"/>
      <c r="AJ71" s="1585"/>
      <c r="AK71" s="1585"/>
      <c r="AL71" s="1585"/>
      <c r="AM71" s="1585"/>
      <c r="AN71" s="1585"/>
      <c r="AO71" s="1585"/>
      <c r="AP71" s="1585"/>
      <c r="AQ71" s="1585"/>
      <c r="AR71" s="1585"/>
      <c r="AS71" s="1585"/>
      <c r="AT71" s="1585"/>
      <c r="AU71" s="1585"/>
      <c r="AV71" s="1585"/>
      <c r="AW71" s="1585"/>
      <c r="AX71" s="1585"/>
      <c r="AY71" s="1585"/>
      <c r="AZ71" s="1585"/>
      <c r="BA71" s="1585"/>
      <c r="BB71" s="1585"/>
      <c r="BC71" s="1585"/>
      <c r="BD71" s="1585"/>
      <c r="BE71" s="1585"/>
      <c r="BF71" s="1585"/>
      <c r="BG71" s="1585"/>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s="1655"/>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s="1655"/>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s="1655"/>
      <c r="KU71"/>
      <c r="KV71"/>
      <c r="KW71"/>
      <c r="KX71"/>
      <c r="KY71"/>
      <c r="KZ71"/>
      <c r="LA71"/>
      <c r="LB71"/>
      <c r="LC71"/>
      <c r="LD71"/>
      <c r="LE71"/>
      <c r="LF71"/>
      <c r="LG71"/>
      <c r="LH71"/>
      <c r="LI71"/>
      <c r="LJ71"/>
      <c r="LK71"/>
      <c r="LL71"/>
      <c r="LM71"/>
      <c r="LN71"/>
      <c r="LO71"/>
      <c r="LP71"/>
      <c r="LQ71"/>
      <c r="LR71"/>
      <c r="LS71"/>
      <c r="LT71"/>
      <c r="LU71"/>
      <c r="LV71"/>
      <c r="LW71"/>
      <c r="LX71"/>
      <c r="LY71"/>
      <c r="LZ71"/>
      <c r="MA71"/>
      <c r="MB71"/>
      <c r="MC71"/>
      <c r="MD71"/>
      <c r="ME71"/>
      <c r="MF71"/>
      <c r="MG71"/>
      <c r="MH71"/>
      <c r="MI71"/>
      <c r="MJ71"/>
      <c r="MK71"/>
      <c r="ML71"/>
      <c r="MM71"/>
      <c r="MN71"/>
      <c r="MO71"/>
      <c r="MP71"/>
      <c r="MQ71"/>
      <c r="MR71"/>
      <c r="MS71"/>
      <c r="MT71"/>
      <c r="MU71"/>
      <c r="MV71"/>
      <c r="MW71"/>
      <c r="MX71"/>
      <c r="MY71"/>
      <c r="MZ71"/>
      <c r="NA71"/>
      <c r="NB71"/>
      <c r="NC71"/>
      <c r="ND71"/>
      <c r="NE71"/>
      <c r="NF71"/>
      <c r="NG71"/>
      <c r="NH71"/>
      <c r="NI71"/>
      <c r="NJ71"/>
      <c r="NK71"/>
      <c r="NL71"/>
      <c r="NM71"/>
      <c r="NN71"/>
      <c r="NO71"/>
      <c r="NP71"/>
      <c r="NQ71"/>
      <c r="NR71"/>
      <c r="NS71"/>
      <c r="NT71"/>
      <c r="NU71"/>
      <c r="NV71"/>
      <c r="NW71"/>
      <c r="NX71"/>
      <c r="NY71"/>
      <c r="NZ71"/>
      <c r="OA71"/>
      <c r="OB71"/>
      <c r="OC71"/>
      <c r="OD71"/>
      <c r="OE71"/>
      <c r="OF71"/>
      <c r="OG71"/>
      <c r="OH71"/>
      <c r="OI71"/>
      <c r="OJ71"/>
      <c r="OK71"/>
      <c r="OL71"/>
      <c r="OM71"/>
      <c r="ON71"/>
      <c r="OO71"/>
      <c r="OP71"/>
      <c r="OQ71" s="1656"/>
      <c r="OR71" s="1656"/>
    </row>
    <row r="72" spans="1:408" ht="22" thickBot="1">
      <c r="A72" s="1466"/>
      <c r="B72" s="1586"/>
      <c r="C72" s="1586"/>
      <c r="D72" s="1586"/>
      <c r="E72" s="1587"/>
      <c r="F72" s="1587"/>
      <c r="G72" s="1587"/>
      <c r="H72" s="1587"/>
      <c r="I72" s="1587"/>
      <c r="J72" s="1587"/>
      <c r="K72" s="1587"/>
      <c r="L72" s="1587"/>
      <c r="M72" s="1587"/>
      <c r="N72" s="1587"/>
      <c r="O72" s="1587"/>
      <c r="P72" s="1587"/>
      <c r="Q72" s="1587"/>
      <c r="R72" s="1587"/>
      <c r="S72" s="1587"/>
      <c r="T72" s="1587"/>
      <c r="U72" s="1587"/>
      <c r="V72" s="1587"/>
      <c r="W72" s="1587"/>
      <c r="X72" s="1587"/>
      <c r="Y72" s="1587"/>
      <c r="Z72" s="1587"/>
      <c r="AA72" s="1587"/>
      <c r="AB72" s="1587"/>
      <c r="AC72" s="1587"/>
      <c r="AD72" s="1587"/>
      <c r="AE72" s="1587"/>
      <c r="AF72" s="1587"/>
      <c r="AG72" s="1587"/>
      <c r="AH72" s="1587"/>
      <c r="AI72" s="1587"/>
      <c r="AJ72" s="1587"/>
      <c r="AK72" s="1587"/>
      <c r="AL72" s="1587"/>
      <c r="AM72" s="1587"/>
      <c r="AN72" s="1587"/>
      <c r="AO72" s="1587"/>
      <c r="AP72" s="1587"/>
      <c r="AQ72" s="1587"/>
      <c r="AR72" s="1587"/>
      <c r="AS72" s="1587"/>
      <c r="AT72" s="1587"/>
      <c r="AU72" s="1587"/>
      <c r="AV72" s="1587"/>
      <c r="AW72" s="1587"/>
      <c r="AX72" s="1587"/>
      <c r="AY72" s="1587"/>
      <c r="AZ72" s="1587"/>
      <c r="BA72" s="1587"/>
      <c r="BB72" s="1587"/>
      <c r="BC72" s="1587"/>
      <c r="BD72" s="1587"/>
      <c r="BE72" s="1587"/>
      <c r="BF72" s="1587"/>
      <c r="BG72" s="1587"/>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s="1655"/>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s="1655"/>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s="1655"/>
      <c r="KU72"/>
      <c r="KV72"/>
      <c r="KW72"/>
      <c r="KX72"/>
      <c r="KY72"/>
      <c r="KZ72"/>
      <c r="LA72"/>
      <c r="LB72"/>
      <c r="LC72"/>
      <c r="LD72"/>
      <c r="LE72"/>
      <c r="LF72"/>
      <c r="LG72"/>
      <c r="LH72"/>
      <c r="LI72"/>
      <c r="LJ72"/>
      <c r="LK72"/>
      <c r="LL72"/>
      <c r="LM72"/>
      <c r="LN72"/>
      <c r="LO72"/>
      <c r="LP72"/>
      <c r="LQ72"/>
      <c r="LR72"/>
      <c r="LS72"/>
      <c r="LT72"/>
      <c r="LU72"/>
      <c r="LV72"/>
      <c r="LW72"/>
      <c r="LX72"/>
      <c r="LY72"/>
      <c r="LZ72"/>
      <c r="MA72"/>
      <c r="MB72"/>
      <c r="MC72"/>
      <c r="MD72"/>
      <c r="ME72"/>
      <c r="MF72"/>
      <c r="MG72"/>
      <c r="MH72"/>
      <c r="MI72"/>
      <c r="MJ72"/>
      <c r="MK72"/>
      <c r="ML72"/>
      <c r="MM72"/>
      <c r="MN72"/>
      <c r="MO72"/>
      <c r="MP72"/>
      <c r="MQ72"/>
      <c r="MR72"/>
      <c r="MS72"/>
      <c r="MT72"/>
      <c r="MU72"/>
      <c r="MV72"/>
      <c r="MW72"/>
      <c r="MX72"/>
      <c r="MY72"/>
      <c r="MZ72"/>
      <c r="NA72"/>
      <c r="NB72"/>
      <c r="NC72"/>
      <c r="ND72"/>
      <c r="NE72"/>
      <c r="NF72"/>
      <c r="NG72"/>
      <c r="NH72"/>
      <c r="NI72"/>
      <c r="NJ72"/>
      <c r="NK72"/>
      <c r="NL72"/>
      <c r="NM72"/>
      <c r="NN72"/>
      <c r="NO72"/>
      <c r="NP72"/>
      <c r="NQ72"/>
      <c r="NR72"/>
      <c r="NS72"/>
      <c r="NT72"/>
      <c r="NU72"/>
      <c r="NV72"/>
      <c r="NW72"/>
      <c r="NX72"/>
      <c r="NY72"/>
      <c r="NZ72"/>
      <c r="OA72"/>
      <c r="OB72"/>
      <c r="OC72"/>
      <c r="OD72"/>
      <c r="OE72"/>
      <c r="OF72"/>
      <c r="OG72"/>
      <c r="OH72"/>
      <c r="OI72"/>
      <c r="OJ72"/>
      <c r="OK72"/>
      <c r="OL72"/>
      <c r="OM72"/>
      <c r="ON72"/>
      <c r="OO72"/>
      <c r="OP72"/>
      <c r="OQ72" s="1656"/>
      <c r="OR72" s="1656"/>
    </row>
    <row r="73" spans="1:408" ht="22" thickTop="1">
      <c r="A73" s="1466"/>
      <c r="B73" s="1588"/>
      <c r="C73" s="1588"/>
      <c r="D73" s="1588"/>
      <c r="E73" s="1589"/>
      <c r="F73" s="1589"/>
      <c r="G73" s="1589"/>
      <c r="H73" s="1589"/>
      <c r="I73" s="1589"/>
      <c r="J73" s="1589"/>
      <c r="K73" s="1589"/>
      <c r="L73" s="1589"/>
      <c r="M73" s="1589"/>
      <c r="N73" s="1589"/>
      <c r="O73" s="1589"/>
      <c r="P73" s="1589"/>
      <c r="Q73" s="1589"/>
      <c r="R73" s="1589"/>
      <c r="S73" s="1589"/>
      <c r="T73" s="1589"/>
      <c r="U73" s="1589"/>
      <c r="V73" s="1589"/>
      <c r="W73" s="1589"/>
      <c r="X73" s="1589"/>
      <c r="Y73" s="1589"/>
      <c r="Z73" s="1589"/>
      <c r="AA73" s="1589"/>
      <c r="AB73" s="1589"/>
      <c r="AC73" s="1589"/>
      <c r="AD73" s="1589"/>
      <c r="AE73" s="1589"/>
      <c r="AF73" s="1589"/>
      <c r="AG73" s="1589"/>
      <c r="AH73" s="1589"/>
      <c r="AI73" s="1589"/>
      <c r="AJ73" s="1589"/>
      <c r="AK73" s="1589"/>
      <c r="AL73" s="1589"/>
      <c r="AM73" s="1589"/>
      <c r="AN73" s="1589"/>
      <c r="AO73" s="1589"/>
      <c r="AP73" s="1589"/>
      <c r="AQ73" s="1589"/>
      <c r="AR73" s="1589"/>
      <c r="AS73" s="1589"/>
      <c r="AT73" s="1589"/>
      <c r="AU73" s="1589"/>
      <c r="AV73" s="1589"/>
      <c r="AW73" s="1589"/>
      <c r="AX73" s="1589"/>
      <c r="AY73" s="1589"/>
      <c r="AZ73" s="1589"/>
      <c r="BA73" s="1589"/>
      <c r="BB73" s="1589"/>
      <c r="BC73" s="1589"/>
      <c r="BD73" s="1589"/>
      <c r="BE73" s="1589"/>
      <c r="BF73" s="1589"/>
      <c r="BG73" s="1589"/>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s="1655"/>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s="1655"/>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c r="IW73"/>
      <c r="IX73"/>
      <c r="IY73"/>
      <c r="IZ73"/>
      <c r="JA73"/>
      <c r="JB73"/>
      <c r="JC73"/>
      <c r="JD73"/>
      <c r="JE73"/>
      <c r="JF73"/>
      <c r="JG73"/>
      <c r="JH73"/>
      <c r="JI73"/>
      <c r="JJ73"/>
      <c r="JK73"/>
      <c r="JL73"/>
      <c r="JM73"/>
      <c r="JN73"/>
      <c r="JO73"/>
      <c r="JP73"/>
      <c r="JQ73"/>
      <c r="JR73"/>
      <c r="JS73"/>
      <c r="JT73"/>
      <c r="JU73"/>
      <c r="JV73"/>
      <c r="JW73"/>
      <c r="JX73"/>
      <c r="JY73"/>
      <c r="JZ73"/>
      <c r="KA73"/>
      <c r="KB73"/>
      <c r="KC73"/>
      <c r="KD73"/>
      <c r="KE73"/>
      <c r="KF73"/>
      <c r="KG73"/>
      <c r="KH73"/>
      <c r="KI73"/>
      <c r="KJ73"/>
      <c r="KK73"/>
      <c r="KL73"/>
      <c r="KM73"/>
      <c r="KN73"/>
      <c r="KO73"/>
      <c r="KP73"/>
      <c r="KQ73"/>
      <c r="KR73"/>
      <c r="KS73"/>
      <c r="KT73" s="1655"/>
      <c r="KU73"/>
      <c r="KV73"/>
      <c r="KW73"/>
      <c r="KX73"/>
      <c r="KY73"/>
      <c r="KZ73"/>
      <c r="LA73"/>
      <c r="LB73"/>
      <c r="LC73"/>
      <c r="LD73"/>
      <c r="LE73"/>
      <c r="LF73"/>
      <c r="LG73"/>
      <c r="LH73"/>
      <c r="LI73"/>
      <c r="LJ73"/>
      <c r="LK73"/>
      <c r="LL73"/>
      <c r="LM73"/>
      <c r="LN73"/>
      <c r="LO73"/>
      <c r="LP73"/>
      <c r="LQ73"/>
      <c r="LR73"/>
      <c r="LS73"/>
      <c r="LT73"/>
      <c r="LU73"/>
      <c r="LV73"/>
      <c r="LW73"/>
      <c r="LX73"/>
      <c r="LY73"/>
      <c r="LZ73"/>
      <c r="MA73"/>
      <c r="MB73"/>
      <c r="MC73"/>
      <c r="MD73"/>
      <c r="ME73"/>
      <c r="MF73"/>
      <c r="MG73"/>
      <c r="MH73"/>
      <c r="MI73"/>
      <c r="MJ73"/>
      <c r="MK73"/>
      <c r="ML73"/>
      <c r="MM73"/>
      <c r="MN73"/>
      <c r="MO73"/>
      <c r="MP73"/>
      <c r="MQ73"/>
      <c r="MR73"/>
      <c r="MS73"/>
      <c r="MT73"/>
      <c r="MU73"/>
      <c r="MV73"/>
      <c r="MW73"/>
      <c r="MX73"/>
      <c r="MY73"/>
      <c r="MZ73"/>
      <c r="NA73"/>
      <c r="NB73"/>
      <c r="NC73"/>
      <c r="ND73"/>
      <c r="NE73"/>
      <c r="NF73"/>
      <c r="NG73"/>
      <c r="NH73"/>
      <c r="NI73"/>
      <c r="NJ73"/>
      <c r="NK73"/>
      <c r="NL73"/>
      <c r="NM73"/>
      <c r="NN73"/>
      <c r="NO73"/>
      <c r="NP73"/>
      <c r="NQ73"/>
      <c r="NR73"/>
      <c r="NS73"/>
      <c r="NT73"/>
      <c r="NU73"/>
      <c r="NV73"/>
      <c r="NW73"/>
      <c r="NX73"/>
      <c r="NY73"/>
      <c r="NZ73"/>
      <c r="OA73"/>
      <c r="OB73"/>
      <c r="OC73"/>
      <c r="OD73"/>
      <c r="OE73"/>
      <c r="OF73"/>
      <c r="OG73"/>
      <c r="OH73"/>
      <c r="OI73"/>
      <c r="OJ73"/>
      <c r="OK73"/>
      <c r="OL73"/>
      <c r="OM73"/>
      <c r="ON73"/>
      <c r="OO73"/>
      <c r="OP73"/>
      <c r="OQ73" s="1656"/>
      <c r="OR73" s="1656"/>
    </row>
    <row r="74" spans="1:408" ht="21.5">
      <c r="A74" s="1466"/>
      <c r="B74" s="1583"/>
      <c r="C74" s="1583"/>
      <c r="D74" s="1583"/>
      <c r="E74" s="1585"/>
      <c r="F74" s="1585"/>
      <c r="G74" s="1585"/>
      <c r="H74" s="1585"/>
      <c r="I74" s="1585"/>
      <c r="J74" s="1585"/>
      <c r="K74" s="1585"/>
      <c r="L74" s="1585"/>
      <c r="M74" s="1585"/>
      <c r="N74" s="1585"/>
      <c r="O74" s="1585"/>
      <c r="P74" s="1585"/>
      <c r="Q74" s="1585"/>
      <c r="R74" s="1585"/>
      <c r="S74" s="1585"/>
      <c r="T74" s="1585"/>
      <c r="U74" s="1585"/>
      <c r="V74" s="1585"/>
      <c r="W74" s="1585"/>
      <c r="X74" s="1585"/>
      <c r="Y74" s="1585"/>
      <c r="Z74" s="1585"/>
      <c r="AA74" s="1585"/>
      <c r="AB74" s="1585"/>
      <c r="AC74" s="1585"/>
      <c r="AD74" s="1585"/>
      <c r="AE74" s="1585"/>
      <c r="AF74" s="1585"/>
      <c r="AG74" s="1585"/>
      <c r="AH74" s="1585"/>
      <c r="AI74" s="1585"/>
      <c r="AJ74" s="1585"/>
      <c r="AK74" s="1585"/>
      <c r="AL74" s="1585"/>
      <c r="AM74" s="1585"/>
      <c r="AN74" s="1585"/>
      <c r="AO74" s="1585"/>
      <c r="AP74" s="1585"/>
      <c r="AQ74" s="1585"/>
      <c r="AR74" s="1585"/>
      <c r="AS74" s="1585"/>
      <c r="AT74" s="1585"/>
      <c r="AU74" s="1585"/>
      <c r="AV74" s="1585"/>
      <c r="AW74" s="1585"/>
      <c r="AX74" s="1585"/>
      <c r="AY74" s="1585"/>
      <c r="AZ74" s="1585"/>
      <c r="BA74" s="1585"/>
      <c r="BB74" s="1585"/>
      <c r="BC74" s="1585"/>
      <c r="BD74" s="1585"/>
      <c r="BE74" s="1585"/>
      <c r="BF74" s="1585"/>
      <c r="BG74" s="1585"/>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s="1655"/>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s="1655"/>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c r="KS74"/>
      <c r="KT74" s="1655"/>
      <c r="KU74"/>
      <c r="KV74"/>
      <c r="KW74"/>
      <c r="KX74"/>
      <c r="KY74"/>
      <c r="KZ74"/>
      <c r="LA74"/>
      <c r="LB74"/>
      <c r="LC74"/>
      <c r="LD74"/>
      <c r="LE74"/>
      <c r="LF74"/>
      <c r="LG74"/>
      <c r="LH74"/>
      <c r="LI74"/>
      <c r="LJ74"/>
      <c r="LK74"/>
      <c r="LL74"/>
      <c r="LM74"/>
      <c r="LN74"/>
      <c r="LO74"/>
      <c r="LP74"/>
      <c r="LQ74"/>
      <c r="LR74"/>
      <c r="LS74"/>
      <c r="LT74"/>
      <c r="LU74"/>
      <c r="LV74"/>
      <c r="LW74"/>
      <c r="LX74"/>
      <c r="LY74"/>
      <c r="LZ74"/>
      <c r="MA74"/>
      <c r="MB74"/>
      <c r="MC74"/>
      <c r="MD74"/>
      <c r="ME74"/>
      <c r="MF74"/>
      <c r="MG74"/>
      <c r="MH74"/>
      <c r="MI74"/>
      <c r="MJ74"/>
      <c r="MK74"/>
      <c r="ML74"/>
      <c r="MM74"/>
      <c r="MN74"/>
      <c r="MO74"/>
      <c r="MP74"/>
      <c r="MQ74"/>
      <c r="MR74"/>
      <c r="MS74"/>
      <c r="MT74"/>
      <c r="MU74"/>
      <c r="MV74"/>
      <c r="MW74"/>
      <c r="MX74"/>
      <c r="MY74"/>
      <c r="MZ74"/>
      <c r="NA74"/>
      <c r="NB74"/>
      <c r="NC74"/>
      <c r="ND74"/>
      <c r="NE74"/>
      <c r="NF74"/>
      <c r="NG74"/>
      <c r="NH74"/>
      <c r="NI74"/>
      <c r="NJ74"/>
      <c r="NK74"/>
      <c r="NL74"/>
      <c r="NM74"/>
      <c r="NN74"/>
      <c r="NO74"/>
      <c r="NP74"/>
      <c r="NQ74"/>
      <c r="NR74"/>
      <c r="NS74"/>
      <c r="NT74"/>
      <c r="NU74"/>
      <c r="NV74"/>
      <c r="NW74"/>
      <c r="NX74"/>
      <c r="NY74"/>
      <c r="NZ74"/>
      <c r="OA74"/>
      <c r="OB74"/>
      <c r="OC74"/>
      <c r="OD74"/>
      <c r="OE74"/>
      <c r="OF74"/>
      <c r="OG74"/>
      <c r="OH74"/>
      <c r="OI74"/>
      <c r="OJ74"/>
      <c r="OK74"/>
      <c r="OL74"/>
      <c r="OM74"/>
      <c r="ON74"/>
      <c r="OO74"/>
      <c r="OP74"/>
      <c r="OQ74" s="1656"/>
      <c r="OR74" s="1656"/>
    </row>
    <row r="75" spans="1:408" ht="21.5">
      <c r="A75" s="1466"/>
      <c r="B75" s="1583"/>
      <c r="C75" s="1583"/>
      <c r="D75" s="1583"/>
      <c r="E75" s="1585"/>
      <c r="F75" s="1585"/>
      <c r="G75" s="1585"/>
      <c r="H75" s="1585"/>
      <c r="I75" s="1585"/>
      <c r="J75" s="1585"/>
      <c r="K75" s="1585"/>
      <c r="L75" s="1585"/>
      <c r="M75" s="1585"/>
      <c r="N75" s="1585"/>
      <c r="O75" s="1585"/>
      <c r="P75" s="1585"/>
      <c r="Q75" s="1585"/>
      <c r="R75" s="1585"/>
      <c r="S75" s="1585"/>
      <c r="T75" s="1585"/>
      <c r="U75" s="1585"/>
      <c r="V75" s="1585"/>
      <c r="W75" s="1585"/>
      <c r="X75" s="1585"/>
      <c r="Y75" s="1585"/>
      <c r="Z75" s="1585"/>
      <c r="AA75" s="1585"/>
      <c r="AB75" s="1585"/>
      <c r="AC75" s="1585"/>
      <c r="AD75" s="1585"/>
      <c r="AE75" s="1585"/>
      <c r="AF75" s="1585"/>
      <c r="AG75" s="1585"/>
      <c r="AH75" s="1585"/>
      <c r="AI75" s="1585"/>
      <c r="AJ75" s="1585"/>
      <c r="AK75" s="1585"/>
      <c r="AL75" s="1585"/>
      <c r="AM75" s="1585"/>
      <c r="AN75" s="1585"/>
      <c r="AO75" s="1585"/>
      <c r="AP75" s="1585"/>
      <c r="AQ75" s="1585"/>
      <c r="AR75" s="1585"/>
      <c r="AS75" s="1585"/>
      <c r="AT75" s="1585"/>
      <c r="AU75" s="1585"/>
      <c r="AV75" s="1585"/>
      <c r="AW75" s="1585"/>
      <c r="AX75" s="1585"/>
      <c r="AY75" s="1585"/>
      <c r="AZ75" s="1585"/>
      <c r="BA75" s="1585"/>
      <c r="BB75" s="1585"/>
      <c r="BC75" s="1585"/>
      <c r="BD75" s="1585"/>
      <c r="BE75" s="1585"/>
      <c r="BF75" s="1585"/>
      <c r="BG75" s="158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s="165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s="165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c r="KD75"/>
      <c r="KE75"/>
      <c r="KF75"/>
      <c r="KG75"/>
      <c r="KH75"/>
      <c r="KI75"/>
      <c r="KJ75"/>
      <c r="KK75"/>
      <c r="KL75"/>
      <c r="KM75"/>
      <c r="KN75"/>
      <c r="KO75"/>
      <c r="KP75"/>
      <c r="KQ75"/>
      <c r="KR75"/>
      <c r="KS75"/>
      <c r="KT75" s="1655"/>
      <c r="KU75"/>
      <c r="KV75"/>
      <c r="KW75"/>
      <c r="KX75"/>
      <c r="KY75"/>
      <c r="KZ75"/>
      <c r="LA75"/>
      <c r="LB75"/>
      <c r="LC75"/>
      <c r="LD75"/>
      <c r="LE75"/>
      <c r="LF75"/>
      <c r="LG75"/>
      <c r="LH75"/>
      <c r="LI75"/>
      <c r="LJ75"/>
      <c r="LK75"/>
      <c r="LL75"/>
      <c r="LM75"/>
      <c r="LN75"/>
      <c r="LO75"/>
      <c r="LP75"/>
      <c r="LQ75"/>
      <c r="LR75"/>
      <c r="LS75"/>
      <c r="LT75"/>
      <c r="LU75"/>
      <c r="LV75"/>
      <c r="LW75"/>
      <c r="LX75"/>
      <c r="LY75"/>
      <c r="LZ75"/>
      <c r="MA75"/>
      <c r="MB75"/>
      <c r="MC75"/>
      <c r="MD75"/>
      <c r="ME75"/>
      <c r="MF75"/>
      <c r="MG75"/>
      <c r="MH75"/>
      <c r="MI75"/>
      <c r="MJ75"/>
      <c r="MK75"/>
      <c r="ML75"/>
      <c r="MM75"/>
      <c r="MN75"/>
      <c r="MO75"/>
      <c r="MP75"/>
      <c r="MQ75"/>
      <c r="MR75"/>
      <c r="MS75"/>
      <c r="MT75"/>
      <c r="MU75"/>
      <c r="MV75"/>
      <c r="MW75"/>
      <c r="MX75"/>
      <c r="MY75"/>
      <c r="MZ75"/>
      <c r="NA75"/>
      <c r="NB75"/>
      <c r="NC75"/>
      <c r="ND75"/>
      <c r="NE75"/>
      <c r="NF75"/>
      <c r="NG75"/>
      <c r="NH75"/>
      <c r="NI75"/>
      <c r="NJ75"/>
      <c r="NK75"/>
      <c r="NL75"/>
      <c r="NM75"/>
      <c r="NN75"/>
      <c r="NO75"/>
      <c r="NP75"/>
      <c r="NQ75"/>
      <c r="NR75"/>
      <c r="NS75"/>
      <c r="NT75"/>
      <c r="NU75"/>
      <c r="NV75"/>
      <c r="NW75"/>
      <c r="NX75"/>
      <c r="NY75"/>
      <c r="NZ75"/>
      <c r="OA75"/>
      <c r="OB75"/>
      <c r="OC75"/>
      <c r="OD75"/>
      <c r="OE75"/>
      <c r="OF75"/>
      <c r="OG75"/>
      <c r="OH75"/>
      <c r="OI75"/>
      <c r="OJ75"/>
      <c r="OK75"/>
      <c r="OL75"/>
      <c r="OM75"/>
      <c r="ON75"/>
      <c r="OO75"/>
      <c r="OP75"/>
      <c r="OQ75" s="1656"/>
      <c r="OR75" s="1656"/>
    </row>
    <row r="76" spans="1:408" ht="21.5">
      <c r="A76" s="1466"/>
      <c r="B76" s="1583"/>
      <c r="C76" s="1583"/>
      <c r="D76" s="1583"/>
      <c r="E76" s="1585"/>
      <c r="F76" s="1585"/>
      <c r="G76" s="1585"/>
      <c r="H76" s="1585"/>
      <c r="I76" s="1585"/>
      <c r="J76" s="1585"/>
      <c r="K76" s="1585"/>
      <c r="L76" s="1585"/>
      <c r="M76" s="1585"/>
      <c r="N76" s="1585"/>
      <c r="O76" s="1585"/>
      <c r="P76" s="1585"/>
      <c r="Q76" s="1585"/>
      <c r="R76" s="1585"/>
      <c r="S76" s="1585"/>
      <c r="T76" s="1585"/>
      <c r="U76" s="1585"/>
      <c r="V76" s="1585"/>
      <c r="W76" s="1585"/>
      <c r="X76" s="1585"/>
      <c r="Y76" s="1585"/>
      <c r="Z76" s="1585"/>
      <c r="AA76" s="1585"/>
      <c r="AB76" s="1585"/>
      <c r="AC76" s="1585"/>
      <c r="AD76" s="1585"/>
      <c r="AE76" s="1585"/>
      <c r="AF76" s="1585"/>
      <c r="AG76" s="1585"/>
      <c r="AH76" s="1585"/>
      <c r="AI76" s="1585"/>
      <c r="AJ76" s="1585"/>
      <c r="AK76" s="1585"/>
      <c r="AL76" s="1585"/>
      <c r="AM76" s="1585"/>
      <c r="AN76" s="1585"/>
      <c r="AO76" s="1585"/>
      <c r="AP76" s="1585"/>
      <c r="AQ76" s="1585"/>
      <c r="AR76" s="1585"/>
      <c r="AS76" s="1585"/>
      <c r="AT76" s="1585"/>
      <c r="AU76" s="1585"/>
      <c r="AV76" s="1585"/>
      <c r="AW76" s="1585"/>
      <c r="AX76" s="1585"/>
      <c r="AY76" s="1585"/>
      <c r="AZ76" s="1585"/>
      <c r="BA76" s="1585"/>
      <c r="BB76" s="1585"/>
      <c r="BC76" s="1585"/>
      <c r="BD76" s="1585"/>
      <c r="BE76" s="1585"/>
      <c r="BF76" s="1585"/>
      <c r="BG76" s="1585"/>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s="1655"/>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s="1655"/>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c r="JG76"/>
      <c r="JH76"/>
      <c r="JI76"/>
      <c r="JJ76"/>
      <c r="JK76"/>
      <c r="JL76"/>
      <c r="JM76"/>
      <c r="JN76"/>
      <c r="JO76"/>
      <c r="JP76"/>
      <c r="JQ76"/>
      <c r="JR76"/>
      <c r="JS76"/>
      <c r="JT76"/>
      <c r="JU76"/>
      <c r="JV76"/>
      <c r="JW76"/>
      <c r="JX76"/>
      <c r="JY76"/>
      <c r="JZ76"/>
      <c r="KA76"/>
      <c r="KB76"/>
      <c r="KC76"/>
      <c r="KD76"/>
      <c r="KE76"/>
      <c r="KF76"/>
      <c r="KG76"/>
      <c r="KH76"/>
      <c r="KI76"/>
      <c r="KJ76"/>
      <c r="KK76"/>
      <c r="KL76"/>
      <c r="KM76"/>
      <c r="KN76"/>
      <c r="KO76"/>
      <c r="KP76"/>
      <c r="KQ76"/>
      <c r="KR76"/>
      <c r="KS76"/>
      <c r="KT76" s="1655"/>
      <c r="KU76"/>
      <c r="KV76"/>
      <c r="KW76"/>
      <c r="KX76"/>
      <c r="KY76"/>
      <c r="KZ76"/>
      <c r="LA76"/>
      <c r="LB76"/>
      <c r="LC76"/>
      <c r="LD76"/>
      <c r="LE76"/>
      <c r="LF76"/>
      <c r="LG76"/>
      <c r="LH76"/>
      <c r="LI76"/>
      <c r="LJ76"/>
      <c r="LK76"/>
      <c r="LL76"/>
      <c r="LM76"/>
      <c r="LN76"/>
      <c r="LO76"/>
      <c r="LP76"/>
      <c r="LQ76"/>
      <c r="LR76"/>
      <c r="LS76"/>
      <c r="LT76"/>
      <c r="LU76"/>
      <c r="LV76"/>
      <c r="LW76"/>
      <c r="LX76"/>
      <c r="LY76"/>
      <c r="LZ76"/>
      <c r="MA76"/>
      <c r="MB76"/>
      <c r="MC76"/>
      <c r="MD76"/>
      <c r="ME76"/>
      <c r="MF76"/>
      <c r="MG76"/>
      <c r="MH76"/>
      <c r="MI76"/>
      <c r="MJ76"/>
      <c r="MK76"/>
      <c r="ML76"/>
      <c r="MM76"/>
      <c r="MN76"/>
      <c r="MO76"/>
      <c r="MP76"/>
      <c r="MQ76"/>
      <c r="MR76"/>
      <c r="MS76"/>
      <c r="MT76"/>
      <c r="MU76"/>
      <c r="MV76"/>
      <c r="MW76"/>
      <c r="MX76"/>
      <c r="MY76"/>
      <c r="MZ76"/>
      <c r="NA76"/>
      <c r="NB76"/>
      <c r="NC76"/>
      <c r="ND76"/>
      <c r="NE76"/>
      <c r="NF76"/>
      <c r="NG76"/>
      <c r="NH76"/>
      <c r="NI76"/>
      <c r="NJ76"/>
      <c r="NK76"/>
      <c r="NL76"/>
      <c r="NM76"/>
      <c r="NN76"/>
      <c r="NO76"/>
      <c r="NP76"/>
      <c r="NQ76"/>
      <c r="NR76"/>
      <c r="NS76"/>
      <c r="NT76"/>
      <c r="NU76"/>
      <c r="NV76"/>
      <c r="NW76"/>
      <c r="NX76"/>
      <c r="NY76"/>
      <c r="NZ76"/>
      <c r="OA76"/>
      <c r="OB76"/>
      <c r="OC76"/>
      <c r="OD76"/>
      <c r="OE76"/>
      <c r="OF76"/>
      <c r="OG76"/>
      <c r="OH76"/>
      <c r="OI76"/>
      <c r="OJ76"/>
      <c r="OK76"/>
      <c r="OL76"/>
      <c r="OM76"/>
      <c r="ON76"/>
      <c r="OO76"/>
      <c r="OP76"/>
      <c r="OQ76" s="1656"/>
      <c r="OR76" s="1656"/>
    </row>
    <row r="77" spans="1:408" ht="21.5">
      <c r="A77" s="1466"/>
      <c r="B77" s="1583"/>
      <c r="C77" s="1583"/>
      <c r="D77" s="1583"/>
      <c r="E77" s="1585"/>
      <c r="F77" s="1585"/>
      <c r="G77" s="1585"/>
      <c r="H77" s="1585"/>
      <c r="I77" s="1585"/>
      <c r="J77" s="1585"/>
      <c r="K77" s="1585"/>
      <c r="L77" s="1585"/>
      <c r="M77" s="1585"/>
      <c r="N77" s="1585"/>
      <c r="O77" s="1585"/>
      <c r="P77" s="1585"/>
      <c r="Q77" s="1585"/>
      <c r="R77" s="1585"/>
      <c r="S77" s="1585"/>
      <c r="T77" s="1585"/>
      <c r="U77" s="1585"/>
      <c r="V77" s="1585"/>
      <c r="W77" s="1585"/>
      <c r="X77" s="1585"/>
      <c r="Y77" s="1585"/>
      <c r="Z77" s="1585"/>
      <c r="AA77" s="1585"/>
      <c r="AB77" s="1585"/>
      <c r="AC77" s="1585"/>
      <c r="AD77" s="1585"/>
      <c r="AE77" s="1585"/>
      <c r="AF77" s="1585"/>
      <c r="AG77" s="1585"/>
      <c r="AH77" s="1585"/>
      <c r="AI77" s="1585"/>
      <c r="AJ77" s="1585"/>
      <c r="AK77" s="1585"/>
      <c r="AL77" s="1585"/>
      <c r="AM77" s="1585"/>
      <c r="AN77" s="1585"/>
      <c r="AO77" s="1585"/>
      <c r="AP77" s="1585"/>
      <c r="AQ77" s="1585"/>
      <c r="AR77" s="1585"/>
      <c r="AS77" s="1585"/>
      <c r="AT77" s="1585"/>
      <c r="AU77" s="1585"/>
      <c r="AV77" s="1585"/>
      <c r="AW77" s="1585"/>
      <c r="AX77" s="1585"/>
      <c r="AY77" s="1585"/>
      <c r="AZ77" s="1585"/>
      <c r="BA77" s="1585"/>
      <c r="BB77" s="1585"/>
      <c r="BC77" s="1585"/>
      <c r="BD77" s="1585"/>
      <c r="BE77" s="1585"/>
      <c r="BF77" s="1585"/>
      <c r="BG77" s="1585"/>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s="1655"/>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s="1655"/>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s="1655"/>
      <c r="KU77"/>
      <c r="KV77"/>
      <c r="KW77"/>
      <c r="KX77"/>
      <c r="KY77"/>
      <c r="KZ77"/>
      <c r="LA77"/>
      <c r="LB77"/>
      <c r="LC77"/>
      <c r="LD77"/>
      <c r="LE77"/>
      <c r="LF77"/>
      <c r="LG77"/>
      <c r="LH77"/>
      <c r="LI77"/>
      <c r="LJ77"/>
      <c r="LK77"/>
      <c r="LL77"/>
      <c r="LM77"/>
      <c r="LN77"/>
      <c r="LO77"/>
      <c r="LP77"/>
      <c r="LQ77"/>
      <c r="LR77"/>
      <c r="LS77"/>
      <c r="LT77"/>
      <c r="LU77"/>
      <c r="LV77"/>
      <c r="LW77"/>
      <c r="LX77"/>
      <c r="LY77"/>
      <c r="LZ77"/>
      <c r="MA77"/>
      <c r="MB77"/>
      <c r="MC77"/>
      <c r="MD77"/>
      <c r="ME77"/>
      <c r="MF77"/>
      <c r="MG77"/>
      <c r="MH77"/>
      <c r="MI77"/>
      <c r="MJ77"/>
      <c r="MK77"/>
      <c r="ML77"/>
      <c r="MM77"/>
      <c r="MN77"/>
      <c r="MO77"/>
      <c r="MP77"/>
      <c r="MQ77"/>
      <c r="MR77"/>
      <c r="MS77"/>
      <c r="MT77"/>
      <c r="MU77"/>
      <c r="MV77"/>
      <c r="MW77"/>
      <c r="MX77"/>
      <c r="MY77"/>
      <c r="MZ77"/>
      <c r="NA77"/>
      <c r="NB77"/>
      <c r="NC77"/>
      <c r="ND77"/>
      <c r="NE77"/>
      <c r="NF77"/>
      <c r="NG77"/>
      <c r="NH77"/>
      <c r="NI77"/>
      <c r="NJ77"/>
      <c r="NK77"/>
      <c r="NL77"/>
      <c r="NM77"/>
      <c r="NN77"/>
      <c r="NO77"/>
      <c r="NP77"/>
      <c r="NQ77"/>
      <c r="NR77"/>
      <c r="NS77"/>
      <c r="NT77"/>
      <c r="NU77"/>
      <c r="NV77"/>
      <c r="NW77"/>
      <c r="NX77"/>
      <c r="NY77"/>
      <c r="NZ77"/>
      <c r="OA77"/>
      <c r="OB77"/>
      <c r="OC77"/>
      <c r="OD77"/>
      <c r="OE77"/>
      <c r="OF77"/>
      <c r="OG77"/>
      <c r="OH77"/>
      <c r="OI77"/>
      <c r="OJ77"/>
      <c r="OK77"/>
      <c r="OL77"/>
      <c r="OM77"/>
      <c r="ON77"/>
      <c r="OO77"/>
      <c r="OP77"/>
      <c r="OQ77" s="1656"/>
      <c r="OR77" s="1656"/>
    </row>
    <row r="78" spans="1:408" ht="21.5">
      <c r="A78" s="1466"/>
      <c r="B78" s="1583"/>
      <c r="C78" s="1583"/>
      <c r="D78" s="1583"/>
      <c r="E78" s="1585"/>
      <c r="F78" s="1585"/>
      <c r="G78" s="1585"/>
      <c r="H78" s="1585"/>
      <c r="I78" s="1585"/>
      <c r="J78" s="1585"/>
      <c r="K78" s="1585"/>
      <c r="L78" s="1585"/>
      <c r="M78" s="1585"/>
      <c r="N78" s="1585"/>
      <c r="O78" s="1585"/>
      <c r="P78" s="1585"/>
      <c r="Q78" s="1585"/>
      <c r="R78" s="1585"/>
      <c r="S78" s="1585"/>
      <c r="T78" s="1585"/>
      <c r="U78" s="1585"/>
      <c r="V78" s="1585"/>
      <c r="W78" s="1585"/>
      <c r="X78" s="1585"/>
      <c r="Y78" s="1585"/>
      <c r="Z78" s="1585"/>
      <c r="AA78" s="1585"/>
      <c r="AB78" s="1585"/>
      <c r="AC78" s="1585"/>
      <c r="AD78" s="1585"/>
      <c r="AE78" s="1585"/>
      <c r="AF78" s="1585"/>
      <c r="AG78" s="1585"/>
      <c r="AH78" s="1585"/>
      <c r="AI78" s="1585"/>
      <c r="AJ78" s="1585"/>
      <c r="AK78" s="1585"/>
      <c r="AL78" s="1585"/>
      <c r="AM78" s="1585"/>
      <c r="AN78" s="1585"/>
      <c r="AO78" s="1585"/>
      <c r="AP78" s="1585"/>
      <c r="AQ78" s="1585"/>
      <c r="AR78" s="1585"/>
      <c r="AS78" s="1585"/>
      <c r="AT78" s="1585"/>
      <c r="AU78" s="1585"/>
      <c r="AV78" s="1585"/>
      <c r="AW78" s="1585"/>
      <c r="AX78" s="1585"/>
      <c r="AY78" s="1585"/>
      <c r="AZ78" s="1585"/>
      <c r="BA78" s="1585"/>
      <c r="BB78" s="1585"/>
      <c r="BC78" s="1585"/>
      <c r="BD78" s="1585"/>
      <c r="BE78" s="1585"/>
      <c r="BF78" s="1585"/>
      <c r="BG78" s="1585"/>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s="1655"/>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s="1655"/>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s="1655"/>
      <c r="KU78"/>
      <c r="KV78"/>
      <c r="KW78"/>
      <c r="KX78"/>
      <c r="KY78"/>
      <c r="KZ78"/>
      <c r="LA78"/>
      <c r="LB78"/>
      <c r="LC78"/>
      <c r="LD78"/>
      <c r="LE78"/>
      <c r="LF78"/>
      <c r="LG78"/>
      <c r="LH78"/>
      <c r="LI78"/>
      <c r="LJ78"/>
      <c r="LK78"/>
      <c r="LL78"/>
      <c r="LM78"/>
      <c r="LN78"/>
      <c r="LO78"/>
      <c r="LP78"/>
      <c r="LQ78"/>
      <c r="LR78"/>
      <c r="LS78"/>
      <c r="LT78"/>
      <c r="LU78"/>
      <c r="LV78"/>
      <c r="LW78"/>
      <c r="LX78"/>
      <c r="LY78"/>
      <c r="LZ78"/>
      <c r="MA78"/>
      <c r="MB78"/>
      <c r="MC78"/>
      <c r="MD78"/>
      <c r="ME78"/>
      <c r="MF78"/>
      <c r="MG78"/>
      <c r="MH78"/>
      <c r="MI78"/>
      <c r="MJ78"/>
      <c r="MK78"/>
      <c r="ML78"/>
      <c r="MM78"/>
      <c r="MN78"/>
      <c r="MO78"/>
      <c r="MP78"/>
      <c r="MQ78"/>
      <c r="MR78"/>
      <c r="MS78"/>
      <c r="MT78"/>
      <c r="MU78"/>
      <c r="MV78"/>
      <c r="MW78"/>
      <c r="MX78"/>
      <c r="MY78"/>
      <c r="MZ78"/>
      <c r="NA78"/>
      <c r="NB78"/>
      <c r="NC78"/>
      <c r="ND78"/>
      <c r="NE78"/>
      <c r="NF78"/>
      <c r="NG78"/>
      <c r="NH78"/>
      <c r="NI78"/>
      <c r="NJ78"/>
      <c r="NK78"/>
      <c r="NL78"/>
      <c r="NM78"/>
      <c r="NN78"/>
      <c r="NO78"/>
      <c r="NP78"/>
      <c r="NQ78"/>
      <c r="NR78"/>
      <c r="NS78"/>
      <c r="NT78"/>
      <c r="NU78"/>
      <c r="NV78"/>
      <c r="NW78"/>
      <c r="NX78"/>
      <c r="NY78"/>
      <c r="NZ78"/>
      <c r="OA78"/>
      <c r="OB78"/>
      <c r="OC78"/>
      <c r="OD78"/>
      <c r="OE78"/>
      <c r="OF78"/>
      <c r="OG78"/>
      <c r="OH78"/>
      <c r="OI78"/>
      <c r="OJ78"/>
      <c r="OK78"/>
      <c r="OL78"/>
      <c r="OM78"/>
      <c r="ON78"/>
      <c r="OO78"/>
      <c r="OP78"/>
      <c r="OQ78" s="1656"/>
      <c r="OR78" s="1656"/>
    </row>
    <row r="79" spans="1:408" ht="21.5">
      <c r="A79" s="1466"/>
      <c r="B79" s="1583"/>
      <c r="C79" s="1583"/>
      <c r="D79" s="1583"/>
      <c r="E79" s="1585"/>
      <c r="F79" s="1585"/>
      <c r="G79" s="1585"/>
      <c r="H79" s="1585"/>
      <c r="I79" s="1585"/>
      <c r="J79" s="1585"/>
      <c r="K79" s="1585"/>
      <c r="L79" s="1585"/>
      <c r="M79" s="1585"/>
      <c r="N79" s="1585"/>
      <c r="O79" s="1585"/>
      <c r="P79" s="1585"/>
      <c r="Q79" s="1585"/>
      <c r="R79" s="1585"/>
      <c r="S79" s="1585"/>
      <c r="T79" s="1585"/>
      <c r="U79" s="1585"/>
      <c r="V79" s="1585"/>
      <c r="W79" s="1585"/>
      <c r="X79" s="1585"/>
      <c r="Y79" s="1585"/>
      <c r="Z79" s="1585"/>
      <c r="AA79" s="1585"/>
      <c r="AB79" s="1585"/>
      <c r="AC79" s="1585"/>
      <c r="AD79" s="1585"/>
      <c r="AE79" s="1585"/>
      <c r="AF79" s="1585"/>
      <c r="AG79" s="1585"/>
      <c r="AH79" s="1585"/>
      <c r="AI79" s="1585"/>
      <c r="AJ79" s="1585"/>
      <c r="AK79" s="1585"/>
      <c r="AL79" s="1585"/>
      <c r="AM79" s="1585"/>
      <c r="AN79" s="1585"/>
      <c r="AO79" s="1585"/>
      <c r="AP79" s="1585"/>
      <c r="AQ79" s="1585"/>
      <c r="AR79" s="1585"/>
      <c r="AS79" s="1585"/>
      <c r="AT79" s="1585"/>
      <c r="AU79" s="1585"/>
      <c r="AV79" s="1585"/>
      <c r="AW79" s="1585"/>
      <c r="AX79" s="1585"/>
      <c r="AY79" s="1585"/>
      <c r="AZ79" s="1585"/>
      <c r="BA79" s="1585"/>
      <c r="BB79" s="1585"/>
      <c r="BC79" s="1585"/>
      <c r="BD79" s="1585"/>
      <c r="BE79" s="1585"/>
      <c r="BF79" s="1585"/>
      <c r="BG79" s="1585"/>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s="1655"/>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s="1655"/>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s="1655"/>
      <c r="KU79"/>
      <c r="KV79"/>
      <c r="KW79"/>
      <c r="KX79"/>
      <c r="KY79"/>
      <c r="KZ79"/>
      <c r="LA79"/>
      <c r="LB79"/>
      <c r="LC79"/>
      <c r="LD79"/>
      <c r="LE79"/>
      <c r="LF79"/>
      <c r="LG79"/>
      <c r="LH79"/>
      <c r="LI79"/>
      <c r="LJ79"/>
      <c r="LK79"/>
      <c r="LL79"/>
      <c r="LM79"/>
      <c r="LN79"/>
      <c r="LO79"/>
      <c r="LP79"/>
      <c r="LQ79"/>
      <c r="LR79"/>
      <c r="LS79"/>
      <c r="LT79"/>
      <c r="LU79"/>
      <c r="LV79"/>
      <c r="LW79"/>
      <c r="LX79"/>
      <c r="LY79"/>
      <c r="LZ79"/>
      <c r="MA79"/>
      <c r="MB79"/>
      <c r="MC79"/>
      <c r="MD79"/>
      <c r="ME79"/>
      <c r="MF79"/>
      <c r="MG79"/>
      <c r="MH79"/>
      <c r="MI79"/>
      <c r="MJ79"/>
      <c r="MK79"/>
      <c r="ML79"/>
      <c r="MM79"/>
      <c r="MN79"/>
      <c r="MO79"/>
      <c r="MP79"/>
      <c r="MQ79"/>
      <c r="MR79"/>
      <c r="MS79"/>
      <c r="MT79"/>
      <c r="MU79"/>
      <c r="MV79"/>
      <c r="MW79"/>
      <c r="MX79"/>
      <c r="MY79"/>
      <c r="MZ79"/>
      <c r="NA79"/>
      <c r="NB79"/>
      <c r="NC79"/>
      <c r="ND79"/>
      <c r="NE79"/>
      <c r="NF79"/>
      <c r="NG79"/>
      <c r="NH79"/>
      <c r="NI79"/>
      <c r="NJ79"/>
      <c r="NK79"/>
      <c r="NL79"/>
      <c r="NM79"/>
      <c r="NN79"/>
      <c r="NO79"/>
      <c r="NP79"/>
      <c r="NQ79"/>
      <c r="NR79"/>
      <c r="NS79"/>
      <c r="NT79"/>
      <c r="NU79"/>
      <c r="NV79"/>
      <c r="NW79"/>
      <c r="NX79"/>
      <c r="NY79"/>
      <c r="NZ79"/>
      <c r="OA79"/>
      <c r="OB79"/>
      <c r="OC79"/>
      <c r="OD79"/>
      <c r="OE79"/>
      <c r="OF79"/>
      <c r="OG79"/>
      <c r="OH79"/>
      <c r="OI79"/>
      <c r="OJ79"/>
      <c r="OK79"/>
      <c r="OL79"/>
      <c r="OM79"/>
      <c r="ON79"/>
      <c r="OO79"/>
      <c r="OP79"/>
      <c r="OQ79" s="1656"/>
      <c r="OR79" s="1656"/>
    </row>
    <row r="80" spans="1:408" ht="21.5">
      <c r="A80" s="1466"/>
      <c r="B80" s="1583"/>
      <c r="C80" s="1583"/>
      <c r="D80" s="1583"/>
      <c r="E80" s="1585"/>
      <c r="F80" s="1585"/>
      <c r="G80" s="1585"/>
      <c r="H80" s="1585"/>
      <c r="I80" s="1585"/>
      <c r="J80" s="1585"/>
      <c r="K80" s="1585"/>
      <c r="L80" s="1585"/>
      <c r="M80" s="1585"/>
      <c r="N80" s="1585"/>
      <c r="O80" s="1585"/>
      <c r="P80" s="1585"/>
      <c r="Q80" s="1585"/>
      <c r="R80" s="1585"/>
      <c r="S80" s="1585"/>
      <c r="T80" s="1585"/>
      <c r="U80" s="1585"/>
      <c r="V80" s="1585"/>
      <c r="W80" s="1585"/>
      <c r="X80" s="1585"/>
      <c r="Y80" s="1585"/>
      <c r="Z80" s="1585"/>
      <c r="AA80" s="1585"/>
      <c r="AB80" s="1585"/>
      <c r="AC80" s="1585"/>
      <c r="AD80" s="1585"/>
      <c r="AE80" s="1585"/>
      <c r="AF80" s="1585"/>
      <c r="AG80" s="1585"/>
      <c r="AH80" s="1585"/>
      <c r="AI80" s="1585"/>
      <c r="AJ80" s="1585"/>
      <c r="AK80" s="1585"/>
      <c r="AL80" s="1585"/>
      <c r="AM80" s="1585"/>
      <c r="AN80" s="1585"/>
      <c r="AO80" s="1585"/>
      <c r="AP80" s="1585"/>
      <c r="AQ80" s="1585"/>
      <c r="AR80" s="1585"/>
      <c r="AS80" s="1585"/>
      <c r="AT80" s="1585"/>
      <c r="AU80" s="1585"/>
      <c r="AV80" s="1585"/>
      <c r="AW80" s="1585"/>
      <c r="AX80" s="1585"/>
      <c r="AY80" s="1585"/>
      <c r="AZ80" s="1585"/>
      <c r="BA80" s="1585"/>
      <c r="BB80" s="1585"/>
      <c r="BC80" s="1585"/>
      <c r="BD80" s="1585"/>
      <c r="BE80" s="1585"/>
      <c r="BF80" s="1585"/>
      <c r="BG80" s="1585"/>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s="1655"/>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s="1655"/>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c r="IW80"/>
      <c r="IX80"/>
      <c r="IY80"/>
      <c r="IZ80"/>
      <c r="JA80"/>
      <c r="JB80"/>
      <c r="JC80"/>
      <c r="JD80"/>
      <c r="JE80"/>
      <c r="JF80"/>
      <c r="JG80"/>
      <c r="JH80"/>
      <c r="JI80"/>
      <c r="JJ80"/>
      <c r="JK80"/>
      <c r="JL80"/>
      <c r="JM80"/>
      <c r="JN80"/>
      <c r="JO80"/>
      <c r="JP80"/>
      <c r="JQ80"/>
      <c r="JR80"/>
      <c r="JS80"/>
      <c r="JT80"/>
      <c r="JU80"/>
      <c r="JV80"/>
      <c r="JW80"/>
      <c r="JX80"/>
      <c r="JY80"/>
      <c r="JZ80"/>
      <c r="KA80"/>
      <c r="KB80"/>
      <c r="KC80"/>
      <c r="KD80"/>
      <c r="KE80"/>
      <c r="KF80"/>
      <c r="KG80"/>
      <c r="KH80"/>
      <c r="KI80"/>
      <c r="KJ80"/>
      <c r="KK80"/>
      <c r="KL80"/>
      <c r="KM80"/>
      <c r="KN80"/>
      <c r="KO80"/>
      <c r="KP80"/>
      <c r="KQ80"/>
      <c r="KR80"/>
      <c r="KS80"/>
      <c r="KT80" s="1655"/>
      <c r="KU80"/>
      <c r="KV80"/>
      <c r="KW80"/>
      <c r="KX80"/>
      <c r="KY80"/>
      <c r="KZ80"/>
      <c r="LA80"/>
      <c r="LB80"/>
      <c r="LC80"/>
      <c r="LD80"/>
      <c r="LE80"/>
      <c r="LF80"/>
      <c r="LG80"/>
      <c r="LH80"/>
      <c r="LI80"/>
      <c r="LJ80"/>
      <c r="LK80"/>
      <c r="LL80"/>
      <c r="LM80"/>
      <c r="LN80"/>
      <c r="LO80"/>
      <c r="LP80"/>
      <c r="LQ80"/>
      <c r="LR80"/>
      <c r="LS80"/>
      <c r="LT80"/>
      <c r="LU80"/>
      <c r="LV80"/>
      <c r="LW80"/>
      <c r="LX80"/>
      <c r="LY80"/>
      <c r="LZ80"/>
      <c r="MA80"/>
      <c r="MB80"/>
      <c r="MC80"/>
      <c r="MD80"/>
      <c r="ME80"/>
      <c r="MF80"/>
      <c r="MG80"/>
      <c r="MH80"/>
      <c r="MI80"/>
      <c r="MJ80"/>
      <c r="MK80"/>
      <c r="ML80"/>
      <c r="MM80"/>
      <c r="MN80"/>
      <c r="MO80"/>
      <c r="MP80"/>
      <c r="MQ80"/>
      <c r="MR80"/>
      <c r="MS80"/>
      <c r="MT80"/>
      <c r="MU80"/>
      <c r="MV80"/>
      <c r="MW80"/>
      <c r="MX80"/>
      <c r="MY80"/>
      <c r="MZ80"/>
      <c r="NA80"/>
      <c r="NB80"/>
      <c r="NC80"/>
      <c r="ND80"/>
      <c r="NE80"/>
      <c r="NF80"/>
      <c r="NG80"/>
      <c r="NH80"/>
      <c r="NI80"/>
      <c r="NJ80"/>
      <c r="NK80"/>
      <c r="NL80"/>
      <c r="NM80"/>
      <c r="NN80"/>
      <c r="NO80"/>
      <c r="NP80"/>
      <c r="NQ80"/>
      <c r="NR80"/>
      <c r="NS80"/>
      <c r="NT80"/>
      <c r="NU80"/>
      <c r="NV80"/>
      <c r="NW80"/>
      <c r="NX80"/>
      <c r="NY80"/>
      <c r="NZ80"/>
      <c r="OA80"/>
      <c r="OB80"/>
      <c r="OC80"/>
      <c r="OD80"/>
      <c r="OE80"/>
      <c r="OF80"/>
      <c r="OG80"/>
      <c r="OH80"/>
      <c r="OI80"/>
      <c r="OJ80"/>
      <c r="OK80"/>
      <c r="OL80"/>
      <c r="OM80"/>
      <c r="ON80"/>
      <c r="OO80"/>
      <c r="OP80"/>
      <c r="OQ80" s="1656"/>
      <c r="OR80" s="1656"/>
    </row>
    <row r="81" spans="1:408" ht="21.5">
      <c r="A81" s="1466"/>
      <c r="B81" s="1583"/>
      <c r="C81" s="1583"/>
      <c r="D81" s="1583"/>
      <c r="E81" s="1585"/>
      <c r="F81" s="1585"/>
      <c r="G81" s="1585"/>
      <c r="H81" s="1585"/>
      <c r="I81" s="1585"/>
      <c r="J81" s="1585"/>
      <c r="K81" s="1585"/>
      <c r="L81" s="1585"/>
      <c r="M81" s="1585"/>
      <c r="N81" s="1585"/>
      <c r="O81" s="1585"/>
      <c r="P81" s="1585"/>
      <c r="Q81" s="1585"/>
      <c r="R81" s="1585"/>
      <c r="S81" s="1585"/>
      <c r="T81" s="1585"/>
      <c r="U81" s="1585"/>
      <c r="V81" s="1585"/>
      <c r="W81" s="1585"/>
      <c r="X81" s="1585"/>
      <c r="Y81" s="1585"/>
      <c r="Z81" s="1585"/>
      <c r="AA81" s="1585"/>
      <c r="AB81" s="1585"/>
      <c r="AC81" s="1585"/>
      <c r="AD81" s="1585"/>
      <c r="AE81" s="1585"/>
      <c r="AF81" s="1585"/>
      <c r="AG81" s="1585"/>
      <c r="AH81" s="1585"/>
      <c r="AI81" s="1585"/>
      <c r="AJ81" s="1585"/>
      <c r="AK81" s="1585"/>
      <c r="AL81" s="1585"/>
      <c r="AM81" s="1585"/>
      <c r="AN81" s="1585"/>
      <c r="AO81" s="1585"/>
      <c r="AP81" s="1585"/>
      <c r="AQ81" s="1585"/>
      <c r="AR81" s="1585"/>
      <c r="AS81" s="1585"/>
      <c r="AT81" s="1585"/>
      <c r="AU81" s="1585"/>
      <c r="AV81" s="1585"/>
      <c r="AW81" s="1585"/>
      <c r="AX81" s="1585"/>
      <c r="AY81" s="1585"/>
      <c r="AZ81" s="1585"/>
      <c r="BA81" s="1585"/>
      <c r="BB81" s="1585"/>
      <c r="BC81" s="1585"/>
      <c r="BD81" s="1585"/>
      <c r="BE81" s="1585"/>
      <c r="BF81" s="1585"/>
      <c r="BG81" s="1585"/>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s="1655"/>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s="1655"/>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c r="IW81"/>
      <c r="IX81"/>
      <c r="IY81"/>
      <c r="IZ81"/>
      <c r="JA81"/>
      <c r="JB81"/>
      <c r="JC81"/>
      <c r="JD81"/>
      <c r="JE81"/>
      <c r="JF81"/>
      <c r="JG81"/>
      <c r="JH81"/>
      <c r="JI81"/>
      <c r="JJ81"/>
      <c r="JK81"/>
      <c r="JL81"/>
      <c r="JM81"/>
      <c r="JN81"/>
      <c r="JO81"/>
      <c r="JP81"/>
      <c r="JQ81"/>
      <c r="JR81"/>
      <c r="JS81"/>
      <c r="JT81"/>
      <c r="JU81"/>
      <c r="JV81"/>
      <c r="JW81"/>
      <c r="JX81"/>
      <c r="JY81"/>
      <c r="JZ81"/>
      <c r="KA81"/>
      <c r="KB81"/>
      <c r="KC81"/>
      <c r="KD81"/>
      <c r="KE81"/>
      <c r="KF81"/>
      <c r="KG81"/>
      <c r="KH81"/>
      <c r="KI81"/>
      <c r="KJ81"/>
      <c r="KK81"/>
      <c r="KL81"/>
      <c r="KM81"/>
      <c r="KN81"/>
      <c r="KO81"/>
      <c r="KP81"/>
      <c r="KQ81"/>
      <c r="KR81"/>
      <c r="KS81"/>
      <c r="KT81" s="1655"/>
      <c r="KU81"/>
      <c r="KV81"/>
      <c r="KW81"/>
      <c r="KX81"/>
      <c r="KY81"/>
      <c r="KZ81"/>
      <c r="LA81"/>
      <c r="LB81"/>
      <c r="LC81"/>
      <c r="LD81"/>
      <c r="LE81"/>
      <c r="LF81"/>
      <c r="LG81"/>
      <c r="LH81"/>
      <c r="LI81"/>
      <c r="LJ81"/>
      <c r="LK81"/>
      <c r="LL81"/>
      <c r="LM81"/>
      <c r="LN81"/>
      <c r="LO81"/>
      <c r="LP81"/>
      <c r="LQ81"/>
      <c r="LR81"/>
      <c r="LS81"/>
      <c r="LT81"/>
      <c r="LU81"/>
      <c r="LV81"/>
      <c r="LW81"/>
      <c r="LX81"/>
      <c r="LY81"/>
      <c r="LZ81"/>
      <c r="MA81"/>
      <c r="MB81"/>
      <c r="MC81"/>
      <c r="MD81"/>
      <c r="ME81"/>
      <c r="MF81"/>
      <c r="MG81"/>
      <c r="MH81"/>
      <c r="MI81"/>
      <c r="MJ81"/>
      <c r="MK81"/>
      <c r="ML81"/>
      <c r="MM81"/>
      <c r="MN81"/>
      <c r="MO81"/>
      <c r="MP81"/>
      <c r="MQ81"/>
      <c r="MR81"/>
      <c r="MS81"/>
      <c r="MT81"/>
      <c r="MU81"/>
      <c r="MV81"/>
      <c r="MW81"/>
      <c r="MX81"/>
      <c r="MY81"/>
      <c r="MZ81"/>
      <c r="NA81"/>
      <c r="NB81"/>
      <c r="NC81"/>
      <c r="ND81"/>
      <c r="NE81"/>
      <c r="NF81"/>
      <c r="NG81"/>
      <c r="NH81"/>
      <c r="NI81"/>
      <c r="NJ81"/>
      <c r="NK81"/>
      <c r="NL81"/>
      <c r="NM81"/>
      <c r="NN81"/>
      <c r="NO81"/>
      <c r="NP81"/>
      <c r="NQ81"/>
      <c r="NR81"/>
      <c r="NS81"/>
      <c r="NT81"/>
      <c r="NU81"/>
      <c r="NV81"/>
      <c r="NW81"/>
      <c r="NX81"/>
      <c r="NY81"/>
      <c r="NZ81"/>
      <c r="OA81"/>
      <c r="OB81"/>
      <c r="OC81"/>
      <c r="OD81"/>
      <c r="OE81"/>
      <c r="OF81"/>
      <c r="OG81"/>
      <c r="OH81"/>
      <c r="OI81"/>
      <c r="OJ81"/>
      <c r="OK81"/>
      <c r="OL81"/>
      <c r="OM81"/>
      <c r="ON81"/>
      <c r="OO81"/>
      <c r="OP81"/>
      <c r="OQ81" s="1656"/>
      <c r="OR81" s="1656"/>
    </row>
    <row r="82" spans="1:408" ht="21.5">
      <c r="A82" s="1466"/>
      <c r="B82" s="1583"/>
      <c r="C82" s="1583"/>
      <c r="D82" s="1583"/>
      <c r="E82" s="1585"/>
      <c r="F82" s="1585"/>
      <c r="G82" s="1585"/>
      <c r="H82" s="1585"/>
      <c r="I82" s="1585"/>
      <c r="J82" s="1585"/>
      <c r="K82" s="1585"/>
      <c r="L82" s="1585"/>
      <c r="M82" s="1585"/>
      <c r="N82" s="1585"/>
      <c r="O82" s="1585"/>
      <c r="P82" s="1585"/>
      <c r="Q82" s="1585"/>
      <c r="R82" s="1585"/>
      <c r="S82" s="1585"/>
      <c r="T82" s="1585"/>
      <c r="U82" s="1585"/>
      <c r="V82" s="1585"/>
      <c r="W82" s="1585"/>
      <c r="X82" s="1585"/>
      <c r="Y82" s="1585"/>
      <c r="Z82" s="1585"/>
      <c r="AA82" s="1585"/>
      <c r="AB82" s="1585"/>
      <c r="AC82" s="1585"/>
      <c r="AD82" s="1585"/>
      <c r="AE82" s="1585"/>
      <c r="AF82" s="1585"/>
      <c r="AG82" s="1585"/>
      <c r="AH82" s="1585"/>
      <c r="AI82" s="1585"/>
      <c r="AJ82" s="1585"/>
      <c r="AK82" s="1585"/>
      <c r="AL82" s="1585"/>
      <c r="AM82" s="1585"/>
      <c r="AN82" s="1585"/>
      <c r="AO82" s="1585"/>
      <c r="AP82" s="1585"/>
      <c r="AQ82" s="1585"/>
      <c r="AR82" s="1585"/>
      <c r="AS82" s="1585"/>
      <c r="AT82" s="1585"/>
      <c r="AU82" s="1585"/>
      <c r="AV82" s="1585"/>
      <c r="AW82" s="1585"/>
      <c r="AX82" s="1585"/>
      <c r="AY82" s="1585"/>
      <c r="AZ82" s="1585"/>
      <c r="BA82" s="1585"/>
      <c r="BB82" s="1585"/>
      <c r="BC82" s="1585"/>
      <c r="BD82" s="1585"/>
      <c r="BE82" s="1585"/>
      <c r="BF82" s="1585"/>
      <c r="BG82" s="1585"/>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s="1655"/>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s="1655"/>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c r="IW82"/>
      <c r="IX82"/>
      <c r="IY82"/>
      <c r="IZ82"/>
      <c r="JA82"/>
      <c r="JB82"/>
      <c r="JC82"/>
      <c r="JD82"/>
      <c r="JE82"/>
      <c r="JF82"/>
      <c r="JG82"/>
      <c r="JH82"/>
      <c r="JI82"/>
      <c r="JJ82"/>
      <c r="JK82"/>
      <c r="JL82"/>
      <c r="JM82"/>
      <c r="JN82"/>
      <c r="JO82"/>
      <c r="JP82"/>
      <c r="JQ82"/>
      <c r="JR82"/>
      <c r="JS82"/>
      <c r="JT82"/>
      <c r="JU82"/>
      <c r="JV82"/>
      <c r="JW82"/>
      <c r="JX82"/>
      <c r="JY82"/>
      <c r="JZ82"/>
      <c r="KA82"/>
      <c r="KB82"/>
      <c r="KC82"/>
      <c r="KD82"/>
      <c r="KE82"/>
      <c r="KF82"/>
      <c r="KG82"/>
      <c r="KH82"/>
      <c r="KI82"/>
      <c r="KJ82"/>
      <c r="KK82"/>
      <c r="KL82"/>
      <c r="KM82"/>
      <c r="KN82"/>
      <c r="KO82"/>
      <c r="KP82"/>
      <c r="KQ82"/>
      <c r="KR82"/>
      <c r="KS82"/>
      <c r="KT82" s="1655"/>
      <c r="KU82"/>
      <c r="KV82"/>
      <c r="KW82"/>
      <c r="KX82"/>
      <c r="KY82"/>
      <c r="KZ82"/>
      <c r="LA82"/>
      <c r="LB82"/>
      <c r="LC82"/>
      <c r="LD82"/>
      <c r="LE82"/>
      <c r="LF82"/>
      <c r="LG82"/>
      <c r="LH82"/>
      <c r="LI82"/>
      <c r="LJ82"/>
      <c r="LK82"/>
      <c r="LL82"/>
      <c r="LM82"/>
      <c r="LN82"/>
      <c r="LO82"/>
      <c r="LP82"/>
      <c r="LQ82"/>
      <c r="LR82"/>
      <c r="LS82"/>
      <c r="LT82"/>
      <c r="LU82"/>
      <c r="LV82"/>
      <c r="LW82"/>
      <c r="LX82"/>
      <c r="LY82"/>
      <c r="LZ82"/>
      <c r="MA82"/>
      <c r="MB82"/>
      <c r="MC82"/>
      <c r="MD82"/>
      <c r="ME82"/>
      <c r="MF82"/>
      <c r="MG82"/>
      <c r="MH82"/>
      <c r="MI82"/>
      <c r="MJ82"/>
      <c r="MK82"/>
      <c r="ML82"/>
      <c r="MM82"/>
      <c r="MN82"/>
      <c r="MO82"/>
      <c r="MP82"/>
      <c r="MQ82"/>
      <c r="MR82"/>
      <c r="MS82"/>
      <c r="MT82"/>
      <c r="MU82"/>
      <c r="MV82"/>
      <c r="MW82"/>
      <c r="MX82"/>
      <c r="MY82"/>
      <c r="MZ82"/>
      <c r="NA82"/>
      <c r="NB82"/>
      <c r="NC82"/>
      <c r="ND82"/>
      <c r="NE82"/>
      <c r="NF82"/>
      <c r="NG82"/>
      <c r="NH82"/>
      <c r="NI82"/>
      <c r="NJ82"/>
      <c r="NK82"/>
      <c r="NL82"/>
      <c r="NM82"/>
      <c r="NN82"/>
      <c r="NO82"/>
      <c r="NP82"/>
      <c r="NQ82"/>
      <c r="NR82"/>
      <c r="NS82"/>
      <c r="NT82"/>
      <c r="NU82"/>
      <c r="NV82"/>
      <c r="NW82"/>
      <c r="NX82"/>
      <c r="NY82"/>
      <c r="NZ82"/>
      <c r="OA82"/>
      <c r="OB82"/>
      <c r="OC82"/>
      <c r="OD82"/>
      <c r="OE82"/>
      <c r="OF82"/>
      <c r="OG82"/>
      <c r="OH82"/>
      <c r="OI82"/>
      <c r="OJ82"/>
      <c r="OK82"/>
      <c r="OL82"/>
      <c r="OM82"/>
      <c r="ON82"/>
      <c r="OO82"/>
      <c r="OP82"/>
      <c r="OQ82" s="1656"/>
      <c r="OR82" s="1656"/>
    </row>
    <row r="83" spans="1:408" ht="21.5">
      <c r="A83" s="1466"/>
      <c r="B83" s="1583"/>
      <c r="C83" s="1583"/>
      <c r="D83" s="1583"/>
      <c r="E83" s="1585"/>
      <c r="F83" s="1585"/>
      <c r="G83" s="1585"/>
      <c r="H83" s="1585"/>
      <c r="I83" s="1585"/>
      <c r="J83" s="1585"/>
      <c r="K83" s="1585"/>
      <c r="L83" s="1585"/>
      <c r="M83" s="1585"/>
      <c r="N83" s="1585"/>
      <c r="O83" s="1585"/>
      <c r="P83" s="1585"/>
      <c r="Q83" s="1585"/>
      <c r="R83" s="1585"/>
      <c r="S83" s="1585"/>
      <c r="T83" s="1585"/>
      <c r="U83" s="1585"/>
      <c r="V83" s="1585"/>
      <c r="W83" s="1585"/>
      <c r="X83" s="1585"/>
      <c r="Y83" s="1585"/>
      <c r="Z83" s="1585"/>
      <c r="AA83" s="1585"/>
      <c r="AB83" s="1585"/>
      <c r="AC83" s="1585"/>
      <c r="AD83" s="1585"/>
      <c r="AE83" s="1585"/>
      <c r="AF83" s="1585"/>
      <c r="AG83" s="1585"/>
      <c r="AH83" s="1585"/>
      <c r="AI83" s="1585"/>
      <c r="AJ83" s="1585"/>
      <c r="AK83" s="1585"/>
      <c r="AL83" s="1585"/>
      <c r="AM83" s="1585"/>
      <c r="AN83" s="1585"/>
      <c r="AO83" s="1585"/>
      <c r="AP83" s="1585"/>
      <c r="AQ83" s="1585"/>
      <c r="AR83" s="1585"/>
      <c r="AS83" s="1585"/>
      <c r="AT83" s="1585"/>
      <c r="AU83" s="1585"/>
      <c r="AV83" s="1585"/>
      <c r="AW83" s="1585"/>
      <c r="AX83" s="1585"/>
      <c r="AY83" s="1585"/>
      <c r="AZ83" s="1585"/>
      <c r="BA83" s="1585"/>
      <c r="BB83" s="1585"/>
      <c r="BC83" s="1585"/>
      <c r="BD83" s="1585"/>
      <c r="BE83" s="1585"/>
      <c r="BF83" s="1585"/>
      <c r="BG83" s="1585"/>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s="1655"/>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s="1655"/>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c r="IW83"/>
      <c r="IX83"/>
      <c r="IY83"/>
      <c r="IZ83"/>
      <c r="JA83"/>
      <c r="JB83"/>
      <c r="JC83"/>
      <c r="JD83"/>
      <c r="JE83"/>
      <c r="JF83"/>
      <c r="JG83"/>
      <c r="JH83"/>
      <c r="JI83"/>
      <c r="JJ83"/>
      <c r="JK83"/>
      <c r="JL83"/>
      <c r="JM83"/>
      <c r="JN83"/>
      <c r="JO83"/>
      <c r="JP83"/>
      <c r="JQ83"/>
      <c r="JR83"/>
      <c r="JS83"/>
      <c r="JT83"/>
      <c r="JU83"/>
      <c r="JV83"/>
      <c r="JW83"/>
      <c r="JX83"/>
      <c r="JY83"/>
      <c r="JZ83"/>
      <c r="KA83"/>
      <c r="KB83"/>
      <c r="KC83"/>
      <c r="KD83"/>
      <c r="KE83"/>
      <c r="KF83"/>
      <c r="KG83"/>
      <c r="KH83"/>
      <c r="KI83"/>
      <c r="KJ83"/>
      <c r="KK83"/>
      <c r="KL83"/>
      <c r="KM83"/>
      <c r="KN83"/>
      <c r="KO83"/>
      <c r="KP83"/>
      <c r="KQ83"/>
      <c r="KR83"/>
      <c r="KS83"/>
      <c r="KT83" s="1655"/>
      <c r="KU83"/>
      <c r="KV83"/>
      <c r="KW83"/>
      <c r="KX83"/>
      <c r="KY83"/>
      <c r="KZ83"/>
      <c r="LA83"/>
      <c r="LB83"/>
      <c r="LC83"/>
      <c r="LD83"/>
      <c r="LE83"/>
      <c r="LF83"/>
      <c r="LG83"/>
      <c r="LH83"/>
      <c r="LI83"/>
      <c r="LJ83"/>
      <c r="LK83"/>
      <c r="LL83"/>
      <c r="LM83"/>
      <c r="LN83"/>
      <c r="LO83"/>
      <c r="LP83"/>
      <c r="LQ83"/>
      <c r="LR83"/>
      <c r="LS83"/>
      <c r="LT83"/>
      <c r="LU83"/>
      <c r="LV83"/>
      <c r="LW83"/>
      <c r="LX83"/>
      <c r="LY83"/>
      <c r="LZ83"/>
      <c r="MA83"/>
      <c r="MB83"/>
      <c r="MC83"/>
      <c r="MD83"/>
      <c r="ME83"/>
      <c r="MF83"/>
      <c r="MG83"/>
      <c r="MH83"/>
      <c r="MI83"/>
      <c r="MJ83"/>
      <c r="MK83"/>
      <c r="ML83"/>
      <c r="MM83"/>
      <c r="MN83"/>
      <c r="MO83"/>
      <c r="MP83"/>
      <c r="MQ83"/>
      <c r="MR83"/>
      <c r="MS83"/>
      <c r="MT83"/>
      <c r="MU83"/>
      <c r="MV83"/>
      <c r="MW83"/>
      <c r="MX83"/>
      <c r="MY83"/>
      <c r="MZ83"/>
      <c r="NA83"/>
      <c r="NB83"/>
      <c r="NC83"/>
      <c r="ND83"/>
      <c r="NE83"/>
      <c r="NF83"/>
      <c r="NG83"/>
      <c r="NH83"/>
      <c r="NI83"/>
      <c r="NJ83"/>
      <c r="NK83"/>
      <c r="NL83"/>
      <c r="NM83"/>
      <c r="NN83"/>
      <c r="NO83"/>
      <c r="NP83"/>
      <c r="NQ83"/>
      <c r="NR83"/>
      <c r="NS83"/>
      <c r="NT83"/>
      <c r="NU83"/>
      <c r="NV83"/>
      <c r="NW83"/>
      <c r="NX83"/>
      <c r="NY83"/>
      <c r="NZ83"/>
      <c r="OA83"/>
      <c r="OB83"/>
      <c r="OC83"/>
      <c r="OD83"/>
      <c r="OE83"/>
      <c r="OF83"/>
      <c r="OG83"/>
      <c r="OH83"/>
      <c r="OI83"/>
      <c r="OJ83"/>
      <c r="OK83"/>
      <c r="OL83"/>
      <c r="OM83"/>
      <c r="ON83"/>
      <c r="OO83"/>
      <c r="OP83"/>
      <c r="OQ83" s="1656"/>
      <c r="OR83" s="1656"/>
    </row>
    <row r="84" spans="1:408">
      <c r="A84" s="1466"/>
      <c r="B84" s="1583"/>
      <c r="C84" s="1583"/>
      <c r="D84" s="1583"/>
      <c r="E84" s="1585"/>
      <c r="F84" s="1585"/>
      <c r="G84" s="1585"/>
      <c r="H84" s="1585"/>
      <c r="I84" s="1585"/>
      <c r="J84" s="1585"/>
      <c r="K84" s="1585"/>
      <c r="L84" s="1585"/>
      <c r="M84" s="1585"/>
      <c r="N84" s="1585"/>
      <c r="O84" s="1585"/>
      <c r="P84" s="1585"/>
      <c r="Q84" s="1585"/>
      <c r="R84" s="1585"/>
      <c r="S84" s="1585"/>
      <c r="T84" s="1585"/>
      <c r="U84" s="1585"/>
      <c r="V84" s="1585"/>
      <c r="W84" s="1585"/>
      <c r="X84" s="1585"/>
      <c r="Y84" s="1585"/>
      <c r="Z84" s="1585"/>
      <c r="AA84" s="1585"/>
      <c r="AB84" s="1585"/>
      <c r="AC84" s="1585"/>
      <c r="AD84" s="1585"/>
      <c r="AE84" s="1585"/>
      <c r="AF84" s="1585"/>
      <c r="AG84" s="1585"/>
      <c r="AH84" s="1585"/>
      <c r="AI84" s="1585"/>
      <c r="AJ84" s="1585"/>
      <c r="AK84" s="1585"/>
      <c r="AL84" s="1585"/>
      <c r="AM84" s="1585"/>
      <c r="AN84" s="1585"/>
      <c r="AO84" s="1585"/>
      <c r="AP84" s="1585"/>
      <c r="AQ84" s="1585"/>
      <c r="AR84" s="1585"/>
      <c r="AS84" s="1585"/>
      <c r="AT84" s="1585"/>
      <c r="AU84" s="1585"/>
      <c r="AV84" s="1585"/>
      <c r="AW84" s="1585"/>
      <c r="AX84" s="1585"/>
      <c r="AY84" s="1585"/>
      <c r="AZ84" s="1585"/>
      <c r="BA84" s="1585"/>
      <c r="BB84" s="1585"/>
      <c r="BC84" s="1585"/>
      <c r="BD84" s="1585"/>
      <c r="BE84" s="1585"/>
      <c r="BF84" s="1585"/>
      <c r="BG84" s="1585"/>
      <c r="BH84" s="1585"/>
      <c r="BI84" s="1585"/>
      <c r="BJ84" s="1585"/>
      <c r="BK84" s="1585"/>
      <c r="BL84" s="1585"/>
      <c r="BM84" s="1585"/>
      <c r="BN84" s="1585"/>
      <c r="BO84" s="1585"/>
      <c r="BP84" s="1585"/>
      <c r="BQ84" s="1585"/>
      <c r="BR84" s="1585"/>
      <c r="BS84" s="1585"/>
      <c r="BT84" s="1585"/>
      <c r="BU84" s="1585"/>
      <c r="BV84" s="1585"/>
      <c r="BW84" s="1585"/>
      <c r="BX84" s="1585"/>
      <c r="BY84" s="1585"/>
      <c r="BZ84" s="1585"/>
      <c r="CA84" s="1585"/>
      <c r="CB84" s="1585"/>
      <c r="CC84" s="1585"/>
      <c r="CD84" s="1585"/>
      <c r="CE84" s="1585"/>
      <c r="CF84" s="1585"/>
      <c r="CG84" s="1585"/>
      <c r="CH84" s="1585"/>
      <c r="CI84" s="1585"/>
      <c r="CJ84" s="1585"/>
      <c r="CK84" s="1585"/>
      <c r="CL84" s="1585"/>
      <c r="CM84" s="1585"/>
      <c r="CN84" s="1585"/>
      <c r="CO84" s="1585"/>
      <c r="CP84" s="1585"/>
      <c r="CQ84" s="1585"/>
      <c r="CR84" s="1585"/>
      <c r="CS84" s="1585"/>
      <c r="CT84" s="1585"/>
      <c r="CU84" s="1585"/>
      <c r="CV84" s="1585"/>
      <c r="CW84" s="1585"/>
      <c r="CX84" s="1585"/>
      <c r="CY84" s="1585"/>
      <c r="CZ84" s="1585"/>
    </row>
    <row r="85" spans="1:408">
      <c r="A85" s="1466"/>
      <c r="B85" s="1583"/>
      <c r="C85" s="1583"/>
      <c r="D85" s="1583"/>
      <c r="E85" s="1585"/>
      <c r="F85" s="1585"/>
      <c r="G85" s="1585"/>
      <c r="H85" s="1585"/>
      <c r="I85" s="1585"/>
      <c r="J85" s="1585"/>
      <c r="K85" s="1585"/>
      <c r="L85" s="1585"/>
      <c r="M85" s="1585"/>
      <c r="N85" s="1585"/>
      <c r="O85" s="1585"/>
      <c r="P85" s="1585"/>
      <c r="Q85" s="1585"/>
      <c r="R85" s="1585"/>
      <c r="S85" s="1585"/>
      <c r="T85" s="1585"/>
      <c r="U85" s="1585"/>
      <c r="V85" s="1585"/>
      <c r="W85" s="1585"/>
      <c r="X85" s="1585"/>
      <c r="Y85" s="1585"/>
      <c r="Z85" s="1585"/>
      <c r="AA85" s="1585"/>
      <c r="AB85" s="1585"/>
      <c r="AC85" s="1585"/>
      <c r="AD85" s="1585"/>
      <c r="AE85" s="1585"/>
      <c r="AF85" s="1585"/>
      <c r="AG85" s="1585"/>
      <c r="AH85" s="1585"/>
      <c r="AI85" s="1585"/>
      <c r="AJ85" s="1585"/>
      <c r="AK85" s="1585"/>
      <c r="AL85" s="1585"/>
      <c r="AM85" s="1585"/>
      <c r="AN85" s="1585"/>
      <c r="AO85" s="1585"/>
      <c r="AP85" s="1585"/>
      <c r="AQ85" s="1585"/>
      <c r="AR85" s="1585"/>
      <c r="AS85" s="1585"/>
      <c r="AT85" s="1585"/>
      <c r="AU85" s="1585"/>
      <c r="AV85" s="1585"/>
      <c r="AW85" s="1585"/>
      <c r="AX85" s="1585"/>
      <c r="AY85" s="1585"/>
      <c r="AZ85" s="1585"/>
      <c r="BA85" s="1585"/>
      <c r="BB85" s="1585"/>
      <c r="BC85" s="1585"/>
      <c r="BD85" s="1585"/>
      <c r="BE85" s="1585"/>
      <c r="BF85" s="1585"/>
      <c r="BG85" s="1585"/>
      <c r="BH85" s="1585"/>
      <c r="BI85" s="1585"/>
      <c r="BJ85" s="1585"/>
      <c r="BK85" s="1585"/>
      <c r="BL85" s="1585"/>
      <c r="BM85" s="1585"/>
      <c r="BN85" s="1585"/>
      <c r="BO85" s="1585"/>
      <c r="BP85" s="1585"/>
      <c r="BQ85" s="1585"/>
      <c r="BR85" s="1585"/>
      <c r="BS85" s="1585"/>
      <c r="BT85" s="1585"/>
      <c r="BU85" s="1585"/>
      <c r="BV85" s="1585"/>
      <c r="BW85" s="1585"/>
      <c r="BX85" s="1585"/>
      <c r="BY85" s="1585"/>
      <c r="BZ85" s="1585"/>
      <c r="CA85" s="1585"/>
      <c r="CB85" s="1585"/>
      <c r="CC85" s="1585"/>
      <c r="CD85" s="1585"/>
      <c r="CE85" s="1585"/>
      <c r="CF85" s="1585"/>
      <c r="CG85" s="1585"/>
      <c r="CH85" s="1585"/>
      <c r="CI85" s="1585"/>
      <c r="CJ85" s="1585"/>
      <c r="CK85" s="1585"/>
      <c r="CL85" s="1585"/>
      <c r="CM85" s="1585"/>
      <c r="CN85" s="1585"/>
      <c r="CO85" s="1585"/>
      <c r="CP85" s="1585"/>
      <c r="CQ85" s="1585"/>
      <c r="CR85" s="1585"/>
      <c r="CS85" s="1585"/>
      <c r="CT85" s="1585"/>
      <c r="CU85" s="1585"/>
      <c r="CV85" s="1585"/>
      <c r="CW85" s="1585"/>
      <c r="CX85" s="1585"/>
      <c r="CY85" s="1585"/>
      <c r="CZ85" s="1585"/>
    </row>
    <row r="86" spans="1:408">
      <c r="A86" s="1466"/>
      <c r="B86" s="1583"/>
      <c r="C86" s="1583"/>
      <c r="D86" s="1583"/>
      <c r="E86" s="1585"/>
      <c r="F86" s="1585"/>
      <c r="G86" s="1585"/>
      <c r="H86" s="1585"/>
      <c r="I86" s="1585"/>
      <c r="J86" s="1585"/>
      <c r="K86" s="1585"/>
      <c r="L86" s="1585"/>
      <c r="M86" s="1585"/>
      <c r="N86" s="1585"/>
      <c r="O86" s="1585"/>
      <c r="P86" s="1585"/>
      <c r="Q86" s="1585"/>
      <c r="R86" s="1585"/>
      <c r="S86" s="1585"/>
      <c r="T86" s="1585"/>
      <c r="U86" s="1585"/>
      <c r="V86" s="1585"/>
      <c r="W86" s="1585"/>
      <c r="X86" s="1585"/>
      <c r="Y86" s="1585"/>
      <c r="Z86" s="1585"/>
      <c r="AA86" s="1585"/>
      <c r="AB86" s="1585"/>
      <c r="AC86" s="1585"/>
      <c r="AD86" s="1585"/>
      <c r="AE86" s="1585"/>
      <c r="AF86" s="1585"/>
      <c r="AG86" s="1585"/>
      <c r="AH86" s="1585"/>
      <c r="AI86" s="1585"/>
      <c r="AJ86" s="1585"/>
      <c r="AK86" s="1585"/>
      <c r="AL86" s="1585"/>
      <c r="AM86" s="1585"/>
      <c r="AN86" s="1585"/>
      <c r="AO86" s="1585"/>
      <c r="AP86" s="1585"/>
      <c r="AQ86" s="1585"/>
      <c r="AR86" s="1585"/>
      <c r="AS86" s="1585"/>
      <c r="AT86" s="1585"/>
      <c r="AU86" s="1585"/>
      <c r="AV86" s="1585"/>
      <c r="AW86" s="1585"/>
      <c r="AX86" s="1585"/>
      <c r="AY86" s="1585"/>
      <c r="AZ86" s="1585"/>
      <c r="BA86" s="1585"/>
      <c r="BB86" s="1585"/>
      <c r="BC86" s="1585"/>
      <c r="BD86" s="1585"/>
      <c r="BE86" s="1585"/>
      <c r="BF86" s="1585"/>
      <c r="BG86" s="1585"/>
      <c r="BH86" s="1585"/>
      <c r="BI86" s="1585"/>
      <c r="BJ86" s="1585"/>
      <c r="BK86" s="1585"/>
      <c r="BL86" s="1585"/>
      <c r="BM86" s="1585"/>
      <c r="BN86" s="1585"/>
      <c r="BO86" s="1585"/>
      <c r="BP86" s="1585"/>
      <c r="BQ86" s="1585"/>
      <c r="BR86" s="1585"/>
      <c r="BS86" s="1585"/>
      <c r="BT86" s="1585"/>
      <c r="BU86" s="1585"/>
      <c r="BV86" s="1585"/>
      <c r="BW86" s="1585"/>
      <c r="BX86" s="1585"/>
      <c r="BY86" s="1585"/>
      <c r="BZ86" s="1585"/>
      <c r="CA86" s="1585"/>
      <c r="CB86" s="1585"/>
      <c r="CC86" s="1585"/>
      <c r="CD86" s="1585"/>
      <c r="CE86" s="1585"/>
      <c r="CF86" s="1585"/>
      <c r="CG86" s="1585"/>
      <c r="CH86" s="1585"/>
      <c r="CI86" s="1585"/>
      <c r="CJ86" s="1585"/>
      <c r="CK86" s="1585"/>
      <c r="CL86" s="1585"/>
      <c r="CM86" s="1585"/>
      <c r="CN86" s="1585"/>
      <c r="CO86" s="1585"/>
      <c r="CP86" s="1585"/>
      <c r="CQ86" s="1585"/>
      <c r="CR86" s="1585"/>
      <c r="CS86" s="1585"/>
      <c r="CT86" s="1585"/>
      <c r="CU86" s="1585"/>
      <c r="CV86" s="1585"/>
      <c r="CW86" s="1585"/>
      <c r="CX86" s="1585"/>
      <c r="CY86" s="1585"/>
      <c r="CZ86" s="1585"/>
    </row>
    <row r="87" spans="1:408">
      <c r="A87" s="1466"/>
      <c r="B87" s="1583"/>
      <c r="C87" s="1583"/>
      <c r="D87" s="1583"/>
      <c r="E87" s="1585"/>
      <c r="F87" s="1585"/>
      <c r="G87" s="1585"/>
      <c r="H87" s="1585"/>
      <c r="I87" s="1585"/>
      <c r="J87" s="1585"/>
      <c r="K87" s="1585"/>
      <c r="L87" s="1585"/>
      <c r="M87" s="1585"/>
      <c r="N87" s="1585"/>
      <c r="O87" s="1585"/>
      <c r="P87" s="1585"/>
      <c r="Q87" s="1585"/>
      <c r="R87" s="1585"/>
      <c r="S87" s="1585"/>
      <c r="T87" s="1585"/>
      <c r="U87" s="1585"/>
      <c r="V87" s="1585"/>
      <c r="W87" s="1585"/>
      <c r="X87" s="1585"/>
      <c r="Y87" s="1585"/>
      <c r="Z87" s="1585"/>
      <c r="AA87" s="1585"/>
      <c r="AB87" s="1585"/>
      <c r="AC87" s="1585"/>
      <c r="AD87" s="1585"/>
      <c r="AE87" s="1585"/>
      <c r="AF87" s="1585"/>
      <c r="AG87" s="1585"/>
      <c r="AH87" s="1585"/>
      <c r="AI87" s="1585"/>
      <c r="AJ87" s="1585"/>
      <c r="AK87" s="1585"/>
      <c r="AL87" s="1585"/>
      <c r="AM87" s="1585"/>
      <c r="AN87" s="1585"/>
      <c r="AO87" s="1585"/>
      <c r="AP87" s="1585"/>
      <c r="AQ87" s="1585"/>
      <c r="AR87" s="1585"/>
      <c r="AS87" s="1585"/>
      <c r="AT87" s="1585"/>
      <c r="AU87" s="1585"/>
      <c r="AV87" s="1585"/>
      <c r="AW87" s="1585"/>
      <c r="AX87" s="1585"/>
      <c r="AY87" s="1585"/>
      <c r="AZ87" s="1585"/>
      <c r="BA87" s="1585"/>
      <c r="BB87" s="1585"/>
      <c r="BC87" s="1585"/>
      <c r="BD87" s="1585"/>
      <c r="BE87" s="1585"/>
      <c r="BF87" s="1585"/>
      <c r="BG87" s="1585"/>
      <c r="BH87" s="1585"/>
      <c r="BI87" s="1585"/>
      <c r="BJ87" s="1585"/>
      <c r="BK87" s="1585"/>
      <c r="BL87" s="1585"/>
      <c r="BM87" s="1585"/>
      <c r="BN87" s="1585"/>
      <c r="BO87" s="1585"/>
      <c r="BP87" s="1585"/>
      <c r="BQ87" s="1585"/>
      <c r="BR87" s="1585"/>
      <c r="BS87" s="1585"/>
      <c r="BT87" s="1585"/>
      <c r="BU87" s="1585"/>
      <c r="BV87" s="1585"/>
      <c r="BW87" s="1585"/>
      <c r="BX87" s="1585"/>
      <c r="BY87" s="1585"/>
      <c r="BZ87" s="1585"/>
      <c r="CA87" s="1585"/>
      <c r="CB87" s="1585"/>
      <c r="CC87" s="1585"/>
      <c r="CD87" s="1585"/>
      <c r="CE87" s="1585"/>
      <c r="CF87" s="1585"/>
      <c r="CG87" s="1585"/>
      <c r="CH87" s="1585"/>
      <c r="CI87" s="1585"/>
      <c r="CJ87" s="1585"/>
      <c r="CK87" s="1585"/>
      <c r="CL87" s="1585"/>
      <c r="CM87" s="1585"/>
      <c r="CN87" s="1585"/>
      <c r="CO87" s="1585"/>
      <c r="CP87" s="1585"/>
      <c r="CQ87" s="1585"/>
      <c r="CR87" s="1585"/>
      <c r="CS87" s="1585"/>
      <c r="CT87" s="1585"/>
      <c r="CU87" s="1585"/>
      <c r="CV87" s="1585"/>
      <c r="CW87" s="1585"/>
      <c r="CX87" s="1585"/>
      <c r="CY87" s="1585"/>
      <c r="CZ87" s="1585"/>
    </row>
    <row r="88" spans="1:408">
      <c r="A88" s="1466"/>
      <c r="B88" s="1583"/>
      <c r="C88" s="1583"/>
      <c r="D88" s="1583"/>
      <c r="E88" s="1585"/>
      <c r="F88" s="1585"/>
      <c r="G88" s="1585"/>
      <c r="H88" s="1585"/>
      <c r="I88" s="1585"/>
      <c r="J88" s="1585"/>
      <c r="K88" s="1585"/>
      <c r="L88" s="1585"/>
      <c r="M88" s="1585"/>
      <c r="N88" s="1585"/>
      <c r="O88" s="1585"/>
      <c r="P88" s="1585"/>
      <c r="Q88" s="1585"/>
      <c r="R88" s="1585"/>
      <c r="S88" s="1585"/>
      <c r="T88" s="1585"/>
      <c r="U88" s="1585"/>
      <c r="V88" s="1585"/>
      <c r="W88" s="1585"/>
      <c r="X88" s="1585"/>
      <c r="Y88" s="1585"/>
      <c r="Z88" s="1585"/>
      <c r="AA88" s="1585"/>
      <c r="AB88" s="1585"/>
      <c r="AC88" s="1585"/>
      <c r="AD88" s="1585"/>
      <c r="AE88" s="1585"/>
      <c r="AF88" s="1585"/>
      <c r="AG88" s="1585"/>
      <c r="AH88" s="1585"/>
      <c r="AI88" s="1585"/>
      <c r="AJ88" s="1585"/>
      <c r="AK88" s="1585"/>
      <c r="AL88" s="1585"/>
      <c r="AM88" s="1585"/>
      <c r="AN88" s="1585"/>
      <c r="AO88" s="1585"/>
      <c r="AP88" s="1585"/>
      <c r="AQ88" s="1585"/>
      <c r="AR88" s="1585"/>
      <c r="AS88" s="1585"/>
      <c r="AT88" s="1585"/>
      <c r="AU88" s="1585"/>
      <c r="AV88" s="1585"/>
      <c r="AW88" s="1585"/>
      <c r="AX88" s="1585"/>
      <c r="AY88" s="1585"/>
      <c r="AZ88" s="1585"/>
      <c r="BA88" s="1585"/>
      <c r="BB88" s="1585"/>
      <c r="BC88" s="1585"/>
      <c r="BD88" s="1585"/>
      <c r="BE88" s="1585"/>
      <c r="BF88" s="1585"/>
      <c r="BG88" s="1585"/>
      <c r="BH88" s="1585"/>
      <c r="BI88" s="1585"/>
      <c r="BJ88" s="1585"/>
      <c r="BK88" s="1585"/>
      <c r="BL88" s="1585"/>
      <c r="BM88" s="1585"/>
      <c r="BN88" s="1585"/>
      <c r="BO88" s="1585"/>
      <c r="BP88" s="1585"/>
      <c r="BQ88" s="1585"/>
      <c r="BR88" s="1585"/>
      <c r="BS88" s="1585"/>
      <c r="BT88" s="1585"/>
      <c r="BU88" s="1585"/>
      <c r="BV88" s="1585"/>
      <c r="BW88" s="1585"/>
      <c r="BX88" s="1585"/>
      <c r="BY88" s="1585"/>
      <c r="BZ88" s="1585"/>
      <c r="CA88" s="1585"/>
      <c r="CB88" s="1585"/>
      <c r="CC88" s="1585"/>
      <c r="CD88" s="1585"/>
      <c r="CE88" s="1585"/>
      <c r="CF88" s="1585"/>
      <c r="CG88" s="1585"/>
      <c r="CH88" s="1585"/>
      <c r="CI88" s="1585"/>
      <c r="CJ88" s="1585"/>
      <c r="CK88" s="1585"/>
      <c r="CL88" s="1585"/>
      <c r="CM88" s="1585"/>
      <c r="CN88" s="1585"/>
      <c r="CO88" s="1585"/>
      <c r="CP88" s="1585"/>
      <c r="CQ88" s="1585"/>
      <c r="CR88" s="1585"/>
      <c r="CS88" s="1585"/>
      <c r="CT88" s="1585"/>
      <c r="CU88" s="1585"/>
      <c r="CV88" s="1585"/>
      <c r="CW88" s="1585"/>
      <c r="CX88" s="1585"/>
      <c r="CY88" s="1585"/>
      <c r="CZ88" s="1585"/>
    </row>
    <row r="89" spans="1:408">
      <c r="A89" s="1466"/>
      <c r="B89" s="1583"/>
      <c r="C89" s="1583"/>
      <c r="D89" s="1583"/>
      <c r="E89" s="1585"/>
      <c r="F89" s="1585"/>
      <c r="G89" s="1585"/>
      <c r="H89" s="1585"/>
      <c r="I89" s="1585"/>
      <c r="J89" s="1585"/>
      <c r="K89" s="1585"/>
      <c r="L89" s="1585"/>
      <c r="M89" s="1585"/>
      <c r="N89" s="1585"/>
      <c r="O89" s="1585"/>
      <c r="P89" s="1585"/>
      <c r="Q89" s="1585"/>
      <c r="R89" s="1585"/>
      <c r="S89" s="1585"/>
      <c r="T89" s="1585"/>
      <c r="U89" s="1585"/>
      <c r="V89" s="1585"/>
      <c r="W89" s="1585"/>
      <c r="X89" s="1585"/>
      <c r="Y89" s="1585"/>
      <c r="Z89" s="1585"/>
      <c r="AA89" s="1585"/>
      <c r="AB89" s="1585"/>
      <c r="AC89" s="1585"/>
      <c r="AD89" s="1585"/>
      <c r="AE89" s="1585"/>
      <c r="AF89" s="1585"/>
      <c r="AG89" s="1585"/>
      <c r="AH89" s="1585"/>
      <c r="AI89" s="1585"/>
      <c r="AJ89" s="1585"/>
      <c r="AK89" s="1585"/>
      <c r="AL89" s="1585"/>
      <c r="AM89" s="1585"/>
      <c r="AN89" s="1585"/>
      <c r="AO89" s="1585"/>
      <c r="AP89" s="1585"/>
      <c r="AQ89" s="1585"/>
      <c r="AR89" s="1585"/>
      <c r="AS89" s="1585"/>
      <c r="AT89" s="1585"/>
      <c r="AU89" s="1585"/>
      <c r="AV89" s="1585"/>
      <c r="AW89" s="1585"/>
      <c r="AX89" s="1585"/>
      <c r="AY89" s="1585"/>
      <c r="AZ89" s="1585"/>
      <c r="BA89" s="1585"/>
      <c r="BB89" s="1585"/>
      <c r="BC89" s="1585"/>
      <c r="BD89" s="1585"/>
      <c r="BE89" s="1585"/>
      <c r="BF89" s="1585"/>
      <c r="BG89" s="1585"/>
      <c r="BH89" s="1585"/>
      <c r="BI89" s="1585"/>
      <c r="BJ89" s="1585"/>
      <c r="BK89" s="1585"/>
      <c r="BL89" s="1585"/>
      <c r="BM89" s="1585"/>
      <c r="BN89" s="1585"/>
      <c r="BO89" s="1585"/>
      <c r="BP89" s="1585"/>
      <c r="BQ89" s="1585"/>
      <c r="BR89" s="1585"/>
      <c r="BS89" s="1585"/>
      <c r="BT89" s="1585"/>
      <c r="BU89" s="1585"/>
      <c r="BV89" s="1585"/>
      <c r="BW89" s="1585"/>
      <c r="BX89" s="1585"/>
      <c r="BY89" s="1585"/>
      <c r="BZ89" s="1585"/>
      <c r="CA89" s="1585"/>
      <c r="CB89" s="1585"/>
      <c r="CC89" s="1585"/>
      <c r="CD89" s="1585"/>
      <c r="CE89" s="1585"/>
      <c r="CF89" s="1585"/>
      <c r="CG89" s="1585"/>
      <c r="CH89" s="1585"/>
      <c r="CI89" s="1585"/>
      <c r="CJ89" s="1585"/>
      <c r="CK89" s="1585"/>
      <c r="CL89" s="1585"/>
      <c r="CM89" s="1585"/>
      <c r="CN89" s="1585"/>
      <c r="CO89" s="1585"/>
      <c r="CP89" s="1585"/>
      <c r="CQ89" s="1585"/>
      <c r="CR89" s="1585"/>
      <c r="CS89" s="1585"/>
      <c r="CT89" s="1585"/>
      <c r="CU89" s="1585"/>
      <c r="CV89" s="1585"/>
      <c r="CW89" s="1585"/>
      <c r="CX89" s="1585"/>
      <c r="CY89" s="1585"/>
      <c r="CZ89" s="1585"/>
    </row>
    <row r="90" spans="1:408">
      <c r="A90" s="1466"/>
      <c r="B90" s="1583"/>
      <c r="C90" s="1583"/>
      <c r="D90" s="1583"/>
      <c r="E90" s="1585"/>
      <c r="F90" s="1585"/>
      <c r="G90" s="1585"/>
      <c r="H90" s="1585"/>
      <c r="I90" s="1585"/>
      <c r="J90" s="1585"/>
      <c r="K90" s="1585"/>
      <c r="L90" s="1585"/>
      <c r="M90" s="1585"/>
      <c r="N90" s="1585"/>
      <c r="O90" s="1585"/>
      <c r="P90" s="1585"/>
      <c r="Q90" s="1585"/>
      <c r="R90" s="1585"/>
      <c r="S90" s="1585"/>
      <c r="T90" s="1585"/>
      <c r="U90" s="1585"/>
      <c r="V90" s="1585"/>
      <c r="W90" s="1585"/>
      <c r="X90" s="1585"/>
      <c r="Y90" s="1585"/>
      <c r="Z90" s="1585"/>
      <c r="AA90" s="1585"/>
      <c r="AB90" s="1585"/>
      <c r="AC90" s="1585"/>
      <c r="AD90" s="1585"/>
      <c r="AE90" s="1585"/>
      <c r="AF90" s="1585"/>
      <c r="AG90" s="1585"/>
      <c r="AH90" s="1585"/>
      <c r="AI90" s="1585"/>
      <c r="AJ90" s="1585"/>
      <c r="AK90" s="1585"/>
      <c r="AL90" s="1585"/>
      <c r="AM90" s="1585"/>
      <c r="AN90" s="1585"/>
      <c r="AO90" s="1585"/>
      <c r="AP90" s="1585"/>
      <c r="AQ90" s="1585"/>
      <c r="AR90" s="1585"/>
      <c r="AS90" s="1585"/>
      <c r="AT90" s="1585"/>
      <c r="AU90" s="1585"/>
      <c r="AV90" s="1585"/>
      <c r="AW90" s="1585"/>
      <c r="AX90" s="1585"/>
      <c r="AY90" s="1585"/>
      <c r="AZ90" s="1585"/>
      <c r="BA90" s="1585"/>
      <c r="BB90" s="1585"/>
      <c r="BC90" s="1585"/>
      <c r="BD90" s="1585"/>
      <c r="BE90" s="1585"/>
      <c r="BF90" s="1585"/>
      <c r="BG90" s="1585"/>
      <c r="BH90" s="1585"/>
      <c r="BI90" s="1585"/>
      <c r="BJ90" s="1585"/>
      <c r="BK90" s="1585"/>
      <c r="BL90" s="1585"/>
      <c r="BM90" s="1585"/>
      <c r="BN90" s="1585"/>
      <c r="BO90" s="1585"/>
      <c r="BP90" s="1585"/>
      <c r="BQ90" s="1585"/>
      <c r="BR90" s="1585"/>
      <c r="BS90" s="1585"/>
      <c r="BT90" s="1585"/>
      <c r="BU90" s="1585"/>
      <c r="BV90" s="1585"/>
      <c r="BW90" s="1585"/>
      <c r="BX90" s="1585"/>
      <c r="BY90" s="1585"/>
      <c r="BZ90" s="1585"/>
      <c r="CA90" s="1585"/>
      <c r="CB90" s="1585"/>
      <c r="CC90" s="1585"/>
      <c r="CD90" s="1585"/>
      <c r="CE90" s="1585"/>
      <c r="CF90" s="1585"/>
      <c r="CG90" s="1585"/>
      <c r="CH90" s="1585"/>
      <c r="CI90" s="1585"/>
      <c r="CJ90" s="1585"/>
      <c r="CK90" s="1585"/>
      <c r="CL90" s="1585"/>
      <c r="CM90" s="1585"/>
      <c r="CN90" s="1585"/>
      <c r="CO90" s="1585"/>
      <c r="CP90" s="1585"/>
      <c r="CQ90" s="1585"/>
      <c r="CR90" s="1585"/>
      <c r="CS90" s="1585"/>
      <c r="CT90" s="1585"/>
      <c r="CU90" s="1585"/>
      <c r="CV90" s="1585"/>
      <c r="CW90" s="1585"/>
      <c r="CX90" s="1585"/>
      <c r="CY90" s="1585"/>
      <c r="CZ90" s="1585"/>
    </row>
    <row r="91" spans="1:408">
      <c r="A91" s="1466"/>
      <c r="B91" s="1583"/>
      <c r="C91" s="1583"/>
      <c r="D91" s="1583"/>
      <c r="E91" s="1585"/>
      <c r="F91" s="1585"/>
      <c r="G91" s="1585"/>
      <c r="H91" s="1585"/>
      <c r="I91" s="1585"/>
      <c r="J91" s="1585"/>
      <c r="K91" s="1585"/>
      <c r="L91" s="1585"/>
      <c r="M91" s="1585"/>
      <c r="N91" s="1585"/>
      <c r="O91" s="1585"/>
      <c r="P91" s="1585"/>
      <c r="Q91" s="1585"/>
      <c r="R91" s="1585"/>
      <c r="S91" s="1585"/>
      <c r="T91" s="1585"/>
      <c r="U91" s="1585"/>
      <c r="V91" s="1585"/>
      <c r="W91" s="1585"/>
      <c r="X91" s="1585"/>
      <c r="Y91" s="1585"/>
      <c r="Z91" s="1585"/>
      <c r="AA91" s="1585"/>
      <c r="AB91" s="1585"/>
      <c r="AC91" s="1585"/>
      <c r="AD91" s="1585"/>
      <c r="AE91" s="1585"/>
      <c r="AF91" s="1585"/>
      <c r="AG91" s="1585"/>
      <c r="AH91" s="1585"/>
      <c r="AI91" s="1585"/>
      <c r="AJ91" s="1585"/>
      <c r="AK91" s="1585"/>
      <c r="AL91" s="1585"/>
      <c r="AM91" s="1585"/>
      <c r="AN91" s="1585"/>
      <c r="AO91" s="1585"/>
      <c r="AP91" s="1585"/>
      <c r="AQ91" s="1585"/>
      <c r="AR91" s="1585"/>
      <c r="AS91" s="1585"/>
      <c r="AT91" s="1585"/>
      <c r="AU91" s="1585"/>
      <c r="AV91" s="1585"/>
      <c r="AW91" s="1585"/>
      <c r="AX91" s="1585"/>
      <c r="AY91" s="1585"/>
      <c r="AZ91" s="1585"/>
      <c r="BA91" s="1585"/>
      <c r="BB91" s="1585"/>
      <c r="BC91" s="1585"/>
      <c r="BD91" s="1585"/>
      <c r="BE91" s="1585"/>
      <c r="BF91" s="1585"/>
      <c r="BG91" s="1585"/>
      <c r="BH91" s="1585"/>
      <c r="BI91" s="1585"/>
      <c r="BJ91" s="1585"/>
      <c r="BK91" s="1585"/>
      <c r="BL91" s="1585"/>
      <c r="BM91" s="1585"/>
      <c r="BN91" s="1585"/>
      <c r="BO91" s="1585"/>
      <c r="BP91" s="1585"/>
      <c r="BQ91" s="1585"/>
      <c r="BR91" s="1585"/>
      <c r="BS91" s="1585"/>
      <c r="BT91" s="1585"/>
      <c r="BU91" s="1585"/>
      <c r="BV91" s="1585"/>
      <c r="BW91" s="1585"/>
      <c r="BX91" s="1585"/>
      <c r="BY91" s="1585"/>
      <c r="BZ91" s="1585"/>
      <c r="CA91" s="1585"/>
      <c r="CB91" s="1585"/>
      <c r="CC91" s="1585"/>
      <c r="CD91" s="1585"/>
      <c r="CE91" s="1585"/>
      <c r="CF91" s="1585"/>
      <c r="CG91" s="1585"/>
      <c r="CH91" s="1585"/>
      <c r="CI91" s="1585"/>
      <c r="CJ91" s="1585"/>
      <c r="CK91" s="1585"/>
      <c r="CL91" s="1585"/>
      <c r="CM91" s="1585"/>
      <c r="CN91" s="1585"/>
      <c r="CO91" s="1585"/>
      <c r="CP91" s="1585"/>
      <c r="CQ91" s="1585"/>
      <c r="CR91" s="1585"/>
      <c r="CS91" s="1585"/>
      <c r="CT91" s="1585"/>
      <c r="CU91" s="1585"/>
      <c r="CV91" s="1585"/>
      <c r="CW91" s="1585"/>
      <c r="CX91" s="1585"/>
      <c r="CY91" s="1585"/>
      <c r="CZ91" s="1585"/>
    </row>
    <row r="92" spans="1:408">
      <c r="A92" s="1466"/>
      <c r="B92" s="1583"/>
      <c r="C92" s="1583"/>
      <c r="D92" s="1583"/>
      <c r="E92" s="1585"/>
      <c r="F92" s="1585"/>
      <c r="G92" s="1585"/>
      <c r="H92" s="1585"/>
      <c r="I92" s="1585"/>
      <c r="J92" s="1585"/>
      <c r="K92" s="1585"/>
      <c r="L92" s="1585"/>
      <c r="M92" s="1585"/>
      <c r="N92" s="1585"/>
      <c r="O92" s="1585"/>
      <c r="P92" s="1585"/>
      <c r="Q92" s="1585"/>
      <c r="R92" s="1585"/>
      <c r="S92" s="1585"/>
      <c r="T92" s="1585"/>
      <c r="U92" s="1585"/>
      <c r="V92" s="1585"/>
      <c r="W92" s="1585"/>
      <c r="X92" s="1585"/>
      <c r="Y92" s="1585"/>
      <c r="Z92" s="1585"/>
      <c r="AA92" s="1585"/>
      <c r="AB92" s="1585"/>
      <c r="AC92" s="1585"/>
      <c r="AD92" s="1585"/>
      <c r="AE92" s="1585"/>
      <c r="AF92" s="1585"/>
      <c r="AG92" s="1585"/>
      <c r="AH92" s="1585"/>
      <c r="AI92" s="1585"/>
      <c r="AJ92" s="1585"/>
      <c r="AK92" s="1585"/>
      <c r="AL92" s="1585"/>
      <c r="AM92" s="1585"/>
      <c r="AN92" s="1585"/>
      <c r="AO92" s="1585"/>
      <c r="AP92" s="1585"/>
      <c r="AQ92" s="1585"/>
      <c r="AR92" s="1585"/>
      <c r="AS92" s="1585"/>
      <c r="AT92" s="1585"/>
      <c r="AU92" s="1585"/>
      <c r="AV92" s="1585"/>
      <c r="AW92" s="1585"/>
      <c r="AX92" s="1585"/>
      <c r="AY92" s="1585"/>
      <c r="AZ92" s="1585"/>
      <c r="BA92" s="1585"/>
      <c r="BB92" s="1585"/>
      <c r="BC92" s="1585"/>
      <c r="BD92" s="1585"/>
      <c r="BE92" s="1585"/>
      <c r="BF92" s="1585"/>
      <c r="BG92" s="1585"/>
      <c r="BH92" s="1585"/>
      <c r="BI92" s="1585"/>
      <c r="BJ92" s="1585"/>
      <c r="BK92" s="1585"/>
      <c r="BL92" s="1585"/>
      <c r="BM92" s="1585"/>
      <c r="BN92" s="1585"/>
      <c r="BO92" s="1585"/>
      <c r="BP92" s="1585"/>
      <c r="BQ92" s="1585"/>
      <c r="BR92" s="1585"/>
      <c r="BS92" s="1585"/>
      <c r="BT92" s="1585"/>
      <c r="BU92" s="1585"/>
      <c r="BV92" s="1585"/>
      <c r="BW92" s="1585"/>
      <c r="BX92" s="1585"/>
      <c r="BY92" s="1585"/>
      <c r="BZ92" s="1585"/>
      <c r="CA92" s="1585"/>
      <c r="CB92" s="1585"/>
      <c r="CC92" s="1585"/>
      <c r="CD92" s="1585"/>
      <c r="CE92" s="1585"/>
      <c r="CF92" s="1585"/>
      <c r="CG92" s="1585"/>
      <c r="CH92" s="1585"/>
      <c r="CI92" s="1585"/>
      <c r="CJ92" s="1585"/>
      <c r="CK92" s="1585"/>
      <c r="CL92" s="1585"/>
      <c r="CM92" s="1585"/>
      <c r="CN92" s="1585"/>
      <c r="CO92" s="1585"/>
      <c r="CP92" s="1585"/>
      <c r="CQ92" s="1585"/>
      <c r="CR92" s="1585"/>
      <c r="CS92" s="1585"/>
      <c r="CT92" s="1585"/>
      <c r="CU92" s="1585"/>
      <c r="CV92" s="1585"/>
      <c r="CW92" s="1585"/>
      <c r="CX92" s="1585"/>
      <c r="CY92" s="1585"/>
      <c r="CZ92" s="1585"/>
    </row>
    <row r="93" spans="1:408">
      <c r="A93" s="1466"/>
      <c r="B93" s="1583"/>
      <c r="C93" s="1583"/>
      <c r="D93" s="1583"/>
      <c r="E93" s="1585"/>
      <c r="F93" s="1585"/>
      <c r="G93" s="1585"/>
      <c r="H93" s="1585"/>
      <c r="I93" s="1585"/>
      <c r="J93" s="1585"/>
      <c r="K93" s="1585"/>
      <c r="L93" s="1585"/>
      <c r="M93" s="1585"/>
      <c r="N93" s="1585"/>
      <c r="O93" s="1585"/>
      <c r="P93" s="1585"/>
      <c r="Q93" s="1585"/>
      <c r="R93" s="1585"/>
      <c r="S93" s="1585"/>
      <c r="T93" s="1585"/>
      <c r="U93" s="1585"/>
      <c r="V93" s="1585"/>
      <c r="W93" s="1585"/>
      <c r="X93" s="1585"/>
      <c r="Y93" s="1585"/>
      <c r="Z93" s="1585"/>
      <c r="AA93" s="1585"/>
      <c r="AB93" s="1585"/>
      <c r="AC93" s="1585"/>
      <c r="AD93" s="1585"/>
      <c r="AE93" s="1585"/>
      <c r="AF93" s="1585"/>
      <c r="AG93" s="1585"/>
      <c r="AH93" s="1585"/>
      <c r="AI93" s="1585"/>
      <c r="AJ93" s="1585"/>
      <c r="AK93" s="1585"/>
      <c r="AL93" s="1585"/>
      <c r="AM93" s="1585"/>
      <c r="AN93" s="1585"/>
      <c r="AO93" s="1585"/>
      <c r="AP93" s="1585"/>
      <c r="AQ93" s="1585"/>
      <c r="AR93" s="1585"/>
      <c r="AS93" s="1585"/>
      <c r="AT93" s="1585"/>
      <c r="AU93" s="1585"/>
      <c r="AV93" s="1585"/>
      <c r="AW93" s="1585"/>
      <c r="AX93" s="1585"/>
      <c r="AY93" s="1585"/>
      <c r="AZ93" s="1585"/>
      <c r="BA93" s="1585"/>
      <c r="BB93" s="1585"/>
      <c r="BC93" s="1585"/>
      <c r="BD93" s="1585"/>
      <c r="BE93" s="1585"/>
      <c r="BF93" s="1585"/>
      <c r="BG93" s="1585"/>
      <c r="BH93" s="1585"/>
      <c r="BI93" s="1585"/>
      <c r="BJ93" s="1585"/>
      <c r="BK93" s="1585"/>
      <c r="BL93" s="1585"/>
      <c r="BM93" s="1585"/>
      <c r="BN93" s="1585"/>
      <c r="BO93" s="1585"/>
      <c r="BP93" s="1585"/>
      <c r="BQ93" s="1585"/>
      <c r="BR93" s="1585"/>
      <c r="BS93" s="1585"/>
      <c r="BT93" s="1585"/>
      <c r="BU93" s="1585"/>
      <c r="BV93" s="1585"/>
      <c r="BW93" s="1585"/>
      <c r="BX93" s="1585"/>
      <c r="BY93" s="1585"/>
      <c r="BZ93" s="1585"/>
      <c r="CA93" s="1585"/>
      <c r="CB93" s="1585"/>
      <c r="CC93" s="1585"/>
      <c r="CD93" s="1585"/>
      <c r="CE93" s="1585"/>
      <c r="CF93" s="1585"/>
      <c r="CG93" s="1585"/>
      <c r="CH93" s="1585"/>
      <c r="CI93" s="1585"/>
      <c r="CJ93" s="1585"/>
      <c r="CK93" s="1585"/>
      <c r="CL93" s="1585"/>
      <c r="CM93" s="1585"/>
      <c r="CN93" s="1585"/>
      <c r="CO93" s="1585"/>
      <c r="CP93" s="1585"/>
      <c r="CQ93" s="1585"/>
      <c r="CR93" s="1585"/>
      <c r="CS93" s="1585"/>
      <c r="CT93" s="1585"/>
      <c r="CU93" s="1585"/>
      <c r="CV93" s="1585"/>
      <c r="CW93" s="1585"/>
      <c r="CX93" s="1585"/>
      <c r="CY93" s="1585"/>
      <c r="CZ93" s="1585"/>
    </row>
    <row r="94" spans="1:408">
      <c r="A94" s="1466"/>
      <c r="B94" s="1583"/>
      <c r="C94" s="1583"/>
      <c r="D94" s="1583"/>
      <c r="E94" s="1585"/>
      <c r="F94" s="1585"/>
      <c r="G94" s="1585"/>
      <c r="H94" s="1585"/>
      <c r="I94" s="1585"/>
      <c r="J94" s="1585"/>
      <c r="K94" s="1585"/>
      <c r="L94" s="1585"/>
      <c r="M94" s="1585"/>
      <c r="N94" s="1585"/>
      <c r="O94" s="1585"/>
      <c r="P94" s="1585"/>
      <c r="Q94" s="1585"/>
      <c r="R94" s="1585"/>
      <c r="S94" s="1585"/>
      <c r="T94" s="1585"/>
      <c r="U94" s="1585"/>
      <c r="V94" s="1585"/>
      <c r="W94" s="1585"/>
      <c r="X94" s="1585"/>
      <c r="Y94" s="1585"/>
      <c r="Z94" s="1585"/>
      <c r="AA94" s="1585"/>
      <c r="AB94" s="1585"/>
      <c r="AC94" s="1585"/>
      <c r="AD94" s="1585"/>
      <c r="AE94" s="1585"/>
      <c r="AF94" s="1585"/>
      <c r="AG94" s="1585"/>
      <c r="AH94" s="1585"/>
      <c r="AI94" s="1585"/>
      <c r="AJ94" s="1585"/>
      <c r="AK94" s="1585"/>
      <c r="AL94" s="1585"/>
      <c r="AM94" s="1585"/>
      <c r="AN94" s="1585"/>
      <c r="AO94" s="1585"/>
      <c r="AP94" s="1585"/>
      <c r="AQ94" s="1585"/>
      <c r="AR94" s="1585"/>
      <c r="AS94" s="1585"/>
      <c r="AT94" s="1585"/>
      <c r="AU94" s="1585"/>
      <c r="AV94" s="1585"/>
      <c r="AW94" s="1585"/>
      <c r="AX94" s="1585"/>
      <c r="AY94" s="1585"/>
      <c r="AZ94" s="1585"/>
      <c r="BA94" s="1585"/>
      <c r="BB94" s="1585"/>
      <c r="BC94" s="1585"/>
      <c r="BD94" s="1585"/>
      <c r="BE94" s="1585"/>
      <c r="BF94" s="1585"/>
      <c r="BG94" s="1585"/>
      <c r="BH94" s="1585"/>
      <c r="BI94" s="1585"/>
      <c r="BJ94" s="1585"/>
      <c r="BK94" s="1585"/>
      <c r="BL94" s="1585"/>
      <c r="BM94" s="1585"/>
      <c r="BN94" s="1585"/>
      <c r="BO94" s="1585"/>
      <c r="BP94" s="1585"/>
      <c r="BQ94" s="1585"/>
      <c r="BR94" s="1585"/>
      <c r="BS94" s="1585"/>
      <c r="BT94" s="1585"/>
      <c r="BU94" s="1585"/>
      <c r="BV94" s="1585"/>
      <c r="BW94" s="1585"/>
      <c r="BX94" s="1585"/>
      <c r="BY94" s="1585"/>
      <c r="BZ94" s="1585"/>
      <c r="CA94" s="1585"/>
      <c r="CB94" s="1585"/>
      <c r="CC94" s="1585"/>
      <c r="CD94" s="1585"/>
      <c r="CE94" s="1585"/>
      <c r="CF94" s="1585"/>
      <c r="CG94" s="1585"/>
      <c r="CH94" s="1585"/>
      <c r="CI94" s="1585"/>
      <c r="CJ94" s="1585"/>
      <c r="CK94" s="1585"/>
      <c r="CL94" s="1585"/>
      <c r="CM94" s="1585"/>
      <c r="CN94" s="1585"/>
      <c r="CO94" s="1585"/>
      <c r="CP94" s="1585"/>
      <c r="CQ94" s="1585"/>
      <c r="CR94" s="1585"/>
      <c r="CS94" s="1585"/>
      <c r="CT94" s="1585"/>
      <c r="CU94" s="1585"/>
      <c r="CV94" s="1585"/>
      <c r="CW94" s="1585"/>
      <c r="CX94" s="1585"/>
      <c r="CY94" s="1585"/>
      <c r="CZ94" s="1585"/>
    </row>
    <row r="95" spans="1:408">
      <c r="A95" s="1466"/>
      <c r="B95" s="1583"/>
      <c r="C95" s="1583"/>
      <c r="D95" s="1583"/>
      <c r="E95" s="1585"/>
      <c r="F95" s="1585"/>
      <c r="G95" s="1585"/>
      <c r="H95" s="1585"/>
      <c r="I95" s="1585"/>
      <c r="J95" s="1585"/>
      <c r="K95" s="1585"/>
      <c r="L95" s="1585"/>
      <c r="M95" s="1585"/>
      <c r="N95" s="1585"/>
      <c r="O95" s="1585"/>
      <c r="P95" s="1585"/>
      <c r="Q95" s="1585"/>
      <c r="R95" s="1585"/>
      <c r="S95" s="1585"/>
      <c r="T95" s="1585"/>
      <c r="U95" s="1585"/>
      <c r="V95" s="1585"/>
      <c r="W95" s="1585"/>
      <c r="X95" s="1585"/>
      <c r="Y95" s="1585"/>
      <c r="Z95" s="1585"/>
      <c r="AA95" s="1585"/>
      <c r="AB95" s="1585"/>
      <c r="AC95" s="1585"/>
      <c r="AD95" s="1585"/>
      <c r="AE95" s="1585"/>
      <c r="AF95" s="1585"/>
      <c r="AG95" s="1585"/>
      <c r="AH95" s="1585"/>
      <c r="AI95" s="1585"/>
      <c r="AJ95" s="1585"/>
      <c r="AK95" s="1585"/>
      <c r="AL95" s="1585"/>
      <c r="AM95" s="1585"/>
      <c r="AN95" s="1585"/>
      <c r="AO95" s="1585"/>
      <c r="AP95" s="1585"/>
      <c r="AQ95" s="1585"/>
      <c r="AR95" s="1585"/>
      <c r="AS95" s="1585"/>
      <c r="AT95" s="1585"/>
      <c r="AU95" s="1585"/>
      <c r="AV95" s="1585"/>
      <c r="AW95" s="1585"/>
      <c r="AX95" s="1585"/>
      <c r="AY95" s="1585"/>
      <c r="AZ95" s="1585"/>
      <c r="BA95" s="1585"/>
      <c r="BB95" s="1585"/>
      <c r="BC95" s="1585"/>
      <c r="BD95" s="1585"/>
      <c r="BE95" s="1585"/>
      <c r="BF95" s="1585"/>
      <c r="BG95" s="1585"/>
      <c r="BH95" s="1585"/>
      <c r="BI95" s="1585"/>
      <c r="BJ95" s="1585"/>
      <c r="BK95" s="1585"/>
      <c r="BL95" s="1585"/>
      <c r="BM95" s="1585"/>
      <c r="BN95" s="1585"/>
      <c r="BO95" s="1585"/>
      <c r="BP95" s="1585"/>
      <c r="BQ95" s="1585"/>
      <c r="BR95" s="1585"/>
      <c r="BS95" s="1585"/>
      <c r="BT95" s="1585"/>
      <c r="BU95" s="1585"/>
      <c r="BV95" s="1585"/>
      <c r="BW95" s="1585"/>
      <c r="BX95" s="1585"/>
      <c r="BY95" s="1585"/>
      <c r="BZ95" s="1585"/>
      <c r="CA95" s="1585"/>
      <c r="CB95" s="1585"/>
      <c r="CC95" s="1585"/>
      <c r="CD95" s="1585"/>
      <c r="CE95" s="1585"/>
      <c r="CF95" s="1585"/>
      <c r="CG95" s="1585"/>
      <c r="CH95" s="1585"/>
      <c r="CI95" s="1585"/>
      <c r="CJ95" s="1585"/>
      <c r="CK95" s="1585"/>
      <c r="CL95" s="1585"/>
      <c r="CM95" s="1585"/>
      <c r="CN95" s="1585"/>
      <c r="CO95" s="1585"/>
      <c r="CP95" s="1585"/>
      <c r="CQ95" s="1585"/>
      <c r="CR95" s="1585"/>
      <c r="CS95" s="1585"/>
      <c r="CT95" s="1585"/>
      <c r="CU95" s="1585"/>
      <c r="CV95" s="1585"/>
      <c r="CW95" s="1585"/>
      <c r="CX95" s="1585"/>
      <c r="CY95" s="1585"/>
      <c r="CZ95" s="1585"/>
    </row>
    <row r="96" spans="1:408">
      <c r="A96" s="1466"/>
      <c r="B96" s="1583"/>
      <c r="C96" s="1583"/>
      <c r="D96" s="1583"/>
      <c r="E96" s="1585"/>
      <c r="F96" s="1585"/>
      <c r="G96" s="1585"/>
      <c r="H96" s="1585"/>
      <c r="I96" s="1585"/>
      <c r="J96" s="1585"/>
      <c r="K96" s="1585"/>
      <c r="L96" s="1585"/>
      <c r="M96" s="1585"/>
      <c r="N96" s="1585"/>
      <c r="O96" s="1585"/>
      <c r="P96" s="1585"/>
      <c r="Q96" s="1585"/>
      <c r="R96" s="1585"/>
      <c r="S96" s="1585"/>
      <c r="T96" s="1585"/>
      <c r="U96" s="1585"/>
      <c r="V96" s="1585"/>
      <c r="W96" s="1585"/>
      <c r="X96" s="1585"/>
      <c r="Y96" s="1585"/>
      <c r="Z96" s="1585"/>
      <c r="AA96" s="1585"/>
      <c r="AB96" s="1585"/>
      <c r="AC96" s="1585"/>
      <c r="AD96" s="1585"/>
      <c r="AE96" s="1585"/>
      <c r="AF96" s="1585"/>
      <c r="AG96" s="1585"/>
      <c r="AH96" s="1585"/>
      <c r="AI96" s="1585"/>
      <c r="AJ96" s="1585"/>
      <c r="AK96" s="1585"/>
      <c r="AL96" s="1585"/>
      <c r="AM96" s="1585"/>
      <c r="AN96" s="1585"/>
      <c r="AO96" s="1585"/>
      <c r="AP96" s="1585"/>
      <c r="AQ96" s="1585"/>
      <c r="AR96" s="1585"/>
      <c r="AS96" s="1585"/>
      <c r="AT96" s="1585"/>
      <c r="AU96" s="1585"/>
      <c r="AV96" s="1585"/>
      <c r="AW96" s="1585"/>
      <c r="AX96" s="1585"/>
      <c r="AY96" s="1585"/>
      <c r="AZ96" s="1585"/>
      <c r="BA96" s="1585"/>
      <c r="BB96" s="1585"/>
      <c r="BC96" s="1585"/>
      <c r="BD96" s="1585"/>
      <c r="BE96" s="1585"/>
      <c r="BF96" s="1585"/>
      <c r="BG96" s="1585"/>
      <c r="BH96" s="1585"/>
      <c r="BI96" s="1585"/>
      <c r="BJ96" s="1585"/>
      <c r="BK96" s="1585"/>
      <c r="BL96" s="1585"/>
      <c r="BM96" s="1585"/>
      <c r="BN96" s="1585"/>
      <c r="BO96" s="1585"/>
      <c r="BP96" s="1585"/>
      <c r="BQ96" s="1585"/>
      <c r="BR96" s="1585"/>
      <c r="BS96" s="1585"/>
      <c r="BT96" s="1585"/>
      <c r="BU96" s="1585"/>
      <c r="BV96" s="1585"/>
      <c r="BW96" s="1585"/>
      <c r="BX96" s="1585"/>
      <c r="BY96" s="1585"/>
      <c r="BZ96" s="1585"/>
      <c r="CA96" s="1585"/>
      <c r="CB96" s="1585"/>
      <c r="CC96" s="1585"/>
      <c r="CD96" s="1585"/>
      <c r="CE96" s="1585"/>
      <c r="CF96" s="1585"/>
      <c r="CG96" s="1585"/>
      <c r="CH96" s="1585"/>
      <c r="CI96" s="1585"/>
      <c r="CJ96" s="1585"/>
      <c r="CK96" s="1585"/>
      <c r="CL96" s="1585"/>
      <c r="CM96" s="1585"/>
      <c r="CN96" s="1585"/>
      <c r="CO96" s="1585"/>
      <c r="CP96" s="1585"/>
      <c r="CQ96" s="1585"/>
      <c r="CR96" s="1585"/>
      <c r="CS96" s="1585"/>
      <c r="CT96" s="1585"/>
      <c r="CU96" s="1585"/>
      <c r="CV96" s="1585"/>
      <c r="CW96" s="1585"/>
      <c r="CX96" s="1585"/>
      <c r="CY96" s="1585"/>
      <c r="CZ96" s="1585"/>
    </row>
    <row r="97" spans="1:104">
      <c r="A97" s="1466"/>
      <c r="B97" s="1583"/>
      <c r="C97" s="1583"/>
      <c r="D97" s="1583"/>
      <c r="E97" s="1585"/>
      <c r="F97" s="1585"/>
      <c r="G97" s="1585"/>
      <c r="H97" s="1585"/>
      <c r="I97" s="1585"/>
      <c r="J97" s="1585"/>
      <c r="K97" s="1585"/>
      <c r="L97" s="1585"/>
      <c r="M97" s="1585"/>
      <c r="N97" s="1585"/>
      <c r="O97" s="1585"/>
      <c r="P97" s="1585"/>
      <c r="Q97" s="1585"/>
      <c r="R97" s="1585"/>
      <c r="S97" s="1585"/>
      <c r="T97" s="1585"/>
      <c r="U97" s="1585"/>
      <c r="V97" s="1585"/>
      <c r="W97" s="1585"/>
      <c r="X97" s="1585"/>
      <c r="Y97" s="1585"/>
      <c r="Z97" s="1585"/>
      <c r="AA97" s="1585"/>
      <c r="AB97" s="1585"/>
      <c r="AC97" s="1585"/>
      <c r="AD97" s="1585"/>
      <c r="AE97" s="1585"/>
      <c r="AF97" s="1585"/>
      <c r="AG97" s="1585"/>
      <c r="AH97" s="1585"/>
      <c r="AI97" s="1585"/>
      <c r="AJ97" s="1585"/>
      <c r="AK97" s="1585"/>
      <c r="AL97" s="1585"/>
      <c r="AM97" s="1585"/>
      <c r="AN97" s="1585"/>
      <c r="AO97" s="1585"/>
      <c r="AP97" s="1585"/>
      <c r="AQ97" s="1585"/>
      <c r="AR97" s="1585"/>
      <c r="AS97" s="1585"/>
      <c r="AT97" s="1585"/>
      <c r="AU97" s="1585"/>
      <c r="AV97" s="1585"/>
      <c r="AW97" s="1585"/>
      <c r="AX97" s="1585"/>
      <c r="AY97" s="1585"/>
      <c r="AZ97" s="1585"/>
      <c r="BA97" s="1585"/>
      <c r="BB97" s="1585"/>
      <c r="BC97" s="1585"/>
      <c r="BD97" s="1585"/>
      <c r="BE97" s="1585"/>
      <c r="BF97" s="1585"/>
      <c r="BG97" s="1585"/>
      <c r="BH97" s="1585"/>
      <c r="BI97" s="1585"/>
      <c r="BJ97" s="1585"/>
      <c r="BK97" s="1585"/>
      <c r="BL97" s="1585"/>
      <c r="BM97" s="1585"/>
      <c r="BN97" s="1585"/>
      <c r="BO97" s="1585"/>
      <c r="BP97" s="1585"/>
      <c r="BQ97" s="1585"/>
      <c r="BR97" s="1585"/>
      <c r="BS97" s="1585"/>
      <c r="BT97" s="1585"/>
      <c r="BU97" s="1585"/>
      <c r="BV97" s="1585"/>
      <c r="BW97" s="1585"/>
      <c r="BX97" s="1585"/>
      <c r="BY97" s="1585"/>
      <c r="BZ97" s="1585"/>
      <c r="CA97" s="1585"/>
      <c r="CB97" s="1585"/>
      <c r="CC97" s="1585"/>
      <c r="CD97" s="1585"/>
      <c r="CE97" s="1585"/>
      <c r="CF97" s="1585"/>
      <c r="CG97" s="1585"/>
      <c r="CH97" s="1585"/>
      <c r="CI97" s="1585"/>
      <c r="CJ97" s="1585"/>
      <c r="CK97" s="1585"/>
      <c r="CL97" s="1585"/>
      <c r="CM97" s="1585"/>
      <c r="CN97" s="1585"/>
      <c r="CO97" s="1585"/>
      <c r="CP97" s="1585"/>
      <c r="CQ97" s="1585"/>
      <c r="CR97" s="1585"/>
      <c r="CS97" s="1585"/>
      <c r="CT97" s="1585"/>
      <c r="CU97" s="1585"/>
      <c r="CV97" s="1585"/>
      <c r="CW97" s="1585"/>
      <c r="CX97" s="1585"/>
      <c r="CY97" s="1585"/>
      <c r="CZ97" s="1585"/>
    </row>
    <row r="98" spans="1:104">
      <c r="A98" s="1466"/>
      <c r="B98" s="1583"/>
      <c r="C98" s="1583"/>
      <c r="D98" s="1583"/>
      <c r="E98" s="1585"/>
      <c r="F98" s="1585"/>
      <c r="G98" s="1585"/>
      <c r="H98" s="1585"/>
      <c r="I98" s="1585"/>
      <c r="J98" s="1585"/>
      <c r="K98" s="1585"/>
      <c r="L98" s="1585"/>
      <c r="M98" s="1585"/>
      <c r="N98" s="1585"/>
      <c r="O98" s="1585"/>
      <c r="P98" s="1585"/>
      <c r="Q98" s="1585"/>
      <c r="R98" s="1585"/>
      <c r="S98" s="1585"/>
      <c r="T98" s="1585"/>
      <c r="U98" s="1585"/>
      <c r="V98" s="1585"/>
      <c r="W98" s="1585"/>
      <c r="X98" s="1585"/>
      <c r="Y98" s="1585"/>
      <c r="Z98" s="1585"/>
      <c r="AA98" s="1585"/>
      <c r="AB98" s="1585"/>
      <c r="AC98" s="1585"/>
      <c r="AD98" s="1585"/>
      <c r="AE98" s="1585"/>
      <c r="AF98" s="1585"/>
      <c r="AG98" s="1585"/>
      <c r="AH98" s="1585"/>
      <c r="AI98" s="1585"/>
      <c r="AJ98" s="1585"/>
      <c r="AK98" s="1585"/>
      <c r="AL98" s="1585"/>
      <c r="AM98" s="1585"/>
      <c r="AN98" s="1585"/>
      <c r="AO98" s="1585"/>
      <c r="AP98" s="1585"/>
      <c r="AQ98" s="1585"/>
      <c r="AR98" s="1585"/>
      <c r="AS98" s="1585"/>
      <c r="AT98" s="1585"/>
      <c r="AU98" s="1585"/>
      <c r="AV98" s="1585"/>
      <c r="AW98" s="1585"/>
      <c r="AX98" s="1585"/>
      <c r="AY98" s="1585"/>
      <c r="AZ98" s="1585"/>
      <c r="BA98" s="1585"/>
      <c r="BB98" s="1585"/>
      <c r="BC98" s="1585"/>
      <c r="BD98" s="1585"/>
      <c r="BE98" s="1585"/>
      <c r="BF98" s="1585"/>
      <c r="BG98" s="1585"/>
      <c r="BH98" s="1585"/>
      <c r="BI98" s="1585"/>
      <c r="BJ98" s="1585"/>
      <c r="BK98" s="1585"/>
      <c r="BL98" s="1585"/>
      <c r="BM98" s="1585"/>
      <c r="BN98" s="1585"/>
      <c r="BO98" s="1585"/>
      <c r="BP98" s="1585"/>
      <c r="BQ98" s="1585"/>
      <c r="BR98" s="1585"/>
      <c r="BS98" s="1585"/>
      <c r="BT98" s="1585"/>
      <c r="BU98" s="1585"/>
      <c r="BV98" s="1585"/>
      <c r="BW98" s="1585"/>
      <c r="BX98" s="1585"/>
      <c r="BY98" s="1585"/>
      <c r="BZ98" s="1585"/>
      <c r="CA98" s="1585"/>
      <c r="CB98" s="1585"/>
      <c r="CC98" s="1585"/>
      <c r="CD98" s="1585"/>
      <c r="CE98" s="1585"/>
      <c r="CF98" s="1585"/>
      <c r="CG98" s="1585"/>
      <c r="CH98" s="1585"/>
      <c r="CI98" s="1585"/>
      <c r="CJ98" s="1585"/>
      <c r="CK98" s="1585"/>
      <c r="CL98" s="1585"/>
      <c r="CM98" s="1585"/>
      <c r="CN98" s="1585"/>
      <c r="CO98" s="1585"/>
      <c r="CP98" s="1585"/>
      <c r="CQ98" s="1585"/>
      <c r="CR98" s="1585"/>
      <c r="CS98" s="1585"/>
      <c r="CT98" s="1585"/>
      <c r="CU98" s="1585"/>
      <c r="CV98" s="1585"/>
      <c r="CW98" s="1585"/>
      <c r="CX98" s="1585"/>
      <c r="CY98" s="1585"/>
      <c r="CZ98" s="1585"/>
    </row>
    <row r="99" spans="1:104">
      <c r="A99" s="1466"/>
      <c r="B99" s="1583"/>
      <c r="C99" s="1583"/>
      <c r="D99" s="1583"/>
      <c r="E99" s="1585"/>
      <c r="F99" s="1585"/>
      <c r="G99" s="1585"/>
      <c r="H99" s="1585"/>
      <c r="I99" s="1585"/>
      <c r="J99" s="1585"/>
      <c r="K99" s="1585"/>
      <c r="L99" s="1585"/>
      <c r="M99" s="1585"/>
      <c r="N99" s="1585"/>
      <c r="O99" s="1585"/>
      <c r="P99" s="1585"/>
      <c r="Q99" s="1585"/>
      <c r="R99" s="1585"/>
      <c r="S99" s="1585"/>
      <c r="T99" s="1585"/>
      <c r="U99" s="1585"/>
      <c r="V99" s="1585"/>
      <c r="W99" s="1585"/>
      <c r="X99" s="1585"/>
      <c r="Y99" s="1585"/>
      <c r="Z99" s="1585"/>
      <c r="AA99" s="1585"/>
      <c r="AB99" s="1585"/>
      <c r="AC99" s="1585"/>
      <c r="AD99" s="1585"/>
      <c r="AE99" s="1585"/>
      <c r="AF99" s="1585"/>
      <c r="AG99" s="1585"/>
      <c r="AH99" s="1585"/>
      <c r="AI99" s="1585"/>
      <c r="AJ99" s="1585"/>
      <c r="AK99" s="1585"/>
      <c r="AL99" s="1585"/>
      <c r="AM99" s="1585"/>
      <c r="AN99" s="1585"/>
      <c r="AO99" s="1585"/>
      <c r="AP99" s="1585"/>
      <c r="AQ99" s="1585"/>
      <c r="AR99" s="1585"/>
      <c r="AS99" s="1585"/>
      <c r="AT99" s="1585"/>
      <c r="AU99" s="1585"/>
      <c r="AV99" s="1585"/>
      <c r="AW99" s="1585"/>
      <c r="AX99" s="1585"/>
      <c r="AY99" s="1585"/>
      <c r="AZ99" s="1585"/>
      <c r="BA99" s="1585"/>
      <c r="BB99" s="1585"/>
      <c r="BC99" s="1585"/>
      <c r="BD99" s="1585"/>
      <c r="BE99" s="1585"/>
      <c r="BF99" s="1585"/>
      <c r="BG99" s="1585"/>
      <c r="BH99" s="1585"/>
      <c r="BI99" s="1585"/>
      <c r="BJ99" s="1585"/>
      <c r="BK99" s="1585"/>
      <c r="BL99" s="1585"/>
      <c r="BM99" s="1585"/>
      <c r="BN99" s="1585"/>
      <c r="BO99" s="1585"/>
      <c r="BP99" s="1585"/>
      <c r="BQ99" s="1585"/>
      <c r="BR99" s="1585"/>
      <c r="BS99" s="1585"/>
      <c r="BT99" s="1585"/>
      <c r="BU99" s="1585"/>
      <c r="BV99" s="1585"/>
      <c r="BW99" s="1585"/>
      <c r="BX99" s="1585"/>
      <c r="BY99" s="1585"/>
      <c r="BZ99" s="1585"/>
      <c r="CA99" s="1585"/>
      <c r="CB99" s="1585"/>
      <c r="CC99" s="1585"/>
      <c r="CD99" s="1585"/>
      <c r="CE99" s="1585"/>
      <c r="CF99" s="1585"/>
      <c r="CG99" s="1585"/>
      <c r="CH99" s="1585"/>
      <c r="CI99" s="1585"/>
      <c r="CJ99" s="1585"/>
      <c r="CK99" s="1585"/>
      <c r="CL99" s="1585"/>
      <c r="CM99" s="1585"/>
      <c r="CN99" s="1585"/>
      <c r="CO99" s="1585"/>
      <c r="CP99" s="1585"/>
      <c r="CQ99" s="1585"/>
      <c r="CR99" s="1585"/>
      <c r="CS99" s="1585"/>
      <c r="CT99" s="1585"/>
      <c r="CU99" s="1585"/>
      <c r="CV99" s="1585"/>
      <c r="CW99" s="1585"/>
      <c r="CX99" s="1585"/>
      <c r="CY99" s="1585"/>
      <c r="CZ99" s="1585"/>
    </row>
    <row r="100" spans="1:104">
      <c r="A100" s="1466"/>
      <c r="B100" s="1583"/>
      <c r="C100" s="1583"/>
      <c r="D100" s="1583"/>
      <c r="E100" s="1585"/>
      <c r="F100" s="1585"/>
      <c r="G100" s="1585"/>
      <c r="H100" s="1585"/>
      <c r="I100" s="1585"/>
      <c r="J100" s="1585"/>
      <c r="K100" s="1585"/>
      <c r="L100" s="1585"/>
      <c r="M100" s="1585"/>
      <c r="N100" s="1585"/>
      <c r="O100" s="1585"/>
      <c r="P100" s="1585"/>
      <c r="Q100" s="1585"/>
      <c r="R100" s="1585"/>
      <c r="S100" s="1585"/>
      <c r="T100" s="1585"/>
      <c r="U100" s="1585"/>
      <c r="V100" s="1585"/>
      <c r="W100" s="1585"/>
      <c r="X100" s="1585"/>
      <c r="Y100" s="1585"/>
      <c r="Z100" s="1585"/>
      <c r="AA100" s="1585"/>
      <c r="AB100" s="1585"/>
      <c r="AC100" s="1585"/>
      <c r="AD100" s="1585"/>
      <c r="AE100" s="1585"/>
      <c r="AF100" s="1585"/>
      <c r="AG100" s="1585"/>
      <c r="AH100" s="1585"/>
      <c r="AI100" s="1585"/>
      <c r="AJ100" s="1585"/>
      <c r="AK100" s="1585"/>
      <c r="AL100" s="1585"/>
      <c r="AM100" s="1585"/>
      <c r="AN100" s="1585"/>
      <c r="AO100" s="1585"/>
      <c r="AP100" s="1585"/>
      <c r="AQ100" s="1585"/>
      <c r="AR100" s="1585"/>
      <c r="AS100" s="1585"/>
      <c r="AT100" s="1585"/>
      <c r="AU100" s="1585"/>
      <c r="AV100" s="1585"/>
      <c r="AW100" s="1585"/>
      <c r="AX100" s="1585"/>
      <c r="AY100" s="1585"/>
      <c r="AZ100" s="1585"/>
      <c r="BA100" s="1585"/>
      <c r="BB100" s="1585"/>
      <c r="BC100" s="1585"/>
      <c r="BD100" s="1585"/>
      <c r="BE100" s="1585"/>
      <c r="BF100" s="1585"/>
      <c r="BG100" s="1585"/>
      <c r="BH100" s="1585"/>
      <c r="BI100" s="1585"/>
      <c r="BJ100" s="1585"/>
      <c r="BK100" s="1585"/>
      <c r="BL100" s="1585"/>
      <c r="BM100" s="1585"/>
      <c r="BN100" s="1585"/>
      <c r="BO100" s="1585"/>
      <c r="BP100" s="1585"/>
      <c r="BQ100" s="1585"/>
      <c r="BR100" s="1585"/>
      <c r="BS100" s="1585"/>
      <c r="BT100" s="1585"/>
      <c r="BU100" s="1585"/>
      <c r="BV100" s="1585"/>
      <c r="BW100" s="1585"/>
      <c r="BX100" s="1585"/>
      <c r="BY100" s="1585"/>
      <c r="BZ100" s="1585"/>
      <c r="CA100" s="1585"/>
      <c r="CB100" s="1585"/>
      <c r="CC100" s="1585"/>
      <c r="CD100" s="1585"/>
      <c r="CE100" s="1585"/>
      <c r="CF100" s="1585"/>
      <c r="CG100" s="1585"/>
      <c r="CH100" s="1585"/>
      <c r="CI100" s="1585"/>
      <c r="CJ100" s="1585"/>
      <c r="CK100" s="1585"/>
      <c r="CL100" s="1585"/>
      <c r="CM100" s="1585"/>
      <c r="CN100" s="1585"/>
      <c r="CO100" s="1585"/>
      <c r="CP100" s="1585"/>
      <c r="CQ100" s="1585"/>
      <c r="CR100" s="1585"/>
      <c r="CS100" s="1585"/>
      <c r="CT100" s="1585"/>
      <c r="CU100" s="1585"/>
      <c r="CV100" s="1585"/>
      <c r="CW100" s="1585"/>
      <c r="CX100" s="1585"/>
      <c r="CY100" s="1585"/>
      <c r="CZ100" s="1585"/>
    </row>
    <row r="101" spans="1:104">
      <c r="A101" s="1466"/>
      <c r="B101" s="1583"/>
      <c r="C101" s="1583"/>
      <c r="D101" s="1583"/>
      <c r="E101" s="1585"/>
      <c r="F101" s="1585"/>
      <c r="G101" s="1585"/>
      <c r="H101" s="1585"/>
      <c r="I101" s="1585"/>
      <c r="J101" s="1585"/>
      <c r="K101" s="1585"/>
      <c r="L101" s="1585"/>
      <c r="M101" s="1585"/>
      <c r="N101" s="1585"/>
      <c r="O101" s="1585"/>
      <c r="P101" s="1585"/>
      <c r="Q101" s="1585"/>
      <c r="R101" s="1585"/>
      <c r="S101" s="1585"/>
      <c r="T101" s="1585"/>
      <c r="U101" s="1585"/>
      <c r="V101" s="1585"/>
      <c r="W101" s="1585"/>
      <c r="X101" s="1585"/>
      <c r="Y101" s="1585"/>
      <c r="Z101" s="1585"/>
      <c r="AA101" s="1585"/>
      <c r="AB101" s="1585"/>
      <c r="AC101" s="1585"/>
      <c r="AD101" s="1585"/>
      <c r="AE101" s="1585"/>
      <c r="AF101" s="1585"/>
      <c r="AG101" s="1585"/>
      <c r="AH101" s="1585"/>
      <c r="AI101" s="1585"/>
      <c r="AJ101" s="1585"/>
      <c r="AK101" s="1585"/>
      <c r="AL101" s="1585"/>
      <c r="AM101" s="1585"/>
      <c r="AN101" s="1585"/>
      <c r="AO101" s="1585"/>
      <c r="AP101" s="1585"/>
      <c r="AQ101" s="1585"/>
      <c r="AR101" s="1585"/>
      <c r="AS101" s="1585"/>
      <c r="AT101" s="1585"/>
      <c r="AU101" s="1585"/>
      <c r="AV101" s="1585"/>
      <c r="AW101" s="1585"/>
      <c r="AX101" s="1585"/>
      <c r="AY101" s="1585"/>
      <c r="AZ101" s="1585"/>
      <c r="BA101" s="1585"/>
      <c r="BB101" s="1585"/>
      <c r="BC101" s="1585"/>
      <c r="BD101" s="1585"/>
      <c r="BE101" s="1585"/>
      <c r="BF101" s="1585"/>
      <c r="BG101" s="1585"/>
      <c r="BH101" s="1585"/>
      <c r="BI101" s="1585"/>
      <c r="BJ101" s="1585"/>
      <c r="BK101" s="1585"/>
      <c r="BL101" s="1585"/>
      <c r="BM101" s="1585"/>
      <c r="BN101" s="1585"/>
      <c r="BO101" s="1585"/>
      <c r="BP101" s="1585"/>
      <c r="BQ101" s="1585"/>
      <c r="BR101" s="1585"/>
      <c r="BS101" s="1585"/>
      <c r="BT101" s="1585"/>
      <c r="BU101" s="1585"/>
      <c r="BV101" s="1585"/>
      <c r="BW101" s="1585"/>
      <c r="BX101" s="1585"/>
      <c r="BY101" s="1585"/>
      <c r="BZ101" s="1585"/>
      <c r="CA101" s="1585"/>
      <c r="CB101" s="1585"/>
      <c r="CC101" s="1585"/>
      <c r="CD101" s="1585"/>
      <c r="CE101" s="1585"/>
      <c r="CF101" s="1585"/>
      <c r="CG101" s="1585"/>
      <c r="CH101" s="1585"/>
      <c r="CI101" s="1585"/>
      <c r="CJ101" s="1585"/>
      <c r="CK101" s="1585"/>
      <c r="CL101" s="1585"/>
      <c r="CM101" s="1585"/>
      <c r="CN101" s="1585"/>
      <c r="CO101" s="1585"/>
      <c r="CP101" s="1585"/>
      <c r="CQ101" s="1585"/>
      <c r="CR101" s="1585"/>
      <c r="CS101" s="1585"/>
      <c r="CT101" s="1585"/>
      <c r="CU101" s="1585"/>
      <c r="CV101" s="1585"/>
      <c r="CW101" s="1585"/>
      <c r="CX101" s="1585"/>
      <c r="CY101" s="1585"/>
      <c r="CZ101" s="1585"/>
    </row>
    <row r="102" spans="1:104">
      <c r="A102" s="1466"/>
      <c r="B102" s="1583"/>
      <c r="C102" s="1583"/>
      <c r="D102" s="1583"/>
      <c r="E102" s="1585"/>
      <c r="F102" s="1585"/>
      <c r="G102" s="1585"/>
      <c r="H102" s="1585"/>
      <c r="I102" s="1585"/>
      <c r="J102" s="1585"/>
      <c r="K102" s="1585"/>
      <c r="L102" s="1585"/>
      <c r="M102" s="1585"/>
      <c r="N102" s="1585"/>
      <c r="O102" s="1585"/>
      <c r="P102" s="1585"/>
      <c r="Q102" s="1585"/>
      <c r="R102" s="1585"/>
      <c r="S102" s="1585"/>
      <c r="T102" s="1585"/>
      <c r="U102" s="1585"/>
      <c r="V102" s="1585"/>
      <c r="W102" s="1585"/>
      <c r="X102" s="1585"/>
      <c r="Y102" s="1585"/>
      <c r="Z102" s="1585"/>
      <c r="AA102" s="1585"/>
      <c r="AB102" s="1585"/>
      <c r="AC102" s="1585"/>
      <c r="AD102" s="1585"/>
      <c r="AE102" s="1585"/>
      <c r="AF102" s="1585"/>
      <c r="AG102" s="1585"/>
      <c r="AH102" s="1585"/>
      <c r="AI102" s="1585"/>
      <c r="AJ102" s="1585"/>
      <c r="AK102" s="1585"/>
      <c r="AL102" s="1585"/>
      <c r="AM102" s="1585"/>
      <c r="AN102" s="1585"/>
      <c r="AO102" s="1585"/>
      <c r="AP102" s="1585"/>
      <c r="AQ102" s="1585"/>
      <c r="AR102" s="1585"/>
      <c r="AS102" s="1585"/>
      <c r="AT102" s="1585"/>
      <c r="AU102" s="1585"/>
      <c r="AV102" s="1585"/>
      <c r="AW102" s="1585"/>
      <c r="AX102" s="1585"/>
      <c r="AY102" s="1585"/>
      <c r="AZ102" s="1585"/>
      <c r="BA102" s="1585"/>
      <c r="BB102" s="1585"/>
      <c r="BC102" s="1585"/>
      <c r="BD102" s="1585"/>
      <c r="BE102" s="1585"/>
      <c r="BF102" s="1585"/>
      <c r="BG102" s="1585"/>
      <c r="BH102" s="1585"/>
      <c r="BI102" s="1585"/>
      <c r="BJ102" s="1585"/>
      <c r="BK102" s="1585"/>
      <c r="BL102" s="1585"/>
      <c r="BM102" s="1585"/>
      <c r="BN102" s="1585"/>
      <c r="BO102" s="1585"/>
      <c r="BP102" s="1585"/>
      <c r="BQ102" s="1585"/>
      <c r="BR102" s="1585"/>
      <c r="BS102" s="1585"/>
      <c r="BT102" s="1585"/>
      <c r="BU102" s="1585"/>
      <c r="BV102" s="1585"/>
      <c r="BW102" s="1585"/>
      <c r="BX102" s="1585"/>
      <c r="BY102" s="1585"/>
      <c r="BZ102" s="1585"/>
      <c r="CA102" s="1585"/>
      <c r="CB102" s="1585"/>
      <c r="CC102" s="1585"/>
      <c r="CD102" s="1585"/>
      <c r="CE102" s="1585"/>
      <c r="CF102" s="1585"/>
      <c r="CG102" s="1585"/>
      <c r="CH102" s="1585"/>
      <c r="CI102" s="1585"/>
      <c r="CJ102" s="1585"/>
      <c r="CK102" s="1585"/>
      <c r="CL102" s="1585"/>
      <c r="CM102" s="1585"/>
      <c r="CN102" s="1585"/>
      <c r="CO102" s="1585"/>
      <c r="CP102" s="1585"/>
      <c r="CQ102" s="1585"/>
      <c r="CR102" s="1585"/>
      <c r="CS102" s="1585"/>
      <c r="CT102" s="1585"/>
      <c r="CU102" s="1585"/>
      <c r="CV102" s="1585"/>
      <c r="CW102" s="1585"/>
      <c r="CX102" s="1585"/>
      <c r="CY102" s="1585"/>
      <c r="CZ102" s="1585"/>
    </row>
    <row r="103" spans="1:104">
      <c r="A103" s="1466"/>
      <c r="B103" s="1583"/>
      <c r="C103" s="1583"/>
      <c r="D103" s="1583"/>
      <c r="E103" s="1585"/>
      <c r="F103" s="1585"/>
      <c r="G103" s="1585"/>
      <c r="H103" s="1585"/>
      <c r="I103" s="1585"/>
      <c r="J103" s="1585"/>
      <c r="K103" s="1585"/>
      <c r="L103" s="1585"/>
      <c r="M103" s="1585"/>
      <c r="N103" s="1585"/>
      <c r="O103" s="1585"/>
      <c r="P103" s="1585"/>
      <c r="Q103" s="1585"/>
      <c r="R103" s="1585"/>
      <c r="S103" s="1585"/>
      <c r="T103" s="1585"/>
      <c r="U103" s="1585"/>
      <c r="V103" s="1585"/>
      <c r="W103" s="1585"/>
      <c r="X103" s="1585"/>
      <c r="Y103" s="1585"/>
      <c r="Z103" s="1585"/>
      <c r="AA103" s="1585"/>
      <c r="AB103" s="1585"/>
      <c r="AC103" s="1585"/>
      <c r="AD103" s="1585"/>
      <c r="AE103" s="1585"/>
      <c r="AF103" s="1585"/>
      <c r="AG103" s="1585"/>
      <c r="AH103" s="1585"/>
      <c r="AI103" s="1585"/>
      <c r="AJ103" s="1585"/>
      <c r="AK103" s="1585"/>
      <c r="AL103" s="1585"/>
      <c r="AM103" s="1585"/>
      <c r="AN103" s="1585"/>
      <c r="AO103" s="1585"/>
      <c r="AP103" s="1585"/>
      <c r="AQ103" s="1585"/>
      <c r="AR103" s="1585"/>
      <c r="AS103" s="1585"/>
      <c r="AT103" s="1585"/>
      <c r="AU103" s="1585"/>
      <c r="AV103" s="1585"/>
      <c r="AW103" s="1585"/>
      <c r="AX103" s="1585"/>
      <c r="AY103" s="1585"/>
      <c r="AZ103" s="1585"/>
      <c r="BA103" s="1585"/>
      <c r="BB103" s="1585"/>
      <c r="BC103" s="1585"/>
      <c r="BD103" s="1585"/>
      <c r="BE103" s="1585"/>
      <c r="BF103" s="1585"/>
      <c r="BG103" s="1585"/>
      <c r="BH103" s="1585"/>
      <c r="BI103" s="1585"/>
      <c r="BJ103" s="1585"/>
      <c r="BK103" s="1585"/>
      <c r="BL103" s="1585"/>
      <c r="BM103" s="1585"/>
      <c r="BN103" s="1585"/>
      <c r="BO103" s="1585"/>
      <c r="BP103" s="1585"/>
      <c r="BQ103" s="1585"/>
      <c r="BR103" s="1585"/>
      <c r="BS103" s="1585"/>
      <c r="BT103" s="1585"/>
      <c r="BU103" s="1585"/>
      <c r="BV103" s="1585"/>
      <c r="BW103" s="1585"/>
      <c r="BX103" s="1585"/>
      <c r="BY103" s="1585"/>
      <c r="BZ103" s="1585"/>
      <c r="CA103" s="1585"/>
      <c r="CB103" s="1585"/>
      <c r="CC103" s="1585"/>
      <c r="CD103" s="1585"/>
      <c r="CE103" s="1585"/>
      <c r="CF103" s="1585"/>
      <c r="CG103" s="1585"/>
      <c r="CH103" s="1585"/>
      <c r="CI103" s="1585"/>
      <c r="CJ103" s="1585"/>
      <c r="CK103" s="1585"/>
      <c r="CL103" s="1585"/>
      <c r="CM103" s="1585"/>
      <c r="CN103" s="1585"/>
      <c r="CO103" s="1585"/>
      <c r="CP103" s="1585"/>
      <c r="CQ103" s="1585"/>
      <c r="CR103" s="1585"/>
      <c r="CS103" s="1585"/>
      <c r="CT103" s="1585"/>
      <c r="CU103" s="1585"/>
      <c r="CV103" s="1585"/>
      <c r="CW103" s="1585"/>
      <c r="CX103" s="1585"/>
      <c r="CY103" s="1585"/>
      <c r="CZ103" s="1585"/>
    </row>
    <row r="104" spans="1:104">
      <c r="A104" s="1466"/>
      <c r="B104" s="1583"/>
      <c r="C104" s="1583"/>
      <c r="D104" s="1583"/>
      <c r="E104" s="1585"/>
      <c r="F104" s="1585"/>
      <c r="G104" s="1585"/>
      <c r="H104" s="1585"/>
      <c r="I104" s="1585"/>
      <c r="J104" s="1585"/>
      <c r="K104" s="1585"/>
      <c r="L104" s="1585"/>
      <c r="M104" s="1585"/>
      <c r="N104" s="1585"/>
      <c r="O104" s="1585"/>
      <c r="P104" s="1585"/>
      <c r="Q104" s="1585"/>
      <c r="R104" s="1585"/>
      <c r="S104" s="1585"/>
      <c r="T104" s="1585"/>
      <c r="U104" s="1585"/>
      <c r="V104" s="1585"/>
      <c r="W104" s="1585"/>
      <c r="X104" s="1585"/>
      <c r="Y104" s="1585"/>
      <c r="Z104" s="1585"/>
      <c r="AA104" s="1585"/>
      <c r="AB104" s="1585"/>
      <c r="AC104" s="1585"/>
      <c r="AD104" s="1585"/>
      <c r="AE104" s="1585"/>
      <c r="AF104" s="1585"/>
      <c r="AG104" s="1585"/>
      <c r="AH104" s="1585"/>
      <c r="AI104" s="1585"/>
      <c r="AJ104" s="1585"/>
      <c r="AK104" s="1585"/>
      <c r="AL104" s="1585"/>
      <c r="AM104" s="1585"/>
      <c r="AN104" s="1585"/>
      <c r="AO104" s="1585"/>
      <c r="AP104" s="1585"/>
      <c r="AQ104" s="1585"/>
      <c r="AR104" s="1585"/>
      <c r="AS104" s="1585"/>
      <c r="AT104" s="1585"/>
      <c r="AU104" s="1585"/>
      <c r="AV104" s="1585"/>
      <c r="AW104" s="1585"/>
      <c r="AX104" s="1585"/>
      <c r="AY104" s="1585"/>
      <c r="AZ104" s="1585"/>
      <c r="BA104" s="1585"/>
      <c r="BB104" s="1585"/>
      <c r="BC104" s="1585"/>
      <c r="BD104" s="1585"/>
      <c r="BE104" s="1585"/>
      <c r="BF104" s="1585"/>
      <c r="BG104" s="1585"/>
      <c r="BH104" s="1585"/>
      <c r="BI104" s="1585"/>
      <c r="BJ104" s="1585"/>
      <c r="BK104" s="1585"/>
      <c r="BL104" s="1585"/>
      <c r="BM104" s="1585"/>
      <c r="BN104" s="1585"/>
      <c r="BO104" s="1585"/>
      <c r="BP104" s="1585"/>
      <c r="BQ104" s="1585"/>
      <c r="BR104" s="1585"/>
      <c r="BS104" s="1585"/>
      <c r="BT104" s="1585"/>
      <c r="BU104" s="1585"/>
      <c r="BV104" s="1585"/>
      <c r="BW104" s="1585"/>
      <c r="BX104" s="1585"/>
      <c r="BY104" s="1585"/>
      <c r="BZ104" s="1585"/>
      <c r="CA104" s="1585"/>
      <c r="CB104" s="1585"/>
      <c r="CC104" s="1585"/>
      <c r="CD104" s="1585"/>
      <c r="CE104" s="1585"/>
      <c r="CF104" s="1585"/>
      <c r="CG104" s="1585"/>
      <c r="CH104" s="1585"/>
      <c r="CI104" s="1585"/>
      <c r="CJ104" s="1585"/>
      <c r="CK104" s="1585"/>
      <c r="CL104" s="1585"/>
      <c r="CM104" s="1585"/>
      <c r="CN104" s="1585"/>
      <c r="CO104" s="1585"/>
      <c r="CP104" s="1585"/>
      <c r="CQ104" s="1585"/>
      <c r="CR104" s="1585"/>
      <c r="CS104" s="1585"/>
      <c r="CT104" s="1585"/>
      <c r="CU104" s="1585"/>
      <c r="CV104" s="1585"/>
      <c r="CW104" s="1585"/>
      <c r="CX104" s="1585"/>
      <c r="CY104" s="1585"/>
      <c r="CZ104" s="1585"/>
    </row>
    <row r="105" spans="1:104">
      <c r="A105" s="1466"/>
      <c r="B105" s="1583"/>
      <c r="C105" s="1583"/>
      <c r="D105" s="1583"/>
      <c r="E105" s="1585"/>
      <c r="F105" s="1585"/>
      <c r="G105" s="1585"/>
      <c r="H105" s="1585"/>
      <c r="I105" s="1585"/>
      <c r="J105" s="1585"/>
      <c r="K105" s="1585"/>
      <c r="L105" s="1585"/>
      <c r="M105" s="1585"/>
      <c r="N105" s="1585"/>
      <c r="O105" s="1585"/>
      <c r="P105" s="1585"/>
      <c r="Q105" s="1585"/>
      <c r="R105" s="1585"/>
      <c r="S105" s="1585"/>
      <c r="T105" s="1585"/>
      <c r="U105" s="1585"/>
      <c r="V105" s="1585"/>
      <c r="W105" s="1585"/>
      <c r="X105" s="1585"/>
      <c r="Y105" s="1585"/>
      <c r="Z105" s="1585"/>
      <c r="AA105" s="1585"/>
      <c r="AB105" s="1585"/>
      <c r="AC105" s="1585"/>
      <c r="AD105" s="1585"/>
      <c r="AE105" s="1585"/>
      <c r="AF105" s="1585"/>
      <c r="AG105" s="1585"/>
      <c r="AH105" s="1585"/>
      <c r="AI105" s="1585"/>
      <c r="AJ105" s="1585"/>
      <c r="AK105" s="1585"/>
      <c r="AL105" s="1585"/>
      <c r="AM105" s="1585"/>
      <c r="AN105" s="1585"/>
      <c r="AO105" s="1585"/>
      <c r="AP105" s="1585"/>
      <c r="AQ105" s="1585"/>
      <c r="AR105" s="1585"/>
      <c r="AS105" s="1585"/>
      <c r="AT105" s="1585"/>
      <c r="AU105" s="1585"/>
      <c r="AV105" s="1585"/>
      <c r="AW105" s="1585"/>
      <c r="AX105" s="1585"/>
      <c r="AY105" s="1585"/>
      <c r="AZ105" s="1585"/>
      <c r="BA105" s="1585"/>
      <c r="BB105" s="1585"/>
      <c r="BC105" s="1585"/>
      <c r="BD105" s="1585"/>
      <c r="BE105" s="1585"/>
      <c r="BF105" s="1585"/>
      <c r="BG105" s="1585"/>
      <c r="BH105" s="1585"/>
      <c r="BI105" s="1585"/>
      <c r="BJ105" s="1585"/>
      <c r="BK105" s="1585"/>
      <c r="BL105" s="1585"/>
      <c r="BM105" s="1585"/>
      <c r="BN105" s="1585"/>
      <c r="BO105" s="1585"/>
      <c r="BP105" s="1585"/>
      <c r="BQ105" s="1585"/>
      <c r="BR105" s="1585"/>
      <c r="BS105" s="1585"/>
      <c r="BT105" s="1585"/>
      <c r="BU105" s="1585"/>
      <c r="BV105" s="1585"/>
      <c r="BW105" s="1585"/>
      <c r="BX105" s="1585"/>
      <c r="BY105" s="1585"/>
      <c r="BZ105" s="1585"/>
      <c r="CA105" s="1585"/>
      <c r="CB105" s="1585"/>
      <c r="CC105" s="1585"/>
      <c r="CD105" s="1585"/>
      <c r="CE105" s="1585"/>
      <c r="CF105" s="1585"/>
      <c r="CG105" s="1585"/>
      <c r="CH105" s="1585"/>
      <c r="CI105" s="1585"/>
      <c r="CJ105" s="1585"/>
      <c r="CK105" s="1585"/>
      <c r="CL105" s="1585"/>
      <c r="CM105" s="1585"/>
      <c r="CN105" s="1585"/>
      <c r="CO105" s="1585"/>
      <c r="CP105" s="1585"/>
      <c r="CQ105" s="1585"/>
      <c r="CR105" s="1585"/>
      <c r="CS105" s="1585"/>
      <c r="CT105" s="1585"/>
      <c r="CU105" s="1585"/>
      <c r="CV105" s="1585"/>
      <c r="CW105" s="1585"/>
      <c r="CX105" s="1585"/>
      <c r="CY105" s="1585"/>
      <c r="CZ105" s="1585"/>
    </row>
    <row r="106" spans="1:104">
      <c r="A106" s="1466"/>
      <c r="B106" s="1583"/>
      <c r="C106" s="1583"/>
      <c r="D106" s="1583"/>
      <c r="E106" s="1585"/>
      <c r="F106" s="1585"/>
      <c r="G106" s="1585"/>
      <c r="H106" s="1585"/>
      <c r="I106" s="1585"/>
      <c r="J106" s="1585"/>
      <c r="K106" s="1585"/>
      <c r="L106" s="1585"/>
      <c r="M106" s="1585"/>
      <c r="N106" s="1585"/>
      <c r="O106" s="1585"/>
      <c r="P106" s="1585"/>
      <c r="Q106" s="1585"/>
      <c r="R106" s="1585"/>
      <c r="S106" s="1585"/>
      <c r="T106" s="1585"/>
      <c r="U106" s="1585"/>
      <c r="V106" s="1585"/>
      <c r="W106" s="1585"/>
      <c r="X106" s="1585"/>
      <c r="Y106" s="1585"/>
      <c r="Z106" s="1585"/>
      <c r="AA106" s="1585"/>
      <c r="AB106" s="1585"/>
      <c r="AC106" s="1585"/>
      <c r="AD106" s="1585"/>
      <c r="AE106" s="1585"/>
      <c r="AF106" s="1585"/>
      <c r="AG106" s="1585"/>
      <c r="AH106" s="1585"/>
      <c r="AI106" s="1585"/>
      <c r="AJ106" s="1585"/>
      <c r="AK106" s="1585"/>
      <c r="AL106" s="1585"/>
      <c r="AM106" s="1585"/>
      <c r="AN106" s="1585"/>
      <c r="AO106" s="1585"/>
      <c r="AP106" s="1585"/>
      <c r="AQ106" s="1585"/>
      <c r="AR106" s="1585"/>
      <c r="AS106" s="1585"/>
      <c r="AT106" s="1585"/>
      <c r="AU106" s="1585"/>
      <c r="AV106" s="1585"/>
      <c r="AW106" s="1585"/>
      <c r="AX106" s="1585"/>
      <c r="AY106" s="1585"/>
      <c r="AZ106" s="1585"/>
      <c r="BA106" s="1585"/>
      <c r="BB106" s="1585"/>
      <c r="BC106" s="1585"/>
      <c r="BD106" s="1585"/>
      <c r="BE106" s="1585"/>
      <c r="BF106" s="1585"/>
      <c r="BG106" s="1585"/>
      <c r="BH106" s="1585"/>
      <c r="BI106" s="1585"/>
      <c r="BJ106" s="1585"/>
      <c r="BK106" s="1585"/>
      <c r="BL106" s="1585"/>
      <c r="BM106" s="1585"/>
      <c r="BN106" s="1585"/>
      <c r="BO106" s="1585"/>
      <c r="BP106" s="1585"/>
      <c r="BQ106" s="1585"/>
      <c r="BR106" s="1585"/>
      <c r="BS106" s="1585"/>
      <c r="BT106" s="1585"/>
      <c r="BU106" s="1585"/>
      <c r="BV106" s="1585"/>
      <c r="BW106" s="1585"/>
      <c r="BX106" s="1585"/>
      <c r="BY106" s="1585"/>
      <c r="BZ106" s="1585"/>
      <c r="CA106" s="1585"/>
      <c r="CB106" s="1585"/>
      <c r="CC106" s="1585"/>
      <c r="CD106" s="1585"/>
      <c r="CE106" s="1585"/>
      <c r="CF106" s="1585"/>
      <c r="CG106" s="1585"/>
      <c r="CH106" s="1585"/>
      <c r="CI106" s="1585"/>
      <c r="CJ106" s="1585"/>
      <c r="CK106" s="1585"/>
      <c r="CL106" s="1585"/>
      <c r="CM106" s="1585"/>
      <c r="CN106" s="1585"/>
      <c r="CO106" s="1585"/>
      <c r="CP106" s="1585"/>
      <c r="CQ106" s="1585"/>
      <c r="CR106" s="1585"/>
      <c r="CS106" s="1585"/>
      <c r="CT106" s="1585"/>
      <c r="CU106" s="1585"/>
      <c r="CV106" s="1585"/>
      <c r="CW106" s="1585"/>
      <c r="CX106" s="1585"/>
      <c r="CY106" s="1585"/>
      <c r="CZ106" s="1585"/>
    </row>
    <row r="107" spans="1:104">
      <c r="A107" s="1466"/>
      <c r="B107" s="1583"/>
      <c r="C107" s="1583"/>
      <c r="D107" s="1583"/>
      <c r="E107" s="1585"/>
      <c r="F107" s="1585"/>
      <c r="G107" s="1585"/>
      <c r="H107" s="1585"/>
      <c r="I107" s="1585"/>
      <c r="J107" s="1585"/>
      <c r="K107" s="1585"/>
      <c r="L107" s="1585"/>
      <c r="M107" s="1585"/>
      <c r="N107" s="1585"/>
      <c r="O107" s="1585"/>
      <c r="P107" s="1585"/>
      <c r="Q107" s="1585"/>
      <c r="R107" s="1585"/>
      <c r="S107" s="1585"/>
      <c r="T107" s="1585"/>
      <c r="U107" s="1585"/>
      <c r="V107" s="1585"/>
      <c r="W107" s="1585"/>
      <c r="X107" s="1585"/>
      <c r="Y107" s="1585"/>
      <c r="Z107" s="1585"/>
      <c r="AA107" s="1585"/>
      <c r="AB107" s="1585"/>
      <c r="AC107" s="1585"/>
      <c r="AD107" s="1585"/>
      <c r="AE107" s="1585"/>
      <c r="AF107" s="1585"/>
      <c r="AG107" s="1585"/>
      <c r="AH107" s="1585"/>
      <c r="AI107" s="1585"/>
      <c r="AJ107" s="1585"/>
      <c r="AK107" s="1585"/>
      <c r="AL107" s="1585"/>
      <c r="AM107" s="1585"/>
      <c r="AN107" s="1585"/>
      <c r="AO107" s="1585"/>
      <c r="AP107" s="1585"/>
      <c r="AQ107" s="1585"/>
      <c r="AR107" s="1585"/>
      <c r="AS107" s="1585"/>
      <c r="AT107" s="1585"/>
      <c r="AU107" s="1585"/>
      <c r="AV107" s="1585"/>
      <c r="AW107" s="1585"/>
      <c r="AX107" s="1585"/>
      <c r="AY107" s="1585"/>
      <c r="AZ107" s="1585"/>
      <c r="BA107" s="1585"/>
      <c r="BB107" s="1585"/>
      <c r="BC107" s="1585"/>
      <c r="BD107" s="1585"/>
      <c r="BE107" s="1585"/>
      <c r="BF107" s="1585"/>
      <c r="BG107" s="1585"/>
      <c r="BH107" s="1585"/>
      <c r="BI107" s="1585"/>
      <c r="BJ107" s="1585"/>
      <c r="BK107" s="1585"/>
      <c r="BL107" s="1585"/>
      <c r="BM107" s="1585"/>
      <c r="BN107" s="1585"/>
      <c r="BO107" s="1585"/>
      <c r="BP107" s="1585"/>
      <c r="BQ107" s="1585"/>
      <c r="BR107" s="1585"/>
      <c r="BS107" s="1585"/>
      <c r="BT107" s="1585"/>
      <c r="BU107" s="1585"/>
      <c r="BV107" s="1585"/>
      <c r="BW107" s="1585"/>
      <c r="BX107" s="1585"/>
      <c r="BY107" s="1585"/>
      <c r="BZ107" s="1585"/>
      <c r="CA107" s="1585"/>
      <c r="CB107" s="1585"/>
      <c r="CC107" s="1585"/>
      <c r="CD107" s="1585"/>
      <c r="CE107" s="1585"/>
      <c r="CF107" s="1585"/>
      <c r="CG107" s="1585"/>
      <c r="CH107" s="1585"/>
      <c r="CI107" s="1585"/>
      <c r="CJ107" s="1585"/>
      <c r="CK107" s="1585"/>
      <c r="CL107" s="1585"/>
      <c r="CM107" s="1585"/>
      <c r="CN107" s="1585"/>
      <c r="CO107" s="1585"/>
      <c r="CP107" s="1585"/>
      <c r="CQ107" s="1585"/>
      <c r="CR107" s="1585"/>
      <c r="CS107" s="1585"/>
      <c r="CT107" s="1585"/>
      <c r="CU107" s="1585"/>
      <c r="CV107" s="1585"/>
      <c r="CW107" s="1585"/>
      <c r="CX107" s="1585"/>
      <c r="CY107" s="1585"/>
      <c r="CZ107" s="1585"/>
    </row>
    <row r="108" spans="1:104">
      <c r="A108" s="1466"/>
      <c r="B108" s="1583"/>
      <c r="C108" s="1583"/>
      <c r="D108" s="1583"/>
      <c r="E108" s="1585"/>
      <c r="F108" s="1585"/>
      <c r="G108" s="1585"/>
      <c r="H108" s="1585"/>
      <c r="I108" s="1585"/>
      <c r="J108" s="1585"/>
      <c r="K108" s="1585"/>
      <c r="L108" s="1585"/>
      <c r="M108" s="1585"/>
      <c r="N108" s="1585"/>
      <c r="O108" s="1585"/>
      <c r="P108" s="1585"/>
      <c r="Q108" s="1585"/>
      <c r="R108" s="1585"/>
      <c r="S108" s="1585"/>
      <c r="T108" s="1585"/>
      <c r="U108" s="1585"/>
      <c r="V108" s="1585"/>
      <c r="W108" s="1585"/>
      <c r="X108" s="1585"/>
      <c r="Y108" s="1585"/>
      <c r="Z108" s="1585"/>
      <c r="AA108" s="1585"/>
      <c r="AB108" s="1585"/>
      <c r="AC108" s="1585"/>
      <c r="AD108" s="1585"/>
      <c r="AE108" s="1585"/>
      <c r="AF108" s="1585"/>
      <c r="AG108" s="1585"/>
      <c r="AH108" s="1585"/>
      <c r="AI108" s="1585"/>
      <c r="AJ108" s="1585"/>
      <c r="AK108" s="1585"/>
      <c r="AL108" s="1585"/>
      <c r="AM108" s="1585"/>
      <c r="AN108" s="1585"/>
      <c r="AO108" s="1585"/>
      <c r="AP108" s="1585"/>
      <c r="AQ108" s="1585"/>
      <c r="AR108" s="1585"/>
      <c r="AS108" s="1585"/>
      <c r="AT108" s="1585"/>
      <c r="AU108" s="1585"/>
      <c r="AV108" s="1585"/>
      <c r="AW108" s="1585"/>
      <c r="AX108" s="1585"/>
      <c r="AY108" s="1585"/>
      <c r="AZ108" s="1585"/>
      <c r="BA108" s="1585"/>
      <c r="BB108" s="1585"/>
      <c r="BC108" s="1585"/>
      <c r="BD108" s="1585"/>
      <c r="BE108" s="1585"/>
      <c r="BF108" s="1585"/>
      <c r="BG108" s="1585"/>
      <c r="BH108" s="1585"/>
      <c r="BI108" s="1585"/>
      <c r="BJ108" s="1585"/>
      <c r="BK108" s="1585"/>
      <c r="BL108" s="1585"/>
      <c r="BM108" s="1585"/>
      <c r="BN108" s="1585"/>
      <c r="BO108" s="1585"/>
      <c r="BP108" s="1585"/>
      <c r="BQ108" s="1585"/>
      <c r="BR108" s="1585"/>
      <c r="BS108" s="1585"/>
      <c r="BT108" s="1585"/>
      <c r="BU108" s="1585"/>
      <c r="BV108" s="1585"/>
      <c r="BW108" s="1585"/>
      <c r="BX108" s="1585"/>
      <c r="BY108" s="1585"/>
      <c r="BZ108" s="1585"/>
      <c r="CA108" s="1585"/>
      <c r="CB108" s="1585"/>
      <c r="CC108" s="1585"/>
      <c r="CD108" s="1585"/>
      <c r="CE108" s="1585"/>
      <c r="CF108" s="1585"/>
      <c r="CG108" s="1585"/>
      <c r="CH108" s="1585"/>
      <c r="CI108" s="1585"/>
      <c r="CJ108" s="1585"/>
      <c r="CK108" s="1585"/>
      <c r="CL108" s="1585"/>
      <c r="CM108" s="1585"/>
      <c r="CN108" s="1585"/>
      <c r="CO108" s="1585"/>
      <c r="CP108" s="1585"/>
      <c r="CQ108" s="1585"/>
      <c r="CR108" s="1585"/>
      <c r="CS108" s="1585"/>
      <c r="CT108" s="1585"/>
      <c r="CU108" s="1585"/>
      <c r="CV108" s="1585"/>
      <c r="CW108" s="1585"/>
      <c r="CX108" s="1585"/>
      <c r="CY108" s="1585"/>
      <c r="CZ108" s="1585"/>
    </row>
    <row r="109" spans="1:104">
      <c r="A109" s="1466"/>
      <c r="B109" s="1583"/>
      <c r="C109" s="1583"/>
      <c r="D109" s="1583"/>
      <c r="E109" s="1585"/>
      <c r="F109" s="1585"/>
      <c r="G109" s="1585"/>
      <c r="H109" s="1585"/>
      <c r="I109" s="1585"/>
      <c r="J109" s="1585"/>
      <c r="K109" s="1585"/>
      <c r="L109" s="1585"/>
      <c r="M109" s="1585"/>
      <c r="N109" s="1585"/>
      <c r="O109" s="1585"/>
      <c r="P109" s="1585"/>
      <c r="Q109" s="1585"/>
      <c r="R109" s="1585"/>
      <c r="S109" s="1585"/>
      <c r="T109" s="1585"/>
      <c r="U109" s="1585"/>
      <c r="V109" s="1585"/>
      <c r="W109" s="1585"/>
      <c r="X109" s="1585"/>
      <c r="Y109" s="1585"/>
      <c r="Z109" s="1585"/>
      <c r="AA109" s="1585"/>
      <c r="AB109" s="1585"/>
      <c r="AC109" s="1585"/>
      <c r="AD109" s="1585"/>
      <c r="AE109" s="1585"/>
      <c r="AF109" s="1585"/>
      <c r="AG109" s="1585"/>
      <c r="AH109" s="1585"/>
      <c r="AI109" s="1585"/>
      <c r="AJ109" s="1585"/>
      <c r="AK109" s="1585"/>
      <c r="AL109" s="1585"/>
      <c r="AM109" s="1585"/>
      <c r="AN109" s="1585"/>
      <c r="AO109" s="1585"/>
      <c r="AP109" s="1585"/>
      <c r="AQ109" s="1585"/>
      <c r="AR109" s="1585"/>
      <c r="AS109" s="1585"/>
      <c r="AT109" s="1585"/>
      <c r="AU109" s="1585"/>
      <c r="AV109" s="1585"/>
      <c r="AW109" s="1585"/>
      <c r="AX109" s="1585"/>
      <c r="AY109" s="1585"/>
      <c r="AZ109" s="1585"/>
      <c r="BA109" s="1585"/>
      <c r="BB109" s="1585"/>
      <c r="BC109" s="1585"/>
      <c r="BD109" s="1585"/>
      <c r="BE109" s="1585"/>
      <c r="BF109" s="1585"/>
      <c r="BG109" s="1585"/>
      <c r="BH109" s="1585"/>
      <c r="BI109" s="1585"/>
      <c r="BJ109" s="1585"/>
      <c r="BK109" s="1585"/>
      <c r="BL109" s="1585"/>
      <c r="BM109" s="1585"/>
      <c r="BN109" s="1585"/>
      <c r="BO109" s="1585"/>
      <c r="BP109" s="1585"/>
      <c r="BQ109" s="1585"/>
      <c r="BR109" s="1585"/>
      <c r="BS109" s="1585"/>
      <c r="BT109" s="1585"/>
      <c r="BU109" s="1585"/>
      <c r="BV109" s="1585"/>
      <c r="BW109" s="1585"/>
      <c r="BX109" s="1585"/>
      <c r="BY109" s="1585"/>
      <c r="BZ109" s="1585"/>
      <c r="CA109" s="1585"/>
      <c r="CB109" s="1585"/>
      <c r="CC109" s="1585"/>
      <c r="CD109" s="1585"/>
      <c r="CE109" s="1585"/>
      <c r="CF109" s="1585"/>
      <c r="CG109" s="1585"/>
      <c r="CH109" s="1585"/>
      <c r="CI109" s="1585"/>
      <c r="CJ109" s="1585"/>
      <c r="CK109" s="1585"/>
      <c r="CL109" s="1585"/>
      <c r="CM109" s="1585"/>
      <c r="CN109" s="1585"/>
      <c r="CO109" s="1585"/>
      <c r="CP109" s="1585"/>
      <c r="CQ109" s="1585"/>
      <c r="CR109" s="1585"/>
      <c r="CS109" s="1585"/>
      <c r="CT109" s="1585"/>
      <c r="CU109" s="1585"/>
      <c r="CV109" s="1585"/>
      <c r="CW109" s="1585"/>
      <c r="CX109" s="1585"/>
      <c r="CY109" s="1585"/>
      <c r="CZ109" s="1585"/>
    </row>
    <row r="110" spans="1:104">
      <c r="A110" s="1466"/>
      <c r="B110" s="1583"/>
      <c r="C110" s="1583"/>
      <c r="D110" s="1583"/>
      <c r="E110" s="1585"/>
      <c r="F110" s="1585"/>
      <c r="G110" s="1585"/>
      <c r="H110" s="1585"/>
      <c r="I110" s="1585"/>
      <c r="J110" s="1585"/>
      <c r="K110" s="1585"/>
      <c r="L110" s="1585"/>
      <c r="M110" s="1585"/>
      <c r="N110" s="1585"/>
      <c r="O110" s="1585"/>
      <c r="P110" s="1585"/>
      <c r="Q110" s="1585"/>
      <c r="R110" s="1585"/>
      <c r="S110" s="1585"/>
      <c r="T110" s="1585"/>
      <c r="U110" s="1585"/>
      <c r="V110" s="1585"/>
      <c r="W110" s="1585"/>
      <c r="X110" s="1585"/>
      <c r="Y110" s="1585"/>
      <c r="Z110" s="1585"/>
      <c r="AA110" s="1585"/>
      <c r="AB110" s="1585"/>
      <c r="AC110" s="1585"/>
      <c r="AD110" s="1585"/>
      <c r="AE110" s="1585"/>
      <c r="AF110" s="1585"/>
      <c r="AG110" s="1585"/>
      <c r="AH110" s="1585"/>
      <c r="AI110" s="1585"/>
      <c r="AJ110" s="1585"/>
      <c r="AK110" s="1585"/>
      <c r="AL110" s="1585"/>
      <c r="AM110" s="1585"/>
      <c r="AN110" s="1585"/>
      <c r="AO110" s="1585"/>
      <c r="AP110" s="1585"/>
      <c r="AQ110" s="1585"/>
      <c r="AR110" s="1585"/>
      <c r="AS110" s="1585"/>
      <c r="AT110" s="1585"/>
      <c r="AU110" s="1585"/>
      <c r="AV110" s="1585"/>
      <c r="AW110" s="1585"/>
      <c r="AX110" s="1585"/>
      <c r="AY110" s="1585"/>
      <c r="AZ110" s="1585"/>
      <c r="BA110" s="1585"/>
      <c r="BB110" s="1585"/>
      <c r="BC110" s="1585"/>
      <c r="BD110" s="1585"/>
      <c r="BE110" s="1585"/>
      <c r="BF110" s="1585"/>
      <c r="BG110" s="1585"/>
      <c r="BH110" s="1585"/>
      <c r="BI110" s="1585"/>
      <c r="BJ110" s="1585"/>
      <c r="BK110" s="1585"/>
      <c r="BL110" s="1585"/>
      <c r="BM110" s="1585"/>
      <c r="BN110" s="1585"/>
      <c r="BO110" s="1585"/>
      <c r="BP110" s="1585"/>
      <c r="BQ110" s="1585"/>
      <c r="BR110" s="1585"/>
      <c r="BS110" s="1585"/>
      <c r="BT110" s="1585"/>
      <c r="BU110" s="1585"/>
      <c r="BV110" s="1585"/>
      <c r="BW110" s="1585"/>
      <c r="BX110" s="1585"/>
      <c r="BY110" s="1585"/>
      <c r="BZ110" s="1585"/>
      <c r="CA110" s="1585"/>
      <c r="CB110" s="1585"/>
      <c r="CC110" s="1585"/>
      <c r="CD110" s="1585"/>
      <c r="CE110" s="1585"/>
      <c r="CF110" s="1585"/>
      <c r="CG110" s="1585"/>
      <c r="CH110" s="1585"/>
      <c r="CI110" s="1585"/>
      <c r="CJ110" s="1585"/>
      <c r="CK110" s="1585"/>
      <c r="CL110" s="1585"/>
      <c r="CM110" s="1585"/>
      <c r="CN110" s="1585"/>
      <c r="CO110" s="1585"/>
      <c r="CP110" s="1585"/>
      <c r="CQ110" s="1585"/>
      <c r="CR110" s="1585"/>
      <c r="CS110" s="1585"/>
      <c r="CT110" s="1585"/>
      <c r="CU110" s="1585"/>
      <c r="CV110" s="1585"/>
      <c r="CW110" s="1585"/>
      <c r="CX110" s="1585"/>
      <c r="CY110" s="1585"/>
      <c r="CZ110" s="1585"/>
    </row>
    <row r="111" spans="1:104">
      <c r="A111" s="1466"/>
      <c r="B111" s="1583"/>
      <c r="C111" s="1583"/>
      <c r="D111" s="1583"/>
      <c r="E111" s="1585"/>
      <c r="F111" s="1585"/>
      <c r="G111" s="1585"/>
      <c r="H111" s="1585"/>
      <c r="I111" s="1585"/>
      <c r="J111" s="1585"/>
      <c r="K111" s="1585"/>
      <c r="L111" s="1585"/>
      <c r="M111" s="1585"/>
      <c r="N111" s="1585"/>
      <c r="O111" s="1585"/>
      <c r="P111" s="1585"/>
      <c r="Q111" s="1585"/>
      <c r="R111" s="1585"/>
      <c r="S111" s="1585"/>
      <c r="T111" s="1585"/>
      <c r="U111" s="1585"/>
      <c r="V111" s="1585"/>
      <c r="W111" s="1585"/>
      <c r="X111" s="1585"/>
      <c r="Y111" s="1585"/>
      <c r="Z111" s="1585"/>
      <c r="AA111" s="1585"/>
      <c r="AB111" s="1585"/>
      <c r="AC111" s="1585"/>
      <c r="AD111" s="1585"/>
      <c r="AE111" s="1585"/>
      <c r="AF111" s="1585"/>
      <c r="AG111" s="1585"/>
      <c r="AH111" s="1585"/>
      <c r="AI111" s="1585"/>
      <c r="AJ111" s="1585"/>
      <c r="AK111" s="1585"/>
      <c r="AL111" s="1585"/>
      <c r="AM111" s="1585"/>
      <c r="AN111" s="1585"/>
      <c r="AO111" s="1585"/>
      <c r="AP111" s="1585"/>
      <c r="AQ111" s="1585"/>
      <c r="AR111" s="1585"/>
      <c r="AS111" s="1585"/>
      <c r="AT111" s="1585"/>
      <c r="AU111" s="1585"/>
      <c r="AV111" s="1585"/>
      <c r="AW111" s="1585"/>
      <c r="AX111" s="1585"/>
      <c r="AY111" s="1585"/>
      <c r="AZ111" s="1585"/>
      <c r="BA111" s="1585"/>
      <c r="BB111" s="1585"/>
      <c r="BC111" s="1585"/>
      <c r="BD111" s="1585"/>
      <c r="BE111" s="1585"/>
      <c r="BF111" s="1585"/>
      <c r="BG111" s="1585"/>
      <c r="BH111" s="1585"/>
      <c r="BI111" s="1585"/>
      <c r="BJ111" s="1585"/>
      <c r="BK111" s="1585"/>
      <c r="BL111" s="1585"/>
      <c r="BM111" s="1585"/>
      <c r="BN111" s="1585"/>
      <c r="BO111" s="1585"/>
      <c r="BP111" s="1585"/>
      <c r="BQ111" s="1585"/>
      <c r="BR111" s="1585"/>
      <c r="BS111" s="1585"/>
      <c r="BT111" s="1585"/>
      <c r="BU111" s="1585"/>
      <c r="BV111" s="1585"/>
      <c r="BW111" s="1585"/>
      <c r="BX111" s="1585"/>
      <c r="BY111" s="1585"/>
      <c r="BZ111" s="1585"/>
      <c r="CA111" s="1585"/>
      <c r="CB111" s="1585"/>
      <c r="CC111" s="1585"/>
      <c r="CD111" s="1585"/>
      <c r="CE111" s="1585"/>
      <c r="CF111" s="1585"/>
      <c r="CG111" s="1585"/>
      <c r="CH111" s="1585"/>
      <c r="CI111" s="1585"/>
      <c r="CJ111" s="1585"/>
      <c r="CK111" s="1585"/>
      <c r="CL111" s="1585"/>
      <c r="CM111" s="1585"/>
      <c r="CN111" s="1585"/>
      <c r="CO111" s="1585"/>
      <c r="CP111" s="1585"/>
      <c r="CQ111" s="1585"/>
      <c r="CR111" s="1585"/>
      <c r="CS111" s="1585"/>
      <c r="CT111" s="1585"/>
      <c r="CU111" s="1585"/>
      <c r="CV111" s="1585"/>
      <c r="CW111" s="1585"/>
      <c r="CX111" s="1585"/>
      <c r="CY111" s="1585"/>
      <c r="CZ111" s="1585"/>
    </row>
    <row r="112" spans="1:104">
      <c r="A112" s="1466"/>
      <c r="B112" s="1583"/>
      <c r="C112" s="1583"/>
      <c r="D112" s="1583"/>
      <c r="E112" s="1585"/>
      <c r="F112" s="1585"/>
      <c r="G112" s="1585"/>
      <c r="H112" s="1585"/>
      <c r="I112" s="1585"/>
      <c r="J112" s="1585"/>
      <c r="K112" s="1585"/>
      <c r="L112" s="1585"/>
      <c r="M112" s="1585"/>
      <c r="N112" s="1585"/>
      <c r="O112" s="1585"/>
      <c r="P112" s="1585"/>
      <c r="Q112" s="1585"/>
      <c r="R112" s="1585"/>
      <c r="S112" s="1585"/>
      <c r="T112" s="1585"/>
      <c r="U112" s="1585"/>
      <c r="V112" s="1585"/>
      <c r="W112" s="1585"/>
      <c r="X112" s="1585"/>
      <c r="Y112" s="1585"/>
      <c r="Z112" s="1585"/>
      <c r="AA112" s="1585"/>
      <c r="AB112" s="1585"/>
      <c r="AC112" s="1585"/>
      <c r="AD112" s="1585"/>
      <c r="AE112" s="1585"/>
      <c r="AF112" s="1585"/>
      <c r="AG112" s="1585"/>
      <c r="AH112" s="1585"/>
      <c r="AI112" s="1585"/>
      <c r="AJ112" s="1585"/>
      <c r="AK112" s="1585"/>
      <c r="AL112" s="1585"/>
      <c r="AM112" s="1585"/>
      <c r="AN112" s="1585"/>
      <c r="AO112" s="1585"/>
      <c r="AP112" s="1585"/>
      <c r="AQ112" s="1585"/>
      <c r="AR112" s="1585"/>
      <c r="AS112" s="1585"/>
      <c r="AT112" s="1585"/>
      <c r="AU112" s="1585"/>
      <c r="AV112" s="1585"/>
      <c r="AW112" s="1585"/>
      <c r="AX112" s="1585"/>
      <c r="AY112" s="1585"/>
      <c r="AZ112" s="1585"/>
      <c r="BA112" s="1585"/>
      <c r="BB112" s="1585"/>
      <c r="BC112" s="1585"/>
      <c r="BD112" s="1585"/>
      <c r="BE112" s="1585"/>
      <c r="BF112" s="1585"/>
      <c r="BG112" s="1585"/>
      <c r="BH112" s="1585"/>
      <c r="BI112" s="1585"/>
      <c r="BJ112" s="1585"/>
      <c r="BK112" s="1585"/>
      <c r="BL112" s="1585"/>
      <c r="BM112" s="1585"/>
      <c r="BN112" s="1585"/>
      <c r="BO112" s="1585"/>
      <c r="BP112" s="1585"/>
      <c r="BQ112" s="1585"/>
      <c r="BR112" s="1585"/>
      <c r="BS112" s="1585"/>
      <c r="BT112" s="1585"/>
      <c r="BU112" s="1585"/>
      <c r="BV112" s="1585"/>
      <c r="BW112" s="1585"/>
      <c r="BX112" s="1585"/>
      <c r="BY112" s="1585"/>
      <c r="BZ112" s="1585"/>
      <c r="CA112" s="1585"/>
      <c r="CB112" s="1585"/>
      <c r="CC112" s="1585"/>
      <c r="CD112" s="1585"/>
      <c r="CE112" s="1585"/>
      <c r="CF112" s="1585"/>
      <c r="CG112" s="1585"/>
      <c r="CH112" s="1585"/>
      <c r="CI112" s="1585"/>
      <c r="CJ112" s="1585"/>
      <c r="CK112" s="1585"/>
      <c r="CL112" s="1585"/>
      <c r="CM112" s="1585"/>
      <c r="CN112" s="1585"/>
      <c r="CO112" s="1585"/>
      <c r="CP112" s="1585"/>
      <c r="CQ112" s="1585"/>
      <c r="CR112" s="1585"/>
      <c r="CS112" s="1585"/>
      <c r="CT112" s="1585"/>
      <c r="CU112" s="1585"/>
      <c r="CV112" s="1585"/>
      <c r="CW112" s="1585"/>
      <c r="CX112" s="1585"/>
      <c r="CY112" s="1585"/>
      <c r="CZ112" s="1585"/>
    </row>
    <row r="113" spans="1:104">
      <c r="A113" s="1466"/>
      <c r="B113" s="1583"/>
      <c r="C113" s="1583"/>
      <c r="D113" s="1583"/>
      <c r="E113" s="1585"/>
      <c r="F113" s="1585"/>
      <c r="G113" s="1585"/>
      <c r="H113" s="1585"/>
      <c r="I113" s="1585"/>
      <c r="J113" s="1585"/>
      <c r="K113" s="1585"/>
      <c r="L113" s="1585"/>
      <c r="M113" s="1585"/>
      <c r="N113" s="1585"/>
      <c r="O113" s="1585"/>
      <c r="P113" s="1585"/>
      <c r="Q113" s="1585"/>
      <c r="R113" s="1585"/>
      <c r="S113" s="1585"/>
      <c r="T113" s="1585"/>
      <c r="U113" s="1585"/>
      <c r="V113" s="1585"/>
      <c r="W113" s="1585"/>
      <c r="X113" s="1585"/>
      <c r="Y113" s="1585"/>
      <c r="Z113" s="1585"/>
      <c r="AA113" s="1585"/>
      <c r="AB113" s="1585"/>
      <c r="AC113" s="1585"/>
      <c r="AD113" s="1585"/>
      <c r="AE113" s="1585"/>
      <c r="AF113" s="1585"/>
      <c r="AG113" s="1585"/>
      <c r="AH113" s="1585"/>
      <c r="AI113" s="1585"/>
      <c r="AJ113" s="1585"/>
      <c r="AK113" s="1585"/>
      <c r="AL113" s="1585"/>
      <c r="AM113" s="1585"/>
      <c r="AN113" s="1585"/>
      <c r="AO113" s="1585"/>
      <c r="AP113" s="1585"/>
      <c r="AQ113" s="1585"/>
      <c r="AR113" s="1585"/>
      <c r="AS113" s="1585"/>
      <c r="AT113" s="1585"/>
      <c r="AU113" s="1585"/>
      <c r="AV113" s="1585"/>
      <c r="AW113" s="1585"/>
      <c r="AX113" s="1585"/>
      <c r="AY113" s="1585"/>
      <c r="AZ113" s="1585"/>
      <c r="BA113" s="1585"/>
      <c r="BB113" s="1585"/>
      <c r="BC113" s="1585"/>
      <c r="BD113" s="1585"/>
      <c r="BE113" s="1585"/>
      <c r="BF113" s="1585"/>
      <c r="BG113" s="1585"/>
      <c r="BH113" s="1585"/>
      <c r="BI113" s="1585"/>
      <c r="BJ113" s="1585"/>
      <c r="BK113" s="1585"/>
      <c r="BL113" s="1585"/>
      <c r="BM113" s="1585"/>
      <c r="BN113" s="1585"/>
      <c r="BO113" s="1585"/>
      <c r="BP113" s="1585"/>
      <c r="BQ113" s="1585"/>
      <c r="BR113" s="1585"/>
      <c r="BS113" s="1585"/>
      <c r="BT113" s="1585"/>
      <c r="BU113" s="1585"/>
      <c r="BV113" s="1585"/>
      <c r="BW113" s="1585"/>
      <c r="BX113" s="1585"/>
      <c r="BY113" s="1585"/>
      <c r="BZ113" s="1585"/>
      <c r="CA113" s="1585"/>
      <c r="CB113" s="1585"/>
      <c r="CC113" s="1585"/>
      <c r="CD113" s="1585"/>
      <c r="CE113" s="1585"/>
      <c r="CF113" s="1585"/>
      <c r="CG113" s="1585"/>
      <c r="CH113" s="1585"/>
      <c r="CI113" s="1585"/>
      <c r="CJ113" s="1585"/>
      <c r="CK113" s="1585"/>
      <c r="CL113" s="1585"/>
      <c r="CM113" s="1585"/>
      <c r="CN113" s="1585"/>
      <c r="CO113" s="1585"/>
      <c r="CP113" s="1585"/>
      <c r="CQ113" s="1585"/>
      <c r="CR113" s="1585"/>
      <c r="CS113" s="1585"/>
      <c r="CT113" s="1585"/>
      <c r="CU113" s="1585"/>
      <c r="CV113" s="1585"/>
      <c r="CW113" s="1585"/>
      <c r="CX113" s="1585"/>
      <c r="CY113" s="1585"/>
      <c r="CZ113" s="1585"/>
    </row>
    <row r="114" spans="1:104">
      <c r="A114" s="1466"/>
      <c r="B114" s="1583"/>
      <c r="C114" s="1583"/>
      <c r="D114" s="1583"/>
      <c r="E114" s="1585"/>
      <c r="F114" s="1585"/>
      <c r="G114" s="1585"/>
      <c r="H114" s="1585"/>
      <c r="I114" s="1585"/>
      <c r="J114" s="1585"/>
      <c r="K114" s="1585"/>
      <c r="L114" s="1585"/>
      <c r="M114" s="1585"/>
      <c r="N114" s="1585"/>
      <c r="O114" s="1585"/>
      <c r="P114" s="1585"/>
      <c r="Q114" s="1585"/>
      <c r="R114" s="1585"/>
      <c r="S114" s="1585"/>
      <c r="T114" s="1585"/>
      <c r="U114" s="1585"/>
      <c r="V114" s="1585"/>
      <c r="W114" s="1585"/>
      <c r="X114" s="1585"/>
      <c r="Y114" s="1585"/>
      <c r="Z114" s="1585"/>
      <c r="AA114" s="1585"/>
      <c r="AB114" s="1585"/>
      <c r="AC114" s="1585"/>
      <c r="AD114" s="1585"/>
      <c r="AE114" s="1585"/>
      <c r="AF114" s="1585"/>
      <c r="AG114" s="1585"/>
      <c r="AH114" s="1585"/>
      <c r="AI114" s="1585"/>
      <c r="AJ114" s="1585"/>
      <c r="AK114" s="1585"/>
      <c r="AL114" s="1585"/>
      <c r="AM114" s="1585"/>
      <c r="AN114" s="1585"/>
      <c r="AO114" s="1585"/>
      <c r="AP114" s="1585"/>
      <c r="AQ114" s="1585"/>
      <c r="AR114" s="1585"/>
      <c r="AS114" s="1585"/>
      <c r="AT114" s="1585"/>
      <c r="AU114" s="1585"/>
      <c r="AV114" s="1585"/>
      <c r="AW114" s="1585"/>
      <c r="AX114" s="1585"/>
      <c r="AY114" s="1585"/>
      <c r="AZ114" s="1585"/>
      <c r="BA114" s="1585"/>
      <c r="BB114" s="1585"/>
      <c r="BC114" s="1585"/>
      <c r="BD114" s="1585"/>
      <c r="BE114" s="1585"/>
      <c r="BF114" s="1585"/>
      <c r="BG114" s="1585"/>
      <c r="BH114" s="1585"/>
      <c r="BI114" s="1585"/>
      <c r="BJ114" s="1585"/>
      <c r="BK114" s="1585"/>
      <c r="BL114" s="1585"/>
      <c r="BM114" s="1585"/>
      <c r="BN114" s="1585"/>
      <c r="BO114" s="1585"/>
      <c r="BP114" s="1585"/>
      <c r="BQ114" s="1585"/>
      <c r="BR114" s="1585"/>
      <c r="BS114" s="1585"/>
      <c r="BT114" s="1585"/>
      <c r="BU114" s="1585"/>
      <c r="BV114" s="1585"/>
      <c r="BW114" s="1585"/>
      <c r="BX114" s="1585"/>
      <c r="BY114" s="1585"/>
      <c r="BZ114" s="1585"/>
      <c r="CA114" s="1585"/>
      <c r="CB114" s="1585"/>
      <c r="CC114" s="1585"/>
      <c r="CD114" s="1585"/>
      <c r="CE114" s="1585"/>
      <c r="CF114" s="1585"/>
      <c r="CG114" s="1585"/>
      <c r="CH114" s="1585"/>
      <c r="CI114" s="1585"/>
      <c r="CJ114" s="1585"/>
      <c r="CK114" s="1585"/>
      <c r="CL114" s="1585"/>
      <c r="CM114" s="1585"/>
      <c r="CN114" s="1585"/>
      <c r="CO114" s="1585"/>
      <c r="CP114" s="1585"/>
      <c r="CQ114" s="1585"/>
      <c r="CR114" s="1585"/>
      <c r="CS114" s="1585"/>
      <c r="CT114" s="1585"/>
      <c r="CU114" s="1585"/>
      <c r="CV114" s="1585"/>
      <c r="CW114" s="1585"/>
      <c r="CX114" s="1585"/>
      <c r="CY114" s="1585"/>
      <c r="CZ114" s="1585"/>
    </row>
    <row r="115" spans="1:104">
      <c r="A115" s="1466"/>
      <c r="B115" s="1583"/>
      <c r="C115" s="1583"/>
      <c r="D115" s="1583"/>
      <c r="E115" s="1585"/>
      <c r="F115" s="1585"/>
      <c r="G115" s="1585"/>
      <c r="H115" s="1585"/>
      <c r="I115" s="1585"/>
      <c r="J115" s="1585"/>
      <c r="K115" s="1585"/>
      <c r="L115" s="1585"/>
      <c r="M115" s="1585"/>
      <c r="N115" s="1585"/>
      <c r="O115" s="1585"/>
      <c r="P115" s="1585"/>
      <c r="Q115" s="1585"/>
      <c r="R115" s="1585"/>
      <c r="S115" s="1585"/>
      <c r="T115" s="1585"/>
      <c r="U115" s="1585"/>
      <c r="V115" s="1585"/>
      <c r="W115" s="1585"/>
      <c r="X115" s="1585"/>
      <c r="Y115" s="1585"/>
      <c r="Z115" s="1585"/>
      <c r="AA115" s="1585"/>
      <c r="AB115" s="1585"/>
      <c r="AC115" s="1585"/>
      <c r="AD115" s="1585"/>
      <c r="AE115" s="1585"/>
      <c r="AF115" s="1585"/>
      <c r="AG115" s="1585"/>
      <c r="AH115" s="1585"/>
      <c r="AI115" s="1585"/>
      <c r="AJ115" s="1585"/>
      <c r="AK115" s="1585"/>
      <c r="AL115" s="1585"/>
      <c r="AM115" s="1585"/>
      <c r="AN115" s="1585"/>
      <c r="AO115" s="1585"/>
      <c r="AP115" s="1585"/>
      <c r="AQ115" s="1585"/>
      <c r="AR115" s="1585"/>
      <c r="AS115" s="1585"/>
      <c r="AT115" s="1585"/>
      <c r="AU115" s="1585"/>
      <c r="AV115" s="1585"/>
      <c r="AW115" s="1585"/>
      <c r="AX115" s="1585"/>
      <c r="AY115" s="1585"/>
      <c r="AZ115" s="1585"/>
      <c r="BA115" s="1585"/>
      <c r="BB115" s="1585"/>
      <c r="BC115" s="1585"/>
      <c r="BD115" s="1585"/>
      <c r="BE115" s="1585"/>
      <c r="BF115" s="1585"/>
      <c r="BG115" s="1585"/>
      <c r="BH115" s="1585"/>
      <c r="BI115" s="1585"/>
      <c r="BJ115" s="1585"/>
      <c r="BK115" s="1585"/>
      <c r="BL115" s="1585"/>
      <c r="BM115" s="1585"/>
      <c r="BN115" s="1585"/>
      <c r="BO115" s="1585"/>
      <c r="BP115" s="1585"/>
      <c r="BQ115" s="1585"/>
      <c r="BR115" s="1585"/>
      <c r="BS115" s="1585"/>
      <c r="BT115" s="1585"/>
      <c r="BU115" s="1585"/>
      <c r="BV115" s="1585"/>
      <c r="BW115" s="1585"/>
      <c r="BX115" s="1585"/>
      <c r="BY115" s="1585"/>
      <c r="BZ115" s="1585"/>
      <c r="CA115" s="1585"/>
      <c r="CB115" s="1585"/>
      <c r="CC115" s="1585"/>
      <c r="CD115" s="1585"/>
      <c r="CE115" s="1585"/>
      <c r="CF115" s="1585"/>
      <c r="CG115" s="1585"/>
      <c r="CH115" s="1585"/>
      <c r="CI115" s="1585"/>
      <c r="CJ115" s="1585"/>
      <c r="CK115" s="1585"/>
      <c r="CL115" s="1585"/>
      <c r="CM115" s="1585"/>
      <c r="CN115" s="1585"/>
      <c r="CO115" s="1585"/>
      <c r="CP115" s="1585"/>
      <c r="CQ115" s="1585"/>
      <c r="CR115" s="1585"/>
      <c r="CS115" s="1585"/>
      <c r="CT115" s="1585"/>
      <c r="CU115" s="1585"/>
      <c r="CV115" s="1585"/>
      <c r="CW115" s="1585"/>
      <c r="CX115" s="1585"/>
      <c r="CY115" s="1585"/>
      <c r="CZ115" s="1585"/>
    </row>
    <row r="116" spans="1:104">
      <c r="A116" s="1466"/>
      <c r="B116" s="1583"/>
      <c r="C116" s="1583"/>
      <c r="D116" s="1583"/>
      <c r="E116" s="1585"/>
      <c r="F116" s="1585"/>
      <c r="G116" s="1585"/>
      <c r="H116" s="1585"/>
      <c r="I116" s="1585"/>
      <c r="J116" s="1585"/>
      <c r="K116" s="1585"/>
      <c r="L116" s="1585"/>
      <c r="M116" s="1585"/>
      <c r="N116" s="1585"/>
      <c r="O116" s="1585"/>
      <c r="P116" s="1585"/>
      <c r="Q116" s="1585"/>
      <c r="R116" s="1585"/>
      <c r="S116" s="1585"/>
      <c r="T116" s="1585"/>
      <c r="U116" s="1585"/>
      <c r="V116" s="1585"/>
      <c r="W116" s="1585"/>
      <c r="X116" s="1585"/>
      <c r="Y116" s="1585"/>
      <c r="Z116" s="1585"/>
      <c r="AA116" s="1585"/>
      <c r="AB116" s="1585"/>
      <c r="AC116" s="1585"/>
      <c r="AD116" s="1585"/>
      <c r="AE116" s="1585"/>
      <c r="AF116" s="1585"/>
      <c r="AG116" s="1585"/>
      <c r="AH116" s="1585"/>
      <c r="AI116" s="1585"/>
      <c r="AJ116" s="1585"/>
      <c r="AK116" s="1585"/>
      <c r="AL116" s="1585"/>
      <c r="AM116" s="1585"/>
      <c r="AN116" s="1585"/>
      <c r="AO116" s="1585"/>
      <c r="AP116" s="1585"/>
      <c r="AQ116" s="1585"/>
      <c r="AR116" s="1585"/>
      <c r="AS116" s="1585"/>
      <c r="AT116" s="1585"/>
      <c r="AU116" s="1585"/>
      <c r="AV116" s="1585"/>
      <c r="AW116" s="1585"/>
      <c r="AX116" s="1585"/>
      <c r="AY116" s="1585"/>
      <c r="AZ116" s="1585"/>
      <c r="BA116" s="1585"/>
      <c r="BB116" s="1585"/>
      <c r="BC116" s="1585"/>
      <c r="BD116" s="1585"/>
      <c r="BE116" s="1585"/>
      <c r="BF116" s="1585"/>
      <c r="BG116" s="1585"/>
      <c r="BH116" s="1585"/>
      <c r="BI116" s="1585"/>
      <c r="BJ116" s="1585"/>
      <c r="BK116" s="1585"/>
      <c r="BL116" s="1585"/>
      <c r="BM116" s="1585"/>
      <c r="BN116" s="1585"/>
      <c r="BO116" s="1585"/>
      <c r="BP116" s="1585"/>
      <c r="BQ116" s="1585"/>
      <c r="BR116" s="1585"/>
      <c r="BS116" s="1585"/>
      <c r="BT116" s="1585"/>
      <c r="BU116" s="1585"/>
      <c r="BV116" s="1585"/>
      <c r="BW116" s="1585"/>
      <c r="BX116" s="1585"/>
      <c r="BY116" s="1585"/>
      <c r="BZ116" s="1585"/>
      <c r="CA116" s="1585"/>
      <c r="CB116" s="1585"/>
      <c r="CC116" s="1585"/>
      <c r="CD116" s="1585"/>
      <c r="CE116" s="1585"/>
      <c r="CF116" s="1585"/>
      <c r="CG116" s="1585"/>
      <c r="CH116" s="1585"/>
      <c r="CI116" s="1585"/>
      <c r="CJ116" s="1585"/>
      <c r="CK116" s="1585"/>
      <c r="CL116" s="1585"/>
      <c r="CM116" s="1585"/>
      <c r="CN116" s="1585"/>
      <c r="CO116" s="1585"/>
      <c r="CP116" s="1585"/>
      <c r="CQ116" s="1585"/>
      <c r="CR116" s="1585"/>
      <c r="CS116" s="1585"/>
      <c r="CT116" s="1585"/>
      <c r="CU116" s="1585"/>
      <c r="CV116" s="1585"/>
      <c r="CW116" s="1585"/>
      <c r="CX116" s="1585"/>
      <c r="CY116" s="1585"/>
      <c r="CZ116" s="1585"/>
    </row>
    <row r="117" spans="1:104">
      <c r="A117" s="1466"/>
      <c r="B117" s="1583"/>
      <c r="C117" s="1583"/>
      <c r="D117" s="1583"/>
      <c r="E117" s="1585"/>
      <c r="F117" s="1585"/>
      <c r="G117" s="1585"/>
      <c r="H117" s="1585"/>
      <c r="I117" s="1585"/>
      <c r="J117" s="1585"/>
      <c r="K117" s="1585"/>
      <c r="L117" s="1585"/>
      <c r="M117" s="1585"/>
      <c r="N117" s="1585"/>
      <c r="O117" s="1585"/>
      <c r="P117" s="1585"/>
      <c r="Q117" s="1585"/>
      <c r="R117" s="1585"/>
      <c r="S117" s="1585"/>
      <c r="T117" s="1585"/>
      <c r="U117" s="1585"/>
      <c r="V117" s="1585"/>
      <c r="W117" s="1585"/>
      <c r="X117" s="1585"/>
      <c r="Y117" s="1585"/>
      <c r="Z117" s="1585"/>
      <c r="AA117" s="1585"/>
      <c r="AB117" s="1585"/>
      <c r="AC117" s="1585"/>
      <c r="AD117" s="1585"/>
      <c r="AE117" s="1585"/>
      <c r="AF117" s="1585"/>
      <c r="AG117" s="1585"/>
      <c r="AH117" s="1585"/>
      <c r="AI117" s="1585"/>
      <c r="AJ117" s="1585"/>
      <c r="AK117" s="1585"/>
      <c r="AL117" s="1585"/>
      <c r="AM117" s="1585"/>
      <c r="AN117" s="1585"/>
      <c r="AO117" s="1585"/>
      <c r="AP117" s="1585"/>
      <c r="AQ117" s="1585"/>
      <c r="AR117" s="1585"/>
      <c r="AS117" s="1585"/>
      <c r="AT117" s="1585"/>
      <c r="AU117" s="1585"/>
      <c r="AV117" s="1585"/>
      <c r="AW117" s="1585"/>
      <c r="AX117" s="1585"/>
      <c r="AY117" s="1585"/>
      <c r="AZ117" s="1585"/>
      <c r="BA117" s="1585"/>
      <c r="BB117" s="1585"/>
      <c r="BC117" s="1585"/>
      <c r="BD117" s="1585"/>
      <c r="BE117" s="1585"/>
      <c r="BF117" s="1585"/>
      <c r="BG117" s="1585"/>
      <c r="BH117" s="1585"/>
      <c r="BI117" s="1585"/>
      <c r="BJ117" s="1585"/>
      <c r="BK117" s="1585"/>
      <c r="BL117" s="1585"/>
      <c r="BM117" s="1585"/>
      <c r="BN117" s="1585"/>
      <c r="BO117" s="1585"/>
      <c r="BP117" s="1585"/>
      <c r="BQ117" s="1585"/>
      <c r="BR117" s="1585"/>
      <c r="BS117" s="1585"/>
      <c r="BT117" s="1585"/>
      <c r="BU117" s="1585"/>
      <c r="BV117" s="1585"/>
      <c r="BW117" s="1585"/>
      <c r="BX117" s="1585"/>
      <c r="BY117" s="1585"/>
      <c r="BZ117" s="1585"/>
      <c r="CA117" s="1585"/>
      <c r="CB117" s="1585"/>
      <c r="CC117" s="1585"/>
      <c r="CD117" s="1585"/>
      <c r="CE117" s="1585"/>
      <c r="CF117" s="1585"/>
      <c r="CG117" s="1585"/>
      <c r="CH117" s="1585"/>
      <c r="CI117" s="1585"/>
      <c r="CJ117" s="1585"/>
      <c r="CK117" s="1585"/>
      <c r="CL117" s="1585"/>
      <c r="CM117" s="1585"/>
      <c r="CN117" s="1585"/>
      <c r="CO117" s="1585"/>
      <c r="CP117" s="1585"/>
      <c r="CQ117" s="1585"/>
      <c r="CR117" s="1585"/>
      <c r="CS117" s="1585"/>
      <c r="CT117" s="1585"/>
      <c r="CU117" s="1585"/>
      <c r="CV117" s="1585"/>
      <c r="CW117" s="1585"/>
      <c r="CX117" s="1585"/>
      <c r="CY117" s="1585"/>
      <c r="CZ117" s="1585"/>
    </row>
    <row r="118" spans="1:104">
      <c r="A118" s="1466"/>
      <c r="B118" s="1583"/>
      <c r="C118" s="1583"/>
      <c r="D118" s="1583"/>
      <c r="E118" s="1585"/>
      <c r="F118" s="1585"/>
      <c r="G118" s="1585"/>
      <c r="H118" s="1585"/>
      <c r="I118" s="1585"/>
      <c r="J118" s="1585"/>
      <c r="K118" s="1585"/>
      <c r="L118" s="1585"/>
      <c r="M118" s="1585"/>
      <c r="N118" s="1585"/>
      <c r="O118" s="1585"/>
      <c r="P118" s="1585"/>
      <c r="Q118" s="1585"/>
      <c r="R118" s="1585"/>
      <c r="S118" s="1585"/>
      <c r="T118" s="1585"/>
      <c r="U118" s="1585"/>
      <c r="V118" s="1585"/>
      <c r="W118" s="1585"/>
      <c r="X118" s="1585"/>
      <c r="Y118" s="1585"/>
      <c r="Z118" s="1585"/>
      <c r="AA118" s="1585"/>
      <c r="AB118" s="1585"/>
      <c r="AC118" s="1585"/>
      <c r="AD118" s="1585"/>
      <c r="AE118" s="1585"/>
      <c r="AF118" s="1585"/>
      <c r="AG118" s="1585"/>
      <c r="AH118" s="1585"/>
      <c r="AI118" s="1585"/>
      <c r="AJ118" s="1585"/>
      <c r="AK118" s="1585"/>
      <c r="AL118" s="1585"/>
      <c r="AM118" s="1585"/>
      <c r="AN118" s="1585"/>
      <c r="AO118" s="1585"/>
      <c r="AP118" s="1585"/>
      <c r="AQ118" s="1585"/>
      <c r="AR118" s="1585"/>
      <c r="AS118" s="1585"/>
      <c r="AT118" s="1585"/>
      <c r="AU118" s="1585"/>
      <c r="AV118" s="1585"/>
      <c r="AW118" s="1585"/>
      <c r="AX118" s="1585"/>
      <c r="AY118" s="1585"/>
      <c r="AZ118" s="1585"/>
      <c r="BA118" s="1585"/>
      <c r="BB118" s="1585"/>
      <c r="BC118" s="1585"/>
      <c r="BD118" s="1585"/>
      <c r="BE118" s="1585"/>
      <c r="BF118" s="1585"/>
      <c r="BG118" s="1585"/>
      <c r="BH118" s="1585"/>
      <c r="BI118" s="1585"/>
      <c r="BJ118" s="1585"/>
      <c r="BK118" s="1585"/>
      <c r="BL118" s="1585"/>
      <c r="BM118" s="1585"/>
      <c r="BN118" s="1585"/>
      <c r="BO118" s="1585"/>
      <c r="BP118" s="1585"/>
      <c r="BQ118" s="1585"/>
      <c r="BR118" s="1585"/>
      <c r="BS118" s="1585"/>
      <c r="BT118" s="1585"/>
      <c r="BU118" s="1585"/>
      <c r="BV118" s="1585"/>
      <c r="BW118" s="1585"/>
      <c r="BX118" s="1585"/>
      <c r="BY118" s="1585"/>
      <c r="BZ118" s="1585"/>
      <c r="CA118" s="1585"/>
      <c r="CB118" s="1585"/>
      <c r="CC118" s="1585"/>
      <c r="CD118" s="1585"/>
      <c r="CE118" s="1585"/>
      <c r="CF118" s="1585"/>
      <c r="CG118" s="1585"/>
      <c r="CH118" s="1585"/>
      <c r="CI118" s="1585"/>
      <c r="CJ118" s="1585"/>
      <c r="CK118" s="1585"/>
      <c r="CL118" s="1585"/>
      <c r="CM118" s="1585"/>
      <c r="CN118" s="1585"/>
      <c r="CO118" s="1585"/>
      <c r="CP118" s="1585"/>
      <c r="CQ118" s="1585"/>
      <c r="CR118" s="1585"/>
      <c r="CS118" s="1585"/>
      <c r="CT118" s="1585"/>
      <c r="CU118" s="1585"/>
      <c r="CV118" s="1585"/>
      <c r="CW118" s="1585"/>
      <c r="CX118" s="1585"/>
      <c r="CY118" s="1585"/>
      <c r="CZ118" s="1585"/>
    </row>
    <row r="119" spans="1:104">
      <c r="A119" s="1466"/>
      <c r="B119" s="1583"/>
      <c r="C119" s="1583"/>
      <c r="D119" s="1583"/>
      <c r="E119" s="1585"/>
      <c r="F119" s="1585"/>
      <c r="G119" s="1585"/>
      <c r="H119" s="1585"/>
      <c r="I119" s="1585"/>
      <c r="J119" s="1585"/>
      <c r="K119" s="1585"/>
      <c r="L119" s="1585"/>
      <c r="M119" s="1585"/>
      <c r="N119" s="1585"/>
      <c r="O119" s="1585"/>
      <c r="P119" s="1585"/>
      <c r="Q119" s="1585"/>
      <c r="R119" s="1585"/>
      <c r="S119" s="1585"/>
      <c r="T119" s="1585"/>
      <c r="U119" s="1585"/>
      <c r="V119" s="1585"/>
      <c r="W119" s="1585"/>
      <c r="X119" s="1585"/>
      <c r="Y119" s="1585"/>
      <c r="Z119" s="1585"/>
      <c r="AA119" s="1585"/>
      <c r="AB119" s="1585"/>
      <c r="AC119" s="1585"/>
      <c r="AD119" s="1585"/>
      <c r="AE119" s="1585"/>
      <c r="AF119" s="1585"/>
      <c r="AG119" s="1585"/>
      <c r="AH119" s="1585"/>
      <c r="AI119" s="1585"/>
      <c r="AJ119" s="1585"/>
      <c r="AK119" s="1585"/>
      <c r="AL119" s="1585"/>
      <c r="AM119" s="1585"/>
      <c r="AN119" s="1585"/>
      <c r="AO119" s="1585"/>
      <c r="AP119" s="1585"/>
      <c r="AQ119" s="1585"/>
      <c r="AR119" s="1585"/>
      <c r="AS119" s="1585"/>
      <c r="AT119" s="1585"/>
      <c r="AU119" s="1585"/>
      <c r="AV119" s="1585"/>
      <c r="AW119" s="1585"/>
      <c r="AX119" s="1585"/>
      <c r="AY119" s="1585"/>
      <c r="AZ119" s="1585"/>
      <c r="BA119" s="1585"/>
      <c r="BB119" s="1585"/>
      <c r="BC119" s="1585"/>
      <c r="BD119" s="1585"/>
      <c r="BE119" s="1585"/>
      <c r="BF119" s="1585"/>
      <c r="BG119" s="1585"/>
      <c r="BH119" s="1585"/>
      <c r="BI119" s="1585"/>
      <c r="BJ119" s="1585"/>
      <c r="BK119" s="1585"/>
      <c r="BL119" s="1585"/>
      <c r="BM119" s="1585"/>
      <c r="BN119" s="1585"/>
      <c r="BO119" s="1585"/>
      <c r="BP119" s="1585"/>
      <c r="BQ119" s="1585"/>
      <c r="BR119" s="1585"/>
      <c r="BS119" s="1585"/>
      <c r="BT119" s="1585"/>
      <c r="BU119" s="1585"/>
      <c r="BV119" s="1585"/>
      <c r="BW119" s="1585"/>
      <c r="BX119" s="1585"/>
      <c r="BY119" s="1585"/>
      <c r="BZ119" s="1585"/>
      <c r="CA119" s="1585"/>
      <c r="CB119" s="1585"/>
      <c r="CC119" s="1585"/>
      <c r="CD119" s="1585"/>
      <c r="CE119" s="1585"/>
      <c r="CF119" s="1585"/>
      <c r="CG119" s="1585"/>
      <c r="CH119" s="1585"/>
      <c r="CI119" s="1585"/>
      <c r="CJ119" s="1585"/>
      <c r="CK119" s="1585"/>
      <c r="CL119" s="1585"/>
      <c r="CM119" s="1585"/>
      <c r="CN119" s="1585"/>
      <c r="CO119" s="1585"/>
      <c r="CP119" s="1585"/>
      <c r="CQ119" s="1585"/>
      <c r="CR119" s="1585"/>
      <c r="CS119" s="1585"/>
      <c r="CT119" s="1585"/>
      <c r="CU119" s="1585"/>
      <c r="CV119" s="1585"/>
      <c r="CW119" s="1585"/>
      <c r="CX119" s="1585"/>
      <c r="CY119" s="1585"/>
      <c r="CZ119" s="1585"/>
    </row>
    <row r="120" spans="1:104">
      <c r="A120" s="1466"/>
      <c r="B120" s="1583"/>
      <c r="C120" s="1583"/>
      <c r="D120" s="1583"/>
      <c r="E120" s="1585"/>
      <c r="F120" s="1585"/>
      <c r="G120" s="1585"/>
      <c r="H120" s="1585"/>
      <c r="I120" s="1585"/>
      <c r="J120" s="1585"/>
      <c r="K120" s="1585"/>
      <c r="L120" s="1585"/>
      <c r="M120" s="1585"/>
      <c r="N120" s="1585"/>
      <c r="O120" s="1585"/>
      <c r="P120" s="1585"/>
      <c r="Q120" s="1585"/>
      <c r="R120" s="1585"/>
      <c r="S120" s="1585"/>
      <c r="T120" s="1585"/>
      <c r="U120" s="1585"/>
      <c r="V120" s="1585"/>
      <c r="W120" s="1585"/>
      <c r="X120" s="1585"/>
      <c r="Y120" s="1585"/>
      <c r="Z120" s="1585"/>
      <c r="AA120" s="1585"/>
      <c r="AB120" s="1585"/>
      <c r="AC120" s="1585"/>
      <c r="AD120" s="1585"/>
      <c r="AE120" s="1585"/>
      <c r="AF120" s="1585"/>
      <c r="AG120" s="1585"/>
      <c r="AH120" s="1585"/>
      <c r="AI120" s="1585"/>
      <c r="AJ120" s="1585"/>
      <c r="AK120" s="1585"/>
      <c r="AL120" s="1585"/>
      <c r="AM120" s="1585"/>
      <c r="AN120" s="1585"/>
      <c r="AO120" s="1585"/>
      <c r="AP120" s="1585"/>
      <c r="AQ120" s="1585"/>
      <c r="AR120" s="1585"/>
      <c r="AS120" s="1585"/>
      <c r="AT120" s="1585"/>
      <c r="AU120" s="1585"/>
      <c r="AV120" s="1585"/>
      <c r="AW120" s="1585"/>
      <c r="AX120" s="1585"/>
      <c r="AY120" s="1585"/>
      <c r="AZ120" s="1585"/>
      <c r="BA120" s="1585"/>
      <c r="BB120" s="1585"/>
      <c r="BC120" s="1585"/>
      <c r="BD120" s="1585"/>
      <c r="BE120" s="1585"/>
      <c r="BF120" s="1585"/>
      <c r="BG120" s="1585"/>
      <c r="BH120" s="1585"/>
      <c r="BI120" s="1585"/>
      <c r="BJ120" s="1585"/>
      <c r="BK120" s="1585"/>
      <c r="BL120" s="1585"/>
      <c r="BM120" s="1585"/>
      <c r="BN120" s="1585"/>
      <c r="BO120" s="1585"/>
      <c r="BP120" s="1585"/>
      <c r="BQ120" s="1585"/>
      <c r="BR120" s="1585"/>
      <c r="BS120" s="1585"/>
      <c r="BT120" s="1585"/>
      <c r="BU120" s="1585"/>
      <c r="BV120" s="1585"/>
      <c r="BW120" s="1585"/>
      <c r="BX120" s="1585"/>
      <c r="BY120" s="1585"/>
      <c r="BZ120" s="1585"/>
      <c r="CA120" s="1585"/>
      <c r="CB120" s="1585"/>
      <c r="CC120" s="1585"/>
      <c r="CD120" s="1585"/>
      <c r="CE120" s="1585"/>
      <c r="CF120" s="1585"/>
      <c r="CG120" s="1585"/>
      <c r="CH120" s="1585"/>
      <c r="CI120" s="1585"/>
      <c r="CJ120" s="1585"/>
      <c r="CK120" s="1585"/>
      <c r="CL120" s="1585"/>
      <c r="CM120" s="1585"/>
      <c r="CN120" s="1585"/>
      <c r="CO120" s="1585"/>
      <c r="CP120" s="1585"/>
      <c r="CQ120" s="1585"/>
      <c r="CR120" s="1585"/>
      <c r="CS120" s="1585"/>
      <c r="CT120" s="1585"/>
      <c r="CU120" s="1585"/>
      <c r="CV120" s="1585"/>
      <c r="CW120" s="1585"/>
      <c r="CX120" s="1585"/>
      <c r="CY120" s="1585"/>
      <c r="CZ120" s="1585"/>
    </row>
    <row r="121" spans="1:104">
      <c r="A121" s="1466"/>
      <c r="B121" s="1583"/>
      <c r="C121" s="1583"/>
      <c r="D121" s="1583"/>
      <c r="E121" s="1585"/>
      <c r="F121" s="1585"/>
      <c r="G121" s="1585"/>
      <c r="H121" s="1585"/>
      <c r="I121" s="1585"/>
      <c r="J121" s="1585"/>
      <c r="K121" s="1585"/>
      <c r="L121" s="1585"/>
      <c r="M121" s="1585"/>
      <c r="N121" s="1585"/>
      <c r="O121" s="1585"/>
      <c r="P121" s="1585"/>
      <c r="Q121" s="1585"/>
      <c r="R121" s="1585"/>
      <c r="S121" s="1585"/>
      <c r="T121" s="1585"/>
      <c r="U121" s="1585"/>
      <c r="V121" s="1585"/>
      <c r="W121" s="1585"/>
      <c r="X121" s="1585"/>
      <c r="Y121" s="1585"/>
      <c r="Z121" s="1585"/>
      <c r="AA121" s="1585"/>
      <c r="AB121" s="1585"/>
      <c r="AC121" s="1585"/>
      <c r="AD121" s="1585"/>
      <c r="AE121" s="1585"/>
      <c r="AF121" s="1585"/>
      <c r="AG121" s="1585"/>
      <c r="AH121" s="1585"/>
      <c r="AI121" s="1585"/>
      <c r="AJ121" s="1585"/>
      <c r="AK121" s="1585"/>
      <c r="AL121" s="1585"/>
      <c r="AM121" s="1585"/>
      <c r="AN121" s="1585"/>
      <c r="AO121" s="1585"/>
      <c r="AP121" s="1585"/>
      <c r="AQ121" s="1585"/>
      <c r="AR121" s="1585"/>
      <c r="AS121" s="1585"/>
      <c r="AT121" s="1585"/>
      <c r="AU121" s="1585"/>
      <c r="AV121" s="1585"/>
      <c r="AW121" s="1585"/>
      <c r="AX121" s="1585"/>
      <c r="AY121" s="1585"/>
      <c r="AZ121" s="1585"/>
      <c r="BA121" s="1585"/>
      <c r="BB121" s="1585"/>
      <c r="BC121" s="1585"/>
      <c r="BD121" s="1585"/>
      <c r="BE121" s="1585"/>
      <c r="BF121" s="1585"/>
      <c r="BG121" s="1585"/>
      <c r="BH121" s="1585"/>
      <c r="BI121" s="1585"/>
      <c r="BJ121" s="1585"/>
      <c r="BK121" s="1585"/>
      <c r="BL121" s="1585"/>
      <c r="BM121" s="1585"/>
      <c r="BN121" s="1585"/>
      <c r="BO121" s="1585"/>
      <c r="BP121" s="1585"/>
      <c r="BQ121" s="1585"/>
      <c r="BR121" s="1585"/>
      <c r="BS121" s="1585"/>
      <c r="BT121" s="1585"/>
      <c r="BU121" s="1585"/>
      <c r="BV121" s="1585"/>
      <c r="BW121" s="1585"/>
      <c r="BX121" s="1585"/>
      <c r="BY121" s="1585"/>
      <c r="BZ121" s="1585"/>
      <c r="CA121" s="1585"/>
      <c r="CB121" s="1585"/>
      <c r="CC121" s="1585"/>
      <c r="CD121" s="1585"/>
      <c r="CE121" s="1585"/>
      <c r="CF121" s="1585"/>
      <c r="CG121" s="1585"/>
      <c r="CH121" s="1585"/>
      <c r="CI121" s="1585"/>
      <c r="CJ121" s="1585"/>
      <c r="CK121" s="1585"/>
      <c r="CL121" s="1585"/>
      <c r="CM121" s="1585"/>
      <c r="CN121" s="1585"/>
      <c r="CO121" s="1585"/>
      <c r="CP121" s="1585"/>
      <c r="CQ121" s="1585"/>
      <c r="CR121" s="1585"/>
      <c r="CS121" s="1585"/>
      <c r="CT121" s="1585"/>
      <c r="CU121" s="1585"/>
      <c r="CV121" s="1585"/>
      <c r="CW121" s="1585"/>
      <c r="CX121" s="1585"/>
      <c r="CY121" s="1585"/>
      <c r="CZ121" s="1585"/>
    </row>
    <row r="122" spans="1:104">
      <c r="A122" s="1466"/>
      <c r="B122" s="1583"/>
      <c r="C122" s="1583"/>
      <c r="D122" s="1583"/>
      <c r="E122" s="1585"/>
      <c r="F122" s="1585"/>
      <c r="G122" s="1585"/>
      <c r="H122" s="1585"/>
      <c r="I122" s="1585"/>
      <c r="J122" s="1585"/>
      <c r="K122" s="1585"/>
      <c r="L122" s="1585"/>
      <c r="M122" s="1585"/>
      <c r="N122" s="1585"/>
      <c r="O122" s="1585"/>
      <c r="P122" s="1585"/>
      <c r="Q122" s="1585"/>
      <c r="R122" s="1585"/>
      <c r="S122" s="1585"/>
      <c r="T122" s="1585"/>
      <c r="U122" s="1585"/>
      <c r="V122" s="1585"/>
      <c r="W122" s="1585"/>
      <c r="X122" s="1585"/>
      <c r="Y122" s="1585"/>
      <c r="Z122" s="1585"/>
      <c r="AA122" s="1585"/>
      <c r="AB122" s="1585"/>
      <c r="AC122" s="1585"/>
      <c r="AD122" s="1585"/>
      <c r="AE122" s="1585"/>
      <c r="AF122" s="1585"/>
      <c r="AG122" s="1585"/>
      <c r="AH122" s="1585"/>
      <c r="AI122" s="1585"/>
      <c r="AJ122" s="1585"/>
      <c r="AK122" s="1585"/>
      <c r="AL122" s="1585"/>
      <c r="AM122" s="1585"/>
      <c r="AN122" s="1585"/>
      <c r="AO122" s="1585"/>
      <c r="AP122" s="1585"/>
      <c r="AQ122" s="1585"/>
      <c r="AR122" s="1585"/>
      <c r="AS122" s="1585"/>
      <c r="AT122" s="1585"/>
      <c r="AU122" s="1585"/>
      <c r="AV122" s="1585"/>
      <c r="AW122" s="1585"/>
      <c r="AX122" s="1585"/>
      <c r="AY122" s="1585"/>
      <c r="AZ122" s="1585"/>
      <c r="BA122" s="1585"/>
      <c r="BB122" s="1585"/>
      <c r="BC122" s="1585"/>
      <c r="BD122" s="1585"/>
      <c r="BE122" s="1585"/>
      <c r="BF122" s="1585"/>
      <c r="BG122" s="1585"/>
      <c r="BH122" s="1585"/>
      <c r="BI122" s="1585"/>
      <c r="BJ122" s="1585"/>
      <c r="BK122" s="1585"/>
      <c r="BL122" s="1585"/>
      <c r="BM122" s="1585"/>
      <c r="BN122" s="1585"/>
      <c r="BO122" s="1585"/>
      <c r="BP122" s="1585"/>
      <c r="BQ122" s="1585"/>
      <c r="BR122" s="1585"/>
      <c r="BS122" s="1585"/>
      <c r="BT122" s="1585"/>
      <c r="BU122" s="1585"/>
      <c r="BV122" s="1585"/>
      <c r="BW122" s="1585"/>
      <c r="BX122" s="1585"/>
      <c r="BY122" s="1585"/>
      <c r="BZ122" s="1585"/>
      <c r="CA122" s="1585"/>
      <c r="CB122" s="1585"/>
      <c r="CC122" s="1585"/>
      <c r="CD122" s="1585"/>
      <c r="CE122" s="1585"/>
      <c r="CF122" s="1585"/>
      <c r="CG122" s="1585"/>
      <c r="CH122" s="1585"/>
      <c r="CI122" s="1585"/>
      <c r="CJ122" s="1585"/>
      <c r="CK122" s="1585"/>
      <c r="CL122" s="1585"/>
      <c r="CM122" s="1585"/>
      <c r="CN122" s="1585"/>
      <c r="CO122" s="1585"/>
      <c r="CP122" s="1585"/>
      <c r="CQ122" s="1585"/>
      <c r="CR122" s="1585"/>
      <c r="CS122" s="1585"/>
      <c r="CT122" s="1585"/>
      <c r="CU122" s="1585"/>
      <c r="CV122" s="1585"/>
      <c r="CW122" s="1585"/>
      <c r="CX122" s="1585"/>
      <c r="CY122" s="1585"/>
      <c r="CZ122" s="1585"/>
    </row>
    <row r="123" spans="1:104">
      <c r="A123" s="1466"/>
      <c r="B123" s="1583"/>
      <c r="C123" s="1583"/>
      <c r="D123" s="1583"/>
      <c r="E123" s="1585"/>
      <c r="F123" s="1585"/>
      <c r="G123" s="1585"/>
      <c r="H123" s="1585"/>
      <c r="I123" s="1585"/>
      <c r="J123" s="1585"/>
      <c r="K123" s="1585"/>
      <c r="L123" s="1585"/>
      <c r="M123" s="1585"/>
      <c r="N123" s="1585"/>
      <c r="O123" s="1585"/>
      <c r="P123" s="1585"/>
      <c r="Q123" s="1585"/>
      <c r="R123" s="1585"/>
      <c r="S123" s="1585"/>
      <c r="T123" s="1585"/>
      <c r="U123" s="1585"/>
      <c r="V123" s="1585"/>
      <c r="W123" s="1585"/>
      <c r="X123" s="1585"/>
      <c r="Y123" s="1585"/>
      <c r="Z123" s="1585"/>
      <c r="AA123" s="1585"/>
      <c r="AB123" s="1585"/>
      <c r="AC123" s="1585"/>
      <c r="AD123" s="1585"/>
      <c r="AE123" s="1585"/>
      <c r="AF123" s="1585"/>
      <c r="AG123" s="1585"/>
      <c r="AH123" s="1585"/>
      <c r="AI123" s="1585"/>
      <c r="AJ123" s="1585"/>
      <c r="AK123" s="1585"/>
      <c r="AL123" s="1585"/>
      <c r="AM123" s="1585"/>
      <c r="AN123" s="1585"/>
      <c r="AO123" s="1585"/>
      <c r="AP123" s="1585"/>
      <c r="AQ123" s="1585"/>
      <c r="AR123" s="1585"/>
      <c r="AS123" s="1585"/>
      <c r="AT123" s="1585"/>
      <c r="AU123" s="1585"/>
      <c r="AV123" s="1585"/>
      <c r="AW123" s="1585"/>
      <c r="AX123" s="1585"/>
      <c r="AY123" s="1585"/>
      <c r="AZ123" s="1585"/>
      <c r="BA123" s="1585"/>
      <c r="BB123" s="1585"/>
      <c r="BC123" s="1585"/>
      <c r="BD123" s="1585"/>
      <c r="BE123" s="1585"/>
      <c r="BF123" s="1585"/>
      <c r="BG123" s="1585"/>
      <c r="BH123" s="1585"/>
      <c r="BI123" s="1585"/>
      <c r="BJ123" s="1585"/>
      <c r="BK123" s="1585"/>
      <c r="BL123" s="1585"/>
      <c r="BM123" s="1585"/>
      <c r="BN123" s="1585"/>
      <c r="BO123" s="1585"/>
      <c r="BP123" s="1585"/>
      <c r="BQ123" s="1585"/>
      <c r="BR123" s="1585"/>
      <c r="BS123" s="1585"/>
      <c r="BT123" s="1585"/>
      <c r="BU123" s="1585"/>
      <c r="BV123" s="1585"/>
      <c r="BW123" s="1585"/>
      <c r="BX123" s="1585"/>
      <c r="BY123" s="1585"/>
      <c r="BZ123" s="1585"/>
      <c r="CA123" s="1585"/>
      <c r="CB123" s="1585"/>
      <c r="CC123" s="1585"/>
      <c r="CD123" s="1585"/>
      <c r="CE123" s="1585"/>
      <c r="CF123" s="1585"/>
      <c r="CG123" s="1585"/>
      <c r="CH123" s="1585"/>
      <c r="CI123" s="1585"/>
      <c r="CJ123" s="1585"/>
      <c r="CK123" s="1585"/>
      <c r="CL123" s="1585"/>
      <c r="CM123" s="1585"/>
      <c r="CN123" s="1585"/>
      <c r="CO123" s="1585"/>
      <c r="CP123" s="1585"/>
      <c r="CQ123" s="1585"/>
      <c r="CR123" s="1585"/>
      <c r="CS123" s="1585"/>
      <c r="CT123" s="1585"/>
      <c r="CU123" s="1585"/>
      <c r="CV123" s="1585"/>
      <c r="CW123" s="1585"/>
      <c r="CX123" s="1585"/>
      <c r="CY123" s="1585"/>
      <c r="CZ123" s="1585"/>
    </row>
    <row r="124" spans="1:104">
      <c r="A124" s="1466"/>
      <c r="B124" s="1583"/>
      <c r="C124" s="1583"/>
      <c r="D124" s="1583"/>
      <c r="E124" s="1585"/>
      <c r="F124" s="1585"/>
      <c r="G124" s="1585"/>
      <c r="H124" s="1585"/>
      <c r="I124" s="1585"/>
      <c r="J124" s="1585"/>
      <c r="K124" s="1585"/>
      <c r="L124" s="1585"/>
      <c r="M124" s="1585"/>
      <c r="N124" s="1585"/>
      <c r="O124" s="1585"/>
      <c r="P124" s="1585"/>
      <c r="Q124" s="1585"/>
      <c r="R124" s="1585"/>
      <c r="S124" s="1585"/>
      <c r="T124" s="1585"/>
      <c r="U124" s="1585"/>
      <c r="V124" s="1585"/>
      <c r="W124" s="1585"/>
      <c r="X124" s="1585"/>
      <c r="Y124" s="1585"/>
      <c r="Z124" s="1585"/>
      <c r="AA124" s="1585"/>
      <c r="AB124" s="1585"/>
      <c r="AC124" s="1585"/>
      <c r="AD124" s="1585"/>
      <c r="AE124" s="1585"/>
      <c r="AF124" s="1585"/>
      <c r="AG124" s="1585"/>
      <c r="AH124" s="1585"/>
      <c r="AI124" s="1585"/>
      <c r="AJ124" s="1585"/>
      <c r="AK124" s="1585"/>
      <c r="AL124" s="1585"/>
      <c r="AM124" s="1585"/>
      <c r="AN124" s="1585"/>
      <c r="AO124" s="1585"/>
      <c r="AP124" s="1585"/>
      <c r="AQ124" s="1585"/>
      <c r="AR124" s="1585"/>
      <c r="AS124" s="1585"/>
      <c r="AT124" s="1585"/>
      <c r="AU124" s="1585"/>
      <c r="AV124" s="1585"/>
      <c r="AW124" s="1585"/>
      <c r="AX124" s="1585"/>
      <c r="AY124" s="1585"/>
      <c r="AZ124" s="1585"/>
      <c r="BA124" s="1585"/>
      <c r="BB124" s="1585"/>
      <c r="BC124" s="1585"/>
      <c r="BD124" s="1585"/>
      <c r="BE124" s="1585"/>
      <c r="BF124" s="1585"/>
      <c r="BG124" s="1585"/>
      <c r="BH124" s="1585"/>
      <c r="BI124" s="1585"/>
      <c r="BJ124" s="1585"/>
      <c r="BK124" s="1585"/>
      <c r="BL124" s="1585"/>
      <c r="BM124" s="1585"/>
      <c r="BN124" s="1585"/>
      <c r="BO124" s="1585"/>
      <c r="BP124" s="1585"/>
      <c r="BQ124" s="1585"/>
      <c r="BR124" s="1585"/>
      <c r="BS124" s="1585"/>
      <c r="BT124" s="1585"/>
      <c r="BU124" s="1585"/>
      <c r="BV124" s="1585"/>
      <c r="BW124" s="1585"/>
      <c r="BX124" s="1585"/>
      <c r="BY124" s="1585"/>
      <c r="BZ124" s="1585"/>
      <c r="CA124" s="1585"/>
      <c r="CB124" s="1585"/>
      <c r="CC124" s="1585"/>
      <c r="CD124" s="1585"/>
      <c r="CE124" s="1585"/>
      <c r="CF124" s="1585"/>
      <c r="CG124" s="1585"/>
      <c r="CH124" s="1585"/>
      <c r="CI124" s="1585"/>
      <c r="CJ124" s="1585"/>
      <c r="CK124" s="1585"/>
      <c r="CL124" s="1585"/>
      <c r="CM124" s="1585"/>
      <c r="CN124" s="1585"/>
      <c r="CO124" s="1585"/>
      <c r="CP124" s="1585"/>
      <c r="CQ124" s="1585"/>
      <c r="CR124" s="1585"/>
      <c r="CS124" s="1585"/>
      <c r="CT124" s="1585"/>
      <c r="CU124" s="1585"/>
      <c r="CV124" s="1585"/>
      <c r="CW124" s="1585"/>
      <c r="CX124" s="1585"/>
      <c r="CY124" s="1585"/>
      <c r="CZ124" s="1585"/>
    </row>
    <row r="125" spans="1:104">
      <c r="A125" s="1466"/>
      <c r="B125" s="1583"/>
      <c r="C125" s="1583"/>
      <c r="D125" s="1583"/>
      <c r="E125" s="1585"/>
      <c r="F125" s="1585"/>
      <c r="G125" s="1585"/>
      <c r="H125" s="1585"/>
      <c r="I125" s="1585"/>
      <c r="J125" s="1585"/>
      <c r="K125" s="1585"/>
      <c r="L125" s="1585"/>
      <c r="M125" s="1585"/>
      <c r="N125" s="1585"/>
      <c r="O125" s="1585"/>
      <c r="P125" s="1585"/>
      <c r="Q125" s="1585"/>
      <c r="R125" s="1585"/>
      <c r="S125" s="1585"/>
      <c r="T125" s="1585"/>
      <c r="U125" s="1585"/>
      <c r="V125" s="1585"/>
      <c r="W125" s="1585"/>
      <c r="X125" s="1585"/>
      <c r="Y125" s="1585"/>
      <c r="Z125" s="1585"/>
      <c r="AA125" s="1585"/>
      <c r="AB125" s="1585"/>
      <c r="AC125" s="1585"/>
      <c r="AD125" s="1585"/>
      <c r="AE125" s="1585"/>
      <c r="AF125" s="1585"/>
      <c r="AG125" s="1585"/>
      <c r="AH125" s="1585"/>
      <c r="AI125" s="1585"/>
      <c r="AJ125" s="1585"/>
      <c r="AK125" s="1585"/>
      <c r="AL125" s="1585"/>
      <c r="AM125" s="1585"/>
      <c r="AN125" s="1585"/>
      <c r="AO125" s="1585"/>
      <c r="AP125" s="1585"/>
      <c r="AQ125" s="1585"/>
      <c r="AR125" s="1585"/>
      <c r="AS125" s="1585"/>
      <c r="AT125" s="1585"/>
      <c r="AU125" s="1585"/>
      <c r="AV125" s="1585"/>
      <c r="AW125" s="1585"/>
      <c r="AX125" s="1585"/>
      <c r="AY125" s="1585"/>
      <c r="AZ125" s="1585"/>
      <c r="BA125" s="1585"/>
      <c r="BB125" s="1585"/>
      <c r="BC125" s="1585"/>
      <c r="BD125" s="1585"/>
      <c r="BE125" s="1585"/>
      <c r="BF125" s="1585"/>
      <c r="BG125" s="1585"/>
      <c r="BH125" s="1585"/>
      <c r="BI125" s="1585"/>
      <c r="BJ125" s="1585"/>
      <c r="BK125" s="1585"/>
      <c r="BL125" s="1585"/>
      <c r="BM125" s="1585"/>
      <c r="BN125" s="1585"/>
      <c r="BO125" s="1585"/>
      <c r="BP125" s="1585"/>
      <c r="BQ125" s="1585"/>
      <c r="BR125" s="1585"/>
      <c r="BS125" s="1585"/>
      <c r="BT125" s="1585"/>
      <c r="BU125" s="1585"/>
      <c r="BV125" s="1585"/>
      <c r="BW125" s="1585"/>
      <c r="BX125" s="1585"/>
      <c r="BY125" s="1585"/>
      <c r="BZ125" s="1585"/>
      <c r="CA125" s="1585"/>
      <c r="CB125" s="1585"/>
      <c r="CC125" s="1585"/>
      <c r="CD125" s="1585"/>
      <c r="CE125" s="1585"/>
      <c r="CF125" s="1585"/>
      <c r="CG125" s="1585"/>
      <c r="CH125" s="1585"/>
      <c r="CI125" s="1585"/>
      <c r="CJ125" s="1585"/>
      <c r="CK125" s="1585"/>
      <c r="CL125" s="1585"/>
      <c r="CM125" s="1585"/>
      <c r="CN125" s="1585"/>
      <c r="CO125" s="1585"/>
      <c r="CP125" s="1585"/>
      <c r="CQ125" s="1585"/>
      <c r="CR125" s="1585"/>
      <c r="CS125" s="1585"/>
      <c r="CT125" s="1585"/>
      <c r="CU125" s="1585"/>
      <c r="CV125" s="1585"/>
      <c r="CW125" s="1585"/>
      <c r="CX125" s="1585"/>
      <c r="CY125" s="1585"/>
      <c r="CZ125" s="1585"/>
    </row>
    <row r="126" spans="1:104">
      <c r="A126" s="1466"/>
      <c r="B126" s="1583"/>
      <c r="C126" s="1583"/>
      <c r="D126" s="1583"/>
      <c r="E126" s="1585"/>
      <c r="F126" s="1585"/>
      <c r="G126" s="1585"/>
      <c r="H126" s="1585"/>
      <c r="I126" s="1585"/>
      <c r="J126" s="1585"/>
      <c r="K126" s="1585"/>
      <c r="L126" s="1585"/>
      <c r="M126" s="1585"/>
      <c r="N126" s="1585"/>
      <c r="O126" s="1585"/>
      <c r="P126" s="1585"/>
      <c r="Q126" s="1585"/>
      <c r="R126" s="1585"/>
      <c r="S126" s="1585"/>
      <c r="T126" s="1585"/>
      <c r="U126" s="1585"/>
      <c r="V126" s="1585"/>
      <c r="W126" s="1585"/>
      <c r="X126" s="1585"/>
      <c r="Y126" s="1585"/>
      <c r="Z126" s="1585"/>
      <c r="AA126" s="1585"/>
      <c r="AB126" s="1585"/>
      <c r="AC126" s="1585"/>
      <c r="AD126" s="1585"/>
      <c r="AE126" s="1585"/>
      <c r="AF126" s="1585"/>
      <c r="AG126" s="1585"/>
      <c r="AH126" s="1585"/>
      <c r="AI126" s="1585"/>
      <c r="AJ126" s="1585"/>
      <c r="AK126" s="1585"/>
      <c r="AL126" s="1585"/>
      <c r="AM126" s="1585"/>
      <c r="AN126" s="1585"/>
      <c r="AO126" s="1585"/>
      <c r="AP126" s="1585"/>
      <c r="AQ126" s="1585"/>
      <c r="AR126" s="1585"/>
      <c r="AS126" s="1585"/>
      <c r="AT126" s="1585"/>
      <c r="AU126" s="1585"/>
      <c r="AV126" s="1585"/>
      <c r="AW126" s="1585"/>
      <c r="AX126" s="1585"/>
      <c r="AY126" s="1585"/>
      <c r="AZ126" s="1585"/>
      <c r="BA126" s="1585"/>
      <c r="BB126" s="1585"/>
      <c r="BC126" s="1585"/>
      <c r="BD126" s="1585"/>
      <c r="BE126" s="1585"/>
      <c r="BF126" s="1585"/>
      <c r="BG126" s="1585"/>
      <c r="BH126" s="1585"/>
      <c r="BI126" s="1585"/>
      <c r="BJ126" s="1585"/>
      <c r="BK126" s="1585"/>
      <c r="BL126" s="1585"/>
      <c r="BM126" s="1585"/>
      <c r="BN126" s="1585"/>
      <c r="BO126" s="1585"/>
      <c r="BP126" s="1585"/>
      <c r="BQ126" s="1585"/>
      <c r="BR126" s="1585"/>
      <c r="BS126" s="1585"/>
      <c r="BT126" s="1585"/>
      <c r="BU126" s="1585"/>
      <c r="BV126" s="1585"/>
      <c r="BW126" s="1585"/>
      <c r="BX126" s="1585"/>
      <c r="BY126" s="1585"/>
      <c r="BZ126" s="1585"/>
      <c r="CA126" s="1585"/>
      <c r="CB126" s="1585"/>
      <c r="CC126" s="1585"/>
      <c r="CD126" s="1585"/>
      <c r="CE126" s="1585"/>
      <c r="CF126" s="1585"/>
      <c r="CG126" s="1585"/>
      <c r="CH126" s="1585"/>
      <c r="CI126" s="1585"/>
      <c r="CJ126" s="1585"/>
      <c r="CK126" s="1585"/>
      <c r="CL126" s="1585"/>
      <c r="CM126" s="1585"/>
      <c r="CN126" s="1585"/>
      <c r="CO126" s="1585"/>
      <c r="CP126" s="1585"/>
      <c r="CQ126" s="1585"/>
      <c r="CR126" s="1585"/>
      <c r="CS126" s="1585"/>
      <c r="CT126" s="1585"/>
      <c r="CU126" s="1585"/>
      <c r="CV126" s="1585"/>
      <c r="CW126" s="1585"/>
      <c r="CX126" s="1585"/>
      <c r="CY126" s="1585"/>
      <c r="CZ126" s="1585"/>
    </row>
    <row r="127" spans="1:104">
      <c r="A127" s="1466"/>
      <c r="B127" s="1583"/>
      <c r="C127" s="1583"/>
      <c r="D127" s="1583"/>
      <c r="E127" s="1585"/>
      <c r="F127" s="1585"/>
      <c r="G127" s="1585"/>
      <c r="H127" s="1585"/>
      <c r="I127" s="1585"/>
      <c r="J127" s="1585"/>
      <c r="K127" s="1585"/>
      <c r="L127" s="1585"/>
      <c r="M127" s="1585"/>
      <c r="N127" s="1585"/>
      <c r="O127" s="1585"/>
      <c r="P127" s="1585"/>
      <c r="Q127" s="1585"/>
      <c r="R127" s="1585"/>
      <c r="S127" s="1585"/>
      <c r="T127" s="1585"/>
      <c r="U127" s="1585"/>
      <c r="V127" s="1585"/>
      <c r="W127" s="1585"/>
      <c r="X127" s="1585"/>
      <c r="Y127" s="1585"/>
      <c r="Z127" s="1585"/>
      <c r="AA127" s="1585"/>
      <c r="AB127" s="1585"/>
      <c r="AC127" s="1585"/>
      <c r="AD127" s="1585"/>
      <c r="AE127" s="1585"/>
      <c r="AF127" s="1585"/>
      <c r="AG127" s="1585"/>
      <c r="AH127" s="1585"/>
      <c r="AI127" s="1585"/>
      <c r="AJ127" s="1585"/>
      <c r="AK127" s="1585"/>
      <c r="AL127" s="1585"/>
      <c r="AM127" s="1585"/>
      <c r="AN127" s="1585"/>
      <c r="AO127" s="1585"/>
      <c r="AP127" s="1585"/>
      <c r="AQ127" s="1585"/>
      <c r="AR127" s="1585"/>
      <c r="AS127" s="1585"/>
      <c r="AT127" s="1585"/>
      <c r="AU127" s="1585"/>
      <c r="AV127" s="1585"/>
      <c r="AW127" s="1585"/>
      <c r="AX127" s="1585"/>
      <c r="AY127" s="1585"/>
      <c r="AZ127" s="1585"/>
      <c r="BA127" s="1585"/>
      <c r="BB127" s="1585"/>
      <c r="BC127" s="1585"/>
      <c r="BD127" s="1585"/>
      <c r="BE127" s="1585"/>
      <c r="BF127" s="1585"/>
      <c r="BG127" s="1585"/>
      <c r="BH127" s="1585"/>
      <c r="BI127" s="1585"/>
      <c r="BJ127" s="1585"/>
      <c r="BK127" s="1585"/>
      <c r="BL127" s="1585"/>
      <c r="BM127" s="1585"/>
      <c r="BN127" s="1585"/>
      <c r="BO127" s="1585"/>
      <c r="BP127" s="1585"/>
      <c r="BQ127" s="1585"/>
      <c r="BR127" s="1585"/>
      <c r="BS127" s="1585"/>
      <c r="BT127" s="1585"/>
      <c r="BU127" s="1585"/>
      <c r="BV127" s="1585"/>
      <c r="BW127" s="1585"/>
      <c r="BX127" s="1585"/>
      <c r="BY127" s="1585"/>
      <c r="BZ127" s="1585"/>
      <c r="CA127" s="1585"/>
      <c r="CB127" s="1585"/>
      <c r="CC127" s="1585"/>
      <c r="CD127" s="1585"/>
      <c r="CE127" s="1585"/>
      <c r="CF127" s="1585"/>
      <c r="CG127" s="1585"/>
      <c r="CH127" s="1585"/>
      <c r="CI127" s="1585"/>
      <c r="CJ127" s="1585"/>
      <c r="CK127" s="1585"/>
      <c r="CL127" s="1585"/>
      <c r="CM127" s="1585"/>
      <c r="CN127" s="1585"/>
      <c r="CO127" s="1585"/>
      <c r="CP127" s="1585"/>
      <c r="CQ127" s="1585"/>
      <c r="CR127" s="1585"/>
      <c r="CS127" s="1585"/>
      <c r="CT127" s="1585"/>
      <c r="CU127" s="1585"/>
      <c r="CV127" s="1585"/>
      <c r="CW127" s="1585"/>
      <c r="CX127" s="1585"/>
      <c r="CY127" s="1585"/>
      <c r="CZ127" s="1585"/>
    </row>
    <row r="128" spans="1:104">
      <c r="A128" s="1466"/>
      <c r="B128" s="1583"/>
      <c r="C128" s="1583"/>
      <c r="D128" s="1583"/>
      <c r="E128" s="1585"/>
      <c r="F128" s="1585"/>
      <c r="G128" s="1585"/>
      <c r="H128" s="1585"/>
      <c r="I128" s="1585"/>
      <c r="J128" s="1585"/>
      <c r="K128" s="1585"/>
      <c r="L128" s="1585"/>
      <c r="M128" s="1585"/>
      <c r="N128" s="1585"/>
      <c r="O128" s="1585"/>
      <c r="P128" s="1585"/>
      <c r="Q128" s="1585"/>
      <c r="R128" s="1585"/>
      <c r="S128" s="1585"/>
      <c r="T128" s="1585"/>
      <c r="U128" s="1585"/>
      <c r="V128" s="1585"/>
      <c r="W128" s="1585"/>
      <c r="X128" s="1585"/>
      <c r="Y128" s="1585"/>
      <c r="Z128" s="1585"/>
      <c r="AA128" s="1585"/>
      <c r="AB128" s="1585"/>
      <c r="AC128" s="1585"/>
      <c r="AD128" s="1585"/>
      <c r="AE128" s="1585"/>
      <c r="AF128" s="1585"/>
      <c r="AG128" s="1585"/>
      <c r="AH128" s="1585"/>
      <c r="AI128" s="1585"/>
      <c r="AJ128" s="1585"/>
      <c r="AK128" s="1585"/>
      <c r="AL128" s="1585"/>
      <c r="AM128" s="1585"/>
      <c r="AN128" s="1585"/>
      <c r="AO128" s="1585"/>
      <c r="AP128" s="1585"/>
      <c r="AQ128" s="1585"/>
      <c r="AR128" s="1585"/>
      <c r="AS128" s="1585"/>
      <c r="AT128" s="1585"/>
      <c r="AU128" s="1585"/>
      <c r="AV128" s="1585"/>
      <c r="AW128" s="1585"/>
      <c r="AX128" s="1585"/>
      <c r="AY128" s="1585"/>
      <c r="AZ128" s="1585"/>
      <c r="BA128" s="1585"/>
      <c r="BB128" s="1585"/>
      <c r="BC128" s="1585"/>
      <c r="BD128" s="1585"/>
      <c r="BE128" s="1585"/>
      <c r="BF128" s="1585"/>
      <c r="BG128" s="1585"/>
      <c r="BH128" s="1585"/>
      <c r="BI128" s="1585"/>
      <c r="BJ128" s="1585"/>
      <c r="BK128" s="1585"/>
      <c r="BL128" s="1585"/>
      <c r="BM128" s="1585"/>
      <c r="BN128" s="1585"/>
      <c r="BO128" s="1585"/>
      <c r="BP128" s="1585"/>
      <c r="BQ128" s="1585"/>
      <c r="BR128" s="1585"/>
      <c r="BS128" s="1585"/>
      <c r="BT128" s="1585"/>
      <c r="BU128" s="1585"/>
      <c r="BV128" s="1585"/>
      <c r="BW128" s="1585"/>
      <c r="BX128" s="1585"/>
      <c r="BY128" s="1585"/>
      <c r="BZ128" s="1585"/>
      <c r="CA128" s="1585"/>
      <c r="CB128" s="1585"/>
      <c r="CC128" s="1585"/>
      <c r="CD128" s="1585"/>
      <c r="CE128" s="1585"/>
      <c r="CF128" s="1585"/>
      <c r="CG128" s="1585"/>
      <c r="CH128" s="1585"/>
      <c r="CI128" s="1585"/>
      <c r="CJ128" s="1585"/>
      <c r="CK128" s="1585"/>
      <c r="CL128" s="1585"/>
      <c r="CM128" s="1585"/>
      <c r="CN128" s="1585"/>
      <c r="CO128" s="1585"/>
      <c r="CP128" s="1585"/>
      <c r="CQ128" s="1585"/>
      <c r="CR128" s="1585"/>
      <c r="CS128" s="1585"/>
      <c r="CT128" s="1585"/>
      <c r="CU128" s="1585"/>
      <c r="CV128" s="1585"/>
      <c r="CW128" s="1585"/>
      <c r="CX128" s="1585"/>
      <c r="CY128" s="1585"/>
      <c r="CZ128" s="1585"/>
    </row>
    <row r="129" spans="1:407">
      <c r="A129" s="1466"/>
      <c r="B129" s="1583"/>
      <c r="C129" s="1583"/>
      <c r="D129" s="1583"/>
      <c r="E129" s="1585"/>
      <c r="F129" s="1585"/>
      <c r="G129" s="1585"/>
      <c r="H129" s="1585"/>
      <c r="I129" s="1585"/>
      <c r="J129" s="1585"/>
      <c r="K129" s="1585"/>
      <c r="L129" s="1585"/>
      <c r="M129" s="1585"/>
      <c r="N129" s="1585"/>
      <c r="O129" s="1585"/>
      <c r="P129" s="1585"/>
      <c r="Q129" s="1585"/>
      <c r="R129" s="1585"/>
      <c r="S129" s="1585"/>
      <c r="T129" s="1585"/>
      <c r="U129" s="1585"/>
      <c r="V129" s="1585"/>
      <c r="W129" s="1585"/>
      <c r="X129" s="1585"/>
      <c r="Y129" s="1585"/>
      <c r="Z129" s="1585"/>
      <c r="AA129" s="1585"/>
      <c r="AB129" s="1585"/>
      <c r="AC129" s="1585"/>
      <c r="AD129" s="1585"/>
      <c r="AE129" s="1585"/>
      <c r="AF129" s="1585"/>
      <c r="AG129" s="1585"/>
      <c r="AH129" s="1585"/>
      <c r="AI129" s="1585"/>
      <c r="AJ129" s="1585"/>
      <c r="AK129" s="1585"/>
      <c r="AL129" s="1585"/>
      <c r="AM129" s="1585"/>
      <c r="AN129" s="1585"/>
      <c r="AO129" s="1585"/>
      <c r="AP129" s="1585"/>
      <c r="AQ129" s="1585"/>
      <c r="AR129" s="1585"/>
      <c r="AS129" s="1585"/>
      <c r="AT129" s="1585"/>
      <c r="AU129" s="1585"/>
      <c r="AV129" s="1585"/>
      <c r="AW129" s="1585"/>
      <c r="AX129" s="1585"/>
      <c r="AY129" s="1585"/>
      <c r="AZ129" s="1585"/>
      <c r="BA129" s="1585"/>
      <c r="BB129" s="1585"/>
      <c r="BC129" s="1585"/>
      <c r="BD129" s="1585"/>
      <c r="BE129" s="1585"/>
      <c r="BF129" s="1585"/>
      <c r="BG129" s="1585"/>
      <c r="BH129" s="1585"/>
      <c r="BI129" s="1585"/>
      <c r="BJ129" s="1585"/>
      <c r="BK129" s="1585"/>
      <c r="BL129" s="1585"/>
      <c r="BM129" s="1585"/>
      <c r="BN129" s="1585"/>
      <c r="BO129" s="1585"/>
      <c r="BP129" s="1585"/>
      <c r="BQ129" s="1585"/>
      <c r="BR129" s="1585"/>
      <c r="BS129" s="1585"/>
      <c r="BT129" s="1585"/>
      <c r="BU129" s="1585"/>
      <c r="BV129" s="1585"/>
      <c r="BW129" s="1585"/>
      <c r="BX129" s="1585"/>
      <c r="BY129" s="1585"/>
      <c r="BZ129" s="1585"/>
      <c r="CA129" s="1585"/>
      <c r="CB129" s="1585"/>
      <c r="CC129" s="1585"/>
      <c r="CD129" s="1585"/>
      <c r="CE129" s="1585"/>
      <c r="CF129" s="1585"/>
      <c r="CG129" s="1585"/>
      <c r="CH129" s="1585"/>
      <c r="CI129" s="1585"/>
      <c r="CJ129" s="1585"/>
      <c r="CK129" s="1585"/>
      <c r="CL129" s="1585"/>
      <c r="CM129" s="1585"/>
      <c r="CN129" s="1585"/>
      <c r="CO129" s="1585"/>
      <c r="CP129" s="1585"/>
      <c r="CQ129" s="1585"/>
      <c r="CR129" s="1585"/>
      <c r="CS129" s="1585"/>
      <c r="CT129" s="1585"/>
      <c r="CU129" s="1585"/>
      <c r="CV129" s="1585"/>
      <c r="CW129" s="1585"/>
      <c r="CX129" s="1585"/>
      <c r="CY129" s="1585"/>
      <c r="CZ129" s="1585"/>
    </row>
    <row r="130" spans="1:407">
      <c r="A130" s="1466"/>
      <c r="B130" s="1583"/>
      <c r="C130" s="1583"/>
      <c r="D130" s="1583"/>
      <c r="E130" s="1585"/>
      <c r="F130" s="1585"/>
      <c r="G130" s="1585"/>
      <c r="H130" s="1585"/>
      <c r="I130" s="1585"/>
      <c r="J130" s="1585"/>
      <c r="K130" s="1585"/>
      <c r="L130" s="1585"/>
      <c r="M130" s="1585"/>
      <c r="N130" s="1585"/>
      <c r="O130" s="1585"/>
      <c r="P130" s="1585"/>
      <c r="Q130" s="1585"/>
      <c r="R130" s="1585"/>
      <c r="S130" s="1585"/>
      <c r="T130" s="1585"/>
      <c r="U130" s="1585"/>
      <c r="V130" s="1585"/>
      <c r="W130" s="1585"/>
      <c r="X130" s="1585"/>
      <c r="Y130" s="1585"/>
      <c r="Z130" s="1585"/>
      <c r="AA130" s="1585"/>
      <c r="AB130" s="1585"/>
      <c r="AC130" s="1585"/>
      <c r="AD130" s="1585"/>
      <c r="AE130" s="1585"/>
      <c r="AF130" s="1585"/>
      <c r="AG130" s="1585"/>
      <c r="AH130" s="1585"/>
      <c r="AI130" s="1585"/>
      <c r="AJ130" s="1585"/>
      <c r="AK130" s="1585"/>
      <c r="AL130" s="1585"/>
      <c r="AM130" s="1585"/>
      <c r="AN130" s="1585"/>
      <c r="AO130" s="1585"/>
      <c r="AP130" s="1585"/>
      <c r="AQ130" s="1585"/>
      <c r="AR130" s="1585"/>
      <c r="AS130" s="1585"/>
      <c r="AT130" s="1585"/>
      <c r="AU130" s="1585"/>
      <c r="AV130" s="1585"/>
      <c r="AW130" s="1585"/>
      <c r="AX130" s="1585"/>
      <c r="AY130" s="1585"/>
      <c r="AZ130" s="1585"/>
      <c r="BA130" s="1585"/>
      <c r="BB130" s="1585"/>
      <c r="BC130" s="1585"/>
      <c r="BD130" s="1585"/>
      <c r="BE130" s="1585"/>
      <c r="BF130" s="1585"/>
      <c r="BG130" s="1585"/>
      <c r="BH130" s="1585"/>
      <c r="BI130" s="1585"/>
      <c r="BJ130" s="1585"/>
      <c r="BK130" s="1585"/>
      <c r="BL130" s="1585"/>
      <c r="BM130" s="1585"/>
      <c r="BN130" s="1585"/>
      <c r="BO130" s="1585"/>
      <c r="BP130" s="1585"/>
      <c r="BQ130" s="1585"/>
      <c r="BR130" s="1585"/>
      <c r="BS130" s="1585"/>
      <c r="BT130" s="1585"/>
      <c r="BU130" s="1585"/>
      <c r="BV130" s="1585"/>
      <c r="BW130" s="1585"/>
      <c r="BX130" s="1585"/>
      <c r="BY130" s="1585"/>
      <c r="BZ130" s="1585"/>
      <c r="CA130" s="1585"/>
      <c r="CB130" s="1585"/>
      <c r="CC130" s="1585"/>
      <c r="CD130" s="1585"/>
      <c r="CE130" s="1585"/>
      <c r="CF130" s="1585"/>
      <c r="CG130" s="1585"/>
      <c r="CH130" s="1585"/>
      <c r="CI130" s="1585"/>
      <c r="CJ130" s="1585"/>
      <c r="CK130" s="1585"/>
      <c r="CL130" s="1585"/>
      <c r="CM130" s="1585"/>
      <c r="CN130" s="1585"/>
      <c r="CO130" s="1585"/>
      <c r="CP130" s="1585"/>
      <c r="CQ130" s="1585"/>
      <c r="CR130" s="1585"/>
      <c r="CS130" s="1585"/>
      <c r="CT130" s="1585"/>
      <c r="CU130" s="1585"/>
      <c r="CV130" s="1585"/>
      <c r="CW130" s="1585"/>
      <c r="CX130" s="1585"/>
      <c r="CY130" s="1585"/>
      <c r="CZ130" s="1585"/>
    </row>
    <row r="131" spans="1:407">
      <c r="A131" s="1466"/>
      <c r="B131" s="1583"/>
      <c r="C131" s="1583"/>
      <c r="D131" s="1583"/>
      <c r="E131" s="1585"/>
      <c r="F131" s="1585"/>
      <c r="G131" s="1585"/>
      <c r="H131" s="1585"/>
      <c r="I131" s="1585"/>
      <c r="J131" s="1585"/>
      <c r="K131" s="1585"/>
      <c r="L131" s="1585"/>
      <c r="M131" s="1585"/>
      <c r="N131" s="1585"/>
      <c r="O131" s="1585"/>
      <c r="P131" s="1585"/>
      <c r="Q131" s="1585"/>
      <c r="R131" s="1585"/>
      <c r="S131" s="1585"/>
      <c r="T131" s="1585"/>
      <c r="U131" s="1585"/>
      <c r="V131" s="1585"/>
      <c r="W131" s="1585"/>
      <c r="X131" s="1585"/>
      <c r="Y131" s="1585"/>
      <c r="Z131" s="1585"/>
      <c r="AA131" s="1585"/>
      <c r="AB131" s="1585"/>
      <c r="AC131" s="1585"/>
      <c r="AD131" s="1585"/>
      <c r="AE131" s="1585"/>
      <c r="AF131" s="1585"/>
      <c r="AG131" s="1585"/>
      <c r="AH131" s="1585"/>
      <c r="AI131" s="1585"/>
      <c r="AJ131" s="1585"/>
      <c r="AK131" s="1585"/>
      <c r="AL131" s="1585"/>
      <c r="AM131" s="1585"/>
      <c r="AN131" s="1585"/>
      <c r="AO131" s="1585"/>
      <c r="AP131" s="1585"/>
      <c r="AQ131" s="1585"/>
      <c r="AR131" s="1585"/>
      <c r="AS131" s="1585"/>
      <c r="AT131" s="1585"/>
      <c r="AU131" s="1585"/>
      <c r="AV131" s="1585"/>
      <c r="AW131" s="1585"/>
      <c r="AX131" s="1585"/>
      <c r="AY131" s="1585"/>
      <c r="AZ131" s="1585"/>
      <c r="BA131" s="1585"/>
      <c r="BB131" s="1585"/>
      <c r="BC131" s="1585"/>
      <c r="BD131" s="1585"/>
      <c r="BE131" s="1585"/>
      <c r="BF131" s="1585"/>
      <c r="BG131" s="1585"/>
      <c r="BH131" s="1585"/>
      <c r="BI131" s="1585"/>
      <c r="BJ131" s="1585"/>
      <c r="BK131" s="1585"/>
      <c r="BL131" s="1585"/>
      <c r="BM131" s="1585"/>
      <c r="BN131" s="1585"/>
      <c r="BO131" s="1585"/>
      <c r="BP131" s="1585"/>
      <c r="BQ131" s="1585"/>
      <c r="BR131" s="1585"/>
      <c r="BS131" s="1585"/>
      <c r="BT131" s="1585"/>
      <c r="BU131" s="1585"/>
      <c r="BV131" s="1585"/>
      <c r="BW131" s="1585"/>
      <c r="BX131" s="1585"/>
      <c r="BY131" s="1585"/>
      <c r="BZ131" s="1585"/>
      <c r="CA131" s="1585"/>
      <c r="CB131" s="1585"/>
      <c r="CC131" s="1585"/>
      <c r="CD131" s="1585"/>
      <c r="CE131" s="1585"/>
      <c r="CF131" s="1585"/>
      <c r="CG131" s="1585"/>
      <c r="CH131" s="1585"/>
      <c r="CI131" s="1585"/>
      <c r="CJ131" s="1585"/>
      <c r="CK131" s="1585"/>
      <c r="CL131" s="1585"/>
      <c r="CM131" s="1585"/>
      <c r="CN131" s="1585"/>
      <c r="CO131" s="1585"/>
      <c r="CP131" s="1585"/>
      <c r="CQ131" s="1585"/>
      <c r="CR131" s="1585"/>
      <c r="CS131" s="1585"/>
      <c r="CT131" s="1585"/>
      <c r="CU131" s="1585"/>
      <c r="CV131" s="1585"/>
      <c r="CW131" s="1585"/>
      <c r="CX131" s="1585"/>
      <c r="CY131" s="1585"/>
      <c r="CZ131" s="1585"/>
    </row>
    <row r="132" spans="1:407">
      <c r="A132" s="1466"/>
      <c r="B132" s="1583"/>
      <c r="C132" s="1583"/>
      <c r="D132" s="1583"/>
      <c r="E132" s="1585"/>
      <c r="F132" s="1585"/>
      <c r="G132" s="1585"/>
      <c r="H132" s="1585"/>
      <c r="I132" s="1585"/>
      <c r="J132" s="1585"/>
      <c r="K132" s="1585"/>
      <c r="L132" s="1585"/>
      <c r="M132" s="1585"/>
      <c r="N132" s="1585"/>
      <c r="O132" s="1585"/>
      <c r="P132" s="1585"/>
      <c r="Q132" s="1585"/>
      <c r="R132" s="1585"/>
      <c r="S132" s="1585"/>
      <c r="T132" s="1585"/>
      <c r="U132" s="1585"/>
      <c r="V132" s="1585"/>
      <c r="W132" s="1585"/>
      <c r="X132" s="1585"/>
      <c r="Y132" s="1585"/>
      <c r="Z132" s="1585"/>
      <c r="AA132" s="1585"/>
      <c r="AB132" s="1585"/>
      <c r="AC132" s="1585"/>
      <c r="AD132" s="1585"/>
      <c r="AE132" s="1585"/>
      <c r="AF132" s="1585"/>
      <c r="AG132" s="1585"/>
      <c r="AH132" s="1585"/>
      <c r="AI132" s="1585"/>
      <c r="AJ132" s="1585"/>
      <c r="AK132" s="1585"/>
      <c r="AL132" s="1585"/>
      <c r="AM132" s="1585"/>
      <c r="AN132" s="1585"/>
      <c r="AO132" s="1585"/>
      <c r="AP132" s="1585"/>
      <c r="AQ132" s="1585"/>
      <c r="AR132" s="1585"/>
      <c r="AS132" s="1585"/>
      <c r="AT132" s="1585"/>
      <c r="AU132" s="1585"/>
      <c r="AV132" s="1585"/>
      <c r="AW132" s="1585"/>
      <c r="AX132" s="1585"/>
      <c r="AY132" s="1585"/>
      <c r="AZ132" s="1585"/>
      <c r="BA132" s="1585"/>
      <c r="BB132" s="1585"/>
      <c r="BC132" s="1585"/>
      <c r="BD132" s="1585"/>
      <c r="BE132" s="1585"/>
      <c r="BF132" s="1585"/>
      <c r="BG132" s="1585"/>
      <c r="BH132" s="1585"/>
      <c r="BI132" s="1585"/>
      <c r="BJ132" s="1585"/>
      <c r="BK132" s="1585"/>
      <c r="BL132" s="1585"/>
      <c r="BM132" s="1585"/>
      <c r="BN132" s="1585"/>
      <c r="BO132" s="1585"/>
      <c r="BP132" s="1585"/>
      <c r="BQ132" s="1585"/>
      <c r="BR132" s="1585"/>
      <c r="BS132" s="1585"/>
      <c r="BT132" s="1585"/>
      <c r="BU132" s="1585"/>
      <c r="BV132" s="1585"/>
      <c r="BW132" s="1585"/>
      <c r="BX132" s="1585"/>
      <c r="BY132" s="1585"/>
      <c r="BZ132" s="1585"/>
      <c r="CA132" s="1585"/>
      <c r="CB132" s="1585"/>
      <c r="CC132" s="1585"/>
      <c r="CD132" s="1585"/>
      <c r="CE132" s="1585"/>
      <c r="CF132" s="1585"/>
      <c r="CG132" s="1585"/>
      <c r="CH132" s="1585"/>
      <c r="CI132" s="1585"/>
      <c r="CJ132" s="1585"/>
      <c r="CK132" s="1585"/>
      <c r="CL132" s="1585"/>
      <c r="CM132" s="1585"/>
      <c r="CN132" s="1585"/>
      <c r="CO132" s="1585"/>
      <c r="CP132" s="1585"/>
      <c r="CQ132" s="1585"/>
      <c r="CR132" s="1585"/>
      <c r="CS132" s="1585"/>
      <c r="CT132" s="1585"/>
      <c r="CU132" s="1585"/>
      <c r="CV132" s="1585"/>
      <c r="CW132" s="1585"/>
      <c r="CX132" s="1585"/>
      <c r="CY132" s="1585"/>
      <c r="CZ132" s="1585"/>
    </row>
    <row r="133" spans="1:407">
      <c r="A133" s="1466"/>
      <c r="B133" s="1583"/>
      <c r="C133" s="1583"/>
      <c r="D133" s="1583"/>
      <c r="E133" s="1585"/>
      <c r="F133" s="1585"/>
      <c r="G133" s="1585"/>
      <c r="H133" s="1585"/>
      <c r="I133" s="1585"/>
      <c r="J133" s="1585"/>
      <c r="K133" s="1585"/>
      <c r="L133" s="1585"/>
      <c r="M133" s="1585"/>
      <c r="N133" s="1585"/>
      <c r="O133" s="1585"/>
      <c r="P133" s="1585"/>
      <c r="Q133" s="1585"/>
      <c r="R133" s="1585"/>
      <c r="S133" s="1585"/>
      <c r="T133" s="1585"/>
      <c r="U133" s="1585"/>
      <c r="V133" s="1585"/>
      <c r="W133" s="1585"/>
      <c r="X133" s="1585"/>
      <c r="Y133" s="1585"/>
      <c r="Z133" s="1585"/>
      <c r="AA133" s="1585"/>
      <c r="AB133" s="1585"/>
      <c r="AC133" s="1585"/>
      <c r="AD133" s="1585"/>
      <c r="AE133" s="1585"/>
      <c r="AF133" s="1585"/>
      <c r="AG133" s="1585"/>
      <c r="AH133" s="1585"/>
      <c r="AI133" s="1585"/>
      <c r="AJ133" s="1585"/>
      <c r="AK133" s="1585"/>
      <c r="AL133" s="1585"/>
      <c r="AM133" s="1585"/>
      <c r="AN133" s="1585"/>
      <c r="AO133" s="1585"/>
      <c r="AP133" s="1585"/>
      <c r="AQ133" s="1585"/>
      <c r="AR133" s="1585"/>
      <c r="AS133" s="1585"/>
      <c r="AT133" s="1585"/>
      <c r="AU133" s="1585"/>
      <c r="AV133" s="1585"/>
      <c r="AW133" s="1585"/>
      <c r="AX133" s="1585"/>
      <c r="AY133" s="1585"/>
      <c r="AZ133" s="1585"/>
      <c r="BA133" s="1585"/>
      <c r="BB133" s="1585"/>
      <c r="BC133" s="1585"/>
      <c r="BD133" s="1585"/>
      <c r="BE133" s="1585"/>
      <c r="BF133" s="1585"/>
      <c r="BG133" s="1585"/>
      <c r="BH133" s="1585"/>
      <c r="BI133" s="1585"/>
      <c r="BJ133" s="1585"/>
      <c r="BK133" s="1585"/>
      <c r="BL133" s="1585"/>
      <c r="BM133" s="1585"/>
      <c r="BN133" s="1585"/>
      <c r="BO133" s="1585"/>
      <c r="BP133" s="1585"/>
      <c r="BQ133" s="1585"/>
      <c r="BR133" s="1585"/>
      <c r="BS133" s="1585"/>
      <c r="BT133" s="1585"/>
      <c r="BU133" s="1585"/>
      <c r="BV133" s="1585"/>
      <c r="BW133" s="1585"/>
      <c r="BX133" s="1585"/>
      <c r="BY133" s="1585"/>
      <c r="BZ133" s="1585"/>
      <c r="CA133" s="1585"/>
      <c r="CB133" s="1585"/>
      <c r="CC133" s="1585"/>
      <c r="CD133" s="1585"/>
      <c r="CE133" s="1585"/>
      <c r="CF133" s="1585"/>
      <c r="CG133" s="1585"/>
      <c r="CH133" s="1585"/>
      <c r="CI133" s="1585"/>
      <c r="CJ133" s="1585"/>
      <c r="CK133" s="1585"/>
      <c r="CL133" s="1585"/>
      <c r="CM133" s="1585"/>
      <c r="CN133" s="1585"/>
      <c r="CO133" s="1585"/>
      <c r="CP133" s="1585"/>
      <c r="CQ133" s="1585"/>
      <c r="CR133" s="1585"/>
      <c r="CS133" s="1585"/>
      <c r="CT133" s="1585"/>
      <c r="CU133" s="1585"/>
      <c r="CV133" s="1585"/>
      <c r="CW133" s="1585"/>
      <c r="CX133" s="1585"/>
      <c r="CY133" s="1585"/>
      <c r="CZ133" s="1585"/>
    </row>
    <row r="134" spans="1:407">
      <c r="A134" s="1466"/>
      <c r="B134" s="1583"/>
      <c r="C134" s="1583"/>
      <c r="D134" s="1583"/>
      <c r="E134" s="1585"/>
      <c r="F134" s="1585"/>
      <c r="G134" s="1585"/>
      <c r="H134" s="1585"/>
      <c r="I134" s="1585"/>
      <c r="J134" s="1585"/>
      <c r="K134" s="1585"/>
      <c r="L134" s="1585"/>
      <c r="M134" s="1585"/>
      <c r="N134" s="1585"/>
      <c r="O134" s="1585"/>
      <c r="P134" s="1585"/>
      <c r="Q134" s="1585"/>
      <c r="R134" s="1585"/>
      <c r="S134" s="1585"/>
      <c r="T134" s="1585"/>
      <c r="U134" s="1585"/>
      <c r="V134" s="1585"/>
      <c r="W134" s="1585"/>
      <c r="X134" s="1585"/>
      <c r="Y134" s="1585"/>
      <c r="Z134" s="1585"/>
      <c r="AA134" s="1585"/>
      <c r="AB134" s="1585"/>
      <c r="AC134" s="1585"/>
      <c r="AD134" s="1585"/>
      <c r="AE134" s="1585"/>
      <c r="AF134" s="1585"/>
      <c r="AG134" s="1585"/>
      <c r="AH134" s="1585"/>
      <c r="AI134" s="1585"/>
      <c r="AJ134" s="1585"/>
      <c r="AK134" s="1585"/>
      <c r="AL134" s="1585"/>
      <c r="AM134" s="1585"/>
      <c r="AN134" s="1585"/>
      <c r="AO134" s="1585"/>
      <c r="AP134" s="1585"/>
      <c r="AQ134" s="1585"/>
      <c r="AR134" s="1585"/>
      <c r="AS134" s="1585"/>
      <c r="AT134" s="1585"/>
      <c r="AU134" s="1585"/>
      <c r="AV134" s="1585"/>
      <c r="AW134" s="1585"/>
      <c r="AX134" s="1585"/>
      <c r="AY134" s="1585"/>
      <c r="AZ134" s="1585"/>
      <c r="BA134" s="1585"/>
      <c r="BB134" s="1585"/>
      <c r="BC134" s="1585"/>
      <c r="BD134" s="1585"/>
      <c r="BE134" s="1585"/>
      <c r="BF134" s="1585"/>
      <c r="BG134" s="1585"/>
      <c r="BH134" s="1585"/>
      <c r="BI134" s="1585"/>
      <c r="BJ134" s="1585"/>
      <c r="BK134" s="1585"/>
      <c r="BL134" s="1585"/>
      <c r="BM134" s="1585"/>
      <c r="BN134" s="1585"/>
      <c r="BO134" s="1585"/>
      <c r="BP134" s="1585"/>
      <c r="BQ134" s="1585"/>
      <c r="BR134" s="1585"/>
      <c r="BS134" s="1585"/>
      <c r="BT134" s="1585"/>
      <c r="BU134" s="1585"/>
      <c r="BV134" s="1585"/>
      <c r="BW134" s="1585"/>
      <c r="BX134" s="1585"/>
      <c r="BY134" s="1585"/>
      <c r="BZ134" s="1585"/>
      <c r="CA134" s="1585"/>
      <c r="CB134" s="1585"/>
      <c r="CC134" s="1585"/>
      <c r="CD134" s="1585"/>
      <c r="CE134" s="1585"/>
      <c r="CF134" s="1585"/>
      <c r="CG134" s="1585"/>
      <c r="CH134" s="1585"/>
      <c r="CI134" s="1585"/>
      <c r="CJ134" s="1585"/>
      <c r="CK134" s="1585"/>
      <c r="CL134" s="1585"/>
      <c r="CM134" s="1585"/>
      <c r="CN134" s="1585"/>
      <c r="CO134" s="1585"/>
      <c r="CP134" s="1585"/>
      <c r="CQ134" s="1585"/>
      <c r="CR134" s="1585"/>
      <c r="CS134" s="1585"/>
      <c r="CT134" s="1585"/>
      <c r="CU134" s="1585"/>
      <c r="CV134" s="1585"/>
      <c r="CW134" s="1585"/>
      <c r="CX134" s="1585"/>
      <c r="CY134" s="1585"/>
      <c r="CZ134" s="1585"/>
    </row>
    <row r="135" spans="1:407">
      <c r="A135" s="1466"/>
      <c r="B135" s="1583"/>
      <c r="C135" s="1583"/>
      <c r="D135" s="1583"/>
      <c r="E135" s="1585"/>
      <c r="F135" s="1585"/>
      <c r="G135" s="1585"/>
      <c r="H135" s="1585"/>
      <c r="I135" s="1585"/>
      <c r="J135" s="1585"/>
      <c r="K135" s="1585"/>
      <c r="L135" s="1585"/>
      <c r="M135" s="1585"/>
      <c r="N135" s="1585"/>
      <c r="O135" s="1585"/>
      <c r="P135" s="1585"/>
      <c r="Q135" s="1585"/>
      <c r="R135" s="1585"/>
      <c r="S135" s="1585"/>
      <c r="T135" s="1585"/>
      <c r="U135" s="1585"/>
      <c r="V135" s="1585"/>
      <c r="W135" s="1585"/>
      <c r="X135" s="1585"/>
      <c r="Y135" s="1585"/>
      <c r="Z135" s="1585"/>
      <c r="AA135" s="1585"/>
      <c r="AB135" s="1585"/>
      <c r="AC135" s="1585"/>
      <c r="AD135" s="1585"/>
      <c r="AE135" s="1585"/>
      <c r="AF135" s="1585"/>
      <c r="AG135" s="1585"/>
      <c r="AH135" s="1585"/>
      <c r="AI135" s="1585"/>
      <c r="AJ135" s="1585"/>
      <c r="AK135" s="1585"/>
      <c r="AL135" s="1585"/>
      <c r="AM135" s="1585"/>
      <c r="AN135" s="1585"/>
      <c r="AO135" s="1585"/>
      <c r="AP135" s="1585"/>
      <c r="AQ135" s="1585"/>
      <c r="AR135" s="1585"/>
      <c r="AS135" s="1585"/>
      <c r="AT135" s="1585"/>
      <c r="AU135" s="1585"/>
      <c r="AV135" s="1585"/>
      <c r="AW135" s="1585"/>
      <c r="AX135" s="1585"/>
      <c r="AY135" s="1585"/>
      <c r="AZ135" s="1585"/>
      <c r="BA135" s="1585"/>
      <c r="BB135" s="1585"/>
      <c r="BC135" s="1585"/>
      <c r="BD135" s="1585"/>
      <c r="BE135" s="1585"/>
      <c r="BF135" s="1585"/>
      <c r="BG135" s="1585"/>
      <c r="BH135" s="1585"/>
      <c r="BI135" s="1585"/>
      <c r="BJ135" s="1585"/>
      <c r="BK135" s="1585"/>
      <c r="BL135" s="1585"/>
      <c r="BM135" s="1585"/>
      <c r="BN135" s="1585"/>
      <c r="BO135" s="1585"/>
      <c r="BP135" s="1585"/>
      <c r="BQ135" s="1585"/>
      <c r="BR135" s="1585"/>
      <c r="BS135" s="1585"/>
      <c r="BT135" s="1585"/>
      <c r="BU135" s="1585"/>
      <c r="BV135" s="1585"/>
      <c r="BW135" s="1585"/>
      <c r="BX135" s="1585"/>
      <c r="BY135" s="1585"/>
      <c r="BZ135" s="1585"/>
      <c r="CA135" s="1585"/>
      <c r="CB135" s="1585"/>
      <c r="CC135" s="1585"/>
      <c r="CD135" s="1585"/>
      <c r="CE135" s="1585"/>
      <c r="CF135" s="1585"/>
      <c r="CG135" s="1585"/>
      <c r="CH135" s="1585"/>
      <c r="CI135" s="1585"/>
      <c r="CJ135" s="1585"/>
      <c r="CK135" s="1585"/>
      <c r="CL135" s="1585"/>
      <c r="CM135" s="1585"/>
      <c r="CN135" s="1585"/>
      <c r="CO135" s="1585"/>
      <c r="CP135" s="1585"/>
      <c r="CQ135" s="1585"/>
      <c r="CR135" s="1585"/>
      <c r="CS135" s="1585"/>
      <c r="CT135" s="1585"/>
      <c r="CU135" s="1585"/>
      <c r="CV135" s="1585"/>
      <c r="CW135" s="1585"/>
      <c r="CX135" s="1585"/>
      <c r="CY135" s="1585"/>
      <c r="CZ135" s="1585"/>
    </row>
    <row r="136" spans="1:407">
      <c r="A136" s="1466"/>
      <c r="B136" s="1583"/>
      <c r="C136" s="1583"/>
      <c r="D136" s="1583"/>
      <c r="E136" s="1585"/>
      <c r="F136" s="1585"/>
      <c r="G136" s="1585"/>
      <c r="H136" s="1585"/>
      <c r="I136" s="1585"/>
      <c r="J136" s="1585"/>
      <c r="K136" s="1585"/>
      <c r="L136" s="1585"/>
      <c r="M136" s="1585"/>
      <c r="N136" s="1585"/>
      <c r="O136" s="1585"/>
      <c r="P136" s="1585"/>
      <c r="Q136" s="1585"/>
      <c r="R136" s="1585"/>
      <c r="S136" s="1585"/>
      <c r="T136" s="1585"/>
      <c r="U136" s="1585"/>
      <c r="V136" s="1585"/>
      <c r="W136" s="1585"/>
      <c r="X136" s="1585"/>
      <c r="Y136" s="1585"/>
      <c r="Z136" s="1585"/>
      <c r="AA136" s="1585"/>
      <c r="AB136" s="1585"/>
      <c r="AC136" s="1585"/>
      <c r="AD136" s="1585"/>
      <c r="AE136" s="1585"/>
      <c r="AF136" s="1585"/>
      <c r="AG136" s="1585"/>
      <c r="AH136" s="1585"/>
      <c r="AI136" s="1585"/>
      <c r="AJ136" s="1585"/>
      <c r="AK136" s="1585"/>
      <c r="AL136" s="1585"/>
      <c r="AM136" s="1585"/>
      <c r="AN136" s="1585"/>
      <c r="AO136" s="1585"/>
      <c r="AP136" s="1585"/>
      <c r="AQ136" s="1585"/>
      <c r="AR136" s="1585"/>
      <c r="AS136" s="1585"/>
      <c r="AT136" s="1585"/>
      <c r="AU136" s="1585"/>
      <c r="AV136" s="1585"/>
      <c r="AW136" s="1585"/>
      <c r="AX136" s="1585"/>
      <c r="AY136" s="1585"/>
      <c r="AZ136" s="1585"/>
      <c r="BA136" s="1585"/>
      <c r="BB136" s="1585"/>
      <c r="BC136" s="1585"/>
      <c r="BD136" s="1585"/>
      <c r="BE136" s="1585"/>
      <c r="BF136" s="1585"/>
      <c r="BG136" s="1585"/>
      <c r="BH136" s="1585"/>
      <c r="BI136" s="1585"/>
      <c r="BJ136" s="1585"/>
      <c r="BK136" s="1585"/>
      <c r="BL136" s="1585"/>
      <c r="BM136" s="1585"/>
      <c r="BN136" s="1585"/>
      <c r="BO136" s="1585"/>
      <c r="BP136" s="1585"/>
      <c r="BQ136" s="1585"/>
      <c r="BR136" s="1585"/>
      <c r="BS136" s="1585"/>
      <c r="BT136" s="1585"/>
      <c r="BU136" s="1585"/>
      <c r="BV136" s="1585"/>
      <c r="BW136" s="1585"/>
      <c r="BX136" s="1585"/>
      <c r="BY136" s="1585"/>
      <c r="BZ136" s="1585"/>
      <c r="CA136" s="1585"/>
      <c r="CB136" s="1585"/>
      <c r="CC136" s="1585"/>
      <c r="CD136" s="1585"/>
      <c r="CE136" s="1585"/>
      <c r="CF136" s="1585"/>
      <c r="CG136" s="1585"/>
      <c r="CH136" s="1585"/>
      <c r="CI136" s="1585"/>
      <c r="CJ136" s="1585"/>
      <c r="CK136" s="1585"/>
      <c r="CL136" s="1585"/>
      <c r="CM136" s="1585"/>
      <c r="CN136" s="1585"/>
      <c r="CO136" s="1585"/>
      <c r="CP136" s="1585"/>
      <c r="CQ136" s="1585"/>
      <c r="CR136" s="1585"/>
      <c r="CS136" s="1585"/>
      <c r="CT136" s="1585"/>
      <c r="CU136" s="1585"/>
      <c r="CV136" s="1585"/>
      <c r="CW136" s="1585"/>
      <c r="CX136" s="1585"/>
      <c r="CY136" s="1585"/>
      <c r="CZ136" s="1585"/>
    </row>
    <row r="137" spans="1:407">
      <c r="A137" s="1466"/>
      <c r="B137" s="1583"/>
      <c r="C137" s="1583"/>
      <c r="D137" s="1583"/>
      <c r="E137" s="1585"/>
      <c r="F137" s="1585"/>
      <c r="G137" s="1585"/>
      <c r="H137" s="1585"/>
      <c r="I137" s="1585"/>
      <c r="J137" s="1585"/>
      <c r="K137" s="1585"/>
      <c r="L137" s="1585"/>
      <c r="M137" s="1585"/>
      <c r="N137" s="1585"/>
      <c r="O137" s="1585"/>
      <c r="P137" s="1585"/>
      <c r="Q137" s="1585"/>
      <c r="R137" s="1585"/>
      <c r="S137" s="1585"/>
      <c r="T137" s="1585"/>
      <c r="U137" s="1585"/>
      <c r="V137" s="1585"/>
      <c r="W137" s="1585"/>
      <c r="X137" s="1585"/>
      <c r="Y137" s="1585"/>
      <c r="Z137" s="1585"/>
      <c r="AA137" s="1585"/>
      <c r="AB137" s="1585"/>
      <c r="AC137" s="1585"/>
      <c r="AD137" s="1585"/>
      <c r="AE137" s="1585"/>
      <c r="AF137" s="1585"/>
      <c r="AG137" s="1585"/>
      <c r="AH137" s="1585"/>
      <c r="AI137" s="1585"/>
      <c r="AJ137" s="1585"/>
      <c r="AK137" s="1585"/>
      <c r="AL137" s="1585"/>
      <c r="AM137" s="1585"/>
      <c r="AN137" s="1585"/>
      <c r="AO137" s="1585"/>
      <c r="AP137" s="1585"/>
      <c r="AQ137" s="1585"/>
      <c r="AR137" s="1585"/>
      <c r="AS137" s="1585"/>
      <c r="AT137" s="1585"/>
      <c r="AU137" s="1585"/>
      <c r="AV137" s="1585"/>
      <c r="AW137" s="1585"/>
      <c r="AX137" s="1585"/>
      <c r="AY137" s="1585"/>
      <c r="AZ137" s="1585"/>
      <c r="BA137" s="1585"/>
      <c r="BB137" s="1585"/>
      <c r="BC137" s="1585"/>
      <c r="BD137" s="1585"/>
      <c r="BE137" s="1585"/>
      <c r="BF137" s="1585"/>
      <c r="BG137" s="1585"/>
      <c r="BH137" s="1585"/>
      <c r="BI137" s="1585"/>
      <c r="BJ137" s="1585"/>
      <c r="BK137" s="1585"/>
      <c r="BL137" s="1585"/>
      <c r="BM137" s="1585"/>
      <c r="BN137" s="1585"/>
      <c r="BO137" s="1585"/>
      <c r="BP137" s="1585"/>
      <c r="BQ137" s="1585"/>
      <c r="BR137" s="1585"/>
      <c r="BS137" s="1585"/>
      <c r="BT137" s="1585"/>
      <c r="BU137" s="1585"/>
      <c r="BV137" s="1585"/>
      <c r="BW137" s="1585"/>
      <c r="BX137" s="1585"/>
      <c r="BY137" s="1585"/>
      <c r="BZ137" s="1585"/>
      <c r="CA137" s="1585"/>
      <c r="CB137" s="1585"/>
      <c r="CC137" s="1585"/>
      <c r="CD137" s="1585"/>
      <c r="CE137" s="1585"/>
      <c r="CF137" s="1585"/>
      <c r="CG137" s="1585"/>
      <c r="CH137" s="1585"/>
      <c r="CI137" s="1585"/>
      <c r="CJ137" s="1585"/>
      <c r="CK137" s="1585"/>
      <c r="CL137" s="1585"/>
      <c r="CM137" s="1585"/>
      <c r="CN137" s="1585"/>
      <c r="CO137" s="1585"/>
      <c r="CP137" s="1585"/>
      <c r="CQ137" s="1585"/>
      <c r="CR137" s="1585"/>
      <c r="CS137" s="1585"/>
      <c r="CT137" s="1585"/>
      <c r="CU137" s="1585"/>
      <c r="CV137" s="1585"/>
      <c r="CW137" s="1585"/>
      <c r="CX137" s="1585"/>
      <c r="CY137" s="1585"/>
      <c r="CZ137" s="1585"/>
    </row>
    <row r="138" spans="1:407">
      <c r="A138" s="1466"/>
      <c r="B138" s="1583"/>
      <c r="C138" s="1583"/>
      <c r="D138" s="1583"/>
      <c r="E138" s="1585"/>
      <c r="F138" s="1585"/>
      <c r="G138" s="1585"/>
      <c r="H138" s="1585"/>
      <c r="I138" s="1585"/>
      <c r="J138" s="1585"/>
      <c r="K138" s="1585"/>
      <c r="L138" s="1585"/>
      <c r="M138" s="1585"/>
      <c r="N138" s="1585"/>
      <c r="O138" s="1585"/>
      <c r="P138" s="1585"/>
      <c r="Q138" s="1585"/>
      <c r="R138" s="1585"/>
      <c r="S138" s="1585"/>
      <c r="T138" s="1585"/>
      <c r="U138" s="1585"/>
      <c r="V138" s="1585"/>
      <c r="W138" s="1585"/>
      <c r="X138" s="1585"/>
      <c r="Y138" s="1585"/>
      <c r="Z138" s="1585"/>
      <c r="AA138" s="1585"/>
      <c r="AB138" s="1585"/>
      <c r="AC138" s="1585"/>
      <c r="AD138" s="1585"/>
      <c r="AE138" s="1585"/>
      <c r="AF138" s="1585"/>
      <c r="AG138" s="1585"/>
      <c r="AH138" s="1585"/>
      <c r="AI138" s="1585"/>
      <c r="AJ138" s="1585"/>
      <c r="AK138" s="1585"/>
      <c r="AL138" s="1585"/>
      <c r="AM138" s="1585"/>
      <c r="AN138" s="1585"/>
      <c r="AO138" s="1585"/>
      <c r="AP138" s="1585"/>
      <c r="AQ138" s="1585"/>
      <c r="AR138" s="1585"/>
      <c r="AS138" s="1585"/>
      <c r="AT138" s="1585"/>
      <c r="AU138" s="1585"/>
      <c r="AV138" s="1585"/>
      <c r="AW138" s="1585"/>
      <c r="AX138" s="1585"/>
      <c r="AY138" s="1585"/>
      <c r="AZ138" s="1585"/>
      <c r="BA138" s="1585"/>
      <c r="BB138" s="1585"/>
      <c r="BC138" s="1585"/>
      <c r="BD138" s="1585"/>
      <c r="BE138" s="1585"/>
      <c r="BF138" s="1585"/>
      <c r="BG138" s="1585"/>
      <c r="BH138" s="1585"/>
      <c r="BI138" s="1585"/>
      <c r="BJ138" s="1585"/>
      <c r="BK138" s="1585"/>
      <c r="BL138" s="1585"/>
      <c r="BM138" s="1585"/>
      <c r="BN138" s="1585"/>
      <c r="BO138" s="1585"/>
      <c r="BP138" s="1585"/>
      <c r="BQ138" s="1585"/>
      <c r="BR138" s="1585"/>
      <c r="BS138" s="1585"/>
      <c r="BT138" s="1585"/>
      <c r="BU138" s="1585"/>
      <c r="BV138" s="1585"/>
      <c r="BW138" s="1585"/>
      <c r="BX138" s="1585"/>
      <c r="BY138" s="1585"/>
      <c r="BZ138" s="1585"/>
      <c r="CA138" s="1585"/>
      <c r="CB138" s="1585"/>
      <c r="CC138" s="1585"/>
      <c r="CD138" s="1585"/>
      <c r="CE138" s="1585"/>
      <c r="CF138" s="1585"/>
      <c r="CG138" s="1585"/>
      <c r="CH138" s="1585"/>
      <c r="CI138" s="1585"/>
      <c r="CJ138" s="1585"/>
      <c r="CK138" s="1585"/>
      <c r="CL138" s="1585"/>
      <c r="CM138" s="1585"/>
      <c r="CN138" s="1585"/>
      <c r="CO138" s="1585"/>
      <c r="CP138" s="1585"/>
      <c r="CQ138" s="1585"/>
      <c r="CR138" s="1585"/>
      <c r="CS138" s="1585"/>
      <c r="CT138" s="1585"/>
      <c r="CU138" s="1585"/>
      <c r="CV138" s="1585"/>
      <c r="CW138" s="1585"/>
      <c r="CX138" s="1585"/>
      <c r="CY138" s="1585"/>
      <c r="CZ138" s="1585"/>
    </row>
    <row r="139" spans="1:407">
      <c r="A139" s="1466"/>
      <c r="B139" s="1583"/>
      <c r="C139" s="1583"/>
      <c r="D139" s="1583"/>
      <c r="E139" s="1585"/>
      <c r="F139" s="1585"/>
      <c r="G139" s="1585"/>
      <c r="H139" s="1585"/>
      <c r="I139" s="1585"/>
      <c r="J139" s="1585"/>
      <c r="K139" s="1585"/>
      <c r="L139" s="1585"/>
      <c r="M139" s="1585"/>
      <c r="N139" s="1585"/>
      <c r="O139" s="1585"/>
      <c r="P139" s="1585"/>
      <c r="Q139" s="1585"/>
      <c r="R139" s="1585"/>
      <c r="S139" s="1585"/>
      <c r="T139" s="1585"/>
      <c r="U139" s="1585"/>
      <c r="V139" s="1585"/>
      <c r="W139" s="1585"/>
      <c r="X139" s="1585"/>
      <c r="Y139" s="1585"/>
      <c r="Z139" s="1585"/>
      <c r="AA139" s="1585"/>
      <c r="AB139" s="1585"/>
      <c r="AC139" s="1585"/>
      <c r="AD139" s="1585"/>
      <c r="AE139" s="1585"/>
      <c r="AF139" s="1585"/>
      <c r="AG139" s="1585"/>
      <c r="AH139" s="1585"/>
      <c r="AI139" s="1585"/>
      <c r="AJ139" s="1585"/>
      <c r="AK139" s="1585"/>
      <c r="AL139" s="1585"/>
      <c r="AM139" s="1585"/>
      <c r="AN139" s="1585"/>
      <c r="AO139" s="1585"/>
      <c r="AP139" s="1585"/>
      <c r="AQ139" s="1585"/>
      <c r="AR139" s="1585"/>
      <c r="AS139" s="1585"/>
      <c r="AT139" s="1585"/>
      <c r="AU139" s="1585"/>
      <c r="AV139" s="1585"/>
      <c r="AW139" s="1585"/>
      <c r="AX139" s="1585"/>
      <c r="AY139" s="1585"/>
      <c r="AZ139" s="1585"/>
      <c r="BA139" s="1585"/>
      <c r="BB139" s="1585"/>
      <c r="BC139" s="1585"/>
      <c r="BD139" s="1585"/>
      <c r="BE139" s="1585"/>
      <c r="BF139" s="1585"/>
      <c r="BG139" s="1585"/>
      <c r="BH139" s="1585"/>
      <c r="BI139" s="1585"/>
      <c r="BJ139" s="1585"/>
      <c r="BK139" s="1585"/>
      <c r="BL139" s="1585"/>
      <c r="BM139" s="1585"/>
      <c r="BN139" s="1585"/>
      <c r="BO139" s="1585"/>
      <c r="BP139" s="1585"/>
      <c r="BQ139" s="1585"/>
      <c r="BR139" s="1585"/>
      <c r="BS139" s="1585"/>
      <c r="BT139" s="1585"/>
      <c r="BU139" s="1585"/>
      <c r="BV139" s="1585"/>
      <c r="BW139" s="1585"/>
      <c r="BX139" s="1585"/>
      <c r="BY139" s="1585"/>
      <c r="BZ139" s="1585"/>
      <c r="CA139" s="1585"/>
      <c r="CB139" s="1585"/>
      <c r="CC139" s="1585"/>
      <c r="CD139" s="1585"/>
      <c r="CE139" s="1585"/>
      <c r="CF139" s="1585"/>
      <c r="CG139" s="1585"/>
      <c r="CH139" s="1585"/>
      <c r="CI139" s="1585"/>
      <c r="CJ139" s="1585"/>
      <c r="CK139" s="1585"/>
      <c r="CL139" s="1585"/>
      <c r="CM139" s="1585"/>
      <c r="CN139" s="1585"/>
      <c r="CO139" s="1585"/>
      <c r="CP139" s="1585"/>
      <c r="CQ139" s="1585"/>
      <c r="CR139" s="1585"/>
      <c r="CS139" s="1585"/>
      <c r="CT139" s="1585"/>
      <c r="CU139" s="1585"/>
      <c r="CV139" s="1585"/>
      <c r="CW139" s="1585"/>
      <c r="CX139" s="1585"/>
      <c r="CY139" s="1585"/>
      <c r="CZ139" s="1585"/>
    </row>
    <row r="140" spans="1:407">
      <c r="A140" s="1466"/>
      <c r="B140" s="1583"/>
      <c r="C140" s="1583"/>
      <c r="D140" s="1583"/>
      <c r="E140" s="1585"/>
      <c r="F140" s="1585"/>
      <c r="G140" s="1585"/>
      <c r="H140" s="1585"/>
      <c r="I140" s="1585"/>
      <c r="J140" s="1585"/>
      <c r="K140" s="1585"/>
      <c r="L140" s="1585"/>
      <c r="M140" s="1585"/>
      <c r="N140" s="1585"/>
      <c r="O140" s="1585"/>
      <c r="P140" s="1585"/>
      <c r="Q140" s="1585"/>
      <c r="R140" s="1585"/>
      <c r="S140" s="1585"/>
      <c r="T140" s="1585"/>
      <c r="U140" s="1585"/>
      <c r="V140" s="1585"/>
      <c r="W140" s="1585"/>
      <c r="X140" s="1585"/>
      <c r="Y140" s="1585"/>
      <c r="Z140" s="1585"/>
      <c r="AA140" s="1585"/>
      <c r="AB140" s="1585"/>
      <c r="AC140" s="1585"/>
      <c r="AD140" s="1585"/>
      <c r="AE140" s="1585"/>
      <c r="AF140" s="1585"/>
      <c r="AG140" s="1585"/>
      <c r="AH140" s="1585"/>
      <c r="AI140" s="1585"/>
      <c r="AJ140" s="1585"/>
      <c r="AK140" s="1585"/>
      <c r="AL140" s="1585"/>
      <c r="AM140" s="1585"/>
      <c r="AN140" s="1585"/>
      <c r="AO140" s="1585"/>
      <c r="AP140" s="1585"/>
      <c r="AQ140" s="1585"/>
      <c r="AR140" s="1585"/>
      <c r="AS140" s="1585"/>
      <c r="AT140" s="1585"/>
      <c r="AU140" s="1585"/>
      <c r="AV140" s="1585"/>
      <c r="AW140" s="1585"/>
      <c r="AX140" s="1585"/>
      <c r="AY140" s="1585"/>
      <c r="AZ140" s="1585"/>
      <c r="BA140" s="1585"/>
      <c r="BB140" s="1585"/>
      <c r="BC140" s="1585"/>
      <c r="BD140" s="1585"/>
      <c r="BE140" s="1585"/>
      <c r="BF140" s="1585"/>
      <c r="BG140" s="1585"/>
      <c r="BH140" s="1585"/>
      <c r="BI140" s="1585"/>
      <c r="BJ140" s="1585"/>
      <c r="BK140" s="1585"/>
      <c r="BL140" s="1585"/>
      <c r="BM140" s="1585"/>
      <c r="BN140" s="1585"/>
      <c r="BO140" s="1585"/>
      <c r="BP140" s="1585"/>
      <c r="BQ140" s="1585"/>
      <c r="BR140" s="1585"/>
      <c r="BS140" s="1585"/>
      <c r="BT140" s="1585"/>
      <c r="BU140" s="1585"/>
      <c r="BV140" s="1585"/>
      <c r="BW140" s="1585"/>
      <c r="BX140" s="1585"/>
      <c r="BY140" s="1585"/>
      <c r="BZ140" s="1585"/>
      <c r="CA140" s="1585"/>
      <c r="CB140" s="1585"/>
      <c r="CC140" s="1585"/>
      <c r="CD140" s="1585"/>
      <c r="CE140" s="1585"/>
      <c r="CF140" s="1585"/>
      <c r="CG140" s="1585"/>
      <c r="CH140" s="1585"/>
      <c r="CI140" s="1585"/>
      <c r="CJ140" s="1585"/>
      <c r="CK140" s="1585"/>
      <c r="CL140" s="1585"/>
      <c r="CM140" s="1585"/>
      <c r="CN140" s="1585"/>
      <c r="CO140" s="1585"/>
      <c r="CP140" s="1585"/>
      <c r="CQ140" s="1585"/>
      <c r="CR140" s="1585"/>
      <c r="CS140" s="1585"/>
      <c r="CT140" s="1585"/>
      <c r="CU140" s="1585"/>
      <c r="CV140" s="1585"/>
      <c r="CW140" s="1585"/>
      <c r="CX140" s="1585"/>
      <c r="CY140" s="1585"/>
      <c r="CZ140" s="1585"/>
    </row>
    <row r="141" spans="1:407">
      <c r="A141" s="1466"/>
      <c r="B141" s="1583"/>
      <c r="C141" s="1583"/>
      <c r="D141" s="1583"/>
      <c r="E141" s="1585"/>
      <c r="F141" s="1585"/>
      <c r="G141" s="1585"/>
      <c r="H141" s="1585"/>
      <c r="I141" s="1585"/>
      <c r="J141" s="1585"/>
      <c r="K141" s="1585"/>
      <c r="L141" s="1585"/>
      <c r="M141" s="1585"/>
      <c r="N141" s="1585"/>
      <c r="O141" s="1585"/>
      <c r="P141" s="1585"/>
      <c r="Q141" s="1585"/>
      <c r="R141" s="1585"/>
      <c r="S141" s="1585"/>
      <c r="T141" s="1585"/>
      <c r="U141" s="1585"/>
      <c r="V141" s="1585"/>
      <c r="W141" s="1585"/>
      <c r="X141" s="1585"/>
      <c r="Y141" s="1585"/>
      <c r="Z141" s="1585"/>
      <c r="AA141" s="1585"/>
      <c r="AB141" s="1585"/>
      <c r="AC141" s="1585"/>
      <c r="AD141" s="1585"/>
      <c r="AE141" s="1585"/>
      <c r="AF141" s="1585"/>
      <c r="AG141" s="1585"/>
      <c r="AH141" s="1585"/>
      <c r="AI141" s="1585"/>
      <c r="AJ141" s="1585"/>
      <c r="AK141" s="1585"/>
      <c r="AL141" s="1585"/>
      <c r="AM141" s="1585"/>
      <c r="AN141" s="1585"/>
      <c r="AO141" s="1585"/>
      <c r="AP141" s="1585"/>
      <c r="AQ141" s="1585"/>
      <c r="AR141" s="1585"/>
      <c r="AS141" s="1585"/>
      <c r="AT141" s="1585"/>
      <c r="AU141" s="1585"/>
      <c r="AV141" s="1585"/>
      <c r="AW141" s="1585"/>
      <c r="AX141" s="1585"/>
      <c r="AY141" s="1585"/>
      <c r="AZ141" s="1585"/>
      <c r="BA141" s="1585"/>
      <c r="BB141" s="1585"/>
      <c r="BC141" s="1585"/>
      <c r="BD141" s="1585"/>
      <c r="BE141" s="1585"/>
      <c r="BF141" s="1585"/>
      <c r="BG141" s="1585"/>
      <c r="BH141" s="1585"/>
      <c r="BI141" s="1585"/>
      <c r="BJ141" s="1585"/>
      <c r="BK141" s="1585"/>
      <c r="BL141" s="1585"/>
      <c r="BM141" s="1585"/>
      <c r="BN141" s="1585"/>
      <c r="BO141" s="1585"/>
      <c r="BP141" s="1585"/>
      <c r="BQ141" s="1585"/>
      <c r="BR141" s="1585"/>
      <c r="BS141" s="1585"/>
      <c r="BT141" s="1585"/>
      <c r="BU141" s="1585"/>
      <c r="BV141" s="1585"/>
      <c r="BW141" s="1585"/>
      <c r="BX141" s="1585"/>
      <c r="BY141" s="1585"/>
      <c r="BZ141" s="1585"/>
      <c r="CA141" s="1585"/>
      <c r="CB141" s="1585"/>
      <c r="CC141" s="1585"/>
      <c r="CD141" s="1585"/>
      <c r="CE141" s="1585"/>
      <c r="CF141" s="1585"/>
      <c r="CG141" s="1585"/>
      <c r="CH141" s="1585"/>
      <c r="CI141" s="1585"/>
      <c r="CJ141" s="1585"/>
      <c r="CK141" s="1585"/>
      <c r="CL141" s="1585"/>
      <c r="CM141" s="1585"/>
      <c r="CN141" s="1585"/>
      <c r="CO141" s="1585"/>
      <c r="CP141" s="1585"/>
      <c r="CQ141" s="1585"/>
      <c r="CR141" s="1585"/>
      <c r="CS141" s="1585"/>
      <c r="CT141" s="1585"/>
      <c r="CU141" s="1585"/>
      <c r="CV141" s="1585"/>
      <c r="CW141" s="1585"/>
      <c r="CX141" s="1585"/>
      <c r="CY141" s="1585"/>
      <c r="CZ141" s="1585"/>
    </row>
    <row r="142" spans="1:407">
      <c r="A142" s="1466"/>
      <c r="B142" s="1583"/>
      <c r="C142" s="1583"/>
      <c r="D142" s="1583"/>
      <c r="E142" s="1585"/>
      <c r="F142" s="1585"/>
      <c r="G142" s="1585"/>
      <c r="H142" s="1585"/>
      <c r="I142" s="1585"/>
      <c r="J142" s="1585"/>
      <c r="K142" s="1585"/>
      <c r="L142" s="1585"/>
      <c r="M142" s="1585"/>
      <c r="N142" s="1585"/>
      <c r="O142" s="1585"/>
      <c r="P142" s="1585"/>
      <c r="Q142" s="1585"/>
      <c r="R142" s="1585"/>
      <c r="S142" s="1585"/>
      <c r="T142" s="1585"/>
      <c r="U142" s="1585"/>
      <c r="V142" s="1585"/>
      <c r="W142" s="1585"/>
      <c r="X142" s="1585"/>
      <c r="Y142" s="1585"/>
      <c r="Z142" s="1585"/>
      <c r="AA142" s="1585"/>
      <c r="AB142" s="1585"/>
      <c r="AC142" s="1585"/>
      <c r="AD142" s="1585"/>
      <c r="AE142" s="1585"/>
      <c r="AF142" s="1585"/>
      <c r="AG142" s="1585"/>
      <c r="AH142" s="1585"/>
      <c r="AI142" s="1585"/>
      <c r="AJ142" s="1585"/>
      <c r="AK142" s="1585"/>
      <c r="AL142" s="1585"/>
      <c r="AM142" s="1585"/>
      <c r="AN142" s="1585"/>
      <c r="AO142" s="1585"/>
      <c r="AP142" s="1585"/>
      <c r="AQ142" s="1585"/>
      <c r="AR142" s="1585"/>
      <c r="AS142" s="1585"/>
      <c r="AT142" s="1585"/>
      <c r="AU142" s="1585"/>
      <c r="AV142" s="1585"/>
      <c r="AW142" s="1585"/>
      <c r="AX142" s="1585"/>
      <c r="AY142" s="1585"/>
      <c r="AZ142" s="1585"/>
      <c r="BA142" s="1585"/>
      <c r="BB142" s="1585"/>
      <c r="BC142" s="1585"/>
      <c r="BD142" s="1585"/>
      <c r="BE142" s="1585"/>
      <c r="BF142" s="1585"/>
      <c r="BG142" s="1585"/>
      <c r="BH142" s="1585"/>
      <c r="BI142" s="1585"/>
      <c r="BJ142" s="1585"/>
      <c r="BK142" s="1585"/>
      <c r="BL142" s="1585"/>
      <c r="BM142" s="1585"/>
      <c r="BN142" s="1585"/>
      <c r="BO142" s="1585"/>
      <c r="BP142" s="1585"/>
      <c r="BQ142" s="1585"/>
      <c r="BR142" s="1585"/>
      <c r="BS142" s="1585"/>
      <c r="BT142" s="1585"/>
      <c r="BU142" s="1585"/>
      <c r="BV142" s="1585"/>
      <c r="BW142" s="1585"/>
      <c r="BX142" s="1585"/>
      <c r="BY142" s="1585"/>
      <c r="BZ142" s="1585"/>
      <c r="CA142" s="1585"/>
      <c r="CB142" s="1585"/>
      <c r="CC142" s="1585"/>
      <c r="CD142" s="1585"/>
      <c r="CE142" s="1585"/>
      <c r="CF142" s="1585"/>
      <c r="CG142" s="1585"/>
      <c r="CH142" s="1585"/>
      <c r="CI142" s="1585"/>
      <c r="CJ142" s="1585"/>
      <c r="CK142" s="1585"/>
      <c r="CL142" s="1585"/>
      <c r="CM142" s="1585"/>
      <c r="CN142" s="1585"/>
      <c r="CO142" s="1585"/>
      <c r="CP142" s="1585"/>
      <c r="CQ142" s="1585"/>
      <c r="CR142" s="1585"/>
      <c r="CS142" s="1585"/>
      <c r="CT142" s="1585"/>
      <c r="CU142" s="1585"/>
      <c r="CV142" s="1585"/>
      <c r="CW142" s="1585"/>
      <c r="CX142" s="1585"/>
      <c r="CY142" s="1585"/>
      <c r="CZ142" s="1585"/>
    </row>
    <row r="143" spans="1:407" ht="13" thickBot="1">
      <c r="A143" s="1466"/>
      <c r="B143" s="1586"/>
      <c r="C143" s="1586"/>
      <c r="D143" s="1586"/>
      <c r="E143" s="1587"/>
      <c r="F143" s="1587"/>
      <c r="G143" s="1587"/>
      <c r="H143" s="1587"/>
      <c r="I143" s="1587"/>
      <c r="J143" s="1587"/>
      <c r="K143" s="1587"/>
      <c r="L143" s="1587"/>
      <c r="M143" s="1587"/>
      <c r="N143" s="1587"/>
      <c r="O143" s="1587"/>
      <c r="P143" s="1587"/>
      <c r="Q143" s="1587"/>
      <c r="R143" s="1587"/>
      <c r="S143" s="1587"/>
      <c r="T143" s="1587"/>
      <c r="U143" s="1587"/>
      <c r="V143" s="1587"/>
      <c r="W143" s="1587"/>
      <c r="X143" s="1587"/>
      <c r="Y143" s="1587"/>
      <c r="Z143" s="1587"/>
      <c r="AA143" s="1587"/>
      <c r="AB143" s="1587"/>
      <c r="AC143" s="1587"/>
      <c r="AD143" s="1587"/>
      <c r="AE143" s="1587"/>
      <c r="AF143" s="1587"/>
      <c r="AG143" s="1587"/>
      <c r="AH143" s="1587"/>
      <c r="AI143" s="1587"/>
      <c r="AJ143" s="1587"/>
      <c r="AK143" s="1587"/>
      <c r="AL143" s="1587"/>
      <c r="AM143" s="1587"/>
      <c r="AN143" s="1587"/>
      <c r="AO143" s="1587"/>
      <c r="AP143" s="1587"/>
      <c r="AQ143" s="1587"/>
      <c r="AR143" s="1587"/>
      <c r="AS143" s="1587"/>
      <c r="AT143" s="1587"/>
      <c r="AU143" s="1587"/>
      <c r="AV143" s="1587"/>
      <c r="AW143" s="1587"/>
      <c r="AX143" s="1587"/>
      <c r="AY143" s="1587"/>
      <c r="AZ143" s="1587"/>
      <c r="BA143" s="1587"/>
      <c r="BB143" s="1587"/>
      <c r="BC143" s="1587"/>
      <c r="BD143" s="1587"/>
      <c r="BE143" s="1587"/>
      <c r="BF143" s="1587"/>
      <c r="BG143" s="1587"/>
      <c r="BH143" s="1587"/>
      <c r="BI143" s="1587"/>
      <c r="BJ143" s="1587"/>
      <c r="BK143" s="1587"/>
      <c r="BL143" s="1587"/>
      <c r="BM143" s="1587"/>
      <c r="BN143" s="1587"/>
      <c r="BO143" s="1587"/>
      <c r="BP143" s="1587"/>
      <c r="BQ143" s="1587"/>
      <c r="BR143" s="1587"/>
      <c r="BS143" s="1587"/>
      <c r="BT143" s="1587"/>
      <c r="BU143" s="1587"/>
      <c r="BV143" s="1587"/>
      <c r="BW143" s="1587"/>
      <c r="BX143" s="1587"/>
      <c r="BY143" s="1587"/>
      <c r="BZ143" s="1587"/>
      <c r="CA143" s="1587"/>
      <c r="CB143" s="1587"/>
      <c r="CC143" s="1587"/>
      <c r="CD143" s="1587"/>
      <c r="CE143" s="1587"/>
      <c r="CF143" s="1587"/>
      <c r="CG143" s="1587"/>
      <c r="CH143" s="1587"/>
      <c r="CI143" s="1587"/>
      <c r="CJ143" s="1587"/>
      <c r="CK143" s="1587"/>
      <c r="CL143" s="1587"/>
      <c r="CM143" s="1587"/>
      <c r="CN143" s="1587"/>
      <c r="CO143" s="1587"/>
      <c r="CP143" s="1587"/>
      <c r="CQ143" s="1587"/>
      <c r="CR143" s="1587"/>
      <c r="CS143" s="1587"/>
      <c r="CT143" s="1587"/>
      <c r="CU143" s="1587"/>
      <c r="CV143" s="1587"/>
      <c r="CW143" s="1587"/>
      <c r="CX143" s="1587"/>
      <c r="CY143" s="1587"/>
      <c r="CZ143" s="1587"/>
      <c r="DA143" s="1606"/>
      <c r="DB143" s="1606"/>
      <c r="DC143" s="1606"/>
      <c r="DD143" s="1606"/>
      <c r="DE143" s="1606"/>
      <c r="DF143" s="1606"/>
      <c r="DG143" s="1606"/>
      <c r="DH143" s="1606"/>
      <c r="DI143" s="1606"/>
      <c r="DJ143" s="1606"/>
      <c r="DK143" s="1606"/>
      <c r="DL143" s="1606"/>
      <c r="DM143" s="1606"/>
      <c r="DN143" s="1606"/>
      <c r="DO143" s="1606"/>
      <c r="DP143" s="1606"/>
      <c r="DQ143" s="1606"/>
      <c r="DR143" s="1606"/>
      <c r="DS143" s="1606"/>
      <c r="DT143" s="1606"/>
      <c r="DU143" s="1606"/>
      <c r="DV143" s="1606"/>
      <c r="DW143" s="1606"/>
      <c r="DX143" s="1606"/>
      <c r="DY143" s="1606"/>
      <c r="DZ143" s="1606"/>
      <c r="EA143" s="1606"/>
      <c r="EB143" s="1606"/>
      <c r="EC143" s="1606"/>
      <c r="ED143" s="1606"/>
      <c r="EE143" s="1606"/>
      <c r="EF143" s="1606"/>
      <c r="EG143" s="1606"/>
      <c r="EH143" s="1606"/>
      <c r="EI143" s="1606"/>
      <c r="EJ143" s="1606"/>
      <c r="EK143" s="1606"/>
      <c r="EL143" s="1606"/>
      <c r="EM143" s="1606"/>
      <c r="EN143" s="1606"/>
      <c r="EO143" s="1606"/>
      <c r="EP143" s="1606"/>
      <c r="EQ143" s="1606"/>
      <c r="ER143" s="1606"/>
      <c r="ES143" s="1606"/>
      <c r="ET143" s="1606"/>
      <c r="EU143" s="1606"/>
      <c r="EV143" s="1606"/>
      <c r="EW143" s="1606"/>
      <c r="EX143" s="1606"/>
      <c r="EY143" s="1606"/>
      <c r="EZ143" s="1606"/>
      <c r="FA143" s="1606"/>
      <c r="FB143" s="1606"/>
      <c r="FC143" s="1606"/>
      <c r="FD143" s="1606"/>
      <c r="FE143" s="1606"/>
      <c r="FF143" s="1606"/>
      <c r="FG143" s="1606"/>
      <c r="FH143" s="1606"/>
      <c r="FI143" s="1606"/>
      <c r="FJ143" s="1606"/>
      <c r="FK143" s="1606"/>
      <c r="FL143" s="1606"/>
      <c r="FM143" s="1606"/>
      <c r="FN143" s="1606"/>
      <c r="FO143" s="1606"/>
      <c r="FP143" s="1606"/>
      <c r="FQ143" s="1606"/>
      <c r="FR143" s="1606"/>
      <c r="FS143" s="1606"/>
      <c r="FT143" s="1606"/>
      <c r="FU143" s="1606"/>
      <c r="FV143" s="1606"/>
      <c r="FW143" s="1606"/>
      <c r="FX143" s="1606"/>
      <c r="FY143" s="1606"/>
      <c r="FZ143" s="1606"/>
      <c r="GA143" s="1606"/>
      <c r="GB143" s="1606"/>
      <c r="GC143" s="1606"/>
      <c r="GD143" s="1606"/>
      <c r="GE143" s="1606"/>
      <c r="GF143" s="1606"/>
      <c r="GG143" s="1606"/>
      <c r="GH143" s="1606"/>
      <c r="GI143" s="1606"/>
      <c r="GJ143" s="1606"/>
      <c r="GK143" s="1606"/>
      <c r="GL143" s="1606"/>
      <c r="GM143" s="1606"/>
      <c r="GN143" s="1606"/>
      <c r="GO143" s="1606"/>
      <c r="GP143" s="1606"/>
      <c r="GQ143" s="1606"/>
      <c r="GR143" s="1606"/>
      <c r="GS143" s="1606"/>
      <c r="GT143" s="1606"/>
      <c r="GU143" s="1606"/>
      <c r="GV143" s="1606"/>
      <c r="GW143" s="1606"/>
      <c r="GX143" s="1606"/>
      <c r="GY143" s="1606"/>
      <c r="GZ143" s="1606"/>
      <c r="HA143" s="1606"/>
      <c r="HB143" s="1606"/>
      <c r="HC143" s="1606"/>
      <c r="HD143" s="1606"/>
      <c r="HE143" s="1606"/>
      <c r="HF143" s="1606"/>
      <c r="HG143" s="1606"/>
      <c r="HH143" s="1606"/>
      <c r="HI143" s="1606"/>
      <c r="HJ143" s="1606"/>
      <c r="HK143" s="1606"/>
      <c r="HL143" s="1606"/>
      <c r="HM143" s="1606"/>
      <c r="HN143" s="1606"/>
      <c r="HO143" s="1606"/>
      <c r="HP143" s="1606"/>
      <c r="HQ143" s="1606"/>
      <c r="HR143" s="1606"/>
      <c r="HS143" s="1606"/>
      <c r="HT143" s="1606"/>
      <c r="HU143" s="1606"/>
      <c r="HV143" s="1606"/>
      <c r="HW143" s="1606"/>
      <c r="HX143" s="1606"/>
      <c r="HY143" s="1606"/>
      <c r="HZ143" s="1606"/>
      <c r="IA143" s="1606"/>
      <c r="IB143" s="1606"/>
      <c r="IC143" s="1606"/>
      <c r="ID143" s="1606"/>
      <c r="IE143" s="1606"/>
      <c r="IF143" s="1606"/>
      <c r="IG143" s="1606"/>
      <c r="IH143" s="1606"/>
      <c r="II143" s="1606"/>
      <c r="IJ143" s="1606"/>
      <c r="IK143" s="1606"/>
      <c r="IL143" s="1606"/>
      <c r="IM143" s="1606"/>
      <c r="IN143" s="1606"/>
      <c r="IO143" s="1606"/>
      <c r="IP143" s="1606"/>
      <c r="IQ143" s="1606"/>
      <c r="IR143" s="1606"/>
      <c r="IS143" s="1606"/>
      <c r="IT143" s="1606"/>
      <c r="IU143" s="1606"/>
      <c r="IV143" s="1606"/>
      <c r="IW143" s="1606"/>
      <c r="IX143" s="1606"/>
      <c r="IY143" s="1606"/>
      <c r="IZ143" s="1606"/>
      <c r="JA143" s="1606"/>
      <c r="JB143" s="1606"/>
      <c r="JC143" s="1606"/>
      <c r="JD143" s="1606"/>
      <c r="JE143" s="1606"/>
      <c r="JF143" s="1606"/>
      <c r="JG143" s="1606"/>
      <c r="JH143" s="1606"/>
      <c r="JI143" s="1606"/>
      <c r="JJ143" s="1606"/>
      <c r="JK143" s="1606"/>
      <c r="JL143" s="1606"/>
      <c r="JM143" s="1606"/>
      <c r="JN143" s="1606"/>
      <c r="JO143" s="1606"/>
      <c r="JP143" s="1606"/>
      <c r="JQ143" s="1606"/>
      <c r="JR143" s="1606"/>
      <c r="JS143" s="1606"/>
      <c r="JT143" s="1606"/>
      <c r="JU143" s="1606"/>
      <c r="JV143" s="1606"/>
      <c r="JW143" s="1606"/>
      <c r="JX143" s="1606"/>
      <c r="JY143" s="1606"/>
      <c r="JZ143" s="1606"/>
      <c r="KA143" s="1606"/>
      <c r="KB143" s="1606"/>
      <c r="KC143" s="1606"/>
      <c r="KD143" s="1606"/>
      <c r="KE143" s="1606"/>
      <c r="KF143" s="1606"/>
      <c r="KG143" s="1606"/>
      <c r="KH143" s="1606"/>
      <c r="KI143" s="1606"/>
      <c r="KJ143" s="1606"/>
      <c r="KK143" s="1606"/>
      <c r="KL143" s="1606"/>
      <c r="KM143" s="1606"/>
      <c r="KN143" s="1606"/>
      <c r="KO143" s="1606"/>
      <c r="KP143" s="1606"/>
      <c r="KQ143" s="1606"/>
      <c r="KR143" s="1606"/>
      <c r="KS143" s="1606"/>
      <c r="KT143" s="1606"/>
      <c r="KU143" s="1606"/>
      <c r="KV143" s="1606"/>
      <c r="KW143" s="1606"/>
      <c r="KX143" s="1606"/>
      <c r="KY143" s="1606"/>
      <c r="KZ143" s="1606"/>
      <c r="LA143" s="1606"/>
      <c r="LB143" s="1606"/>
      <c r="LC143" s="1606"/>
      <c r="LD143" s="1606"/>
      <c r="LE143" s="1606"/>
      <c r="LF143" s="1606"/>
      <c r="LG143" s="1606"/>
      <c r="LH143" s="1606"/>
      <c r="LI143" s="1606"/>
      <c r="LJ143" s="1606"/>
      <c r="LK143" s="1606"/>
      <c r="LL143" s="1606"/>
      <c r="LM143" s="1606"/>
      <c r="LN143" s="1606"/>
      <c r="LO143" s="1606"/>
      <c r="LP143" s="1606"/>
      <c r="LQ143" s="1606"/>
      <c r="LR143" s="1606"/>
      <c r="LS143" s="1606"/>
      <c r="LT143" s="1606"/>
      <c r="LU143" s="1606"/>
      <c r="LV143" s="1606"/>
      <c r="LW143" s="1606"/>
      <c r="LX143" s="1606"/>
      <c r="LY143" s="1606"/>
      <c r="LZ143" s="1606"/>
      <c r="MA143" s="1606"/>
      <c r="MB143" s="1606"/>
      <c r="MC143" s="1606"/>
      <c r="MD143" s="1606"/>
      <c r="ME143" s="1606"/>
      <c r="MF143" s="1606"/>
      <c r="MG143" s="1606"/>
      <c r="MH143" s="1606"/>
      <c r="MI143" s="1606"/>
      <c r="MJ143" s="1606"/>
      <c r="MK143" s="1606"/>
      <c r="ML143" s="1606"/>
      <c r="MM143" s="1606"/>
      <c r="MN143" s="1606"/>
      <c r="MO143" s="1606"/>
      <c r="MP143" s="1606"/>
      <c r="MQ143" s="1606"/>
      <c r="MR143" s="1606"/>
      <c r="MS143" s="1606"/>
      <c r="MT143" s="1606"/>
      <c r="MU143" s="1606"/>
      <c r="MV143" s="1606"/>
      <c r="MW143" s="1606"/>
      <c r="MX143" s="1606"/>
      <c r="MY143" s="1606"/>
      <c r="MZ143" s="1606"/>
      <c r="NA143" s="1606"/>
      <c r="NB143" s="1606"/>
      <c r="NC143" s="1606"/>
      <c r="ND143" s="1606"/>
      <c r="NE143" s="1606"/>
      <c r="NF143" s="1606"/>
      <c r="NG143" s="1606"/>
      <c r="NH143" s="1606"/>
      <c r="NI143" s="1606"/>
      <c r="NJ143" s="1606"/>
      <c r="NK143" s="1606"/>
      <c r="NL143" s="1606"/>
      <c r="NM143" s="1606"/>
      <c r="NN143" s="1606"/>
      <c r="NO143" s="1606"/>
      <c r="NP143" s="1606"/>
      <c r="NQ143" s="1606"/>
      <c r="NR143" s="1606"/>
      <c r="NS143" s="1606"/>
      <c r="NT143" s="1606"/>
      <c r="NU143" s="1606"/>
      <c r="NV143" s="1606"/>
      <c r="NW143" s="1606"/>
      <c r="NX143" s="1606"/>
      <c r="NY143" s="1606"/>
      <c r="NZ143" s="1606"/>
      <c r="OA143" s="1606"/>
      <c r="OB143" s="1606"/>
      <c r="OC143" s="1606"/>
      <c r="OD143" s="1606"/>
      <c r="OE143" s="1606"/>
      <c r="OF143" s="1606"/>
      <c r="OG143" s="1606"/>
      <c r="OH143" s="1606"/>
      <c r="OI143" s="1606"/>
      <c r="OJ143" s="1606"/>
      <c r="OK143" s="1606"/>
      <c r="OL143" s="1606"/>
      <c r="OM143" s="1606"/>
      <c r="ON143" s="1606"/>
      <c r="OO143" s="1606"/>
      <c r="OP143" s="1606"/>
      <c r="OQ143" s="1606"/>
    </row>
    <row r="144" spans="1:407" ht="13" thickTop="1">
      <c r="A144" s="1466"/>
      <c r="B144" s="1588"/>
      <c r="C144" s="1588"/>
      <c r="D144" s="1588"/>
      <c r="E144" s="1589"/>
      <c r="F144" s="1589"/>
      <c r="G144" s="1589"/>
      <c r="H144" s="1589"/>
      <c r="I144" s="1589"/>
      <c r="J144" s="1589"/>
      <c r="K144" s="1589"/>
      <c r="L144" s="1589"/>
      <c r="M144" s="1589"/>
      <c r="N144" s="1589"/>
      <c r="O144" s="1589"/>
      <c r="P144" s="1589"/>
      <c r="Q144" s="1589"/>
      <c r="R144" s="1589"/>
      <c r="S144" s="1589"/>
      <c r="T144" s="1589"/>
      <c r="U144" s="1589"/>
      <c r="V144" s="1589"/>
      <c r="W144" s="1589"/>
      <c r="X144" s="1589"/>
      <c r="Y144" s="1589"/>
      <c r="Z144" s="1589"/>
      <c r="AA144" s="1589"/>
      <c r="AB144" s="1589"/>
      <c r="AC144" s="1589"/>
      <c r="AD144" s="1589"/>
      <c r="AE144" s="1589"/>
      <c r="AF144" s="1589"/>
      <c r="AG144" s="1589"/>
      <c r="AH144" s="1589"/>
      <c r="AI144" s="1589"/>
      <c r="AJ144" s="1589"/>
      <c r="AK144" s="1589"/>
      <c r="AL144" s="1589"/>
      <c r="AM144" s="1589"/>
      <c r="AN144" s="1589"/>
      <c r="AO144" s="1589"/>
      <c r="AP144" s="1589"/>
      <c r="AQ144" s="1589"/>
      <c r="AR144" s="1589"/>
      <c r="AS144" s="1589"/>
      <c r="AT144" s="1589"/>
      <c r="AU144" s="1589"/>
      <c r="AV144" s="1589"/>
      <c r="AW144" s="1589"/>
      <c r="AX144" s="1589"/>
      <c r="AY144" s="1589"/>
      <c r="AZ144" s="1589"/>
      <c r="BA144" s="1589"/>
      <c r="BB144" s="1589"/>
      <c r="BC144" s="1589"/>
      <c r="BD144" s="1589"/>
      <c r="BE144" s="1589"/>
      <c r="BF144" s="1589"/>
      <c r="BG144" s="1589"/>
      <c r="BH144" s="1589"/>
      <c r="BI144" s="1589"/>
      <c r="BJ144" s="1589"/>
      <c r="BK144" s="1589"/>
      <c r="BL144" s="1589"/>
      <c r="BM144" s="1589"/>
      <c r="BN144" s="1589"/>
      <c r="BO144" s="1589"/>
      <c r="BP144" s="1589"/>
      <c r="BQ144" s="1589"/>
      <c r="BR144" s="1589"/>
      <c r="BS144" s="1589"/>
      <c r="BT144" s="1589"/>
      <c r="BU144" s="1589"/>
      <c r="BV144" s="1589"/>
      <c r="BW144" s="1589"/>
      <c r="BX144" s="1589"/>
      <c r="BY144" s="1589"/>
      <c r="BZ144" s="1589"/>
      <c r="CA144" s="1589"/>
      <c r="CB144" s="1589"/>
      <c r="CC144" s="1589"/>
      <c r="CD144" s="1589"/>
      <c r="CE144" s="1589"/>
      <c r="CF144" s="1589"/>
      <c r="CG144" s="1589"/>
      <c r="CH144" s="1589"/>
      <c r="CI144" s="1589"/>
      <c r="CJ144" s="1589"/>
      <c r="CK144" s="1589"/>
      <c r="CL144" s="1589"/>
      <c r="CM144" s="1589"/>
      <c r="CN144" s="1589"/>
      <c r="CO144" s="1589"/>
      <c r="CP144" s="1589"/>
      <c r="CQ144" s="1589"/>
      <c r="CR144" s="1589"/>
      <c r="CS144" s="1589"/>
      <c r="CT144" s="1589"/>
      <c r="CU144" s="1589"/>
      <c r="CV144" s="1589"/>
      <c r="CW144" s="1589"/>
      <c r="CX144" s="1589"/>
      <c r="CY144" s="1589"/>
      <c r="CZ144" s="1589"/>
    </row>
    <row r="145" spans="1:104">
      <c r="A145" s="1466"/>
      <c r="B145" s="1583"/>
      <c r="C145" s="1583"/>
      <c r="D145" s="1583"/>
      <c r="E145" s="1585"/>
      <c r="F145" s="1585"/>
      <c r="G145" s="1585"/>
      <c r="H145" s="1585"/>
      <c r="I145" s="1585"/>
      <c r="J145" s="1585"/>
      <c r="K145" s="1585"/>
      <c r="L145" s="1585"/>
      <c r="M145" s="1585"/>
      <c r="N145" s="1585"/>
      <c r="O145" s="1585"/>
      <c r="P145" s="1585"/>
      <c r="Q145" s="1585"/>
      <c r="R145" s="1585"/>
      <c r="S145" s="1585"/>
      <c r="T145" s="1585"/>
      <c r="U145" s="1585"/>
      <c r="V145" s="1585"/>
      <c r="W145" s="1585"/>
      <c r="X145" s="1585"/>
      <c r="Y145" s="1585"/>
      <c r="Z145" s="1585"/>
      <c r="AA145" s="1585"/>
      <c r="AB145" s="1585"/>
      <c r="AC145" s="1585"/>
      <c r="AD145" s="1585"/>
      <c r="AE145" s="1585"/>
      <c r="AF145" s="1585"/>
      <c r="AG145" s="1585"/>
      <c r="AH145" s="1585"/>
      <c r="AI145" s="1585"/>
      <c r="AJ145" s="1585"/>
      <c r="AK145" s="1585"/>
      <c r="AL145" s="1585"/>
      <c r="AM145" s="1585"/>
      <c r="AN145" s="1585"/>
      <c r="AO145" s="1585"/>
      <c r="AP145" s="1585"/>
      <c r="AQ145" s="1585"/>
      <c r="AR145" s="1585"/>
      <c r="AS145" s="1585"/>
      <c r="AT145" s="1585"/>
      <c r="AU145" s="1585"/>
      <c r="AV145" s="1585"/>
      <c r="AW145" s="1585"/>
      <c r="AX145" s="1585"/>
      <c r="AY145" s="1585"/>
      <c r="AZ145" s="1585"/>
      <c r="BA145" s="1585"/>
      <c r="BB145" s="1585"/>
      <c r="BC145" s="1585"/>
      <c r="BD145" s="1585"/>
      <c r="BE145" s="1585"/>
      <c r="BF145" s="1585"/>
      <c r="BG145" s="1585"/>
      <c r="BH145" s="1585"/>
      <c r="BI145" s="1585"/>
      <c r="BJ145" s="1585"/>
      <c r="BK145" s="1585"/>
      <c r="BL145" s="1585"/>
      <c r="BM145" s="1585"/>
      <c r="BN145" s="1585"/>
      <c r="BO145" s="1585"/>
      <c r="BP145" s="1585"/>
      <c r="BQ145" s="1585"/>
      <c r="BR145" s="1585"/>
      <c r="BS145" s="1585"/>
      <c r="BT145" s="1585"/>
      <c r="BU145" s="1585"/>
      <c r="BV145" s="1585"/>
      <c r="BW145" s="1585"/>
      <c r="BX145" s="1585"/>
      <c r="BY145" s="1585"/>
      <c r="BZ145" s="1585"/>
      <c r="CA145" s="1585"/>
      <c r="CB145" s="1585"/>
      <c r="CC145" s="1585"/>
      <c r="CD145" s="1585"/>
      <c r="CE145" s="1585"/>
      <c r="CF145" s="1585"/>
      <c r="CG145" s="1585"/>
      <c r="CH145" s="1585"/>
      <c r="CI145" s="1585"/>
      <c r="CJ145" s="1585"/>
      <c r="CK145" s="1585"/>
      <c r="CL145" s="1585"/>
      <c r="CM145" s="1585"/>
      <c r="CN145" s="1585"/>
      <c r="CO145" s="1585"/>
      <c r="CP145" s="1585"/>
      <c r="CQ145" s="1585"/>
      <c r="CR145" s="1585"/>
      <c r="CS145" s="1585"/>
      <c r="CT145" s="1585"/>
      <c r="CU145" s="1585"/>
      <c r="CV145" s="1585"/>
      <c r="CW145" s="1585"/>
      <c r="CX145" s="1585"/>
      <c r="CY145" s="1585"/>
      <c r="CZ145" s="1585"/>
    </row>
    <row r="146" spans="1:104">
      <c r="A146" s="1466"/>
      <c r="B146" s="1583"/>
      <c r="C146" s="1583"/>
      <c r="D146" s="1583"/>
      <c r="E146" s="1585"/>
      <c r="F146" s="1585"/>
      <c r="G146" s="1585"/>
      <c r="H146" s="1585"/>
      <c r="I146" s="1585"/>
      <c r="J146" s="1585"/>
      <c r="K146" s="1585"/>
      <c r="L146" s="1585"/>
      <c r="M146" s="1585"/>
      <c r="N146" s="1585"/>
      <c r="O146" s="1585"/>
      <c r="P146" s="1585"/>
      <c r="Q146" s="1585"/>
      <c r="R146" s="1585"/>
      <c r="S146" s="1585"/>
      <c r="T146" s="1585"/>
      <c r="U146" s="1585"/>
      <c r="V146" s="1585"/>
      <c r="W146" s="1585"/>
      <c r="X146" s="1585"/>
      <c r="Y146" s="1585"/>
      <c r="Z146" s="1585"/>
      <c r="AA146" s="1585"/>
      <c r="AB146" s="1585"/>
      <c r="AC146" s="1585"/>
      <c r="AD146" s="1585"/>
      <c r="AE146" s="1585"/>
      <c r="AF146" s="1585"/>
      <c r="AG146" s="1585"/>
      <c r="AH146" s="1585"/>
      <c r="AI146" s="1585"/>
      <c r="AJ146" s="1585"/>
      <c r="AK146" s="1585"/>
      <c r="AL146" s="1585"/>
      <c r="AM146" s="1585"/>
      <c r="AN146" s="1585"/>
      <c r="AO146" s="1585"/>
      <c r="AP146" s="1585"/>
      <c r="AQ146" s="1585"/>
      <c r="AR146" s="1585"/>
      <c r="AS146" s="1585"/>
      <c r="AT146" s="1585"/>
      <c r="AU146" s="1585"/>
      <c r="AV146" s="1585"/>
      <c r="AW146" s="1585"/>
      <c r="AX146" s="1585"/>
      <c r="AY146" s="1585"/>
      <c r="AZ146" s="1585"/>
      <c r="BA146" s="1585"/>
      <c r="BB146" s="1585"/>
      <c r="BC146" s="1585"/>
      <c r="BD146" s="1585"/>
      <c r="BE146" s="1585"/>
      <c r="BF146" s="1585"/>
      <c r="BG146" s="1585"/>
      <c r="BH146" s="1585"/>
      <c r="BI146" s="1585"/>
      <c r="BJ146" s="1585"/>
      <c r="BK146" s="1585"/>
      <c r="BL146" s="1585"/>
      <c r="BM146" s="1585"/>
      <c r="BN146" s="1585"/>
      <c r="BO146" s="1585"/>
      <c r="BP146" s="1585"/>
      <c r="BQ146" s="1585"/>
      <c r="BR146" s="1585"/>
      <c r="BS146" s="1585"/>
      <c r="BT146" s="1585"/>
      <c r="BU146" s="1585"/>
      <c r="BV146" s="1585"/>
      <c r="BW146" s="1585"/>
      <c r="BX146" s="1585"/>
      <c r="BY146" s="1585"/>
      <c r="BZ146" s="1585"/>
      <c r="CA146" s="1585"/>
      <c r="CB146" s="1585"/>
      <c r="CC146" s="1585"/>
      <c r="CD146" s="1585"/>
      <c r="CE146" s="1585"/>
      <c r="CF146" s="1585"/>
      <c r="CG146" s="1585"/>
      <c r="CH146" s="1585"/>
      <c r="CI146" s="1585"/>
      <c r="CJ146" s="1585"/>
      <c r="CK146" s="1585"/>
      <c r="CL146" s="1585"/>
      <c r="CM146" s="1585"/>
      <c r="CN146" s="1585"/>
      <c r="CO146" s="1585"/>
      <c r="CP146" s="1585"/>
      <c r="CQ146" s="1585"/>
      <c r="CR146" s="1585"/>
      <c r="CS146" s="1585"/>
      <c r="CT146" s="1585"/>
      <c r="CU146" s="1585"/>
      <c r="CV146" s="1585"/>
      <c r="CW146" s="1585"/>
      <c r="CX146" s="1585"/>
      <c r="CY146" s="1585"/>
      <c r="CZ146" s="1585"/>
    </row>
    <row r="147" spans="1:104">
      <c r="A147" s="1466"/>
      <c r="B147" s="1583"/>
      <c r="C147" s="1583"/>
      <c r="D147" s="1583"/>
      <c r="E147" s="1585"/>
      <c r="F147" s="1585"/>
      <c r="G147" s="1585"/>
      <c r="H147" s="1585"/>
      <c r="I147" s="1585"/>
      <c r="J147" s="1585"/>
      <c r="K147" s="1585"/>
      <c r="L147" s="1585"/>
      <c r="M147" s="1585"/>
      <c r="N147" s="1585"/>
      <c r="O147" s="1585"/>
      <c r="P147" s="1585"/>
      <c r="Q147" s="1585"/>
      <c r="R147" s="1585"/>
      <c r="S147" s="1585"/>
      <c r="T147" s="1585"/>
      <c r="U147" s="1585"/>
      <c r="V147" s="1585"/>
      <c r="W147" s="1585"/>
      <c r="X147" s="1585"/>
      <c r="Y147" s="1585"/>
      <c r="Z147" s="1585"/>
      <c r="AA147" s="1585"/>
      <c r="AB147" s="1585"/>
      <c r="AC147" s="1585"/>
      <c r="AD147" s="1585"/>
      <c r="AE147" s="1585"/>
      <c r="AF147" s="1585"/>
      <c r="AG147" s="1585"/>
      <c r="AH147" s="1585"/>
      <c r="AI147" s="1585"/>
      <c r="AJ147" s="1585"/>
      <c r="AK147" s="1585"/>
      <c r="AL147" s="1585"/>
      <c r="AM147" s="1585"/>
      <c r="AN147" s="1585"/>
      <c r="AO147" s="1585"/>
      <c r="AP147" s="1585"/>
      <c r="AQ147" s="1585"/>
      <c r="AR147" s="1585"/>
      <c r="AS147" s="1585"/>
      <c r="AT147" s="1585"/>
      <c r="AU147" s="1585"/>
      <c r="AV147" s="1585"/>
      <c r="AW147" s="1585"/>
      <c r="AX147" s="1585"/>
      <c r="AY147" s="1585"/>
      <c r="AZ147" s="1585"/>
      <c r="BA147" s="1585"/>
      <c r="BB147" s="1585"/>
      <c r="BC147" s="1585"/>
      <c r="BD147" s="1585"/>
      <c r="BE147" s="1585"/>
      <c r="BF147" s="1585"/>
      <c r="BG147" s="1585"/>
      <c r="BH147" s="1585"/>
      <c r="BI147" s="1585"/>
      <c r="BJ147" s="1585"/>
      <c r="BK147" s="1585"/>
      <c r="BL147" s="1585"/>
      <c r="BM147" s="1585"/>
      <c r="BN147" s="1585"/>
      <c r="BO147" s="1585"/>
      <c r="BP147" s="1585"/>
      <c r="BQ147" s="1585"/>
      <c r="BR147" s="1585"/>
      <c r="BS147" s="1585"/>
      <c r="BT147" s="1585"/>
      <c r="BU147" s="1585"/>
      <c r="BV147" s="1585"/>
      <c r="BW147" s="1585"/>
      <c r="BX147" s="1585"/>
      <c r="BY147" s="1585"/>
      <c r="BZ147" s="1585"/>
      <c r="CA147" s="1585"/>
      <c r="CB147" s="1585"/>
      <c r="CC147" s="1585"/>
      <c r="CD147" s="1585"/>
      <c r="CE147" s="1585"/>
      <c r="CF147" s="1585"/>
      <c r="CG147" s="1585"/>
      <c r="CH147" s="1585"/>
      <c r="CI147" s="1585"/>
      <c r="CJ147" s="1585"/>
      <c r="CK147" s="1585"/>
      <c r="CL147" s="1585"/>
      <c r="CM147" s="1585"/>
      <c r="CN147" s="1585"/>
      <c r="CO147" s="1585"/>
      <c r="CP147" s="1585"/>
      <c r="CQ147" s="1585"/>
      <c r="CR147" s="1585"/>
      <c r="CS147" s="1585"/>
      <c r="CT147" s="1585"/>
      <c r="CU147" s="1585"/>
      <c r="CV147" s="1585"/>
      <c r="CW147" s="1585"/>
      <c r="CX147" s="1585"/>
      <c r="CY147" s="1585"/>
      <c r="CZ147" s="1585"/>
    </row>
    <row r="148" spans="1:104">
      <c r="A148" s="1466"/>
      <c r="B148" s="1583"/>
      <c r="C148" s="1583"/>
      <c r="D148" s="1583"/>
      <c r="E148" s="1585"/>
      <c r="F148" s="1585"/>
      <c r="G148" s="1585"/>
      <c r="H148" s="1585"/>
      <c r="I148" s="1585"/>
      <c r="J148" s="1585"/>
      <c r="K148" s="1585"/>
      <c r="L148" s="1585"/>
      <c r="M148" s="1585"/>
      <c r="N148" s="1585"/>
      <c r="O148" s="1585"/>
      <c r="P148" s="1585"/>
      <c r="Q148" s="1585"/>
      <c r="R148" s="1585"/>
      <c r="S148" s="1585"/>
      <c r="T148" s="1585"/>
      <c r="U148" s="1585"/>
      <c r="V148" s="1585"/>
      <c r="W148" s="1585"/>
      <c r="X148" s="1585"/>
      <c r="Y148" s="1585"/>
      <c r="Z148" s="1585"/>
      <c r="AA148" s="1585"/>
      <c r="AB148" s="1585"/>
      <c r="AC148" s="1585"/>
      <c r="AD148" s="1585"/>
      <c r="AE148" s="1585"/>
      <c r="AF148" s="1585"/>
      <c r="AG148" s="1585"/>
      <c r="AH148" s="1585"/>
      <c r="AI148" s="1585"/>
      <c r="AJ148" s="1585"/>
      <c r="AK148" s="1585"/>
      <c r="AL148" s="1585"/>
      <c r="AM148" s="1585"/>
      <c r="AN148" s="1585"/>
      <c r="AO148" s="1585"/>
      <c r="AP148" s="1585"/>
      <c r="AQ148" s="1585"/>
      <c r="AR148" s="1585"/>
      <c r="AS148" s="1585"/>
      <c r="AT148" s="1585"/>
      <c r="AU148" s="1585"/>
      <c r="AV148" s="1585"/>
      <c r="AW148" s="1585"/>
      <c r="AX148" s="1585"/>
      <c r="AY148" s="1585"/>
      <c r="AZ148" s="1585"/>
      <c r="BA148" s="1585"/>
      <c r="BB148" s="1585"/>
      <c r="BC148" s="1585"/>
      <c r="BD148" s="1585"/>
      <c r="BE148" s="1585"/>
      <c r="BF148" s="1585"/>
      <c r="BG148" s="1585"/>
      <c r="BH148" s="1585"/>
      <c r="BI148" s="1585"/>
      <c r="BJ148" s="1585"/>
      <c r="BK148" s="1585"/>
      <c r="BL148" s="1585"/>
      <c r="BM148" s="1585"/>
      <c r="BN148" s="1585"/>
      <c r="BO148" s="1585"/>
      <c r="BP148" s="1585"/>
      <c r="BQ148" s="1585"/>
      <c r="BR148" s="1585"/>
      <c r="BS148" s="1585"/>
      <c r="BT148" s="1585"/>
      <c r="BU148" s="1585"/>
      <c r="BV148" s="1585"/>
      <c r="BW148" s="1585"/>
      <c r="BX148" s="1585"/>
      <c r="BY148" s="1585"/>
      <c r="BZ148" s="1585"/>
      <c r="CA148" s="1585"/>
      <c r="CB148" s="1585"/>
      <c r="CC148" s="1585"/>
      <c r="CD148" s="1585"/>
      <c r="CE148" s="1585"/>
      <c r="CF148" s="1585"/>
      <c r="CG148" s="1585"/>
      <c r="CH148" s="1585"/>
      <c r="CI148" s="1585"/>
      <c r="CJ148" s="1585"/>
      <c r="CK148" s="1585"/>
      <c r="CL148" s="1585"/>
      <c r="CM148" s="1585"/>
      <c r="CN148" s="1585"/>
      <c r="CO148" s="1585"/>
      <c r="CP148" s="1585"/>
      <c r="CQ148" s="1585"/>
      <c r="CR148" s="1585"/>
      <c r="CS148" s="1585"/>
      <c r="CT148" s="1585"/>
      <c r="CU148" s="1585"/>
      <c r="CV148" s="1585"/>
      <c r="CW148" s="1585"/>
      <c r="CX148" s="1585"/>
      <c r="CY148" s="1585"/>
      <c r="CZ148" s="1585"/>
    </row>
    <row r="149" spans="1:104">
      <c r="A149" s="1466"/>
      <c r="B149" s="1583"/>
      <c r="C149" s="1583"/>
      <c r="D149" s="1583"/>
      <c r="E149" s="1585"/>
      <c r="F149" s="1585"/>
      <c r="G149" s="1585"/>
      <c r="H149" s="1585"/>
      <c r="I149" s="1585"/>
      <c r="J149" s="1585"/>
      <c r="K149" s="1585"/>
      <c r="L149" s="1585"/>
      <c r="M149" s="1585"/>
      <c r="N149" s="1585"/>
      <c r="O149" s="1585"/>
      <c r="P149" s="1585"/>
      <c r="Q149" s="1585"/>
      <c r="R149" s="1585"/>
      <c r="S149" s="1585"/>
      <c r="T149" s="1585"/>
      <c r="U149" s="1585"/>
      <c r="V149" s="1585"/>
      <c r="W149" s="1585"/>
      <c r="X149" s="1585"/>
      <c r="Y149" s="1585"/>
      <c r="Z149" s="1585"/>
      <c r="AA149" s="1585"/>
      <c r="AB149" s="1585"/>
      <c r="AC149" s="1585"/>
      <c r="AD149" s="1585"/>
      <c r="AE149" s="1585"/>
      <c r="AF149" s="1585"/>
      <c r="AG149" s="1585"/>
      <c r="AH149" s="1585"/>
      <c r="AI149" s="1585"/>
      <c r="AJ149" s="1585"/>
      <c r="AK149" s="1585"/>
      <c r="AL149" s="1585"/>
      <c r="AM149" s="1585"/>
      <c r="AN149" s="1585"/>
      <c r="AO149" s="1585"/>
      <c r="AP149" s="1585"/>
      <c r="AQ149" s="1585"/>
      <c r="AR149" s="1585"/>
      <c r="AS149" s="1585"/>
      <c r="AT149" s="1585"/>
      <c r="AU149" s="1585"/>
      <c r="AV149" s="1585"/>
      <c r="AW149" s="1585"/>
      <c r="AX149" s="1585"/>
      <c r="AY149" s="1585"/>
      <c r="AZ149" s="1585"/>
      <c r="BA149" s="1585"/>
      <c r="BB149" s="1585"/>
      <c r="BC149" s="1585"/>
      <c r="BD149" s="1585"/>
      <c r="BE149" s="1585"/>
      <c r="BF149" s="1585"/>
      <c r="BG149" s="1585"/>
      <c r="BH149" s="1585"/>
      <c r="BI149" s="1585"/>
      <c r="BJ149" s="1585"/>
      <c r="BK149" s="1585"/>
      <c r="BL149" s="1585"/>
      <c r="BM149" s="1585"/>
      <c r="BN149" s="1585"/>
      <c r="BO149" s="1585"/>
      <c r="BP149" s="1585"/>
      <c r="BQ149" s="1585"/>
      <c r="BR149" s="1585"/>
      <c r="BS149" s="1585"/>
      <c r="BT149" s="1585"/>
      <c r="BU149" s="1585"/>
      <c r="BV149" s="1585"/>
      <c r="BW149" s="1585"/>
      <c r="BX149" s="1585"/>
      <c r="BY149" s="1585"/>
      <c r="BZ149" s="1585"/>
      <c r="CA149" s="1585"/>
      <c r="CB149" s="1585"/>
      <c r="CC149" s="1585"/>
      <c r="CD149" s="1585"/>
      <c r="CE149" s="1585"/>
      <c r="CF149" s="1585"/>
      <c r="CG149" s="1585"/>
      <c r="CH149" s="1585"/>
      <c r="CI149" s="1585"/>
      <c r="CJ149" s="1585"/>
      <c r="CK149" s="1585"/>
      <c r="CL149" s="1585"/>
      <c r="CM149" s="1585"/>
      <c r="CN149" s="1585"/>
      <c r="CO149" s="1585"/>
      <c r="CP149" s="1585"/>
      <c r="CQ149" s="1585"/>
      <c r="CR149" s="1585"/>
      <c r="CS149" s="1585"/>
      <c r="CT149" s="1585"/>
      <c r="CU149" s="1585"/>
      <c r="CV149" s="1585"/>
      <c r="CW149" s="1585"/>
      <c r="CX149" s="1585"/>
      <c r="CY149" s="1585"/>
      <c r="CZ149" s="1585"/>
    </row>
    <row r="150" spans="1:104">
      <c r="A150" s="1466"/>
      <c r="B150" s="1583"/>
      <c r="C150" s="1583"/>
      <c r="D150" s="1583"/>
      <c r="E150" s="1585"/>
      <c r="F150" s="1585"/>
      <c r="G150" s="1585"/>
      <c r="H150" s="1585"/>
      <c r="I150" s="1585"/>
      <c r="J150" s="1585"/>
      <c r="K150" s="1585"/>
      <c r="L150" s="1585"/>
      <c r="M150" s="1585"/>
      <c r="N150" s="1585"/>
      <c r="O150" s="1585"/>
      <c r="P150" s="1585"/>
      <c r="Q150" s="1585"/>
      <c r="R150" s="1585"/>
      <c r="S150" s="1585"/>
      <c r="T150" s="1585"/>
      <c r="U150" s="1585"/>
      <c r="V150" s="1585"/>
      <c r="W150" s="1585"/>
      <c r="X150" s="1585"/>
      <c r="Y150" s="1585"/>
      <c r="Z150" s="1585"/>
      <c r="AA150" s="1585"/>
      <c r="AB150" s="1585"/>
      <c r="AC150" s="1585"/>
      <c r="AD150" s="1585"/>
      <c r="AE150" s="1585"/>
      <c r="AF150" s="1585"/>
      <c r="AG150" s="1585"/>
      <c r="AH150" s="1585"/>
      <c r="AI150" s="1585"/>
      <c r="AJ150" s="1585"/>
      <c r="AK150" s="1585"/>
      <c r="AL150" s="1585"/>
      <c r="AM150" s="1585"/>
      <c r="AN150" s="1585"/>
      <c r="AO150" s="1585"/>
      <c r="AP150" s="1585"/>
      <c r="AQ150" s="1585"/>
      <c r="AR150" s="1585"/>
      <c r="AS150" s="1585"/>
      <c r="AT150" s="1585"/>
      <c r="AU150" s="1585"/>
      <c r="AV150" s="1585"/>
      <c r="AW150" s="1585"/>
      <c r="AX150" s="1585"/>
      <c r="AY150" s="1585"/>
      <c r="AZ150" s="1585"/>
      <c r="BA150" s="1585"/>
      <c r="BB150" s="1585"/>
      <c r="BC150" s="1585"/>
      <c r="BD150" s="1585"/>
      <c r="BE150" s="1585"/>
      <c r="BF150" s="1585"/>
      <c r="BG150" s="1585"/>
      <c r="BH150" s="1585"/>
      <c r="BI150" s="1585"/>
      <c r="BJ150" s="1585"/>
      <c r="BK150" s="1585"/>
      <c r="BL150" s="1585"/>
      <c r="BM150" s="1585"/>
      <c r="BN150" s="1585"/>
      <c r="BO150" s="1585"/>
      <c r="BP150" s="1585"/>
      <c r="BQ150" s="1585"/>
      <c r="BR150" s="1585"/>
      <c r="BS150" s="1585"/>
      <c r="BT150" s="1585"/>
      <c r="BU150" s="1585"/>
      <c r="BV150" s="1585"/>
      <c r="BW150" s="1585"/>
      <c r="BX150" s="1585"/>
      <c r="BY150" s="1585"/>
      <c r="BZ150" s="1585"/>
      <c r="CA150" s="1585"/>
      <c r="CB150" s="1585"/>
      <c r="CC150" s="1585"/>
      <c r="CD150" s="1585"/>
      <c r="CE150" s="1585"/>
      <c r="CF150" s="1585"/>
      <c r="CG150" s="1585"/>
      <c r="CH150" s="1585"/>
      <c r="CI150" s="1585"/>
      <c r="CJ150" s="1585"/>
      <c r="CK150" s="1585"/>
      <c r="CL150" s="1585"/>
      <c r="CM150" s="1585"/>
      <c r="CN150" s="1585"/>
      <c r="CO150" s="1585"/>
      <c r="CP150" s="1585"/>
      <c r="CQ150" s="1585"/>
      <c r="CR150" s="1585"/>
      <c r="CS150" s="1585"/>
      <c r="CT150" s="1585"/>
      <c r="CU150" s="1585"/>
      <c r="CV150" s="1585"/>
      <c r="CW150" s="1585"/>
      <c r="CX150" s="1585"/>
      <c r="CY150" s="1585"/>
      <c r="CZ150" s="1585"/>
    </row>
    <row r="151" spans="1:104">
      <c r="A151" s="1466"/>
      <c r="B151" s="1583"/>
      <c r="C151" s="1583"/>
      <c r="D151" s="1583"/>
      <c r="E151" s="1585"/>
      <c r="F151" s="1585"/>
      <c r="G151" s="1585"/>
      <c r="H151" s="1585"/>
      <c r="I151" s="1585"/>
      <c r="J151" s="1585"/>
      <c r="K151" s="1585"/>
      <c r="L151" s="1585"/>
      <c r="M151" s="1585"/>
      <c r="N151" s="1585"/>
      <c r="O151" s="1585"/>
      <c r="P151" s="1585"/>
      <c r="Q151" s="1585"/>
      <c r="R151" s="1585"/>
      <c r="S151" s="1585"/>
      <c r="T151" s="1585"/>
      <c r="U151" s="1585"/>
      <c r="V151" s="1585"/>
      <c r="W151" s="1585"/>
      <c r="X151" s="1585"/>
      <c r="Y151" s="1585"/>
      <c r="Z151" s="1585"/>
      <c r="AA151" s="1585"/>
      <c r="AB151" s="1585"/>
      <c r="AC151" s="1585"/>
      <c r="AD151" s="1585"/>
      <c r="AE151" s="1585"/>
      <c r="AF151" s="1585"/>
      <c r="AG151" s="1585"/>
      <c r="AH151" s="1585"/>
      <c r="AI151" s="1585"/>
      <c r="AJ151" s="1585"/>
      <c r="AK151" s="1585"/>
      <c r="AL151" s="1585"/>
      <c r="AM151" s="1585"/>
      <c r="AN151" s="1585"/>
      <c r="AO151" s="1585"/>
      <c r="AP151" s="1585"/>
      <c r="AQ151" s="1585"/>
      <c r="AR151" s="1585"/>
      <c r="AS151" s="1585"/>
      <c r="AT151" s="1585"/>
      <c r="AU151" s="1585"/>
      <c r="AV151" s="1585"/>
      <c r="AW151" s="1585"/>
      <c r="AX151" s="1585"/>
      <c r="AY151" s="1585"/>
      <c r="AZ151" s="1585"/>
      <c r="BA151" s="1585"/>
      <c r="BB151" s="1585"/>
      <c r="BC151" s="1585"/>
      <c r="BD151" s="1585"/>
      <c r="BE151" s="1585"/>
      <c r="BF151" s="1585"/>
      <c r="BG151" s="1585"/>
      <c r="BH151" s="1585"/>
      <c r="BI151" s="1585"/>
      <c r="BJ151" s="1585"/>
      <c r="BK151" s="1585"/>
      <c r="BL151" s="1585"/>
      <c r="BM151" s="1585"/>
      <c r="BN151" s="1585"/>
      <c r="BO151" s="1585"/>
      <c r="BP151" s="1585"/>
      <c r="BQ151" s="1585"/>
      <c r="BR151" s="1585"/>
      <c r="BS151" s="1585"/>
      <c r="BT151" s="1585"/>
      <c r="BU151" s="1585"/>
      <c r="BV151" s="1585"/>
      <c r="BW151" s="1585"/>
      <c r="BX151" s="1585"/>
      <c r="BY151" s="1585"/>
      <c r="BZ151" s="1585"/>
      <c r="CA151" s="1585"/>
      <c r="CB151" s="1585"/>
      <c r="CC151" s="1585"/>
      <c r="CD151" s="1585"/>
      <c r="CE151" s="1585"/>
      <c r="CF151" s="1585"/>
      <c r="CG151" s="1585"/>
      <c r="CH151" s="1585"/>
      <c r="CI151" s="1585"/>
      <c r="CJ151" s="1585"/>
      <c r="CK151" s="1585"/>
      <c r="CL151" s="1585"/>
      <c r="CM151" s="1585"/>
      <c r="CN151" s="1585"/>
      <c r="CO151" s="1585"/>
      <c r="CP151" s="1585"/>
      <c r="CQ151" s="1585"/>
      <c r="CR151" s="1585"/>
      <c r="CS151" s="1585"/>
      <c r="CT151" s="1585"/>
      <c r="CU151" s="1585"/>
      <c r="CV151" s="1585"/>
      <c r="CW151" s="1585"/>
      <c r="CX151" s="1585"/>
      <c r="CY151" s="1585"/>
      <c r="CZ151" s="1585"/>
    </row>
    <row r="152" spans="1:104">
      <c r="A152" s="1466"/>
      <c r="B152" s="1583"/>
      <c r="C152" s="1583"/>
      <c r="D152" s="1583"/>
      <c r="E152" s="1585"/>
      <c r="F152" s="1585"/>
      <c r="G152" s="1585"/>
      <c r="H152" s="1585"/>
      <c r="I152" s="1585"/>
      <c r="J152" s="1585"/>
      <c r="K152" s="1585"/>
      <c r="L152" s="1585"/>
      <c r="M152" s="1585"/>
      <c r="N152" s="1585"/>
      <c r="O152" s="1585"/>
      <c r="P152" s="1585"/>
      <c r="Q152" s="1585"/>
      <c r="R152" s="1585"/>
      <c r="S152" s="1585"/>
      <c r="T152" s="1585"/>
      <c r="U152" s="1585"/>
      <c r="V152" s="1585"/>
      <c r="W152" s="1585"/>
      <c r="X152" s="1585"/>
      <c r="Y152" s="1585"/>
      <c r="Z152" s="1585"/>
      <c r="AA152" s="1585"/>
      <c r="AB152" s="1585"/>
      <c r="AC152" s="1585"/>
      <c r="AD152" s="1585"/>
      <c r="AE152" s="1585"/>
      <c r="AF152" s="1585"/>
      <c r="AG152" s="1585"/>
      <c r="AH152" s="1585"/>
      <c r="AI152" s="1585"/>
      <c r="AJ152" s="1585"/>
      <c r="AK152" s="1585"/>
      <c r="AL152" s="1585"/>
      <c r="AM152" s="1585"/>
      <c r="AN152" s="1585"/>
      <c r="AO152" s="1585"/>
      <c r="AP152" s="1585"/>
      <c r="AQ152" s="1585"/>
      <c r="AR152" s="1585"/>
      <c r="AS152" s="1585"/>
      <c r="AT152" s="1585"/>
      <c r="AU152" s="1585"/>
      <c r="AV152" s="1585"/>
      <c r="AW152" s="1585"/>
      <c r="AX152" s="1585"/>
      <c r="AY152" s="1585"/>
      <c r="AZ152" s="1585"/>
      <c r="BA152" s="1585"/>
      <c r="BB152" s="1585"/>
      <c r="BC152" s="1585"/>
      <c r="BD152" s="1585"/>
      <c r="BE152" s="1585"/>
      <c r="BF152" s="1585"/>
      <c r="BG152" s="1585"/>
      <c r="BH152" s="1585"/>
      <c r="BI152" s="1585"/>
      <c r="BJ152" s="1585"/>
      <c r="BK152" s="1585"/>
      <c r="BL152" s="1585"/>
      <c r="BM152" s="1585"/>
      <c r="BN152" s="1585"/>
      <c r="BO152" s="1585"/>
      <c r="BP152" s="1585"/>
      <c r="BQ152" s="1585"/>
      <c r="BR152" s="1585"/>
      <c r="BS152" s="1585"/>
      <c r="BT152" s="1585"/>
      <c r="BU152" s="1585"/>
      <c r="BV152" s="1585"/>
      <c r="BW152" s="1585"/>
      <c r="BX152" s="1585"/>
      <c r="BY152" s="1585"/>
      <c r="BZ152" s="1585"/>
      <c r="CA152" s="1585"/>
      <c r="CB152" s="1585"/>
      <c r="CC152" s="1585"/>
      <c r="CD152" s="1585"/>
      <c r="CE152" s="1585"/>
      <c r="CF152" s="1585"/>
      <c r="CG152" s="1585"/>
      <c r="CH152" s="1585"/>
      <c r="CI152" s="1585"/>
      <c r="CJ152" s="1585"/>
      <c r="CK152" s="1585"/>
      <c r="CL152" s="1585"/>
      <c r="CM152" s="1585"/>
      <c r="CN152" s="1585"/>
      <c r="CO152" s="1585"/>
      <c r="CP152" s="1585"/>
      <c r="CQ152" s="1585"/>
      <c r="CR152" s="1585"/>
      <c r="CS152" s="1585"/>
      <c r="CT152" s="1585"/>
      <c r="CU152" s="1585"/>
      <c r="CV152" s="1585"/>
      <c r="CW152" s="1585"/>
      <c r="CX152" s="1585"/>
      <c r="CY152" s="1585"/>
      <c r="CZ152" s="1585"/>
    </row>
    <row r="153" spans="1:104">
      <c r="A153" s="1466"/>
      <c r="B153" s="1583"/>
      <c r="C153" s="1583"/>
      <c r="D153" s="1583"/>
      <c r="E153" s="1585"/>
      <c r="F153" s="1585"/>
      <c r="G153" s="1585"/>
      <c r="H153" s="1585"/>
      <c r="I153" s="1585"/>
      <c r="J153" s="1585"/>
      <c r="K153" s="1585"/>
      <c r="L153" s="1585"/>
      <c r="M153" s="1585"/>
      <c r="N153" s="1585"/>
      <c r="O153" s="1585"/>
      <c r="P153" s="1585"/>
      <c r="Q153" s="1585"/>
      <c r="R153" s="1585"/>
      <c r="S153" s="1585"/>
      <c r="T153" s="1585"/>
      <c r="U153" s="1585"/>
      <c r="V153" s="1585"/>
      <c r="W153" s="1585"/>
      <c r="X153" s="1585"/>
      <c r="Y153" s="1585"/>
      <c r="Z153" s="1585"/>
      <c r="AA153" s="1585"/>
      <c r="AB153" s="1585"/>
      <c r="AC153" s="1585"/>
      <c r="AD153" s="1585"/>
      <c r="AE153" s="1585"/>
      <c r="AF153" s="1585"/>
      <c r="AG153" s="1585"/>
      <c r="AH153" s="1585"/>
      <c r="AI153" s="1585"/>
      <c r="AJ153" s="1585"/>
      <c r="AK153" s="1585"/>
      <c r="AL153" s="1585"/>
      <c r="AM153" s="1585"/>
      <c r="AN153" s="1585"/>
      <c r="AO153" s="1585"/>
      <c r="AP153" s="1585"/>
      <c r="AQ153" s="1585"/>
      <c r="AR153" s="1585"/>
      <c r="AS153" s="1585"/>
      <c r="AT153" s="1585"/>
      <c r="AU153" s="1585"/>
      <c r="AV153" s="1585"/>
      <c r="AW153" s="1585"/>
      <c r="AX153" s="1585"/>
      <c r="AY153" s="1585"/>
      <c r="AZ153" s="1585"/>
      <c r="BA153" s="1585"/>
      <c r="BB153" s="1585"/>
      <c r="BC153" s="1585"/>
      <c r="BD153" s="1585"/>
      <c r="BE153" s="1585"/>
      <c r="BF153" s="1585"/>
      <c r="BG153" s="1585"/>
      <c r="BH153" s="1585"/>
      <c r="BI153" s="1585"/>
      <c r="BJ153" s="1585"/>
      <c r="BK153" s="1585"/>
      <c r="BL153" s="1585"/>
      <c r="BM153" s="1585"/>
      <c r="BN153" s="1585"/>
      <c r="BO153" s="1585"/>
      <c r="BP153" s="1585"/>
      <c r="BQ153" s="1585"/>
      <c r="BR153" s="1585"/>
      <c r="BS153" s="1585"/>
      <c r="BT153" s="1585"/>
      <c r="BU153" s="1585"/>
      <c r="BV153" s="1585"/>
      <c r="BW153" s="1585"/>
      <c r="BX153" s="1585"/>
      <c r="BY153" s="1585"/>
      <c r="BZ153" s="1585"/>
      <c r="CA153" s="1585"/>
      <c r="CB153" s="1585"/>
      <c r="CC153" s="1585"/>
      <c r="CD153" s="1585"/>
      <c r="CE153" s="1585"/>
      <c r="CF153" s="1585"/>
      <c r="CG153" s="1585"/>
      <c r="CH153" s="1585"/>
      <c r="CI153" s="1585"/>
      <c r="CJ153" s="1585"/>
      <c r="CK153" s="1585"/>
      <c r="CL153" s="1585"/>
      <c r="CM153" s="1585"/>
      <c r="CN153" s="1585"/>
      <c r="CO153" s="1585"/>
      <c r="CP153" s="1585"/>
      <c r="CQ153" s="1585"/>
      <c r="CR153" s="1585"/>
      <c r="CS153" s="1585"/>
      <c r="CT153" s="1585"/>
      <c r="CU153" s="1585"/>
      <c r="CV153" s="1585"/>
      <c r="CW153" s="1585"/>
      <c r="CX153" s="1585"/>
      <c r="CY153" s="1585"/>
      <c r="CZ153" s="1585"/>
    </row>
    <row r="154" spans="1:104">
      <c r="A154" s="1466"/>
      <c r="B154" s="1583"/>
      <c r="C154" s="1583"/>
      <c r="D154" s="1583"/>
      <c r="E154" s="1585"/>
      <c r="F154" s="1585"/>
      <c r="G154" s="1585"/>
      <c r="H154" s="1585"/>
      <c r="I154" s="1585"/>
      <c r="J154" s="1585"/>
      <c r="K154" s="1585"/>
      <c r="L154" s="1585"/>
      <c r="M154" s="1585"/>
      <c r="N154" s="1585"/>
      <c r="O154" s="1585"/>
      <c r="P154" s="1585"/>
      <c r="Q154" s="1585"/>
      <c r="R154" s="1585"/>
      <c r="S154" s="1585"/>
      <c r="T154" s="1585"/>
      <c r="U154" s="1585"/>
      <c r="V154" s="1585"/>
      <c r="W154" s="1585"/>
      <c r="X154" s="1585"/>
      <c r="Y154" s="1585"/>
      <c r="Z154" s="1585"/>
      <c r="AA154" s="1585"/>
      <c r="AB154" s="1585"/>
      <c r="AC154" s="1585"/>
      <c r="AD154" s="1585"/>
      <c r="AE154" s="1585"/>
      <c r="AF154" s="1585"/>
      <c r="AG154" s="1585"/>
      <c r="AH154" s="1585"/>
      <c r="AI154" s="1585"/>
      <c r="AJ154" s="1585"/>
      <c r="AK154" s="1585"/>
      <c r="AL154" s="1585"/>
      <c r="AM154" s="1585"/>
      <c r="AN154" s="1585"/>
      <c r="AO154" s="1585"/>
      <c r="AP154" s="1585"/>
      <c r="AQ154" s="1585"/>
      <c r="AR154" s="1585"/>
      <c r="AS154" s="1585"/>
      <c r="AT154" s="1585"/>
      <c r="AU154" s="1585"/>
      <c r="AV154" s="1585"/>
      <c r="AW154" s="1585"/>
      <c r="AX154" s="1585"/>
      <c r="AY154" s="1585"/>
      <c r="AZ154" s="1585"/>
      <c r="BA154" s="1585"/>
      <c r="BB154" s="1585"/>
      <c r="BC154" s="1585"/>
      <c r="BD154" s="1585"/>
      <c r="BE154" s="1585"/>
      <c r="BF154" s="1585"/>
      <c r="BG154" s="1585"/>
      <c r="BH154" s="1585"/>
      <c r="BI154" s="1585"/>
      <c r="BJ154" s="1585"/>
      <c r="BK154" s="1585"/>
      <c r="BL154" s="1585"/>
      <c r="BM154" s="1585"/>
      <c r="BN154" s="1585"/>
      <c r="BO154" s="1585"/>
      <c r="BP154" s="1585"/>
      <c r="BQ154" s="1585"/>
      <c r="BR154" s="1585"/>
      <c r="BS154" s="1585"/>
      <c r="BT154" s="1585"/>
      <c r="BU154" s="1585"/>
      <c r="BV154" s="1585"/>
      <c r="BW154" s="1585"/>
      <c r="BX154" s="1585"/>
      <c r="BY154" s="1585"/>
      <c r="BZ154" s="1585"/>
      <c r="CA154" s="1585"/>
      <c r="CB154" s="1585"/>
      <c r="CC154" s="1585"/>
      <c r="CD154" s="1585"/>
      <c r="CE154" s="1585"/>
      <c r="CF154" s="1585"/>
      <c r="CG154" s="1585"/>
      <c r="CH154" s="1585"/>
      <c r="CI154" s="1585"/>
      <c r="CJ154" s="1585"/>
      <c r="CK154" s="1585"/>
      <c r="CL154" s="1585"/>
      <c r="CM154" s="1585"/>
      <c r="CN154" s="1585"/>
      <c r="CO154" s="1585"/>
      <c r="CP154" s="1585"/>
      <c r="CQ154" s="1585"/>
      <c r="CR154" s="1585"/>
      <c r="CS154" s="1585"/>
      <c r="CT154" s="1585"/>
      <c r="CU154" s="1585"/>
      <c r="CV154" s="1585"/>
      <c r="CW154" s="1585"/>
      <c r="CX154" s="1585"/>
      <c r="CY154" s="1585"/>
      <c r="CZ154" s="1585"/>
    </row>
    <row r="155" spans="1:104">
      <c r="A155" s="1466"/>
      <c r="B155" s="1583"/>
      <c r="C155" s="1583"/>
      <c r="D155" s="1583"/>
      <c r="E155" s="1585"/>
      <c r="F155" s="1585"/>
      <c r="G155" s="1585"/>
      <c r="H155" s="1585"/>
      <c r="I155" s="1585"/>
      <c r="J155" s="1585"/>
      <c r="K155" s="1585"/>
      <c r="L155" s="1585"/>
      <c r="M155" s="1585"/>
      <c r="N155" s="1585"/>
      <c r="O155" s="1585"/>
      <c r="P155" s="1585"/>
      <c r="Q155" s="1585"/>
      <c r="R155" s="1585"/>
      <c r="S155" s="1585"/>
      <c r="T155" s="1585"/>
      <c r="U155" s="1585"/>
      <c r="V155" s="1585"/>
      <c r="W155" s="1585"/>
      <c r="X155" s="1585"/>
      <c r="Y155" s="1585"/>
      <c r="Z155" s="1585"/>
      <c r="AA155" s="1585"/>
      <c r="AB155" s="1585"/>
      <c r="AC155" s="1585"/>
      <c r="AD155" s="1585"/>
      <c r="AE155" s="1585"/>
      <c r="AF155" s="1585"/>
      <c r="AG155" s="1585"/>
      <c r="AH155" s="1585"/>
      <c r="AI155" s="1585"/>
      <c r="AJ155" s="1585"/>
      <c r="AK155" s="1585"/>
      <c r="AL155" s="1585"/>
      <c r="AM155" s="1585"/>
      <c r="AN155" s="1585"/>
      <c r="AO155" s="1585"/>
      <c r="AP155" s="1585"/>
      <c r="AQ155" s="1585"/>
      <c r="AR155" s="1585"/>
      <c r="AS155" s="1585"/>
      <c r="AT155" s="1585"/>
      <c r="AU155" s="1585"/>
      <c r="AV155" s="1585"/>
      <c r="AW155" s="1585"/>
      <c r="AX155" s="1585"/>
      <c r="AY155" s="1585"/>
      <c r="AZ155" s="1585"/>
      <c r="BA155" s="1585"/>
      <c r="BB155" s="1585"/>
      <c r="BC155" s="1585"/>
      <c r="BD155" s="1585"/>
      <c r="BE155" s="1585"/>
      <c r="BF155" s="1585"/>
      <c r="BG155" s="1585"/>
      <c r="BH155" s="1585"/>
      <c r="BI155" s="1585"/>
      <c r="BJ155" s="1585"/>
      <c r="BK155" s="1585"/>
      <c r="BL155" s="1585"/>
      <c r="BM155" s="1585"/>
      <c r="BN155" s="1585"/>
      <c r="BO155" s="1585"/>
      <c r="BP155" s="1585"/>
      <c r="BQ155" s="1585"/>
      <c r="BR155" s="1585"/>
      <c r="BS155" s="1585"/>
      <c r="BT155" s="1585"/>
      <c r="BU155" s="1585"/>
      <c r="BV155" s="1585"/>
      <c r="BW155" s="1585"/>
      <c r="BX155" s="1585"/>
      <c r="BY155" s="1585"/>
      <c r="BZ155" s="1585"/>
      <c r="CA155" s="1585"/>
      <c r="CB155" s="1585"/>
      <c r="CC155" s="1585"/>
      <c r="CD155" s="1585"/>
      <c r="CE155" s="1585"/>
      <c r="CF155" s="1585"/>
      <c r="CG155" s="1585"/>
      <c r="CH155" s="1585"/>
      <c r="CI155" s="1585"/>
      <c r="CJ155" s="1585"/>
      <c r="CK155" s="1585"/>
      <c r="CL155" s="1585"/>
      <c r="CM155" s="1585"/>
      <c r="CN155" s="1585"/>
      <c r="CO155" s="1585"/>
      <c r="CP155" s="1585"/>
      <c r="CQ155" s="1585"/>
      <c r="CR155" s="1585"/>
      <c r="CS155" s="1585"/>
      <c r="CT155" s="1585"/>
      <c r="CU155" s="1585"/>
      <c r="CV155" s="1585"/>
      <c r="CW155" s="1585"/>
      <c r="CX155" s="1585"/>
      <c r="CY155" s="1585"/>
      <c r="CZ155" s="1585"/>
    </row>
    <row r="156" spans="1:104">
      <c r="A156" s="1466"/>
      <c r="B156" s="1583"/>
      <c r="C156" s="1583"/>
      <c r="D156" s="1583"/>
      <c r="E156" s="1585"/>
      <c r="F156" s="1585"/>
      <c r="G156" s="1585"/>
      <c r="H156" s="1585"/>
      <c r="I156" s="1585"/>
      <c r="J156" s="1585"/>
      <c r="K156" s="1585"/>
      <c r="L156" s="1585"/>
      <c r="M156" s="1585"/>
      <c r="N156" s="1585"/>
      <c r="O156" s="1585"/>
      <c r="P156" s="1585"/>
      <c r="Q156" s="1585"/>
      <c r="R156" s="1585"/>
      <c r="S156" s="1585"/>
      <c r="T156" s="1585"/>
      <c r="U156" s="1585"/>
      <c r="V156" s="1585"/>
      <c r="W156" s="1585"/>
      <c r="X156" s="1585"/>
      <c r="Y156" s="1585"/>
      <c r="Z156" s="1585"/>
      <c r="AA156" s="1585"/>
      <c r="AB156" s="1585"/>
      <c r="AC156" s="1585"/>
      <c r="AD156" s="1585"/>
      <c r="AE156" s="1585"/>
      <c r="AF156" s="1585"/>
      <c r="AG156" s="1585"/>
      <c r="AH156" s="1585"/>
      <c r="AI156" s="1585"/>
      <c r="AJ156" s="1585"/>
      <c r="AK156" s="1585"/>
      <c r="AL156" s="1585"/>
      <c r="AM156" s="1585"/>
      <c r="AN156" s="1585"/>
      <c r="AO156" s="1585"/>
      <c r="AP156" s="1585"/>
      <c r="AQ156" s="1585"/>
      <c r="AR156" s="1585"/>
      <c r="AS156" s="1585"/>
      <c r="AT156" s="1585"/>
      <c r="AU156" s="1585"/>
      <c r="AV156" s="1585"/>
      <c r="AW156" s="1585"/>
      <c r="AX156" s="1585"/>
      <c r="AY156" s="1585"/>
      <c r="AZ156" s="1585"/>
      <c r="BA156" s="1585"/>
      <c r="BB156" s="1585"/>
      <c r="BC156" s="1585"/>
      <c r="BD156" s="1585"/>
      <c r="BE156" s="1585"/>
      <c r="BF156" s="1585"/>
      <c r="BG156" s="1585"/>
      <c r="BH156" s="1585"/>
      <c r="BI156" s="1585"/>
      <c r="BJ156" s="1585"/>
      <c r="BK156" s="1585"/>
      <c r="BL156" s="1585"/>
      <c r="BM156" s="1585"/>
      <c r="BN156" s="1585"/>
      <c r="BO156" s="1585"/>
      <c r="BP156" s="1585"/>
      <c r="BQ156" s="1585"/>
      <c r="BR156" s="1585"/>
      <c r="BS156" s="1585"/>
      <c r="BT156" s="1585"/>
      <c r="BU156" s="1585"/>
      <c r="BV156" s="1585"/>
      <c r="BW156" s="1585"/>
      <c r="BX156" s="1585"/>
      <c r="BY156" s="1585"/>
      <c r="BZ156" s="1585"/>
      <c r="CA156" s="1585"/>
      <c r="CB156" s="1585"/>
      <c r="CC156" s="1585"/>
      <c r="CD156" s="1585"/>
      <c r="CE156" s="1585"/>
      <c r="CF156" s="1585"/>
      <c r="CG156" s="1585"/>
      <c r="CH156" s="1585"/>
      <c r="CI156" s="1585"/>
      <c r="CJ156" s="1585"/>
      <c r="CK156" s="1585"/>
      <c r="CL156" s="1585"/>
      <c r="CM156" s="1585"/>
      <c r="CN156" s="1585"/>
      <c r="CO156" s="1585"/>
      <c r="CP156" s="1585"/>
      <c r="CQ156" s="1585"/>
      <c r="CR156" s="1585"/>
      <c r="CS156" s="1585"/>
      <c r="CT156" s="1585"/>
      <c r="CU156" s="1585"/>
      <c r="CV156" s="1585"/>
      <c r="CW156" s="1585"/>
      <c r="CX156" s="1585"/>
      <c r="CY156" s="1585"/>
      <c r="CZ156" s="1585"/>
    </row>
    <row r="157" spans="1:104">
      <c r="A157" s="1466"/>
      <c r="B157" s="1583"/>
      <c r="C157" s="1583"/>
      <c r="D157" s="1583"/>
      <c r="E157" s="1585"/>
      <c r="F157" s="1585"/>
      <c r="G157" s="1585"/>
      <c r="H157" s="1585"/>
      <c r="I157" s="1585"/>
      <c r="J157" s="1585"/>
      <c r="K157" s="1585"/>
      <c r="L157" s="1585"/>
      <c r="M157" s="1585"/>
      <c r="N157" s="1585"/>
      <c r="O157" s="1585"/>
      <c r="P157" s="1585"/>
      <c r="Q157" s="1585"/>
      <c r="R157" s="1585"/>
      <c r="S157" s="1585"/>
      <c r="T157" s="1585"/>
      <c r="U157" s="1585"/>
      <c r="V157" s="1585"/>
      <c r="W157" s="1585"/>
      <c r="X157" s="1585"/>
      <c r="Y157" s="1585"/>
      <c r="Z157" s="1585"/>
      <c r="AA157" s="1585"/>
      <c r="AB157" s="1585"/>
      <c r="AC157" s="1585"/>
      <c r="AD157" s="1585"/>
      <c r="AE157" s="1585"/>
      <c r="AF157" s="1585"/>
      <c r="AG157" s="1585"/>
      <c r="AH157" s="1585"/>
      <c r="AI157" s="1585"/>
      <c r="AJ157" s="1585"/>
      <c r="AK157" s="1585"/>
      <c r="AL157" s="1585"/>
      <c r="AM157" s="1585"/>
      <c r="AN157" s="1585"/>
      <c r="AO157" s="1585"/>
      <c r="AP157" s="1585"/>
      <c r="AQ157" s="1585"/>
      <c r="AR157" s="1585"/>
      <c r="AS157" s="1585"/>
      <c r="AT157" s="1585"/>
      <c r="AU157" s="1585"/>
      <c r="AV157" s="1585"/>
      <c r="AW157" s="1585"/>
      <c r="AX157" s="1585"/>
      <c r="AY157" s="1585"/>
      <c r="AZ157" s="1585"/>
      <c r="BA157" s="1585"/>
      <c r="BB157" s="1585"/>
      <c r="BC157" s="1585"/>
      <c r="BD157" s="1585"/>
      <c r="BE157" s="1585"/>
      <c r="BF157" s="1585"/>
      <c r="BG157" s="1585"/>
      <c r="BH157" s="1585"/>
      <c r="BI157" s="1585"/>
      <c r="BJ157" s="1585"/>
      <c r="BK157" s="1585"/>
      <c r="BL157" s="1585"/>
      <c r="BM157" s="1585"/>
      <c r="BN157" s="1585"/>
      <c r="BO157" s="1585"/>
      <c r="BP157" s="1585"/>
      <c r="BQ157" s="1585"/>
      <c r="BR157" s="1585"/>
      <c r="BS157" s="1585"/>
      <c r="BT157" s="1585"/>
      <c r="BU157" s="1585"/>
      <c r="BV157" s="1585"/>
      <c r="BW157" s="1585"/>
      <c r="BX157" s="1585"/>
      <c r="BY157" s="1585"/>
      <c r="BZ157" s="1585"/>
      <c r="CA157" s="1585"/>
      <c r="CB157" s="1585"/>
      <c r="CC157" s="1585"/>
      <c r="CD157" s="1585"/>
      <c r="CE157" s="1585"/>
      <c r="CF157" s="1585"/>
      <c r="CG157" s="1585"/>
      <c r="CH157" s="1585"/>
      <c r="CI157" s="1585"/>
      <c r="CJ157" s="1585"/>
      <c r="CK157" s="1585"/>
      <c r="CL157" s="1585"/>
      <c r="CM157" s="1585"/>
      <c r="CN157" s="1585"/>
      <c r="CO157" s="1585"/>
      <c r="CP157" s="1585"/>
      <c r="CQ157" s="1585"/>
      <c r="CR157" s="1585"/>
      <c r="CS157" s="1585"/>
      <c r="CT157" s="1585"/>
      <c r="CU157" s="1585"/>
      <c r="CV157" s="1585"/>
      <c r="CW157" s="1585"/>
      <c r="CX157" s="1585"/>
      <c r="CY157" s="1585"/>
      <c r="CZ157" s="1585"/>
    </row>
    <row r="158" spans="1:104">
      <c r="A158" s="1466"/>
      <c r="B158" s="1583"/>
      <c r="C158" s="1583"/>
      <c r="D158" s="1583"/>
      <c r="E158" s="1585"/>
      <c r="F158" s="1585"/>
      <c r="G158" s="1585"/>
      <c r="H158" s="1585"/>
      <c r="I158" s="1585"/>
      <c r="J158" s="1585"/>
      <c r="K158" s="1585"/>
      <c r="L158" s="1585"/>
      <c r="M158" s="1585"/>
      <c r="N158" s="1585"/>
      <c r="O158" s="1585"/>
      <c r="P158" s="1585"/>
      <c r="Q158" s="1585"/>
      <c r="R158" s="1585"/>
      <c r="S158" s="1585"/>
      <c r="T158" s="1585"/>
      <c r="U158" s="1585"/>
      <c r="V158" s="1585"/>
      <c r="W158" s="1585"/>
      <c r="X158" s="1585"/>
      <c r="Y158" s="1585"/>
      <c r="Z158" s="1585"/>
      <c r="AA158" s="1585"/>
      <c r="AB158" s="1585"/>
      <c r="AC158" s="1585"/>
      <c r="AD158" s="1585"/>
      <c r="AE158" s="1585"/>
      <c r="AF158" s="1585"/>
      <c r="AG158" s="1585"/>
      <c r="AH158" s="1585"/>
      <c r="AI158" s="1585"/>
      <c r="AJ158" s="1585"/>
      <c r="AK158" s="1585"/>
      <c r="AL158" s="1585"/>
      <c r="AM158" s="1585"/>
      <c r="AN158" s="1585"/>
      <c r="AO158" s="1585"/>
      <c r="AP158" s="1585"/>
      <c r="AQ158" s="1585"/>
      <c r="AR158" s="1585"/>
      <c r="AS158" s="1585"/>
      <c r="AT158" s="1585"/>
      <c r="AU158" s="1585"/>
      <c r="AV158" s="1585"/>
      <c r="AW158" s="1585"/>
      <c r="AX158" s="1585"/>
      <c r="AY158" s="1585"/>
      <c r="AZ158" s="1585"/>
      <c r="BA158" s="1585"/>
      <c r="BB158" s="1585"/>
      <c r="BC158" s="1585"/>
      <c r="BD158" s="1585"/>
      <c r="BE158" s="1585"/>
      <c r="BF158" s="1585"/>
      <c r="BG158" s="1585"/>
      <c r="BH158" s="1585"/>
      <c r="BI158" s="1585"/>
      <c r="BJ158" s="1585"/>
      <c r="BK158" s="1585"/>
      <c r="BL158" s="1585"/>
      <c r="BM158" s="1585"/>
      <c r="BN158" s="1585"/>
      <c r="BO158" s="1585"/>
      <c r="BP158" s="1585"/>
      <c r="BQ158" s="1585"/>
      <c r="BR158" s="1585"/>
      <c r="BS158" s="1585"/>
      <c r="BT158" s="1585"/>
      <c r="BU158" s="1585"/>
      <c r="BV158" s="1585"/>
      <c r="BW158" s="1585"/>
      <c r="BX158" s="1585"/>
      <c r="BY158" s="1585"/>
      <c r="BZ158" s="1585"/>
      <c r="CA158" s="1585"/>
      <c r="CB158" s="1585"/>
      <c r="CC158" s="1585"/>
      <c r="CD158" s="1585"/>
      <c r="CE158" s="1585"/>
      <c r="CF158" s="1585"/>
      <c r="CG158" s="1585"/>
      <c r="CH158" s="1585"/>
      <c r="CI158" s="1585"/>
      <c r="CJ158" s="1585"/>
      <c r="CK158" s="1585"/>
      <c r="CL158" s="1585"/>
      <c r="CM158" s="1585"/>
      <c r="CN158" s="1585"/>
      <c r="CO158" s="1585"/>
      <c r="CP158" s="1585"/>
      <c r="CQ158" s="1585"/>
      <c r="CR158" s="1585"/>
      <c r="CS158" s="1585"/>
      <c r="CT158" s="1585"/>
      <c r="CU158" s="1585"/>
      <c r="CV158" s="1585"/>
      <c r="CW158" s="1585"/>
      <c r="CX158" s="1585"/>
      <c r="CY158" s="1585"/>
      <c r="CZ158" s="1585"/>
    </row>
    <row r="159" spans="1:104">
      <c r="A159" s="1466"/>
      <c r="B159" s="1583"/>
      <c r="C159" s="1583"/>
      <c r="D159" s="1583"/>
      <c r="E159" s="1585"/>
      <c r="F159" s="1585"/>
      <c r="G159" s="1585"/>
      <c r="H159" s="1585"/>
      <c r="I159" s="1585"/>
      <c r="J159" s="1585"/>
      <c r="K159" s="1585"/>
      <c r="L159" s="1585"/>
      <c r="M159" s="1585"/>
      <c r="N159" s="1585"/>
      <c r="O159" s="1585"/>
      <c r="P159" s="1585"/>
      <c r="Q159" s="1585"/>
      <c r="R159" s="1585"/>
      <c r="S159" s="1585"/>
      <c r="T159" s="1585"/>
      <c r="U159" s="1585"/>
      <c r="V159" s="1585"/>
      <c r="W159" s="1585"/>
      <c r="X159" s="1585"/>
      <c r="Y159" s="1585"/>
      <c r="Z159" s="1585"/>
      <c r="AA159" s="1585"/>
      <c r="AB159" s="1585"/>
      <c r="AC159" s="1585"/>
      <c r="AD159" s="1585"/>
      <c r="AE159" s="1585"/>
      <c r="AF159" s="1585"/>
      <c r="AG159" s="1585"/>
      <c r="AH159" s="1585"/>
      <c r="AI159" s="1585"/>
      <c r="AJ159" s="1585"/>
      <c r="AK159" s="1585"/>
      <c r="AL159" s="1585"/>
      <c r="AM159" s="1585"/>
      <c r="AN159" s="1585"/>
      <c r="AO159" s="1585"/>
      <c r="AP159" s="1585"/>
      <c r="AQ159" s="1585"/>
      <c r="AR159" s="1585"/>
      <c r="AS159" s="1585"/>
      <c r="AT159" s="1585"/>
      <c r="AU159" s="1585"/>
      <c r="AV159" s="1585"/>
      <c r="AW159" s="1585"/>
      <c r="AX159" s="1585"/>
      <c r="AY159" s="1585"/>
      <c r="AZ159" s="1585"/>
      <c r="BA159" s="1585"/>
      <c r="BB159" s="1585"/>
      <c r="BC159" s="1585"/>
      <c r="BD159" s="1585"/>
      <c r="BE159" s="1585"/>
      <c r="BF159" s="1585"/>
      <c r="BG159" s="1585"/>
      <c r="BH159" s="1585"/>
      <c r="BI159" s="1585"/>
      <c r="BJ159" s="1585"/>
      <c r="BK159" s="1585"/>
      <c r="BL159" s="1585"/>
      <c r="BM159" s="1585"/>
      <c r="BN159" s="1585"/>
      <c r="BO159" s="1585"/>
      <c r="BP159" s="1585"/>
      <c r="BQ159" s="1585"/>
      <c r="BR159" s="1585"/>
      <c r="BS159" s="1585"/>
      <c r="BT159" s="1585"/>
      <c r="BU159" s="1585"/>
      <c r="BV159" s="1585"/>
      <c r="BW159" s="1585"/>
      <c r="BX159" s="1585"/>
      <c r="BY159" s="1585"/>
      <c r="BZ159" s="1585"/>
      <c r="CA159" s="1585"/>
      <c r="CB159" s="1585"/>
      <c r="CC159" s="1585"/>
      <c r="CD159" s="1585"/>
      <c r="CE159" s="1585"/>
      <c r="CF159" s="1585"/>
      <c r="CG159" s="1585"/>
      <c r="CH159" s="1585"/>
      <c r="CI159" s="1585"/>
      <c r="CJ159" s="1585"/>
      <c r="CK159" s="1585"/>
      <c r="CL159" s="1585"/>
      <c r="CM159" s="1585"/>
      <c r="CN159" s="1585"/>
      <c r="CO159" s="1585"/>
      <c r="CP159" s="1585"/>
      <c r="CQ159" s="1585"/>
      <c r="CR159" s="1585"/>
      <c r="CS159" s="1585"/>
      <c r="CT159" s="1585"/>
      <c r="CU159" s="1585"/>
      <c r="CV159" s="1585"/>
      <c r="CW159" s="1585"/>
      <c r="CX159" s="1585"/>
      <c r="CY159" s="1585"/>
      <c r="CZ159" s="1585"/>
    </row>
    <row r="160" spans="1:104">
      <c r="A160" s="1466"/>
      <c r="B160" s="1583"/>
      <c r="C160" s="1583"/>
      <c r="D160" s="1583"/>
      <c r="E160" s="1585"/>
      <c r="F160" s="1585"/>
      <c r="G160" s="1585"/>
      <c r="H160" s="1585"/>
      <c r="I160" s="1585"/>
      <c r="J160" s="1585"/>
      <c r="K160" s="1585"/>
      <c r="L160" s="1585"/>
      <c r="M160" s="1585"/>
      <c r="N160" s="1585"/>
      <c r="O160" s="1585"/>
      <c r="P160" s="1585"/>
      <c r="Q160" s="1585"/>
      <c r="R160" s="1585"/>
      <c r="S160" s="1585"/>
      <c r="T160" s="1585"/>
      <c r="U160" s="1585"/>
      <c r="V160" s="1585"/>
      <c r="W160" s="1585"/>
      <c r="X160" s="1585"/>
      <c r="Y160" s="1585"/>
      <c r="Z160" s="1585"/>
      <c r="AA160" s="1585"/>
      <c r="AB160" s="1585"/>
      <c r="AC160" s="1585"/>
      <c r="AD160" s="1585"/>
      <c r="AE160" s="1585"/>
      <c r="AF160" s="1585"/>
      <c r="AG160" s="1585"/>
      <c r="AH160" s="1585"/>
      <c r="AI160" s="1585"/>
      <c r="AJ160" s="1585"/>
      <c r="AK160" s="1585"/>
      <c r="AL160" s="1585"/>
      <c r="AM160" s="1585"/>
      <c r="AN160" s="1585"/>
      <c r="AO160" s="1585"/>
      <c r="AP160" s="1585"/>
      <c r="AQ160" s="1585"/>
      <c r="AR160" s="1585"/>
      <c r="AS160" s="1585"/>
      <c r="AT160" s="1585"/>
      <c r="AU160" s="1585"/>
      <c r="AV160" s="1585"/>
      <c r="AW160" s="1585"/>
      <c r="AX160" s="1585"/>
      <c r="AY160" s="1585"/>
      <c r="AZ160" s="1585"/>
      <c r="BA160" s="1585"/>
      <c r="BB160" s="1585"/>
      <c r="BC160" s="1585"/>
      <c r="BD160" s="1585"/>
      <c r="BE160" s="1585"/>
      <c r="BF160" s="1585"/>
      <c r="BG160" s="1585"/>
      <c r="BH160" s="1585"/>
      <c r="BI160" s="1585"/>
      <c r="BJ160" s="1585"/>
      <c r="BK160" s="1585"/>
      <c r="BL160" s="1585"/>
      <c r="BM160" s="1585"/>
      <c r="BN160" s="1585"/>
      <c r="BO160" s="1585"/>
      <c r="BP160" s="1585"/>
      <c r="BQ160" s="1585"/>
      <c r="BR160" s="1585"/>
      <c r="BS160" s="1585"/>
      <c r="BT160" s="1585"/>
      <c r="BU160" s="1585"/>
      <c r="BV160" s="1585"/>
      <c r="BW160" s="1585"/>
      <c r="BX160" s="1585"/>
      <c r="BY160" s="1585"/>
      <c r="BZ160" s="1585"/>
      <c r="CA160" s="1585"/>
      <c r="CB160" s="1585"/>
      <c r="CC160" s="1585"/>
      <c r="CD160" s="1585"/>
      <c r="CE160" s="1585"/>
      <c r="CF160" s="1585"/>
      <c r="CG160" s="1585"/>
      <c r="CH160" s="1585"/>
      <c r="CI160" s="1585"/>
      <c r="CJ160" s="1585"/>
      <c r="CK160" s="1585"/>
      <c r="CL160" s="1585"/>
      <c r="CM160" s="1585"/>
      <c r="CN160" s="1585"/>
      <c r="CO160" s="1585"/>
      <c r="CP160" s="1585"/>
      <c r="CQ160" s="1585"/>
      <c r="CR160" s="1585"/>
      <c r="CS160" s="1585"/>
      <c r="CT160" s="1585"/>
      <c r="CU160" s="1585"/>
      <c r="CV160" s="1585"/>
      <c r="CW160" s="1585"/>
      <c r="CX160" s="1585"/>
      <c r="CY160" s="1585"/>
      <c r="CZ160" s="1585"/>
    </row>
    <row r="161" spans="1:104">
      <c r="A161" s="1466"/>
      <c r="B161" s="1583"/>
      <c r="C161" s="1583"/>
      <c r="D161" s="1583"/>
      <c r="E161" s="1585"/>
      <c r="F161" s="1585"/>
      <c r="G161" s="1585"/>
      <c r="H161" s="1585"/>
      <c r="I161" s="1585"/>
      <c r="J161" s="1585"/>
      <c r="K161" s="1585"/>
      <c r="L161" s="1585"/>
      <c r="M161" s="1585"/>
      <c r="N161" s="1585"/>
      <c r="O161" s="1585"/>
      <c r="P161" s="1585"/>
      <c r="Q161" s="1585"/>
      <c r="R161" s="1585"/>
      <c r="S161" s="1585"/>
      <c r="T161" s="1585"/>
      <c r="U161" s="1585"/>
      <c r="V161" s="1585"/>
      <c r="W161" s="1585"/>
      <c r="X161" s="1585"/>
      <c r="Y161" s="1585"/>
      <c r="Z161" s="1585"/>
      <c r="AA161" s="1585"/>
      <c r="AB161" s="1585"/>
      <c r="AC161" s="1585"/>
      <c r="AD161" s="1585"/>
      <c r="AE161" s="1585"/>
      <c r="AF161" s="1585"/>
      <c r="AG161" s="1585"/>
      <c r="AH161" s="1585"/>
      <c r="AI161" s="1585"/>
      <c r="AJ161" s="1585"/>
      <c r="AK161" s="1585"/>
      <c r="AL161" s="1585"/>
      <c r="AM161" s="1585"/>
      <c r="AN161" s="1585"/>
      <c r="AO161" s="1585"/>
      <c r="AP161" s="1585"/>
      <c r="AQ161" s="1585"/>
      <c r="AR161" s="1585"/>
      <c r="AS161" s="1585"/>
      <c r="AT161" s="1585"/>
      <c r="AU161" s="1585"/>
      <c r="AV161" s="1585"/>
      <c r="AW161" s="1585"/>
      <c r="AX161" s="1585"/>
      <c r="AY161" s="1585"/>
      <c r="AZ161" s="1585"/>
      <c r="BA161" s="1585"/>
      <c r="BB161" s="1585"/>
      <c r="BC161" s="1585"/>
      <c r="BD161" s="1585"/>
      <c r="BE161" s="1585"/>
      <c r="BF161" s="1585"/>
      <c r="BG161" s="1585"/>
      <c r="BH161" s="1585"/>
      <c r="BI161" s="1585"/>
      <c r="BJ161" s="1585"/>
      <c r="BK161" s="1585"/>
      <c r="BL161" s="1585"/>
      <c r="BM161" s="1585"/>
      <c r="BN161" s="1585"/>
      <c r="BO161" s="1585"/>
      <c r="BP161" s="1585"/>
      <c r="BQ161" s="1585"/>
      <c r="BR161" s="1585"/>
      <c r="BS161" s="1585"/>
      <c r="BT161" s="1585"/>
      <c r="BU161" s="1585"/>
      <c r="BV161" s="1585"/>
      <c r="BW161" s="1585"/>
      <c r="BX161" s="1585"/>
      <c r="BY161" s="1585"/>
      <c r="BZ161" s="1585"/>
      <c r="CA161" s="1585"/>
      <c r="CB161" s="1585"/>
      <c r="CC161" s="1585"/>
      <c r="CD161" s="1585"/>
      <c r="CE161" s="1585"/>
      <c r="CF161" s="1585"/>
      <c r="CG161" s="1585"/>
      <c r="CH161" s="1585"/>
      <c r="CI161" s="1585"/>
      <c r="CJ161" s="1585"/>
      <c r="CK161" s="1585"/>
      <c r="CL161" s="1585"/>
      <c r="CM161" s="1585"/>
      <c r="CN161" s="1585"/>
      <c r="CO161" s="1585"/>
      <c r="CP161" s="1585"/>
      <c r="CQ161" s="1585"/>
      <c r="CR161" s="1585"/>
      <c r="CS161" s="1585"/>
      <c r="CT161" s="1585"/>
      <c r="CU161" s="1585"/>
      <c r="CV161" s="1585"/>
      <c r="CW161" s="1585"/>
      <c r="CX161" s="1585"/>
      <c r="CY161" s="1585"/>
      <c r="CZ161" s="1585"/>
    </row>
    <row r="162" spans="1:104">
      <c r="A162" s="1466"/>
      <c r="B162" s="1583"/>
      <c r="C162" s="1583"/>
      <c r="D162" s="1583"/>
      <c r="E162" s="1585"/>
      <c r="F162" s="1585"/>
      <c r="G162" s="1585"/>
      <c r="H162" s="1585"/>
      <c r="I162" s="1585"/>
      <c r="J162" s="1585"/>
      <c r="K162" s="1585"/>
      <c r="L162" s="1585"/>
      <c r="M162" s="1585"/>
      <c r="N162" s="1585"/>
      <c r="O162" s="1585"/>
      <c r="P162" s="1585"/>
      <c r="Q162" s="1585"/>
      <c r="R162" s="1585"/>
      <c r="S162" s="1585"/>
      <c r="T162" s="1585"/>
      <c r="U162" s="1585"/>
      <c r="V162" s="1585"/>
      <c r="W162" s="1585"/>
      <c r="X162" s="1585"/>
      <c r="Y162" s="1585"/>
      <c r="Z162" s="1585"/>
      <c r="AA162" s="1585"/>
      <c r="AB162" s="1585"/>
      <c r="AC162" s="1585"/>
      <c r="AD162" s="1585"/>
      <c r="AE162" s="1585"/>
      <c r="AF162" s="1585"/>
      <c r="AG162" s="1585"/>
      <c r="AH162" s="1585"/>
      <c r="AI162" s="1585"/>
      <c r="AJ162" s="1585"/>
      <c r="AK162" s="1585"/>
      <c r="AL162" s="1585"/>
      <c r="AM162" s="1585"/>
      <c r="AN162" s="1585"/>
      <c r="AO162" s="1585"/>
      <c r="AP162" s="1585"/>
      <c r="AQ162" s="1585"/>
      <c r="AR162" s="1585"/>
      <c r="AS162" s="1585"/>
      <c r="AT162" s="1585"/>
      <c r="AU162" s="1585"/>
      <c r="AV162" s="1585"/>
      <c r="AW162" s="1585"/>
      <c r="AX162" s="1585"/>
      <c r="AY162" s="1585"/>
      <c r="AZ162" s="1585"/>
      <c r="BA162" s="1585"/>
      <c r="BB162" s="1585"/>
      <c r="BC162" s="1585"/>
      <c r="BD162" s="1585"/>
      <c r="BE162" s="1585"/>
      <c r="BF162" s="1585"/>
      <c r="BG162" s="1585"/>
      <c r="BH162" s="1585"/>
      <c r="BI162" s="1585"/>
      <c r="BJ162" s="1585"/>
      <c r="BK162" s="1585"/>
      <c r="BL162" s="1585"/>
      <c r="BM162" s="1585"/>
      <c r="BN162" s="1585"/>
      <c r="BO162" s="1585"/>
      <c r="BP162" s="1585"/>
      <c r="BQ162" s="1585"/>
      <c r="BR162" s="1585"/>
      <c r="BS162" s="1585"/>
      <c r="BT162" s="1585"/>
      <c r="BU162" s="1585"/>
      <c r="BV162" s="1585"/>
      <c r="BW162" s="1585"/>
      <c r="BX162" s="1585"/>
      <c r="BY162" s="1585"/>
      <c r="BZ162" s="1585"/>
      <c r="CA162" s="1585"/>
      <c r="CB162" s="1585"/>
      <c r="CC162" s="1585"/>
      <c r="CD162" s="1585"/>
      <c r="CE162" s="1585"/>
      <c r="CF162" s="1585"/>
      <c r="CG162" s="1585"/>
      <c r="CH162" s="1585"/>
      <c r="CI162" s="1585"/>
      <c r="CJ162" s="1585"/>
      <c r="CK162" s="1585"/>
      <c r="CL162" s="1585"/>
      <c r="CM162" s="1585"/>
      <c r="CN162" s="1585"/>
      <c r="CO162" s="1585"/>
      <c r="CP162" s="1585"/>
      <c r="CQ162" s="1585"/>
      <c r="CR162" s="1585"/>
      <c r="CS162" s="1585"/>
      <c r="CT162" s="1585"/>
      <c r="CU162" s="1585"/>
      <c r="CV162" s="1585"/>
      <c r="CW162" s="1585"/>
      <c r="CX162" s="1585"/>
      <c r="CY162" s="1585"/>
      <c r="CZ162" s="1585"/>
    </row>
    <row r="163" spans="1:104">
      <c r="A163" s="1466"/>
      <c r="B163" s="1583"/>
      <c r="C163" s="1583"/>
      <c r="D163" s="1583"/>
      <c r="E163" s="1585"/>
      <c r="F163" s="1585"/>
      <c r="G163" s="1585"/>
      <c r="H163" s="1585"/>
      <c r="I163" s="1585"/>
      <c r="J163" s="1585"/>
      <c r="K163" s="1585"/>
      <c r="L163" s="1585"/>
      <c r="M163" s="1585"/>
      <c r="N163" s="1585"/>
      <c r="O163" s="1585"/>
      <c r="P163" s="1585"/>
      <c r="Q163" s="1585"/>
      <c r="R163" s="1585"/>
      <c r="S163" s="1585"/>
      <c r="T163" s="1585"/>
      <c r="U163" s="1585"/>
      <c r="V163" s="1585"/>
      <c r="W163" s="1585"/>
      <c r="X163" s="1585"/>
      <c r="Y163" s="1585"/>
      <c r="Z163" s="1585"/>
      <c r="AA163" s="1585"/>
      <c r="AB163" s="1585"/>
      <c r="AC163" s="1585"/>
      <c r="AD163" s="1585"/>
      <c r="AE163" s="1585"/>
      <c r="AF163" s="1585"/>
      <c r="AG163" s="1585"/>
      <c r="AH163" s="1585"/>
      <c r="AI163" s="1585"/>
      <c r="AJ163" s="1585"/>
      <c r="AK163" s="1585"/>
      <c r="AL163" s="1585"/>
      <c r="AM163" s="1585"/>
      <c r="AN163" s="1585"/>
      <c r="AO163" s="1585"/>
      <c r="AP163" s="1585"/>
      <c r="AQ163" s="1585"/>
      <c r="AR163" s="1585"/>
      <c r="AS163" s="1585"/>
      <c r="AT163" s="1585"/>
      <c r="AU163" s="1585"/>
      <c r="AV163" s="1585"/>
      <c r="AW163" s="1585"/>
      <c r="AX163" s="1585"/>
      <c r="AY163" s="1585"/>
      <c r="AZ163" s="1585"/>
      <c r="BA163" s="1585"/>
      <c r="BB163" s="1585"/>
      <c r="BC163" s="1585"/>
      <c r="BD163" s="1585"/>
      <c r="BE163" s="1585"/>
      <c r="BF163" s="1585"/>
      <c r="BG163" s="1585"/>
      <c r="BH163" s="1585"/>
      <c r="BI163" s="1585"/>
      <c r="BJ163" s="1585"/>
      <c r="BK163" s="1585"/>
      <c r="BL163" s="1585"/>
      <c r="BM163" s="1585"/>
      <c r="BN163" s="1585"/>
      <c r="BO163" s="1585"/>
      <c r="BP163" s="1585"/>
      <c r="BQ163" s="1585"/>
      <c r="BR163" s="1585"/>
      <c r="BS163" s="1585"/>
      <c r="BT163" s="1585"/>
      <c r="BU163" s="1585"/>
      <c r="BV163" s="1585"/>
      <c r="BW163" s="1585"/>
      <c r="BX163" s="1585"/>
      <c r="BY163" s="1585"/>
      <c r="BZ163" s="1585"/>
      <c r="CA163" s="1585"/>
      <c r="CB163" s="1585"/>
      <c r="CC163" s="1585"/>
      <c r="CD163" s="1585"/>
      <c r="CE163" s="1585"/>
      <c r="CF163" s="1585"/>
      <c r="CG163" s="1585"/>
      <c r="CH163" s="1585"/>
      <c r="CI163" s="1585"/>
      <c r="CJ163" s="1585"/>
      <c r="CK163" s="1585"/>
      <c r="CL163" s="1585"/>
      <c r="CM163" s="1585"/>
      <c r="CN163" s="1585"/>
      <c r="CO163" s="1585"/>
      <c r="CP163" s="1585"/>
      <c r="CQ163" s="1585"/>
      <c r="CR163" s="1585"/>
      <c r="CS163" s="1585"/>
      <c r="CT163" s="1585"/>
      <c r="CU163" s="1585"/>
      <c r="CV163" s="1585"/>
      <c r="CW163" s="1585"/>
      <c r="CX163" s="1585"/>
      <c r="CY163" s="1585"/>
      <c r="CZ163" s="1585"/>
    </row>
    <row r="164" spans="1:104">
      <c r="A164" s="1466"/>
      <c r="B164" s="1583"/>
      <c r="C164" s="1583"/>
      <c r="D164" s="1583"/>
      <c r="E164" s="1585"/>
      <c r="F164" s="1585"/>
      <c r="G164" s="1585"/>
      <c r="H164" s="1585"/>
      <c r="I164" s="1585"/>
      <c r="J164" s="1585"/>
      <c r="K164" s="1585"/>
      <c r="L164" s="1585"/>
      <c r="M164" s="1585"/>
      <c r="N164" s="1585"/>
      <c r="O164" s="1585"/>
      <c r="P164" s="1585"/>
      <c r="Q164" s="1585"/>
      <c r="R164" s="1585"/>
      <c r="S164" s="1585"/>
      <c r="T164" s="1585"/>
      <c r="U164" s="1585"/>
      <c r="V164" s="1585"/>
      <c r="W164" s="1585"/>
      <c r="X164" s="1585"/>
      <c r="Y164" s="1585"/>
      <c r="Z164" s="1585"/>
      <c r="AA164" s="1585"/>
      <c r="AB164" s="1585"/>
      <c r="AC164" s="1585"/>
      <c r="AD164" s="1585"/>
      <c r="AE164" s="1585"/>
      <c r="AF164" s="1585"/>
      <c r="AG164" s="1585"/>
      <c r="AH164" s="1585"/>
      <c r="AI164" s="1585"/>
      <c r="AJ164" s="1585"/>
      <c r="AK164" s="1585"/>
      <c r="AL164" s="1585"/>
      <c r="AM164" s="1585"/>
      <c r="AN164" s="1585"/>
      <c r="AO164" s="1585"/>
      <c r="AP164" s="1585"/>
      <c r="AQ164" s="1585"/>
      <c r="AR164" s="1585"/>
      <c r="AS164" s="1585"/>
      <c r="AT164" s="1585"/>
      <c r="AU164" s="1585"/>
      <c r="AV164" s="1585"/>
      <c r="AW164" s="1585"/>
      <c r="AX164" s="1585"/>
      <c r="AY164" s="1585"/>
      <c r="AZ164" s="1585"/>
      <c r="BA164" s="1585"/>
      <c r="BB164" s="1585"/>
      <c r="BC164" s="1585"/>
      <c r="BD164" s="1585"/>
      <c r="BE164" s="1585"/>
      <c r="BF164" s="1585"/>
      <c r="BG164" s="1585"/>
      <c r="BH164" s="1585"/>
      <c r="BI164" s="1585"/>
      <c r="BJ164" s="1585"/>
      <c r="BK164" s="1585"/>
      <c r="BL164" s="1585"/>
      <c r="BM164" s="1585"/>
      <c r="BN164" s="1585"/>
      <c r="BO164" s="1585"/>
      <c r="BP164" s="1585"/>
      <c r="BQ164" s="1585"/>
      <c r="BR164" s="1585"/>
      <c r="BS164" s="1585"/>
      <c r="BT164" s="1585"/>
      <c r="BU164" s="1585"/>
      <c r="BV164" s="1585"/>
      <c r="BW164" s="1585"/>
      <c r="BX164" s="1585"/>
      <c r="BY164" s="1585"/>
      <c r="BZ164" s="1585"/>
      <c r="CA164" s="1585"/>
      <c r="CB164" s="1585"/>
      <c r="CC164" s="1585"/>
      <c r="CD164" s="1585"/>
      <c r="CE164" s="1585"/>
      <c r="CF164" s="1585"/>
      <c r="CG164" s="1585"/>
      <c r="CH164" s="1585"/>
      <c r="CI164" s="1585"/>
      <c r="CJ164" s="1585"/>
      <c r="CK164" s="1585"/>
      <c r="CL164" s="1585"/>
      <c r="CM164" s="1585"/>
      <c r="CN164" s="1585"/>
      <c r="CO164" s="1585"/>
      <c r="CP164" s="1585"/>
      <c r="CQ164" s="1585"/>
      <c r="CR164" s="1585"/>
      <c r="CS164" s="1585"/>
      <c r="CT164" s="1585"/>
      <c r="CU164" s="1585"/>
      <c r="CV164" s="1585"/>
      <c r="CW164" s="1585"/>
      <c r="CX164" s="1585"/>
      <c r="CY164" s="1585"/>
      <c r="CZ164" s="1585"/>
    </row>
    <row r="165" spans="1:104">
      <c r="A165" s="1466"/>
      <c r="B165" s="1583"/>
      <c r="C165" s="1583"/>
      <c r="D165" s="1583"/>
      <c r="E165" s="1585"/>
      <c r="F165" s="1585"/>
      <c r="G165" s="1585"/>
      <c r="H165" s="1585"/>
      <c r="I165" s="1585"/>
      <c r="J165" s="1585"/>
      <c r="K165" s="1585"/>
      <c r="L165" s="1585"/>
      <c r="M165" s="1585"/>
      <c r="N165" s="1585"/>
      <c r="O165" s="1585"/>
      <c r="P165" s="1585"/>
      <c r="Q165" s="1585"/>
      <c r="R165" s="1585"/>
      <c r="S165" s="1585"/>
      <c r="T165" s="1585"/>
      <c r="U165" s="1585"/>
      <c r="V165" s="1585"/>
      <c r="W165" s="1585"/>
      <c r="X165" s="1585"/>
      <c r="Y165" s="1585"/>
      <c r="Z165" s="1585"/>
      <c r="AA165" s="1585"/>
      <c r="AB165" s="1585"/>
      <c r="AC165" s="1585"/>
      <c r="AD165" s="1585"/>
      <c r="AE165" s="1585"/>
      <c r="AF165" s="1585"/>
      <c r="AG165" s="1585"/>
      <c r="AH165" s="1585"/>
      <c r="AI165" s="1585"/>
      <c r="AJ165" s="1585"/>
      <c r="AK165" s="1585"/>
      <c r="AL165" s="1585"/>
      <c r="AM165" s="1585"/>
      <c r="AN165" s="1585"/>
      <c r="AO165" s="1585"/>
      <c r="AP165" s="1585"/>
      <c r="AQ165" s="1585"/>
      <c r="AR165" s="1585"/>
      <c r="AS165" s="1585"/>
      <c r="AT165" s="1585"/>
      <c r="AU165" s="1585"/>
      <c r="AV165" s="1585"/>
      <c r="AW165" s="1585"/>
      <c r="AX165" s="1585"/>
      <c r="AY165" s="1585"/>
      <c r="AZ165" s="1585"/>
      <c r="BA165" s="1585"/>
      <c r="BB165" s="1585"/>
      <c r="BC165" s="1585"/>
      <c r="BD165" s="1585"/>
      <c r="BE165" s="1585"/>
      <c r="BF165" s="1585"/>
      <c r="BG165" s="1585"/>
      <c r="BH165" s="1585"/>
      <c r="BI165" s="1585"/>
      <c r="BJ165" s="1585"/>
      <c r="BK165" s="1585"/>
      <c r="BL165" s="1585"/>
      <c r="BM165" s="1585"/>
      <c r="BN165" s="1585"/>
      <c r="BO165" s="1585"/>
      <c r="BP165" s="1585"/>
      <c r="BQ165" s="1585"/>
      <c r="BR165" s="1585"/>
      <c r="BS165" s="1585"/>
      <c r="BT165" s="1585"/>
      <c r="BU165" s="1585"/>
      <c r="BV165" s="1585"/>
      <c r="BW165" s="1585"/>
      <c r="BX165" s="1585"/>
      <c r="BY165" s="1585"/>
      <c r="BZ165" s="1585"/>
      <c r="CA165" s="1585"/>
      <c r="CB165" s="1585"/>
      <c r="CC165" s="1585"/>
      <c r="CD165" s="1585"/>
      <c r="CE165" s="1585"/>
      <c r="CF165" s="1585"/>
      <c r="CG165" s="1585"/>
      <c r="CH165" s="1585"/>
      <c r="CI165" s="1585"/>
      <c r="CJ165" s="1585"/>
      <c r="CK165" s="1585"/>
      <c r="CL165" s="1585"/>
      <c r="CM165" s="1585"/>
      <c r="CN165" s="1585"/>
      <c r="CO165" s="1585"/>
      <c r="CP165" s="1585"/>
      <c r="CQ165" s="1585"/>
      <c r="CR165" s="1585"/>
      <c r="CS165" s="1585"/>
      <c r="CT165" s="1585"/>
      <c r="CU165" s="1585"/>
      <c r="CV165" s="1585"/>
      <c r="CW165" s="1585"/>
      <c r="CX165" s="1585"/>
      <c r="CY165" s="1585"/>
      <c r="CZ165" s="1585"/>
    </row>
    <row r="166" spans="1:104">
      <c r="A166" s="1466"/>
      <c r="B166" s="1583"/>
      <c r="C166" s="1583"/>
      <c r="D166" s="1583"/>
      <c r="E166" s="1585"/>
      <c r="F166" s="1585"/>
      <c r="G166" s="1585"/>
      <c r="H166" s="1585"/>
      <c r="I166" s="1585"/>
      <c r="J166" s="1585"/>
      <c r="K166" s="1585"/>
      <c r="L166" s="1585"/>
      <c r="M166" s="1585"/>
      <c r="N166" s="1585"/>
      <c r="O166" s="1585"/>
      <c r="P166" s="1585"/>
      <c r="Q166" s="1585"/>
      <c r="R166" s="1585"/>
      <c r="S166" s="1585"/>
      <c r="T166" s="1585"/>
      <c r="U166" s="1585"/>
      <c r="V166" s="1585"/>
      <c r="W166" s="1585"/>
      <c r="X166" s="1585"/>
      <c r="Y166" s="1585"/>
      <c r="Z166" s="1585"/>
      <c r="AA166" s="1585"/>
      <c r="AB166" s="1585"/>
      <c r="AC166" s="1585"/>
      <c r="AD166" s="1585"/>
      <c r="AE166" s="1585"/>
      <c r="AF166" s="1585"/>
      <c r="AG166" s="1585"/>
      <c r="AH166" s="1585"/>
      <c r="AI166" s="1585"/>
      <c r="AJ166" s="1585"/>
      <c r="AK166" s="1585"/>
      <c r="AL166" s="1585"/>
      <c r="AM166" s="1585"/>
      <c r="AN166" s="1585"/>
      <c r="AO166" s="1585"/>
      <c r="AP166" s="1585"/>
      <c r="AQ166" s="1585"/>
      <c r="AR166" s="1585"/>
      <c r="AS166" s="1585"/>
      <c r="AT166" s="1585"/>
      <c r="AU166" s="1585"/>
      <c r="AV166" s="1585"/>
      <c r="AW166" s="1585"/>
      <c r="AX166" s="1585"/>
      <c r="AY166" s="1585"/>
      <c r="AZ166" s="1585"/>
      <c r="BA166" s="1585"/>
      <c r="BB166" s="1585"/>
      <c r="BC166" s="1585"/>
      <c r="BD166" s="1585"/>
      <c r="BE166" s="1585"/>
      <c r="BF166" s="1585"/>
      <c r="BG166" s="1585"/>
      <c r="BH166" s="1585"/>
      <c r="BI166" s="1585"/>
      <c r="BJ166" s="1585"/>
      <c r="BK166" s="1585"/>
      <c r="BL166" s="1585"/>
      <c r="BM166" s="1585"/>
      <c r="BN166" s="1585"/>
      <c r="BO166" s="1585"/>
      <c r="BP166" s="1585"/>
      <c r="BQ166" s="1585"/>
      <c r="BR166" s="1585"/>
      <c r="BS166" s="1585"/>
      <c r="BT166" s="1585"/>
      <c r="BU166" s="1585"/>
      <c r="BV166" s="1585"/>
      <c r="BW166" s="1585"/>
      <c r="BX166" s="1585"/>
      <c r="BY166" s="1585"/>
      <c r="BZ166" s="1585"/>
      <c r="CA166" s="1585"/>
      <c r="CB166" s="1585"/>
      <c r="CC166" s="1585"/>
      <c r="CD166" s="1585"/>
      <c r="CE166" s="1585"/>
      <c r="CF166" s="1585"/>
      <c r="CG166" s="1585"/>
      <c r="CH166" s="1585"/>
      <c r="CI166" s="1585"/>
      <c r="CJ166" s="1585"/>
      <c r="CK166" s="1585"/>
      <c r="CL166" s="1585"/>
      <c r="CM166" s="1585"/>
      <c r="CN166" s="1585"/>
      <c r="CO166" s="1585"/>
      <c r="CP166" s="1585"/>
      <c r="CQ166" s="1585"/>
      <c r="CR166" s="1585"/>
      <c r="CS166" s="1585"/>
      <c r="CT166" s="1585"/>
      <c r="CU166" s="1585"/>
      <c r="CV166" s="1585"/>
      <c r="CW166" s="1585"/>
      <c r="CX166" s="1585"/>
      <c r="CY166" s="1585"/>
      <c r="CZ166" s="1585"/>
    </row>
    <row r="167" spans="1:104">
      <c r="A167" s="1466"/>
      <c r="B167" s="1583"/>
      <c r="C167" s="1583"/>
      <c r="D167" s="1583"/>
      <c r="E167" s="1585"/>
      <c r="F167" s="1585"/>
      <c r="G167" s="1585"/>
      <c r="H167" s="1585"/>
      <c r="I167" s="1585"/>
      <c r="J167" s="1585"/>
      <c r="K167" s="1585"/>
      <c r="L167" s="1585"/>
      <c r="M167" s="1585"/>
      <c r="N167" s="1585"/>
      <c r="O167" s="1585"/>
      <c r="P167" s="1585"/>
      <c r="Q167" s="1585"/>
      <c r="R167" s="1585"/>
      <c r="S167" s="1585"/>
      <c r="T167" s="1585"/>
      <c r="U167" s="1585"/>
      <c r="V167" s="1585"/>
      <c r="W167" s="1585"/>
      <c r="X167" s="1585"/>
      <c r="Y167" s="1585"/>
      <c r="Z167" s="1585"/>
      <c r="AA167" s="1585"/>
      <c r="AB167" s="1585"/>
      <c r="AC167" s="1585"/>
      <c r="AD167" s="1585"/>
      <c r="AE167" s="1585"/>
      <c r="AF167" s="1585"/>
      <c r="AG167" s="1585"/>
      <c r="AH167" s="1585"/>
      <c r="AI167" s="1585"/>
      <c r="AJ167" s="1585"/>
      <c r="AK167" s="1585"/>
      <c r="AL167" s="1585"/>
      <c r="AM167" s="1585"/>
      <c r="AN167" s="1585"/>
      <c r="AO167" s="1585"/>
      <c r="AP167" s="1585"/>
      <c r="AQ167" s="1585"/>
      <c r="AR167" s="1585"/>
      <c r="AS167" s="1585"/>
      <c r="AT167" s="1585"/>
      <c r="AU167" s="1585"/>
      <c r="AV167" s="1585"/>
      <c r="AW167" s="1585"/>
      <c r="AX167" s="1585"/>
      <c r="AY167" s="1585"/>
      <c r="AZ167" s="1585"/>
      <c r="BA167" s="1585"/>
      <c r="BB167" s="1585"/>
      <c r="BC167" s="1585"/>
      <c r="BD167" s="1585"/>
      <c r="BE167" s="1585"/>
      <c r="BF167" s="1585"/>
      <c r="BG167" s="1585"/>
      <c r="BH167" s="1585"/>
      <c r="BI167" s="1585"/>
      <c r="BJ167" s="1585"/>
      <c r="BK167" s="1585"/>
      <c r="BL167" s="1585"/>
      <c r="BM167" s="1585"/>
      <c r="BN167" s="1585"/>
      <c r="BO167" s="1585"/>
      <c r="BP167" s="1585"/>
      <c r="BQ167" s="1585"/>
      <c r="BR167" s="1585"/>
      <c r="BS167" s="1585"/>
      <c r="BT167" s="1585"/>
      <c r="BU167" s="1585"/>
      <c r="BV167" s="1585"/>
      <c r="BW167" s="1585"/>
      <c r="BX167" s="1585"/>
      <c r="BY167" s="1585"/>
      <c r="BZ167" s="1585"/>
      <c r="CA167" s="1585"/>
      <c r="CB167" s="1585"/>
      <c r="CC167" s="1585"/>
      <c r="CD167" s="1585"/>
      <c r="CE167" s="1585"/>
      <c r="CF167" s="1585"/>
      <c r="CG167" s="1585"/>
      <c r="CH167" s="1585"/>
      <c r="CI167" s="1585"/>
      <c r="CJ167" s="1585"/>
      <c r="CK167" s="1585"/>
      <c r="CL167" s="1585"/>
      <c r="CM167" s="1585"/>
      <c r="CN167" s="1585"/>
      <c r="CO167" s="1585"/>
      <c r="CP167" s="1585"/>
      <c r="CQ167" s="1585"/>
      <c r="CR167" s="1585"/>
      <c r="CS167" s="1585"/>
      <c r="CT167" s="1585"/>
      <c r="CU167" s="1585"/>
      <c r="CV167" s="1585"/>
      <c r="CW167" s="1585"/>
      <c r="CX167" s="1585"/>
      <c r="CY167" s="1585"/>
      <c r="CZ167" s="1585"/>
    </row>
    <row r="168" spans="1:104">
      <c r="A168" s="1466"/>
      <c r="B168" s="1583"/>
      <c r="C168" s="1583"/>
      <c r="D168" s="1583"/>
      <c r="E168" s="1585"/>
      <c r="F168" s="1585"/>
      <c r="G168" s="1585"/>
      <c r="H168" s="1585"/>
      <c r="I168" s="1585"/>
      <c r="J168" s="1585"/>
      <c r="K168" s="1585"/>
      <c r="L168" s="1585"/>
      <c r="M168" s="1585"/>
      <c r="N168" s="1585"/>
      <c r="O168" s="1585"/>
      <c r="P168" s="1585"/>
      <c r="Q168" s="1585"/>
      <c r="R168" s="1585"/>
      <c r="S168" s="1585"/>
      <c r="T168" s="1585"/>
      <c r="U168" s="1585"/>
      <c r="V168" s="1585"/>
      <c r="W168" s="1585"/>
      <c r="X168" s="1585"/>
      <c r="Y168" s="1585"/>
      <c r="Z168" s="1585"/>
      <c r="AA168" s="1585"/>
      <c r="AB168" s="1585"/>
      <c r="AC168" s="1585"/>
      <c r="AD168" s="1585"/>
      <c r="AE168" s="1585"/>
      <c r="AF168" s="1585"/>
      <c r="AG168" s="1585"/>
      <c r="AH168" s="1585"/>
      <c r="AI168" s="1585"/>
      <c r="AJ168" s="1585"/>
      <c r="AK168" s="1585"/>
      <c r="AL168" s="1585"/>
      <c r="AM168" s="1585"/>
      <c r="AN168" s="1585"/>
      <c r="AO168" s="1585"/>
      <c r="AP168" s="1585"/>
      <c r="AQ168" s="1585"/>
      <c r="AR168" s="1585"/>
      <c r="AS168" s="1585"/>
      <c r="AT168" s="1585"/>
      <c r="AU168" s="1585"/>
      <c r="AV168" s="1585"/>
      <c r="AW168" s="1585"/>
      <c r="AX168" s="1585"/>
      <c r="AY168" s="1585"/>
      <c r="AZ168" s="1585"/>
      <c r="BA168" s="1585"/>
      <c r="BB168" s="1585"/>
      <c r="BC168" s="1585"/>
      <c r="BD168" s="1585"/>
      <c r="BE168" s="1585"/>
      <c r="BF168" s="1585"/>
      <c r="BG168" s="1585"/>
      <c r="BH168" s="1585"/>
      <c r="BI168" s="1585"/>
      <c r="BJ168" s="1585"/>
      <c r="BK168" s="1585"/>
      <c r="BL168" s="1585"/>
      <c r="BM168" s="1585"/>
      <c r="BN168" s="1585"/>
      <c r="BO168" s="1585"/>
      <c r="BP168" s="1585"/>
      <c r="BQ168" s="1585"/>
      <c r="BR168" s="1585"/>
      <c r="BS168" s="1585"/>
      <c r="BT168" s="1585"/>
      <c r="BU168" s="1585"/>
      <c r="BV168" s="1585"/>
      <c r="BW168" s="1585"/>
      <c r="BX168" s="1585"/>
      <c r="BY168" s="1585"/>
      <c r="BZ168" s="1585"/>
      <c r="CA168" s="1585"/>
      <c r="CB168" s="1585"/>
      <c r="CC168" s="1585"/>
      <c r="CD168" s="1585"/>
      <c r="CE168" s="1585"/>
      <c r="CF168" s="1585"/>
      <c r="CG168" s="1585"/>
      <c r="CH168" s="1585"/>
      <c r="CI168" s="1585"/>
      <c r="CJ168" s="1585"/>
      <c r="CK168" s="1585"/>
      <c r="CL168" s="1585"/>
      <c r="CM168" s="1585"/>
      <c r="CN168" s="1585"/>
      <c r="CO168" s="1585"/>
      <c r="CP168" s="1585"/>
      <c r="CQ168" s="1585"/>
      <c r="CR168" s="1585"/>
      <c r="CS168" s="1585"/>
      <c r="CT168" s="1585"/>
      <c r="CU168" s="1585"/>
      <c r="CV168" s="1585"/>
      <c r="CW168" s="1585"/>
      <c r="CX168" s="1585"/>
      <c r="CY168" s="1585"/>
      <c r="CZ168" s="1585"/>
    </row>
    <row r="169" spans="1:104">
      <c r="A169" s="1466"/>
      <c r="B169" s="1583"/>
      <c r="C169" s="1583"/>
      <c r="D169" s="1583"/>
      <c r="E169" s="1585"/>
      <c r="F169" s="1585"/>
      <c r="G169" s="1585"/>
      <c r="H169" s="1585"/>
      <c r="I169" s="1585"/>
      <c r="J169" s="1585"/>
      <c r="K169" s="1585"/>
      <c r="L169" s="1585"/>
      <c r="M169" s="1585"/>
      <c r="N169" s="1585"/>
      <c r="O169" s="1585"/>
      <c r="P169" s="1585"/>
      <c r="Q169" s="1585"/>
      <c r="R169" s="1585"/>
      <c r="S169" s="1585"/>
      <c r="T169" s="1585"/>
      <c r="U169" s="1585"/>
      <c r="V169" s="1585"/>
      <c r="W169" s="1585"/>
      <c r="X169" s="1585"/>
      <c r="Y169" s="1585"/>
      <c r="Z169" s="1585"/>
      <c r="AA169" s="1585"/>
      <c r="AB169" s="1585"/>
      <c r="AC169" s="1585"/>
      <c r="AD169" s="1585"/>
      <c r="AE169" s="1585"/>
      <c r="AF169" s="1585"/>
      <c r="AG169" s="1585"/>
      <c r="AH169" s="1585"/>
      <c r="AI169" s="1585"/>
      <c r="AJ169" s="1585"/>
      <c r="AK169" s="1585"/>
      <c r="AL169" s="1585"/>
      <c r="AM169" s="1585"/>
      <c r="AN169" s="1585"/>
      <c r="AO169" s="1585"/>
      <c r="AP169" s="1585"/>
      <c r="AQ169" s="1585"/>
      <c r="AR169" s="1585"/>
      <c r="AS169" s="1585"/>
      <c r="AT169" s="1585"/>
      <c r="AU169" s="1585"/>
      <c r="AV169" s="1585"/>
      <c r="AW169" s="1585"/>
      <c r="AX169" s="1585"/>
      <c r="AY169" s="1585"/>
      <c r="AZ169" s="1585"/>
      <c r="BA169" s="1585"/>
      <c r="BB169" s="1585"/>
      <c r="BC169" s="1585"/>
      <c r="BD169" s="1585"/>
      <c r="BE169" s="1585"/>
      <c r="BF169" s="1585"/>
      <c r="BG169" s="1585"/>
      <c r="BH169" s="1585"/>
      <c r="BI169" s="1585"/>
      <c r="BJ169" s="1585"/>
      <c r="BK169" s="1585"/>
      <c r="BL169" s="1585"/>
      <c r="BM169" s="1585"/>
      <c r="BN169" s="1585"/>
      <c r="BO169" s="1585"/>
      <c r="BP169" s="1585"/>
      <c r="BQ169" s="1585"/>
      <c r="BR169" s="1585"/>
      <c r="BS169" s="1585"/>
      <c r="BT169" s="1585"/>
      <c r="BU169" s="1585"/>
      <c r="BV169" s="1585"/>
      <c r="BW169" s="1585"/>
      <c r="BX169" s="1585"/>
      <c r="BY169" s="1585"/>
      <c r="BZ169" s="1585"/>
      <c r="CA169" s="1585"/>
      <c r="CB169" s="1585"/>
      <c r="CC169" s="1585"/>
      <c r="CD169" s="1585"/>
      <c r="CE169" s="1585"/>
      <c r="CF169" s="1585"/>
      <c r="CG169" s="1585"/>
      <c r="CH169" s="1585"/>
      <c r="CI169" s="1585"/>
      <c r="CJ169" s="1585"/>
      <c r="CK169" s="1585"/>
      <c r="CL169" s="1585"/>
      <c r="CM169" s="1585"/>
      <c r="CN169" s="1585"/>
      <c r="CO169" s="1585"/>
      <c r="CP169" s="1585"/>
      <c r="CQ169" s="1585"/>
      <c r="CR169" s="1585"/>
      <c r="CS169" s="1585"/>
      <c r="CT169" s="1585"/>
      <c r="CU169" s="1585"/>
      <c r="CV169" s="1585"/>
      <c r="CW169" s="1585"/>
      <c r="CX169" s="1585"/>
      <c r="CY169" s="1585"/>
      <c r="CZ169" s="1585"/>
    </row>
    <row r="170" spans="1:104">
      <c r="A170" s="1466"/>
      <c r="B170" s="1583"/>
      <c r="C170" s="1583"/>
      <c r="D170" s="1583"/>
      <c r="E170" s="1585"/>
      <c r="F170" s="1585"/>
      <c r="G170" s="1585"/>
      <c r="H170" s="1585"/>
      <c r="I170" s="1585"/>
      <c r="J170" s="1585"/>
      <c r="K170" s="1585"/>
      <c r="L170" s="1585"/>
      <c r="M170" s="1585"/>
      <c r="N170" s="1585"/>
      <c r="O170" s="1585"/>
      <c r="P170" s="1585"/>
      <c r="Q170" s="1585"/>
      <c r="R170" s="1585"/>
      <c r="S170" s="1585"/>
      <c r="T170" s="1585"/>
      <c r="U170" s="1585"/>
      <c r="V170" s="1585"/>
      <c r="W170" s="1585"/>
      <c r="X170" s="1585"/>
      <c r="Y170" s="1585"/>
      <c r="Z170" s="1585"/>
      <c r="AA170" s="1585"/>
      <c r="AB170" s="1585"/>
      <c r="AC170" s="1585"/>
      <c r="AD170" s="1585"/>
      <c r="AE170" s="1585"/>
      <c r="AF170" s="1585"/>
      <c r="AG170" s="1585"/>
      <c r="AH170" s="1585"/>
      <c r="AI170" s="1585"/>
      <c r="AJ170" s="1585"/>
      <c r="AK170" s="1585"/>
      <c r="AL170" s="1585"/>
      <c r="AM170" s="1585"/>
      <c r="AN170" s="1585"/>
      <c r="AO170" s="1585"/>
      <c r="AP170" s="1585"/>
      <c r="AQ170" s="1585"/>
      <c r="AR170" s="1585"/>
      <c r="AS170" s="1585"/>
      <c r="AT170" s="1585"/>
      <c r="AU170" s="1585"/>
      <c r="AV170" s="1585"/>
      <c r="AW170" s="1585"/>
      <c r="AX170" s="1585"/>
      <c r="AY170" s="1585"/>
      <c r="AZ170" s="1585"/>
      <c r="BA170" s="1585"/>
      <c r="BB170" s="1585"/>
      <c r="BC170" s="1585"/>
      <c r="BD170" s="1585"/>
      <c r="BE170" s="1585"/>
      <c r="BF170" s="1585"/>
      <c r="BG170" s="1585"/>
      <c r="BH170" s="1585"/>
      <c r="BI170" s="1585"/>
      <c r="BJ170" s="1585"/>
      <c r="BK170" s="1585"/>
      <c r="BL170" s="1585"/>
      <c r="BM170" s="1585"/>
      <c r="BN170" s="1585"/>
      <c r="BO170" s="1585"/>
      <c r="BP170" s="1585"/>
      <c r="BQ170" s="1585"/>
      <c r="BR170" s="1585"/>
      <c r="BS170" s="1585"/>
      <c r="BT170" s="1585"/>
      <c r="BU170" s="1585"/>
      <c r="BV170" s="1585"/>
      <c r="BW170" s="1585"/>
      <c r="BX170" s="1585"/>
      <c r="BY170" s="1585"/>
      <c r="BZ170" s="1585"/>
      <c r="CA170" s="1585"/>
      <c r="CB170" s="1585"/>
      <c r="CC170" s="1585"/>
      <c r="CD170" s="1585"/>
      <c r="CE170" s="1585"/>
      <c r="CF170" s="1585"/>
      <c r="CG170" s="1585"/>
      <c r="CH170" s="1585"/>
      <c r="CI170" s="1585"/>
      <c r="CJ170" s="1585"/>
      <c r="CK170" s="1585"/>
      <c r="CL170" s="1585"/>
      <c r="CM170" s="1585"/>
      <c r="CN170" s="1585"/>
      <c r="CO170" s="1585"/>
      <c r="CP170" s="1585"/>
      <c r="CQ170" s="1585"/>
      <c r="CR170" s="1585"/>
      <c r="CS170" s="1585"/>
      <c r="CT170" s="1585"/>
      <c r="CU170" s="1585"/>
      <c r="CV170" s="1585"/>
      <c r="CW170" s="1585"/>
      <c r="CX170" s="1585"/>
      <c r="CY170" s="1585"/>
      <c r="CZ170" s="1585"/>
    </row>
    <row r="171" spans="1:104">
      <c r="A171" s="1466"/>
      <c r="B171" s="1583"/>
      <c r="C171" s="1583"/>
      <c r="D171" s="1583"/>
      <c r="E171" s="1585"/>
      <c r="F171" s="1585"/>
      <c r="G171" s="1585"/>
      <c r="H171" s="1585"/>
      <c r="I171" s="1585"/>
      <c r="J171" s="1585"/>
      <c r="K171" s="1585"/>
      <c r="L171" s="1585"/>
      <c r="M171" s="1585"/>
      <c r="N171" s="1585"/>
      <c r="O171" s="1585"/>
      <c r="P171" s="1585"/>
      <c r="Q171" s="1585"/>
      <c r="R171" s="1585"/>
      <c r="S171" s="1585"/>
      <c r="T171" s="1585"/>
      <c r="U171" s="1585"/>
      <c r="V171" s="1585"/>
      <c r="W171" s="1585"/>
      <c r="X171" s="1585"/>
      <c r="Y171" s="1585"/>
      <c r="Z171" s="1585"/>
      <c r="AA171" s="1585"/>
      <c r="AB171" s="1585"/>
      <c r="AC171" s="1585"/>
      <c r="AD171" s="1585"/>
      <c r="AE171" s="1585"/>
      <c r="AF171" s="1585"/>
      <c r="AG171" s="1585"/>
      <c r="AH171" s="1585"/>
      <c r="AI171" s="1585"/>
      <c r="AJ171" s="1585"/>
      <c r="AK171" s="1585"/>
      <c r="AL171" s="1585"/>
      <c r="AM171" s="1585"/>
      <c r="AN171" s="1585"/>
      <c r="AO171" s="1585"/>
      <c r="AP171" s="1585"/>
      <c r="AQ171" s="1585"/>
      <c r="AR171" s="1585"/>
      <c r="AS171" s="1585"/>
      <c r="AT171" s="1585"/>
      <c r="AU171" s="1585"/>
      <c r="AV171" s="1585"/>
      <c r="AW171" s="1585"/>
      <c r="AX171" s="1585"/>
      <c r="AY171" s="1585"/>
      <c r="AZ171" s="1585"/>
      <c r="BA171" s="1585"/>
      <c r="BB171" s="1585"/>
      <c r="BC171" s="1585"/>
      <c r="BD171" s="1585"/>
      <c r="BE171" s="1585"/>
      <c r="BF171" s="1585"/>
      <c r="BG171" s="1585"/>
      <c r="BH171" s="1585"/>
      <c r="BI171" s="1585"/>
      <c r="BJ171" s="1585"/>
      <c r="BK171" s="1585"/>
      <c r="BL171" s="1585"/>
      <c r="BM171" s="1585"/>
      <c r="BN171" s="1585"/>
      <c r="BO171" s="1585"/>
      <c r="BP171" s="1585"/>
      <c r="BQ171" s="1585"/>
      <c r="BR171" s="1585"/>
      <c r="BS171" s="1585"/>
      <c r="BT171" s="1585"/>
      <c r="BU171" s="1585"/>
      <c r="BV171" s="1585"/>
      <c r="BW171" s="1585"/>
      <c r="BX171" s="1585"/>
      <c r="BY171" s="1585"/>
      <c r="BZ171" s="1585"/>
      <c r="CA171" s="1585"/>
      <c r="CB171" s="1585"/>
      <c r="CC171" s="1585"/>
      <c r="CD171" s="1585"/>
      <c r="CE171" s="1585"/>
      <c r="CF171" s="1585"/>
      <c r="CG171" s="1585"/>
      <c r="CH171" s="1585"/>
      <c r="CI171" s="1585"/>
      <c r="CJ171" s="1585"/>
      <c r="CK171" s="1585"/>
      <c r="CL171" s="1585"/>
      <c r="CM171" s="1585"/>
      <c r="CN171" s="1585"/>
      <c r="CO171" s="1585"/>
      <c r="CP171" s="1585"/>
      <c r="CQ171" s="1585"/>
      <c r="CR171" s="1585"/>
      <c r="CS171" s="1585"/>
      <c r="CT171" s="1585"/>
      <c r="CU171" s="1585"/>
      <c r="CV171" s="1585"/>
      <c r="CW171" s="1585"/>
      <c r="CX171" s="1585"/>
      <c r="CY171" s="1585"/>
      <c r="CZ171" s="1585"/>
    </row>
    <row r="172" spans="1:104">
      <c r="A172" s="1466"/>
      <c r="B172" s="1583"/>
      <c r="C172" s="1583"/>
      <c r="D172" s="1583"/>
      <c r="E172" s="1585"/>
      <c r="F172" s="1585"/>
      <c r="G172" s="1585"/>
      <c r="H172" s="1585"/>
      <c r="I172" s="1585"/>
      <c r="J172" s="1585"/>
      <c r="K172" s="1585"/>
      <c r="L172" s="1585"/>
      <c r="M172" s="1585"/>
      <c r="N172" s="1585"/>
      <c r="O172" s="1585"/>
      <c r="P172" s="1585"/>
      <c r="Q172" s="1585"/>
      <c r="R172" s="1585"/>
      <c r="S172" s="1585"/>
      <c r="T172" s="1585"/>
      <c r="U172" s="1585"/>
      <c r="V172" s="1585"/>
      <c r="W172" s="1585"/>
      <c r="X172" s="1585"/>
      <c r="Y172" s="1585"/>
      <c r="Z172" s="1585"/>
      <c r="AA172" s="1585"/>
      <c r="AB172" s="1585"/>
      <c r="AC172" s="1585"/>
      <c r="AD172" s="1585"/>
      <c r="AE172" s="1585"/>
      <c r="AF172" s="1585"/>
      <c r="AG172" s="1585"/>
      <c r="AH172" s="1585"/>
      <c r="AI172" s="1585"/>
      <c r="AJ172" s="1585"/>
      <c r="AK172" s="1585"/>
      <c r="AL172" s="1585"/>
      <c r="AM172" s="1585"/>
      <c r="AN172" s="1585"/>
      <c r="AO172" s="1585"/>
      <c r="AP172" s="1585"/>
      <c r="AQ172" s="1585"/>
      <c r="AR172" s="1585"/>
      <c r="AS172" s="1585"/>
      <c r="AT172" s="1585"/>
      <c r="AU172" s="1585"/>
      <c r="AV172" s="1585"/>
      <c r="AW172" s="1585"/>
      <c r="AX172" s="1585"/>
      <c r="AY172" s="1585"/>
      <c r="AZ172" s="1585"/>
      <c r="BA172" s="1585"/>
      <c r="BB172" s="1585"/>
      <c r="BC172" s="1585"/>
      <c r="BD172" s="1585"/>
      <c r="BE172" s="1585"/>
      <c r="BF172" s="1585"/>
      <c r="BG172" s="1585"/>
      <c r="BH172" s="1585"/>
      <c r="BI172" s="1585"/>
      <c r="BJ172" s="1585"/>
      <c r="BK172" s="1585"/>
      <c r="BL172" s="1585"/>
      <c r="BM172" s="1585"/>
      <c r="BN172" s="1585"/>
      <c r="BO172" s="1585"/>
      <c r="BP172" s="1585"/>
      <c r="BQ172" s="1585"/>
      <c r="BR172" s="1585"/>
      <c r="BS172" s="1585"/>
      <c r="BT172" s="1585"/>
      <c r="BU172" s="1585"/>
      <c r="BV172" s="1585"/>
      <c r="BW172" s="1585"/>
      <c r="BX172" s="1585"/>
      <c r="BY172" s="1585"/>
      <c r="BZ172" s="1585"/>
      <c r="CA172" s="1585"/>
      <c r="CB172" s="1585"/>
      <c r="CC172" s="1585"/>
      <c r="CD172" s="1585"/>
      <c r="CE172" s="1585"/>
      <c r="CF172" s="1585"/>
      <c r="CG172" s="1585"/>
      <c r="CH172" s="1585"/>
      <c r="CI172" s="1585"/>
      <c r="CJ172" s="1585"/>
      <c r="CK172" s="1585"/>
      <c r="CL172" s="1585"/>
      <c r="CM172" s="1585"/>
      <c r="CN172" s="1585"/>
      <c r="CO172" s="1585"/>
      <c r="CP172" s="1585"/>
      <c r="CQ172" s="1585"/>
      <c r="CR172" s="1585"/>
      <c r="CS172" s="1585"/>
      <c r="CT172" s="1585"/>
      <c r="CU172" s="1585"/>
      <c r="CV172" s="1585"/>
      <c r="CW172" s="1585"/>
      <c r="CX172" s="1585"/>
      <c r="CY172" s="1585"/>
      <c r="CZ172" s="1585"/>
    </row>
    <row r="173" spans="1:104">
      <c r="A173" s="1466"/>
      <c r="B173" s="1583"/>
      <c r="C173" s="1583"/>
      <c r="D173" s="1583"/>
      <c r="E173" s="1585"/>
      <c r="F173" s="1585"/>
      <c r="G173" s="1585"/>
      <c r="H173" s="1585"/>
      <c r="I173" s="1585"/>
      <c r="J173" s="1585"/>
      <c r="K173" s="1585"/>
      <c r="L173" s="1585"/>
      <c r="M173" s="1585"/>
      <c r="N173" s="1585"/>
      <c r="O173" s="1585"/>
      <c r="P173" s="1585"/>
      <c r="Q173" s="1585"/>
      <c r="R173" s="1585"/>
      <c r="S173" s="1585"/>
      <c r="T173" s="1585"/>
      <c r="U173" s="1585"/>
      <c r="V173" s="1585"/>
      <c r="W173" s="1585"/>
      <c r="X173" s="1585"/>
      <c r="Y173" s="1585"/>
      <c r="Z173" s="1585"/>
      <c r="AA173" s="1585"/>
      <c r="AB173" s="1585"/>
      <c r="AC173" s="1585"/>
      <c r="AD173" s="1585"/>
      <c r="AE173" s="1585"/>
      <c r="AF173" s="1585"/>
      <c r="AG173" s="1585"/>
      <c r="AH173" s="1585"/>
      <c r="AI173" s="1585"/>
      <c r="AJ173" s="1585"/>
      <c r="AK173" s="1585"/>
      <c r="AL173" s="1585"/>
      <c r="AM173" s="1585"/>
      <c r="AN173" s="1585"/>
      <c r="AO173" s="1585"/>
      <c r="AP173" s="1585"/>
      <c r="AQ173" s="1585"/>
      <c r="AR173" s="1585"/>
      <c r="AS173" s="1585"/>
      <c r="AT173" s="1585"/>
      <c r="AU173" s="1585"/>
      <c r="AV173" s="1585"/>
      <c r="AW173" s="1585"/>
      <c r="AX173" s="1585"/>
      <c r="AY173" s="1585"/>
      <c r="AZ173" s="1585"/>
      <c r="BA173" s="1585"/>
      <c r="BB173" s="1585"/>
      <c r="BC173" s="1585"/>
      <c r="BD173" s="1585"/>
      <c r="BE173" s="1585"/>
      <c r="BF173" s="1585"/>
      <c r="BG173" s="1585"/>
      <c r="BH173" s="1585"/>
      <c r="BI173" s="1585"/>
      <c r="BJ173" s="1585"/>
      <c r="BK173" s="1585"/>
      <c r="BL173" s="1585"/>
      <c r="BM173" s="1585"/>
      <c r="BN173" s="1585"/>
      <c r="BO173" s="1585"/>
      <c r="BP173" s="1585"/>
      <c r="BQ173" s="1585"/>
      <c r="BR173" s="1585"/>
      <c r="BS173" s="1585"/>
      <c r="BT173" s="1585"/>
      <c r="BU173" s="1585"/>
      <c r="BV173" s="1585"/>
      <c r="BW173" s="1585"/>
      <c r="BX173" s="1585"/>
      <c r="BY173" s="1585"/>
      <c r="BZ173" s="1585"/>
      <c r="CA173" s="1585"/>
      <c r="CB173" s="1585"/>
      <c r="CC173" s="1585"/>
      <c r="CD173" s="1585"/>
      <c r="CE173" s="1585"/>
      <c r="CF173" s="1585"/>
      <c r="CG173" s="1585"/>
      <c r="CH173" s="1585"/>
      <c r="CI173" s="1585"/>
      <c r="CJ173" s="1585"/>
      <c r="CK173" s="1585"/>
      <c r="CL173" s="1585"/>
      <c r="CM173" s="1585"/>
      <c r="CN173" s="1585"/>
      <c r="CO173" s="1585"/>
      <c r="CP173" s="1585"/>
      <c r="CQ173" s="1585"/>
      <c r="CR173" s="1585"/>
      <c r="CS173" s="1585"/>
      <c r="CT173" s="1585"/>
      <c r="CU173" s="1585"/>
      <c r="CV173" s="1585"/>
      <c r="CW173" s="1585"/>
      <c r="CX173" s="1585"/>
      <c r="CY173" s="1585"/>
      <c r="CZ173" s="1585"/>
    </row>
    <row r="174" spans="1:104">
      <c r="A174" s="1466"/>
      <c r="B174" s="1583"/>
      <c r="C174" s="1583"/>
      <c r="D174" s="1583"/>
      <c r="E174" s="1585"/>
      <c r="F174" s="1585"/>
      <c r="G174" s="1585"/>
      <c r="H174" s="1585"/>
      <c r="I174" s="1585"/>
      <c r="J174" s="1585"/>
      <c r="K174" s="1585"/>
      <c r="L174" s="1585"/>
      <c r="M174" s="1585"/>
      <c r="N174" s="1585"/>
      <c r="O174" s="1585"/>
      <c r="P174" s="1585"/>
      <c r="Q174" s="1585"/>
      <c r="R174" s="1585"/>
      <c r="S174" s="1585"/>
      <c r="T174" s="1585"/>
      <c r="U174" s="1585"/>
      <c r="V174" s="1585"/>
      <c r="W174" s="1585"/>
      <c r="X174" s="1585"/>
      <c r="Y174" s="1585"/>
      <c r="Z174" s="1585"/>
      <c r="AA174" s="1585"/>
      <c r="AB174" s="1585"/>
      <c r="AC174" s="1585"/>
      <c r="AD174" s="1585"/>
      <c r="AE174" s="1585"/>
      <c r="AF174" s="1585"/>
      <c r="AG174" s="1585"/>
      <c r="AH174" s="1585"/>
      <c r="AI174" s="1585"/>
      <c r="AJ174" s="1585"/>
      <c r="AK174" s="1585"/>
      <c r="AL174" s="1585"/>
      <c r="AM174" s="1585"/>
      <c r="AN174" s="1585"/>
      <c r="AO174" s="1585"/>
      <c r="AP174" s="1585"/>
      <c r="AQ174" s="1585"/>
      <c r="AR174" s="1585"/>
      <c r="AS174" s="1585"/>
      <c r="AT174" s="1585"/>
      <c r="AU174" s="1585"/>
      <c r="AV174" s="1585"/>
      <c r="AW174" s="1585"/>
      <c r="AX174" s="1585"/>
      <c r="AY174" s="1585"/>
      <c r="AZ174" s="1585"/>
      <c r="BA174" s="1585"/>
      <c r="BB174" s="1585"/>
      <c r="BC174" s="1585"/>
      <c r="BD174" s="1585"/>
      <c r="BE174" s="1585"/>
      <c r="BF174" s="1585"/>
      <c r="BG174" s="1585"/>
      <c r="BH174" s="1585"/>
      <c r="BI174" s="1585"/>
      <c r="BJ174" s="1585"/>
      <c r="BK174" s="1585"/>
      <c r="BL174" s="1585"/>
      <c r="BM174" s="1585"/>
      <c r="BN174" s="1585"/>
      <c r="BO174" s="1585"/>
      <c r="BP174" s="1585"/>
      <c r="BQ174" s="1585"/>
      <c r="BR174" s="1585"/>
      <c r="BS174" s="1585"/>
      <c r="BT174" s="1585"/>
      <c r="BU174" s="1585"/>
      <c r="BV174" s="1585"/>
      <c r="BW174" s="1585"/>
      <c r="BX174" s="1585"/>
      <c r="BY174" s="1585"/>
      <c r="BZ174" s="1585"/>
      <c r="CA174" s="1585"/>
      <c r="CB174" s="1585"/>
      <c r="CC174" s="1585"/>
      <c r="CD174" s="1585"/>
      <c r="CE174" s="1585"/>
      <c r="CF174" s="1585"/>
      <c r="CG174" s="1585"/>
      <c r="CH174" s="1585"/>
      <c r="CI174" s="1585"/>
      <c r="CJ174" s="1585"/>
      <c r="CK174" s="1585"/>
      <c r="CL174" s="1585"/>
      <c r="CM174" s="1585"/>
      <c r="CN174" s="1585"/>
      <c r="CO174" s="1585"/>
      <c r="CP174" s="1585"/>
      <c r="CQ174" s="1585"/>
      <c r="CR174" s="1585"/>
      <c r="CS174" s="1585"/>
      <c r="CT174" s="1585"/>
      <c r="CU174" s="1585"/>
      <c r="CV174" s="1585"/>
      <c r="CW174" s="1585"/>
      <c r="CX174" s="1585"/>
      <c r="CY174" s="1585"/>
      <c r="CZ174" s="1585"/>
    </row>
    <row r="175" spans="1:104">
      <c r="A175" s="1466"/>
      <c r="B175" s="1583"/>
      <c r="C175" s="1583"/>
      <c r="D175" s="1583"/>
      <c r="E175" s="1585"/>
      <c r="F175" s="1585"/>
      <c r="G175" s="1585"/>
      <c r="H175" s="1585"/>
      <c r="I175" s="1585"/>
      <c r="J175" s="1585"/>
      <c r="K175" s="1585"/>
      <c r="L175" s="1585"/>
      <c r="M175" s="1585"/>
      <c r="N175" s="1585"/>
      <c r="O175" s="1585"/>
      <c r="P175" s="1585"/>
      <c r="Q175" s="1585"/>
      <c r="R175" s="1585"/>
      <c r="S175" s="1585"/>
      <c r="T175" s="1585"/>
      <c r="U175" s="1585"/>
      <c r="V175" s="1585"/>
      <c r="W175" s="1585"/>
      <c r="X175" s="1585"/>
      <c r="Y175" s="1585"/>
      <c r="Z175" s="1585"/>
      <c r="AA175" s="1585"/>
      <c r="AB175" s="1585"/>
      <c r="AC175" s="1585"/>
      <c r="AD175" s="1585"/>
      <c r="AE175" s="1585"/>
      <c r="AF175" s="1585"/>
      <c r="AG175" s="1585"/>
      <c r="AH175" s="1585"/>
      <c r="AI175" s="1585"/>
      <c r="AJ175" s="1585"/>
      <c r="AK175" s="1585"/>
      <c r="AL175" s="1585"/>
      <c r="AM175" s="1585"/>
      <c r="AN175" s="1585"/>
      <c r="AO175" s="1585"/>
      <c r="AP175" s="1585"/>
      <c r="AQ175" s="1585"/>
      <c r="AR175" s="1585"/>
      <c r="AS175" s="1585"/>
      <c r="AT175" s="1585"/>
      <c r="AU175" s="1585"/>
      <c r="AV175" s="1585"/>
      <c r="AW175" s="1585"/>
      <c r="AX175" s="1585"/>
      <c r="AY175" s="1585"/>
      <c r="AZ175" s="1585"/>
      <c r="BA175" s="1585"/>
      <c r="BB175" s="1585"/>
      <c r="BC175" s="1585"/>
      <c r="BD175" s="1585"/>
      <c r="BE175" s="1585"/>
      <c r="BF175" s="1585"/>
      <c r="BG175" s="1585"/>
      <c r="BH175" s="1585"/>
      <c r="BI175" s="1585"/>
      <c r="BJ175" s="1585"/>
      <c r="BK175" s="1585"/>
      <c r="BL175" s="1585"/>
      <c r="BM175" s="1585"/>
      <c r="BN175" s="1585"/>
      <c r="BO175" s="1585"/>
      <c r="BP175" s="1585"/>
      <c r="BQ175" s="1585"/>
      <c r="BR175" s="1585"/>
      <c r="BS175" s="1585"/>
      <c r="BT175" s="1585"/>
      <c r="BU175" s="1585"/>
      <c r="BV175" s="1585"/>
      <c r="BW175" s="1585"/>
      <c r="BX175" s="1585"/>
      <c r="BY175" s="1585"/>
      <c r="BZ175" s="1585"/>
      <c r="CA175" s="1585"/>
      <c r="CB175" s="1585"/>
      <c r="CC175" s="1585"/>
      <c r="CD175" s="1585"/>
      <c r="CE175" s="1585"/>
      <c r="CF175" s="1585"/>
      <c r="CG175" s="1585"/>
      <c r="CH175" s="1585"/>
      <c r="CI175" s="1585"/>
      <c r="CJ175" s="1585"/>
      <c r="CK175" s="1585"/>
      <c r="CL175" s="1585"/>
      <c r="CM175" s="1585"/>
      <c r="CN175" s="1585"/>
      <c r="CO175" s="1585"/>
      <c r="CP175" s="1585"/>
      <c r="CQ175" s="1585"/>
      <c r="CR175" s="1585"/>
      <c r="CS175" s="1585"/>
      <c r="CT175" s="1585"/>
      <c r="CU175" s="1585"/>
      <c r="CV175" s="1585"/>
      <c r="CW175" s="1585"/>
      <c r="CX175" s="1585"/>
      <c r="CY175" s="1585"/>
      <c r="CZ175" s="1585"/>
    </row>
    <row r="176" spans="1:104">
      <c r="A176" s="1466"/>
      <c r="B176" s="1583"/>
      <c r="C176" s="1583"/>
      <c r="D176" s="1583"/>
      <c r="E176" s="1585"/>
      <c r="F176" s="1585"/>
      <c r="G176" s="1585"/>
      <c r="H176" s="1585"/>
      <c r="I176" s="1585"/>
      <c r="J176" s="1585"/>
      <c r="K176" s="1585"/>
      <c r="L176" s="1585"/>
      <c r="M176" s="1585"/>
      <c r="N176" s="1585"/>
      <c r="O176" s="1585"/>
      <c r="P176" s="1585"/>
      <c r="Q176" s="1585"/>
      <c r="R176" s="1585"/>
      <c r="S176" s="1585"/>
      <c r="T176" s="1585"/>
      <c r="U176" s="1585"/>
      <c r="V176" s="1585"/>
      <c r="W176" s="1585"/>
      <c r="X176" s="1585"/>
      <c r="Y176" s="1585"/>
      <c r="Z176" s="1585"/>
      <c r="AA176" s="1585"/>
      <c r="AB176" s="1585"/>
      <c r="AC176" s="1585"/>
      <c r="AD176" s="1585"/>
      <c r="AE176" s="1585"/>
      <c r="AF176" s="1585"/>
      <c r="AG176" s="1585"/>
      <c r="AH176" s="1585"/>
      <c r="AI176" s="1585"/>
      <c r="AJ176" s="1585"/>
      <c r="AK176" s="1585"/>
      <c r="AL176" s="1585"/>
      <c r="AM176" s="1585"/>
      <c r="AN176" s="1585"/>
      <c r="AO176" s="1585"/>
      <c r="AP176" s="1585"/>
      <c r="AQ176" s="1585"/>
      <c r="AR176" s="1585"/>
      <c r="AS176" s="1585"/>
      <c r="AT176" s="1585"/>
      <c r="AU176" s="1585"/>
      <c r="AV176" s="1585"/>
      <c r="AW176" s="1585"/>
      <c r="AX176" s="1585"/>
      <c r="AY176" s="1585"/>
      <c r="AZ176" s="1585"/>
      <c r="BA176" s="1585"/>
      <c r="BB176" s="1585"/>
      <c r="BC176" s="1585"/>
      <c r="BD176" s="1585"/>
      <c r="BE176" s="1585"/>
      <c r="BF176" s="1585"/>
      <c r="BG176" s="1585"/>
      <c r="BH176" s="1585"/>
      <c r="BI176" s="1585"/>
      <c r="BJ176" s="1585"/>
      <c r="BK176" s="1585"/>
      <c r="BL176" s="1585"/>
      <c r="BM176" s="1585"/>
      <c r="BN176" s="1585"/>
      <c r="BO176" s="1585"/>
      <c r="BP176" s="1585"/>
      <c r="BQ176" s="1585"/>
      <c r="BR176" s="1585"/>
      <c r="BS176" s="1585"/>
      <c r="BT176" s="1585"/>
      <c r="BU176" s="1585"/>
      <c r="BV176" s="1585"/>
      <c r="BW176" s="1585"/>
      <c r="BX176" s="1585"/>
      <c r="BY176" s="1585"/>
      <c r="BZ176" s="1585"/>
      <c r="CA176" s="1585"/>
      <c r="CB176" s="1585"/>
      <c r="CC176" s="1585"/>
      <c r="CD176" s="1585"/>
      <c r="CE176" s="1585"/>
      <c r="CF176" s="1585"/>
      <c r="CG176" s="1585"/>
      <c r="CH176" s="1585"/>
      <c r="CI176" s="1585"/>
      <c r="CJ176" s="1585"/>
      <c r="CK176" s="1585"/>
      <c r="CL176" s="1585"/>
      <c r="CM176" s="1585"/>
      <c r="CN176" s="1585"/>
      <c r="CO176" s="1585"/>
      <c r="CP176" s="1585"/>
      <c r="CQ176" s="1585"/>
      <c r="CR176" s="1585"/>
      <c r="CS176" s="1585"/>
      <c r="CT176" s="1585"/>
      <c r="CU176" s="1585"/>
      <c r="CV176" s="1585"/>
      <c r="CW176" s="1585"/>
      <c r="CX176" s="1585"/>
      <c r="CY176" s="1585"/>
      <c r="CZ176" s="1585"/>
    </row>
    <row r="177" spans="1:104">
      <c r="A177" s="1466"/>
      <c r="B177" s="1583"/>
      <c r="C177" s="1583"/>
      <c r="D177" s="1583"/>
      <c r="E177" s="1585"/>
      <c r="F177" s="1585"/>
      <c r="G177" s="1585"/>
      <c r="H177" s="1585"/>
      <c r="I177" s="1585"/>
      <c r="J177" s="1585"/>
      <c r="K177" s="1585"/>
      <c r="L177" s="1585"/>
      <c r="M177" s="1585"/>
      <c r="N177" s="1585"/>
      <c r="O177" s="1585"/>
      <c r="P177" s="1585"/>
      <c r="Q177" s="1585"/>
      <c r="R177" s="1585"/>
      <c r="S177" s="1585"/>
      <c r="T177" s="1585"/>
      <c r="U177" s="1585"/>
      <c r="V177" s="1585"/>
      <c r="W177" s="1585"/>
      <c r="X177" s="1585"/>
      <c r="Y177" s="1585"/>
      <c r="Z177" s="1585"/>
      <c r="AA177" s="1585"/>
      <c r="AB177" s="1585"/>
      <c r="AC177" s="1585"/>
      <c r="AD177" s="1585"/>
      <c r="AE177" s="1585"/>
      <c r="AF177" s="1585"/>
      <c r="AG177" s="1585"/>
      <c r="AH177" s="1585"/>
      <c r="AI177" s="1585"/>
      <c r="AJ177" s="1585"/>
      <c r="AK177" s="1585"/>
      <c r="AL177" s="1585"/>
      <c r="AM177" s="1585"/>
      <c r="AN177" s="1585"/>
      <c r="AO177" s="1585"/>
      <c r="AP177" s="1585"/>
      <c r="AQ177" s="1585"/>
      <c r="AR177" s="1585"/>
      <c r="AS177" s="1585"/>
      <c r="AT177" s="1585"/>
      <c r="AU177" s="1585"/>
      <c r="AV177" s="1585"/>
      <c r="AW177" s="1585"/>
      <c r="AX177" s="1585"/>
      <c r="AY177" s="1585"/>
      <c r="AZ177" s="1585"/>
      <c r="BA177" s="1585"/>
      <c r="BB177" s="1585"/>
      <c r="BC177" s="1585"/>
      <c r="BD177" s="1585"/>
      <c r="BE177" s="1585"/>
      <c r="BF177" s="1585"/>
      <c r="BG177" s="1585"/>
      <c r="BH177" s="1585"/>
      <c r="BI177" s="1585"/>
      <c r="BJ177" s="1585"/>
      <c r="BK177" s="1585"/>
      <c r="BL177" s="1585"/>
      <c r="BM177" s="1585"/>
      <c r="BN177" s="1585"/>
      <c r="BO177" s="1585"/>
      <c r="BP177" s="1585"/>
      <c r="BQ177" s="1585"/>
      <c r="BR177" s="1585"/>
      <c r="BS177" s="1585"/>
      <c r="BT177" s="1585"/>
      <c r="BU177" s="1585"/>
      <c r="BV177" s="1585"/>
      <c r="BW177" s="1585"/>
      <c r="BX177" s="1585"/>
      <c r="BY177" s="1585"/>
      <c r="BZ177" s="1585"/>
      <c r="CA177" s="1585"/>
      <c r="CB177" s="1585"/>
      <c r="CC177" s="1585"/>
      <c r="CD177" s="1585"/>
      <c r="CE177" s="1585"/>
      <c r="CF177" s="1585"/>
      <c r="CG177" s="1585"/>
      <c r="CH177" s="1585"/>
      <c r="CI177" s="1585"/>
      <c r="CJ177" s="1585"/>
      <c r="CK177" s="1585"/>
      <c r="CL177" s="1585"/>
      <c r="CM177" s="1585"/>
      <c r="CN177" s="1585"/>
      <c r="CO177" s="1585"/>
      <c r="CP177" s="1585"/>
      <c r="CQ177" s="1585"/>
      <c r="CR177" s="1585"/>
      <c r="CS177" s="1585"/>
      <c r="CT177" s="1585"/>
      <c r="CU177" s="1585"/>
      <c r="CV177" s="1585"/>
      <c r="CW177" s="1585"/>
      <c r="CX177" s="1585"/>
      <c r="CY177" s="1585"/>
      <c r="CZ177" s="1585"/>
    </row>
    <row r="178" spans="1:104">
      <c r="A178" s="1466"/>
      <c r="B178" s="1583"/>
      <c r="C178" s="1583"/>
      <c r="D178" s="1583"/>
      <c r="E178" s="1585"/>
      <c r="F178" s="1585"/>
      <c r="G178" s="1585"/>
      <c r="H178" s="1585"/>
      <c r="I178" s="1585"/>
      <c r="J178" s="1585"/>
      <c r="K178" s="1585"/>
      <c r="L178" s="1585"/>
      <c r="M178" s="1585"/>
      <c r="N178" s="1585"/>
      <c r="O178" s="1585"/>
      <c r="P178" s="1585"/>
      <c r="Q178" s="1585"/>
      <c r="R178" s="1585"/>
      <c r="S178" s="1585"/>
      <c r="T178" s="1585"/>
      <c r="U178" s="1585"/>
      <c r="V178" s="1585"/>
      <c r="W178" s="1585"/>
      <c r="X178" s="1585"/>
      <c r="Y178" s="1585"/>
      <c r="Z178" s="1585"/>
      <c r="AA178" s="1585"/>
      <c r="AB178" s="1585"/>
      <c r="AC178" s="1585"/>
      <c r="AD178" s="1585"/>
      <c r="AE178" s="1585"/>
      <c r="AF178" s="1585"/>
      <c r="AG178" s="1585"/>
      <c r="AH178" s="1585"/>
      <c r="AI178" s="1585"/>
      <c r="AJ178" s="1585"/>
      <c r="AK178" s="1585"/>
      <c r="AL178" s="1585"/>
      <c r="AM178" s="1585"/>
      <c r="AN178" s="1585"/>
      <c r="AO178" s="1585"/>
      <c r="AP178" s="1585"/>
      <c r="AQ178" s="1585"/>
      <c r="AR178" s="1585"/>
      <c r="AS178" s="1585"/>
      <c r="AT178" s="1585"/>
      <c r="AU178" s="1585"/>
      <c r="AV178" s="1585"/>
      <c r="AW178" s="1585"/>
      <c r="AX178" s="1585"/>
      <c r="AY178" s="1585"/>
      <c r="AZ178" s="1585"/>
      <c r="BA178" s="1585"/>
      <c r="BB178" s="1585"/>
      <c r="BC178" s="1585"/>
      <c r="BD178" s="1585"/>
      <c r="BE178" s="1585"/>
      <c r="BF178" s="1585"/>
      <c r="BG178" s="1585"/>
      <c r="BH178" s="1585"/>
      <c r="BI178" s="1585"/>
      <c r="BJ178" s="1585"/>
      <c r="BK178" s="1585"/>
      <c r="BL178" s="1585"/>
      <c r="BM178" s="1585"/>
      <c r="BN178" s="1585"/>
      <c r="BO178" s="1585"/>
      <c r="BP178" s="1585"/>
      <c r="BQ178" s="1585"/>
      <c r="BR178" s="1585"/>
      <c r="BS178" s="1585"/>
      <c r="BT178" s="1585"/>
      <c r="BU178" s="1585"/>
      <c r="BV178" s="1585"/>
      <c r="BW178" s="1585"/>
      <c r="BX178" s="1585"/>
      <c r="BY178" s="1585"/>
      <c r="BZ178" s="1585"/>
      <c r="CA178" s="1585"/>
      <c r="CB178" s="1585"/>
      <c r="CC178" s="1585"/>
      <c r="CD178" s="1585"/>
      <c r="CE178" s="1585"/>
      <c r="CF178" s="1585"/>
      <c r="CG178" s="1585"/>
      <c r="CH178" s="1585"/>
      <c r="CI178" s="1585"/>
      <c r="CJ178" s="1585"/>
      <c r="CK178" s="1585"/>
      <c r="CL178" s="1585"/>
      <c r="CM178" s="1585"/>
      <c r="CN178" s="1585"/>
      <c r="CO178" s="1585"/>
      <c r="CP178" s="1585"/>
      <c r="CQ178" s="1585"/>
      <c r="CR178" s="1585"/>
      <c r="CS178" s="1585"/>
      <c r="CT178" s="1585"/>
      <c r="CU178" s="1585"/>
      <c r="CV178" s="1585"/>
      <c r="CW178" s="1585"/>
      <c r="CX178" s="1585"/>
      <c r="CY178" s="1585"/>
      <c r="CZ178" s="1585"/>
    </row>
    <row r="179" spans="1:104">
      <c r="A179" s="1466"/>
      <c r="B179" s="1583"/>
      <c r="C179" s="1583"/>
      <c r="D179" s="1583"/>
      <c r="E179" s="1585"/>
      <c r="F179" s="1585"/>
      <c r="G179" s="1585"/>
      <c r="H179" s="1585"/>
      <c r="I179" s="1585"/>
      <c r="J179" s="1585"/>
      <c r="K179" s="1585"/>
      <c r="L179" s="1585"/>
      <c r="M179" s="1585"/>
      <c r="N179" s="1585"/>
      <c r="O179" s="1585"/>
      <c r="P179" s="1585"/>
      <c r="Q179" s="1585"/>
      <c r="R179" s="1585"/>
      <c r="S179" s="1585"/>
      <c r="T179" s="1585"/>
      <c r="U179" s="1585"/>
      <c r="V179" s="1585"/>
      <c r="W179" s="1585"/>
      <c r="X179" s="1585"/>
      <c r="Y179" s="1585"/>
      <c r="Z179" s="1585"/>
      <c r="AA179" s="1585"/>
      <c r="AB179" s="1585"/>
      <c r="AC179" s="1585"/>
      <c r="AD179" s="1585"/>
      <c r="AE179" s="1585"/>
      <c r="AF179" s="1585"/>
      <c r="AG179" s="1585"/>
      <c r="AH179" s="1585"/>
      <c r="AI179" s="1585"/>
      <c r="AJ179" s="1585"/>
      <c r="AK179" s="1585"/>
      <c r="AL179" s="1585"/>
      <c r="AM179" s="1585"/>
      <c r="AN179" s="1585"/>
      <c r="AO179" s="1585"/>
      <c r="AP179" s="1585"/>
      <c r="AQ179" s="1585"/>
      <c r="AR179" s="1585"/>
      <c r="AS179" s="1585"/>
      <c r="AT179" s="1585"/>
      <c r="AU179" s="1585"/>
      <c r="AV179" s="1585"/>
      <c r="AW179" s="1585"/>
      <c r="AX179" s="1585"/>
      <c r="AY179" s="1585"/>
      <c r="AZ179" s="1585"/>
      <c r="BA179" s="1585"/>
      <c r="BB179" s="1585"/>
      <c r="BC179" s="1585"/>
      <c r="BD179" s="1585"/>
      <c r="BE179" s="1585"/>
      <c r="BF179" s="1585"/>
      <c r="BG179" s="1585"/>
      <c r="BH179" s="1585"/>
      <c r="BI179" s="1585"/>
      <c r="BJ179" s="1585"/>
      <c r="BK179" s="1585"/>
      <c r="BL179" s="1585"/>
      <c r="BM179" s="1585"/>
      <c r="BN179" s="1585"/>
      <c r="BO179" s="1585"/>
      <c r="BP179" s="1585"/>
      <c r="BQ179" s="1585"/>
      <c r="BR179" s="1585"/>
      <c r="BS179" s="1585"/>
      <c r="BT179" s="1585"/>
      <c r="BU179" s="1585"/>
      <c r="BV179" s="1585"/>
      <c r="BW179" s="1585"/>
      <c r="BX179" s="1585"/>
      <c r="BY179" s="1585"/>
      <c r="BZ179" s="1585"/>
      <c r="CA179" s="1585"/>
      <c r="CB179" s="1585"/>
      <c r="CC179" s="1585"/>
      <c r="CD179" s="1585"/>
      <c r="CE179" s="1585"/>
      <c r="CF179" s="1585"/>
      <c r="CG179" s="1585"/>
      <c r="CH179" s="1585"/>
      <c r="CI179" s="1585"/>
      <c r="CJ179" s="1585"/>
      <c r="CK179" s="1585"/>
      <c r="CL179" s="1585"/>
      <c r="CM179" s="1585"/>
      <c r="CN179" s="1585"/>
      <c r="CO179" s="1585"/>
      <c r="CP179" s="1585"/>
      <c r="CQ179" s="1585"/>
      <c r="CR179" s="1585"/>
      <c r="CS179" s="1585"/>
      <c r="CT179" s="1585"/>
      <c r="CU179" s="1585"/>
      <c r="CV179" s="1585"/>
      <c r="CW179" s="1585"/>
      <c r="CX179" s="1585"/>
      <c r="CY179" s="1585"/>
      <c r="CZ179" s="1585"/>
    </row>
    <row r="180" spans="1:104">
      <c r="A180" s="1466"/>
      <c r="B180" s="1583"/>
      <c r="C180" s="1583"/>
      <c r="D180" s="1583"/>
      <c r="E180" s="1585"/>
      <c r="F180" s="1585"/>
      <c r="G180" s="1585"/>
      <c r="H180" s="1585"/>
      <c r="I180" s="1585"/>
      <c r="J180" s="1585"/>
      <c r="K180" s="1585"/>
      <c r="L180" s="1585"/>
      <c r="M180" s="1585"/>
      <c r="N180" s="1585"/>
      <c r="O180" s="1585"/>
      <c r="P180" s="1585"/>
      <c r="Q180" s="1585"/>
      <c r="R180" s="1585"/>
      <c r="S180" s="1585"/>
      <c r="T180" s="1585"/>
      <c r="U180" s="1585"/>
      <c r="V180" s="1585"/>
      <c r="W180" s="1585"/>
      <c r="X180" s="1585"/>
      <c r="Y180" s="1585"/>
      <c r="Z180" s="1585"/>
      <c r="AA180" s="1585"/>
      <c r="AB180" s="1585"/>
      <c r="AC180" s="1585"/>
      <c r="AD180" s="1585"/>
      <c r="AE180" s="1585"/>
      <c r="AF180" s="1585"/>
      <c r="AG180" s="1585"/>
      <c r="AH180" s="1585"/>
      <c r="AI180" s="1585"/>
      <c r="AJ180" s="1585"/>
      <c r="AK180" s="1585"/>
      <c r="AL180" s="1585"/>
      <c r="AM180" s="1585"/>
      <c r="AN180" s="1585"/>
      <c r="AO180" s="1585"/>
      <c r="AP180" s="1585"/>
      <c r="AQ180" s="1585"/>
      <c r="AR180" s="1585"/>
      <c r="AS180" s="1585"/>
      <c r="AT180" s="1585"/>
      <c r="AU180" s="1585"/>
      <c r="AV180" s="1585"/>
      <c r="AW180" s="1585"/>
      <c r="AX180" s="1585"/>
      <c r="AY180" s="1585"/>
      <c r="AZ180" s="1585"/>
      <c r="BA180" s="1585"/>
      <c r="BB180" s="1585"/>
      <c r="BC180" s="1585"/>
      <c r="BD180" s="1585"/>
      <c r="BE180" s="1585"/>
      <c r="BF180" s="1585"/>
      <c r="BG180" s="1585"/>
      <c r="BH180" s="1585"/>
      <c r="BI180" s="1585"/>
      <c r="BJ180" s="1585"/>
      <c r="BK180" s="1585"/>
      <c r="BL180" s="1585"/>
      <c r="BM180" s="1585"/>
      <c r="BN180" s="1585"/>
      <c r="BO180" s="1585"/>
      <c r="BP180" s="1585"/>
      <c r="BQ180" s="1585"/>
      <c r="BR180" s="1585"/>
      <c r="BS180" s="1585"/>
      <c r="BT180" s="1585"/>
      <c r="BU180" s="1585"/>
      <c r="BV180" s="1585"/>
      <c r="BW180" s="1585"/>
      <c r="BX180" s="1585"/>
      <c r="BY180" s="1585"/>
      <c r="BZ180" s="1585"/>
      <c r="CA180" s="1585"/>
      <c r="CB180" s="1585"/>
      <c r="CC180" s="1585"/>
      <c r="CD180" s="1585"/>
      <c r="CE180" s="1585"/>
      <c r="CF180" s="1585"/>
      <c r="CG180" s="1585"/>
      <c r="CH180" s="1585"/>
      <c r="CI180" s="1585"/>
      <c r="CJ180" s="1585"/>
      <c r="CK180" s="1585"/>
      <c r="CL180" s="1585"/>
      <c r="CM180" s="1585"/>
      <c r="CN180" s="1585"/>
      <c r="CO180" s="1585"/>
      <c r="CP180" s="1585"/>
      <c r="CQ180" s="1585"/>
      <c r="CR180" s="1585"/>
      <c r="CS180" s="1585"/>
      <c r="CT180" s="1585"/>
      <c r="CU180" s="1585"/>
      <c r="CV180" s="1585"/>
      <c r="CW180" s="1585"/>
      <c r="CX180" s="1585"/>
      <c r="CY180" s="1585"/>
      <c r="CZ180" s="1585"/>
    </row>
    <row r="181" spans="1:104">
      <c r="A181" s="1466"/>
      <c r="B181" s="1583"/>
      <c r="C181" s="1583"/>
      <c r="D181" s="1583"/>
      <c r="E181" s="1585"/>
      <c r="F181" s="1585"/>
      <c r="G181" s="1585"/>
      <c r="H181" s="1585"/>
      <c r="I181" s="1585"/>
      <c r="J181" s="1585"/>
      <c r="K181" s="1585"/>
      <c r="L181" s="1585"/>
      <c r="M181" s="1585"/>
      <c r="N181" s="1585"/>
      <c r="O181" s="1585"/>
      <c r="P181" s="1585"/>
      <c r="Q181" s="1585"/>
      <c r="R181" s="1585"/>
      <c r="S181" s="1585"/>
      <c r="T181" s="1585"/>
      <c r="U181" s="1585"/>
      <c r="V181" s="1585"/>
      <c r="W181" s="1585"/>
      <c r="X181" s="1585"/>
      <c r="Y181" s="1585"/>
      <c r="Z181" s="1585"/>
      <c r="AA181" s="1585"/>
      <c r="AB181" s="1585"/>
      <c r="AC181" s="1585"/>
      <c r="AD181" s="1585"/>
      <c r="AE181" s="1585"/>
      <c r="AF181" s="1585"/>
      <c r="AG181" s="1585"/>
      <c r="AH181" s="1585"/>
      <c r="AI181" s="1585"/>
      <c r="AJ181" s="1585"/>
      <c r="AK181" s="1585"/>
      <c r="AL181" s="1585"/>
      <c r="AM181" s="1585"/>
      <c r="AN181" s="1585"/>
      <c r="AO181" s="1585"/>
      <c r="AP181" s="1585"/>
      <c r="AQ181" s="1585"/>
      <c r="AR181" s="1585"/>
      <c r="AS181" s="1585"/>
      <c r="AT181" s="1585"/>
      <c r="AU181" s="1585"/>
      <c r="AV181" s="1585"/>
      <c r="AW181" s="1585"/>
      <c r="AX181" s="1585"/>
      <c r="AY181" s="1585"/>
      <c r="AZ181" s="1585"/>
      <c r="BA181" s="1585"/>
      <c r="BB181" s="1585"/>
      <c r="BC181" s="1585"/>
      <c r="BD181" s="1585"/>
      <c r="BE181" s="1585"/>
      <c r="BF181" s="1585"/>
      <c r="BG181" s="1585"/>
      <c r="BH181" s="1585"/>
      <c r="BI181" s="1585"/>
      <c r="BJ181" s="1585"/>
      <c r="BK181" s="1585"/>
      <c r="BL181" s="1585"/>
      <c r="BM181" s="1585"/>
      <c r="BN181" s="1585"/>
      <c r="BO181" s="1585"/>
      <c r="BP181" s="1585"/>
      <c r="BQ181" s="1585"/>
      <c r="BR181" s="1585"/>
      <c r="BS181" s="1585"/>
      <c r="BT181" s="1585"/>
      <c r="BU181" s="1585"/>
      <c r="BV181" s="1585"/>
      <c r="BW181" s="1585"/>
      <c r="BX181" s="1585"/>
      <c r="BY181" s="1585"/>
      <c r="BZ181" s="1585"/>
      <c r="CA181" s="1585"/>
      <c r="CB181" s="1585"/>
      <c r="CC181" s="1585"/>
      <c r="CD181" s="1585"/>
      <c r="CE181" s="1585"/>
      <c r="CF181" s="1585"/>
      <c r="CG181" s="1585"/>
      <c r="CH181" s="1585"/>
      <c r="CI181" s="1585"/>
      <c r="CJ181" s="1585"/>
      <c r="CK181" s="1585"/>
      <c r="CL181" s="1585"/>
      <c r="CM181" s="1585"/>
      <c r="CN181" s="1585"/>
      <c r="CO181" s="1585"/>
      <c r="CP181" s="1585"/>
      <c r="CQ181" s="1585"/>
      <c r="CR181" s="1585"/>
      <c r="CS181" s="1585"/>
      <c r="CT181" s="1585"/>
      <c r="CU181" s="1585"/>
      <c r="CV181" s="1585"/>
      <c r="CW181" s="1585"/>
      <c r="CX181" s="1585"/>
      <c r="CY181" s="1585"/>
      <c r="CZ181" s="1585"/>
    </row>
    <row r="182" spans="1:104">
      <c r="A182" s="1466"/>
      <c r="B182" s="1583"/>
      <c r="C182" s="1583"/>
      <c r="D182" s="1583"/>
      <c r="E182" s="1585"/>
      <c r="F182" s="1585"/>
      <c r="G182" s="1585"/>
      <c r="H182" s="1585"/>
      <c r="I182" s="1585"/>
      <c r="J182" s="1585"/>
      <c r="K182" s="1585"/>
      <c r="L182" s="1585"/>
      <c r="M182" s="1585"/>
      <c r="N182" s="1585"/>
      <c r="O182" s="1585"/>
      <c r="P182" s="1585"/>
      <c r="Q182" s="1585"/>
      <c r="R182" s="1585"/>
      <c r="S182" s="1585"/>
      <c r="T182" s="1585"/>
      <c r="U182" s="1585"/>
      <c r="V182" s="1585"/>
      <c r="W182" s="1585"/>
      <c r="X182" s="1585"/>
      <c r="Y182" s="1585"/>
      <c r="Z182" s="1585"/>
      <c r="AA182" s="1585"/>
      <c r="AB182" s="1585"/>
      <c r="AC182" s="1585"/>
      <c r="AD182" s="1585"/>
      <c r="AE182" s="1585"/>
      <c r="AF182" s="1585"/>
      <c r="AG182" s="1585"/>
      <c r="AH182" s="1585"/>
      <c r="AI182" s="1585"/>
      <c r="AJ182" s="1585"/>
      <c r="AK182" s="1585"/>
      <c r="AL182" s="1585"/>
      <c r="AM182" s="1585"/>
      <c r="AN182" s="1585"/>
      <c r="AO182" s="1585"/>
      <c r="AP182" s="1585"/>
      <c r="AQ182" s="1585"/>
      <c r="AR182" s="1585"/>
      <c r="AS182" s="1585"/>
      <c r="AT182" s="1585"/>
      <c r="AU182" s="1585"/>
      <c r="AV182" s="1585"/>
      <c r="AW182" s="1585"/>
      <c r="AX182" s="1585"/>
      <c r="AY182" s="1585"/>
      <c r="AZ182" s="1585"/>
      <c r="BA182" s="1585"/>
      <c r="BB182" s="1585"/>
      <c r="BC182" s="1585"/>
      <c r="BD182" s="1585"/>
      <c r="BE182" s="1585"/>
      <c r="BF182" s="1585"/>
      <c r="BG182" s="1585"/>
      <c r="BH182" s="1585"/>
      <c r="BI182" s="1585"/>
      <c r="BJ182" s="1585"/>
      <c r="BK182" s="1585"/>
      <c r="BL182" s="1585"/>
      <c r="BM182" s="1585"/>
      <c r="BN182" s="1585"/>
      <c r="BO182" s="1585"/>
      <c r="BP182" s="1585"/>
      <c r="BQ182" s="1585"/>
      <c r="BR182" s="1585"/>
      <c r="BS182" s="1585"/>
      <c r="BT182" s="1585"/>
      <c r="BU182" s="1585"/>
      <c r="BV182" s="1585"/>
      <c r="BW182" s="1585"/>
      <c r="BX182" s="1585"/>
      <c r="BY182" s="1585"/>
      <c r="BZ182" s="1585"/>
      <c r="CA182" s="1585"/>
      <c r="CB182" s="1585"/>
      <c r="CC182" s="1585"/>
      <c r="CD182" s="1585"/>
      <c r="CE182" s="1585"/>
      <c r="CF182" s="1585"/>
      <c r="CG182" s="1585"/>
      <c r="CH182" s="1585"/>
      <c r="CI182" s="1585"/>
      <c r="CJ182" s="1585"/>
      <c r="CK182" s="1585"/>
      <c r="CL182" s="1585"/>
      <c r="CM182" s="1585"/>
      <c r="CN182" s="1585"/>
      <c r="CO182" s="1585"/>
      <c r="CP182" s="1585"/>
      <c r="CQ182" s="1585"/>
      <c r="CR182" s="1585"/>
      <c r="CS182" s="1585"/>
      <c r="CT182" s="1585"/>
      <c r="CU182" s="1585"/>
      <c r="CV182" s="1585"/>
      <c r="CW182" s="1585"/>
      <c r="CX182" s="1585"/>
      <c r="CY182" s="1585"/>
      <c r="CZ182" s="1585"/>
    </row>
    <row r="183" spans="1:104">
      <c r="A183" s="1466"/>
      <c r="B183" s="1583"/>
      <c r="C183" s="1583"/>
      <c r="D183" s="1583"/>
      <c r="E183" s="1585"/>
      <c r="F183" s="1585"/>
      <c r="G183" s="1585"/>
      <c r="H183" s="1585"/>
      <c r="I183" s="1585"/>
      <c r="J183" s="1585"/>
      <c r="K183" s="1585"/>
      <c r="L183" s="1585"/>
      <c r="M183" s="1585"/>
      <c r="N183" s="1585"/>
      <c r="O183" s="1585"/>
      <c r="P183" s="1585"/>
      <c r="Q183" s="1585"/>
      <c r="R183" s="1585"/>
      <c r="S183" s="1585"/>
      <c r="T183" s="1585"/>
      <c r="U183" s="1585"/>
      <c r="V183" s="1585"/>
      <c r="W183" s="1585"/>
      <c r="X183" s="1585"/>
      <c r="Y183" s="1585"/>
      <c r="Z183" s="1585"/>
      <c r="AA183" s="1585"/>
      <c r="AB183" s="1585"/>
      <c r="AC183" s="1585"/>
      <c r="AD183" s="1585"/>
      <c r="AE183" s="1585"/>
      <c r="AF183" s="1585"/>
      <c r="AG183" s="1585"/>
      <c r="AH183" s="1585"/>
      <c r="AI183" s="1585"/>
      <c r="AJ183" s="1585"/>
      <c r="AK183" s="1585"/>
      <c r="AL183" s="1585"/>
      <c r="AM183" s="1585"/>
      <c r="AN183" s="1585"/>
      <c r="AO183" s="1585"/>
      <c r="AP183" s="1585"/>
      <c r="AQ183" s="1585"/>
      <c r="AR183" s="1585"/>
      <c r="AS183" s="1585"/>
      <c r="AT183" s="1585"/>
      <c r="AU183" s="1585"/>
      <c r="AV183" s="1585"/>
      <c r="AW183" s="1585"/>
      <c r="AX183" s="1585"/>
      <c r="AY183" s="1585"/>
      <c r="AZ183" s="1585"/>
      <c r="BA183" s="1585"/>
      <c r="BB183" s="1585"/>
      <c r="BC183" s="1585"/>
      <c r="BD183" s="1585"/>
      <c r="BE183" s="1585"/>
      <c r="BF183" s="1585"/>
      <c r="BG183" s="1585"/>
      <c r="BH183" s="1585"/>
      <c r="BI183" s="1585"/>
      <c r="BJ183" s="1585"/>
      <c r="BK183" s="1585"/>
      <c r="BL183" s="1585"/>
      <c r="BM183" s="1585"/>
      <c r="BN183" s="1585"/>
      <c r="BO183" s="1585"/>
      <c r="BP183" s="1585"/>
      <c r="BQ183" s="1585"/>
      <c r="BR183" s="1585"/>
      <c r="BS183" s="1585"/>
      <c r="BT183" s="1585"/>
      <c r="BU183" s="1585"/>
      <c r="BV183" s="1585"/>
      <c r="BW183" s="1585"/>
      <c r="BX183" s="1585"/>
      <c r="BY183" s="1585"/>
      <c r="BZ183" s="1585"/>
      <c r="CA183" s="1585"/>
      <c r="CB183" s="1585"/>
      <c r="CC183" s="1585"/>
      <c r="CD183" s="1585"/>
      <c r="CE183" s="1585"/>
      <c r="CF183" s="1585"/>
      <c r="CG183" s="1585"/>
      <c r="CH183" s="1585"/>
      <c r="CI183" s="1585"/>
      <c r="CJ183" s="1585"/>
      <c r="CK183" s="1585"/>
      <c r="CL183" s="1585"/>
      <c r="CM183" s="1585"/>
      <c r="CN183" s="1585"/>
      <c r="CO183" s="1585"/>
      <c r="CP183" s="1585"/>
      <c r="CQ183" s="1585"/>
      <c r="CR183" s="1585"/>
      <c r="CS183" s="1585"/>
      <c r="CT183" s="1585"/>
      <c r="CU183" s="1585"/>
      <c r="CV183" s="1585"/>
      <c r="CW183" s="1585"/>
      <c r="CX183" s="1585"/>
      <c r="CY183" s="1585"/>
      <c r="CZ183" s="1585"/>
    </row>
    <row r="184" spans="1:104">
      <c r="A184" s="1466"/>
      <c r="B184" s="1583"/>
      <c r="C184" s="1583"/>
      <c r="D184" s="1583"/>
      <c r="E184" s="1585"/>
      <c r="F184" s="1585"/>
      <c r="G184" s="1585"/>
      <c r="H184" s="1585"/>
      <c r="I184" s="1585"/>
      <c r="J184" s="1585"/>
      <c r="K184" s="1585"/>
      <c r="L184" s="1585"/>
      <c r="M184" s="1585"/>
      <c r="N184" s="1585"/>
      <c r="O184" s="1585"/>
      <c r="P184" s="1585"/>
      <c r="Q184" s="1585"/>
      <c r="R184" s="1585"/>
      <c r="S184" s="1585"/>
      <c r="T184" s="1585"/>
      <c r="U184" s="1585"/>
      <c r="V184" s="1585"/>
      <c r="W184" s="1585"/>
      <c r="X184" s="1585"/>
      <c r="Y184" s="1585"/>
      <c r="Z184" s="1585"/>
      <c r="AA184" s="1585"/>
      <c r="AB184" s="1585"/>
      <c r="AC184" s="1585"/>
      <c r="AD184" s="1585"/>
      <c r="AE184" s="1585"/>
      <c r="AF184" s="1585"/>
      <c r="AG184" s="1585"/>
      <c r="AH184" s="1585"/>
      <c r="AI184" s="1585"/>
      <c r="AJ184" s="1585"/>
      <c r="AK184" s="1585"/>
      <c r="AL184" s="1585"/>
      <c r="AM184" s="1585"/>
      <c r="AN184" s="1585"/>
      <c r="AO184" s="1585"/>
      <c r="AP184" s="1585"/>
      <c r="AQ184" s="1585"/>
      <c r="AR184" s="1585"/>
      <c r="AS184" s="1585"/>
      <c r="AT184" s="1585"/>
      <c r="AU184" s="1585"/>
      <c r="AV184" s="1585"/>
      <c r="AW184" s="1585"/>
      <c r="AX184" s="1585"/>
      <c r="AY184" s="1585"/>
      <c r="AZ184" s="1585"/>
      <c r="BA184" s="1585"/>
      <c r="BB184" s="1585"/>
      <c r="BC184" s="1585"/>
      <c r="BD184" s="1585"/>
      <c r="BE184" s="1585"/>
      <c r="BF184" s="1585"/>
      <c r="BG184" s="1585"/>
      <c r="BH184" s="1585"/>
      <c r="BI184" s="1585"/>
      <c r="BJ184" s="1585"/>
      <c r="BK184" s="1585"/>
      <c r="BL184" s="1585"/>
      <c r="BM184" s="1585"/>
      <c r="BN184" s="1585"/>
      <c r="BO184" s="1585"/>
      <c r="BP184" s="1585"/>
      <c r="BQ184" s="1585"/>
      <c r="BR184" s="1585"/>
      <c r="BS184" s="1585"/>
      <c r="BT184" s="1585"/>
      <c r="BU184" s="1585"/>
      <c r="BV184" s="1585"/>
      <c r="BW184" s="1585"/>
      <c r="BX184" s="1585"/>
      <c r="BY184" s="1585"/>
      <c r="BZ184" s="1585"/>
      <c r="CA184" s="1585"/>
      <c r="CB184" s="1585"/>
      <c r="CC184" s="1585"/>
      <c r="CD184" s="1585"/>
      <c r="CE184" s="1585"/>
      <c r="CF184" s="1585"/>
      <c r="CG184" s="1585"/>
      <c r="CH184" s="1585"/>
      <c r="CI184" s="1585"/>
      <c r="CJ184" s="1585"/>
      <c r="CK184" s="1585"/>
      <c r="CL184" s="1585"/>
      <c r="CM184" s="1585"/>
      <c r="CN184" s="1585"/>
      <c r="CO184" s="1585"/>
      <c r="CP184" s="1585"/>
      <c r="CQ184" s="1585"/>
      <c r="CR184" s="1585"/>
      <c r="CS184" s="1585"/>
      <c r="CT184" s="1585"/>
      <c r="CU184" s="1585"/>
      <c r="CV184" s="1585"/>
      <c r="CW184" s="1585"/>
      <c r="CX184" s="1585"/>
      <c r="CY184" s="1585"/>
      <c r="CZ184" s="1585"/>
    </row>
    <row r="185" spans="1:104">
      <c r="A185" s="1466"/>
      <c r="B185" s="1583"/>
      <c r="C185" s="1583"/>
      <c r="D185" s="1583"/>
      <c r="E185" s="1585"/>
      <c r="F185" s="1585"/>
      <c r="G185" s="1585"/>
      <c r="H185" s="1585"/>
      <c r="I185" s="1585"/>
      <c r="J185" s="1585"/>
      <c r="K185" s="1585"/>
      <c r="L185" s="1585"/>
      <c r="M185" s="1585"/>
      <c r="N185" s="1585"/>
      <c r="O185" s="1585"/>
      <c r="P185" s="1585"/>
      <c r="Q185" s="1585"/>
      <c r="R185" s="1585"/>
      <c r="S185" s="1585"/>
      <c r="T185" s="1585"/>
      <c r="U185" s="1585"/>
      <c r="V185" s="1585"/>
      <c r="W185" s="1585"/>
      <c r="X185" s="1585"/>
      <c r="Y185" s="1585"/>
      <c r="Z185" s="1585"/>
      <c r="AA185" s="1585"/>
      <c r="AB185" s="1585"/>
      <c r="AC185" s="1585"/>
      <c r="AD185" s="1585"/>
      <c r="AE185" s="1585"/>
      <c r="AF185" s="1585"/>
      <c r="AG185" s="1585"/>
      <c r="AH185" s="1585"/>
      <c r="AI185" s="1585"/>
      <c r="AJ185" s="1585"/>
      <c r="AK185" s="1585"/>
      <c r="AL185" s="1585"/>
      <c r="AM185" s="1585"/>
      <c r="AN185" s="1585"/>
      <c r="AO185" s="1585"/>
      <c r="AP185" s="1585"/>
      <c r="AQ185" s="1585"/>
      <c r="AR185" s="1585"/>
      <c r="AS185" s="1585"/>
      <c r="AT185" s="1585"/>
      <c r="AU185" s="1585"/>
      <c r="AV185" s="1585"/>
      <c r="AW185" s="1585"/>
      <c r="AX185" s="1585"/>
      <c r="AY185" s="1585"/>
      <c r="AZ185" s="1585"/>
      <c r="BA185" s="1585"/>
      <c r="BB185" s="1585"/>
      <c r="BC185" s="1585"/>
      <c r="BD185" s="1585"/>
      <c r="BE185" s="1585"/>
      <c r="BF185" s="1585"/>
      <c r="BG185" s="1585"/>
      <c r="BH185" s="1585"/>
      <c r="BI185" s="1585"/>
      <c r="BJ185" s="1585"/>
      <c r="BK185" s="1585"/>
      <c r="BL185" s="1585"/>
      <c r="BM185" s="1585"/>
      <c r="BN185" s="1585"/>
      <c r="BO185" s="1585"/>
      <c r="BP185" s="1585"/>
      <c r="BQ185" s="1585"/>
      <c r="BR185" s="1585"/>
      <c r="BS185" s="1585"/>
      <c r="BT185" s="1585"/>
      <c r="BU185" s="1585"/>
      <c r="BV185" s="1585"/>
      <c r="BW185" s="1585"/>
      <c r="BX185" s="1585"/>
      <c r="BY185" s="1585"/>
      <c r="BZ185" s="1585"/>
      <c r="CA185" s="1585"/>
      <c r="CB185" s="1585"/>
      <c r="CC185" s="1585"/>
      <c r="CD185" s="1585"/>
      <c r="CE185" s="1585"/>
      <c r="CF185" s="1585"/>
      <c r="CG185" s="1585"/>
      <c r="CH185" s="1585"/>
      <c r="CI185" s="1585"/>
      <c r="CJ185" s="1585"/>
      <c r="CK185" s="1585"/>
      <c r="CL185" s="1585"/>
      <c r="CM185" s="1585"/>
      <c r="CN185" s="1585"/>
      <c r="CO185" s="1585"/>
      <c r="CP185" s="1585"/>
      <c r="CQ185" s="1585"/>
      <c r="CR185" s="1585"/>
      <c r="CS185" s="1585"/>
      <c r="CT185" s="1585"/>
      <c r="CU185" s="1585"/>
      <c r="CV185" s="1585"/>
      <c r="CW185" s="1585"/>
      <c r="CX185" s="1585"/>
      <c r="CY185" s="1585"/>
      <c r="CZ185" s="1585"/>
    </row>
    <row r="186" spans="1:104">
      <c r="A186" s="1466"/>
      <c r="B186" s="1583"/>
      <c r="C186" s="1583"/>
      <c r="D186" s="1583"/>
      <c r="E186" s="1585"/>
      <c r="F186" s="1585"/>
      <c r="G186" s="1585"/>
      <c r="H186" s="1585"/>
      <c r="I186" s="1585"/>
      <c r="J186" s="1585"/>
      <c r="K186" s="1585"/>
      <c r="L186" s="1585"/>
      <c r="M186" s="1585"/>
      <c r="N186" s="1585"/>
      <c r="O186" s="1585"/>
      <c r="P186" s="1585"/>
      <c r="Q186" s="1585"/>
      <c r="R186" s="1585"/>
      <c r="S186" s="1585"/>
      <c r="T186" s="1585"/>
      <c r="U186" s="1585"/>
      <c r="V186" s="1585"/>
      <c r="W186" s="1585"/>
      <c r="X186" s="1585"/>
      <c r="Y186" s="1585"/>
      <c r="Z186" s="1585"/>
      <c r="AA186" s="1585"/>
      <c r="AB186" s="1585"/>
      <c r="AC186" s="1585"/>
      <c r="AD186" s="1585"/>
      <c r="AE186" s="1585"/>
      <c r="AF186" s="1585"/>
      <c r="AG186" s="1585"/>
      <c r="AH186" s="1585"/>
      <c r="AI186" s="1585"/>
      <c r="AJ186" s="1585"/>
      <c r="AK186" s="1585"/>
      <c r="AL186" s="1585"/>
      <c r="AM186" s="1585"/>
      <c r="AN186" s="1585"/>
      <c r="AO186" s="1585"/>
      <c r="AP186" s="1585"/>
      <c r="AQ186" s="1585"/>
      <c r="AR186" s="1585"/>
      <c r="AS186" s="1585"/>
      <c r="AT186" s="1585"/>
      <c r="AU186" s="1585"/>
      <c r="AV186" s="1585"/>
      <c r="AW186" s="1585"/>
      <c r="AX186" s="1585"/>
      <c r="AY186" s="1585"/>
      <c r="AZ186" s="1585"/>
      <c r="BA186" s="1585"/>
      <c r="BB186" s="1585"/>
      <c r="BC186" s="1585"/>
      <c r="BD186" s="1585"/>
      <c r="BE186" s="1585"/>
      <c r="BF186" s="1585"/>
      <c r="BG186" s="1585"/>
      <c r="BH186" s="1585"/>
      <c r="BI186" s="1585"/>
      <c r="BJ186" s="1585"/>
      <c r="BK186" s="1585"/>
      <c r="BL186" s="1585"/>
      <c r="BM186" s="1585"/>
      <c r="BN186" s="1585"/>
      <c r="BO186" s="1585"/>
      <c r="BP186" s="1585"/>
      <c r="BQ186" s="1585"/>
      <c r="BR186" s="1585"/>
      <c r="BS186" s="1585"/>
      <c r="BT186" s="1585"/>
      <c r="BU186" s="1585"/>
      <c r="BV186" s="1585"/>
      <c r="BW186" s="1585"/>
      <c r="BX186" s="1585"/>
      <c r="BY186" s="1585"/>
      <c r="BZ186" s="1585"/>
      <c r="CA186" s="1585"/>
      <c r="CB186" s="1585"/>
      <c r="CC186" s="1585"/>
      <c r="CD186" s="1585"/>
      <c r="CE186" s="1585"/>
      <c r="CF186" s="1585"/>
      <c r="CG186" s="1585"/>
      <c r="CH186" s="1585"/>
      <c r="CI186" s="1585"/>
      <c r="CJ186" s="1585"/>
      <c r="CK186" s="1585"/>
      <c r="CL186" s="1585"/>
      <c r="CM186" s="1585"/>
      <c r="CN186" s="1585"/>
      <c r="CO186" s="1585"/>
      <c r="CP186" s="1585"/>
      <c r="CQ186" s="1585"/>
      <c r="CR186" s="1585"/>
      <c r="CS186" s="1585"/>
      <c r="CT186" s="1585"/>
      <c r="CU186" s="1585"/>
      <c r="CV186" s="1585"/>
      <c r="CW186" s="1585"/>
      <c r="CX186" s="1585"/>
      <c r="CY186" s="1585"/>
      <c r="CZ186" s="1585"/>
    </row>
    <row r="187" spans="1:104">
      <c r="A187" s="1466"/>
      <c r="B187" s="1583"/>
      <c r="C187" s="1583"/>
      <c r="D187" s="1583"/>
      <c r="E187" s="1585"/>
      <c r="F187" s="1585"/>
      <c r="G187" s="1585"/>
      <c r="H187" s="1585"/>
      <c r="I187" s="1585"/>
      <c r="J187" s="1585"/>
      <c r="K187" s="1585"/>
      <c r="L187" s="1585"/>
      <c r="M187" s="1585"/>
      <c r="N187" s="1585"/>
      <c r="O187" s="1585"/>
      <c r="P187" s="1585"/>
      <c r="Q187" s="1585"/>
      <c r="R187" s="1585"/>
      <c r="S187" s="1585"/>
      <c r="T187" s="1585"/>
      <c r="U187" s="1585"/>
      <c r="V187" s="1585"/>
      <c r="W187" s="1585"/>
      <c r="X187" s="1585"/>
      <c r="Y187" s="1585"/>
      <c r="Z187" s="1585"/>
      <c r="AA187" s="1585"/>
      <c r="AB187" s="1585"/>
      <c r="AC187" s="1585"/>
      <c r="AD187" s="1585"/>
      <c r="AE187" s="1585"/>
      <c r="AF187" s="1585"/>
      <c r="AG187" s="1585"/>
      <c r="AH187" s="1585"/>
      <c r="AI187" s="1585"/>
      <c r="AJ187" s="1585"/>
      <c r="AK187" s="1585"/>
      <c r="AL187" s="1585"/>
      <c r="AM187" s="1585"/>
      <c r="AN187" s="1585"/>
      <c r="AO187" s="1585"/>
      <c r="AP187" s="1585"/>
      <c r="AQ187" s="1585"/>
      <c r="AR187" s="1585"/>
      <c r="AS187" s="1585"/>
      <c r="AT187" s="1585"/>
      <c r="AU187" s="1585"/>
      <c r="AV187" s="1585"/>
      <c r="AW187" s="1585"/>
      <c r="AX187" s="1585"/>
      <c r="AY187" s="1585"/>
      <c r="AZ187" s="1585"/>
      <c r="BA187" s="1585"/>
      <c r="BB187" s="1585"/>
      <c r="BC187" s="1585"/>
      <c r="BD187" s="1585"/>
      <c r="BE187" s="1585"/>
      <c r="BF187" s="1585"/>
      <c r="BG187" s="1585"/>
      <c r="BH187" s="1585"/>
      <c r="BI187" s="1585"/>
      <c r="BJ187" s="1585"/>
      <c r="BK187" s="1585"/>
      <c r="BL187" s="1585"/>
      <c r="BM187" s="1585"/>
      <c r="BN187" s="1585"/>
      <c r="BO187" s="1585"/>
      <c r="BP187" s="1585"/>
      <c r="BQ187" s="1585"/>
      <c r="BR187" s="1585"/>
      <c r="BS187" s="1585"/>
      <c r="BT187" s="1585"/>
      <c r="BU187" s="1585"/>
      <c r="BV187" s="1585"/>
      <c r="BW187" s="1585"/>
      <c r="BX187" s="1585"/>
      <c r="BY187" s="1585"/>
      <c r="BZ187" s="1585"/>
      <c r="CA187" s="1585"/>
      <c r="CB187" s="1585"/>
      <c r="CC187" s="1585"/>
      <c r="CD187" s="1585"/>
      <c r="CE187" s="1585"/>
      <c r="CF187" s="1585"/>
      <c r="CG187" s="1585"/>
      <c r="CH187" s="1585"/>
      <c r="CI187" s="1585"/>
      <c r="CJ187" s="1585"/>
      <c r="CK187" s="1585"/>
      <c r="CL187" s="1585"/>
      <c r="CM187" s="1585"/>
      <c r="CN187" s="1585"/>
      <c r="CO187" s="1585"/>
      <c r="CP187" s="1585"/>
      <c r="CQ187" s="1585"/>
      <c r="CR187" s="1585"/>
      <c r="CS187" s="1585"/>
      <c r="CT187" s="1585"/>
      <c r="CU187" s="1585"/>
      <c r="CV187" s="1585"/>
      <c r="CW187" s="1585"/>
      <c r="CX187" s="1585"/>
      <c r="CY187" s="1585"/>
      <c r="CZ187" s="1585"/>
    </row>
    <row r="188" spans="1:104">
      <c r="A188" s="1466"/>
      <c r="B188" s="1583"/>
      <c r="C188" s="1583"/>
      <c r="D188" s="1583"/>
      <c r="E188" s="1585"/>
      <c r="F188" s="1585"/>
      <c r="G188" s="1585"/>
      <c r="H188" s="1585"/>
      <c r="I188" s="1585"/>
      <c r="J188" s="1585"/>
      <c r="K188" s="1585"/>
      <c r="L188" s="1585"/>
      <c r="M188" s="1585"/>
      <c r="N188" s="1585"/>
      <c r="O188" s="1585"/>
      <c r="P188" s="1585"/>
      <c r="Q188" s="1585"/>
      <c r="R188" s="1585"/>
      <c r="S188" s="1585"/>
      <c r="T188" s="1585"/>
      <c r="U188" s="1585"/>
      <c r="V188" s="1585"/>
      <c r="W188" s="1585"/>
      <c r="X188" s="1585"/>
      <c r="Y188" s="1585"/>
      <c r="Z188" s="1585"/>
      <c r="AA188" s="1585"/>
      <c r="AB188" s="1585"/>
      <c r="AC188" s="1585"/>
      <c r="AD188" s="1585"/>
      <c r="AE188" s="1585"/>
      <c r="AF188" s="1585"/>
      <c r="AG188" s="1585"/>
      <c r="AH188" s="1585"/>
      <c r="AI188" s="1585"/>
      <c r="AJ188" s="1585"/>
      <c r="AK188" s="1585"/>
      <c r="AL188" s="1585"/>
      <c r="AM188" s="1585"/>
      <c r="AN188" s="1585"/>
      <c r="AO188" s="1585"/>
      <c r="AP188" s="1585"/>
      <c r="AQ188" s="1585"/>
      <c r="AR188" s="1585"/>
      <c r="AS188" s="1585"/>
      <c r="AT188" s="1585"/>
      <c r="AU188" s="1585"/>
      <c r="AV188" s="1585"/>
      <c r="AW188" s="1585"/>
      <c r="AX188" s="1585"/>
      <c r="AY188" s="1585"/>
      <c r="AZ188" s="1585"/>
      <c r="BA188" s="1585"/>
      <c r="BB188" s="1585"/>
      <c r="BC188" s="1585"/>
      <c r="BD188" s="1585"/>
      <c r="BE188" s="1585"/>
      <c r="BF188" s="1585"/>
      <c r="BG188" s="1585"/>
      <c r="BH188" s="1585"/>
      <c r="BI188" s="1585"/>
      <c r="BJ188" s="1585"/>
      <c r="BK188" s="1585"/>
      <c r="BL188" s="1585"/>
      <c r="BM188" s="1585"/>
      <c r="BN188" s="1585"/>
      <c r="BO188" s="1585"/>
      <c r="BP188" s="1585"/>
      <c r="BQ188" s="1585"/>
      <c r="BR188" s="1585"/>
      <c r="BS188" s="1585"/>
      <c r="BT188" s="1585"/>
      <c r="BU188" s="1585"/>
      <c r="BV188" s="1585"/>
      <c r="BW188" s="1585"/>
      <c r="BX188" s="1585"/>
      <c r="BY188" s="1585"/>
      <c r="BZ188" s="1585"/>
      <c r="CA188" s="1585"/>
      <c r="CB188" s="1585"/>
      <c r="CC188" s="1585"/>
      <c r="CD188" s="1585"/>
      <c r="CE188" s="1585"/>
      <c r="CF188" s="1585"/>
      <c r="CG188" s="1585"/>
      <c r="CH188" s="1585"/>
      <c r="CI188" s="1585"/>
      <c r="CJ188" s="1585"/>
      <c r="CK188" s="1585"/>
      <c r="CL188" s="1585"/>
      <c r="CM188" s="1585"/>
      <c r="CN188" s="1585"/>
      <c r="CO188" s="1585"/>
      <c r="CP188" s="1585"/>
      <c r="CQ188" s="1585"/>
      <c r="CR188" s="1585"/>
      <c r="CS188" s="1585"/>
      <c r="CT188" s="1585"/>
      <c r="CU188" s="1585"/>
      <c r="CV188" s="1585"/>
      <c r="CW188" s="1585"/>
      <c r="CX188" s="1585"/>
      <c r="CY188" s="1585"/>
      <c r="CZ188" s="1585"/>
    </row>
    <row r="189" spans="1:104">
      <c r="A189" s="1466"/>
      <c r="B189" s="1583"/>
      <c r="C189" s="1583"/>
      <c r="D189" s="1583"/>
      <c r="E189" s="1585"/>
      <c r="F189" s="1585"/>
      <c r="G189" s="1585"/>
      <c r="H189" s="1585"/>
      <c r="I189" s="1585"/>
      <c r="J189" s="1585"/>
      <c r="K189" s="1585"/>
      <c r="L189" s="1585"/>
      <c r="M189" s="1585"/>
      <c r="N189" s="1585"/>
      <c r="O189" s="1585"/>
      <c r="P189" s="1585"/>
      <c r="Q189" s="1585"/>
      <c r="R189" s="1585"/>
      <c r="S189" s="1585"/>
      <c r="T189" s="1585"/>
      <c r="U189" s="1585"/>
      <c r="V189" s="1585"/>
      <c r="W189" s="1585"/>
      <c r="X189" s="1585"/>
      <c r="Y189" s="1585"/>
      <c r="Z189" s="1585"/>
      <c r="AA189" s="1585"/>
      <c r="AB189" s="1585"/>
      <c r="AC189" s="1585"/>
      <c r="AD189" s="1585"/>
      <c r="AE189" s="1585"/>
      <c r="AF189" s="1585"/>
      <c r="AG189" s="1585"/>
      <c r="AH189" s="1585"/>
      <c r="AI189" s="1585"/>
      <c r="AJ189" s="1585"/>
      <c r="AK189" s="1585"/>
      <c r="AL189" s="1585"/>
      <c r="AM189" s="1585"/>
      <c r="AN189" s="1585"/>
      <c r="AO189" s="1585"/>
      <c r="AP189" s="1585"/>
      <c r="AQ189" s="1585"/>
      <c r="AR189" s="1585"/>
      <c r="AS189" s="1585"/>
      <c r="AT189" s="1585"/>
      <c r="AU189" s="1585"/>
      <c r="AV189" s="1585"/>
      <c r="AW189" s="1585"/>
      <c r="AX189" s="1585"/>
      <c r="AY189" s="1585"/>
      <c r="AZ189" s="1585"/>
      <c r="BA189" s="1585"/>
      <c r="BB189" s="1585"/>
      <c r="BC189" s="1585"/>
      <c r="BD189" s="1585"/>
      <c r="BE189" s="1585"/>
      <c r="BF189" s="1585"/>
      <c r="BG189" s="1585"/>
      <c r="BH189" s="1585"/>
      <c r="BI189" s="1585"/>
      <c r="BJ189" s="1585"/>
      <c r="BK189" s="1585"/>
      <c r="BL189" s="1585"/>
      <c r="BM189" s="1585"/>
      <c r="BN189" s="1585"/>
      <c r="BO189" s="1585"/>
      <c r="BP189" s="1585"/>
      <c r="BQ189" s="1585"/>
      <c r="BR189" s="1585"/>
      <c r="BS189" s="1585"/>
      <c r="BT189" s="1585"/>
      <c r="BU189" s="1585"/>
      <c r="BV189" s="1585"/>
      <c r="BW189" s="1585"/>
      <c r="BX189" s="1585"/>
      <c r="BY189" s="1585"/>
      <c r="BZ189" s="1585"/>
      <c r="CA189" s="1585"/>
      <c r="CB189" s="1585"/>
      <c r="CC189" s="1585"/>
      <c r="CD189" s="1585"/>
      <c r="CE189" s="1585"/>
      <c r="CF189" s="1585"/>
      <c r="CG189" s="1585"/>
      <c r="CH189" s="1585"/>
      <c r="CI189" s="1585"/>
      <c r="CJ189" s="1585"/>
      <c r="CK189" s="1585"/>
      <c r="CL189" s="1585"/>
      <c r="CM189" s="1585"/>
      <c r="CN189" s="1585"/>
      <c r="CO189" s="1585"/>
      <c r="CP189" s="1585"/>
      <c r="CQ189" s="1585"/>
      <c r="CR189" s="1585"/>
      <c r="CS189" s="1585"/>
      <c r="CT189" s="1585"/>
      <c r="CU189" s="1585"/>
      <c r="CV189" s="1585"/>
      <c r="CW189" s="1585"/>
      <c r="CX189" s="1585"/>
      <c r="CY189" s="1585"/>
      <c r="CZ189" s="1585"/>
    </row>
    <row r="190" spans="1:104">
      <c r="A190" s="1466"/>
      <c r="B190" s="1583"/>
      <c r="C190" s="1583"/>
      <c r="D190" s="1583"/>
      <c r="E190" s="1585"/>
      <c r="F190" s="1585"/>
      <c r="G190" s="1585"/>
      <c r="H190" s="1585"/>
      <c r="I190" s="1585"/>
      <c r="J190" s="1585"/>
      <c r="K190" s="1585"/>
      <c r="L190" s="1585"/>
      <c r="M190" s="1585"/>
      <c r="N190" s="1585"/>
      <c r="O190" s="1585"/>
      <c r="P190" s="1585"/>
      <c r="Q190" s="1585"/>
      <c r="R190" s="1585"/>
      <c r="S190" s="1585"/>
      <c r="T190" s="1585"/>
      <c r="U190" s="1585"/>
      <c r="V190" s="1585"/>
      <c r="W190" s="1585"/>
      <c r="X190" s="1585"/>
      <c r="Y190" s="1585"/>
      <c r="Z190" s="1585"/>
      <c r="AA190" s="1585"/>
      <c r="AB190" s="1585"/>
      <c r="AC190" s="1585"/>
      <c r="AD190" s="1585"/>
      <c r="AE190" s="1585"/>
      <c r="AF190" s="1585"/>
      <c r="AG190" s="1585"/>
      <c r="AH190" s="1585"/>
      <c r="AI190" s="1585"/>
      <c r="AJ190" s="1585"/>
      <c r="AK190" s="1585"/>
      <c r="AL190" s="1585"/>
      <c r="AM190" s="1585"/>
      <c r="AN190" s="1585"/>
      <c r="AO190" s="1585"/>
      <c r="AP190" s="1585"/>
      <c r="AQ190" s="1585"/>
      <c r="AR190" s="1585"/>
      <c r="AS190" s="1585"/>
      <c r="AT190" s="1585"/>
      <c r="AU190" s="1585"/>
      <c r="AV190" s="1585"/>
      <c r="AW190" s="1585"/>
      <c r="AX190" s="1585"/>
      <c r="AY190" s="1585"/>
      <c r="AZ190" s="1585"/>
      <c r="BA190" s="1585"/>
      <c r="BB190" s="1585"/>
      <c r="BC190" s="1585"/>
      <c r="BD190" s="1585"/>
      <c r="BE190" s="1585"/>
      <c r="BF190" s="1585"/>
      <c r="BG190" s="1585"/>
      <c r="BH190" s="1585"/>
      <c r="BI190" s="1585"/>
      <c r="BJ190" s="1585"/>
      <c r="BK190" s="1585"/>
      <c r="BL190" s="1585"/>
      <c r="BM190" s="1585"/>
      <c r="BN190" s="1585"/>
      <c r="BO190" s="1585"/>
      <c r="BP190" s="1585"/>
      <c r="BQ190" s="1585"/>
      <c r="BR190" s="1585"/>
      <c r="BS190" s="1585"/>
      <c r="BT190" s="1585"/>
      <c r="BU190" s="1585"/>
      <c r="BV190" s="1585"/>
      <c r="BW190" s="1585"/>
      <c r="BX190" s="1585"/>
      <c r="BY190" s="1585"/>
      <c r="BZ190" s="1585"/>
      <c r="CA190" s="1585"/>
      <c r="CB190" s="1585"/>
      <c r="CC190" s="1585"/>
      <c r="CD190" s="1585"/>
      <c r="CE190" s="1585"/>
      <c r="CF190" s="1585"/>
      <c r="CG190" s="1585"/>
      <c r="CH190" s="1585"/>
      <c r="CI190" s="1585"/>
      <c r="CJ190" s="1585"/>
      <c r="CK190" s="1585"/>
      <c r="CL190" s="1585"/>
      <c r="CM190" s="1585"/>
      <c r="CN190" s="1585"/>
      <c r="CO190" s="1585"/>
      <c r="CP190" s="1585"/>
      <c r="CQ190" s="1585"/>
      <c r="CR190" s="1585"/>
      <c r="CS190" s="1585"/>
      <c r="CT190" s="1585"/>
      <c r="CU190" s="1585"/>
      <c r="CV190" s="1585"/>
      <c r="CW190" s="1585"/>
      <c r="CX190" s="1585"/>
      <c r="CY190" s="1585"/>
      <c r="CZ190" s="1585"/>
    </row>
    <row r="191" spans="1:104">
      <c r="A191" s="1466"/>
      <c r="B191" s="1583"/>
      <c r="C191" s="1583"/>
      <c r="D191" s="1583"/>
      <c r="E191" s="1585"/>
      <c r="F191" s="1585"/>
      <c r="G191" s="1585"/>
      <c r="H191" s="1585"/>
      <c r="I191" s="1585"/>
      <c r="J191" s="1585"/>
      <c r="K191" s="1585"/>
      <c r="L191" s="1585"/>
      <c r="M191" s="1585"/>
      <c r="N191" s="1585"/>
      <c r="O191" s="1585"/>
      <c r="P191" s="1585"/>
      <c r="Q191" s="1585"/>
      <c r="R191" s="1585"/>
      <c r="S191" s="1585"/>
      <c r="T191" s="1585"/>
      <c r="U191" s="1585"/>
      <c r="V191" s="1585"/>
      <c r="W191" s="1585"/>
      <c r="X191" s="1585"/>
      <c r="Y191" s="1585"/>
      <c r="Z191" s="1585"/>
      <c r="AA191" s="1585"/>
      <c r="AB191" s="1585"/>
      <c r="AC191" s="1585"/>
      <c r="AD191" s="1585"/>
      <c r="AE191" s="1585"/>
      <c r="AF191" s="1585"/>
      <c r="AG191" s="1585"/>
      <c r="AH191" s="1585"/>
      <c r="AI191" s="1585"/>
      <c r="AJ191" s="1585"/>
      <c r="AK191" s="1585"/>
      <c r="AL191" s="1585"/>
      <c r="AM191" s="1585"/>
      <c r="AN191" s="1585"/>
      <c r="AO191" s="1585"/>
      <c r="AP191" s="1585"/>
      <c r="AQ191" s="1585"/>
      <c r="AR191" s="1585"/>
      <c r="AS191" s="1585"/>
      <c r="AT191" s="1585"/>
      <c r="AU191" s="1585"/>
      <c r="AV191" s="1585"/>
      <c r="AW191" s="1585"/>
      <c r="AX191" s="1585"/>
      <c r="AY191" s="1585"/>
      <c r="AZ191" s="1585"/>
      <c r="BA191" s="1585"/>
      <c r="BB191" s="1585"/>
      <c r="BC191" s="1585"/>
      <c r="BD191" s="1585"/>
      <c r="BE191" s="1585"/>
      <c r="BF191" s="1585"/>
      <c r="BG191" s="1585"/>
      <c r="BH191" s="1585"/>
      <c r="BI191" s="1585"/>
      <c r="BJ191" s="1585"/>
      <c r="BK191" s="1585"/>
      <c r="BL191" s="1585"/>
      <c r="BM191" s="1585"/>
      <c r="BN191" s="1585"/>
      <c r="BO191" s="1585"/>
      <c r="BP191" s="1585"/>
      <c r="BQ191" s="1585"/>
      <c r="BR191" s="1585"/>
      <c r="BS191" s="1585"/>
      <c r="BT191" s="1585"/>
      <c r="BU191" s="1585"/>
      <c r="BV191" s="1585"/>
      <c r="BW191" s="1585"/>
      <c r="BX191" s="1585"/>
      <c r="BY191" s="1585"/>
      <c r="BZ191" s="1585"/>
      <c r="CA191" s="1585"/>
      <c r="CB191" s="1585"/>
      <c r="CC191" s="1585"/>
      <c r="CD191" s="1585"/>
      <c r="CE191" s="1585"/>
      <c r="CF191" s="1585"/>
      <c r="CG191" s="1585"/>
      <c r="CH191" s="1585"/>
      <c r="CI191" s="1585"/>
      <c r="CJ191" s="1585"/>
      <c r="CK191" s="1585"/>
      <c r="CL191" s="1585"/>
      <c r="CM191" s="1585"/>
      <c r="CN191" s="1585"/>
      <c r="CO191" s="1585"/>
      <c r="CP191" s="1585"/>
      <c r="CQ191" s="1585"/>
      <c r="CR191" s="1585"/>
      <c r="CS191" s="1585"/>
      <c r="CT191" s="1585"/>
      <c r="CU191" s="1585"/>
      <c r="CV191" s="1585"/>
      <c r="CW191" s="1585"/>
      <c r="CX191" s="1585"/>
      <c r="CY191" s="1585"/>
      <c r="CZ191" s="1585"/>
    </row>
    <row r="192" spans="1:104">
      <c r="A192" s="1466"/>
      <c r="B192" s="1583"/>
      <c r="C192" s="1583"/>
      <c r="D192" s="1583"/>
      <c r="E192" s="1585"/>
      <c r="F192" s="1585"/>
      <c r="G192" s="1585"/>
      <c r="H192" s="1585"/>
      <c r="I192" s="1585"/>
      <c r="J192" s="1585"/>
      <c r="K192" s="1585"/>
      <c r="L192" s="1585"/>
      <c r="M192" s="1585"/>
      <c r="N192" s="1585"/>
      <c r="O192" s="1585"/>
      <c r="P192" s="1585"/>
      <c r="Q192" s="1585"/>
      <c r="R192" s="1585"/>
      <c r="S192" s="1585"/>
      <c r="T192" s="1585"/>
      <c r="U192" s="1585"/>
      <c r="V192" s="1585"/>
      <c r="W192" s="1585"/>
      <c r="X192" s="1585"/>
      <c r="Y192" s="1585"/>
      <c r="Z192" s="1585"/>
      <c r="AA192" s="1585"/>
      <c r="AB192" s="1585"/>
      <c r="AC192" s="1585"/>
      <c r="AD192" s="1585"/>
      <c r="AE192" s="1585"/>
      <c r="AF192" s="1585"/>
      <c r="AG192" s="1585"/>
      <c r="AH192" s="1585"/>
      <c r="AI192" s="1585"/>
      <c r="AJ192" s="1585"/>
      <c r="AK192" s="1585"/>
      <c r="AL192" s="1585"/>
      <c r="AM192" s="1585"/>
      <c r="AN192" s="1585"/>
      <c r="AO192" s="1585"/>
      <c r="AP192" s="1585"/>
      <c r="AQ192" s="1585"/>
      <c r="AR192" s="1585"/>
      <c r="AS192" s="1585"/>
      <c r="AT192" s="1585"/>
      <c r="AU192" s="1585"/>
      <c r="AV192" s="1585"/>
      <c r="AW192" s="1585"/>
      <c r="AX192" s="1585"/>
      <c r="AY192" s="1585"/>
      <c r="AZ192" s="1585"/>
      <c r="BA192" s="1585"/>
      <c r="BB192" s="1585"/>
      <c r="BC192" s="1585"/>
      <c r="BD192" s="1585"/>
      <c r="BE192" s="1585"/>
      <c r="BF192" s="1585"/>
      <c r="BG192" s="1585"/>
      <c r="BH192" s="1585"/>
      <c r="BI192" s="1585"/>
      <c r="BJ192" s="1585"/>
      <c r="BK192" s="1585"/>
      <c r="BL192" s="1585"/>
      <c r="BM192" s="1585"/>
      <c r="BN192" s="1585"/>
      <c r="BO192" s="1585"/>
      <c r="BP192" s="1585"/>
      <c r="BQ192" s="1585"/>
      <c r="BR192" s="1585"/>
      <c r="BS192" s="1585"/>
      <c r="BT192" s="1585"/>
      <c r="BU192" s="1585"/>
      <c r="BV192" s="1585"/>
      <c r="BW192" s="1585"/>
      <c r="BX192" s="1585"/>
      <c r="BY192" s="1585"/>
      <c r="BZ192" s="1585"/>
      <c r="CA192" s="1585"/>
      <c r="CB192" s="1585"/>
      <c r="CC192" s="1585"/>
      <c r="CD192" s="1585"/>
      <c r="CE192" s="1585"/>
      <c r="CF192" s="1585"/>
      <c r="CG192" s="1585"/>
      <c r="CH192" s="1585"/>
      <c r="CI192" s="1585"/>
      <c r="CJ192" s="1585"/>
      <c r="CK192" s="1585"/>
      <c r="CL192" s="1585"/>
      <c r="CM192" s="1585"/>
      <c r="CN192" s="1585"/>
      <c r="CO192" s="1585"/>
      <c r="CP192" s="1585"/>
      <c r="CQ192" s="1585"/>
      <c r="CR192" s="1585"/>
      <c r="CS192" s="1585"/>
      <c r="CT192" s="1585"/>
      <c r="CU192" s="1585"/>
      <c r="CV192" s="1585"/>
      <c r="CW192" s="1585"/>
      <c r="CX192" s="1585"/>
      <c r="CY192" s="1585"/>
      <c r="CZ192" s="1585"/>
    </row>
    <row r="193" spans="1:104">
      <c r="A193" s="1466"/>
      <c r="B193" s="1583"/>
      <c r="C193" s="1583"/>
      <c r="D193" s="1583"/>
      <c r="E193" s="1585"/>
      <c r="F193" s="1585"/>
      <c r="G193" s="1585"/>
      <c r="H193" s="1585"/>
      <c r="I193" s="1585"/>
      <c r="J193" s="1585"/>
      <c r="K193" s="1585"/>
      <c r="L193" s="1585"/>
      <c r="M193" s="1585"/>
      <c r="N193" s="1585"/>
      <c r="O193" s="1585"/>
      <c r="P193" s="1585"/>
      <c r="Q193" s="1585"/>
      <c r="R193" s="1585"/>
      <c r="S193" s="1585"/>
      <c r="T193" s="1585"/>
      <c r="U193" s="1585"/>
      <c r="V193" s="1585"/>
      <c r="W193" s="1585"/>
      <c r="X193" s="1585"/>
      <c r="Y193" s="1585"/>
      <c r="Z193" s="1585"/>
      <c r="AA193" s="1585"/>
      <c r="AB193" s="1585"/>
      <c r="AC193" s="1585"/>
      <c r="AD193" s="1585"/>
      <c r="AE193" s="1585"/>
      <c r="AF193" s="1585"/>
      <c r="AG193" s="1585"/>
      <c r="AH193" s="1585"/>
      <c r="AI193" s="1585"/>
      <c r="AJ193" s="1585"/>
      <c r="AK193" s="1585"/>
      <c r="AL193" s="1585"/>
      <c r="AM193" s="1585"/>
      <c r="AN193" s="1585"/>
      <c r="AO193" s="1585"/>
      <c r="AP193" s="1585"/>
      <c r="AQ193" s="1585"/>
      <c r="AR193" s="1585"/>
      <c r="AS193" s="1585"/>
      <c r="AT193" s="1585"/>
      <c r="AU193" s="1585"/>
      <c r="AV193" s="1585"/>
      <c r="AW193" s="1585"/>
      <c r="AX193" s="1585"/>
      <c r="AY193" s="1585"/>
      <c r="AZ193" s="1585"/>
      <c r="BA193" s="1585"/>
      <c r="BB193" s="1585"/>
      <c r="BC193" s="1585"/>
      <c r="BD193" s="1585"/>
      <c r="BE193" s="1585"/>
      <c r="BF193" s="1585"/>
      <c r="BG193" s="1585"/>
      <c r="BH193" s="1585"/>
      <c r="BI193" s="1585"/>
      <c r="BJ193" s="1585"/>
      <c r="BK193" s="1585"/>
      <c r="BL193" s="1585"/>
      <c r="BM193" s="1585"/>
      <c r="BN193" s="1585"/>
      <c r="BO193" s="1585"/>
      <c r="BP193" s="1585"/>
      <c r="BQ193" s="1585"/>
      <c r="BR193" s="1585"/>
      <c r="BS193" s="1585"/>
      <c r="BT193" s="1585"/>
      <c r="BU193" s="1585"/>
      <c r="BV193" s="1585"/>
      <c r="BW193" s="1585"/>
      <c r="BX193" s="1585"/>
      <c r="BY193" s="1585"/>
      <c r="BZ193" s="1585"/>
      <c r="CA193" s="1585"/>
      <c r="CB193" s="1585"/>
      <c r="CC193" s="1585"/>
      <c r="CD193" s="1585"/>
      <c r="CE193" s="1585"/>
      <c r="CF193" s="1585"/>
      <c r="CG193" s="1585"/>
      <c r="CH193" s="1585"/>
      <c r="CI193" s="1585"/>
      <c r="CJ193" s="1585"/>
      <c r="CK193" s="1585"/>
      <c r="CL193" s="1585"/>
      <c r="CM193" s="1585"/>
      <c r="CN193" s="1585"/>
      <c r="CO193" s="1585"/>
      <c r="CP193" s="1585"/>
      <c r="CQ193" s="1585"/>
      <c r="CR193" s="1585"/>
      <c r="CS193" s="1585"/>
      <c r="CT193" s="1585"/>
      <c r="CU193" s="1585"/>
      <c r="CV193" s="1585"/>
      <c r="CW193" s="1585"/>
      <c r="CX193" s="1585"/>
      <c r="CY193" s="1585"/>
      <c r="CZ193" s="1585"/>
    </row>
    <row r="194" spans="1:104">
      <c r="A194" s="1466"/>
      <c r="B194" s="1583"/>
      <c r="C194" s="1583"/>
      <c r="D194" s="1583"/>
      <c r="E194" s="1585"/>
      <c r="F194" s="1585"/>
      <c r="G194" s="1585"/>
      <c r="H194" s="1585"/>
      <c r="I194" s="1585"/>
      <c r="J194" s="1585"/>
      <c r="K194" s="1585"/>
      <c r="L194" s="1585"/>
      <c r="M194" s="1585"/>
      <c r="N194" s="1585"/>
      <c r="O194" s="1585"/>
      <c r="P194" s="1585"/>
      <c r="Q194" s="1585"/>
      <c r="R194" s="1585"/>
      <c r="S194" s="1585"/>
      <c r="T194" s="1585"/>
      <c r="U194" s="1585"/>
      <c r="V194" s="1585"/>
      <c r="W194" s="1585"/>
      <c r="X194" s="1585"/>
      <c r="Y194" s="1585"/>
      <c r="Z194" s="1585"/>
      <c r="AA194" s="1585"/>
      <c r="AB194" s="1585"/>
      <c r="AC194" s="1585"/>
      <c r="AD194" s="1585"/>
      <c r="AE194" s="1585"/>
      <c r="AF194" s="1585"/>
      <c r="AG194" s="1585"/>
      <c r="AH194" s="1585"/>
      <c r="AI194" s="1585"/>
      <c r="AJ194" s="1585"/>
      <c r="AK194" s="1585"/>
      <c r="AL194" s="1585"/>
      <c r="AM194" s="1585"/>
      <c r="AN194" s="1585"/>
      <c r="AO194" s="1585"/>
      <c r="AP194" s="1585"/>
      <c r="AQ194" s="1585"/>
      <c r="AR194" s="1585"/>
      <c r="AS194" s="1585"/>
      <c r="AT194" s="1585"/>
      <c r="AU194" s="1585"/>
      <c r="AV194" s="1585"/>
      <c r="AW194" s="1585"/>
      <c r="AX194" s="1585"/>
      <c r="AY194" s="1585"/>
      <c r="AZ194" s="1585"/>
      <c r="BA194" s="1585"/>
      <c r="BB194" s="1585"/>
      <c r="BC194" s="1585"/>
      <c r="BD194" s="1585"/>
      <c r="BE194" s="1585"/>
      <c r="BF194" s="1585"/>
      <c r="BG194" s="1585"/>
      <c r="BH194" s="1585"/>
      <c r="BI194" s="1585"/>
      <c r="BJ194" s="1585"/>
      <c r="BK194" s="1585"/>
      <c r="BL194" s="1585"/>
      <c r="BM194" s="1585"/>
      <c r="BN194" s="1585"/>
      <c r="BO194" s="1585"/>
      <c r="BP194" s="1585"/>
      <c r="BQ194" s="1585"/>
      <c r="BR194" s="1585"/>
      <c r="BS194" s="1585"/>
      <c r="BT194" s="1585"/>
      <c r="BU194" s="1585"/>
      <c r="BV194" s="1585"/>
      <c r="BW194" s="1585"/>
      <c r="BX194" s="1585"/>
      <c r="BY194" s="1585"/>
      <c r="BZ194" s="1585"/>
      <c r="CA194" s="1585"/>
      <c r="CB194" s="1585"/>
      <c r="CC194" s="1585"/>
      <c r="CD194" s="1585"/>
      <c r="CE194" s="1585"/>
      <c r="CF194" s="1585"/>
      <c r="CG194" s="1585"/>
      <c r="CH194" s="1585"/>
      <c r="CI194" s="1585"/>
      <c r="CJ194" s="1585"/>
      <c r="CK194" s="1585"/>
      <c r="CL194" s="1585"/>
      <c r="CM194" s="1585"/>
      <c r="CN194" s="1585"/>
      <c r="CO194" s="1585"/>
      <c r="CP194" s="1585"/>
      <c r="CQ194" s="1585"/>
      <c r="CR194" s="1585"/>
      <c r="CS194" s="1585"/>
      <c r="CT194" s="1585"/>
      <c r="CU194" s="1585"/>
      <c r="CV194" s="1585"/>
      <c r="CW194" s="1585"/>
      <c r="CX194" s="1585"/>
      <c r="CY194" s="1585"/>
      <c r="CZ194" s="1585"/>
    </row>
    <row r="195" spans="1:104">
      <c r="A195" s="1466"/>
      <c r="B195" s="1583"/>
      <c r="C195" s="1583"/>
      <c r="D195" s="1583"/>
      <c r="E195" s="1585"/>
      <c r="F195" s="1585"/>
      <c r="G195" s="1585"/>
      <c r="H195" s="1585"/>
      <c r="I195" s="1585"/>
      <c r="J195" s="1585"/>
      <c r="K195" s="1585"/>
      <c r="L195" s="1585"/>
      <c r="M195" s="1585"/>
      <c r="N195" s="1585"/>
      <c r="O195" s="1585"/>
      <c r="P195" s="1585"/>
      <c r="Q195" s="1585"/>
      <c r="R195" s="1585"/>
      <c r="S195" s="1585"/>
      <c r="T195" s="1585"/>
      <c r="U195" s="1585"/>
      <c r="V195" s="1585"/>
      <c r="W195" s="1585"/>
      <c r="X195" s="1585"/>
      <c r="Y195" s="1585"/>
      <c r="Z195" s="1585"/>
      <c r="AA195" s="1585"/>
      <c r="AB195" s="1585"/>
      <c r="AC195" s="1585"/>
      <c r="AD195" s="1585"/>
      <c r="AE195" s="1585"/>
      <c r="AF195" s="1585"/>
      <c r="AG195" s="1585"/>
      <c r="AH195" s="1585"/>
      <c r="AI195" s="1585"/>
      <c r="AJ195" s="1585"/>
      <c r="AK195" s="1585"/>
      <c r="AL195" s="1585"/>
      <c r="AM195" s="1585"/>
      <c r="AN195" s="1585"/>
      <c r="AO195" s="1585"/>
      <c r="AP195" s="1585"/>
      <c r="AQ195" s="1585"/>
      <c r="AR195" s="1585"/>
      <c r="AS195" s="1585"/>
      <c r="AT195" s="1585"/>
      <c r="AU195" s="1585"/>
      <c r="AV195" s="1585"/>
      <c r="AW195" s="1585"/>
      <c r="AX195" s="1585"/>
      <c r="AY195" s="1585"/>
      <c r="AZ195" s="1585"/>
      <c r="BA195" s="1585"/>
      <c r="BB195" s="1585"/>
      <c r="BC195" s="1585"/>
      <c r="BD195" s="1585"/>
      <c r="BE195" s="1585"/>
      <c r="BF195" s="1585"/>
      <c r="BG195" s="1585"/>
      <c r="BH195" s="1585"/>
      <c r="BI195" s="1585"/>
      <c r="BJ195" s="1585"/>
      <c r="BK195" s="1585"/>
      <c r="BL195" s="1585"/>
      <c r="BM195" s="1585"/>
      <c r="BN195" s="1585"/>
      <c r="BO195" s="1585"/>
      <c r="BP195" s="1585"/>
      <c r="BQ195" s="1585"/>
      <c r="BR195" s="1585"/>
      <c r="BS195" s="1585"/>
      <c r="BT195" s="1585"/>
      <c r="BU195" s="1585"/>
      <c r="BV195" s="1585"/>
      <c r="BW195" s="1585"/>
      <c r="BX195" s="1585"/>
      <c r="BY195" s="1585"/>
      <c r="BZ195" s="1585"/>
      <c r="CA195" s="1585"/>
      <c r="CB195" s="1585"/>
      <c r="CC195" s="1585"/>
      <c r="CD195" s="1585"/>
      <c r="CE195" s="1585"/>
      <c r="CF195" s="1585"/>
      <c r="CG195" s="1585"/>
      <c r="CH195" s="1585"/>
      <c r="CI195" s="1585"/>
      <c r="CJ195" s="1585"/>
      <c r="CK195" s="1585"/>
      <c r="CL195" s="1585"/>
      <c r="CM195" s="1585"/>
      <c r="CN195" s="1585"/>
      <c r="CO195" s="1585"/>
      <c r="CP195" s="1585"/>
      <c r="CQ195" s="1585"/>
      <c r="CR195" s="1585"/>
      <c r="CS195" s="1585"/>
      <c r="CT195" s="1585"/>
      <c r="CU195" s="1585"/>
      <c r="CV195" s="1585"/>
      <c r="CW195" s="1585"/>
      <c r="CX195" s="1585"/>
      <c r="CY195" s="1585"/>
      <c r="CZ195" s="1585"/>
    </row>
    <row r="196" spans="1:104">
      <c r="A196" s="1466"/>
      <c r="B196" s="1583"/>
      <c r="C196" s="1583"/>
      <c r="D196" s="1583"/>
      <c r="E196" s="1585"/>
      <c r="F196" s="1585"/>
      <c r="G196" s="1585"/>
      <c r="H196" s="1585"/>
      <c r="I196" s="1585"/>
      <c r="J196" s="1585"/>
      <c r="K196" s="1585"/>
      <c r="L196" s="1585"/>
      <c r="M196" s="1585"/>
      <c r="N196" s="1585"/>
      <c r="O196" s="1585"/>
      <c r="P196" s="1585"/>
      <c r="Q196" s="1585"/>
      <c r="R196" s="1585"/>
      <c r="S196" s="1585"/>
      <c r="T196" s="1585"/>
      <c r="U196" s="1585"/>
      <c r="V196" s="1585"/>
      <c r="W196" s="1585"/>
      <c r="X196" s="1585"/>
      <c r="Y196" s="1585"/>
      <c r="Z196" s="1585"/>
      <c r="AA196" s="1585"/>
      <c r="AB196" s="1585"/>
      <c r="AC196" s="1585"/>
      <c r="AD196" s="1585"/>
      <c r="AE196" s="1585"/>
      <c r="AF196" s="1585"/>
      <c r="AG196" s="1585"/>
      <c r="AH196" s="1585"/>
      <c r="AI196" s="1585"/>
      <c r="AJ196" s="1585"/>
      <c r="AK196" s="1585"/>
      <c r="AL196" s="1585"/>
      <c r="AM196" s="1585"/>
      <c r="AN196" s="1585"/>
      <c r="AO196" s="1585"/>
      <c r="AP196" s="1585"/>
      <c r="AQ196" s="1585"/>
      <c r="AR196" s="1585"/>
      <c r="AS196" s="1585"/>
      <c r="AT196" s="1585"/>
      <c r="AU196" s="1585"/>
      <c r="AV196" s="1585"/>
      <c r="AW196" s="1585"/>
      <c r="AX196" s="1585"/>
      <c r="AY196" s="1585"/>
      <c r="AZ196" s="1585"/>
      <c r="BA196" s="1585"/>
      <c r="BB196" s="1585"/>
      <c r="BC196" s="1585"/>
      <c r="BD196" s="1585"/>
      <c r="BE196" s="1585"/>
      <c r="BF196" s="1585"/>
      <c r="BG196" s="1585"/>
      <c r="BH196" s="1585"/>
      <c r="BI196" s="1585"/>
      <c r="BJ196" s="1585"/>
      <c r="BK196" s="1585"/>
      <c r="BL196" s="1585"/>
      <c r="BM196" s="1585"/>
      <c r="BN196" s="1585"/>
      <c r="BO196" s="1585"/>
      <c r="BP196" s="1585"/>
      <c r="BQ196" s="1585"/>
      <c r="BR196" s="1585"/>
      <c r="BS196" s="1585"/>
      <c r="BT196" s="1585"/>
      <c r="BU196" s="1585"/>
      <c r="BV196" s="1585"/>
      <c r="BW196" s="1585"/>
      <c r="BX196" s="1585"/>
      <c r="BY196" s="1585"/>
      <c r="BZ196" s="1585"/>
      <c r="CA196" s="1585"/>
      <c r="CB196" s="1585"/>
      <c r="CC196" s="1585"/>
      <c r="CD196" s="1585"/>
      <c r="CE196" s="1585"/>
      <c r="CF196" s="1585"/>
      <c r="CG196" s="1585"/>
      <c r="CH196" s="1585"/>
      <c r="CI196" s="1585"/>
      <c r="CJ196" s="1585"/>
      <c r="CK196" s="1585"/>
      <c r="CL196" s="1585"/>
      <c r="CM196" s="1585"/>
      <c r="CN196" s="1585"/>
      <c r="CO196" s="1585"/>
      <c r="CP196" s="1585"/>
      <c r="CQ196" s="1585"/>
      <c r="CR196" s="1585"/>
      <c r="CS196" s="1585"/>
      <c r="CT196" s="1585"/>
      <c r="CU196" s="1585"/>
      <c r="CV196" s="1585"/>
      <c r="CW196" s="1585"/>
      <c r="CX196" s="1585"/>
      <c r="CY196" s="1585"/>
      <c r="CZ196" s="1585"/>
    </row>
    <row r="197" spans="1:104">
      <c r="A197" s="1466"/>
      <c r="B197" s="1583"/>
      <c r="C197" s="1583"/>
      <c r="D197" s="1583"/>
      <c r="E197" s="1585"/>
      <c r="F197" s="1585"/>
      <c r="G197" s="1585"/>
      <c r="H197" s="1585"/>
      <c r="I197" s="1585"/>
      <c r="J197" s="1585"/>
      <c r="K197" s="1585"/>
      <c r="L197" s="1585"/>
      <c r="M197" s="1585"/>
      <c r="N197" s="1585"/>
      <c r="O197" s="1585"/>
      <c r="P197" s="1585"/>
      <c r="Q197" s="1585"/>
      <c r="R197" s="1585"/>
      <c r="S197" s="1585"/>
      <c r="T197" s="1585"/>
      <c r="U197" s="1585"/>
      <c r="V197" s="1585"/>
      <c r="W197" s="1585"/>
      <c r="X197" s="1585"/>
      <c r="Y197" s="1585"/>
      <c r="Z197" s="1585"/>
      <c r="AA197" s="1585"/>
      <c r="AB197" s="1585"/>
      <c r="AC197" s="1585"/>
      <c r="AD197" s="1585"/>
      <c r="AE197" s="1585"/>
      <c r="AF197" s="1585"/>
      <c r="AG197" s="1585"/>
      <c r="AH197" s="1585"/>
      <c r="AI197" s="1585"/>
      <c r="AJ197" s="1585"/>
      <c r="AK197" s="1585"/>
      <c r="AL197" s="1585"/>
      <c r="AM197" s="1585"/>
      <c r="AN197" s="1585"/>
      <c r="AO197" s="1585"/>
      <c r="AP197" s="1585"/>
      <c r="AQ197" s="1585"/>
      <c r="AR197" s="1585"/>
      <c r="AS197" s="1585"/>
      <c r="AT197" s="1585"/>
      <c r="AU197" s="1585"/>
      <c r="AV197" s="1585"/>
      <c r="AW197" s="1585"/>
      <c r="AX197" s="1585"/>
      <c r="AY197" s="1585"/>
      <c r="AZ197" s="1585"/>
      <c r="BA197" s="1585"/>
      <c r="BB197" s="1585"/>
      <c r="BC197" s="1585"/>
      <c r="BD197" s="1585"/>
      <c r="BE197" s="1585"/>
      <c r="BF197" s="1585"/>
      <c r="BG197" s="1585"/>
      <c r="BH197" s="1585"/>
      <c r="BI197" s="1585"/>
      <c r="BJ197" s="1585"/>
      <c r="BK197" s="1585"/>
      <c r="BL197" s="1585"/>
      <c r="BM197" s="1585"/>
      <c r="BN197" s="1585"/>
      <c r="BO197" s="1585"/>
      <c r="BP197" s="1585"/>
      <c r="BQ197" s="1585"/>
      <c r="BR197" s="1585"/>
      <c r="BS197" s="1585"/>
      <c r="BT197" s="1585"/>
      <c r="BU197" s="1585"/>
      <c r="BV197" s="1585"/>
      <c r="BW197" s="1585"/>
      <c r="BX197" s="1585"/>
      <c r="BY197" s="1585"/>
      <c r="BZ197" s="1585"/>
      <c r="CA197" s="1585"/>
      <c r="CB197" s="1585"/>
      <c r="CC197" s="1585"/>
      <c r="CD197" s="1585"/>
      <c r="CE197" s="1585"/>
      <c r="CF197" s="1585"/>
      <c r="CG197" s="1585"/>
      <c r="CH197" s="1585"/>
      <c r="CI197" s="1585"/>
      <c r="CJ197" s="1585"/>
      <c r="CK197" s="1585"/>
      <c r="CL197" s="1585"/>
      <c r="CM197" s="1585"/>
      <c r="CN197" s="1585"/>
      <c r="CO197" s="1585"/>
      <c r="CP197" s="1585"/>
      <c r="CQ197" s="1585"/>
      <c r="CR197" s="1585"/>
      <c r="CS197" s="1585"/>
      <c r="CT197" s="1585"/>
      <c r="CU197" s="1585"/>
      <c r="CV197" s="1585"/>
      <c r="CW197" s="1585"/>
      <c r="CX197" s="1585"/>
      <c r="CY197" s="1585"/>
      <c r="CZ197" s="1585"/>
    </row>
    <row r="198" spans="1:104">
      <c r="A198" s="1466"/>
      <c r="B198" s="1583"/>
      <c r="C198" s="1583"/>
      <c r="D198" s="1583"/>
      <c r="E198" s="1585"/>
      <c r="F198" s="1585"/>
      <c r="G198" s="1585"/>
      <c r="H198" s="1585"/>
      <c r="I198" s="1585"/>
      <c r="J198" s="1585"/>
      <c r="K198" s="1585"/>
      <c r="L198" s="1585"/>
      <c r="M198" s="1585"/>
      <c r="N198" s="1585"/>
      <c r="O198" s="1585"/>
      <c r="P198" s="1585"/>
      <c r="Q198" s="1585"/>
      <c r="R198" s="1585"/>
      <c r="S198" s="1585"/>
      <c r="T198" s="1585"/>
      <c r="U198" s="1585"/>
      <c r="V198" s="1585"/>
      <c r="W198" s="1585"/>
      <c r="X198" s="1585"/>
      <c r="Y198" s="1585"/>
      <c r="Z198" s="1585"/>
      <c r="AA198" s="1585"/>
      <c r="AB198" s="1585"/>
      <c r="AC198" s="1585"/>
      <c r="AD198" s="1585"/>
      <c r="AE198" s="1585"/>
      <c r="AF198" s="1585"/>
      <c r="AG198" s="1585"/>
      <c r="AH198" s="1585"/>
      <c r="AI198" s="1585"/>
      <c r="AJ198" s="1585"/>
      <c r="AK198" s="1585"/>
      <c r="AL198" s="1585"/>
      <c r="AM198" s="1585"/>
      <c r="AN198" s="1585"/>
      <c r="AO198" s="1585"/>
      <c r="AP198" s="1585"/>
      <c r="AQ198" s="1585"/>
      <c r="AR198" s="1585"/>
      <c r="AS198" s="1585"/>
      <c r="AT198" s="1585"/>
      <c r="AU198" s="1585"/>
      <c r="AV198" s="1585"/>
      <c r="AW198" s="1585"/>
      <c r="AX198" s="1585"/>
      <c r="AY198" s="1585"/>
      <c r="AZ198" s="1585"/>
      <c r="BA198" s="1585"/>
      <c r="BB198" s="1585"/>
      <c r="BC198" s="1585"/>
      <c r="BD198" s="1585"/>
      <c r="BE198" s="1585"/>
      <c r="BF198" s="1585"/>
      <c r="BG198" s="1585"/>
      <c r="BH198" s="1585"/>
      <c r="BI198" s="1585"/>
      <c r="BJ198" s="1585"/>
      <c r="BK198" s="1585"/>
      <c r="BL198" s="1585"/>
      <c r="BM198" s="1585"/>
      <c r="BN198" s="1585"/>
      <c r="BO198" s="1585"/>
      <c r="BP198" s="1585"/>
      <c r="BQ198" s="1585"/>
      <c r="BR198" s="1585"/>
      <c r="BS198" s="1585"/>
      <c r="BT198" s="1585"/>
      <c r="BU198" s="1585"/>
      <c r="BV198" s="1585"/>
      <c r="BW198" s="1585"/>
      <c r="BX198" s="1585"/>
      <c r="BY198" s="1585"/>
      <c r="BZ198" s="1585"/>
      <c r="CA198" s="1585"/>
      <c r="CB198" s="1585"/>
      <c r="CC198" s="1585"/>
      <c r="CD198" s="1585"/>
      <c r="CE198" s="1585"/>
      <c r="CF198" s="1585"/>
      <c r="CG198" s="1585"/>
      <c r="CH198" s="1585"/>
      <c r="CI198" s="1585"/>
      <c r="CJ198" s="1585"/>
      <c r="CK198" s="1585"/>
      <c r="CL198" s="1585"/>
      <c r="CM198" s="1585"/>
      <c r="CN198" s="1585"/>
      <c r="CO198" s="1585"/>
      <c r="CP198" s="1585"/>
      <c r="CQ198" s="1585"/>
      <c r="CR198" s="1585"/>
      <c r="CS198" s="1585"/>
      <c r="CT198" s="1585"/>
      <c r="CU198" s="1585"/>
      <c r="CV198" s="1585"/>
      <c r="CW198" s="1585"/>
      <c r="CX198" s="1585"/>
      <c r="CY198" s="1585"/>
      <c r="CZ198" s="1585"/>
    </row>
    <row r="199" spans="1:104">
      <c r="A199" s="1466"/>
      <c r="B199" s="1583"/>
      <c r="C199" s="1583"/>
      <c r="D199" s="1583"/>
      <c r="E199" s="1585"/>
      <c r="F199" s="1585"/>
      <c r="G199" s="1585"/>
      <c r="H199" s="1585"/>
      <c r="I199" s="1585"/>
      <c r="J199" s="1585"/>
      <c r="K199" s="1585"/>
      <c r="L199" s="1585"/>
      <c r="M199" s="1585"/>
      <c r="N199" s="1585"/>
      <c r="O199" s="1585"/>
      <c r="P199" s="1585"/>
      <c r="Q199" s="1585"/>
      <c r="R199" s="1585"/>
      <c r="S199" s="1585"/>
      <c r="T199" s="1585"/>
      <c r="U199" s="1585"/>
      <c r="V199" s="1585"/>
      <c r="W199" s="1585"/>
      <c r="X199" s="1585"/>
      <c r="Y199" s="1585"/>
      <c r="Z199" s="1585"/>
      <c r="AA199" s="1585"/>
      <c r="AB199" s="1585"/>
      <c r="AC199" s="1585"/>
      <c r="AD199" s="1585"/>
      <c r="AE199" s="1585"/>
      <c r="AF199" s="1585"/>
      <c r="AG199" s="1585"/>
      <c r="AH199" s="1585"/>
      <c r="AI199" s="1585"/>
      <c r="AJ199" s="1585"/>
      <c r="AK199" s="1585"/>
      <c r="AL199" s="1585"/>
      <c r="AM199" s="1585"/>
      <c r="AN199" s="1585"/>
      <c r="AO199" s="1585"/>
      <c r="AP199" s="1585"/>
      <c r="AQ199" s="1585"/>
      <c r="AR199" s="1585"/>
      <c r="AS199" s="1585"/>
      <c r="AT199" s="1585"/>
      <c r="AU199" s="1585"/>
      <c r="AV199" s="1585"/>
      <c r="AW199" s="1585"/>
      <c r="AX199" s="1585"/>
      <c r="AY199" s="1585"/>
      <c r="AZ199" s="1585"/>
      <c r="BA199" s="1585"/>
      <c r="BB199" s="1585"/>
      <c r="BC199" s="1585"/>
      <c r="BD199" s="1585"/>
      <c r="BE199" s="1585"/>
      <c r="BF199" s="1585"/>
      <c r="BG199" s="1585"/>
      <c r="BH199" s="1585"/>
      <c r="BI199" s="1585"/>
      <c r="BJ199" s="1585"/>
      <c r="BK199" s="1585"/>
      <c r="BL199" s="1585"/>
      <c r="BM199" s="1585"/>
      <c r="BN199" s="1585"/>
      <c r="BO199" s="1585"/>
      <c r="BP199" s="1585"/>
      <c r="BQ199" s="1585"/>
      <c r="BR199" s="1585"/>
      <c r="BS199" s="1585"/>
      <c r="BT199" s="1585"/>
      <c r="BU199" s="1585"/>
      <c r="BV199" s="1585"/>
      <c r="BW199" s="1585"/>
      <c r="BX199" s="1585"/>
      <c r="BY199" s="1585"/>
      <c r="BZ199" s="1585"/>
      <c r="CA199" s="1585"/>
      <c r="CB199" s="1585"/>
      <c r="CC199" s="1585"/>
      <c r="CD199" s="1585"/>
      <c r="CE199" s="1585"/>
      <c r="CF199" s="1585"/>
      <c r="CG199" s="1585"/>
      <c r="CH199" s="1585"/>
      <c r="CI199" s="1585"/>
      <c r="CJ199" s="1585"/>
      <c r="CK199" s="1585"/>
      <c r="CL199" s="1585"/>
      <c r="CM199" s="1585"/>
      <c r="CN199" s="1585"/>
      <c r="CO199" s="1585"/>
      <c r="CP199" s="1585"/>
      <c r="CQ199" s="1585"/>
      <c r="CR199" s="1585"/>
      <c r="CS199" s="1585"/>
      <c r="CT199" s="1585"/>
      <c r="CU199" s="1585"/>
      <c r="CV199" s="1585"/>
      <c r="CW199" s="1585"/>
      <c r="CX199" s="1585"/>
      <c r="CY199" s="1585"/>
      <c r="CZ199" s="1585"/>
    </row>
    <row r="200" spans="1:104">
      <c r="A200" s="1466"/>
      <c r="B200" s="1583"/>
      <c r="C200" s="1583"/>
      <c r="D200" s="1583"/>
      <c r="E200" s="1585"/>
      <c r="F200" s="1585"/>
      <c r="G200" s="1585"/>
      <c r="H200" s="1585"/>
      <c r="I200" s="1585"/>
      <c r="J200" s="1585"/>
      <c r="K200" s="1585"/>
      <c r="L200" s="1585"/>
      <c r="M200" s="1585"/>
      <c r="N200" s="1585"/>
      <c r="O200" s="1585"/>
      <c r="P200" s="1585"/>
      <c r="Q200" s="1585"/>
      <c r="R200" s="1585"/>
      <c r="S200" s="1585"/>
      <c r="T200" s="1585"/>
      <c r="U200" s="1585"/>
      <c r="V200" s="1585"/>
      <c r="W200" s="1585"/>
      <c r="X200" s="1585"/>
      <c r="Y200" s="1585"/>
      <c r="Z200" s="1585"/>
      <c r="AA200" s="1585"/>
      <c r="AB200" s="1585"/>
      <c r="AC200" s="1585"/>
      <c r="AD200" s="1585"/>
      <c r="AE200" s="1585"/>
      <c r="AF200" s="1585"/>
      <c r="AG200" s="1585"/>
      <c r="AH200" s="1585"/>
      <c r="AI200" s="1585"/>
      <c r="AJ200" s="1585"/>
      <c r="AK200" s="1585"/>
      <c r="AL200" s="1585"/>
      <c r="AM200" s="1585"/>
      <c r="AN200" s="1585"/>
      <c r="AO200" s="1585"/>
      <c r="AP200" s="1585"/>
      <c r="AQ200" s="1585"/>
      <c r="AR200" s="1585"/>
      <c r="AS200" s="1585"/>
      <c r="AT200" s="1585"/>
      <c r="AU200" s="1585"/>
      <c r="AV200" s="1585"/>
      <c r="AW200" s="1585"/>
      <c r="AX200" s="1585"/>
      <c r="AY200" s="1585"/>
      <c r="AZ200" s="1585"/>
      <c r="BA200" s="1585"/>
      <c r="BB200" s="1585"/>
      <c r="BC200" s="1585"/>
      <c r="BD200" s="1585"/>
      <c r="BE200" s="1585"/>
      <c r="BF200" s="1585"/>
      <c r="BG200" s="1585"/>
      <c r="BH200" s="1585"/>
      <c r="BI200" s="1585"/>
      <c r="BJ200" s="1585"/>
      <c r="BK200" s="1585"/>
      <c r="BL200" s="1585"/>
      <c r="BM200" s="1585"/>
      <c r="BN200" s="1585"/>
      <c r="BO200" s="1585"/>
      <c r="BP200" s="1585"/>
      <c r="BQ200" s="1585"/>
      <c r="BR200" s="1585"/>
      <c r="BS200" s="1585"/>
      <c r="BT200" s="1585"/>
      <c r="BU200" s="1585"/>
      <c r="BV200" s="1585"/>
      <c r="BW200" s="1585"/>
      <c r="BX200" s="1585"/>
      <c r="BY200" s="1585"/>
      <c r="BZ200" s="1585"/>
      <c r="CA200" s="1585"/>
      <c r="CB200" s="1585"/>
      <c r="CC200" s="1585"/>
      <c r="CD200" s="1585"/>
      <c r="CE200" s="1585"/>
      <c r="CF200" s="1585"/>
      <c r="CG200" s="1585"/>
      <c r="CH200" s="1585"/>
      <c r="CI200" s="1585"/>
      <c r="CJ200" s="1585"/>
      <c r="CK200" s="1585"/>
      <c r="CL200" s="1585"/>
      <c r="CM200" s="1585"/>
      <c r="CN200" s="1585"/>
      <c r="CO200" s="1585"/>
      <c r="CP200" s="1585"/>
      <c r="CQ200" s="1585"/>
      <c r="CR200" s="1585"/>
      <c r="CS200" s="1585"/>
      <c r="CT200" s="1585"/>
      <c r="CU200" s="1585"/>
      <c r="CV200" s="1585"/>
      <c r="CW200" s="1585"/>
      <c r="CX200" s="1585"/>
      <c r="CY200" s="1585"/>
      <c r="CZ200" s="1585"/>
    </row>
    <row r="201" spans="1:104">
      <c r="A201" s="1466"/>
      <c r="B201" s="1583"/>
      <c r="C201" s="1583"/>
      <c r="D201" s="1583"/>
      <c r="E201" s="1585"/>
      <c r="F201" s="1585"/>
      <c r="G201" s="1585"/>
      <c r="H201" s="1585"/>
      <c r="I201" s="1585"/>
      <c r="J201" s="1585"/>
      <c r="K201" s="1585"/>
      <c r="L201" s="1585"/>
      <c r="M201" s="1585"/>
      <c r="N201" s="1585"/>
      <c r="O201" s="1585"/>
      <c r="P201" s="1585"/>
      <c r="Q201" s="1585"/>
      <c r="R201" s="1585"/>
      <c r="S201" s="1585"/>
      <c r="T201" s="1585"/>
      <c r="U201" s="1585"/>
      <c r="V201" s="1585"/>
      <c r="W201" s="1585"/>
      <c r="X201" s="1585"/>
      <c r="Y201" s="1585"/>
      <c r="Z201" s="1585"/>
      <c r="AA201" s="1585"/>
      <c r="AB201" s="1585"/>
      <c r="AC201" s="1585"/>
      <c r="AD201" s="1585"/>
      <c r="AE201" s="1585"/>
      <c r="AF201" s="1585"/>
      <c r="AG201" s="1585"/>
      <c r="AH201" s="1585"/>
      <c r="AI201" s="1585"/>
      <c r="AJ201" s="1585"/>
      <c r="AK201" s="1585"/>
      <c r="AL201" s="1585"/>
      <c r="AM201" s="1585"/>
      <c r="AN201" s="1585"/>
      <c r="AO201" s="1585"/>
      <c r="AP201" s="1585"/>
      <c r="AQ201" s="1585"/>
      <c r="AR201" s="1585"/>
      <c r="AS201" s="1585"/>
      <c r="AT201" s="1585"/>
      <c r="AU201" s="1585"/>
      <c r="AV201" s="1585"/>
      <c r="AW201" s="1585"/>
      <c r="AX201" s="1585"/>
      <c r="AY201" s="1585"/>
      <c r="AZ201" s="1585"/>
      <c r="BA201" s="1585"/>
      <c r="BB201" s="1585"/>
      <c r="BC201" s="1585"/>
      <c r="BD201" s="1585"/>
      <c r="BE201" s="1585"/>
      <c r="BF201" s="1585"/>
      <c r="BG201" s="1585"/>
      <c r="BH201" s="1585"/>
      <c r="BI201" s="1585"/>
      <c r="BJ201" s="1585"/>
      <c r="BK201" s="1585"/>
      <c r="BL201" s="1585"/>
      <c r="BM201" s="1585"/>
      <c r="BN201" s="1585"/>
      <c r="BO201" s="1585"/>
      <c r="BP201" s="1585"/>
      <c r="BQ201" s="1585"/>
      <c r="BR201" s="1585"/>
      <c r="BS201" s="1585"/>
      <c r="BT201" s="1585"/>
      <c r="BU201" s="1585"/>
      <c r="BV201" s="1585"/>
      <c r="BW201" s="1585"/>
      <c r="BX201" s="1585"/>
      <c r="BY201" s="1585"/>
      <c r="BZ201" s="1585"/>
      <c r="CA201" s="1585"/>
      <c r="CB201" s="1585"/>
      <c r="CC201" s="1585"/>
      <c r="CD201" s="1585"/>
      <c r="CE201" s="1585"/>
      <c r="CF201" s="1585"/>
      <c r="CG201" s="1585"/>
      <c r="CH201" s="1585"/>
      <c r="CI201" s="1585"/>
      <c r="CJ201" s="1585"/>
      <c r="CK201" s="1585"/>
      <c r="CL201" s="1585"/>
      <c r="CM201" s="1585"/>
      <c r="CN201" s="1585"/>
      <c r="CO201" s="1585"/>
      <c r="CP201" s="1585"/>
      <c r="CQ201" s="1585"/>
      <c r="CR201" s="1585"/>
      <c r="CS201" s="1585"/>
      <c r="CT201" s="1585"/>
      <c r="CU201" s="1585"/>
      <c r="CV201" s="1585"/>
      <c r="CW201" s="1585"/>
      <c r="CX201" s="1585"/>
      <c r="CY201" s="1585"/>
      <c r="CZ201" s="1585"/>
    </row>
    <row r="202" spans="1:104">
      <c r="A202" s="1466"/>
      <c r="B202" s="1583"/>
      <c r="C202" s="1583"/>
      <c r="D202" s="1583"/>
      <c r="E202" s="1585"/>
      <c r="F202" s="1585"/>
      <c r="G202" s="1585"/>
      <c r="H202" s="1585"/>
      <c r="I202" s="1585"/>
      <c r="J202" s="1585"/>
      <c r="K202" s="1585"/>
      <c r="L202" s="1585"/>
      <c r="M202" s="1585"/>
      <c r="N202" s="1585"/>
      <c r="O202" s="1585"/>
      <c r="P202" s="1585"/>
      <c r="Q202" s="1585"/>
      <c r="R202" s="1585"/>
      <c r="S202" s="1585"/>
      <c r="T202" s="1585"/>
      <c r="U202" s="1585"/>
      <c r="V202" s="1585"/>
      <c r="W202" s="1585"/>
      <c r="X202" s="1585"/>
      <c r="Y202" s="1585"/>
      <c r="Z202" s="1585"/>
      <c r="AA202" s="1585"/>
      <c r="AB202" s="1585"/>
      <c r="AC202" s="1585"/>
      <c r="AD202" s="1585"/>
      <c r="AE202" s="1585"/>
      <c r="AF202" s="1585"/>
      <c r="AG202" s="1585"/>
      <c r="AH202" s="1585"/>
      <c r="AI202" s="1585"/>
      <c r="AJ202" s="1585"/>
      <c r="AK202" s="1585"/>
      <c r="AL202" s="1585"/>
      <c r="AM202" s="1585"/>
      <c r="AN202" s="1585"/>
      <c r="AO202" s="1585"/>
      <c r="AP202" s="1585"/>
      <c r="AQ202" s="1585"/>
      <c r="AR202" s="1585"/>
      <c r="AS202" s="1585"/>
      <c r="AT202" s="1585"/>
      <c r="AU202" s="1585"/>
      <c r="AV202" s="1585"/>
      <c r="AW202" s="1585"/>
      <c r="AX202" s="1585"/>
      <c r="AY202" s="1585"/>
      <c r="AZ202" s="1585"/>
      <c r="BA202" s="1585"/>
      <c r="BB202" s="1585"/>
      <c r="BC202" s="1585"/>
      <c r="BD202" s="1585"/>
      <c r="BE202" s="1585"/>
      <c r="BF202" s="1585"/>
      <c r="BG202" s="1585"/>
      <c r="BH202" s="1585"/>
      <c r="BI202" s="1585"/>
      <c r="BJ202" s="1585"/>
      <c r="BK202" s="1585"/>
      <c r="BL202" s="1585"/>
      <c r="BM202" s="1585"/>
      <c r="BN202" s="1585"/>
      <c r="BO202" s="1585"/>
      <c r="BP202" s="1585"/>
      <c r="BQ202" s="1585"/>
      <c r="BR202" s="1585"/>
      <c r="BS202" s="1585"/>
      <c r="BT202" s="1585"/>
      <c r="BU202" s="1585"/>
      <c r="BV202" s="1585"/>
      <c r="BW202" s="1585"/>
      <c r="BX202" s="1585"/>
      <c r="BY202" s="1585"/>
      <c r="BZ202" s="1585"/>
      <c r="CA202" s="1585"/>
      <c r="CB202" s="1585"/>
      <c r="CC202" s="1585"/>
      <c r="CD202" s="1585"/>
      <c r="CE202" s="1585"/>
      <c r="CF202" s="1585"/>
      <c r="CG202" s="1585"/>
      <c r="CH202" s="1585"/>
      <c r="CI202" s="1585"/>
      <c r="CJ202" s="1585"/>
      <c r="CK202" s="1585"/>
      <c r="CL202" s="1585"/>
      <c r="CM202" s="1585"/>
      <c r="CN202" s="1585"/>
      <c r="CO202" s="1585"/>
      <c r="CP202" s="1585"/>
      <c r="CQ202" s="1585"/>
      <c r="CR202" s="1585"/>
      <c r="CS202" s="1585"/>
      <c r="CT202" s="1585"/>
      <c r="CU202" s="1585"/>
      <c r="CV202" s="1585"/>
      <c r="CW202" s="1585"/>
      <c r="CX202" s="1585"/>
      <c r="CY202" s="1585"/>
      <c r="CZ202" s="1585"/>
    </row>
    <row r="203" spans="1:104">
      <c r="A203" s="1466"/>
      <c r="B203" s="1583"/>
      <c r="C203" s="1583"/>
      <c r="D203" s="1583"/>
      <c r="E203" s="1585"/>
      <c r="F203" s="1585"/>
      <c r="G203" s="1585"/>
      <c r="H203" s="1585"/>
      <c r="I203" s="1585"/>
      <c r="J203" s="1585"/>
      <c r="K203" s="1585"/>
      <c r="L203" s="1585"/>
      <c r="M203" s="1585"/>
      <c r="N203" s="1585"/>
      <c r="O203" s="1585"/>
      <c r="P203" s="1585"/>
      <c r="Q203" s="1585"/>
      <c r="R203" s="1585"/>
      <c r="S203" s="1585"/>
      <c r="T203" s="1585"/>
      <c r="U203" s="1585"/>
      <c r="V203" s="1585"/>
      <c r="W203" s="1585"/>
      <c r="X203" s="1585"/>
      <c r="Y203" s="1585"/>
      <c r="Z203" s="1585"/>
      <c r="AA203" s="1585"/>
      <c r="AB203" s="1585"/>
      <c r="AC203" s="1585"/>
      <c r="AD203" s="1585"/>
      <c r="AE203" s="1585"/>
      <c r="AF203" s="1585"/>
      <c r="AG203" s="1585"/>
      <c r="AH203" s="1585"/>
      <c r="AI203" s="1585"/>
      <c r="AJ203" s="1585"/>
      <c r="AK203" s="1585"/>
      <c r="AL203" s="1585"/>
      <c r="AM203" s="1585"/>
      <c r="AN203" s="1585"/>
      <c r="AO203" s="1585"/>
      <c r="AP203" s="1585"/>
      <c r="AQ203" s="1585"/>
      <c r="AR203" s="1585"/>
      <c r="AS203" s="1585"/>
      <c r="AT203" s="1585"/>
      <c r="AU203" s="1585"/>
      <c r="AV203" s="1585"/>
      <c r="AW203" s="1585"/>
      <c r="AX203" s="1585"/>
      <c r="AY203" s="1585"/>
      <c r="AZ203" s="1585"/>
      <c r="BA203" s="1585"/>
      <c r="BB203" s="1585"/>
      <c r="BC203" s="1585"/>
      <c r="BD203" s="1585"/>
      <c r="BE203" s="1585"/>
      <c r="BF203" s="1585"/>
      <c r="BG203" s="1585"/>
      <c r="BH203" s="1585"/>
      <c r="BI203" s="1585"/>
      <c r="BJ203" s="1585"/>
      <c r="BK203" s="1585"/>
      <c r="BL203" s="1585"/>
      <c r="BM203" s="1585"/>
      <c r="BN203" s="1585"/>
      <c r="BO203" s="1585"/>
      <c r="BP203" s="1585"/>
      <c r="BQ203" s="1585"/>
      <c r="BR203" s="1585"/>
      <c r="BS203" s="1585"/>
      <c r="BT203" s="1585"/>
      <c r="BU203" s="1585"/>
      <c r="BV203" s="1585"/>
      <c r="BW203" s="1585"/>
      <c r="BX203" s="1585"/>
      <c r="BY203" s="1585"/>
      <c r="BZ203" s="1585"/>
      <c r="CA203" s="1585"/>
      <c r="CB203" s="1585"/>
      <c r="CC203" s="1585"/>
      <c r="CD203" s="1585"/>
      <c r="CE203" s="1585"/>
      <c r="CF203" s="1585"/>
      <c r="CG203" s="1585"/>
      <c r="CH203" s="1585"/>
      <c r="CI203" s="1585"/>
      <c r="CJ203" s="1585"/>
      <c r="CK203" s="1585"/>
      <c r="CL203" s="1585"/>
      <c r="CM203" s="1585"/>
      <c r="CN203" s="1585"/>
      <c r="CO203" s="1585"/>
      <c r="CP203" s="1585"/>
      <c r="CQ203" s="1585"/>
      <c r="CR203" s="1585"/>
      <c r="CS203" s="1585"/>
      <c r="CT203" s="1585"/>
      <c r="CU203" s="1585"/>
      <c r="CV203" s="1585"/>
      <c r="CW203" s="1585"/>
      <c r="CX203" s="1585"/>
      <c r="CY203" s="1585"/>
      <c r="CZ203" s="1585"/>
    </row>
    <row r="204" spans="1:104">
      <c r="A204" s="1466"/>
      <c r="B204" s="1583"/>
      <c r="C204" s="1583"/>
      <c r="D204" s="1583"/>
      <c r="E204" s="1585"/>
      <c r="F204" s="1585"/>
      <c r="G204" s="1585"/>
      <c r="H204" s="1585"/>
      <c r="I204" s="1585"/>
      <c r="J204" s="1585"/>
      <c r="K204" s="1585"/>
      <c r="L204" s="1585"/>
      <c r="M204" s="1585"/>
      <c r="N204" s="1585"/>
      <c r="O204" s="1585"/>
      <c r="P204" s="1585"/>
      <c r="Q204" s="1585"/>
      <c r="R204" s="1585"/>
      <c r="S204" s="1585"/>
      <c r="T204" s="1585"/>
      <c r="U204" s="1585"/>
      <c r="V204" s="1585"/>
      <c r="W204" s="1585"/>
      <c r="X204" s="1585"/>
      <c r="Y204" s="1585"/>
      <c r="Z204" s="1585"/>
      <c r="AA204" s="1585"/>
      <c r="AB204" s="1585"/>
      <c r="AC204" s="1585"/>
      <c r="AD204" s="1585"/>
      <c r="AE204" s="1585"/>
      <c r="AF204" s="1585"/>
      <c r="AG204" s="1585"/>
      <c r="AH204" s="1585"/>
      <c r="AI204" s="1585"/>
      <c r="AJ204" s="1585"/>
      <c r="AK204" s="1585"/>
      <c r="AL204" s="1585"/>
      <c r="AM204" s="1585"/>
      <c r="AN204" s="1585"/>
      <c r="AO204" s="1585"/>
      <c r="AP204" s="1585"/>
      <c r="AQ204" s="1585"/>
      <c r="AR204" s="1585"/>
      <c r="AS204" s="1585"/>
      <c r="AT204" s="1585"/>
      <c r="AU204" s="1585"/>
      <c r="AV204" s="1585"/>
      <c r="AW204" s="1585"/>
      <c r="AX204" s="1585"/>
      <c r="AY204" s="1585"/>
      <c r="AZ204" s="1585"/>
      <c r="BA204" s="1585"/>
      <c r="BB204" s="1585"/>
      <c r="BC204" s="1585"/>
      <c r="BD204" s="1585"/>
      <c r="BE204" s="1585"/>
      <c r="BF204" s="1585"/>
      <c r="BG204" s="1585"/>
      <c r="BH204" s="1585"/>
      <c r="BI204" s="1585"/>
      <c r="BJ204" s="1585"/>
      <c r="BK204" s="1585"/>
      <c r="BL204" s="1585"/>
      <c r="BM204" s="1585"/>
      <c r="BN204" s="1585"/>
      <c r="BO204" s="1585"/>
      <c r="BP204" s="1585"/>
      <c r="BQ204" s="1585"/>
      <c r="BR204" s="1585"/>
      <c r="BS204" s="1585"/>
      <c r="BT204" s="1585"/>
      <c r="BU204" s="1585"/>
      <c r="BV204" s="1585"/>
      <c r="BW204" s="1585"/>
      <c r="BX204" s="1585"/>
      <c r="BY204" s="1585"/>
      <c r="BZ204" s="1585"/>
      <c r="CA204" s="1585"/>
      <c r="CB204" s="1585"/>
      <c r="CC204" s="1585"/>
      <c r="CD204" s="1585"/>
      <c r="CE204" s="1585"/>
      <c r="CF204" s="1585"/>
      <c r="CG204" s="1585"/>
      <c r="CH204" s="1585"/>
      <c r="CI204" s="1585"/>
      <c r="CJ204" s="1585"/>
      <c r="CK204" s="1585"/>
      <c r="CL204" s="1585"/>
      <c r="CM204" s="1585"/>
      <c r="CN204" s="1585"/>
      <c r="CO204" s="1585"/>
      <c r="CP204" s="1585"/>
      <c r="CQ204" s="1585"/>
      <c r="CR204" s="1585"/>
      <c r="CS204" s="1585"/>
      <c r="CT204" s="1585"/>
      <c r="CU204" s="1585"/>
      <c r="CV204" s="1585"/>
      <c r="CW204" s="1585"/>
      <c r="CX204" s="1585"/>
      <c r="CY204" s="1585"/>
      <c r="CZ204" s="1585"/>
    </row>
    <row r="205" spans="1:104">
      <c r="A205" s="1466"/>
      <c r="B205" s="1583"/>
      <c r="C205" s="1583"/>
      <c r="D205" s="1583"/>
      <c r="E205" s="1585"/>
      <c r="F205" s="1585"/>
      <c r="G205" s="1585"/>
      <c r="H205" s="1585"/>
      <c r="I205" s="1585"/>
      <c r="J205" s="1585"/>
      <c r="K205" s="1585"/>
      <c r="L205" s="1585"/>
      <c r="M205" s="1585"/>
      <c r="N205" s="1585"/>
      <c r="O205" s="1585"/>
      <c r="P205" s="1585"/>
      <c r="Q205" s="1585"/>
      <c r="R205" s="1585"/>
      <c r="S205" s="1585"/>
      <c r="T205" s="1585"/>
      <c r="U205" s="1585"/>
      <c r="V205" s="1585"/>
      <c r="W205" s="1585"/>
      <c r="X205" s="1585"/>
      <c r="Y205" s="1585"/>
      <c r="Z205" s="1585"/>
      <c r="AA205" s="1585"/>
      <c r="AB205" s="1585"/>
      <c r="AC205" s="1585"/>
      <c r="AD205" s="1585"/>
      <c r="AE205" s="1585"/>
      <c r="AF205" s="1585"/>
      <c r="AG205" s="1585"/>
      <c r="AH205" s="1585"/>
      <c r="AI205" s="1585"/>
      <c r="AJ205" s="1585"/>
      <c r="AK205" s="1585"/>
      <c r="AL205" s="1585"/>
      <c r="AM205" s="1585"/>
      <c r="AN205" s="1585"/>
      <c r="AO205" s="1585"/>
      <c r="AP205" s="1585"/>
      <c r="AQ205" s="1585"/>
      <c r="AR205" s="1585"/>
      <c r="AS205" s="1585"/>
      <c r="AT205" s="1585"/>
      <c r="AU205" s="1585"/>
      <c r="AV205" s="1585"/>
      <c r="AW205" s="1585"/>
      <c r="AX205" s="1585"/>
      <c r="AY205" s="1585"/>
      <c r="AZ205" s="1585"/>
      <c r="BA205" s="1585"/>
      <c r="BB205" s="1585"/>
      <c r="BC205" s="1585"/>
      <c r="BD205" s="1585"/>
      <c r="BE205" s="1585"/>
      <c r="BF205" s="1585"/>
      <c r="BG205" s="1585"/>
      <c r="BH205" s="1585"/>
      <c r="BI205" s="1585"/>
      <c r="BJ205" s="1585"/>
      <c r="BK205" s="1585"/>
      <c r="BL205" s="1585"/>
      <c r="BM205" s="1585"/>
      <c r="BN205" s="1585"/>
      <c r="BO205" s="1585"/>
      <c r="BP205" s="1585"/>
      <c r="BQ205" s="1585"/>
      <c r="BR205" s="1585"/>
      <c r="BS205" s="1585"/>
      <c r="BT205" s="1585"/>
      <c r="BU205" s="1585"/>
      <c r="BV205" s="1585"/>
      <c r="BW205" s="1585"/>
      <c r="BX205" s="1585"/>
      <c r="BY205" s="1585"/>
      <c r="BZ205" s="1585"/>
      <c r="CA205" s="1585"/>
      <c r="CB205" s="1585"/>
      <c r="CC205" s="1585"/>
      <c r="CD205" s="1585"/>
      <c r="CE205" s="1585"/>
      <c r="CF205" s="1585"/>
      <c r="CG205" s="1585"/>
      <c r="CH205" s="1585"/>
      <c r="CI205" s="1585"/>
      <c r="CJ205" s="1585"/>
      <c r="CK205" s="1585"/>
      <c r="CL205" s="1585"/>
      <c r="CM205" s="1585"/>
      <c r="CN205" s="1585"/>
      <c r="CO205" s="1585"/>
      <c r="CP205" s="1585"/>
      <c r="CQ205" s="1585"/>
      <c r="CR205" s="1585"/>
      <c r="CS205" s="1585"/>
      <c r="CT205" s="1585"/>
      <c r="CU205" s="1585"/>
      <c r="CV205" s="1585"/>
      <c r="CW205" s="1585"/>
      <c r="CX205" s="1585"/>
      <c r="CY205" s="1585"/>
      <c r="CZ205" s="1585"/>
    </row>
    <row r="206" spans="1:104">
      <c r="A206" s="1466"/>
      <c r="B206" s="1583"/>
      <c r="C206" s="1583"/>
      <c r="D206" s="1583"/>
      <c r="E206" s="1585"/>
      <c r="F206" s="1585"/>
      <c r="G206" s="1585"/>
      <c r="H206" s="1585"/>
      <c r="I206" s="1585"/>
      <c r="J206" s="1585"/>
      <c r="K206" s="1585"/>
      <c r="L206" s="1585"/>
      <c r="M206" s="1585"/>
      <c r="N206" s="1585"/>
      <c r="O206" s="1585"/>
      <c r="P206" s="1585"/>
      <c r="Q206" s="1585"/>
      <c r="R206" s="1585"/>
      <c r="S206" s="1585"/>
      <c r="T206" s="1585"/>
      <c r="U206" s="1585"/>
      <c r="V206" s="1585"/>
      <c r="W206" s="1585"/>
      <c r="X206" s="1585"/>
      <c r="Y206" s="1585"/>
      <c r="Z206" s="1585"/>
      <c r="AA206" s="1585"/>
      <c r="AB206" s="1585"/>
      <c r="AC206" s="1585"/>
      <c r="AD206" s="1585"/>
      <c r="AE206" s="1585"/>
      <c r="AF206" s="1585"/>
      <c r="AG206" s="1585"/>
      <c r="AH206" s="1585"/>
      <c r="AI206" s="1585"/>
      <c r="AJ206" s="1585"/>
      <c r="AK206" s="1585"/>
      <c r="AL206" s="1585"/>
      <c r="AM206" s="1585"/>
      <c r="AN206" s="1585"/>
      <c r="AO206" s="1585"/>
      <c r="AP206" s="1585"/>
      <c r="AQ206" s="1585"/>
      <c r="AR206" s="1585"/>
      <c r="AS206" s="1585"/>
      <c r="AT206" s="1585"/>
      <c r="AU206" s="1585"/>
      <c r="AV206" s="1585"/>
      <c r="AW206" s="1585"/>
      <c r="AX206" s="1585"/>
      <c r="AY206" s="1585"/>
      <c r="AZ206" s="1585"/>
      <c r="BA206" s="1585"/>
      <c r="BB206" s="1585"/>
      <c r="BC206" s="1585"/>
      <c r="BD206" s="1585"/>
      <c r="BE206" s="1585"/>
      <c r="BF206" s="1585"/>
      <c r="BG206" s="1585"/>
      <c r="BH206" s="1585"/>
      <c r="BI206" s="1585"/>
      <c r="BJ206" s="1585"/>
      <c r="BK206" s="1585"/>
      <c r="BL206" s="1585"/>
      <c r="BM206" s="1585"/>
      <c r="BN206" s="1585"/>
      <c r="BO206" s="1585"/>
      <c r="BP206" s="1585"/>
      <c r="BQ206" s="1585"/>
      <c r="BR206" s="1585"/>
      <c r="BS206" s="1585"/>
      <c r="BT206" s="1585"/>
      <c r="BU206" s="1585"/>
      <c r="BV206" s="1585"/>
      <c r="BW206" s="1585"/>
      <c r="BX206" s="1585"/>
      <c r="BY206" s="1585"/>
      <c r="BZ206" s="1585"/>
      <c r="CA206" s="1585"/>
      <c r="CB206" s="1585"/>
      <c r="CC206" s="1585"/>
      <c r="CD206" s="1585"/>
      <c r="CE206" s="1585"/>
      <c r="CF206" s="1585"/>
      <c r="CG206" s="1585"/>
      <c r="CH206" s="1585"/>
      <c r="CI206" s="1585"/>
      <c r="CJ206" s="1585"/>
      <c r="CK206" s="1585"/>
      <c r="CL206" s="1585"/>
      <c r="CM206" s="1585"/>
      <c r="CN206" s="1585"/>
      <c r="CO206" s="1585"/>
      <c r="CP206" s="1585"/>
      <c r="CQ206" s="1585"/>
      <c r="CR206" s="1585"/>
      <c r="CS206" s="1585"/>
      <c r="CT206" s="1585"/>
      <c r="CU206" s="1585"/>
      <c r="CV206" s="1585"/>
      <c r="CW206" s="1585"/>
      <c r="CX206" s="1585"/>
      <c r="CY206" s="1585"/>
      <c r="CZ206" s="1585"/>
    </row>
    <row r="207" spans="1:104">
      <c r="A207" s="1466"/>
      <c r="B207" s="1583"/>
      <c r="C207" s="1583"/>
      <c r="D207" s="1583"/>
      <c r="E207" s="1585"/>
      <c r="F207" s="1585"/>
      <c r="G207" s="1585"/>
      <c r="H207" s="1585"/>
      <c r="I207" s="1585"/>
      <c r="J207" s="1585"/>
      <c r="K207" s="1585"/>
      <c r="L207" s="1585"/>
      <c r="M207" s="1585"/>
      <c r="N207" s="1585"/>
      <c r="O207" s="1585"/>
      <c r="P207" s="1585"/>
      <c r="Q207" s="1585"/>
      <c r="R207" s="1585"/>
      <c r="S207" s="1585"/>
      <c r="T207" s="1585"/>
      <c r="U207" s="1585"/>
      <c r="V207" s="1585"/>
      <c r="W207" s="1585"/>
      <c r="X207" s="1585"/>
      <c r="Y207" s="1585"/>
      <c r="Z207" s="1585"/>
      <c r="AA207" s="1585"/>
      <c r="AB207" s="1585"/>
      <c r="AC207" s="1585"/>
      <c r="AD207" s="1585"/>
      <c r="AE207" s="1585"/>
      <c r="AF207" s="1585"/>
      <c r="AG207" s="1585"/>
      <c r="AH207" s="1585"/>
      <c r="AI207" s="1585"/>
      <c r="AJ207" s="1585"/>
      <c r="AK207" s="1585"/>
      <c r="AL207" s="1585"/>
      <c r="AM207" s="1585"/>
      <c r="AN207" s="1585"/>
      <c r="AO207" s="1585"/>
      <c r="AP207" s="1585"/>
      <c r="AQ207" s="1585"/>
      <c r="AR207" s="1585"/>
      <c r="AS207" s="1585"/>
      <c r="AT207" s="1585"/>
      <c r="AU207" s="1585"/>
      <c r="AV207" s="1585"/>
      <c r="AW207" s="1585"/>
      <c r="AX207" s="1585"/>
      <c r="AY207" s="1585"/>
      <c r="AZ207" s="1585"/>
      <c r="BA207" s="1585"/>
      <c r="BB207" s="1585"/>
      <c r="BC207" s="1585"/>
      <c r="BD207" s="1585"/>
      <c r="BE207" s="1585"/>
      <c r="BF207" s="1585"/>
      <c r="BG207" s="1585"/>
      <c r="BH207" s="1585"/>
      <c r="BI207" s="1585"/>
      <c r="BJ207" s="1585"/>
      <c r="BK207" s="1585"/>
      <c r="BL207" s="1585"/>
      <c r="BM207" s="1585"/>
      <c r="BN207" s="1585"/>
      <c r="BO207" s="1585"/>
      <c r="BP207" s="1585"/>
      <c r="BQ207" s="1585"/>
      <c r="BR207" s="1585"/>
      <c r="BS207" s="1585"/>
      <c r="BT207" s="1585"/>
      <c r="BU207" s="1585"/>
      <c r="BV207" s="1585"/>
      <c r="BW207" s="1585"/>
      <c r="BX207" s="1585"/>
      <c r="BY207" s="1585"/>
      <c r="BZ207" s="1585"/>
      <c r="CA207" s="1585"/>
      <c r="CB207" s="1585"/>
      <c r="CC207" s="1585"/>
      <c r="CD207" s="1585"/>
      <c r="CE207" s="1585"/>
      <c r="CF207" s="1585"/>
      <c r="CG207" s="1585"/>
      <c r="CH207" s="1585"/>
      <c r="CI207" s="1585"/>
      <c r="CJ207" s="1585"/>
      <c r="CK207" s="1585"/>
      <c r="CL207" s="1585"/>
      <c r="CM207" s="1585"/>
      <c r="CN207" s="1585"/>
      <c r="CO207" s="1585"/>
      <c r="CP207" s="1585"/>
      <c r="CQ207" s="1585"/>
      <c r="CR207" s="1585"/>
      <c r="CS207" s="1585"/>
      <c r="CT207" s="1585"/>
      <c r="CU207" s="1585"/>
      <c r="CV207" s="1585"/>
      <c r="CW207" s="1585"/>
      <c r="CX207" s="1585"/>
      <c r="CY207" s="1585"/>
      <c r="CZ207" s="1585"/>
    </row>
    <row r="208" spans="1:104">
      <c r="A208" s="1466"/>
      <c r="B208" s="1583"/>
      <c r="C208" s="1583"/>
      <c r="D208" s="1583"/>
      <c r="E208" s="1585"/>
      <c r="F208" s="1585"/>
      <c r="G208" s="1585"/>
      <c r="H208" s="1585"/>
      <c r="I208" s="1585"/>
      <c r="J208" s="1585"/>
      <c r="K208" s="1585"/>
      <c r="L208" s="1585"/>
      <c r="M208" s="1585"/>
      <c r="N208" s="1585"/>
      <c r="O208" s="1585"/>
      <c r="P208" s="1585"/>
      <c r="Q208" s="1585"/>
      <c r="R208" s="1585"/>
      <c r="S208" s="1585"/>
      <c r="T208" s="1585"/>
      <c r="U208" s="1585"/>
      <c r="V208" s="1585"/>
      <c r="W208" s="1585"/>
      <c r="X208" s="1585"/>
      <c r="Y208" s="1585"/>
      <c r="Z208" s="1585"/>
      <c r="AA208" s="1585"/>
      <c r="AB208" s="1585"/>
      <c r="AC208" s="1585"/>
      <c r="AD208" s="1585"/>
      <c r="AE208" s="1585"/>
      <c r="AF208" s="1585"/>
      <c r="AG208" s="1585"/>
      <c r="AH208" s="1585"/>
      <c r="AI208" s="1585"/>
      <c r="AJ208" s="1585"/>
      <c r="AK208" s="1585"/>
      <c r="AL208" s="1585"/>
      <c r="AM208" s="1585"/>
      <c r="AN208" s="1585"/>
      <c r="AO208" s="1585"/>
      <c r="AP208" s="1585"/>
      <c r="AQ208" s="1585"/>
      <c r="AR208" s="1585"/>
      <c r="AS208" s="1585"/>
      <c r="AT208" s="1585"/>
      <c r="AU208" s="1585"/>
      <c r="AV208" s="1585"/>
      <c r="AW208" s="1585"/>
      <c r="AX208" s="1585"/>
      <c r="AY208" s="1585"/>
      <c r="AZ208" s="1585"/>
      <c r="BA208" s="1585"/>
      <c r="BB208" s="1585"/>
      <c r="BC208" s="1585"/>
      <c r="BD208" s="1585"/>
      <c r="BE208" s="1585"/>
      <c r="BF208" s="1585"/>
      <c r="BG208" s="1585"/>
      <c r="BH208" s="1585"/>
      <c r="BI208" s="1585"/>
      <c r="BJ208" s="1585"/>
      <c r="BK208" s="1585"/>
      <c r="BL208" s="1585"/>
      <c r="BM208" s="1585"/>
      <c r="BN208" s="1585"/>
      <c r="BO208" s="1585"/>
      <c r="BP208" s="1585"/>
      <c r="BQ208" s="1585"/>
      <c r="BR208" s="1585"/>
      <c r="BS208" s="1585"/>
      <c r="BT208" s="1585"/>
      <c r="BU208" s="1585"/>
      <c r="BV208" s="1585"/>
      <c r="BW208" s="1585"/>
      <c r="BX208" s="1585"/>
      <c r="BY208" s="1585"/>
      <c r="BZ208" s="1585"/>
      <c r="CA208" s="1585"/>
      <c r="CB208" s="1585"/>
      <c r="CC208" s="1585"/>
      <c r="CD208" s="1585"/>
      <c r="CE208" s="1585"/>
      <c r="CF208" s="1585"/>
      <c r="CG208" s="1585"/>
      <c r="CH208" s="1585"/>
      <c r="CI208" s="1585"/>
      <c r="CJ208" s="1585"/>
      <c r="CK208" s="1585"/>
      <c r="CL208" s="1585"/>
      <c r="CM208" s="1585"/>
      <c r="CN208" s="1585"/>
      <c r="CO208" s="1585"/>
      <c r="CP208" s="1585"/>
      <c r="CQ208" s="1585"/>
      <c r="CR208" s="1585"/>
      <c r="CS208" s="1585"/>
      <c r="CT208" s="1585"/>
      <c r="CU208" s="1585"/>
      <c r="CV208" s="1585"/>
      <c r="CW208" s="1585"/>
      <c r="CX208" s="1585"/>
      <c r="CY208" s="1585"/>
      <c r="CZ208" s="1585"/>
    </row>
    <row r="209" spans="1:407">
      <c r="A209" s="1466"/>
      <c r="B209" s="1583"/>
      <c r="C209" s="1583"/>
      <c r="D209" s="1583"/>
      <c r="E209" s="1585"/>
      <c r="F209" s="1585"/>
      <c r="G209" s="1585"/>
      <c r="H209" s="1585"/>
      <c r="I209" s="1585"/>
      <c r="J209" s="1585"/>
      <c r="K209" s="1585"/>
      <c r="L209" s="1585"/>
      <c r="M209" s="1585"/>
      <c r="N209" s="1585"/>
      <c r="O209" s="1585"/>
      <c r="P209" s="1585"/>
      <c r="Q209" s="1585"/>
      <c r="R209" s="1585"/>
      <c r="S209" s="1585"/>
      <c r="T209" s="1585"/>
      <c r="U209" s="1585"/>
      <c r="V209" s="1585"/>
      <c r="W209" s="1585"/>
      <c r="X209" s="1585"/>
      <c r="Y209" s="1585"/>
      <c r="Z209" s="1585"/>
      <c r="AA209" s="1585"/>
      <c r="AB209" s="1585"/>
      <c r="AC209" s="1585"/>
      <c r="AD209" s="1585"/>
      <c r="AE209" s="1585"/>
      <c r="AF209" s="1585"/>
      <c r="AG209" s="1585"/>
      <c r="AH209" s="1585"/>
      <c r="AI209" s="1585"/>
      <c r="AJ209" s="1585"/>
      <c r="AK209" s="1585"/>
      <c r="AL209" s="1585"/>
      <c r="AM209" s="1585"/>
      <c r="AN209" s="1585"/>
      <c r="AO209" s="1585"/>
      <c r="AP209" s="1585"/>
      <c r="AQ209" s="1585"/>
      <c r="AR209" s="1585"/>
      <c r="AS209" s="1585"/>
      <c r="AT209" s="1585"/>
      <c r="AU209" s="1585"/>
      <c r="AV209" s="1585"/>
      <c r="AW209" s="1585"/>
      <c r="AX209" s="1585"/>
      <c r="AY209" s="1585"/>
      <c r="AZ209" s="1585"/>
      <c r="BA209" s="1585"/>
      <c r="BB209" s="1585"/>
      <c r="BC209" s="1585"/>
      <c r="BD209" s="1585"/>
      <c r="BE209" s="1585"/>
      <c r="BF209" s="1585"/>
      <c r="BG209" s="1585"/>
      <c r="BH209" s="1585"/>
      <c r="BI209" s="1585"/>
      <c r="BJ209" s="1585"/>
      <c r="BK209" s="1585"/>
      <c r="BL209" s="1585"/>
      <c r="BM209" s="1585"/>
      <c r="BN209" s="1585"/>
      <c r="BO209" s="1585"/>
      <c r="BP209" s="1585"/>
      <c r="BQ209" s="1585"/>
      <c r="BR209" s="1585"/>
      <c r="BS209" s="1585"/>
      <c r="BT209" s="1585"/>
      <c r="BU209" s="1585"/>
      <c r="BV209" s="1585"/>
      <c r="BW209" s="1585"/>
      <c r="BX209" s="1585"/>
      <c r="BY209" s="1585"/>
      <c r="BZ209" s="1585"/>
      <c r="CA209" s="1585"/>
      <c r="CB209" s="1585"/>
      <c r="CC209" s="1585"/>
      <c r="CD209" s="1585"/>
      <c r="CE209" s="1585"/>
      <c r="CF209" s="1585"/>
      <c r="CG209" s="1585"/>
      <c r="CH209" s="1585"/>
      <c r="CI209" s="1585"/>
      <c r="CJ209" s="1585"/>
      <c r="CK209" s="1585"/>
      <c r="CL209" s="1585"/>
      <c r="CM209" s="1585"/>
      <c r="CN209" s="1585"/>
      <c r="CO209" s="1585"/>
      <c r="CP209" s="1585"/>
      <c r="CQ209" s="1585"/>
      <c r="CR209" s="1585"/>
      <c r="CS209" s="1585"/>
      <c r="CT209" s="1585"/>
      <c r="CU209" s="1585"/>
      <c r="CV209" s="1585"/>
      <c r="CW209" s="1585"/>
      <c r="CX209" s="1585"/>
      <c r="CY209" s="1585"/>
      <c r="CZ209" s="1585"/>
    </row>
    <row r="210" spans="1:407">
      <c r="A210" s="1466"/>
      <c r="B210" s="1583"/>
      <c r="C210" s="1583"/>
      <c r="D210" s="1583"/>
      <c r="E210" s="1585"/>
      <c r="F210" s="1585"/>
      <c r="G210" s="1585"/>
      <c r="H210" s="1585"/>
      <c r="I210" s="1585"/>
      <c r="J210" s="1585"/>
      <c r="K210" s="1585"/>
      <c r="L210" s="1585"/>
      <c r="M210" s="1585"/>
      <c r="N210" s="1585"/>
      <c r="O210" s="1585"/>
      <c r="P210" s="1585"/>
      <c r="Q210" s="1585"/>
      <c r="R210" s="1585"/>
      <c r="S210" s="1585"/>
      <c r="T210" s="1585"/>
      <c r="U210" s="1585"/>
      <c r="V210" s="1585"/>
      <c r="W210" s="1585"/>
      <c r="X210" s="1585"/>
      <c r="Y210" s="1585"/>
      <c r="Z210" s="1585"/>
      <c r="AA210" s="1585"/>
      <c r="AB210" s="1585"/>
      <c r="AC210" s="1585"/>
      <c r="AD210" s="1585"/>
      <c r="AE210" s="1585"/>
      <c r="AF210" s="1585"/>
      <c r="AG210" s="1585"/>
      <c r="AH210" s="1585"/>
      <c r="AI210" s="1585"/>
      <c r="AJ210" s="1585"/>
      <c r="AK210" s="1585"/>
      <c r="AL210" s="1585"/>
      <c r="AM210" s="1585"/>
      <c r="AN210" s="1585"/>
      <c r="AO210" s="1585"/>
      <c r="AP210" s="1585"/>
      <c r="AQ210" s="1585"/>
      <c r="AR210" s="1585"/>
      <c r="AS210" s="1585"/>
      <c r="AT210" s="1585"/>
      <c r="AU210" s="1585"/>
      <c r="AV210" s="1585"/>
      <c r="AW210" s="1585"/>
      <c r="AX210" s="1585"/>
      <c r="AY210" s="1585"/>
      <c r="AZ210" s="1585"/>
      <c r="BA210" s="1585"/>
      <c r="BB210" s="1585"/>
      <c r="BC210" s="1585"/>
      <c r="BD210" s="1585"/>
      <c r="BE210" s="1585"/>
      <c r="BF210" s="1585"/>
      <c r="BG210" s="1585"/>
      <c r="BH210" s="1585"/>
      <c r="BI210" s="1585"/>
      <c r="BJ210" s="1585"/>
      <c r="BK210" s="1585"/>
      <c r="BL210" s="1585"/>
      <c r="BM210" s="1585"/>
      <c r="BN210" s="1585"/>
      <c r="BO210" s="1585"/>
      <c r="BP210" s="1585"/>
      <c r="BQ210" s="1585"/>
      <c r="BR210" s="1585"/>
      <c r="BS210" s="1585"/>
      <c r="BT210" s="1585"/>
      <c r="BU210" s="1585"/>
      <c r="BV210" s="1585"/>
      <c r="BW210" s="1585"/>
      <c r="BX210" s="1585"/>
      <c r="BY210" s="1585"/>
      <c r="BZ210" s="1585"/>
      <c r="CA210" s="1585"/>
      <c r="CB210" s="1585"/>
      <c r="CC210" s="1585"/>
      <c r="CD210" s="1585"/>
      <c r="CE210" s="1585"/>
      <c r="CF210" s="1585"/>
      <c r="CG210" s="1585"/>
      <c r="CH210" s="1585"/>
      <c r="CI210" s="1585"/>
      <c r="CJ210" s="1585"/>
      <c r="CK210" s="1585"/>
      <c r="CL210" s="1585"/>
      <c r="CM210" s="1585"/>
      <c r="CN210" s="1585"/>
      <c r="CO210" s="1585"/>
      <c r="CP210" s="1585"/>
      <c r="CQ210" s="1585"/>
      <c r="CR210" s="1585"/>
      <c r="CS210" s="1585"/>
      <c r="CT210" s="1585"/>
      <c r="CU210" s="1585"/>
      <c r="CV210" s="1585"/>
      <c r="CW210" s="1585"/>
      <c r="CX210" s="1585"/>
      <c r="CY210" s="1585"/>
      <c r="CZ210" s="1585"/>
    </row>
    <row r="211" spans="1:407">
      <c r="A211" s="1466"/>
      <c r="B211" s="1583"/>
      <c r="C211" s="1583"/>
      <c r="D211" s="1583"/>
      <c r="E211" s="1585"/>
      <c r="F211" s="1585"/>
      <c r="G211" s="1585"/>
      <c r="H211" s="1585"/>
      <c r="I211" s="1585"/>
      <c r="J211" s="1585"/>
      <c r="K211" s="1585"/>
      <c r="L211" s="1585"/>
      <c r="M211" s="1585"/>
      <c r="N211" s="1585"/>
      <c r="O211" s="1585"/>
      <c r="P211" s="1585"/>
      <c r="Q211" s="1585"/>
      <c r="R211" s="1585"/>
      <c r="S211" s="1585"/>
      <c r="T211" s="1585"/>
      <c r="U211" s="1585"/>
      <c r="V211" s="1585"/>
      <c r="W211" s="1585"/>
      <c r="X211" s="1585"/>
      <c r="Y211" s="1585"/>
      <c r="Z211" s="1585"/>
      <c r="AA211" s="1585"/>
      <c r="AB211" s="1585"/>
      <c r="AC211" s="1585"/>
      <c r="AD211" s="1585"/>
      <c r="AE211" s="1585"/>
      <c r="AF211" s="1585"/>
      <c r="AG211" s="1585"/>
      <c r="AH211" s="1585"/>
      <c r="AI211" s="1585"/>
      <c r="AJ211" s="1585"/>
      <c r="AK211" s="1585"/>
      <c r="AL211" s="1585"/>
      <c r="AM211" s="1585"/>
      <c r="AN211" s="1585"/>
      <c r="AO211" s="1585"/>
      <c r="AP211" s="1585"/>
      <c r="AQ211" s="1585"/>
      <c r="AR211" s="1585"/>
      <c r="AS211" s="1585"/>
      <c r="AT211" s="1585"/>
      <c r="AU211" s="1585"/>
      <c r="AV211" s="1585"/>
      <c r="AW211" s="1585"/>
      <c r="AX211" s="1585"/>
      <c r="AY211" s="1585"/>
      <c r="AZ211" s="1585"/>
      <c r="BA211" s="1585"/>
      <c r="BB211" s="1585"/>
      <c r="BC211" s="1585"/>
      <c r="BD211" s="1585"/>
      <c r="BE211" s="1585"/>
      <c r="BF211" s="1585"/>
      <c r="BG211" s="1585"/>
      <c r="BH211" s="1585"/>
      <c r="BI211" s="1585"/>
      <c r="BJ211" s="1585"/>
      <c r="BK211" s="1585"/>
      <c r="BL211" s="1585"/>
      <c r="BM211" s="1585"/>
      <c r="BN211" s="1585"/>
      <c r="BO211" s="1585"/>
      <c r="BP211" s="1585"/>
      <c r="BQ211" s="1585"/>
      <c r="BR211" s="1585"/>
      <c r="BS211" s="1585"/>
      <c r="BT211" s="1585"/>
      <c r="BU211" s="1585"/>
      <c r="BV211" s="1585"/>
      <c r="BW211" s="1585"/>
      <c r="BX211" s="1585"/>
      <c r="BY211" s="1585"/>
      <c r="BZ211" s="1585"/>
      <c r="CA211" s="1585"/>
      <c r="CB211" s="1585"/>
      <c r="CC211" s="1585"/>
      <c r="CD211" s="1585"/>
      <c r="CE211" s="1585"/>
      <c r="CF211" s="1585"/>
      <c r="CG211" s="1585"/>
      <c r="CH211" s="1585"/>
      <c r="CI211" s="1585"/>
      <c r="CJ211" s="1585"/>
      <c r="CK211" s="1585"/>
      <c r="CL211" s="1585"/>
      <c r="CM211" s="1585"/>
      <c r="CN211" s="1585"/>
      <c r="CO211" s="1585"/>
      <c r="CP211" s="1585"/>
      <c r="CQ211" s="1585"/>
      <c r="CR211" s="1585"/>
      <c r="CS211" s="1585"/>
      <c r="CT211" s="1585"/>
      <c r="CU211" s="1585"/>
      <c r="CV211" s="1585"/>
      <c r="CW211" s="1585"/>
      <c r="CX211" s="1585"/>
      <c r="CY211" s="1585"/>
      <c r="CZ211" s="1585"/>
    </row>
    <row r="212" spans="1:407">
      <c r="A212" s="1466"/>
      <c r="B212" s="1583"/>
      <c r="C212" s="1583"/>
      <c r="D212" s="1583"/>
      <c r="E212" s="1585"/>
      <c r="F212" s="1585"/>
      <c r="G212" s="1585"/>
      <c r="H212" s="1585"/>
      <c r="I212" s="1585"/>
      <c r="J212" s="1585"/>
      <c r="K212" s="1585"/>
      <c r="L212" s="1585"/>
      <c r="M212" s="1585"/>
      <c r="N212" s="1585"/>
      <c r="O212" s="1585"/>
      <c r="P212" s="1585"/>
      <c r="Q212" s="1585"/>
      <c r="R212" s="1585"/>
      <c r="S212" s="1585"/>
      <c r="T212" s="1585"/>
      <c r="U212" s="1585"/>
      <c r="V212" s="1585"/>
      <c r="W212" s="1585"/>
      <c r="X212" s="1585"/>
      <c r="Y212" s="1585"/>
      <c r="Z212" s="1585"/>
      <c r="AA212" s="1585"/>
      <c r="AB212" s="1585"/>
      <c r="AC212" s="1585"/>
      <c r="AD212" s="1585"/>
      <c r="AE212" s="1585"/>
      <c r="AF212" s="1585"/>
      <c r="AG212" s="1585"/>
      <c r="AH212" s="1585"/>
      <c r="AI212" s="1585"/>
      <c r="AJ212" s="1585"/>
      <c r="AK212" s="1585"/>
      <c r="AL212" s="1585"/>
      <c r="AM212" s="1585"/>
      <c r="AN212" s="1585"/>
      <c r="AO212" s="1585"/>
      <c r="AP212" s="1585"/>
      <c r="AQ212" s="1585"/>
      <c r="AR212" s="1585"/>
      <c r="AS212" s="1585"/>
      <c r="AT212" s="1585"/>
      <c r="AU212" s="1585"/>
      <c r="AV212" s="1585"/>
      <c r="AW212" s="1585"/>
      <c r="AX212" s="1585"/>
      <c r="AY212" s="1585"/>
      <c r="AZ212" s="1585"/>
      <c r="BA212" s="1585"/>
      <c r="BB212" s="1585"/>
      <c r="BC212" s="1585"/>
      <c r="BD212" s="1585"/>
      <c r="BE212" s="1585"/>
      <c r="BF212" s="1585"/>
      <c r="BG212" s="1585"/>
      <c r="BH212" s="1585"/>
      <c r="BI212" s="1585"/>
      <c r="BJ212" s="1585"/>
      <c r="BK212" s="1585"/>
      <c r="BL212" s="1585"/>
      <c r="BM212" s="1585"/>
      <c r="BN212" s="1585"/>
      <c r="BO212" s="1585"/>
      <c r="BP212" s="1585"/>
      <c r="BQ212" s="1585"/>
      <c r="BR212" s="1585"/>
      <c r="BS212" s="1585"/>
      <c r="BT212" s="1585"/>
      <c r="BU212" s="1585"/>
      <c r="BV212" s="1585"/>
      <c r="BW212" s="1585"/>
      <c r="BX212" s="1585"/>
      <c r="BY212" s="1585"/>
      <c r="BZ212" s="1585"/>
      <c r="CA212" s="1585"/>
      <c r="CB212" s="1585"/>
      <c r="CC212" s="1585"/>
      <c r="CD212" s="1585"/>
      <c r="CE212" s="1585"/>
      <c r="CF212" s="1585"/>
      <c r="CG212" s="1585"/>
      <c r="CH212" s="1585"/>
      <c r="CI212" s="1585"/>
      <c r="CJ212" s="1585"/>
      <c r="CK212" s="1585"/>
      <c r="CL212" s="1585"/>
      <c r="CM212" s="1585"/>
      <c r="CN212" s="1585"/>
      <c r="CO212" s="1585"/>
      <c r="CP212" s="1585"/>
      <c r="CQ212" s="1585"/>
      <c r="CR212" s="1585"/>
      <c r="CS212" s="1585"/>
      <c r="CT212" s="1585"/>
      <c r="CU212" s="1585"/>
      <c r="CV212" s="1585"/>
      <c r="CW212" s="1585"/>
      <c r="CX212" s="1585"/>
      <c r="CY212" s="1585"/>
      <c r="CZ212" s="1585"/>
    </row>
    <row r="213" spans="1:407">
      <c r="A213" s="1466"/>
      <c r="B213" s="1583"/>
      <c r="C213" s="1583"/>
      <c r="D213" s="1583"/>
      <c r="E213" s="1585"/>
      <c r="F213" s="1585"/>
      <c r="G213" s="1585"/>
      <c r="H213" s="1585"/>
      <c r="I213" s="1585"/>
      <c r="J213" s="1585"/>
      <c r="K213" s="1585"/>
      <c r="L213" s="1585"/>
      <c r="M213" s="1585"/>
      <c r="N213" s="1585"/>
      <c r="O213" s="1585"/>
      <c r="P213" s="1585"/>
      <c r="Q213" s="1585"/>
      <c r="R213" s="1585"/>
      <c r="S213" s="1585"/>
      <c r="T213" s="1585"/>
      <c r="U213" s="1585"/>
      <c r="V213" s="1585"/>
      <c r="W213" s="1585"/>
      <c r="X213" s="1585"/>
      <c r="Y213" s="1585"/>
      <c r="Z213" s="1585"/>
      <c r="AA213" s="1585"/>
      <c r="AB213" s="1585"/>
      <c r="AC213" s="1585"/>
      <c r="AD213" s="1585"/>
      <c r="AE213" s="1585"/>
      <c r="AF213" s="1585"/>
      <c r="AG213" s="1585"/>
      <c r="AH213" s="1585"/>
      <c r="AI213" s="1585"/>
      <c r="AJ213" s="1585"/>
      <c r="AK213" s="1585"/>
      <c r="AL213" s="1585"/>
      <c r="AM213" s="1585"/>
      <c r="AN213" s="1585"/>
      <c r="AO213" s="1585"/>
      <c r="AP213" s="1585"/>
      <c r="AQ213" s="1585"/>
      <c r="AR213" s="1585"/>
      <c r="AS213" s="1585"/>
      <c r="AT213" s="1585"/>
      <c r="AU213" s="1585"/>
      <c r="AV213" s="1585"/>
      <c r="AW213" s="1585"/>
      <c r="AX213" s="1585"/>
      <c r="AY213" s="1585"/>
      <c r="AZ213" s="1585"/>
      <c r="BA213" s="1585"/>
      <c r="BB213" s="1585"/>
      <c r="BC213" s="1585"/>
      <c r="BD213" s="1585"/>
      <c r="BE213" s="1585"/>
      <c r="BF213" s="1585"/>
      <c r="BG213" s="1585"/>
      <c r="BH213" s="1585"/>
      <c r="BI213" s="1585"/>
      <c r="BJ213" s="1585"/>
      <c r="BK213" s="1585"/>
      <c r="BL213" s="1585"/>
      <c r="BM213" s="1585"/>
      <c r="BN213" s="1585"/>
      <c r="BO213" s="1585"/>
      <c r="BP213" s="1585"/>
      <c r="BQ213" s="1585"/>
      <c r="BR213" s="1585"/>
      <c r="BS213" s="1585"/>
      <c r="BT213" s="1585"/>
      <c r="BU213" s="1585"/>
      <c r="BV213" s="1585"/>
      <c r="BW213" s="1585"/>
      <c r="BX213" s="1585"/>
      <c r="BY213" s="1585"/>
      <c r="BZ213" s="1585"/>
      <c r="CA213" s="1585"/>
      <c r="CB213" s="1585"/>
      <c r="CC213" s="1585"/>
      <c r="CD213" s="1585"/>
      <c r="CE213" s="1585"/>
      <c r="CF213" s="1585"/>
      <c r="CG213" s="1585"/>
      <c r="CH213" s="1585"/>
      <c r="CI213" s="1585"/>
      <c r="CJ213" s="1585"/>
      <c r="CK213" s="1585"/>
      <c r="CL213" s="1585"/>
      <c r="CM213" s="1585"/>
      <c r="CN213" s="1585"/>
      <c r="CO213" s="1585"/>
      <c r="CP213" s="1585"/>
      <c r="CQ213" s="1585"/>
      <c r="CR213" s="1585"/>
      <c r="CS213" s="1585"/>
      <c r="CT213" s="1585"/>
      <c r="CU213" s="1585"/>
      <c r="CV213" s="1585"/>
      <c r="CW213" s="1585"/>
      <c r="CX213" s="1585"/>
      <c r="CY213" s="1585"/>
      <c r="CZ213" s="1585"/>
    </row>
    <row r="214" spans="1:407" ht="13" thickBot="1">
      <c r="A214" s="1466"/>
      <c r="B214" s="1586"/>
      <c r="C214" s="1586"/>
      <c r="D214" s="1586"/>
      <c r="E214" s="1587"/>
      <c r="F214" s="1587"/>
      <c r="G214" s="1587"/>
      <c r="H214" s="1587"/>
      <c r="I214" s="1587"/>
      <c r="J214" s="1587"/>
      <c r="K214" s="1587"/>
      <c r="L214" s="1587"/>
      <c r="M214" s="1587"/>
      <c r="N214" s="1587"/>
      <c r="O214" s="1587"/>
      <c r="P214" s="1587"/>
      <c r="Q214" s="1587"/>
      <c r="R214" s="1587"/>
      <c r="S214" s="1587"/>
      <c r="T214" s="1587"/>
      <c r="U214" s="1587"/>
      <c r="V214" s="1587"/>
      <c r="W214" s="1587"/>
      <c r="X214" s="1587"/>
      <c r="Y214" s="1587"/>
      <c r="Z214" s="1587"/>
      <c r="AA214" s="1587"/>
      <c r="AB214" s="1587"/>
      <c r="AC214" s="1587"/>
      <c r="AD214" s="1587"/>
      <c r="AE214" s="1587"/>
      <c r="AF214" s="1587"/>
      <c r="AG214" s="1587"/>
      <c r="AH214" s="1587"/>
      <c r="AI214" s="1587"/>
      <c r="AJ214" s="1587"/>
      <c r="AK214" s="1587"/>
      <c r="AL214" s="1587"/>
      <c r="AM214" s="1587"/>
      <c r="AN214" s="1587"/>
      <c r="AO214" s="1587"/>
      <c r="AP214" s="1587"/>
      <c r="AQ214" s="1587"/>
      <c r="AR214" s="1587"/>
      <c r="AS214" s="1587"/>
      <c r="AT214" s="1587"/>
      <c r="AU214" s="1587"/>
      <c r="AV214" s="1587"/>
      <c r="AW214" s="1587"/>
      <c r="AX214" s="1587"/>
      <c r="AY214" s="1587"/>
      <c r="AZ214" s="1587"/>
      <c r="BA214" s="1587"/>
      <c r="BB214" s="1587"/>
      <c r="BC214" s="1587"/>
      <c r="BD214" s="1587"/>
      <c r="BE214" s="1587"/>
      <c r="BF214" s="1587"/>
      <c r="BG214" s="1587"/>
      <c r="BH214" s="1587"/>
      <c r="BI214" s="1587"/>
      <c r="BJ214" s="1587"/>
      <c r="BK214" s="1587"/>
      <c r="BL214" s="1587"/>
      <c r="BM214" s="1587"/>
      <c r="BN214" s="1587"/>
      <c r="BO214" s="1587"/>
      <c r="BP214" s="1587"/>
      <c r="BQ214" s="1587"/>
      <c r="BR214" s="1587"/>
      <c r="BS214" s="1587"/>
      <c r="BT214" s="1587"/>
      <c r="BU214" s="1587"/>
      <c r="BV214" s="1587"/>
      <c r="BW214" s="1587"/>
      <c r="BX214" s="1587"/>
      <c r="BY214" s="1587"/>
      <c r="BZ214" s="1587"/>
      <c r="CA214" s="1587"/>
      <c r="CB214" s="1587"/>
      <c r="CC214" s="1587"/>
      <c r="CD214" s="1587"/>
      <c r="CE214" s="1587"/>
      <c r="CF214" s="1587"/>
      <c r="CG214" s="1587"/>
      <c r="CH214" s="1587"/>
      <c r="CI214" s="1587"/>
      <c r="CJ214" s="1587"/>
      <c r="CK214" s="1587"/>
      <c r="CL214" s="1587"/>
      <c r="CM214" s="1587"/>
      <c r="CN214" s="1587"/>
      <c r="CO214" s="1587"/>
      <c r="CP214" s="1587"/>
      <c r="CQ214" s="1587"/>
      <c r="CR214" s="1587"/>
      <c r="CS214" s="1587"/>
      <c r="CT214" s="1587"/>
      <c r="CU214" s="1587"/>
      <c r="CV214" s="1587"/>
      <c r="CW214" s="1587"/>
      <c r="CX214" s="1587"/>
      <c r="CY214" s="1587"/>
      <c r="CZ214" s="1587"/>
      <c r="DA214" s="1606"/>
      <c r="DB214" s="1606"/>
      <c r="DC214" s="1606"/>
      <c r="DD214" s="1606"/>
      <c r="DE214" s="1606"/>
      <c r="DF214" s="1606"/>
      <c r="DG214" s="1606"/>
      <c r="DH214" s="1606"/>
      <c r="DI214" s="1606"/>
      <c r="DJ214" s="1606"/>
      <c r="DK214" s="1606"/>
      <c r="DL214" s="1606"/>
      <c r="DM214" s="1606"/>
      <c r="DN214" s="1606"/>
      <c r="DO214" s="1606"/>
      <c r="DP214" s="1606"/>
      <c r="DQ214" s="1606"/>
      <c r="DR214" s="1606"/>
      <c r="DS214" s="1606"/>
      <c r="DT214" s="1606"/>
      <c r="DU214" s="1606"/>
      <c r="DV214" s="1606"/>
      <c r="DW214" s="1606"/>
      <c r="DX214" s="1606"/>
      <c r="DY214" s="1606"/>
      <c r="DZ214" s="1606"/>
      <c r="EA214" s="1606"/>
      <c r="EB214" s="1606"/>
      <c r="EC214" s="1606"/>
      <c r="ED214" s="1606"/>
      <c r="EE214" s="1606"/>
      <c r="EF214" s="1606"/>
      <c r="EG214" s="1606"/>
      <c r="EH214" s="1606"/>
      <c r="EI214" s="1606"/>
      <c r="EJ214" s="1606"/>
      <c r="EK214" s="1606"/>
      <c r="EL214" s="1606"/>
      <c r="EM214" s="1606"/>
      <c r="EN214" s="1606"/>
      <c r="EO214" s="1606"/>
      <c r="EP214" s="1606"/>
      <c r="EQ214" s="1606"/>
      <c r="ER214" s="1606"/>
      <c r="ES214" s="1606"/>
      <c r="ET214" s="1606"/>
      <c r="EU214" s="1606"/>
      <c r="EV214" s="1606"/>
      <c r="EW214" s="1606"/>
      <c r="EX214" s="1606"/>
      <c r="EY214" s="1606"/>
      <c r="EZ214" s="1606"/>
      <c r="FA214" s="1606"/>
      <c r="FB214" s="1606"/>
      <c r="FC214" s="1606"/>
      <c r="FD214" s="1606"/>
      <c r="FE214" s="1606"/>
      <c r="FF214" s="1606"/>
      <c r="FG214" s="1606"/>
      <c r="FH214" s="1606"/>
      <c r="FI214" s="1606"/>
      <c r="FJ214" s="1606"/>
      <c r="FK214" s="1606"/>
      <c r="FL214" s="1606"/>
      <c r="FM214" s="1606"/>
      <c r="FN214" s="1606"/>
      <c r="FO214" s="1606"/>
      <c r="FP214" s="1606"/>
      <c r="FQ214" s="1606"/>
      <c r="FR214" s="1606"/>
      <c r="FS214" s="1606"/>
      <c r="FT214" s="1606"/>
      <c r="FU214" s="1606"/>
      <c r="FV214" s="1606"/>
      <c r="FW214" s="1606"/>
      <c r="FX214" s="1606"/>
      <c r="FY214" s="1606"/>
      <c r="FZ214" s="1606"/>
      <c r="GA214" s="1606"/>
      <c r="GB214" s="1606"/>
      <c r="GC214" s="1606"/>
      <c r="GD214" s="1606"/>
      <c r="GE214" s="1606"/>
      <c r="GF214" s="1606"/>
      <c r="GG214" s="1606"/>
      <c r="GH214" s="1606"/>
      <c r="GI214" s="1606"/>
      <c r="GJ214" s="1606"/>
      <c r="GK214" s="1606"/>
      <c r="GL214" s="1606"/>
      <c r="GM214" s="1606"/>
      <c r="GN214" s="1606"/>
      <c r="GO214" s="1606"/>
      <c r="GP214" s="1606"/>
      <c r="GQ214" s="1606"/>
      <c r="GR214" s="1606"/>
      <c r="GS214" s="1606"/>
      <c r="GT214" s="1606"/>
      <c r="GU214" s="1606"/>
      <c r="GV214" s="1606"/>
      <c r="GW214" s="1606"/>
      <c r="GX214" s="1606"/>
      <c r="GY214" s="1606"/>
      <c r="GZ214" s="1606"/>
      <c r="HA214" s="1606"/>
      <c r="HB214" s="1606"/>
      <c r="HC214" s="1606"/>
      <c r="HD214" s="1606"/>
      <c r="HE214" s="1606"/>
      <c r="HF214" s="1606"/>
      <c r="HG214" s="1606"/>
      <c r="HH214" s="1606"/>
      <c r="HI214" s="1606"/>
      <c r="HJ214" s="1606"/>
      <c r="HK214" s="1606"/>
      <c r="HL214" s="1606"/>
      <c r="HM214" s="1606"/>
      <c r="HN214" s="1606"/>
      <c r="HO214" s="1606"/>
      <c r="HP214" s="1606"/>
      <c r="HQ214" s="1606"/>
      <c r="HR214" s="1606"/>
      <c r="HS214" s="1606"/>
      <c r="HT214" s="1606"/>
      <c r="HU214" s="1606"/>
      <c r="HV214" s="1606"/>
      <c r="HW214" s="1606"/>
      <c r="HX214" s="1606"/>
      <c r="HY214" s="1606"/>
      <c r="HZ214" s="1606"/>
      <c r="IA214" s="1606"/>
      <c r="IB214" s="1606"/>
      <c r="IC214" s="1606"/>
      <c r="ID214" s="1606"/>
      <c r="IE214" s="1606"/>
      <c r="IF214" s="1606"/>
      <c r="IG214" s="1606"/>
      <c r="IH214" s="1606"/>
      <c r="II214" s="1606"/>
      <c r="IJ214" s="1606"/>
      <c r="IK214" s="1606"/>
      <c r="IL214" s="1606"/>
      <c r="IM214" s="1606"/>
      <c r="IN214" s="1606"/>
      <c r="IO214" s="1606"/>
      <c r="IP214" s="1606"/>
      <c r="IQ214" s="1606"/>
      <c r="IR214" s="1606"/>
      <c r="IS214" s="1606"/>
      <c r="IT214" s="1606"/>
      <c r="IU214" s="1606"/>
      <c r="IV214" s="1606"/>
      <c r="IW214" s="1606"/>
      <c r="IX214" s="1606"/>
      <c r="IY214" s="1606"/>
      <c r="IZ214" s="1606"/>
      <c r="JA214" s="1606"/>
      <c r="JB214" s="1606"/>
      <c r="JC214" s="1606"/>
      <c r="JD214" s="1606"/>
      <c r="JE214" s="1606"/>
      <c r="JF214" s="1606"/>
      <c r="JG214" s="1606"/>
      <c r="JH214" s="1606"/>
      <c r="JI214" s="1606"/>
      <c r="JJ214" s="1606"/>
      <c r="JK214" s="1606"/>
      <c r="JL214" s="1606"/>
      <c r="JM214" s="1606"/>
      <c r="JN214" s="1606"/>
      <c r="JO214" s="1606"/>
      <c r="JP214" s="1606"/>
      <c r="JQ214" s="1606"/>
      <c r="JR214" s="1606"/>
      <c r="JS214" s="1606"/>
      <c r="JT214" s="1606"/>
      <c r="JU214" s="1606"/>
      <c r="JV214" s="1606"/>
      <c r="JW214" s="1606"/>
      <c r="JX214" s="1606"/>
      <c r="JY214" s="1606"/>
      <c r="JZ214" s="1606"/>
      <c r="KA214" s="1606"/>
      <c r="KB214" s="1606"/>
      <c r="KC214" s="1606"/>
      <c r="KD214" s="1606"/>
      <c r="KE214" s="1606"/>
      <c r="KF214" s="1606"/>
      <c r="KG214" s="1606"/>
      <c r="KH214" s="1606"/>
      <c r="KI214" s="1606"/>
      <c r="KJ214" s="1606"/>
      <c r="KK214" s="1606"/>
      <c r="KL214" s="1606"/>
      <c r="KM214" s="1606"/>
      <c r="KN214" s="1606"/>
      <c r="KO214" s="1606"/>
      <c r="KP214" s="1606"/>
      <c r="KQ214" s="1606"/>
      <c r="KR214" s="1606"/>
      <c r="KS214" s="1606"/>
      <c r="KT214" s="1606"/>
      <c r="KU214" s="1606"/>
      <c r="KV214" s="1606"/>
      <c r="KW214" s="1606"/>
      <c r="KX214" s="1606"/>
      <c r="KY214" s="1606"/>
      <c r="KZ214" s="1606"/>
      <c r="LA214" s="1606"/>
      <c r="LB214" s="1606"/>
      <c r="LC214" s="1606"/>
      <c r="LD214" s="1606"/>
      <c r="LE214" s="1606"/>
      <c r="LF214" s="1606"/>
      <c r="LG214" s="1606"/>
      <c r="LH214" s="1606"/>
      <c r="LI214" s="1606"/>
      <c r="LJ214" s="1606"/>
      <c r="LK214" s="1606"/>
      <c r="LL214" s="1606"/>
      <c r="LM214" s="1606"/>
      <c r="LN214" s="1606"/>
      <c r="LO214" s="1606"/>
      <c r="LP214" s="1606"/>
      <c r="LQ214" s="1606"/>
      <c r="LR214" s="1606"/>
      <c r="LS214" s="1606"/>
      <c r="LT214" s="1606"/>
      <c r="LU214" s="1606"/>
      <c r="LV214" s="1606"/>
      <c r="LW214" s="1606"/>
      <c r="LX214" s="1606"/>
      <c r="LY214" s="1606"/>
      <c r="LZ214" s="1606"/>
      <c r="MA214" s="1606"/>
      <c r="MB214" s="1606"/>
      <c r="MC214" s="1606"/>
      <c r="MD214" s="1606"/>
      <c r="ME214" s="1606"/>
      <c r="MF214" s="1606"/>
      <c r="MG214" s="1606"/>
      <c r="MH214" s="1606"/>
      <c r="MI214" s="1606"/>
      <c r="MJ214" s="1606"/>
      <c r="MK214" s="1606"/>
      <c r="ML214" s="1606"/>
      <c r="MM214" s="1606"/>
      <c r="MN214" s="1606"/>
      <c r="MO214" s="1606"/>
      <c r="MP214" s="1606"/>
      <c r="MQ214" s="1606"/>
      <c r="MR214" s="1606"/>
      <c r="MS214" s="1606"/>
      <c r="MT214" s="1606"/>
      <c r="MU214" s="1606"/>
      <c r="MV214" s="1606"/>
      <c r="MW214" s="1606"/>
      <c r="MX214" s="1606"/>
      <c r="MY214" s="1606"/>
      <c r="MZ214" s="1606"/>
      <c r="NA214" s="1606"/>
      <c r="NB214" s="1606"/>
      <c r="NC214" s="1606"/>
      <c r="ND214" s="1606"/>
      <c r="NE214" s="1606"/>
      <c r="NF214" s="1606"/>
      <c r="NG214" s="1606"/>
      <c r="NH214" s="1606"/>
      <c r="NI214" s="1606"/>
      <c r="NJ214" s="1606"/>
      <c r="NK214" s="1606"/>
      <c r="NL214" s="1606"/>
      <c r="NM214" s="1606"/>
      <c r="NN214" s="1606"/>
      <c r="NO214" s="1606"/>
      <c r="NP214" s="1606"/>
      <c r="NQ214" s="1606"/>
      <c r="NR214" s="1606"/>
      <c r="NS214" s="1606"/>
      <c r="NT214" s="1606"/>
      <c r="NU214" s="1606"/>
      <c r="NV214" s="1606"/>
      <c r="NW214" s="1606"/>
      <c r="NX214" s="1606"/>
      <c r="NY214" s="1606"/>
      <c r="NZ214" s="1606"/>
      <c r="OA214" s="1606"/>
      <c r="OB214" s="1606"/>
      <c r="OC214" s="1606"/>
      <c r="OD214" s="1606"/>
      <c r="OE214" s="1606"/>
      <c r="OF214" s="1606"/>
      <c r="OG214" s="1606"/>
      <c r="OH214" s="1606"/>
      <c r="OI214" s="1606"/>
      <c r="OJ214" s="1606"/>
      <c r="OK214" s="1606"/>
      <c r="OL214" s="1606"/>
      <c r="OM214" s="1606"/>
      <c r="ON214" s="1606"/>
      <c r="OO214" s="1606"/>
      <c r="OP214" s="1606"/>
      <c r="OQ214" s="1606"/>
    </row>
    <row r="215" spans="1:407" ht="13" thickTop="1">
      <c r="A215" s="1466"/>
      <c r="B215" s="1588"/>
      <c r="C215" s="1588"/>
      <c r="D215" s="1588"/>
      <c r="E215" s="1589"/>
      <c r="F215" s="1589"/>
      <c r="G215" s="1589"/>
      <c r="H215" s="1589"/>
      <c r="I215" s="1589"/>
      <c r="J215" s="1589"/>
      <c r="K215" s="1589"/>
      <c r="L215" s="1589"/>
      <c r="M215" s="1589"/>
      <c r="N215" s="1589"/>
      <c r="O215" s="1589"/>
      <c r="P215" s="1589"/>
      <c r="Q215" s="1589"/>
      <c r="R215" s="1589"/>
      <c r="S215" s="1589"/>
      <c r="T215" s="1589"/>
      <c r="U215" s="1589"/>
      <c r="V215" s="1589"/>
      <c r="W215" s="1589"/>
      <c r="X215" s="1589"/>
      <c r="Y215" s="1589"/>
      <c r="Z215" s="1589"/>
      <c r="AA215" s="1589"/>
      <c r="AB215" s="1589"/>
      <c r="AC215" s="1589"/>
      <c r="AD215" s="1589"/>
      <c r="AE215" s="1589"/>
      <c r="AF215" s="1589"/>
      <c r="AG215" s="1589"/>
      <c r="AH215" s="1589"/>
      <c r="AI215" s="1589"/>
      <c r="AJ215" s="1589"/>
      <c r="AK215" s="1589"/>
      <c r="AL215" s="1589"/>
      <c r="AM215" s="1589"/>
      <c r="AN215" s="1589"/>
      <c r="AO215" s="1589"/>
      <c r="AP215" s="1589"/>
      <c r="AQ215" s="1589"/>
      <c r="AR215" s="1589"/>
      <c r="AS215" s="1589"/>
      <c r="AT215" s="1589"/>
      <c r="AU215" s="1589"/>
      <c r="AV215" s="1589"/>
      <c r="AW215" s="1589"/>
      <c r="AX215" s="1589"/>
      <c r="AY215" s="1589"/>
      <c r="AZ215" s="1589"/>
      <c r="BA215" s="1589"/>
      <c r="BB215" s="1589"/>
      <c r="BC215" s="1589"/>
      <c r="BD215" s="1589"/>
      <c r="BE215" s="1589"/>
      <c r="BF215" s="1589"/>
      <c r="BG215" s="1589"/>
      <c r="BH215" s="1589"/>
      <c r="BI215" s="1589"/>
      <c r="BJ215" s="1589"/>
      <c r="BK215" s="1589"/>
      <c r="BL215" s="1589"/>
      <c r="BM215" s="1589"/>
      <c r="BN215" s="1589"/>
      <c r="BO215" s="1589"/>
      <c r="BP215" s="1589"/>
      <c r="BQ215" s="1589"/>
      <c r="BR215" s="1589"/>
      <c r="BS215" s="1589"/>
      <c r="BT215" s="1589"/>
      <c r="BU215" s="1589"/>
      <c r="BV215" s="1589"/>
      <c r="BW215" s="1589"/>
      <c r="BX215" s="1589"/>
      <c r="BY215" s="1589"/>
      <c r="BZ215" s="1589"/>
      <c r="CA215" s="1589"/>
      <c r="CB215" s="1589"/>
      <c r="CC215" s="1589"/>
      <c r="CD215" s="1589"/>
      <c r="CE215" s="1589"/>
      <c r="CF215" s="1589"/>
      <c r="CG215" s="1589"/>
      <c r="CH215" s="1589"/>
      <c r="CI215" s="1589"/>
      <c r="CJ215" s="1589"/>
      <c r="CK215" s="1589"/>
      <c r="CL215" s="1589"/>
      <c r="CM215" s="1589"/>
      <c r="CN215" s="1589"/>
      <c r="CO215" s="1589"/>
      <c r="CP215" s="1589"/>
      <c r="CQ215" s="1589"/>
      <c r="CR215" s="1589"/>
      <c r="CS215" s="1589"/>
      <c r="CT215" s="1589"/>
      <c r="CU215" s="1589"/>
      <c r="CV215" s="1589"/>
      <c r="CW215" s="1589"/>
      <c r="CX215" s="1589"/>
      <c r="CY215" s="1589"/>
      <c r="CZ215" s="1589"/>
    </row>
    <row r="216" spans="1:407">
      <c r="A216" s="1466"/>
      <c r="B216" s="1583"/>
      <c r="C216" s="1583"/>
      <c r="D216" s="1583"/>
      <c r="E216" s="1585"/>
      <c r="F216" s="1585"/>
      <c r="G216" s="1585"/>
      <c r="H216" s="1585"/>
      <c r="I216" s="1585"/>
      <c r="J216" s="1585"/>
      <c r="K216" s="1585"/>
      <c r="L216" s="1585"/>
      <c r="M216" s="1585"/>
      <c r="N216" s="1585"/>
      <c r="O216" s="1585"/>
      <c r="P216" s="1585"/>
      <c r="Q216" s="1585"/>
      <c r="R216" s="1585"/>
      <c r="S216" s="1585"/>
      <c r="T216" s="1585"/>
      <c r="U216" s="1585"/>
      <c r="V216" s="1585"/>
      <c r="W216" s="1585"/>
      <c r="X216" s="1585"/>
      <c r="Y216" s="1585"/>
      <c r="Z216" s="1585"/>
      <c r="AA216" s="1585"/>
      <c r="AB216" s="1585"/>
      <c r="AC216" s="1585"/>
      <c r="AD216" s="1585"/>
      <c r="AE216" s="1585"/>
      <c r="AF216" s="1585"/>
      <c r="AG216" s="1585"/>
      <c r="AH216" s="1585"/>
      <c r="AI216" s="1585"/>
      <c r="AJ216" s="1585"/>
      <c r="AK216" s="1585"/>
      <c r="AL216" s="1585"/>
      <c r="AM216" s="1585"/>
      <c r="AN216" s="1585"/>
      <c r="AO216" s="1585"/>
      <c r="AP216" s="1585"/>
      <c r="AQ216" s="1585"/>
      <c r="AR216" s="1585"/>
      <c r="AS216" s="1585"/>
      <c r="AT216" s="1585"/>
      <c r="AU216" s="1585"/>
      <c r="AV216" s="1585"/>
      <c r="AW216" s="1585"/>
      <c r="AX216" s="1585"/>
      <c r="AY216" s="1585"/>
      <c r="AZ216" s="1585"/>
      <c r="BA216" s="1585"/>
      <c r="BB216" s="1585"/>
      <c r="BC216" s="1585"/>
      <c r="BD216" s="1585"/>
      <c r="BE216" s="1585"/>
      <c r="BF216" s="1585"/>
      <c r="BG216" s="1585"/>
      <c r="BH216" s="1585"/>
      <c r="BI216" s="1585"/>
      <c r="BJ216" s="1585"/>
      <c r="BK216" s="1585"/>
      <c r="BL216" s="1585"/>
      <c r="BM216" s="1585"/>
      <c r="BN216" s="1585"/>
      <c r="BO216" s="1585"/>
      <c r="BP216" s="1585"/>
      <c r="BQ216" s="1585"/>
      <c r="BR216" s="1585"/>
      <c r="BS216" s="1585"/>
      <c r="BT216" s="1585"/>
      <c r="BU216" s="1585"/>
      <c r="BV216" s="1585"/>
      <c r="BW216" s="1585"/>
      <c r="BX216" s="1585"/>
      <c r="BY216" s="1585"/>
      <c r="BZ216" s="1585"/>
      <c r="CA216" s="1585"/>
      <c r="CB216" s="1585"/>
      <c r="CC216" s="1585"/>
      <c r="CD216" s="1585"/>
      <c r="CE216" s="1585"/>
      <c r="CF216" s="1585"/>
      <c r="CG216" s="1585"/>
      <c r="CH216" s="1585"/>
      <c r="CI216" s="1585"/>
      <c r="CJ216" s="1585"/>
      <c r="CK216" s="1585"/>
      <c r="CL216" s="1585"/>
      <c r="CM216" s="1585"/>
      <c r="CN216" s="1585"/>
      <c r="CO216" s="1585"/>
      <c r="CP216" s="1585"/>
      <c r="CQ216" s="1585"/>
      <c r="CR216" s="1585"/>
      <c r="CS216" s="1585"/>
      <c r="CT216" s="1585"/>
      <c r="CU216" s="1585"/>
      <c r="CV216" s="1585"/>
      <c r="CW216" s="1585"/>
      <c r="CX216" s="1585"/>
      <c r="CY216" s="1585"/>
      <c r="CZ216" s="1585"/>
    </row>
    <row r="217" spans="1:407">
      <c r="A217" s="1466"/>
      <c r="B217" s="1583"/>
      <c r="C217" s="1583"/>
      <c r="D217" s="1583"/>
      <c r="E217" s="1585"/>
      <c r="F217" s="1585"/>
      <c r="G217" s="1585"/>
      <c r="H217" s="1585"/>
      <c r="I217" s="1585"/>
      <c r="J217" s="1585"/>
      <c r="K217" s="1585"/>
      <c r="L217" s="1585"/>
      <c r="M217" s="1585"/>
      <c r="N217" s="1585"/>
      <c r="O217" s="1585"/>
      <c r="P217" s="1585"/>
      <c r="Q217" s="1585"/>
      <c r="R217" s="1585"/>
      <c r="S217" s="1585"/>
      <c r="T217" s="1585"/>
      <c r="U217" s="1585"/>
      <c r="V217" s="1585"/>
      <c r="W217" s="1585"/>
      <c r="X217" s="1585"/>
      <c r="Y217" s="1585"/>
      <c r="Z217" s="1585"/>
      <c r="AA217" s="1585"/>
      <c r="AB217" s="1585"/>
      <c r="AC217" s="1585"/>
      <c r="AD217" s="1585"/>
      <c r="AE217" s="1585"/>
      <c r="AF217" s="1585"/>
      <c r="AG217" s="1585"/>
      <c r="AH217" s="1585"/>
      <c r="AI217" s="1585"/>
      <c r="AJ217" s="1585"/>
      <c r="AK217" s="1585"/>
      <c r="AL217" s="1585"/>
      <c r="AM217" s="1585"/>
      <c r="AN217" s="1585"/>
      <c r="AO217" s="1585"/>
      <c r="AP217" s="1585"/>
      <c r="AQ217" s="1585"/>
      <c r="AR217" s="1585"/>
      <c r="AS217" s="1585"/>
      <c r="AT217" s="1585"/>
      <c r="AU217" s="1585"/>
      <c r="AV217" s="1585"/>
      <c r="AW217" s="1585"/>
      <c r="AX217" s="1585"/>
      <c r="AY217" s="1585"/>
      <c r="AZ217" s="1585"/>
      <c r="BA217" s="1585"/>
      <c r="BB217" s="1585"/>
      <c r="BC217" s="1585"/>
      <c r="BD217" s="1585"/>
      <c r="BE217" s="1585"/>
      <c r="BF217" s="1585"/>
      <c r="BG217" s="1585"/>
      <c r="BH217" s="1585"/>
      <c r="BI217" s="1585"/>
      <c r="BJ217" s="1585"/>
      <c r="BK217" s="1585"/>
      <c r="BL217" s="1585"/>
      <c r="BM217" s="1585"/>
      <c r="BN217" s="1585"/>
      <c r="BO217" s="1585"/>
      <c r="BP217" s="1585"/>
      <c r="BQ217" s="1585"/>
      <c r="BR217" s="1585"/>
      <c r="BS217" s="1585"/>
      <c r="BT217" s="1585"/>
      <c r="BU217" s="1585"/>
      <c r="BV217" s="1585"/>
      <c r="BW217" s="1585"/>
      <c r="BX217" s="1585"/>
      <c r="BY217" s="1585"/>
      <c r="BZ217" s="1585"/>
      <c r="CA217" s="1585"/>
      <c r="CB217" s="1585"/>
      <c r="CC217" s="1585"/>
      <c r="CD217" s="1585"/>
      <c r="CE217" s="1585"/>
      <c r="CF217" s="1585"/>
      <c r="CG217" s="1585"/>
      <c r="CH217" s="1585"/>
      <c r="CI217" s="1585"/>
      <c r="CJ217" s="1585"/>
      <c r="CK217" s="1585"/>
      <c r="CL217" s="1585"/>
      <c r="CM217" s="1585"/>
      <c r="CN217" s="1585"/>
      <c r="CO217" s="1585"/>
      <c r="CP217" s="1585"/>
      <c r="CQ217" s="1585"/>
      <c r="CR217" s="1585"/>
      <c r="CS217" s="1585"/>
      <c r="CT217" s="1585"/>
      <c r="CU217" s="1585"/>
      <c r="CV217" s="1585"/>
      <c r="CW217" s="1585"/>
      <c r="CX217" s="1585"/>
      <c r="CY217" s="1585"/>
      <c r="CZ217" s="1585"/>
    </row>
    <row r="218" spans="1:407">
      <c r="A218" s="1466"/>
      <c r="B218" s="1583"/>
      <c r="C218" s="1583"/>
      <c r="D218" s="1583"/>
      <c r="E218" s="1585"/>
      <c r="F218" s="1585"/>
      <c r="G218" s="1585"/>
      <c r="H218" s="1585"/>
      <c r="I218" s="1585"/>
      <c r="J218" s="1585"/>
      <c r="K218" s="1585"/>
      <c r="L218" s="1585"/>
      <c r="M218" s="1585"/>
      <c r="N218" s="1585"/>
      <c r="O218" s="1585"/>
      <c r="P218" s="1585"/>
      <c r="Q218" s="1585"/>
      <c r="R218" s="1585"/>
      <c r="S218" s="1585"/>
      <c r="T218" s="1585"/>
      <c r="U218" s="1585"/>
      <c r="V218" s="1585"/>
      <c r="W218" s="1585"/>
      <c r="X218" s="1585"/>
      <c r="Y218" s="1585"/>
      <c r="Z218" s="1585"/>
      <c r="AA218" s="1585"/>
      <c r="AB218" s="1585"/>
      <c r="AC218" s="1585"/>
      <c r="AD218" s="1585"/>
      <c r="AE218" s="1585"/>
      <c r="AF218" s="1585"/>
      <c r="AG218" s="1585"/>
      <c r="AH218" s="1585"/>
      <c r="AI218" s="1585"/>
      <c r="AJ218" s="1585"/>
      <c r="AK218" s="1585"/>
      <c r="AL218" s="1585"/>
      <c r="AM218" s="1585"/>
      <c r="AN218" s="1585"/>
      <c r="AO218" s="1585"/>
      <c r="AP218" s="1585"/>
      <c r="AQ218" s="1585"/>
      <c r="AR218" s="1585"/>
      <c r="AS218" s="1585"/>
      <c r="AT218" s="1585"/>
      <c r="AU218" s="1585"/>
      <c r="AV218" s="1585"/>
      <c r="AW218" s="1585"/>
      <c r="AX218" s="1585"/>
      <c r="AY218" s="1585"/>
      <c r="AZ218" s="1585"/>
      <c r="BA218" s="1585"/>
      <c r="BB218" s="1585"/>
      <c r="BC218" s="1585"/>
      <c r="BD218" s="1585"/>
      <c r="BE218" s="1585"/>
      <c r="BF218" s="1585"/>
      <c r="BG218" s="1585"/>
      <c r="BH218" s="1585"/>
      <c r="BI218" s="1585"/>
      <c r="BJ218" s="1585"/>
      <c r="BK218" s="1585"/>
      <c r="BL218" s="1585"/>
      <c r="BM218" s="1585"/>
      <c r="BN218" s="1585"/>
      <c r="BO218" s="1585"/>
      <c r="BP218" s="1585"/>
      <c r="BQ218" s="1585"/>
      <c r="BR218" s="1585"/>
      <c r="BS218" s="1585"/>
      <c r="BT218" s="1585"/>
      <c r="BU218" s="1585"/>
      <c r="BV218" s="1585"/>
      <c r="BW218" s="1585"/>
      <c r="BX218" s="1585"/>
      <c r="BY218" s="1585"/>
      <c r="BZ218" s="1585"/>
      <c r="CA218" s="1585"/>
      <c r="CB218" s="1585"/>
      <c r="CC218" s="1585"/>
      <c r="CD218" s="1585"/>
      <c r="CE218" s="1585"/>
      <c r="CF218" s="1585"/>
      <c r="CG218" s="1585"/>
      <c r="CH218" s="1585"/>
      <c r="CI218" s="1585"/>
      <c r="CJ218" s="1585"/>
      <c r="CK218" s="1585"/>
      <c r="CL218" s="1585"/>
      <c r="CM218" s="1585"/>
      <c r="CN218" s="1585"/>
      <c r="CO218" s="1585"/>
      <c r="CP218" s="1585"/>
      <c r="CQ218" s="1585"/>
      <c r="CR218" s="1585"/>
      <c r="CS218" s="1585"/>
      <c r="CT218" s="1585"/>
      <c r="CU218" s="1585"/>
      <c r="CV218" s="1585"/>
      <c r="CW218" s="1585"/>
      <c r="CX218" s="1585"/>
      <c r="CY218" s="1585"/>
      <c r="CZ218" s="1585"/>
    </row>
    <row r="219" spans="1:407">
      <c r="A219" s="1466"/>
      <c r="B219" s="1583"/>
      <c r="C219" s="1583"/>
      <c r="D219" s="1583"/>
      <c r="E219" s="1585"/>
      <c r="F219" s="1585"/>
      <c r="G219" s="1585"/>
      <c r="H219" s="1585"/>
      <c r="I219" s="1585"/>
      <c r="J219" s="1585"/>
      <c r="K219" s="1585"/>
      <c r="L219" s="1585"/>
      <c r="M219" s="1585"/>
      <c r="N219" s="1585"/>
      <c r="O219" s="1585"/>
      <c r="P219" s="1585"/>
      <c r="Q219" s="1585"/>
      <c r="R219" s="1585"/>
      <c r="S219" s="1585"/>
      <c r="T219" s="1585"/>
      <c r="U219" s="1585"/>
      <c r="V219" s="1585"/>
      <c r="W219" s="1585"/>
      <c r="X219" s="1585"/>
      <c r="Y219" s="1585"/>
      <c r="Z219" s="1585"/>
      <c r="AA219" s="1585"/>
      <c r="AB219" s="1585"/>
      <c r="AC219" s="1585"/>
      <c r="AD219" s="1585"/>
      <c r="AE219" s="1585"/>
      <c r="AF219" s="1585"/>
      <c r="AG219" s="1585"/>
      <c r="AH219" s="1585"/>
      <c r="AI219" s="1585"/>
      <c r="AJ219" s="1585"/>
      <c r="AK219" s="1585"/>
      <c r="AL219" s="1585"/>
      <c r="AM219" s="1585"/>
      <c r="AN219" s="1585"/>
      <c r="AO219" s="1585"/>
      <c r="AP219" s="1585"/>
      <c r="AQ219" s="1585"/>
      <c r="AR219" s="1585"/>
      <c r="AS219" s="1585"/>
      <c r="AT219" s="1585"/>
      <c r="AU219" s="1585"/>
      <c r="AV219" s="1585"/>
      <c r="AW219" s="1585"/>
      <c r="AX219" s="1585"/>
      <c r="AY219" s="1585"/>
      <c r="AZ219" s="1585"/>
      <c r="BA219" s="1585"/>
      <c r="BB219" s="1585"/>
      <c r="BC219" s="1585"/>
      <c r="BD219" s="1585"/>
      <c r="BE219" s="1585"/>
      <c r="BF219" s="1585"/>
      <c r="BG219" s="1585"/>
      <c r="BH219" s="1585"/>
      <c r="BI219" s="1585"/>
      <c r="BJ219" s="1585"/>
      <c r="BK219" s="1585"/>
      <c r="BL219" s="1585"/>
      <c r="BM219" s="1585"/>
      <c r="BN219" s="1585"/>
      <c r="BO219" s="1585"/>
      <c r="BP219" s="1585"/>
      <c r="BQ219" s="1585"/>
      <c r="BR219" s="1585"/>
      <c r="BS219" s="1585"/>
      <c r="BT219" s="1585"/>
      <c r="BU219" s="1585"/>
      <c r="BV219" s="1585"/>
      <c r="BW219" s="1585"/>
      <c r="BX219" s="1585"/>
      <c r="BY219" s="1585"/>
      <c r="BZ219" s="1585"/>
      <c r="CA219" s="1585"/>
      <c r="CB219" s="1585"/>
      <c r="CC219" s="1585"/>
      <c r="CD219" s="1585"/>
      <c r="CE219" s="1585"/>
      <c r="CF219" s="1585"/>
      <c r="CG219" s="1585"/>
      <c r="CH219" s="1585"/>
      <c r="CI219" s="1585"/>
      <c r="CJ219" s="1585"/>
      <c r="CK219" s="1585"/>
      <c r="CL219" s="1585"/>
      <c r="CM219" s="1585"/>
      <c r="CN219" s="1585"/>
      <c r="CO219" s="1585"/>
      <c r="CP219" s="1585"/>
      <c r="CQ219" s="1585"/>
      <c r="CR219" s="1585"/>
      <c r="CS219" s="1585"/>
      <c r="CT219" s="1585"/>
      <c r="CU219" s="1585"/>
      <c r="CV219" s="1585"/>
      <c r="CW219" s="1585"/>
      <c r="CX219" s="1585"/>
      <c r="CY219" s="1585"/>
      <c r="CZ219" s="1585"/>
    </row>
    <row r="220" spans="1:407">
      <c r="A220" s="1466"/>
      <c r="B220" s="1583"/>
      <c r="C220" s="1583"/>
      <c r="D220" s="1583"/>
      <c r="E220" s="1585"/>
      <c r="F220" s="1585"/>
      <c r="G220" s="1585"/>
      <c r="H220" s="1585"/>
      <c r="I220" s="1585"/>
      <c r="J220" s="1585"/>
      <c r="K220" s="1585"/>
      <c r="L220" s="1585"/>
      <c r="M220" s="1585"/>
      <c r="N220" s="1585"/>
      <c r="O220" s="1585"/>
      <c r="P220" s="1585"/>
      <c r="Q220" s="1585"/>
      <c r="R220" s="1585"/>
      <c r="S220" s="1585"/>
      <c r="T220" s="1585"/>
      <c r="U220" s="1585"/>
      <c r="V220" s="1585"/>
      <c r="W220" s="1585"/>
      <c r="X220" s="1585"/>
      <c r="Y220" s="1585"/>
      <c r="Z220" s="1585"/>
      <c r="AA220" s="1585"/>
      <c r="AB220" s="1585"/>
      <c r="AC220" s="1585"/>
      <c r="AD220" s="1585"/>
      <c r="AE220" s="1585"/>
      <c r="AF220" s="1585"/>
      <c r="AG220" s="1585"/>
      <c r="AH220" s="1585"/>
      <c r="AI220" s="1585"/>
      <c r="AJ220" s="1585"/>
      <c r="AK220" s="1585"/>
      <c r="AL220" s="1585"/>
      <c r="AM220" s="1585"/>
      <c r="AN220" s="1585"/>
      <c r="AO220" s="1585"/>
      <c r="AP220" s="1585"/>
      <c r="AQ220" s="1585"/>
      <c r="AR220" s="1585"/>
      <c r="AS220" s="1585"/>
      <c r="AT220" s="1585"/>
      <c r="AU220" s="1585"/>
      <c r="AV220" s="1585"/>
      <c r="AW220" s="1585"/>
      <c r="AX220" s="1585"/>
      <c r="AY220" s="1585"/>
      <c r="AZ220" s="1585"/>
      <c r="BA220" s="1585"/>
      <c r="BB220" s="1585"/>
      <c r="BC220" s="1585"/>
      <c r="BD220" s="1585"/>
      <c r="BE220" s="1585"/>
      <c r="BF220" s="1585"/>
      <c r="BG220" s="1585"/>
      <c r="BH220" s="1585"/>
      <c r="BI220" s="1585"/>
      <c r="BJ220" s="1585"/>
      <c r="BK220" s="1585"/>
      <c r="BL220" s="1585"/>
      <c r="BM220" s="1585"/>
      <c r="BN220" s="1585"/>
      <c r="BO220" s="1585"/>
      <c r="BP220" s="1585"/>
      <c r="BQ220" s="1585"/>
      <c r="BR220" s="1585"/>
      <c r="BS220" s="1585"/>
      <c r="BT220" s="1585"/>
      <c r="BU220" s="1585"/>
      <c r="BV220" s="1585"/>
      <c r="BW220" s="1585"/>
      <c r="BX220" s="1585"/>
      <c r="BY220" s="1585"/>
      <c r="BZ220" s="1585"/>
      <c r="CA220" s="1585"/>
      <c r="CB220" s="1585"/>
      <c r="CC220" s="1585"/>
      <c r="CD220" s="1585"/>
      <c r="CE220" s="1585"/>
      <c r="CF220" s="1585"/>
      <c r="CG220" s="1585"/>
      <c r="CH220" s="1585"/>
      <c r="CI220" s="1585"/>
      <c r="CJ220" s="1585"/>
      <c r="CK220" s="1585"/>
      <c r="CL220" s="1585"/>
      <c r="CM220" s="1585"/>
      <c r="CN220" s="1585"/>
      <c r="CO220" s="1585"/>
      <c r="CP220" s="1585"/>
      <c r="CQ220" s="1585"/>
      <c r="CR220" s="1585"/>
      <c r="CS220" s="1585"/>
      <c r="CT220" s="1585"/>
      <c r="CU220" s="1585"/>
      <c r="CV220" s="1585"/>
      <c r="CW220" s="1585"/>
      <c r="CX220" s="1585"/>
      <c r="CY220" s="1585"/>
      <c r="CZ220" s="1585"/>
    </row>
    <row r="221" spans="1:407">
      <c r="A221" s="1466"/>
      <c r="B221" s="1583"/>
      <c r="C221" s="1583"/>
      <c r="D221" s="1583"/>
      <c r="E221" s="1585"/>
      <c r="F221" s="1585"/>
      <c r="G221" s="1585"/>
      <c r="H221" s="1585"/>
      <c r="I221" s="1585"/>
      <c r="J221" s="1585"/>
      <c r="K221" s="1585"/>
      <c r="L221" s="1585"/>
      <c r="M221" s="1585"/>
      <c r="N221" s="1585"/>
      <c r="O221" s="1585"/>
      <c r="P221" s="1585"/>
      <c r="Q221" s="1585"/>
      <c r="R221" s="1585"/>
      <c r="S221" s="1585"/>
      <c r="T221" s="1585"/>
      <c r="U221" s="1585"/>
      <c r="V221" s="1585"/>
      <c r="W221" s="1585"/>
      <c r="X221" s="1585"/>
      <c r="Y221" s="1585"/>
      <c r="Z221" s="1585"/>
      <c r="AA221" s="1585"/>
      <c r="AB221" s="1585"/>
      <c r="AC221" s="1585"/>
      <c r="AD221" s="1585"/>
      <c r="AE221" s="1585"/>
      <c r="AF221" s="1585"/>
      <c r="AG221" s="1585"/>
      <c r="AH221" s="1585"/>
      <c r="AI221" s="1585"/>
      <c r="AJ221" s="1585"/>
      <c r="AK221" s="1585"/>
      <c r="AL221" s="1585"/>
      <c r="AM221" s="1585"/>
      <c r="AN221" s="1585"/>
      <c r="AO221" s="1585"/>
      <c r="AP221" s="1585"/>
      <c r="AQ221" s="1585"/>
      <c r="AR221" s="1585"/>
      <c r="AS221" s="1585"/>
      <c r="AT221" s="1585"/>
      <c r="AU221" s="1585"/>
      <c r="AV221" s="1585"/>
      <c r="AW221" s="1585"/>
      <c r="AX221" s="1585"/>
      <c r="AY221" s="1585"/>
      <c r="AZ221" s="1585"/>
      <c r="BA221" s="1585"/>
      <c r="BB221" s="1585"/>
      <c r="BC221" s="1585"/>
      <c r="BD221" s="1585"/>
      <c r="BE221" s="1585"/>
      <c r="BF221" s="1585"/>
      <c r="BG221" s="1585"/>
      <c r="BH221" s="1585"/>
      <c r="BI221" s="1585"/>
      <c r="BJ221" s="1585"/>
      <c r="BK221" s="1585"/>
      <c r="BL221" s="1585"/>
      <c r="BM221" s="1585"/>
      <c r="BN221" s="1585"/>
      <c r="BO221" s="1585"/>
      <c r="BP221" s="1585"/>
      <c r="BQ221" s="1585"/>
      <c r="BR221" s="1585"/>
      <c r="BS221" s="1585"/>
      <c r="BT221" s="1585"/>
      <c r="BU221" s="1585"/>
      <c r="BV221" s="1585"/>
      <c r="BW221" s="1585"/>
      <c r="BX221" s="1585"/>
      <c r="BY221" s="1585"/>
      <c r="BZ221" s="1585"/>
      <c r="CA221" s="1585"/>
      <c r="CB221" s="1585"/>
      <c r="CC221" s="1585"/>
      <c r="CD221" s="1585"/>
      <c r="CE221" s="1585"/>
      <c r="CF221" s="1585"/>
      <c r="CG221" s="1585"/>
      <c r="CH221" s="1585"/>
      <c r="CI221" s="1585"/>
      <c r="CJ221" s="1585"/>
      <c r="CK221" s="1585"/>
      <c r="CL221" s="1585"/>
      <c r="CM221" s="1585"/>
      <c r="CN221" s="1585"/>
      <c r="CO221" s="1585"/>
      <c r="CP221" s="1585"/>
      <c r="CQ221" s="1585"/>
      <c r="CR221" s="1585"/>
      <c r="CS221" s="1585"/>
      <c r="CT221" s="1585"/>
      <c r="CU221" s="1585"/>
      <c r="CV221" s="1585"/>
      <c r="CW221" s="1585"/>
      <c r="CX221" s="1585"/>
      <c r="CY221" s="1585"/>
      <c r="CZ221" s="1585"/>
    </row>
    <row r="222" spans="1:407">
      <c r="A222" s="1466"/>
      <c r="B222" s="1583"/>
      <c r="C222" s="1583"/>
      <c r="D222" s="1583"/>
      <c r="E222" s="1585"/>
      <c r="F222" s="1585"/>
      <c r="G222" s="1585"/>
      <c r="H222" s="1585"/>
      <c r="I222" s="1585"/>
      <c r="J222" s="1585"/>
      <c r="K222" s="1585"/>
      <c r="L222" s="1585"/>
      <c r="M222" s="1585"/>
      <c r="N222" s="1585"/>
      <c r="O222" s="1585"/>
      <c r="P222" s="1585"/>
      <c r="Q222" s="1585"/>
      <c r="R222" s="1585"/>
      <c r="S222" s="1585"/>
      <c r="T222" s="1585"/>
      <c r="U222" s="1585"/>
      <c r="V222" s="1585"/>
      <c r="W222" s="1585"/>
      <c r="X222" s="1585"/>
      <c r="Y222" s="1585"/>
      <c r="Z222" s="1585"/>
      <c r="AA222" s="1585"/>
      <c r="AB222" s="1585"/>
      <c r="AC222" s="1585"/>
      <c r="AD222" s="1585"/>
      <c r="AE222" s="1585"/>
      <c r="AF222" s="1585"/>
      <c r="AG222" s="1585"/>
      <c r="AH222" s="1585"/>
      <c r="AI222" s="1585"/>
      <c r="AJ222" s="1585"/>
      <c r="AK222" s="1585"/>
      <c r="AL222" s="1585"/>
      <c r="AM222" s="1585"/>
      <c r="AN222" s="1585"/>
      <c r="AO222" s="1585"/>
      <c r="AP222" s="1585"/>
      <c r="AQ222" s="1585"/>
      <c r="AR222" s="1585"/>
      <c r="AS222" s="1585"/>
      <c r="AT222" s="1585"/>
      <c r="AU222" s="1585"/>
      <c r="AV222" s="1585"/>
      <c r="AW222" s="1585"/>
      <c r="AX222" s="1585"/>
      <c r="AY222" s="1585"/>
      <c r="AZ222" s="1585"/>
      <c r="BA222" s="1585"/>
      <c r="BB222" s="1585"/>
      <c r="BC222" s="1585"/>
      <c r="BD222" s="1585"/>
      <c r="BE222" s="1585"/>
      <c r="BF222" s="1585"/>
      <c r="BG222" s="1585"/>
      <c r="BH222" s="1585"/>
      <c r="BI222" s="1585"/>
      <c r="BJ222" s="1585"/>
      <c r="BK222" s="1585"/>
      <c r="BL222" s="1585"/>
      <c r="BM222" s="1585"/>
      <c r="BN222" s="1585"/>
      <c r="BO222" s="1585"/>
      <c r="BP222" s="1585"/>
      <c r="BQ222" s="1585"/>
      <c r="BR222" s="1585"/>
      <c r="BS222" s="1585"/>
      <c r="BT222" s="1585"/>
      <c r="BU222" s="1585"/>
      <c r="BV222" s="1585"/>
      <c r="BW222" s="1585"/>
      <c r="BX222" s="1585"/>
      <c r="BY222" s="1585"/>
      <c r="BZ222" s="1585"/>
      <c r="CA222" s="1585"/>
      <c r="CB222" s="1585"/>
      <c r="CC222" s="1585"/>
      <c r="CD222" s="1585"/>
      <c r="CE222" s="1585"/>
      <c r="CF222" s="1585"/>
      <c r="CG222" s="1585"/>
      <c r="CH222" s="1585"/>
      <c r="CI222" s="1585"/>
      <c r="CJ222" s="1585"/>
      <c r="CK222" s="1585"/>
      <c r="CL222" s="1585"/>
      <c r="CM222" s="1585"/>
      <c r="CN222" s="1585"/>
      <c r="CO222" s="1585"/>
      <c r="CP222" s="1585"/>
      <c r="CQ222" s="1585"/>
      <c r="CR222" s="1585"/>
      <c r="CS222" s="1585"/>
      <c r="CT222" s="1585"/>
      <c r="CU222" s="1585"/>
      <c r="CV222" s="1585"/>
      <c r="CW222" s="1585"/>
      <c r="CX222" s="1585"/>
      <c r="CY222" s="1585"/>
      <c r="CZ222" s="1585"/>
    </row>
    <row r="223" spans="1:407">
      <c r="A223" s="1466"/>
      <c r="B223" s="1583"/>
      <c r="C223" s="1583"/>
      <c r="D223" s="1583"/>
      <c r="E223" s="1585"/>
      <c r="F223" s="1585"/>
      <c r="G223" s="1585"/>
      <c r="H223" s="1585"/>
      <c r="I223" s="1585"/>
      <c r="J223" s="1585"/>
      <c r="K223" s="1585"/>
      <c r="L223" s="1585"/>
      <c r="M223" s="1585"/>
      <c r="N223" s="1585"/>
      <c r="O223" s="1585"/>
      <c r="P223" s="1585"/>
      <c r="Q223" s="1585"/>
      <c r="R223" s="1585"/>
      <c r="S223" s="1585"/>
      <c r="T223" s="1585"/>
      <c r="U223" s="1585"/>
      <c r="V223" s="1585"/>
      <c r="W223" s="1585"/>
      <c r="X223" s="1585"/>
      <c r="Y223" s="1585"/>
      <c r="Z223" s="1585"/>
      <c r="AA223" s="1585"/>
      <c r="AB223" s="1585"/>
      <c r="AC223" s="1585"/>
      <c r="AD223" s="1585"/>
      <c r="AE223" s="1585"/>
      <c r="AF223" s="1585"/>
      <c r="AG223" s="1585"/>
      <c r="AH223" s="1585"/>
      <c r="AI223" s="1585"/>
      <c r="AJ223" s="1585"/>
      <c r="AK223" s="1585"/>
      <c r="AL223" s="1585"/>
      <c r="AM223" s="1585"/>
      <c r="AN223" s="1585"/>
      <c r="AO223" s="1585"/>
      <c r="AP223" s="1585"/>
      <c r="AQ223" s="1585"/>
      <c r="AR223" s="1585"/>
      <c r="AS223" s="1585"/>
      <c r="AT223" s="1585"/>
      <c r="AU223" s="1585"/>
      <c r="AV223" s="1585"/>
      <c r="AW223" s="1585"/>
      <c r="AX223" s="1585"/>
      <c r="AY223" s="1585"/>
      <c r="AZ223" s="1585"/>
      <c r="BA223" s="1585"/>
      <c r="BB223" s="1585"/>
      <c r="BC223" s="1585"/>
      <c r="BD223" s="1585"/>
      <c r="BE223" s="1585"/>
      <c r="BF223" s="1585"/>
      <c r="BG223" s="1585"/>
      <c r="BH223" s="1585"/>
      <c r="BI223" s="1585"/>
      <c r="BJ223" s="1585"/>
      <c r="BK223" s="1585"/>
      <c r="BL223" s="1585"/>
      <c r="BM223" s="1585"/>
      <c r="BN223" s="1585"/>
      <c r="BO223" s="1585"/>
      <c r="BP223" s="1585"/>
      <c r="BQ223" s="1585"/>
      <c r="BR223" s="1585"/>
      <c r="BS223" s="1585"/>
      <c r="BT223" s="1585"/>
      <c r="BU223" s="1585"/>
      <c r="BV223" s="1585"/>
      <c r="BW223" s="1585"/>
      <c r="BX223" s="1585"/>
      <c r="BY223" s="1585"/>
      <c r="BZ223" s="1585"/>
      <c r="CA223" s="1585"/>
      <c r="CB223" s="1585"/>
      <c r="CC223" s="1585"/>
      <c r="CD223" s="1585"/>
      <c r="CE223" s="1585"/>
      <c r="CF223" s="1585"/>
      <c r="CG223" s="1585"/>
      <c r="CH223" s="1585"/>
      <c r="CI223" s="1585"/>
      <c r="CJ223" s="1585"/>
      <c r="CK223" s="1585"/>
      <c r="CL223" s="1585"/>
      <c r="CM223" s="1585"/>
      <c r="CN223" s="1585"/>
      <c r="CO223" s="1585"/>
      <c r="CP223" s="1585"/>
      <c r="CQ223" s="1585"/>
      <c r="CR223" s="1585"/>
      <c r="CS223" s="1585"/>
      <c r="CT223" s="1585"/>
      <c r="CU223" s="1585"/>
      <c r="CV223" s="1585"/>
      <c r="CW223" s="1585"/>
      <c r="CX223" s="1585"/>
      <c r="CY223" s="1585"/>
      <c r="CZ223" s="1585"/>
    </row>
    <row r="224" spans="1:407">
      <c r="A224" s="1466"/>
      <c r="B224" s="1583"/>
      <c r="C224" s="1583"/>
      <c r="D224" s="1583"/>
      <c r="E224" s="1585"/>
      <c r="F224" s="1585"/>
      <c r="G224" s="1585"/>
      <c r="H224" s="1585"/>
      <c r="I224" s="1585"/>
      <c r="J224" s="1585"/>
      <c r="K224" s="1585"/>
      <c r="L224" s="1585"/>
      <c r="M224" s="1585"/>
      <c r="N224" s="1585"/>
      <c r="O224" s="1585"/>
      <c r="P224" s="1585"/>
      <c r="Q224" s="1585"/>
      <c r="R224" s="1585"/>
      <c r="S224" s="1585"/>
      <c r="T224" s="1585"/>
      <c r="U224" s="1585"/>
      <c r="V224" s="1585"/>
      <c r="W224" s="1585"/>
      <c r="X224" s="1585"/>
      <c r="Y224" s="1585"/>
      <c r="Z224" s="1585"/>
      <c r="AA224" s="1585"/>
      <c r="AB224" s="1585"/>
      <c r="AC224" s="1585"/>
      <c r="AD224" s="1585"/>
      <c r="AE224" s="1585"/>
      <c r="AF224" s="1585"/>
      <c r="AG224" s="1585"/>
      <c r="AH224" s="1585"/>
      <c r="AI224" s="1585"/>
      <c r="AJ224" s="1585"/>
      <c r="AK224" s="1585"/>
      <c r="AL224" s="1585"/>
      <c r="AM224" s="1585"/>
      <c r="AN224" s="1585"/>
      <c r="AO224" s="1585"/>
      <c r="AP224" s="1585"/>
      <c r="AQ224" s="1585"/>
      <c r="AR224" s="1585"/>
      <c r="AS224" s="1585"/>
      <c r="AT224" s="1585"/>
      <c r="AU224" s="1585"/>
      <c r="AV224" s="1585"/>
      <c r="AW224" s="1585"/>
      <c r="AX224" s="1585"/>
      <c r="AY224" s="1585"/>
      <c r="AZ224" s="1585"/>
      <c r="BA224" s="1585"/>
      <c r="BB224" s="1585"/>
      <c r="BC224" s="1585"/>
      <c r="BD224" s="1585"/>
      <c r="BE224" s="1585"/>
      <c r="BF224" s="1585"/>
      <c r="BG224" s="1585"/>
      <c r="BH224" s="1585"/>
      <c r="BI224" s="1585"/>
      <c r="BJ224" s="1585"/>
      <c r="BK224" s="1585"/>
      <c r="BL224" s="1585"/>
      <c r="BM224" s="1585"/>
      <c r="BN224" s="1585"/>
      <c r="BO224" s="1585"/>
      <c r="BP224" s="1585"/>
      <c r="BQ224" s="1585"/>
      <c r="BR224" s="1585"/>
      <c r="BS224" s="1585"/>
      <c r="BT224" s="1585"/>
      <c r="BU224" s="1585"/>
      <c r="BV224" s="1585"/>
      <c r="BW224" s="1585"/>
      <c r="BX224" s="1585"/>
      <c r="BY224" s="1585"/>
      <c r="BZ224" s="1585"/>
      <c r="CA224" s="1585"/>
      <c r="CB224" s="1585"/>
      <c r="CC224" s="1585"/>
      <c r="CD224" s="1585"/>
      <c r="CE224" s="1585"/>
      <c r="CF224" s="1585"/>
      <c r="CG224" s="1585"/>
      <c r="CH224" s="1585"/>
      <c r="CI224" s="1585"/>
      <c r="CJ224" s="1585"/>
      <c r="CK224" s="1585"/>
      <c r="CL224" s="1585"/>
      <c r="CM224" s="1585"/>
      <c r="CN224" s="1585"/>
      <c r="CO224" s="1585"/>
      <c r="CP224" s="1585"/>
      <c r="CQ224" s="1585"/>
      <c r="CR224" s="1585"/>
      <c r="CS224" s="1585"/>
      <c r="CT224" s="1585"/>
      <c r="CU224" s="1585"/>
      <c r="CV224" s="1585"/>
      <c r="CW224" s="1585"/>
      <c r="CX224" s="1585"/>
      <c r="CY224" s="1585"/>
      <c r="CZ224" s="1585"/>
    </row>
    <row r="225" spans="1:104">
      <c r="A225" s="1466"/>
      <c r="B225" s="1583"/>
      <c r="C225" s="1583"/>
      <c r="D225" s="1583"/>
      <c r="E225" s="1585"/>
      <c r="F225" s="1585"/>
      <c r="G225" s="1585"/>
      <c r="H225" s="1585"/>
      <c r="I225" s="1585"/>
      <c r="J225" s="1585"/>
      <c r="K225" s="1585"/>
      <c r="L225" s="1585"/>
      <c r="M225" s="1585"/>
      <c r="N225" s="1585"/>
      <c r="O225" s="1585"/>
      <c r="P225" s="1585"/>
      <c r="Q225" s="1585"/>
      <c r="R225" s="1585"/>
      <c r="S225" s="1585"/>
      <c r="T225" s="1585"/>
      <c r="U225" s="1585"/>
      <c r="V225" s="1585"/>
      <c r="W225" s="1585"/>
      <c r="X225" s="1585"/>
      <c r="Y225" s="1585"/>
      <c r="Z225" s="1585"/>
      <c r="AA225" s="1585"/>
      <c r="AB225" s="1585"/>
      <c r="AC225" s="1585"/>
      <c r="AD225" s="1585"/>
      <c r="AE225" s="1585"/>
      <c r="AF225" s="1585"/>
      <c r="AG225" s="1585"/>
      <c r="AH225" s="1585"/>
      <c r="AI225" s="1585"/>
      <c r="AJ225" s="1585"/>
      <c r="AK225" s="1585"/>
      <c r="AL225" s="1585"/>
      <c r="AM225" s="1585"/>
      <c r="AN225" s="1585"/>
      <c r="AO225" s="1585"/>
      <c r="AP225" s="1585"/>
      <c r="AQ225" s="1585"/>
      <c r="AR225" s="1585"/>
      <c r="AS225" s="1585"/>
      <c r="AT225" s="1585"/>
      <c r="AU225" s="1585"/>
      <c r="AV225" s="1585"/>
      <c r="AW225" s="1585"/>
      <c r="AX225" s="1585"/>
      <c r="AY225" s="1585"/>
      <c r="AZ225" s="1585"/>
      <c r="BA225" s="1585"/>
      <c r="BB225" s="1585"/>
      <c r="BC225" s="1585"/>
      <c r="BD225" s="1585"/>
      <c r="BE225" s="1585"/>
      <c r="BF225" s="1585"/>
      <c r="BG225" s="1585"/>
      <c r="BH225" s="1585"/>
      <c r="BI225" s="1585"/>
      <c r="BJ225" s="1585"/>
      <c r="BK225" s="1585"/>
      <c r="BL225" s="1585"/>
      <c r="BM225" s="1585"/>
      <c r="BN225" s="1585"/>
      <c r="BO225" s="1585"/>
      <c r="BP225" s="1585"/>
      <c r="BQ225" s="1585"/>
      <c r="BR225" s="1585"/>
      <c r="BS225" s="1585"/>
      <c r="BT225" s="1585"/>
      <c r="BU225" s="1585"/>
      <c r="BV225" s="1585"/>
      <c r="BW225" s="1585"/>
      <c r="BX225" s="1585"/>
      <c r="BY225" s="1585"/>
      <c r="BZ225" s="1585"/>
      <c r="CA225" s="1585"/>
      <c r="CB225" s="1585"/>
      <c r="CC225" s="1585"/>
      <c r="CD225" s="1585"/>
      <c r="CE225" s="1585"/>
      <c r="CF225" s="1585"/>
      <c r="CG225" s="1585"/>
      <c r="CH225" s="1585"/>
      <c r="CI225" s="1585"/>
      <c r="CJ225" s="1585"/>
      <c r="CK225" s="1585"/>
      <c r="CL225" s="1585"/>
      <c r="CM225" s="1585"/>
      <c r="CN225" s="1585"/>
      <c r="CO225" s="1585"/>
      <c r="CP225" s="1585"/>
      <c r="CQ225" s="1585"/>
      <c r="CR225" s="1585"/>
      <c r="CS225" s="1585"/>
      <c r="CT225" s="1585"/>
      <c r="CU225" s="1585"/>
      <c r="CV225" s="1585"/>
      <c r="CW225" s="1585"/>
      <c r="CX225" s="1585"/>
      <c r="CY225" s="1585"/>
      <c r="CZ225" s="1585"/>
    </row>
    <row r="226" spans="1:104">
      <c r="A226" s="1466"/>
      <c r="B226" s="1583"/>
      <c r="C226" s="1583"/>
      <c r="D226" s="1583"/>
      <c r="E226" s="1585"/>
      <c r="F226" s="1585"/>
      <c r="G226" s="1585"/>
      <c r="H226" s="1585"/>
      <c r="I226" s="1585"/>
      <c r="J226" s="1585"/>
      <c r="K226" s="1585"/>
      <c r="L226" s="1585"/>
      <c r="M226" s="1585"/>
      <c r="N226" s="1585"/>
      <c r="O226" s="1585"/>
      <c r="P226" s="1585"/>
      <c r="Q226" s="1585"/>
      <c r="R226" s="1585"/>
      <c r="S226" s="1585"/>
      <c r="T226" s="1585"/>
      <c r="U226" s="1585"/>
      <c r="V226" s="1585"/>
      <c r="W226" s="1585"/>
      <c r="X226" s="1585"/>
      <c r="Y226" s="1585"/>
      <c r="Z226" s="1585"/>
      <c r="AA226" s="1585"/>
      <c r="AB226" s="1585"/>
      <c r="AC226" s="1585"/>
      <c r="AD226" s="1585"/>
      <c r="AE226" s="1585"/>
      <c r="AF226" s="1585"/>
      <c r="AG226" s="1585"/>
      <c r="AH226" s="1585"/>
      <c r="AI226" s="1585"/>
      <c r="AJ226" s="1585"/>
      <c r="AK226" s="1585"/>
      <c r="AL226" s="1585"/>
      <c r="AM226" s="1585"/>
      <c r="AN226" s="1585"/>
      <c r="AO226" s="1585"/>
      <c r="AP226" s="1585"/>
      <c r="AQ226" s="1585"/>
      <c r="AR226" s="1585"/>
      <c r="AS226" s="1585"/>
      <c r="AT226" s="1585"/>
      <c r="AU226" s="1585"/>
      <c r="AV226" s="1585"/>
      <c r="AW226" s="1585"/>
      <c r="AX226" s="1585"/>
      <c r="AY226" s="1585"/>
      <c r="AZ226" s="1585"/>
      <c r="BA226" s="1585"/>
      <c r="BB226" s="1585"/>
      <c r="BC226" s="1585"/>
      <c r="BD226" s="1585"/>
      <c r="BE226" s="1585"/>
      <c r="BF226" s="1585"/>
      <c r="BG226" s="1585"/>
      <c r="BH226" s="1585"/>
      <c r="BI226" s="1585"/>
      <c r="BJ226" s="1585"/>
      <c r="BK226" s="1585"/>
      <c r="BL226" s="1585"/>
      <c r="BM226" s="1585"/>
      <c r="BN226" s="1585"/>
      <c r="BO226" s="1585"/>
      <c r="BP226" s="1585"/>
      <c r="BQ226" s="1585"/>
      <c r="BR226" s="1585"/>
      <c r="BS226" s="1585"/>
      <c r="BT226" s="1585"/>
      <c r="BU226" s="1585"/>
      <c r="BV226" s="1585"/>
      <c r="BW226" s="1585"/>
      <c r="BX226" s="1585"/>
      <c r="BY226" s="1585"/>
      <c r="BZ226" s="1585"/>
      <c r="CA226" s="1585"/>
      <c r="CB226" s="1585"/>
      <c r="CC226" s="1585"/>
      <c r="CD226" s="1585"/>
      <c r="CE226" s="1585"/>
      <c r="CF226" s="1585"/>
      <c r="CG226" s="1585"/>
      <c r="CH226" s="1585"/>
      <c r="CI226" s="1585"/>
      <c r="CJ226" s="1585"/>
      <c r="CK226" s="1585"/>
      <c r="CL226" s="1585"/>
      <c r="CM226" s="1585"/>
      <c r="CN226" s="1585"/>
      <c r="CO226" s="1585"/>
      <c r="CP226" s="1585"/>
      <c r="CQ226" s="1585"/>
      <c r="CR226" s="1585"/>
      <c r="CS226" s="1585"/>
      <c r="CT226" s="1585"/>
      <c r="CU226" s="1585"/>
      <c r="CV226" s="1585"/>
      <c r="CW226" s="1585"/>
      <c r="CX226" s="1585"/>
      <c r="CY226" s="1585"/>
      <c r="CZ226" s="1585"/>
    </row>
    <row r="227" spans="1:104">
      <c r="A227" s="1466"/>
      <c r="B227" s="1583"/>
      <c r="C227" s="1583"/>
      <c r="D227" s="1583"/>
      <c r="E227" s="1585"/>
      <c r="F227" s="1585"/>
      <c r="G227" s="1585"/>
      <c r="H227" s="1585"/>
      <c r="I227" s="1585"/>
      <c r="J227" s="1585"/>
      <c r="K227" s="1585"/>
      <c r="L227" s="1585"/>
      <c r="M227" s="1585"/>
      <c r="N227" s="1585"/>
      <c r="O227" s="1585"/>
      <c r="P227" s="1585"/>
      <c r="Q227" s="1585"/>
      <c r="R227" s="1585"/>
      <c r="S227" s="1585"/>
      <c r="T227" s="1585"/>
      <c r="U227" s="1585"/>
      <c r="V227" s="1585"/>
      <c r="W227" s="1585"/>
      <c r="X227" s="1585"/>
      <c r="Y227" s="1585"/>
      <c r="Z227" s="1585"/>
      <c r="AA227" s="1585"/>
      <c r="AB227" s="1585"/>
      <c r="AC227" s="1585"/>
      <c r="AD227" s="1585"/>
      <c r="AE227" s="1585"/>
      <c r="AF227" s="1585"/>
      <c r="AG227" s="1585"/>
      <c r="AH227" s="1585"/>
      <c r="AI227" s="1585"/>
      <c r="AJ227" s="1585"/>
      <c r="AK227" s="1585"/>
      <c r="AL227" s="1585"/>
      <c r="AM227" s="1585"/>
      <c r="AN227" s="1585"/>
      <c r="AO227" s="1585"/>
      <c r="AP227" s="1585"/>
      <c r="AQ227" s="1585"/>
      <c r="AR227" s="1585"/>
      <c r="AS227" s="1585"/>
      <c r="AT227" s="1585"/>
      <c r="AU227" s="1585"/>
      <c r="AV227" s="1585"/>
      <c r="AW227" s="1585"/>
      <c r="AX227" s="1585"/>
      <c r="AY227" s="1585"/>
      <c r="AZ227" s="1585"/>
      <c r="BA227" s="1585"/>
      <c r="BB227" s="1585"/>
      <c r="BC227" s="1585"/>
      <c r="BD227" s="1585"/>
      <c r="BE227" s="1585"/>
      <c r="BF227" s="1585"/>
      <c r="BG227" s="1585"/>
      <c r="BH227" s="1585"/>
      <c r="BI227" s="1585"/>
      <c r="BJ227" s="1585"/>
      <c r="BK227" s="1585"/>
      <c r="BL227" s="1585"/>
      <c r="BM227" s="1585"/>
      <c r="BN227" s="1585"/>
      <c r="BO227" s="1585"/>
      <c r="BP227" s="1585"/>
      <c r="BQ227" s="1585"/>
      <c r="BR227" s="1585"/>
      <c r="BS227" s="1585"/>
      <c r="BT227" s="1585"/>
      <c r="BU227" s="1585"/>
      <c r="BV227" s="1585"/>
      <c r="BW227" s="1585"/>
      <c r="BX227" s="1585"/>
      <c r="BY227" s="1585"/>
      <c r="BZ227" s="1585"/>
      <c r="CA227" s="1585"/>
      <c r="CB227" s="1585"/>
      <c r="CC227" s="1585"/>
      <c r="CD227" s="1585"/>
      <c r="CE227" s="1585"/>
      <c r="CF227" s="1585"/>
      <c r="CG227" s="1585"/>
      <c r="CH227" s="1585"/>
      <c r="CI227" s="1585"/>
      <c r="CJ227" s="1585"/>
      <c r="CK227" s="1585"/>
      <c r="CL227" s="1585"/>
      <c r="CM227" s="1585"/>
      <c r="CN227" s="1585"/>
      <c r="CO227" s="1585"/>
      <c r="CP227" s="1585"/>
      <c r="CQ227" s="1585"/>
      <c r="CR227" s="1585"/>
      <c r="CS227" s="1585"/>
      <c r="CT227" s="1585"/>
      <c r="CU227" s="1585"/>
      <c r="CV227" s="1585"/>
      <c r="CW227" s="1585"/>
      <c r="CX227" s="1585"/>
      <c r="CY227" s="1585"/>
      <c r="CZ227" s="1585"/>
    </row>
    <row r="228" spans="1:104">
      <c r="A228" s="1466"/>
      <c r="B228" s="1583"/>
      <c r="C228" s="1583"/>
      <c r="D228" s="1583"/>
      <c r="E228" s="1585"/>
      <c r="F228" s="1585"/>
      <c r="G228" s="1585"/>
      <c r="H228" s="1585"/>
      <c r="I228" s="1585"/>
      <c r="J228" s="1585"/>
      <c r="K228" s="1585"/>
      <c r="L228" s="1585"/>
      <c r="M228" s="1585"/>
      <c r="N228" s="1585"/>
      <c r="O228" s="1585"/>
      <c r="P228" s="1585"/>
      <c r="Q228" s="1585"/>
      <c r="R228" s="1585"/>
      <c r="S228" s="1585"/>
      <c r="T228" s="1585"/>
      <c r="U228" s="1585"/>
      <c r="V228" s="1585"/>
      <c r="W228" s="1585"/>
      <c r="X228" s="1585"/>
      <c r="Y228" s="1585"/>
      <c r="Z228" s="1585"/>
      <c r="AA228" s="1585"/>
      <c r="AB228" s="1585"/>
      <c r="AC228" s="1585"/>
      <c r="AD228" s="1585"/>
      <c r="AE228" s="1585"/>
      <c r="AF228" s="1585"/>
      <c r="AG228" s="1585"/>
      <c r="AH228" s="1585"/>
      <c r="AI228" s="1585"/>
      <c r="AJ228" s="1585"/>
      <c r="AK228" s="1585"/>
      <c r="AL228" s="1585"/>
      <c r="AM228" s="1585"/>
      <c r="AN228" s="1585"/>
      <c r="AO228" s="1585"/>
      <c r="AP228" s="1585"/>
      <c r="AQ228" s="1585"/>
      <c r="AR228" s="1585"/>
      <c r="AS228" s="1585"/>
      <c r="AT228" s="1585"/>
      <c r="AU228" s="1585"/>
      <c r="AV228" s="1585"/>
      <c r="AW228" s="1585"/>
      <c r="AX228" s="1585"/>
      <c r="AY228" s="1585"/>
      <c r="AZ228" s="1585"/>
      <c r="BA228" s="1585"/>
      <c r="BB228" s="1585"/>
      <c r="BC228" s="1585"/>
      <c r="BD228" s="1585"/>
      <c r="BE228" s="1585"/>
      <c r="BF228" s="1585"/>
      <c r="BG228" s="1585"/>
      <c r="BH228" s="1585"/>
      <c r="BI228" s="1585"/>
      <c r="BJ228" s="1585"/>
      <c r="BK228" s="1585"/>
      <c r="BL228" s="1585"/>
      <c r="BM228" s="1585"/>
      <c r="BN228" s="1585"/>
      <c r="BO228" s="1585"/>
      <c r="BP228" s="1585"/>
      <c r="BQ228" s="1585"/>
      <c r="BR228" s="1585"/>
      <c r="BS228" s="1585"/>
      <c r="BT228" s="1585"/>
      <c r="BU228" s="1585"/>
      <c r="BV228" s="1585"/>
      <c r="BW228" s="1585"/>
      <c r="BX228" s="1585"/>
      <c r="BY228" s="1585"/>
      <c r="BZ228" s="1585"/>
      <c r="CA228" s="1585"/>
      <c r="CB228" s="1585"/>
      <c r="CC228" s="1585"/>
      <c r="CD228" s="1585"/>
      <c r="CE228" s="1585"/>
      <c r="CF228" s="1585"/>
      <c r="CG228" s="1585"/>
      <c r="CH228" s="1585"/>
      <c r="CI228" s="1585"/>
      <c r="CJ228" s="1585"/>
      <c r="CK228" s="1585"/>
      <c r="CL228" s="1585"/>
      <c r="CM228" s="1585"/>
      <c r="CN228" s="1585"/>
      <c r="CO228" s="1585"/>
      <c r="CP228" s="1585"/>
      <c r="CQ228" s="1585"/>
      <c r="CR228" s="1585"/>
      <c r="CS228" s="1585"/>
      <c r="CT228" s="1585"/>
      <c r="CU228" s="1585"/>
      <c r="CV228" s="1585"/>
      <c r="CW228" s="1585"/>
      <c r="CX228" s="1585"/>
      <c r="CY228" s="1585"/>
      <c r="CZ228" s="1585"/>
    </row>
    <row r="229" spans="1:104">
      <c r="A229" s="1466"/>
      <c r="B229" s="1583"/>
      <c r="C229" s="1583"/>
      <c r="D229" s="1583"/>
      <c r="E229" s="1585"/>
      <c r="F229" s="1585"/>
      <c r="G229" s="1585"/>
      <c r="H229" s="1585"/>
      <c r="I229" s="1585"/>
      <c r="J229" s="1585"/>
      <c r="K229" s="1585"/>
      <c r="L229" s="1585"/>
      <c r="M229" s="1585"/>
      <c r="N229" s="1585"/>
      <c r="O229" s="1585"/>
      <c r="P229" s="1585"/>
      <c r="Q229" s="1585"/>
      <c r="R229" s="1585"/>
      <c r="S229" s="1585"/>
      <c r="T229" s="1585"/>
      <c r="U229" s="1585"/>
      <c r="V229" s="1585"/>
      <c r="W229" s="1585"/>
      <c r="X229" s="1585"/>
      <c r="Y229" s="1585"/>
      <c r="Z229" s="1585"/>
      <c r="AA229" s="1585"/>
      <c r="AB229" s="1585"/>
      <c r="AC229" s="1585"/>
      <c r="AD229" s="1585"/>
      <c r="AE229" s="1585"/>
      <c r="AF229" s="1585"/>
      <c r="AG229" s="1585"/>
      <c r="AH229" s="1585"/>
      <c r="AI229" s="1585"/>
      <c r="AJ229" s="1585"/>
      <c r="AK229" s="1585"/>
      <c r="AL229" s="1585"/>
      <c r="AM229" s="1585"/>
      <c r="AN229" s="1585"/>
      <c r="AO229" s="1585"/>
      <c r="AP229" s="1585"/>
      <c r="AQ229" s="1585"/>
      <c r="AR229" s="1585"/>
      <c r="AS229" s="1585"/>
      <c r="AT229" s="1585"/>
      <c r="AU229" s="1585"/>
      <c r="AV229" s="1585"/>
      <c r="AW229" s="1585"/>
      <c r="AX229" s="1585"/>
      <c r="AY229" s="1585"/>
      <c r="AZ229" s="1585"/>
      <c r="BA229" s="1585"/>
      <c r="BB229" s="1585"/>
      <c r="BC229" s="1585"/>
      <c r="BD229" s="1585"/>
      <c r="BE229" s="1585"/>
      <c r="BF229" s="1585"/>
      <c r="BG229" s="1585"/>
      <c r="BH229" s="1585"/>
      <c r="BI229" s="1585"/>
      <c r="BJ229" s="1585"/>
      <c r="BK229" s="1585"/>
      <c r="BL229" s="1585"/>
      <c r="BM229" s="1585"/>
      <c r="BN229" s="1585"/>
      <c r="BO229" s="1585"/>
      <c r="BP229" s="1585"/>
      <c r="BQ229" s="1585"/>
      <c r="BR229" s="1585"/>
      <c r="BS229" s="1585"/>
      <c r="BT229" s="1585"/>
      <c r="BU229" s="1585"/>
      <c r="BV229" s="1585"/>
      <c r="BW229" s="1585"/>
      <c r="BX229" s="1585"/>
      <c r="BY229" s="1585"/>
      <c r="BZ229" s="1585"/>
      <c r="CA229" s="1585"/>
      <c r="CB229" s="1585"/>
      <c r="CC229" s="1585"/>
      <c r="CD229" s="1585"/>
      <c r="CE229" s="1585"/>
      <c r="CF229" s="1585"/>
      <c r="CG229" s="1585"/>
      <c r="CH229" s="1585"/>
      <c r="CI229" s="1585"/>
      <c r="CJ229" s="1585"/>
      <c r="CK229" s="1585"/>
      <c r="CL229" s="1585"/>
      <c r="CM229" s="1585"/>
      <c r="CN229" s="1585"/>
      <c r="CO229" s="1585"/>
      <c r="CP229" s="1585"/>
      <c r="CQ229" s="1585"/>
      <c r="CR229" s="1585"/>
      <c r="CS229" s="1585"/>
      <c r="CT229" s="1585"/>
      <c r="CU229" s="1585"/>
      <c r="CV229" s="1585"/>
      <c r="CW229" s="1585"/>
      <c r="CX229" s="1585"/>
      <c r="CY229" s="1585"/>
      <c r="CZ229" s="1585"/>
    </row>
    <row r="230" spans="1:104">
      <c r="A230" s="1466"/>
      <c r="B230" s="1583"/>
      <c r="C230" s="1583"/>
      <c r="D230" s="1583"/>
      <c r="E230" s="1585"/>
      <c r="F230" s="1585"/>
      <c r="G230" s="1585"/>
      <c r="H230" s="1585"/>
      <c r="I230" s="1585"/>
      <c r="J230" s="1585"/>
      <c r="K230" s="1585"/>
      <c r="L230" s="1585"/>
      <c r="M230" s="1585"/>
      <c r="N230" s="1585"/>
      <c r="O230" s="1585"/>
      <c r="P230" s="1585"/>
      <c r="Q230" s="1585"/>
      <c r="R230" s="1585"/>
      <c r="S230" s="1585"/>
      <c r="T230" s="1585"/>
      <c r="U230" s="1585"/>
      <c r="V230" s="1585"/>
      <c r="W230" s="1585"/>
      <c r="X230" s="1585"/>
      <c r="Y230" s="1585"/>
      <c r="Z230" s="1585"/>
      <c r="AA230" s="1585"/>
      <c r="AB230" s="1585"/>
      <c r="AC230" s="1585"/>
      <c r="AD230" s="1585"/>
      <c r="AE230" s="1585"/>
      <c r="AF230" s="1585"/>
      <c r="AG230" s="1585"/>
      <c r="AH230" s="1585"/>
      <c r="AI230" s="1585"/>
      <c r="AJ230" s="1585"/>
      <c r="AK230" s="1585"/>
      <c r="AL230" s="1585"/>
      <c r="AM230" s="1585"/>
      <c r="AN230" s="1585"/>
      <c r="AO230" s="1585"/>
      <c r="AP230" s="1585"/>
      <c r="AQ230" s="1585"/>
      <c r="AR230" s="1585"/>
      <c r="AS230" s="1585"/>
      <c r="AT230" s="1585"/>
      <c r="AU230" s="1585"/>
      <c r="AV230" s="1585"/>
      <c r="AW230" s="1585"/>
      <c r="AX230" s="1585"/>
      <c r="AY230" s="1585"/>
      <c r="AZ230" s="1585"/>
      <c r="BA230" s="1585"/>
      <c r="BB230" s="1585"/>
      <c r="BC230" s="1585"/>
      <c r="BD230" s="1585"/>
      <c r="BE230" s="1585"/>
      <c r="BF230" s="1585"/>
      <c r="BG230" s="1585"/>
      <c r="BH230" s="1585"/>
      <c r="BI230" s="1585"/>
      <c r="BJ230" s="1585"/>
      <c r="BK230" s="1585"/>
      <c r="BL230" s="1585"/>
      <c r="BM230" s="1585"/>
      <c r="BN230" s="1585"/>
      <c r="BO230" s="1585"/>
      <c r="BP230" s="1585"/>
      <c r="BQ230" s="1585"/>
      <c r="BR230" s="1585"/>
      <c r="BS230" s="1585"/>
      <c r="BT230" s="1585"/>
      <c r="BU230" s="1585"/>
      <c r="BV230" s="1585"/>
      <c r="BW230" s="1585"/>
      <c r="BX230" s="1585"/>
      <c r="BY230" s="1585"/>
      <c r="BZ230" s="1585"/>
      <c r="CA230" s="1585"/>
      <c r="CB230" s="1585"/>
      <c r="CC230" s="1585"/>
      <c r="CD230" s="1585"/>
      <c r="CE230" s="1585"/>
      <c r="CF230" s="1585"/>
      <c r="CG230" s="1585"/>
      <c r="CH230" s="1585"/>
      <c r="CI230" s="1585"/>
      <c r="CJ230" s="1585"/>
      <c r="CK230" s="1585"/>
      <c r="CL230" s="1585"/>
      <c r="CM230" s="1585"/>
      <c r="CN230" s="1585"/>
      <c r="CO230" s="1585"/>
      <c r="CP230" s="1585"/>
      <c r="CQ230" s="1585"/>
      <c r="CR230" s="1585"/>
      <c r="CS230" s="1585"/>
      <c r="CT230" s="1585"/>
      <c r="CU230" s="1585"/>
      <c r="CV230" s="1585"/>
      <c r="CW230" s="1585"/>
      <c r="CX230" s="1585"/>
      <c r="CY230" s="1585"/>
      <c r="CZ230" s="1585"/>
    </row>
    <row r="231" spans="1:104">
      <c r="A231" s="1466"/>
      <c r="B231" s="1583"/>
      <c r="C231" s="1583"/>
      <c r="D231" s="1583"/>
      <c r="E231" s="1585"/>
      <c r="F231" s="1585"/>
      <c r="G231" s="1585"/>
      <c r="H231" s="1585"/>
      <c r="I231" s="1585"/>
      <c r="J231" s="1585"/>
      <c r="K231" s="1585"/>
      <c r="L231" s="1585"/>
      <c r="M231" s="1585"/>
      <c r="N231" s="1585"/>
      <c r="O231" s="1585"/>
      <c r="P231" s="1585"/>
      <c r="Q231" s="1585"/>
      <c r="R231" s="1585"/>
      <c r="S231" s="1585"/>
      <c r="T231" s="1585"/>
      <c r="U231" s="1585"/>
      <c r="V231" s="1585"/>
      <c r="W231" s="1585"/>
      <c r="X231" s="1585"/>
      <c r="Y231" s="1585"/>
      <c r="Z231" s="1585"/>
      <c r="AA231" s="1585"/>
      <c r="AB231" s="1585"/>
      <c r="AC231" s="1585"/>
      <c r="AD231" s="1585"/>
      <c r="AE231" s="1585"/>
      <c r="AF231" s="1585"/>
      <c r="AG231" s="1585"/>
      <c r="AH231" s="1585"/>
      <c r="AI231" s="1585"/>
      <c r="AJ231" s="1585"/>
      <c r="AK231" s="1585"/>
      <c r="AL231" s="1585"/>
      <c r="AM231" s="1585"/>
      <c r="AN231" s="1585"/>
      <c r="AO231" s="1585"/>
      <c r="AP231" s="1585"/>
      <c r="AQ231" s="1585"/>
      <c r="AR231" s="1585"/>
      <c r="AS231" s="1585"/>
      <c r="AT231" s="1585"/>
      <c r="AU231" s="1585"/>
      <c r="AV231" s="1585"/>
      <c r="AW231" s="1585"/>
      <c r="AX231" s="1585"/>
      <c r="AY231" s="1585"/>
      <c r="AZ231" s="1585"/>
      <c r="BA231" s="1585"/>
      <c r="BB231" s="1585"/>
      <c r="BC231" s="1585"/>
      <c r="BD231" s="1585"/>
      <c r="BE231" s="1585"/>
      <c r="BF231" s="1585"/>
      <c r="BG231" s="1585"/>
      <c r="BH231" s="1585"/>
      <c r="BI231" s="1585"/>
      <c r="BJ231" s="1585"/>
      <c r="BK231" s="1585"/>
      <c r="BL231" s="1585"/>
      <c r="BM231" s="1585"/>
      <c r="BN231" s="1585"/>
      <c r="BO231" s="1585"/>
      <c r="BP231" s="1585"/>
      <c r="BQ231" s="1585"/>
      <c r="BR231" s="1585"/>
      <c r="BS231" s="1585"/>
      <c r="BT231" s="1585"/>
      <c r="BU231" s="1585"/>
      <c r="BV231" s="1585"/>
      <c r="BW231" s="1585"/>
      <c r="BX231" s="1585"/>
      <c r="BY231" s="1585"/>
      <c r="BZ231" s="1585"/>
      <c r="CA231" s="1585"/>
      <c r="CB231" s="1585"/>
      <c r="CC231" s="1585"/>
      <c r="CD231" s="1585"/>
      <c r="CE231" s="1585"/>
      <c r="CF231" s="1585"/>
      <c r="CG231" s="1585"/>
      <c r="CH231" s="1585"/>
      <c r="CI231" s="1585"/>
      <c r="CJ231" s="1585"/>
      <c r="CK231" s="1585"/>
      <c r="CL231" s="1585"/>
      <c r="CM231" s="1585"/>
      <c r="CN231" s="1585"/>
      <c r="CO231" s="1585"/>
      <c r="CP231" s="1585"/>
      <c r="CQ231" s="1585"/>
      <c r="CR231" s="1585"/>
      <c r="CS231" s="1585"/>
      <c r="CT231" s="1585"/>
      <c r="CU231" s="1585"/>
      <c r="CV231" s="1585"/>
      <c r="CW231" s="1585"/>
      <c r="CX231" s="1585"/>
      <c r="CY231" s="1585"/>
      <c r="CZ231" s="1585"/>
    </row>
    <row r="232" spans="1:104">
      <c r="A232" s="1466"/>
      <c r="B232" s="1583"/>
      <c r="C232" s="1583"/>
      <c r="D232" s="1583"/>
      <c r="E232" s="1585"/>
      <c r="F232" s="1585"/>
      <c r="G232" s="1585"/>
      <c r="H232" s="1585"/>
      <c r="I232" s="1585"/>
      <c r="J232" s="1585"/>
      <c r="K232" s="1585"/>
      <c r="L232" s="1585"/>
      <c r="M232" s="1585"/>
      <c r="N232" s="1585"/>
      <c r="O232" s="1585"/>
      <c r="P232" s="1585"/>
      <c r="Q232" s="1585"/>
      <c r="R232" s="1585"/>
      <c r="S232" s="1585"/>
      <c r="T232" s="1585"/>
      <c r="U232" s="1585"/>
      <c r="V232" s="1585"/>
      <c r="W232" s="1585"/>
      <c r="X232" s="1585"/>
      <c r="Y232" s="1585"/>
      <c r="Z232" s="1585"/>
      <c r="AA232" s="1585"/>
      <c r="AB232" s="1585"/>
      <c r="AC232" s="1585"/>
      <c r="AD232" s="1585"/>
      <c r="AE232" s="1585"/>
      <c r="AF232" s="1585"/>
      <c r="AG232" s="1585"/>
      <c r="AH232" s="1585"/>
      <c r="AI232" s="1585"/>
      <c r="AJ232" s="1585"/>
      <c r="AK232" s="1585"/>
      <c r="AL232" s="1585"/>
      <c r="AM232" s="1585"/>
      <c r="AN232" s="1585"/>
      <c r="AO232" s="1585"/>
      <c r="AP232" s="1585"/>
      <c r="AQ232" s="1585"/>
      <c r="AR232" s="1585"/>
      <c r="AS232" s="1585"/>
      <c r="AT232" s="1585"/>
      <c r="AU232" s="1585"/>
      <c r="AV232" s="1585"/>
      <c r="AW232" s="1585"/>
      <c r="AX232" s="1585"/>
      <c r="AY232" s="1585"/>
      <c r="AZ232" s="1585"/>
      <c r="BA232" s="1585"/>
      <c r="BB232" s="1585"/>
      <c r="BC232" s="1585"/>
      <c r="BD232" s="1585"/>
      <c r="BE232" s="1585"/>
      <c r="BF232" s="1585"/>
      <c r="BG232" s="1585"/>
      <c r="BH232" s="1585"/>
      <c r="BI232" s="1585"/>
      <c r="BJ232" s="1585"/>
      <c r="BK232" s="1585"/>
      <c r="BL232" s="1585"/>
      <c r="BM232" s="1585"/>
      <c r="BN232" s="1585"/>
      <c r="BO232" s="1585"/>
      <c r="BP232" s="1585"/>
      <c r="BQ232" s="1585"/>
      <c r="BR232" s="1585"/>
      <c r="BS232" s="1585"/>
      <c r="BT232" s="1585"/>
      <c r="BU232" s="1585"/>
      <c r="BV232" s="1585"/>
      <c r="BW232" s="1585"/>
      <c r="BX232" s="1585"/>
      <c r="BY232" s="1585"/>
      <c r="BZ232" s="1585"/>
      <c r="CA232" s="1585"/>
      <c r="CB232" s="1585"/>
      <c r="CC232" s="1585"/>
      <c r="CD232" s="1585"/>
      <c r="CE232" s="1585"/>
      <c r="CF232" s="1585"/>
      <c r="CG232" s="1585"/>
      <c r="CH232" s="1585"/>
      <c r="CI232" s="1585"/>
      <c r="CJ232" s="1585"/>
      <c r="CK232" s="1585"/>
      <c r="CL232" s="1585"/>
      <c r="CM232" s="1585"/>
      <c r="CN232" s="1585"/>
      <c r="CO232" s="1585"/>
      <c r="CP232" s="1585"/>
      <c r="CQ232" s="1585"/>
      <c r="CR232" s="1585"/>
      <c r="CS232" s="1585"/>
      <c r="CT232" s="1585"/>
      <c r="CU232" s="1585"/>
      <c r="CV232" s="1585"/>
      <c r="CW232" s="1585"/>
      <c r="CX232" s="1585"/>
      <c r="CY232" s="1585"/>
      <c r="CZ232" s="1585"/>
    </row>
    <row r="233" spans="1:104">
      <c r="A233" s="1466"/>
      <c r="B233" s="1583"/>
      <c r="C233" s="1583"/>
      <c r="D233" s="1583"/>
      <c r="E233" s="1585"/>
      <c r="F233" s="1585"/>
      <c r="G233" s="1585"/>
      <c r="H233" s="1585"/>
      <c r="I233" s="1585"/>
      <c r="J233" s="1585"/>
      <c r="K233" s="1585"/>
      <c r="L233" s="1585"/>
      <c r="M233" s="1585"/>
      <c r="N233" s="1585"/>
      <c r="O233" s="1585"/>
      <c r="P233" s="1585"/>
      <c r="Q233" s="1585"/>
      <c r="R233" s="1585"/>
      <c r="S233" s="1585"/>
      <c r="T233" s="1585"/>
      <c r="U233" s="1585"/>
      <c r="V233" s="1585"/>
      <c r="W233" s="1585"/>
      <c r="X233" s="1585"/>
      <c r="Y233" s="1585"/>
      <c r="Z233" s="1585"/>
      <c r="AA233" s="1585"/>
      <c r="AB233" s="1585"/>
      <c r="AC233" s="1585"/>
      <c r="AD233" s="1585"/>
      <c r="AE233" s="1585"/>
      <c r="AF233" s="1585"/>
      <c r="AG233" s="1585"/>
      <c r="AH233" s="1585"/>
      <c r="AI233" s="1585"/>
      <c r="AJ233" s="1585"/>
      <c r="AK233" s="1585"/>
      <c r="AL233" s="1585"/>
      <c r="AM233" s="1585"/>
      <c r="AN233" s="1585"/>
      <c r="AO233" s="1585"/>
      <c r="AP233" s="1585"/>
      <c r="AQ233" s="1585"/>
      <c r="AR233" s="1585"/>
      <c r="AS233" s="1585"/>
      <c r="AT233" s="1585"/>
      <c r="AU233" s="1585"/>
      <c r="AV233" s="1585"/>
      <c r="AW233" s="1585"/>
      <c r="AX233" s="1585"/>
      <c r="AY233" s="1585"/>
      <c r="AZ233" s="1585"/>
      <c r="BA233" s="1585"/>
      <c r="BB233" s="1585"/>
      <c r="BC233" s="1585"/>
      <c r="BD233" s="1585"/>
      <c r="BE233" s="1585"/>
      <c r="BF233" s="1585"/>
      <c r="BG233" s="1585"/>
      <c r="BH233" s="1585"/>
      <c r="BI233" s="1585"/>
      <c r="BJ233" s="1585"/>
      <c r="BK233" s="1585"/>
      <c r="BL233" s="1585"/>
      <c r="BM233" s="1585"/>
      <c r="BN233" s="1585"/>
      <c r="BO233" s="1585"/>
      <c r="BP233" s="1585"/>
      <c r="BQ233" s="1585"/>
      <c r="BR233" s="1585"/>
      <c r="BS233" s="1585"/>
      <c r="BT233" s="1585"/>
      <c r="BU233" s="1585"/>
      <c r="BV233" s="1585"/>
      <c r="BW233" s="1585"/>
      <c r="BX233" s="1585"/>
      <c r="BY233" s="1585"/>
      <c r="BZ233" s="1585"/>
      <c r="CA233" s="1585"/>
      <c r="CB233" s="1585"/>
      <c r="CC233" s="1585"/>
      <c r="CD233" s="1585"/>
      <c r="CE233" s="1585"/>
      <c r="CF233" s="1585"/>
      <c r="CG233" s="1585"/>
      <c r="CH233" s="1585"/>
      <c r="CI233" s="1585"/>
      <c r="CJ233" s="1585"/>
      <c r="CK233" s="1585"/>
      <c r="CL233" s="1585"/>
      <c r="CM233" s="1585"/>
      <c r="CN233" s="1585"/>
      <c r="CO233" s="1585"/>
      <c r="CP233" s="1585"/>
      <c r="CQ233" s="1585"/>
      <c r="CR233" s="1585"/>
      <c r="CS233" s="1585"/>
      <c r="CT233" s="1585"/>
      <c r="CU233" s="1585"/>
      <c r="CV233" s="1585"/>
      <c r="CW233" s="1585"/>
      <c r="CX233" s="1585"/>
      <c r="CY233" s="1585"/>
      <c r="CZ233" s="1585"/>
    </row>
    <row r="234" spans="1:104">
      <c r="A234" s="1466"/>
      <c r="B234" s="1583"/>
      <c r="C234" s="1583"/>
      <c r="D234" s="1583"/>
      <c r="E234" s="1585"/>
      <c r="F234" s="1585"/>
      <c r="G234" s="1585"/>
      <c r="H234" s="1585"/>
      <c r="I234" s="1585"/>
      <c r="J234" s="1585"/>
      <c r="K234" s="1585"/>
      <c r="L234" s="1585"/>
      <c r="M234" s="1585"/>
      <c r="N234" s="1585"/>
      <c r="O234" s="1585"/>
      <c r="P234" s="1585"/>
      <c r="Q234" s="1585"/>
      <c r="R234" s="1585"/>
      <c r="S234" s="1585"/>
      <c r="T234" s="1585"/>
      <c r="U234" s="1585"/>
      <c r="V234" s="1585"/>
      <c r="W234" s="1585"/>
      <c r="X234" s="1585"/>
      <c r="Y234" s="1585"/>
      <c r="Z234" s="1585"/>
      <c r="AA234" s="1585"/>
      <c r="AB234" s="1585"/>
      <c r="AC234" s="1585"/>
      <c r="AD234" s="1585"/>
      <c r="AE234" s="1585"/>
      <c r="AF234" s="1585"/>
      <c r="AG234" s="1585"/>
      <c r="AH234" s="1585"/>
      <c r="AI234" s="1585"/>
      <c r="AJ234" s="1585"/>
      <c r="AK234" s="1585"/>
      <c r="AL234" s="1585"/>
      <c r="AM234" s="1585"/>
      <c r="AN234" s="1585"/>
      <c r="AO234" s="1585"/>
      <c r="AP234" s="1585"/>
      <c r="AQ234" s="1585"/>
      <c r="AR234" s="1585"/>
      <c r="AS234" s="1585"/>
      <c r="AT234" s="1585"/>
      <c r="AU234" s="1585"/>
      <c r="AV234" s="1585"/>
      <c r="AW234" s="1585"/>
      <c r="AX234" s="1585"/>
      <c r="AY234" s="1585"/>
      <c r="AZ234" s="1585"/>
      <c r="BA234" s="1585"/>
      <c r="BB234" s="1585"/>
      <c r="BC234" s="1585"/>
      <c r="BD234" s="1585"/>
      <c r="BE234" s="1585"/>
      <c r="BF234" s="1585"/>
      <c r="BG234" s="1585"/>
      <c r="BH234" s="1585"/>
      <c r="BI234" s="1585"/>
      <c r="BJ234" s="1585"/>
      <c r="BK234" s="1585"/>
      <c r="BL234" s="1585"/>
      <c r="BM234" s="1585"/>
      <c r="BN234" s="1585"/>
      <c r="BO234" s="1585"/>
      <c r="BP234" s="1585"/>
      <c r="BQ234" s="1585"/>
      <c r="BR234" s="1585"/>
      <c r="BS234" s="1585"/>
      <c r="BT234" s="1585"/>
      <c r="BU234" s="1585"/>
      <c r="BV234" s="1585"/>
      <c r="BW234" s="1585"/>
      <c r="BX234" s="1585"/>
      <c r="BY234" s="1585"/>
      <c r="BZ234" s="1585"/>
      <c r="CA234" s="1585"/>
      <c r="CB234" s="1585"/>
      <c r="CC234" s="1585"/>
      <c r="CD234" s="1585"/>
      <c r="CE234" s="1585"/>
      <c r="CF234" s="1585"/>
      <c r="CG234" s="1585"/>
      <c r="CH234" s="1585"/>
      <c r="CI234" s="1585"/>
      <c r="CJ234" s="1585"/>
      <c r="CK234" s="1585"/>
      <c r="CL234" s="1585"/>
      <c r="CM234" s="1585"/>
      <c r="CN234" s="1585"/>
      <c r="CO234" s="1585"/>
      <c r="CP234" s="1585"/>
      <c r="CQ234" s="1585"/>
      <c r="CR234" s="1585"/>
      <c r="CS234" s="1585"/>
      <c r="CT234" s="1585"/>
      <c r="CU234" s="1585"/>
      <c r="CV234" s="1585"/>
      <c r="CW234" s="1585"/>
      <c r="CX234" s="1585"/>
      <c r="CY234" s="1585"/>
      <c r="CZ234" s="1585"/>
    </row>
    <row r="235" spans="1:104">
      <c r="A235" s="1466"/>
      <c r="B235" s="1583"/>
      <c r="C235" s="1583"/>
      <c r="D235" s="1583"/>
      <c r="E235" s="1585"/>
      <c r="F235" s="1585"/>
      <c r="G235" s="1585"/>
      <c r="H235" s="1585"/>
      <c r="I235" s="1585"/>
      <c r="J235" s="1585"/>
      <c r="K235" s="1585"/>
      <c r="L235" s="1585"/>
      <c r="M235" s="1585"/>
      <c r="N235" s="1585"/>
      <c r="O235" s="1585"/>
      <c r="P235" s="1585"/>
      <c r="Q235" s="1585"/>
      <c r="R235" s="1585"/>
      <c r="S235" s="1585"/>
      <c r="T235" s="1585"/>
      <c r="U235" s="1585"/>
      <c r="V235" s="1585"/>
      <c r="W235" s="1585"/>
      <c r="X235" s="1585"/>
      <c r="Y235" s="1585"/>
      <c r="Z235" s="1585"/>
      <c r="AA235" s="1585"/>
      <c r="AB235" s="1585"/>
      <c r="AC235" s="1585"/>
      <c r="AD235" s="1585"/>
      <c r="AE235" s="1585"/>
      <c r="AF235" s="1585"/>
      <c r="AG235" s="1585"/>
      <c r="AH235" s="1585"/>
      <c r="AI235" s="1585"/>
      <c r="AJ235" s="1585"/>
      <c r="AK235" s="1585"/>
      <c r="AL235" s="1585"/>
      <c r="AM235" s="1585"/>
      <c r="AN235" s="1585"/>
      <c r="AO235" s="1585"/>
      <c r="AP235" s="1585"/>
      <c r="AQ235" s="1585"/>
      <c r="AR235" s="1585"/>
      <c r="AS235" s="1585"/>
      <c r="AT235" s="1585"/>
      <c r="AU235" s="1585"/>
      <c r="AV235" s="1585"/>
      <c r="AW235" s="1585"/>
      <c r="AX235" s="1585"/>
      <c r="AY235" s="1585"/>
      <c r="AZ235" s="1585"/>
      <c r="BA235" s="1585"/>
      <c r="BB235" s="1585"/>
      <c r="BC235" s="1585"/>
      <c r="BD235" s="1585"/>
      <c r="BE235" s="1585"/>
      <c r="BF235" s="1585"/>
      <c r="BG235" s="1585"/>
      <c r="BH235" s="1585"/>
      <c r="BI235" s="1585"/>
      <c r="BJ235" s="1585"/>
      <c r="BK235" s="1585"/>
      <c r="BL235" s="1585"/>
      <c r="BM235" s="1585"/>
      <c r="BN235" s="1585"/>
      <c r="BO235" s="1585"/>
      <c r="BP235" s="1585"/>
      <c r="BQ235" s="1585"/>
      <c r="BR235" s="1585"/>
      <c r="BS235" s="1585"/>
      <c r="BT235" s="1585"/>
      <c r="BU235" s="1585"/>
      <c r="BV235" s="1585"/>
      <c r="BW235" s="1585"/>
      <c r="BX235" s="1585"/>
      <c r="BY235" s="1585"/>
      <c r="BZ235" s="1585"/>
      <c r="CA235" s="1585"/>
      <c r="CB235" s="1585"/>
      <c r="CC235" s="1585"/>
      <c r="CD235" s="1585"/>
      <c r="CE235" s="1585"/>
      <c r="CF235" s="1585"/>
      <c r="CG235" s="1585"/>
      <c r="CH235" s="1585"/>
      <c r="CI235" s="1585"/>
      <c r="CJ235" s="1585"/>
      <c r="CK235" s="1585"/>
      <c r="CL235" s="1585"/>
      <c r="CM235" s="1585"/>
      <c r="CN235" s="1585"/>
      <c r="CO235" s="1585"/>
      <c r="CP235" s="1585"/>
      <c r="CQ235" s="1585"/>
      <c r="CR235" s="1585"/>
      <c r="CS235" s="1585"/>
      <c r="CT235" s="1585"/>
      <c r="CU235" s="1585"/>
      <c r="CV235" s="1585"/>
      <c r="CW235" s="1585"/>
      <c r="CX235" s="1585"/>
      <c r="CY235" s="1585"/>
      <c r="CZ235" s="1585"/>
    </row>
    <row r="236" spans="1:104">
      <c r="A236" s="1466"/>
      <c r="B236" s="1583"/>
      <c r="C236" s="1583"/>
      <c r="D236" s="1583"/>
      <c r="E236" s="1585"/>
      <c r="F236" s="1585"/>
      <c r="G236" s="1585"/>
      <c r="H236" s="1585"/>
      <c r="I236" s="1585"/>
      <c r="J236" s="1585"/>
      <c r="K236" s="1585"/>
      <c r="L236" s="1585"/>
      <c r="M236" s="1585"/>
      <c r="N236" s="1585"/>
      <c r="O236" s="1585"/>
      <c r="P236" s="1585"/>
      <c r="Q236" s="1585"/>
      <c r="R236" s="1585"/>
      <c r="S236" s="1585"/>
      <c r="T236" s="1585"/>
      <c r="U236" s="1585"/>
      <c r="V236" s="1585"/>
      <c r="W236" s="1585"/>
      <c r="X236" s="1585"/>
      <c r="Y236" s="1585"/>
      <c r="Z236" s="1585"/>
      <c r="AA236" s="1585"/>
      <c r="AB236" s="1585"/>
      <c r="AC236" s="1585"/>
      <c r="AD236" s="1585"/>
      <c r="AE236" s="1585"/>
      <c r="AF236" s="1585"/>
      <c r="AG236" s="1585"/>
      <c r="AH236" s="1585"/>
      <c r="AI236" s="1585"/>
      <c r="AJ236" s="1585"/>
      <c r="AK236" s="1585"/>
      <c r="AL236" s="1585"/>
      <c r="AM236" s="1585"/>
      <c r="AN236" s="1585"/>
      <c r="AO236" s="1585"/>
      <c r="AP236" s="1585"/>
      <c r="AQ236" s="1585"/>
      <c r="AR236" s="1585"/>
      <c r="AS236" s="1585"/>
      <c r="AT236" s="1585"/>
      <c r="AU236" s="1585"/>
      <c r="AV236" s="1585"/>
      <c r="AW236" s="1585"/>
      <c r="AX236" s="1585"/>
      <c r="AY236" s="1585"/>
      <c r="AZ236" s="1585"/>
      <c r="BA236" s="1585"/>
      <c r="BB236" s="1585"/>
      <c r="BC236" s="1585"/>
      <c r="BD236" s="1585"/>
      <c r="BE236" s="1585"/>
      <c r="BF236" s="1585"/>
      <c r="BG236" s="1585"/>
      <c r="BH236" s="1585"/>
      <c r="BI236" s="1585"/>
      <c r="BJ236" s="1585"/>
      <c r="BK236" s="1585"/>
      <c r="BL236" s="1585"/>
      <c r="BM236" s="1585"/>
      <c r="BN236" s="1585"/>
      <c r="BO236" s="1585"/>
      <c r="BP236" s="1585"/>
      <c r="BQ236" s="1585"/>
      <c r="BR236" s="1585"/>
      <c r="BS236" s="1585"/>
      <c r="BT236" s="1585"/>
      <c r="BU236" s="1585"/>
      <c r="BV236" s="1585"/>
      <c r="BW236" s="1585"/>
      <c r="BX236" s="1585"/>
      <c r="BY236" s="1585"/>
      <c r="BZ236" s="1585"/>
      <c r="CA236" s="1585"/>
      <c r="CB236" s="1585"/>
      <c r="CC236" s="1585"/>
      <c r="CD236" s="1585"/>
      <c r="CE236" s="1585"/>
      <c r="CF236" s="1585"/>
      <c r="CG236" s="1585"/>
      <c r="CH236" s="1585"/>
      <c r="CI236" s="1585"/>
      <c r="CJ236" s="1585"/>
      <c r="CK236" s="1585"/>
      <c r="CL236" s="1585"/>
      <c r="CM236" s="1585"/>
      <c r="CN236" s="1585"/>
      <c r="CO236" s="1585"/>
      <c r="CP236" s="1585"/>
      <c r="CQ236" s="1585"/>
      <c r="CR236" s="1585"/>
      <c r="CS236" s="1585"/>
      <c r="CT236" s="1585"/>
      <c r="CU236" s="1585"/>
      <c r="CV236" s="1585"/>
      <c r="CW236" s="1585"/>
      <c r="CX236" s="1585"/>
      <c r="CY236" s="1585"/>
      <c r="CZ236" s="1585"/>
    </row>
    <row r="237" spans="1:104">
      <c r="A237" s="1466"/>
      <c r="B237" s="1583"/>
      <c r="C237" s="1583"/>
      <c r="D237" s="1583"/>
      <c r="E237" s="1585"/>
      <c r="F237" s="1585"/>
      <c r="G237" s="1585"/>
      <c r="H237" s="1585"/>
      <c r="I237" s="1585"/>
      <c r="J237" s="1585"/>
      <c r="K237" s="1585"/>
      <c r="L237" s="1585"/>
      <c r="M237" s="1585"/>
      <c r="N237" s="1585"/>
      <c r="O237" s="1585"/>
      <c r="P237" s="1585"/>
      <c r="Q237" s="1585"/>
      <c r="R237" s="1585"/>
      <c r="S237" s="1585"/>
      <c r="T237" s="1585"/>
      <c r="U237" s="1585"/>
      <c r="V237" s="1585"/>
      <c r="W237" s="1585"/>
      <c r="X237" s="1585"/>
      <c r="Y237" s="1585"/>
      <c r="Z237" s="1585"/>
      <c r="AA237" s="1585"/>
      <c r="AB237" s="1585"/>
      <c r="AC237" s="1585"/>
      <c r="AD237" s="1585"/>
      <c r="AE237" s="1585"/>
      <c r="AF237" s="1585"/>
      <c r="AG237" s="1585"/>
      <c r="AH237" s="1585"/>
      <c r="AI237" s="1585"/>
      <c r="AJ237" s="1585"/>
      <c r="AK237" s="1585"/>
      <c r="AL237" s="1585"/>
      <c r="AM237" s="1585"/>
      <c r="AN237" s="1585"/>
      <c r="AO237" s="1585"/>
      <c r="AP237" s="1585"/>
      <c r="AQ237" s="1585"/>
      <c r="AR237" s="1585"/>
      <c r="AS237" s="1585"/>
      <c r="AT237" s="1585"/>
      <c r="AU237" s="1585"/>
      <c r="AV237" s="1585"/>
      <c r="AW237" s="1585"/>
      <c r="AX237" s="1585"/>
      <c r="AY237" s="1585"/>
      <c r="AZ237" s="1585"/>
      <c r="BA237" s="1585"/>
      <c r="BB237" s="1585"/>
      <c r="BC237" s="1585"/>
      <c r="BD237" s="1585"/>
      <c r="BE237" s="1585"/>
      <c r="BF237" s="1585"/>
      <c r="BG237" s="1585"/>
      <c r="BH237" s="1585"/>
      <c r="BI237" s="1585"/>
      <c r="BJ237" s="1585"/>
      <c r="BK237" s="1585"/>
      <c r="BL237" s="1585"/>
      <c r="BM237" s="1585"/>
      <c r="BN237" s="1585"/>
      <c r="BO237" s="1585"/>
      <c r="BP237" s="1585"/>
      <c r="BQ237" s="1585"/>
      <c r="BR237" s="1585"/>
      <c r="BS237" s="1585"/>
      <c r="BT237" s="1585"/>
      <c r="BU237" s="1585"/>
      <c r="BV237" s="1585"/>
      <c r="BW237" s="1585"/>
      <c r="BX237" s="1585"/>
      <c r="BY237" s="1585"/>
      <c r="BZ237" s="1585"/>
      <c r="CA237" s="1585"/>
      <c r="CB237" s="1585"/>
      <c r="CC237" s="1585"/>
      <c r="CD237" s="1585"/>
      <c r="CE237" s="1585"/>
      <c r="CF237" s="1585"/>
      <c r="CG237" s="1585"/>
      <c r="CH237" s="1585"/>
      <c r="CI237" s="1585"/>
      <c r="CJ237" s="1585"/>
      <c r="CK237" s="1585"/>
      <c r="CL237" s="1585"/>
      <c r="CM237" s="1585"/>
      <c r="CN237" s="1585"/>
      <c r="CO237" s="1585"/>
      <c r="CP237" s="1585"/>
      <c r="CQ237" s="1585"/>
      <c r="CR237" s="1585"/>
      <c r="CS237" s="1585"/>
      <c r="CT237" s="1585"/>
      <c r="CU237" s="1585"/>
      <c r="CV237" s="1585"/>
      <c r="CW237" s="1585"/>
      <c r="CX237" s="1585"/>
      <c r="CY237" s="1585"/>
      <c r="CZ237" s="1585"/>
    </row>
    <row r="238" spans="1:104">
      <c r="A238" s="1466"/>
      <c r="B238" s="1583"/>
      <c r="C238" s="1583"/>
      <c r="D238" s="1583"/>
      <c r="E238" s="1585"/>
      <c r="F238" s="1585"/>
      <c r="G238" s="1585"/>
      <c r="H238" s="1585"/>
      <c r="I238" s="1585"/>
      <c r="J238" s="1585"/>
      <c r="K238" s="1585"/>
      <c r="L238" s="1585"/>
      <c r="M238" s="1585"/>
      <c r="N238" s="1585"/>
      <c r="O238" s="1585"/>
      <c r="P238" s="1585"/>
      <c r="Q238" s="1585"/>
      <c r="R238" s="1585"/>
      <c r="S238" s="1585"/>
      <c r="T238" s="1585"/>
      <c r="U238" s="1585"/>
      <c r="V238" s="1585"/>
      <c r="W238" s="1585"/>
      <c r="X238" s="1585"/>
      <c r="Y238" s="1585"/>
      <c r="Z238" s="1585"/>
      <c r="AA238" s="1585"/>
      <c r="AB238" s="1585"/>
      <c r="AC238" s="1585"/>
      <c r="AD238" s="1585"/>
      <c r="AE238" s="1585"/>
      <c r="AF238" s="1585"/>
      <c r="AG238" s="1585"/>
      <c r="AH238" s="1585"/>
      <c r="AI238" s="1585"/>
      <c r="AJ238" s="1585"/>
      <c r="AK238" s="1585"/>
      <c r="AL238" s="1585"/>
      <c r="AM238" s="1585"/>
      <c r="AN238" s="1585"/>
      <c r="AO238" s="1585"/>
      <c r="AP238" s="1585"/>
      <c r="AQ238" s="1585"/>
      <c r="AR238" s="1585"/>
      <c r="AS238" s="1585"/>
      <c r="AT238" s="1585"/>
      <c r="AU238" s="1585"/>
      <c r="AV238" s="1585"/>
      <c r="AW238" s="1585"/>
      <c r="AX238" s="1585"/>
      <c r="AY238" s="1585"/>
      <c r="AZ238" s="1585"/>
      <c r="BA238" s="1585"/>
      <c r="BB238" s="1585"/>
      <c r="BC238" s="1585"/>
      <c r="BD238" s="1585"/>
      <c r="BE238" s="1585"/>
      <c r="BF238" s="1585"/>
      <c r="BG238" s="1585"/>
      <c r="BH238" s="1585"/>
      <c r="BI238" s="1585"/>
      <c r="BJ238" s="1585"/>
      <c r="BK238" s="1585"/>
      <c r="BL238" s="1585"/>
      <c r="BM238" s="1585"/>
      <c r="BN238" s="1585"/>
      <c r="BO238" s="1585"/>
      <c r="BP238" s="1585"/>
      <c r="BQ238" s="1585"/>
      <c r="BR238" s="1585"/>
      <c r="BS238" s="1585"/>
      <c r="BT238" s="1585"/>
      <c r="BU238" s="1585"/>
      <c r="BV238" s="1585"/>
      <c r="BW238" s="1585"/>
      <c r="BX238" s="1585"/>
      <c r="BY238" s="1585"/>
      <c r="BZ238" s="1585"/>
      <c r="CA238" s="1585"/>
      <c r="CB238" s="1585"/>
      <c r="CC238" s="1585"/>
      <c r="CD238" s="1585"/>
      <c r="CE238" s="1585"/>
      <c r="CF238" s="1585"/>
      <c r="CG238" s="1585"/>
      <c r="CH238" s="1585"/>
      <c r="CI238" s="1585"/>
      <c r="CJ238" s="1585"/>
      <c r="CK238" s="1585"/>
      <c r="CL238" s="1585"/>
      <c r="CM238" s="1585"/>
      <c r="CN238" s="1585"/>
      <c r="CO238" s="1585"/>
      <c r="CP238" s="1585"/>
      <c r="CQ238" s="1585"/>
      <c r="CR238" s="1585"/>
      <c r="CS238" s="1585"/>
      <c r="CT238" s="1585"/>
      <c r="CU238" s="1585"/>
      <c r="CV238" s="1585"/>
      <c r="CW238" s="1585"/>
      <c r="CX238" s="1585"/>
      <c r="CY238" s="1585"/>
      <c r="CZ238" s="1585"/>
    </row>
    <row r="239" spans="1:104">
      <c r="A239" s="1466"/>
      <c r="B239" s="1583"/>
      <c r="C239" s="1583"/>
      <c r="D239" s="1583"/>
      <c r="E239" s="1585"/>
      <c r="F239" s="1585"/>
      <c r="G239" s="1585"/>
      <c r="H239" s="1585"/>
      <c r="I239" s="1585"/>
      <c r="J239" s="1585"/>
      <c r="K239" s="1585"/>
      <c r="L239" s="1585"/>
      <c r="M239" s="1585"/>
      <c r="N239" s="1585"/>
      <c r="O239" s="1585"/>
      <c r="P239" s="1585"/>
      <c r="Q239" s="1585"/>
      <c r="R239" s="1585"/>
      <c r="S239" s="1585"/>
      <c r="T239" s="1585"/>
      <c r="U239" s="1585"/>
      <c r="V239" s="1585"/>
      <c r="W239" s="1585"/>
      <c r="X239" s="1585"/>
      <c r="Y239" s="1585"/>
      <c r="Z239" s="1585"/>
      <c r="AA239" s="1585"/>
      <c r="AB239" s="1585"/>
      <c r="AC239" s="1585"/>
      <c r="AD239" s="1585"/>
      <c r="AE239" s="1585"/>
      <c r="AF239" s="1585"/>
      <c r="AG239" s="1585"/>
      <c r="AH239" s="1585"/>
      <c r="AI239" s="1585"/>
      <c r="AJ239" s="1585"/>
      <c r="AK239" s="1585"/>
      <c r="AL239" s="1585"/>
      <c r="AM239" s="1585"/>
      <c r="AN239" s="1585"/>
      <c r="AO239" s="1585"/>
      <c r="AP239" s="1585"/>
      <c r="AQ239" s="1585"/>
      <c r="AR239" s="1585"/>
      <c r="AS239" s="1585"/>
      <c r="AT239" s="1585"/>
      <c r="AU239" s="1585"/>
      <c r="AV239" s="1585"/>
      <c r="AW239" s="1585"/>
      <c r="AX239" s="1585"/>
      <c r="AY239" s="1585"/>
      <c r="AZ239" s="1585"/>
      <c r="BA239" s="1585"/>
      <c r="BB239" s="1585"/>
      <c r="BC239" s="1585"/>
      <c r="BD239" s="1585"/>
      <c r="BE239" s="1585"/>
      <c r="BF239" s="1585"/>
      <c r="BG239" s="1585"/>
      <c r="BH239" s="1585"/>
      <c r="BI239" s="1585"/>
      <c r="BJ239" s="1585"/>
      <c r="BK239" s="1585"/>
      <c r="BL239" s="1585"/>
      <c r="BM239" s="1585"/>
      <c r="BN239" s="1585"/>
      <c r="BO239" s="1585"/>
      <c r="BP239" s="1585"/>
      <c r="BQ239" s="1585"/>
      <c r="BR239" s="1585"/>
      <c r="BS239" s="1585"/>
      <c r="BT239" s="1585"/>
      <c r="BU239" s="1585"/>
      <c r="BV239" s="1585"/>
      <c r="BW239" s="1585"/>
      <c r="BX239" s="1585"/>
      <c r="BY239" s="1585"/>
      <c r="BZ239" s="1585"/>
      <c r="CA239" s="1585"/>
      <c r="CB239" s="1585"/>
      <c r="CC239" s="1585"/>
      <c r="CD239" s="1585"/>
      <c r="CE239" s="1585"/>
      <c r="CF239" s="1585"/>
      <c r="CG239" s="1585"/>
      <c r="CH239" s="1585"/>
      <c r="CI239" s="1585"/>
      <c r="CJ239" s="1585"/>
      <c r="CK239" s="1585"/>
      <c r="CL239" s="1585"/>
      <c r="CM239" s="1585"/>
      <c r="CN239" s="1585"/>
      <c r="CO239" s="1585"/>
      <c r="CP239" s="1585"/>
      <c r="CQ239" s="1585"/>
      <c r="CR239" s="1585"/>
      <c r="CS239" s="1585"/>
      <c r="CT239" s="1585"/>
      <c r="CU239" s="1585"/>
      <c r="CV239" s="1585"/>
      <c r="CW239" s="1585"/>
      <c r="CX239" s="1585"/>
      <c r="CY239" s="1585"/>
      <c r="CZ239" s="1585"/>
    </row>
    <row r="240" spans="1:104">
      <c r="A240" s="1466"/>
      <c r="B240" s="1583"/>
      <c r="C240" s="1583"/>
      <c r="D240" s="1583"/>
      <c r="E240" s="1585"/>
      <c r="F240" s="1585"/>
      <c r="G240" s="1585"/>
      <c r="H240" s="1585"/>
      <c r="I240" s="1585"/>
      <c r="J240" s="1585"/>
      <c r="K240" s="1585"/>
      <c r="L240" s="1585"/>
      <c r="M240" s="1585"/>
      <c r="N240" s="1585"/>
      <c r="O240" s="1585"/>
      <c r="P240" s="1585"/>
      <c r="Q240" s="1585"/>
      <c r="R240" s="1585"/>
      <c r="S240" s="1585"/>
      <c r="T240" s="1585"/>
      <c r="U240" s="1585"/>
      <c r="V240" s="1585"/>
      <c r="W240" s="1585"/>
      <c r="X240" s="1585"/>
      <c r="Y240" s="1585"/>
      <c r="Z240" s="1585"/>
      <c r="AA240" s="1585"/>
      <c r="AB240" s="1585"/>
      <c r="AC240" s="1585"/>
      <c r="AD240" s="1585"/>
      <c r="AE240" s="1585"/>
      <c r="AF240" s="1585"/>
      <c r="AG240" s="1585"/>
      <c r="AH240" s="1585"/>
      <c r="AI240" s="1585"/>
      <c r="AJ240" s="1585"/>
      <c r="AK240" s="1585"/>
      <c r="AL240" s="1585"/>
      <c r="AM240" s="1585"/>
      <c r="AN240" s="1585"/>
      <c r="AO240" s="1585"/>
      <c r="AP240" s="1585"/>
      <c r="AQ240" s="1585"/>
      <c r="AR240" s="1585"/>
      <c r="AS240" s="1585"/>
      <c r="AT240" s="1585"/>
      <c r="AU240" s="1585"/>
      <c r="AV240" s="1585"/>
      <c r="AW240" s="1585"/>
      <c r="AX240" s="1585"/>
      <c r="AY240" s="1585"/>
      <c r="AZ240" s="1585"/>
      <c r="BA240" s="1585"/>
      <c r="BB240" s="1585"/>
      <c r="BC240" s="1585"/>
      <c r="BD240" s="1585"/>
      <c r="BE240" s="1585"/>
      <c r="BF240" s="1585"/>
      <c r="BG240" s="1585"/>
      <c r="BH240" s="1585"/>
      <c r="BI240" s="1585"/>
      <c r="BJ240" s="1585"/>
      <c r="BK240" s="1585"/>
      <c r="BL240" s="1585"/>
      <c r="BM240" s="1585"/>
      <c r="BN240" s="1585"/>
      <c r="BO240" s="1585"/>
      <c r="BP240" s="1585"/>
      <c r="BQ240" s="1585"/>
      <c r="BR240" s="1585"/>
      <c r="BS240" s="1585"/>
      <c r="BT240" s="1585"/>
      <c r="BU240" s="1585"/>
      <c r="BV240" s="1585"/>
      <c r="BW240" s="1585"/>
      <c r="BX240" s="1585"/>
      <c r="BY240" s="1585"/>
      <c r="BZ240" s="1585"/>
      <c r="CA240" s="1585"/>
      <c r="CB240" s="1585"/>
      <c r="CC240" s="1585"/>
      <c r="CD240" s="1585"/>
      <c r="CE240" s="1585"/>
      <c r="CF240" s="1585"/>
      <c r="CG240" s="1585"/>
      <c r="CH240" s="1585"/>
      <c r="CI240" s="1585"/>
      <c r="CJ240" s="1585"/>
      <c r="CK240" s="1585"/>
      <c r="CL240" s="1585"/>
      <c r="CM240" s="1585"/>
      <c r="CN240" s="1585"/>
      <c r="CO240" s="1585"/>
      <c r="CP240" s="1585"/>
      <c r="CQ240" s="1585"/>
      <c r="CR240" s="1585"/>
      <c r="CS240" s="1585"/>
      <c r="CT240" s="1585"/>
      <c r="CU240" s="1585"/>
      <c r="CV240" s="1585"/>
      <c r="CW240" s="1585"/>
      <c r="CX240" s="1585"/>
      <c r="CY240" s="1585"/>
      <c r="CZ240" s="1585"/>
    </row>
    <row r="241" spans="1:104">
      <c r="A241" s="1466"/>
      <c r="B241" s="1583"/>
      <c r="C241" s="1583"/>
      <c r="D241" s="1583"/>
      <c r="E241" s="1585"/>
      <c r="F241" s="1585"/>
      <c r="G241" s="1585"/>
      <c r="H241" s="1585"/>
      <c r="I241" s="1585"/>
      <c r="J241" s="1585"/>
      <c r="K241" s="1585"/>
      <c r="L241" s="1585"/>
      <c r="M241" s="1585"/>
      <c r="N241" s="1585"/>
      <c r="O241" s="1585"/>
      <c r="P241" s="1585"/>
      <c r="Q241" s="1585"/>
      <c r="R241" s="1585"/>
      <c r="S241" s="1585"/>
      <c r="T241" s="1585"/>
      <c r="U241" s="1585"/>
      <c r="V241" s="1585"/>
      <c r="W241" s="1585"/>
      <c r="X241" s="1585"/>
      <c r="Y241" s="1585"/>
      <c r="Z241" s="1585"/>
      <c r="AA241" s="1585"/>
      <c r="AB241" s="1585"/>
      <c r="AC241" s="1585"/>
      <c r="AD241" s="1585"/>
      <c r="AE241" s="1585"/>
      <c r="AF241" s="1585"/>
      <c r="AG241" s="1585"/>
      <c r="AH241" s="1585"/>
      <c r="AI241" s="1585"/>
      <c r="AJ241" s="1585"/>
      <c r="AK241" s="1585"/>
      <c r="AL241" s="1585"/>
      <c r="AM241" s="1585"/>
      <c r="AN241" s="1585"/>
      <c r="AO241" s="1585"/>
      <c r="AP241" s="1585"/>
      <c r="AQ241" s="1585"/>
      <c r="AR241" s="1585"/>
      <c r="AS241" s="1585"/>
      <c r="AT241" s="1585"/>
      <c r="AU241" s="1585"/>
      <c r="AV241" s="1585"/>
      <c r="AW241" s="1585"/>
      <c r="AX241" s="1585"/>
      <c r="AY241" s="1585"/>
      <c r="AZ241" s="1585"/>
      <c r="BA241" s="1585"/>
      <c r="BB241" s="1585"/>
      <c r="BC241" s="1585"/>
      <c r="BD241" s="1585"/>
      <c r="BE241" s="1585"/>
      <c r="BF241" s="1585"/>
      <c r="BG241" s="1585"/>
      <c r="BH241" s="1585"/>
      <c r="BI241" s="1585"/>
      <c r="BJ241" s="1585"/>
      <c r="BK241" s="1585"/>
      <c r="BL241" s="1585"/>
      <c r="BM241" s="1585"/>
      <c r="BN241" s="1585"/>
      <c r="BO241" s="1585"/>
      <c r="BP241" s="1585"/>
      <c r="BQ241" s="1585"/>
      <c r="BR241" s="1585"/>
      <c r="BS241" s="1585"/>
      <c r="BT241" s="1585"/>
      <c r="BU241" s="1585"/>
      <c r="BV241" s="1585"/>
      <c r="BW241" s="1585"/>
      <c r="BX241" s="1585"/>
      <c r="BY241" s="1585"/>
      <c r="BZ241" s="1585"/>
      <c r="CA241" s="1585"/>
      <c r="CB241" s="1585"/>
      <c r="CC241" s="1585"/>
      <c r="CD241" s="1585"/>
      <c r="CE241" s="1585"/>
      <c r="CF241" s="1585"/>
      <c r="CG241" s="1585"/>
      <c r="CH241" s="1585"/>
      <c r="CI241" s="1585"/>
      <c r="CJ241" s="1585"/>
      <c r="CK241" s="1585"/>
      <c r="CL241" s="1585"/>
      <c r="CM241" s="1585"/>
      <c r="CN241" s="1585"/>
      <c r="CO241" s="1585"/>
      <c r="CP241" s="1585"/>
      <c r="CQ241" s="1585"/>
      <c r="CR241" s="1585"/>
      <c r="CS241" s="1585"/>
      <c r="CT241" s="1585"/>
      <c r="CU241" s="1585"/>
      <c r="CV241" s="1585"/>
      <c r="CW241" s="1585"/>
      <c r="CX241" s="1585"/>
      <c r="CY241" s="1585"/>
      <c r="CZ241" s="1585"/>
    </row>
    <row r="242" spans="1:104">
      <c r="A242" s="1466"/>
      <c r="B242" s="1583"/>
      <c r="C242" s="1583"/>
      <c r="D242" s="1583"/>
      <c r="E242" s="1585"/>
      <c r="F242" s="1585"/>
      <c r="G242" s="1585"/>
      <c r="H242" s="1585"/>
      <c r="I242" s="1585"/>
      <c r="J242" s="1585"/>
      <c r="K242" s="1585"/>
      <c r="L242" s="1585"/>
      <c r="M242" s="1585"/>
      <c r="N242" s="1585"/>
      <c r="O242" s="1585"/>
      <c r="P242" s="1585"/>
      <c r="Q242" s="1585"/>
      <c r="R242" s="1585"/>
      <c r="S242" s="1585"/>
      <c r="T242" s="1585"/>
      <c r="U242" s="1585"/>
      <c r="V242" s="1585"/>
      <c r="W242" s="1585"/>
      <c r="X242" s="1585"/>
      <c r="Y242" s="1585"/>
      <c r="Z242" s="1585"/>
      <c r="AA242" s="1585"/>
      <c r="AB242" s="1585"/>
      <c r="AC242" s="1585"/>
      <c r="AD242" s="1585"/>
      <c r="AE242" s="1585"/>
      <c r="AF242" s="1585"/>
      <c r="AG242" s="1585"/>
      <c r="AH242" s="1585"/>
      <c r="AI242" s="1585"/>
      <c r="AJ242" s="1585"/>
      <c r="AK242" s="1585"/>
      <c r="AL242" s="1585"/>
      <c r="AM242" s="1585"/>
      <c r="AN242" s="1585"/>
      <c r="AO242" s="1585"/>
      <c r="AP242" s="1585"/>
      <c r="AQ242" s="1585"/>
      <c r="AR242" s="1585"/>
      <c r="AS242" s="1585"/>
      <c r="AT242" s="1585"/>
      <c r="AU242" s="1585"/>
      <c r="AV242" s="1585"/>
      <c r="AW242" s="1585"/>
      <c r="AX242" s="1585"/>
      <c r="AY242" s="1585"/>
      <c r="AZ242" s="1585"/>
      <c r="BA242" s="1585"/>
      <c r="BB242" s="1585"/>
      <c r="BC242" s="1585"/>
      <c r="BD242" s="1585"/>
      <c r="BE242" s="1585"/>
      <c r="BF242" s="1585"/>
      <c r="BG242" s="1585"/>
      <c r="BH242" s="1585"/>
      <c r="BI242" s="1585"/>
      <c r="BJ242" s="1585"/>
      <c r="BK242" s="1585"/>
      <c r="BL242" s="1585"/>
      <c r="BM242" s="1585"/>
      <c r="BN242" s="1585"/>
      <c r="BO242" s="1585"/>
      <c r="BP242" s="1585"/>
      <c r="BQ242" s="1585"/>
      <c r="BR242" s="1585"/>
      <c r="BS242" s="1585"/>
      <c r="BT242" s="1585"/>
      <c r="BU242" s="1585"/>
      <c r="BV242" s="1585"/>
      <c r="BW242" s="1585"/>
      <c r="BX242" s="1585"/>
      <c r="BY242" s="1585"/>
      <c r="BZ242" s="1585"/>
      <c r="CA242" s="1585"/>
      <c r="CB242" s="1585"/>
      <c r="CC242" s="1585"/>
      <c r="CD242" s="1585"/>
      <c r="CE242" s="1585"/>
      <c r="CF242" s="1585"/>
      <c r="CG242" s="1585"/>
      <c r="CH242" s="1585"/>
      <c r="CI242" s="1585"/>
      <c r="CJ242" s="1585"/>
      <c r="CK242" s="1585"/>
      <c r="CL242" s="1585"/>
      <c r="CM242" s="1585"/>
      <c r="CN242" s="1585"/>
      <c r="CO242" s="1585"/>
      <c r="CP242" s="1585"/>
      <c r="CQ242" s="1585"/>
      <c r="CR242" s="1585"/>
      <c r="CS242" s="1585"/>
      <c r="CT242" s="1585"/>
      <c r="CU242" s="1585"/>
      <c r="CV242" s="1585"/>
      <c r="CW242" s="1585"/>
      <c r="CX242" s="1585"/>
      <c r="CY242" s="1585"/>
      <c r="CZ242" s="1585"/>
    </row>
    <row r="243" spans="1:104">
      <c r="A243" s="1466"/>
      <c r="B243" s="1583"/>
      <c r="C243" s="1583"/>
      <c r="D243" s="1583"/>
      <c r="E243" s="1585"/>
      <c r="F243" s="1585"/>
      <c r="G243" s="1585"/>
      <c r="H243" s="1585"/>
      <c r="I243" s="1585"/>
      <c r="J243" s="1585"/>
      <c r="K243" s="1585"/>
      <c r="L243" s="1585"/>
      <c r="M243" s="1585"/>
      <c r="N243" s="1585"/>
      <c r="O243" s="1585"/>
      <c r="P243" s="1585"/>
      <c r="Q243" s="1585"/>
      <c r="R243" s="1585"/>
      <c r="S243" s="1585"/>
      <c r="T243" s="1585"/>
      <c r="U243" s="1585"/>
      <c r="V243" s="1585"/>
      <c r="W243" s="1585"/>
      <c r="X243" s="1585"/>
      <c r="Y243" s="1585"/>
      <c r="Z243" s="1585"/>
      <c r="AA243" s="1585"/>
      <c r="AB243" s="1585"/>
      <c r="AC243" s="1585"/>
      <c r="AD243" s="1585"/>
      <c r="AE243" s="1585"/>
      <c r="AF243" s="1585"/>
      <c r="AG243" s="1585"/>
      <c r="AH243" s="1585"/>
      <c r="AI243" s="1585"/>
      <c r="AJ243" s="1585"/>
      <c r="AK243" s="1585"/>
      <c r="AL243" s="1585"/>
      <c r="AM243" s="1585"/>
      <c r="AN243" s="1585"/>
      <c r="AO243" s="1585"/>
      <c r="AP243" s="1585"/>
      <c r="AQ243" s="1585"/>
      <c r="AR243" s="1585"/>
      <c r="AS243" s="1585"/>
      <c r="AT243" s="1585"/>
      <c r="AU243" s="1585"/>
      <c r="AV243" s="1585"/>
      <c r="AW243" s="1585"/>
      <c r="AX243" s="1585"/>
      <c r="AY243" s="1585"/>
      <c r="AZ243" s="1585"/>
      <c r="BA243" s="1585"/>
      <c r="BB243" s="1585"/>
      <c r="BC243" s="1585"/>
      <c r="BD243" s="1585"/>
      <c r="BE243" s="1585"/>
      <c r="BF243" s="1585"/>
      <c r="BG243" s="1585"/>
      <c r="BH243" s="1585"/>
      <c r="BI243" s="1585"/>
      <c r="BJ243" s="1585"/>
      <c r="BK243" s="1585"/>
      <c r="BL243" s="1585"/>
      <c r="BM243" s="1585"/>
      <c r="BN243" s="1585"/>
      <c r="BO243" s="1585"/>
      <c r="BP243" s="1585"/>
      <c r="BQ243" s="1585"/>
      <c r="BR243" s="1585"/>
      <c r="BS243" s="1585"/>
      <c r="BT243" s="1585"/>
      <c r="BU243" s="1585"/>
      <c r="BV243" s="1585"/>
      <c r="BW243" s="1585"/>
      <c r="BX243" s="1585"/>
      <c r="BY243" s="1585"/>
      <c r="BZ243" s="1585"/>
      <c r="CA243" s="1585"/>
      <c r="CB243" s="1585"/>
      <c r="CC243" s="1585"/>
      <c r="CD243" s="1585"/>
      <c r="CE243" s="1585"/>
      <c r="CF243" s="1585"/>
      <c r="CG243" s="1585"/>
      <c r="CH243" s="1585"/>
      <c r="CI243" s="1585"/>
      <c r="CJ243" s="1585"/>
      <c r="CK243" s="1585"/>
      <c r="CL243" s="1585"/>
      <c r="CM243" s="1585"/>
      <c r="CN243" s="1585"/>
      <c r="CO243" s="1585"/>
      <c r="CP243" s="1585"/>
      <c r="CQ243" s="1585"/>
      <c r="CR243" s="1585"/>
      <c r="CS243" s="1585"/>
      <c r="CT243" s="1585"/>
      <c r="CU243" s="1585"/>
      <c r="CV243" s="1585"/>
      <c r="CW243" s="1585"/>
      <c r="CX243" s="1585"/>
      <c r="CY243" s="1585"/>
      <c r="CZ243" s="1585"/>
    </row>
    <row r="244" spans="1:104">
      <c r="A244" s="1466"/>
      <c r="B244" s="1583"/>
      <c r="C244" s="1583"/>
      <c r="D244" s="1583"/>
      <c r="E244" s="1585"/>
      <c r="F244" s="1585"/>
      <c r="G244" s="1585"/>
      <c r="H244" s="1585"/>
      <c r="I244" s="1585"/>
      <c r="J244" s="1585"/>
      <c r="K244" s="1585"/>
      <c r="L244" s="1585"/>
      <c r="M244" s="1585"/>
      <c r="N244" s="1585"/>
      <c r="O244" s="1585"/>
      <c r="P244" s="1585"/>
      <c r="Q244" s="1585"/>
      <c r="R244" s="1585"/>
      <c r="S244" s="1585"/>
      <c r="T244" s="1585"/>
      <c r="U244" s="1585"/>
      <c r="V244" s="1585"/>
      <c r="W244" s="1585"/>
      <c r="X244" s="1585"/>
      <c r="Y244" s="1585"/>
      <c r="Z244" s="1585"/>
      <c r="AA244" s="1585"/>
      <c r="AB244" s="1585"/>
      <c r="AC244" s="1585"/>
      <c r="AD244" s="1585"/>
      <c r="AE244" s="1585"/>
      <c r="AF244" s="1585"/>
      <c r="AG244" s="1585"/>
      <c r="AH244" s="1585"/>
      <c r="AI244" s="1585"/>
      <c r="AJ244" s="1585"/>
      <c r="AK244" s="1585"/>
      <c r="AL244" s="1585"/>
      <c r="AM244" s="1585"/>
      <c r="AN244" s="1585"/>
      <c r="AO244" s="1585"/>
      <c r="AP244" s="1585"/>
      <c r="AQ244" s="1585"/>
      <c r="AR244" s="1585"/>
      <c r="AS244" s="1585"/>
      <c r="AT244" s="1585"/>
      <c r="AU244" s="1585"/>
      <c r="AV244" s="1585"/>
      <c r="AW244" s="1585"/>
      <c r="AX244" s="1585"/>
      <c r="AY244" s="1585"/>
      <c r="AZ244" s="1585"/>
      <c r="BA244" s="1585"/>
      <c r="BB244" s="1585"/>
      <c r="BC244" s="1585"/>
      <c r="BD244" s="1585"/>
      <c r="BE244" s="1585"/>
      <c r="BF244" s="1585"/>
      <c r="BG244" s="1585"/>
      <c r="BH244" s="1585"/>
      <c r="BI244" s="1585"/>
      <c r="BJ244" s="1585"/>
      <c r="BK244" s="1585"/>
      <c r="BL244" s="1585"/>
      <c r="BM244" s="1585"/>
      <c r="BN244" s="1585"/>
      <c r="BO244" s="1585"/>
      <c r="BP244" s="1585"/>
      <c r="BQ244" s="1585"/>
      <c r="BR244" s="1585"/>
      <c r="BS244" s="1585"/>
      <c r="BT244" s="1585"/>
      <c r="BU244" s="1585"/>
      <c r="BV244" s="1585"/>
      <c r="BW244" s="1585"/>
      <c r="BX244" s="1585"/>
      <c r="BY244" s="1585"/>
      <c r="BZ244" s="1585"/>
      <c r="CA244" s="1585"/>
      <c r="CB244" s="1585"/>
      <c r="CC244" s="1585"/>
      <c r="CD244" s="1585"/>
      <c r="CE244" s="1585"/>
      <c r="CF244" s="1585"/>
      <c r="CG244" s="1585"/>
      <c r="CH244" s="1585"/>
      <c r="CI244" s="1585"/>
      <c r="CJ244" s="1585"/>
      <c r="CK244" s="1585"/>
      <c r="CL244" s="1585"/>
      <c r="CM244" s="1585"/>
      <c r="CN244" s="1585"/>
      <c r="CO244" s="1585"/>
      <c r="CP244" s="1585"/>
      <c r="CQ244" s="1585"/>
      <c r="CR244" s="1585"/>
      <c r="CS244" s="1585"/>
      <c r="CT244" s="1585"/>
      <c r="CU244" s="1585"/>
      <c r="CV244" s="1585"/>
      <c r="CW244" s="1585"/>
      <c r="CX244" s="1585"/>
      <c r="CY244" s="1585"/>
      <c r="CZ244" s="1585"/>
    </row>
    <row r="245" spans="1:104">
      <c r="A245" s="1466"/>
      <c r="B245" s="1583"/>
      <c r="C245" s="1583"/>
      <c r="D245" s="1583"/>
      <c r="E245" s="1585"/>
      <c r="F245" s="1585"/>
      <c r="G245" s="1585"/>
      <c r="H245" s="1585"/>
      <c r="I245" s="1585"/>
      <c r="J245" s="1585"/>
      <c r="K245" s="1585"/>
      <c r="L245" s="1585"/>
      <c r="M245" s="1585"/>
      <c r="N245" s="1585"/>
      <c r="O245" s="1585"/>
      <c r="P245" s="1585"/>
      <c r="Q245" s="1585"/>
      <c r="R245" s="1585"/>
      <c r="S245" s="1585"/>
      <c r="T245" s="1585"/>
      <c r="U245" s="1585"/>
      <c r="V245" s="1585"/>
      <c r="W245" s="1585"/>
      <c r="X245" s="1585"/>
      <c r="Y245" s="1585"/>
      <c r="Z245" s="1585"/>
      <c r="AA245" s="1585"/>
      <c r="AB245" s="1585"/>
      <c r="AC245" s="1585"/>
      <c r="AD245" s="1585"/>
      <c r="AE245" s="1585"/>
      <c r="AF245" s="1585"/>
      <c r="AG245" s="1585"/>
      <c r="AH245" s="1585"/>
      <c r="AI245" s="1585"/>
      <c r="AJ245" s="1585"/>
      <c r="AK245" s="1585"/>
      <c r="AL245" s="1585"/>
      <c r="AM245" s="1585"/>
      <c r="AN245" s="1585"/>
      <c r="AO245" s="1585"/>
      <c r="AP245" s="1585"/>
      <c r="AQ245" s="1585"/>
      <c r="AR245" s="1585"/>
      <c r="AS245" s="1585"/>
      <c r="AT245" s="1585"/>
      <c r="AU245" s="1585"/>
      <c r="AV245" s="1585"/>
      <c r="AW245" s="1585"/>
      <c r="AX245" s="1585"/>
      <c r="AY245" s="1585"/>
      <c r="AZ245" s="1585"/>
      <c r="BA245" s="1585"/>
      <c r="BB245" s="1585"/>
      <c r="BC245" s="1585"/>
      <c r="BD245" s="1585"/>
      <c r="BE245" s="1585"/>
      <c r="BF245" s="1585"/>
      <c r="BG245" s="1585"/>
      <c r="BH245" s="1585"/>
      <c r="BI245" s="1585"/>
      <c r="BJ245" s="1585"/>
      <c r="BK245" s="1585"/>
      <c r="BL245" s="1585"/>
      <c r="BM245" s="1585"/>
      <c r="BN245" s="1585"/>
      <c r="BO245" s="1585"/>
      <c r="BP245" s="1585"/>
      <c r="BQ245" s="1585"/>
      <c r="BR245" s="1585"/>
      <c r="BS245" s="1585"/>
      <c r="BT245" s="1585"/>
      <c r="BU245" s="1585"/>
      <c r="BV245" s="1585"/>
      <c r="BW245" s="1585"/>
      <c r="BX245" s="1585"/>
      <c r="BY245" s="1585"/>
      <c r="BZ245" s="1585"/>
      <c r="CA245" s="1585"/>
      <c r="CB245" s="1585"/>
      <c r="CC245" s="1585"/>
      <c r="CD245" s="1585"/>
      <c r="CE245" s="1585"/>
      <c r="CF245" s="1585"/>
      <c r="CG245" s="1585"/>
      <c r="CH245" s="1585"/>
      <c r="CI245" s="1585"/>
      <c r="CJ245" s="1585"/>
      <c r="CK245" s="1585"/>
      <c r="CL245" s="1585"/>
      <c r="CM245" s="1585"/>
      <c r="CN245" s="1585"/>
      <c r="CO245" s="1585"/>
      <c r="CP245" s="1585"/>
      <c r="CQ245" s="1585"/>
      <c r="CR245" s="1585"/>
      <c r="CS245" s="1585"/>
      <c r="CT245" s="1585"/>
      <c r="CU245" s="1585"/>
      <c r="CV245" s="1585"/>
      <c r="CW245" s="1585"/>
      <c r="CX245" s="1585"/>
      <c r="CY245" s="1585"/>
      <c r="CZ245" s="1585"/>
    </row>
    <row r="246" spans="1:104">
      <c r="A246" s="1466"/>
      <c r="B246" s="1583"/>
      <c r="C246" s="1583"/>
      <c r="D246" s="1583"/>
      <c r="E246" s="1585"/>
      <c r="F246" s="1585"/>
      <c r="G246" s="1585"/>
      <c r="H246" s="1585"/>
      <c r="I246" s="1585"/>
      <c r="J246" s="1585"/>
      <c r="K246" s="1585"/>
      <c r="L246" s="1585"/>
      <c r="M246" s="1585"/>
      <c r="N246" s="1585"/>
      <c r="O246" s="1585"/>
      <c r="P246" s="1585"/>
      <c r="Q246" s="1585"/>
      <c r="R246" s="1585"/>
      <c r="S246" s="1585"/>
      <c r="T246" s="1585"/>
      <c r="U246" s="1585"/>
      <c r="V246" s="1585"/>
      <c r="W246" s="1585"/>
      <c r="X246" s="1585"/>
      <c r="Y246" s="1585"/>
      <c r="Z246" s="1585"/>
      <c r="AA246" s="1585"/>
      <c r="AB246" s="1585"/>
      <c r="AC246" s="1585"/>
      <c r="AD246" s="1585"/>
      <c r="AE246" s="1585"/>
      <c r="AF246" s="1585"/>
      <c r="AG246" s="1585"/>
      <c r="AH246" s="1585"/>
      <c r="AI246" s="1585"/>
      <c r="AJ246" s="1585"/>
      <c r="AK246" s="1585"/>
      <c r="AL246" s="1585"/>
      <c r="AM246" s="1585"/>
      <c r="AN246" s="1585"/>
      <c r="AO246" s="1585"/>
      <c r="AP246" s="1585"/>
      <c r="AQ246" s="1585"/>
      <c r="AR246" s="1585"/>
      <c r="AS246" s="1585"/>
      <c r="AT246" s="1585"/>
      <c r="AU246" s="1585"/>
      <c r="AV246" s="1585"/>
      <c r="AW246" s="1585"/>
      <c r="AX246" s="1585"/>
      <c r="AY246" s="1585"/>
      <c r="AZ246" s="1585"/>
      <c r="BA246" s="1585"/>
      <c r="BB246" s="1585"/>
      <c r="BC246" s="1585"/>
      <c r="BD246" s="1585"/>
      <c r="BE246" s="1585"/>
      <c r="BF246" s="1585"/>
      <c r="BG246" s="1585"/>
      <c r="BH246" s="1585"/>
      <c r="BI246" s="1585"/>
      <c r="BJ246" s="1585"/>
      <c r="BK246" s="1585"/>
      <c r="BL246" s="1585"/>
      <c r="BM246" s="1585"/>
      <c r="BN246" s="1585"/>
      <c r="BO246" s="1585"/>
      <c r="BP246" s="1585"/>
      <c r="BQ246" s="1585"/>
      <c r="BR246" s="1585"/>
      <c r="BS246" s="1585"/>
      <c r="BT246" s="1585"/>
      <c r="BU246" s="1585"/>
      <c r="BV246" s="1585"/>
      <c r="BW246" s="1585"/>
      <c r="BX246" s="1585"/>
      <c r="BY246" s="1585"/>
      <c r="BZ246" s="1585"/>
      <c r="CA246" s="1585"/>
      <c r="CB246" s="1585"/>
      <c r="CC246" s="1585"/>
      <c r="CD246" s="1585"/>
      <c r="CE246" s="1585"/>
      <c r="CF246" s="1585"/>
      <c r="CG246" s="1585"/>
      <c r="CH246" s="1585"/>
      <c r="CI246" s="1585"/>
      <c r="CJ246" s="1585"/>
      <c r="CK246" s="1585"/>
      <c r="CL246" s="1585"/>
      <c r="CM246" s="1585"/>
      <c r="CN246" s="1585"/>
      <c r="CO246" s="1585"/>
      <c r="CP246" s="1585"/>
      <c r="CQ246" s="1585"/>
      <c r="CR246" s="1585"/>
      <c r="CS246" s="1585"/>
      <c r="CT246" s="1585"/>
      <c r="CU246" s="1585"/>
      <c r="CV246" s="1585"/>
      <c r="CW246" s="1585"/>
      <c r="CX246" s="1585"/>
      <c r="CY246" s="1585"/>
      <c r="CZ246" s="1585"/>
    </row>
    <row r="247" spans="1:104">
      <c r="A247" s="1466"/>
      <c r="B247" s="1583"/>
      <c r="C247" s="1583"/>
      <c r="D247" s="1583"/>
      <c r="E247" s="1585"/>
      <c r="F247" s="1585"/>
      <c r="G247" s="1585"/>
      <c r="H247" s="1585"/>
      <c r="I247" s="1585"/>
      <c r="J247" s="1585"/>
      <c r="K247" s="1585"/>
      <c r="L247" s="1585"/>
      <c r="M247" s="1585"/>
      <c r="N247" s="1585"/>
      <c r="O247" s="1585"/>
      <c r="P247" s="1585"/>
      <c r="Q247" s="1585"/>
      <c r="R247" s="1585"/>
      <c r="S247" s="1585"/>
      <c r="T247" s="1585"/>
      <c r="U247" s="1585"/>
      <c r="V247" s="1585"/>
      <c r="W247" s="1585"/>
      <c r="X247" s="1585"/>
      <c r="Y247" s="1585"/>
      <c r="Z247" s="1585"/>
      <c r="AA247" s="1585"/>
      <c r="AB247" s="1585"/>
      <c r="AC247" s="1585"/>
      <c r="AD247" s="1585"/>
      <c r="AE247" s="1585"/>
      <c r="AF247" s="1585"/>
      <c r="AG247" s="1585"/>
      <c r="AH247" s="1585"/>
      <c r="AI247" s="1585"/>
      <c r="AJ247" s="1585"/>
      <c r="AK247" s="1585"/>
      <c r="AL247" s="1585"/>
      <c r="AM247" s="1585"/>
      <c r="AN247" s="1585"/>
      <c r="AO247" s="1585"/>
      <c r="AP247" s="1585"/>
      <c r="AQ247" s="1585"/>
      <c r="AR247" s="1585"/>
      <c r="AS247" s="1585"/>
      <c r="AT247" s="1585"/>
      <c r="AU247" s="1585"/>
      <c r="AV247" s="1585"/>
      <c r="AW247" s="1585"/>
      <c r="AX247" s="1585"/>
      <c r="AY247" s="1585"/>
      <c r="AZ247" s="1585"/>
      <c r="BA247" s="1585"/>
      <c r="BB247" s="1585"/>
      <c r="BC247" s="1585"/>
      <c r="BD247" s="1585"/>
      <c r="BE247" s="1585"/>
      <c r="BF247" s="1585"/>
      <c r="BG247" s="1585"/>
      <c r="BH247" s="1585"/>
      <c r="BI247" s="1585"/>
      <c r="BJ247" s="1585"/>
      <c r="BK247" s="1585"/>
      <c r="BL247" s="1585"/>
      <c r="BM247" s="1585"/>
      <c r="BN247" s="1585"/>
      <c r="BO247" s="1585"/>
      <c r="BP247" s="1585"/>
      <c r="BQ247" s="1585"/>
      <c r="BR247" s="1585"/>
      <c r="BS247" s="1585"/>
      <c r="BT247" s="1585"/>
      <c r="BU247" s="1585"/>
      <c r="BV247" s="1585"/>
      <c r="BW247" s="1585"/>
      <c r="BX247" s="1585"/>
      <c r="BY247" s="1585"/>
      <c r="BZ247" s="1585"/>
      <c r="CA247" s="1585"/>
      <c r="CB247" s="1585"/>
      <c r="CC247" s="1585"/>
      <c r="CD247" s="1585"/>
      <c r="CE247" s="1585"/>
      <c r="CF247" s="1585"/>
      <c r="CG247" s="1585"/>
      <c r="CH247" s="1585"/>
      <c r="CI247" s="1585"/>
      <c r="CJ247" s="1585"/>
      <c r="CK247" s="1585"/>
      <c r="CL247" s="1585"/>
      <c r="CM247" s="1585"/>
      <c r="CN247" s="1585"/>
      <c r="CO247" s="1585"/>
      <c r="CP247" s="1585"/>
      <c r="CQ247" s="1585"/>
      <c r="CR247" s="1585"/>
      <c r="CS247" s="1585"/>
      <c r="CT247" s="1585"/>
      <c r="CU247" s="1585"/>
      <c r="CV247" s="1585"/>
      <c r="CW247" s="1585"/>
      <c r="CX247" s="1585"/>
      <c r="CY247" s="1585"/>
      <c r="CZ247" s="1585"/>
    </row>
    <row r="248" spans="1:104">
      <c r="A248" s="1466"/>
      <c r="B248" s="1583"/>
      <c r="C248" s="1583"/>
      <c r="D248" s="1583"/>
      <c r="E248" s="1585"/>
      <c r="F248" s="1585"/>
      <c r="G248" s="1585"/>
      <c r="H248" s="1585"/>
      <c r="I248" s="1585"/>
      <c r="J248" s="1585"/>
      <c r="K248" s="1585"/>
      <c r="L248" s="1585"/>
      <c r="M248" s="1585"/>
      <c r="N248" s="1585"/>
      <c r="O248" s="1585"/>
      <c r="P248" s="1585"/>
      <c r="Q248" s="1585"/>
      <c r="R248" s="1585"/>
      <c r="S248" s="1585"/>
      <c r="T248" s="1585"/>
      <c r="U248" s="1585"/>
      <c r="V248" s="1585"/>
      <c r="W248" s="1585"/>
      <c r="X248" s="1585"/>
      <c r="Y248" s="1585"/>
      <c r="Z248" s="1585"/>
      <c r="AA248" s="1585"/>
      <c r="AB248" s="1585"/>
      <c r="AC248" s="1585"/>
      <c r="AD248" s="1585"/>
      <c r="AE248" s="1585"/>
      <c r="AF248" s="1585"/>
      <c r="AG248" s="1585"/>
      <c r="AH248" s="1585"/>
      <c r="AI248" s="1585"/>
      <c r="AJ248" s="1585"/>
      <c r="AK248" s="1585"/>
      <c r="AL248" s="1585"/>
      <c r="AM248" s="1585"/>
      <c r="AN248" s="1585"/>
      <c r="AO248" s="1585"/>
      <c r="AP248" s="1585"/>
      <c r="AQ248" s="1585"/>
      <c r="AR248" s="1585"/>
      <c r="AS248" s="1585"/>
      <c r="AT248" s="1585"/>
      <c r="AU248" s="1585"/>
      <c r="AV248" s="1585"/>
      <c r="AW248" s="1585"/>
      <c r="AX248" s="1585"/>
      <c r="AY248" s="1585"/>
      <c r="AZ248" s="1585"/>
      <c r="BA248" s="1585"/>
      <c r="BB248" s="1585"/>
      <c r="BC248" s="1585"/>
      <c r="BD248" s="1585"/>
      <c r="BE248" s="1585"/>
      <c r="BF248" s="1585"/>
      <c r="BG248" s="1585"/>
      <c r="BH248" s="1585"/>
      <c r="BI248" s="1585"/>
      <c r="BJ248" s="1585"/>
      <c r="BK248" s="1585"/>
      <c r="BL248" s="1585"/>
      <c r="BM248" s="1585"/>
      <c r="BN248" s="1585"/>
      <c r="BO248" s="1585"/>
      <c r="BP248" s="1585"/>
      <c r="BQ248" s="1585"/>
      <c r="BR248" s="1585"/>
      <c r="BS248" s="1585"/>
      <c r="BT248" s="1585"/>
      <c r="BU248" s="1585"/>
      <c r="BV248" s="1585"/>
      <c r="BW248" s="1585"/>
      <c r="BX248" s="1585"/>
      <c r="BY248" s="1585"/>
      <c r="BZ248" s="1585"/>
      <c r="CA248" s="1585"/>
      <c r="CB248" s="1585"/>
      <c r="CC248" s="1585"/>
      <c r="CD248" s="1585"/>
      <c r="CE248" s="1585"/>
      <c r="CF248" s="1585"/>
      <c r="CG248" s="1585"/>
      <c r="CH248" s="1585"/>
      <c r="CI248" s="1585"/>
      <c r="CJ248" s="1585"/>
      <c r="CK248" s="1585"/>
      <c r="CL248" s="1585"/>
      <c r="CM248" s="1585"/>
      <c r="CN248" s="1585"/>
      <c r="CO248" s="1585"/>
      <c r="CP248" s="1585"/>
      <c r="CQ248" s="1585"/>
      <c r="CR248" s="1585"/>
      <c r="CS248" s="1585"/>
      <c r="CT248" s="1585"/>
      <c r="CU248" s="1585"/>
      <c r="CV248" s="1585"/>
      <c r="CW248" s="1585"/>
      <c r="CX248" s="1585"/>
      <c r="CY248" s="1585"/>
      <c r="CZ248" s="1585"/>
    </row>
    <row r="249" spans="1:104">
      <c r="A249" s="1466"/>
      <c r="B249" s="1583"/>
      <c r="C249" s="1583"/>
      <c r="D249" s="1583"/>
      <c r="E249" s="1585"/>
      <c r="F249" s="1585"/>
      <c r="G249" s="1585"/>
      <c r="H249" s="1585"/>
      <c r="I249" s="1585"/>
      <c r="J249" s="1585"/>
      <c r="K249" s="1585"/>
      <c r="L249" s="1585"/>
      <c r="M249" s="1585"/>
      <c r="N249" s="1585"/>
      <c r="O249" s="1585"/>
      <c r="P249" s="1585"/>
      <c r="Q249" s="1585"/>
      <c r="R249" s="1585"/>
      <c r="S249" s="1585"/>
      <c r="T249" s="1585"/>
      <c r="U249" s="1585"/>
      <c r="V249" s="1585"/>
      <c r="W249" s="1585"/>
      <c r="X249" s="1585"/>
      <c r="Y249" s="1585"/>
      <c r="Z249" s="1585"/>
      <c r="AA249" s="1585"/>
      <c r="AB249" s="1585"/>
      <c r="AC249" s="1585"/>
      <c r="AD249" s="1585"/>
      <c r="AE249" s="1585"/>
      <c r="AF249" s="1585"/>
      <c r="AG249" s="1585"/>
      <c r="AH249" s="1585"/>
      <c r="AI249" s="1585"/>
      <c r="AJ249" s="1585"/>
      <c r="AK249" s="1585"/>
      <c r="AL249" s="1585"/>
      <c r="AM249" s="1585"/>
      <c r="AN249" s="1585"/>
      <c r="AO249" s="1585"/>
      <c r="AP249" s="1585"/>
      <c r="AQ249" s="1585"/>
      <c r="AR249" s="1585"/>
      <c r="AS249" s="1585"/>
      <c r="AT249" s="1585"/>
      <c r="AU249" s="1585"/>
      <c r="AV249" s="1585"/>
      <c r="AW249" s="1585"/>
      <c r="AX249" s="1585"/>
      <c r="AY249" s="1585"/>
      <c r="AZ249" s="1585"/>
      <c r="BA249" s="1585"/>
      <c r="BB249" s="1585"/>
      <c r="BC249" s="1585"/>
      <c r="BD249" s="1585"/>
      <c r="BE249" s="1585"/>
      <c r="BF249" s="1585"/>
      <c r="BG249" s="1585"/>
      <c r="BH249" s="1585"/>
      <c r="BI249" s="1585"/>
      <c r="BJ249" s="1585"/>
      <c r="BK249" s="1585"/>
      <c r="BL249" s="1585"/>
      <c r="BM249" s="1585"/>
      <c r="BN249" s="1585"/>
      <c r="BO249" s="1585"/>
      <c r="BP249" s="1585"/>
      <c r="BQ249" s="1585"/>
      <c r="BR249" s="1585"/>
      <c r="BS249" s="1585"/>
      <c r="BT249" s="1585"/>
      <c r="BU249" s="1585"/>
      <c r="BV249" s="1585"/>
      <c r="BW249" s="1585"/>
      <c r="BX249" s="1585"/>
      <c r="BY249" s="1585"/>
      <c r="BZ249" s="1585"/>
      <c r="CA249" s="1585"/>
      <c r="CB249" s="1585"/>
      <c r="CC249" s="1585"/>
      <c r="CD249" s="1585"/>
      <c r="CE249" s="1585"/>
      <c r="CF249" s="1585"/>
      <c r="CG249" s="1585"/>
      <c r="CH249" s="1585"/>
      <c r="CI249" s="1585"/>
      <c r="CJ249" s="1585"/>
      <c r="CK249" s="1585"/>
      <c r="CL249" s="1585"/>
      <c r="CM249" s="1585"/>
      <c r="CN249" s="1585"/>
      <c r="CO249" s="1585"/>
      <c r="CP249" s="1585"/>
      <c r="CQ249" s="1585"/>
      <c r="CR249" s="1585"/>
      <c r="CS249" s="1585"/>
      <c r="CT249" s="1585"/>
      <c r="CU249" s="1585"/>
      <c r="CV249" s="1585"/>
      <c r="CW249" s="1585"/>
      <c r="CX249" s="1585"/>
      <c r="CY249" s="1585"/>
      <c r="CZ249" s="1585"/>
    </row>
    <row r="250" spans="1:104">
      <c r="A250" s="1466"/>
      <c r="B250" s="1583"/>
      <c r="C250" s="1583"/>
      <c r="D250" s="1583"/>
      <c r="E250" s="1585"/>
      <c r="F250" s="1585"/>
      <c r="G250" s="1585"/>
      <c r="H250" s="1585"/>
      <c r="I250" s="1585"/>
      <c r="J250" s="1585"/>
      <c r="K250" s="1585"/>
      <c r="L250" s="1585"/>
      <c r="M250" s="1585"/>
      <c r="N250" s="1585"/>
      <c r="O250" s="1585"/>
      <c r="P250" s="1585"/>
      <c r="Q250" s="1585"/>
      <c r="R250" s="1585"/>
      <c r="S250" s="1585"/>
      <c r="T250" s="1585"/>
      <c r="U250" s="1585"/>
      <c r="V250" s="1585"/>
      <c r="W250" s="1585"/>
      <c r="X250" s="1585"/>
      <c r="Y250" s="1585"/>
      <c r="Z250" s="1585"/>
      <c r="AA250" s="1585"/>
      <c r="AB250" s="1585"/>
      <c r="AC250" s="1585"/>
      <c r="AD250" s="1585"/>
      <c r="AE250" s="1585"/>
      <c r="AF250" s="1585"/>
      <c r="AG250" s="1585"/>
      <c r="AH250" s="1585"/>
      <c r="AI250" s="1585"/>
      <c r="AJ250" s="1585"/>
      <c r="AK250" s="1585"/>
      <c r="AL250" s="1585"/>
      <c r="AM250" s="1585"/>
      <c r="AN250" s="1585"/>
      <c r="AO250" s="1585"/>
      <c r="AP250" s="1585"/>
      <c r="AQ250" s="1585"/>
      <c r="AR250" s="1585"/>
      <c r="AS250" s="1585"/>
      <c r="AT250" s="1585"/>
      <c r="AU250" s="1585"/>
      <c r="AV250" s="1585"/>
      <c r="AW250" s="1585"/>
      <c r="AX250" s="1585"/>
      <c r="AY250" s="1585"/>
      <c r="AZ250" s="1585"/>
      <c r="BA250" s="1585"/>
      <c r="BB250" s="1585"/>
      <c r="BC250" s="1585"/>
      <c r="BD250" s="1585"/>
      <c r="BE250" s="1585"/>
      <c r="BF250" s="1585"/>
      <c r="BG250" s="1585"/>
      <c r="BH250" s="1585"/>
      <c r="BI250" s="1585"/>
      <c r="BJ250" s="1585"/>
      <c r="BK250" s="1585"/>
      <c r="BL250" s="1585"/>
      <c r="BM250" s="1585"/>
      <c r="BN250" s="1585"/>
      <c r="BO250" s="1585"/>
      <c r="BP250" s="1585"/>
      <c r="BQ250" s="1585"/>
      <c r="BR250" s="1585"/>
      <c r="BS250" s="1585"/>
      <c r="BT250" s="1585"/>
      <c r="BU250" s="1585"/>
      <c r="BV250" s="1585"/>
      <c r="BW250" s="1585"/>
      <c r="BX250" s="1585"/>
      <c r="BY250" s="1585"/>
      <c r="BZ250" s="1585"/>
      <c r="CA250" s="1585"/>
      <c r="CB250" s="1585"/>
      <c r="CC250" s="1585"/>
      <c r="CD250" s="1585"/>
      <c r="CE250" s="1585"/>
      <c r="CF250" s="1585"/>
      <c r="CG250" s="1585"/>
      <c r="CH250" s="1585"/>
      <c r="CI250" s="1585"/>
      <c r="CJ250" s="1585"/>
      <c r="CK250" s="1585"/>
      <c r="CL250" s="1585"/>
      <c r="CM250" s="1585"/>
      <c r="CN250" s="1585"/>
      <c r="CO250" s="1585"/>
      <c r="CP250" s="1585"/>
      <c r="CQ250" s="1585"/>
      <c r="CR250" s="1585"/>
      <c r="CS250" s="1585"/>
      <c r="CT250" s="1585"/>
      <c r="CU250" s="1585"/>
      <c r="CV250" s="1585"/>
      <c r="CW250" s="1585"/>
      <c r="CX250" s="1585"/>
      <c r="CY250" s="1585"/>
      <c r="CZ250" s="1585"/>
    </row>
    <row r="251" spans="1:104">
      <c r="A251" s="1466"/>
      <c r="B251" s="1583"/>
      <c r="C251" s="1583"/>
      <c r="D251" s="1583"/>
      <c r="E251" s="1585"/>
      <c r="F251" s="1585"/>
      <c r="G251" s="1585"/>
      <c r="H251" s="1585"/>
      <c r="I251" s="1585"/>
      <c r="J251" s="1585"/>
      <c r="K251" s="1585"/>
      <c r="L251" s="1585"/>
      <c r="M251" s="1585"/>
      <c r="N251" s="1585"/>
      <c r="O251" s="1585"/>
      <c r="P251" s="1585"/>
      <c r="Q251" s="1585"/>
      <c r="R251" s="1585"/>
      <c r="S251" s="1585"/>
      <c r="T251" s="1585"/>
      <c r="U251" s="1585"/>
      <c r="V251" s="1585"/>
      <c r="W251" s="1585"/>
      <c r="X251" s="1585"/>
      <c r="Y251" s="1585"/>
      <c r="Z251" s="1585"/>
      <c r="AA251" s="1585"/>
      <c r="AB251" s="1585"/>
      <c r="AC251" s="1585"/>
      <c r="AD251" s="1585"/>
      <c r="AE251" s="1585"/>
      <c r="AF251" s="1585"/>
      <c r="AG251" s="1585"/>
      <c r="AH251" s="1585"/>
      <c r="AI251" s="1585"/>
      <c r="AJ251" s="1585"/>
      <c r="AK251" s="1585"/>
      <c r="AL251" s="1585"/>
      <c r="AM251" s="1585"/>
      <c r="AN251" s="1585"/>
      <c r="AO251" s="1585"/>
      <c r="AP251" s="1585"/>
      <c r="AQ251" s="1585"/>
      <c r="AR251" s="1585"/>
      <c r="AS251" s="1585"/>
      <c r="AT251" s="1585"/>
      <c r="AU251" s="1585"/>
      <c r="AV251" s="1585"/>
      <c r="AW251" s="1585"/>
      <c r="AX251" s="1585"/>
      <c r="AY251" s="1585"/>
      <c r="AZ251" s="1585"/>
      <c r="BA251" s="1585"/>
      <c r="BB251" s="1585"/>
      <c r="BC251" s="1585"/>
      <c r="BD251" s="1585"/>
      <c r="BE251" s="1585"/>
      <c r="BF251" s="1585"/>
      <c r="BG251" s="1585"/>
      <c r="BH251" s="1585"/>
      <c r="BI251" s="1585"/>
      <c r="BJ251" s="1585"/>
      <c r="BK251" s="1585"/>
      <c r="BL251" s="1585"/>
      <c r="BM251" s="1585"/>
      <c r="BN251" s="1585"/>
      <c r="BO251" s="1585"/>
      <c r="BP251" s="1585"/>
      <c r="BQ251" s="1585"/>
      <c r="BR251" s="1585"/>
      <c r="BS251" s="1585"/>
      <c r="BT251" s="1585"/>
      <c r="BU251" s="1585"/>
      <c r="BV251" s="1585"/>
      <c r="BW251" s="1585"/>
      <c r="BX251" s="1585"/>
      <c r="BY251" s="1585"/>
      <c r="BZ251" s="1585"/>
      <c r="CA251" s="1585"/>
      <c r="CB251" s="1585"/>
      <c r="CC251" s="1585"/>
      <c r="CD251" s="1585"/>
      <c r="CE251" s="1585"/>
      <c r="CF251" s="1585"/>
      <c r="CG251" s="1585"/>
      <c r="CH251" s="1585"/>
      <c r="CI251" s="1585"/>
      <c r="CJ251" s="1585"/>
      <c r="CK251" s="1585"/>
      <c r="CL251" s="1585"/>
      <c r="CM251" s="1585"/>
      <c r="CN251" s="1585"/>
      <c r="CO251" s="1585"/>
      <c r="CP251" s="1585"/>
      <c r="CQ251" s="1585"/>
      <c r="CR251" s="1585"/>
      <c r="CS251" s="1585"/>
      <c r="CT251" s="1585"/>
      <c r="CU251" s="1585"/>
      <c r="CV251" s="1585"/>
      <c r="CW251" s="1585"/>
      <c r="CX251" s="1585"/>
      <c r="CY251" s="1585"/>
      <c r="CZ251" s="1585"/>
    </row>
    <row r="252" spans="1:104">
      <c r="A252" s="1466"/>
      <c r="B252" s="1583"/>
      <c r="C252" s="1583"/>
      <c r="D252" s="1583"/>
      <c r="E252" s="1585"/>
      <c r="F252" s="1585"/>
      <c r="G252" s="1585"/>
      <c r="H252" s="1585"/>
      <c r="I252" s="1585"/>
      <c r="J252" s="1585"/>
      <c r="K252" s="1585"/>
      <c r="L252" s="1585"/>
      <c r="M252" s="1585"/>
      <c r="N252" s="1585"/>
      <c r="O252" s="1585"/>
      <c r="P252" s="1585"/>
      <c r="Q252" s="1585"/>
      <c r="R252" s="1585"/>
      <c r="S252" s="1585"/>
      <c r="T252" s="1585"/>
      <c r="U252" s="1585"/>
      <c r="V252" s="1585"/>
      <c r="W252" s="1585"/>
      <c r="X252" s="1585"/>
      <c r="Y252" s="1585"/>
      <c r="Z252" s="1585"/>
      <c r="AA252" s="1585"/>
      <c r="AB252" s="1585"/>
      <c r="AC252" s="1585"/>
      <c r="AD252" s="1585"/>
      <c r="AE252" s="1585"/>
      <c r="AF252" s="1585"/>
      <c r="AG252" s="1585"/>
      <c r="AH252" s="1585"/>
      <c r="AI252" s="1585"/>
      <c r="AJ252" s="1585"/>
      <c r="AK252" s="1585"/>
      <c r="AL252" s="1585"/>
      <c r="AM252" s="1585"/>
      <c r="AN252" s="1585"/>
      <c r="AO252" s="1585"/>
      <c r="AP252" s="1585"/>
      <c r="AQ252" s="1585"/>
      <c r="AR252" s="1585"/>
      <c r="AS252" s="1585"/>
      <c r="AT252" s="1585"/>
      <c r="AU252" s="1585"/>
      <c r="AV252" s="1585"/>
      <c r="AW252" s="1585"/>
      <c r="AX252" s="1585"/>
      <c r="AY252" s="1585"/>
      <c r="AZ252" s="1585"/>
      <c r="BA252" s="1585"/>
      <c r="BB252" s="1585"/>
      <c r="BC252" s="1585"/>
      <c r="BD252" s="1585"/>
      <c r="BE252" s="1585"/>
      <c r="BF252" s="1585"/>
      <c r="BG252" s="1585"/>
      <c r="BH252" s="1585"/>
      <c r="BI252" s="1585"/>
      <c r="BJ252" s="1585"/>
      <c r="BK252" s="1585"/>
      <c r="BL252" s="1585"/>
      <c r="BM252" s="1585"/>
      <c r="BN252" s="1585"/>
      <c r="BO252" s="1585"/>
      <c r="BP252" s="1585"/>
      <c r="BQ252" s="1585"/>
      <c r="BR252" s="1585"/>
      <c r="BS252" s="1585"/>
      <c r="BT252" s="1585"/>
      <c r="BU252" s="1585"/>
      <c r="BV252" s="1585"/>
      <c r="BW252" s="1585"/>
      <c r="BX252" s="1585"/>
      <c r="BY252" s="1585"/>
      <c r="BZ252" s="1585"/>
      <c r="CA252" s="1585"/>
      <c r="CB252" s="1585"/>
      <c r="CC252" s="1585"/>
      <c r="CD252" s="1585"/>
      <c r="CE252" s="1585"/>
      <c r="CF252" s="1585"/>
      <c r="CG252" s="1585"/>
      <c r="CH252" s="1585"/>
      <c r="CI252" s="1585"/>
      <c r="CJ252" s="1585"/>
      <c r="CK252" s="1585"/>
      <c r="CL252" s="1585"/>
      <c r="CM252" s="1585"/>
      <c r="CN252" s="1585"/>
      <c r="CO252" s="1585"/>
      <c r="CP252" s="1585"/>
      <c r="CQ252" s="1585"/>
      <c r="CR252" s="1585"/>
      <c r="CS252" s="1585"/>
      <c r="CT252" s="1585"/>
      <c r="CU252" s="1585"/>
      <c r="CV252" s="1585"/>
      <c r="CW252" s="1585"/>
      <c r="CX252" s="1585"/>
      <c r="CY252" s="1585"/>
      <c r="CZ252" s="1585"/>
    </row>
    <row r="253" spans="1:104">
      <c r="A253" s="1466"/>
      <c r="B253" s="1583"/>
      <c r="C253" s="1583"/>
      <c r="D253" s="1583"/>
      <c r="E253" s="1585"/>
      <c r="F253" s="1585"/>
      <c r="G253" s="1585"/>
      <c r="H253" s="1585"/>
      <c r="I253" s="1585"/>
      <c r="J253" s="1585"/>
      <c r="K253" s="1585"/>
      <c r="L253" s="1585"/>
      <c r="M253" s="1585"/>
      <c r="N253" s="1585"/>
      <c r="O253" s="1585"/>
      <c r="P253" s="1585"/>
      <c r="Q253" s="1585"/>
      <c r="R253" s="1585"/>
      <c r="S253" s="1585"/>
      <c r="T253" s="1585"/>
      <c r="U253" s="1585"/>
      <c r="V253" s="1585"/>
      <c r="W253" s="1585"/>
      <c r="X253" s="1585"/>
      <c r="Y253" s="1585"/>
      <c r="Z253" s="1585"/>
      <c r="AA253" s="1585"/>
      <c r="AB253" s="1585"/>
      <c r="AC253" s="1585"/>
      <c r="AD253" s="1585"/>
      <c r="AE253" s="1585"/>
      <c r="AF253" s="1585"/>
      <c r="AG253" s="1585"/>
      <c r="AH253" s="1585"/>
      <c r="AI253" s="1585"/>
      <c r="AJ253" s="1585"/>
      <c r="AK253" s="1585"/>
      <c r="AL253" s="1585"/>
      <c r="AM253" s="1585"/>
      <c r="AN253" s="1585"/>
      <c r="AO253" s="1585"/>
      <c r="AP253" s="1585"/>
      <c r="AQ253" s="1585"/>
      <c r="AR253" s="1585"/>
      <c r="AS253" s="1585"/>
      <c r="AT253" s="1585"/>
      <c r="AU253" s="1585"/>
      <c r="AV253" s="1585"/>
      <c r="AW253" s="1585"/>
      <c r="AX253" s="1585"/>
      <c r="AY253" s="1585"/>
      <c r="AZ253" s="1585"/>
      <c r="BA253" s="1585"/>
      <c r="BB253" s="1585"/>
      <c r="BC253" s="1585"/>
      <c r="BD253" s="1585"/>
      <c r="BE253" s="1585"/>
      <c r="BF253" s="1585"/>
      <c r="BG253" s="1585"/>
      <c r="BH253" s="1585"/>
      <c r="BI253" s="1585"/>
      <c r="BJ253" s="1585"/>
      <c r="BK253" s="1585"/>
      <c r="BL253" s="1585"/>
      <c r="BM253" s="1585"/>
      <c r="BN253" s="1585"/>
      <c r="BO253" s="1585"/>
      <c r="BP253" s="1585"/>
      <c r="BQ253" s="1585"/>
      <c r="BR253" s="1585"/>
      <c r="BS253" s="1585"/>
      <c r="BT253" s="1585"/>
      <c r="BU253" s="1585"/>
      <c r="BV253" s="1585"/>
      <c r="BW253" s="1585"/>
      <c r="BX253" s="1585"/>
      <c r="BY253" s="1585"/>
      <c r="BZ253" s="1585"/>
      <c r="CA253" s="1585"/>
      <c r="CB253" s="1585"/>
      <c r="CC253" s="1585"/>
      <c r="CD253" s="1585"/>
      <c r="CE253" s="1585"/>
      <c r="CF253" s="1585"/>
      <c r="CG253" s="1585"/>
      <c r="CH253" s="1585"/>
      <c r="CI253" s="1585"/>
      <c r="CJ253" s="1585"/>
      <c r="CK253" s="1585"/>
      <c r="CL253" s="1585"/>
      <c r="CM253" s="1585"/>
      <c r="CN253" s="1585"/>
      <c r="CO253" s="1585"/>
      <c r="CP253" s="1585"/>
      <c r="CQ253" s="1585"/>
      <c r="CR253" s="1585"/>
      <c r="CS253" s="1585"/>
      <c r="CT253" s="1585"/>
      <c r="CU253" s="1585"/>
      <c r="CV253" s="1585"/>
      <c r="CW253" s="1585"/>
      <c r="CX253" s="1585"/>
      <c r="CY253" s="1585"/>
      <c r="CZ253" s="1585"/>
    </row>
    <row r="254" spans="1:104">
      <c r="A254" s="1466"/>
      <c r="B254" s="1583"/>
      <c r="C254" s="1583"/>
      <c r="D254" s="1583"/>
      <c r="E254" s="1585"/>
      <c r="F254" s="1585"/>
      <c r="G254" s="1585"/>
      <c r="H254" s="1585"/>
      <c r="I254" s="1585"/>
      <c r="J254" s="1585"/>
      <c r="K254" s="1585"/>
      <c r="L254" s="1585"/>
      <c r="M254" s="1585"/>
      <c r="N254" s="1585"/>
      <c r="O254" s="1585"/>
      <c r="P254" s="1585"/>
      <c r="Q254" s="1585"/>
      <c r="R254" s="1585"/>
      <c r="S254" s="1585"/>
      <c r="T254" s="1585"/>
      <c r="U254" s="1585"/>
      <c r="V254" s="1585"/>
      <c r="W254" s="1585"/>
      <c r="X254" s="1585"/>
      <c r="Y254" s="1585"/>
      <c r="Z254" s="1585"/>
      <c r="AA254" s="1585"/>
      <c r="AB254" s="1585"/>
      <c r="AC254" s="1585"/>
      <c r="AD254" s="1585"/>
      <c r="AE254" s="1585"/>
      <c r="AF254" s="1585"/>
      <c r="AG254" s="1585"/>
      <c r="AH254" s="1585"/>
      <c r="AI254" s="1585"/>
      <c r="AJ254" s="1585"/>
      <c r="AK254" s="1585"/>
      <c r="AL254" s="1585"/>
      <c r="AM254" s="1585"/>
      <c r="AN254" s="1585"/>
      <c r="AO254" s="1585"/>
      <c r="AP254" s="1585"/>
      <c r="AQ254" s="1585"/>
      <c r="AR254" s="1585"/>
      <c r="AS254" s="1585"/>
      <c r="AT254" s="1585"/>
      <c r="AU254" s="1585"/>
      <c r="AV254" s="1585"/>
      <c r="AW254" s="1585"/>
      <c r="AX254" s="1585"/>
      <c r="AY254" s="1585"/>
      <c r="AZ254" s="1585"/>
      <c r="BA254" s="1585"/>
      <c r="BB254" s="1585"/>
      <c r="BC254" s="1585"/>
      <c r="BD254" s="1585"/>
      <c r="BE254" s="1585"/>
      <c r="BF254" s="1585"/>
      <c r="BG254" s="1585"/>
      <c r="BH254" s="1585"/>
      <c r="BI254" s="1585"/>
      <c r="BJ254" s="1585"/>
      <c r="BK254" s="1585"/>
      <c r="BL254" s="1585"/>
      <c r="BM254" s="1585"/>
      <c r="BN254" s="1585"/>
      <c r="BO254" s="1585"/>
      <c r="BP254" s="1585"/>
      <c r="BQ254" s="1585"/>
      <c r="BR254" s="1585"/>
      <c r="BS254" s="1585"/>
      <c r="BT254" s="1585"/>
      <c r="BU254" s="1585"/>
      <c r="BV254" s="1585"/>
      <c r="BW254" s="1585"/>
      <c r="BX254" s="1585"/>
      <c r="BY254" s="1585"/>
      <c r="BZ254" s="1585"/>
      <c r="CA254" s="1585"/>
      <c r="CB254" s="1585"/>
      <c r="CC254" s="1585"/>
      <c r="CD254" s="1585"/>
      <c r="CE254" s="1585"/>
      <c r="CF254" s="1585"/>
      <c r="CG254" s="1585"/>
      <c r="CH254" s="1585"/>
      <c r="CI254" s="1585"/>
      <c r="CJ254" s="1585"/>
      <c r="CK254" s="1585"/>
      <c r="CL254" s="1585"/>
      <c r="CM254" s="1585"/>
      <c r="CN254" s="1585"/>
      <c r="CO254" s="1585"/>
      <c r="CP254" s="1585"/>
      <c r="CQ254" s="1585"/>
      <c r="CR254" s="1585"/>
      <c r="CS254" s="1585"/>
      <c r="CT254" s="1585"/>
      <c r="CU254" s="1585"/>
      <c r="CV254" s="1585"/>
      <c r="CW254" s="1585"/>
      <c r="CX254" s="1585"/>
      <c r="CY254" s="1585"/>
      <c r="CZ254" s="1585"/>
    </row>
    <row r="255" spans="1:104">
      <c r="A255" s="1466"/>
      <c r="B255" s="1583"/>
      <c r="C255" s="1583"/>
      <c r="D255" s="1583"/>
      <c r="E255" s="1585"/>
      <c r="F255" s="1585"/>
      <c r="G255" s="1585"/>
      <c r="H255" s="1585"/>
      <c r="I255" s="1585"/>
      <c r="J255" s="1585"/>
      <c r="K255" s="1585"/>
      <c r="L255" s="1585"/>
      <c r="M255" s="1585"/>
      <c r="N255" s="1585"/>
      <c r="O255" s="1585"/>
      <c r="P255" s="1585"/>
      <c r="Q255" s="1585"/>
      <c r="R255" s="1585"/>
      <c r="S255" s="1585"/>
      <c r="T255" s="1585"/>
      <c r="U255" s="1585"/>
      <c r="V255" s="1585"/>
      <c r="W255" s="1585"/>
      <c r="X255" s="1585"/>
      <c r="Y255" s="1585"/>
      <c r="Z255" s="1585"/>
      <c r="AA255" s="1585"/>
      <c r="AB255" s="1585"/>
      <c r="AC255" s="1585"/>
      <c r="AD255" s="1585"/>
      <c r="AE255" s="1585"/>
      <c r="AF255" s="1585"/>
      <c r="AG255" s="1585"/>
      <c r="AH255" s="1585"/>
      <c r="AI255" s="1585"/>
      <c r="AJ255" s="1585"/>
      <c r="AK255" s="1585"/>
      <c r="AL255" s="1585"/>
      <c r="AM255" s="1585"/>
      <c r="AN255" s="1585"/>
      <c r="AO255" s="1585"/>
      <c r="AP255" s="1585"/>
      <c r="AQ255" s="1585"/>
      <c r="AR255" s="1585"/>
      <c r="AS255" s="1585"/>
      <c r="AT255" s="1585"/>
      <c r="AU255" s="1585"/>
      <c r="AV255" s="1585"/>
      <c r="AW255" s="1585"/>
      <c r="AX255" s="1585"/>
      <c r="AY255" s="1585"/>
      <c r="AZ255" s="1585"/>
      <c r="BA255" s="1585"/>
      <c r="BB255" s="1585"/>
      <c r="BC255" s="1585"/>
      <c r="BD255" s="1585"/>
      <c r="BE255" s="1585"/>
      <c r="BF255" s="1585"/>
      <c r="BG255" s="1585"/>
      <c r="BH255" s="1585"/>
      <c r="BI255" s="1585"/>
      <c r="BJ255" s="1585"/>
      <c r="BK255" s="1585"/>
      <c r="BL255" s="1585"/>
      <c r="BM255" s="1585"/>
      <c r="BN255" s="1585"/>
      <c r="BO255" s="1585"/>
      <c r="BP255" s="1585"/>
      <c r="BQ255" s="1585"/>
      <c r="BR255" s="1585"/>
      <c r="BS255" s="1585"/>
      <c r="BT255" s="1585"/>
      <c r="BU255" s="1585"/>
      <c r="BV255" s="1585"/>
      <c r="BW255" s="1585"/>
      <c r="BX255" s="1585"/>
      <c r="BY255" s="1585"/>
      <c r="BZ255" s="1585"/>
      <c r="CA255" s="1585"/>
      <c r="CB255" s="1585"/>
      <c r="CC255" s="1585"/>
      <c r="CD255" s="1585"/>
      <c r="CE255" s="1585"/>
      <c r="CF255" s="1585"/>
      <c r="CG255" s="1585"/>
      <c r="CH255" s="1585"/>
      <c r="CI255" s="1585"/>
      <c r="CJ255" s="1585"/>
      <c r="CK255" s="1585"/>
      <c r="CL255" s="1585"/>
      <c r="CM255" s="1585"/>
      <c r="CN255" s="1585"/>
      <c r="CO255" s="1585"/>
      <c r="CP255" s="1585"/>
      <c r="CQ255" s="1585"/>
      <c r="CR255" s="1585"/>
      <c r="CS255" s="1585"/>
      <c r="CT255" s="1585"/>
      <c r="CU255" s="1585"/>
      <c r="CV255" s="1585"/>
      <c r="CW255" s="1585"/>
      <c r="CX255" s="1585"/>
      <c r="CY255" s="1585"/>
      <c r="CZ255" s="1585"/>
    </row>
    <row r="256" spans="1:104">
      <c r="A256" s="1466"/>
      <c r="B256" s="1583"/>
      <c r="C256" s="1583"/>
      <c r="D256" s="1583"/>
      <c r="E256" s="1585"/>
      <c r="F256" s="1585"/>
      <c r="G256" s="1585"/>
      <c r="H256" s="1585"/>
      <c r="I256" s="1585"/>
      <c r="J256" s="1585"/>
      <c r="K256" s="1585"/>
      <c r="L256" s="1585"/>
      <c r="M256" s="1585"/>
      <c r="N256" s="1585"/>
      <c r="O256" s="1585"/>
      <c r="P256" s="1585"/>
      <c r="Q256" s="1585"/>
      <c r="R256" s="1585"/>
      <c r="S256" s="1585"/>
      <c r="T256" s="1585"/>
      <c r="U256" s="1585"/>
      <c r="V256" s="1585"/>
      <c r="W256" s="1585"/>
      <c r="X256" s="1585"/>
      <c r="Y256" s="1585"/>
      <c r="Z256" s="1585"/>
      <c r="AA256" s="1585"/>
      <c r="AB256" s="1585"/>
      <c r="AC256" s="1585"/>
      <c r="AD256" s="1585"/>
      <c r="AE256" s="1585"/>
      <c r="AF256" s="1585"/>
      <c r="AG256" s="1585"/>
      <c r="AH256" s="1585"/>
      <c r="AI256" s="1585"/>
      <c r="AJ256" s="1585"/>
      <c r="AK256" s="1585"/>
      <c r="AL256" s="1585"/>
      <c r="AM256" s="1585"/>
      <c r="AN256" s="1585"/>
      <c r="AO256" s="1585"/>
      <c r="AP256" s="1585"/>
      <c r="AQ256" s="1585"/>
      <c r="AR256" s="1585"/>
      <c r="AS256" s="1585"/>
      <c r="AT256" s="1585"/>
      <c r="AU256" s="1585"/>
      <c r="AV256" s="1585"/>
      <c r="AW256" s="1585"/>
      <c r="AX256" s="1585"/>
      <c r="AY256" s="1585"/>
      <c r="AZ256" s="1585"/>
      <c r="BA256" s="1585"/>
      <c r="BB256" s="1585"/>
      <c r="BC256" s="1585"/>
      <c r="BD256" s="1585"/>
      <c r="BE256" s="1585"/>
      <c r="BF256" s="1585"/>
      <c r="BG256" s="1585"/>
      <c r="BH256" s="1585"/>
      <c r="BI256" s="1585"/>
      <c r="BJ256" s="1585"/>
      <c r="BK256" s="1585"/>
      <c r="BL256" s="1585"/>
      <c r="BM256" s="1585"/>
      <c r="BN256" s="1585"/>
      <c r="BO256" s="1585"/>
      <c r="BP256" s="1585"/>
      <c r="BQ256" s="1585"/>
      <c r="BR256" s="1585"/>
      <c r="BS256" s="1585"/>
      <c r="BT256" s="1585"/>
      <c r="BU256" s="1585"/>
      <c r="BV256" s="1585"/>
      <c r="BW256" s="1585"/>
      <c r="BX256" s="1585"/>
      <c r="BY256" s="1585"/>
      <c r="BZ256" s="1585"/>
      <c r="CA256" s="1585"/>
      <c r="CB256" s="1585"/>
      <c r="CC256" s="1585"/>
      <c r="CD256" s="1585"/>
      <c r="CE256" s="1585"/>
      <c r="CF256" s="1585"/>
      <c r="CG256" s="1585"/>
      <c r="CH256" s="1585"/>
      <c r="CI256" s="1585"/>
      <c r="CJ256" s="1585"/>
      <c r="CK256" s="1585"/>
      <c r="CL256" s="1585"/>
      <c r="CM256" s="1585"/>
      <c r="CN256" s="1585"/>
      <c r="CO256" s="1585"/>
      <c r="CP256" s="1585"/>
      <c r="CQ256" s="1585"/>
      <c r="CR256" s="1585"/>
      <c r="CS256" s="1585"/>
      <c r="CT256" s="1585"/>
      <c r="CU256" s="1585"/>
      <c r="CV256" s="1585"/>
      <c r="CW256" s="1585"/>
      <c r="CX256" s="1585"/>
      <c r="CY256" s="1585"/>
      <c r="CZ256" s="1585"/>
    </row>
    <row r="257" spans="1:104">
      <c r="A257" s="1466"/>
      <c r="B257" s="1583"/>
      <c r="C257" s="1583"/>
      <c r="D257" s="1583"/>
      <c r="E257" s="1585"/>
      <c r="F257" s="1585"/>
      <c r="G257" s="1585"/>
      <c r="H257" s="1585"/>
      <c r="I257" s="1585"/>
      <c r="J257" s="1585"/>
      <c r="K257" s="1585"/>
      <c r="L257" s="1585"/>
      <c r="M257" s="1585"/>
      <c r="N257" s="1585"/>
      <c r="O257" s="1585"/>
      <c r="P257" s="1585"/>
      <c r="Q257" s="1585"/>
      <c r="R257" s="1585"/>
      <c r="S257" s="1585"/>
      <c r="T257" s="1585"/>
      <c r="U257" s="1585"/>
      <c r="V257" s="1585"/>
      <c r="W257" s="1585"/>
      <c r="X257" s="1585"/>
      <c r="Y257" s="1585"/>
      <c r="Z257" s="1585"/>
      <c r="AA257" s="1585"/>
      <c r="AB257" s="1585"/>
      <c r="AC257" s="1585"/>
      <c r="AD257" s="1585"/>
      <c r="AE257" s="1585"/>
      <c r="AF257" s="1585"/>
      <c r="AG257" s="1585"/>
      <c r="AH257" s="1585"/>
      <c r="AI257" s="1585"/>
      <c r="AJ257" s="1585"/>
      <c r="AK257" s="1585"/>
      <c r="AL257" s="1585"/>
      <c r="AM257" s="1585"/>
      <c r="AN257" s="1585"/>
      <c r="AO257" s="1585"/>
      <c r="AP257" s="1585"/>
      <c r="AQ257" s="1585"/>
      <c r="AR257" s="1585"/>
      <c r="AS257" s="1585"/>
      <c r="AT257" s="1585"/>
      <c r="AU257" s="1585"/>
      <c r="AV257" s="1585"/>
      <c r="AW257" s="1585"/>
      <c r="AX257" s="1585"/>
      <c r="AY257" s="1585"/>
      <c r="AZ257" s="1585"/>
      <c r="BA257" s="1585"/>
      <c r="BB257" s="1585"/>
      <c r="BC257" s="1585"/>
      <c r="BD257" s="1585"/>
      <c r="BE257" s="1585"/>
      <c r="BF257" s="1585"/>
      <c r="BG257" s="1585"/>
      <c r="BH257" s="1585"/>
      <c r="BI257" s="1585"/>
      <c r="BJ257" s="1585"/>
      <c r="BK257" s="1585"/>
      <c r="BL257" s="1585"/>
      <c r="BM257" s="1585"/>
      <c r="BN257" s="1585"/>
      <c r="BO257" s="1585"/>
      <c r="BP257" s="1585"/>
      <c r="BQ257" s="1585"/>
      <c r="BR257" s="1585"/>
      <c r="BS257" s="1585"/>
      <c r="BT257" s="1585"/>
      <c r="BU257" s="1585"/>
      <c r="BV257" s="1585"/>
      <c r="BW257" s="1585"/>
      <c r="BX257" s="1585"/>
      <c r="BY257" s="1585"/>
      <c r="BZ257" s="1585"/>
      <c r="CA257" s="1585"/>
      <c r="CB257" s="1585"/>
      <c r="CC257" s="1585"/>
      <c r="CD257" s="1585"/>
      <c r="CE257" s="1585"/>
      <c r="CF257" s="1585"/>
      <c r="CG257" s="1585"/>
      <c r="CH257" s="1585"/>
      <c r="CI257" s="1585"/>
      <c r="CJ257" s="1585"/>
      <c r="CK257" s="1585"/>
      <c r="CL257" s="1585"/>
      <c r="CM257" s="1585"/>
      <c r="CN257" s="1585"/>
      <c r="CO257" s="1585"/>
      <c r="CP257" s="1585"/>
      <c r="CQ257" s="1585"/>
      <c r="CR257" s="1585"/>
      <c r="CS257" s="1585"/>
      <c r="CT257" s="1585"/>
      <c r="CU257" s="1585"/>
      <c r="CV257" s="1585"/>
      <c r="CW257" s="1585"/>
      <c r="CX257" s="1585"/>
      <c r="CY257" s="1585"/>
      <c r="CZ257" s="1585"/>
    </row>
    <row r="258" spans="1:104">
      <c r="A258" s="1466"/>
      <c r="B258" s="1583"/>
      <c r="C258" s="1583"/>
      <c r="D258" s="1583"/>
      <c r="E258" s="1585"/>
      <c r="F258" s="1585"/>
      <c r="G258" s="1585"/>
      <c r="H258" s="1585"/>
      <c r="I258" s="1585"/>
      <c r="J258" s="1585"/>
      <c r="K258" s="1585"/>
      <c r="L258" s="1585"/>
      <c r="M258" s="1585"/>
      <c r="N258" s="1585"/>
      <c r="O258" s="1585"/>
      <c r="P258" s="1585"/>
      <c r="Q258" s="1585"/>
      <c r="R258" s="1585"/>
      <c r="S258" s="1585"/>
      <c r="T258" s="1585"/>
      <c r="U258" s="1585"/>
      <c r="V258" s="1585"/>
      <c r="W258" s="1585"/>
      <c r="X258" s="1585"/>
      <c r="Y258" s="1585"/>
      <c r="Z258" s="1585"/>
      <c r="AA258" s="1585"/>
      <c r="AB258" s="1585"/>
      <c r="AC258" s="1585"/>
      <c r="AD258" s="1585"/>
      <c r="AE258" s="1585"/>
      <c r="AF258" s="1585"/>
      <c r="AG258" s="1585"/>
      <c r="AH258" s="1585"/>
      <c r="AI258" s="1585"/>
      <c r="AJ258" s="1585"/>
      <c r="AK258" s="1585"/>
      <c r="AL258" s="1585"/>
      <c r="AM258" s="1585"/>
      <c r="AN258" s="1585"/>
      <c r="AO258" s="1585"/>
      <c r="AP258" s="1585"/>
      <c r="AQ258" s="1585"/>
      <c r="AR258" s="1585"/>
      <c r="AS258" s="1585"/>
      <c r="AT258" s="1585"/>
      <c r="AU258" s="1585"/>
      <c r="AV258" s="1585"/>
      <c r="AW258" s="1585"/>
      <c r="AX258" s="1585"/>
      <c r="AY258" s="1585"/>
      <c r="AZ258" s="1585"/>
      <c r="BA258" s="1585"/>
      <c r="BB258" s="1585"/>
      <c r="BC258" s="1585"/>
      <c r="BD258" s="1585"/>
      <c r="BE258" s="1585"/>
      <c r="BF258" s="1585"/>
      <c r="BG258" s="1585"/>
      <c r="BH258" s="1585"/>
      <c r="BI258" s="1585"/>
      <c r="BJ258" s="1585"/>
      <c r="BK258" s="1585"/>
      <c r="BL258" s="1585"/>
      <c r="BM258" s="1585"/>
      <c r="BN258" s="1585"/>
      <c r="BO258" s="1585"/>
      <c r="BP258" s="1585"/>
      <c r="BQ258" s="1585"/>
      <c r="BR258" s="1585"/>
      <c r="BS258" s="1585"/>
      <c r="BT258" s="1585"/>
      <c r="BU258" s="1585"/>
      <c r="BV258" s="1585"/>
      <c r="BW258" s="1585"/>
      <c r="BX258" s="1585"/>
      <c r="BY258" s="1585"/>
      <c r="BZ258" s="1585"/>
      <c r="CA258" s="1585"/>
      <c r="CB258" s="1585"/>
      <c r="CC258" s="1585"/>
      <c r="CD258" s="1585"/>
      <c r="CE258" s="1585"/>
      <c r="CF258" s="1585"/>
      <c r="CG258" s="1585"/>
      <c r="CH258" s="1585"/>
      <c r="CI258" s="1585"/>
      <c r="CJ258" s="1585"/>
      <c r="CK258" s="1585"/>
      <c r="CL258" s="1585"/>
      <c r="CM258" s="1585"/>
      <c r="CN258" s="1585"/>
      <c r="CO258" s="1585"/>
      <c r="CP258" s="1585"/>
      <c r="CQ258" s="1585"/>
      <c r="CR258" s="1585"/>
      <c r="CS258" s="1585"/>
      <c r="CT258" s="1585"/>
      <c r="CU258" s="1585"/>
      <c r="CV258" s="1585"/>
      <c r="CW258" s="1585"/>
      <c r="CX258" s="1585"/>
      <c r="CY258" s="1585"/>
      <c r="CZ258" s="1585"/>
    </row>
    <row r="259" spans="1:104">
      <c r="A259" s="1466"/>
      <c r="B259" s="1583"/>
      <c r="C259" s="1583"/>
      <c r="D259" s="1583"/>
      <c r="E259" s="1585"/>
      <c r="F259" s="1585"/>
      <c r="G259" s="1585"/>
      <c r="H259" s="1585"/>
      <c r="I259" s="1585"/>
      <c r="J259" s="1585"/>
      <c r="K259" s="1585"/>
      <c r="L259" s="1585"/>
      <c r="M259" s="1585"/>
      <c r="N259" s="1585"/>
      <c r="O259" s="1585"/>
      <c r="P259" s="1585"/>
      <c r="Q259" s="1585"/>
      <c r="R259" s="1585"/>
      <c r="S259" s="1585"/>
      <c r="T259" s="1585"/>
      <c r="U259" s="1585"/>
      <c r="V259" s="1585"/>
      <c r="W259" s="1585"/>
      <c r="X259" s="1585"/>
      <c r="Y259" s="1585"/>
      <c r="Z259" s="1585"/>
      <c r="AA259" s="1585"/>
      <c r="AB259" s="1585"/>
      <c r="AC259" s="1585"/>
      <c r="AD259" s="1585"/>
      <c r="AE259" s="1585"/>
      <c r="AF259" s="1585"/>
      <c r="AG259" s="1585"/>
      <c r="AH259" s="1585"/>
      <c r="AI259" s="1585"/>
      <c r="AJ259" s="1585"/>
      <c r="AK259" s="1585"/>
      <c r="AL259" s="1585"/>
      <c r="AM259" s="1585"/>
      <c r="AN259" s="1585"/>
      <c r="AO259" s="1585"/>
      <c r="AP259" s="1585"/>
      <c r="AQ259" s="1585"/>
      <c r="AR259" s="1585"/>
      <c r="AS259" s="1585"/>
      <c r="AT259" s="1585"/>
      <c r="AU259" s="1585"/>
      <c r="AV259" s="1585"/>
      <c r="AW259" s="1585"/>
      <c r="AX259" s="1585"/>
      <c r="AY259" s="1585"/>
      <c r="AZ259" s="1585"/>
      <c r="BA259" s="1585"/>
      <c r="BB259" s="1585"/>
      <c r="BC259" s="1585"/>
      <c r="BD259" s="1585"/>
      <c r="BE259" s="1585"/>
      <c r="BF259" s="1585"/>
      <c r="BG259" s="1585"/>
      <c r="BH259" s="1585"/>
      <c r="BI259" s="1585"/>
      <c r="BJ259" s="1585"/>
      <c r="BK259" s="1585"/>
      <c r="BL259" s="1585"/>
      <c r="BM259" s="1585"/>
      <c r="BN259" s="1585"/>
      <c r="BO259" s="1585"/>
      <c r="BP259" s="1585"/>
      <c r="BQ259" s="1585"/>
      <c r="BR259" s="1585"/>
      <c r="BS259" s="1585"/>
      <c r="BT259" s="1585"/>
      <c r="BU259" s="1585"/>
      <c r="BV259" s="1585"/>
      <c r="BW259" s="1585"/>
      <c r="BX259" s="1585"/>
      <c r="BY259" s="1585"/>
      <c r="BZ259" s="1585"/>
      <c r="CA259" s="1585"/>
      <c r="CB259" s="1585"/>
      <c r="CC259" s="1585"/>
      <c r="CD259" s="1585"/>
      <c r="CE259" s="1585"/>
      <c r="CF259" s="1585"/>
      <c r="CG259" s="1585"/>
      <c r="CH259" s="1585"/>
      <c r="CI259" s="1585"/>
      <c r="CJ259" s="1585"/>
      <c r="CK259" s="1585"/>
      <c r="CL259" s="1585"/>
      <c r="CM259" s="1585"/>
      <c r="CN259" s="1585"/>
      <c r="CO259" s="1585"/>
      <c r="CP259" s="1585"/>
      <c r="CQ259" s="1585"/>
      <c r="CR259" s="1585"/>
      <c r="CS259" s="1585"/>
      <c r="CT259" s="1585"/>
      <c r="CU259" s="1585"/>
      <c r="CV259" s="1585"/>
      <c r="CW259" s="1585"/>
      <c r="CX259" s="1585"/>
      <c r="CY259" s="1585"/>
      <c r="CZ259" s="1585"/>
    </row>
    <row r="260" spans="1:104">
      <c r="A260" s="1466"/>
      <c r="B260" s="1583"/>
      <c r="C260" s="1583"/>
      <c r="D260" s="1583"/>
      <c r="E260" s="1585"/>
      <c r="F260" s="1585"/>
      <c r="G260" s="1585"/>
      <c r="H260" s="1585"/>
      <c r="I260" s="1585"/>
      <c r="J260" s="1585"/>
      <c r="K260" s="1585"/>
      <c r="L260" s="1585"/>
      <c r="M260" s="1585"/>
      <c r="N260" s="1585"/>
      <c r="O260" s="1585"/>
      <c r="P260" s="1585"/>
      <c r="Q260" s="1585"/>
      <c r="R260" s="1585"/>
      <c r="S260" s="1585"/>
      <c r="T260" s="1585"/>
      <c r="U260" s="1585"/>
      <c r="V260" s="1585"/>
      <c r="W260" s="1585"/>
      <c r="X260" s="1585"/>
      <c r="Y260" s="1585"/>
      <c r="Z260" s="1585"/>
      <c r="AA260" s="1585"/>
      <c r="AB260" s="1585"/>
      <c r="AC260" s="1585"/>
      <c r="AD260" s="1585"/>
      <c r="AE260" s="1585"/>
      <c r="AF260" s="1585"/>
      <c r="AG260" s="1585"/>
      <c r="AH260" s="1585"/>
      <c r="AI260" s="1585"/>
      <c r="AJ260" s="1585"/>
      <c r="AK260" s="1585"/>
      <c r="AL260" s="1585"/>
      <c r="AM260" s="1585"/>
      <c r="AN260" s="1585"/>
      <c r="AO260" s="1585"/>
      <c r="AP260" s="1585"/>
      <c r="AQ260" s="1585"/>
      <c r="AR260" s="1585"/>
      <c r="AS260" s="1585"/>
      <c r="AT260" s="1585"/>
      <c r="AU260" s="1585"/>
      <c r="AV260" s="1585"/>
      <c r="AW260" s="1585"/>
      <c r="AX260" s="1585"/>
      <c r="AY260" s="1585"/>
      <c r="AZ260" s="1585"/>
      <c r="BA260" s="1585"/>
      <c r="BB260" s="1585"/>
      <c r="BC260" s="1585"/>
      <c r="BD260" s="1585"/>
      <c r="BE260" s="1585"/>
      <c r="BF260" s="1585"/>
      <c r="BG260" s="1585"/>
      <c r="BH260" s="1585"/>
      <c r="BI260" s="1585"/>
      <c r="BJ260" s="1585"/>
      <c r="BK260" s="1585"/>
      <c r="BL260" s="1585"/>
      <c r="BM260" s="1585"/>
      <c r="BN260" s="1585"/>
      <c r="BO260" s="1585"/>
      <c r="BP260" s="1585"/>
      <c r="BQ260" s="1585"/>
      <c r="BR260" s="1585"/>
      <c r="BS260" s="1585"/>
      <c r="BT260" s="1585"/>
      <c r="BU260" s="1585"/>
      <c r="BV260" s="1585"/>
      <c r="BW260" s="1585"/>
      <c r="BX260" s="1585"/>
      <c r="BY260" s="1585"/>
      <c r="BZ260" s="1585"/>
      <c r="CA260" s="1585"/>
      <c r="CB260" s="1585"/>
      <c r="CC260" s="1585"/>
      <c r="CD260" s="1585"/>
      <c r="CE260" s="1585"/>
      <c r="CF260" s="1585"/>
      <c r="CG260" s="1585"/>
      <c r="CH260" s="1585"/>
      <c r="CI260" s="1585"/>
      <c r="CJ260" s="1585"/>
      <c r="CK260" s="1585"/>
      <c r="CL260" s="1585"/>
      <c r="CM260" s="1585"/>
      <c r="CN260" s="1585"/>
      <c r="CO260" s="1585"/>
      <c r="CP260" s="1585"/>
      <c r="CQ260" s="1585"/>
      <c r="CR260" s="1585"/>
      <c r="CS260" s="1585"/>
      <c r="CT260" s="1585"/>
      <c r="CU260" s="1585"/>
      <c r="CV260" s="1585"/>
      <c r="CW260" s="1585"/>
      <c r="CX260" s="1585"/>
      <c r="CY260" s="1585"/>
      <c r="CZ260" s="1585"/>
    </row>
    <row r="261" spans="1:104">
      <c r="A261" s="1466"/>
      <c r="B261" s="1583"/>
      <c r="C261" s="1583"/>
      <c r="D261" s="1583"/>
      <c r="E261" s="1585"/>
      <c r="F261" s="1585"/>
      <c r="G261" s="1585"/>
      <c r="H261" s="1585"/>
      <c r="I261" s="1585"/>
      <c r="J261" s="1585"/>
      <c r="K261" s="1585"/>
      <c r="L261" s="1585"/>
      <c r="M261" s="1585"/>
      <c r="N261" s="1585"/>
      <c r="O261" s="1585"/>
      <c r="P261" s="1585"/>
      <c r="Q261" s="1585"/>
      <c r="R261" s="1585"/>
      <c r="S261" s="1585"/>
      <c r="T261" s="1585"/>
      <c r="U261" s="1585"/>
      <c r="V261" s="1585"/>
      <c r="W261" s="1585"/>
      <c r="X261" s="1585"/>
      <c r="Y261" s="1585"/>
      <c r="Z261" s="1585"/>
      <c r="AA261" s="1585"/>
      <c r="AB261" s="1585"/>
      <c r="AC261" s="1585"/>
      <c r="AD261" s="1585"/>
      <c r="AE261" s="1585"/>
      <c r="AF261" s="1585"/>
      <c r="AG261" s="1585"/>
      <c r="AH261" s="1585"/>
      <c r="AI261" s="1585"/>
      <c r="AJ261" s="1585"/>
      <c r="AK261" s="1585"/>
      <c r="AL261" s="1585"/>
      <c r="AM261" s="1585"/>
      <c r="AN261" s="1585"/>
      <c r="AO261" s="1585"/>
      <c r="AP261" s="1585"/>
      <c r="AQ261" s="1585"/>
      <c r="AR261" s="1585"/>
      <c r="AS261" s="1585"/>
      <c r="AT261" s="1585"/>
      <c r="AU261" s="1585"/>
      <c r="AV261" s="1585"/>
      <c r="AW261" s="1585"/>
      <c r="AX261" s="1585"/>
      <c r="AY261" s="1585"/>
      <c r="AZ261" s="1585"/>
      <c r="BA261" s="1585"/>
      <c r="BB261" s="1585"/>
      <c r="BC261" s="1585"/>
      <c r="BD261" s="1585"/>
      <c r="BE261" s="1585"/>
      <c r="BF261" s="1585"/>
      <c r="BG261" s="1585"/>
      <c r="BH261" s="1585"/>
      <c r="BI261" s="1585"/>
      <c r="BJ261" s="1585"/>
      <c r="BK261" s="1585"/>
      <c r="BL261" s="1585"/>
      <c r="BM261" s="1585"/>
      <c r="BN261" s="1585"/>
      <c r="BO261" s="1585"/>
      <c r="BP261" s="1585"/>
      <c r="BQ261" s="1585"/>
      <c r="BR261" s="1585"/>
      <c r="BS261" s="1585"/>
      <c r="BT261" s="1585"/>
      <c r="BU261" s="1585"/>
      <c r="BV261" s="1585"/>
      <c r="BW261" s="1585"/>
      <c r="BX261" s="1585"/>
      <c r="BY261" s="1585"/>
      <c r="BZ261" s="1585"/>
      <c r="CA261" s="1585"/>
      <c r="CB261" s="1585"/>
      <c r="CC261" s="1585"/>
      <c r="CD261" s="1585"/>
      <c r="CE261" s="1585"/>
      <c r="CF261" s="1585"/>
      <c r="CG261" s="1585"/>
      <c r="CH261" s="1585"/>
      <c r="CI261" s="1585"/>
      <c r="CJ261" s="1585"/>
      <c r="CK261" s="1585"/>
      <c r="CL261" s="1585"/>
      <c r="CM261" s="1585"/>
      <c r="CN261" s="1585"/>
      <c r="CO261" s="1585"/>
      <c r="CP261" s="1585"/>
      <c r="CQ261" s="1585"/>
      <c r="CR261" s="1585"/>
      <c r="CS261" s="1585"/>
      <c r="CT261" s="1585"/>
      <c r="CU261" s="1585"/>
      <c r="CV261" s="1585"/>
      <c r="CW261" s="1585"/>
      <c r="CX261" s="1585"/>
      <c r="CY261" s="1585"/>
      <c r="CZ261" s="1585"/>
    </row>
    <row r="262" spans="1:104">
      <c r="A262" s="1466"/>
      <c r="B262" s="1583"/>
      <c r="C262" s="1583"/>
      <c r="D262" s="1583"/>
      <c r="E262" s="1585"/>
      <c r="F262" s="1585"/>
      <c r="G262" s="1585"/>
      <c r="H262" s="1585"/>
      <c r="I262" s="1585"/>
      <c r="J262" s="1585"/>
      <c r="K262" s="1585"/>
      <c r="L262" s="1585"/>
      <c r="M262" s="1585"/>
      <c r="N262" s="1585"/>
      <c r="O262" s="1585"/>
      <c r="P262" s="1585"/>
      <c r="Q262" s="1585"/>
      <c r="R262" s="1585"/>
      <c r="S262" s="1585"/>
      <c r="T262" s="1585"/>
      <c r="U262" s="1585"/>
      <c r="V262" s="1585"/>
      <c r="W262" s="1585"/>
      <c r="X262" s="1585"/>
      <c r="Y262" s="1585"/>
      <c r="Z262" s="1585"/>
      <c r="AA262" s="1585"/>
      <c r="AB262" s="1585"/>
      <c r="AC262" s="1585"/>
      <c r="AD262" s="1585"/>
      <c r="AE262" s="1585"/>
      <c r="AF262" s="1585"/>
      <c r="AG262" s="1585"/>
      <c r="AH262" s="1585"/>
      <c r="AI262" s="1585"/>
      <c r="AJ262" s="1585"/>
      <c r="AK262" s="1585"/>
      <c r="AL262" s="1585"/>
      <c r="AM262" s="1585"/>
      <c r="AN262" s="1585"/>
      <c r="AO262" s="1585"/>
      <c r="AP262" s="1585"/>
      <c r="AQ262" s="1585"/>
      <c r="AR262" s="1585"/>
      <c r="AS262" s="1585"/>
      <c r="AT262" s="1585"/>
      <c r="AU262" s="1585"/>
      <c r="AV262" s="1585"/>
      <c r="AW262" s="1585"/>
      <c r="AX262" s="1585"/>
      <c r="AY262" s="1585"/>
      <c r="AZ262" s="1585"/>
      <c r="BA262" s="1585"/>
      <c r="BB262" s="1585"/>
      <c r="BC262" s="1585"/>
      <c r="BD262" s="1585"/>
      <c r="BE262" s="1585"/>
      <c r="BF262" s="1585"/>
      <c r="BG262" s="1585"/>
      <c r="BH262" s="1585"/>
      <c r="BI262" s="1585"/>
      <c r="BJ262" s="1585"/>
      <c r="BK262" s="1585"/>
      <c r="BL262" s="1585"/>
      <c r="BM262" s="1585"/>
      <c r="BN262" s="1585"/>
      <c r="BO262" s="1585"/>
      <c r="BP262" s="1585"/>
      <c r="BQ262" s="1585"/>
      <c r="BR262" s="1585"/>
      <c r="BS262" s="1585"/>
      <c r="BT262" s="1585"/>
      <c r="BU262" s="1585"/>
      <c r="BV262" s="1585"/>
      <c r="BW262" s="1585"/>
      <c r="BX262" s="1585"/>
      <c r="BY262" s="1585"/>
      <c r="BZ262" s="1585"/>
      <c r="CA262" s="1585"/>
      <c r="CB262" s="1585"/>
      <c r="CC262" s="1585"/>
      <c r="CD262" s="1585"/>
      <c r="CE262" s="1585"/>
      <c r="CF262" s="1585"/>
      <c r="CG262" s="1585"/>
      <c r="CH262" s="1585"/>
      <c r="CI262" s="1585"/>
      <c r="CJ262" s="1585"/>
      <c r="CK262" s="1585"/>
      <c r="CL262" s="1585"/>
      <c r="CM262" s="1585"/>
      <c r="CN262" s="1585"/>
      <c r="CO262" s="1585"/>
      <c r="CP262" s="1585"/>
      <c r="CQ262" s="1585"/>
      <c r="CR262" s="1585"/>
      <c r="CS262" s="1585"/>
      <c r="CT262" s="1585"/>
      <c r="CU262" s="1585"/>
      <c r="CV262" s="1585"/>
      <c r="CW262" s="1585"/>
      <c r="CX262" s="1585"/>
      <c r="CY262" s="1585"/>
      <c r="CZ262" s="1585"/>
    </row>
    <row r="263" spans="1:104">
      <c r="A263" s="1466"/>
      <c r="B263" s="1583"/>
      <c r="C263" s="1583"/>
      <c r="D263" s="1583"/>
      <c r="E263" s="1585"/>
      <c r="F263" s="1585"/>
      <c r="G263" s="1585"/>
      <c r="H263" s="1585"/>
      <c r="I263" s="1585"/>
      <c r="J263" s="1585"/>
      <c r="K263" s="1585"/>
      <c r="L263" s="1585"/>
      <c r="M263" s="1585"/>
      <c r="N263" s="1585"/>
      <c r="O263" s="1585"/>
      <c r="P263" s="1585"/>
      <c r="Q263" s="1585"/>
      <c r="R263" s="1585"/>
      <c r="S263" s="1585"/>
      <c r="T263" s="1585"/>
      <c r="U263" s="1585"/>
      <c r="V263" s="1585"/>
      <c r="W263" s="1585"/>
      <c r="X263" s="1585"/>
      <c r="Y263" s="1585"/>
      <c r="Z263" s="1585"/>
      <c r="AA263" s="1585"/>
      <c r="AB263" s="1585"/>
      <c r="AC263" s="1585"/>
      <c r="AD263" s="1585"/>
      <c r="AE263" s="1585"/>
      <c r="AF263" s="1585"/>
      <c r="AG263" s="1585"/>
      <c r="AH263" s="1585"/>
      <c r="AI263" s="1585"/>
      <c r="AJ263" s="1585"/>
      <c r="AK263" s="1585"/>
      <c r="AL263" s="1585"/>
      <c r="AM263" s="1585"/>
      <c r="AN263" s="1585"/>
      <c r="AO263" s="1585"/>
      <c r="AP263" s="1585"/>
      <c r="AQ263" s="1585"/>
      <c r="AR263" s="1585"/>
      <c r="AS263" s="1585"/>
      <c r="AT263" s="1585"/>
      <c r="AU263" s="1585"/>
      <c r="AV263" s="1585"/>
      <c r="AW263" s="1585"/>
      <c r="AX263" s="1585"/>
      <c r="AY263" s="1585"/>
      <c r="AZ263" s="1585"/>
      <c r="BA263" s="1585"/>
      <c r="BB263" s="1585"/>
      <c r="BC263" s="1585"/>
      <c r="BD263" s="1585"/>
      <c r="BE263" s="1585"/>
      <c r="BF263" s="1585"/>
      <c r="BG263" s="1585"/>
      <c r="BH263" s="1585"/>
      <c r="BI263" s="1585"/>
      <c r="BJ263" s="1585"/>
      <c r="BK263" s="1585"/>
      <c r="BL263" s="1585"/>
      <c r="BM263" s="1585"/>
      <c r="BN263" s="1585"/>
      <c r="BO263" s="1585"/>
      <c r="BP263" s="1585"/>
      <c r="BQ263" s="1585"/>
      <c r="BR263" s="1585"/>
      <c r="BS263" s="1585"/>
      <c r="BT263" s="1585"/>
      <c r="BU263" s="1585"/>
      <c r="BV263" s="1585"/>
      <c r="BW263" s="1585"/>
      <c r="BX263" s="1585"/>
      <c r="BY263" s="1585"/>
      <c r="BZ263" s="1585"/>
      <c r="CA263" s="1585"/>
      <c r="CB263" s="1585"/>
      <c r="CC263" s="1585"/>
      <c r="CD263" s="1585"/>
      <c r="CE263" s="1585"/>
      <c r="CF263" s="1585"/>
      <c r="CG263" s="1585"/>
      <c r="CH263" s="1585"/>
      <c r="CI263" s="1585"/>
      <c r="CJ263" s="1585"/>
      <c r="CK263" s="1585"/>
      <c r="CL263" s="1585"/>
      <c r="CM263" s="1585"/>
      <c r="CN263" s="1585"/>
      <c r="CO263" s="1585"/>
      <c r="CP263" s="1585"/>
      <c r="CQ263" s="1585"/>
      <c r="CR263" s="1585"/>
      <c r="CS263" s="1585"/>
      <c r="CT263" s="1585"/>
      <c r="CU263" s="1585"/>
      <c r="CV263" s="1585"/>
      <c r="CW263" s="1585"/>
      <c r="CX263" s="1585"/>
      <c r="CY263" s="1585"/>
      <c r="CZ263" s="1585"/>
    </row>
    <row r="264" spans="1:104">
      <c r="A264" s="1466"/>
      <c r="B264" s="1583"/>
      <c r="C264" s="1583"/>
      <c r="D264" s="1583"/>
      <c r="E264" s="1585"/>
      <c r="F264" s="1585"/>
      <c r="G264" s="1585"/>
      <c r="H264" s="1585"/>
      <c r="I264" s="1585"/>
      <c r="J264" s="1585"/>
      <c r="K264" s="1585"/>
      <c r="L264" s="1585"/>
      <c r="M264" s="1585"/>
      <c r="N264" s="1585"/>
      <c r="O264" s="1585"/>
      <c r="P264" s="1585"/>
      <c r="Q264" s="1585"/>
      <c r="R264" s="1585"/>
      <c r="S264" s="1585"/>
      <c r="T264" s="1585"/>
      <c r="U264" s="1585"/>
      <c r="V264" s="1585"/>
      <c r="W264" s="1585"/>
      <c r="X264" s="1585"/>
      <c r="Y264" s="1585"/>
      <c r="Z264" s="1585"/>
      <c r="AA264" s="1585"/>
      <c r="AB264" s="1585"/>
      <c r="AC264" s="1585"/>
      <c r="AD264" s="1585"/>
      <c r="AE264" s="1585"/>
      <c r="AF264" s="1585"/>
      <c r="AG264" s="1585"/>
      <c r="AH264" s="1585"/>
      <c r="AI264" s="1585"/>
      <c r="AJ264" s="1585"/>
      <c r="AK264" s="1585"/>
      <c r="AL264" s="1585"/>
      <c r="AM264" s="1585"/>
      <c r="AN264" s="1585"/>
      <c r="AO264" s="1585"/>
      <c r="AP264" s="1585"/>
      <c r="AQ264" s="1585"/>
      <c r="AR264" s="1585"/>
      <c r="AS264" s="1585"/>
      <c r="AT264" s="1585"/>
      <c r="AU264" s="1585"/>
      <c r="AV264" s="1585"/>
      <c r="AW264" s="1585"/>
      <c r="AX264" s="1585"/>
      <c r="AY264" s="1585"/>
      <c r="AZ264" s="1585"/>
      <c r="BA264" s="1585"/>
      <c r="BB264" s="1585"/>
      <c r="BC264" s="1585"/>
      <c r="BD264" s="1585"/>
      <c r="BE264" s="1585"/>
      <c r="BF264" s="1585"/>
      <c r="BG264" s="1585"/>
      <c r="BH264" s="1585"/>
      <c r="BI264" s="1585"/>
      <c r="BJ264" s="1585"/>
      <c r="BK264" s="1585"/>
      <c r="BL264" s="1585"/>
      <c r="BM264" s="1585"/>
      <c r="BN264" s="1585"/>
      <c r="BO264" s="1585"/>
      <c r="BP264" s="1585"/>
      <c r="BQ264" s="1585"/>
      <c r="BR264" s="1585"/>
      <c r="BS264" s="1585"/>
      <c r="BT264" s="1585"/>
      <c r="BU264" s="1585"/>
      <c r="BV264" s="1585"/>
      <c r="BW264" s="1585"/>
      <c r="BX264" s="1585"/>
      <c r="BY264" s="1585"/>
      <c r="BZ264" s="1585"/>
      <c r="CA264" s="1585"/>
      <c r="CB264" s="1585"/>
      <c r="CC264" s="1585"/>
      <c r="CD264" s="1585"/>
      <c r="CE264" s="1585"/>
      <c r="CF264" s="1585"/>
      <c r="CG264" s="1585"/>
      <c r="CH264" s="1585"/>
      <c r="CI264" s="1585"/>
      <c r="CJ264" s="1585"/>
      <c r="CK264" s="1585"/>
      <c r="CL264" s="1585"/>
      <c r="CM264" s="1585"/>
      <c r="CN264" s="1585"/>
      <c r="CO264" s="1585"/>
      <c r="CP264" s="1585"/>
      <c r="CQ264" s="1585"/>
      <c r="CR264" s="1585"/>
      <c r="CS264" s="1585"/>
      <c r="CT264" s="1585"/>
      <c r="CU264" s="1585"/>
      <c r="CV264" s="1585"/>
      <c r="CW264" s="1585"/>
      <c r="CX264" s="1585"/>
      <c r="CY264" s="1585"/>
      <c r="CZ264" s="1585"/>
    </row>
    <row r="265" spans="1:104">
      <c r="A265" s="1466"/>
      <c r="B265" s="1583"/>
      <c r="C265" s="1583"/>
      <c r="D265" s="1583"/>
      <c r="E265" s="1585"/>
      <c r="F265" s="1585"/>
      <c r="G265" s="1585"/>
      <c r="H265" s="1585"/>
      <c r="I265" s="1585"/>
      <c r="J265" s="1585"/>
      <c r="K265" s="1585"/>
      <c r="L265" s="1585"/>
      <c r="M265" s="1585"/>
      <c r="N265" s="1585"/>
      <c r="O265" s="1585"/>
      <c r="P265" s="1585"/>
      <c r="Q265" s="1585"/>
      <c r="R265" s="1585"/>
      <c r="S265" s="1585"/>
      <c r="T265" s="1585"/>
      <c r="U265" s="1585"/>
      <c r="V265" s="1585"/>
      <c r="W265" s="1585"/>
      <c r="X265" s="1585"/>
      <c r="Y265" s="1585"/>
      <c r="Z265" s="1585"/>
      <c r="AA265" s="1585"/>
      <c r="AB265" s="1585"/>
      <c r="AC265" s="1585"/>
      <c r="AD265" s="1585"/>
      <c r="AE265" s="1585"/>
      <c r="AF265" s="1585"/>
      <c r="AG265" s="1585"/>
      <c r="AH265" s="1585"/>
      <c r="AI265" s="1585"/>
      <c r="AJ265" s="1585"/>
      <c r="AK265" s="1585"/>
      <c r="AL265" s="1585"/>
      <c r="AM265" s="1585"/>
      <c r="AN265" s="1585"/>
      <c r="AO265" s="1585"/>
      <c r="AP265" s="1585"/>
      <c r="AQ265" s="1585"/>
      <c r="AR265" s="1585"/>
      <c r="AS265" s="1585"/>
      <c r="AT265" s="1585"/>
      <c r="AU265" s="1585"/>
      <c r="AV265" s="1585"/>
      <c r="AW265" s="1585"/>
      <c r="AX265" s="1585"/>
      <c r="AY265" s="1585"/>
      <c r="AZ265" s="1585"/>
      <c r="BA265" s="1585"/>
      <c r="BB265" s="1585"/>
      <c r="BC265" s="1585"/>
      <c r="BD265" s="1585"/>
      <c r="BE265" s="1585"/>
      <c r="BF265" s="1585"/>
      <c r="BG265" s="1585"/>
      <c r="BH265" s="1585"/>
      <c r="BI265" s="1585"/>
      <c r="BJ265" s="1585"/>
      <c r="BK265" s="1585"/>
      <c r="BL265" s="1585"/>
      <c r="BM265" s="1585"/>
      <c r="BN265" s="1585"/>
      <c r="BO265" s="1585"/>
      <c r="BP265" s="1585"/>
      <c r="BQ265" s="1585"/>
      <c r="BR265" s="1585"/>
      <c r="BS265" s="1585"/>
      <c r="BT265" s="1585"/>
      <c r="BU265" s="1585"/>
      <c r="BV265" s="1585"/>
      <c r="BW265" s="1585"/>
      <c r="BX265" s="1585"/>
      <c r="BY265" s="1585"/>
      <c r="BZ265" s="1585"/>
      <c r="CA265" s="1585"/>
      <c r="CB265" s="1585"/>
      <c r="CC265" s="1585"/>
      <c r="CD265" s="1585"/>
      <c r="CE265" s="1585"/>
      <c r="CF265" s="1585"/>
      <c r="CG265" s="1585"/>
      <c r="CH265" s="1585"/>
      <c r="CI265" s="1585"/>
      <c r="CJ265" s="1585"/>
      <c r="CK265" s="1585"/>
      <c r="CL265" s="1585"/>
      <c r="CM265" s="1585"/>
      <c r="CN265" s="1585"/>
      <c r="CO265" s="1585"/>
      <c r="CP265" s="1585"/>
      <c r="CQ265" s="1585"/>
      <c r="CR265" s="1585"/>
      <c r="CS265" s="1585"/>
      <c r="CT265" s="1585"/>
      <c r="CU265" s="1585"/>
      <c r="CV265" s="1585"/>
      <c r="CW265" s="1585"/>
      <c r="CX265" s="1585"/>
      <c r="CY265" s="1585"/>
      <c r="CZ265" s="1585"/>
    </row>
    <row r="266" spans="1:104">
      <c r="A266" s="1466"/>
      <c r="B266" s="1583"/>
      <c r="C266" s="1583"/>
      <c r="D266" s="1583"/>
      <c r="E266" s="1585"/>
      <c r="F266" s="1585"/>
      <c r="G266" s="1585"/>
      <c r="H266" s="1585"/>
      <c r="I266" s="1585"/>
      <c r="J266" s="1585"/>
      <c r="K266" s="1585"/>
      <c r="L266" s="1585"/>
      <c r="M266" s="1585"/>
      <c r="N266" s="1585"/>
      <c r="O266" s="1585"/>
      <c r="P266" s="1585"/>
      <c r="Q266" s="1585"/>
      <c r="R266" s="1585"/>
      <c r="S266" s="1585"/>
      <c r="T266" s="1585"/>
      <c r="U266" s="1585"/>
      <c r="V266" s="1585"/>
      <c r="W266" s="1585"/>
      <c r="X266" s="1585"/>
      <c r="Y266" s="1585"/>
      <c r="Z266" s="1585"/>
      <c r="AA266" s="1585"/>
      <c r="AB266" s="1585"/>
      <c r="AC266" s="1585"/>
      <c r="AD266" s="1585"/>
      <c r="AE266" s="1585"/>
      <c r="AF266" s="1585"/>
      <c r="AG266" s="1585"/>
      <c r="AH266" s="1585"/>
      <c r="AI266" s="1585"/>
      <c r="AJ266" s="1585"/>
      <c r="AK266" s="1585"/>
      <c r="AL266" s="1585"/>
      <c r="AM266" s="1585"/>
      <c r="AN266" s="1585"/>
      <c r="AO266" s="1585"/>
      <c r="AP266" s="1585"/>
      <c r="AQ266" s="1585"/>
      <c r="AR266" s="1585"/>
      <c r="AS266" s="1585"/>
      <c r="AT266" s="1585"/>
      <c r="AU266" s="1585"/>
      <c r="AV266" s="1585"/>
      <c r="AW266" s="1585"/>
      <c r="AX266" s="1585"/>
      <c r="AY266" s="1585"/>
      <c r="AZ266" s="1585"/>
      <c r="BA266" s="1585"/>
      <c r="BB266" s="1585"/>
      <c r="BC266" s="1585"/>
      <c r="BD266" s="1585"/>
      <c r="BE266" s="1585"/>
      <c r="BF266" s="1585"/>
      <c r="BG266" s="1585"/>
      <c r="BH266" s="1585"/>
      <c r="BI266" s="1585"/>
      <c r="BJ266" s="1585"/>
      <c r="BK266" s="1585"/>
      <c r="BL266" s="1585"/>
      <c r="BM266" s="1585"/>
      <c r="BN266" s="1585"/>
      <c r="BO266" s="1585"/>
      <c r="BP266" s="1585"/>
      <c r="BQ266" s="1585"/>
      <c r="BR266" s="1585"/>
      <c r="BS266" s="1585"/>
      <c r="BT266" s="1585"/>
      <c r="BU266" s="1585"/>
      <c r="BV266" s="1585"/>
      <c r="BW266" s="1585"/>
      <c r="BX266" s="1585"/>
      <c r="BY266" s="1585"/>
      <c r="BZ266" s="1585"/>
      <c r="CA266" s="1585"/>
      <c r="CB266" s="1585"/>
      <c r="CC266" s="1585"/>
      <c r="CD266" s="1585"/>
      <c r="CE266" s="1585"/>
      <c r="CF266" s="1585"/>
      <c r="CG266" s="1585"/>
      <c r="CH266" s="1585"/>
      <c r="CI266" s="1585"/>
      <c r="CJ266" s="1585"/>
      <c r="CK266" s="1585"/>
      <c r="CL266" s="1585"/>
      <c r="CM266" s="1585"/>
      <c r="CN266" s="1585"/>
      <c r="CO266" s="1585"/>
      <c r="CP266" s="1585"/>
      <c r="CQ266" s="1585"/>
      <c r="CR266" s="1585"/>
      <c r="CS266" s="1585"/>
      <c r="CT266" s="1585"/>
      <c r="CU266" s="1585"/>
      <c r="CV266" s="1585"/>
      <c r="CW266" s="1585"/>
      <c r="CX266" s="1585"/>
      <c r="CY266" s="1585"/>
      <c r="CZ266" s="1585"/>
    </row>
    <row r="267" spans="1:104">
      <c r="A267" s="1466"/>
      <c r="B267" s="1583"/>
      <c r="C267" s="1583"/>
      <c r="D267" s="1583"/>
      <c r="E267" s="1585"/>
      <c r="F267" s="1585"/>
      <c r="G267" s="1585"/>
      <c r="H267" s="1585"/>
      <c r="I267" s="1585"/>
      <c r="J267" s="1585"/>
      <c r="K267" s="1585"/>
      <c r="L267" s="1585"/>
      <c r="M267" s="1585"/>
      <c r="N267" s="1585"/>
      <c r="O267" s="1585"/>
      <c r="P267" s="1585"/>
      <c r="Q267" s="1585"/>
      <c r="R267" s="1585"/>
      <c r="S267" s="1585"/>
      <c r="T267" s="1585"/>
      <c r="U267" s="1585"/>
      <c r="V267" s="1585"/>
      <c r="W267" s="1585"/>
      <c r="X267" s="1585"/>
      <c r="Y267" s="1585"/>
      <c r="Z267" s="1585"/>
      <c r="AA267" s="1585"/>
      <c r="AB267" s="1585"/>
      <c r="AC267" s="1585"/>
      <c r="AD267" s="1585"/>
      <c r="AE267" s="1585"/>
      <c r="AF267" s="1585"/>
      <c r="AG267" s="1585"/>
      <c r="AH267" s="1585"/>
      <c r="AI267" s="1585"/>
      <c r="AJ267" s="1585"/>
      <c r="AK267" s="1585"/>
      <c r="AL267" s="1585"/>
      <c r="AM267" s="1585"/>
      <c r="AN267" s="1585"/>
      <c r="AO267" s="1585"/>
      <c r="AP267" s="1585"/>
      <c r="AQ267" s="1585"/>
      <c r="AR267" s="1585"/>
      <c r="AS267" s="1585"/>
      <c r="AT267" s="1585"/>
      <c r="AU267" s="1585"/>
      <c r="AV267" s="1585"/>
      <c r="AW267" s="1585"/>
      <c r="AX267" s="1585"/>
      <c r="AY267" s="1585"/>
      <c r="AZ267" s="1585"/>
      <c r="BA267" s="1585"/>
      <c r="BB267" s="1585"/>
      <c r="BC267" s="1585"/>
      <c r="BD267" s="1585"/>
      <c r="BE267" s="1585"/>
      <c r="BF267" s="1585"/>
      <c r="BG267" s="1585"/>
      <c r="BH267" s="1585"/>
      <c r="BI267" s="1585"/>
      <c r="BJ267" s="1585"/>
      <c r="BK267" s="1585"/>
      <c r="BL267" s="1585"/>
      <c r="BM267" s="1585"/>
      <c r="BN267" s="1585"/>
      <c r="BO267" s="1585"/>
      <c r="BP267" s="1585"/>
      <c r="BQ267" s="1585"/>
      <c r="BR267" s="1585"/>
      <c r="BS267" s="1585"/>
      <c r="BT267" s="1585"/>
      <c r="BU267" s="1585"/>
      <c r="BV267" s="1585"/>
      <c r="BW267" s="1585"/>
      <c r="BX267" s="1585"/>
      <c r="BY267" s="1585"/>
      <c r="BZ267" s="1585"/>
      <c r="CA267" s="1585"/>
      <c r="CB267" s="1585"/>
      <c r="CC267" s="1585"/>
      <c r="CD267" s="1585"/>
      <c r="CE267" s="1585"/>
      <c r="CF267" s="1585"/>
      <c r="CG267" s="1585"/>
      <c r="CH267" s="1585"/>
      <c r="CI267" s="1585"/>
      <c r="CJ267" s="1585"/>
      <c r="CK267" s="1585"/>
      <c r="CL267" s="1585"/>
      <c r="CM267" s="1585"/>
      <c r="CN267" s="1585"/>
      <c r="CO267" s="1585"/>
      <c r="CP267" s="1585"/>
      <c r="CQ267" s="1585"/>
      <c r="CR267" s="1585"/>
      <c r="CS267" s="1585"/>
      <c r="CT267" s="1585"/>
      <c r="CU267" s="1585"/>
      <c r="CV267" s="1585"/>
      <c r="CW267" s="1585"/>
      <c r="CX267" s="1585"/>
      <c r="CY267" s="1585"/>
      <c r="CZ267" s="1585"/>
    </row>
    <row r="268" spans="1:104">
      <c r="A268" s="1466"/>
      <c r="B268" s="1583"/>
      <c r="C268" s="1583"/>
      <c r="D268" s="1583"/>
      <c r="E268" s="1585"/>
      <c r="F268" s="1585"/>
      <c r="G268" s="1585"/>
      <c r="H268" s="1585"/>
      <c r="I268" s="1585"/>
      <c r="J268" s="1585"/>
      <c r="K268" s="1585"/>
      <c r="L268" s="1585"/>
      <c r="M268" s="1585"/>
      <c r="N268" s="1585"/>
      <c r="O268" s="1585"/>
      <c r="P268" s="1585"/>
      <c r="Q268" s="1585"/>
      <c r="R268" s="1585"/>
      <c r="S268" s="1585"/>
      <c r="T268" s="1585"/>
      <c r="U268" s="1585"/>
      <c r="V268" s="1585"/>
      <c r="W268" s="1585"/>
      <c r="X268" s="1585"/>
      <c r="Y268" s="1585"/>
      <c r="Z268" s="1585"/>
      <c r="AA268" s="1585"/>
      <c r="AB268" s="1585"/>
      <c r="AC268" s="1585"/>
      <c r="AD268" s="1585"/>
      <c r="AE268" s="1585"/>
      <c r="AF268" s="1585"/>
      <c r="AG268" s="1585"/>
      <c r="AH268" s="1585"/>
      <c r="AI268" s="1585"/>
      <c r="AJ268" s="1585"/>
      <c r="AK268" s="1585"/>
      <c r="AL268" s="1585"/>
      <c r="AM268" s="1585"/>
      <c r="AN268" s="1585"/>
      <c r="AO268" s="1585"/>
      <c r="AP268" s="1585"/>
      <c r="AQ268" s="1585"/>
      <c r="AR268" s="1585"/>
      <c r="AS268" s="1585"/>
      <c r="AT268" s="1585"/>
      <c r="AU268" s="1585"/>
      <c r="AV268" s="1585"/>
      <c r="AW268" s="1585"/>
      <c r="AX268" s="1585"/>
      <c r="AY268" s="1585"/>
      <c r="AZ268" s="1585"/>
      <c r="BA268" s="1585"/>
      <c r="BB268" s="1585"/>
      <c r="BC268" s="1585"/>
      <c r="BD268" s="1585"/>
      <c r="BE268" s="1585"/>
      <c r="BF268" s="1585"/>
      <c r="BG268" s="1585"/>
      <c r="BH268" s="1585"/>
      <c r="BI268" s="1585"/>
      <c r="BJ268" s="1585"/>
      <c r="BK268" s="1585"/>
      <c r="BL268" s="1585"/>
      <c r="BM268" s="1585"/>
      <c r="BN268" s="1585"/>
      <c r="BO268" s="1585"/>
      <c r="BP268" s="1585"/>
      <c r="BQ268" s="1585"/>
      <c r="BR268" s="1585"/>
      <c r="BS268" s="1585"/>
      <c r="BT268" s="1585"/>
      <c r="BU268" s="1585"/>
      <c r="BV268" s="1585"/>
      <c r="BW268" s="1585"/>
      <c r="BX268" s="1585"/>
      <c r="BY268" s="1585"/>
      <c r="BZ268" s="1585"/>
      <c r="CA268" s="1585"/>
      <c r="CB268" s="1585"/>
      <c r="CC268" s="1585"/>
      <c r="CD268" s="1585"/>
      <c r="CE268" s="1585"/>
      <c r="CF268" s="1585"/>
      <c r="CG268" s="1585"/>
      <c r="CH268" s="1585"/>
      <c r="CI268" s="1585"/>
      <c r="CJ268" s="1585"/>
      <c r="CK268" s="1585"/>
      <c r="CL268" s="1585"/>
      <c r="CM268" s="1585"/>
      <c r="CN268" s="1585"/>
      <c r="CO268" s="1585"/>
      <c r="CP268" s="1585"/>
      <c r="CQ268" s="1585"/>
      <c r="CR268" s="1585"/>
      <c r="CS268" s="1585"/>
      <c r="CT268" s="1585"/>
      <c r="CU268" s="1585"/>
      <c r="CV268" s="1585"/>
      <c r="CW268" s="1585"/>
      <c r="CX268" s="1585"/>
      <c r="CY268" s="1585"/>
      <c r="CZ268" s="1585"/>
    </row>
    <row r="269" spans="1:104">
      <c r="A269" s="1466"/>
      <c r="B269" s="1583"/>
      <c r="C269" s="1583"/>
      <c r="D269" s="1583"/>
      <c r="E269" s="1585"/>
      <c r="F269" s="1585"/>
      <c r="G269" s="1585"/>
      <c r="H269" s="1585"/>
      <c r="I269" s="1585"/>
      <c r="J269" s="1585"/>
      <c r="K269" s="1585"/>
      <c r="L269" s="1585"/>
      <c r="M269" s="1585"/>
      <c r="N269" s="1585"/>
      <c r="O269" s="1585"/>
      <c r="P269" s="1585"/>
      <c r="Q269" s="1585"/>
      <c r="R269" s="1585"/>
      <c r="S269" s="1585"/>
      <c r="T269" s="1585"/>
      <c r="U269" s="1585"/>
      <c r="V269" s="1585"/>
      <c r="W269" s="1585"/>
      <c r="X269" s="1585"/>
      <c r="Y269" s="1585"/>
      <c r="Z269" s="1585"/>
      <c r="AA269" s="1585"/>
      <c r="AB269" s="1585"/>
      <c r="AC269" s="1585"/>
      <c r="AD269" s="1585"/>
      <c r="AE269" s="1585"/>
      <c r="AF269" s="1585"/>
      <c r="AG269" s="1585"/>
      <c r="AH269" s="1585"/>
      <c r="AI269" s="1585"/>
      <c r="AJ269" s="1585"/>
      <c r="AK269" s="1585"/>
      <c r="AL269" s="1585"/>
      <c r="AM269" s="1585"/>
      <c r="AN269" s="1585"/>
      <c r="AO269" s="1585"/>
      <c r="AP269" s="1585"/>
      <c r="AQ269" s="1585"/>
      <c r="AR269" s="1585"/>
      <c r="AS269" s="1585"/>
      <c r="AT269" s="1585"/>
      <c r="AU269" s="1585"/>
      <c r="AV269" s="1585"/>
      <c r="AW269" s="1585"/>
      <c r="AX269" s="1585"/>
      <c r="AY269" s="1585"/>
      <c r="AZ269" s="1585"/>
      <c r="BA269" s="1585"/>
      <c r="BB269" s="1585"/>
      <c r="BC269" s="1585"/>
      <c r="BD269" s="1585"/>
      <c r="BE269" s="1585"/>
      <c r="BF269" s="1585"/>
      <c r="BG269" s="1585"/>
      <c r="BH269" s="1585"/>
      <c r="BI269" s="1585"/>
      <c r="BJ269" s="1585"/>
      <c r="BK269" s="1585"/>
      <c r="BL269" s="1585"/>
      <c r="BM269" s="1585"/>
      <c r="BN269" s="1585"/>
      <c r="BO269" s="1585"/>
      <c r="BP269" s="1585"/>
      <c r="BQ269" s="1585"/>
      <c r="BR269" s="1585"/>
      <c r="BS269" s="1585"/>
      <c r="BT269" s="1585"/>
      <c r="BU269" s="1585"/>
      <c r="BV269" s="1585"/>
      <c r="BW269" s="1585"/>
      <c r="BX269" s="1585"/>
      <c r="BY269" s="1585"/>
      <c r="BZ269" s="1585"/>
      <c r="CA269" s="1585"/>
      <c r="CB269" s="1585"/>
      <c r="CC269" s="1585"/>
      <c r="CD269" s="1585"/>
      <c r="CE269" s="1585"/>
      <c r="CF269" s="1585"/>
      <c r="CG269" s="1585"/>
      <c r="CH269" s="1585"/>
      <c r="CI269" s="1585"/>
      <c r="CJ269" s="1585"/>
      <c r="CK269" s="1585"/>
      <c r="CL269" s="1585"/>
      <c r="CM269" s="1585"/>
      <c r="CN269" s="1585"/>
      <c r="CO269" s="1585"/>
      <c r="CP269" s="1585"/>
      <c r="CQ269" s="1585"/>
      <c r="CR269" s="1585"/>
      <c r="CS269" s="1585"/>
      <c r="CT269" s="1585"/>
      <c r="CU269" s="1585"/>
      <c r="CV269" s="1585"/>
      <c r="CW269" s="1585"/>
      <c r="CX269" s="1585"/>
      <c r="CY269" s="1585"/>
      <c r="CZ269" s="1585"/>
    </row>
    <row r="270" spans="1:104">
      <c r="A270" s="1466"/>
      <c r="B270" s="1583"/>
      <c r="C270" s="1583"/>
      <c r="D270" s="1583"/>
      <c r="E270" s="1585"/>
      <c r="F270" s="1585"/>
      <c r="G270" s="1585"/>
      <c r="H270" s="1585"/>
      <c r="I270" s="1585"/>
      <c r="J270" s="1585"/>
      <c r="K270" s="1585"/>
      <c r="L270" s="1585"/>
      <c r="M270" s="1585"/>
      <c r="N270" s="1585"/>
      <c r="O270" s="1585"/>
      <c r="P270" s="1585"/>
      <c r="Q270" s="1585"/>
      <c r="R270" s="1585"/>
      <c r="S270" s="1585"/>
      <c r="T270" s="1585"/>
      <c r="U270" s="1585"/>
      <c r="V270" s="1585"/>
      <c r="W270" s="1585"/>
      <c r="X270" s="1585"/>
      <c r="Y270" s="1585"/>
      <c r="Z270" s="1585"/>
      <c r="AA270" s="1585"/>
      <c r="AB270" s="1585"/>
      <c r="AC270" s="1585"/>
      <c r="AD270" s="1585"/>
      <c r="AE270" s="1585"/>
      <c r="AF270" s="1585"/>
      <c r="AG270" s="1585"/>
      <c r="AH270" s="1585"/>
      <c r="AI270" s="1585"/>
      <c r="AJ270" s="1585"/>
      <c r="AK270" s="1585"/>
      <c r="AL270" s="1585"/>
      <c r="AM270" s="1585"/>
      <c r="AN270" s="1585"/>
      <c r="AO270" s="1585"/>
      <c r="AP270" s="1585"/>
      <c r="AQ270" s="1585"/>
      <c r="AR270" s="1585"/>
      <c r="AS270" s="1585"/>
      <c r="AT270" s="1585"/>
      <c r="AU270" s="1585"/>
      <c r="AV270" s="1585"/>
      <c r="AW270" s="1585"/>
      <c r="AX270" s="1585"/>
      <c r="AY270" s="1585"/>
      <c r="AZ270" s="1585"/>
      <c r="BA270" s="1585"/>
      <c r="BB270" s="1585"/>
      <c r="BC270" s="1585"/>
      <c r="BD270" s="1585"/>
      <c r="BE270" s="1585"/>
      <c r="BF270" s="1585"/>
      <c r="BG270" s="1585"/>
      <c r="BH270" s="1585"/>
      <c r="BI270" s="1585"/>
      <c r="BJ270" s="1585"/>
      <c r="BK270" s="1585"/>
      <c r="BL270" s="1585"/>
      <c r="BM270" s="1585"/>
      <c r="BN270" s="1585"/>
      <c r="BO270" s="1585"/>
      <c r="BP270" s="1585"/>
      <c r="BQ270" s="1585"/>
      <c r="BR270" s="1585"/>
      <c r="BS270" s="1585"/>
      <c r="BT270" s="1585"/>
      <c r="BU270" s="1585"/>
      <c r="BV270" s="1585"/>
      <c r="BW270" s="1585"/>
      <c r="BX270" s="1585"/>
      <c r="BY270" s="1585"/>
      <c r="BZ270" s="1585"/>
      <c r="CA270" s="1585"/>
      <c r="CB270" s="1585"/>
      <c r="CC270" s="1585"/>
      <c r="CD270" s="1585"/>
      <c r="CE270" s="1585"/>
      <c r="CF270" s="1585"/>
      <c r="CG270" s="1585"/>
      <c r="CH270" s="1585"/>
      <c r="CI270" s="1585"/>
      <c r="CJ270" s="1585"/>
      <c r="CK270" s="1585"/>
      <c r="CL270" s="1585"/>
      <c r="CM270" s="1585"/>
      <c r="CN270" s="1585"/>
      <c r="CO270" s="1585"/>
      <c r="CP270" s="1585"/>
      <c r="CQ270" s="1585"/>
      <c r="CR270" s="1585"/>
      <c r="CS270" s="1585"/>
      <c r="CT270" s="1585"/>
      <c r="CU270" s="1585"/>
      <c r="CV270" s="1585"/>
      <c r="CW270" s="1585"/>
      <c r="CX270" s="1585"/>
      <c r="CY270" s="1585"/>
      <c r="CZ270" s="1585"/>
    </row>
    <row r="271" spans="1:104">
      <c r="A271" s="1466"/>
      <c r="B271" s="1583"/>
      <c r="C271" s="1583"/>
      <c r="D271" s="1583"/>
      <c r="E271" s="1585"/>
      <c r="F271" s="1585"/>
      <c r="G271" s="1585"/>
      <c r="H271" s="1585"/>
      <c r="I271" s="1585"/>
      <c r="J271" s="1585"/>
      <c r="K271" s="1585"/>
      <c r="L271" s="1585"/>
      <c r="M271" s="1585"/>
      <c r="N271" s="1585"/>
      <c r="O271" s="1585"/>
      <c r="P271" s="1585"/>
      <c r="Q271" s="1585"/>
      <c r="R271" s="1585"/>
      <c r="S271" s="1585"/>
      <c r="T271" s="1585"/>
      <c r="U271" s="1585"/>
      <c r="V271" s="1585"/>
      <c r="W271" s="1585"/>
      <c r="X271" s="1585"/>
      <c r="Y271" s="1585"/>
      <c r="Z271" s="1585"/>
      <c r="AA271" s="1585"/>
      <c r="AB271" s="1585"/>
      <c r="AC271" s="1585"/>
      <c r="AD271" s="1585"/>
      <c r="AE271" s="1585"/>
      <c r="AF271" s="1585"/>
      <c r="AG271" s="1585"/>
      <c r="AH271" s="1585"/>
      <c r="AI271" s="1585"/>
      <c r="AJ271" s="1585"/>
      <c r="AK271" s="1585"/>
      <c r="AL271" s="1585"/>
      <c r="AM271" s="1585"/>
      <c r="AN271" s="1585"/>
      <c r="AO271" s="1585"/>
      <c r="AP271" s="1585"/>
      <c r="AQ271" s="1585"/>
      <c r="AR271" s="1585"/>
      <c r="AS271" s="1585"/>
      <c r="AT271" s="1585"/>
      <c r="AU271" s="1585"/>
      <c r="AV271" s="1585"/>
      <c r="AW271" s="1585"/>
      <c r="AX271" s="1585"/>
      <c r="AY271" s="1585"/>
      <c r="AZ271" s="1585"/>
      <c r="BA271" s="1585"/>
      <c r="BB271" s="1585"/>
      <c r="BC271" s="1585"/>
      <c r="BD271" s="1585"/>
      <c r="BE271" s="1585"/>
      <c r="BF271" s="1585"/>
      <c r="BG271" s="1585"/>
      <c r="BH271" s="1585"/>
      <c r="BI271" s="1585"/>
      <c r="BJ271" s="1585"/>
      <c r="BK271" s="1585"/>
      <c r="BL271" s="1585"/>
      <c r="BM271" s="1585"/>
      <c r="BN271" s="1585"/>
      <c r="BO271" s="1585"/>
      <c r="BP271" s="1585"/>
      <c r="BQ271" s="1585"/>
      <c r="BR271" s="1585"/>
      <c r="BS271" s="1585"/>
      <c r="BT271" s="1585"/>
      <c r="BU271" s="1585"/>
      <c r="BV271" s="1585"/>
      <c r="BW271" s="1585"/>
      <c r="BX271" s="1585"/>
      <c r="BY271" s="1585"/>
      <c r="BZ271" s="1585"/>
      <c r="CA271" s="1585"/>
      <c r="CB271" s="1585"/>
      <c r="CC271" s="1585"/>
      <c r="CD271" s="1585"/>
      <c r="CE271" s="1585"/>
      <c r="CF271" s="1585"/>
      <c r="CG271" s="1585"/>
      <c r="CH271" s="1585"/>
      <c r="CI271" s="1585"/>
      <c r="CJ271" s="1585"/>
      <c r="CK271" s="1585"/>
      <c r="CL271" s="1585"/>
      <c r="CM271" s="1585"/>
      <c r="CN271" s="1585"/>
      <c r="CO271" s="1585"/>
      <c r="CP271" s="1585"/>
      <c r="CQ271" s="1585"/>
      <c r="CR271" s="1585"/>
      <c r="CS271" s="1585"/>
      <c r="CT271" s="1585"/>
      <c r="CU271" s="1585"/>
      <c r="CV271" s="1585"/>
      <c r="CW271" s="1585"/>
      <c r="CX271" s="1585"/>
      <c r="CY271" s="1585"/>
      <c r="CZ271" s="1585"/>
    </row>
    <row r="272" spans="1:104">
      <c r="A272" s="1466"/>
      <c r="B272" s="1583"/>
      <c r="C272" s="1583"/>
      <c r="D272" s="1583"/>
      <c r="E272" s="1585"/>
      <c r="F272" s="1585"/>
      <c r="G272" s="1585"/>
      <c r="H272" s="1585"/>
      <c r="I272" s="1585"/>
      <c r="J272" s="1585"/>
      <c r="K272" s="1585"/>
      <c r="L272" s="1585"/>
      <c r="M272" s="1585"/>
      <c r="N272" s="1585"/>
      <c r="O272" s="1585"/>
      <c r="P272" s="1585"/>
      <c r="Q272" s="1585"/>
      <c r="R272" s="1585"/>
      <c r="S272" s="1585"/>
      <c r="T272" s="1585"/>
      <c r="U272" s="1585"/>
      <c r="V272" s="1585"/>
      <c r="W272" s="1585"/>
      <c r="X272" s="1585"/>
      <c r="Y272" s="1585"/>
      <c r="Z272" s="1585"/>
      <c r="AA272" s="1585"/>
      <c r="AB272" s="1585"/>
      <c r="AC272" s="1585"/>
      <c r="AD272" s="1585"/>
      <c r="AE272" s="1585"/>
      <c r="AF272" s="1585"/>
      <c r="AG272" s="1585"/>
      <c r="AH272" s="1585"/>
      <c r="AI272" s="1585"/>
      <c r="AJ272" s="1585"/>
      <c r="AK272" s="1585"/>
      <c r="AL272" s="1585"/>
      <c r="AM272" s="1585"/>
      <c r="AN272" s="1585"/>
      <c r="AO272" s="1585"/>
      <c r="AP272" s="1585"/>
      <c r="AQ272" s="1585"/>
      <c r="AR272" s="1585"/>
      <c r="AS272" s="1585"/>
      <c r="AT272" s="1585"/>
      <c r="AU272" s="1585"/>
      <c r="AV272" s="1585"/>
      <c r="AW272" s="1585"/>
      <c r="AX272" s="1585"/>
      <c r="AY272" s="1585"/>
      <c r="AZ272" s="1585"/>
      <c r="BA272" s="1585"/>
      <c r="BB272" s="1585"/>
      <c r="BC272" s="1585"/>
      <c r="BD272" s="1585"/>
      <c r="BE272" s="1585"/>
      <c r="BF272" s="1585"/>
      <c r="BG272" s="1585"/>
      <c r="BH272" s="1585"/>
      <c r="BI272" s="1585"/>
      <c r="BJ272" s="1585"/>
      <c r="BK272" s="1585"/>
      <c r="BL272" s="1585"/>
      <c r="BM272" s="1585"/>
      <c r="BN272" s="1585"/>
      <c r="BO272" s="1585"/>
      <c r="BP272" s="1585"/>
      <c r="BQ272" s="1585"/>
      <c r="BR272" s="1585"/>
      <c r="BS272" s="1585"/>
      <c r="BT272" s="1585"/>
      <c r="BU272" s="1585"/>
      <c r="BV272" s="1585"/>
      <c r="BW272" s="1585"/>
      <c r="BX272" s="1585"/>
      <c r="BY272" s="1585"/>
      <c r="BZ272" s="1585"/>
      <c r="CA272" s="1585"/>
      <c r="CB272" s="1585"/>
      <c r="CC272" s="1585"/>
      <c r="CD272" s="1585"/>
      <c r="CE272" s="1585"/>
      <c r="CF272" s="1585"/>
      <c r="CG272" s="1585"/>
      <c r="CH272" s="1585"/>
      <c r="CI272" s="1585"/>
      <c r="CJ272" s="1585"/>
      <c r="CK272" s="1585"/>
      <c r="CL272" s="1585"/>
      <c r="CM272" s="1585"/>
      <c r="CN272" s="1585"/>
      <c r="CO272" s="1585"/>
      <c r="CP272" s="1585"/>
      <c r="CQ272" s="1585"/>
      <c r="CR272" s="1585"/>
      <c r="CS272" s="1585"/>
      <c r="CT272" s="1585"/>
      <c r="CU272" s="1585"/>
      <c r="CV272" s="1585"/>
      <c r="CW272" s="1585"/>
      <c r="CX272" s="1585"/>
      <c r="CY272" s="1585"/>
      <c r="CZ272" s="1585"/>
    </row>
    <row r="273" spans="1:407">
      <c r="A273" s="1466"/>
      <c r="B273" s="1583"/>
      <c r="C273" s="1583"/>
      <c r="D273" s="1583"/>
      <c r="E273" s="1585"/>
      <c r="F273" s="1585"/>
      <c r="G273" s="1585"/>
      <c r="H273" s="1585"/>
      <c r="I273" s="1585"/>
      <c r="J273" s="1585"/>
      <c r="K273" s="1585"/>
      <c r="L273" s="1585"/>
      <c r="M273" s="1585"/>
      <c r="N273" s="1585"/>
      <c r="O273" s="1585"/>
      <c r="P273" s="1585"/>
      <c r="Q273" s="1585"/>
      <c r="R273" s="1585"/>
      <c r="S273" s="1585"/>
      <c r="T273" s="1585"/>
      <c r="U273" s="1585"/>
      <c r="V273" s="1585"/>
      <c r="W273" s="1585"/>
      <c r="X273" s="1585"/>
      <c r="Y273" s="1585"/>
      <c r="Z273" s="1585"/>
      <c r="AA273" s="1585"/>
      <c r="AB273" s="1585"/>
      <c r="AC273" s="1585"/>
      <c r="AD273" s="1585"/>
      <c r="AE273" s="1585"/>
      <c r="AF273" s="1585"/>
      <c r="AG273" s="1585"/>
      <c r="AH273" s="1585"/>
      <c r="AI273" s="1585"/>
      <c r="AJ273" s="1585"/>
      <c r="AK273" s="1585"/>
      <c r="AL273" s="1585"/>
      <c r="AM273" s="1585"/>
      <c r="AN273" s="1585"/>
      <c r="AO273" s="1585"/>
      <c r="AP273" s="1585"/>
      <c r="AQ273" s="1585"/>
      <c r="AR273" s="1585"/>
      <c r="AS273" s="1585"/>
      <c r="AT273" s="1585"/>
      <c r="AU273" s="1585"/>
      <c r="AV273" s="1585"/>
      <c r="AW273" s="1585"/>
      <c r="AX273" s="1585"/>
      <c r="AY273" s="1585"/>
      <c r="AZ273" s="1585"/>
      <c r="BA273" s="1585"/>
      <c r="BB273" s="1585"/>
      <c r="BC273" s="1585"/>
      <c r="BD273" s="1585"/>
      <c r="BE273" s="1585"/>
      <c r="BF273" s="1585"/>
      <c r="BG273" s="1585"/>
      <c r="BH273" s="1585"/>
      <c r="BI273" s="1585"/>
      <c r="BJ273" s="1585"/>
      <c r="BK273" s="1585"/>
      <c r="BL273" s="1585"/>
      <c r="BM273" s="1585"/>
      <c r="BN273" s="1585"/>
      <c r="BO273" s="1585"/>
      <c r="BP273" s="1585"/>
      <c r="BQ273" s="1585"/>
      <c r="BR273" s="1585"/>
      <c r="BS273" s="1585"/>
      <c r="BT273" s="1585"/>
      <c r="BU273" s="1585"/>
      <c r="BV273" s="1585"/>
      <c r="BW273" s="1585"/>
      <c r="BX273" s="1585"/>
      <c r="BY273" s="1585"/>
      <c r="BZ273" s="1585"/>
      <c r="CA273" s="1585"/>
      <c r="CB273" s="1585"/>
      <c r="CC273" s="1585"/>
      <c r="CD273" s="1585"/>
      <c r="CE273" s="1585"/>
      <c r="CF273" s="1585"/>
      <c r="CG273" s="1585"/>
      <c r="CH273" s="1585"/>
      <c r="CI273" s="1585"/>
      <c r="CJ273" s="1585"/>
      <c r="CK273" s="1585"/>
      <c r="CL273" s="1585"/>
      <c r="CM273" s="1585"/>
      <c r="CN273" s="1585"/>
      <c r="CO273" s="1585"/>
      <c r="CP273" s="1585"/>
      <c r="CQ273" s="1585"/>
      <c r="CR273" s="1585"/>
      <c r="CS273" s="1585"/>
      <c r="CT273" s="1585"/>
      <c r="CU273" s="1585"/>
      <c r="CV273" s="1585"/>
      <c r="CW273" s="1585"/>
      <c r="CX273" s="1585"/>
      <c r="CY273" s="1585"/>
      <c r="CZ273" s="1585"/>
    </row>
    <row r="274" spans="1:407">
      <c r="A274" s="1466"/>
      <c r="B274" s="1583"/>
      <c r="C274" s="1583"/>
      <c r="D274" s="1583"/>
      <c r="E274" s="1585"/>
      <c r="F274" s="1585"/>
      <c r="G274" s="1585"/>
      <c r="H274" s="1585"/>
      <c r="I274" s="1585"/>
      <c r="J274" s="1585"/>
      <c r="K274" s="1585"/>
      <c r="L274" s="1585"/>
      <c r="M274" s="1585"/>
      <c r="N274" s="1585"/>
      <c r="O274" s="1585"/>
      <c r="P274" s="1585"/>
      <c r="Q274" s="1585"/>
      <c r="R274" s="1585"/>
      <c r="S274" s="1585"/>
      <c r="T274" s="1585"/>
      <c r="U274" s="1585"/>
      <c r="V274" s="1585"/>
      <c r="W274" s="1585"/>
      <c r="X274" s="1585"/>
      <c r="Y274" s="1585"/>
      <c r="Z274" s="1585"/>
      <c r="AA274" s="1585"/>
      <c r="AB274" s="1585"/>
      <c r="AC274" s="1585"/>
      <c r="AD274" s="1585"/>
      <c r="AE274" s="1585"/>
      <c r="AF274" s="1585"/>
      <c r="AG274" s="1585"/>
      <c r="AH274" s="1585"/>
      <c r="AI274" s="1585"/>
      <c r="AJ274" s="1585"/>
      <c r="AK274" s="1585"/>
      <c r="AL274" s="1585"/>
      <c r="AM274" s="1585"/>
      <c r="AN274" s="1585"/>
      <c r="AO274" s="1585"/>
      <c r="AP274" s="1585"/>
      <c r="AQ274" s="1585"/>
      <c r="AR274" s="1585"/>
      <c r="AS274" s="1585"/>
      <c r="AT274" s="1585"/>
      <c r="AU274" s="1585"/>
      <c r="AV274" s="1585"/>
      <c r="AW274" s="1585"/>
      <c r="AX274" s="1585"/>
      <c r="AY274" s="1585"/>
      <c r="AZ274" s="1585"/>
      <c r="BA274" s="1585"/>
      <c r="BB274" s="1585"/>
      <c r="BC274" s="1585"/>
      <c r="BD274" s="1585"/>
      <c r="BE274" s="1585"/>
      <c r="BF274" s="1585"/>
      <c r="BG274" s="1585"/>
      <c r="BH274" s="1585"/>
      <c r="BI274" s="1585"/>
      <c r="BJ274" s="1585"/>
      <c r="BK274" s="1585"/>
      <c r="BL274" s="1585"/>
      <c r="BM274" s="1585"/>
      <c r="BN274" s="1585"/>
      <c r="BO274" s="1585"/>
      <c r="BP274" s="1585"/>
      <c r="BQ274" s="1585"/>
      <c r="BR274" s="1585"/>
      <c r="BS274" s="1585"/>
      <c r="BT274" s="1585"/>
      <c r="BU274" s="1585"/>
      <c r="BV274" s="1585"/>
      <c r="BW274" s="1585"/>
      <c r="BX274" s="1585"/>
      <c r="BY274" s="1585"/>
      <c r="BZ274" s="1585"/>
      <c r="CA274" s="1585"/>
      <c r="CB274" s="1585"/>
      <c r="CC274" s="1585"/>
      <c r="CD274" s="1585"/>
      <c r="CE274" s="1585"/>
      <c r="CF274" s="1585"/>
      <c r="CG274" s="1585"/>
      <c r="CH274" s="1585"/>
      <c r="CI274" s="1585"/>
      <c r="CJ274" s="1585"/>
      <c r="CK274" s="1585"/>
      <c r="CL274" s="1585"/>
      <c r="CM274" s="1585"/>
      <c r="CN274" s="1585"/>
      <c r="CO274" s="1585"/>
      <c r="CP274" s="1585"/>
      <c r="CQ274" s="1585"/>
      <c r="CR274" s="1585"/>
      <c r="CS274" s="1585"/>
      <c r="CT274" s="1585"/>
      <c r="CU274" s="1585"/>
      <c r="CV274" s="1585"/>
      <c r="CW274" s="1585"/>
      <c r="CX274" s="1585"/>
      <c r="CY274" s="1585"/>
      <c r="CZ274" s="1585"/>
    </row>
    <row r="275" spans="1:407">
      <c r="A275" s="1466"/>
      <c r="B275" s="1583"/>
      <c r="C275" s="1583"/>
      <c r="D275" s="1583"/>
      <c r="E275" s="1585"/>
      <c r="F275" s="1585"/>
      <c r="G275" s="1585"/>
      <c r="H275" s="1585"/>
      <c r="I275" s="1585"/>
      <c r="J275" s="1585"/>
      <c r="K275" s="1585"/>
      <c r="L275" s="1585"/>
      <c r="M275" s="1585"/>
      <c r="N275" s="1585"/>
      <c r="O275" s="1585"/>
      <c r="P275" s="1585"/>
      <c r="Q275" s="1585"/>
      <c r="R275" s="1585"/>
      <c r="S275" s="1585"/>
      <c r="T275" s="1585"/>
      <c r="U275" s="1585"/>
      <c r="V275" s="1585"/>
      <c r="W275" s="1585"/>
      <c r="X275" s="1585"/>
      <c r="Y275" s="1585"/>
      <c r="Z275" s="1585"/>
      <c r="AA275" s="1585"/>
      <c r="AB275" s="1585"/>
      <c r="AC275" s="1585"/>
      <c r="AD275" s="1585"/>
      <c r="AE275" s="1585"/>
      <c r="AF275" s="1585"/>
      <c r="AG275" s="1585"/>
      <c r="AH275" s="1585"/>
      <c r="AI275" s="1585"/>
      <c r="AJ275" s="1585"/>
      <c r="AK275" s="1585"/>
      <c r="AL275" s="1585"/>
      <c r="AM275" s="1585"/>
      <c r="AN275" s="1585"/>
      <c r="AO275" s="1585"/>
      <c r="AP275" s="1585"/>
      <c r="AQ275" s="1585"/>
      <c r="AR275" s="1585"/>
      <c r="AS275" s="1585"/>
      <c r="AT275" s="1585"/>
      <c r="AU275" s="1585"/>
      <c r="AV275" s="1585"/>
      <c r="AW275" s="1585"/>
      <c r="AX275" s="1585"/>
      <c r="AY275" s="1585"/>
      <c r="AZ275" s="1585"/>
      <c r="BA275" s="1585"/>
      <c r="BB275" s="1585"/>
      <c r="BC275" s="1585"/>
      <c r="BD275" s="1585"/>
      <c r="BE275" s="1585"/>
      <c r="BF275" s="1585"/>
      <c r="BG275" s="1585"/>
      <c r="BH275" s="1585"/>
      <c r="BI275" s="1585"/>
      <c r="BJ275" s="1585"/>
      <c r="BK275" s="1585"/>
      <c r="BL275" s="1585"/>
      <c r="BM275" s="1585"/>
      <c r="BN275" s="1585"/>
      <c r="BO275" s="1585"/>
      <c r="BP275" s="1585"/>
      <c r="BQ275" s="1585"/>
      <c r="BR275" s="1585"/>
      <c r="BS275" s="1585"/>
      <c r="BT275" s="1585"/>
      <c r="BU275" s="1585"/>
      <c r="BV275" s="1585"/>
      <c r="BW275" s="1585"/>
      <c r="BX275" s="1585"/>
      <c r="BY275" s="1585"/>
      <c r="BZ275" s="1585"/>
      <c r="CA275" s="1585"/>
      <c r="CB275" s="1585"/>
      <c r="CC275" s="1585"/>
      <c r="CD275" s="1585"/>
      <c r="CE275" s="1585"/>
      <c r="CF275" s="1585"/>
      <c r="CG275" s="1585"/>
      <c r="CH275" s="1585"/>
      <c r="CI275" s="1585"/>
      <c r="CJ275" s="1585"/>
      <c r="CK275" s="1585"/>
      <c r="CL275" s="1585"/>
      <c r="CM275" s="1585"/>
      <c r="CN275" s="1585"/>
      <c r="CO275" s="1585"/>
      <c r="CP275" s="1585"/>
      <c r="CQ275" s="1585"/>
      <c r="CR275" s="1585"/>
      <c r="CS275" s="1585"/>
      <c r="CT275" s="1585"/>
      <c r="CU275" s="1585"/>
      <c r="CV275" s="1585"/>
      <c r="CW275" s="1585"/>
      <c r="CX275" s="1585"/>
      <c r="CY275" s="1585"/>
      <c r="CZ275" s="1585"/>
    </row>
    <row r="276" spans="1:407">
      <c r="A276" s="1466"/>
      <c r="B276" s="1583"/>
      <c r="C276" s="1583"/>
      <c r="D276" s="1583"/>
      <c r="E276" s="1585"/>
      <c r="F276" s="1585"/>
      <c r="G276" s="1585"/>
      <c r="H276" s="1585"/>
      <c r="I276" s="1585"/>
      <c r="J276" s="1585"/>
      <c r="K276" s="1585"/>
      <c r="L276" s="1585"/>
      <c r="M276" s="1585"/>
      <c r="N276" s="1585"/>
      <c r="O276" s="1585"/>
      <c r="P276" s="1585"/>
      <c r="Q276" s="1585"/>
      <c r="R276" s="1585"/>
      <c r="S276" s="1585"/>
      <c r="T276" s="1585"/>
      <c r="U276" s="1585"/>
      <c r="V276" s="1585"/>
      <c r="W276" s="1585"/>
      <c r="X276" s="1585"/>
      <c r="Y276" s="1585"/>
      <c r="Z276" s="1585"/>
      <c r="AA276" s="1585"/>
      <c r="AB276" s="1585"/>
      <c r="AC276" s="1585"/>
      <c r="AD276" s="1585"/>
      <c r="AE276" s="1585"/>
      <c r="AF276" s="1585"/>
      <c r="AG276" s="1585"/>
      <c r="AH276" s="1585"/>
      <c r="AI276" s="1585"/>
      <c r="AJ276" s="1585"/>
      <c r="AK276" s="1585"/>
      <c r="AL276" s="1585"/>
      <c r="AM276" s="1585"/>
      <c r="AN276" s="1585"/>
      <c r="AO276" s="1585"/>
      <c r="AP276" s="1585"/>
      <c r="AQ276" s="1585"/>
      <c r="AR276" s="1585"/>
      <c r="AS276" s="1585"/>
      <c r="AT276" s="1585"/>
      <c r="AU276" s="1585"/>
      <c r="AV276" s="1585"/>
      <c r="AW276" s="1585"/>
      <c r="AX276" s="1585"/>
      <c r="AY276" s="1585"/>
      <c r="AZ276" s="1585"/>
      <c r="BA276" s="1585"/>
      <c r="BB276" s="1585"/>
      <c r="BC276" s="1585"/>
      <c r="BD276" s="1585"/>
      <c r="BE276" s="1585"/>
      <c r="BF276" s="1585"/>
      <c r="BG276" s="1585"/>
      <c r="BH276" s="1585"/>
      <c r="BI276" s="1585"/>
      <c r="BJ276" s="1585"/>
      <c r="BK276" s="1585"/>
      <c r="BL276" s="1585"/>
      <c r="BM276" s="1585"/>
      <c r="BN276" s="1585"/>
      <c r="BO276" s="1585"/>
      <c r="BP276" s="1585"/>
      <c r="BQ276" s="1585"/>
      <c r="BR276" s="1585"/>
      <c r="BS276" s="1585"/>
      <c r="BT276" s="1585"/>
      <c r="BU276" s="1585"/>
      <c r="BV276" s="1585"/>
      <c r="BW276" s="1585"/>
      <c r="BX276" s="1585"/>
      <c r="BY276" s="1585"/>
      <c r="BZ276" s="1585"/>
      <c r="CA276" s="1585"/>
      <c r="CB276" s="1585"/>
      <c r="CC276" s="1585"/>
      <c r="CD276" s="1585"/>
      <c r="CE276" s="1585"/>
      <c r="CF276" s="1585"/>
      <c r="CG276" s="1585"/>
      <c r="CH276" s="1585"/>
      <c r="CI276" s="1585"/>
      <c r="CJ276" s="1585"/>
      <c r="CK276" s="1585"/>
      <c r="CL276" s="1585"/>
      <c r="CM276" s="1585"/>
      <c r="CN276" s="1585"/>
      <c r="CO276" s="1585"/>
      <c r="CP276" s="1585"/>
      <c r="CQ276" s="1585"/>
      <c r="CR276" s="1585"/>
      <c r="CS276" s="1585"/>
      <c r="CT276" s="1585"/>
      <c r="CU276" s="1585"/>
      <c r="CV276" s="1585"/>
      <c r="CW276" s="1585"/>
      <c r="CX276" s="1585"/>
      <c r="CY276" s="1585"/>
      <c r="CZ276" s="1585"/>
    </row>
    <row r="277" spans="1:407">
      <c r="A277" s="1466"/>
      <c r="B277" s="1583"/>
      <c r="C277" s="1583"/>
      <c r="D277" s="1583"/>
      <c r="E277" s="1585"/>
      <c r="F277" s="1585"/>
      <c r="G277" s="1585"/>
      <c r="H277" s="1585"/>
      <c r="I277" s="1585"/>
      <c r="J277" s="1585"/>
      <c r="K277" s="1585"/>
      <c r="L277" s="1585"/>
      <c r="M277" s="1585"/>
      <c r="N277" s="1585"/>
      <c r="O277" s="1585"/>
      <c r="P277" s="1585"/>
      <c r="Q277" s="1585"/>
      <c r="R277" s="1585"/>
      <c r="S277" s="1585"/>
      <c r="T277" s="1585"/>
      <c r="U277" s="1585"/>
      <c r="V277" s="1585"/>
      <c r="W277" s="1585"/>
      <c r="X277" s="1585"/>
      <c r="Y277" s="1585"/>
      <c r="Z277" s="1585"/>
      <c r="AA277" s="1585"/>
      <c r="AB277" s="1585"/>
      <c r="AC277" s="1585"/>
      <c r="AD277" s="1585"/>
      <c r="AE277" s="1585"/>
      <c r="AF277" s="1585"/>
      <c r="AG277" s="1585"/>
      <c r="AH277" s="1585"/>
      <c r="AI277" s="1585"/>
      <c r="AJ277" s="1585"/>
      <c r="AK277" s="1585"/>
      <c r="AL277" s="1585"/>
      <c r="AM277" s="1585"/>
      <c r="AN277" s="1585"/>
      <c r="AO277" s="1585"/>
      <c r="AP277" s="1585"/>
      <c r="AQ277" s="1585"/>
      <c r="AR277" s="1585"/>
      <c r="AS277" s="1585"/>
      <c r="AT277" s="1585"/>
      <c r="AU277" s="1585"/>
      <c r="AV277" s="1585"/>
      <c r="AW277" s="1585"/>
      <c r="AX277" s="1585"/>
      <c r="AY277" s="1585"/>
      <c r="AZ277" s="1585"/>
      <c r="BA277" s="1585"/>
      <c r="BB277" s="1585"/>
      <c r="BC277" s="1585"/>
      <c r="BD277" s="1585"/>
      <c r="BE277" s="1585"/>
      <c r="BF277" s="1585"/>
      <c r="BG277" s="1585"/>
      <c r="BH277" s="1585"/>
      <c r="BI277" s="1585"/>
      <c r="BJ277" s="1585"/>
      <c r="BK277" s="1585"/>
      <c r="BL277" s="1585"/>
      <c r="BM277" s="1585"/>
      <c r="BN277" s="1585"/>
      <c r="BO277" s="1585"/>
      <c r="BP277" s="1585"/>
      <c r="BQ277" s="1585"/>
      <c r="BR277" s="1585"/>
      <c r="BS277" s="1585"/>
      <c r="BT277" s="1585"/>
      <c r="BU277" s="1585"/>
      <c r="BV277" s="1585"/>
      <c r="BW277" s="1585"/>
      <c r="BX277" s="1585"/>
      <c r="BY277" s="1585"/>
      <c r="BZ277" s="1585"/>
      <c r="CA277" s="1585"/>
      <c r="CB277" s="1585"/>
      <c r="CC277" s="1585"/>
      <c r="CD277" s="1585"/>
      <c r="CE277" s="1585"/>
      <c r="CF277" s="1585"/>
      <c r="CG277" s="1585"/>
      <c r="CH277" s="1585"/>
      <c r="CI277" s="1585"/>
      <c r="CJ277" s="1585"/>
      <c r="CK277" s="1585"/>
      <c r="CL277" s="1585"/>
      <c r="CM277" s="1585"/>
      <c r="CN277" s="1585"/>
      <c r="CO277" s="1585"/>
      <c r="CP277" s="1585"/>
      <c r="CQ277" s="1585"/>
      <c r="CR277" s="1585"/>
      <c r="CS277" s="1585"/>
      <c r="CT277" s="1585"/>
      <c r="CU277" s="1585"/>
      <c r="CV277" s="1585"/>
      <c r="CW277" s="1585"/>
      <c r="CX277" s="1585"/>
      <c r="CY277" s="1585"/>
      <c r="CZ277" s="1585"/>
    </row>
    <row r="278" spans="1:407">
      <c r="A278" s="1466"/>
      <c r="B278" s="1583"/>
      <c r="C278" s="1583"/>
      <c r="D278" s="1583"/>
      <c r="E278" s="1585"/>
      <c r="F278" s="1585"/>
      <c r="G278" s="1585"/>
      <c r="H278" s="1585"/>
      <c r="I278" s="1585"/>
      <c r="J278" s="1585"/>
      <c r="K278" s="1585"/>
      <c r="L278" s="1585"/>
      <c r="M278" s="1585"/>
      <c r="N278" s="1585"/>
      <c r="O278" s="1585"/>
      <c r="P278" s="1585"/>
      <c r="Q278" s="1585"/>
      <c r="R278" s="1585"/>
      <c r="S278" s="1585"/>
      <c r="T278" s="1585"/>
      <c r="U278" s="1585"/>
      <c r="V278" s="1585"/>
      <c r="W278" s="1585"/>
      <c r="X278" s="1585"/>
      <c r="Y278" s="1585"/>
      <c r="Z278" s="1585"/>
      <c r="AA278" s="1585"/>
      <c r="AB278" s="1585"/>
      <c r="AC278" s="1585"/>
      <c r="AD278" s="1585"/>
      <c r="AE278" s="1585"/>
      <c r="AF278" s="1585"/>
      <c r="AG278" s="1585"/>
      <c r="AH278" s="1585"/>
      <c r="AI278" s="1585"/>
      <c r="AJ278" s="1585"/>
      <c r="AK278" s="1585"/>
      <c r="AL278" s="1585"/>
      <c r="AM278" s="1585"/>
      <c r="AN278" s="1585"/>
      <c r="AO278" s="1585"/>
      <c r="AP278" s="1585"/>
      <c r="AQ278" s="1585"/>
      <c r="AR278" s="1585"/>
      <c r="AS278" s="1585"/>
      <c r="AT278" s="1585"/>
      <c r="AU278" s="1585"/>
      <c r="AV278" s="1585"/>
      <c r="AW278" s="1585"/>
      <c r="AX278" s="1585"/>
      <c r="AY278" s="1585"/>
      <c r="AZ278" s="1585"/>
      <c r="BA278" s="1585"/>
      <c r="BB278" s="1585"/>
      <c r="BC278" s="1585"/>
      <c r="BD278" s="1585"/>
      <c r="BE278" s="1585"/>
      <c r="BF278" s="1585"/>
      <c r="BG278" s="1585"/>
      <c r="BH278" s="1585"/>
      <c r="BI278" s="1585"/>
      <c r="BJ278" s="1585"/>
      <c r="BK278" s="1585"/>
      <c r="BL278" s="1585"/>
      <c r="BM278" s="1585"/>
      <c r="BN278" s="1585"/>
      <c r="BO278" s="1585"/>
      <c r="BP278" s="1585"/>
      <c r="BQ278" s="1585"/>
      <c r="BR278" s="1585"/>
      <c r="BS278" s="1585"/>
      <c r="BT278" s="1585"/>
      <c r="BU278" s="1585"/>
      <c r="BV278" s="1585"/>
      <c r="BW278" s="1585"/>
      <c r="BX278" s="1585"/>
      <c r="BY278" s="1585"/>
      <c r="BZ278" s="1585"/>
      <c r="CA278" s="1585"/>
      <c r="CB278" s="1585"/>
      <c r="CC278" s="1585"/>
      <c r="CD278" s="1585"/>
      <c r="CE278" s="1585"/>
      <c r="CF278" s="1585"/>
      <c r="CG278" s="1585"/>
      <c r="CH278" s="1585"/>
      <c r="CI278" s="1585"/>
      <c r="CJ278" s="1585"/>
      <c r="CK278" s="1585"/>
      <c r="CL278" s="1585"/>
      <c r="CM278" s="1585"/>
      <c r="CN278" s="1585"/>
      <c r="CO278" s="1585"/>
      <c r="CP278" s="1585"/>
      <c r="CQ278" s="1585"/>
      <c r="CR278" s="1585"/>
      <c r="CS278" s="1585"/>
      <c r="CT278" s="1585"/>
      <c r="CU278" s="1585"/>
      <c r="CV278" s="1585"/>
      <c r="CW278" s="1585"/>
      <c r="CX278" s="1585"/>
      <c r="CY278" s="1585"/>
      <c r="CZ278" s="1585"/>
    </row>
    <row r="279" spans="1:407">
      <c r="A279" s="1466"/>
      <c r="B279" s="1583"/>
      <c r="C279" s="1583"/>
      <c r="D279" s="1583"/>
      <c r="E279" s="1585"/>
      <c r="F279" s="1585"/>
      <c r="G279" s="1585"/>
      <c r="H279" s="1585"/>
      <c r="I279" s="1585"/>
      <c r="J279" s="1585"/>
      <c r="K279" s="1585"/>
      <c r="L279" s="1585"/>
      <c r="M279" s="1585"/>
      <c r="N279" s="1585"/>
      <c r="O279" s="1585"/>
      <c r="P279" s="1585"/>
      <c r="Q279" s="1585"/>
      <c r="R279" s="1585"/>
      <c r="S279" s="1585"/>
      <c r="T279" s="1585"/>
      <c r="U279" s="1585"/>
      <c r="V279" s="1585"/>
      <c r="W279" s="1585"/>
      <c r="X279" s="1585"/>
      <c r="Y279" s="1585"/>
      <c r="Z279" s="1585"/>
      <c r="AA279" s="1585"/>
      <c r="AB279" s="1585"/>
      <c r="AC279" s="1585"/>
      <c r="AD279" s="1585"/>
      <c r="AE279" s="1585"/>
      <c r="AF279" s="1585"/>
      <c r="AG279" s="1585"/>
      <c r="AH279" s="1585"/>
      <c r="AI279" s="1585"/>
      <c r="AJ279" s="1585"/>
      <c r="AK279" s="1585"/>
      <c r="AL279" s="1585"/>
      <c r="AM279" s="1585"/>
      <c r="AN279" s="1585"/>
      <c r="AO279" s="1585"/>
      <c r="AP279" s="1585"/>
      <c r="AQ279" s="1585"/>
      <c r="AR279" s="1585"/>
      <c r="AS279" s="1585"/>
      <c r="AT279" s="1585"/>
      <c r="AU279" s="1585"/>
      <c r="AV279" s="1585"/>
      <c r="AW279" s="1585"/>
      <c r="AX279" s="1585"/>
      <c r="AY279" s="1585"/>
      <c r="AZ279" s="1585"/>
      <c r="BA279" s="1585"/>
      <c r="BB279" s="1585"/>
      <c r="BC279" s="1585"/>
      <c r="BD279" s="1585"/>
      <c r="BE279" s="1585"/>
      <c r="BF279" s="1585"/>
      <c r="BG279" s="1585"/>
      <c r="BH279" s="1585"/>
      <c r="BI279" s="1585"/>
      <c r="BJ279" s="1585"/>
      <c r="BK279" s="1585"/>
      <c r="BL279" s="1585"/>
      <c r="BM279" s="1585"/>
      <c r="BN279" s="1585"/>
      <c r="BO279" s="1585"/>
      <c r="BP279" s="1585"/>
      <c r="BQ279" s="1585"/>
      <c r="BR279" s="1585"/>
      <c r="BS279" s="1585"/>
      <c r="BT279" s="1585"/>
      <c r="BU279" s="1585"/>
      <c r="BV279" s="1585"/>
      <c r="BW279" s="1585"/>
      <c r="BX279" s="1585"/>
      <c r="BY279" s="1585"/>
      <c r="BZ279" s="1585"/>
      <c r="CA279" s="1585"/>
      <c r="CB279" s="1585"/>
      <c r="CC279" s="1585"/>
      <c r="CD279" s="1585"/>
      <c r="CE279" s="1585"/>
      <c r="CF279" s="1585"/>
      <c r="CG279" s="1585"/>
      <c r="CH279" s="1585"/>
      <c r="CI279" s="1585"/>
      <c r="CJ279" s="1585"/>
      <c r="CK279" s="1585"/>
      <c r="CL279" s="1585"/>
      <c r="CM279" s="1585"/>
      <c r="CN279" s="1585"/>
      <c r="CO279" s="1585"/>
      <c r="CP279" s="1585"/>
      <c r="CQ279" s="1585"/>
      <c r="CR279" s="1585"/>
      <c r="CS279" s="1585"/>
      <c r="CT279" s="1585"/>
      <c r="CU279" s="1585"/>
      <c r="CV279" s="1585"/>
      <c r="CW279" s="1585"/>
      <c r="CX279" s="1585"/>
      <c r="CY279" s="1585"/>
      <c r="CZ279" s="1585"/>
    </row>
    <row r="280" spans="1:407">
      <c r="A280" s="1466"/>
      <c r="B280" s="1583"/>
      <c r="C280" s="1583"/>
      <c r="D280" s="1583"/>
      <c r="E280" s="1585"/>
      <c r="F280" s="1585"/>
      <c r="G280" s="1585"/>
      <c r="H280" s="1585"/>
      <c r="I280" s="1585"/>
      <c r="J280" s="1585"/>
      <c r="K280" s="1585"/>
      <c r="L280" s="1585"/>
      <c r="M280" s="1585"/>
      <c r="N280" s="1585"/>
      <c r="O280" s="1585"/>
      <c r="P280" s="1585"/>
      <c r="Q280" s="1585"/>
      <c r="R280" s="1585"/>
      <c r="S280" s="1585"/>
      <c r="T280" s="1585"/>
      <c r="U280" s="1585"/>
      <c r="V280" s="1585"/>
      <c r="W280" s="1585"/>
      <c r="X280" s="1585"/>
      <c r="Y280" s="1585"/>
      <c r="Z280" s="1585"/>
      <c r="AA280" s="1585"/>
      <c r="AB280" s="1585"/>
      <c r="AC280" s="1585"/>
      <c r="AD280" s="1585"/>
      <c r="AE280" s="1585"/>
      <c r="AF280" s="1585"/>
      <c r="AG280" s="1585"/>
      <c r="AH280" s="1585"/>
      <c r="AI280" s="1585"/>
      <c r="AJ280" s="1585"/>
      <c r="AK280" s="1585"/>
      <c r="AL280" s="1585"/>
      <c r="AM280" s="1585"/>
      <c r="AN280" s="1585"/>
      <c r="AO280" s="1585"/>
      <c r="AP280" s="1585"/>
      <c r="AQ280" s="1585"/>
      <c r="AR280" s="1585"/>
      <c r="AS280" s="1585"/>
      <c r="AT280" s="1585"/>
      <c r="AU280" s="1585"/>
      <c r="AV280" s="1585"/>
      <c r="AW280" s="1585"/>
      <c r="AX280" s="1585"/>
      <c r="AY280" s="1585"/>
      <c r="AZ280" s="1585"/>
      <c r="BA280" s="1585"/>
      <c r="BB280" s="1585"/>
      <c r="BC280" s="1585"/>
      <c r="BD280" s="1585"/>
      <c r="BE280" s="1585"/>
      <c r="BF280" s="1585"/>
      <c r="BG280" s="1585"/>
      <c r="BH280" s="1585"/>
      <c r="BI280" s="1585"/>
      <c r="BJ280" s="1585"/>
      <c r="BK280" s="1585"/>
      <c r="BL280" s="1585"/>
      <c r="BM280" s="1585"/>
      <c r="BN280" s="1585"/>
      <c r="BO280" s="1585"/>
      <c r="BP280" s="1585"/>
      <c r="BQ280" s="1585"/>
      <c r="BR280" s="1585"/>
      <c r="BS280" s="1585"/>
      <c r="BT280" s="1585"/>
      <c r="BU280" s="1585"/>
      <c r="BV280" s="1585"/>
      <c r="BW280" s="1585"/>
      <c r="BX280" s="1585"/>
      <c r="BY280" s="1585"/>
      <c r="BZ280" s="1585"/>
      <c r="CA280" s="1585"/>
      <c r="CB280" s="1585"/>
      <c r="CC280" s="1585"/>
      <c r="CD280" s="1585"/>
      <c r="CE280" s="1585"/>
      <c r="CF280" s="1585"/>
      <c r="CG280" s="1585"/>
      <c r="CH280" s="1585"/>
      <c r="CI280" s="1585"/>
      <c r="CJ280" s="1585"/>
      <c r="CK280" s="1585"/>
      <c r="CL280" s="1585"/>
      <c r="CM280" s="1585"/>
      <c r="CN280" s="1585"/>
      <c r="CO280" s="1585"/>
      <c r="CP280" s="1585"/>
      <c r="CQ280" s="1585"/>
      <c r="CR280" s="1585"/>
      <c r="CS280" s="1585"/>
      <c r="CT280" s="1585"/>
      <c r="CU280" s="1585"/>
      <c r="CV280" s="1585"/>
      <c r="CW280" s="1585"/>
      <c r="CX280" s="1585"/>
      <c r="CY280" s="1585"/>
      <c r="CZ280" s="1585"/>
    </row>
    <row r="281" spans="1:407">
      <c r="A281" s="1466"/>
      <c r="B281" s="1583"/>
      <c r="C281" s="1583"/>
      <c r="D281" s="1583"/>
      <c r="E281" s="1585"/>
      <c r="F281" s="1585"/>
      <c r="G281" s="1585"/>
      <c r="H281" s="1585"/>
      <c r="I281" s="1585"/>
      <c r="J281" s="1585"/>
      <c r="K281" s="1585"/>
      <c r="L281" s="1585"/>
      <c r="M281" s="1585"/>
      <c r="N281" s="1585"/>
      <c r="O281" s="1585"/>
      <c r="P281" s="1585"/>
      <c r="Q281" s="1585"/>
      <c r="R281" s="1585"/>
      <c r="S281" s="1585"/>
      <c r="T281" s="1585"/>
      <c r="U281" s="1585"/>
      <c r="V281" s="1585"/>
      <c r="W281" s="1585"/>
      <c r="X281" s="1585"/>
      <c r="Y281" s="1585"/>
      <c r="Z281" s="1585"/>
      <c r="AA281" s="1585"/>
      <c r="AB281" s="1585"/>
      <c r="AC281" s="1585"/>
      <c r="AD281" s="1585"/>
      <c r="AE281" s="1585"/>
      <c r="AF281" s="1585"/>
      <c r="AG281" s="1585"/>
      <c r="AH281" s="1585"/>
      <c r="AI281" s="1585"/>
      <c r="AJ281" s="1585"/>
      <c r="AK281" s="1585"/>
      <c r="AL281" s="1585"/>
      <c r="AM281" s="1585"/>
      <c r="AN281" s="1585"/>
      <c r="AO281" s="1585"/>
      <c r="AP281" s="1585"/>
      <c r="AQ281" s="1585"/>
      <c r="AR281" s="1585"/>
      <c r="AS281" s="1585"/>
      <c r="AT281" s="1585"/>
      <c r="AU281" s="1585"/>
      <c r="AV281" s="1585"/>
      <c r="AW281" s="1585"/>
      <c r="AX281" s="1585"/>
      <c r="AY281" s="1585"/>
      <c r="AZ281" s="1585"/>
      <c r="BA281" s="1585"/>
      <c r="BB281" s="1585"/>
      <c r="BC281" s="1585"/>
      <c r="BD281" s="1585"/>
      <c r="BE281" s="1585"/>
      <c r="BF281" s="1585"/>
      <c r="BG281" s="1585"/>
      <c r="BH281" s="1585"/>
      <c r="BI281" s="1585"/>
      <c r="BJ281" s="1585"/>
      <c r="BK281" s="1585"/>
      <c r="BL281" s="1585"/>
      <c r="BM281" s="1585"/>
      <c r="BN281" s="1585"/>
      <c r="BO281" s="1585"/>
      <c r="BP281" s="1585"/>
      <c r="BQ281" s="1585"/>
      <c r="BR281" s="1585"/>
      <c r="BS281" s="1585"/>
      <c r="BT281" s="1585"/>
      <c r="BU281" s="1585"/>
      <c r="BV281" s="1585"/>
      <c r="BW281" s="1585"/>
      <c r="BX281" s="1585"/>
      <c r="BY281" s="1585"/>
      <c r="BZ281" s="1585"/>
      <c r="CA281" s="1585"/>
      <c r="CB281" s="1585"/>
      <c r="CC281" s="1585"/>
      <c r="CD281" s="1585"/>
      <c r="CE281" s="1585"/>
      <c r="CF281" s="1585"/>
      <c r="CG281" s="1585"/>
      <c r="CH281" s="1585"/>
      <c r="CI281" s="1585"/>
      <c r="CJ281" s="1585"/>
      <c r="CK281" s="1585"/>
      <c r="CL281" s="1585"/>
      <c r="CM281" s="1585"/>
      <c r="CN281" s="1585"/>
      <c r="CO281" s="1585"/>
      <c r="CP281" s="1585"/>
      <c r="CQ281" s="1585"/>
      <c r="CR281" s="1585"/>
      <c r="CS281" s="1585"/>
      <c r="CT281" s="1585"/>
      <c r="CU281" s="1585"/>
      <c r="CV281" s="1585"/>
      <c r="CW281" s="1585"/>
      <c r="CX281" s="1585"/>
      <c r="CY281" s="1585"/>
      <c r="CZ281" s="1585"/>
    </row>
    <row r="282" spans="1:407">
      <c r="A282" s="1466"/>
      <c r="B282" s="1583"/>
      <c r="C282" s="1583"/>
      <c r="D282" s="1583"/>
      <c r="E282" s="1585"/>
      <c r="F282" s="1585"/>
      <c r="G282" s="1585"/>
      <c r="H282" s="1585"/>
      <c r="I282" s="1585"/>
      <c r="J282" s="1585"/>
      <c r="K282" s="1585"/>
      <c r="L282" s="1585"/>
      <c r="M282" s="1585"/>
      <c r="N282" s="1585"/>
      <c r="O282" s="1585"/>
      <c r="P282" s="1585"/>
      <c r="Q282" s="1585"/>
      <c r="R282" s="1585"/>
      <c r="S282" s="1585"/>
      <c r="T282" s="1585"/>
      <c r="U282" s="1585"/>
      <c r="V282" s="1585"/>
      <c r="W282" s="1585"/>
      <c r="X282" s="1585"/>
      <c r="Y282" s="1585"/>
      <c r="Z282" s="1585"/>
      <c r="AA282" s="1585"/>
      <c r="AB282" s="1585"/>
      <c r="AC282" s="1585"/>
      <c r="AD282" s="1585"/>
      <c r="AE282" s="1585"/>
      <c r="AF282" s="1585"/>
      <c r="AG282" s="1585"/>
      <c r="AH282" s="1585"/>
      <c r="AI282" s="1585"/>
      <c r="AJ282" s="1585"/>
      <c r="AK282" s="1585"/>
      <c r="AL282" s="1585"/>
      <c r="AM282" s="1585"/>
      <c r="AN282" s="1585"/>
      <c r="AO282" s="1585"/>
      <c r="AP282" s="1585"/>
      <c r="AQ282" s="1585"/>
      <c r="AR282" s="1585"/>
      <c r="AS282" s="1585"/>
      <c r="AT282" s="1585"/>
      <c r="AU282" s="1585"/>
      <c r="AV282" s="1585"/>
      <c r="AW282" s="1585"/>
      <c r="AX282" s="1585"/>
      <c r="AY282" s="1585"/>
      <c r="AZ282" s="1585"/>
      <c r="BA282" s="1585"/>
      <c r="BB282" s="1585"/>
      <c r="BC282" s="1585"/>
      <c r="BD282" s="1585"/>
      <c r="BE282" s="1585"/>
      <c r="BF282" s="1585"/>
      <c r="BG282" s="1585"/>
      <c r="BH282" s="1585"/>
      <c r="BI282" s="1585"/>
      <c r="BJ282" s="1585"/>
      <c r="BK282" s="1585"/>
      <c r="BL282" s="1585"/>
      <c r="BM282" s="1585"/>
      <c r="BN282" s="1585"/>
      <c r="BO282" s="1585"/>
      <c r="BP282" s="1585"/>
      <c r="BQ282" s="1585"/>
      <c r="BR282" s="1585"/>
      <c r="BS282" s="1585"/>
      <c r="BT282" s="1585"/>
      <c r="BU282" s="1585"/>
      <c r="BV282" s="1585"/>
      <c r="BW282" s="1585"/>
      <c r="BX282" s="1585"/>
      <c r="BY282" s="1585"/>
      <c r="BZ282" s="1585"/>
      <c r="CA282" s="1585"/>
      <c r="CB282" s="1585"/>
      <c r="CC282" s="1585"/>
      <c r="CD282" s="1585"/>
      <c r="CE282" s="1585"/>
      <c r="CF282" s="1585"/>
      <c r="CG282" s="1585"/>
      <c r="CH282" s="1585"/>
      <c r="CI282" s="1585"/>
      <c r="CJ282" s="1585"/>
      <c r="CK282" s="1585"/>
      <c r="CL282" s="1585"/>
      <c r="CM282" s="1585"/>
      <c r="CN282" s="1585"/>
      <c r="CO282" s="1585"/>
      <c r="CP282" s="1585"/>
      <c r="CQ282" s="1585"/>
      <c r="CR282" s="1585"/>
      <c r="CS282" s="1585"/>
      <c r="CT282" s="1585"/>
      <c r="CU282" s="1585"/>
      <c r="CV282" s="1585"/>
      <c r="CW282" s="1585"/>
      <c r="CX282" s="1585"/>
      <c r="CY282" s="1585"/>
      <c r="CZ282" s="1585"/>
    </row>
    <row r="283" spans="1:407">
      <c r="A283" s="1466"/>
      <c r="B283" s="1583"/>
      <c r="C283" s="1583"/>
      <c r="D283" s="1583"/>
      <c r="E283" s="1585"/>
      <c r="F283" s="1585"/>
      <c r="G283" s="1585"/>
      <c r="H283" s="1585"/>
      <c r="I283" s="1585"/>
      <c r="J283" s="1585"/>
      <c r="K283" s="1585"/>
      <c r="L283" s="1585"/>
      <c r="M283" s="1585"/>
      <c r="N283" s="1585"/>
      <c r="O283" s="1585"/>
      <c r="P283" s="1585"/>
      <c r="Q283" s="1585"/>
      <c r="R283" s="1585"/>
      <c r="S283" s="1585"/>
      <c r="T283" s="1585"/>
      <c r="U283" s="1585"/>
      <c r="V283" s="1585"/>
      <c r="W283" s="1585"/>
      <c r="X283" s="1585"/>
      <c r="Y283" s="1585"/>
      <c r="Z283" s="1585"/>
      <c r="AA283" s="1585"/>
      <c r="AB283" s="1585"/>
      <c r="AC283" s="1585"/>
      <c r="AD283" s="1585"/>
      <c r="AE283" s="1585"/>
      <c r="AF283" s="1585"/>
      <c r="AG283" s="1585"/>
      <c r="AH283" s="1585"/>
      <c r="AI283" s="1585"/>
      <c r="AJ283" s="1585"/>
      <c r="AK283" s="1585"/>
      <c r="AL283" s="1585"/>
      <c r="AM283" s="1585"/>
      <c r="AN283" s="1585"/>
      <c r="AO283" s="1585"/>
      <c r="AP283" s="1585"/>
      <c r="AQ283" s="1585"/>
      <c r="AR283" s="1585"/>
      <c r="AS283" s="1585"/>
      <c r="AT283" s="1585"/>
      <c r="AU283" s="1585"/>
      <c r="AV283" s="1585"/>
      <c r="AW283" s="1585"/>
      <c r="AX283" s="1585"/>
      <c r="AY283" s="1585"/>
      <c r="AZ283" s="1585"/>
      <c r="BA283" s="1585"/>
      <c r="BB283" s="1585"/>
      <c r="BC283" s="1585"/>
      <c r="BD283" s="1585"/>
      <c r="BE283" s="1585"/>
      <c r="BF283" s="1585"/>
      <c r="BG283" s="1585"/>
      <c r="BH283" s="1585"/>
      <c r="BI283" s="1585"/>
      <c r="BJ283" s="1585"/>
      <c r="BK283" s="1585"/>
      <c r="BL283" s="1585"/>
      <c r="BM283" s="1585"/>
      <c r="BN283" s="1585"/>
      <c r="BO283" s="1585"/>
      <c r="BP283" s="1585"/>
      <c r="BQ283" s="1585"/>
      <c r="BR283" s="1585"/>
      <c r="BS283" s="1585"/>
      <c r="BT283" s="1585"/>
      <c r="BU283" s="1585"/>
      <c r="BV283" s="1585"/>
      <c r="BW283" s="1585"/>
      <c r="BX283" s="1585"/>
      <c r="BY283" s="1585"/>
      <c r="BZ283" s="1585"/>
      <c r="CA283" s="1585"/>
      <c r="CB283" s="1585"/>
      <c r="CC283" s="1585"/>
      <c r="CD283" s="1585"/>
      <c r="CE283" s="1585"/>
      <c r="CF283" s="1585"/>
      <c r="CG283" s="1585"/>
      <c r="CH283" s="1585"/>
      <c r="CI283" s="1585"/>
      <c r="CJ283" s="1585"/>
      <c r="CK283" s="1585"/>
      <c r="CL283" s="1585"/>
      <c r="CM283" s="1585"/>
      <c r="CN283" s="1585"/>
      <c r="CO283" s="1585"/>
      <c r="CP283" s="1585"/>
      <c r="CQ283" s="1585"/>
      <c r="CR283" s="1585"/>
      <c r="CS283" s="1585"/>
      <c r="CT283" s="1585"/>
      <c r="CU283" s="1585"/>
      <c r="CV283" s="1585"/>
      <c r="CW283" s="1585"/>
      <c r="CX283" s="1585"/>
      <c r="CY283" s="1585"/>
      <c r="CZ283" s="1585"/>
    </row>
    <row r="284" spans="1:407">
      <c r="A284" s="1466"/>
      <c r="B284" s="1583"/>
      <c r="C284" s="1583"/>
      <c r="D284" s="1583"/>
      <c r="E284" s="1585"/>
      <c r="F284" s="1585"/>
      <c r="G284" s="1585"/>
      <c r="H284" s="1585"/>
      <c r="I284" s="1585"/>
      <c r="J284" s="1585"/>
      <c r="K284" s="1585"/>
      <c r="L284" s="1585"/>
      <c r="M284" s="1585"/>
      <c r="N284" s="1585"/>
      <c r="O284" s="1585"/>
      <c r="P284" s="1585"/>
      <c r="Q284" s="1585"/>
      <c r="R284" s="1585"/>
      <c r="S284" s="1585"/>
      <c r="T284" s="1585"/>
      <c r="U284" s="1585"/>
      <c r="V284" s="1585"/>
      <c r="W284" s="1585"/>
      <c r="X284" s="1585"/>
      <c r="Y284" s="1585"/>
      <c r="Z284" s="1585"/>
      <c r="AA284" s="1585"/>
      <c r="AB284" s="1585"/>
      <c r="AC284" s="1585"/>
      <c r="AD284" s="1585"/>
      <c r="AE284" s="1585"/>
      <c r="AF284" s="1585"/>
      <c r="AG284" s="1585"/>
      <c r="AH284" s="1585"/>
      <c r="AI284" s="1585"/>
      <c r="AJ284" s="1585"/>
      <c r="AK284" s="1585"/>
      <c r="AL284" s="1585"/>
      <c r="AM284" s="1585"/>
      <c r="AN284" s="1585"/>
      <c r="AO284" s="1585"/>
      <c r="AP284" s="1585"/>
      <c r="AQ284" s="1585"/>
      <c r="AR284" s="1585"/>
      <c r="AS284" s="1585"/>
      <c r="AT284" s="1585"/>
      <c r="AU284" s="1585"/>
      <c r="AV284" s="1585"/>
      <c r="AW284" s="1585"/>
      <c r="AX284" s="1585"/>
      <c r="AY284" s="1585"/>
      <c r="AZ284" s="1585"/>
      <c r="BA284" s="1585"/>
      <c r="BB284" s="1585"/>
      <c r="BC284" s="1585"/>
      <c r="BD284" s="1585"/>
      <c r="BE284" s="1585"/>
      <c r="BF284" s="1585"/>
      <c r="BG284" s="1585"/>
      <c r="BH284" s="1585"/>
      <c r="BI284" s="1585"/>
      <c r="BJ284" s="1585"/>
      <c r="BK284" s="1585"/>
      <c r="BL284" s="1585"/>
      <c r="BM284" s="1585"/>
      <c r="BN284" s="1585"/>
      <c r="BO284" s="1585"/>
      <c r="BP284" s="1585"/>
      <c r="BQ284" s="1585"/>
      <c r="BR284" s="1585"/>
      <c r="BS284" s="1585"/>
      <c r="BT284" s="1585"/>
      <c r="BU284" s="1585"/>
      <c r="BV284" s="1585"/>
      <c r="BW284" s="1585"/>
      <c r="BX284" s="1585"/>
      <c r="BY284" s="1585"/>
      <c r="BZ284" s="1585"/>
      <c r="CA284" s="1585"/>
      <c r="CB284" s="1585"/>
      <c r="CC284" s="1585"/>
      <c r="CD284" s="1585"/>
      <c r="CE284" s="1585"/>
      <c r="CF284" s="1585"/>
      <c r="CG284" s="1585"/>
      <c r="CH284" s="1585"/>
      <c r="CI284" s="1585"/>
      <c r="CJ284" s="1585"/>
      <c r="CK284" s="1585"/>
      <c r="CL284" s="1585"/>
      <c r="CM284" s="1585"/>
      <c r="CN284" s="1585"/>
      <c r="CO284" s="1585"/>
      <c r="CP284" s="1585"/>
      <c r="CQ284" s="1585"/>
      <c r="CR284" s="1585"/>
      <c r="CS284" s="1585"/>
      <c r="CT284" s="1585"/>
      <c r="CU284" s="1585"/>
      <c r="CV284" s="1585"/>
      <c r="CW284" s="1585"/>
      <c r="CX284" s="1585"/>
      <c r="CY284" s="1585"/>
      <c r="CZ284" s="1585"/>
    </row>
    <row r="285" spans="1:407" ht="13" thickBot="1">
      <c r="A285" s="1466"/>
      <c r="B285" s="1586"/>
      <c r="C285" s="1586"/>
      <c r="D285" s="1586"/>
      <c r="E285" s="1587"/>
      <c r="F285" s="1587"/>
      <c r="G285" s="1587"/>
      <c r="H285" s="1587"/>
      <c r="I285" s="1587"/>
      <c r="J285" s="1587"/>
      <c r="K285" s="1587"/>
      <c r="L285" s="1587"/>
      <c r="M285" s="1587"/>
      <c r="N285" s="1587"/>
      <c r="O285" s="1587"/>
      <c r="P285" s="1587"/>
      <c r="Q285" s="1587"/>
      <c r="R285" s="1587"/>
      <c r="S285" s="1587"/>
      <c r="T285" s="1587"/>
      <c r="U285" s="1587"/>
      <c r="V285" s="1587"/>
      <c r="W285" s="1587"/>
      <c r="X285" s="1587"/>
      <c r="Y285" s="1587"/>
      <c r="Z285" s="1587"/>
      <c r="AA285" s="1587"/>
      <c r="AB285" s="1587"/>
      <c r="AC285" s="1587"/>
      <c r="AD285" s="1587"/>
      <c r="AE285" s="1587"/>
      <c r="AF285" s="1587"/>
      <c r="AG285" s="1587"/>
      <c r="AH285" s="1587"/>
      <c r="AI285" s="1587"/>
      <c r="AJ285" s="1587"/>
      <c r="AK285" s="1587"/>
      <c r="AL285" s="1587"/>
      <c r="AM285" s="1587"/>
      <c r="AN285" s="1587"/>
      <c r="AO285" s="1587"/>
      <c r="AP285" s="1587"/>
      <c r="AQ285" s="1587"/>
      <c r="AR285" s="1587"/>
      <c r="AS285" s="1587"/>
      <c r="AT285" s="1587"/>
      <c r="AU285" s="1587"/>
      <c r="AV285" s="1587"/>
      <c r="AW285" s="1587"/>
      <c r="AX285" s="1587"/>
      <c r="AY285" s="1587"/>
      <c r="AZ285" s="1587"/>
      <c r="BA285" s="1587"/>
      <c r="BB285" s="1587"/>
      <c r="BC285" s="1587"/>
      <c r="BD285" s="1587"/>
      <c r="BE285" s="1587"/>
      <c r="BF285" s="1587"/>
      <c r="BG285" s="1587"/>
      <c r="BH285" s="1587"/>
      <c r="BI285" s="1587"/>
      <c r="BJ285" s="1587"/>
      <c r="BK285" s="1587"/>
      <c r="BL285" s="1587"/>
      <c r="BM285" s="1587"/>
      <c r="BN285" s="1587"/>
      <c r="BO285" s="1587"/>
      <c r="BP285" s="1587"/>
      <c r="BQ285" s="1587"/>
      <c r="BR285" s="1587"/>
      <c r="BS285" s="1587"/>
      <c r="BT285" s="1587"/>
      <c r="BU285" s="1587"/>
      <c r="BV285" s="1587"/>
      <c r="BW285" s="1587"/>
      <c r="BX285" s="1587"/>
      <c r="BY285" s="1587"/>
      <c r="BZ285" s="1587"/>
      <c r="CA285" s="1587"/>
      <c r="CB285" s="1587"/>
      <c r="CC285" s="1587"/>
      <c r="CD285" s="1587"/>
      <c r="CE285" s="1587"/>
      <c r="CF285" s="1587"/>
      <c r="CG285" s="1587"/>
      <c r="CH285" s="1587"/>
      <c r="CI285" s="1587"/>
      <c r="CJ285" s="1587"/>
      <c r="CK285" s="1587"/>
      <c r="CL285" s="1587"/>
      <c r="CM285" s="1587"/>
      <c r="CN285" s="1587"/>
      <c r="CO285" s="1587"/>
      <c r="CP285" s="1587"/>
      <c r="CQ285" s="1587"/>
      <c r="CR285" s="1587"/>
      <c r="CS285" s="1587"/>
      <c r="CT285" s="1587"/>
      <c r="CU285" s="1587"/>
      <c r="CV285" s="1587"/>
      <c r="CW285" s="1587"/>
      <c r="CX285" s="1587"/>
      <c r="CY285" s="1587"/>
      <c r="CZ285" s="1587"/>
      <c r="DA285" s="1606"/>
      <c r="DB285" s="1606"/>
      <c r="DC285" s="1606"/>
      <c r="DD285" s="1606"/>
      <c r="DE285" s="1606"/>
      <c r="DF285" s="1606"/>
      <c r="DG285" s="1606"/>
      <c r="DH285" s="1606"/>
      <c r="DI285" s="1606"/>
      <c r="DJ285" s="1606"/>
      <c r="DK285" s="1606"/>
      <c r="DL285" s="1606"/>
      <c r="DM285" s="1606"/>
      <c r="DN285" s="1606"/>
      <c r="DO285" s="1606"/>
      <c r="DP285" s="1606"/>
      <c r="DQ285" s="1606"/>
      <c r="DR285" s="1606"/>
      <c r="DS285" s="1606"/>
      <c r="DT285" s="1606"/>
      <c r="DU285" s="1606"/>
      <c r="DV285" s="1606"/>
      <c r="DW285" s="1606"/>
      <c r="DX285" s="1606"/>
      <c r="DY285" s="1606"/>
      <c r="DZ285" s="1606"/>
      <c r="EA285" s="1606"/>
      <c r="EB285" s="1606"/>
      <c r="EC285" s="1606"/>
      <c r="ED285" s="1606"/>
      <c r="EE285" s="1606"/>
      <c r="EF285" s="1606"/>
      <c r="EG285" s="1606"/>
      <c r="EH285" s="1606"/>
      <c r="EI285" s="1606"/>
      <c r="EJ285" s="1606"/>
      <c r="EK285" s="1606"/>
      <c r="EL285" s="1606"/>
      <c r="EM285" s="1606"/>
      <c r="EN285" s="1606"/>
      <c r="EO285" s="1606"/>
      <c r="EP285" s="1606"/>
      <c r="EQ285" s="1606"/>
      <c r="ER285" s="1606"/>
      <c r="ES285" s="1606"/>
      <c r="ET285" s="1606"/>
      <c r="EU285" s="1606"/>
      <c r="EV285" s="1606"/>
      <c r="EW285" s="1606"/>
      <c r="EX285" s="1606"/>
      <c r="EY285" s="1606"/>
      <c r="EZ285" s="1606"/>
      <c r="FA285" s="1606"/>
      <c r="FB285" s="1606"/>
      <c r="FC285" s="1606"/>
      <c r="FD285" s="1606"/>
      <c r="FE285" s="1606"/>
      <c r="FF285" s="1606"/>
      <c r="FG285" s="1606"/>
      <c r="FH285" s="1606"/>
      <c r="FI285" s="1606"/>
      <c r="FJ285" s="1606"/>
      <c r="FK285" s="1606"/>
      <c r="FL285" s="1606"/>
      <c r="FM285" s="1606"/>
      <c r="FN285" s="1606"/>
      <c r="FO285" s="1606"/>
      <c r="FP285" s="1606"/>
      <c r="FQ285" s="1606"/>
      <c r="FR285" s="1606"/>
      <c r="FS285" s="1606"/>
      <c r="FT285" s="1606"/>
      <c r="FU285" s="1606"/>
      <c r="FV285" s="1606"/>
      <c r="FW285" s="1606"/>
      <c r="FX285" s="1606"/>
      <c r="FY285" s="1606"/>
      <c r="FZ285" s="1606"/>
      <c r="GA285" s="1606"/>
      <c r="GB285" s="1606"/>
      <c r="GC285" s="1606"/>
      <c r="GD285" s="1606"/>
      <c r="GE285" s="1606"/>
      <c r="GF285" s="1606"/>
      <c r="GG285" s="1606"/>
      <c r="GH285" s="1606"/>
      <c r="GI285" s="1606"/>
      <c r="GJ285" s="1606"/>
      <c r="GK285" s="1606"/>
      <c r="GL285" s="1606"/>
      <c r="GM285" s="1606"/>
      <c r="GN285" s="1606"/>
      <c r="GO285" s="1606"/>
      <c r="GP285" s="1606"/>
      <c r="GQ285" s="1606"/>
      <c r="GR285" s="1606"/>
      <c r="GS285" s="1606"/>
      <c r="GT285" s="1606"/>
      <c r="GU285" s="1606"/>
      <c r="GV285" s="1606"/>
      <c r="GW285" s="1606"/>
      <c r="GX285" s="1606"/>
      <c r="GY285" s="1606"/>
      <c r="GZ285" s="1606"/>
      <c r="HA285" s="1606"/>
      <c r="HB285" s="1606"/>
      <c r="HC285" s="1606"/>
      <c r="HD285" s="1606"/>
      <c r="HE285" s="1606"/>
      <c r="HF285" s="1606"/>
      <c r="HG285" s="1606"/>
      <c r="HH285" s="1606"/>
      <c r="HI285" s="1606"/>
      <c r="HJ285" s="1606"/>
      <c r="HK285" s="1606"/>
      <c r="HL285" s="1606"/>
      <c r="HM285" s="1606"/>
      <c r="HN285" s="1606"/>
      <c r="HO285" s="1606"/>
      <c r="HP285" s="1606"/>
      <c r="HQ285" s="1606"/>
      <c r="HR285" s="1606"/>
      <c r="HS285" s="1606"/>
      <c r="HT285" s="1606"/>
      <c r="HU285" s="1606"/>
      <c r="HV285" s="1606"/>
      <c r="HW285" s="1606"/>
      <c r="HX285" s="1606"/>
      <c r="HY285" s="1606"/>
      <c r="HZ285" s="1606"/>
      <c r="IA285" s="1606"/>
      <c r="IB285" s="1606"/>
      <c r="IC285" s="1606"/>
      <c r="ID285" s="1606"/>
      <c r="IE285" s="1606"/>
      <c r="IF285" s="1606"/>
      <c r="IG285" s="1606"/>
      <c r="IH285" s="1606"/>
      <c r="II285" s="1606"/>
      <c r="IJ285" s="1606"/>
      <c r="IK285" s="1606"/>
      <c r="IL285" s="1606"/>
      <c r="IM285" s="1606"/>
      <c r="IN285" s="1606"/>
      <c r="IO285" s="1606"/>
      <c r="IP285" s="1606"/>
      <c r="IQ285" s="1606"/>
      <c r="IR285" s="1606"/>
      <c r="IS285" s="1606"/>
      <c r="IT285" s="1606"/>
      <c r="IU285" s="1606"/>
      <c r="IV285" s="1606"/>
      <c r="IW285" s="1606"/>
      <c r="IX285" s="1606"/>
      <c r="IY285" s="1606"/>
      <c r="IZ285" s="1606"/>
      <c r="JA285" s="1606"/>
      <c r="JB285" s="1606"/>
      <c r="JC285" s="1606"/>
      <c r="JD285" s="1606"/>
      <c r="JE285" s="1606"/>
      <c r="JF285" s="1606"/>
      <c r="JG285" s="1606"/>
      <c r="JH285" s="1606"/>
      <c r="JI285" s="1606"/>
      <c r="JJ285" s="1606"/>
      <c r="JK285" s="1606"/>
      <c r="JL285" s="1606"/>
      <c r="JM285" s="1606"/>
      <c r="JN285" s="1606"/>
      <c r="JO285" s="1606"/>
      <c r="JP285" s="1606"/>
      <c r="JQ285" s="1606"/>
      <c r="JR285" s="1606"/>
      <c r="JS285" s="1606"/>
      <c r="JT285" s="1606"/>
      <c r="JU285" s="1606"/>
      <c r="JV285" s="1606"/>
      <c r="JW285" s="1606"/>
      <c r="JX285" s="1606"/>
      <c r="JY285" s="1606"/>
      <c r="JZ285" s="1606"/>
      <c r="KA285" s="1606"/>
      <c r="KB285" s="1606"/>
      <c r="KC285" s="1606"/>
      <c r="KD285" s="1606"/>
      <c r="KE285" s="1606"/>
      <c r="KF285" s="1606"/>
      <c r="KG285" s="1606"/>
      <c r="KH285" s="1606"/>
      <c r="KI285" s="1606"/>
      <c r="KJ285" s="1606"/>
      <c r="KK285" s="1606"/>
      <c r="KL285" s="1606"/>
      <c r="KM285" s="1606"/>
      <c r="KN285" s="1606"/>
      <c r="KO285" s="1606"/>
      <c r="KP285" s="1606"/>
      <c r="KQ285" s="1606"/>
      <c r="KR285" s="1606"/>
      <c r="KS285" s="1606"/>
      <c r="KT285" s="1606"/>
      <c r="KU285" s="1606"/>
      <c r="KV285" s="1606"/>
      <c r="KW285" s="1606"/>
      <c r="KX285" s="1606"/>
      <c r="KY285" s="1606"/>
      <c r="KZ285" s="1606"/>
      <c r="LA285" s="1606"/>
      <c r="LB285" s="1606"/>
      <c r="LC285" s="1606"/>
      <c r="LD285" s="1606"/>
      <c r="LE285" s="1606"/>
      <c r="LF285" s="1606"/>
      <c r="LG285" s="1606"/>
      <c r="LH285" s="1606"/>
      <c r="LI285" s="1606"/>
      <c r="LJ285" s="1606"/>
      <c r="LK285" s="1606"/>
      <c r="LL285" s="1606"/>
      <c r="LM285" s="1606"/>
      <c r="LN285" s="1606"/>
      <c r="LO285" s="1606"/>
      <c r="LP285" s="1606"/>
      <c r="LQ285" s="1606"/>
      <c r="LR285" s="1606"/>
      <c r="LS285" s="1606"/>
      <c r="LT285" s="1606"/>
      <c r="LU285" s="1606"/>
      <c r="LV285" s="1606"/>
      <c r="LW285" s="1606"/>
      <c r="LX285" s="1606"/>
      <c r="LY285" s="1606"/>
      <c r="LZ285" s="1606"/>
      <c r="MA285" s="1606"/>
      <c r="MB285" s="1606"/>
      <c r="MC285" s="1606"/>
      <c r="MD285" s="1606"/>
      <c r="ME285" s="1606"/>
      <c r="MF285" s="1606"/>
      <c r="MG285" s="1606"/>
      <c r="MH285" s="1606"/>
      <c r="MI285" s="1606"/>
      <c r="MJ285" s="1606"/>
      <c r="MK285" s="1606"/>
      <c r="ML285" s="1606"/>
      <c r="MM285" s="1606"/>
      <c r="MN285" s="1606"/>
      <c r="MO285" s="1606"/>
      <c r="MP285" s="1606"/>
      <c r="MQ285" s="1606"/>
      <c r="MR285" s="1606"/>
      <c r="MS285" s="1606"/>
      <c r="MT285" s="1606"/>
      <c r="MU285" s="1606"/>
      <c r="MV285" s="1606"/>
      <c r="MW285" s="1606"/>
      <c r="MX285" s="1606"/>
      <c r="MY285" s="1606"/>
      <c r="MZ285" s="1606"/>
      <c r="NA285" s="1606"/>
      <c r="NB285" s="1606"/>
      <c r="NC285" s="1606"/>
      <c r="ND285" s="1606"/>
      <c r="NE285" s="1606"/>
      <c r="NF285" s="1606"/>
      <c r="NG285" s="1606"/>
      <c r="NH285" s="1606"/>
      <c r="NI285" s="1606"/>
      <c r="NJ285" s="1606"/>
      <c r="NK285" s="1606"/>
      <c r="NL285" s="1606"/>
      <c r="NM285" s="1606"/>
      <c r="NN285" s="1606"/>
      <c r="NO285" s="1606"/>
      <c r="NP285" s="1606"/>
      <c r="NQ285" s="1606"/>
      <c r="NR285" s="1606"/>
      <c r="NS285" s="1606"/>
      <c r="NT285" s="1606"/>
      <c r="NU285" s="1606"/>
      <c r="NV285" s="1606"/>
      <c r="NW285" s="1606"/>
      <c r="NX285" s="1606"/>
      <c r="NY285" s="1606"/>
      <c r="NZ285" s="1606"/>
      <c r="OA285" s="1606"/>
      <c r="OB285" s="1606"/>
      <c r="OC285" s="1606"/>
      <c r="OD285" s="1606"/>
      <c r="OE285" s="1606"/>
      <c r="OF285" s="1606"/>
      <c r="OG285" s="1606"/>
      <c r="OH285" s="1606"/>
      <c r="OI285" s="1606"/>
      <c r="OJ285" s="1606"/>
      <c r="OK285" s="1606"/>
      <c r="OL285" s="1606"/>
      <c r="OM285" s="1606"/>
      <c r="ON285" s="1606"/>
      <c r="OO285" s="1606"/>
      <c r="OP285" s="1606"/>
      <c r="OQ285" s="1606"/>
    </row>
    <row r="286" spans="1:407" ht="13" thickTop="1">
      <c r="A286" s="1466"/>
      <c r="B286" s="1588"/>
      <c r="C286" s="1588"/>
      <c r="D286" s="1588"/>
      <c r="E286" s="1589"/>
      <c r="F286" s="1589"/>
      <c r="G286" s="1589"/>
      <c r="H286" s="1589"/>
      <c r="I286" s="1589"/>
      <c r="J286" s="1589"/>
      <c r="K286" s="1589"/>
      <c r="L286" s="1589"/>
      <c r="M286" s="1589"/>
      <c r="N286" s="1589"/>
      <c r="O286" s="1589"/>
      <c r="P286" s="1589"/>
      <c r="Q286" s="1589"/>
      <c r="R286" s="1589"/>
      <c r="S286" s="1589"/>
      <c r="T286" s="1589"/>
      <c r="U286" s="1589"/>
      <c r="V286" s="1589"/>
      <c r="W286" s="1589"/>
      <c r="X286" s="1589"/>
      <c r="Y286" s="1589"/>
      <c r="Z286" s="1589"/>
      <c r="AA286" s="1589"/>
      <c r="AB286" s="1589"/>
      <c r="AC286" s="1589"/>
      <c r="AD286" s="1589"/>
      <c r="AE286" s="1589"/>
      <c r="AF286" s="1589"/>
      <c r="AG286" s="1589"/>
      <c r="AH286" s="1589"/>
      <c r="AI286" s="1589"/>
      <c r="AJ286" s="1589"/>
      <c r="AK286" s="1589"/>
      <c r="AL286" s="1589"/>
      <c r="AM286" s="1589"/>
      <c r="AN286" s="1589"/>
      <c r="AO286" s="1589"/>
      <c r="AP286" s="1589"/>
      <c r="AQ286" s="1589"/>
      <c r="AR286" s="1589"/>
      <c r="AS286" s="1589"/>
      <c r="AT286" s="1589"/>
      <c r="AU286" s="1589"/>
      <c r="AV286" s="1589"/>
      <c r="AW286" s="1589"/>
      <c r="AX286" s="1589"/>
      <c r="AY286" s="1589"/>
      <c r="AZ286" s="1589"/>
      <c r="BA286" s="1589"/>
      <c r="BB286" s="1589"/>
      <c r="BC286" s="1589"/>
      <c r="BD286" s="1589"/>
      <c r="BE286" s="1589"/>
      <c r="BF286" s="1589"/>
      <c r="BG286" s="1589"/>
      <c r="BH286" s="1589"/>
      <c r="BI286" s="1589"/>
      <c r="BJ286" s="1589"/>
      <c r="BK286" s="1589"/>
      <c r="BL286" s="1589"/>
      <c r="BM286" s="1589"/>
      <c r="BN286" s="1589"/>
      <c r="BO286" s="1589"/>
      <c r="BP286" s="1589"/>
      <c r="BQ286" s="1589"/>
      <c r="BR286" s="1589"/>
      <c r="BS286" s="1589"/>
      <c r="BT286" s="1589"/>
      <c r="BU286" s="1589"/>
      <c r="BV286" s="1589"/>
      <c r="BW286" s="1589"/>
      <c r="BX286" s="1589"/>
      <c r="BY286" s="1589"/>
      <c r="BZ286" s="1589"/>
      <c r="CA286" s="1589"/>
      <c r="CB286" s="1589"/>
      <c r="CC286" s="1589"/>
      <c r="CD286" s="1589"/>
      <c r="CE286" s="1589"/>
      <c r="CF286" s="1589"/>
      <c r="CG286" s="1589"/>
      <c r="CH286" s="1589"/>
      <c r="CI286" s="1589"/>
      <c r="CJ286" s="1589"/>
      <c r="CK286" s="1589"/>
      <c r="CL286" s="1589"/>
      <c r="CM286" s="1589"/>
      <c r="CN286" s="1589"/>
      <c r="CO286" s="1589"/>
      <c r="CP286" s="1589"/>
      <c r="CQ286" s="1589"/>
      <c r="CR286" s="1589"/>
      <c r="CS286" s="1589"/>
      <c r="CT286" s="1589"/>
      <c r="CU286" s="1589"/>
      <c r="CV286" s="1589"/>
      <c r="CW286" s="1589"/>
      <c r="CX286" s="1589"/>
      <c r="CY286" s="1589"/>
      <c r="CZ286" s="1589"/>
    </row>
    <row r="287" spans="1:407">
      <c r="A287" s="1466"/>
      <c r="B287" s="1583"/>
      <c r="C287" s="1583"/>
      <c r="D287" s="1583"/>
      <c r="E287" s="1585"/>
      <c r="F287" s="1585"/>
      <c r="G287" s="1585"/>
      <c r="H287" s="1585"/>
      <c r="I287" s="1585"/>
      <c r="J287" s="1585"/>
      <c r="K287" s="1585"/>
      <c r="L287" s="1585"/>
      <c r="M287" s="1585"/>
      <c r="N287" s="1585"/>
      <c r="O287" s="1585"/>
      <c r="P287" s="1585"/>
      <c r="Q287" s="1585"/>
      <c r="R287" s="1585"/>
      <c r="S287" s="1585"/>
      <c r="T287" s="1585"/>
      <c r="U287" s="1585"/>
      <c r="V287" s="1585"/>
      <c r="W287" s="1585"/>
      <c r="X287" s="1585"/>
      <c r="Y287" s="1585"/>
      <c r="Z287" s="1585"/>
      <c r="AA287" s="1585"/>
      <c r="AB287" s="1585"/>
      <c r="AC287" s="1585"/>
      <c r="AD287" s="1585"/>
      <c r="AE287" s="1585"/>
      <c r="AF287" s="1585"/>
      <c r="AG287" s="1585"/>
      <c r="AH287" s="1585"/>
      <c r="AI287" s="1585"/>
      <c r="AJ287" s="1585"/>
      <c r="AK287" s="1585"/>
      <c r="AL287" s="1585"/>
      <c r="AM287" s="1585"/>
      <c r="AN287" s="1585"/>
      <c r="AO287" s="1585"/>
      <c r="AP287" s="1585"/>
      <c r="AQ287" s="1585"/>
      <c r="AR287" s="1585"/>
      <c r="AS287" s="1585"/>
      <c r="AT287" s="1585"/>
      <c r="AU287" s="1585"/>
      <c r="AV287" s="1585"/>
      <c r="AW287" s="1585"/>
      <c r="AX287" s="1585"/>
      <c r="AY287" s="1585"/>
      <c r="AZ287" s="1585"/>
      <c r="BA287" s="1585"/>
      <c r="BB287" s="1585"/>
      <c r="BC287" s="1585"/>
      <c r="BD287" s="1585"/>
      <c r="BE287" s="1585"/>
      <c r="BF287" s="1585"/>
      <c r="BG287" s="1585"/>
      <c r="BH287" s="1585"/>
      <c r="BI287" s="1585"/>
      <c r="BJ287" s="1585"/>
      <c r="BK287" s="1585"/>
      <c r="BL287" s="1585"/>
      <c r="BM287" s="1585"/>
      <c r="BN287" s="1585"/>
      <c r="BO287" s="1585"/>
      <c r="BP287" s="1585"/>
      <c r="BQ287" s="1585"/>
      <c r="BR287" s="1585"/>
      <c r="BS287" s="1585"/>
      <c r="BT287" s="1585"/>
      <c r="BU287" s="1585"/>
      <c r="BV287" s="1585"/>
      <c r="BW287" s="1585"/>
      <c r="BX287" s="1585"/>
      <c r="BY287" s="1585"/>
      <c r="BZ287" s="1585"/>
      <c r="CA287" s="1585"/>
      <c r="CB287" s="1585"/>
      <c r="CC287" s="1585"/>
      <c r="CD287" s="1585"/>
      <c r="CE287" s="1585"/>
      <c r="CF287" s="1585"/>
      <c r="CG287" s="1585"/>
      <c r="CH287" s="1585"/>
      <c r="CI287" s="1585"/>
      <c r="CJ287" s="1585"/>
      <c r="CK287" s="1585"/>
      <c r="CL287" s="1585"/>
      <c r="CM287" s="1585"/>
      <c r="CN287" s="1585"/>
      <c r="CO287" s="1585"/>
      <c r="CP287" s="1585"/>
      <c r="CQ287" s="1585"/>
      <c r="CR287" s="1585"/>
      <c r="CS287" s="1585"/>
      <c r="CT287" s="1585"/>
      <c r="CU287" s="1585"/>
      <c r="CV287" s="1585"/>
      <c r="CW287" s="1585"/>
      <c r="CX287" s="1585"/>
      <c r="CY287" s="1585"/>
      <c r="CZ287" s="1585"/>
    </row>
    <row r="288" spans="1:407">
      <c r="A288" s="1466"/>
      <c r="B288" s="1583"/>
      <c r="C288" s="1583"/>
      <c r="D288" s="1583"/>
      <c r="E288" s="1585"/>
      <c r="F288" s="1585"/>
      <c r="G288" s="1585"/>
      <c r="H288" s="1585"/>
      <c r="I288" s="1585"/>
      <c r="J288" s="1585"/>
      <c r="K288" s="1585"/>
      <c r="L288" s="1585"/>
      <c r="M288" s="1585"/>
      <c r="N288" s="1585"/>
      <c r="O288" s="1585"/>
      <c r="P288" s="1585"/>
      <c r="Q288" s="1585"/>
      <c r="R288" s="1585"/>
      <c r="S288" s="1585"/>
      <c r="T288" s="1585"/>
      <c r="U288" s="1585"/>
      <c r="V288" s="1585"/>
      <c r="W288" s="1585"/>
      <c r="X288" s="1585"/>
      <c r="Y288" s="1585"/>
      <c r="Z288" s="1585"/>
      <c r="AA288" s="1585"/>
      <c r="AB288" s="1585"/>
      <c r="AC288" s="1585"/>
      <c r="AD288" s="1585"/>
      <c r="AE288" s="1585"/>
      <c r="AF288" s="1585"/>
      <c r="AG288" s="1585"/>
      <c r="AH288" s="1585"/>
      <c r="AI288" s="1585"/>
      <c r="AJ288" s="1585"/>
      <c r="AK288" s="1585"/>
      <c r="AL288" s="1585"/>
      <c r="AM288" s="1585"/>
      <c r="AN288" s="1585"/>
      <c r="AO288" s="1585"/>
      <c r="AP288" s="1585"/>
      <c r="AQ288" s="1585"/>
      <c r="AR288" s="1585"/>
      <c r="AS288" s="1585"/>
      <c r="AT288" s="1585"/>
      <c r="AU288" s="1585"/>
      <c r="AV288" s="1585"/>
      <c r="AW288" s="1585"/>
      <c r="AX288" s="1585"/>
      <c r="AY288" s="1585"/>
      <c r="AZ288" s="1585"/>
      <c r="BA288" s="1585"/>
      <c r="BB288" s="1585"/>
      <c r="BC288" s="1585"/>
      <c r="BD288" s="1585"/>
      <c r="BE288" s="1585"/>
      <c r="BF288" s="1585"/>
      <c r="BG288" s="1585"/>
      <c r="BH288" s="1585"/>
      <c r="BI288" s="1585"/>
      <c r="BJ288" s="1585"/>
      <c r="BK288" s="1585"/>
      <c r="BL288" s="1585"/>
      <c r="BM288" s="1585"/>
      <c r="BN288" s="1585"/>
      <c r="BO288" s="1585"/>
      <c r="BP288" s="1585"/>
      <c r="BQ288" s="1585"/>
      <c r="BR288" s="1585"/>
      <c r="BS288" s="1585"/>
      <c r="BT288" s="1585"/>
      <c r="BU288" s="1585"/>
      <c r="BV288" s="1585"/>
      <c r="BW288" s="1585"/>
      <c r="BX288" s="1585"/>
      <c r="BY288" s="1585"/>
      <c r="BZ288" s="1585"/>
      <c r="CA288" s="1585"/>
      <c r="CB288" s="1585"/>
      <c r="CC288" s="1585"/>
      <c r="CD288" s="1585"/>
      <c r="CE288" s="1585"/>
      <c r="CF288" s="1585"/>
      <c r="CG288" s="1585"/>
      <c r="CH288" s="1585"/>
      <c r="CI288" s="1585"/>
      <c r="CJ288" s="1585"/>
      <c r="CK288" s="1585"/>
      <c r="CL288" s="1585"/>
      <c r="CM288" s="1585"/>
      <c r="CN288" s="1585"/>
      <c r="CO288" s="1585"/>
      <c r="CP288" s="1585"/>
      <c r="CQ288" s="1585"/>
      <c r="CR288" s="1585"/>
      <c r="CS288" s="1585"/>
      <c r="CT288" s="1585"/>
      <c r="CU288" s="1585"/>
      <c r="CV288" s="1585"/>
      <c r="CW288" s="1585"/>
      <c r="CX288" s="1585"/>
      <c r="CY288" s="1585"/>
      <c r="CZ288" s="1585"/>
    </row>
    <row r="289" spans="1:104">
      <c r="A289" s="1466"/>
      <c r="B289" s="1583"/>
      <c r="C289" s="1583"/>
      <c r="D289" s="1583"/>
      <c r="E289" s="1585"/>
      <c r="F289" s="1585"/>
      <c r="G289" s="1585"/>
      <c r="H289" s="1585"/>
      <c r="I289" s="1585"/>
      <c r="J289" s="1585"/>
      <c r="K289" s="1585"/>
      <c r="L289" s="1585"/>
      <c r="M289" s="1585"/>
      <c r="N289" s="1585"/>
      <c r="O289" s="1585"/>
      <c r="P289" s="1585"/>
      <c r="Q289" s="1585"/>
      <c r="R289" s="1585"/>
      <c r="S289" s="1585"/>
      <c r="T289" s="1585"/>
      <c r="U289" s="1585"/>
      <c r="V289" s="1585"/>
      <c r="W289" s="1585"/>
      <c r="X289" s="1585"/>
      <c r="Y289" s="1585"/>
      <c r="Z289" s="1585"/>
      <c r="AA289" s="1585"/>
      <c r="AB289" s="1585"/>
      <c r="AC289" s="1585"/>
      <c r="AD289" s="1585"/>
      <c r="AE289" s="1585"/>
      <c r="AF289" s="1585"/>
      <c r="AG289" s="1585"/>
      <c r="AH289" s="1585"/>
      <c r="AI289" s="1585"/>
      <c r="AJ289" s="1585"/>
      <c r="AK289" s="1585"/>
      <c r="AL289" s="1585"/>
      <c r="AM289" s="1585"/>
      <c r="AN289" s="1585"/>
      <c r="AO289" s="1585"/>
      <c r="AP289" s="1585"/>
      <c r="AQ289" s="1585"/>
      <c r="AR289" s="1585"/>
      <c r="AS289" s="1585"/>
      <c r="AT289" s="1585"/>
      <c r="AU289" s="1585"/>
      <c r="AV289" s="1585"/>
      <c r="AW289" s="1585"/>
      <c r="AX289" s="1585"/>
      <c r="AY289" s="1585"/>
      <c r="AZ289" s="1585"/>
      <c r="BA289" s="1585"/>
      <c r="BB289" s="1585"/>
      <c r="BC289" s="1585"/>
      <c r="BD289" s="1585"/>
      <c r="BE289" s="1585"/>
      <c r="BF289" s="1585"/>
      <c r="BG289" s="1585"/>
      <c r="BH289" s="1585"/>
      <c r="BI289" s="1585"/>
      <c r="BJ289" s="1585"/>
      <c r="BK289" s="1585"/>
      <c r="BL289" s="1585"/>
      <c r="BM289" s="1585"/>
      <c r="BN289" s="1585"/>
      <c r="BO289" s="1585"/>
      <c r="BP289" s="1585"/>
      <c r="BQ289" s="1585"/>
      <c r="BR289" s="1585"/>
      <c r="BS289" s="1585"/>
      <c r="BT289" s="1585"/>
      <c r="BU289" s="1585"/>
      <c r="BV289" s="1585"/>
      <c r="BW289" s="1585"/>
      <c r="BX289" s="1585"/>
      <c r="BY289" s="1585"/>
      <c r="BZ289" s="1585"/>
      <c r="CA289" s="1585"/>
      <c r="CB289" s="1585"/>
      <c r="CC289" s="1585"/>
      <c r="CD289" s="1585"/>
      <c r="CE289" s="1585"/>
      <c r="CF289" s="1585"/>
      <c r="CG289" s="1585"/>
      <c r="CH289" s="1585"/>
      <c r="CI289" s="1585"/>
      <c r="CJ289" s="1585"/>
      <c r="CK289" s="1585"/>
      <c r="CL289" s="1585"/>
      <c r="CM289" s="1585"/>
      <c r="CN289" s="1585"/>
      <c r="CO289" s="1585"/>
      <c r="CP289" s="1585"/>
      <c r="CQ289" s="1585"/>
      <c r="CR289" s="1585"/>
      <c r="CS289" s="1585"/>
      <c r="CT289" s="1585"/>
      <c r="CU289" s="1585"/>
      <c r="CV289" s="1585"/>
      <c r="CW289" s="1585"/>
      <c r="CX289" s="1585"/>
      <c r="CY289" s="1585"/>
      <c r="CZ289" s="1585"/>
    </row>
    <row r="290" spans="1:104">
      <c r="A290" s="1466"/>
      <c r="B290" s="1583"/>
      <c r="C290" s="1583"/>
      <c r="D290" s="1583"/>
      <c r="E290" s="1585"/>
      <c r="F290" s="1585"/>
      <c r="G290" s="1585"/>
      <c r="H290" s="1585"/>
      <c r="I290" s="1585"/>
      <c r="J290" s="1585"/>
      <c r="K290" s="1585"/>
      <c r="L290" s="1585"/>
      <c r="M290" s="1585"/>
      <c r="N290" s="1585"/>
      <c r="O290" s="1585"/>
      <c r="P290" s="1585"/>
      <c r="Q290" s="1585"/>
      <c r="R290" s="1585"/>
      <c r="S290" s="1585"/>
      <c r="T290" s="1585"/>
      <c r="U290" s="1585"/>
      <c r="V290" s="1585"/>
      <c r="W290" s="1585"/>
      <c r="X290" s="1585"/>
      <c r="Y290" s="1585"/>
      <c r="Z290" s="1585"/>
      <c r="AA290" s="1585"/>
      <c r="AB290" s="1585"/>
      <c r="AC290" s="1585"/>
      <c r="AD290" s="1585"/>
      <c r="AE290" s="1585"/>
      <c r="AF290" s="1585"/>
      <c r="AG290" s="1585"/>
      <c r="AH290" s="1585"/>
      <c r="AI290" s="1585"/>
      <c r="AJ290" s="1585"/>
      <c r="AK290" s="1585"/>
      <c r="AL290" s="1585"/>
      <c r="AM290" s="1585"/>
      <c r="AN290" s="1585"/>
      <c r="AO290" s="1585"/>
      <c r="AP290" s="1585"/>
      <c r="AQ290" s="1585"/>
      <c r="AR290" s="1585"/>
      <c r="AS290" s="1585"/>
      <c r="AT290" s="1585"/>
      <c r="AU290" s="1585"/>
      <c r="AV290" s="1585"/>
      <c r="AW290" s="1585"/>
      <c r="AX290" s="1585"/>
      <c r="AY290" s="1585"/>
      <c r="AZ290" s="1585"/>
      <c r="BA290" s="1585"/>
      <c r="BB290" s="1585"/>
      <c r="BC290" s="1585"/>
      <c r="BD290" s="1585"/>
      <c r="BE290" s="1585"/>
      <c r="BF290" s="1585"/>
      <c r="BG290" s="1585"/>
      <c r="BH290" s="1585"/>
      <c r="BI290" s="1585"/>
      <c r="BJ290" s="1585"/>
      <c r="BK290" s="1585"/>
      <c r="BL290" s="1585"/>
      <c r="BM290" s="1585"/>
      <c r="BN290" s="1585"/>
      <c r="BO290" s="1585"/>
      <c r="BP290" s="1585"/>
      <c r="BQ290" s="1585"/>
      <c r="BR290" s="1585"/>
      <c r="BS290" s="1585"/>
      <c r="BT290" s="1585"/>
      <c r="BU290" s="1585"/>
      <c r="BV290" s="1585"/>
      <c r="BW290" s="1585"/>
      <c r="BX290" s="1585"/>
      <c r="BY290" s="1585"/>
      <c r="BZ290" s="1585"/>
      <c r="CA290" s="1585"/>
      <c r="CB290" s="1585"/>
      <c r="CC290" s="1585"/>
      <c r="CD290" s="1585"/>
      <c r="CE290" s="1585"/>
      <c r="CF290" s="1585"/>
      <c r="CG290" s="1585"/>
      <c r="CH290" s="1585"/>
      <c r="CI290" s="1585"/>
      <c r="CJ290" s="1585"/>
      <c r="CK290" s="1585"/>
      <c r="CL290" s="1585"/>
      <c r="CM290" s="1585"/>
      <c r="CN290" s="1585"/>
      <c r="CO290" s="1585"/>
      <c r="CP290" s="1585"/>
      <c r="CQ290" s="1585"/>
      <c r="CR290" s="1585"/>
      <c r="CS290" s="1585"/>
      <c r="CT290" s="1585"/>
      <c r="CU290" s="1585"/>
      <c r="CV290" s="1585"/>
      <c r="CW290" s="1585"/>
      <c r="CX290" s="1585"/>
      <c r="CY290" s="1585"/>
      <c r="CZ290" s="1585"/>
    </row>
    <row r="291" spans="1:104">
      <c r="A291" s="1466"/>
      <c r="B291" s="1583"/>
      <c r="C291" s="1583"/>
      <c r="D291" s="1583"/>
      <c r="E291" s="1585"/>
      <c r="F291" s="1585"/>
      <c r="G291" s="1585"/>
      <c r="H291" s="1585"/>
      <c r="I291" s="1585"/>
      <c r="J291" s="1585"/>
      <c r="K291" s="1585"/>
      <c r="L291" s="1585"/>
      <c r="M291" s="1585"/>
      <c r="N291" s="1585"/>
      <c r="O291" s="1585"/>
      <c r="P291" s="1585"/>
      <c r="Q291" s="1585"/>
      <c r="R291" s="1585"/>
      <c r="S291" s="1585"/>
      <c r="T291" s="1585"/>
      <c r="U291" s="1585"/>
      <c r="V291" s="1585"/>
      <c r="W291" s="1585"/>
      <c r="X291" s="1585"/>
      <c r="Y291" s="1585"/>
      <c r="Z291" s="1585"/>
      <c r="AA291" s="1585"/>
      <c r="AB291" s="1585"/>
      <c r="AC291" s="1585"/>
      <c r="AD291" s="1585"/>
      <c r="AE291" s="1585"/>
      <c r="AF291" s="1585"/>
      <c r="AG291" s="1585"/>
      <c r="AH291" s="1585"/>
      <c r="AI291" s="1585"/>
      <c r="AJ291" s="1585"/>
      <c r="AK291" s="1585"/>
      <c r="AL291" s="1585"/>
      <c r="AM291" s="1585"/>
      <c r="AN291" s="1585"/>
      <c r="AO291" s="1585"/>
      <c r="AP291" s="1585"/>
      <c r="AQ291" s="1585"/>
      <c r="AR291" s="1585"/>
      <c r="AS291" s="1585"/>
      <c r="AT291" s="1585"/>
      <c r="AU291" s="1585"/>
      <c r="AV291" s="1585"/>
      <c r="AW291" s="1585"/>
      <c r="AX291" s="1585"/>
      <c r="AY291" s="1585"/>
      <c r="AZ291" s="1585"/>
      <c r="BA291" s="1585"/>
      <c r="BB291" s="1585"/>
      <c r="BC291" s="1585"/>
      <c r="BD291" s="1585"/>
      <c r="BE291" s="1585"/>
      <c r="BF291" s="1585"/>
      <c r="BG291" s="1585"/>
      <c r="BH291" s="1585"/>
      <c r="BI291" s="1585"/>
      <c r="BJ291" s="1585"/>
      <c r="BK291" s="1585"/>
      <c r="BL291" s="1585"/>
      <c r="BM291" s="1585"/>
      <c r="BN291" s="1585"/>
      <c r="BO291" s="1585"/>
      <c r="BP291" s="1585"/>
      <c r="BQ291" s="1585"/>
      <c r="BR291" s="1585"/>
      <c r="BS291" s="1585"/>
      <c r="BT291" s="1585"/>
      <c r="BU291" s="1585"/>
      <c r="BV291" s="1585"/>
      <c r="BW291" s="1585"/>
      <c r="BX291" s="1585"/>
      <c r="BY291" s="1585"/>
      <c r="BZ291" s="1585"/>
      <c r="CA291" s="1585"/>
      <c r="CB291" s="1585"/>
      <c r="CC291" s="1585"/>
      <c r="CD291" s="1585"/>
      <c r="CE291" s="1585"/>
      <c r="CF291" s="1585"/>
      <c r="CG291" s="1585"/>
      <c r="CH291" s="1585"/>
      <c r="CI291" s="1585"/>
      <c r="CJ291" s="1585"/>
      <c r="CK291" s="1585"/>
      <c r="CL291" s="1585"/>
      <c r="CM291" s="1585"/>
      <c r="CN291" s="1585"/>
      <c r="CO291" s="1585"/>
      <c r="CP291" s="1585"/>
      <c r="CQ291" s="1585"/>
      <c r="CR291" s="1585"/>
      <c r="CS291" s="1585"/>
      <c r="CT291" s="1585"/>
      <c r="CU291" s="1585"/>
      <c r="CV291" s="1585"/>
      <c r="CW291" s="1585"/>
      <c r="CX291" s="1585"/>
      <c r="CY291" s="1585"/>
      <c r="CZ291" s="1585"/>
    </row>
    <row r="292" spans="1:104">
      <c r="A292" s="1466"/>
      <c r="B292" s="1583"/>
      <c r="C292" s="1583"/>
      <c r="D292" s="1583"/>
      <c r="E292" s="1585"/>
      <c r="F292" s="1585"/>
      <c r="G292" s="1585"/>
      <c r="H292" s="1585"/>
      <c r="I292" s="1585"/>
      <c r="J292" s="1585"/>
      <c r="K292" s="1585"/>
      <c r="L292" s="1585"/>
      <c r="M292" s="1585"/>
      <c r="N292" s="1585"/>
      <c r="O292" s="1585"/>
      <c r="P292" s="1585"/>
      <c r="Q292" s="1585"/>
      <c r="R292" s="1585"/>
      <c r="S292" s="1585"/>
      <c r="T292" s="1585"/>
      <c r="U292" s="1585"/>
      <c r="V292" s="1585"/>
      <c r="W292" s="1585"/>
      <c r="X292" s="1585"/>
      <c r="Y292" s="1585"/>
      <c r="Z292" s="1585"/>
      <c r="AA292" s="1585"/>
      <c r="AB292" s="1585"/>
      <c r="AC292" s="1585"/>
      <c r="AD292" s="1585"/>
      <c r="AE292" s="1585"/>
      <c r="AF292" s="1585"/>
      <c r="AG292" s="1585"/>
      <c r="AH292" s="1585"/>
      <c r="AI292" s="1585"/>
      <c r="AJ292" s="1585"/>
      <c r="AK292" s="1585"/>
      <c r="AL292" s="1585"/>
      <c r="AM292" s="1585"/>
      <c r="AN292" s="1585"/>
      <c r="AO292" s="1585"/>
      <c r="AP292" s="1585"/>
      <c r="AQ292" s="1585"/>
      <c r="AR292" s="1585"/>
      <c r="AS292" s="1585"/>
      <c r="AT292" s="1585"/>
      <c r="AU292" s="1585"/>
      <c r="AV292" s="1585"/>
      <c r="AW292" s="1585"/>
      <c r="AX292" s="1585"/>
      <c r="AY292" s="1585"/>
      <c r="AZ292" s="1585"/>
      <c r="BA292" s="1585"/>
      <c r="BB292" s="1585"/>
      <c r="BC292" s="1585"/>
      <c r="BD292" s="1585"/>
      <c r="BE292" s="1585"/>
      <c r="BF292" s="1585"/>
      <c r="BG292" s="1585"/>
      <c r="BH292" s="1585"/>
      <c r="BI292" s="1585"/>
      <c r="BJ292" s="1585"/>
      <c r="BK292" s="1585"/>
      <c r="BL292" s="1585"/>
      <c r="BM292" s="1585"/>
      <c r="BN292" s="1585"/>
      <c r="BO292" s="1585"/>
      <c r="BP292" s="1585"/>
      <c r="BQ292" s="1585"/>
      <c r="BR292" s="1585"/>
      <c r="BS292" s="1585"/>
      <c r="BT292" s="1585"/>
      <c r="BU292" s="1585"/>
      <c r="BV292" s="1585"/>
      <c r="BW292" s="1585"/>
      <c r="BX292" s="1585"/>
      <c r="BY292" s="1585"/>
      <c r="BZ292" s="1585"/>
      <c r="CA292" s="1585"/>
      <c r="CB292" s="1585"/>
      <c r="CC292" s="1585"/>
      <c r="CD292" s="1585"/>
      <c r="CE292" s="1585"/>
      <c r="CF292" s="1585"/>
      <c r="CG292" s="1585"/>
      <c r="CH292" s="1585"/>
      <c r="CI292" s="1585"/>
      <c r="CJ292" s="1585"/>
      <c r="CK292" s="1585"/>
      <c r="CL292" s="1585"/>
      <c r="CM292" s="1585"/>
      <c r="CN292" s="1585"/>
      <c r="CO292" s="1585"/>
      <c r="CP292" s="1585"/>
      <c r="CQ292" s="1585"/>
      <c r="CR292" s="1585"/>
      <c r="CS292" s="1585"/>
      <c r="CT292" s="1585"/>
      <c r="CU292" s="1585"/>
      <c r="CV292" s="1585"/>
      <c r="CW292" s="1585"/>
      <c r="CX292" s="1585"/>
      <c r="CY292" s="1585"/>
      <c r="CZ292" s="1585"/>
    </row>
    <row r="293" spans="1:104">
      <c r="A293" s="1466"/>
      <c r="B293" s="1583"/>
      <c r="C293" s="1583"/>
      <c r="D293" s="1583"/>
      <c r="E293" s="1585"/>
      <c r="F293" s="1585"/>
      <c r="G293" s="1585"/>
      <c r="H293" s="1585"/>
      <c r="I293" s="1585"/>
      <c r="J293" s="1585"/>
      <c r="K293" s="1585"/>
      <c r="L293" s="1585"/>
      <c r="M293" s="1585"/>
      <c r="N293" s="1585"/>
      <c r="O293" s="1585"/>
      <c r="P293" s="1585"/>
      <c r="Q293" s="1585"/>
      <c r="R293" s="1585"/>
      <c r="S293" s="1585"/>
      <c r="T293" s="1585"/>
      <c r="U293" s="1585"/>
      <c r="V293" s="1585"/>
      <c r="W293" s="1585"/>
      <c r="X293" s="1585"/>
      <c r="Y293" s="1585"/>
      <c r="Z293" s="1585"/>
      <c r="AA293" s="1585"/>
      <c r="AB293" s="1585"/>
      <c r="AC293" s="1585"/>
      <c r="AD293" s="1585"/>
      <c r="AE293" s="1585"/>
      <c r="AF293" s="1585"/>
      <c r="AG293" s="1585"/>
      <c r="AH293" s="1585"/>
      <c r="AI293" s="1585"/>
      <c r="AJ293" s="1585"/>
      <c r="AK293" s="1585"/>
      <c r="AL293" s="1585"/>
      <c r="AM293" s="1585"/>
      <c r="AN293" s="1585"/>
      <c r="AO293" s="1585"/>
      <c r="AP293" s="1585"/>
      <c r="AQ293" s="1585"/>
      <c r="AR293" s="1585"/>
      <c r="AS293" s="1585"/>
      <c r="AT293" s="1585"/>
      <c r="AU293" s="1585"/>
      <c r="AV293" s="1585"/>
      <c r="AW293" s="1585"/>
      <c r="AX293" s="1585"/>
      <c r="AY293" s="1585"/>
      <c r="AZ293" s="1585"/>
      <c r="BA293" s="1585"/>
      <c r="BB293" s="1585"/>
      <c r="BC293" s="1585"/>
      <c r="BD293" s="1585"/>
      <c r="BE293" s="1585"/>
      <c r="BF293" s="1585"/>
      <c r="BG293" s="1585"/>
      <c r="BH293" s="1585"/>
      <c r="BI293" s="1585"/>
      <c r="BJ293" s="1585"/>
      <c r="BK293" s="1585"/>
      <c r="BL293" s="1585"/>
      <c r="BM293" s="1585"/>
      <c r="BN293" s="1585"/>
      <c r="BO293" s="1585"/>
      <c r="BP293" s="1585"/>
      <c r="BQ293" s="1585"/>
      <c r="BR293" s="1585"/>
      <c r="BS293" s="1585"/>
      <c r="BT293" s="1585"/>
      <c r="BU293" s="1585"/>
      <c r="BV293" s="1585"/>
      <c r="BW293" s="1585"/>
      <c r="BX293" s="1585"/>
      <c r="BY293" s="1585"/>
      <c r="BZ293" s="1585"/>
      <c r="CA293" s="1585"/>
      <c r="CB293" s="1585"/>
      <c r="CC293" s="1585"/>
      <c r="CD293" s="1585"/>
      <c r="CE293" s="1585"/>
      <c r="CF293" s="1585"/>
      <c r="CG293" s="1585"/>
      <c r="CH293" s="1585"/>
      <c r="CI293" s="1585"/>
      <c r="CJ293" s="1585"/>
      <c r="CK293" s="1585"/>
      <c r="CL293" s="1585"/>
      <c r="CM293" s="1585"/>
      <c r="CN293" s="1585"/>
      <c r="CO293" s="1585"/>
      <c r="CP293" s="1585"/>
      <c r="CQ293" s="1585"/>
      <c r="CR293" s="1585"/>
      <c r="CS293" s="1585"/>
      <c r="CT293" s="1585"/>
      <c r="CU293" s="1585"/>
      <c r="CV293" s="1585"/>
      <c r="CW293" s="1585"/>
      <c r="CX293" s="1585"/>
      <c r="CY293" s="1585"/>
      <c r="CZ293" s="1585"/>
    </row>
    <row r="294" spans="1:104">
      <c r="A294" s="1466"/>
      <c r="B294" s="1583"/>
      <c r="C294" s="1583"/>
      <c r="D294" s="1583"/>
      <c r="E294" s="1585"/>
      <c r="F294" s="1585"/>
      <c r="G294" s="1585"/>
      <c r="H294" s="1585"/>
      <c r="I294" s="1585"/>
      <c r="J294" s="1585"/>
      <c r="K294" s="1585"/>
      <c r="L294" s="1585"/>
      <c r="M294" s="1585"/>
      <c r="N294" s="1585"/>
      <c r="O294" s="1585"/>
      <c r="P294" s="1585"/>
      <c r="Q294" s="1585"/>
      <c r="R294" s="1585"/>
      <c r="S294" s="1585"/>
      <c r="T294" s="1585"/>
      <c r="U294" s="1585"/>
      <c r="V294" s="1585"/>
      <c r="W294" s="1585"/>
      <c r="X294" s="1585"/>
      <c r="Y294" s="1585"/>
      <c r="Z294" s="1585"/>
      <c r="AA294" s="1585"/>
      <c r="AB294" s="1585"/>
      <c r="AC294" s="1585"/>
      <c r="AD294" s="1585"/>
      <c r="AE294" s="1585"/>
      <c r="AF294" s="1585"/>
      <c r="AG294" s="1585"/>
      <c r="AH294" s="1585"/>
      <c r="AI294" s="1585"/>
      <c r="AJ294" s="1585"/>
      <c r="AK294" s="1585"/>
      <c r="AL294" s="1585"/>
      <c r="AM294" s="1585"/>
      <c r="AN294" s="1585"/>
      <c r="AO294" s="1585"/>
      <c r="AP294" s="1585"/>
      <c r="AQ294" s="1585"/>
      <c r="AR294" s="1585"/>
      <c r="AS294" s="1585"/>
      <c r="AT294" s="1585"/>
      <c r="AU294" s="1585"/>
      <c r="AV294" s="1585"/>
      <c r="AW294" s="1585"/>
      <c r="AX294" s="1585"/>
      <c r="AY294" s="1585"/>
      <c r="AZ294" s="1585"/>
      <c r="BA294" s="1585"/>
      <c r="BB294" s="1585"/>
      <c r="BC294" s="1585"/>
      <c r="BD294" s="1585"/>
      <c r="BE294" s="1585"/>
      <c r="BF294" s="1585"/>
      <c r="BG294" s="1585"/>
      <c r="BH294" s="1585"/>
      <c r="BI294" s="1585"/>
      <c r="BJ294" s="1585"/>
      <c r="BK294" s="1585"/>
      <c r="BL294" s="1585"/>
      <c r="BM294" s="1585"/>
      <c r="BN294" s="1585"/>
      <c r="BO294" s="1585"/>
      <c r="BP294" s="1585"/>
      <c r="BQ294" s="1585"/>
      <c r="BR294" s="1585"/>
      <c r="BS294" s="1585"/>
      <c r="BT294" s="1585"/>
      <c r="BU294" s="1585"/>
      <c r="BV294" s="1585"/>
      <c r="BW294" s="1585"/>
      <c r="BX294" s="1585"/>
      <c r="BY294" s="1585"/>
      <c r="BZ294" s="1585"/>
      <c r="CA294" s="1585"/>
      <c r="CB294" s="1585"/>
      <c r="CC294" s="1585"/>
      <c r="CD294" s="1585"/>
      <c r="CE294" s="1585"/>
      <c r="CF294" s="1585"/>
      <c r="CG294" s="1585"/>
      <c r="CH294" s="1585"/>
      <c r="CI294" s="1585"/>
      <c r="CJ294" s="1585"/>
      <c r="CK294" s="1585"/>
      <c r="CL294" s="1585"/>
      <c r="CM294" s="1585"/>
      <c r="CN294" s="1585"/>
      <c r="CO294" s="1585"/>
      <c r="CP294" s="1585"/>
      <c r="CQ294" s="1585"/>
      <c r="CR294" s="1585"/>
      <c r="CS294" s="1585"/>
      <c r="CT294" s="1585"/>
      <c r="CU294" s="1585"/>
      <c r="CV294" s="1585"/>
      <c r="CW294" s="1585"/>
      <c r="CX294" s="1585"/>
      <c r="CY294" s="1585"/>
      <c r="CZ294" s="1585"/>
    </row>
    <row r="295" spans="1:104">
      <c r="A295" s="1466"/>
      <c r="B295" s="1583"/>
      <c r="C295" s="1583"/>
      <c r="D295" s="1583"/>
      <c r="E295" s="1585"/>
      <c r="F295" s="1585"/>
      <c r="G295" s="1585"/>
      <c r="H295" s="1585"/>
      <c r="I295" s="1585"/>
      <c r="J295" s="1585"/>
      <c r="K295" s="1585"/>
      <c r="L295" s="1585"/>
      <c r="M295" s="1585"/>
      <c r="N295" s="1585"/>
      <c r="O295" s="1585"/>
      <c r="P295" s="1585"/>
      <c r="Q295" s="1585"/>
      <c r="R295" s="1585"/>
      <c r="S295" s="1585"/>
      <c r="T295" s="1585"/>
      <c r="U295" s="1585"/>
      <c r="V295" s="1585"/>
      <c r="W295" s="1585"/>
      <c r="X295" s="1585"/>
      <c r="Y295" s="1585"/>
      <c r="Z295" s="1585"/>
      <c r="AA295" s="1585"/>
      <c r="AB295" s="1585"/>
      <c r="AC295" s="1585"/>
      <c r="AD295" s="1585"/>
      <c r="AE295" s="1585"/>
      <c r="AF295" s="1585"/>
      <c r="AG295" s="1585"/>
      <c r="AH295" s="1585"/>
      <c r="AI295" s="1585"/>
      <c r="AJ295" s="1585"/>
      <c r="AK295" s="1585"/>
      <c r="AL295" s="1585"/>
      <c r="AM295" s="1585"/>
      <c r="AN295" s="1585"/>
      <c r="AO295" s="1585"/>
      <c r="AP295" s="1585"/>
      <c r="AQ295" s="1585"/>
      <c r="AR295" s="1585"/>
      <c r="AS295" s="1585"/>
      <c r="AT295" s="1585"/>
      <c r="AU295" s="1585"/>
      <c r="AV295" s="1585"/>
      <c r="AW295" s="1585"/>
      <c r="AX295" s="1585"/>
      <c r="AY295" s="1585"/>
      <c r="AZ295" s="1585"/>
      <c r="BA295" s="1585"/>
      <c r="BB295" s="1585"/>
      <c r="BC295" s="1585"/>
      <c r="BD295" s="1585"/>
      <c r="BE295" s="1585"/>
      <c r="BF295" s="1585"/>
      <c r="BG295" s="1585"/>
      <c r="BH295" s="1585"/>
      <c r="BI295" s="1585"/>
      <c r="BJ295" s="1585"/>
      <c r="BK295" s="1585"/>
      <c r="BL295" s="1585"/>
      <c r="BM295" s="1585"/>
      <c r="BN295" s="1585"/>
      <c r="BO295" s="1585"/>
      <c r="BP295" s="1585"/>
      <c r="BQ295" s="1585"/>
      <c r="BR295" s="1585"/>
      <c r="BS295" s="1585"/>
      <c r="BT295" s="1585"/>
      <c r="BU295" s="1585"/>
      <c r="BV295" s="1585"/>
      <c r="BW295" s="1585"/>
      <c r="BX295" s="1585"/>
      <c r="BY295" s="1585"/>
      <c r="BZ295" s="1585"/>
      <c r="CA295" s="1585"/>
      <c r="CB295" s="1585"/>
      <c r="CC295" s="1585"/>
      <c r="CD295" s="1585"/>
      <c r="CE295" s="1585"/>
      <c r="CF295" s="1585"/>
      <c r="CG295" s="1585"/>
      <c r="CH295" s="1585"/>
      <c r="CI295" s="1585"/>
      <c r="CJ295" s="1585"/>
      <c r="CK295" s="1585"/>
      <c r="CL295" s="1585"/>
      <c r="CM295" s="1585"/>
      <c r="CN295" s="1585"/>
      <c r="CO295" s="1585"/>
      <c r="CP295" s="1585"/>
      <c r="CQ295" s="1585"/>
      <c r="CR295" s="1585"/>
      <c r="CS295" s="1585"/>
      <c r="CT295" s="1585"/>
      <c r="CU295" s="1585"/>
      <c r="CV295" s="1585"/>
      <c r="CW295" s="1585"/>
      <c r="CX295" s="1585"/>
      <c r="CY295" s="1585"/>
      <c r="CZ295" s="1585"/>
    </row>
    <row r="296" spans="1:104">
      <c r="A296" s="1466"/>
      <c r="B296" s="1583"/>
      <c r="C296" s="1583"/>
      <c r="D296" s="1583"/>
      <c r="E296" s="1585"/>
      <c r="F296" s="1585"/>
      <c r="G296" s="1585"/>
      <c r="H296" s="1585"/>
      <c r="I296" s="1585"/>
      <c r="J296" s="1585"/>
      <c r="K296" s="1585"/>
      <c r="L296" s="1585"/>
      <c r="M296" s="1585"/>
      <c r="N296" s="1585"/>
      <c r="O296" s="1585"/>
      <c r="P296" s="1585"/>
      <c r="Q296" s="1585"/>
      <c r="R296" s="1585"/>
      <c r="S296" s="1585"/>
      <c r="T296" s="1585"/>
      <c r="U296" s="1585"/>
      <c r="V296" s="1585"/>
      <c r="W296" s="1585"/>
      <c r="X296" s="1585"/>
      <c r="Y296" s="1585"/>
      <c r="Z296" s="1585"/>
      <c r="AA296" s="1585"/>
      <c r="AB296" s="1585"/>
      <c r="AC296" s="1585"/>
      <c r="AD296" s="1585"/>
      <c r="AE296" s="1585"/>
      <c r="AF296" s="1585"/>
      <c r="AG296" s="1585"/>
      <c r="AH296" s="1585"/>
      <c r="AI296" s="1585"/>
      <c r="AJ296" s="1585"/>
      <c r="AK296" s="1585"/>
      <c r="AL296" s="1585"/>
      <c r="AM296" s="1585"/>
      <c r="AN296" s="1585"/>
      <c r="AO296" s="1585"/>
      <c r="AP296" s="1585"/>
      <c r="AQ296" s="1585"/>
      <c r="AR296" s="1585"/>
      <c r="AS296" s="1585"/>
      <c r="AT296" s="1585"/>
      <c r="AU296" s="1585"/>
      <c r="AV296" s="1585"/>
      <c r="AW296" s="1585"/>
      <c r="AX296" s="1585"/>
      <c r="AY296" s="1585"/>
      <c r="AZ296" s="1585"/>
      <c r="BA296" s="1585"/>
      <c r="BB296" s="1585"/>
      <c r="BC296" s="1585"/>
      <c r="BD296" s="1585"/>
      <c r="BE296" s="1585"/>
      <c r="BF296" s="1585"/>
      <c r="BG296" s="1585"/>
      <c r="BH296" s="1585"/>
      <c r="BI296" s="1585"/>
      <c r="BJ296" s="1585"/>
      <c r="BK296" s="1585"/>
      <c r="BL296" s="1585"/>
      <c r="BM296" s="1585"/>
      <c r="BN296" s="1585"/>
      <c r="BO296" s="1585"/>
      <c r="BP296" s="1585"/>
      <c r="BQ296" s="1585"/>
      <c r="BR296" s="1585"/>
      <c r="BS296" s="1585"/>
      <c r="BT296" s="1585"/>
      <c r="BU296" s="1585"/>
      <c r="BV296" s="1585"/>
      <c r="BW296" s="1585"/>
      <c r="BX296" s="1585"/>
      <c r="BY296" s="1585"/>
      <c r="BZ296" s="1585"/>
      <c r="CA296" s="1585"/>
      <c r="CB296" s="1585"/>
      <c r="CC296" s="1585"/>
      <c r="CD296" s="1585"/>
      <c r="CE296" s="1585"/>
      <c r="CF296" s="1585"/>
      <c r="CG296" s="1585"/>
      <c r="CH296" s="1585"/>
      <c r="CI296" s="1585"/>
      <c r="CJ296" s="1585"/>
      <c r="CK296" s="1585"/>
      <c r="CL296" s="1585"/>
      <c r="CM296" s="1585"/>
      <c r="CN296" s="1585"/>
      <c r="CO296" s="1585"/>
      <c r="CP296" s="1585"/>
      <c r="CQ296" s="1585"/>
      <c r="CR296" s="1585"/>
      <c r="CS296" s="1585"/>
      <c r="CT296" s="1585"/>
      <c r="CU296" s="1585"/>
      <c r="CV296" s="1585"/>
      <c r="CW296" s="1585"/>
      <c r="CX296" s="1585"/>
      <c r="CY296" s="1585"/>
      <c r="CZ296" s="1585"/>
    </row>
    <row r="297" spans="1:104">
      <c r="A297" s="1466"/>
      <c r="B297" s="1583"/>
      <c r="C297" s="1583"/>
      <c r="D297" s="1583"/>
      <c r="E297" s="1585"/>
      <c r="F297" s="1585"/>
      <c r="G297" s="1585"/>
      <c r="H297" s="1585"/>
      <c r="I297" s="1585"/>
      <c r="J297" s="1585"/>
      <c r="K297" s="1585"/>
      <c r="L297" s="1585"/>
      <c r="M297" s="1585"/>
      <c r="N297" s="1585"/>
      <c r="O297" s="1585"/>
      <c r="P297" s="1585"/>
      <c r="Q297" s="1585"/>
      <c r="R297" s="1585"/>
      <c r="S297" s="1585"/>
      <c r="T297" s="1585"/>
      <c r="U297" s="1585"/>
      <c r="V297" s="1585"/>
      <c r="W297" s="1585"/>
      <c r="X297" s="1585"/>
      <c r="Y297" s="1585"/>
      <c r="Z297" s="1585"/>
      <c r="AA297" s="1585"/>
      <c r="AB297" s="1585"/>
      <c r="AC297" s="1585"/>
      <c r="AD297" s="1585"/>
      <c r="AE297" s="1585"/>
      <c r="AF297" s="1585"/>
      <c r="AG297" s="1585"/>
      <c r="AH297" s="1585"/>
      <c r="AI297" s="1585"/>
      <c r="AJ297" s="1585"/>
      <c r="AK297" s="1585"/>
      <c r="AL297" s="1585"/>
      <c r="AM297" s="1585"/>
      <c r="AN297" s="1585"/>
      <c r="AO297" s="1585"/>
      <c r="AP297" s="1585"/>
      <c r="AQ297" s="1585"/>
      <c r="AR297" s="1585"/>
      <c r="AS297" s="1585"/>
      <c r="AT297" s="1585"/>
      <c r="AU297" s="1585"/>
      <c r="AV297" s="1585"/>
      <c r="AW297" s="1585"/>
      <c r="AX297" s="1585"/>
      <c r="AY297" s="1585"/>
      <c r="AZ297" s="1585"/>
      <c r="BA297" s="1585"/>
      <c r="BB297" s="1585"/>
      <c r="BC297" s="1585"/>
      <c r="BD297" s="1585"/>
      <c r="BE297" s="1585"/>
      <c r="BF297" s="1585"/>
      <c r="BG297" s="1585"/>
      <c r="BH297" s="1585"/>
      <c r="BI297" s="1585"/>
      <c r="BJ297" s="1585"/>
      <c r="BK297" s="1585"/>
      <c r="BL297" s="1585"/>
      <c r="BM297" s="1585"/>
      <c r="BN297" s="1585"/>
      <c r="BO297" s="1585"/>
      <c r="BP297" s="1585"/>
      <c r="BQ297" s="1585"/>
      <c r="BR297" s="1585"/>
      <c r="BS297" s="1585"/>
      <c r="BT297" s="1585"/>
      <c r="BU297" s="1585"/>
      <c r="BV297" s="1585"/>
      <c r="BW297" s="1585"/>
      <c r="BX297" s="1585"/>
      <c r="BY297" s="1585"/>
      <c r="BZ297" s="1585"/>
      <c r="CA297" s="1585"/>
      <c r="CB297" s="1585"/>
      <c r="CC297" s="1585"/>
      <c r="CD297" s="1585"/>
      <c r="CE297" s="1585"/>
      <c r="CF297" s="1585"/>
      <c r="CG297" s="1585"/>
      <c r="CH297" s="1585"/>
      <c r="CI297" s="1585"/>
      <c r="CJ297" s="1585"/>
      <c r="CK297" s="1585"/>
      <c r="CL297" s="1585"/>
      <c r="CM297" s="1585"/>
      <c r="CN297" s="1585"/>
      <c r="CO297" s="1585"/>
      <c r="CP297" s="1585"/>
      <c r="CQ297" s="1585"/>
      <c r="CR297" s="1585"/>
      <c r="CS297" s="1585"/>
      <c r="CT297" s="1585"/>
      <c r="CU297" s="1585"/>
      <c r="CV297" s="1585"/>
      <c r="CW297" s="1585"/>
      <c r="CX297" s="1585"/>
      <c r="CY297" s="1585"/>
      <c r="CZ297" s="1585"/>
    </row>
    <row r="298" spans="1:104">
      <c r="A298" s="1466"/>
      <c r="B298" s="1583"/>
      <c r="C298" s="1583"/>
      <c r="D298" s="1583"/>
      <c r="E298" s="1585"/>
      <c r="F298" s="1585"/>
      <c r="G298" s="1585"/>
      <c r="H298" s="1585"/>
      <c r="I298" s="1585"/>
      <c r="J298" s="1585"/>
      <c r="K298" s="1585"/>
      <c r="L298" s="1585"/>
      <c r="M298" s="1585"/>
      <c r="N298" s="1585"/>
      <c r="O298" s="1585"/>
      <c r="P298" s="1585"/>
      <c r="Q298" s="1585"/>
      <c r="R298" s="1585"/>
      <c r="S298" s="1585"/>
      <c r="T298" s="1585"/>
      <c r="U298" s="1585"/>
      <c r="V298" s="1585"/>
      <c r="W298" s="1585"/>
      <c r="X298" s="1585"/>
      <c r="Y298" s="1585"/>
      <c r="Z298" s="1585"/>
      <c r="AA298" s="1585"/>
      <c r="AB298" s="1585"/>
      <c r="AC298" s="1585"/>
      <c r="AD298" s="1585"/>
      <c r="AE298" s="1585"/>
      <c r="AF298" s="1585"/>
      <c r="AG298" s="1585"/>
      <c r="AH298" s="1585"/>
      <c r="AI298" s="1585"/>
      <c r="AJ298" s="1585"/>
      <c r="AK298" s="1585"/>
      <c r="AL298" s="1585"/>
      <c r="AM298" s="1585"/>
      <c r="AN298" s="1585"/>
      <c r="AO298" s="1585"/>
      <c r="AP298" s="1585"/>
      <c r="AQ298" s="1585"/>
      <c r="AR298" s="1585"/>
      <c r="AS298" s="1585"/>
      <c r="AT298" s="1585"/>
      <c r="AU298" s="1585"/>
      <c r="AV298" s="1585"/>
      <c r="AW298" s="1585"/>
      <c r="AX298" s="1585"/>
      <c r="AY298" s="1585"/>
      <c r="AZ298" s="1585"/>
      <c r="BA298" s="1585"/>
      <c r="BB298" s="1585"/>
      <c r="BC298" s="1585"/>
      <c r="BD298" s="1585"/>
      <c r="BE298" s="1585"/>
      <c r="BF298" s="1585"/>
      <c r="BG298" s="1585"/>
      <c r="BH298" s="1585"/>
      <c r="BI298" s="1585"/>
      <c r="BJ298" s="1585"/>
      <c r="BK298" s="1585"/>
      <c r="BL298" s="1585"/>
      <c r="BM298" s="1585"/>
      <c r="BN298" s="1585"/>
      <c r="BO298" s="1585"/>
      <c r="BP298" s="1585"/>
      <c r="BQ298" s="1585"/>
      <c r="BR298" s="1585"/>
      <c r="BS298" s="1585"/>
      <c r="BT298" s="1585"/>
      <c r="BU298" s="1585"/>
      <c r="BV298" s="1585"/>
      <c r="BW298" s="1585"/>
      <c r="BX298" s="1585"/>
      <c r="BY298" s="1585"/>
      <c r="BZ298" s="1585"/>
      <c r="CA298" s="1585"/>
      <c r="CB298" s="1585"/>
      <c r="CC298" s="1585"/>
      <c r="CD298" s="1585"/>
      <c r="CE298" s="1585"/>
      <c r="CF298" s="1585"/>
      <c r="CG298" s="1585"/>
      <c r="CH298" s="1585"/>
      <c r="CI298" s="1585"/>
      <c r="CJ298" s="1585"/>
      <c r="CK298" s="1585"/>
      <c r="CL298" s="1585"/>
      <c r="CM298" s="1585"/>
      <c r="CN298" s="1585"/>
      <c r="CO298" s="1585"/>
      <c r="CP298" s="1585"/>
      <c r="CQ298" s="1585"/>
      <c r="CR298" s="1585"/>
      <c r="CS298" s="1585"/>
      <c r="CT298" s="1585"/>
      <c r="CU298" s="1585"/>
      <c r="CV298" s="1585"/>
      <c r="CW298" s="1585"/>
      <c r="CX298" s="1585"/>
      <c r="CY298" s="1585"/>
      <c r="CZ298" s="1585"/>
    </row>
    <row r="299" spans="1:104">
      <c r="A299" s="1466"/>
      <c r="B299" s="1583"/>
      <c r="C299" s="1583"/>
      <c r="D299" s="1583"/>
      <c r="E299" s="1585"/>
      <c r="F299" s="1585"/>
      <c r="G299" s="1585"/>
      <c r="H299" s="1585"/>
      <c r="I299" s="1585"/>
      <c r="J299" s="1585"/>
      <c r="K299" s="1585"/>
      <c r="L299" s="1585"/>
      <c r="M299" s="1585"/>
      <c r="N299" s="1585"/>
      <c r="O299" s="1585"/>
      <c r="P299" s="1585"/>
      <c r="Q299" s="1585"/>
      <c r="R299" s="1585"/>
      <c r="S299" s="1585"/>
      <c r="T299" s="1585"/>
      <c r="U299" s="1585"/>
      <c r="V299" s="1585"/>
      <c r="W299" s="1585"/>
      <c r="X299" s="1585"/>
      <c r="Y299" s="1585"/>
      <c r="Z299" s="1585"/>
      <c r="AA299" s="1585"/>
      <c r="AB299" s="1585"/>
      <c r="AC299" s="1585"/>
      <c r="AD299" s="1585"/>
      <c r="AE299" s="1585"/>
      <c r="AF299" s="1585"/>
      <c r="AG299" s="1585"/>
      <c r="AH299" s="1585"/>
      <c r="AI299" s="1585"/>
      <c r="AJ299" s="1585"/>
      <c r="AK299" s="1585"/>
      <c r="AL299" s="1585"/>
      <c r="AM299" s="1585"/>
      <c r="AN299" s="1585"/>
      <c r="AO299" s="1585"/>
      <c r="AP299" s="1585"/>
      <c r="AQ299" s="1585"/>
      <c r="AR299" s="1585"/>
      <c r="AS299" s="1585"/>
      <c r="AT299" s="1585"/>
      <c r="AU299" s="1585"/>
      <c r="AV299" s="1585"/>
      <c r="AW299" s="1585"/>
      <c r="AX299" s="1585"/>
      <c r="AY299" s="1585"/>
      <c r="AZ299" s="1585"/>
      <c r="BA299" s="1585"/>
      <c r="BB299" s="1585"/>
      <c r="BC299" s="1585"/>
      <c r="BD299" s="1585"/>
      <c r="BE299" s="1585"/>
      <c r="BF299" s="1585"/>
      <c r="BG299" s="1585"/>
      <c r="BH299" s="1585"/>
      <c r="BI299" s="1585"/>
      <c r="BJ299" s="1585"/>
      <c r="BK299" s="1585"/>
      <c r="BL299" s="1585"/>
      <c r="BM299" s="1585"/>
      <c r="BN299" s="1585"/>
      <c r="BO299" s="1585"/>
      <c r="BP299" s="1585"/>
      <c r="BQ299" s="1585"/>
      <c r="BR299" s="1585"/>
      <c r="BS299" s="1585"/>
      <c r="BT299" s="1585"/>
      <c r="BU299" s="1585"/>
      <c r="BV299" s="1585"/>
      <c r="BW299" s="1585"/>
      <c r="BX299" s="1585"/>
      <c r="BY299" s="1585"/>
      <c r="BZ299" s="1585"/>
      <c r="CA299" s="1585"/>
      <c r="CB299" s="1585"/>
      <c r="CC299" s="1585"/>
      <c r="CD299" s="1585"/>
      <c r="CE299" s="1585"/>
      <c r="CF299" s="1585"/>
      <c r="CG299" s="1585"/>
      <c r="CH299" s="1585"/>
      <c r="CI299" s="1585"/>
      <c r="CJ299" s="1585"/>
      <c r="CK299" s="1585"/>
      <c r="CL299" s="1585"/>
      <c r="CM299" s="1585"/>
      <c r="CN299" s="1585"/>
      <c r="CO299" s="1585"/>
      <c r="CP299" s="1585"/>
      <c r="CQ299" s="1585"/>
      <c r="CR299" s="1585"/>
      <c r="CS299" s="1585"/>
      <c r="CT299" s="1585"/>
      <c r="CU299" s="1585"/>
      <c r="CV299" s="1585"/>
      <c r="CW299" s="1585"/>
      <c r="CX299" s="1585"/>
      <c r="CY299" s="1585"/>
      <c r="CZ299" s="1585"/>
    </row>
    <row r="300" spans="1:104">
      <c r="A300" s="1466"/>
      <c r="B300" s="1583"/>
      <c r="C300" s="1583"/>
      <c r="D300" s="1583"/>
      <c r="E300" s="1585"/>
      <c r="F300" s="1585"/>
      <c r="G300" s="1585"/>
      <c r="H300" s="1585"/>
      <c r="I300" s="1585"/>
      <c r="J300" s="1585"/>
      <c r="K300" s="1585"/>
      <c r="L300" s="1585"/>
      <c r="M300" s="1585"/>
      <c r="N300" s="1585"/>
      <c r="O300" s="1585"/>
      <c r="P300" s="1585"/>
      <c r="Q300" s="1585"/>
      <c r="R300" s="1585"/>
      <c r="S300" s="1585"/>
      <c r="T300" s="1585"/>
      <c r="U300" s="1585"/>
      <c r="V300" s="1585"/>
      <c r="W300" s="1585"/>
      <c r="X300" s="1585"/>
      <c r="Y300" s="1585"/>
      <c r="Z300" s="1585"/>
      <c r="AA300" s="1585"/>
      <c r="AB300" s="1585"/>
      <c r="AC300" s="1585"/>
      <c r="AD300" s="1585"/>
      <c r="AE300" s="1585"/>
      <c r="AF300" s="1585"/>
      <c r="AG300" s="1585"/>
      <c r="AH300" s="1585"/>
      <c r="AI300" s="1585"/>
      <c r="AJ300" s="1585"/>
      <c r="AK300" s="1585"/>
      <c r="AL300" s="1585"/>
      <c r="AM300" s="1585"/>
      <c r="AN300" s="1585"/>
      <c r="AO300" s="1585"/>
      <c r="AP300" s="1585"/>
      <c r="AQ300" s="1585"/>
      <c r="AR300" s="1585"/>
      <c r="AS300" s="1585"/>
      <c r="AT300" s="1585"/>
      <c r="AU300" s="1585"/>
      <c r="AV300" s="1585"/>
      <c r="AW300" s="1585"/>
      <c r="AX300" s="1585"/>
      <c r="AY300" s="1585"/>
      <c r="AZ300" s="1585"/>
      <c r="BA300" s="1585"/>
      <c r="BB300" s="1585"/>
      <c r="BC300" s="1585"/>
      <c r="BD300" s="1585"/>
      <c r="BE300" s="1585"/>
      <c r="BF300" s="1585"/>
      <c r="BG300" s="1585"/>
      <c r="BH300" s="1585"/>
      <c r="BI300" s="1585"/>
      <c r="BJ300" s="1585"/>
      <c r="BK300" s="1585"/>
      <c r="BL300" s="1585"/>
      <c r="BM300" s="1585"/>
      <c r="BN300" s="1585"/>
      <c r="BO300" s="1585"/>
      <c r="BP300" s="1585"/>
      <c r="BQ300" s="1585"/>
      <c r="BR300" s="1585"/>
      <c r="BS300" s="1585"/>
      <c r="BT300" s="1585"/>
      <c r="BU300" s="1585"/>
      <c r="BV300" s="1585"/>
      <c r="BW300" s="1585"/>
      <c r="BX300" s="1585"/>
      <c r="BY300" s="1585"/>
      <c r="BZ300" s="1585"/>
      <c r="CA300" s="1585"/>
      <c r="CB300" s="1585"/>
      <c r="CC300" s="1585"/>
      <c r="CD300" s="1585"/>
      <c r="CE300" s="1585"/>
      <c r="CF300" s="1585"/>
      <c r="CG300" s="1585"/>
      <c r="CH300" s="1585"/>
      <c r="CI300" s="1585"/>
      <c r="CJ300" s="1585"/>
      <c r="CK300" s="1585"/>
      <c r="CL300" s="1585"/>
      <c r="CM300" s="1585"/>
      <c r="CN300" s="1585"/>
      <c r="CO300" s="1585"/>
      <c r="CP300" s="1585"/>
      <c r="CQ300" s="1585"/>
      <c r="CR300" s="1585"/>
      <c r="CS300" s="1585"/>
      <c r="CT300" s="1585"/>
      <c r="CU300" s="1585"/>
      <c r="CV300" s="1585"/>
      <c r="CW300" s="1585"/>
      <c r="CX300" s="1585"/>
      <c r="CY300" s="1585"/>
      <c r="CZ300" s="1585"/>
    </row>
    <row r="301" spans="1:104">
      <c r="A301" s="1466"/>
      <c r="B301" s="1583"/>
      <c r="C301" s="1583"/>
      <c r="D301" s="1583"/>
      <c r="E301" s="1585"/>
      <c r="F301" s="1585"/>
      <c r="G301" s="1585"/>
      <c r="H301" s="1585"/>
      <c r="I301" s="1585"/>
      <c r="J301" s="1585"/>
      <c r="K301" s="1585"/>
      <c r="L301" s="1585"/>
      <c r="M301" s="1585"/>
      <c r="N301" s="1585"/>
      <c r="O301" s="1585"/>
      <c r="P301" s="1585"/>
      <c r="Q301" s="1585"/>
      <c r="R301" s="1585"/>
      <c r="S301" s="1585"/>
      <c r="T301" s="1585"/>
      <c r="U301" s="1585"/>
      <c r="V301" s="1585"/>
      <c r="W301" s="1585"/>
      <c r="X301" s="1585"/>
      <c r="Y301" s="1585"/>
      <c r="Z301" s="1585"/>
      <c r="AA301" s="1585"/>
      <c r="AB301" s="1585"/>
      <c r="AC301" s="1585"/>
      <c r="AD301" s="1585"/>
      <c r="AE301" s="1585"/>
      <c r="AF301" s="1585"/>
      <c r="AG301" s="1585"/>
      <c r="AH301" s="1585"/>
      <c r="AI301" s="1585"/>
      <c r="AJ301" s="1585"/>
      <c r="AK301" s="1585"/>
      <c r="AL301" s="1585"/>
      <c r="AM301" s="1585"/>
      <c r="AN301" s="1585"/>
      <c r="AO301" s="1585"/>
      <c r="AP301" s="1585"/>
      <c r="AQ301" s="1585"/>
      <c r="AR301" s="1585"/>
      <c r="AS301" s="1585"/>
      <c r="AT301" s="1585"/>
      <c r="AU301" s="1585"/>
      <c r="AV301" s="1585"/>
      <c r="AW301" s="1585"/>
      <c r="AX301" s="1585"/>
      <c r="AY301" s="1585"/>
      <c r="AZ301" s="1585"/>
      <c r="BA301" s="1585"/>
      <c r="BB301" s="1585"/>
      <c r="BC301" s="1585"/>
      <c r="BD301" s="1585"/>
      <c r="BE301" s="1585"/>
      <c r="BF301" s="1585"/>
      <c r="BG301" s="1585"/>
      <c r="BH301" s="1585"/>
      <c r="BI301" s="1585"/>
      <c r="BJ301" s="1585"/>
      <c r="BK301" s="1585"/>
      <c r="BL301" s="1585"/>
      <c r="BM301" s="1585"/>
      <c r="BN301" s="1585"/>
      <c r="BO301" s="1585"/>
      <c r="BP301" s="1585"/>
      <c r="BQ301" s="1585"/>
      <c r="BR301" s="1585"/>
      <c r="BS301" s="1585"/>
      <c r="BT301" s="1585"/>
      <c r="BU301" s="1585"/>
      <c r="BV301" s="1585"/>
      <c r="BW301" s="1585"/>
      <c r="BX301" s="1585"/>
      <c r="BY301" s="1585"/>
      <c r="BZ301" s="1585"/>
      <c r="CA301" s="1585"/>
      <c r="CB301" s="1585"/>
      <c r="CC301" s="1585"/>
      <c r="CD301" s="1585"/>
      <c r="CE301" s="1585"/>
      <c r="CF301" s="1585"/>
      <c r="CG301" s="1585"/>
      <c r="CH301" s="1585"/>
      <c r="CI301" s="1585"/>
      <c r="CJ301" s="1585"/>
      <c r="CK301" s="1585"/>
      <c r="CL301" s="1585"/>
      <c r="CM301" s="1585"/>
      <c r="CN301" s="1585"/>
      <c r="CO301" s="1585"/>
      <c r="CP301" s="1585"/>
      <c r="CQ301" s="1585"/>
      <c r="CR301" s="1585"/>
      <c r="CS301" s="1585"/>
      <c r="CT301" s="1585"/>
      <c r="CU301" s="1585"/>
      <c r="CV301" s="1585"/>
      <c r="CW301" s="1585"/>
      <c r="CX301" s="1585"/>
      <c r="CY301" s="1585"/>
      <c r="CZ301" s="1585"/>
    </row>
    <row r="302" spans="1:104">
      <c r="A302" s="1466"/>
      <c r="B302" s="1583"/>
      <c r="C302" s="1583"/>
      <c r="D302" s="1583"/>
      <c r="E302" s="1585"/>
      <c r="F302" s="1585"/>
      <c r="G302" s="1585"/>
      <c r="H302" s="1585"/>
      <c r="I302" s="1585"/>
      <c r="J302" s="1585"/>
      <c r="K302" s="1585"/>
      <c r="L302" s="1585"/>
      <c r="M302" s="1585"/>
      <c r="N302" s="1585"/>
      <c r="O302" s="1585"/>
      <c r="P302" s="1585"/>
      <c r="Q302" s="1585"/>
      <c r="R302" s="1585"/>
      <c r="S302" s="1585"/>
      <c r="T302" s="1585"/>
      <c r="U302" s="1585"/>
      <c r="V302" s="1585"/>
      <c r="W302" s="1585"/>
      <c r="X302" s="1585"/>
      <c r="Y302" s="1585"/>
      <c r="Z302" s="1585"/>
      <c r="AA302" s="1585"/>
      <c r="AB302" s="1585"/>
      <c r="AC302" s="1585"/>
      <c r="AD302" s="1585"/>
      <c r="AE302" s="1585"/>
      <c r="AF302" s="1585"/>
      <c r="AG302" s="1585"/>
      <c r="AH302" s="1585"/>
      <c r="AI302" s="1585"/>
      <c r="AJ302" s="1585"/>
      <c r="AK302" s="1585"/>
      <c r="AL302" s="1585"/>
      <c r="AM302" s="1585"/>
      <c r="AN302" s="1585"/>
      <c r="AO302" s="1585"/>
      <c r="AP302" s="1585"/>
      <c r="AQ302" s="1585"/>
      <c r="AR302" s="1585"/>
      <c r="AS302" s="1585"/>
      <c r="AT302" s="1585"/>
      <c r="AU302" s="1585"/>
      <c r="AV302" s="1585"/>
      <c r="AW302" s="1585"/>
      <c r="AX302" s="1585"/>
      <c r="AY302" s="1585"/>
      <c r="AZ302" s="1585"/>
      <c r="BA302" s="1585"/>
      <c r="BB302" s="1585"/>
      <c r="BC302" s="1585"/>
      <c r="BD302" s="1585"/>
      <c r="BE302" s="1585"/>
      <c r="BF302" s="1585"/>
      <c r="BG302" s="1585"/>
      <c r="BH302" s="1585"/>
      <c r="BI302" s="1585"/>
      <c r="BJ302" s="1585"/>
      <c r="BK302" s="1585"/>
      <c r="BL302" s="1585"/>
      <c r="BM302" s="1585"/>
      <c r="BN302" s="1585"/>
      <c r="BO302" s="1585"/>
      <c r="BP302" s="1585"/>
      <c r="BQ302" s="1585"/>
      <c r="BR302" s="1585"/>
      <c r="BS302" s="1585"/>
      <c r="BT302" s="1585"/>
      <c r="BU302" s="1585"/>
      <c r="BV302" s="1585"/>
      <c r="BW302" s="1585"/>
      <c r="BX302" s="1585"/>
      <c r="BY302" s="1585"/>
      <c r="BZ302" s="1585"/>
      <c r="CA302" s="1585"/>
      <c r="CB302" s="1585"/>
      <c r="CC302" s="1585"/>
      <c r="CD302" s="1585"/>
      <c r="CE302" s="1585"/>
      <c r="CF302" s="1585"/>
      <c r="CG302" s="1585"/>
      <c r="CH302" s="1585"/>
      <c r="CI302" s="1585"/>
      <c r="CJ302" s="1585"/>
      <c r="CK302" s="1585"/>
      <c r="CL302" s="1585"/>
      <c r="CM302" s="1585"/>
      <c r="CN302" s="1585"/>
      <c r="CO302" s="1585"/>
      <c r="CP302" s="1585"/>
      <c r="CQ302" s="1585"/>
      <c r="CR302" s="1585"/>
      <c r="CS302" s="1585"/>
      <c r="CT302" s="1585"/>
      <c r="CU302" s="1585"/>
      <c r="CV302" s="1585"/>
      <c r="CW302" s="1585"/>
      <c r="CX302" s="1585"/>
      <c r="CY302" s="1585"/>
      <c r="CZ302" s="1585"/>
    </row>
    <row r="303" spans="1:104">
      <c r="A303" s="1466"/>
      <c r="B303" s="1583"/>
      <c r="C303" s="1583"/>
      <c r="D303" s="1583"/>
      <c r="E303" s="1585"/>
      <c r="F303" s="1585"/>
      <c r="G303" s="1585"/>
      <c r="H303" s="1585"/>
      <c r="I303" s="1585"/>
      <c r="J303" s="1585"/>
      <c r="K303" s="1585"/>
      <c r="L303" s="1585"/>
      <c r="M303" s="1585"/>
      <c r="N303" s="1585"/>
      <c r="O303" s="1585"/>
      <c r="P303" s="1585"/>
      <c r="Q303" s="1585"/>
      <c r="R303" s="1585"/>
      <c r="S303" s="1585"/>
      <c r="T303" s="1585"/>
      <c r="U303" s="1585"/>
      <c r="V303" s="1585"/>
      <c r="W303" s="1585"/>
      <c r="X303" s="1585"/>
      <c r="Y303" s="1585"/>
      <c r="Z303" s="1585"/>
      <c r="AA303" s="1585"/>
      <c r="AB303" s="1585"/>
      <c r="AC303" s="1585"/>
      <c r="AD303" s="1585"/>
      <c r="AE303" s="1585"/>
      <c r="AF303" s="1585"/>
      <c r="AG303" s="1585"/>
      <c r="AH303" s="1585"/>
      <c r="AI303" s="1585"/>
      <c r="AJ303" s="1585"/>
      <c r="AK303" s="1585"/>
      <c r="AL303" s="1585"/>
      <c r="AM303" s="1585"/>
      <c r="AN303" s="1585"/>
      <c r="AO303" s="1585"/>
      <c r="AP303" s="1585"/>
      <c r="AQ303" s="1585"/>
      <c r="AR303" s="1585"/>
      <c r="AS303" s="1585"/>
      <c r="AT303" s="1585"/>
      <c r="AU303" s="1585"/>
      <c r="AV303" s="1585"/>
      <c r="AW303" s="1585"/>
      <c r="AX303" s="1585"/>
      <c r="AY303" s="1585"/>
      <c r="AZ303" s="1585"/>
      <c r="BA303" s="1585"/>
      <c r="BB303" s="1585"/>
      <c r="BC303" s="1585"/>
      <c r="BD303" s="1585"/>
      <c r="BE303" s="1585"/>
      <c r="BF303" s="1585"/>
      <c r="BG303" s="1585"/>
      <c r="BH303" s="1585"/>
      <c r="BI303" s="1585"/>
      <c r="BJ303" s="1585"/>
      <c r="BK303" s="1585"/>
      <c r="BL303" s="1585"/>
      <c r="BM303" s="1585"/>
      <c r="BN303" s="1585"/>
      <c r="BO303" s="1585"/>
      <c r="BP303" s="1585"/>
      <c r="BQ303" s="1585"/>
      <c r="BR303" s="1585"/>
      <c r="BS303" s="1585"/>
      <c r="BT303" s="1585"/>
      <c r="BU303" s="1585"/>
      <c r="BV303" s="1585"/>
      <c r="BW303" s="1585"/>
      <c r="BX303" s="1585"/>
      <c r="BY303" s="1585"/>
      <c r="BZ303" s="1585"/>
      <c r="CA303" s="1585"/>
      <c r="CB303" s="1585"/>
      <c r="CC303" s="1585"/>
      <c r="CD303" s="1585"/>
      <c r="CE303" s="1585"/>
      <c r="CF303" s="1585"/>
      <c r="CG303" s="1585"/>
      <c r="CH303" s="1585"/>
      <c r="CI303" s="1585"/>
      <c r="CJ303" s="1585"/>
      <c r="CK303" s="1585"/>
      <c r="CL303" s="1585"/>
      <c r="CM303" s="1585"/>
      <c r="CN303" s="1585"/>
      <c r="CO303" s="1585"/>
      <c r="CP303" s="1585"/>
      <c r="CQ303" s="1585"/>
      <c r="CR303" s="1585"/>
      <c r="CS303" s="1585"/>
      <c r="CT303" s="1585"/>
      <c r="CU303" s="1585"/>
      <c r="CV303" s="1585"/>
      <c r="CW303" s="1585"/>
      <c r="CX303" s="1585"/>
      <c r="CY303" s="1585"/>
      <c r="CZ303" s="1585"/>
    </row>
    <row r="304" spans="1:104">
      <c r="A304" s="1466"/>
      <c r="B304" s="1583"/>
      <c r="C304" s="1583"/>
      <c r="D304" s="1583"/>
      <c r="E304" s="1585"/>
      <c r="F304" s="1585"/>
      <c r="G304" s="1585"/>
      <c r="H304" s="1585"/>
      <c r="I304" s="1585"/>
      <c r="J304" s="1585"/>
      <c r="K304" s="1585"/>
      <c r="L304" s="1585"/>
      <c r="M304" s="1585"/>
      <c r="N304" s="1585"/>
      <c r="O304" s="1585"/>
      <c r="P304" s="1585"/>
      <c r="Q304" s="1585"/>
      <c r="R304" s="1585"/>
      <c r="S304" s="1585"/>
      <c r="T304" s="1585"/>
      <c r="U304" s="1585"/>
      <c r="V304" s="1585"/>
      <c r="W304" s="1585"/>
      <c r="X304" s="1585"/>
      <c r="Y304" s="1585"/>
      <c r="Z304" s="1585"/>
      <c r="AA304" s="1585"/>
      <c r="AB304" s="1585"/>
      <c r="AC304" s="1585"/>
      <c r="AD304" s="1585"/>
      <c r="AE304" s="1585"/>
      <c r="AF304" s="1585"/>
      <c r="AG304" s="1585"/>
      <c r="AH304" s="1585"/>
      <c r="AI304" s="1585"/>
      <c r="AJ304" s="1585"/>
      <c r="AK304" s="1585"/>
      <c r="AL304" s="1585"/>
      <c r="AM304" s="1585"/>
      <c r="AN304" s="1585"/>
      <c r="AO304" s="1585"/>
      <c r="AP304" s="1585"/>
      <c r="AQ304" s="1585"/>
      <c r="AR304" s="1585"/>
      <c r="AS304" s="1585"/>
      <c r="AT304" s="1585"/>
      <c r="AU304" s="1585"/>
      <c r="AV304" s="1585"/>
      <c r="AW304" s="1585"/>
      <c r="AX304" s="1585"/>
      <c r="AY304" s="1585"/>
      <c r="AZ304" s="1585"/>
      <c r="BA304" s="1585"/>
      <c r="BB304" s="1585"/>
      <c r="BC304" s="1585"/>
      <c r="BD304" s="1585"/>
      <c r="BE304" s="1585"/>
      <c r="BF304" s="1585"/>
      <c r="BG304" s="1585"/>
      <c r="BH304" s="1585"/>
      <c r="BI304" s="1585"/>
      <c r="BJ304" s="1585"/>
      <c r="BK304" s="1585"/>
      <c r="BL304" s="1585"/>
      <c r="BM304" s="1585"/>
      <c r="BN304" s="1585"/>
      <c r="BO304" s="1585"/>
      <c r="BP304" s="1585"/>
      <c r="BQ304" s="1585"/>
      <c r="BR304" s="1585"/>
      <c r="BS304" s="1585"/>
      <c r="BT304" s="1585"/>
      <c r="BU304" s="1585"/>
      <c r="BV304" s="1585"/>
      <c r="BW304" s="1585"/>
      <c r="BX304" s="1585"/>
      <c r="BY304" s="1585"/>
      <c r="BZ304" s="1585"/>
      <c r="CA304" s="1585"/>
      <c r="CB304" s="1585"/>
      <c r="CC304" s="1585"/>
      <c r="CD304" s="1585"/>
      <c r="CE304" s="1585"/>
      <c r="CF304" s="1585"/>
      <c r="CG304" s="1585"/>
      <c r="CH304" s="1585"/>
      <c r="CI304" s="1585"/>
      <c r="CJ304" s="1585"/>
      <c r="CK304" s="1585"/>
      <c r="CL304" s="1585"/>
      <c r="CM304" s="1585"/>
      <c r="CN304" s="1585"/>
      <c r="CO304" s="1585"/>
      <c r="CP304" s="1585"/>
      <c r="CQ304" s="1585"/>
      <c r="CR304" s="1585"/>
      <c r="CS304" s="1585"/>
      <c r="CT304" s="1585"/>
      <c r="CU304" s="1585"/>
      <c r="CV304" s="1585"/>
      <c r="CW304" s="1585"/>
      <c r="CX304" s="1585"/>
      <c r="CY304" s="1585"/>
      <c r="CZ304" s="1585"/>
    </row>
    <row r="305" spans="1:104">
      <c r="A305" s="1466"/>
      <c r="B305" s="1583"/>
      <c r="C305" s="1583"/>
      <c r="D305" s="1583"/>
      <c r="E305" s="1585"/>
      <c r="F305" s="1585"/>
      <c r="G305" s="1585"/>
      <c r="H305" s="1585"/>
      <c r="I305" s="1585"/>
      <c r="J305" s="1585"/>
      <c r="K305" s="1585"/>
      <c r="L305" s="1585"/>
      <c r="M305" s="1585"/>
      <c r="N305" s="1585"/>
      <c r="O305" s="1585"/>
      <c r="P305" s="1585"/>
      <c r="Q305" s="1585"/>
      <c r="R305" s="1585"/>
      <c r="S305" s="1585"/>
      <c r="T305" s="1585"/>
      <c r="U305" s="1585"/>
      <c r="V305" s="1585"/>
      <c r="W305" s="1585"/>
      <c r="X305" s="1585"/>
      <c r="Y305" s="1585"/>
      <c r="Z305" s="1585"/>
      <c r="AA305" s="1585"/>
      <c r="AB305" s="1585"/>
      <c r="AC305" s="1585"/>
      <c r="AD305" s="1585"/>
      <c r="AE305" s="1585"/>
      <c r="AF305" s="1585"/>
      <c r="AG305" s="1585"/>
      <c r="AH305" s="1585"/>
      <c r="AI305" s="1585"/>
      <c r="AJ305" s="1585"/>
      <c r="AK305" s="1585"/>
      <c r="AL305" s="1585"/>
      <c r="AM305" s="1585"/>
      <c r="AN305" s="1585"/>
      <c r="AO305" s="1585"/>
      <c r="AP305" s="1585"/>
      <c r="AQ305" s="1585"/>
      <c r="AR305" s="1585"/>
      <c r="AS305" s="1585"/>
      <c r="AT305" s="1585"/>
      <c r="AU305" s="1585"/>
      <c r="AV305" s="1585"/>
      <c r="AW305" s="1585"/>
      <c r="AX305" s="1585"/>
      <c r="AY305" s="1585"/>
      <c r="AZ305" s="1585"/>
      <c r="BA305" s="1585"/>
      <c r="BB305" s="1585"/>
      <c r="BC305" s="1585"/>
      <c r="BD305" s="1585"/>
      <c r="BE305" s="1585"/>
      <c r="BF305" s="1585"/>
      <c r="BG305" s="1585"/>
      <c r="BH305" s="1585"/>
      <c r="BI305" s="1585"/>
      <c r="BJ305" s="1585"/>
      <c r="BK305" s="1585"/>
      <c r="BL305" s="1585"/>
      <c r="BM305" s="1585"/>
      <c r="BN305" s="1585"/>
      <c r="BO305" s="1585"/>
      <c r="BP305" s="1585"/>
      <c r="BQ305" s="1585"/>
      <c r="BR305" s="1585"/>
      <c r="BS305" s="1585"/>
      <c r="BT305" s="1585"/>
      <c r="BU305" s="1585"/>
      <c r="BV305" s="1585"/>
      <c r="BW305" s="1585"/>
      <c r="BX305" s="1585"/>
      <c r="BY305" s="1585"/>
      <c r="BZ305" s="1585"/>
      <c r="CA305" s="1585"/>
      <c r="CB305" s="1585"/>
      <c r="CC305" s="1585"/>
      <c r="CD305" s="1585"/>
      <c r="CE305" s="1585"/>
      <c r="CF305" s="1585"/>
      <c r="CG305" s="1585"/>
      <c r="CH305" s="1585"/>
      <c r="CI305" s="1585"/>
      <c r="CJ305" s="1585"/>
      <c r="CK305" s="1585"/>
      <c r="CL305" s="1585"/>
      <c r="CM305" s="1585"/>
      <c r="CN305" s="1585"/>
      <c r="CO305" s="1585"/>
      <c r="CP305" s="1585"/>
      <c r="CQ305" s="1585"/>
      <c r="CR305" s="1585"/>
      <c r="CS305" s="1585"/>
      <c r="CT305" s="1585"/>
      <c r="CU305" s="1585"/>
      <c r="CV305" s="1585"/>
      <c r="CW305" s="1585"/>
      <c r="CX305" s="1585"/>
      <c r="CY305" s="1585"/>
      <c r="CZ305" s="1585"/>
    </row>
    <row r="306" spans="1:104">
      <c r="A306" s="1466"/>
      <c r="B306" s="1583"/>
      <c r="C306" s="1583"/>
      <c r="D306" s="1583"/>
      <c r="E306" s="1585"/>
      <c r="F306" s="1585"/>
      <c r="G306" s="1585"/>
      <c r="H306" s="1585"/>
      <c r="I306" s="1585"/>
      <c r="J306" s="1585"/>
      <c r="K306" s="1585"/>
      <c r="L306" s="1585"/>
      <c r="M306" s="1585"/>
      <c r="N306" s="1585"/>
      <c r="O306" s="1585"/>
      <c r="P306" s="1585"/>
      <c r="Q306" s="1585"/>
      <c r="R306" s="1585"/>
      <c r="S306" s="1585"/>
      <c r="T306" s="1585"/>
      <c r="U306" s="1585"/>
      <c r="V306" s="1585"/>
      <c r="W306" s="1585"/>
      <c r="X306" s="1585"/>
      <c r="Y306" s="1585"/>
      <c r="Z306" s="1585"/>
      <c r="AA306" s="1585"/>
      <c r="AB306" s="1585"/>
      <c r="AC306" s="1585"/>
      <c r="AD306" s="1585"/>
      <c r="AE306" s="1585"/>
      <c r="AF306" s="1585"/>
      <c r="AG306" s="1585"/>
      <c r="AH306" s="1585"/>
      <c r="AI306" s="1585"/>
      <c r="AJ306" s="1585"/>
      <c r="AK306" s="1585"/>
      <c r="AL306" s="1585"/>
      <c r="AM306" s="1585"/>
      <c r="AN306" s="1585"/>
      <c r="AO306" s="1585"/>
      <c r="AP306" s="1585"/>
      <c r="AQ306" s="1585"/>
      <c r="AR306" s="1585"/>
      <c r="AS306" s="1585"/>
      <c r="AT306" s="1585"/>
      <c r="AU306" s="1585"/>
      <c r="AV306" s="1585"/>
      <c r="AW306" s="1585"/>
      <c r="AX306" s="1585"/>
      <c r="AY306" s="1585"/>
      <c r="AZ306" s="1585"/>
      <c r="BA306" s="1585"/>
      <c r="BB306" s="1585"/>
      <c r="BC306" s="1585"/>
      <c r="BD306" s="1585"/>
      <c r="BE306" s="1585"/>
      <c r="BF306" s="1585"/>
      <c r="BG306" s="1585"/>
      <c r="BH306" s="1585"/>
      <c r="BI306" s="1585"/>
      <c r="BJ306" s="1585"/>
      <c r="BK306" s="1585"/>
      <c r="BL306" s="1585"/>
      <c r="BM306" s="1585"/>
      <c r="BN306" s="1585"/>
      <c r="BO306" s="1585"/>
      <c r="BP306" s="1585"/>
      <c r="BQ306" s="1585"/>
      <c r="BR306" s="1585"/>
      <c r="BS306" s="1585"/>
      <c r="BT306" s="1585"/>
      <c r="BU306" s="1585"/>
      <c r="BV306" s="1585"/>
      <c r="BW306" s="1585"/>
      <c r="BX306" s="1585"/>
      <c r="BY306" s="1585"/>
      <c r="BZ306" s="1585"/>
      <c r="CA306" s="1585"/>
      <c r="CB306" s="1585"/>
      <c r="CC306" s="1585"/>
      <c r="CD306" s="1585"/>
      <c r="CE306" s="1585"/>
      <c r="CF306" s="1585"/>
      <c r="CG306" s="1585"/>
      <c r="CH306" s="1585"/>
      <c r="CI306" s="1585"/>
      <c r="CJ306" s="1585"/>
      <c r="CK306" s="1585"/>
      <c r="CL306" s="1585"/>
      <c r="CM306" s="1585"/>
      <c r="CN306" s="1585"/>
      <c r="CO306" s="1585"/>
      <c r="CP306" s="1585"/>
      <c r="CQ306" s="1585"/>
      <c r="CR306" s="1585"/>
      <c r="CS306" s="1585"/>
      <c r="CT306" s="1585"/>
      <c r="CU306" s="1585"/>
      <c r="CV306" s="1585"/>
      <c r="CW306" s="1585"/>
      <c r="CX306" s="1585"/>
      <c r="CY306" s="1585"/>
      <c r="CZ306" s="1585"/>
    </row>
    <row r="307" spans="1:104">
      <c r="A307" s="1466"/>
      <c r="B307" s="1583"/>
      <c r="C307" s="1583"/>
      <c r="D307" s="1583"/>
      <c r="E307" s="1585"/>
      <c r="F307" s="1585"/>
      <c r="G307" s="1585"/>
      <c r="H307" s="1585"/>
      <c r="I307" s="1585"/>
      <c r="J307" s="1585"/>
      <c r="K307" s="1585"/>
      <c r="L307" s="1585"/>
      <c r="M307" s="1585"/>
      <c r="N307" s="1585"/>
      <c r="O307" s="1585"/>
      <c r="P307" s="1585"/>
      <c r="Q307" s="1585"/>
      <c r="R307" s="1585"/>
      <c r="S307" s="1585"/>
      <c r="T307" s="1585"/>
      <c r="U307" s="1585"/>
      <c r="V307" s="1585"/>
      <c r="W307" s="1585"/>
      <c r="X307" s="1585"/>
      <c r="Y307" s="1585"/>
      <c r="Z307" s="1585"/>
      <c r="AA307" s="1585"/>
      <c r="AB307" s="1585"/>
      <c r="AC307" s="1585"/>
      <c r="AD307" s="1585"/>
      <c r="AE307" s="1585"/>
      <c r="AF307" s="1585"/>
      <c r="AG307" s="1585"/>
      <c r="AH307" s="1585"/>
      <c r="AI307" s="1585"/>
      <c r="AJ307" s="1585"/>
      <c r="AK307" s="1585"/>
      <c r="AL307" s="1585"/>
      <c r="AM307" s="1585"/>
      <c r="AN307" s="1585"/>
      <c r="AO307" s="1585"/>
      <c r="AP307" s="1585"/>
      <c r="AQ307" s="1585"/>
      <c r="AR307" s="1585"/>
      <c r="AS307" s="1585"/>
      <c r="AT307" s="1585"/>
      <c r="AU307" s="1585"/>
      <c r="AV307" s="1585"/>
      <c r="AW307" s="1585"/>
      <c r="AX307" s="1585"/>
      <c r="AY307" s="1585"/>
      <c r="AZ307" s="1585"/>
      <c r="BA307" s="1585"/>
      <c r="BB307" s="1585"/>
      <c r="BC307" s="1585"/>
      <c r="BD307" s="1585"/>
      <c r="BE307" s="1585"/>
      <c r="BF307" s="1585"/>
      <c r="BG307" s="1585"/>
      <c r="BH307" s="1585"/>
      <c r="BI307" s="1585"/>
      <c r="BJ307" s="1585"/>
      <c r="BK307" s="1585"/>
      <c r="BL307" s="1585"/>
      <c r="BM307" s="1585"/>
      <c r="BN307" s="1585"/>
      <c r="BO307" s="1585"/>
      <c r="BP307" s="1585"/>
      <c r="BQ307" s="1585"/>
      <c r="BR307" s="1585"/>
      <c r="BS307" s="1585"/>
      <c r="BT307" s="1585"/>
      <c r="BU307" s="1585"/>
      <c r="BV307" s="1585"/>
      <c r="BW307" s="1585"/>
      <c r="BX307" s="1585"/>
      <c r="BY307" s="1585"/>
      <c r="BZ307" s="1585"/>
      <c r="CA307" s="1585"/>
      <c r="CB307" s="1585"/>
      <c r="CC307" s="1585"/>
      <c r="CD307" s="1585"/>
      <c r="CE307" s="1585"/>
      <c r="CF307" s="1585"/>
      <c r="CG307" s="1585"/>
      <c r="CH307" s="1585"/>
      <c r="CI307" s="1585"/>
      <c r="CJ307" s="1585"/>
      <c r="CK307" s="1585"/>
      <c r="CL307" s="1585"/>
      <c r="CM307" s="1585"/>
      <c r="CN307" s="1585"/>
      <c r="CO307" s="1585"/>
      <c r="CP307" s="1585"/>
      <c r="CQ307" s="1585"/>
      <c r="CR307" s="1585"/>
      <c r="CS307" s="1585"/>
      <c r="CT307" s="1585"/>
      <c r="CU307" s="1585"/>
      <c r="CV307" s="1585"/>
      <c r="CW307" s="1585"/>
      <c r="CX307" s="1585"/>
      <c r="CY307" s="1585"/>
      <c r="CZ307" s="1585"/>
    </row>
    <row r="308" spans="1:104">
      <c r="A308" s="1466"/>
      <c r="B308" s="1583"/>
      <c r="C308" s="1583"/>
      <c r="D308" s="1583"/>
      <c r="E308" s="1585"/>
      <c r="F308" s="1585"/>
      <c r="G308" s="1585"/>
      <c r="H308" s="1585"/>
      <c r="I308" s="1585"/>
      <c r="J308" s="1585"/>
      <c r="K308" s="1585"/>
      <c r="L308" s="1585"/>
      <c r="M308" s="1585"/>
      <c r="N308" s="1585"/>
      <c r="O308" s="1585"/>
      <c r="P308" s="1585"/>
      <c r="Q308" s="1585"/>
      <c r="R308" s="1585"/>
      <c r="S308" s="1585"/>
      <c r="T308" s="1585"/>
      <c r="U308" s="1585"/>
      <c r="V308" s="1585"/>
      <c r="W308" s="1585"/>
      <c r="X308" s="1585"/>
      <c r="Y308" s="1585"/>
      <c r="Z308" s="1585"/>
      <c r="AA308" s="1585"/>
      <c r="AB308" s="1585"/>
      <c r="AC308" s="1585"/>
      <c r="AD308" s="1585"/>
      <c r="AE308" s="1585"/>
      <c r="AF308" s="1585"/>
      <c r="AG308" s="1585"/>
      <c r="AH308" s="1585"/>
      <c r="AI308" s="1585"/>
      <c r="AJ308" s="1585"/>
      <c r="AK308" s="1585"/>
      <c r="AL308" s="1585"/>
      <c r="AM308" s="1585"/>
      <c r="AN308" s="1585"/>
      <c r="AO308" s="1585"/>
      <c r="AP308" s="1585"/>
      <c r="AQ308" s="1585"/>
      <c r="AR308" s="1585"/>
      <c r="AS308" s="1585"/>
      <c r="AT308" s="1585"/>
      <c r="AU308" s="1585"/>
      <c r="AV308" s="1585"/>
      <c r="AW308" s="1585"/>
      <c r="AX308" s="1585"/>
      <c r="AY308" s="1585"/>
      <c r="AZ308" s="1585"/>
      <c r="BA308" s="1585"/>
      <c r="BB308" s="1585"/>
      <c r="BC308" s="1585"/>
      <c r="BD308" s="1585"/>
      <c r="BE308" s="1585"/>
      <c r="BF308" s="1585"/>
      <c r="BG308" s="1585"/>
      <c r="BH308" s="1585"/>
      <c r="BI308" s="1585"/>
      <c r="BJ308" s="1585"/>
      <c r="BK308" s="1585"/>
      <c r="BL308" s="1585"/>
      <c r="BM308" s="1585"/>
      <c r="BN308" s="1585"/>
      <c r="BO308" s="1585"/>
      <c r="BP308" s="1585"/>
      <c r="BQ308" s="1585"/>
      <c r="BR308" s="1585"/>
      <c r="BS308" s="1585"/>
      <c r="BT308" s="1585"/>
      <c r="BU308" s="1585"/>
      <c r="BV308" s="1585"/>
      <c r="BW308" s="1585"/>
      <c r="BX308" s="1585"/>
      <c r="BY308" s="1585"/>
      <c r="BZ308" s="1585"/>
      <c r="CA308" s="1585"/>
      <c r="CB308" s="1585"/>
      <c r="CC308" s="1585"/>
      <c r="CD308" s="1585"/>
      <c r="CE308" s="1585"/>
      <c r="CF308" s="1585"/>
      <c r="CG308" s="1585"/>
      <c r="CH308" s="1585"/>
      <c r="CI308" s="1585"/>
      <c r="CJ308" s="1585"/>
      <c r="CK308" s="1585"/>
      <c r="CL308" s="1585"/>
      <c r="CM308" s="1585"/>
      <c r="CN308" s="1585"/>
      <c r="CO308" s="1585"/>
      <c r="CP308" s="1585"/>
      <c r="CQ308" s="1585"/>
      <c r="CR308" s="1585"/>
      <c r="CS308" s="1585"/>
      <c r="CT308" s="1585"/>
      <c r="CU308" s="1585"/>
      <c r="CV308" s="1585"/>
      <c r="CW308" s="1585"/>
      <c r="CX308" s="1585"/>
      <c r="CY308" s="1585"/>
      <c r="CZ308" s="1585"/>
    </row>
    <row r="309" spans="1:104">
      <c r="A309" s="1466"/>
      <c r="B309" s="1583"/>
      <c r="C309" s="1583"/>
      <c r="D309" s="1583"/>
      <c r="E309" s="1585"/>
      <c r="F309" s="1585"/>
      <c r="G309" s="1585"/>
      <c r="H309" s="1585"/>
      <c r="I309" s="1585"/>
      <c r="J309" s="1585"/>
      <c r="K309" s="1585"/>
      <c r="L309" s="1585"/>
      <c r="M309" s="1585"/>
      <c r="N309" s="1585"/>
      <c r="O309" s="1585"/>
      <c r="P309" s="1585"/>
      <c r="Q309" s="1585"/>
      <c r="R309" s="1585"/>
      <c r="S309" s="1585"/>
      <c r="T309" s="1585"/>
      <c r="U309" s="1585"/>
      <c r="V309" s="1585"/>
      <c r="W309" s="1585"/>
      <c r="X309" s="1585"/>
      <c r="Y309" s="1585"/>
      <c r="Z309" s="1585"/>
      <c r="AA309" s="1585"/>
      <c r="AB309" s="1585"/>
      <c r="AC309" s="1585"/>
      <c r="AD309" s="1585"/>
      <c r="AE309" s="1585"/>
      <c r="AF309" s="1585"/>
      <c r="AG309" s="1585"/>
      <c r="AH309" s="1585"/>
      <c r="AI309" s="1585"/>
      <c r="AJ309" s="1585"/>
      <c r="AK309" s="1585"/>
      <c r="AL309" s="1585"/>
      <c r="AM309" s="1585"/>
      <c r="AN309" s="1585"/>
      <c r="AO309" s="1585"/>
      <c r="AP309" s="1585"/>
      <c r="AQ309" s="1585"/>
      <c r="AR309" s="1585"/>
      <c r="AS309" s="1585"/>
      <c r="AT309" s="1585"/>
      <c r="AU309" s="1585"/>
      <c r="AV309" s="1585"/>
      <c r="AW309" s="1585"/>
      <c r="AX309" s="1585"/>
      <c r="AY309" s="1585"/>
      <c r="AZ309" s="1585"/>
      <c r="BA309" s="1585"/>
      <c r="BB309" s="1585"/>
      <c r="BC309" s="1585"/>
      <c r="BD309" s="1585"/>
      <c r="BE309" s="1585"/>
      <c r="BF309" s="1585"/>
      <c r="BG309" s="1585"/>
      <c r="BH309" s="1585"/>
      <c r="BI309" s="1585"/>
      <c r="BJ309" s="1585"/>
      <c r="BK309" s="1585"/>
      <c r="BL309" s="1585"/>
      <c r="BM309" s="1585"/>
      <c r="BN309" s="1585"/>
      <c r="BO309" s="1585"/>
      <c r="BP309" s="1585"/>
      <c r="BQ309" s="1585"/>
      <c r="BR309" s="1585"/>
      <c r="BS309" s="1585"/>
      <c r="BT309" s="1585"/>
      <c r="BU309" s="1585"/>
      <c r="BV309" s="1585"/>
      <c r="BW309" s="1585"/>
      <c r="BX309" s="1585"/>
      <c r="BY309" s="1585"/>
      <c r="BZ309" s="1585"/>
      <c r="CA309" s="1585"/>
      <c r="CB309" s="1585"/>
      <c r="CC309" s="1585"/>
      <c r="CD309" s="1585"/>
      <c r="CE309" s="1585"/>
      <c r="CF309" s="1585"/>
      <c r="CG309" s="1585"/>
      <c r="CH309" s="1585"/>
      <c r="CI309" s="1585"/>
      <c r="CJ309" s="1585"/>
      <c r="CK309" s="1585"/>
      <c r="CL309" s="1585"/>
      <c r="CM309" s="1585"/>
      <c r="CN309" s="1585"/>
      <c r="CO309" s="1585"/>
      <c r="CP309" s="1585"/>
      <c r="CQ309" s="1585"/>
      <c r="CR309" s="1585"/>
      <c r="CS309" s="1585"/>
      <c r="CT309" s="1585"/>
      <c r="CU309" s="1585"/>
      <c r="CV309" s="1585"/>
      <c r="CW309" s="1585"/>
      <c r="CX309" s="1585"/>
      <c r="CY309" s="1585"/>
      <c r="CZ309" s="1585"/>
    </row>
    <row r="310" spans="1:104">
      <c r="A310" s="1466"/>
      <c r="B310" s="1583"/>
      <c r="C310" s="1583"/>
      <c r="D310" s="1583"/>
      <c r="E310" s="1585"/>
      <c r="F310" s="1585"/>
      <c r="G310" s="1585"/>
      <c r="H310" s="1585"/>
      <c r="I310" s="1585"/>
      <c r="J310" s="1585"/>
      <c r="K310" s="1585"/>
      <c r="L310" s="1585"/>
      <c r="M310" s="1585"/>
      <c r="N310" s="1585"/>
      <c r="O310" s="1585"/>
      <c r="P310" s="1585"/>
      <c r="Q310" s="1585"/>
      <c r="R310" s="1585"/>
      <c r="S310" s="1585"/>
      <c r="T310" s="1585"/>
      <c r="U310" s="1585"/>
      <c r="V310" s="1585"/>
      <c r="W310" s="1585"/>
      <c r="X310" s="1585"/>
      <c r="Y310" s="1585"/>
      <c r="Z310" s="1585"/>
      <c r="AA310" s="1585"/>
      <c r="AB310" s="1585"/>
      <c r="AC310" s="1585"/>
      <c r="AD310" s="1585"/>
      <c r="AE310" s="1585"/>
      <c r="AF310" s="1585"/>
      <c r="AG310" s="1585"/>
      <c r="AH310" s="1585"/>
      <c r="AI310" s="1585"/>
      <c r="AJ310" s="1585"/>
      <c r="AK310" s="1585"/>
      <c r="AL310" s="1585"/>
      <c r="AM310" s="1585"/>
      <c r="AN310" s="1585"/>
      <c r="AO310" s="1585"/>
      <c r="AP310" s="1585"/>
      <c r="AQ310" s="1585"/>
      <c r="AR310" s="1585"/>
      <c r="AS310" s="1585"/>
      <c r="AT310" s="1585"/>
      <c r="AU310" s="1585"/>
      <c r="AV310" s="1585"/>
      <c r="AW310" s="1585"/>
      <c r="AX310" s="1585"/>
      <c r="AY310" s="1585"/>
      <c r="AZ310" s="1585"/>
      <c r="BA310" s="1585"/>
      <c r="BB310" s="1585"/>
      <c r="BC310" s="1585"/>
      <c r="BD310" s="1585"/>
      <c r="BE310" s="1585"/>
      <c r="BF310" s="1585"/>
      <c r="BG310" s="1585"/>
      <c r="BH310" s="1585"/>
      <c r="BI310" s="1585"/>
      <c r="BJ310" s="1585"/>
      <c r="BK310" s="1585"/>
      <c r="BL310" s="1585"/>
      <c r="BM310" s="1585"/>
      <c r="BN310" s="1585"/>
      <c r="BO310" s="1585"/>
      <c r="BP310" s="1585"/>
      <c r="BQ310" s="1585"/>
      <c r="BR310" s="1585"/>
      <c r="BS310" s="1585"/>
      <c r="BT310" s="1585"/>
      <c r="BU310" s="1585"/>
      <c r="BV310" s="1585"/>
      <c r="BW310" s="1585"/>
      <c r="BX310" s="1585"/>
      <c r="BY310" s="1585"/>
      <c r="BZ310" s="1585"/>
      <c r="CA310" s="1585"/>
      <c r="CB310" s="1585"/>
      <c r="CC310" s="1585"/>
      <c r="CD310" s="1585"/>
      <c r="CE310" s="1585"/>
      <c r="CF310" s="1585"/>
      <c r="CG310" s="1585"/>
      <c r="CH310" s="1585"/>
      <c r="CI310" s="1585"/>
      <c r="CJ310" s="1585"/>
      <c r="CK310" s="1585"/>
      <c r="CL310" s="1585"/>
      <c r="CM310" s="1585"/>
      <c r="CN310" s="1585"/>
      <c r="CO310" s="1585"/>
      <c r="CP310" s="1585"/>
      <c r="CQ310" s="1585"/>
      <c r="CR310" s="1585"/>
      <c r="CS310" s="1585"/>
      <c r="CT310" s="1585"/>
      <c r="CU310" s="1585"/>
      <c r="CV310" s="1585"/>
      <c r="CW310" s="1585"/>
      <c r="CX310" s="1585"/>
      <c r="CY310" s="1585"/>
      <c r="CZ310" s="1585"/>
    </row>
    <row r="311" spans="1:104">
      <c r="A311" s="1466"/>
      <c r="B311" s="1583"/>
      <c r="C311" s="1583"/>
      <c r="D311" s="1583"/>
      <c r="E311" s="1585"/>
      <c r="F311" s="1585"/>
      <c r="G311" s="1585"/>
      <c r="H311" s="1585"/>
      <c r="I311" s="1585"/>
      <c r="J311" s="1585"/>
      <c r="K311" s="1585"/>
      <c r="L311" s="1585"/>
      <c r="M311" s="1585"/>
      <c r="N311" s="1585"/>
      <c r="O311" s="1585"/>
      <c r="P311" s="1585"/>
      <c r="Q311" s="1585"/>
      <c r="R311" s="1585"/>
      <c r="S311" s="1585"/>
      <c r="T311" s="1585"/>
      <c r="U311" s="1585"/>
      <c r="V311" s="1585"/>
      <c r="W311" s="1585"/>
      <c r="X311" s="1585"/>
      <c r="Y311" s="1585"/>
      <c r="Z311" s="1585"/>
      <c r="AA311" s="1585"/>
      <c r="AB311" s="1585"/>
      <c r="AC311" s="1585"/>
      <c r="AD311" s="1585"/>
      <c r="AE311" s="1585"/>
      <c r="AF311" s="1585"/>
      <c r="AG311" s="1585"/>
      <c r="AH311" s="1585"/>
      <c r="AI311" s="1585"/>
      <c r="AJ311" s="1585"/>
      <c r="AK311" s="1585"/>
      <c r="AL311" s="1585"/>
      <c r="AM311" s="1585"/>
      <c r="AN311" s="1585"/>
      <c r="AO311" s="1585"/>
      <c r="AP311" s="1585"/>
      <c r="AQ311" s="1585"/>
      <c r="AR311" s="1585"/>
      <c r="AS311" s="1585"/>
      <c r="AT311" s="1585"/>
      <c r="AU311" s="1585"/>
      <c r="AV311" s="1585"/>
      <c r="AW311" s="1585"/>
      <c r="AX311" s="1585"/>
      <c r="AY311" s="1585"/>
      <c r="AZ311" s="1585"/>
      <c r="BA311" s="1585"/>
      <c r="BB311" s="1585"/>
      <c r="BC311" s="1585"/>
      <c r="BD311" s="1585"/>
      <c r="BE311" s="1585"/>
      <c r="BF311" s="1585"/>
      <c r="BG311" s="1585"/>
      <c r="BH311" s="1585"/>
      <c r="BI311" s="1585"/>
      <c r="BJ311" s="1585"/>
      <c r="BK311" s="1585"/>
      <c r="BL311" s="1585"/>
      <c r="BM311" s="1585"/>
      <c r="BN311" s="1585"/>
      <c r="BO311" s="1585"/>
      <c r="BP311" s="1585"/>
      <c r="BQ311" s="1585"/>
      <c r="BR311" s="1585"/>
      <c r="BS311" s="1585"/>
      <c r="BT311" s="1585"/>
      <c r="BU311" s="1585"/>
      <c r="BV311" s="1585"/>
      <c r="BW311" s="1585"/>
      <c r="BX311" s="1585"/>
      <c r="BY311" s="1585"/>
      <c r="BZ311" s="1585"/>
      <c r="CA311" s="1585"/>
      <c r="CB311" s="1585"/>
      <c r="CC311" s="1585"/>
      <c r="CD311" s="1585"/>
      <c r="CE311" s="1585"/>
      <c r="CF311" s="1585"/>
      <c r="CG311" s="1585"/>
      <c r="CH311" s="1585"/>
      <c r="CI311" s="1585"/>
      <c r="CJ311" s="1585"/>
      <c r="CK311" s="1585"/>
      <c r="CL311" s="1585"/>
      <c r="CM311" s="1585"/>
      <c r="CN311" s="1585"/>
      <c r="CO311" s="1585"/>
      <c r="CP311" s="1585"/>
      <c r="CQ311" s="1585"/>
      <c r="CR311" s="1585"/>
      <c r="CS311" s="1585"/>
      <c r="CT311" s="1585"/>
      <c r="CU311" s="1585"/>
      <c r="CV311" s="1585"/>
      <c r="CW311" s="1585"/>
      <c r="CX311" s="1585"/>
      <c r="CY311" s="1585"/>
      <c r="CZ311" s="1585"/>
    </row>
    <row r="312" spans="1:104">
      <c r="A312" s="1466"/>
      <c r="B312" s="1583"/>
      <c r="C312" s="1583"/>
      <c r="D312" s="1583"/>
      <c r="E312" s="1585"/>
      <c r="F312" s="1585"/>
      <c r="G312" s="1585"/>
      <c r="H312" s="1585"/>
      <c r="I312" s="1585"/>
      <c r="J312" s="1585"/>
      <c r="K312" s="1585"/>
      <c r="L312" s="1585"/>
      <c r="M312" s="1585"/>
      <c r="N312" s="1585"/>
      <c r="O312" s="1585"/>
      <c r="P312" s="1585"/>
      <c r="Q312" s="1585"/>
      <c r="R312" s="1585"/>
      <c r="S312" s="1585"/>
      <c r="T312" s="1585"/>
      <c r="U312" s="1585"/>
      <c r="V312" s="1585"/>
      <c r="W312" s="1585"/>
      <c r="X312" s="1585"/>
      <c r="Y312" s="1585"/>
      <c r="Z312" s="1585"/>
      <c r="AA312" s="1585"/>
      <c r="AB312" s="1585"/>
      <c r="AC312" s="1585"/>
      <c r="AD312" s="1585"/>
      <c r="AE312" s="1585"/>
      <c r="AF312" s="1585"/>
      <c r="AG312" s="1585"/>
      <c r="AH312" s="1585"/>
      <c r="AI312" s="1585"/>
      <c r="AJ312" s="1585"/>
      <c r="AK312" s="1585"/>
      <c r="AL312" s="1585"/>
      <c r="AM312" s="1585"/>
      <c r="AN312" s="1585"/>
      <c r="AO312" s="1585"/>
      <c r="AP312" s="1585"/>
      <c r="AQ312" s="1585"/>
      <c r="AR312" s="1585"/>
      <c r="AS312" s="1585"/>
      <c r="AT312" s="1585"/>
      <c r="AU312" s="1585"/>
      <c r="AV312" s="1585"/>
      <c r="AW312" s="1585"/>
      <c r="AX312" s="1585"/>
      <c r="AY312" s="1585"/>
      <c r="AZ312" s="1585"/>
      <c r="BA312" s="1585"/>
      <c r="BB312" s="1585"/>
      <c r="BC312" s="1585"/>
      <c r="BD312" s="1585"/>
      <c r="BE312" s="1585"/>
      <c r="BF312" s="1585"/>
      <c r="BG312" s="1585"/>
      <c r="BH312" s="1585"/>
      <c r="BI312" s="1585"/>
      <c r="BJ312" s="1585"/>
      <c r="BK312" s="1585"/>
      <c r="BL312" s="1585"/>
      <c r="BM312" s="1585"/>
      <c r="BN312" s="1585"/>
      <c r="BO312" s="1585"/>
      <c r="BP312" s="1585"/>
      <c r="BQ312" s="1585"/>
      <c r="BR312" s="1585"/>
      <c r="BS312" s="1585"/>
      <c r="BT312" s="1585"/>
      <c r="BU312" s="1585"/>
      <c r="BV312" s="1585"/>
      <c r="BW312" s="1585"/>
      <c r="BX312" s="1585"/>
      <c r="BY312" s="1585"/>
      <c r="BZ312" s="1585"/>
      <c r="CA312" s="1585"/>
      <c r="CB312" s="1585"/>
      <c r="CC312" s="1585"/>
      <c r="CD312" s="1585"/>
      <c r="CE312" s="1585"/>
      <c r="CF312" s="1585"/>
      <c r="CG312" s="1585"/>
      <c r="CH312" s="1585"/>
      <c r="CI312" s="1585"/>
      <c r="CJ312" s="1585"/>
      <c r="CK312" s="1585"/>
      <c r="CL312" s="1585"/>
      <c r="CM312" s="1585"/>
      <c r="CN312" s="1585"/>
      <c r="CO312" s="1585"/>
      <c r="CP312" s="1585"/>
      <c r="CQ312" s="1585"/>
      <c r="CR312" s="1585"/>
      <c r="CS312" s="1585"/>
      <c r="CT312" s="1585"/>
      <c r="CU312" s="1585"/>
      <c r="CV312" s="1585"/>
      <c r="CW312" s="1585"/>
      <c r="CX312" s="1585"/>
      <c r="CY312" s="1585"/>
      <c r="CZ312" s="1585"/>
    </row>
    <row r="313" spans="1:104">
      <c r="A313" s="1466"/>
      <c r="B313" s="1583"/>
      <c r="C313" s="1583"/>
      <c r="D313" s="1583"/>
      <c r="E313" s="1585"/>
      <c r="F313" s="1585"/>
      <c r="G313" s="1585"/>
      <c r="H313" s="1585"/>
      <c r="I313" s="1585"/>
      <c r="J313" s="1585"/>
      <c r="K313" s="1585"/>
      <c r="L313" s="1585"/>
      <c r="M313" s="1585"/>
      <c r="N313" s="1585"/>
      <c r="O313" s="1585"/>
      <c r="P313" s="1585"/>
      <c r="Q313" s="1585"/>
      <c r="R313" s="1585"/>
      <c r="S313" s="1585"/>
      <c r="T313" s="1585"/>
      <c r="U313" s="1585"/>
      <c r="V313" s="1585"/>
      <c r="W313" s="1585"/>
      <c r="X313" s="1585"/>
      <c r="Y313" s="1585"/>
      <c r="Z313" s="1585"/>
      <c r="AA313" s="1585"/>
      <c r="AB313" s="1585"/>
      <c r="AC313" s="1585"/>
      <c r="AD313" s="1585"/>
      <c r="AE313" s="1585"/>
      <c r="AF313" s="1585"/>
      <c r="AG313" s="1585"/>
      <c r="AH313" s="1585"/>
      <c r="AI313" s="1585"/>
      <c r="AJ313" s="1585"/>
      <c r="AK313" s="1585"/>
      <c r="AL313" s="1585"/>
      <c r="AM313" s="1585"/>
      <c r="AN313" s="1585"/>
      <c r="AO313" s="1585"/>
      <c r="AP313" s="1585"/>
      <c r="AQ313" s="1585"/>
      <c r="AR313" s="1585"/>
      <c r="AS313" s="1585"/>
      <c r="AT313" s="1585"/>
      <c r="AU313" s="1585"/>
      <c r="AV313" s="1585"/>
      <c r="AW313" s="1585"/>
      <c r="AX313" s="1585"/>
      <c r="AY313" s="1585"/>
      <c r="AZ313" s="1585"/>
      <c r="BA313" s="1585"/>
      <c r="BB313" s="1585"/>
      <c r="BC313" s="1585"/>
      <c r="BD313" s="1585"/>
      <c r="BE313" s="1585"/>
      <c r="BF313" s="1585"/>
      <c r="BG313" s="1585"/>
      <c r="BH313" s="1585"/>
      <c r="BI313" s="1585"/>
      <c r="BJ313" s="1585"/>
      <c r="BK313" s="1585"/>
      <c r="BL313" s="1585"/>
      <c r="BM313" s="1585"/>
      <c r="BN313" s="1585"/>
      <c r="BO313" s="1585"/>
      <c r="BP313" s="1585"/>
      <c r="BQ313" s="1585"/>
      <c r="BR313" s="1585"/>
      <c r="BS313" s="1585"/>
      <c r="BT313" s="1585"/>
      <c r="BU313" s="1585"/>
      <c r="BV313" s="1585"/>
      <c r="BW313" s="1585"/>
      <c r="BX313" s="1585"/>
      <c r="BY313" s="1585"/>
      <c r="BZ313" s="1585"/>
      <c r="CA313" s="1585"/>
      <c r="CB313" s="1585"/>
      <c r="CC313" s="1585"/>
      <c r="CD313" s="1585"/>
      <c r="CE313" s="1585"/>
      <c r="CF313" s="1585"/>
      <c r="CG313" s="1585"/>
      <c r="CH313" s="1585"/>
      <c r="CI313" s="1585"/>
      <c r="CJ313" s="1585"/>
      <c r="CK313" s="1585"/>
      <c r="CL313" s="1585"/>
      <c r="CM313" s="1585"/>
      <c r="CN313" s="1585"/>
      <c r="CO313" s="1585"/>
      <c r="CP313" s="1585"/>
      <c r="CQ313" s="1585"/>
      <c r="CR313" s="1585"/>
      <c r="CS313" s="1585"/>
      <c r="CT313" s="1585"/>
      <c r="CU313" s="1585"/>
      <c r="CV313" s="1585"/>
      <c r="CW313" s="1585"/>
      <c r="CX313" s="1585"/>
      <c r="CY313" s="1585"/>
      <c r="CZ313" s="1585"/>
    </row>
    <row r="314" spans="1:104">
      <c r="A314" s="1466"/>
      <c r="B314" s="1583"/>
      <c r="C314" s="1583"/>
      <c r="D314" s="1583"/>
      <c r="E314" s="1585"/>
      <c r="F314" s="1585"/>
      <c r="G314" s="1585"/>
      <c r="H314" s="1585"/>
      <c r="I314" s="1585"/>
      <c r="J314" s="1585"/>
      <c r="K314" s="1585"/>
      <c r="L314" s="1585"/>
      <c r="M314" s="1585"/>
      <c r="N314" s="1585"/>
      <c r="O314" s="1585"/>
      <c r="P314" s="1585"/>
      <c r="Q314" s="1585"/>
      <c r="R314" s="1585"/>
      <c r="S314" s="1585"/>
      <c r="T314" s="1585"/>
      <c r="U314" s="1585"/>
      <c r="V314" s="1585"/>
      <c r="W314" s="1585"/>
      <c r="X314" s="1585"/>
      <c r="Y314" s="1585"/>
      <c r="Z314" s="1585"/>
      <c r="AA314" s="1585"/>
      <c r="AB314" s="1585"/>
      <c r="AC314" s="1585"/>
      <c r="AD314" s="1585"/>
      <c r="AE314" s="1585"/>
      <c r="AF314" s="1585"/>
      <c r="AG314" s="1585"/>
      <c r="AH314" s="1585"/>
      <c r="AI314" s="1585"/>
      <c r="AJ314" s="1585"/>
      <c r="AK314" s="1585"/>
      <c r="AL314" s="1585"/>
      <c r="AM314" s="1585"/>
      <c r="AN314" s="1585"/>
      <c r="AO314" s="1585"/>
      <c r="AP314" s="1585"/>
      <c r="AQ314" s="1585"/>
      <c r="AR314" s="1585"/>
      <c r="AS314" s="1585"/>
      <c r="AT314" s="1585"/>
      <c r="AU314" s="1585"/>
      <c r="AV314" s="1585"/>
      <c r="AW314" s="1585"/>
      <c r="AX314" s="1585"/>
      <c r="AY314" s="1585"/>
      <c r="AZ314" s="1585"/>
      <c r="BA314" s="1585"/>
      <c r="BB314" s="1585"/>
      <c r="BC314" s="1585"/>
      <c r="BD314" s="1585"/>
      <c r="BE314" s="1585"/>
      <c r="BF314" s="1585"/>
      <c r="BG314" s="1585"/>
      <c r="BH314" s="1585"/>
      <c r="BI314" s="1585"/>
      <c r="BJ314" s="1585"/>
      <c r="BK314" s="1585"/>
      <c r="BL314" s="1585"/>
      <c r="BM314" s="1585"/>
      <c r="BN314" s="1585"/>
      <c r="BO314" s="1585"/>
      <c r="BP314" s="1585"/>
      <c r="BQ314" s="1585"/>
      <c r="BR314" s="1585"/>
      <c r="BS314" s="1585"/>
      <c r="BT314" s="1585"/>
      <c r="BU314" s="1585"/>
      <c r="BV314" s="1585"/>
      <c r="BW314" s="1585"/>
      <c r="BX314" s="1585"/>
      <c r="BY314" s="1585"/>
      <c r="BZ314" s="1585"/>
      <c r="CA314" s="1585"/>
      <c r="CB314" s="1585"/>
      <c r="CC314" s="1585"/>
      <c r="CD314" s="1585"/>
      <c r="CE314" s="1585"/>
      <c r="CF314" s="1585"/>
      <c r="CG314" s="1585"/>
      <c r="CH314" s="1585"/>
      <c r="CI314" s="1585"/>
      <c r="CJ314" s="1585"/>
      <c r="CK314" s="1585"/>
      <c r="CL314" s="1585"/>
      <c r="CM314" s="1585"/>
      <c r="CN314" s="1585"/>
      <c r="CO314" s="1585"/>
      <c r="CP314" s="1585"/>
      <c r="CQ314" s="1585"/>
      <c r="CR314" s="1585"/>
      <c r="CS314" s="1585"/>
      <c r="CT314" s="1585"/>
      <c r="CU314" s="1585"/>
      <c r="CV314" s="1585"/>
      <c r="CW314" s="1585"/>
      <c r="CX314" s="1585"/>
      <c r="CY314" s="1585"/>
      <c r="CZ314" s="1585"/>
    </row>
    <row r="315" spans="1:104">
      <c r="A315" s="1466"/>
      <c r="B315" s="1583"/>
      <c r="C315" s="1583"/>
      <c r="D315" s="1583"/>
      <c r="E315" s="1585"/>
      <c r="F315" s="1585"/>
      <c r="G315" s="1585"/>
      <c r="H315" s="1585"/>
      <c r="I315" s="1585"/>
      <c r="J315" s="1585"/>
      <c r="K315" s="1585"/>
      <c r="L315" s="1585"/>
      <c r="M315" s="1585"/>
      <c r="N315" s="1585"/>
      <c r="O315" s="1585"/>
      <c r="P315" s="1585"/>
      <c r="Q315" s="1585"/>
      <c r="R315" s="1585"/>
      <c r="S315" s="1585"/>
      <c r="T315" s="1585"/>
      <c r="U315" s="1585"/>
      <c r="V315" s="1585"/>
      <c r="W315" s="1585"/>
      <c r="X315" s="1585"/>
      <c r="Y315" s="1585"/>
      <c r="Z315" s="1585"/>
      <c r="AA315" s="1585"/>
      <c r="AB315" s="1585"/>
      <c r="AC315" s="1585"/>
      <c r="AD315" s="1585"/>
      <c r="AE315" s="1585"/>
      <c r="AF315" s="1585"/>
      <c r="AG315" s="1585"/>
      <c r="AH315" s="1585"/>
      <c r="AI315" s="1585"/>
      <c r="AJ315" s="1585"/>
      <c r="AK315" s="1585"/>
      <c r="AL315" s="1585"/>
      <c r="AM315" s="1585"/>
      <c r="AN315" s="1585"/>
      <c r="AO315" s="1585"/>
      <c r="AP315" s="1585"/>
      <c r="AQ315" s="1585"/>
      <c r="AR315" s="1585"/>
      <c r="AS315" s="1585"/>
      <c r="AT315" s="1585"/>
      <c r="AU315" s="1585"/>
      <c r="AV315" s="1585"/>
      <c r="AW315" s="1585"/>
      <c r="AX315" s="1585"/>
      <c r="AY315" s="1585"/>
      <c r="AZ315" s="1585"/>
      <c r="BA315" s="1585"/>
      <c r="BB315" s="1585"/>
      <c r="BC315" s="1585"/>
      <c r="BD315" s="1585"/>
      <c r="BE315" s="1585"/>
      <c r="BF315" s="1585"/>
      <c r="BG315" s="1585"/>
      <c r="BH315" s="1585"/>
      <c r="BI315" s="1585"/>
      <c r="BJ315" s="1585"/>
      <c r="BK315" s="1585"/>
      <c r="BL315" s="1585"/>
      <c r="BM315" s="1585"/>
      <c r="BN315" s="1585"/>
      <c r="BO315" s="1585"/>
      <c r="BP315" s="1585"/>
      <c r="BQ315" s="1585"/>
      <c r="BR315" s="1585"/>
      <c r="BS315" s="1585"/>
      <c r="BT315" s="1585"/>
      <c r="BU315" s="1585"/>
      <c r="BV315" s="1585"/>
      <c r="BW315" s="1585"/>
      <c r="BX315" s="1585"/>
      <c r="BY315" s="1585"/>
      <c r="BZ315" s="1585"/>
      <c r="CA315" s="1585"/>
      <c r="CB315" s="1585"/>
      <c r="CC315" s="1585"/>
      <c r="CD315" s="1585"/>
      <c r="CE315" s="1585"/>
      <c r="CF315" s="1585"/>
      <c r="CG315" s="1585"/>
      <c r="CH315" s="1585"/>
      <c r="CI315" s="1585"/>
      <c r="CJ315" s="1585"/>
      <c r="CK315" s="1585"/>
      <c r="CL315" s="1585"/>
      <c r="CM315" s="1585"/>
      <c r="CN315" s="1585"/>
      <c r="CO315" s="1585"/>
      <c r="CP315" s="1585"/>
      <c r="CQ315" s="1585"/>
      <c r="CR315" s="1585"/>
      <c r="CS315" s="1585"/>
      <c r="CT315" s="1585"/>
      <c r="CU315" s="1585"/>
      <c r="CV315" s="1585"/>
      <c r="CW315" s="1585"/>
      <c r="CX315" s="1585"/>
      <c r="CY315" s="1585"/>
      <c r="CZ315" s="1585"/>
    </row>
    <row r="316" spans="1:104">
      <c r="A316" s="1466"/>
      <c r="B316" s="1583"/>
      <c r="C316" s="1583"/>
      <c r="D316" s="1583"/>
      <c r="E316" s="1585"/>
      <c r="F316" s="1585"/>
      <c r="G316" s="1585"/>
      <c r="H316" s="1585"/>
      <c r="I316" s="1585"/>
      <c r="J316" s="1585"/>
      <c r="K316" s="1585"/>
      <c r="L316" s="1585"/>
      <c r="M316" s="1585"/>
      <c r="N316" s="1585"/>
      <c r="O316" s="1585"/>
      <c r="P316" s="1585"/>
      <c r="Q316" s="1585"/>
      <c r="R316" s="1585"/>
      <c r="S316" s="1585"/>
      <c r="T316" s="1585"/>
      <c r="U316" s="1585"/>
      <c r="V316" s="1585"/>
      <c r="W316" s="1585"/>
      <c r="X316" s="1585"/>
      <c r="Y316" s="1585"/>
      <c r="Z316" s="1585"/>
      <c r="AA316" s="1585"/>
      <c r="AB316" s="1585"/>
      <c r="AC316" s="1585"/>
      <c r="AD316" s="1585"/>
      <c r="AE316" s="1585"/>
      <c r="AF316" s="1585"/>
      <c r="AG316" s="1585"/>
      <c r="AH316" s="1585"/>
      <c r="AI316" s="1585"/>
      <c r="AJ316" s="1585"/>
      <c r="AK316" s="1585"/>
      <c r="AL316" s="1585"/>
      <c r="AM316" s="1585"/>
      <c r="AN316" s="1585"/>
      <c r="AO316" s="1585"/>
      <c r="AP316" s="1585"/>
      <c r="AQ316" s="1585"/>
      <c r="AR316" s="1585"/>
      <c r="AS316" s="1585"/>
      <c r="AT316" s="1585"/>
      <c r="AU316" s="1585"/>
      <c r="AV316" s="1585"/>
      <c r="AW316" s="1585"/>
      <c r="AX316" s="1585"/>
      <c r="AY316" s="1585"/>
      <c r="AZ316" s="1585"/>
      <c r="BA316" s="1585"/>
      <c r="BB316" s="1585"/>
      <c r="BC316" s="1585"/>
      <c r="BD316" s="1585"/>
      <c r="BE316" s="1585"/>
      <c r="BF316" s="1585"/>
      <c r="BG316" s="1585"/>
      <c r="BH316" s="1585"/>
      <c r="BI316" s="1585"/>
      <c r="BJ316" s="1585"/>
      <c r="BK316" s="1585"/>
      <c r="BL316" s="1585"/>
      <c r="BM316" s="1585"/>
      <c r="BN316" s="1585"/>
      <c r="BO316" s="1585"/>
      <c r="BP316" s="1585"/>
      <c r="BQ316" s="1585"/>
      <c r="BR316" s="1585"/>
      <c r="BS316" s="1585"/>
      <c r="BT316" s="1585"/>
      <c r="BU316" s="1585"/>
      <c r="BV316" s="1585"/>
      <c r="BW316" s="1585"/>
      <c r="BX316" s="1585"/>
      <c r="BY316" s="1585"/>
      <c r="BZ316" s="1585"/>
      <c r="CA316" s="1585"/>
      <c r="CB316" s="1585"/>
      <c r="CC316" s="1585"/>
      <c r="CD316" s="1585"/>
      <c r="CE316" s="1585"/>
      <c r="CF316" s="1585"/>
      <c r="CG316" s="1585"/>
      <c r="CH316" s="1585"/>
      <c r="CI316" s="1585"/>
      <c r="CJ316" s="1585"/>
      <c r="CK316" s="1585"/>
      <c r="CL316" s="1585"/>
      <c r="CM316" s="1585"/>
      <c r="CN316" s="1585"/>
      <c r="CO316" s="1585"/>
      <c r="CP316" s="1585"/>
      <c r="CQ316" s="1585"/>
      <c r="CR316" s="1585"/>
      <c r="CS316" s="1585"/>
      <c r="CT316" s="1585"/>
      <c r="CU316" s="1585"/>
      <c r="CV316" s="1585"/>
      <c r="CW316" s="1585"/>
      <c r="CX316" s="1585"/>
      <c r="CY316" s="1585"/>
      <c r="CZ316" s="1585"/>
    </row>
    <row r="317" spans="1:104">
      <c r="A317" s="1466"/>
      <c r="B317" s="1583"/>
      <c r="C317" s="1583"/>
      <c r="D317" s="1583"/>
      <c r="E317" s="1585"/>
      <c r="F317" s="1585"/>
      <c r="G317" s="1585"/>
      <c r="H317" s="1585"/>
      <c r="I317" s="1585"/>
      <c r="J317" s="1585"/>
      <c r="K317" s="1585"/>
      <c r="L317" s="1585"/>
      <c r="M317" s="1585"/>
      <c r="N317" s="1585"/>
      <c r="O317" s="1585"/>
      <c r="P317" s="1585"/>
      <c r="Q317" s="1585"/>
      <c r="R317" s="1585"/>
      <c r="S317" s="1585"/>
      <c r="T317" s="1585"/>
      <c r="U317" s="1585"/>
      <c r="V317" s="1585"/>
      <c r="W317" s="1585"/>
      <c r="X317" s="1585"/>
      <c r="Y317" s="1585"/>
      <c r="Z317" s="1585"/>
      <c r="AA317" s="1585"/>
      <c r="AB317" s="1585"/>
      <c r="AC317" s="1585"/>
      <c r="AD317" s="1585"/>
      <c r="AE317" s="1585"/>
      <c r="AF317" s="1585"/>
      <c r="AG317" s="1585"/>
      <c r="AH317" s="1585"/>
      <c r="AI317" s="1585"/>
      <c r="AJ317" s="1585"/>
      <c r="AK317" s="1585"/>
      <c r="AL317" s="1585"/>
      <c r="AM317" s="1585"/>
      <c r="AN317" s="1585"/>
      <c r="AO317" s="1585"/>
      <c r="AP317" s="1585"/>
      <c r="AQ317" s="1585"/>
      <c r="AR317" s="1585"/>
      <c r="AS317" s="1585"/>
      <c r="AT317" s="1585"/>
      <c r="AU317" s="1585"/>
      <c r="AV317" s="1585"/>
      <c r="AW317" s="1585"/>
      <c r="AX317" s="1585"/>
      <c r="AY317" s="1585"/>
      <c r="AZ317" s="1585"/>
      <c r="BA317" s="1585"/>
      <c r="BB317" s="1585"/>
      <c r="BC317" s="1585"/>
      <c r="BD317" s="1585"/>
      <c r="BE317" s="1585"/>
      <c r="BF317" s="1585"/>
      <c r="BG317" s="1585"/>
      <c r="BH317" s="1585"/>
      <c r="BI317" s="1585"/>
      <c r="BJ317" s="1585"/>
      <c r="BK317" s="1585"/>
      <c r="BL317" s="1585"/>
      <c r="BM317" s="1585"/>
      <c r="BN317" s="1585"/>
      <c r="BO317" s="1585"/>
      <c r="BP317" s="1585"/>
      <c r="BQ317" s="1585"/>
      <c r="BR317" s="1585"/>
      <c r="BS317" s="1585"/>
      <c r="BT317" s="1585"/>
      <c r="BU317" s="1585"/>
      <c r="BV317" s="1585"/>
      <c r="BW317" s="1585"/>
      <c r="BX317" s="1585"/>
      <c r="BY317" s="1585"/>
      <c r="BZ317" s="1585"/>
      <c r="CA317" s="1585"/>
      <c r="CB317" s="1585"/>
      <c r="CC317" s="1585"/>
      <c r="CD317" s="1585"/>
      <c r="CE317" s="1585"/>
      <c r="CF317" s="1585"/>
      <c r="CG317" s="1585"/>
      <c r="CH317" s="1585"/>
      <c r="CI317" s="1585"/>
      <c r="CJ317" s="1585"/>
      <c r="CK317" s="1585"/>
      <c r="CL317" s="1585"/>
      <c r="CM317" s="1585"/>
      <c r="CN317" s="1585"/>
      <c r="CO317" s="1585"/>
      <c r="CP317" s="1585"/>
      <c r="CQ317" s="1585"/>
      <c r="CR317" s="1585"/>
      <c r="CS317" s="1585"/>
      <c r="CT317" s="1585"/>
      <c r="CU317" s="1585"/>
      <c r="CV317" s="1585"/>
      <c r="CW317" s="1585"/>
      <c r="CX317" s="1585"/>
      <c r="CY317" s="1585"/>
      <c r="CZ317" s="1585"/>
    </row>
    <row r="318" spans="1:104">
      <c r="A318" s="1466"/>
      <c r="B318" s="1583"/>
      <c r="C318" s="1583"/>
      <c r="D318" s="1583"/>
      <c r="E318" s="1585"/>
      <c r="F318" s="1585"/>
      <c r="G318" s="1585"/>
      <c r="H318" s="1585"/>
      <c r="I318" s="1585"/>
      <c r="J318" s="1585"/>
      <c r="K318" s="1585"/>
      <c r="L318" s="1585"/>
      <c r="M318" s="1585"/>
      <c r="N318" s="1585"/>
      <c r="O318" s="1585"/>
      <c r="P318" s="1585"/>
      <c r="Q318" s="1585"/>
      <c r="R318" s="1585"/>
      <c r="S318" s="1585"/>
      <c r="T318" s="1585"/>
      <c r="U318" s="1585"/>
      <c r="V318" s="1585"/>
      <c r="W318" s="1585"/>
      <c r="X318" s="1585"/>
      <c r="Y318" s="1585"/>
      <c r="Z318" s="1585"/>
      <c r="AA318" s="1585"/>
      <c r="AB318" s="1585"/>
      <c r="AC318" s="1585"/>
      <c r="AD318" s="1585"/>
      <c r="AE318" s="1585"/>
      <c r="AF318" s="1585"/>
      <c r="AG318" s="1585"/>
      <c r="AH318" s="1585"/>
      <c r="AI318" s="1585"/>
      <c r="AJ318" s="1585"/>
      <c r="AK318" s="1585"/>
      <c r="AL318" s="1585"/>
      <c r="AM318" s="1585"/>
      <c r="AN318" s="1585"/>
      <c r="AO318" s="1585"/>
      <c r="AP318" s="1585"/>
      <c r="AQ318" s="1585"/>
      <c r="AR318" s="1585"/>
      <c r="AS318" s="1585"/>
      <c r="AT318" s="1585"/>
      <c r="AU318" s="1585"/>
      <c r="AV318" s="1585"/>
      <c r="AW318" s="1585"/>
      <c r="AX318" s="1585"/>
      <c r="AY318" s="1585"/>
      <c r="AZ318" s="1585"/>
      <c r="BA318" s="1585"/>
      <c r="BB318" s="1585"/>
      <c r="BC318" s="1585"/>
      <c r="BD318" s="1585"/>
      <c r="BE318" s="1585"/>
      <c r="BF318" s="1585"/>
      <c r="BG318" s="1585"/>
      <c r="BH318" s="1585"/>
      <c r="BI318" s="1585"/>
      <c r="BJ318" s="1585"/>
      <c r="BK318" s="1585"/>
      <c r="BL318" s="1585"/>
      <c r="BM318" s="1585"/>
      <c r="BN318" s="1585"/>
      <c r="BO318" s="1585"/>
      <c r="BP318" s="1585"/>
      <c r="BQ318" s="1585"/>
      <c r="BR318" s="1585"/>
      <c r="BS318" s="1585"/>
      <c r="BT318" s="1585"/>
      <c r="BU318" s="1585"/>
      <c r="BV318" s="1585"/>
      <c r="BW318" s="1585"/>
      <c r="BX318" s="1585"/>
      <c r="BY318" s="1585"/>
      <c r="BZ318" s="1585"/>
      <c r="CA318" s="1585"/>
      <c r="CB318" s="1585"/>
      <c r="CC318" s="1585"/>
      <c r="CD318" s="1585"/>
      <c r="CE318" s="1585"/>
      <c r="CF318" s="1585"/>
      <c r="CG318" s="1585"/>
      <c r="CH318" s="1585"/>
      <c r="CI318" s="1585"/>
      <c r="CJ318" s="1585"/>
      <c r="CK318" s="1585"/>
      <c r="CL318" s="1585"/>
      <c r="CM318" s="1585"/>
      <c r="CN318" s="1585"/>
      <c r="CO318" s="1585"/>
      <c r="CP318" s="1585"/>
      <c r="CQ318" s="1585"/>
      <c r="CR318" s="1585"/>
      <c r="CS318" s="1585"/>
      <c r="CT318" s="1585"/>
      <c r="CU318" s="1585"/>
      <c r="CV318" s="1585"/>
      <c r="CW318" s="1585"/>
      <c r="CX318" s="1585"/>
      <c r="CY318" s="1585"/>
      <c r="CZ318" s="1585"/>
    </row>
    <row r="319" spans="1:104">
      <c r="A319" s="1466"/>
      <c r="B319" s="1583"/>
      <c r="C319" s="1583"/>
      <c r="D319" s="1583"/>
      <c r="E319" s="1585"/>
      <c r="F319" s="1585"/>
      <c r="G319" s="1585"/>
      <c r="H319" s="1585"/>
      <c r="I319" s="1585"/>
      <c r="J319" s="1585"/>
      <c r="K319" s="1585"/>
      <c r="L319" s="1585"/>
      <c r="M319" s="1585"/>
      <c r="N319" s="1585"/>
      <c r="O319" s="1585"/>
      <c r="P319" s="1585"/>
      <c r="Q319" s="1585"/>
      <c r="R319" s="1585"/>
      <c r="S319" s="1585"/>
      <c r="T319" s="1585"/>
      <c r="U319" s="1585"/>
      <c r="V319" s="1585"/>
      <c r="W319" s="1585"/>
      <c r="X319" s="1585"/>
      <c r="Y319" s="1585"/>
      <c r="Z319" s="1585"/>
      <c r="AA319" s="1585"/>
      <c r="AB319" s="1585"/>
      <c r="AC319" s="1585"/>
      <c r="AD319" s="1585"/>
      <c r="AE319" s="1585"/>
      <c r="AF319" s="1585"/>
      <c r="AG319" s="1585"/>
      <c r="AH319" s="1585"/>
      <c r="AI319" s="1585"/>
      <c r="AJ319" s="1585"/>
      <c r="AK319" s="1585"/>
      <c r="AL319" s="1585"/>
      <c r="AM319" s="1585"/>
      <c r="AN319" s="1585"/>
      <c r="AO319" s="1585"/>
      <c r="AP319" s="1585"/>
      <c r="AQ319" s="1585"/>
      <c r="AR319" s="1585"/>
      <c r="AS319" s="1585"/>
      <c r="AT319" s="1585"/>
      <c r="AU319" s="1585"/>
      <c r="AV319" s="1585"/>
      <c r="AW319" s="1585"/>
      <c r="AX319" s="1585"/>
      <c r="AY319" s="1585"/>
      <c r="AZ319" s="1585"/>
      <c r="BA319" s="1585"/>
      <c r="BB319" s="1585"/>
      <c r="BC319" s="1585"/>
      <c r="BD319" s="1585"/>
      <c r="BE319" s="1585"/>
      <c r="BF319" s="1585"/>
      <c r="BG319" s="1585"/>
      <c r="BH319" s="1585"/>
      <c r="BI319" s="1585"/>
      <c r="BJ319" s="1585"/>
      <c r="BK319" s="1585"/>
      <c r="BL319" s="1585"/>
      <c r="BM319" s="1585"/>
      <c r="BN319" s="1585"/>
      <c r="BO319" s="1585"/>
      <c r="BP319" s="1585"/>
      <c r="BQ319" s="1585"/>
      <c r="BR319" s="1585"/>
      <c r="BS319" s="1585"/>
      <c r="BT319" s="1585"/>
      <c r="BU319" s="1585"/>
      <c r="BV319" s="1585"/>
      <c r="BW319" s="1585"/>
      <c r="BX319" s="1585"/>
      <c r="BY319" s="1585"/>
      <c r="BZ319" s="1585"/>
      <c r="CA319" s="1585"/>
      <c r="CB319" s="1585"/>
      <c r="CC319" s="1585"/>
      <c r="CD319" s="1585"/>
      <c r="CE319" s="1585"/>
      <c r="CF319" s="1585"/>
      <c r="CG319" s="1585"/>
      <c r="CH319" s="1585"/>
      <c r="CI319" s="1585"/>
      <c r="CJ319" s="1585"/>
      <c r="CK319" s="1585"/>
      <c r="CL319" s="1585"/>
      <c r="CM319" s="1585"/>
      <c r="CN319" s="1585"/>
      <c r="CO319" s="1585"/>
      <c r="CP319" s="1585"/>
      <c r="CQ319" s="1585"/>
      <c r="CR319" s="1585"/>
      <c r="CS319" s="1585"/>
      <c r="CT319" s="1585"/>
      <c r="CU319" s="1585"/>
      <c r="CV319" s="1585"/>
      <c r="CW319" s="1585"/>
      <c r="CX319" s="1585"/>
      <c r="CY319" s="1585"/>
      <c r="CZ319" s="1585"/>
    </row>
    <row r="320" spans="1:104">
      <c r="A320" s="1466"/>
      <c r="B320" s="1583"/>
      <c r="C320" s="1583"/>
      <c r="D320" s="1583"/>
      <c r="E320" s="1585"/>
      <c r="F320" s="1585"/>
      <c r="G320" s="1585"/>
      <c r="H320" s="1585"/>
      <c r="I320" s="1585"/>
      <c r="J320" s="1585"/>
      <c r="K320" s="1585"/>
      <c r="L320" s="1585"/>
      <c r="M320" s="1585"/>
      <c r="N320" s="1585"/>
      <c r="O320" s="1585"/>
      <c r="P320" s="1585"/>
      <c r="Q320" s="1585"/>
      <c r="R320" s="1585"/>
      <c r="S320" s="1585"/>
      <c r="T320" s="1585"/>
      <c r="U320" s="1585"/>
      <c r="V320" s="1585"/>
      <c r="W320" s="1585"/>
      <c r="X320" s="1585"/>
      <c r="Y320" s="1585"/>
      <c r="Z320" s="1585"/>
      <c r="AA320" s="1585"/>
      <c r="AB320" s="1585"/>
      <c r="AC320" s="1585"/>
      <c r="AD320" s="1585"/>
      <c r="AE320" s="1585"/>
      <c r="AF320" s="1585"/>
      <c r="AG320" s="1585"/>
      <c r="AH320" s="1585"/>
      <c r="AI320" s="1585"/>
      <c r="AJ320" s="1585"/>
      <c r="AK320" s="1585"/>
      <c r="AL320" s="1585"/>
      <c r="AM320" s="1585"/>
      <c r="AN320" s="1585"/>
      <c r="AO320" s="1585"/>
      <c r="AP320" s="1585"/>
      <c r="AQ320" s="1585"/>
      <c r="AR320" s="1585"/>
      <c r="AS320" s="1585"/>
      <c r="AT320" s="1585"/>
      <c r="AU320" s="1585"/>
      <c r="AV320" s="1585"/>
      <c r="AW320" s="1585"/>
      <c r="AX320" s="1585"/>
      <c r="AY320" s="1585"/>
      <c r="AZ320" s="1585"/>
      <c r="BA320" s="1585"/>
      <c r="BB320" s="1585"/>
      <c r="BC320" s="1585"/>
      <c r="BD320" s="1585"/>
      <c r="BE320" s="1585"/>
      <c r="BF320" s="1585"/>
      <c r="BG320" s="1585"/>
      <c r="BH320" s="1585"/>
      <c r="BI320" s="1585"/>
      <c r="BJ320" s="1585"/>
      <c r="BK320" s="1585"/>
      <c r="BL320" s="1585"/>
      <c r="BM320" s="1585"/>
      <c r="BN320" s="1585"/>
      <c r="BO320" s="1585"/>
      <c r="BP320" s="1585"/>
      <c r="BQ320" s="1585"/>
      <c r="BR320" s="1585"/>
      <c r="BS320" s="1585"/>
      <c r="BT320" s="1585"/>
      <c r="BU320" s="1585"/>
      <c r="BV320" s="1585"/>
      <c r="BW320" s="1585"/>
      <c r="BX320" s="1585"/>
      <c r="BY320" s="1585"/>
      <c r="BZ320" s="1585"/>
      <c r="CA320" s="1585"/>
      <c r="CB320" s="1585"/>
      <c r="CC320" s="1585"/>
      <c r="CD320" s="1585"/>
      <c r="CE320" s="1585"/>
      <c r="CF320" s="1585"/>
      <c r="CG320" s="1585"/>
      <c r="CH320" s="1585"/>
      <c r="CI320" s="1585"/>
      <c r="CJ320" s="1585"/>
      <c r="CK320" s="1585"/>
      <c r="CL320" s="1585"/>
      <c r="CM320" s="1585"/>
      <c r="CN320" s="1585"/>
      <c r="CO320" s="1585"/>
      <c r="CP320" s="1585"/>
      <c r="CQ320" s="1585"/>
      <c r="CR320" s="1585"/>
      <c r="CS320" s="1585"/>
      <c r="CT320" s="1585"/>
      <c r="CU320" s="1585"/>
      <c r="CV320" s="1585"/>
      <c r="CW320" s="1585"/>
      <c r="CX320" s="1585"/>
      <c r="CY320" s="1585"/>
      <c r="CZ320" s="1585"/>
    </row>
    <row r="321" spans="1:104">
      <c r="A321" s="1466"/>
      <c r="B321" s="1583"/>
      <c r="C321" s="1583"/>
      <c r="D321" s="1583"/>
      <c r="E321" s="1585"/>
      <c r="F321" s="1585"/>
      <c r="G321" s="1585"/>
      <c r="H321" s="1585"/>
      <c r="I321" s="1585"/>
      <c r="J321" s="1585"/>
      <c r="K321" s="1585"/>
      <c r="L321" s="1585"/>
      <c r="M321" s="1585"/>
      <c r="N321" s="1585"/>
      <c r="O321" s="1585"/>
      <c r="P321" s="1585"/>
      <c r="Q321" s="1585"/>
      <c r="R321" s="1585"/>
      <c r="S321" s="1585"/>
      <c r="T321" s="1585"/>
      <c r="U321" s="1585"/>
      <c r="V321" s="1585"/>
      <c r="W321" s="1585"/>
      <c r="X321" s="1585"/>
      <c r="Y321" s="1585"/>
      <c r="Z321" s="1585"/>
      <c r="AA321" s="1585"/>
      <c r="AB321" s="1585"/>
      <c r="AC321" s="1585"/>
      <c r="AD321" s="1585"/>
      <c r="AE321" s="1585"/>
      <c r="AF321" s="1585"/>
      <c r="AG321" s="1585"/>
      <c r="AH321" s="1585"/>
      <c r="AI321" s="1585"/>
      <c r="AJ321" s="1585"/>
      <c r="AK321" s="1585"/>
      <c r="AL321" s="1585"/>
      <c r="AM321" s="1585"/>
      <c r="AN321" s="1585"/>
      <c r="AO321" s="1585"/>
      <c r="AP321" s="1585"/>
      <c r="AQ321" s="1585"/>
      <c r="AR321" s="1585"/>
      <c r="AS321" s="1585"/>
      <c r="AT321" s="1585"/>
      <c r="AU321" s="1585"/>
      <c r="AV321" s="1585"/>
      <c r="AW321" s="1585"/>
      <c r="AX321" s="1585"/>
      <c r="AY321" s="1585"/>
      <c r="AZ321" s="1585"/>
      <c r="BA321" s="1585"/>
      <c r="BB321" s="1585"/>
      <c r="BC321" s="1585"/>
      <c r="BD321" s="1585"/>
      <c r="BE321" s="1585"/>
      <c r="BF321" s="1585"/>
      <c r="BG321" s="1585"/>
      <c r="BH321" s="1585"/>
      <c r="BI321" s="1585"/>
      <c r="BJ321" s="1585"/>
      <c r="BK321" s="1585"/>
      <c r="BL321" s="1585"/>
      <c r="BM321" s="1585"/>
      <c r="BN321" s="1585"/>
      <c r="BO321" s="1585"/>
      <c r="BP321" s="1585"/>
      <c r="BQ321" s="1585"/>
      <c r="BR321" s="1585"/>
      <c r="BS321" s="1585"/>
      <c r="BT321" s="1585"/>
      <c r="BU321" s="1585"/>
      <c r="BV321" s="1585"/>
      <c r="BW321" s="1585"/>
      <c r="BX321" s="1585"/>
      <c r="BY321" s="1585"/>
      <c r="BZ321" s="1585"/>
      <c r="CA321" s="1585"/>
      <c r="CB321" s="1585"/>
      <c r="CC321" s="1585"/>
      <c r="CD321" s="1585"/>
      <c r="CE321" s="1585"/>
      <c r="CF321" s="1585"/>
      <c r="CG321" s="1585"/>
      <c r="CH321" s="1585"/>
      <c r="CI321" s="1585"/>
      <c r="CJ321" s="1585"/>
      <c r="CK321" s="1585"/>
      <c r="CL321" s="1585"/>
      <c r="CM321" s="1585"/>
      <c r="CN321" s="1585"/>
      <c r="CO321" s="1585"/>
      <c r="CP321" s="1585"/>
      <c r="CQ321" s="1585"/>
      <c r="CR321" s="1585"/>
      <c r="CS321" s="1585"/>
      <c r="CT321" s="1585"/>
      <c r="CU321" s="1585"/>
      <c r="CV321" s="1585"/>
      <c r="CW321" s="1585"/>
      <c r="CX321" s="1585"/>
      <c r="CY321" s="1585"/>
      <c r="CZ321" s="1585"/>
    </row>
    <row r="322" spans="1:104">
      <c r="A322" s="1466"/>
      <c r="B322" s="1583"/>
      <c r="C322" s="1583"/>
      <c r="D322" s="1583"/>
      <c r="E322" s="1585"/>
      <c r="F322" s="1585"/>
      <c r="G322" s="1585"/>
      <c r="H322" s="1585"/>
      <c r="I322" s="1585"/>
      <c r="J322" s="1585"/>
      <c r="K322" s="1585"/>
      <c r="L322" s="1585"/>
      <c r="M322" s="1585"/>
      <c r="N322" s="1585"/>
      <c r="O322" s="1585"/>
      <c r="P322" s="1585"/>
      <c r="Q322" s="1585"/>
      <c r="R322" s="1585"/>
      <c r="S322" s="1585"/>
      <c r="T322" s="1585"/>
      <c r="U322" s="1585"/>
      <c r="V322" s="1585"/>
      <c r="W322" s="1585"/>
      <c r="X322" s="1585"/>
      <c r="Y322" s="1585"/>
      <c r="Z322" s="1585"/>
      <c r="AA322" s="1585"/>
      <c r="AB322" s="1585"/>
      <c r="AC322" s="1585"/>
      <c r="AD322" s="1585"/>
      <c r="AE322" s="1585"/>
      <c r="AF322" s="1585"/>
      <c r="AG322" s="1585"/>
      <c r="AH322" s="1585"/>
      <c r="AI322" s="1585"/>
      <c r="AJ322" s="1585"/>
      <c r="AK322" s="1585"/>
      <c r="AL322" s="1585"/>
      <c r="AM322" s="1585"/>
      <c r="AN322" s="1585"/>
      <c r="AO322" s="1585"/>
      <c r="AP322" s="1585"/>
      <c r="AQ322" s="1585"/>
      <c r="AR322" s="1585"/>
      <c r="AS322" s="1585"/>
      <c r="AT322" s="1585"/>
      <c r="AU322" s="1585"/>
      <c r="AV322" s="1585"/>
      <c r="AW322" s="1585"/>
      <c r="AX322" s="1585"/>
      <c r="AY322" s="1585"/>
      <c r="AZ322" s="1585"/>
      <c r="BA322" s="1585"/>
      <c r="BB322" s="1585"/>
      <c r="BC322" s="1585"/>
      <c r="BD322" s="1585"/>
      <c r="BE322" s="1585"/>
      <c r="BF322" s="1585"/>
      <c r="BG322" s="1585"/>
      <c r="BH322" s="1585"/>
      <c r="BI322" s="1585"/>
      <c r="BJ322" s="1585"/>
      <c r="BK322" s="1585"/>
      <c r="BL322" s="1585"/>
      <c r="BM322" s="1585"/>
      <c r="BN322" s="1585"/>
      <c r="BO322" s="1585"/>
      <c r="BP322" s="1585"/>
      <c r="BQ322" s="1585"/>
      <c r="BR322" s="1585"/>
      <c r="BS322" s="1585"/>
      <c r="BT322" s="1585"/>
      <c r="BU322" s="1585"/>
      <c r="BV322" s="1585"/>
      <c r="BW322" s="1585"/>
      <c r="BX322" s="1585"/>
      <c r="BY322" s="1585"/>
      <c r="BZ322" s="1585"/>
      <c r="CA322" s="1585"/>
      <c r="CB322" s="1585"/>
      <c r="CC322" s="1585"/>
      <c r="CD322" s="1585"/>
      <c r="CE322" s="1585"/>
      <c r="CF322" s="1585"/>
      <c r="CG322" s="1585"/>
      <c r="CH322" s="1585"/>
      <c r="CI322" s="1585"/>
      <c r="CJ322" s="1585"/>
      <c r="CK322" s="1585"/>
      <c r="CL322" s="1585"/>
      <c r="CM322" s="1585"/>
      <c r="CN322" s="1585"/>
      <c r="CO322" s="1585"/>
      <c r="CP322" s="1585"/>
      <c r="CQ322" s="1585"/>
      <c r="CR322" s="1585"/>
      <c r="CS322" s="1585"/>
      <c r="CT322" s="1585"/>
      <c r="CU322" s="1585"/>
      <c r="CV322" s="1585"/>
      <c r="CW322" s="1585"/>
      <c r="CX322" s="1585"/>
      <c r="CY322" s="1585"/>
      <c r="CZ322" s="1585"/>
    </row>
    <row r="323" spans="1:104">
      <c r="A323" s="1466"/>
      <c r="B323" s="1583"/>
      <c r="C323" s="1583"/>
      <c r="D323" s="1583"/>
      <c r="E323" s="1585"/>
      <c r="F323" s="1585"/>
      <c r="G323" s="1585"/>
      <c r="H323" s="1585"/>
      <c r="I323" s="1585"/>
      <c r="J323" s="1585"/>
      <c r="K323" s="1585"/>
      <c r="L323" s="1585"/>
      <c r="M323" s="1585"/>
      <c r="N323" s="1585"/>
      <c r="O323" s="1585"/>
      <c r="P323" s="1585"/>
      <c r="Q323" s="1585"/>
      <c r="R323" s="1585"/>
      <c r="S323" s="1585"/>
      <c r="T323" s="1585"/>
      <c r="U323" s="1585"/>
      <c r="V323" s="1585"/>
      <c r="W323" s="1585"/>
      <c r="X323" s="1585"/>
      <c r="Y323" s="1585"/>
      <c r="Z323" s="1585"/>
      <c r="AA323" s="1585"/>
      <c r="AB323" s="1585"/>
      <c r="AC323" s="1585"/>
      <c r="AD323" s="1585"/>
      <c r="AE323" s="1585"/>
      <c r="AF323" s="1585"/>
      <c r="AG323" s="1585"/>
      <c r="AH323" s="1585"/>
      <c r="AI323" s="1585"/>
      <c r="AJ323" s="1585"/>
      <c r="AK323" s="1585"/>
      <c r="AL323" s="1585"/>
      <c r="AM323" s="1585"/>
      <c r="AN323" s="1585"/>
      <c r="AO323" s="1585"/>
      <c r="AP323" s="1585"/>
      <c r="AQ323" s="1585"/>
      <c r="AR323" s="1585"/>
      <c r="AS323" s="1585"/>
      <c r="AT323" s="1585"/>
      <c r="AU323" s="1585"/>
      <c r="AV323" s="1585"/>
      <c r="AW323" s="1585"/>
      <c r="AX323" s="1585"/>
      <c r="AY323" s="1585"/>
      <c r="AZ323" s="1585"/>
      <c r="BA323" s="1585"/>
      <c r="BB323" s="1585"/>
      <c r="BC323" s="1585"/>
      <c r="BD323" s="1585"/>
      <c r="BE323" s="1585"/>
      <c r="BF323" s="1585"/>
      <c r="BG323" s="1585"/>
      <c r="BH323" s="1585"/>
      <c r="BI323" s="1585"/>
      <c r="BJ323" s="1585"/>
      <c r="BK323" s="1585"/>
      <c r="BL323" s="1585"/>
      <c r="BM323" s="1585"/>
      <c r="BN323" s="1585"/>
      <c r="BO323" s="1585"/>
      <c r="BP323" s="1585"/>
      <c r="BQ323" s="1585"/>
      <c r="BR323" s="1585"/>
      <c r="BS323" s="1585"/>
      <c r="BT323" s="1585"/>
      <c r="BU323" s="1585"/>
      <c r="BV323" s="1585"/>
      <c r="BW323" s="1585"/>
      <c r="BX323" s="1585"/>
      <c r="BY323" s="1585"/>
      <c r="BZ323" s="1585"/>
      <c r="CA323" s="1585"/>
      <c r="CB323" s="1585"/>
      <c r="CC323" s="1585"/>
      <c r="CD323" s="1585"/>
      <c r="CE323" s="1585"/>
      <c r="CF323" s="1585"/>
      <c r="CG323" s="1585"/>
      <c r="CH323" s="1585"/>
      <c r="CI323" s="1585"/>
      <c r="CJ323" s="1585"/>
      <c r="CK323" s="1585"/>
      <c r="CL323" s="1585"/>
      <c r="CM323" s="1585"/>
      <c r="CN323" s="1585"/>
      <c r="CO323" s="1585"/>
      <c r="CP323" s="1585"/>
      <c r="CQ323" s="1585"/>
      <c r="CR323" s="1585"/>
      <c r="CS323" s="1585"/>
      <c r="CT323" s="1585"/>
      <c r="CU323" s="1585"/>
      <c r="CV323" s="1585"/>
      <c r="CW323" s="1585"/>
      <c r="CX323" s="1585"/>
      <c r="CY323" s="1585"/>
      <c r="CZ323" s="1585"/>
    </row>
    <row r="324" spans="1:104">
      <c r="A324" s="1466"/>
      <c r="B324" s="1583"/>
      <c r="C324" s="1583"/>
      <c r="D324" s="1583"/>
      <c r="E324" s="1585"/>
      <c r="F324" s="1585"/>
      <c r="G324" s="1585"/>
      <c r="H324" s="1585"/>
      <c r="I324" s="1585"/>
      <c r="J324" s="1585"/>
      <c r="K324" s="1585"/>
      <c r="L324" s="1585"/>
      <c r="M324" s="1585"/>
      <c r="N324" s="1585"/>
      <c r="O324" s="1585"/>
      <c r="P324" s="1585"/>
      <c r="Q324" s="1585"/>
      <c r="R324" s="1585"/>
      <c r="S324" s="1585"/>
      <c r="T324" s="1585"/>
      <c r="U324" s="1585"/>
      <c r="V324" s="1585"/>
      <c r="W324" s="1585"/>
      <c r="X324" s="1585"/>
      <c r="Y324" s="1585"/>
      <c r="Z324" s="1585"/>
      <c r="AA324" s="1585"/>
      <c r="AB324" s="1585"/>
      <c r="AC324" s="1585"/>
      <c r="AD324" s="1585"/>
      <c r="AE324" s="1585"/>
      <c r="AF324" s="1585"/>
      <c r="AG324" s="1585"/>
      <c r="AH324" s="1585"/>
      <c r="AI324" s="1585"/>
      <c r="AJ324" s="1585"/>
      <c r="AK324" s="1585"/>
      <c r="AL324" s="1585"/>
      <c r="AM324" s="1585"/>
      <c r="AN324" s="1585"/>
      <c r="AO324" s="1585"/>
      <c r="AP324" s="1585"/>
      <c r="AQ324" s="1585"/>
      <c r="AR324" s="1585"/>
      <c r="AS324" s="1585"/>
      <c r="AT324" s="1585"/>
      <c r="AU324" s="1585"/>
      <c r="AV324" s="1585"/>
      <c r="AW324" s="1585"/>
      <c r="AX324" s="1585"/>
      <c r="AY324" s="1585"/>
      <c r="AZ324" s="1585"/>
      <c r="BA324" s="1585"/>
      <c r="BB324" s="1585"/>
      <c r="BC324" s="1585"/>
      <c r="BD324" s="1585"/>
      <c r="BE324" s="1585"/>
      <c r="BF324" s="1585"/>
      <c r="BG324" s="1585"/>
      <c r="BH324" s="1585"/>
      <c r="BI324" s="1585"/>
      <c r="BJ324" s="1585"/>
      <c r="BK324" s="1585"/>
      <c r="BL324" s="1585"/>
      <c r="BM324" s="1585"/>
      <c r="BN324" s="1585"/>
      <c r="BO324" s="1585"/>
      <c r="BP324" s="1585"/>
      <c r="BQ324" s="1585"/>
      <c r="BR324" s="1585"/>
      <c r="BS324" s="1585"/>
      <c r="BT324" s="1585"/>
      <c r="BU324" s="1585"/>
      <c r="BV324" s="1585"/>
      <c r="BW324" s="1585"/>
      <c r="BX324" s="1585"/>
      <c r="BY324" s="1585"/>
      <c r="BZ324" s="1585"/>
      <c r="CA324" s="1585"/>
      <c r="CB324" s="1585"/>
      <c r="CC324" s="1585"/>
      <c r="CD324" s="1585"/>
      <c r="CE324" s="1585"/>
      <c r="CF324" s="1585"/>
      <c r="CG324" s="1585"/>
      <c r="CH324" s="1585"/>
      <c r="CI324" s="1585"/>
      <c r="CJ324" s="1585"/>
      <c r="CK324" s="1585"/>
      <c r="CL324" s="1585"/>
      <c r="CM324" s="1585"/>
      <c r="CN324" s="1585"/>
      <c r="CO324" s="1585"/>
      <c r="CP324" s="1585"/>
      <c r="CQ324" s="1585"/>
      <c r="CR324" s="1585"/>
      <c r="CS324" s="1585"/>
      <c r="CT324" s="1585"/>
      <c r="CU324" s="1585"/>
      <c r="CV324" s="1585"/>
      <c r="CW324" s="1585"/>
      <c r="CX324" s="1585"/>
      <c r="CY324" s="1585"/>
      <c r="CZ324" s="1585"/>
    </row>
    <row r="325" spans="1:104">
      <c r="A325" s="1466"/>
      <c r="B325" s="1583"/>
      <c r="C325" s="1583"/>
      <c r="D325" s="1583"/>
      <c r="E325" s="1585"/>
      <c r="F325" s="1585"/>
      <c r="G325" s="1585"/>
      <c r="H325" s="1585"/>
      <c r="I325" s="1585"/>
      <c r="J325" s="1585"/>
      <c r="K325" s="1585"/>
      <c r="L325" s="1585"/>
      <c r="M325" s="1585"/>
      <c r="N325" s="1585"/>
      <c r="O325" s="1585"/>
      <c r="P325" s="1585"/>
      <c r="Q325" s="1585"/>
      <c r="R325" s="1585"/>
      <c r="S325" s="1585"/>
      <c r="T325" s="1585"/>
      <c r="U325" s="1585"/>
      <c r="V325" s="1585"/>
      <c r="W325" s="1585"/>
      <c r="X325" s="1585"/>
      <c r="Y325" s="1585"/>
      <c r="Z325" s="1585"/>
      <c r="AA325" s="1585"/>
      <c r="AB325" s="1585"/>
      <c r="AC325" s="1585"/>
      <c r="AD325" s="1585"/>
      <c r="AE325" s="1585"/>
      <c r="AF325" s="1585"/>
      <c r="AG325" s="1585"/>
      <c r="AH325" s="1585"/>
      <c r="AI325" s="1585"/>
      <c r="AJ325" s="1585"/>
      <c r="AK325" s="1585"/>
      <c r="AL325" s="1585"/>
      <c r="AM325" s="1585"/>
      <c r="AN325" s="1585"/>
      <c r="AO325" s="1585"/>
      <c r="AP325" s="1585"/>
      <c r="AQ325" s="1585"/>
      <c r="AR325" s="1585"/>
      <c r="AS325" s="1585"/>
      <c r="AT325" s="1585"/>
      <c r="AU325" s="1585"/>
      <c r="AV325" s="1585"/>
      <c r="AW325" s="1585"/>
      <c r="AX325" s="1585"/>
      <c r="AY325" s="1585"/>
      <c r="AZ325" s="1585"/>
      <c r="BA325" s="1585"/>
      <c r="BB325" s="1585"/>
      <c r="BC325" s="1585"/>
      <c r="BD325" s="1585"/>
      <c r="BE325" s="1585"/>
      <c r="BF325" s="1585"/>
      <c r="BG325" s="1585"/>
      <c r="BH325" s="1585"/>
      <c r="BI325" s="1585"/>
      <c r="BJ325" s="1585"/>
      <c r="BK325" s="1585"/>
      <c r="BL325" s="1585"/>
      <c r="BM325" s="1585"/>
      <c r="BN325" s="1585"/>
      <c r="BO325" s="1585"/>
      <c r="BP325" s="1585"/>
      <c r="BQ325" s="1585"/>
      <c r="BR325" s="1585"/>
      <c r="BS325" s="1585"/>
      <c r="BT325" s="1585"/>
      <c r="BU325" s="1585"/>
      <c r="BV325" s="1585"/>
      <c r="BW325" s="1585"/>
      <c r="BX325" s="1585"/>
      <c r="BY325" s="1585"/>
      <c r="BZ325" s="1585"/>
      <c r="CA325" s="1585"/>
      <c r="CB325" s="1585"/>
      <c r="CC325" s="1585"/>
      <c r="CD325" s="1585"/>
      <c r="CE325" s="1585"/>
      <c r="CF325" s="1585"/>
      <c r="CG325" s="1585"/>
      <c r="CH325" s="1585"/>
      <c r="CI325" s="1585"/>
      <c r="CJ325" s="1585"/>
      <c r="CK325" s="1585"/>
      <c r="CL325" s="1585"/>
      <c r="CM325" s="1585"/>
      <c r="CN325" s="1585"/>
      <c r="CO325" s="1585"/>
      <c r="CP325" s="1585"/>
      <c r="CQ325" s="1585"/>
      <c r="CR325" s="1585"/>
      <c r="CS325" s="1585"/>
      <c r="CT325" s="1585"/>
      <c r="CU325" s="1585"/>
      <c r="CV325" s="1585"/>
      <c r="CW325" s="1585"/>
      <c r="CX325" s="1585"/>
      <c r="CY325" s="1585"/>
      <c r="CZ325" s="1585"/>
    </row>
    <row r="326" spans="1:104">
      <c r="A326" s="1466"/>
      <c r="B326" s="1583"/>
      <c r="C326" s="1583"/>
      <c r="D326" s="1583"/>
      <c r="E326" s="1585"/>
      <c r="F326" s="1585"/>
      <c r="G326" s="1585"/>
      <c r="H326" s="1585"/>
      <c r="I326" s="1585"/>
      <c r="J326" s="1585"/>
      <c r="K326" s="1585"/>
      <c r="L326" s="1585"/>
      <c r="M326" s="1585"/>
      <c r="N326" s="1585"/>
      <c r="O326" s="1585"/>
      <c r="P326" s="1585"/>
      <c r="Q326" s="1585"/>
      <c r="R326" s="1585"/>
      <c r="S326" s="1585"/>
      <c r="T326" s="1585"/>
      <c r="U326" s="1585"/>
      <c r="V326" s="1585"/>
      <c r="W326" s="1585"/>
      <c r="X326" s="1585"/>
      <c r="Y326" s="1585"/>
      <c r="Z326" s="1585"/>
      <c r="AA326" s="1585"/>
      <c r="AB326" s="1585"/>
      <c r="AC326" s="1585"/>
      <c r="AD326" s="1585"/>
      <c r="AE326" s="1585"/>
      <c r="AF326" s="1585"/>
      <c r="AG326" s="1585"/>
      <c r="AH326" s="1585"/>
      <c r="AI326" s="1585"/>
      <c r="AJ326" s="1585"/>
      <c r="AK326" s="1585"/>
      <c r="AL326" s="1585"/>
      <c r="AM326" s="1585"/>
      <c r="AN326" s="1585"/>
      <c r="AO326" s="1585"/>
      <c r="AP326" s="1585"/>
      <c r="AQ326" s="1585"/>
      <c r="AR326" s="1585"/>
      <c r="AS326" s="1585"/>
      <c r="AT326" s="1585"/>
      <c r="AU326" s="1585"/>
      <c r="AV326" s="1585"/>
      <c r="AW326" s="1585"/>
      <c r="AX326" s="1585"/>
      <c r="AY326" s="1585"/>
      <c r="AZ326" s="1585"/>
      <c r="BA326" s="1585"/>
      <c r="BB326" s="1585"/>
      <c r="BC326" s="1585"/>
      <c r="BD326" s="1585"/>
      <c r="BE326" s="1585"/>
      <c r="BF326" s="1585"/>
      <c r="BG326" s="1585"/>
      <c r="BH326" s="1585"/>
      <c r="BI326" s="1585"/>
      <c r="BJ326" s="1585"/>
      <c r="BK326" s="1585"/>
      <c r="BL326" s="1585"/>
      <c r="BM326" s="1585"/>
      <c r="BN326" s="1585"/>
      <c r="BO326" s="1585"/>
      <c r="BP326" s="1585"/>
      <c r="BQ326" s="1585"/>
      <c r="BR326" s="1585"/>
      <c r="BS326" s="1585"/>
      <c r="BT326" s="1585"/>
      <c r="BU326" s="1585"/>
      <c r="BV326" s="1585"/>
      <c r="BW326" s="1585"/>
      <c r="BX326" s="1585"/>
      <c r="BY326" s="1585"/>
      <c r="BZ326" s="1585"/>
      <c r="CA326" s="1585"/>
      <c r="CB326" s="1585"/>
      <c r="CC326" s="1585"/>
      <c r="CD326" s="1585"/>
      <c r="CE326" s="1585"/>
      <c r="CF326" s="1585"/>
      <c r="CG326" s="1585"/>
      <c r="CH326" s="1585"/>
      <c r="CI326" s="1585"/>
      <c r="CJ326" s="1585"/>
      <c r="CK326" s="1585"/>
      <c r="CL326" s="1585"/>
      <c r="CM326" s="1585"/>
      <c r="CN326" s="1585"/>
      <c r="CO326" s="1585"/>
      <c r="CP326" s="1585"/>
      <c r="CQ326" s="1585"/>
      <c r="CR326" s="1585"/>
      <c r="CS326" s="1585"/>
      <c r="CT326" s="1585"/>
      <c r="CU326" s="1585"/>
      <c r="CV326" s="1585"/>
      <c r="CW326" s="1585"/>
      <c r="CX326" s="1585"/>
      <c r="CY326" s="1585"/>
      <c r="CZ326" s="1585"/>
    </row>
    <row r="327" spans="1:104">
      <c r="A327" s="1466"/>
      <c r="B327" s="1583"/>
      <c r="C327" s="1583"/>
      <c r="D327" s="1583"/>
      <c r="E327" s="1585"/>
      <c r="F327" s="1585"/>
      <c r="G327" s="1585"/>
      <c r="H327" s="1585"/>
      <c r="I327" s="1585"/>
      <c r="J327" s="1585"/>
      <c r="K327" s="1585"/>
      <c r="L327" s="1585"/>
      <c r="M327" s="1585"/>
      <c r="N327" s="1585"/>
      <c r="O327" s="1585"/>
      <c r="P327" s="1585"/>
      <c r="Q327" s="1585"/>
      <c r="R327" s="1585"/>
      <c r="S327" s="1585"/>
      <c r="T327" s="1585"/>
      <c r="U327" s="1585"/>
      <c r="V327" s="1585"/>
      <c r="W327" s="1585"/>
      <c r="X327" s="1585"/>
      <c r="Y327" s="1585"/>
      <c r="Z327" s="1585"/>
      <c r="AA327" s="1585"/>
      <c r="AB327" s="1585"/>
      <c r="AC327" s="1585"/>
      <c r="AD327" s="1585"/>
      <c r="AE327" s="1585"/>
      <c r="AF327" s="1585"/>
      <c r="AG327" s="1585"/>
      <c r="AH327" s="1585"/>
      <c r="AI327" s="1585"/>
      <c r="AJ327" s="1585"/>
      <c r="AK327" s="1585"/>
      <c r="AL327" s="1585"/>
      <c r="AM327" s="1585"/>
      <c r="AN327" s="1585"/>
      <c r="AO327" s="1585"/>
      <c r="AP327" s="1585"/>
      <c r="AQ327" s="1585"/>
      <c r="AR327" s="1585"/>
      <c r="AS327" s="1585"/>
      <c r="AT327" s="1585"/>
      <c r="AU327" s="1585"/>
      <c r="AV327" s="1585"/>
      <c r="AW327" s="1585"/>
      <c r="AX327" s="1585"/>
      <c r="AY327" s="1585"/>
      <c r="AZ327" s="1585"/>
      <c r="BA327" s="1585"/>
      <c r="BB327" s="1585"/>
      <c r="BC327" s="1585"/>
      <c r="BD327" s="1585"/>
      <c r="BE327" s="1585"/>
      <c r="BF327" s="1585"/>
      <c r="BG327" s="1585"/>
      <c r="BH327" s="1585"/>
      <c r="BI327" s="1585"/>
      <c r="BJ327" s="1585"/>
      <c r="BK327" s="1585"/>
      <c r="BL327" s="1585"/>
      <c r="BM327" s="1585"/>
      <c r="BN327" s="1585"/>
      <c r="BO327" s="1585"/>
      <c r="BP327" s="1585"/>
      <c r="BQ327" s="1585"/>
      <c r="BR327" s="1585"/>
      <c r="BS327" s="1585"/>
      <c r="BT327" s="1585"/>
      <c r="BU327" s="1585"/>
      <c r="BV327" s="1585"/>
      <c r="BW327" s="1585"/>
      <c r="BX327" s="1585"/>
      <c r="BY327" s="1585"/>
      <c r="BZ327" s="1585"/>
      <c r="CA327" s="1585"/>
      <c r="CB327" s="1585"/>
      <c r="CC327" s="1585"/>
      <c r="CD327" s="1585"/>
      <c r="CE327" s="1585"/>
      <c r="CF327" s="1585"/>
      <c r="CG327" s="1585"/>
      <c r="CH327" s="1585"/>
      <c r="CI327" s="1585"/>
      <c r="CJ327" s="1585"/>
      <c r="CK327" s="1585"/>
      <c r="CL327" s="1585"/>
      <c r="CM327" s="1585"/>
      <c r="CN327" s="1585"/>
      <c r="CO327" s="1585"/>
      <c r="CP327" s="1585"/>
      <c r="CQ327" s="1585"/>
      <c r="CR327" s="1585"/>
      <c r="CS327" s="1585"/>
      <c r="CT327" s="1585"/>
      <c r="CU327" s="1585"/>
      <c r="CV327" s="1585"/>
      <c r="CW327" s="1585"/>
      <c r="CX327" s="1585"/>
      <c r="CY327" s="1585"/>
      <c r="CZ327" s="1585"/>
    </row>
    <row r="328" spans="1:104">
      <c r="A328" s="1466"/>
      <c r="B328" s="1583"/>
      <c r="C328" s="1583"/>
      <c r="D328" s="1583"/>
      <c r="E328" s="1585"/>
      <c r="F328" s="1585"/>
      <c r="G328" s="1585"/>
      <c r="H328" s="1585"/>
      <c r="I328" s="1585"/>
      <c r="J328" s="1585"/>
      <c r="K328" s="1585"/>
      <c r="L328" s="1585"/>
      <c r="M328" s="1585"/>
      <c r="N328" s="1585"/>
      <c r="O328" s="1585"/>
      <c r="P328" s="1585"/>
      <c r="Q328" s="1585"/>
      <c r="R328" s="1585"/>
      <c r="S328" s="1585"/>
      <c r="T328" s="1585"/>
      <c r="U328" s="1585"/>
      <c r="V328" s="1585"/>
      <c r="W328" s="1585"/>
      <c r="X328" s="1585"/>
      <c r="Y328" s="1585"/>
      <c r="Z328" s="1585"/>
      <c r="AA328" s="1585"/>
      <c r="AB328" s="1585"/>
      <c r="AC328" s="1585"/>
      <c r="AD328" s="1585"/>
      <c r="AE328" s="1585"/>
      <c r="AF328" s="1585"/>
      <c r="AG328" s="1585"/>
      <c r="AH328" s="1585"/>
      <c r="AI328" s="1585"/>
      <c r="AJ328" s="1585"/>
      <c r="AK328" s="1585"/>
      <c r="AL328" s="1585"/>
      <c r="AM328" s="1585"/>
      <c r="AN328" s="1585"/>
      <c r="AO328" s="1585"/>
      <c r="AP328" s="1585"/>
      <c r="AQ328" s="1585"/>
      <c r="AR328" s="1585"/>
      <c r="AS328" s="1585"/>
      <c r="AT328" s="1585"/>
      <c r="AU328" s="1585"/>
      <c r="AV328" s="1585"/>
      <c r="AW328" s="1585"/>
      <c r="AX328" s="1585"/>
      <c r="AY328" s="1585"/>
      <c r="AZ328" s="1585"/>
      <c r="BA328" s="1585"/>
      <c r="BB328" s="1585"/>
      <c r="BC328" s="1585"/>
      <c r="BD328" s="1585"/>
      <c r="BE328" s="1585"/>
      <c r="BF328" s="1585"/>
      <c r="BG328" s="1585"/>
      <c r="BH328" s="1585"/>
      <c r="BI328" s="1585"/>
      <c r="BJ328" s="1585"/>
      <c r="BK328" s="1585"/>
      <c r="BL328" s="1585"/>
      <c r="BM328" s="1585"/>
      <c r="BN328" s="1585"/>
      <c r="BO328" s="1585"/>
      <c r="BP328" s="1585"/>
      <c r="BQ328" s="1585"/>
      <c r="BR328" s="1585"/>
      <c r="BS328" s="1585"/>
      <c r="BT328" s="1585"/>
      <c r="BU328" s="1585"/>
      <c r="BV328" s="1585"/>
      <c r="BW328" s="1585"/>
      <c r="BX328" s="1585"/>
      <c r="BY328" s="1585"/>
      <c r="BZ328" s="1585"/>
      <c r="CA328" s="1585"/>
      <c r="CB328" s="1585"/>
      <c r="CC328" s="1585"/>
      <c r="CD328" s="1585"/>
      <c r="CE328" s="1585"/>
      <c r="CF328" s="1585"/>
      <c r="CG328" s="1585"/>
      <c r="CH328" s="1585"/>
      <c r="CI328" s="1585"/>
      <c r="CJ328" s="1585"/>
      <c r="CK328" s="1585"/>
      <c r="CL328" s="1585"/>
      <c r="CM328" s="1585"/>
      <c r="CN328" s="1585"/>
      <c r="CO328" s="1585"/>
      <c r="CP328" s="1585"/>
      <c r="CQ328" s="1585"/>
      <c r="CR328" s="1585"/>
      <c r="CS328" s="1585"/>
      <c r="CT328" s="1585"/>
      <c r="CU328" s="1585"/>
      <c r="CV328" s="1585"/>
      <c r="CW328" s="1585"/>
      <c r="CX328" s="1585"/>
      <c r="CY328" s="1585"/>
      <c r="CZ328" s="1585"/>
    </row>
    <row r="329" spans="1:104">
      <c r="A329" s="1466"/>
      <c r="B329" s="1583"/>
      <c r="C329" s="1583"/>
      <c r="D329" s="1583"/>
      <c r="E329" s="1585"/>
      <c r="F329" s="1585"/>
      <c r="G329" s="1585"/>
      <c r="H329" s="1585"/>
      <c r="I329" s="1585"/>
      <c r="J329" s="1585"/>
      <c r="K329" s="1585"/>
      <c r="L329" s="1585"/>
      <c r="M329" s="1585"/>
      <c r="N329" s="1585"/>
      <c r="O329" s="1585"/>
      <c r="P329" s="1585"/>
      <c r="Q329" s="1585"/>
      <c r="R329" s="1585"/>
      <c r="S329" s="1585"/>
      <c r="T329" s="1585"/>
      <c r="U329" s="1585"/>
      <c r="V329" s="1585"/>
      <c r="W329" s="1585"/>
      <c r="X329" s="1585"/>
      <c r="Y329" s="1585"/>
      <c r="Z329" s="1585"/>
      <c r="AA329" s="1585"/>
      <c r="AB329" s="1585"/>
      <c r="AC329" s="1585"/>
      <c r="AD329" s="1585"/>
      <c r="AE329" s="1585"/>
      <c r="AF329" s="1585"/>
      <c r="AG329" s="1585"/>
      <c r="AH329" s="1585"/>
      <c r="AI329" s="1585"/>
      <c r="AJ329" s="1585"/>
      <c r="AK329" s="1585"/>
      <c r="AL329" s="1585"/>
      <c r="AM329" s="1585"/>
      <c r="AN329" s="1585"/>
      <c r="AO329" s="1585"/>
      <c r="AP329" s="1585"/>
      <c r="AQ329" s="1585"/>
      <c r="AR329" s="1585"/>
      <c r="AS329" s="1585"/>
      <c r="AT329" s="1585"/>
      <c r="AU329" s="1585"/>
      <c r="AV329" s="1585"/>
      <c r="AW329" s="1585"/>
      <c r="AX329" s="1585"/>
      <c r="AY329" s="1585"/>
      <c r="AZ329" s="1585"/>
      <c r="BA329" s="1585"/>
      <c r="BB329" s="1585"/>
      <c r="BC329" s="1585"/>
      <c r="BD329" s="1585"/>
      <c r="BE329" s="1585"/>
      <c r="BF329" s="1585"/>
      <c r="BG329" s="1585"/>
      <c r="BH329" s="1585"/>
      <c r="BI329" s="1585"/>
      <c r="BJ329" s="1585"/>
      <c r="BK329" s="1585"/>
      <c r="BL329" s="1585"/>
      <c r="BM329" s="1585"/>
      <c r="BN329" s="1585"/>
      <c r="BO329" s="1585"/>
      <c r="BP329" s="1585"/>
      <c r="BQ329" s="1585"/>
      <c r="BR329" s="1585"/>
      <c r="BS329" s="1585"/>
      <c r="BT329" s="1585"/>
      <c r="BU329" s="1585"/>
      <c r="BV329" s="1585"/>
      <c r="BW329" s="1585"/>
      <c r="BX329" s="1585"/>
      <c r="BY329" s="1585"/>
      <c r="BZ329" s="1585"/>
      <c r="CA329" s="1585"/>
      <c r="CB329" s="1585"/>
      <c r="CC329" s="1585"/>
      <c r="CD329" s="1585"/>
      <c r="CE329" s="1585"/>
      <c r="CF329" s="1585"/>
      <c r="CG329" s="1585"/>
      <c r="CH329" s="1585"/>
      <c r="CI329" s="1585"/>
      <c r="CJ329" s="1585"/>
      <c r="CK329" s="1585"/>
      <c r="CL329" s="1585"/>
      <c r="CM329" s="1585"/>
      <c r="CN329" s="1585"/>
      <c r="CO329" s="1585"/>
      <c r="CP329" s="1585"/>
      <c r="CQ329" s="1585"/>
      <c r="CR329" s="1585"/>
      <c r="CS329" s="1585"/>
      <c r="CT329" s="1585"/>
      <c r="CU329" s="1585"/>
      <c r="CV329" s="1585"/>
      <c r="CW329" s="1585"/>
      <c r="CX329" s="1585"/>
      <c r="CY329" s="1585"/>
      <c r="CZ329" s="1585"/>
    </row>
    <row r="330" spans="1:104">
      <c r="A330" s="1466"/>
      <c r="B330" s="1583"/>
      <c r="C330" s="1583"/>
      <c r="D330" s="1583"/>
      <c r="E330" s="1585"/>
      <c r="F330" s="1585"/>
      <c r="G330" s="1585"/>
      <c r="H330" s="1585"/>
      <c r="I330" s="1585"/>
      <c r="J330" s="1585"/>
      <c r="K330" s="1585"/>
      <c r="L330" s="1585"/>
      <c r="M330" s="1585"/>
      <c r="N330" s="1585"/>
      <c r="O330" s="1585"/>
      <c r="P330" s="1585"/>
      <c r="Q330" s="1585"/>
      <c r="R330" s="1585"/>
      <c r="S330" s="1585"/>
      <c r="T330" s="1585"/>
      <c r="U330" s="1585"/>
      <c r="V330" s="1585"/>
      <c r="W330" s="1585"/>
      <c r="X330" s="1585"/>
      <c r="Y330" s="1585"/>
      <c r="Z330" s="1585"/>
      <c r="AA330" s="1585"/>
      <c r="AB330" s="1585"/>
      <c r="AC330" s="1585"/>
      <c r="AD330" s="1585"/>
      <c r="AE330" s="1585"/>
      <c r="AF330" s="1585"/>
      <c r="AG330" s="1585"/>
      <c r="AH330" s="1585"/>
      <c r="AI330" s="1585"/>
      <c r="AJ330" s="1585"/>
      <c r="AK330" s="1585"/>
      <c r="AL330" s="1585"/>
      <c r="AM330" s="1585"/>
      <c r="AN330" s="1585"/>
      <c r="AO330" s="1585"/>
      <c r="AP330" s="1585"/>
      <c r="AQ330" s="1585"/>
      <c r="AR330" s="1585"/>
      <c r="AS330" s="1585"/>
      <c r="AT330" s="1585"/>
      <c r="AU330" s="1585"/>
      <c r="AV330" s="1585"/>
      <c r="AW330" s="1585"/>
      <c r="AX330" s="1585"/>
      <c r="AY330" s="1585"/>
      <c r="AZ330" s="1585"/>
      <c r="BA330" s="1585"/>
      <c r="BB330" s="1585"/>
      <c r="BC330" s="1585"/>
      <c r="BD330" s="1585"/>
      <c r="BE330" s="1585"/>
      <c r="BF330" s="1585"/>
      <c r="BG330" s="1585"/>
      <c r="BH330" s="1585"/>
      <c r="BI330" s="1585"/>
      <c r="BJ330" s="1585"/>
      <c r="BK330" s="1585"/>
      <c r="BL330" s="1585"/>
      <c r="BM330" s="1585"/>
      <c r="BN330" s="1585"/>
      <c r="BO330" s="1585"/>
      <c r="BP330" s="1585"/>
      <c r="BQ330" s="1585"/>
      <c r="BR330" s="1585"/>
      <c r="BS330" s="1585"/>
      <c r="BT330" s="1585"/>
      <c r="BU330" s="1585"/>
      <c r="BV330" s="1585"/>
      <c r="BW330" s="1585"/>
      <c r="BX330" s="1585"/>
      <c r="BY330" s="1585"/>
      <c r="BZ330" s="1585"/>
      <c r="CA330" s="1585"/>
      <c r="CB330" s="1585"/>
      <c r="CC330" s="1585"/>
      <c r="CD330" s="1585"/>
      <c r="CE330" s="1585"/>
      <c r="CF330" s="1585"/>
      <c r="CG330" s="1585"/>
      <c r="CH330" s="1585"/>
      <c r="CI330" s="1585"/>
      <c r="CJ330" s="1585"/>
      <c r="CK330" s="1585"/>
      <c r="CL330" s="1585"/>
      <c r="CM330" s="1585"/>
      <c r="CN330" s="1585"/>
      <c r="CO330" s="1585"/>
      <c r="CP330" s="1585"/>
      <c r="CQ330" s="1585"/>
      <c r="CR330" s="1585"/>
      <c r="CS330" s="1585"/>
      <c r="CT330" s="1585"/>
      <c r="CU330" s="1585"/>
      <c r="CV330" s="1585"/>
      <c r="CW330" s="1585"/>
      <c r="CX330" s="1585"/>
      <c r="CY330" s="1585"/>
      <c r="CZ330" s="1585"/>
    </row>
    <row r="331" spans="1:104">
      <c r="A331" s="1466"/>
      <c r="B331" s="1583"/>
      <c r="C331" s="1583"/>
      <c r="D331" s="1583"/>
      <c r="E331" s="1585"/>
      <c r="F331" s="1585"/>
      <c r="G331" s="1585"/>
      <c r="H331" s="1585"/>
      <c r="I331" s="1585"/>
      <c r="J331" s="1585"/>
      <c r="K331" s="1585"/>
      <c r="L331" s="1585"/>
      <c r="M331" s="1585"/>
      <c r="N331" s="1585"/>
      <c r="O331" s="1585"/>
      <c r="P331" s="1585"/>
      <c r="Q331" s="1585"/>
      <c r="R331" s="1585"/>
      <c r="S331" s="1585"/>
      <c r="T331" s="1585"/>
      <c r="U331" s="1585"/>
      <c r="V331" s="1585"/>
      <c r="W331" s="1585"/>
      <c r="X331" s="1585"/>
      <c r="Y331" s="1585"/>
      <c r="Z331" s="1585"/>
      <c r="AA331" s="1585"/>
      <c r="AB331" s="1585"/>
      <c r="AC331" s="1585"/>
      <c r="AD331" s="1585"/>
      <c r="AE331" s="1585"/>
      <c r="AF331" s="1585"/>
      <c r="AG331" s="1585"/>
      <c r="AH331" s="1585"/>
      <c r="AI331" s="1585"/>
      <c r="AJ331" s="1585"/>
      <c r="AK331" s="1585"/>
      <c r="AL331" s="1585"/>
      <c r="AM331" s="1585"/>
      <c r="AN331" s="1585"/>
      <c r="AO331" s="1585"/>
      <c r="AP331" s="1585"/>
      <c r="AQ331" s="1585"/>
      <c r="AR331" s="1585"/>
      <c r="AS331" s="1585"/>
      <c r="AT331" s="1585"/>
      <c r="AU331" s="1585"/>
      <c r="AV331" s="1585"/>
      <c r="AW331" s="1585"/>
      <c r="AX331" s="1585"/>
      <c r="AY331" s="1585"/>
      <c r="AZ331" s="1585"/>
      <c r="BA331" s="1585"/>
      <c r="BB331" s="1585"/>
      <c r="BC331" s="1585"/>
      <c r="BD331" s="1585"/>
      <c r="BE331" s="1585"/>
      <c r="BF331" s="1585"/>
      <c r="BG331" s="1585"/>
      <c r="BH331" s="1585"/>
      <c r="BI331" s="1585"/>
      <c r="BJ331" s="1585"/>
      <c r="BK331" s="1585"/>
      <c r="BL331" s="1585"/>
      <c r="BM331" s="1585"/>
      <c r="BN331" s="1585"/>
      <c r="BO331" s="1585"/>
      <c r="BP331" s="1585"/>
      <c r="BQ331" s="1585"/>
      <c r="BR331" s="1585"/>
      <c r="BS331" s="1585"/>
      <c r="BT331" s="1585"/>
      <c r="BU331" s="1585"/>
      <c r="BV331" s="1585"/>
      <c r="BW331" s="1585"/>
      <c r="BX331" s="1585"/>
      <c r="BY331" s="1585"/>
      <c r="BZ331" s="1585"/>
      <c r="CA331" s="1585"/>
      <c r="CB331" s="1585"/>
      <c r="CC331" s="1585"/>
      <c r="CD331" s="1585"/>
      <c r="CE331" s="1585"/>
      <c r="CF331" s="1585"/>
      <c r="CG331" s="1585"/>
      <c r="CH331" s="1585"/>
      <c r="CI331" s="1585"/>
      <c r="CJ331" s="1585"/>
      <c r="CK331" s="1585"/>
      <c r="CL331" s="1585"/>
      <c r="CM331" s="1585"/>
      <c r="CN331" s="1585"/>
      <c r="CO331" s="1585"/>
      <c r="CP331" s="1585"/>
      <c r="CQ331" s="1585"/>
      <c r="CR331" s="1585"/>
      <c r="CS331" s="1585"/>
      <c r="CT331" s="1585"/>
      <c r="CU331" s="1585"/>
      <c r="CV331" s="1585"/>
      <c r="CW331" s="1585"/>
      <c r="CX331" s="1585"/>
      <c r="CY331" s="1585"/>
      <c r="CZ331" s="1585"/>
    </row>
    <row r="332" spans="1:104">
      <c r="A332" s="1466"/>
      <c r="B332" s="1583"/>
      <c r="C332" s="1583"/>
      <c r="D332" s="1583"/>
      <c r="E332" s="1585"/>
      <c r="F332" s="1585"/>
      <c r="G332" s="1585"/>
      <c r="H332" s="1585"/>
      <c r="I332" s="1585"/>
      <c r="J332" s="1585"/>
      <c r="K332" s="1585"/>
      <c r="L332" s="1585"/>
      <c r="M332" s="1585"/>
      <c r="N332" s="1585"/>
      <c r="O332" s="1585"/>
      <c r="P332" s="1585"/>
      <c r="Q332" s="1585"/>
      <c r="R332" s="1585"/>
      <c r="S332" s="1585"/>
      <c r="T332" s="1585"/>
      <c r="U332" s="1585"/>
      <c r="V332" s="1585"/>
      <c r="W332" s="1585"/>
      <c r="X332" s="1585"/>
      <c r="Y332" s="1585"/>
      <c r="Z332" s="1585"/>
      <c r="AA332" s="1585"/>
      <c r="AB332" s="1585"/>
      <c r="AC332" s="1585"/>
      <c r="AD332" s="1585"/>
      <c r="AE332" s="1585"/>
      <c r="AF332" s="1585"/>
      <c r="AG332" s="1585"/>
      <c r="AH332" s="1585"/>
      <c r="AI332" s="1585"/>
      <c r="AJ332" s="1585"/>
      <c r="AK332" s="1585"/>
      <c r="AL332" s="1585"/>
      <c r="AM332" s="1585"/>
      <c r="AN332" s="1585"/>
      <c r="AO332" s="1585"/>
      <c r="AP332" s="1585"/>
      <c r="AQ332" s="1585"/>
      <c r="AR332" s="1585"/>
      <c r="AS332" s="1585"/>
      <c r="AT332" s="1585"/>
      <c r="AU332" s="1585"/>
      <c r="AV332" s="1585"/>
      <c r="AW332" s="1585"/>
      <c r="AX332" s="1585"/>
      <c r="AY332" s="1585"/>
      <c r="AZ332" s="1585"/>
      <c r="BA332" s="1585"/>
      <c r="BB332" s="1585"/>
      <c r="BC332" s="1585"/>
      <c r="BD332" s="1585"/>
      <c r="BE332" s="1585"/>
      <c r="BF332" s="1585"/>
      <c r="BG332" s="1585"/>
      <c r="BH332" s="1585"/>
      <c r="BI332" s="1585"/>
      <c r="BJ332" s="1585"/>
      <c r="BK332" s="1585"/>
      <c r="BL332" s="1585"/>
      <c r="BM332" s="1585"/>
      <c r="BN332" s="1585"/>
      <c r="BO332" s="1585"/>
      <c r="BP332" s="1585"/>
      <c r="BQ332" s="1585"/>
      <c r="BR332" s="1585"/>
      <c r="BS332" s="1585"/>
      <c r="BT332" s="1585"/>
      <c r="BU332" s="1585"/>
      <c r="BV332" s="1585"/>
      <c r="BW332" s="1585"/>
      <c r="BX332" s="1585"/>
      <c r="BY332" s="1585"/>
      <c r="BZ332" s="1585"/>
      <c r="CA332" s="1585"/>
      <c r="CB332" s="1585"/>
      <c r="CC332" s="1585"/>
      <c r="CD332" s="1585"/>
      <c r="CE332" s="1585"/>
      <c r="CF332" s="1585"/>
      <c r="CG332" s="1585"/>
      <c r="CH332" s="1585"/>
      <c r="CI332" s="1585"/>
      <c r="CJ332" s="1585"/>
      <c r="CK332" s="1585"/>
      <c r="CL332" s="1585"/>
      <c r="CM332" s="1585"/>
      <c r="CN332" s="1585"/>
      <c r="CO332" s="1585"/>
      <c r="CP332" s="1585"/>
      <c r="CQ332" s="1585"/>
      <c r="CR332" s="1585"/>
      <c r="CS332" s="1585"/>
      <c r="CT332" s="1585"/>
      <c r="CU332" s="1585"/>
      <c r="CV332" s="1585"/>
      <c r="CW332" s="1585"/>
      <c r="CX332" s="1585"/>
      <c r="CY332" s="1585"/>
      <c r="CZ332" s="1585"/>
    </row>
    <row r="333" spans="1:104">
      <c r="A333" s="1466"/>
      <c r="B333" s="1583"/>
      <c r="C333" s="1583"/>
      <c r="D333" s="1583"/>
      <c r="E333" s="1585"/>
      <c r="F333" s="1585"/>
      <c r="G333" s="1585"/>
      <c r="H333" s="1585"/>
      <c r="I333" s="1585"/>
      <c r="J333" s="1585"/>
      <c r="K333" s="1585"/>
      <c r="L333" s="1585"/>
      <c r="M333" s="1585"/>
      <c r="N333" s="1585"/>
      <c r="O333" s="1585"/>
      <c r="P333" s="1585"/>
      <c r="Q333" s="1585"/>
      <c r="R333" s="1585"/>
      <c r="S333" s="1585"/>
      <c r="T333" s="1585"/>
      <c r="U333" s="1585"/>
      <c r="V333" s="1585"/>
      <c r="W333" s="1585"/>
      <c r="X333" s="1585"/>
      <c r="Y333" s="1585"/>
      <c r="Z333" s="1585"/>
      <c r="AA333" s="1585"/>
      <c r="AB333" s="1585"/>
      <c r="AC333" s="1585"/>
      <c r="AD333" s="1585"/>
      <c r="AE333" s="1585"/>
      <c r="AF333" s="1585"/>
      <c r="AG333" s="1585"/>
      <c r="AH333" s="1585"/>
      <c r="AI333" s="1585"/>
      <c r="AJ333" s="1585"/>
      <c r="AK333" s="1585"/>
      <c r="AL333" s="1585"/>
      <c r="AM333" s="1585"/>
      <c r="AN333" s="1585"/>
      <c r="AO333" s="1585"/>
      <c r="AP333" s="1585"/>
      <c r="AQ333" s="1585"/>
      <c r="AR333" s="1585"/>
      <c r="AS333" s="1585"/>
      <c r="AT333" s="1585"/>
      <c r="AU333" s="1585"/>
      <c r="AV333" s="1585"/>
      <c r="AW333" s="1585"/>
      <c r="AX333" s="1585"/>
      <c r="AY333" s="1585"/>
      <c r="AZ333" s="1585"/>
      <c r="BA333" s="1585"/>
      <c r="BB333" s="1585"/>
      <c r="BC333" s="1585"/>
      <c r="BD333" s="1585"/>
      <c r="BE333" s="1585"/>
      <c r="BF333" s="1585"/>
      <c r="BG333" s="1585"/>
      <c r="BH333" s="1585"/>
      <c r="BI333" s="1585"/>
      <c r="BJ333" s="1585"/>
      <c r="BK333" s="1585"/>
      <c r="BL333" s="1585"/>
      <c r="BM333" s="1585"/>
      <c r="BN333" s="1585"/>
      <c r="BO333" s="1585"/>
      <c r="BP333" s="1585"/>
      <c r="BQ333" s="1585"/>
      <c r="BR333" s="1585"/>
      <c r="BS333" s="1585"/>
      <c r="BT333" s="1585"/>
      <c r="BU333" s="1585"/>
      <c r="BV333" s="1585"/>
      <c r="BW333" s="1585"/>
      <c r="BX333" s="1585"/>
      <c r="BY333" s="1585"/>
      <c r="BZ333" s="1585"/>
      <c r="CA333" s="1585"/>
      <c r="CB333" s="1585"/>
      <c r="CC333" s="1585"/>
      <c r="CD333" s="1585"/>
      <c r="CE333" s="1585"/>
      <c r="CF333" s="1585"/>
      <c r="CG333" s="1585"/>
      <c r="CH333" s="1585"/>
      <c r="CI333" s="1585"/>
      <c r="CJ333" s="1585"/>
      <c r="CK333" s="1585"/>
      <c r="CL333" s="1585"/>
      <c r="CM333" s="1585"/>
      <c r="CN333" s="1585"/>
      <c r="CO333" s="1585"/>
      <c r="CP333" s="1585"/>
      <c r="CQ333" s="1585"/>
      <c r="CR333" s="1585"/>
      <c r="CS333" s="1585"/>
      <c r="CT333" s="1585"/>
      <c r="CU333" s="1585"/>
      <c r="CV333" s="1585"/>
      <c r="CW333" s="1585"/>
      <c r="CX333" s="1585"/>
      <c r="CY333" s="1585"/>
      <c r="CZ333" s="1585"/>
    </row>
    <row r="334" spans="1:104">
      <c r="A334" s="1466"/>
      <c r="B334" s="1583"/>
      <c r="C334" s="1583"/>
      <c r="D334" s="1583"/>
      <c r="E334" s="1585"/>
      <c r="F334" s="1585"/>
      <c r="G334" s="1585"/>
      <c r="H334" s="1585"/>
      <c r="I334" s="1585"/>
      <c r="J334" s="1585"/>
      <c r="K334" s="1585"/>
      <c r="L334" s="1585"/>
      <c r="M334" s="1585"/>
      <c r="N334" s="1585"/>
      <c r="O334" s="1585"/>
      <c r="P334" s="1585"/>
      <c r="Q334" s="1585"/>
      <c r="R334" s="1585"/>
      <c r="S334" s="1585"/>
      <c r="T334" s="1585"/>
      <c r="U334" s="1585"/>
      <c r="V334" s="1585"/>
      <c r="W334" s="1585"/>
      <c r="X334" s="1585"/>
      <c r="Y334" s="1585"/>
      <c r="Z334" s="1585"/>
      <c r="AA334" s="1585"/>
      <c r="AB334" s="1585"/>
      <c r="AC334" s="1585"/>
      <c r="AD334" s="1585"/>
      <c r="AE334" s="1585"/>
      <c r="AF334" s="1585"/>
      <c r="AG334" s="1585"/>
      <c r="AH334" s="1585"/>
      <c r="AI334" s="1585"/>
      <c r="AJ334" s="1585"/>
      <c r="AK334" s="1585"/>
      <c r="AL334" s="1585"/>
      <c r="AM334" s="1585"/>
      <c r="AN334" s="1585"/>
      <c r="AO334" s="1585"/>
      <c r="AP334" s="1585"/>
      <c r="AQ334" s="1585"/>
      <c r="AR334" s="1585"/>
      <c r="AS334" s="1585"/>
      <c r="AT334" s="1585"/>
      <c r="AU334" s="1585"/>
      <c r="AV334" s="1585"/>
      <c r="AW334" s="1585"/>
      <c r="AX334" s="1585"/>
      <c r="AY334" s="1585"/>
      <c r="AZ334" s="1585"/>
      <c r="BA334" s="1585"/>
      <c r="BB334" s="1585"/>
      <c r="BC334" s="1585"/>
      <c r="BD334" s="1585"/>
      <c r="BE334" s="1585"/>
      <c r="BF334" s="1585"/>
      <c r="BG334" s="1585"/>
      <c r="BH334" s="1585"/>
      <c r="BI334" s="1585"/>
      <c r="BJ334" s="1585"/>
      <c r="BK334" s="1585"/>
      <c r="BL334" s="1585"/>
      <c r="BM334" s="1585"/>
      <c r="BN334" s="1585"/>
      <c r="BO334" s="1585"/>
      <c r="BP334" s="1585"/>
      <c r="BQ334" s="1585"/>
      <c r="BR334" s="1585"/>
      <c r="BS334" s="1585"/>
      <c r="BT334" s="1585"/>
      <c r="BU334" s="1585"/>
      <c r="BV334" s="1585"/>
      <c r="BW334" s="1585"/>
      <c r="BX334" s="1585"/>
      <c r="BY334" s="1585"/>
      <c r="BZ334" s="1585"/>
      <c r="CA334" s="1585"/>
      <c r="CB334" s="1585"/>
      <c r="CC334" s="1585"/>
      <c r="CD334" s="1585"/>
      <c r="CE334" s="1585"/>
      <c r="CF334" s="1585"/>
      <c r="CG334" s="1585"/>
      <c r="CH334" s="1585"/>
      <c r="CI334" s="1585"/>
      <c r="CJ334" s="1585"/>
      <c r="CK334" s="1585"/>
      <c r="CL334" s="1585"/>
      <c r="CM334" s="1585"/>
      <c r="CN334" s="1585"/>
      <c r="CO334" s="1585"/>
      <c r="CP334" s="1585"/>
      <c r="CQ334" s="1585"/>
      <c r="CR334" s="1585"/>
      <c r="CS334" s="1585"/>
      <c r="CT334" s="1585"/>
      <c r="CU334" s="1585"/>
      <c r="CV334" s="1585"/>
      <c r="CW334" s="1585"/>
      <c r="CX334" s="1585"/>
      <c r="CY334" s="1585"/>
      <c r="CZ334" s="1585"/>
    </row>
    <row r="335" spans="1:104">
      <c r="A335" s="1466"/>
      <c r="B335" s="1583"/>
      <c r="C335" s="1583"/>
      <c r="D335" s="1583"/>
      <c r="E335" s="1585"/>
      <c r="F335" s="1585"/>
      <c r="G335" s="1585"/>
      <c r="H335" s="1585"/>
      <c r="I335" s="1585"/>
      <c r="J335" s="1585"/>
      <c r="K335" s="1585"/>
      <c r="L335" s="1585"/>
      <c r="M335" s="1585"/>
      <c r="N335" s="1585"/>
      <c r="O335" s="1585"/>
      <c r="P335" s="1585"/>
      <c r="Q335" s="1585"/>
      <c r="R335" s="1585"/>
      <c r="S335" s="1585"/>
      <c r="T335" s="1585"/>
      <c r="U335" s="1585"/>
      <c r="V335" s="1585"/>
      <c r="W335" s="1585"/>
      <c r="X335" s="1585"/>
      <c r="Y335" s="1585"/>
      <c r="Z335" s="1585"/>
      <c r="AA335" s="1585"/>
      <c r="AB335" s="1585"/>
      <c r="AC335" s="1585"/>
      <c r="AD335" s="1585"/>
      <c r="AE335" s="1585"/>
      <c r="AF335" s="1585"/>
      <c r="AG335" s="1585"/>
      <c r="AH335" s="1585"/>
      <c r="AI335" s="1585"/>
      <c r="AJ335" s="1585"/>
      <c r="AK335" s="1585"/>
      <c r="AL335" s="1585"/>
      <c r="AM335" s="1585"/>
      <c r="AN335" s="1585"/>
      <c r="AO335" s="1585"/>
      <c r="AP335" s="1585"/>
      <c r="AQ335" s="1585"/>
      <c r="AR335" s="1585"/>
      <c r="AS335" s="1585"/>
      <c r="AT335" s="1585"/>
      <c r="AU335" s="1585"/>
      <c r="AV335" s="1585"/>
      <c r="AW335" s="1585"/>
      <c r="AX335" s="1585"/>
      <c r="AY335" s="1585"/>
      <c r="AZ335" s="1585"/>
      <c r="BA335" s="1585"/>
      <c r="BB335" s="1585"/>
      <c r="BC335" s="1585"/>
      <c r="BD335" s="1585"/>
      <c r="BE335" s="1585"/>
      <c r="BF335" s="1585"/>
      <c r="BG335" s="1585"/>
      <c r="BH335" s="1585"/>
      <c r="BI335" s="1585"/>
      <c r="BJ335" s="1585"/>
      <c r="BK335" s="1585"/>
      <c r="BL335" s="1585"/>
      <c r="BM335" s="1585"/>
      <c r="BN335" s="1585"/>
      <c r="BO335" s="1585"/>
      <c r="BP335" s="1585"/>
      <c r="BQ335" s="1585"/>
      <c r="BR335" s="1585"/>
      <c r="BS335" s="1585"/>
      <c r="BT335" s="1585"/>
      <c r="BU335" s="1585"/>
      <c r="BV335" s="1585"/>
      <c r="BW335" s="1585"/>
      <c r="BX335" s="1585"/>
      <c r="BY335" s="1585"/>
      <c r="BZ335" s="1585"/>
      <c r="CA335" s="1585"/>
      <c r="CB335" s="1585"/>
      <c r="CC335" s="1585"/>
      <c r="CD335" s="1585"/>
      <c r="CE335" s="1585"/>
      <c r="CF335" s="1585"/>
      <c r="CG335" s="1585"/>
      <c r="CH335" s="1585"/>
      <c r="CI335" s="1585"/>
      <c r="CJ335" s="1585"/>
      <c r="CK335" s="1585"/>
      <c r="CL335" s="1585"/>
      <c r="CM335" s="1585"/>
      <c r="CN335" s="1585"/>
      <c r="CO335" s="1585"/>
      <c r="CP335" s="1585"/>
      <c r="CQ335" s="1585"/>
      <c r="CR335" s="1585"/>
      <c r="CS335" s="1585"/>
      <c r="CT335" s="1585"/>
      <c r="CU335" s="1585"/>
      <c r="CV335" s="1585"/>
      <c r="CW335" s="1585"/>
      <c r="CX335" s="1585"/>
      <c r="CY335" s="1585"/>
      <c r="CZ335" s="1585"/>
    </row>
    <row r="336" spans="1:104">
      <c r="A336" s="1466"/>
      <c r="B336" s="1583"/>
      <c r="C336" s="1583"/>
      <c r="D336" s="1583"/>
      <c r="E336" s="1585"/>
      <c r="F336" s="1585"/>
      <c r="G336" s="1585"/>
      <c r="H336" s="1585"/>
      <c r="I336" s="1585"/>
      <c r="J336" s="1585"/>
      <c r="K336" s="1585"/>
      <c r="L336" s="1585"/>
      <c r="M336" s="1585"/>
      <c r="N336" s="1585"/>
      <c r="O336" s="1585"/>
      <c r="P336" s="1585"/>
      <c r="Q336" s="1585"/>
      <c r="R336" s="1585"/>
      <c r="S336" s="1585"/>
      <c r="T336" s="1585"/>
      <c r="U336" s="1585"/>
      <c r="V336" s="1585"/>
      <c r="W336" s="1585"/>
      <c r="X336" s="1585"/>
      <c r="Y336" s="1585"/>
      <c r="Z336" s="1585"/>
      <c r="AA336" s="1585"/>
      <c r="AB336" s="1585"/>
      <c r="AC336" s="1585"/>
      <c r="AD336" s="1585"/>
      <c r="AE336" s="1585"/>
      <c r="AF336" s="1585"/>
      <c r="AG336" s="1585"/>
      <c r="AH336" s="1585"/>
      <c r="AI336" s="1585"/>
      <c r="AJ336" s="1585"/>
      <c r="AK336" s="1585"/>
      <c r="AL336" s="1585"/>
      <c r="AM336" s="1585"/>
      <c r="AN336" s="1585"/>
      <c r="AO336" s="1585"/>
      <c r="AP336" s="1585"/>
      <c r="AQ336" s="1585"/>
      <c r="AR336" s="1585"/>
      <c r="AS336" s="1585"/>
      <c r="AT336" s="1585"/>
      <c r="AU336" s="1585"/>
      <c r="AV336" s="1585"/>
      <c r="AW336" s="1585"/>
      <c r="AX336" s="1585"/>
      <c r="AY336" s="1585"/>
      <c r="AZ336" s="1585"/>
      <c r="BA336" s="1585"/>
      <c r="BB336" s="1585"/>
      <c r="BC336" s="1585"/>
      <c r="BD336" s="1585"/>
      <c r="BE336" s="1585"/>
      <c r="BF336" s="1585"/>
      <c r="BG336" s="1585"/>
      <c r="BH336" s="1585"/>
      <c r="BI336" s="1585"/>
      <c r="BJ336" s="1585"/>
      <c r="BK336" s="1585"/>
      <c r="BL336" s="1585"/>
      <c r="BM336" s="1585"/>
      <c r="BN336" s="1585"/>
      <c r="BO336" s="1585"/>
      <c r="BP336" s="1585"/>
      <c r="BQ336" s="1585"/>
      <c r="BR336" s="1585"/>
      <c r="BS336" s="1585"/>
      <c r="BT336" s="1585"/>
      <c r="BU336" s="1585"/>
      <c r="BV336" s="1585"/>
      <c r="BW336" s="1585"/>
      <c r="BX336" s="1585"/>
      <c r="BY336" s="1585"/>
      <c r="BZ336" s="1585"/>
      <c r="CA336" s="1585"/>
      <c r="CB336" s="1585"/>
      <c r="CC336" s="1585"/>
      <c r="CD336" s="1585"/>
      <c r="CE336" s="1585"/>
      <c r="CF336" s="1585"/>
      <c r="CG336" s="1585"/>
      <c r="CH336" s="1585"/>
      <c r="CI336" s="1585"/>
      <c r="CJ336" s="1585"/>
      <c r="CK336" s="1585"/>
      <c r="CL336" s="1585"/>
      <c r="CM336" s="1585"/>
      <c r="CN336" s="1585"/>
      <c r="CO336" s="1585"/>
      <c r="CP336" s="1585"/>
      <c r="CQ336" s="1585"/>
      <c r="CR336" s="1585"/>
      <c r="CS336" s="1585"/>
      <c r="CT336" s="1585"/>
      <c r="CU336" s="1585"/>
      <c r="CV336" s="1585"/>
      <c r="CW336" s="1585"/>
      <c r="CX336" s="1585"/>
      <c r="CY336" s="1585"/>
      <c r="CZ336" s="1585"/>
    </row>
    <row r="337" spans="1:104">
      <c r="A337" s="1466"/>
      <c r="B337" s="1583"/>
      <c r="C337" s="1583"/>
      <c r="D337" s="1583"/>
      <c r="E337" s="1585"/>
      <c r="F337" s="1585"/>
      <c r="G337" s="1585"/>
      <c r="H337" s="1585"/>
      <c r="I337" s="1585"/>
      <c r="J337" s="1585"/>
      <c r="K337" s="1585"/>
      <c r="L337" s="1585"/>
      <c r="M337" s="1585"/>
      <c r="N337" s="1585"/>
      <c r="O337" s="1585"/>
      <c r="P337" s="1585"/>
      <c r="Q337" s="1585"/>
      <c r="R337" s="1585"/>
      <c r="S337" s="1585"/>
      <c r="T337" s="1585"/>
      <c r="U337" s="1585"/>
      <c r="V337" s="1585"/>
      <c r="W337" s="1585"/>
      <c r="X337" s="1585"/>
      <c r="Y337" s="1585"/>
      <c r="Z337" s="1585"/>
      <c r="AA337" s="1585"/>
      <c r="AB337" s="1585"/>
      <c r="AC337" s="1585"/>
      <c r="AD337" s="1585"/>
      <c r="AE337" s="1585"/>
      <c r="AF337" s="1585"/>
      <c r="AG337" s="1585"/>
      <c r="AH337" s="1585"/>
      <c r="AI337" s="1585"/>
      <c r="AJ337" s="1585"/>
      <c r="AK337" s="1585"/>
      <c r="AL337" s="1585"/>
      <c r="AM337" s="1585"/>
      <c r="AN337" s="1585"/>
      <c r="AO337" s="1585"/>
      <c r="AP337" s="1585"/>
      <c r="AQ337" s="1585"/>
      <c r="AR337" s="1585"/>
      <c r="AS337" s="1585"/>
      <c r="AT337" s="1585"/>
      <c r="AU337" s="1585"/>
      <c r="AV337" s="1585"/>
      <c r="AW337" s="1585"/>
      <c r="AX337" s="1585"/>
      <c r="AY337" s="1585"/>
      <c r="AZ337" s="1585"/>
      <c r="BA337" s="1585"/>
      <c r="BB337" s="1585"/>
      <c r="BC337" s="1585"/>
      <c r="BD337" s="1585"/>
      <c r="BE337" s="1585"/>
      <c r="BF337" s="1585"/>
      <c r="BG337" s="1585"/>
      <c r="BH337" s="1585"/>
      <c r="BI337" s="1585"/>
      <c r="BJ337" s="1585"/>
      <c r="BK337" s="1585"/>
      <c r="BL337" s="1585"/>
      <c r="BM337" s="1585"/>
      <c r="BN337" s="1585"/>
      <c r="BO337" s="1585"/>
      <c r="BP337" s="1585"/>
      <c r="BQ337" s="1585"/>
      <c r="BR337" s="1585"/>
      <c r="BS337" s="1585"/>
      <c r="BT337" s="1585"/>
      <c r="BU337" s="1585"/>
      <c r="BV337" s="1585"/>
      <c r="BW337" s="1585"/>
      <c r="BX337" s="1585"/>
      <c r="BY337" s="1585"/>
      <c r="BZ337" s="1585"/>
      <c r="CA337" s="1585"/>
      <c r="CB337" s="1585"/>
      <c r="CC337" s="1585"/>
      <c r="CD337" s="1585"/>
      <c r="CE337" s="1585"/>
      <c r="CF337" s="1585"/>
      <c r="CG337" s="1585"/>
      <c r="CH337" s="1585"/>
      <c r="CI337" s="1585"/>
      <c r="CJ337" s="1585"/>
      <c r="CK337" s="1585"/>
      <c r="CL337" s="1585"/>
      <c r="CM337" s="1585"/>
      <c r="CN337" s="1585"/>
      <c r="CO337" s="1585"/>
      <c r="CP337" s="1585"/>
      <c r="CQ337" s="1585"/>
      <c r="CR337" s="1585"/>
      <c r="CS337" s="1585"/>
      <c r="CT337" s="1585"/>
      <c r="CU337" s="1585"/>
      <c r="CV337" s="1585"/>
      <c r="CW337" s="1585"/>
      <c r="CX337" s="1585"/>
      <c r="CY337" s="1585"/>
      <c r="CZ337" s="1585"/>
    </row>
    <row r="338" spans="1:104">
      <c r="A338" s="1466"/>
      <c r="B338" s="1583"/>
      <c r="C338" s="1583"/>
      <c r="D338" s="1583"/>
      <c r="E338" s="1585"/>
      <c r="F338" s="1585"/>
      <c r="G338" s="1585"/>
      <c r="H338" s="1585"/>
      <c r="I338" s="1585"/>
      <c r="J338" s="1585"/>
      <c r="K338" s="1585"/>
      <c r="L338" s="1585"/>
      <c r="M338" s="1585"/>
      <c r="N338" s="1585"/>
      <c r="O338" s="1585"/>
      <c r="P338" s="1585"/>
      <c r="Q338" s="1585"/>
      <c r="R338" s="1585"/>
      <c r="S338" s="1585"/>
      <c r="T338" s="1585"/>
      <c r="U338" s="1585"/>
      <c r="V338" s="1585"/>
      <c r="W338" s="1585"/>
      <c r="X338" s="1585"/>
      <c r="Y338" s="1585"/>
      <c r="Z338" s="1585"/>
      <c r="AA338" s="1585"/>
      <c r="AB338" s="1585"/>
      <c r="AC338" s="1585"/>
      <c r="AD338" s="1585"/>
      <c r="AE338" s="1585"/>
      <c r="AF338" s="1585"/>
      <c r="AG338" s="1585"/>
      <c r="AH338" s="1585"/>
      <c r="AI338" s="1585"/>
      <c r="AJ338" s="1585"/>
      <c r="AK338" s="1585"/>
      <c r="AL338" s="1585"/>
      <c r="AM338" s="1585"/>
      <c r="AN338" s="1585"/>
      <c r="AO338" s="1585"/>
      <c r="AP338" s="1585"/>
      <c r="AQ338" s="1585"/>
      <c r="AR338" s="1585"/>
      <c r="AS338" s="1585"/>
      <c r="AT338" s="1585"/>
      <c r="AU338" s="1585"/>
      <c r="AV338" s="1585"/>
      <c r="AW338" s="1585"/>
      <c r="AX338" s="1585"/>
      <c r="AY338" s="1585"/>
      <c r="AZ338" s="1585"/>
      <c r="BA338" s="1585"/>
      <c r="BB338" s="1585"/>
      <c r="BC338" s="1585"/>
      <c r="BD338" s="1585"/>
      <c r="BE338" s="1585"/>
      <c r="BF338" s="1585"/>
      <c r="BG338" s="1585"/>
      <c r="BH338" s="1585"/>
      <c r="BI338" s="1585"/>
      <c r="BJ338" s="1585"/>
      <c r="BK338" s="1585"/>
      <c r="BL338" s="1585"/>
      <c r="BM338" s="1585"/>
      <c r="BN338" s="1585"/>
      <c r="BO338" s="1585"/>
      <c r="BP338" s="1585"/>
      <c r="BQ338" s="1585"/>
      <c r="BR338" s="1585"/>
      <c r="BS338" s="1585"/>
      <c r="BT338" s="1585"/>
      <c r="BU338" s="1585"/>
      <c r="BV338" s="1585"/>
      <c r="BW338" s="1585"/>
      <c r="BX338" s="1585"/>
      <c r="BY338" s="1585"/>
      <c r="BZ338" s="1585"/>
      <c r="CA338" s="1585"/>
      <c r="CB338" s="1585"/>
      <c r="CC338" s="1585"/>
      <c r="CD338" s="1585"/>
      <c r="CE338" s="1585"/>
      <c r="CF338" s="1585"/>
      <c r="CG338" s="1585"/>
      <c r="CH338" s="1585"/>
      <c r="CI338" s="1585"/>
      <c r="CJ338" s="1585"/>
      <c r="CK338" s="1585"/>
      <c r="CL338" s="1585"/>
      <c r="CM338" s="1585"/>
      <c r="CN338" s="1585"/>
      <c r="CO338" s="1585"/>
      <c r="CP338" s="1585"/>
      <c r="CQ338" s="1585"/>
      <c r="CR338" s="1585"/>
      <c r="CS338" s="1585"/>
      <c r="CT338" s="1585"/>
      <c r="CU338" s="1585"/>
      <c r="CV338" s="1585"/>
      <c r="CW338" s="1585"/>
      <c r="CX338" s="1585"/>
      <c r="CY338" s="1585"/>
      <c r="CZ338" s="1585"/>
    </row>
    <row r="339" spans="1:104">
      <c r="A339" s="1466"/>
      <c r="B339" s="1583"/>
      <c r="C339" s="1583"/>
      <c r="D339" s="1583"/>
      <c r="E339" s="1585"/>
      <c r="F339" s="1585"/>
      <c r="G339" s="1585"/>
      <c r="H339" s="1585"/>
      <c r="I339" s="1585"/>
      <c r="J339" s="1585"/>
      <c r="K339" s="1585"/>
      <c r="L339" s="1585"/>
      <c r="M339" s="1585"/>
      <c r="N339" s="1585"/>
      <c r="O339" s="1585"/>
      <c r="P339" s="1585"/>
      <c r="Q339" s="1585"/>
      <c r="R339" s="1585"/>
      <c r="S339" s="1585"/>
      <c r="T339" s="1585"/>
      <c r="U339" s="1585"/>
      <c r="V339" s="1585"/>
      <c r="W339" s="1585"/>
      <c r="X339" s="1585"/>
      <c r="Y339" s="1585"/>
      <c r="Z339" s="1585"/>
      <c r="AA339" s="1585"/>
      <c r="AB339" s="1585"/>
      <c r="AC339" s="1585"/>
      <c r="AD339" s="1585"/>
      <c r="AE339" s="1585"/>
      <c r="AF339" s="1585"/>
      <c r="AG339" s="1585"/>
      <c r="AH339" s="1585"/>
      <c r="AI339" s="1585"/>
      <c r="AJ339" s="1585"/>
      <c r="AK339" s="1585"/>
      <c r="AL339" s="1585"/>
      <c r="AM339" s="1585"/>
      <c r="AN339" s="1585"/>
      <c r="AO339" s="1585"/>
      <c r="AP339" s="1585"/>
      <c r="AQ339" s="1585"/>
      <c r="AR339" s="1585"/>
      <c r="AS339" s="1585"/>
      <c r="AT339" s="1585"/>
      <c r="AU339" s="1585"/>
      <c r="AV339" s="1585"/>
      <c r="AW339" s="1585"/>
      <c r="AX339" s="1585"/>
      <c r="AY339" s="1585"/>
      <c r="AZ339" s="1585"/>
      <c r="BA339" s="1585"/>
      <c r="BB339" s="1585"/>
      <c r="BC339" s="1585"/>
      <c r="BD339" s="1585"/>
      <c r="BE339" s="1585"/>
      <c r="BF339" s="1585"/>
      <c r="BG339" s="1585"/>
      <c r="BH339" s="1585"/>
      <c r="BI339" s="1585"/>
      <c r="BJ339" s="1585"/>
      <c r="BK339" s="1585"/>
      <c r="BL339" s="1585"/>
      <c r="BM339" s="1585"/>
      <c r="BN339" s="1585"/>
      <c r="BO339" s="1585"/>
      <c r="BP339" s="1585"/>
      <c r="BQ339" s="1585"/>
      <c r="BR339" s="1585"/>
      <c r="BS339" s="1585"/>
      <c r="BT339" s="1585"/>
      <c r="BU339" s="1585"/>
      <c r="BV339" s="1585"/>
      <c r="BW339" s="1585"/>
      <c r="BX339" s="1585"/>
      <c r="BY339" s="1585"/>
      <c r="BZ339" s="1585"/>
      <c r="CA339" s="1585"/>
      <c r="CB339" s="1585"/>
      <c r="CC339" s="1585"/>
      <c r="CD339" s="1585"/>
      <c r="CE339" s="1585"/>
      <c r="CF339" s="1585"/>
      <c r="CG339" s="1585"/>
      <c r="CH339" s="1585"/>
      <c r="CI339" s="1585"/>
      <c r="CJ339" s="1585"/>
      <c r="CK339" s="1585"/>
      <c r="CL339" s="1585"/>
      <c r="CM339" s="1585"/>
      <c r="CN339" s="1585"/>
      <c r="CO339" s="1585"/>
      <c r="CP339" s="1585"/>
      <c r="CQ339" s="1585"/>
      <c r="CR339" s="1585"/>
      <c r="CS339" s="1585"/>
      <c r="CT339" s="1585"/>
      <c r="CU339" s="1585"/>
      <c r="CV339" s="1585"/>
      <c r="CW339" s="1585"/>
      <c r="CX339" s="1585"/>
      <c r="CY339" s="1585"/>
      <c r="CZ339" s="1585"/>
    </row>
    <row r="340" spans="1:104">
      <c r="A340" s="1466"/>
      <c r="B340" s="1583"/>
      <c r="C340" s="1583"/>
      <c r="D340" s="1583"/>
      <c r="E340" s="1585"/>
      <c r="F340" s="1585"/>
      <c r="G340" s="1585"/>
      <c r="H340" s="1585"/>
      <c r="I340" s="1585"/>
      <c r="J340" s="1585"/>
      <c r="K340" s="1585"/>
      <c r="L340" s="1585"/>
      <c r="M340" s="1585"/>
      <c r="N340" s="1585"/>
      <c r="O340" s="1585"/>
      <c r="P340" s="1585"/>
      <c r="Q340" s="1585"/>
      <c r="R340" s="1585"/>
      <c r="S340" s="1585"/>
      <c r="T340" s="1585"/>
      <c r="U340" s="1585"/>
      <c r="V340" s="1585"/>
      <c r="W340" s="1585"/>
      <c r="X340" s="1585"/>
      <c r="Y340" s="1585"/>
      <c r="Z340" s="1585"/>
      <c r="AA340" s="1585"/>
      <c r="AB340" s="1585"/>
      <c r="AC340" s="1585"/>
      <c r="AD340" s="1585"/>
      <c r="AE340" s="1585"/>
      <c r="AF340" s="1585"/>
      <c r="AG340" s="1585"/>
      <c r="AH340" s="1585"/>
      <c r="AI340" s="1585"/>
      <c r="AJ340" s="1585"/>
      <c r="AK340" s="1585"/>
      <c r="AL340" s="1585"/>
      <c r="AM340" s="1585"/>
      <c r="AN340" s="1585"/>
      <c r="AO340" s="1585"/>
      <c r="AP340" s="1585"/>
      <c r="AQ340" s="1585"/>
      <c r="AR340" s="1585"/>
      <c r="AS340" s="1585"/>
      <c r="AT340" s="1585"/>
      <c r="AU340" s="1585"/>
      <c r="AV340" s="1585"/>
      <c r="AW340" s="1585"/>
      <c r="AX340" s="1585"/>
      <c r="AY340" s="1585"/>
      <c r="AZ340" s="1585"/>
      <c r="BA340" s="1585"/>
      <c r="BB340" s="1585"/>
      <c r="BC340" s="1585"/>
      <c r="BD340" s="1585"/>
      <c r="BE340" s="1585"/>
      <c r="BF340" s="1585"/>
      <c r="BG340" s="1585"/>
      <c r="BH340" s="1585"/>
      <c r="BI340" s="1585"/>
      <c r="BJ340" s="1585"/>
      <c r="BK340" s="1585"/>
      <c r="BL340" s="1585"/>
      <c r="BM340" s="1585"/>
      <c r="BN340" s="1585"/>
      <c r="BO340" s="1585"/>
      <c r="BP340" s="1585"/>
      <c r="BQ340" s="1585"/>
      <c r="BR340" s="1585"/>
      <c r="BS340" s="1585"/>
      <c r="BT340" s="1585"/>
      <c r="BU340" s="1585"/>
      <c r="BV340" s="1585"/>
      <c r="BW340" s="1585"/>
      <c r="BX340" s="1585"/>
      <c r="BY340" s="1585"/>
      <c r="BZ340" s="1585"/>
      <c r="CA340" s="1585"/>
      <c r="CB340" s="1585"/>
      <c r="CC340" s="1585"/>
      <c r="CD340" s="1585"/>
      <c r="CE340" s="1585"/>
      <c r="CF340" s="1585"/>
      <c r="CG340" s="1585"/>
      <c r="CH340" s="1585"/>
      <c r="CI340" s="1585"/>
      <c r="CJ340" s="1585"/>
      <c r="CK340" s="1585"/>
      <c r="CL340" s="1585"/>
      <c r="CM340" s="1585"/>
      <c r="CN340" s="1585"/>
      <c r="CO340" s="1585"/>
      <c r="CP340" s="1585"/>
      <c r="CQ340" s="1585"/>
      <c r="CR340" s="1585"/>
      <c r="CS340" s="1585"/>
      <c r="CT340" s="1585"/>
      <c r="CU340" s="1585"/>
      <c r="CV340" s="1585"/>
      <c r="CW340" s="1585"/>
      <c r="CX340" s="1585"/>
      <c r="CY340" s="1585"/>
      <c r="CZ340" s="1585"/>
    </row>
    <row r="341" spans="1:104">
      <c r="A341" s="1466"/>
      <c r="B341" s="1583"/>
      <c r="C341" s="1583"/>
      <c r="D341" s="1583"/>
      <c r="E341" s="1585"/>
      <c r="F341" s="1585"/>
      <c r="G341" s="1585"/>
      <c r="H341" s="1585"/>
      <c r="I341" s="1585"/>
      <c r="J341" s="1585"/>
      <c r="K341" s="1585"/>
      <c r="L341" s="1585"/>
      <c r="M341" s="1585"/>
      <c r="N341" s="1585"/>
      <c r="O341" s="1585"/>
      <c r="P341" s="1585"/>
      <c r="Q341" s="1585"/>
      <c r="R341" s="1585"/>
      <c r="S341" s="1585"/>
      <c r="T341" s="1585"/>
      <c r="U341" s="1585"/>
      <c r="V341" s="1585"/>
      <c r="W341" s="1585"/>
      <c r="X341" s="1585"/>
      <c r="Y341" s="1585"/>
      <c r="Z341" s="1585"/>
      <c r="AA341" s="1585"/>
      <c r="AB341" s="1585"/>
      <c r="AC341" s="1585"/>
      <c r="AD341" s="1585"/>
      <c r="AE341" s="1585"/>
      <c r="AF341" s="1585"/>
      <c r="AG341" s="1585"/>
      <c r="AH341" s="1585"/>
      <c r="AI341" s="1585"/>
      <c r="AJ341" s="1585"/>
      <c r="AK341" s="1585"/>
      <c r="AL341" s="1585"/>
      <c r="AM341" s="1585"/>
      <c r="AN341" s="1585"/>
      <c r="AO341" s="1585"/>
      <c r="AP341" s="1585"/>
      <c r="AQ341" s="1585"/>
      <c r="AR341" s="1585"/>
      <c r="AS341" s="1585"/>
      <c r="AT341" s="1585"/>
      <c r="AU341" s="1585"/>
      <c r="AV341" s="1585"/>
      <c r="AW341" s="1585"/>
      <c r="AX341" s="1585"/>
      <c r="AY341" s="1585"/>
      <c r="AZ341" s="1585"/>
      <c r="BA341" s="1585"/>
      <c r="BB341" s="1585"/>
      <c r="BC341" s="1585"/>
      <c r="BD341" s="1585"/>
      <c r="BE341" s="1585"/>
      <c r="BF341" s="1585"/>
      <c r="BG341" s="1585"/>
      <c r="BH341" s="1585"/>
      <c r="BI341" s="1585"/>
      <c r="BJ341" s="1585"/>
      <c r="BK341" s="1585"/>
      <c r="BL341" s="1585"/>
      <c r="BM341" s="1585"/>
      <c r="BN341" s="1585"/>
      <c r="BO341" s="1585"/>
      <c r="BP341" s="1585"/>
      <c r="BQ341" s="1585"/>
      <c r="BR341" s="1585"/>
      <c r="BS341" s="1585"/>
      <c r="BT341" s="1585"/>
      <c r="BU341" s="1585"/>
      <c r="BV341" s="1585"/>
      <c r="BW341" s="1585"/>
      <c r="BX341" s="1585"/>
      <c r="BY341" s="1585"/>
      <c r="BZ341" s="1585"/>
      <c r="CA341" s="1585"/>
      <c r="CB341" s="1585"/>
      <c r="CC341" s="1585"/>
      <c r="CD341" s="1585"/>
      <c r="CE341" s="1585"/>
      <c r="CF341" s="1585"/>
      <c r="CG341" s="1585"/>
      <c r="CH341" s="1585"/>
      <c r="CI341" s="1585"/>
      <c r="CJ341" s="1585"/>
      <c r="CK341" s="1585"/>
      <c r="CL341" s="1585"/>
      <c r="CM341" s="1585"/>
      <c r="CN341" s="1585"/>
      <c r="CO341" s="1585"/>
      <c r="CP341" s="1585"/>
      <c r="CQ341" s="1585"/>
      <c r="CR341" s="1585"/>
      <c r="CS341" s="1585"/>
      <c r="CT341" s="1585"/>
      <c r="CU341" s="1585"/>
      <c r="CV341" s="1585"/>
      <c r="CW341" s="1585"/>
      <c r="CX341" s="1585"/>
      <c r="CY341" s="1585"/>
      <c r="CZ341" s="1585"/>
    </row>
    <row r="342" spans="1:104">
      <c r="A342" s="1466"/>
      <c r="B342" s="1583"/>
      <c r="C342" s="1583"/>
      <c r="D342" s="1583"/>
      <c r="E342" s="1585"/>
      <c r="F342" s="1585"/>
      <c r="G342" s="1585"/>
      <c r="H342" s="1585"/>
      <c r="I342" s="1585"/>
      <c r="J342" s="1585"/>
      <c r="K342" s="1585"/>
      <c r="L342" s="1585"/>
      <c r="M342" s="1585"/>
      <c r="N342" s="1585"/>
      <c r="O342" s="1585"/>
      <c r="P342" s="1585"/>
      <c r="Q342" s="1585"/>
      <c r="R342" s="1585"/>
      <c r="S342" s="1585"/>
      <c r="T342" s="1585"/>
      <c r="U342" s="1585"/>
      <c r="V342" s="1585"/>
      <c r="W342" s="1585"/>
      <c r="X342" s="1585"/>
      <c r="Y342" s="1585"/>
      <c r="Z342" s="1585"/>
      <c r="AA342" s="1585"/>
      <c r="AB342" s="1585"/>
      <c r="AC342" s="1585"/>
      <c r="AD342" s="1585"/>
      <c r="AE342" s="1585"/>
      <c r="AF342" s="1585"/>
      <c r="AG342" s="1585"/>
      <c r="AH342" s="1585"/>
      <c r="AI342" s="1585"/>
      <c r="AJ342" s="1585"/>
      <c r="AK342" s="1585"/>
      <c r="AL342" s="1585"/>
      <c r="AM342" s="1585"/>
      <c r="AN342" s="1585"/>
      <c r="AO342" s="1585"/>
      <c r="AP342" s="1585"/>
      <c r="AQ342" s="1585"/>
      <c r="AR342" s="1585"/>
      <c r="AS342" s="1585"/>
      <c r="AT342" s="1585"/>
      <c r="AU342" s="1585"/>
      <c r="AV342" s="1585"/>
      <c r="AW342" s="1585"/>
      <c r="AX342" s="1585"/>
      <c r="AY342" s="1585"/>
      <c r="AZ342" s="1585"/>
      <c r="BA342" s="1585"/>
      <c r="BB342" s="1585"/>
      <c r="BC342" s="1585"/>
      <c r="BD342" s="1585"/>
      <c r="BE342" s="1585"/>
      <c r="BF342" s="1585"/>
      <c r="BG342" s="1585"/>
      <c r="BH342" s="1585"/>
      <c r="BI342" s="1585"/>
      <c r="BJ342" s="1585"/>
      <c r="BK342" s="1585"/>
      <c r="BL342" s="1585"/>
      <c r="BM342" s="1585"/>
      <c r="BN342" s="1585"/>
      <c r="BO342" s="1585"/>
      <c r="BP342" s="1585"/>
      <c r="BQ342" s="1585"/>
      <c r="BR342" s="1585"/>
      <c r="BS342" s="1585"/>
      <c r="BT342" s="1585"/>
      <c r="BU342" s="1585"/>
      <c r="BV342" s="1585"/>
      <c r="BW342" s="1585"/>
      <c r="BX342" s="1585"/>
      <c r="BY342" s="1585"/>
      <c r="BZ342" s="1585"/>
      <c r="CA342" s="1585"/>
      <c r="CB342" s="1585"/>
      <c r="CC342" s="1585"/>
      <c r="CD342" s="1585"/>
      <c r="CE342" s="1585"/>
      <c r="CF342" s="1585"/>
      <c r="CG342" s="1585"/>
      <c r="CH342" s="1585"/>
      <c r="CI342" s="1585"/>
      <c r="CJ342" s="1585"/>
      <c r="CK342" s="1585"/>
      <c r="CL342" s="1585"/>
      <c r="CM342" s="1585"/>
      <c r="CN342" s="1585"/>
      <c r="CO342" s="1585"/>
      <c r="CP342" s="1585"/>
      <c r="CQ342" s="1585"/>
      <c r="CR342" s="1585"/>
      <c r="CS342" s="1585"/>
      <c r="CT342" s="1585"/>
      <c r="CU342" s="1585"/>
      <c r="CV342" s="1585"/>
      <c r="CW342" s="1585"/>
      <c r="CX342" s="1585"/>
      <c r="CY342" s="1585"/>
      <c r="CZ342" s="1585"/>
    </row>
    <row r="343" spans="1:104">
      <c r="A343" s="1466"/>
      <c r="B343" s="1583"/>
      <c r="C343" s="1583"/>
      <c r="D343" s="1583"/>
      <c r="E343" s="1585"/>
      <c r="F343" s="1585"/>
      <c r="G343" s="1585"/>
      <c r="H343" s="1585"/>
      <c r="I343" s="1585"/>
      <c r="J343" s="1585"/>
      <c r="K343" s="1585"/>
      <c r="L343" s="1585"/>
      <c r="M343" s="1585"/>
      <c r="N343" s="1585"/>
      <c r="O343" s="1585"/>
      <c r="P343" s="1585"/>
      <c r="Q343" s="1585"/>
      <c r="R343" s="1585"/>
      <c r="S343" s="1585"/>
      <c r="T343" s="1585"/>
      <c r="U343" s="1585"/>
      <c r="V343" s="1585"/>
      <c r="W343" s="1585"/>
      <c r="X343" s="1585"/>
      <c r="Y343" s="1585"/>
      <c r="Z343" s="1585"/>
      <c r="AA343" s="1585"/>
      <c r="AB343" s="1585"/>
      <c r="AC343" s="1585"/>
      <c r="AD343" s="1585"/>
      <c r="AE343" s="1585"/>
      <c r="AF343" s="1585"/>
      <c r="AG343" s="1585"/>
      <c r="AH343" s="1585"/>
      <c r="AI343" s="1585"/>
      <c r="AJ343" s="1585"/>
      <c r="AK343" s="1585"/>
      <c r="AL343" s="1585"/>
      <c r="AM343" s="1585"/>
      <c r="AN343" s="1585"/>
      <c r="AO343" s="1585"/>
      <c r="AP343" s="1585"/>
      <c r="AQ343" s="1585"/>
      <c r="AR343" s="1585"/>
      <c r="AS343" s="1585"/>
      <c r="AT343" s="1585"/>
      <c r="AU343" s="1585"/>
      <c r="AV343" s="1585"/>
      <c r="AW343" s="1585"/>
      <c r="AX343" s="1585"/>
      <c r="AY343" s="1585"/>
      <c r="AZ343" s="1585"/>
      <c r="BA343" s="1585"/>
      <c r="BB343" s="1585"/>
      <c r="BC343" s="1585"/>
      <c r="BD343" s="1585"/>
      <c r="BE343" s="1585"/>
      <c r="BF343" s="1585"/>
      <c r="BG343" s="1585"/>
      <c r="BH343" s="1585"/>
      <c r="BI343" s="1585"/>
      <c r="BJ343" s="1585"/>
      <c r="BK343" s="1585"/>
      <c r="BL343" s="1585"/>
      <c r="BM343" s="1585"/>
      <c r="BN343" s="1585"/>
      <c r="BO343" s="1585"/>
      <c r="BP343" s="1585"/>
      <c r="BQ343" s="1585"/>
      <c r="BR343" s="1585"/>
      <c r="BS343" s="1585"/>
      <c r="BT343" s="1585"/>
      <c r="BU343" s="1585"/>
      <c r="BV343" s="1585"/>
      <c r="BW343" s="1585"/>
      <c r="BX343" s="1585"/>
      <c r="BY343" s="1585"/>
      <c r="BZ343" s="1585"/>
      <c r="CA343" s="1585"/>
      <c r="CB343" s="1585"/>
      <c r="CC343" s="1585"/>
      <c r="CD343" s="1585"/>
      <c r="CE343" s="1585"/>
      <c r="CF343" s="1585"/>
      <c r="CG343" s="1585"/>
      <c r="CH343" s="1585"/>
      <c r="CI343" s="1585"/>
      <c r="CJ343" s="1585"/>
      <c r="CK343" s="1585"/>
      <c r="CL343" s="1585"/>
      <c r="CM343" s="1585"/>
      <c r="CN343" s="1585"/>
      <c r="CO343" s="1585"/>
      <c r="CP343" s="1585"/>
      <c r="CQ343" s="1585"/>
      <c r="CR343" s="1585"/>
      <c r="CS343" s="1585"/>
      <c r="CT343" s="1585"/>
      <c r="CU343" s="1585"/>
      <c r="CV343" s="1585"/>
      <c r="CW343" s="1585"/>
      <c r="CX343" s="1585"/>
      <c r="CY343" s="1585"/>
      <c r="CZ343" s="1585"/>
    </row>
    <row r="344" spans="1:104">
      <c r="A344" s="1466"/>
      <c r="B344" s="1583"/>
      <c r="C344" s="1583"/>
      <c r="D344" s="1583"/>
      <c r="E344" s="1585"/>
      <c r="F344" s="1585"/>
      <c r="G344" s="1585"/>
      <c r="H344" s="1585"/>
      <c r="I344" s="1585"/>
      <c r="J344" s="1585"/>
      <c r="K344" s="1585"/>
      <c r="L344" s="1585"/>
      <c r="M344" s="1585"/>
      <c r="N344" s="1585"/>
      <c r="O344" s="1585"/>
      <c r="P344" s="1585"/>
      <c r="Q344" s="1585"/>
      <c r="R344" s="1585"/>
      <c r="S344" s="1585"/>
      <c r="T344" s="1585"/>
      <c r="U344" s="1585"/>
      <c r="V344" s="1585"/>
      <c r="W344" s="1585"/>
      <c r="X344" s="1585"/>
      <c r="Y344" s="1585"/>
      <c r="Z344" s="1585"/>
      <c r="AA344" s="1585"/>
      <c r="AB344" s="1585"/>
      <c r="AC344" s="1585"/>
      <c r="AD344" s="1585"/>
      <c r="AE344" s="1585"/>
      <c r="AF344" s="1585"/>
      <c r="AG344" s="1585"/>
      <c r="AH344" s="1585"/>
      <c r="AI344" s="1585"/>
      <c r="AJ344" s="1585"/>
      <c r="AK344" s="1585"/>
      <c r="AL344" s="1585"/>
      <c r="AM344" s="1585"/>
      <c r="AN344" s="1585"/>
      <c r="AO344" s="1585"/>
      <c r="AP344" s="1585"/>
      <c r="AQ344" s="1585"/>
      <c r="AR344" s="1585"/>
      <c r="AS344" s="1585"/>
      <c r="AT344" s="1585"/>
      <c r="AU344" s="1585"/>
      <c r="AV344" s="1585"/>
      <c r="AW344" s="1585"/>
      <c r="AX344" s="1585"/>
      <c r="AY344" s="1585"/>
      <c r="AZ344" s="1585"/>
      <c r="BA344" s="1585"/>
      <c r="BB344" s="1585"/>
      <c r="BC344" s="1585"/>
      <c r="BD344" s="1585"/>
      <c r="BE344" s="1585"/>
      <c r="BF344" s="1585"/>
      <c r="BG344" s="1585"/>
      <c r="BH344" s="1585"/>
      <c r="BI344" s="1585"/>
      <c r="BJ344" s="1585"/>
      <c r="BK344" s="1585"/>
      <c r="BL344" s="1585"/>
      <c r="BM344" s="1585"/>
      <c r="BN344" s="1585"/>
      <c r="BO344" s="1585"/>
      <c r="BP344" s="1585"/>
      <c r="BQ344" s="1585"/>
      <c r="BR344" s="1585"/>
      <c r="BS344" s="1585"/>
      <c r="BT344" s="1585"/>
      <c r="BU344" s="1585"/>
      <c r="BV344" s="1585"/>
      <c r="BW344" s="1585"/>
      <c r="BX344" s="1585"/>
      <c r="BY344" s="1585"/>
      <c r="BZ344" s="1585"/>
      <c r="CA344" s="1585"/>
      <c r="CB344" s="1585"/>
      <c r="CC344" s="1585"/>
      <c r="CD344" s="1585"/>
      <c r="CE344" s="1585"/>
      <c r="CF344" s="1585"/>
      <c r="CG344" s="1585"/>
      <c r="CH344" s="1585"/>
      <c r="CI344" s="1585"/>
      <c r="CJ344" s="1585"/>
      <c r="CK344" s="1585"/>
      <c r="CL344" s="1585"/>
      <c r="CM344" s="1585"/>
      <c r="CN344" s="1585"/>
      <c r="CO344" s="1585"/>
      <c r="CP344" s="1585"/>
      <c r="CQ344" s="1585"/>
      <c r="CR344" s="1585"/>
      <c r="CS344" s="1585"/>
      <c r="CT344" s="1585"/>
      <c r="CU344" s="1585"/>
      <c r="CV344" s="1585"/>
      <c r="CW344" s="1585"/>
      <c r="CX344" s="1585"/>
      <c r="CY344" s="1585"/>
      <c r="CZ344" s="1585"/>
    </row>
    <row r="345" spans="1:104">
      <c r="A345" s="1466"/>
      <c r="B345" s="1583"/>
      <c r="C345" s="1583"/>
      <c r="D345" s="1583"/>
      <c r="E345" s="1585"/>
      <c r="F345" s="1585"/>
      <c r="G345" s="1585"/>
      <c r="H345" s="1585"/>
      <c r="I345" s="1585"/>
      <c r="J345" s="1585"/>
      <c r="K345" s="1585"/>
      <c r="L345" s="1585"/>
      <c r="M345" s="1585"/>
      <c r="N345" s="1585"/>
      <c r="O345" s="1585"/>
      <c r="P345" s="1585"/>
      <c r="Q345" s="1585"/>
      <c r="R345" s="1585"/>
      <c r="S345" s="1585"/>
      <c r="T345" s="1585"/>
      <c r="U345" s="1585"/>
      <c r="V345" s="1585"/>
      <c r="W345" s="1585"/>
      <c r="X345" s="1585"/>
      <c r="Y345" s="1585"/>
      <c r="Z345" s="1585"/>
      <c r="AA345" s="1585"/>
      <c r="AB345" s="1585"/>
      <c r="AC345" s="1585"/>
      <c r="AD345" s="1585"/>
      <c r="AE345" s="1585"/>
      <c r="AF345" s="1585"/>
      <c r="AG345" s="1585"/>
      <c r="AH345" s="1585"/>
      <c r="AI345" s="1585"/>
      <c r="AJ345" s="1585"/>
      <c r="AK345" s="1585"/>
      <c r="AL345" s="1585"/>
      <c r="AM345" s="1585"/>
      <c r="AN345" s="1585"/>
      <c r="AO345" s="1585"/>
      <c r="AP345" s="1585"/>
      <c r="AQ345" s="1585"/>
      <c r="AR345" s="1585"/>
      <c r="AS345" s="1585"/>
      <c r="AT345" s="1585"/>
      <c r="AU345" s="1585"/>
      <c r="AV345" s="1585"/>
      <c r="AW345" s="1585"/>
      <c r="AX345" s="1585"/>
      <c r="AY345" s="1585"/>
      <c r="AZ345" s="1585"/>
      <c r="BA345" s="1585"/>
      <c r="BB345" s="1585"/>
      <c r="BC345" s="1585"/>
      <c r="BD345" s="1585"/>
      <c r="BE345" s="1585"/>
      <c r="BF345" s="1585"/>
      <c r="BG345" s="1585"/>
      <c r="BH345" s="1585"/>
      <c r="BI345" s="1585"/>
      <c r="BJ345" s="1585"/>
      <c r="BK345" s="1585"/>
      <c r="BL345" s="1585"/>
      <c r="BM345" s="1585"/>
      <c r="BN345" s="1585"/>
      <c r="BO345" s="1585"/>
      <c r="BP345" s="1585"/>
      <c r="BQ345" s="1585"/>
      <c r="BR345" s="1585"/>
      <c r="BS345" s="1585"/>
      <c r="BT345" s="1585"/>
      <c r="BU345" s="1585"/>
      <c r="BV345" s="1585"/>
      <c r="BW345" s="1585"/>
      <c r="BX345" s="1585"/>
      <c r="BY345" s="1585"/>
      <c r="BZ345" s="1585"/>
      <c r="CA345" s="1585"/>
      <c r="CB345" s="1585"/>
      <c r="CC345" s="1585"/>
      <c r="CD345" s="1585"/>
      <c r="CE345" s="1585"/>
      <c r="CF345" s="1585"/>
      <c r="CG345" s="1585"/>
      <c r="CH345" s="1585"/>
      <c r="CI345" s="1585"/>
      <c r="CJ345" s="1585"/>
      <c r="CK345" s="1585"/>
      <c r="CL345" s="1585"/>
      <c r="CM345" s="1585"/>
      <c r="CN345" s="1585"/>
      <c r="CO345" s="1585"/>
      <c r="CP345" s="1585"/>
      <c r="CQ345" s="1585"/>
      <c r="CR345" s="1585"/>
      <c r="CS345" s="1585"/>
      <c r="CT345" s="1585"/>
      <c r="CU345" s="1585"/>
      <c r="CV345" s="1585"/>
      <c r="CW345" s="1585"/>
      <c r="CX345" s="1585"/>
      <c r="CY345" s="1585"/>
      <c r="CZ345" s="1585"/>
    </row>
    <row r="346" spans="1:104">
      <c r="A346" s="1466"/>
      <c r="B346" s="1583"/>
      <c r="C346" s="1583"/>
      <c r="D346" s="1583"/>
      <c r="E346" s="1585"/>
      <c r="F346" s="1585"/>
      <c r="G346" s="1585"/>
      <c r="H346" s="1585"/>
      <c r="I346" s="1585"/>
      <c r="J346" s="1585"/>
      <c r="K346" s="1585"/>
      <c r="L346" s="1585"/>
      <c r="M346" s="1585"/>
      <c r="N346" s="1585"/>
      <c r="O346" s="1585"/>
      <c r="P346" s="1585"/>
      <c r="Q346" s="1585"/>
      <c r="R346" s="1585"/>
      <c r="S346" s="1585"/>
      <c r="T346" s="1585"/>
      <c r="U346" s="1585"/>
      <c r="V346" s="1585"/>
      <c r="W346" s="1585"/>
      <c r="X346" s="1585"/>
      <c r="Y346" s="1585"/>
      <c r="Z346" s="1585"/>
      <c r="AA346" s="1585"/>
      <c r="AB346" s="1585"/>
      <c r="AC346" s="1585"/>
      <c r="AD346" s="1585"/>
      <c r="AE346" s="1585"/>
      <c r="AF346" s="1585"/>
      <c r="AG346" s="1585"/>
      <c r="AH346" s="1585"/>
      <c r="AI346" s="1585"/>
      <c r="AJ346" s="1585"/>
      <c r="AK346" s="1585"/>
      <c r="AL346" s="1585"/>
      <c r="AM346" s="1585"/>
      <c r="AN346" s="1585"/>
      <c r="AO346" s="1585"/>
      <c r="AP346" s="1585"/>
      <c r="AQ346" s="1585"/>
      <c r="AR346" s="1585"/>
      <c r="AS346" s="1585"/>
      <c r="AT346" s="1585"/>
      <c r="AU346" s="1585"/>
      <c r="AV346" s="1585"/>
      <c r="AW346" s="1585"/>
      <c r="AX346" s="1585"/>
      <c r="AY346" s="1585"/>
      <c r="AZ346" s="1585"/>
      <c r="BA346" s="1585"/>
      <c r="BB346" s="1585"/>
      <c r="BC346" s="1585"/>
      <c r="BD346" s="1585"/>
      <c r="BE346" s="1585"/>
      <c r="BF346" s="1585"/>
      <c r="BG346" s="1585"/>
      <c r="BH346" s="1585"/>
      <c r="BI346" s="1585"/>
      <c r="BJ346" s="1585"/>
      <c r="BK346" s="1585"/>
      <c r="BL346" s="1585"/>
      <c r="BM346" s="1585"/>
      <c r="BN346" s="1585"/>
      <c r="BO346" s="1585"/>
      <c r="BP346" s="1585"/>
      <c r="BQ346" s="1585"/>
      <c r="BR346" s="1585"/>
      <c r="BS346" s="1585"/>
      <c r="BT346" s="1585"/>
      <c r="BU346" s="1585"/>
      <c r="BV346" s="1585"/>
      <c r="BW346" s="1585"/>
      <c r="BX346" s="1585"/>
      <c r="BY346" s="1585"/>
      <c r="BZ346" s="1585"/>
      <c r="CA346" s="1585"/>
      <c r="CB346" s="1585"/>
      <c r="CC346" s="1585"/>
      <c r="CD346" s="1585"/>
      <c r="CE346" s="1585"/>
      <c r="CF346" s="1585"/>
      <c r="CG346" s="1585"/>
      <c r="CH346" s="1585"/>
      <c r="CI346" s="1585"/>
      <c r="CJ346" s="1585"/>
      <c r="CK346" s="1585"/>
      <c r="CL346" s="1585"/>
      <c r="CM346" s="1585"/>
      <c r="CN346" s="1585"/>
      <c r="CO346" s="1585"/>
      <c r="CP346" s="1585"/>
      <c r="CQ346" s="1585"/>
      <c r="CR346" s="1585"/>
      <c r="CS346" s="1585"/>
      <c r="CT346" s="1585"/>
      <c r="CU346" s="1585"/>
      <c r="CV346" s="1585"/>
      <c r="CW346" s="1585"/>
      <c r="CX346" s="1585"/>
      <c r="CY346" s="1585"/>
      <c r="CZ346" s="1585"/>
    </row>
    <row r="347" spans="1:104">
      <c r="A347" s="1466"/>
      <c r="B347" s="1583"/>
      <c r="C347" s="1583"/>
      <c r="D347" s="1583"/>
      <c r="E347" s="1585"/>
      <c r="F347" s="1585"/>
      <c r="G347" s="1585"/>
      <c r="H347" s="1585"/>
      <c r="I347" s="1585"/>
      <c r="J347" s="1585"/>
      <c r="K347" s="1585"/>
      <c r="L347" s="1585"/>
      <c r="M347" s="1585"/>
      <c r="N347" s="1585"/>
      <c r="O347" s="1585"/>
      <c r="P347" s="1585"/>
      <c r="Q347" s="1585"/>
      <c r="R347" s="1585"/>
      <c r="S347" s="1585"/>
      <c r="T347" s="1585"/>
      <c r="U347" s="1585"/>
      <c r="V347" s="1585"/>
      <c r="W347" s="1585"/>
      <c r="X347" s="1585"/>
      <c r="Y347" s="1585"/>
      <c r="Z347" s="1585"/>
      <c r="AA347" s="1585"/>
      <c r="AB347" s="1585"/>
      <c r="AC347" s="1585"/>
      <c r="AD347" s="1585"/>
      <c r="AE347" s="1585"/>
      <c r="AF347" s="1585"/>
      <c r="AG347" s="1585"/>
      <c r="AH347" s="1585"/>
      <c r="AI347" s="1585"/>
      <c r="AJ347" s="1585"/>
      <c r="AK347" s="1585"/>
      <c r="AL347" s="1585"/>
      <c r="AM347" s="1585"/>
      <c r="AN347" s="1585"/>
      <c r="AO347" s="1585"/>
      <c r="AP347" s="1585"/>
      <c r="AQ347" s="1585"/>
      <c r="AR347" s="1585"/>
      <c r="AS347" s="1585"/>
      <c r="AT347" s="1585"/>
      <c r="AU347" s="1585"/>
      <c r="AV347" s="1585"/>
      <c r="AW347" s="1585"/>
      <c r="AX347" s="1585"/>
      <c r="AY347" s="1585"/>
      <c r="AZ347" s="1585"/>
      <c r="BA347" s="1585"/>
      <c r="BB347" s="1585"/>
      <c r="BC347" s="1585"/>
      <c r="BD347" s="1585"/>
      <c r="BE347" s="1585"/>
      <c r="BF347" s="1585"/>
      <c r="BG347" s="1585"/>
      <c r="BH347" s="1585"/>
      <c r="BI347" s="1585"/>
      <c r="BJ347" s="1585"/>
      <c r="BK347" s="1585"/>
      <c r="BL347" s="1585"/>
      <c r="BM347" s="1585"/>
      <c r="BN347" s="1585"/>
      <c r="BO347" s="1585"/>
      <c r="BP347" s="1585"/>
      <c r="BQ347" s="1585"/>
      <c r="BR347" s="1585"/>
      <c r="BS347" s="1585"/>
      <c r="BT347" s="1585"/>
      <c r="BU347" s="1585"/>
      <c r="BV347" s="1585"/>
      <c r="BW347" s="1585"/>
      <c r="BX347" s="1585"/>
      <c r="BY347" s="1585"/>
      <c r="BZ347" s="1585"/>
      <c r="CA347" s="1585"/>
      <c r="CB347" s="1585"/>
      <c r="CC347" s="1585"/>
      <c r="CD347" s="1585"/>
      <c r="CE347" s="1585"/>
      <c r="CF347" s="1585"/>
      <c r="CG347" s="1585"/>
      <c r="CH347" s="1585"/>
      <c r="CI347" s="1585"/>
      <c r="CJ347" s="1585"/>
      <c r="CK347" s="1585"/>
      <c r="CL347" s="1585"/>
      <c r="CM347" s="1585"/>
      <c r="CN347" s="1585"/>
      <c r="CO347" s="1585"/>
      <c r="CP347" s="1585"/>
      <c r="CQ347" s="1585"/>
      <c r="CR347" s="1585"/>
      <c r="CS347" s="1585"/>
      <c r="CT347" s="1585"/>
      <c r="CU347" s="1585"/>
      <c r="CV347" s="1585"/>
      <c r="CW347" s="1585"/>
      <c r="CX347" s="1585"/>
      <c r="CY347" s="1585"/>
      <c r="CZ347" s="1585"/>
    </row>
    <row r="348" spans="1:104">
      <c r="A348" s="1466"/>
      <c r="B348" s="1583"/>
      <c r="C348" s="1583"/>
      <c r="D348" s="1583"/>
      <c r="E348" s="1585"/>
      <c r="F348" s="1585"/>
      <c r="G348" s="1585"/>
      <c r="H348" s="1585"/>
      <c r="I348" s="1585"/>
      <c r="J348" s="1585"/>
      <c r="K348" s="1585"/>
      <c r="L348" s="1585"/>
      <c r="M348" s="1585"/>
      <c r="N348" s="1585"/>
      <c r="O348" s="1585"/>
      <c r="P348" s="1585"/>
      <c r="Q348" s="1585"/>
      <c r="R348" s="1585"/>
      <c r="S348" s="1585"/>
      <c r="T348" s="1585"/>
      <c r="U348" s="1585"/>
      <c r="V348" s="1585"/>
      <c r="W348" s="1585"/>
      <c r="X348" s="1585"/>
      <c r="Y348" s="1585"/>
      <c r="Z348" s="1585"/>
      <c r="AA348" s="1585"/>
      <c r="AB348" s="1585"/>
      <c r="AC348" s="1585"/>
      <c r="AD348" s="1585"/>
      <c r="AE348" s="1585"/>
      <c r="AF348" s="1585"/>
      <c r="AG348" s="1585"/>
      <c r="AH348" s="1585"/>
      <c r="AI348" s="1585"/>
      <c r="AJ348" s="1585"/>
      <c r="AK348" s="1585"/>
      <c r="AL348" s="1585"/>
      <c r="AM348" s="1585"/>
      <c r="AN348" s="1585"/>
      <c r="AO348" s="1585"/>
      <c r="AP348" s="1585"/>
      <c r="AQ348" s="1585"/>
      <c r="AR348" s="1585"/>
      <c r="AS348" s="1585"/>
      <c r="AT348" s="1585"/>
      <c r="AU348" s="1585"/>
      <c r="AV348" s="1585"/>
      <c r="AW348" s="1585"/>
      <c r="AX348" s="1585"/>
      <c r="AY348" s="1585"/>
      <c r="AZ348" s="1585"/>
      <c r="BA348" s="1585"/>
      <c r="BB348" s="1585"/>
      <c r="BC348" s="1585"/>
      <c r="BD348" s="1585"/>
      <c r="BE348" s="1585"/>
      <c r="BF348" s="1585"/>
      <c r="BG348" s="1585"/>
      <c r="BH348" s="1585"/>
      <c r="BI348" s="1585"/>
      <c r="BJ348" s="1585"/>
      <c r="BK348" s="1585"/>
      <c r="BL348" s="1585"/>
      <c r="BM348" s="1585"/>
      <c r="BN348" s="1585"/>
      <c r="BO348" s="1585"/>
      <c r="BP348" s="1585"/>
      <c r="BQ348" s="1585"/>
      <c r="BR348" s="1585"/>
      <c r="BS348" s="1585"/>
      <c r="BT348" s="1585"/>
      <c r="BU348" s="1585"/>
      <c r="BV348" s="1585"/>
      <c r="BW348" s="1585"/>
      <c r="BX348" s="1585"/>
      <c r="BY348" s="1585"/>
      <c r="BZ348" s="1585"/>
      <c r="CA348" s="1585"/>
      <c r="CB348" s="1585"/>
      <c r="CC348" s="1585"/>
      <c r="CD348" s="1585"/>
      <c r="CE348" s="1585"/>
      <c r="CF348" s="1585"/>
      <c r="CG348" s="1585"/>
      <c r="CH348" s="1585"/>
      <c r="CI348" s="1585"/>
      <c r="CJ348" s="1585"/>
      <c r="CK348" s="1585"/>
      <c r="CL348" s="1585"/>
      <c r="CM348" s="1585"/>
      <c r="CN348" s="1585"/>
      <c r="CO348" s="1585"/>
      <c r="CP348" s="1585"/>
      <c r="CQ348" s="1585"/>
      <c r="CR348" s="1585"/>
      <c r="CS348" s="1585"/>
      <c r="CT348" s="1585"/>
      <c r="CU348" s="1585"/>
      <c r="CV348" s="1585"/>
      <c r="CW348" s="1585"/>
      <c r="CX348" s="1585"/>
      <c r="CY348" s="1585"/>
      <c r="CZ348" s="1585"/>
    </row>
    <row r="349" spans="1:104">
      <c r="A349" s="1466"/>
      <c r="B349" s="1583"/>
      <c r="C349" s="1583"/>
      <c r="D349" s="1583"/>
      <c r="E349" s="1585"/>
      <c r="F349" s="1585"/>
      <c r="G349" s="1585"/>
      <c r="H349" s="1585"/>
      <c r="I349" s="1585"/>
      <c r="J349" s="1585"/>
      <c r="K349" s="1585"/>
      <c r="L349" s="1585"/>
      <c r="M349" s="1585"/>
      <c r="N349" s="1585"/>
      <c r="O349" s="1585"/>
      <c r="P349" s="1585"/>
      <c r="Q349" s="1585"/>
      <c r="R349" s="1585"/>
      <c r="S349" s="1585"/>
      <c r="T349" s="1585"/>
      <c r="U349" s="1585"/>
      <c r="V349" s="1585"/>
      <c r="W349" s="1585"/>
      <c r="X349" s="1585"/>
      <c r="Y349" s="1585"/>
      <c r="Z349" s="1585"/>
      <c r="AA349" s="1585"/>
      <c r="AB349" s="1585"/>
      <c r="AC349" s="1585"/>
      <c r="AD349" s="1585"/>
      <c r="AE349" s="1585"/>
      <c r="AF349" s="1585"/>
      <c r="AG349" s="1585"/>
      <c r="AH349" s="1585"/>
      <c r="AI349" s="1585"/>
      <c r="AJ349" s="1585"/>
      <c r="AK349" s="1585"/>
      <c r="AL349" s="1585"/>
      <c r="AM349" s="1585"/>
      <c r="AN349" s="1585"/>
      <c r="AO349" s="1585"/>
      <c r="AP349" s="1585"/>
      <c r="AQ349" s="1585"/>
      <c r="AR349" s="1585"/>
      <c r="AS349" s="1585"/>
      <c r="AT349" s="1585"/>
      <c r="AU349" s="1585"/>
      <c r="AV349" s="1585"/>
      <c r="AW349" s="1585"/>
      <c r="AX349" s="1585"/>
      <c r="AY349" s="1585"/>
      <c r="AZ349" s="1585"/>
      <c r="BA349" s="1585"/>
      <c r="BB349" s="1585"/>
      <c r="BC349" s="1585"/>
      <c r="BD349" s="1585"/>
      <c r="BE349" s="1585"/>
      <c r="BF349" s="1585"/>
      <c r="BG349" s="1585"/>
      <c r="BH349" s="1585"/>
      <c r="BI349" s="1585"/>
      <c r="BJ349" s="1585"/>
      <c r="BK349" s="1585"/>
      <c r="BL349" s="1585"/>
      <c r="BM349" s="1585"/>
      <c r="BN349" s="1585"/>
      <c r="BO349" s="1585"/>
      <c r="BP349" s="1585"/>
      <c r="BQ349" s="1585"/>
      <c r="BR349" s="1585"/>
      <c r="BS349" s="1585"/>
      <c r="BT349" s="1585"/>
      <c r="BU349" s="1585"/>
      <c r="BV349" s="1585"/>
      <c r="BW349" s="1585"/>
      <c r="BX349" s="1585"/>
      <c r="BY349" s="1585"/>
      <c r="BZ349" s="1585"/>
      <c r="CA349" s="1585"/>
      <c r="CB349" s="1585"/>
      <c r="CC349" s="1585"/>
      <c r="CD349" s="1585"/>
      <c r="CE349" s="1585"/>
      <c r="CF349" s="1585"/>
      <c r="CG349" s="1585"/>
      <c r="CH349" s="1585"/>
      <c r="CI349" s="1585"/>
      <c r="CJ349" s="1585"/>
      <c r="CK349" s="1585"/>
      <c r="CL349" s="1585"/>
      <c r="CM349" s="1585"/>
      <c r="CN349" s="1585"/>
      <c r="CO349" s="1585"/>
      <c r="CP349" s="1585"/>
      <c r="CQ349" s="1585"/>
      <c r="CR349" s="1585"/>
      <c r="CS349" s="1585"/>
      <c r="CT349" s="1585"/>
      <c r="CU349" s="1585"/>
      <c r="CV349" s="1585"/>
      <c r="CW349" s="1585"/>
      <c r="CX349" s="1585"/>
      <c r="CY349" s="1585"/>
      <c r="CZ349" s="1585"/>
    </row>
    <row r="350" spans="1:104">
      <c r="A350" s="1466"/>
      <c r="B350" s="1583"/>
      <c r="C350" s="1583"/>
      <c r="D350" s="1583"/>
      <c r="E350" s="1585"/>
      <c r="F350" s="1585"/>
      <c r="G350" s="1585"/>
      <c r="H350" s="1585"/>
      <c r="I350" s="1585"/>
      <c r="J350" s="1585"/>
      <c r="K350" s="1585"/>
      <c r="L350" s="1585"/>
      <c r="M350" s="1585"/>
      <c r="N350" s="1585"/>
      <c r="O350" s="1585"/>
      <c r="P350" s="1585"/>
      <c r="Q350" s="1585"/>
      <c r="R350" s="1585"/>
      <c r="S350" s="1585"/>
      <c r="T350" s="1585"/>
      <c r="U350" s="1585"/>
      <c r="V350" s="1585"/>
      <c r="W350" s="1585"/>
      <c r="X350" s="1585"/>
      <c r="Y350" s="1585"/>
      <c r="Z350" s="1585"/>
      <c r="AA350" s="1585"/>
      <c r="AB350" s="1585"/>
      <c r="AC350" s="1585"/>
      <c r="AD350" s="1585"/>
      <c r="AE350" s="1585"/>
      <c r="AF350" s="1585"/>
      <c r="AG350" s="1585"/>
      <c r="AH350" s="1585"/>
      <c r="AI350" s="1585"/>
      <c r="AJ350" s="1585"/>
      <c r="AK350" s="1585"/>
      <c r="AL350" s="1585"/>
      <c r="AM350" s="1585"/>
      <c r="AN350" s="1585"/>
      <c r="AO350" s="1585"/>
      <c r="AP350" s="1585"/>
      <c r="AQ350" s="1585"/>
      <c r="AR350" s="1585"/>
      <c r="AS350" s="1585"/>
      <c r="AT350" s="1585"/>
      <c r="AU350" s="1585"/>
      <c r="AV350" s="1585"/>
      <c r="AW350" s="1585"/>
      <c r="AX350" s="1585"/>
      <c r="AY350" s="1585"/>
      <c r="AZ350" s="1585"/>
      <c r="BA350" s="1585"/>
      <c r="BB350" s="1585"/>
      <c r="BC350" s="1585"/>
      <c r="BD350" s="1585"/>
      <c r="BE350" s="1585"/>
      <c r="BF350" s="1585"/>
      <c r="BG350" s="1585"/>
      <c r="BH350" s="1585"/>
      <c r="BI350" s="1585"/>
      <c r="BJ350" s="1585"/>
      <c r="BK350" s="1585"/>
      <c r="BL350" s="1585"/>
      <c r="BM350" s="1585"/>
      <c r="BN350" s="1585"/>
      <c r="BO350" s="1585"/>
      <c r="BP350" s="1585"/>
      <c r="BQ350" s="1585"/>
      <c r="BR350" s="1585"/>
      <c r="BS350" s="1585"/>
      <c r="BT350" s="1585"/>
      <c r="BU350" s="1585"/>
      <c r="BV350" s="1585"/>
      <c r="BW350" s="1585"/>
      <c r="BX350" s="1585"/>
      <c r="BY350" s="1585"/>
      <c r="BZ350" s="1585"/>
      <c r="CA350" s="1585"/>
      <c r="CB350" s="1585"/>
      <c r="CC350" s="1585"/>
      <c r="CD350" s="1585"/>
      <c r="CE350" s="1585"/>
      <c r="CF350" s="1585"/>
      <c r="CG350" s="1585"/>
      <c r="CH350" s="1585"/>
      <c r="CI350" s="1585"/>
      <c r="CJ350" s="1585"/>
      <c r="CK350" s="1585"/>
      <c r="CL350" s="1585"/>
      <c r="CM350" s="1585"/>
      <c r="CN350" s="1585"/>
      <c r="CO350" s="1585"/>
      <c r="CP350" s="1585"/>
      <c r="CQ350" s="1585"/>
      <c r="CR350" s="1585"/>
      <c r="CS350" s="1585"/>
      <c r="CT350" s="1585"/>
      <c r="CU350" s="1585"/>
      <c r="CV350" s="1585"/>
      <c r="CW350" s="1585"/>
      <c r="CX350" s="1585"/>
      <c r="CY350" s="1585"/>
      <c r="CZ350" s="1585"/>
    </row>
    <row r="351" spans="1:104">
      <c r="A351" s="1466"/>
      <c r="B351" s="1583"/>
      <c r="C351" s="1583"/>
      <c r="D351" s="1583"/>
      <c r="E351" s="1585"/>
      <c r="F351" s="1585"/>
      <c r="G351" s="1585"/>
      <c r="H351" s="1585"/>
      <c r="I351" s="1585"/>
      <c r="J351" s="1585"/>
      <c r="K351" s="1585"/>
      <c r="L351" s="1585"/>
      <c r="M351" s="1585"/>
      <c r="N351" s="1585"/>
      <c r="O351" s="1585"/>
      <c r="P351" s="1585"/>
      <c r="Q351" s="1585"/>
      <c r="R351" s="1585"/>
      <c r="S351" s="1585"/>
      <c r="T351" s="1585"/>
      <c r="U351" s="1585"/>
      <c r="V351" s="1585"/>
      <c r="W351" s="1585"/>
      <c r="X351" s="1585"/>
      <c r="Y351" s="1585"/>
      <c r="Z351" s="1585"/>
      <c r="AA351" s="1585"/>
      <c r="AB351" s="1585"/>
      <c r="AC351" s="1585"/>
      <c r="AD351" s="1585"/>
      <c r="AE351" s="1585"/>
      <c r="AF351" s="1585"/>
      <c r="AG351" s="1585"/>
      <c r="AH351" s="1585"/>
      <c r="AI351" s="1585"/>
      <c r="AJ351" s="1585"/>
      <c r="AK351" s="1585"/>
      <c r="AL351" s="1585"/>
      <c r="AM351" s="1585"/>
      <c r="AN351" s="1585"/>
      <c r="AO351" s="1585"/>
      <c r="AP351" s="1585"/>
      <c r="AQ351" s="1585"/>
      <c r="AR351" s="1585"/>
      <c r="AS351" s="1585"/>
      <c r="AT351" s="1585"/>
      <c r="AU351" s="1585"/>
      <c r="AV351" s="1585"/>
      <c r="AW351" s="1585"/>
      <c r="AX351" s="1585"/>
      <c r="AY351" s="1585"/>
      <c r="AZ351" s="1585"/>
      <c r="BA351" s="1585"/>
      <c r="BB351" s="1585"/>
      <c r="BC351" s="1585"/>
      <c r="BD351" s="1585"/>
      <c r="BE351" s="1585"/>
      <c r="BF351" s="1585"/>
      <c r="BG351" s="1585"/>
      <c r="BH351" s="1585"/>
      <c r="BI351" s="1585"/>
      <c r="BJ351" s="1585"/>
      <c r="BK351" s="1585"/>
      <c r="BL351" s="1585"/>
      <c r="BM351" s="1585"/>
      <c r="BN351" s="1585"/>
      <c r="BO351" s="1585"/>
      <c r="BP351" s="1585"/>
      <c r="BQ351" s="1585"/>
      <c r="BR351" s="1585"/>
      <c r="BS351" s="1585"/>
      <c r="BT351" s="1585"/>
      <c r="BU351" s="1585"/>
      <c r="BV351" s="1585"/>
      <c r="BW351" s="1585"/>
      <c r="BX351" s="1585"/>
      <c r="BY351" s="1585"/>
      <c r="BZ351" s="1585"/>
      <c r="CA351" s="1585"/>
      <c r="CB351" s="1585"/>
      <c r="CC351" s="1585"/>
      <c r="CD351" s="1585"/>
      <c r="CE351" s="1585"/>
      <c r="CF351" s="1585"/>
      <c r="CG351" s="1585"/>
      <c r="CH351" s="1585"/>
      <c r="CI351" s="1585"/>
      <c r="CJ351" s="1585"/>
      <c r="CK351" s="1585"/>
      <c r="CL351" s="1585"/>
      <c r="CM351" s="1585"/>
      <c r="CN351" s="1585"/>
      <c r="CO351" s="1585"/>
      <c r="CP351" s="1585"/>
      <c r="CQ351" s="1585"/>
      <c r="CR351" s="1585"/>
      <c r="CS351" s="1585"/>
      <c r="CT351" s="1585"/>
      <c r="CU351" s="1585"/>
      <c r="CV351" s="1585"/>
      <c r="CW351" s="1585"/>
      <c r="CX351" s="1585"/>
      <c r="CY351" s="1585"/>
      <c r="CZ351" s="1585"/>
    </row>
    <row r="352" spans="1:104">
      <c r="A352" s="1466"/>
      <c r="B352" s="1583"/>
      <c r="C352" s="1583"/>
      <c r="D352" s="1583"/>
      <c r="E352" s="1585"/>
      <c r="F352" s="1585"/>
      <c r="G352" s="1585"/>
      <c r="H352" s="1585"/>
      <c r="I352" s="1585"/>
      <c r="J352" s="1585"/>
      <c r="K352" s="1585"/>
      <c r="L352" s="1585"/>
      <c r="M352" s="1585"/>
      <c r="N352" s="1585"/>
      <c r="O352" s="1585"/>
      <c r="P352" s="1585"/>
      <c r="Q352" s="1585"/>
      <c r="R352" s="1585"/>
      <c r="S352" s="1585"/>
      <c r="T352" s="1585"/>
      <c r="U352" s="1585"/>
      <c r="V352" s="1585"/>
      <c r="W352" s="1585"/>
      <c r="X352" s="1585"/>
      <c r="Y352" s="1585"/>
      <c r="Z352" s="1585"/>
      <c r="AA352" s="1585"/>
      <c r="AB352" s="1585"/>
      <c r="AC352" s="1585"/>
      <c r="AD352" s="1585"/>
      <c r="AE352" s="1585"/>
      <c r="AF352" s="1585"/>
      <c r="AG352" s="1585"/>
      <c r="AH352" s="1585"/>
      <c r="AI352" s="1585"/>
      <c r="AJ352" s="1585"/>
      <c r="AK352" s="1585"/>
      <c r="AL352" s="1585"/>
      <c r="AM352" s="1585"/>
      <c r="AN352" s="1585"/>
      <c r="AO352" s="1585"/>
      <c r="AP352" s="1585"/>
      <c r="AQ352" s="1585"/>
      <c r="AR352" s="1585"/>
      <c r="AS352" s="1585"/>
      <c r="AT352" s="1585"/>
      <c r="AU352" s="1585"/>
      <c r="AV352" s="1585"/>
      <c r="AW352" s="1585"/>
      <c r="AX352" s="1585"/>
      <c r="AY352" s="1585"/>
      <c r="AZ352" s="1585"/>
      <c r="BA352" s="1585"/>
      <c r="BB352" s="1585"/>
      <c r="BC352" s="1585"/>
      <c r="BD352" s="1585"/>
      <c r="BE352" s="1585"/>
      <c r="BF352" s="1585"/>
      <c r="BG352" s="1585"/>
      <c r="BH352" s="1585"/>
      <c r="BI352" s="1585"/>
      <c r="BJ352" s="1585"/>
      <c r="BK352" s="1585"/>
      <c r="BL352" s="1585"/>
      <c r="BM352" s="1585"/>
      <c r="BN352" s="1585"/>
      <c r="BO352" s="1585"/>
      <c r="BP352" s="1585"/>
      <c r="BQ352" s="1585"/>
      <c r="BR352" s="1585"/>
      <c r="BS352" s="1585"/>
      <c r="BT352" s="1585"/>
      <c r="BU352" s="1585"/>
      <c r="BV352" s="1585"/>
      <c r="BW352" s="1585"/>
      <c r="BX352" s="1585"/>
      <c r="BY352" s="1585"/>
      <c r="BZ352" s="1585"/>
      <c r="CA352" s="1585"/>
      <c r="CB352" s="1585"/>
      <c r="CC352" s="1585"/>
      <c r="CD352" s="1585"/>
      <c r="CE352" s="1585"/>
      <c r="CF352" s="1585"/>
      <c r="CG352" s="1585"/>
      <c r="CH352" s="1585"/>
      <c r="CI352" s="1585"/>
      <c r="CJ352" s="1585"/>
      <c r="CK352" s="1585"/>
      <c r="CL352" s="1585"/>
      <c r="CM352" s="1585"/>
      <c r="CN352" s="1585"/>
      <c r="CO352" s="1585"/>
      <c r="CP352" s="1585"/>
      <c r="CQ352" s="1585"/>
      <c r="CR352" s="1585"/>
      <c r="CS352" s="1585"/>
      <c r="CT352" s="1585"/>
      <c r="CU352" s="1585"/>
      <c r="CV352" s="1585"/>
      <c r="CW352" s="1585"/>
      <c r="CX352" s="1585"/>
      <c r="CY352" s="1585"/>
      <c r="CZ352" s="1585"/>
    </row>
    <row r="353" spans="1:407">
      <c r="A353" s="1466"/>
      <c r="B353" s="1583"/>
      <c r="C353" s="1583"/>
      <c r="D353" s="1583"/>
      <c r="E353" s="1585"/>
      <c r="F353" s="1585"/>
      <c r="G353" s="1585"/>
      <c r="H353" s="1585"/>
      <c r="I353" s="1585"/>
      <c r="J353" s="1585"/>
      <c r="K353" s="1585"/>
      <c r="L353" s="1585"/>
      <c r="M353" s="1585"/>
      <c r="N353" s="1585"/>
      <c r="O353" s="1585"/>
      <c r="P353" s="1585"/>
      <c r="Q353" s="1585"/>
      <c r="R353" s="1585"/>
      <c r="S353" s="1585"/>
      <c r="T353" s="1585"/>
      <c r="U353" s="1585"/>
      <c r="V353" s="1585"/>
      <c r="W353" s="1585"/>
      <c r="X353" s="1585"/>
      <c r="Y353" s="1585"/>
      <c r="Z353" s="1585"/>
      <c r="AA353" s="1585"/>
      <c r="AB353" s="1585"/>
      <c r="AC353" s="1585"/>
      <c r="AD353" s="1585"/>
      <c r="AE353" s="1585"/>
      <c r="AF353" s="1585"/>
      <c r="AG353" s="1585"/>
      <c r="AH353" s="1585"/>
      <c r="AI353" s="1585"/>
      <c r="AJ353" s="1585"/>
      <c r="AK353" s="1585"/>
      <c r="AL353" s="1585"/>
      <c r="AM353" s="1585"/>
      <c r="AN353" s="1585"/>
      <c r="AO353" s="1585"/>
      <c r="AP353" s="1585"/>
      <c r="AQ353" s="1585"/>
      <c r="AR353" s="1585"/>
      <c r="AS353" s="1585"/>
      <c r="AT353" s="1585"/>
      <c r="AU353" s="1585"/>
      <c r="AV353" s="1585"/>
      <c r="AW353" s="1585"/>
      <c r="AX353" s="1585"/>
      <c r="AY353" s="1585"/>
      <c r="AZ353" s="1585"/>
      <c r="BA353" s="1585"/>
      <c r="BB353" s="1585"/>
      <c r="BC353" s="1585"/>
      <c r="BD353" s="1585"/>
      <c r="BE353" s="1585"/>
      <c r="BF353" s="1585"/>
      <c r="BG353" s="1585"/>
      <c r="BH353" s="1585"/>
      <c r="BI353" s="1585"/>
      <c r="BJ353" s="1585"/>
      <c r="BK353" s="1585"/>
      <c r="BL353" s="1585"/>
      <c r="BM353" s="1585"/>
      <c r="BN353" s="1585"/>
      <c r="BO353" s="1585"/>
      <c r="BP353" s="1585"/>
      <c r="BQ353" s="1585"/>
      <c r="BR353" s="1585"/>
      <c r="BS353" s="1585"/>
      <c r="BT353" s="1585"/>
      <c r="BU353" s="1585"/>
      <c r="BV353" s="1585"/>
      <c r="BW353" s="1585"/>
      <c r="BX353" s="1585"/>
      <c r="BY353" s="1585"/>
      <c r="BZ353" s="1585"/>
      <c r="CA353" s="1585"/>
      <c r="CB353" s="1585"/>
      <c r="CC353" s="1585"/>
      <c r="CD353" s="1585"/>
      <c r="CE353" s="1585"/>
      <c r="CF353" s="1585"/>
      <c r="CG353" s="1585"/>
      <c r="CH353" s="1585"/>
      <c r="CI353" s="1585"/>
      <c r="CJ353" s="1585"/>
      <c r="CK353" s="1585"/>
      <c r="CL353" s="1585"/>
      <c r="CM353" s="1585"/>
      <c r="CN353" s="1585"/>
      <c r="CO353" s="1585"/>
      <c r="CP353" s="1585"/>
      <c r="CQ353" s="1585"/>
      <c r="CR353" s="1585"/>
      <c r="CS353" s="1585"/>
      <c r="CT353" s="1585"/>
      <c r="CU353" s="1585"/>
      <c r="CV353" s="1585"/>
      <c r="CW353" s="1585"/>
      <c r="CX353" s="1585"/>
      <c r="CY353" s="1585"/>
      <c r="CZ353" s="1585"/>
    </row>
    <row r="354" spans="1:407">
      <c r="A354" s="1466"/>
      <c r="B354" s="1583"/>
      <c r="C354" s="1583"/>
      <c r="D354" s="1583"/>
      <c r="E354" s="1585"/>
      <c r="F354" s="1585"/>
      <c r="G354" s="1585"/>
      <c r="H354" s="1585"/>
      <c r="I354" s="1585"/>
      <c r="J354" s="1585"/>
      <c r="K354" s="1585"/>
      <c r="L354" s="1585"/>
      <c r="M354" s="1585"/>
      <c r="N354" s="1585"/>
      <c r="O354" s="1585"/>
      <c r="P354" s="1585"/>
      <c r="Q354" s="1585"/>
      <c r="R354" s="1585"/>
      <c r="S354" s="1585"/>
      <c r="T354" s="1585"/>
      <c r="U354" s="1585"/>
      <c r="V354" s="1585"/>
      <c r="W354" s="1585"/>
      <c r="X354" s="1585"/>
      <c r="Y354" s="1585"/>
      <c r="Z354" s="1585"/>
      <c r="AA354" s="1585"/>
      <c r="AB354" s="1585"/>
      <c r="AC354" s="1585"/>
      <c r="AD354" s="1585"/>
      <c r="AE354" s="1585"/>
      <c r="AF354" s="1585"/>
      <c r="AG354" s="1585"/>
      <c r="AH354" s="1585"/>
      <c r="AI354" s="1585"/>
      <c r="AJ354" s="1585"/>
      <c r="AK354" s="1585"/>
      <c r="AL354" s="1585"/>
      <c r="AM354" s="1585"/>
      <c r="AN354" s="1585"/>
      <c r="AO354" s="1585"/>
      <c r="AP354" s="1585"/>
      <c r="AQ354" s="1585"/>
      <c r="AR354" s="1585"/>
      <c r="AS354" s="1585"/>
      <c r="AT354" s="1585"/>
      <c r="AU354" s="1585"/>
      <c r="AV354" s="1585"/>
      <c r="AW354" s="1585"/>
      <c r="AX354" s="1585"/>
      <c r="AY354" s="1585"/>
      <c r="AZ354" s="1585"/>
      <c r="BA354" s="1585"/>
      <c r="BB354" s="1585"/>
      <c r="BC354" s="1585"/>
      <c r="BD354" s="1585"/>
      <c r="BE354" s="1585"/>
      <c r="BF354" s="1585"/>
      <c r="BG354" s="1585"/>
      <c r="BH354" s="1585"/>
      <c r="BI354" s="1585"/>
      <c r="BJ354" s="1585"/>
      <c r="BK354" s="1585"/>
      <c r="BL354" s="1585"/>
      <c r="BM354" s="1585"/>
      <c r="BN354" s="1585"/>
      <c r="BO354" s="1585"/>
      <c r="BP354" s="1585"/>
      <c r="BQ354" s="1585"/>
      <c r="BR354" s="1585"/>
      <c r="BS354" s="1585"/>
      <c r="BT354" s="1585"/>
      <c r="BU354" s="1585"/>
      <c r="BV354" s="1585"/>
      <c r="BW354" s="1585"/>
      <c r="BX354" s="1585"/>
      <c r="BY354" s="1585"/>
      <c r="BZ354" s="1585"/>
      <c r="CA354" s="1585"/>
      <c r="CB354" s="1585"/>
      <c r="CC354" s="1585"/>
      <c r="CD354" s="1585"/>
      <c r="CE354" s="1585"/>
      <c r="CF354" s="1585"/>
      <c r="CG354" s="1585"/>
      <c r="CH354" s="1585"/>
      <c r="CI354" s="1585"/>
      <c r="CJ354" s="1585"/>
      <c r="CK354" s="1585"/>
      <c r="CL354" s="1585"/>
      <c r="CM354" s="1585"/>
      <c r="CN354" s="1585"/>
      <c r="CO354" s="1585"/>
      <c r="CP354" s="1585"/>
      <c r="CQ354" s="1585"/>
      <c r="CR354" s="1585"/>
      <c r="CS354" s="1585"/>
      <c r="CT354" s="1585"/>
      <c r="CU354" s="1585"/>
      <c r="CV354" s="1585"/>
      <c r="CW354" s="1585"/>
      <c r="CX354" s="1585"/>
      <c r="CY354" s="1585"/>
      <c r="CZ354" s="1585"/>
    </row>
    <row r="355" spans="1:407">
      <c r="A355" s="1466"/>
      <c r="B355" s="1583"/>
      <c r="C355" s="1583"/>
      <c r="D355" s="1583"/>
      <c r="E355" s="1585"/>
      <c r="F355" s="1585"/>
      <c r="G355" s="1585"/>
      <c r="H355" s="1585"/>
      <c r="I355" s="1585"/>
      <c r="J355" s="1585"/>
      <c r="K355" s="1585"/>
      <c r="L355" s="1585"/>
      <c r="M355" s="1585"/>
      <c r="N355" s="1585"/>
      <c r="O355" s="1585"/>
      <c r="P355" s="1585"/>
      <c r="Q355" s="1585"/>
      <c r="R355" s="1585"/>
      <c r="S355" s="1585"/>
      <c r="T355" s="1585"/>
      <c r="U355" s="1585"/>
      <c r="V355" s="1585"/>
      <c r="W355" s="1585"/>
      <c r="X355" s="1585"/>
      <c r="Y355" s="1585"/>
      <c r="Z355" s="1585"/>
      <c r="AA355" s="1585"/>
      <c r="AB355" s="1585"/>
      <c r="AC355" s="1585"/>
      <c r="AD355" s="1585"/>
      <c r="AE355" s="1585"/>
      <c r="AF355" s="1585"/>
      <c r="AG355" s="1585"/>
      <c r="AH355" s="1585"/>
      <c r="AI355" s="1585"/>
      <c r="AJ355" s="1585"/>
      <c r="AK355" s="1585"/>
      <c r="AL355" s="1585"/>
      <c r="AM355" s="1585"/>
      <c r="AN355" s="1585"/>
      <c r="AO355" s="1585"/>
      <c r="AP355" s="1585"/>
      <c r="AQ355" s="1585"/>
      <c r="AR355" s="1585"/>
      <c r="AS355" s="1585"/>
      <c r="AT355" s="1585"/>
      <c r="AU355" s="1585"/>
      <c r="AV355" s="1585"/>
      <c r="AW355" s="1585"/>
      <c r="AX355" s="1585"/>
      <c r="AY355" s="1585"/>
      <c r="AZ355" s="1585"/>
      <c r="BA355" s="1585"/>
      <c r="BB355" s="1585"/>
      <c r="BC355" s="1585"/>
      <c r="BD355" s="1585"/>
      <c r="BE355" s="1585"/>
      <c r="BF355" s="1585"/>
      <c r="BG355" s="1585"/>
      <c r="BH355" s="1585"/>
      <c r="BI355" s="1585"/>
      <c r="BJ355" s="1585"/>
      <c r="BK355" s="1585"/>
      <c r="BL355" s="1585"/>
      <c r="BM355" s="1585"/>
      <c r="BN355" s="1585"/>
      <c r="BO355" s="1585"/>
      <c r="BP355" s="1585"/>
      <c r="BQ355" s="1585"/>
      <c r="BR355" s="1585"/>
      <c r="BS355" s="1585"/>
      <c r="BT355" s="1585"/>
      <c r="BU355" s="1585"/>
      <c r="BV355" s="1585"/>
      <c r="BW355" s="1585"/>
      <c r="BX355" s="1585"/>
      <c r="BY355" s="1585"/>
      <c r="BZ355" s="1585"/>
      <c r="CA355" s="1585"/>
      <c r="CB355" s="1585"/>
      <c r="CC355" s="1585"/>
      <c r="CD355" s="1585"/>
      <c r="CE355" s="1585"/>
      <c r="CF355" s="1585"/>
      <c r="CG355" s="1585"/>
      <c r="CH355" s="1585"/>
      <c r="CI355" s="1585"/>
      <c r="CJ355" s="1585"/>
      <c r="CK355" s="1585"/>
      <c r="CL355" s="1585"/>
      <c r="CM355" s="1585"/>
      <c r="CN355" s="1585"/>
      <c r="CO355" s="1585"/>
      <c r="CP355" s="1585"/>
      <c r="CQ355" s="1585"/>
      <c r="CR355" s="1585"/>
      <c r="CS355" s="1585"/>
      <c r="CT355" s="1585"/>
      <c r="CU355" s="1585"/>
      <c r="CV355" s="1585"/>
      <c r="CW355" s="1585"/>
      <c r="CX355" s="1585"/>
      <c r="CY355" s="1585"/>
      <c r="CZ355" s="1585"/>
    </row>
    <row r="356" spans="1:407">
      <c r="A356" s="1466"/>
      <c r="B356" s="1583"/>
      <c r="C356" s="1583"/>
      <c r="D356" s="1583"/>
      <c r="E356" s="1585"/>
      <c r="F356" s="1585"/>
      <c r="G356" s="1585"/>
      <c r="H356" s="1585"/>
      <c r="I356" s="1585"/>
      <c r="J356" s="1585"/>
      <c r="K356" s="1585"/>
      <c r="L356" s="1585"/>
      <c r="M356" s="1585"/>
      <c r="N356" s="1585"/>
      <c r="O356" s="1585"/>
      <c r="P356" s="1585"/>
      <c r="Q356" s="1585"/>
      <c r="R356" s="1585"/>
      <c r="S356" s="1585"/>
      <c r="T356" s="1585"/>
      <c r="U356" s="1585"/>
      <c r="V356" s="1585"/>
      <c r="W356" s="1585"/>
      <c r="X356" s="1585"/>
      <c r="Y356" s="1585"/>
      <c r="Z356" s="1585"/>
      <c r="AA356" s="1585"/>
      <c r="AB356" s="1585"/>
      <c r="AC356" s="1585"/>
      <c r="AD356" s="1585"/>
      <c r="AE356" s="1585"/>
      <c r="AF356" s="1585"/>
      <c r="AG356" s="1585"/>
      <c r="AH356" s="1585"/>
      <c r="AI356" s="1585"/>
      <c r="AJ356" s="1585"/>
      <c r="AK356" s="1585"/>
      <c r="AL356" s="1585"/>
      <c r="AM356" s="1585"/>
      <c r="AN356" s="1585"/>
      <c r="AO356" s="1585"/>
      <c r="AP356" s="1585"/>
      <c r="AQ356" s="1585"/>
      <c r="AR356" s="1585"/>
      <c r="AS356" s="1585"/>
      <c r="AT356" s="1585"/>
      <c r="AU356" s="1585"/>
      <c r="AV356" s="1585"/>
      <c r="AW356" s="1585"/>
      <c r="AX356" s="1585"/>
      <c r="AY356" s="1585"/>
      <c r="AZ356" s="1585"/>
      <c r="BA356" s="1585"/>
      <c r="BB356" s="1585"/>
      <c r="BC356" s="1585"/>
      <c r="BD356" s="1585"/>
      <c r="BE356" s="1585"/>
      <c r="BF356" s="1585"/>
      <c r="BG356" s="1585"/>
      <c r="BH356" s="1585"/>
      <c r="BI356" s="1585"/>
      <c r="BJ356" s="1585"/>
      <c r="BK356" s="1585"/>
      <c r="BL356" s="1585"/>
      <c r="BM356" s="1585"/>
      <c r="BN356" s="1585"/>
      <c r="BO356" s="1585"/>
      <c r="BP356" s="1585"/>
      <c r="BQ356" s="1585"/>
      <c r="BR356" s="1585"/>
      <c r="BS356" s="1585"/>
      <c r="BT356" s="1585"/>
      <c r="BU356" s="1585"/>
      <c r="BV356" s="1585"/>
      <c r="BW356" s="1585"/>
      <c r="BX356" s="1585"/>
      <c r="BY356" s="1585"/>
      <c r="BZ356" s="1585"/>
      <c r="CA356" s="1585"/>
      <c r="CB356" s="1585"/>
      <c r="CC356" s="1585"/>
      <c r="CD356" s="1585"/>
      <c r="CE356" s="1585"/>
      <c r="CF356" s="1585"/>
      <c r="CG356" s="1585"/>
      <c r="CH356" s="1585"/>
      <c r="CI356" s="1585"/>
      <c r="CJ356" s="1585"/>
      <c r="CK356" s="1585"/>
      <c r="CL356" s="1585"/>
      <c r="CM356" s="1585"/>
      <c r="CN356" s="1585"/>
      <c r="CO356" s="1585"/>
      <c r="CP356" s="1585"/>
      <c r="CQ356" s="1585"/>
      <c r="CR356" s="1585"/>
      <c r="CS356" s="1585"/>
      <c r="CT356" s="1585"/>
      <c r="CU356" s="1585"/>
      <c r="CV356" s="1585"/>
      <c r="CW356" s="1585"/>
      <c r="CX356" s="1585"/>
      <c r="CY356" s="1585"/>
      <c r="CZ356" s="1585"/>
    </row>
    <row r="357" spans="1:407">
      <c r="A357" s="1466"/>
      <c r="B357" s="1583"/>
      <c r="C357" s="1583"/>
      <c r="D357" s="1583"/>
      <c r="E357" s="1585"/>
      <c r="F357" s="1585"/>
      <c r="G357" s="1585"/>
      <c r="H357" s="1585"/>
      <c r="I357" s="1585"/>
      <c r="J357" s="1585"/>
      <c r="K357" s="1585"/>
      <c r="L357" s="1585"/>
      <c r="M357" s="1585"/>
      <c r="N357" s="1585"/>
      <c r="O357" s="1585"/>
      <c r="P357" s="1585"/>
      <c r="Q357" s="1585"/>
      <c r="R357" s="1585"/>
      <c r="S357" s="1585"/>
      <c r="T357" s="1585"/>
      <c r="U357" s="1585"/>
      <c r="V357" s="1585"/>
      <c r="W357" s="1585"/>
      <c r="X357" s="1585"/>
      <c r="Y357" s="1585"/>
      <c r="Z357" s="1585"/>
      <c r="AA357" s="1585"/>
      <c r="AB357" s="1585"/>
      <c r="AC357" s="1585"/>
      <c r="AD357" s="1585"/>
      <c r="AE357" s="1585"/>
      <c r="AF357" s="1585"/>
      <c r="AG357" s="1585"/>
      <c r="AH357" s="1585"/>
      <c r="AI357" s="1585"/>
      <c r="AJ357" s="1585"/>
      <c r="AK357" s="1585"/>
      <c r="AL357" s="1585"/>
      <c r="AM357" s="1585"/>
      <c r="AN357" s="1585"/>
      <c r="AO357" s="1585"/>
      <c r="AP357" s="1585"/>
      <c r="AQ357" s="1585"/>
      <c r="AR357" s="1585"/>
      <c r="AS357" s="1585"/>
      <c r="AT357" s="1585"/>
      <c r="AU357" s="1585"/>
      <c r="AV357" s="1585"/>
      <c r="AW357" s="1585"/>
      <c r="AX357" s="1585"/>
      <c r="AY357" s="1585"/>
      <c r="AZ357" s="1585"/>
      <c r="BA357" s="1585"/>
      <c r="BB357" s="1585"/>
      <c r="BC357" s="1585"/>
      <c r="BD357" s="1585"/>
      <c r="BE357" s="1585"/>
      <c r="BF357" s="1585"/>
      <c r="BG357" s="1585"/>
      <c r="BH357" s="1585"/>
      <c r="BI357" s="1585"/>
      <c r="BJ357" s="1585"/>
      <c r="BK357" s="1585"/>
      <c r="BL357" s="1585"/>
      <c r="BM357" s="1585"/>
      <c r="BN357" s="1585"/>
      <c r="BO357" s="1585"/>
      <c r="BP357" s="1585"/>
      <c r="BQ357" s="1585"/>
      <c r="BR357" s="1585"/>
      <c r="BS357" s="1585"/>
      <c r="BT357" s="1585"/>
      <c r="BU357" s="1585"/>
      <c r="BV357" s="1585"/>
      <c r="BW357" s="1585"/>
      <c r="BX357" s="1585"/>
      <c r="BY357" s="1585"/>
      <c r="BZ357" s="1585"/>
      <c r="CA357" s="1585"/>
      <c r="CB357" s="1585"/>
      <c r="CC357" s="1585"/>
      <c r="CD357" s="1585"/>
      <c r="CE357" s="1585"/>
      <c r="CF357" s="1585"/>
      <c r="CG357" s="1585"/>
      <c r="CH357" s="1585"/>
      <c r="CI357" s="1585"/>
      <c r="CJ357" s="1585"/>
      <c r="CK357" s="1585"/>
      <c r="CL357" s="1585"/>
      <c r="CM357" s="1585"/>
      <c r="CN357" s="1585"/>
      <c r="CO357" s="1585"/>
      <c r="CP357" s="1585"/>
      <c r="CQ357" s="1585"/>
      <c r="CR357" s="1585"/>
      <c r="CS357" s="1585"/>
      <c r="CT357" s="1585"/>
      <c r="CU357" s="1585"/>
      <c r="CV357" s="1585"/>
      <c r="CW357" s="1585"/>
      <c r="CX357" s="1585"/>
      <c r="CY357" s="1585"/>
      <c r="CZ357" s="1585"/>
    </row>
    <row r="358" spans="1:407">
      <c r="A358" s="1466"/>
      <c r="B358" s="1583"/>
      <c r="C358" s="1583"/>
      <c r="D358" s="1583"/>
      <c r="E358" s="1585"/>
      <c r="F358" s="1585"/>
      <c r="G358" s="1585"/>
      <c r="H358" s="1585"/>
      <c r="I358" s="1585"/>
      <c r="J358" s="1585"/>
      <c r="K358" s="1585"/>
      <c r="L358" s="1585"/>
      <c r="M358" s="1585"/>
      <c r="N358" s="1585"/>
      <c r="O358" s="1585"/>
      <c r="P358" s="1585"/>
      <c r="Q358" s="1585"/>
      <c r="R358" s="1585"/>
      <c r="S358" s="1585"/>
      <c r="T358" s="1585"/>
      <c r="U358" s="1585"/>
      <c r="V358" s="1585"/>
      <c r="W358" s="1585"/>
      <c r="X358" s="1585"/>
      <c r="Y358" s="1585"/>
      <c r="Z358" s="1585"/>
      <c r="AA358" s="1585"/>
      <c r="AB358" s="1585"/>
      <c r="AC358" s="1585"/>
      <c r="AD358" s="1585"/>
      <c r="AE358" s="1585"/>
      <c r="AF358" s="1585"/>
      <c r="AG358" s="1585"/>
      <c r="AH358" s="1585"/>
      <c r="AI358" s="1585"/>
      <c r="AJ358" s="1585"/>
      <c r="AK358" s="1585"/>
      <c r="AL358" s="1585"/>
      <c r="AM358" s="1585"/>
      <c r="AN358" s="1585"/>
      <c r="AO358" s="1585"/>
      <c r="AP358" s="1585"/>
      <c r="AQ358" s="1585"/>
      <c r="AR358" s="1585"/>
      <c r="AS358" s="1585"/>
      <c r="AT358" s="1585"/>
      <c r="AU358" s="1585"/>
      <c r="AV358" s="1585"/>
      <c r="AW358" s="1585"/>
      <c r="AX358" s="1585"/>
      <c r="AY358" s="1585"/>
      <c r="AZ358" s="1585"/>
      <c r="BA358" s="1585"/>
      <c r="BB358" s="1585"/>
      <c r="BC358" s="1585"/>
      <c r="BD358" s="1585"/>
      <c r="BE358" s="1585"/>
      <c r="BF358" s="1585"/>
      <c r="BG358" s="1585"/>
      <c r="BH358" s="1585"/>
      <c r="BI358" s="1585"/>
      <c r="BJ358" s="1585"/>
      <c r="BK358" s="1585"/>
      <c r="BL358" s="1585"/>
      <c r="BM358" s="1585"/>
      <c r="BN358" s="1585"/>
      <c r="BO358" s="1585"/>
      <c r="BP358" s="1585"/>
      <c r="BQ358" s="1585"/>
      <c r="BR358" s="1585"/>
      <c r="BS358" s="1585"/>
      <c r="BT358" s="1585"/>
      <c r="BU358" s="1585"/>
      <c r="BV358" s="1585"/>
      <c r="BW358" s="1585"/>
      <c r="BX358" s="1585"/>
      <c r="BY358" s="1585"/>
      <c r="BZ358" s="1585"/>
      <c r="CA358" s="1585"/>
      <c r="CB358" s="1585"/>
      <c r="CC358" s="1585"/>
      <c r="CD358" s="1585"/>
      <c r="CE358" s="1585"/>
      <c r="CF358" s="1585"/>
      <c r="CG358" s="1585"/>
      <c r="CH358" s="1585"/>
      <c r="CI358" s="1585"/>
      <c r="CJ358" s="1585"/>
      <c r="CK358" s="1585"/>
      <c r="CL358" s="1585"/>
      <c r="CM358" s="1585"/>
      <c r="CN358" s="1585"/>
      <c r="CO358" s="1585"/>
      <c r="CP358" s="1585"/>
      <c r="CQ358" s="1585"/>
      <c r="CR358" s="1585"/>
      <c r="CS358" s="1585"/>
      <c r="CT358" s="1585"/>
      <c r="CU358" s="1585"/>
      <c r="CV358" s="1585"/>
      <c r="CW358" s="1585"/>
      <c r="CX358" s="1585"/>
      <c r="CY358" s="1585"/>
      <c r="CZ358" s="1585"/>
    </row>
    <row r="359" spans="1:407">
      <c r="A359" s="1466"/>
      <c r="B359" s="1583"/>
      <c r="C359" s="1583"/>
      <c r="D359" s="1583"/>
      <c r="E359" s="1585"/>
      <c r="F359" s="1585"/>
      <c r="G359" s="1585"/>
      <c r="H359" s="1585"/>
      <c r="I359" s="1585"/>
      <c r="J359" s="1585"/>
      <c r="K359" s="1585"/>
      <c r="L359" s="1585"/>
      <c r="M359" s="1585"/>
      <c r="N359" s="1585"/>
      <c r="O359" s="1585"/>
      <c r="P359" s="1585"/>
      <c r="Q359" s="1585"/>
      <c r="R359" s="1585"/>
      <c r="S359" s="1585"/>
      <c r="T359" s="1585"/>
      <c r="U359" s="1585"/>
      <c r="V359" s="1585"/>
      <c r="W359" s="1585"/>
      <c r="X359" s="1585"/>
      <c r="Y359" s="1585"/>
      <c r="Z359" s="1585"/>
      <c r="AA359" s="1585"/>
      <c r="AB359" s="1585"/>
      <c r="AC359" s="1585"/>
      <c r="AD359" s="1585"/>
      <c r="AE359" s="1585"/>
      <c r="AF359" s="1585"/>
      <c r="AG359" s="1585"/>
      <c r="AH359" s="1585"/>
      <c r="AI359" s="1585"/>
      <c r="AJ359" s="1585"/>
      <c r="AK359" s="1585"/>
      <c r="AL359" s="1585"/>
      <c r="AM359" s="1585"/>
      <c r="AN359" s="1585"/>
      <c r="AO359" s="1585"/>
      <c r="AP359" s="1585"/>
      <c r="AQ359" s="1585"/>
      <c r="AR359" s="1585"/>
      <c r="AS359" s="1585"/>
      <c r="AT359" s="1585"/>
      <c r="AU359" s="1585"/>
      <c r="AV359" s="1585"/>
      <c r="AW359" s="1585"/>
      <c r="AX359" s="1585"/>
      <c r="AY359" s="1585"/>
      <c r="AZ359" s="1585"/>
      <c r="BA359" s="1585"/>
      <c r="BB359" s="1585"/>
      <c r="BC359" s="1585"/>
      <c r="BD359" s="1585"/>
      <c r="BE359" s="1585"/>
      <c r="BF359" s="1585"/>
      <c r="BG359" s="1585"/>
      <c r="BH359" s="1585"/>
      <c r="BI359" s="1585"/>
      <c r="BJ359" s="1585"/>
      <c r="BK359" s="1585"/>
      <c r="BL359" s="1585"/>
      <c r="BM359" s="1585"/>
      <c r="BN359" s="1585"/>
      <c r="BO359" s="1585"/>
      <c r="BP359" s="1585"/>
      <c r="BQ359" s="1585"/>
      <c r="BR359" s="1585"/>
      <c r="BS359" s="1585"/>
      <c r="BT359" s="1585"/>
      <c r="BU359" s="1585"/>
      <c r="BV359" s="1585"/>
      <c r="BW359" s="1585"/>
      <c r="BX359" s="1585"/>
      <c r="BY359" s="1585"/>
      <c r="BZ359" s="1585"/>
      <c r="CA359" s="1585"/>
      <c r="CB359" s="1585"/>
      <c r="CC359" s="1585"/>
      <c r="CD359" s="1585"/>
      <c r="CE359" s="1585"/>
      <c r="CF359" s="1585"/>
      <c r="CG359" s="1585"/>
      <c r="CH359" s="1585"/>
      <c r="CI359" s="1585"/>
      <c r="CJ359" s="1585"/>
      <c r="CK359" s="1585"/>
      <c r="CL359" s="1585"/>
      <c r="CM359" s="1585"/>
      <c r="CN359" s="1585"/>
      <c r="CO359" s="1585"/>
      <c r="CP359" s="1585"/>
      <c r="CQ359" s="1585"/>
      <c r="CR359" s="1585"/>
      <c r="CS359" s="1585"/>
      <c r="CT359" s="1585"/>
      <c r="CU359" s="1585"/>
      <c r="CV359" s="1585"/>
      <c r="CW359" s="1585"/>
      <c r="CX359" s="1585"/>
      <c r="CY359" s="1585"/>
      <c r="CZ359" s="1585"/>
    </row>
    <row r="360" spans="1:407" ht="13" thickBot="1">
      <c r="A360" s="1466"/>
      <c r="B360" s="1586"/>
      <c r="C360" s="1586"/>
      <c r="D360" s="1586"/>
      <c r="E360" s="1587"/>
      <c r="F360" s="1587"/>
      <c r="G360" s="1587"/>
      <c r="H360" s="1587"/>
      <c r="I360" s="1587"/>
      <c r="J360" s="1587"/>
      <c r="K360" s="1587"/>
      <c r="L360" s="1587"/>
      <c r="M360" s="1587"/>
      <c r="N360" s="1587"/>
      <c r="O360" s="1587"/>
      <c r="P360" s="1587"/>
      <c r="Q360" s="1587"/>
      <c r="R360" s="1587"/>
      <c r="S360" s="1587"/>
      <c r="T360" s="1587"/>
      <c r="U360" s="1587"/>
      <c r="V360" s="1587"/>
      <c r="W360" s="1587"/>
      <c r="X360" s="1587"/>
      <c r="Y360" s="1587"/>
      <c r="Z360" s="1587"/>
      <c r="AA360" s="1587"/>
      <c r="AB360" s="1587"/>
      <c r="AC360" s="1587"/>
      <c r="AD360" s="1587"/>
      <c r="AE360" s="1587"/>
      <c r="AF360" s="1587"/>
      <c r="AG360" s="1587"/>
      <c r="AH360" s="1587"/>
      <c r="AI360" s="1587"/>
      <c r="AJ360" s="1587"/>
      <c r="AK360" s="1587"/>
      <c r="AL360" s="1587"/>
      <c r="AM360" s="1587"/>
      <c r="AN360" s="1587"/>
      <c r="AO360" s="1587"/>
      <c r="AP360" s="1587"/>
      <c r="AQ360" s="1587"/>
      <c r="AR360" s="1587"/>
      <c r="AS360" s="1587"/>
      <c r="AT360" s="1587"/>
      <c r="AU360" s="1587"/>
      <c r="AV360" s="1587"/>
      <c r="AW360" s="1587"/>
      <c r="AX360" s="1587"/>
      <c r="AY360" s="1587"/>
      <c r="AZ360" s="1587"/>
      <c r="BA360" s="1587"/>
      <c r="BB360" s="1587"/>
      <c r="BC360" s="1587"/>
      <c r="BD360" s="1587"/>
      <c r="BE360" s="1587"/>
      <c r="BF360" s="1587"/>
      <c r="BG360" s="1587"/>
      <c r="BH360" s="1587"/>
      <c r="BI360" s="1587"/>
      <c r="BJ360" s="1587"/>
      <c r="BK360" s="1587"/>
      <c r="BL360" s="1587"/>
      <c r="BM360" s="1587"/>
      <c r="BN360" s="1587"/>
      <c r="BO360" s="1587"/>
      <c r="BP360" s="1587"/>
      <c r="BQ360" s="1587"/>
      <c r="BR360" s="1587"/>
      <c r="BS360" s="1587"/>
      <c r="BT360" s="1587"/>
      <c r="BU360" s="1587"/>
      <c r="BV360" s="1587"/>
      <c r="BW360" s="1587"/>
      <c r="BX360" s="1587"/>
      <c r="BY360" s="1587"/>
      <c r="BZ360" s="1587"/>
      <c r="CA360" s="1587"/>
      <c r="CB360" s="1587"/>
      <c r="CC360" s="1587"/>
      <c r="CD360" s="1587"/>
      <c r="CE360" s="1587"/>
      <c r="CF360" s="1587"/>
      <c r="CG360" s="1587"/>
      <c r="CH360" s="1587"/>
      <c r="CI360" s="1587"/>
      <c r="CJ360" s="1587"/>
      <c r="CK360" s="1587"/>
      <c r="CL360" s="1587"/>
      <c r="CM360" s="1587"/>
      <c r="CN360" s="1587"/>
      <c r="CO360" s="1587"/>
      <c r="CP360" s="1587"/>
      <c r="CQ360" s="1587"/>
      <c r="CR360" s="1587"/>
      <c r="CS360" s="1587"/>
      <c r="CT360" s="1587"/>
      <c r="CU360" s="1587"/>
      <c r="CV360" s="1587"/>
      <c r="CW360" s="1587"/>
      <c r="CX360" s="1587"/>
      <c r="CY360" s="1587"/>
      <c r="CZ360" s="1587"/>
      <c r="DA360" s="1606"/>
      <c r="DB360" s="1606"/>
      <c r="DC360" s="1606"/>
      <c r="DD360" s="1606"/>
      <c r="DE360" s="1606"/>
      <c r="DF360" s="1606"/>
      <c r="DG360" s="1606"/>
      <c r="DH360" s="1606"/>
      <c r="DI360" s="1606"/>
      <c r="DJ360" s="1606"/>
      <c r="DK360" s="1606"/>
      <c r="DL360" s="1606"/>
      <c r="DM360" s="1606"/>
      <c r="DN360" s="1606"/>
      <c r="DO360" s="1606"/>
      <c r="DP360" s="1606"/>
      <c r="DQ360" s="1606"/>
      <c r="DR360" s="1606"/>
      <c r="DS360" s="1606"/>
      <c r="DT360" s="1606"/>
      <c r="DU360" s="1606"/>
      <c r="DV360" s="1606"/>
      <c r="DW360" s="1606"/>
      <c r="DX360" s="1606"/>
      <c r="DY360" s="1606"/>
      <c r="DZ360" s="1606"/>
      <c r="EA360" s="1606"/>
      <c r="EB360" s="1606"/>
      <c r="EC360" s="1606"/>
      <c r="ED360" s="1606"/>
      <c r="EE360" s="1606"/>
      <c r="EF360" s="1606"/>
      <c r="EG360" s="1606"/>
      <c r="EH360" s="1606"/>
      <c r="EI360" s="1606"/>
      <c r="EJ360" s="1606"/>
      <c r="EK360" s="1606"/>
      <c r="EL360" s="1606"/>
      <c r="EM360" s="1606"/>
      <c r="EN360" s="1606"/>
      <c r="EO360" s="1606"/>
      <c r="EP360" s="1606"/>
      <c r="EQ360" s="1606"/>
      <c r="ER360" s="1606"/>
      <c r="ES360" s="1606"/>
      <c r="ET360" s="1606"/>
      <c r="EU360" s="1606"/>
      <c r="EV360" s="1606"/>
      <c r="EW360" s="1606"/>
      <c r="EX360" s="1606"/>
      <c r="EY360" s="1606"/>
      <c r="EZ360" s="1606"/>
      <c r="FA360" s="1606"/>
      <c r="FB360" s="1606"/>
      <c r="FC360" s="1606"/>
      <c r="FD360" s="1606"/>
      <c r="FE360" s="1606"/>
      <c r="FF360" s="1606"/>
      <c r="FG360" s="1606"/>
      <c r="FH360" s="1606"/>
      <c r="FI360" s="1606"/>
      <c r="FJ360" s="1606"/>
      <c r="FK360" s="1606"/>
      <c r="FL360" s="1606"/>
      <c r="FM360" s="1606"/>
      <c r="FN360" s="1606"/>
      <c r="FO360" s="1606"/>
      <c r="FP360" s="1606"/>
      <c r="FQ360" s="1606"/>
      <c r="FR360" s="1606"/>
      <c r="FS360" s="1606"/>
      <c r="FT360" s="1606"/>
      <c r="FU360" s="1606"/>
      <c r="FV360" s="1606"/>
      <c r="FW360" s="1606"/>
      <c r="FX360" s="1606"/>
      <c r="FY360" s="1606"/>
      <c r="FZ360" s="1606"/>
      <c r="GA360" s="1606"/>
      <c r="GB360" s="1606"/>
      <c r="GC360" s="1606"/>
      <c r="GD360" s="1606"/>
      <c r="GE360" s="1606"/>
      <c r="GF360" s="1606"/>
      <c r="GG360" s="1606"/>
      <c r="GH360" s="1606"/>
      <c r="GI360" s="1606"/>
      <c r="GJ360" s="1606"/>
      <c r="GK360" s="1606"/>
      <c r="GL360" s="1606"/>
      <c r="GM360" s="1606"/>
      <c r="GN360" s="1606"/>
      <c r="GO360" s="1606"/>
      <c r="GP360" s="1606"/>
      <c r="GQ360" s="1606"/>
      <c r="GR360" s="1606"/>
      <c r="GS360" s="1606"/>
      <c r="GT360" s="1606"/>
      <c r="GU360" s="1606"/>
      <c r="GV360" s="1606"/>
      <c r="GW360" s="1606"/>
      <c r="GX360" s="1606"/>
      <c r="GY360" s="1606"/>
      <c r="GZ360" s="1606"/>
      <c r="HA360" s="1606"/>
      <c r="HB360" s="1606"/>
      <c r="HC360" s="1606"/>
      <c r="HD360" s="1606"/>
      <c r="HE360" s="1606"/>
      <c r="HF360" s="1606"/>
      <c r="HG360" s="1606"/>
      <c r="HH360" s="1606"/>
      <c r="HI360" s="1606"/>
      <c r="HJ360" s="1606"/>
      <c r="HK360" s="1606"/>
      <c r="HL360" s="1606"/>
      <c r="HM360" s="1606"/>
      <c r="HN360" s="1606"/>
      <c r="HO360" s="1606"/>
      <c r="HP360" s="1606"/>
      <c r="HQ360" s="1606"/>
      <c r="HR360" s="1606"/>
      <c r="HS360" s="1606"/>
      <c r="HT360" s="1606"/>
      <c r="HU360" s="1606"/>
      <c r="HV360" s="1606"/>
      <c r="HW360" s="1606"/>
      <c r="HX360" s="1606"/>
      <c r="HY360" s="1606"/>
      <c r="HZ360" s="1606"/>
      <c r="IA360" s="1606"/>
      <c r="IB360" s="1606"/>
      <c r="IC360" s="1606"/>
      <c r="ID360" s="1606"/>
      <c r="IE360" s="1606"/>
      <c r="IF360" s="1606"/>
      <c r="IG360" s="1606"/>
      <c r="IH360" s="1606"/>
      <c r="II360" s="1606"/>
      <c r="IJ360" s="1606"/>
      <c r="IK360" s="1606"/>
      <c r="IL360" s="1606"/>
      <c r="IM360" s="1606"/>
      <c r="IN360" s="1606"/>
      <c r="IO360" s="1606"/>
      <c r="IP360" s="1606"/>
      <c r="IQ360" s="1606"/>
      <c r="IR360" s="1606"/>
      <c r="IS360" s="1606"/>
      <c r="IT360" s="1606"/>
      <c r="IU360" s="1606"/>
      <c r="IV360" s="1606"/>
      <c r="IW360" s="1606"/>
      <c r="IX360" s="1606"/>
      <c r="IY360" s="1606"/>
      <c r="IZ360" s="1606"/>
      <c r="JA360" s="1606"/>
      <c r="JB360" s="1606"/>
      <c r="JC360" s="1606"/>
      <c r="JD360" s="1606"/>
      <c r="JE360" s="1606"/>
      <c r="JF360" s="1606"/>
      <c r="JG360" s="1606"/>
      <c r="JH360" s="1606"/>
      <c r="JI360" s="1606"/>
      <c r="JJ360" s="1606"/>
      <c r="JK360" s="1606"/>
      <c r="JL360" s="1606"/>
      <c r="JM360" s="1606"/>
      <c r="JN360" s="1606"/>
      <c r="JO360" s="1606"/>
      <c r="JP360" s="1606"/>
      <c r="JQ360" s="1606"/>
      <c r="JR360" s="1606"/>
      <c r="JS360" s="1606"/>
      <c r="JT360" s="1606"/>
      <c r="JU360" s="1606"/>
      <c r="JV360" s="1606"/>
      <c r="JW360" s="1606"/>
      <c r="JX360" s="1606"/>
      <c r="JY360" s="1606"/>
      <c r="JZ360" s="1606"/>
      <c r="KA360" s="1606"/>
      <c r="KB360" s="1606"/>
      <c r="KC360" s="1606"/>
      <c r="KD360" s="1606"/>
      <c r="KE360" s="1606"/>
      <c r="KF360" s="1606"/>
      <c r="KG360" s="1606"/>
      <c r="KH360" s="1606"/>
      <c r="KI360" s="1606"/>
      <c r="KJ360" s="1606"/>
      <c r="KK360" s="1606"/>
      <c r="KL360" s="1606"/>
      <c r="KM360" s="1606"/>
      <c r="KN360" s="1606"/>
      <c r="KO360" s="1606"/>
      <c r="KP360" s="1606"/>
      <c r="KQ360" s="1606"/>
      <c r="KR360" s="1606"/>
      <c r="KS360" s="1606"/>
      <c r="KT360" s="1606"/>
      <c r="KU360" s="1606"/>
      <c r="KV360" s="1606"/>
      <c r="KW360" s="1606"/>
      <c r="KX360" s="1606"/>
      <c r="KY360" s="1606"/>
      <c r="KZ360" s="1606"/>
      <c r="LA360" s="1606"/>
      <c r="LB360" s="1606"/>
      <c r="LC360" s="1606"/>
      <c r="LD360" s="1606"/>
      <c r="LE360" s="1606"/>
      <c r="LF360" s="1606"/>
      <c r="LG360" s="1606"/>
      <c r="LH360" s="1606"/>
      <c r="LI360" s="1606"/>
      <c r="LJ360" s="1606"/>
      <c r="LK360" s="1606"/>
      <c r="LL360" s="1606"/>
      <c r="LM360" s="1606"/>
      <c r="LN360" s="1606"/>
      <c r="LO360" s="1606"/>
      <c r="LP360" s="1606"/>
      <c r="LQ360" s="1606"/>
      <c r="LR360" s="1606"/>
      <c r="LS360" s="1606"/>
      <c r="LT360" s="1606"/>
      <c r="LU360" s="1606"/>
      <c r="LV360" s="1606"/>
      <c r="LW360" s="1606"/>
      <c r="LX360" s="1606"/>
      <c r="LY360" s="1606"/>
      <c r="LZ360" s="1606"/>
      <c r="MA360" s="1606"/>
      <c r="MB360" s="1606"/>
      <c r="MC360" s="1606"/>
      <c r="MD360" s="1606"/>
      <c r="ME360" s="1606"/>
      <c r="MF360" s="1606"/>
      <c r="MG360" s="1606"/>
      <c r="MH360" s="1606"/>
      <c r="MI360" s="1606"/>
      <c r="MJ360" s="1606"/>
      <c r="MK360" s="1606"/>
      <c r="ML360" s="1606"/>
      <c r="MM360" s="1606"/>
      <c r="MN360" s="1606"/>
      <c r="MO360" s="1606"/>
      <c r="MP360" s="1606"/>
      <c r="MQ360" s="1606"/>
      <c r="MR360" s="1606"/>
      <c r="MS360" s="1606"/>
      <c r="MT360" s="1606"/>
      <c r="MU360" s="1606"/>
      <c r="MV360" s="1606"/>
      <c r="MW360" s="1606"/>
      <c r="MX360" s="1606"/>
      <c r="MY360" s="1606"/>
      <c r="MZ360" s="1606"/>
      <c r="NA360" s="1606"/>
      <c r="NB360" s="1606"/>
      <c r="NC360" s="1606"/>
      <c r="ND360" s="1606"/>
      <c r="NE360" s="1606"/>
      <c r="NF360" s="1606"/>
      <c r="NG360" s="1606"/>
      <c r="NH360" s="1606"/>
      <c r="NI360" s="1606"/>
      <c r="NJ360" s="1606"/>
      <c r="NK360" s="1606"/>
      <c r="NL360" s="1606"/>
      <c r="NM360" s="1606"/>
      <c r="NN360" s="1606"/>
      <c r="NO360" s="1606"/>
      <c r="NP360" s="1606"/>
      <c r="NQ360" s="1606"/>
      <c r="NR360" s="1606"/>
      <c r="NS360" s="1606"/>
      <c r="NT360" s="1606"/>
      <c r="NU360" s="1606"/>
      <c r="NV360" s="1606"/>
      <c r="NW360" s="1606"/>
      <c r="NX360" s="1606"/>
      <c r="NY360" s="1606"/>
      <c r="NZ360" s="1606"/>
      <c r="OA360" s="1606"/>
      <c r="OB360" s="1606"/>
      <c r="OC360" s="1606"/>
      <c r="OD360" s="1606"/>
      <c r="OE360" s="1606"/>
      <c r="OF360" s="1606"/>
      <c r="OG360" s="1606"/>
      <c r="OH360" s="1606"/>
      <c r="OI360" s="1606"/>
      <c r="OJ360" s="1606"/>
      <c r="OK360" s="1606"/>
      <c r="OL360" s="1606"/>
      <c r="OM360" s="1606"/>
      <c r="ON360" s="1606"/>
      <c r="OO360" s="1606"/>
      <c r="OP360" s="1606"/>
      <c r="OQ360" s="1606"/>
    </row>
    <row r="361" spans="1:407" ht="13" thickTop="1">
      <c r="A361" s="1466"/>
      <c r="B361" s="1588"/>
      <c r="C361" s="1588"/>
      <c r="D361" s="1588"/>
      <c r="E361" s="1589"/>
      <c r="F361" s="1589"/>
      <c r="G361" s="1589"/>
      <c r="H361" s="1589"/>
      <c r="I361" s="1589"/>
      <c r="J361" s="1589"/>
      <c r="K361" s="1589"/>
      <c r="L361" s="1589"/>
      <c r="M361" s="1589"/>
      <c r="N361" s="1589"/>
      <c r="O361" s="1589"/>
      <c r="P361" s="1589"/>
      <c r="Q361" s="1589"/>
      <c r="R361" s="1589"/>
      <c r="S361" s="1589"/>
      <c r="T361" s="1589"/>
      <c r="U361" s="1589"/>
      <c r="V361" s="1589"/>
      <c r="W361" s="1589"/>
      <c r="X361" s="1589"/>
      <c r="Y361" s="1589"/>
      <c r="Z361" s="1589"/>
      <c r="AA361" s="1589"/>
      <c r="AB361" s="1589"/>
      <c r="AC361" s="1589"/>
      <c r="AD361" s="1589"/>
      <c r="AE361" s="1589"/>
      <c r="AF361" s="1589"/>
      <c r="AG361" s="1589"/>
      <c r="AH361" s="1589"/>
      <c r="AI361" s="1589"/>
      <c r="AJ361" s="1589"/>
      <c r="AK361" s="1589"/>
      <c r="AL361" s="1589"/>
      <c r="AM361" s="1589"/>
      <c r="AN361" s="1589"/>
      <c r="AO361" s="1589"/>
      <c r="AP361" s="1589"/>
      <c r="AQ361" s="1589"/>
      <c r="AR361" s="1589"/>
      <c r="AS361" s="1589"/>
      <c r="AT361" s="1589"/>
      <c r="AU361" s="1589"/>
      <c r="AV361" s="1589"/>
      <c r="AW361" s="1589"/>
      <c r="AX361" s="1589"/>
      <c r="AY361" s="1589"/>
      <c r="AZ361" s="1589"/>
      <c r="BA361" s="1589"/>
      <c r="BB361" s="1589"/>
      <c r="BC361" s="1589"/>
      <c r="BD361" s="1589"/>
      <c r="BE361" s="1589"/>
      <c r="BF361" s="1589"/>
      <c r="BG361" s="1589"/>
      <c r="BH361" s="1589"/>
      <c r="BI361" s="1589"/>
      <c r="BJ361" s="1589"/>
      <c r="BK361" s="1589"/>
      <c r="BL361" s="1589"/>
      <c r="BM361" s="1589"/>
      <c r="BN361" s="1589"/>
      <c r="BO361" s="1589"/>
      <c r="BP361" s="1589"/>
      <c r="BQ361" s="1589"/>
      <c r="BR361" s="1589"/>
      <c r="BS361" s="1589"/>
      <c r="BT361" s="1589"/>
      <c r="BU361" s="1589"/>
      <c r="BV361" s="1589"/>
      <c r="BW361" s="1589"/>
      <c r="BX361" s="1589"/>
      <c r="BY361" s="1589"/>
      <c r="BZ361" s="1589"/>
      <c r="CA361" s="1589"/>
      <c r="CB361" s="1589"/>
      <c r="CC361" s="1589"/>
      <c r="CD361" s="1589"/>
      <c r="CE361" s="1589"/>
      <c r="CF361" s="1589"/>
      <c r="CG361" s="1589"/>
      <c r="CH361" s="1589"/>
      <c r="CI361" s="1589"/>
      <c r="CJ361" s="1589"/>
      <c r="CK361" s="1589"/>
      <c r="CL361" s="1589"/>
      <c r="CM361" s="1589"/>
      <c r="CN361" s="1589"/>
      <c r="CO361" s="1589"/>
      <c r="CP361" s="1589"/>
      <c r="CQ361" s="1589"/>
      <c r="CR361" s="1589"/>
      <c r="CS361" s="1589"/>
      <c r="CT361" s="1589"/>
      <c r="CU361" s="1589"/>
      <c r="CV361" s="1589"/>
      <c r="CW361" s="1589"/>
      <c r="CX361" s="1589"/>
      <c r="CY361" s="1589"/>
      <c r="CZ361" s="1589"/>
    </row>
    <row r="362" spans="1:407">
      <c r="A362" s="1466"/>
      <c r="B362" s="1583"/>
      <c r="C362" s="1583"/>
      <c r="D362" s="1583"/>
      <c r="E362" s="1585"/>
      <c r="F362" s="1585"/>
      <c r="G362" s="1585"/>
      <c r="H362" s="1585"/>
      <c r="I362" s="1585"/>
      <c r="J362" s="1585"/>
      <c r="K362" s="1585"/>
      <c r="L362" s="1585"/>
      <c r="M362" s="1585"/>
      <c r="N362" s="1585"/>
      <c r="O362" s="1585"/>
      <c r="P362" s="1585"/>
      <c r="Q362" s="1585"/>
      <c r="R362" s="1585"/>
      <c r="S362" s="1585"/>
      <c r="T362" s="1585"/>
      <c r="U362" s="1585"/>
      <c r="V362" s="1585"/>
      <c r="W362" s="1585"/>
      <c r="X362" s="1585"/>
      <c r="Y362" s="1585"/>
      <c r="Z362" s="1585"/>
      <c r="AA362" s="1585"/>
      <c r="AB362" s="1585"/>
      <c r="AC362" s="1585"/>
      <c r="AD362" s="1585"/>
      <c r="AE362" s="1585"/>
      <c r="AF362" s="1585"/>
      <c r="AG362" s="1585"/>
      <c r="AH362" s="1585"/>
      <c r="AI362" s="1585"/>
      <c r="AJ362" s="1585"/>
      <c r="AK362" s="1585"/>
      <c r="AL362" s="1585"/>
      <c r="AM362" s="1585"/>
      <c r="AN362" s="1585"/>
      <c r="AO362" s="1585"/>
      <c r="AP362" s="1585"/>
      <c r="AQ362" s="1585"/>
      <c r="AR362" s="1585"/>
      <c r="AS362" s="1585"/>
      <c r="AT362" s="1585"/>
      <c r="AU362" s="1585"/>
      <c r="AV362" s="1585"/>
      <c r="AW362" s="1585"/>
      <c r="AX362" s="1585"/>
      <c r="AY362" s="1585"/>
      <c r="AZ362" s="1585"/>
      <c r="BA362" s="1585"/>
      <c r="BB362" s="1585"/>
      <c r="BC362" s="1585"/>
      <c r="BD362" s="1585"/>
      <c r="BE362" s="1585"/>
      <c r="BF362" s="1585"/>
      <c r="BG362" s="1585"/>
      <c r="BH362" s="1585"/>
      <c r="BI362" s="1585"/>
      <c r="BJ362" s="1585"/>
      <c r="BK362" s="1585"/>
      <c r="BL362" s="1585"/>
      <c r="BM362" s="1585"/>
      <c r="BN362" s="1585"/>
      <c r="BO362" s="1585"/>
      <c r="BP362" s="1585"/>
      <c r="BQ362" s="1585"/>
      <c r="BR362" s="1585"/>
      <c r="BS362" s="1585"/>
      <c r="BT362" s="1585"/>
      <c r="BU362" s="1585"/>
      <c r="BV362" s="1585"/>
      <c r="BW362" s="1585"/>
      <c r="BX362" s="1585"/>
      <c r="BY362" s="1585"/>
      <c r="BZ362" s="1585"/>
      <c r="CA362" s="1585"/>
      <c r="CB362" s="1585"/>
      <c r="CC362" s="1585"/>
      <c r="CD362" s="1585"/>
      <c r="CE362" s="1585"/>
      <c r="CF362" s="1585"/>
      <c r="CG362" s="1585"/>
      <c r="CH362" s="1585"/>
      <c r="CI362" s="1585"/>
      <c r="CJ362" s="1585"/>
      <c r="CK362" s="1585"/>
      <c r="CL362" s="1585"/>
      <c r="CM362" s="1585"/>
      <c r="CN362" s="1585"/>
      <c r="CO362" s="1585"/>
      <c r="CP362" s="1585"/>
      <c r="CQ362" s="1585"/>
      <c r="CR362" s="1585"/>
      <c r="CS362" s="1585"/>
      <c r="CT362" s="1585"/>
      <c r="CU362" s="1585"/>
      <c r="CV362" s="1585"/>
      <c r="CW362" s="1585"/>
      <c r="CX362" s="1585"/>
      <c r="CY362" s="1585"/>
      <c r="CZ362" s="1585"/>
    </row>
    <row r="363" spans="1:407">
      <c r="A363" s="1466"/>
      <c r="B363" s="1583"/>
      <c r="C363" s="1583"/>
      <c r="D363" s="1583"/>
      <c r="E363" s="1585"/>
      <c r="F363" s="1585"/>
      <c r="G363" s="1585"/>
      <c r="H363" s="1585"/>
      <c r="I363" s="1585"/>
      <c r="J363" s="1585"/>
      <c r="K363" s="1585"/>
      <c r="L363" s="1585"/>
      <c r="M363" s="1585"/>
      <c r="N363" s="1585"/>
      <c r="O363" s="1585"/>
      <c r="P363" s="1585"/>
      <c r="Q363" s="1585"/>
      <c r="R363" s="1585"/>
      <c r="S363" s="1585"/>
      <c r="T363" s="1585"/>
      <c r="U363" s="1585"/>
      <c r="V363" s="1585"/>
      <c r="W363" s="1585"/>
      <c r="X363" s="1585"/>
      <c r="Y363" s="1585"/>
      <c r="Z363" s="1585"/>
      <c r="AA363" s="1585"/>
      <c r="AB363" s="1585"/>
      <c r="AC363" s="1585"/>
      <c r="AD363" s="1585"/>
      <c r="AE363" s="1585"/>
      <c r="AF363" s="1585"/>
      <c r="AG363" s="1585"/>
      <c r="AH363" s="1585"/>
      <c r="AI363" s="1585"/>
      <c r="AJ363" s="1585"/>
      <c r="AK363" s="1585"/>
      <c r="AL363" s="1585"/>
      <c r="AM363" s="1585"/>
      <c r="AN363" s="1585"/>
      <c r="AO363" s="1585"/>
      <c r="AP363" s="1585"/>
      <c r="AQ363" s="1585"/>
      <c r="AR363" s="1585"/>
      <c r="AS363" s="1585"/>
      <c r="AT363" s="1585"/>
      <c r="AU363" s="1585"/>
      <c r="AV363" s="1585"/>
      <c r="AW363" s="1585"/>
      <c r="AX363" s="1585"/>
      <c r="AY363" s="1585"/>
      <c r="AZ363" s="1585"/>
      <c r="BA363" s="1585"/>
      <c r="BB363" s="1585"/>
      <c r="BC363" s="1585"/>
      <c r="BD363" s="1585"/>
      <c r="BE363" s="1585"/>
      <c r="BF363" s="1585"/>
      <c r="BG363" s="1585"/>
      <c r="BH363" s="1585"/>
      <c r="BI363" s="1585"/>
      <c r="BJ363" s="1585"/>
      <c r="BK363" s="1585"/>
      <c r="BL363" s="1585"/>
      <c r="BM363" s="1585"/>
      <c r="BN363" s="1585"/>
      <c r="BO363" s="1585"/>
      <c r="BP363" s="1585"/>
      <c r="BQ363" s="1585"/>
      <c r="BR363" s="1585"/>
      <c r="BS363" s="1585"/>
      <c r="BT363" s="1585"/>
      <c r="BU363" s="1585"/>
      <c r="BV363" s="1585"/>
      <c r="BW363" s="1585"/>
      <c r="BX363" s="1585"/>
      <c r="BY363" s="1585"/>
      <c r="BZ363" s="1585"/>
      <c r="CA363" s="1585"/>
      <c r="CB363" s="1585"/>
      <c r="CC363" s="1585"/>
      <c r="CD363" s="1585"/>
      <c r="CE363" s="1585"/>
      <c r="CF363" s="1585"/>
      <c r="CG363" s="1585"/>
      <c r="CH363" s="1585"/>
      <c r="CI363" s="1585"/>
      <c r="CJ363" s="1585"/>
      <c r="CK363" s="1585"/>
      <c r="CL363" s="1585"/>
      <c r="CM363" s="1585"/>
      <c r="CN363" s="1585"/>
      <c r="CO363" s="1585"/>
      <c r="CP363" s="1585"/>
      <c r="CQ363" s="1585"/>
      <c r="CR363" s="1585"/>
      <c r="CS363" s="1585"/>
      <c r="CT363" s="1585"/>
      <c r="CU363" s="1585"/>
      <c r="CV363" s="1585"/>
      <c r="CW363" s="1585"/>
      <c r="CX363" s="1585"/>
      <c r="CY363" s="1585"/>
      <c r="CZ363" s="1585"/>
    </row>
    <row r="364" spans="1:407">
      <c r="A364" s="1466"/>
      <c r="B364" s="1583"/>
      <c r="C364" s="1583"/>
      <c r="D364" s="1583"/>
      <c r="E364" s="1585"/>
      <c r="F364" s="1585"/>
      <c r="G364" s="1585"/>
      <c r="H364" s="1585"/>
      <c r="I364" s="1585"/>
      <c r="J364" s="1585"/>
      <c r="K364" s="1585"/>
      <c r="L364" s="1585"/>
      <c r="M364" s="1585"/>
      <c r="N364" s="1585"/>
      <c r="O364" s="1585"/>
      <c r="P364" s="1585"/>
      <c r="Q364" s="1585"/>
      <c r="R364" s="1585"/>
      <c r="S364" s="1585"/>
      <c r="T364" s="1585"/>
      <c r="U364" s="1585"/>
      <c r="V364" s="1585"/>
      <c r="W364" s="1585"/>
      <c r="X364" s="1585"/>
      <c r="Y364" s="1585"/>
      <c r="Z364" s="1585"/>
      <c r="AA364" s="1585"/>
      <c r="AB364" s="1585"/>
      <c r="AC364" s="1585"/>
      <c r="AD364" s="1585"/>
      <c r="AE364" s="1585"/>
      <c r="AF364" s="1585"/>
      <c r="AG364" s="1585"/>
      <c r="AH364" s="1585"/>
      <c r="AI364" s="1585"/>
      <c r="AJ364" s="1585"/>
      <c r="AK364" s="1585"/>
      <c r="AL364" s="1585"/>
      <c r="AM364" s="1585"/>
      <c r="AN364" s="1585"/>
      <c r="AO364" s="1585"/>
      <c r="AP364" s="1585"/>
      <c r="AQ364" s="1585"/>
      <c r="AR364" s="1585"/>
      <c r="AS364" s="1585"/>
      <c r="AT364" s="1585"/>
      <c r="AU364" s="1585"/>
      <c r="AV364" s="1585"/>
      <c r="AW364" s="1585"/>
      <c r="AX364" s="1585"/>
      <c r="AY364" s="1585"/>
      <c r="AZ364" s="1585"/>
      <c r="BA364" s="1585"/>
      <c r="BB364" s="1585"/>
      <c r="BC364" s="1585"/>
      <c r="BD364" s="1585"/>
      <c r="BE364" s="1585"/>
      <c r="BF364" s="1585"/>
      <c r="BG364" s="1585"/>
      <c r="BH364" s="1585"/>
      <c r="BI364" s="1585"/>
      <c r="BJ364" s="1585"/>
      <c r="BK364" s="1585"/>
      <c r="BL364" s="1585"/>
      <c r="BM364" s="1585"/>
      <c r="BN364" s="1585"/>
      <c r="BO364" s="1585"/>
      <c r="BP364" s="1585"/>
      <c r="BQ364" s="1585"/>
      <c r="BR364" s="1585"/>
      <c r="BS364" s="1585"/>
      <c r="BT364" s="1585"/>
      <c r="BU364" s="1585"/>
      <c r="BV364" s="1585"/>
      <c r="BW364" s="1585"/>
      <c r="BX364" s="1585"/>
      <c r="BY364" s="1585"/>
      <c r="BZ364" s="1585"/>
      <c r="CA364" s="1585"/>
      <c r="CB364" s="1585"/>
      <c r="CC364" s="1585"/>
      <c r="CD364" s="1585"/>
      <c r="CE364" s="1585"/>
      <c r="CF364" s="1585"/>
      <c r="CG364" s="1585"/>
      <c r="CH364" s="1585"/>
      <c r="CI364" s="1585"/>
      <c r="CJ364" s="1585"/>
      <c r="CK364" s="1585"/>
      <c r="CL364" s="1585"/>
      <c r="CM364" s="1585"/>
      <c r="CN364" s="1585"/>
      <c r="CO364" s="1585"/>
      <c r="CP364" s="1585"/>
      <c r="CQ364" s="1585"/>
      <c r="CR364" s="1585"/>
      <c r="CS364" s="1585"/>
      <c r="CT364" s="1585"/>
      <c r="CU364" s="1585"/>
      <c r="CV364" s="1585"/>
      <c r="CW364" s="1585"/>
      <c r="CX364" s="1585"/>
      <c r="CY364" s="1585"/>
      <c r="CZ364" s="1585"/>
    </row>
    <row r="365" spans="1:407">
      <c r="A365" s="1466"/>
      <c r="B365" s="1583"/>
      <c r="C365" s="1583"/>
      <c r="D365" s="1583"/>
      <c r="E365" s="1585"/>
      <c r="F365" s="1585"/>
      <c r="G365" s="1585"/>
      <c r="H365" s="1585"/>
      <c r="I365" s="1585"/>
      <c r="J365" s="1585"/>
      <c r="K365" s="1585"/>
      <c r="L365" s="1585"/>
      <c r="M365" s="1585"/>
      <c r="N365" s="1585"/>
      <c r="O365" s="1585"/>
      <c r="P365" s="1585"/>
      <c r="Q365" s="1585"/>
      <c r="R365" s="1585"/>
      <c r="S365" s="1585"/>
      <c r="T365" s="1585"/>
      <c r="U365" s="1585"/>
      <c r="V365" s="1585"/>
      <c r="W365" s="1585"/>
      <c r="X365" s="1585"/>
      <c r="Y365" s="1585"/>
      <c r="Z365" s="1585"/>
      <c r="AA365" s="1585"/>
      <c r="AB365" s="1585"/>
      <c r="AC365" s="1585"/>
      <c r="AD365" s="1585"/>
      <c r="AE365" s="1585"/>
      <c r="AF365" s="1585"/>
      <c r="AG365" s="1585"/>
      <c r="AH365" s="1585"/>
      <c r="AI365" s="1585"/>
      <c r="AJ365" s="1585"/>
      <c r="AK365" s="1585"/>
      <c r="AL365" s="1585"/>
      <c r="AM365" s="1585"/>
      <c r="AN365" s="1585"/>
      <c r="AO365" s="1585"/>
      <c r="AP365" s="1585"/>
      <c r="AQ365" s="1585"/>
      <c r="AR365" s="1585"/>
      <c r="AS365" s="1585"/>
      <c r="AT365" s="1585"/>
      <c r="AU365" s="1585"/>
      <c r="AV365" s="1585"/>
      <c r="AW365" s="1585"/>
      <c r="AX365" s="1585"/>
      <c r="AY365" s="1585"/>
      <c r="AZ365" s="1585"/>
      <c r="BA365" s="1585"/>
      <c r="BB365" s="1585"/>
      <c r="BC365" s="1585"/>
      <c r="BD365" s="1585"/>
      <c r="BE365" s="1585"/>
      <c r="BF365" s="1585"/>
      <c r="BG365" s="1585"/>
      <c r="BH365" s="1585"/>
      <c r="BI365" s="1585"/>
      <c r="BJ365" s="1585"/>
      <c r="BK365" s="1585"/>
      <c r="BL365" s="1585"/>
      <c r="BM365" s="1585"/>
      <c r="BN365" s="1585"/>
      <c r="BO365" s="1585"/>
      <c r="BP365" s="1585"/>
      <c r="BQ365" s="1585"/>
      <c r="BR365" s="1585"/>
      <c r="BS365" s="1585"/>
      <c r="BT365" s="1585"/>
      <c r="BU365" s="1585"/>
      <c r="BV365" s="1585"/>
      <c r="BW365" s="1585"/>
      <c r="BX365" s="1585"/>
      <c r="BY365" s="1585"/>
      <c r="BZ365" s="1585"/>
      <c r="CA365" s="1585"/>
      <c r="CB365" s="1585"/>
      <c r="CC365" s="1585"/>
      <c r="CD365" s="1585"/>
      <c r="CE365" s="1585"/>
      <c r="CF365" s="1585"/>
      <c r="CG365" s="1585"/>
      <c r="CH365" s="1585"/>
      <c r="CI365" s="1585"/>
      <c r="CJ365" s="1585"/>
      <c r="CK365" s="1585"/>
      <c r="CL365" s="1585"/>
      <c r="CM365" s="1585"/>
      <c r="CN365" s="1585"/>
      <c r="CO365" s="1585"/>
      <c r="CP365" s="1585"/>
      <c r="CQ365" s="1585"/>
      <c r="CR365" s="1585"/>
      <c r="CS365" s="1585"/>
      <c r="CT365" s="1585"/>
      <c r="CU365" s="1585"/>
      <c r="CV365" s="1585"/>
      <c r="CW365" s="1585"/>
      <c r="CX365" s="1585"/>
      <c r="CY365" s="1585"/>
      <c r="CZ365" s="1585"/>
    </row>
    <row r="366" spans="1:407">
      <c r="A366" s="1466"/>
      <c r="B366" s="1583"/>
      <c r="C366" s="1583"/>
      <c r="D366" s="1583"/>
      <c r="E366" s="1585"/>
      <c r="F366" s="1585"/>
      <c r="G366" s="1585"/>
      <c r="H366" s="1585"/>
      <c r="I366" s="1585"/>
      <c r="J366" s="1585"/>
      <c r="K366" s="1585"/>
      <c r="L366" s="1585"/>
      <c r="M366" s="1585"/>
      <c r="N366" s="1585"/>
      <c r="O366" s="1585"/>
      <c r="P366" s="1585"/>
      <c r="Q366" s="1585"/>
      <c r="R366" s="1585"/>
      <c r="S366" s="1585"/>
      <c r="T366" s="1585"/>
      <c r="U366" s="1585"/>
      <c r="V366" s="1585"/>
      <c r="W366" s="1585"/>
      <c r="X366" s="1585"/>
      <c r="Y366" s="1585"/>
      <c r="Z366" s="1585"/>
      <c r="AA366" s="1585"/>
      <c r="AB366" s="1585"/>
      <c r="AC366" s="1585"/>
      <c r="AD366" s="1585"/>
      <c r="AE366" s="1585"/>
      <c r="AF366" s="1585"/>
      <c r="AG366" s="1585"/>
      <c r="AH366" s="1585"/>
      <c r="AI366" s="1585"/>
      <c r="AJ366" s="1585"/>
      <c r="AK366" s="1585"/>
      <c r="AL366" s="1585"/>
      <c r="AM366" s="1585"/>
      <c r="AN366" s="1585"/>
      <c r="AO366" s="1585"/>
      <c r="AP366" s="1585"/>
      <c r="AQ366" s="1585"/>
      <c r="AR366" s="1585"/>
      <c r="AS366" s="1585"/>
      <c r="AT366" s="1585"/>
      <c r="AU366" s="1585"/>
      <c r="AV366" s="1585"/>
      <c r="AW366" s="1585"/>
      <c r="AX366" s="1585"/>
      <c r="AY366" s="1585"/>
      <c r="AZ366" s="1585"/>
      <c r="BA366" s="1585"/>
      <c r="BB366" s="1585"/>
      <c r="BC366" s="1585"/>
      <c r="BD366" s="1585"/>
      <c r="BE366" s="1585"/>
      <c r="BF366" s="1585"/>
      <c r="BG366" s="1585"/>
      <c r="BH366" s="1585"/>
      <c r="BI366" s="1585"/>
      <c r="BJ366" s="1585"/>
      <c r="BK366" s="1585"/>
      <c r="BL366" s="1585"/>
      <c r="BM366" s="1585"/>
      <c r="BN366" s="1585"/>
      <c r="BO366" s="1585"/>
      <c r="BP366" s="1585"/>
      <c r="BQ366" s="1585"/>
      <c r="BR366" s="1585"/>
      <c r="BS366" s="1585"/>
      <c r="BT366" s="1585"/>
      <c r="BU366" s="1585"/>
      <c r="BV366" s="1585"/>
      <c r="BW366" s="1585"/>
      <c r="BX366" s="1585"/>
      <c r="BY366" s="1585"/>
      <c r="BZ366" s="1585"/>
      <c r="CA366" s="1585"/>
      <c r="CB366" s="1585"/>
      <c r="CC366" s="1585"/>
      <c r="CD366" s="1585"/>
      <c r="CE366" s="1585"/>
      <c r="CF366" s="1585"/>
      <c r="CG366" s="1585"/>
      <c r="CH366" s="1585"/>
      <c r="CI366" s="1585"/>
      <c r="CJ366" s="1585"/>
      <c r="CK366" s="1585"/>
      <c r="CL366" s="1585"/>
      <c r="CM366" s="1585"/>
      <c r="CN366" s="1585"/>
      <c r="CO366" s="1585"/>
      <c r="CP366" s="1585"/>
      <c r="CQ366" s="1585"/>
      <c r="CR366" s="1585"/>
      <c r="CS366" s="1585"/>
      <c r="CT366" s="1585"/>
      <c r="CU366" s="1585"/>
      <c r="CV366" s="1585"/>
      <c r="CW366" s="1585"/>
      <c r="CX366" s="1585"/>
      <c r="CY366" s="1585"/>
      <c r="CZ366" s="1585"/>
    </row>
    <row r="367" spans="1:407">
      <c r="A367" s="1466"/>
      <c r="B367" s="1583"/>
      <c r="C367" s="1583"/>
      <c r="D367" s="1583"/>
      <c r="E367" s="1585"/>
      <c r="F367" s="1585"/>
      <c r="G367" s="1585"/>
      <c r="H367" s="1585"/>
      <c r="I367" s="1585"/>
      <c r="J367" s="1585"/>
      <c r="K367" s="1585"/>
      <c r="L367" s="1585"/>
      <c r="M367" s="1585"/>
      <c r="N367" s="1585"/>
      <c r="O367" s="1585"/>
      <c r="P367" s="1585"/>
      <c r="Q367" s="1585"/>
      <c r="R367" s="1585"/>
      <c r="S367" s="1585"/>
      <c r="T367" s="1585"/>
      <c r="U367" s="1585"/>
      <c r="V367" s="1585"/>
      <c r="W367" s="1585"/>
      <c r="X367" s="1585"/>
      <c r="Y367" s="1585"/>
      <c r="Z367" s="1585"/>
      <c r="AA367" s="1585"/>
      <c r="AB367" s="1585"/>
      <c r="AC367" s="1585"/>
      <c r="AD367" s="1585"/>
      <c r="AE367" s="1585"/>
      <c r="AF367" s="1585"/>
      <c r="AG367" s="1585"/>
      <c r="AH367" s="1585"/>
      <c r="AI367" s="1585"/>
      <c r="AJ367" s="1585"/>
      <c r="AK367" s="1585"/>
      <c r="AL367" s="1585"/>
      <c r="AM367" s="1585"/>
      <c r="AN367" s="1585"/>
      <c r="AO367" s="1585"/>
      <c r="AP367" s="1585"/>
      <c r="AQ367" s="1585"/>
      <c r="AR367" s="1585"/>
      <c r="AS367" s="1585"/>
      <c r="AT367" s="1585"/>
      <c r="AU367" s="1585"/>
      <c r="AV367" s="1585"/>
      <c r="AW367" s="1585"/>
      <c r="AX367" s="1585"/>
      <c r="AY367" s="1585"/>
      <c r="AZ367" s="1585"/>
      <c r="BA367" s="1585"/>
      <c r="BB367" s="1585"/>
      <c r="BC367" s="1585"/>
      <c r="BD367" s="1585"/>
      <c r="BE367" s="1585"/>
      <c r="BF367" s="1585"/>
      <c r="BG367" s="1585"/>
      <c r="BH367" s="1585"/>
      <c r="BI367" s="1585"/>
      <c r="BJ367" s="1585"/>
      <c r="BK367" s="1585"/>
      <c r="BL367" s="1585"/>
      <c r="BM367" s="1585"/>
      <c r="BN367" s="1585"/>
      <c r="BO367" s="1585"/>
      <c r="BP367" s="1585"/>
      <c r="BQ367" s="1585"/>
      <c r="BR367" s="1585"/>
      <c r="BS367" s="1585"/>
      <c r="BT367" s="1585"/>
      <c r="BU367" s="1585"/>
      <c r="BV367" s="1585"/>
      <c r="BW367" s="1585"/>
      <c r="BX367" s="1585"/>
      <c r="BY367" s="1585"/>
      <c r="BZ367" s="1585"/>
      <c r="CA367" s="1585"/>
      <c r="CB367" s="1585"/>
      <c r="CC367" s="1585"/>
      <c r="CD367" s="1585"/>
      <c r="CE367" s="1585"/>
      <c r="CF367" s="1585"/>
      <c r="CG367" s="1585"/>
      <c r="CH367" s="1585"/>
      <c r="CI367" s="1585"/>
      <c r="CJ367" s="1585"/>
      <c r="CK367" s="1585"/>
      <c r="CL367" s="1585"/>
      <c r="CM367" s="1585"/>
      <c r="CN367" s="1585"/>
      <c r="CO367" s="1585"/>
      <c r="CP367" s="1585"/>
      <c r="CQ367" s="1585"/>
      <c r="CR367" s="1585"/>
      <c r="CS367" s="1585"/>
      <c r="CT367" s="1585"/>
      <c r="CU367" s="1585"/>
      <c r="CV367" s="1585"/>
      <c r="CW367" s="1585"/>
      <c r="CX367" s="1585"/>
      <c r="CY367" s="1585"/>
      <c r="CZ367" s="1585"/>
    </row>
    <row r="368" spans="1:407">
      <c r="A368" s="1466"/>
      <c r="B368" s="1583"/>
      <c r="C368" s="1583"/>
      <c r="D368" s="1583"/>
      <c r="E368" s="1585"/>
      <c r="F368" s="1585"/>
      <c r="G368" s="1585"/>
      <c r="H368" s="1585"/>
      <c r="I368" s="1585"/>
      <c r="J368" s="1585"/>
      <c r="K368" s="1585"/>
      <c r="L368" s="1585"/>
      <c r="M368" s="1585"/>
      <c r="N368" s="1585"/>
      <c r="O368" s="1585"/>
      <c r="P368" s="1585"/>
      <c r="Q368" s="1585"/>
      <c r="R368" s="1585"/>
      <c r="S368" s="1585"/>
      <c r="T368" s="1585"/>
      <c r="U368" s="1585"/>
      <c r="V368" s="1585"/>
      <c r="W368" s="1585"/>
      <c r="X368" s="1585"/>
      <c r="Y368" s="1585"/>
      <c r="Z368" s="1585"/>
      <c r="AA368" s="1585"/>
      <c r="AB368" s="1585"/>
      <c r="AC368" s="1585"/>
      <c r="AD368" s="1585"/>
      <c r="AE368" s="1585"/>
      <c r="AF368" s="1585"/>
      <c r="AG368" s="1585"/>
      <c r="AH368" s="1585"/>
      <c r="AI368" s="1585"/>
      <c r="AJ368" s="1585"/>
      <c r="AK368" s="1585"/>
      <c r="AL368" s="1585"/>
      <c r="AM368" s="1585"/>
      <c r="AN368" s="1585"/>
      <c r="AO368" s="1585"/>
      <c r="AP368" s="1585"/>
      <c r="AQ368" s="1585"/>
      <c r="AR368" s="1585"/>
      <c r="AS368" s="1585"/>
      <c r="AT368" s="1585"/>
      <c r="AU368" s="1585"/>
      <c r="AV368" s="1585"/>
      <c r="AW368" s="1585"/>
      <c r="AX368" s="1585"/>
      <c r="AY368" s="1585"/>
      <c r="AZ368" s="1585"/>
      <c r="BA368" s="1585"/>
      <c r="BB368" s="1585"/>
      <c r="BC368" s="1585"/>
      <c r="BD368" s="1585"/>
      <c r="BE368" s="1585"/>
      <c r="BF368" s="1585"/>
      <c r="BG368" s="1585"/>
      <c r="BH368" s="1585"/>
      <c r="BI368" s="1585"/>
      <c r="BJ368" s="1585"/>
      <c r="BK368" s="1585"/>
      <c r="BL368" s="1585"/>
      <c r="BM368" s="1585"/>
      <c r="BN368" s="1585"/>
      <c r="BO368" s="1585"/>
      <c r="BP368" s="1585"/>
      <c r="BQ368" s="1585"/>
      <c r="BR368" s="1585"/>
      <c r="BS368" s="1585"/>
      <c r="BT368" s="1585"/>
      <c r="BU368" s="1585"/>
      <c r="BV368" s="1585"/>
      <c r="BW368" s="1585"/>
      <c r="BX368" s="1585"/>
      <c r="BY368" s="1585"/>
      <c r="BZ368" s="1585"/>
      <c r="CA368" s="1585"/>
      <c r="CB368" s="1585"/>
      <c r="CC368" s="1585"/>
      <c r="CD368" s="1585"/>
      <c r="CE368" s="1585"/>
      <c r="CF368" s="1585"/>
      <c r="CG368" s="1585"/>
      <c r="CH368" s="1585"/>
      <c r="CI368" s="1585"/>
      <c r="CJ368" s="1585"/>
      <c r="CK368" s="1585"/>
      <c r="CL368" s="1585"/>
      <c r="CM368" s="1585"/>
      <c r="CN368" s="1585"/>
      <c r="CO368" s="1585"/>
      <c r="CP368" s="1585"/>
      <c r="CQ368" s="1585"/>
      <c r="CR368" s="1585"/>
      <c r="CS368" s="1585"/>
      <c r="CT368" s="1585"/>
      <c r="CU368" s="1585"/>
      <c r="CV368" s="1585"/>
      <c r="CW368" s="1585"/>
      <c r="CX368" s="1585"/>
      <c r="CY368" s="1585"/>
      <c r="CZ368" s="1585"/>
    </row>
    <row r="369" spans="1:104">
      <c r="A369" s="1466"/>
      <c r="B369" s="1583"/>
      <c r="C369" s="1583"/>
      <c r="D369" s="1583"/>
      <c r="E369" s="1585"/>
      <c r="F369" s="1585"/>
      <c r="G369" s="1585"/>
      <c r="H369" s="1585"/>
      <c r="I369" s="1585"/>
      <c r="J369" s="1585"/>
      <c r="K369" s="1585"/>
      <c r="L369" s="1585"/>
      <c r="M369" s="1585"/>
      <c r="N369" s="1585"/>
      <c r="O369" s="1585"/>
      <c r="P369" s="1585"/>
      <c r="Q369" s="1585"/>
      <c r="R369" s="1585"/>
      <c r="S369" s="1585"/>
      <c r="T369" s="1585"/>
      <c r="U369" s="1585"/>
      <c r="V369" s="1585"/>
      <c r="W369" s="1585"/>
      <c r="X369" s="1585"/>
      <c r="Y369" s="1585"/>
      <c r="Z369" s="1585"/>
      <c r="AA369" s="1585"/>
      <c r="AB369" s="1585"/>
      <c r="AC369" s="1585"/>
      <c r="AD369" s="1585"/>
      <c r="AE369" s="1585"/>
      <c r="AF369" s="1585"/>
      <c r="AG369" s="1585"/>
      <c r="AH369" s="1585"/>
      <c r="AI369" s="1585"/>
      <c r="AJ369" s="1585"/>
      <c r="AK369" s="1585"/>
      <c r="AL369" s="1585"/>
      <c r="AM369" s="1585"/>
      <c r="AN369" s="1585"/>
      <c r="AO369" s="1585"/>
      <c r="AP369" s="1585"/>
      <c r="AQ369" s="1585"/>
      <c r="AR369" s="1585"/>
      <c r="AS369" s="1585"/>
      <c r="AT369" s="1585"/>
      <c r="AU369" s="1585"/>
      <c r="AV369" s="1585"/>
      <c r="AW369" s="1585"/>
      <c r="AX369" s="1585"/>
      <c r="AY369" s="1585"/>
      <c r="AZ369" s="1585"/>
      <c r="BA369" s="1585"/>
      <c r="BB369" s="1585"/>
      <c r="BC369" s="1585"/>
      <c r="BD369" s="1585"/>
      <c r="BE369" s="1585"/>
      <c r="BF369" s="1585"/>
      <c r="BG369" s="1585"/>
      <c r="BH369" s="1585"/>
      <c r="BI369" s="1585"/>
      <c r="BJ369" s="1585"/>
      <c r="BK369" s="1585"/>
      <c r="BL369" s="1585"/>
      <c r="BM369" s="1585"/>
      <c r="BN369" s="1585"/>
      <c r="BO369" s="1585"/>
      <c r="BP369" s="1585"/>
      <c r="BQ369" s="1585"/>
      <c r="BR369" s="1585"/>
      <c r="BS369" s="1585"/>
      <c r="BT369" s="1585"/>
      <c r="BU369" s="1585"/>
      <c r="BV369" s="1585"/>
      <c r="BW369" s="1585"/>
      <c r="BX369" s="1585"/>
      <c r="BY369" s="1585"/>
      <c r="BZ369" s="1585"/>
      <c r="CA369" s="1585"/>
      <c r="CB369" s="1585"/>
      <c r="CC369" s="1585"/>
      <c r="CD369" s="1585"/>
      <c r="CE369" s="1585"/>
      <c r="CF369" s="1585"/>
      <c r="CG369" s="1585"/>
      <c r="CH369" s="1585"/>
      <c r="CI369" s="1585"/>
      <c r="CJ369" s="1585"/>
      <c r="CK369" s="1585"/>
      <c r="CL369" s="1585"/>
      <c r="CM369" s="1585"/>
      <c r="CN369" s="1585"/>
      <c r="CO369" s="1585"/>
      <c r="CP369" s="1585"/>
      <c r="CQ369" s="1585"/>
      <c r="CR369" s="1585"/>
      <c r="CS369" s="1585"/>
      <c r="CT369" s="1585"/>
      <c r="CU369" s="1585"/>
      <c r="CV369" s="1585"/>
      <c r="CW369" s="1585"/>
      <c r="CX369" s="1585"/>
      <c r="CY369" s="1585"/>
      <c r="CZ369" s="1585"/>
    </row>
    <row r="370" spans="1:104">
      <c r="A370" s="1466"/>
      <c r="B370" s="1583"/>
      <c r="C370" s="1583"/>
      <c r="D370" s="1583"/>
      <c r="E370" s="1585"/>
      <c r="F370" s="1585"/>
      <c r="G370" s="1585"/>
      <c r="H370" s="1585"/>
      <c r="I370" s="1585"/>
      <c r="J370" s="1585"/>
      <c r="K370" s="1585"/>
      <c r="L370" s="1585"/>
      <c r="M370" s="1585"/>
      <c r="N370" s="1585"/>
      <c r="O370" s="1585"/>
      <c r="P370" s="1585"/>
      <c r="Q370" s="1585"/>
      <c r="R370" s="1585"/>
      <c r="S370" s="1585"/>
      <c r="T370" s="1585"/>
      <c r="U370" s="1585"/>
      <c r="V370" s="1585"/>
      <c r="W370" s="1585"/>
      <c r="X370" s="1585"/>
      <c r="Y370" s="1585"/>
      <c r="Z370" s="1585"/>
      <c r="AA370" s="1585"/>
      <c r="AB370" s="1585"/>
      <c r="AC370" s="1585"/>
      <c r="AD370" s="1585"/>
      <c r="AE370" s="1585"/>
      <c r="AF370" s="1585"/>
      <c r="AG370" s="1585"/>
      <c r="AH370" s="1585"/>
      <c r="AI370" s="1585"/>
      <c r="AJ370" s="1585"/>
      <c r="AK370" s="1585"/>
      <c r="AL370" s="1585"/>
      <c r="AM370" s="1585"/>
      <c r="AN370" s="1585"/>
      <c r="AO370" s="1585"/>
      <c r="AP370" s="1585"/>
      <c r="AQ370" s="1585"/>
      <c r="AR370" s="1585"/>
      <c r="AS370" s="1585"/>
      <c r="AT370" s="1585"/>
      <c r="AU370" s="1585"/>
      <c r="AV370" s="1585"/>
      <c r="AW370" s="1585"/>
      <c r="AX370" s="1585"/>
      <c r="AY370" s="1585"/>
      <c r="AZ370" s="1585"/>
      <c r="BA370" s="1585"/>
      <c r="BB370" s="1585"/>
      <c r="BC370" s="1585"/>
      <c r="BD370" s="1585"/>
      <c r="BE370" s="1585"/>
      <c r="BF370" s="1585"/>
      <c r="BG370" s="1585"/>
      <c r="BH370" s="1585"/>
      <c r="BI370" s="1585"/>
      <c r="BJ370" s="1585"/>
      <c r="BK370" s="1585"/>
      <c r="BL370" s="1585"/>
      <c r="BM370" s="1585"/>
      <c r="BN370" s="1585"/>
      <c r="BO370" s="1585"/>
      <c r="BP370" s="1585"/>
      <c r="BQ370" s="1585"/>
      <c r="BR370" s="1585"/>
      <c r="BS370" s="1585"/>
      <c r="BT370" s="1585"/>
      <c r="BU370" s="1585"/>
      <c r="BV370" s="1585"/>
      <c r="BW370" s="1585"/>
      <c r="BX370" s="1585"/>
      <c r="BY370" s="1585"/>
      <c r="BZ370" s="1585"/>
      <c r="CA370" s="1585"/>
      <c r="CB370" s="1585"/>
      <c r="CC370" s="1585"/>
      <c r="CD370" s="1585"/>
      <c r="CE370" s="1585"/>
      <c r="CF370" s="1585"/>
      <c r="CG370" s="1585"/>
      <c r="CH370" s="1585"/>
      <c r="CI370" s="1585"/>
      <c r="CJ370" s="1585"/>
      <c r="CK370" s="1585"/>
      <c r="CL370" s="1585"/>
      <c r="CM370" s="1585"/>
      <c r="CN370" s="1585"/>
      <c r="CO370" s="1585"/>
      <c r="CP370" s="1585"/>
      <c r="CQ370" s="1585"/>
      <c r="CR370" s="1585"/>
      <c r="CS370" s="1585"/>
      <c r="CT370" s="1585"/>
      <c r="CU370" s="1585"/>
      <c r="CV370" s="1585"/>
      <c r="CW370" s="1585"/>
      <c r="CX370" s="1585"/>
      <c r="CY370" s="1585"/>
      <c r="CZ370" s="1585"/>
    </row>
    <row r="371" spans="1:104">
      <c r="A371" s="1466"/>
      <c r="B371" s="1583"/>
      <c r="C371" s="1583"/>
      <c r="D371" s="1583"/>
      <c r="E371" s="1585"/>
      <c r="F371" s="1585"/>
      <c r="G371" s="1585"/>
      <c r="H371" s="1585"/>
      <c r="I371" s="1585"/>
      <c r="J371" s="1585"/>
      <c r="K371" s="1585"/>
      <c r="L371" s="1585"/>
      <c r="M371" s="1585"/>
      <c r="N371" s="1585"/>
      <c r="O371" s="1585"/>
      <c r="P371" s="1585"/>
      <c r="Q371" s="1585"/>
      <c r="R371" s="1585"/>
      <c r="S371" s="1585"/>
      <c r="T371" s="1585"/>
      <c r="U371" s="1585"/>
      <c r="V371" s="1585"/>
      <c r="W371" s="1585"/>
      <c r="X371" s="1585"/>
      <c r="Y371" s="1585"/>
      <c r="Z371" s="1585"/>
      <c r="AA371" s="1585"/>
      <c r="AB371" s="1585"/>
      <c r="AC371" s="1585"/>
      <c r="AD371" s="1585"/>
      <c r="AE371" s="1585"/>
      <c r="AF371" s="1585"/>
      <c r="AG371" s="1585"/>
      <c r="AH371" s="1585"/>
      <c r="AI371" s="1585"/>
      <c r="AJ371" s="1585"/>
      <c r="AK371" s="1585"/>
      <c r="AL371" s="1585"/>
      <c r="AM371" s="1585"/>
      <c r="AN371" s="1585"/>
      <c r="AO371" s="1585"/>
      <c r="AP371" s="1585"/>
      <c r="AQ371" s="1585"/>
      <c r="AR371" s="1585"/>
      <c r="AS371" s="1585"/>
      <c r="AT371" s="1585"/>
      <c r="AU371" s="1585"/>
      <c r="AV371" s="1585"/>
      <c r="AW371" s="1585"/>
      <c r="AX371" s="1585"/>
      <c r="AY371" s="1585"/>
      <c r="AZ371" s="1585"/>
      <c r="BA371" s="1585"/>
      <c r="BB371" s="1585"/>
      <c r="BC371" s="1585"/>
      <c r="BD371" s="1585"/>
      <c r="BE371" s="1585"/>
      <c r="BF371" s="1585"/>
      <c r="BG371" s="1585"/>
      <c r="BH371" s="1585"/>
      <c r="BI371" s="1585"/>
      <c r="BJ371" s="1585"/>
      <c r="BK371" s="1585"/>
      <c r="BL371" s="1585"/>
      <c r="BM371" s="1585"/>
      <c r="BN371" s="1585"/>
      <c r="BO371" s="1585"/>
      <c r="BP371" s="1585"/>
      <c r="BQ371" s="1585"/>
      <c r="BR371" s="1585"/>
      <c r="BS371" s="1585"/>
      <c r="BT371" s="1585"/>
      <c r="BU371" s="1585"/>
      <c r="BV371" s="1585"/>
      <c r="BW371" s="1585"/>
      <c r="BX371" s="1585"/>
      <c r="BY371" s="1585"/>
      <c r="BZ371" s="1585"/>
      <c r="CA371" s="1585"/>
      <c r="CB371" s="1585"/>
      <c r="CC371" s="1585"/>
      <c r="CD371" s="1585"/>
      <c r="CE371" s="1585"/>
      <c r="CF371" s="1585"/>
      <c r="CG371" s="1585"/>
      <c r="CH371" s="1585"/>
      <c r="CI371" s="1585"/>
      <c r="CJ371" s="1585"/>
      <c r="CK371" s="1585"/>
      <c r="CL371" s="1585"/>
      <c r="CM371" s="1585"/>
      <c r="CN371" s="1585"/>
      <c r="CO371" s="1585"/>
      <c r="CP371" s="1585"/>
      <c r="CQ371" s="1585"/>
      <c r="CR371" s="1585"/>
      <c r="CS371" s="1585"/>
      <c r="CT371" s="1585"/>
      <c r="CU371" s="1585"/>
      <c r="CV371" s="1585"/>
      <c r="CW371" s="1585"/>
      <c r="CX371" s="1585"/>
      <c r="CY371" s="1585"/>
      <c r="CZ371" s="1585"/>
    </row>
    <row r="372" spans="1:104">
      <c r="A372" s="1466"/>
      <c r="B372" s="1583"/>
      <c r="C372" s="1583"/>
      <c r="D372" s="1583"/>
      <c r="E372" s="1585"/>
      <c r="F372" s="1585"/>
      <c r="G372" s="1585"/>
      <c r="H372" s="1585"/>
      <c r="I372" s="1585"/>
      <c r="J372" s="1585"/>
      <c r="K372" s="1585"/>
      <c r="L372" s="1585"/>
      <c r="M372" s="1585"/>
      <c r="N372" s="1585"/>
      <c r="O372" s="1585"/>
      <c r="P372" s="1585"/>
      <c r="Q372" s="1585"/>
      <c r="R372" s="1585"/>
      <c r="S372" s="1585"/>
      <c r="T372" s="1585"/>
      <c r="U372" s="1585"/>
      <c r="V372" s="1585"/>
      <c r="W372" s="1585"/>
      <c r="X372" s="1585"/>
      <c r="Y372" s="1585"/>
      <c r="Z372" s="1585"/>
      <c r="AA372" s="1585"/>
      <c r="AB372" s="1585"/>
      <c r="AC372" s="1585"/>
      <c r="AD372" s="1585"/>
      <c r="AE372" s="1585"/>
      <c r="AF372" s="1585"/>
      <c r="AG372" s="1585"/>
      <c r="AH372" s="1585"/>
      <c r="AI372" s="1585"/>
      <c r="AJ372" s="1585"/>
      <c r="AK372" s="1585"/>
      <c r="AL372" s="1585"/>
      <c r="AM372" s="1585"/>
      <c r="AN372" s="1585"/>
      <c r="AO372" s="1585"/>
      <c r="AP372" s="1585"/>
      <c r="AQ372" s="1585"/>
      <c r="AR372" s="1585"/>
      <c r="AS372" s="1585"/>
      <c r="AT372" s="1585"/>
      <c r="AU372" s="1585"/>
      <c r="AV372" s="1585"/>
      <c r="AW372" s="1585"/>
      <c r="AX372" s="1585"/>
      <c r="AY372" s="1585"/>
      <c r="AZ372" s="1585"/>
      <c r="BA372" s="1585"/>
      <c r="BB372" s="1585"/>
      <c r="BC372" s="1585"/>
      <c r="BD372" s="1585"/>
      <c r="BE372" s="1585"/>
      <c r="BF372" s="1585"/>
      <c r="BG372" s="1585"/>
      <c r="BH372" s="1585"/>
      <c r="BI372" s="1585"/>
      <c r="BJ372" s="1585"/>
      <c r="BK372" s="1585"/>
      <c r="BL372" s="1585"/>
      <c r="BM372" s="1585"/>
      <c r="BN372" s="1585"/>
      <c r="BO372" s="1585"/>
      <c r="BP372" s="1585"/>
      <c r="BQ372" s="1585"/>
      <c r="BR372" s="1585"/>
      <c r="BS372" s="1585"/>
      <c r="BT372" s="1585"/>
      <c r="BU372" s="1585"/>
      <c r="BV372" s="1585"/>
      <c r="BW372" s="1585"/>
      <c r="BX372" s="1585"/>
      <c r="BY372" s="1585"/>
      <c r="BZ372" s="1585"/>
      <c r="CA372" s="1585"/>
      <c r="CB372" s="1585"/>
      <c r="CC372" s="1585"/>
      <c r="CD372" s="1585"/>
      <c r="CE372" s="1585"/>
      <c r="CF372" s="1585"/>
      <c r="CG372" s="1585"/>
      <c r="CH372" s="1585"/>
      <c r="CI372" s="1585"/>
      <c r="CJ372" s="1585"/>
      <c r="CK372" s="1585"/>
      <c r="CL372" s="1585"/>
      <c r="CM372" s="1585"/>
      <c r="CN372" s="1585"/>
      <c r="CO372" s="1585"/>
      <c r="CP372" s="1585"/>
      <c r="CQ372" s="1585"/>
      <c r="CR372" s="1585"/>
      <c r="CS372" s="1585"/>
      <c r="CT372" s="1585"/>
      <c r="CU372" s="1585"/>
      <c r="CV372" s="1585"/>
      <c r="CW372" s="1585"/>
      <c r="CX372" s="1585"/>
      <c r="CY372" s="1585"/>
      <c r="CZ372" s="1585"/>
    </row>
    <row r="373" spans="1:104">
      <c r="A373" s="1466"/>
      <c r="B373" s="1583"/>
      <c r="C373" s="1583"/>
      <c r="D373" s="1583"/>
      <c r="E373" s="1585"/>
      <c r="F373" s="1585"/>
      <c r="G373" s="1585"/>
      <c r="H373" s="1585"/>
      <c r="I373" s="1585"/>
      <c r="J373" s="1585"/>
      <c r="K373" s="1585"/>
      <c r="L373" s="1585"/>
      <c r="M373" s="1585"/>
      <c r="N373" s="1585"/>
      <c r="O373" s="1585"/>
      <c r="P373" s="1585"/>
      <c r="Q373" s="1585"/>
      <c r="R373" s="1585"/>
      <c r="S373" s="1585"/>
      <c r="T373" s="1585"/>
      <c r="U373" s="1585"/>
      <c r="V373" s="1585"/>
      <c r="W373" s="1585"/>
      <c r="X373" s="1585"/>
      <c r="Y373" s="1585"/>
      <c r="Z373" s="1585"/>
      <c r="AA373" s="1585"/>
      <c r="AB373" s="1585"/>
      <c r="AC373" s="1585"/>
      <c r="AD373" s="1585"/>
      <c r="AE373" s="1585"/>
      <c r="AF373" s="1585"/>
      <c r="AG373" s="1585"/>
      <c r="AH373" s="1585"/>
      <c r="AI373" s="1585"/>
      <c r="AJ373" s="1585"/>
      <c r="AK373" s="1585"/>
      <c r="AL373" s="1585"/>
      <c r="AM373" s="1585"/>
      <c r="AN373" s="1585"/>
      <c r="AO373" s="1585"/>
      <c r="AP373" s="1585"/>
      <c r="AQ373" s="1585"/>
      <c r="AR373" s="1585"/>
      <c r="AS373" s="1585"/>
      <c r="AT373" s="1585"/>
      <c r="AU373" s="1585"/>
      <c r="AV373" s="1585"/>
      <c r="AW373" s="1585"/>
      <c r="AX373" s="1585"/>
      <c r="AY373" s="1585"/>
      <c r="AZ373" s="1585"/>
      <c r="BA373" s="1585"/>
      <c r="BB373" s="1585"/>
      <c r="BC373" s="1585"/>
      <c r="BD373" s="1585"/>
      <c r="BE373" s="1585"/>
      <c r="BF373" s="1585"/>
      <c r="BG373" s="1585"/>
      <c r="BH373" s="1585"/>
      <c r="BI373" s="1585"/>
      <c r="BJ373" s="1585"/>
      <c r="BK373" s="1585"/>
      <c r="BL373" s="1585"/>
      <c r="BM373" s="1585"/>
      <c r="BN373" s="1585"/>
      <c r="BO373" s="1585"/>
      <c r="BP373" s="1585"/>
      <c r="BQ373" s="1585"/>
      <c r="BR373" s="1585"/>
      <c r="BS373" s="1585"/>
      <c r="BT373" s="1585"/>
      <c r="BU373" s="1585"/>
      <c r="BV373" s="1585"/>
      <c r="BW373" s="1585"/>
      <c r="BX373" s="1585"/>
      <c r="BY373" s="1585"/>
      <c r="BZ373" s="1585"/>
      <c r="CA373" s="1585"/>
      <c r="CB373" s="1585"/>
      <c r="CC373" s="1585"/>
      <c r="CD373" s="1585"/>
      <c r="CE373" s="1585"/>
      <c r="CF373" s="1585"/>
      <c r="CG373" s="1585"/>
      <c r="CH373" s="1585"/>
      <c r="CI373" s="1585"/>
      <c r="CJ373" s="1585"/>
      <c r="CK373" s="1585"/>
      <c r="CL373" s="1585"/>
      <c r="CM373" s="1585"/>
      <c r="CN373" s="1585"/>
      <c r="CO373" s="1585"/>
      <c r="CP373" s="1585"/>
      <c r="CQ373" s="1585"/>
      <c r="CR373" s="1585"/>
      <c r="CS373" s="1585"/>
      <c r="CT373" s="1585"/>
      <c r="CU373" s="1585"/>
      <c r="CV373" s="1585"/>
      <c r="CW373" s="1585"/>
      <c r="CX373" s="1585"/>
      <c r="CY373" s="1585"/>
      <c r="CZ373" s="1585"/>
    </row>
    <row r="374" spans="1:104">
      <c r="A374" s="1466"/>
      <c r="B374" s="1583"/>
      <c r="C374" s="1583"/>
      <c r="D374" s="1583"/>
      <c r="E374" s="1585"/>
      <c r="F374" s="1585"/>
      <c r="G374" s="1585"/>
      <c r="H374" s="1585"/>
      <c r="I374" s="1585"/>
      <c r="J374" s="1585"/>
      <c r="K374" s="1585"/>
      <c r="L374" s="1585"/>
      <c r="M374" s="1585"/>
      <c r="N374" s="1585"/>
      <c r="O374" s="1585"/>
      <c r="P374" s="1585"/>
      <c r="Q374" s="1585"/>
      <c r="R374" s="1585"/>
      <c r="S374" s="1585"/>
      <c r="T374" s="1585"/>
      <c r="U374" s="1585"/>
      <c r="V374" s="1585"/>
      <c r="W374" s="1585"/>
      <c r="X374" s="1585"/>
      <c r="Y374" s="1585"/>
      <c r="Z374" s="1585"/>
      <c r="AA374" s="1585"/>
      <c r="AB374" s="1585"/>
      <c r="AC374" s="1585"/>
      <c r="AD374" s="1585"/>
      <c r="AE374" s="1585"/>
      <c r="AF374" s="1585"/>
      <c r="AG374" s="1585"/>
      <c r="AH374" s="1585"/>
      <c r="AI374" s="1585"/>
      <c r="AJ374" s="1585"/>
      <c r="AK374" s="1585"/>
      <c r="AL374" s="1585"/>
      <c r="AM374" s="1585"/>
      <c r="AN374" s="1585"/>
      <c r="AO374" s="1585"/>
      <c r="AP374" s="1585"/>
      <c r="AQ374" s="1585"/>
      <c r="AR374" s="1585"/>
      <c r="AS374" s="1585"/>
      <c r="AT374" s="1585"/>
      <c r="AU374" s="1585"/>
      <c r="AV374" s="1585"/>
      <c r="AW374" s="1585"/>
      <c r="AX374" s="1585"/>
      <c r="AY374" s="1585"/>
      <c r="AZ374" s="1585"/>
      <c r="BA374" s="1585"/>
      <c r="BB374" s="1585"/>
      <c r="BC374" s="1585"/>
      <c r="BD374" s="1585"/>
      <c r="BE374" s="1585"/>
      <c r="BF374" s="1585"/>
      <c r="BG374" s="1585"/>
      <c r="BH374" s="1585"/>
      <c r="BI374" s="1585"/>
      <c r="BJ374" s="1585"/>
      <c r="BK374" s="1585"/>
      <c r="BL374" s="1585"/>
      <c r="BM374" s="1585"/>
      <c r="BN374" s="1585"/>
      <c r="BO374" s="1585"/>
      <c r="BP374" s="1585"/>
      <c r="BQ374" s="1585"/>
      <c r="BR374" s="1585"/>
      <c r="BS374" s="1585"/>
      <c r="BT374" s="1585"/>
      <c r="BU374" s="1585"/>
      <c r="BV374" s="1585"/>
      <c r="BW374" s="1585"/>
      <c r="BX374" s="1585"/>
      <c r="BY374" s="1585"/>
      <c r="BZ374" s="1585"/>
      <c r="CA374" s="1585"/>
      <c r="CB374" s="1585"/>
      <c r="CC374" s="1585"/>
      <c r="CD374" s="1585"/>
      <c r="CE374" s="1585"/>
      <c r="CF374" s="1585"/>
      <c r="CG374" s="1585"/>
      <c r="CH374" s="1585"/>
      <c r="CI374" s="1585"/>
      <c r="CJ374" s="1585"/>
      <c r="CK374" s="1585"/>
      <c r="CL374" s="1585"/>
      <c r="CM374" s="1585"/>
      <c r="CN374" s="1585"/>
      <c r="CO374" s="1585"/>
      <c r="CP374" s="1585"/>
      <c r="CQ374" s="1585"/>
      <c r="CR374" s="1585"/>
      <c r="CS374" s="1585"/>
      <c r="CT374" s="1585"/>
      <c r="CU374" s="1585"/>
      <c r="CV374" s="1585"/>
      <c r="CW374" s="1585"/>
      <c r="CX374" s="1585"/>
      <c r="CY374" s="1585"/>
      <c r="CZ374" s="1585"/>
    </row>
    <row r="375" spans="1:104">
      <c r="A375" s="1466"/>
      <c r="B375" s="1583"/>
      <c r="C375" s="1583"/>
      <c r="D375" s="1583"/>
      <c r="E375" s="1585"/>
      <c r="F375" s="1585"/>
      <c r="G375" s="1585"/>
      <c r="H375" s="1585"/>
      <c r="I375" s="1585"/>
      <c r="J375" s="1585"/>
      <c r="K375" s="1585"/>
      <c r="L375" s="1585"/>
      <c r="M375" s="1585"/>
      <c r="N375" s="1585"/>
      <c r="O375" s="1585"/>
      <c r="P375" s="1585"/>
      <c r="Q375" s="1585"/>
      <c r="R375" s="1585"/>
      <c r="S375" s="1585"/>
      <c r="T375" s="1585"/>
      <c r="U375" s="1585"/>
      <c r="V375" s="1585"/>
      <c r="W375" s="1585"/>
      <c r="X375" s="1585"/>
      <c r="Y375" s="1585"/>
      <c r="Z375" s="1585"/>
      <c r="AA375" s="1585"/>
      <c r="AB375" s="1585"/>
      <c r="AC375" s="1585"/>
      <c r="AD375" s="1585"/>
      <c r="AE375" s="1585"/>
      <c r="AF375" s="1585"/>
      <c r="AG375" s="1585"/>
      <c r="AH375" s="1585"/>
      <c r="AI375" s="1585"/>
      <c r="AJ375" s="1585"/>
      <c r="AK375" s="1585"/>
      <c r="AL375" s="1585"/>
      <c r="AM375" s="1585"/>
      <c r="AN375" s="1585"/>
      <c r="AO375" s="1585"/>
      <c r="AP375" s="1585"/>
      <c r="AQ375" s="1585"/>
      <c r="AR375" s="1585"/>
      <c r="AS375" s="1585"/>
      <c r="AT375" s="1585"/>
      <c r="AU375" s="1585"/>
      <c r="AV375" s="1585"/>
      <c r="AW375" s="1585"/>
      <c r="AX375" s="1585"/>
      <c r="AY375" s="1585"/>
      <c r="AZ375" s="1585"/>
      <c r="BA375" s="1585"/>
      <c r="BB375" s="1585"/>
      <c r="BC375" s="1585"/>
      <c r="BD375" s="1585"/>
      <c r="BE375" s="1585"/>
      <c r="BF375" s="1585"/>
      <c r="BG375" s="1585"/>
      <c r="BH375" s="1585"/>
      <c r="BI375" s="1585"/>
      <c r="BJ375" s="1585"/>
      <c r="BK375" s="1585"/>
      <c r="BL375" s="1585"/>
      <c r="BM375" s="1585"/>
      <c r="BN375" s="1585"/>
      <c r="BO375" s="1585"/>
      <c r="BP375" s="1585"/>
      <c r="BQ375" s="1585"/>
      <c r="BR375" s="1585"/>
      <c r="BS375" s="1585"/>
      <c r="BT375" s="1585"/>
      <c r="BU375" s="1585"/>
      <c r="BV375" s="1585"/>
      <c r="BW375" s="1585"/>
      <c r="BX375" s="1585"/>
      <c r="BY375" s="1585"/>
      <c r="BZ375" s="1585"/>
      <c r="CA375" s="1585"/>
      <c r="CB375" s="1585"/>
      <c r="CC375" s="1585"/>
      <c r="CD375" s="1585"/>
      <c r="CE375" s="1585"/>
      <c r="CF375" s="1585"/>
      <c r="CG375" s="1585"/>
      <c r="CH375" s="1585"/>
      <c r="CI375" s="1585"/>
      <c r="CJ375" s="1585"/>
      <c r="CK375" s="1585"/>
      <c r="CL375" s="1585"/>
      <c r="CM375" s="1585"/>
      <c r="CN375" s="1585"/>
      <c r="CO375" s="1585"/>
      <c r="CP375" s="1585"/>
      <c r="CQ375" s="1585"/>
      <c r="CR375" s="1585"/>
      <c r="CS375" s="1585"/>
      <c r="CT375" s="1585"/>
      <c r="CU375" s="1585"/>
      <c r="CV375" s="1585"/>
      <c r="CW375" s="1585"/>
      <c r="CX375" s="1585"/>
      <c r="CY375" s="1585"/>
      <c r="CZ375" s="1585"/>
    </row>
    <row r="376" spans="1:104">
      <c r="A376" s="1466"/>
      <c r="B376" s="1583"/>
      <c r="C376" s="1583"/>
      <c r="D376" s="1583"/>
      <c r="E376" s="1585"/>
      <c r="F376" s="1585"/>
      <c r="G376" s="1585"/>
      <c r="H376" s="1585"/>
      <c r="I376" s="1585"/>
      <c r="J376" s="1585"/>
      <c r="K376" s="1585"/>
      <c r="L376" s="1585"/>
      <c r="M376" s="1585"/>
      <c r="N376" s="1585"/>
      <c r="O376" s="1585"/>
      <c r="P376" s="1585"/>
      <c r="Q376" s="1585"/>
      <c r="R376" s="1585"/>
      <c r="S376" s="1585"/>
      <c r="T376" s="1585"/>
      <c r="U376" s="1585"/>
      <c r="V376" s="1585"/>
      <c r="W376" s="1585"/>
      <c r="X376" s="1585"/>
      <c r="Y376" s="1585"/>
      <c r="Z376" s="1585"/>
      <c r="AA376" s="1585"/>
      <c r="AB376" s="1585"/>
      <c r="AC376" s="1585"/>
      <c r="AD376" s="1585"/>
      <c r="AE376" s="1585"/>
      <c r="AF376" s="1585"/>
      <c r="AG376" s="1585"/>
      <c r="AH376" s="1585"/>
      <c r="AI376" s="1585"/>
      <c r="AJ376" s="1585"/>
      <c r="AK376" s="1585"/>
      <c r="AL376" s="1585"/>
      <c r="AM376" s="1585"/>
      <c r="AN376" s="1585"/>
      <c r="AO376" s="1585"/>
      <c r="AP376" s="1585"/>
      <c r="AQ376" s="1585"/>
      <c r="AR376" s="1585"/>
      <c r="AS376" s="1585"/>
      <c r="AT376" s="1585"/>
      <c r="AU376" s="1585"/>
      <c r="AV376" s="1585"/>
      <c r="AW376" s="1585"/>
      <c r="AX376" s="1585"/>
      <c r="AY376" s="1585"/>
      <c r="AZ376" s="1585"/>
      <c r="BA376" s="1585"/>
      <c r="BB376" s="1585"/>
      <c r="BC376" s="1585"/>
      <c r="BD376" s="1585"/>
      <c r="BE376" s="1585"/>
      <c r="BF376" s="1585"/>
      <c r="BG376" s="1585"/>
      <c r="BH376" s="1585"/>
      <c r="BI376" s="1585"/>
      <c r="BJ376" s="1585"/>
      <c r="BK376" s="1585"/>
      <c r="BL376" s="1585"/>
      <c r="BM376" s="1585"/>
      <c r="BN376" s="1585"/>
      <c r="BO376" s="1585"/>
      <c r="BP376" s="1585"/>
      <c r="BQ376" s="1585"/>
      <c r="BR376" s="1585"/>
      <c r="BS376" s="1585"/>
      <c r="BT376" s="1585"/>
      <c r="BU376" s="1585"/>
      <c r="BV376" s="1585"/>
      <c r="BW376" s="1585"/>
      <c r="BX376" s="1585"/>
      <c r="BY376" s="1585"/>
      <c r="BZ376" s="1585"/>
      <c r="CA376" s="1585"/>
      <c r="CB376" s="1585"/>
      <c r="CC376" s="1585"/>
      <c r="CD376" s="1585"/>
      <c r="CE376" s="1585"/>
      <c r="CF376" s="1585"/>
      <c r="CG376" s="1585"/>
      <c r="CH376" s="1585"/>
      <c r="CI376" s="1585"/>
      <c r="CJ376" s="1585"/>
      <c r="CK376" s="1585"/>
      <c r="CL376" s="1585"/>
      <c r="CM376" s="1585"/>
      <c r="CN376" s="1585"/>
      <c r="CO376" s="1585"/>
      <c r="CP376" s="1585"/>
      <c r="CQ376" s="1585"/>
      <c r="CR376" s="1585"/>
      <c r="CS376" s="1585"/>
      <c r="CT376" s="1585"/>
      <c r="CU376" s="1585"/>
      <c r="CV376" s="1585"/>
      <c r="CW376" s="1585"/>
      <c r="CX376" s="1585"/>
      <c r="CY376" s="1585"/>
      <c r="CZ376" s="1585"/>
    </row>
    <row r="377" spans="1:104">
      <c r="A377" s="1466"/>
      <c r="B377" s="1583"/>
      <c r="C377" s="1583"/>
      <c r="D377" s="1583"/>
      <c r="E377" s="1585"/>
      <c r="F377" s="1585"/>
      <c r="G377" s="1585"/>
      <c r="H377" s="1585"/>
      <c r="I377" s="1585"/>
      <c r="J377" s="1585"/>
      <c r="K377" s="1585"/>
      <c r="L377" s="1585"/>
      <c r="M377" s="1585"/>
      <c r="N377" s="1585"/>
      <c r="O377" s="1585"/>
      <c r="P377" s="1585"/>
      <c r="Q377" s="1585"/>
      <c r="R377" s="1585"/>
      <c r="S377" s="1585"/>
      <c r="T377" s="1585"/>
      <c r="U377" s="1585"/>
      <c r="V377" s="1585"/>
      <c r="W377" s="1585"/>
      <c r="X377" s="1585"/>
      <c r="Y377" s="1585"/>
      <c r="Z377" s="1585"/>
      <c r="AA377" s="1585"/>
      <c r="AB377" s="1585"/>
      <c r="AC377" s="1585"/>
      <c r="AD377" s="1585"/>
      <c r="AE377" s="1585"/>
      <c r="AF377" s="1585"/>
      <c r="AG377" s="1585"/>
      <c r="AH377" s="1585"/>
      <c r="AI377" s="1585"/>
      <c r="AJ377" s="1585"/>
      <c r="AK377" s="1585"/>
      <c r="AL377" s="1585"/>
      <c r="AM377" s="1585"/>
      <c r="AN377" s="1585"/>
      <c r="AO377" s="1585"/>
      <c r="AP377" s="1585"/>
      <c r="AQ377" s="1585"/>
      <c r="AR377" s="1585"/>
      <c r="AS377" s="1585"/>
      <c r="AT377" s="1585"/>
      <c r="AU377" s="1585"/>
      <c r="AV377" s="1585"/>
      <c r="AW377" s="1585"/>
      <c r="AX377" s="1585"/>
      <c r="AY377" s="1585"/>
      <c r="AZ377" s="1585"/>
      <c r="BA377" s="1585"/>
      <c r="BB377" s="1585"/>
      <c r="BC377" s="1585"/>
      <c r="BD377" s="1585"/>
      <c r="BE377" s="1585"/>
      <c r="BF377" s="1585"/>
      <c r="BG377" s="1585"/>
      <c r="BH377" s="1585"/>
      <c r="BI377" s="1585"/>
      <c r="BJ377" s="1585"/>
      <c r="BK377" s="1585"/>
      <c r="BL377" s="1585"/>
      <c r="BM377" s="1585"/>
      <c r="BN377" s="1585"/>
      <c r="BO377" s="1585"/>
      <c r="BP377" s="1585"/>
      <c r="BQ377" s="1585"/>
      <c r="BR377" s="1585"/>
      <c r="BS377" s="1585"/>
      <c r="BT377" s="1585"/>
      <c r="BU377" s="1585"/>
      <c r="BV377" s="1585"/>
      <c r="BW377" s="1585"/>
      <c r="BX377" s="1585"/>
      <c r="BY377" s="1585"/>
      <c r="BZ377" s="1585"/>
      <c r="CA377" s="1585"/>
      <c r="CB377" s="1585"/>
      <c r="CC377" s="1585"/>
      <c r="CD377" s="1585"/>
      <c r="CE377" s="1585"/>
      <c r="CF377" s="1585"/>
      <c r="CG377" s="1585"/>
      <c r="CH377" s="1585"/>
      <c r="CI377" s="1585"/>
      <c r="CJ377" s="1585"/>
      <c r="CK377" s="1585"/>
      <c r="CL377" s="1585"/>
      <c r="CM377" s="1585"/>
      <c r="CN377" s="1585"/>
      <c r="CO377" s="1585"/>
      <c r="CP377" s="1585"/>
      <c r="CQ377" s="1585"/>
      <c r="CR377" s="1585"/>
      <c r="CS377" s="1585"/>
      <c r="CT377" s="1585"/>
      <c r="CU377" s="1585"/>
      <c r="CV377" s="1585"/>
      <c r="CW377" s="1585"/>
      <c r="CX377" s="1585"/>
      <c r="CY377" s="1585"/>
      <c r="CZ377" s="1585"/>
    </row>
    <row r="378" spans="1:104">
      <c r="A378" s="1466"/>
      <c r="B378" s="1583"/>
      <c r="C378" s="1583"/>
      <c r="D378" s="1583"/>
      <c r="E378" s="1585"/>
      <c r="F378" s="1585"/>
      <c r="G378" s="1585"/>
      <c r="H378" s="1585"/>
      <c r="I378" s="1585"/>
      <c r="J378" s="1585"/>
      <c r="K378" s="1585"/>
      <c r="L378" s="1585"/>
      <c r="M378" s="1585"/>
      <c r="N378" s="1585"/>
      <c r="O378" s="1585"/>
      <c r="P378" s="1585"/>
      <c r="Q378" s="1585"/>
      <c r="R378" s="1585"/>
      <c r="S378" s="1585"/>
      <c r="T378" s="1585"/>
      <c r="U378" s="1585"/>
      <c r="V378" s="1585"/>
      <c r="W378" s="1585"/>
      <c r="X378" s="1585"/>
      <c r="Y378" s="1585"/>
      <c r="Z378" s="1585"/>
      <c r="AA378" s="1585"/>
      <c r="AB378" s="1585"/>
      <c r="AC378" s="1585"/>
      <c r="AD378" s="1585"/>
      <c r="AE378" s="1585"/>
      <c r="AF378" s="1585"/>
      <c r="AG378" s="1585"/>
      <c r="AH378" s="1585"/>
      <c r="AI378" s="1585"/>
      <c r="AJ378" s="1585"/>
      <c r="AK378" s="1585"/>
      <c r="AL378" s="1585"/>
      <c r="AM378" s="1585"/>
      <c r="AN378" s="1585"/>
      <c r="AO378" s="1585"/>
      <c r="AP378" s="1585"/>
      <c r="AQ378" s="1585"/>
      <c r="AR378" s="1585"/>
      <c r="AS378" s="1585"/>
      <c r="AT378" s="1585"/>
      <c r="AU378" s="1585"/>
      <c r="AV378" s="1585"/>
      <c r="AW378" s="1585"/>
      <c r="AX378" s="1585"/>
      <c r="AY378" s="1585"/>
      <c r="AZ378" s="1585"/>
      <c r="BA378" s="1585"/>
      <c r="BB378" s="1585"/>
      <c r="BC378" s="1585"/>
      <c r="BD378" s="1585"/>
      <c r="BE378" s="1585"/>
      <c r="BF378" s="1585"/>
      <c r="BG378" s="1585"/>
      <c r="BH378" s="1585"/>
      <c r="BI378" s="1585"/>
      <c r="BJ378" s="1585"/>
      <c r="BK378" s="1585"/>
      <c r="BL378" s="1585"/>
      <c r="BM378" s="1585"/>
      <c r="BN378" s="1585"/>
      <c r="BO378" s="1585"/>
      <c r="BP378" s="1585"/>
      <c r="BQ378" s="1585"/>
      <c r="BR378" s="1585"/>
      <c r="BS378" s="1585"/>
      <c r="BT378" s="1585"/>
      <c r="BU378" s="1585"/>
      <c r="BV378" s="1585"/>
      <c r="BW378" s="1585"/>
      <c r="BX378" s="1585"/>
      <c r="BY378" s="1585"/>
      <c r="BZ378" s="1585"/>
      <c r="CA378" s="1585"/>
      <c r="CB378" s="1585"/>
      <c r="CC378" s="1585"/>
      <c r="CD378" s="1585"/>
      <c r="CE378" s="1585"/>
      <c r="CF378" s="1585"/>
      <c r="CG378" s="1585"/>
      <c r="CH378" s="1585"/>
      <c r="CI378" s="1585"/>
      <c r="CJ378" s="1585"/>
      <c r="CK378" s="1585"/>
      <c r="CL378" s="1585"/>
      <c r="CM378" s="1585"/>
      <c r="CN378" s="1585"/>
      <c r="CO378" s="1585"/>
      <c r="CP378" s="1585"/>
      <c r="CQ378" s="1585"/>
      <c r="CR378" s="1585"/>
      <c r="CS378" s="1585"/>
      <c r="CT378" s="1585"/>
      <c r="CU378" s="1585"/>
      <c r="CV378" s="1585"/>
      <c r="CW378" s="1585"/>
      <c r="CX378" s="1585"/>
      <c r="CY378" s="1585"/>
      <c r="CZ378" s="1585"/>
    </row>
    <row r="379" spans="1:104">
      <c r="A379" s="1466"/>
      <c r="B379" s="1583"/>
      <c r="C379" s="1583"/>
      <c r="D379" s="1583"/>
      <c r="E379" s="1585"/>
      <c r="F379" s="1585"/>
      <c r="G379" s="1585"/>
      <c r="H379" s="1585"/>
      <c r="I379" s="1585"/>
      <c r="J379" s="1585"/>
      <c r="K379" s="1585"/>
      <c r="L379" s="1585"/>
      <c r="M379" s="1585"/>
      <c r="N379" s="1585"/>
      <c r="O379" s="1585"/>
      <c r="P379" s="1585"/>
      <c r="Q379" s="1585"/>
      <c r="R379" s="1585"/>
      <c r="S379" s="1585"/>
      <c r="T379" s="1585"/>
      <c r="U379" s="1585"/>
      <c r="V379" s="1585"/>
      <c r="W379" s="1585"/>
      <c r="X379" s="1585"/>
      <c r="Y379" s="1585"/>
      <c r="Z379" s="1585"/>
      <c r="AA379" s="1585"/>
      <c r="AB379" s="1585"/>
      <c r="AC379" s="1585"/>
      <c r="AD379" s="1585"/>
      <c r="AE379" s="1585"/>
      <c r="AF379" s="1585"/>
      <c r="AG379" s="1585"/>
      <c r="AH379" s="1585"/>
      <c r="AI379" s="1585"/>
      <c r="AJ379" s="1585"/>
      <c r="AK379" s="1585"/>
      <c r="AL379" s="1585"/>
      <c r="AM379" s="1585"/>
      <c r="AN379" s="1585"/>
      <c r="AO379" s="1585"/>
      <c r="AP379" s="1585"/>
      <c r="AQ379" s="1585"/>
      <c r="AR379" s="1585"/>
      <c r="AS379" s="1585"/>
      <c r="AT379" s="1585"/>
      <c r="AU379" s="1585"/>
      <c r="AV379" s="1585"/>
      <c r="AW379" s="1585"/>
      <c r="AX379" s="1585"/>
      <c r="AY379" s="1585"/>
      <c r="AZ379" s="1585"/>
      <c r="BA379" s="1585"/>
      <c r="BB379" s="1585"/>
      <c r="BC379" s="1585"/>
      <c r="BD379" s="1585"/>
      <c r="BE379" s="1585"/>
      <c r="BF379" s="1585"/>
      <c r="BG379" s="1585"/>
      <c r="BH379" s="1585"/>
      <c r="BI379" s="1585"/>
      <c r="BJ379" s="1585"/>
      <c r="BK379" s="1585"/>
      <c r="BL379" s="1585"/>
      <c r="BM379" s="1585"/>
      <c r="BN379" s="1585"/>
      <c r="BO379" s="1585"/>
      <c r="BP379" s="1585"/>
      <c r="BQ379" s="1585"/>
      <c r="BR379" s="1585"/>
      <c r="BS379" s="1585"/>
      <c r="BT379" s="1585"/>
      <c r="BU379" s="1585"/>
      <c r="BV379" s="1585"/>
      <c r="BW379" s="1585"/>
      <c r="BX379" s="1585"/>
      <c r="BY379" s="1585"/>
      <c r="BZ379" s="1585"/>
      <c r="CA379" s="1585"/>
      <c r="CB379" s="1585"/>
      <c r="CC379" s="1585"/>
      <c r="CD379" s="1585"/>
      <c r="CE379" s="1585"/>
      <c r="CF379" s="1585"/>
      <c r="CG379" s="1585"/>
      <c r="CH379" s="1585"/>
      <c r="CI379" s="1585"/>
      <c r="CJ379" s="1585"/>
      <c r="CK379" s="1585"/>
      <c r="CL379" s="1585"/>
      <c r="CM379" s="1585"/>
      <c r="CN379" s="1585"/>
      <c r="CO379" s="1585"/>
      <c r="CP379" s="1585"/>
      <c r="CQ379" s="1585"/>
      <c r="CR379" s="1585"/>
      <c r="CS379" s="1585"/>
      <c r="CT379" s="1585"/>
      <c r="CU379" s="1585"/>
      <c r="CV379" s="1585"/>
      <c r="CW379" s="1585"/>
      <c r="CX379" s="1585"/>
      <c r="CY379" s="1585"/>
      <c r="CZ379" s="1585"/>
    </row>
    <row r="380" spans="1:104">
      <c r="A380" s="1466"/>
      <c r="B380" s="1583"/>
      <c r="C380" s="1583"/>
      <c r="D380" s="1583"/>
      <c r="E380" s="1585"/>
      <c r="F380" s="1585"/>
      <c r="G380" s="1585"/>
      <c r="H380" s="1585"/>
      <c r="I380" s="1585"/>
      <c r="J380" s="1585"/>
      <c r="K380" s="1585"/>
      <c r="L380" s="1585"/>
      <c r="M380" s="1585"/>
      <c r="N380" s="1585"/>
      <c r="O380" s="1585"/>
      <c r="P380" s="1585"/>
      <c r="Q380" s="1585"/>
      <c r="R380" s="1585"/>
      <c r="S380" s="1585"/>
      <c r="T380" s="1585"/>
      <c r="U380" s="1585"/>
      <c r="V380" s="1585"/>
      <c r="W380" s="1585"/>
      <c r="X380" s="1585"/>
      <c r="Y380" s="1585"/>
      <c r="Z380" s="1585"/>
      <c r="AA380" s="1585"/>
      <c r="AB380" s="1585"/>
      <c r="AC380" s="1585"/>
      <c r="AD380" s="1585"/>
      <c r="AE380" s="1585"/>
      <c r="AF380" s="1585"/>
      <c r="AG380" s="1585"/>
      <c r="AH380" s="1585"/>
      <c r="AI380" s="1585"/>
      <c r="AJ380" s="1585"/>
      <c r="AK380" s="1585"/>
      <c r="AL380" s="1585"/>
      <c r="AM380" s="1585"/>
      <c r="AN380" s="1585"/>
      <c r="AO380" s="1585"/>
      <c r="AP380" s="1585"/>
      <c r="AQ380" s="1585"/>
      <c r="AR380" s="1585"/>
      <c r="AS380" s="1585"/>
      <c r="AT380" s="1585"/>
      <c r="AU380" s="1585"/>
      <c r="AV380" s="1585"/>
      <c r="AW380" s="1585"/>
      <c r="AX380" s="1585"/>
      <c r="AY380" s="1585"/>
      <c r="AZ380" s="1585"/>
      <c r="BA380" s="1585"/>
      <c r="BB380" s="1585"/>
      <c r="BC380" s="1585"/>
      <c r="BD380" s="1585"/>
      <c r="BE380" s="1585"/>
      <c r="BF380" s="1585"/>
      <c r="BG380" s="1585"/>
      <c r="BH380" s="1585"/>
      <c r="BI380" s="1585"/>
      <c r="BJ380" s="1585"/>
      <c r="BK380" s="1585"/>
      <c r="BL380" s="1585"/>
      <c r="BM380" s="1585"/>
      <c r="BN380" s="1585"/>
      <c r="BO380" s="1585"/>
      <c r="BP380" s="1585"/>
      <c r="BQ380" s="1585"/>
      <c r="BR380" s="1585"/>
      <c r="BS380" s="1585"/>
      <c r="BT380" s="1585"/>
      <c r="BU380" s="1585"/>
      <c r="BV380" s="1585"/>
      <c r="BW380" s="1585"/>
      <c r="BX380" s="1585"/>
      <c r="BY380" s="1585"/>
      <c r="BZ380" s="1585"/>
      <c r="CA380" s="1585"/>
      <c r="CB380" s="1585"/>
      <c r="CC380" s="1585"/>
      <c r="CD380" s="1585"/>
      <c r="CE380" s="1585"/>
      <c r="CF380" s="1585"/>
      <c r="CG380" s="1585"/>
      <c r="CH380" s="1585"/>
      <c r="CI380" s="1585"/>
      <c r="CJ380" s="1585"/>
      <c r="CK380" s="1585"/>
      <c r="CL380" s="1585"/>
      <c r="CM380" s="1585"/>
      <c r="CN380" s="1585"/>
      <c r="CO380" s="1585"/>
      <c r="CP380" s="1585"/>
      <c r="CQ380" s="1585"/>
      <c r="CR380" s="1585"/>
      <c r="CS380" s="1585"/>
      <c r="CT380" s="1585"/>
      <c r="CU380" s="1585"/>
      <c r="CV380" s="1585"/>
      <c r="CW380" s="1585"/>
      <c r="CX380" s="1585"/>
      <c r="CY380" s="1585"/>
      <c r="CZ380" s="1585"/>
    </row>
    <row r="381" spans="1:104">
      <c r="A381" s="1466"/>
      <c r="B381" s="1583"/>
      <c r="C381" s="1583"/>
      <c r="D381" s="1583"/>
      <c r="E381" s="1585"/>
      <c r="F381" s="1585"/>
      <c r="G381" s="1585"/>
      <c r="H381" s="1585"/>
      <c r="I381" s="1585"/>
      <c r="J381" s="1585"/>
      <c r="K381" s="1585"/>
      <c r="L381" s="1585"/>
      <c r="M381" s="1585"/>
      <c r="N381" s="1585"/>
      <c r="O381" s="1585"/>
      <c r="P381" s="1585"/>
      <c r="Q381" s="1585"/>
      <c r="R381" s="1585"/>
      <c r="S381" s="1585"/>
      <c r="T381" s="1585"/>
      <c r="U381" s="1585"/>
      <c r="V381" s="1585"/>
      <c r="W381" s="1585"/>
      <c r="X381" s="1585"/>
      <c r="Y381" s="1585"/>
      <c r="Z381" s="1585"/>
      <c r="AA381" s="1585"/>
      <c r="AB381" s="1585"/>
      <c r="AC381" s="1585"/>
      <c r="AD381" s="1585"/>
      <c r="AE381" s="1585"/>
      <c r="AF381" s="1585"/>
      <c r="AG381" s="1585"/>
      <c r="AH381" s="1585"/>
      <c r="AI381" s="1585"/>
      <c r="AJ381" s="1585"/>
      <c r="AK381" s="1585"/>
      <c r="AL381" s="1585"/>
      <c r="AM381" s="1585"/>
      <c r="AN381" s="1585"/>
      <c r="AO381" s="1585"/>
      <c r="AP381" s="1585"/>
      <c r="AQ381" s="1585"/>
      <c r="AR381" s="1585"/>
      <c r="AS381" s="1585"/>
      <c r="AT381" s="1585"/>
      <c r="AU381" s="1585"/>
      <c r="AV381" s="1585"/>
      <c r="AW381" s="1585"/>
      <c r="AX381" s="1585"/>
      <c r="AY381" s="1585"/>
      <c r="AZ381" s="1585"/>
      <c r="BA381" s="1585"/>
      <c r="BB381" s="1585"/>
      <c r="BC381" s="1585"/>
      <c r="BD381" s="1585"/>
      <c r="BE381" s="1585"/>
      <c r="BF381" s="1585"/>
      <c r="BG381" s="1585"/>
      <c r="BH381" s="1585"/>
      <c r="BI381" s="1585"/>
      <c r="BJ381" s="1585"/>
      <c r="BK381" s="1585"/>
      <c r="BL381" s="1585"/>
      <c r="BM381" s="1585"/>
      <c r="BN381" s="1585"/>
      <c r="BO381" s="1585"/>
      <c r="BP381" s="1585"/>
      <c r="BQ381" s="1585"/>
      <c r="BR381" s="1585"/>
      <c r="BS381" s="1585"/>
      <c r="BT381" s="1585"/>
      <c r="BU381" s="1585"/>
      <c r="BV381" s="1585"/>
      <c r="BW381" s="1585"/>
      <c r="BX381" s="1585"/>
      <c r="BY381" s="1585"/>
      <c r="BZ381" s="1585"/>
      <c r="CA381" s="1585"/>
      <c r="CB381" s="1585"/>
      <c r="CC381" s="1585"/>
      <c r="CD381" s="1585"/>
      <c r="CE381" s="1585"/>
      <c r="CF381" s="1585"/>
      <c r="CG381" s="1585"/>
      <c r="CH381" s="1585"/>
      <c r="CI381" s="1585"/>
      <c r="CJ381" s="1585"/>
      <c r="CK381" s="1585"/>
      <c r="CL381" s="1585"/>
      <c r="CM381" s="1585"/>
      <c r="CN381" s="1585"/>
      <c r="CO381" s="1585"/>
      <c r="CP381" s="1585"/>
      <c r="CQ381" s="1585"/>
      <c r="CR381" s="1585"/>
      <c r="CS381" s="1585"/>
      <c r="CT381" s="1585"/>
      <c r="CU381" s="1585"/>
      <c r="CV381" s="1585"/>
      <c r="CW381" s="1585"/>
      <c r="CX381" s="1585"/>
      <c r="CY381" s="1585"/>
      <c r="CZ381" s="1585"/>
    </row>
    <row r="382" spans="1:104">
      <c r="A382" s="1466"/>
      <c r="B382" s="1583"/>
      <c r="C382" s="1583"/>
      <c r="D382" s="1583"/>
      <c r="E382" s="1585"/>
      <c r="F382" s="1585"/>
      <c r="G382" s="1585"/>
      <c r="H382" s="1585"/>
      <c r="I382" s="1585"/>
      <c r="J382" s="1585"/>
      <c r="K382" s="1585"/>
      <c r="L382" s="1585"/>
      <c r="M382" s="1585"/>
      <c r="N382" s="1585"/>
      <c r="O382" s="1585"/>
      <c r="P382" s="1585"/>
      <c r="Q382" s="1585"/>
      <c r="R382" s="1585"/>
      <c r="S382" s="1585"/>
      <c r="T382" s="1585"/>
      <c r="U382" s="1585"/>
      <c r="V382" s="1585"/>
      <c r="W382" s="1585"/>
      <c r="X382" s="1585"/>
      <c r="Y382" s="1585"/>
      <c r="Z382" s="1585"/>
      <c r="AA382" s="1585"/>
      <c r="AB382" s="1585"/>
      <c r="AC382" s="1585"/>
      <c r="AD382" s="1585"/>
      <c r="AE382" s="1585"/>
      <c r="AF382" s="1585"/>
      <c r="AG382" s="1585"/>
      <c r="AH382" s="1585"/>
      <c r="AI382" s="1585"/>
      <c r="AJ382" s="1585"/>
      <c r="AK382" s="1585"/>
      <c r="AL382" s="1585"/>
      <c r="AM382" s="1585"/>
      <c r="AN382" s="1585"/>
      <c r="AO382" s="1585"/>
      <c r="AP382" s="1585"/>
      <c r="AQ382" s="1585"/>
      <c r="AR382" s="1585"/>
      <c r="AS382" s="1585"/>
      <c r="AT382" s="1585"/>
      <c r="AU382" s="1585"/>
      <c r="AV382" s="1585"/>
      <c r="AW382" s="1585"/>
      <c r="AX382" s="1585"/>
      <c r="AY382" s="1585"/>
      <c r="AZ382" s="1585"/>
      <c r="BA382" s="1585"/>
      <c r="BB382" s="1585"/>
      <c r="BC382" s="1585"/>
      <c r="BD382" s="1585"/>
      <c r="BE382" s="1585"/>
      <c r="BF382" s="1585"/>
      <c r="BG382" s="1585"/>
      <c r="BH382" s="1585"/>
      <c r="BI382" s="1585"/>
      <c r="BJ382" s="1585"/>
      <c r="BK382" s="1585"/>
      <c r="BL382" s="1585"/>
      <c r="BM382" s="1585"/>
      <c r="BN382" s="1585"/>
      <c r="BO382" s="1585"/>
      <c r="BP382" s="1585"/>
      <c r="BQ382" s="1585"/>
      <c r="BR382" s="1585"/>
      <c r="BS382" s="1585"/>
      <c r="BT382" s="1585"/>
      <c r="BU382" s="1585"/>
      <c r="BV382" s="1585"/>
      <c r="BW382" s="1585"/>
      <c r="BX382" s="1585"/>
      <c r="BY382" s="1585"/>
      <c r="BZ382" s="1585"/>
      <c r="CA382" s="1585"/>
      <c r="CB382" s="1585"/>
      <c r="CC382" s="1585"/>
      <c r="CD382" s="1585"/>
      <c r="CE382" s="1585"/>
      <c r="CF382" s="1585"/>
      <c r="CG382" s="1585"/>
      <c r="CH382" s="1585"/>
      <c r="CI382" s="1585"/>
      <c r="CJ382" s="1585"/>
      <c r="CK382" s="1585"/>
      <c r="CL382" s="1585"/>
      <c r="CM382" s="1585"/>
      <c r="CN382" s="1585"/>
      <c r="CO382" s="1585"/>
      <c r="CP382" s="1585"/>
      <c r="CQ382" s="1585"/>
      <c r="CR382" s="1585"/>
      <c r="CS382" s="1585"/>
      <c r="CT382" s="1585"/>
      <c r="CU382" s="1585"/>
      <c r="CV382" s="1585"/>
      <c r="CW382" s="1585"/>
      <c r="CX382" s="1585"/>
      <c r="CY382" s="1585"/>
      <c r="CZ382" s="1585"/>
    </row>
    <row r="383" spans="1:104">
      <c r="A383" s="1466"/>
      <c r="B383" s="1583"/>
      <c r="C383" s="1583"/>
      <c r="D383" s="1583"/>
      <c r="E383" s="1585"/>
      <c r="F383" s="1585"/>
      <c r="G383" s="1585"/>
      <c r="H383" s="1585"/>
      <c r="I383" s="1585"/>
      <c r="J383" s="1585"/>
      <c r="K383" s="1585"/>
      <c r="L383" s="1585"/>
      <c r="M383" s="1585"/>
      <c r="N383" s="1585"/>
      <c r="O383" s="1585"/>
      <c r="P383" s="1585"/>
      <c r="Q383" s="1585"/>
      <c r="R383" s="1585"/>
      <c r="S383" s="1585"/>
      <c r="T383" s="1585"/>
      <c r="U383" s="1585"/>
      <c r="V383" s="1585"/>
      <c r="W383" s="1585"/>
      <c r="X383" s="1585"/>
      <c r="Y383" s="1585"/>
      <c r="Z383" s="1585"/>
      <c r="AA383" s="1585"/>
      <c r="AB383" s="1585"/>
      <c r="AC383" s="1585"/>
      <c r="AD383" s="1585"/>
      <c r="AE383" s="1585"/>
      <c r="AF383" s="1585"/>
      <c r="AG383" s="1585"/>
      <c r="AH383" s="1585"/>
      <c r="AI383" s="1585"/>
      <c r="AJ383" s="1585"/>
      <c r="AK383" s="1585"/>
      <c r="AL383" s="1585"/>
      <c r="AM383" s="1585"/>
      <c r="AN383" s="1585"/>
      <c r="AO383" s="1585"/>
      <c r="AP383" s="1585"/>
      <c r="AQ383" s="1585"/>
      <c r="AR383" s="1585"/>
      <c r="AS383" s="1585"/>
      <c r="AT383" s="1585"/>
      <c r="AU383" s="1585"/>
      <c r="AV383" s="1585"/>
      <c r="AW383" s="1585"/>
      <c r="AX383" s="1585"/>
      <c r="AY383" s="1585"/>
      <c r="AZ383" s="1585"/>
      <c r="BA383" s="1585"/>
      <c r="BB383" s="1585"/>
      <c r="BC383" s="1585"/>
      <c r="BD383" s="1585"/>
      <c r="BE383" s="1585"/>
      <c r="BF383" s="1585"/>
      <c r="BG383" s="1585"/>
      <c r="BH383" s="1585"/>
      <c r="BI383" s="1585"/>
      <c r="BJ383" s="1585"/>
      <c r="BK383" s="1585"/>
      <c r="BL383" s="1585"/>
      <c r="BM383" s="1585"/>
      <c r="BN383" s="1585"/>
      <c r="BO383" s="1585"/>
      <c r="BP383" s="1585"/>
      <c r="BQ383" s="1585"/>
      <c r="BR383" s="1585"/>
      <c r="BS383" s="1585"/>
      <c r="BT383" s="1585"/>
      <c r="BU383" s="1585"/>
      <c r="BV383" s="1585"/>
      <c r="BW383" s="1585"/>
      <c r="BX383" s="1585"/>
      <c r="BY383" s="1585"/>
      <c r="BZ383" s="1585"/>
      <c r="CA383" s="1585"/>
      <c r="CB383" s="1585"/>
      <c r="CC383" s="1585"/>
      <c r="CD383" s="1585"/>
      <c r="CE383" s="1585"/>
      <c r="CF383" s="1585"/>
      <c r="CG383" s="1585"/>
      <c r="CH383" s="1585"/>
      <c r="CI383" s="1585"/>
      <c r="CJ383" s="1585"/>
      <c r="CK383" s="1585"/>
      <c r="CL383" s="1585"/>
      <c r="CM383" s="1585"/>
      <c r="CN383" s="1585"/>
      <c r="CO383" s="1585"/>
      <c r="CP383" s="1585"/>
      <c r="CQ383" s="1585"/>
      <c r="CR383" s="1585"/>
      <c r="CS383" s="1585"/>
      <c r="CT383" s="1585"/>
      <c r="CU383" s="1585"/>
      <c r="CV383" s="1585"/>
      <c r="CW383" s="1585"/>
      <c r="CX383" s="1585"/>
      <c r="CY383" s="1585"/>
      <c r="CZ383" s="1585"/>
    </row>
    <row r="384" spans="1:104">
      <c r="A384" s="1466"/>
      <c r="B384" s="1583"/>
      <c r="C384" s="1583"/>
      <c r="D384" s="1583"/>
      <c r="E384" s="1585"/>
      <c r="F384" s="1585"/>
      <c r="G384" s="1585"/>
      <c r="H384" s="1585"/>
      <c r="I384" s="1585"/>
      <c r="J384" s="1585"/>
      <c r="K384" s="1585"/>
      <c r="L384" s="1585"/>
      <c r="M384" s="1585"/>
      <c r="N384" s="1585"/>
      <c r="O384" s="1585"/>
      <c r="P384" s="1585"/>
      <c r="Q384" s="1585"/>
      <c r="R384" s="1585"/>
      <c r="S384" s="1585"/>
      <c r="T384" s="1585"/>
      <c r="U384" s="1585"/>
      <c r="V384" s="1585"/>
      <c r="W384" s="1585"/>
      <c r="X384" s="1585"/>
      <c r="Y384" s="1585"/>
      <c r="Z384" s="1585"/>
      <c r="AA384" s="1585"/>
      <c r="AB384" s="1585"/>
      <c r="AC384" s="1585"/>
      <c r="AD384" s="1585"/>
      <c r="AE384" s="1585"/>
      <c r="AF384" s="1585"/>
      <c r="AG384" s="1585"/>
      <c r="AH384" s="1585"/>
      <c r="AI384" s="1585"/>
      <c r="AJ384" s="1585"/>
      <c r="AK384" s="1585"/>
      <c r="AL384" s="1585"/>
      <c r="AM384" s="1585"/>
      <c r="AN384" s="1585"/>
      <c r="AO384" s="1585"/>
      <c r="AP384" s="1585"/>
      <c r="AQ384" s="1585"/>
      <c r="AR384" s="1585"/>
      <c r="AS384" s="1585"/>
      <c r="AT384" s="1585"/>
      <c r="AU384" s="1585"/>
      <c r="AV384" s="1585"/>
      <c r="AW384" s="1585"/>
      <c r="AX384" s="1585"/>
      <c r="AY384" s="1585"/>
      <c r="AZ384" s="1585"/>
      <c r="BA384" s="1585"/>
      <c r="BB384" s="1585"/>
      <c r="BC384" s="1585"/>
      <c r="BD384" s="1585"/>
      <c r="BE384" s="1585"/>
      <c r="BF384" s="1585"/>
      <c r="BG384" s="1585"/>
      <c r="BH384" s="1585"/>
      <c r="BI384" s="1585"/>
      <c r="BJ384" s="1585"/>
      <c r="BK384" s="1585"/>
      <c r="BL384" s="1585"/>
      <c r="BM384" s="1585"/>
      <c r="BN384" s="1585"/>
      <c r="BO384" s="1585"/>
      <c r="BP384" s="1585"/>
      <c r="BQ384" s="1585"/>
      <c r="BR384" s="1585"/>
      <c r="BS384" s="1585"/>
      <c r="BT384" s="1585"/>
      <c r="BU384" s="1585"/>
      <c r="BV384" s="1585"/>
      <c r="BW384" s="1585"/>
      <c r="BX384" s="1585"/>
      <c r="BY384" s="1585"/>
      <c r="BZ384" s="1585"/>
      <c r="CA384" s="1585"/>
      <c r="CB384" s="1585"/>
      <c r="CC384" s="1585"/>
      <c r="CD384" s="1585"/>
      <c r="CE384" s="1585"/>
      <c r="CF384" s="1585"/>
      <c r="CG384" s="1585"/>
      <c r="CH384" s="1585"/>
      <c r="CI384" s="1585"/>
      <c r="CJ384" s="1585"/>
      <c r="CK384" s="1585"/>
      <c r="CL384" s="1585"/>
      <c r="CM384" s="1585"/>
      <c r="CN384" s="1585"/>
      <c r="CO384" s="1585"/>
      <c r="CP384" s="1585"/>
      <c r="CQ384" s="1585"/>
      <c r="CR384" s="1585"/>
      <c r="CS384" s="1585"/>
      <c r="CT384" s="1585"/>
      <c r="CU384" s="1585"/>
      <c r="CV384" s="1585"/>
      <c r="CW384" s="1585"/>
      <c r="CX384" s="1585"/>
      <c r="CY384" s="1585"/>
      <c r="CZ384" s="1585"/>
    </row>
    <row r="385" spans="1:104">
      <c r="A385" s="1466"/>
      <c r="B385" s="1583"/>
      <c r="C385" s="1583"/>
      <c r="D385" s="1583"/>
      <c r="E385" s="1585"/>
      <c r="F385" s="1585"/>
      <c r="G385" s="1585"/>
      <c r="H385" s="1585"/>
      <c r="I385" s="1585"/>
      <c r="J385" s="1585"/>
      <c r="K385" s="1585"/>
      <c r="L385" s="1585"/>
      <c r="M385" s="1585"/>
      <c r="N385" s="1585"/>
      <c r="O385" s="1585"/>
      <c r="P385" s="1585"/>
      <c r="Q385" s="1585"/>
      <c r="R385" s="1585"/>
      <c r="S385" s="1585"/>
      <c r="T385" s="1585"/>
      <c r="U385" s="1585"/>
      <c r="V385" s="1585"/>
      <c r="W385" s="1585"/>
      <c r="X385" s="1585"/>
      <c r="Y385" s="1585"/>
      <c r="Z385" s="1585"/>
      <c r="AA385" s="1585"/>
      <c r="AB385" s="1585"/>
      <c r="AC385" s="1585"/>
      <c r="AD385" s="1585"/>
      <c r="AE385" s="1585"/>
      <c r="AF385" s="1585"/>
      <c r="AG385" s="1585"/>
      <c r="AH385" s="1585"/>
      <c r="AI385" s="1585"/>
      <c r="AJ385" s="1585"/>
      <c r="AK385" s="1585"/>
      <c r="AL385" s="1585"/>
      <c r="AM385" s="1585"/>
      <c r="AN385" s="1585"/>
      <c r="AO385" s="1585"/>
      <c r="AP385" s="1585"/>
      <c r="AQ385" s="1585"/>
      <c r="AR385" s="1585"/>
      <c r="AS385" s="1585"/>
      <c r="AT385" s="1585"/>
      <c r="AU385" s="1585"/>
      <c r="AV385" s="1585"/>
      <c r="AW385" s="1585"/>
      <c r="AX385" s="1585"/>
      <c r="AY385" s="1585"/>
      <c r="AZ385" s="1585"/>
      <c r="BA385" s="1585"/>
      <c r="BB385" s="1585"/>
      <c r="BC385" s="1585"/>
      <c r="BD385" s="1585"/>
      <c r="BE385" s="1585"/>
      <c r="BF385" s="1585"/>
      <c r="BG385" s="1585"/>
      <c r="BH385" s="1585"/>
      <c r="BI385" s="1585"/>
      <c r="BJ385" s="1585"/>
      <c r="BK385" s="1585"/>
      <c r="BL385" s="1585"/>
      <c r="BM385" s="1585"/>
      <c r="BN385" s="1585"/>
      <c r="BO385" s="1585"/>
      <c r="BP385" s="1585"/>
      <c r="BQ385" s="1585"/>
      <c r="BR385" s="1585"/>
      <c r="BS385" s="1585"/>
      <c r="BT385" s="1585"/>
      <c r="BU385" s="1585"/>
      <c r="BV385" s="1585"/>
      <c r="BW385" s="1585"/>
      <c r="BX385" s="1585"/>
      <c r="BY385" s="1585"/>
      <c r="BZ385" s="1585"/>
      <c r="CA385" s="1585"/>
      <c r="CB385" s="1585"/>
      <c r="CC385" s="1585"/>
      <c r="CD385" s="1585"/>
      <c r="CE385" s="1585"/>
      <c r="CF385" s="1585"/>
      <c r="CG385" s="1585"/>
      <c r="CH385" s="1585"/>
      <c r="CI385" s="1585"/>
      <c r="CJ385" s="1585"/>
      <c r="CK385" s="1585"/>
      <c r="CL385" s="1585"/>
      <c r="CM385" s="1585"/>
      <c r="CN385" s="1585"/>
      <c r="CO385" s="1585"/>
      <c r="CP385" s="1585"/>
      <c r="CQ385" s="1585"/>
      <c r="CR385" s="1585"/>
      <c r="CS385" s="1585"/>
      <c r="CT385" s="1585"/>
      <c r="CU385" s="1585"/>
      <c r="CV385" s="1585"/>
      <c r="CW385" s="1585"/>
      <c r="CX385" s="1585"/>
      <c r="CY385" s="1585"/>
      <c r="CZ385" s="1585"/>
    </row>
    <row r="386" spans="1:104">
      <c r="A386" s="1466"/>
      <c r="B386" s="1583"/>
      <c r="C386" s="1583"/>
      <c r="D386" s="1583"/>
      <c r="E386" s="1585"/>
      <c r="F386" s="1585"/>
      <c r="G386" s="1585"/>
      <c r="H386" s="1585"/>
      <c r="I386" s="1585"/>
      <c r="J386" s="1585"/>
      <c r="K386" s="1585"/>
      <c r="L386" s="1585"/>
      <c r="M386" s="1585"/>
      <c r="N386" s="1585"/>
      <c r="O386" s="1585"/>
      <c r="P386" s="1585"/>
      <c r="Q386" s="1585"/>
      <c r="R386" s="1585"/>
      <c r="S386" s="1585"/>
      <c r="T386" s="1585"/>
      <c r="U386" s="1585"/>
      <c r="V386" s="1585"/>
      <c r="W386" s="1585"/>
      <c r="X386" s="1585"/>
      <c r="Y386" s="1585"/>
      <c r="Z386" s="1585"/>
      <c r="AA386" s="1585"/>
      <c r="AB386" s="1585"/>
      <c r="AC386" s="1585"/>
      <c r="AD386" s="1585"/>
      <c r="AE386" s="1585"/>
      <c r="AF386" s="1585"/>
      <c r="AG386" s="1585"/>
      <c r="AH386" s="1585"/>
      <c r="AI386" s="1585"/>
      <c r="AJ386" s="1585"/>
      <c r="AK386" s="1585"/>
      <c r="AL386" s="1585"/>
      <c r="AM386" s="1585"/>
      <c r="AN386" s="1585"/>
      <c r="AO386" s="1585"/>
      <c r="AP386" s="1585"/>
      <c r="AQ386" s="1585"/>
      <c r="AR386" s="1585"/>
      <c r="AS386" s="1585"/>
      <c r="AT386" s="1585"/>
      <c r="AU386" s="1585"/>
      <c r="AV386" s="1585"/>
      <c r="AW386" s="1585"/>
      <c r="AX386" s="1585"/>
      <c r="AY386" s="1585"/>
      <c r="AZ386" s="1585"/>
      <c r="BA386" s="1585"/>
      <c r="BB386" s="1585"/>
      <c r="BC386" s="1585"/>
      <c r="BD386" s="1585"/>
      <c r="BE386" s="1585"/>
      <c r="BF386" s="1585"/>
      <c r="BG386" s="1585"/>
      <c r="BH386" s="1585"/>
      <c r="BI386" s="1585"/>
      <c r="BJ386" s="1585"/>
      <c r="BK386" s="1585"/>
      <c r="BL386" s="1585"/>
      <c r="BM386" s="1585"/>
      <c r="BN386" s="1585"/>
      <c r="BO386" s="1585"/>
      <c r="BP386" s="1585"/>
      <c r="BQ386" s="1585"/>
      <c r="BR386" s="1585"/>
      <c r="BS386" s="1585"/>
      <c r="BT386" s="1585"/>
      <c r="BU386" s="1585"/>
      <c r="BV386" s="1585"/>
      <c r="BW386" s="1585"/>
      <c r="BX386" s="1585"/>
      <c r="BY386" s="1585"/>
      <c r="BZ386" s="1585"/>
      <c r="CA386" s="1585"/>
      <c r="CB386" s="1585"/>
      <c r="CC386" s="1585"/>
      <c r="CD386" s="1585"/>
      <c r="CE386" s="1585"/>
      <c r="CF386" s="1585"/>
      <c r="CG386" s="1585"/>
      <c r="CH386" s="1585"/>
      <c r="CI386" s="1585"/>
      <c r="CJ386" s="1585"/>
      <c r="CK386" s="1585"/>
      <c r="CL386" s="1585"/>
      <c r="CM386" s="1585"/>
      <c r="CN386" s="1585"/>
      <c r="CO386" s="1585"/>
      <c r="CP386" s="1585"/>
      <c r="CQ386" s="1585"/>
      <c r="CR386" s="1585"/>
      <c r="CS386" s="1585"/>
      <c r="CT386" s="1585"/>
      <c r="CU386" s="1585"/>
      <c r="CV386" s="1585"/>
      <c r="CW386" s="1585"/>
      <c r="CX386" s="1585"/>
      <c r="CY386" s="1585"/>
      <c r="CZ386" s="1585"/>
    </row>
    <row r="387" spans="1:104">
      <c r="A387" s="1466"/>
      <c r="B387" s="1583"/>
      <c r="C387" s="1583"/>
      <c r="D387" s="1583"/>
      <c r="E387" s="1585"/>
      <c r="F387" s="1585"/>
      <c r="G387" s="1585"/>
      <c r="H387" s="1585"/>
      <c r="I387" s="1585"/>
      <c r="J387" s="1585"/>
      <c r="K387" s="1585"/>
      <c r="L387" s="1585"/>
      <c r="M387" s="1585"/>
      <c r="N387" s="1585"/>
      <c r="O387" s="1585"/>
      <c r="P387" s="1585"/>
      <c r="Q387" s="1585"/>
      <c r="R387" s="1585"/>
      <c r="S387" s="1585"/>
      <c r="T387" s="1585"/>
      <c r="U387" s="1585"/>
      <c r="V387" s="1585"/>
      <c r="W387" s="1585"/>
      <c r="X387" s="1585"/>
      <c r="Y387" s="1585"/>
      <c r="Z387" s="1585"/>
      <c r="AA387" s="1585"/>
      <c r="AB387" s="1585"/>
      <c r="AC387" s="1585"/>
      <c r="AD387" s="1585"/>
      <c r="AE387" s="1585"/>
      <c r="AF387" s="1585"/>
      <c r="AG387" s="1585"/>
      <c r="AH387" s="1585"/>
      <c r="AI387" s="1585"/>
      <c r="AJ387" s="1585"/>
      <c r="AK387" s="1585"/>
      <c r="AL387" s="1585"/>
      <c r="AM387" s="1585"/>
      <c r="AN387" s="1585"/>
      <c r="AO387" s="1585"/>
      <c r="AP387" s="1585"/>
      <c r="AQ387" s="1585"/>
      <c r="AR387" s="1585"/>
      <c r="AS387" s="1585"/>
      <c r="AT387" s="1585"/>
      <c r="AU387" s="1585"/>
      <c r="AV387" s="1585"/>
      <c r="AW387" s="1585"/>
      <c r="AX387" s="1585"/>
      <c r="AY387" s="1585"/>
      <c r="AZ387" s="1585"/>
      <c r="BA387" s="1585"/>
      <c r="BB387" s="1585"/>
      <c r="BC387" s="1585"/>
      <c r="BD387" s="1585"/>
      <c r="BE387" s="1585"/>
      <c r="BF387" s="1585"/>
      <c r="BG387" s="1585"/>
      <c r="BH387" s="1585"/>
      <c r="BI387" s="1585"/>
      <c r="BJ387" s="1585"/>
      <c r="BK387" s="1585"/>
      <c r="BL387" s="1585"/>
      <c r="BM387" s="1585"/>
      <c r="BN387" s="1585"/>
      <c r="BO387" s="1585"/>
      <c r="BP387" s="1585"/>
      <c r="BQ387" s="1585"/>
      <c r="BR387" s="1585"/>
      <c r="BS387" s="1585"/>
      <c r="BT387" s="1585"/>
      <c r="BU387" s="1585"/>
      <c r="BV387" s="1585"/>
      <c r="BW387" s="1585"/>
      <c r="BX387" s="1585"/>
      <c r="BY387" s="1585"/>
      <c r="BZ387" s="1585"/>
      <c r="CA387" s="1585"/>
      <c r="CB387" s="1585"/>
      <c r="CC387" s="1585"/>
      <c r="CD387" s="1585"/>
      <c r="CE387" s="1585"/>
      <c r="CF387" s="1585"/>
      <c r="CG387" s="1585"/>
      <c r="CH387" s="1585"/>
      <c r="CI387" s="1585"/>
      <c r="CJ387" s="1585"/>
      <c r="CK387" s="1585"/>
      <c r="CL387" s="1585"/>
      <c r="CM387" s="1585"/>
      <c r="CN387" s="1585"/>
      <c r="CO387" s="1585"/>
      <c r="CP387" s="1585"/>
      <c r="CQ387" s="1585"/>
      <c r="CR387" s="1585"/>
      <c r="CS387" s="1585"/>
      <c r="CT387" s="1585"/>
      <c r="CU387" s="1585"/>
      <c r="CV387" s="1585"/>
      <c r="CW387" s="1585"/>
      <c r="CX387" s="1585"/>
      <c r="CY387" s="1585"/>
      <c r="CZ387" s="1585"/>
    </row>
    <row r="388" spans="1:104">
      <c r="A388" s="1466"/>
      <c r="B388" s="1583"/>
      <c r="C388" s="1583"/>
      <c r="D388" s="1583"/>
      <c r="E388" s="1585"/>
      <c r="F388" s="1585"/>
      <c r="G388" s="1585"/>
      <c r="H388" s="1585"/>
      <c r="I388" s="1585"/>
      <c r="J388" s="1585"/>
      <c r="K388" s="1585"/>
      <c r="L388" s="1585"/>
      <c r="M388" s="1585"/>
      <c r="N388" s="1585"/>
      <c r="O388" s="1585"/>
      <c r="P388" s="1585"/>
      <c r="Q388" s="1585"/>
      <c r="R388" s="1585"/>
      <c r="S388" s="1585"/>
      <c r="T388" s="1585"/>
      <c r="U388" s="1585"/>
      <c r="V388" s="1585"/>
      <c r="W388" s="1585"/>
      <c r="X388" s="1585"/>
      <c r="Y388" s="1585"/>
      <c r="Z388" s="1585"/>
      <c r="AA388" s="1585"/>
      <c r="AB388" s="1585"/>
      <c r="AC388" s="1585"/>
      <c r="AD388" s="1585"/>
      <c r="AE388" s="1585"/>
      <c r="AF388" s="1585"/>
      <c r="AG388" s="1585"/>
      <c r="AH388" s="1585"/>
      <c r="AI388" s="1585"/>
      <c r="AJ388" s="1585"/>
      <c r="AK388" s="1585"/>
      <c r="AL388" s="1585"/>
      <c r="AM388" s="1585"/>
      <c r="AN388" s="1585"/>
      <c r="AO388" s="1585"/>
      <c r="AP388" s="1585"/>
      <c r="AQ388" s="1585"/>
      <c r="AR388" s="1585"/>
      <c r="AS388" s="1585"/>
      <c r="AT388" s="1585"/>
      <c r="AU388" s="1585"/>
      <c r="AV388" s="1585"/>
      <c r="AW388" s="1585"/>
      <c r="AX388" s="1585"/>
      <c r="AY388" s="1585"/>
      <c r="AZ388" s="1585"/>
      <c r="BA388" s="1585"/>
      <c r="BB388" s="1585"/>
      <c r="BC388" s="1585"/>
      <c r="BD388" s="1585"/>
      <c r="BE388" s="1585"/>
      <c r="BF388" s="1585"/>
      <c r="BG388" s="1585"/>
      <c r="BH388" s="1585"/>
      <c r="BI388" s="1585"/>
      <c r="BJ388" s="1585"/>
      <c r="BK388" s="1585"/>
      <c r="BL388" s="1585"/>
      <c r="BM388" s="1585"/>
      <c r="BN388" s="1585"/>
      <c r="BO388" s="1585"/>
      <c r="BP388" s="1585"/>
      <c r="BQ388" s="1585"/>
      <c r="BR388" s="1585"/>
      <c r="BS388" s="1585"/>
      <c r="BT388" s="1585"/>
      <c r="BU388" s="1585"/>
      <c r="BV388" s="1585"/>
      <c r="BW388" s="1585"/>
      <c r="BX388" s="1585"/>
      <c r="BY388" s="1585"/>
      <c r="BZ388" s="1585"/>
      <c r="CA388" s="1585"/>
      <c r="CB388" s="1585"/>
      <c r="CC388" s="1585"/>
      <c r="CD388" s="1585"/>
      <c r="CE388" s="1585"/>
      <c r="CF388" s="1585"/>
      <c r="CG388" s="1585"/>
      <c r="CH388" s="1585"/>
      <c r="CI388" s="1585"/>
      <c r="CJ388" s="1585"/>
      <c r="CK388" s="1585"/>
      <c r="CL388" s="1585"/>
      <c r="CM388" s="1585"/>
      <c r="CN388" s="1585"/>
      <c r="CO388" s="1585"/>
      <c r="CP388" s="1585"/>
      <c r="CQ388" s="1585"/>
      <c r="CR388" s="1585"/>
      <c r="CS388" s="1585"/>
      <c r="CT388" s="1585"/>
      <c r="CU388" s="1585"/>
      <c r="CV388" s="1585"/>
      <c r="CW388" s="1585"/>
      <c r="CX388" s="1585"/>
      <c r="CY388" s="1585"/>
      <c r="CZ388" s="1585"/>
    </row>
    <row r="389" spans="1:104">
      <c r="A389" s="1466"/>
      <c r="B389" s="1583"/>
      <c r="C389" s="1583"/>
      <c r="D389" s="1583"/>
      <c r="E389" s="1585"/>
      <c r="F389" s="1585"/>
      <c r="G389" s="1585"/>
      <c r="H389" s="1585"/>
      <c r="I389" s="1585"/>
      <c r="J389" s="1585"/>
      <c r="K389" s="1585"/>
      <c r="L389" s="1585"/>
      <c r="M389" s="1585"/>
      <c r="N389" s="1585"/>
      <c r="O389" s="1585"/>
      <c r="P389" s="1585"/>
      <c r="Q389" s="1585"/>
      <c r="R389" s="1585"/>
      <c r="S389" s="1585"/>
      <c r="T389" s="1585"/>
      <c r="U389" s="1585"/>
      <c r="V389" s="1585"/>
      <c r="W389" s="1585"/>
      <c r="X389" s="1585"/>
      <c r="Y389" s="1585"/>
      <c r="Z389" s="1585"/>
      <c r="AA389" s="1585"/>
      <c r="AB389" s="1585"/>
      <c r="AC389" s="1585"/>
      <c r="AD389" s="1585"/>
      <c r="AE389" s="1585"/>
      <c r="AF389" s="1585"/>
      <c r="AG389" s="1585"/>
      <c r="AH389" s="1585"/>
      <c r="AI389" s="1585"/>
      <c r="AJ389" s="1585"/>
      <c r="AK389" s="1585"/>
      <c r="AL389" s="1585"/>
      <c r="AM389" s="1585"/>
      <c r="AN389" s="1585"/>
      <c r="AO389" s="1585"/>
      <c r="AP389" s="1585"/>
      <c r="AQ389" s="1585"/>
      <c r="AR389" s="1585"/>
      <c r="AS389" s="1585"/>
      <c r="AT389" s="1585"/>
      <c r="AU389" s="1585"/>
      <c r="AV389" s="1585"/>
      <c r="AW389" s="1585"/>
      <c r="AX389" s="1585"/>
      <c r="AY389" s="1585"/>
      <c r="AZ389" s="1585"/>
      <c r="BA389" s="1585"/>
      <c r="BB389" s="1585"/>
      <c r="BC389" s="1585"/>
      <c r="BD389" s="1585"/>
      <c r="BE389" s="1585"/>
      <c r="BF389" s="1585"/>
      <c r="BG389" s="1585"/>
      <c r="BH389" s="1585"/>
      <c r="BI389" s="1585"/>
      <c r="BJ389" s="1585"/>
      <c r="BK389" s="1585"/>
      <c r="BL389" s="1585"/>
      <c r="BM389" s="1585"/>
      <c r="BN389" s="1585"/>
      <c r="BO389" s="1585"/>
      <c r="BP389" s="1585"/>
      <c r="BQ389" s="1585"/>
      <c r="BR389" s="1585"/>
      <c r="BS389" s="1585"/>
      <c r="BT389" s="1585"/>
      <c r="BU389" s="1585"/>
      <c r="BV389" s="1585"/>
      <c r="BW389" s="1585"/>
      <c r="BX389" s="1585"/>
      <c r="BY389" s="1585"/>
      <c r="BZ389" s="1585"/>
      <c r="CA389" s="1585"/>
      <c r="CB389" s="1585"/>
      <c r="CC389" s="1585"/>
      <c r="CD389" s="1585"/>
      <c r="CE389" s="1585"/>
      <c r="CF389" s="1585"/>
      <c r="CG389" s="1585"/>
      <c r="CH389" s="1585"/>
      <c r="CI389" s="1585"/>
      <c r="CJ389" s="1585"/>
      <c r="CK389" s="1585"/>
      <c r="CL389" s="1585"/>
      <c r="CM389" s="1585"/>
      <c r="CN389" s="1585"/>
      <c r="CO389" s="1585"/>
      <c r="CP389" s="1585"/>
      <c r="CQ389" s="1585"/>
      <c r="CR389" s="1585"/>
      <c r="CS389" s="1585"/>
      <c r="CT389" s="1585"/>
      <c r="CU389" s="1585"/>
      <c r="CV389" s="1585"/>
      <c r="CW389" s="1585"/>
      <c r="CX389" s="1585"/>
      <c r="CY389" s="1585"/>
      <c r="CZ389" s="1585"/>
    </row>
    <row r="390" spans="1:104">
      <c r="A390" s="1466"/>
      <c r="B390" s="1583"/>
      <c r="C390" s="1583"/>
      <c r="D390" s="1583"/>
      <c r="E390" s="1585"/>
      <c r="F390" s="1585"/>
      <c r="G390" s="1585"/>
      <c r="H390" s="1585"/>
      <c r="I390" s="1585"/>
      <c r="J390" s="1585"/>
      <c r="K390" s="1585"/>
      <c r="L390" s="1585"/>
      <c r="M390" s="1585"/>
      <c r="N390" s="1585"/>
      <c r="O390" s="1585"/>
      <c r="P390" s="1585"/>
      <c r="Q390" s="1585"/>
      <c r="R390" s="1585"/>
      <c r="S390" s="1585"/>
      <c r="T390" s="1585"/>
      <c r="U390" s="1585"/>
      <c r="V390" s="1585"/>
      <c r="W390" s="1585"/>
      <c r="X390" s="1585"/>
      <c r="Y390" s="1585"/>
      <c r="Z390" s="1585"/>
      <c r="AA390" s="1585"/>
      <c r="AB390" s="1585"/>
      <c r="AC390" s="1585"/>
      <c r="AD390" s="1585"/>
      <c r="AE390" s="1585"/>
      <c r="AF390" s="1585"/>
      <c r="AG390" s="1585"/>
      <c r="AH390" s="1585"/>
      <c r="AI390" s="1585"/>
      <c r="AJ390" s="1585"/>
      <c r="AK390" s="1585"/>
      <c r="AL390" s="1585"/>
      <c r="AM390" s="1585"/>
      <c r="AN390" s="1585"/>
      <c r="AO390" s="1585"/>
      <c r="AP390" s="1585"/>
      <c r="AQ390" s="1585"/>
      <c r="AR390" s="1585"/>
      <c r="AS390" s="1585"/>
      <c r="AT390" s="1585"/>
      <c r="AU390" s="1585"/>
      <c r="AV390" s="1585"/>
      <c r="AW390" s="1585"/>
      <c r="AX390" s="1585"/>
      <c r="AY390" s="1585"/>
      <c r="AZ390" s="1585"/>
      <c r="BA390" s="1585"/>
      <c r="BB390" s="1585"/>
      <c r="BC390" s="1585"/>
      <c r="BD390" s="1585"/>
      <c r="BE390" s="1585"/>
      <c r="BF390" s="1585"/>
      <c r="BG390" s="1585"/>
      <c r="BH390" s="1585"/>
      <c r="BI390" s="1585"/>
      <c r="BJ390" s="1585"/>
      <c r="BK390" s="1585"/>
      <c r="BL390" s="1585"/>
      <c r="BM390" s="1585"/>
      <c r="BN390" s="1585"/>
      <c r="BO390" s="1585"/>
      <c r="BP390" s="1585"/>
      <c r="BQ390" s="1585"/>
      <c r="BR390" s="1585"/>
      <c r="BS390" s="1585"/>
      <c r="BT390" s="1585"/>
      <c r="BU390" s="1585"/>
      <c r="BV390" s="1585"/>
      <c r="BW390" s="1585"/>
      <c r="BX390" s="1585"/>
      <c r="BY390" s="1585"/>
      <c r="BZ390" s="1585"/>
      <c r="CA390" s="1585"/>
      <c r="CB390" s="1585"/>
      <c r="CC390" s="1585"/>
      <c r="CD390" s="1585"/>
      <c r="CE390" s="1585"/>
      <c r="CF390" s="1585"/>
      <c r="CG390" s="1585"/>
      <c r="CH390" s="1585"/>
      <c r="CI390" s="1585"/>
      <c r="CJ390" s="1585"/>
      <c r="CK390" s="1585"/>
      <c r="CL390" s="1585"/>
      <c r="CM390" s="1585"/>
      <c r="CN390" s="1585"/>
      <c r="CO390" s="1585"/>
      <c r="CP390" s="1585"/>
      <c r="CQ390" s="1585"/>
      <c r="CR390" s="1585"/>
      <c r="CS390" s="1585"/>
      <c r="CT390" s="1585"/>
      <c r="CU390" s="1585"/>
      <c r="CV390" s="1585"/>
      <c r="CW390" s="1585"/>
      <c r="CX390" s="1585"/>
      <c r="CY390" s="1585"/>
      <c r="CZ390" s="1585"/>
    </row>
    <row r="391" spans="1:104">
      <c r="A391" s="1466"/>
      <c r="B391" s="1583"/>
      <c r="C391" s="1583"/>
      <c r="D391" s="1583"/>
      <c r="E391" s="1585"/>
      <c r="F391" s="1585"/>
      <c r="G391" s="1585"/>
      <c r="H391" s="1585"/>
      <c r="I391" s="1585"/>
      <c r="J391" s="1585"/>
      <c r="K391" s="1585"/>
      <c r="L391" s="1585"/>
      <c r="M391" s="1585"/>
      <c r="N391" s="1585"/>
      <c r="O391" s="1585"/>
      <c r="P391" s="1585"/>
      <c r="Q391" s="1585"/>
      <c r="R391" s="1585"/>
      <c r="S391" s="1585"/>
      <c r="T391" s="1585"/>
      <c r="U391" s="1585"/>
      <c r="V391" s="1585"/>
      <c r="W391" s="1585"/>
      <c r="X391" s="1585"/>
      <c r="Y391" s="1585"/>
      <c r="Z391" s="1585"/>
      <c r="AA391" s="1585"/>
      <c r="AB391" s="1585"/>
      <c r="AC391" s="1585"/>
      <c r="AD391" s="1585"/>
      <c r="AE391" s="1585"/>
      <c r="AF391" s="1585"/>
      <c r="AG391" s="1585"/>
      <c r="AH391" s="1585"/>
      <c r="AI391" s="1585"/>
      <c r="AJ391" s="1585"/>
      <c r="AK391" s="1585"/>
      <c r="AL391" s="1585"/>
      <c r="AM391" s="1585"/>
      <c r="AN391" s="1585"/>
      <c r="AO391" s="1585"/>
      <c r="AP391" s="1585"/>
      <c r="AQ391" s="1585"/>
      <c r="AR391" s="1585"/>
      <c r="AS391" s="1585"/>
      <c r="AT391" s="1585"/>
      <c r="AU391" s="1585"/>
      <c r="AV391" s="1585"/>
      <c r="AW391" s="1585"/>
      <c r="AX391" s="1585"/>
      <c r="AY391" s="1585"/>
      <c r="AZ391" s="1585"/>
      <c r="BA391" s="1585"/>
      <c r="BB391" s="1585"/>
      <c r="BC391" s="1585"/>
      <c r="BD391" s="1585"/>
      <c r="BE391" s="1585"/>
      <c r="BF391" s="1585"/>
      <c r="BG391" s="1585"/>
      <c r="BH391" s="1585"/>
      <c r="BI391" s="1585"/>
      <c r="BJ391" s="1585"/>
      <c r="BK391" s="1585"/>
      <c r="BL391" s="1585"/>
      <c r="BM391" s="1585"/>
      <c r="BN391" s="1585"/>
      <c r="BO391" s="1585"/>
      <c r="BP391" s="1585"/>
      <c r="BQ391" s="1585"/>
      <c r="BR391" s="1585"/>
      <c r="BS391" s="1585"/>
      <c r="BT391" s="1585"/>
      <c r="BU391" s="1585"/>
      <c r="BV391" s="1585"/>
      <c r="BW391" s="1585"/>
      <c r="BX391" s="1585"/>
      <c r="BY391" s="1585"/>
      <c r="BZ391" s="1585"/>
      <c r="CA391" s="1585"/>
      <c r="CB391" s="1585"/>
      <c r="CC391" s="1585"/>
      <c r="CD391" s="1585"/>
      <c r="CE391" s="1585"/>
      <c r="CF391" s="1585"/>
      <c r="CG391" s="1585"/>
      <c r="CH391" s="1585"/>
      <c r="CI391" s="1585"/>
      <c r="CJ391" s="1585"/>
      <c r="CK391" s="1585"/>
      <c r="CL391" s="1585"/>
      <c r="CM391" s="1585"/>
      <c r="CN391" s="1585"/>
      <c r="CO391" s="1585"/>
      <c r="CP391" s="1585"/>
      <c r="CQ391" s="1585"/>
      <c r="CR391" s="1585"/>
      <c r="CS391" s="1585"/>
      <c r="CT391" s="1585"/>
      <c r="CU391" s="1585"/>
      <c r="CV391" s="1585"/>
      <c r="CW391" s="1585"/>
      <c r="CX391" s="1585"/>
      <c r="CY391" s="1585"/>
      <c r="CZ391" s="1585"/>
    </row>
    <row r="392" spans="1:104">
      <c r="A392" s="1466"/>
      <c r="B392" s="1583"/>
      <c r="C392" s="1583"/>
      <c r="D392" s="1583"/>
      <c r="E392" s="1585"/>
      <c r="F392" s="1585"/>
      <c r="G392" s="1585"/>
      <c r="H392" s="1585"/>
      <c r="I392" s="1585"/>
      <c r="J392" s="1585"/>
      <c r="K392" s="1585"/>
      <c r="L392" s="1585"/>
      <c r="M392" s="1585"/>
      <c r="N392" s="1585"/>
      <c r="O392" s="1585"/>
      <c r="P392" s="1585"/>
      <c r="Q392" s="1585"/>
      <c r="R392" s="1585"/>
      <c r="S392" s="1585"/>
      <c r="T392" s="1585"/>
      <c r="U392" s="1585"/>
      <c r="V392" s="1585"/>
      <c r="W392" s="1585"/>
      <c r="X392" s="1585"/>
      <c r="Y392" s="1585"/>
      <c r="Z392" s="1585"/>
      <c r="AA392" s="1585"/>
      <c r="AB392" s="1585"/>
      <c r="AC392" s="1585"/>
      <c r="AD392" s="1585"/>
      <c r="AE392" s="1585"/>
      <c r="AF392" s="1585"/>
      <c r="AG392" s="1585"/>
      <c r="AH392" s="1585"/>
      <c r="AI392" s="1585"/>
      <c r="AJ392" s="1585"/>
      <c r="AK392" s="1585"/>
      <c r="AL392" s="1585"/>
      <c r="AM392" s="1585"/>
      <c r="AN392" s="1585"/>
      <c r="AO392" s="1585"/>
      <c r="AP392" s="1585"/>
      <c r="AQ392" s="1585"/>
      <c r="AR392" s="1585"/>
      <c r="AS392" s="1585"/>
      <c r="AT392" s="1585"/>
      <c r="AU392" s="1585"/>
      <c r="AV392" s="1585"/>
      <c r="AW392" s="1585"/>
      <c r="AX392" s="1585"/>
      <c r="AY392" s="1585"/>
      <c r="AZ392" s="1585"/>
      <c r="BA392" s="1585"/>
      <c r="BB392" s="1585"/>
      <c r="BC392" s="1585"/>
      <c r="BD392" s="1585"/>
      <c r="BE392" s="1585"/>
      <c r="BF392" s="1585"/>
      <c r="BG392" s="1585"/>
      <c r="BH392" s="1585"/>
      <c r="BI392" s="1585"/>
      <c r="BJ392" s="1585"/>
      <c r="BK392" s="1585"/>
      <c r="BL392" s="1585"/>
      <c r="BM392" s="1585"/>
      <c r="BN392" s="1585"/>
      <c r="BO392" s="1585"/>
      <c r="BP392" s="1585"/>
      <c r="BQ392" s="1585"/>
      <c r="BR392" s="1585"/>
      <c r="BS392" s="1585"/>
      <c r="BT392" s="1585"/>
      <c r="BU392" s="1585"/>
      <c r="BV392" s="1585"/>
      <c r="BW392" s="1585"/>
      <c r="BX392" s="1585"/>
      <c r="BY392" s="1585"/>
      <c r="BZ392" s="1585"/>
      <c r="CA392" s="1585"/>
      <c r="CB392" s="1585"/>
      <c r="CC392" s="1585"/>
      <c r="CD392" s="1585"/>
      <c r="CE392" s="1585"/>
      <c r="CF392" s="1585"/>
      <c r="CG392" s="1585"/>
      <c r="CH392" s="1585"/>
      <c r="CI392" s="1585"/>
      <c r="CJ392" s="1585"/>
      <c r="CK392" s="1585"/>
      <c r="CL392" s="1585"/>
      <c r="CM392" s="1585"/>
      <c r="CN392" s="1585"/>
      <c r="CO392" s="1585"/>
      <c r="CP392" s="1585"/>
      <c r="CQ392" s="1585"/>
      <c r="CR392" s="1585"/>
      <c r="CS392" s="1585"/>
      <c r="CT392" s="1585"/>
      <c r="CU392" s="1585"/>
      <c r="CV392" s="1585"/>
      <c r="CW392" s="1585"/>
      <c r="CX392" s="1585"/>
      <c r="CY392" s="1585"/>
      <c r="CZ392" s="1585"/>
    </row>
    <row r="393" spans="1:104">
      <c r="A393" s="1466"/>
      <c r="B393" s="1583"/>
      <c r="C393" s="1583"/>
      <c r="D393" s="1583"/>
      <c r="E393" s="1585"/>
      <c r="F393" s="1585"/>
      <c r="G393" s="1585"/>
      <c r="H393" s="1585"/>
      <c r="I393" s="1585"/>
      <c r="J393" s="1585"/>
      <c r="K393" s="1585"/>
      <c r="L393" s="1585"/>
      <c r="M393" s="1585"/>
      <c r="N393" s="1585"/>
      <c r="O393" s="1585"/>
      <c r="P393" s="1585"/>
      <c r="Q393" s="1585"/>
      <c r="R393" s="1585"/>
      <c r="S393" s="1585"/>
      <c r="T393" s="1585"/>
      <c r="U393" s="1585"/>
      <c r="V393" s="1585"/>
      <c r="W393" s="1585"/>
      <c r="X393" s="1585"/>
      <c r="Y393" s="1585"/>
      <c r="Z393" s="1585"/>
      <c r="AA393" s="1585"/>
      <c r="AB393" s="1585"/>
      <c r="AC393" s="1585"/>
      <c r="AD393" s="1585"/>
      <c r="AE393" s="1585"/>
      <c r="AF393" s="1585"/>
      <c r="AG393" s="1585"/>
      <c r="AH393" s="1585"/>
      <c r="AI393" s="1585"/>
      <c r="AJ393" s="1585"/>
      <c r="AK393" s="1585"/>
      <c r="AL393" s="1585"/>
      <c r="AM393" s="1585"/>
      <c r="AN393" s="1585"/>
      <c r="AO393" s="1585"/>
      <c r="AP393" s="1585"/>
      <c r="AQ393" s="1585"/>
      <c r="AR393" s="1585"/>
      <c r="AS393" s="1585"/>
      <c r="AT393" s="1585"/>
      <c r="AU393" s="1585"/>
      <c r="AV393" s="1585"/>
      <c r="AW393" s="1585"/>
      <c r="AX393" s="1585"/>
      <c r="AY393" s="1585"/>
      <c r="AZ393" s="1585"/>
      <c r="BA393" s="1585"/>
      <c r="BB393" s="1585"/>
      <c r="BC393" s="1585"/>
      <c r="BD393" s="1585"/>
      <c r="BE393" s="1585"/>
      <c r="BF393" s="1585"/>
      <c r="BG393" s="1585"/>
      <c r="BH393" s="1585"/>
      <c r="BI393" s="1585"/>
      <c r="BJ393" s="1585"/>
      <c r="BK393" s="1585"/>
      <c r="BL393" s="1585"/>
      <c r="BM393" s="1585"/>
      <c r="BN393" s="1585"/>
      <c r="BO393" s="1585"/>
      <c r="BP393" s="1585"/>
      <c r="BQ393" s="1585"/>
      <c r="BR393" s="1585"/>
      <c r="BS393" s="1585"/>
      <c r="BT393" s="1585"/>
      <c r="BU393" s="1585"/>
      <c r="BV393" s="1585"/>
      <c r="BW393" s="1585"/>
      <c r="BX393" s="1585"/>
      <c r="BY393" s="1585"/>
      <c r="BZ393" s="1585"/>
      <c r="CA393" s="1585"/>
      <c r="CB393" s="1585"/>
      <c r="CC393" s="1585"/>
      <c r="CD393" s="1585"/>
      <c r="CE393" s="1585"/>
      <c r="CF393" s="1585"/>
      <c r="CG393" s="1585"/>
      <c r="CH393" s="1585"/>
      <c r="CI393" s="1585"/>
      <c r="CJ393" s="1585"/>
      <c r="CK393" s="1585"/>
      <c r="CL393" s="1585"/>
      <c r="CM393" s="1585"/>
      <c r="CN393" s="1585"/>
      <c r="CO393" s="1585"/>
      <c r="CP393" s="1585"/>
      <c r="CQ393" s="1585"/>
      <c r="CR393" s="1585"/>
      <c r="CS393" s="1585"/>
      <c r="CT393" s="1585"/>
      <c r="CU393" s="1585"/>
      <c r="CV393" s="1585"/>
      <c r="CW393" s="1585"/>
      <c r="CX393" s="1585"/>
      <c r="CY393" s="1585"/>
      <c r="CZ393" s="1585"/>
    </row>
    <row r="394" spans="1:104">
      <c r="A394" s="1466"/>
      <c r="B394" s="1583"/>
      <c r="C394" s="1583"/>
      <c r="D394" s="1583"/>
      <c r="E394" s="1585"/>
      <c r="F394" s="1585"/>
      <c r="G394" s="1585"/>
      <c r="H394" s="1585"/>
      <c r="I394" s="1585"/>
      <c r="J394" s="1585"/>
      <c r="K394" s="1585"/>
      <c r="L394" s="1585"/>
      <c r="M394" s="1585"/>
      <c r="N394" s="1585"/>
      <c r="O394" s="1585"/>
      <c r="P394" s="1585"/>
      <c r="Q394" s="1585"/>
      <c r="R394" s="1585"/>
      <c r="S394" s="1585"/>
      <c r="T394" s="1585"/>
      <c r="U394" s="1585"/>
      <c r="V394" s="1585"/>
      <c r="W394" s="1585"/>
      <c r="X394" s="1585"/>
      <c r="Y394" s="1585"/>
      <c r="Z394" s="1585"/>
      <c r="AA394" s="1585"/>
      <c r="AB394" s="1585"/>
      <c r="AC394" s="1585"/>
      <c r="AD394" s="1585"/>
      <c r="AE394" s="1585"/>
      <c r="AF394" s="1585"/>
      <c r="AG394" s="1585"/>
      <c r="AH394" s="1585"/>
      <c r="AI394" s="1585"/>
      <c r="AJ394" s="1585"/>
      <c r="AK394" s="1585"/>
      <c r="AL394" s="1585"/>
      <c r="AM394" s="1585"/>
      <c r="AN394" s="1585"/>
      <c r="AO394" s="1585"/>
      <c r="AP394" s="1585"/>
      <c r="AQ394" s="1585"/>
      <c r="AR394" s="1585"/>
      <c r="AS394" s="1585"/>
      <c r="AT394" s="1585"/>
      <c r="AU394" s="1585"/>
      <c r="AV394" s="1585"/>
      <c r="AW394" s="1585"/>
      <c r="AX394" s="1585"/>
      <c r="AY394" s="1585"/>
      <c r="AZ394" s="1585"/>
      <c r="BA394" s="1585"/>
      <c r="BB394" s="1585"/>
      <c r="BC394" s="1585"/>
      <c r="BD394" s="1585"/>
      <c r="BE394" s="1585"/>
      <c r="BF394" s="1585"/>
      <c r="BG394" s="1585"/>
      <c r="BH394" s="1585"/>
      <c r="BI394" s="1585"/>
      <c r="BJ394" s="1585"/>
      <c r="BK394" s="1585"/>
      <c r="BL394" s="1585"/>
      <c r="BM394" s="1585"/>
      <c r="BN394" s="1585"/>
      <c r="BO394" s="1585"/>
      <c r="BP394" s="1585"/>
      <c r="BQ394" s="1585"/>
      <c r="BR394" s="1585"/>
      <c r="BS394" s="1585"/>
      <c r="BT394" s="1585"/>
      <c r="BU394" s="1585"/>
      <c r="BV394" s="1585"/>
      <c r="BW394" s="1585"/>
      <c r="BX394" s="1585"/>
      <c r="BY394" s="1585"/>
      <c r="BZ394" s="1585"/>
      <c r="CA394" s="1585"/>
      <c r="CB394" s="1585"/>
      <c r="CC394" s="1585"/>
      <c r="CD394" s="1585"/>
      <c r="CE394" s="1585"/>
      <c r="CF394" s="1585"/>
      <c r="CG394" s="1585"/>
      <c r="CH394" s="1585"/>
      <c r="CI394" s="1585"/>
      <c r="CJ394" s="1585"/>
      <c r="CK394" s="1585"/>
      <c r="CL394" s="1585"/>
      <c r="CM394" s="1585"/>
      <c r="CN394" s="1585"/>
      <c r="CO394" s="1585"/>
      <c r="CP394" s="1585"/>
      <c r="CQ394" s="1585"/>
      <c r="CR394" s="1585"/>
      <c r="CS394" s="1585"/>
      <c r="CT394" s="1585"/>
      <c r="CU394" s="1585"/>
      <c r="CV394" s="1585"/>
      <c r="CW394" s="1585"/>
      <c r="CX394" s="1585"/>
      <c r="CY394" s="1585"/>
      <c r="CZ394" s="1585"/>
    </row>
    <row r="395" spans="1:104">
      <c r="A395" s="1466"/>
      <c r="B395" s="1583"/>
      <c r="C395" s="1583"/>
      <c r="D395" s="1583"/>
      <c r="E395" s="1585"/>
      <c r="F395" s="1585"/>
      <c r="G395" s="1585"/>
      <c r="H395" s="1585"/>
      <c r="I395" s="1585"/>
      <c r="J395" s="1585"/>
      <c r="K395" s="1585"/>
      <c r="L395" s="1585"/>
      <c r="M395" s="1585"/>
      <c r="N395" s="1585"/>
      <c r="O395" s="1585"/>
      <c r="P395" s="1585"/>
      <c r="Q395" s="1585"/>
      <c r="R395" s="1585"/>
      <c r="S395" s="1585"/>
      <c r="T395" s="1585"/>
      <c r="U395" s="1585"/>
      <c r="V395" s="1585"/>
      <c r="W395" s="1585"/>
      <c r="X395" s="1585"/>
      <c r="Y395" s="1585"/>
      <c r="Z395" s="1585"/>
      <c r="AA395" s="1585"/>
      <c r="AB395" s="1585"/>
      <c r="AC395" s="1585"/>
      <c r="AD395" s="1585"/>
      <c r="AE395" s="1585"/>
      <c r="AF395" s="1585"/>
      <c r="AG395" s="1585"/>
      <c r="AH395" s="1585"/>
      <c r="AI395" s="1585"/>
      <c r="AJ395" s="1585"/>
      <c r="AK395" s="1585"/>
      <c r="AL395" s="1585"/>
      <c r="AM395" s="1585"/>
      <c r="AN395" s="1585"/>
      <c r="AO395" s="1585"/>
      <c r="AP395" s="1585"/>
      <c r="AQ395" s="1585"/>
      <c r="AR395" s="1585"/>
      <c r="AS395" s="1585"/>
      <c r="AT395" s="1585"/>
      <c r="AU395" s="1585"/>
      <c r="AV395" s="1585"/>
      <c r="AW395" s="1585"/>
      <c r="AX395" s="1585"/>
      <c r="AY395" s="1585"/>
      <c r="AZ395" s="1585"/>
      <c r="BA395" s="1585"/>
      <c r="BB395" s="1585"/>
      <c r="BC395" s="1585"/>
      <c r="BD395" s="1585"/>
      <c r="BE395" s="1585"/>
      <c r="BF395" s="1585"/>
      <c r="BG395" s="1585"/>
      <c r="BH395" s="1585"/>
      <c r="BI395" s="1585"/>
      <c r="BJ395" s="1585"/>
      <c r="BK395" s="1585"/>
      <c r="BL395" s="1585"/>
      <c r="BM395" s="1585"/>
      <c r="BN395" s="1585"/>
      <c r="BO395" s="1585"/>
      <c r="BP395" s="1585"/>
      <c r="BQ395" s="1585"/>
      <c r="BR395" s="1585"/>
      <c r="BS395" s="1585"/>
      <c r="BT395" s="1585"/>
      <c r="BU395" s="1585"/>
      <c r="BV395" s="1585"/>
      <c r="BW395" s="1585"/>
      <c r="BX395" s="1585"/>
      <c r="BY395" s="1585"/>
      <c r="BZ395" s="1585"/>
      <c r="CA395" s="1585"/>
      <c r="CB395" s="1585"/>
      <c r="CC395" s="1585"/>
      <c r="CD395" s="1585"/>
      <c r="CE395" s="1585"/>
      <c r="CF395" s="1585"/>
      <c r="CG395" s="1585"/>
      <c r="CH395" s="1585"/>
      <c r="CI395" s="1585"/>
      <c r="CJ395" s="1585"/>
      <c r="CK395" s="1585"/>
      <c r="CL395" s="1585"/>
      <c r="CM395" s="1585"/>
      <c r="CN395" s="1585"/>
      <c r="CO395" s="1585"/>
      <c r="CP395" s="1585"/>
      <c r="CQ395" s="1585"/>
      <c r="CR395" s="1585"/>
      <c r="CS395" s="1585"/>
      <c r="CT395" s="1585"/>
      <c r="CU395" s="1585"/>
      <c r="CV395" s="1585"/>
      <c r="CW395" s="1585"/>
      <c r="CX395" s="1585"/>
      <c r="CY395" s="1585"/>
      <c r="CZ395" s="1585"/>
    </row>
    <row r="396" spans="1:104">
      <c r="A396" s="1466"/>
      <c r="B396" s="1583"/>
      <c r="C396" s="1583"/>
      <c r="D396" s="1583"/>
      <c r="E396" s="1585"/>
      <c r="F396" s="1585"/>
      <c r="G396" s="1585"/>
      <c r="H396" s="1585"/>
      <c r="I396" s="1585"/>
      <c r="J396" s="1585"/>
      <c r="K396" s="1585"/>
      <c r="L396" s="1585"/>
      <c r="M396" s="1585"/>
      <c r="N396" s="1585"/>
      <c r="O396" s="1585"/>
      <c r="P396" s="1585"/>
      <c r="Q396" s="1585"/>
      <c r="R396" s="1585"/>
      <c r="S396" s="1585"/>
      <c r="T396" s="1585"/>
      <c r="U396" s="1585"/>
      <c r="V396" s="1585"/>
      <c r="W396" s="1585"/>
      <c r="X396" s="1585"/>
      <c r="Y396" s="1585"/>
      <c r="Z396" s="1585"/>
      <c r="AA396" s="1585"/>
      <c r="AB396" s="1585"/>
      <c r="AC396" s="1585"/>
      <c r="AD396" s="1585"/>
      <c r="AE396" s="1585"/>
      <c r="AF396" s="1585"/>
      <c r="AG396" s="1585"/>
      <c r="AH396" s="1585"/>
      <c r="AI396" s="1585"/>
      <c r="AJ396" s="1585"/>
      <c r="AK396" s="1585"/>
      <c r="AL396" s="1585"/>
      <c r="AM396" s="1585"/>
      <c r="AN396" s="1585"/>
      <c r="AO396" s="1585"/>
      <c r="AP396" s="1585"/>
      <c r="AQ396" s="1585"/>
      <c r="AR396" s="1585"/>
      <c r="AS396" s="1585"/>
      <c r="AT396" s="1585"/>
      <c r="AU396" s="1585"/>
      <c r="AV396" s="1585"/>
      <c r="AW396" s="1585"/>
      <c r="AX396" s="1585"/>
      <c r="AY396" s="1585"/>
      <c r="AZ396" s="1585"/>
      <c r="BA396" s="1585"/>
      <c r="BB396" s="1585"/>
      <c r="BC396" s="1585"/>
      <c r="BD396" s="1585"/>
      <c r="BE396" s="1585"/>
      <c r="BF396" s="1585"/>
      <c r="BG396" s="1585"/>
      <c r="BH396" s="1585"/>
      <c r="BI396" s="1585"/>
      <c r="BJ396" s="1585"/>
      <c r="BK396" s="1585"/>
      <c r="BL396" s="1585"/>
      <c r="BM396" s="1585"/>
      <c r="BN396" s="1585"/>
      <c r="BO396" s="1585"/>
      <c r="BP396" s="1585"/>
      <c r="BQ396" s="1585"/>
      <c r="BR396" s="1585"/>
      <c r="BS396" s="1585"/>
      <c r="BT396" s="1585"/>
      <c r="BU396" s="1585"/>
      <c r="BV396" s="1585"/>
      <c r="BW396" s="1585"/>
      <c r="BX396" s="1585"/>
      <c r="BY396" s="1585"/>
      <c r="BZ396" s="1585"/>
      <c r="CA396" s="1585"/>
      <c r="CB396" s="1585"/>
      <c r="CC396" s="1585"/>
      <c r="CD396" s="1585"/>
      <c r="CE396" s="1585"/>
      <c r="CF396" s="1585"/>
      <c r="CG396" s="1585"/>
      <c r="CH396" s="1585"/>
      <c r="CI396" s="1585"/>
      <c r="CJ396" s="1585"/>
      <c r="CK396" s="1585"/>
      <c r="CL396" s="1585"/>
      <c r="CM396" s="1585"/>
      <c r="CN396" s="1585"/>
      <c r="CO396" s="1585"/>
      <c r="CP396" s="1585"/>
      <c r="CQ396" s="1585"/>
      <c r="CR396" s="1585"/>
      <c r="CS396" s="1585"/>
      <c r="CT396" s="1585"/>
      <c r="CU396" s="1585"/>
      <c r="CV396" s="1585"/>
      <c r="CW396" s="1585"/>
      <c r="CX396" s="1585"/>
      <c r="CY396" s="1585"/>
      <c r="CZ396" s="1585"/>
    </row>
    <row r="397" spans="1:104">
      <c r="A397" s="1466"/>
      <c r="B397" s="1583"/>
      <c r="C397" s="1583"/>
      <c r="D397" s="1583"/>
      <c r="E397" s="1585"/>
      <c r="F397" s="1585"/>
      <c r="G397" s="1585"/>
      <c r="H397" s="1585"/>
      <c r="I397" s="1585"/>
      <c r="J397" s="1585"/>
      <c r="K397" s="1585"/>
      <c r="L397" s="1585"/>
      <c r="M397" s="1585"/>
      <c r="N397" s="1585"/>
      <c r="O397" s="1585"/>
      <c r="P397" s="1585"/>
      <c r="Q397" s="1585"/>
      <c r="R397" s="1585"/>
      <c r="S397" s="1585"/>
      <c r="T397" s="1585"/>
      <c r="U397" s="1585"/>
      <c r="V397" s="1585"/>
      <c r="W397" s="1585"/>
      <c r="X397" s="1585"/>
      <c r="Y397" s="1585"/>
      <c r="Z397" s="1585"/>
      <c r="AA397" s="1585"/>
      <c r="AB397" s="1585"/>
      <c r="AC397" s="1585"/>
      <c r="AD397" s="1585"/>
      <c r="AE397" s="1585"/>
      <c r="AF397" s="1585"/>
      <c r="AG397" s="1585"/>
      <c r="AH397" s="1585"/>
      <c r="AI397" s="1585"/>
      <c r="AJ397" s="1585"/>
      <c r="AK397" s="1585"/>
      <c r="AL397" s="1585"/>
      <c r="AM397" s="1585"/>
      <c r="AN397" s="1585"/>
      <c r="AO397" s="1585"/>
      <c r="AP397" s="1585"/>
      <c r="AQ397" s="1585"/>
      <c r="AR397" s="1585"/>
      <c r="AS397" s="1585"/>
      <c r="AT397" s="1585"/>
      <c r="AU397" s="1585"/>
      <c r="AV397" s="1585"/>
      <c r="AW397" s="1585"/>
      <c r="AX397" s="1585"/>
      <c r="AY397" s="1585"/>
      <c r="AZ397" s="1585"/>
      <c r="BA397" s="1585"/>
      <c r="BB397" s="1585"/>
      <c r="BC397" s="1585"/>
      <c r="BD397" s="1585"/>
      <c r="BE397" s="1585"/>
      <c r="BF397" s="1585"/>
      <c r="BG397" s="1585"/>
      <c r="BH397" s="1585"/>
      <c r="BI397" s="1585"/>
      <c r="BJ397" s="1585"/>
      <c r="BK397" s="1585"/>
      <c r="BL397" s="1585"/>
      <c r="BM397" s="1585"/>
      <c r="BN397" s="1585"/>
      <c r="BO397" s="1585"/>
      <c r="BP397" s="1585"/>
      <c r="BQ397" s="1585"/>
      <c r="BR397" s="1585"/>
      <c r="BS397" s="1585"/>
      <c r="BT397" s="1585"/>
      <c r="BU397" s="1585"/>
      <c r="BV397" s="1585"/>
      <c r="BW397" s="1585"/>
      <c r="BX397" s="1585"/>
      <c r="BY397" s="1585"/>
      <c r="BZ397" s="1585"/>
      <c r="CA397" s="1585"/>
      <c r="CB397" s="1585"/>
      <c r="CC397" s="1585"/>
      <c r="CD397" s="1585"/>
      <c r="CE397" s="1585"/>
      <c r="CF397" s="1585"/>
      <c r="CG397" s="1585"/>
      <c r="CH397" s="1585"/>
      <c r="CI397" s="1585"/>
      <c r="CJ397" s="1585"/>
      <c r="CK397" s="1585"/>
      <c r="CL397" s="1585"/>
      <c r="CM397" s="1585"/>
      <c r="CN397" s="1585"/>
      <c r="CO397" s="1585"/>
      <c r="CP397" s="1585"/>
      <c r="CQ397" s="1585"/>
      <c r="CR397" s="1585"/>
      <c r="CS397" s="1585"/>
      <c r="CT397" s="1585"/>
      <c r="CU397" s="1585"/>
      <c r="CV397" s="1585"/>
      <c r="CW397" s="1585"/>
      <c r="CX397" s="1585"/>
      <c r="CY397" s="1585"/>
      <c r="CZ397" s="1585"/>
    </row>
    <row r="398" spans="1:104">
      <c r="A398" s="1466"/>
      <c r="B398" s="1583"/>
      <c r="C398" s="1583"/>
      <c r="D398" s="1583"/>
      <c r="E398" s="1585"/>
      <c r="F398" s="1585"/>
      <c r="G398" s="1585"/>
      <c r="H398" s="1585"/>
      <c r="I398" s="1585"/>
      <c r="J398" s="1585"/>
      <c r="K398" s="1585"/>
      <c r="L398" s="1585"/>
      <c r="M398" s="1585"/>
      <c r="N398" s="1585"/>
      <c r="O398" s="1585"/>
      <c r="P398" s="1585"/>
      <c r="Q398" s="1585"/>
      <c r="R398" s="1585"/>
      <c r="S398" s="1585"/>
      <c r="T398" s="1585"/>
      <c r="U398" s="1585"/>
      <c r="V398" s="1585"/>
      <c r="W398" s="1585"/>
      <c r="X398" s="1585"/>
      <c r="Y398" s="1585"/>
      <c r="Z398" s="1585"/>
      <c r="AA398" s="1585"/>
      <c r="AB398" s="1585"/>
      <c r="AC398" s="1585"/>
      <c r="AD398" s="1585"/>
      <c r="AE398" s="1585"/>
      <c r="AF398" s="1585"/>
      <c r="AG398" s="1585"/>
      <c r="AH398" s="1585"/>
      <c r="AI398" s="1585"/>
      <c r="AJ398" s="1585"/>
      <c r="AK398" s="1585"/>
      <c r="AL398" s="1585"/>
      <c r="AM398" s="1585"/>
      <c r="AN398" s="1585"/>
      <c r="AO398" s="1585"/>
      <c r="AP398" s="1585"/>
      <c r="AQ398" s="1585"/>
      <c r="AR398" s="1585"/>
      <c r="AS398" s="1585"/>
      <c r="AT398" s="1585"/>
      <c r="AU398" s="1585"/>
      <c r="AV398" s="1585"/>
      <c r="AW398" s="1585"/>
      <c r="AX398" s="1585"/>
      <c r="AY398" s="1585"/>
      <c r="AZ398" s="1585"/>
      <c r="BA398" s="1585"/>
      <c r="BB398" s="1585"/>
      <c r="BC398" s="1585"/>
      <c r="BD398" s="1585"/>
      <c r="BE398" s="1585"/>
      <c r="BF398" s="1585"/>
      <c r="BG398" s="1585"/>
      <c r="BH398" s="1585"/>
      <c r="BI398" s="1585"/>
      <c r="BJ398" s="1585"/>
      <c r="BK398" s="1585"/>
      <c r="BL398" s="1585"/>
      <c r="BM398" s="1585"/>
      <c r="BN398" s="1585"/>
      <c r="BO398" s="1585"/>
      <c r="BP398" s="1585"/>
      <c r="BQ398" s="1585"/>
      <c r="BR398" s="1585"/>
      <c r="BS398" s="1585"/>
      <c r="BT398" s="1585"/>
      <c r="BU398" s="1585"/>
      <c r="BV398" s="1585"/>
      <c r="BW398" s="1585"/>
      <c r="BX398" s="1585"/>
      <c r="BY398" s="1585"/>
      <c r="BZ398" s="1585"/>
      <c r="CA398" s="1585"/>
      <c r="CB398" s="1585"/>
      <c r="CC398" s="1585"/>
      <c r="CD398" s="1585"/>
      <c r="CE398" s="1585"/>
      <c r="CF398" s="1585"/>
      <c r="CG398" s="1585"/>
      <c r="CH398" s="1585"/>
      <c r="CI398" s="1585"/>
      <c r="CJ398" s="1585"/>
      <c r="CK398" s="1585"/>
      <c r="CL398" s="1585"/>
      <c r="CM398" s="1585"/>
      <c r="CN398" s="1585"/>
      <c r="CO398" s="1585"/>
      <c r="CP398" s="1585"/>
      <c r="CQ398" s="1585"/>
      <c r="CR398" s="1585"/>
      <c r="CS398" s="1585"/>
      <c r="CT398" s="1585"/>
      <c r="CU398" s="1585"/>
      <c r="CV398" s="1585"/>
      <c r="CW398" s="1585"/>
      <c r="CX398" s="1585"/>
      <c r="CY398" s="1585"/>
      <c r="CZ398" s="1585"/>
    </row>
    <row r="399" spans="1:104">
      <c r="A399" s="1466"/>
      <c r="B399" s="1583"/>
      <c r="C399" s="1583"/>
      <c r="D399" s="1583"/>
      <c r="E399" s="1585"/>
      <c r="F399" s="1585"/>
      <c r="G399" s="1585"/>
      <c r="H399" s="1585"/>
      <c r="I399" s="1585"/>
      <c r="J399" s="1585"/>
      <c r="K399" s="1585"/>
      <c r="L399" s="1585"/>
      <c r="M399" s="1585"/>
      <c r="N399" s="1585"/>
      <c r="O399" s="1585"/>
      <c r="P399" s="1585"/>
      <c r="Q399" s="1585"/>
      <c r="R399" s="1585"/>
      <c r="S399" s="1585"/>
      <c r="T399" s="1585"/>
      <c r="U399" s="1585"/>
      <c r="V399" s="1585"/>
      <c r="W399" s="1585"/>
      <c r="X399" s="1585"/>
      <c r="Y399" s="1585"/>
      <c r="Z399" s="1585"/>
      <c r="AA399" s="1585"/>
      <c r="AB399" s="1585"/>
      <c r="AC399" s="1585"/>
      <c r="AD399" s="1585"/>
      <c r="AE399" s="1585"/>
      <c r="AF399" s="1585"/>
      <c r="AG399" s="1585"/>
      <c r="AH399" s="1585"/>
      <c r="AI399" s="1585"/>
      <c r="AJ399" s="1585"/>
      <c r="AK399" s="1585"/>
      <c r="AL399" s="1585"/>
      <c r="AM399" s="1585"/>
      <c r="AN399" s="1585"/>
      <c r="AO399" s="1585"/>
      <c r="AP399" s="1585"/>
      <c r="AQ399" s="1585"/>
      <c r="AR399" s="1585"/>
      <c r="AS399" s="1585"/>
      <c r="AT399" s="1585"/>
      <c r="AU399" s="1585"/>
      <c r="AV399" s="1585"/>
      <c r="AW399" s="1585"/>
      <c r="AX399" s="1585"/>
      <c r="AY399" s="1585"/>
      <c r="AZ399" s="1585"/>
      <c r="BA399" s="1585"/>
      <c r="BB399" s="1585"/>
      <c r="BC399" s="1585"/>
      <c r="BD399" s="1585"/>
      <c r="BE399" s="1585"/>
      <c r="BF399" s="1585"/>
      <c r="BG399" s="1585"/>
      <c r="BH399" s="1585"/>
      <c r="BI399" s="1585"/>
      <c r="BJ399" s="1585"/>
      <c r="BK399" s="1585"/>
      <c r="BL399" s="1585"/>
      <c r="BM399" s="1585"/>
      <c r="BN399" s="1585"/>
      <c r="BO399" s="1585"/>
      <c r="BP399" s="1585"/>
      <c r="BQ399" s="1585"/>
      <c r="BR399" s="1585"/>
      <c r="BS399" s="1585"/>
      <c r="BT399" s="1585"/>
      <c r="BU399" s="1585"/>
      <c r="BV399" s="1585"/>
      <c r="BW399" s="1585"/>
      <c r="BX399" s="1585"/>
      <c r="BY399" s="1585"/>
      <c r="BZ399" s="1585"/>
      <c r="CA399" s="1585"/>
      <c r="CB399" s="1585"/>
      <c r="CC399" s="1585"/>
      <c r="CD399" s="1585"/>
      <c r="CE399" s="1585"/>
      <c r="CF399" s="1585"/>
      <c r="CG399" s="1585"/>
      <c r="CH399" s="1585"/>
      <c r="CI399" s="1585"/>
      <c r="CJ399" s="1585"/>
      <c r="CK399" s="1585"/>
      <c r="CL399" s="1585"/>
      <c r="CM399" s="1585"/>
      <c r="CN399" s="1585"/>
      <c r="CO399" s="1585"/>
      <c r="CP399" s="1585"/>
      <c r="CQ399" s="1585"/>
      <c r="CR399" s="1585"/>
      <c r="CS399" s="1585"/>
      <c r="CT399" s="1585"/>
      <c r="CU399" s="1585"/>
      <c r="CV399" s="1585"/>
      <c r="CW399" s="1585"/>
      <c r="CX399" s="1585"/>
      <c r="CY399" s="1585"/>
      <c r="CZ399" s="1585"/>
    </row>
    <row r="400" spans="1:104">
      <c r="A400" s="1466"/>
      <c r="B400" s="1583"/>
      <c r="C400" s="1583"/>
      <c r="D400" s="1583"/>
      <c r="E400" s="1585"/>
      <c r="F400" s="1585"/>
      <c r="G400" s="1585"/>
      <c r="H400" s="1585"/>
      <c r="I400" s="1585"/>
      <c r="J400" s="1585"/>
      <c r="K400" s="1585"/>
      <c r="L400" s="1585"/>
      <c r="M400" s="1585"/>
      <c r="N400" s="1585"/>
      <c r="O400" s="1585"/>
      <c r="P400" s="1585"/>
      <c r="Q400" s="1585"/>
      <c r="R400" s="1585"/>
      <c r="S400" s="1585"/>
      <c r="T400" s="1585"/>
      <c r="U400" s="1585"/>
      <c r="V400" s="1585"/>
      <c r="W400" s="1585"/>
      <c r="X400" s="1585"/>
      <c r="Y400" s="1585"/>
      <c r="Z400" s="1585"/>
      <c r="AA400" s="1585"/>
      <c r="AB400" s="1585"/>
      <c r="AC400" s="1585"/>
      <c r="AD400" s="1585"/>
      <c r="AE400" s="1585"/>
      <c r="AF400" s="1585"/>
      <c r="AG400" s="1585"/>
      <c r="AH400" s="1585"/>
      <c r="AI400" s="1585"/>
      <c r="AJ400" s="1585"/>
      <c r="AK400" s="1585"/>
      <c r="AL400" s="1585"/>
      <c r="AM400" s="1585"/>
      <c r="AN400" s="1585"/>
      <c r="AO400" s="1585"/>
      <c r="AP400" s="1585"/>
      <c r="AQ400" s="1585"/>
      <c r="AR400" s="1585"/>
      <c r="AS400" s="1585"/>
      <c r="AT400" s="1585"/>
      <c r="AU400" s="1585"/>
      <c r="AV400" s="1585"/>
      <c r="AW400" s="1585"/>
      <c r="AX400" s="1585"/>
      <c r="AY400" s="1585"/>
      <c r="AZ400" s="1585"/>
      <c r="BA400" s="1585"/>
      <c r="BB400" s="1585"/>
      <c r="BC400" s="1585"/>
      <c r="BD400" s="1585"/>
      <c r="BE400" s="1585"/>
      <c r="BF400" s="1585"/>
      <c r="BG400" s="1585"/>
      <c r="BH400" s="1585"/>
      <c r="BI400" s="1585"/>
      <c r="BJ400" s="1585"/>
      <c r="BK400" s="1585"/>
      <c r="BL400" s="1585"/>
      <c r="BM400" s="1585"/>
      <c r="BN400" s="1585"/>
      <c r="BO400" s="1585"/>
      <c r="BP400" s="1585"/>
      <c r="BQ400" s="1585"/>
      <c r="BR400" s="1585"/>
      <c r="BS400" s="1585"/>
      <c r="BT400" s="1585"/>
      <c r="BU400" s="1585"/>
      <c r="BV400" s="1585"/>
      <c r="BW400" s="1585"/>
      <c r="BX400" s="1585"/>
      <c r="BY400" s="1585"/>
      <c r="BZ400" s="1585"/>
      <c r="CA400" s="1585"/>
      <c r="CB400" s="1585"/>
      <c r="CC400" s="1585"/>
      <c r="CD400" s="1585"/>
      <c r="CE400" s="1585"/>
      <c r="CF400" s="1585"/>
      <c r="CG400" s="1585"/>
      <c r="CH400" s="1585"/>
      <c r="CI400" s="1585"/>
      <c r="CJ400" s="1585"/>
      <c r="CK400" s="1585"/>
      <c r="CL400" s="1585"/>
      <c r="CM400" s="1585"/>
      <c r="CN400" s="1585"/>
      <c r="CO400" s="1585"/>
      <c r="CP400" s="1585"/>
      <c r="CQ400" s="1585"/>
      <c r="CR400" s="1585"/>
      <c r="CS400" s="1585"/>
      <c r="CT400" s="1585"/>
      <c r="CU400" s="1585"/>
      <c r="CV400" s="1585"/>
      <c r="CW400" s="1585"/>
      <c r="CX400" s="1585"/>
      <c r="CY400" s="1585"/>
      <c r="CZ400" s="1585"/>
    </row>
    <row r="401" spans="1:104">
      <c r="A401" s="1466"/>
      <c r="B401" s="1583"/>
      <c r="C401" s="1583"/>
      <c r="D401" s="1583"/>
      <c r="E401" s="1585"/>
      <c r="F401" s="1585"/>
      <c r="G401" s="1585"/>
      <c r="H401" s="1585"/>
      <c r="I401" s="1585"/>
      <c r="J401" s="1585"/>
      <c r="K401" s="1585"/>
      <c r="L401" s="1585"/>
      <c r="M401" s="1585"/>
      <c r="N401" s="1585"/>
      <c r="O401" s="1585"/>
      <c r="P401" s="1585"/>
      <c r="Q401" s="1585"/>
      <c r="R401" s="1585"/>
      <c r="S401" s="1585"/>
      <c r="T401" s="1585"/>
      <c r="U401" s="1585"/>
      <c r="V401" s="1585"/>
      <c r="W401" s="1585"/>
      <c r="X401" s="1585"/>
      <c r="Y401" s="1585"/>
      <c r="Z401" s="1585"/>
      <c r="AA401" s="1585"/>
      <c r="AB401" s="1585"/>
      <c r="AC401" s="1585"/>
      <c r="AD401" s="1585"/>
      <c r="AE401" s="1585"/>
      <c r="AF401" s="1585"/>
      <c r="AG401" s="1585"/>
      <c r="AH401" s="1585"/>
      <c r="AI401" s="1585"/>
      <c r="AJ401" s="1585"/>
      <c r="AK401" s="1585"/>
      <c r="AL401" s="1585"/>
      <c r="AM401" s="1585"/>
      <c r="AN401" s="1585"/>
      <c r="AO401" s="1585"/>
      <c r="AP401" s="1585"/>
      <c r="AQ401" s="1585"/>
      <c r="AR401" s="1585"/>
      <c r="AS401" s="1585"/>
      <c r="AT401" s="1585"/>
      <c r="AU401" s="1585"/>
      <c r="AV401" s="1585"/>
      <c r="AW401" s="1585"/>
      <c r="AX401" s="1585"/>
      <c r="AY401" s="1585"/>
      <c r="AZ401" s="1585"/>
      <c r="BA401" s="1585"/>
      <c r="BB401" s="1585"/>
      <c r="BC401" s="1585"/>
      <c r="BD401" s="1585"/>
      <c r="BE401" s="1585"/>
      <c r="BF401" s="1585"/>
      <c r="BG401" s="1585"/>
      <c r="BH401" s="1585"/>
      <c r="BI401" s="1585"/>
      <c r="BJ401" s="1585"/>
      <c r="BK401" s="1585"/>
      <c r="BL401" s="1585"/>
      <c r="BM401" s="1585"/>
      <c r="BN401" s="1585"/>
      <c r="BO401" s="1585"/>
      <c r="BP401" s="1585"/>
      <c r="BQ401" s="1585"/>
      <c r="BR401" s="1585"/>
      <c r="BS401" s="1585"/>
      <c r="BT401" s="1585"/>
      <c r="BU401" s="1585"/>
      <c r="BV401" s="1585"/>
      <c r="BW401" s="1585"/>
      <c r="BX401" s="1585"/>
      <c r="BY401" s="1585"/>
      <c r="BZ401" s="1585"/>
      <c r="CA401" s="1585"/>
      <c r="CB401" s="1585"/>
      <c r="CC401" s="1585"/>
      <c r="CD401" s="1585"/>
      <c r="CE401" s="1585"/>
      <c r="CF401" s="1585"/>
      <c r="CG401" s="1585"/>
      <c r="CH401" s="1585"/>
      <c r="CI401" s="1585"/>
      <c r="CJ401" s="1585"/>
      <c r="CK401" s="1585"/>
      <c r="CL401" s="1585"/>
      <c r="CM401" s="1585"/>
      <c r="CN401" s="1585"/>
      <c r="CO401" s="1585"/>
      <c r="CP401" s="1585"/>
      <c r="CQ401" s="1585"/>
      <c r="CR401" s="1585"/>
      <c r="CS401" s="1585"/>
      <c r="CT401" s="1585"/>
      <c r="CU401" s="1585"/>
      <c r="CV401" s="1585"/>
      <c r="CW401" s="1585"/>
      <c r="CX401" s="1585"/>
      <c r="CY401" s="1585"/>
      <c r="CZ401" s="1585"/>
    </row>
    <row r="402" spans="1:104">
      <c r="A402" s="1466"/>
      <c r="B402" s="1583"/>
      <c r="C402" s="1583"/>
      <c r="D402" s="1583"/>
      <c r="E402" s="1585"/>
      <c r="F402" s="1585"/>
      <c r="G402" s="1585"/>
      <c r="H402" s="1585"/>
      <c r="I402" s="1585"/>
      <c r="J402" s="1585"/>
      <c r="K402" s="1585"/>
      <c r="L402" s="1585"/>
      <c r="M402" s="1585"/>
      <c r="N402" s="1585"/>
      <c r="O402" s="1585"/>
      <c r="P402" s="1585"/>
      <c r="Q402" s="1585"/>
      <c r="R402" s="1585"/>
      <c r="S402" s="1585"/>
      <c r="T402" s="1585"/>
      <c r="U402" s="1585"/>
      <c r="V402" s="1585"/>
      <c r="W402" s="1585"/>
      <c r="X402" s="1585"/>
      <c r="Y402" s="1585"/>
      <c r="Z402" s="1585"/>
      <c r="AA402" s="1585"/>
      <c r="AB402" s="1585"/>
      <c r="AC402" s="1585"/>
      <c r="AD402" s="1585"/>
      <c r="AE402" s="1585"/>
      <c r="AF402" s="1585"/>
      <c r="AG402" s="1585"/>
      <c r="AH402" s="1585"/>
      <c r="AI402" s="1585"/>
      <c r="AJ402" s="1585"/>
      <c r="AK402" s="1585"/>
      <c r="AL402" s="1585"/>
      <c r="AM402" s="1585"/>
      <c r="AN402" s="1585"/>
      <c r="AO402" s="1585"/>
      <c r="AP402" s="1585"/>
      <c r="AQ402" s="1585"/>
      <c r="AR402" s="1585"/>
      <c r="AS402" s="1585"/>
      <c r="AT402" s="1585"/>
      <c r="AU402" s="1585"/>
      <c r="AV402" s="1585"/>
      <c r="AW402" s="1585"/>
      <c r="AX402" s="1585"/>
      <c r="AY402" s="1585"/>
      <c r="AZ402" s="1585"/>
      <c r="BA402" s="1585"/>
      <c r="BB402" s="1585"/>
      <c r="BC402" s="1585"/>
      <c r="BD402" s="1585"/>
      <c r="BE402" s="1585"/>
      <c r="BF402" s="1585"/>
      <c r="BG402" s="1585"/>
      <c r="BH402" s="1585"/>
      <c r="BI402" s="1585"/>
      <c r="BJ402" s="1585"/>
      <c r="BK402" s="1585"/>
      <c r="BL402" s="1585"/>
      <c r="BM402" s="1585"/>
      <c r="BN402" s="1585"/>
      <c r="BO402" s="1585"/>
      <c r="BP402" s="1585"/>
      <c r="BQ402" s="1585"/>
      <c r="BR402" s="1585"/>
      <c r="BS402" s="1585"/>
      <c r="BT402" s="1585"/>
      <c r="BU402" s="1585"/>
      <c r="BV402" s="1585"/>
      <c r="BW402" s="1585"/>
      <c r="BX402" s="1585"/>
      <c r="BY402" s="1585"/>
      <c r="BZ402" s="1585"/>
      <c r="CA402" s="1585"/>
      <c r="CB402" s="1585"/>
      <c r="CC402" s="1585"/>
      <c r="CD402" s="1585"/>
      <c r="CE402" s="1585"/>
      <c r="CF402" s="1585"/>
      <c r="CG402" s="1585"/>
      <c r="CH402" s="1585"/>
      <c r="CI402" s="1585"/>
      <c r="CJ402" s="1585"/>
      <c r="CK402" s="1585"/>
      <c r="CL402" s="1585"/>
      <c r="CM402" s="1585"/>
      <c r="CN402" s="1585"/>
      <c r="CO402" s="1585"/>
      <c r="CP402" s="1585"/>
      <c r="CQ402" s="1585"/>
      <c r="CR402" s="1585"/>
      <c r="CS402" s="1585"/>
      <c r="CT402" s="1585"/>
      <c r="CU402" s="1585"/>
      <c r="CV402" s="1585"/>
      <c r="CW402" s="1585"/>
      <c r="CX402" s="1585"/>
      <c r="CY402" s="1585"/>
      <c r="CZ402" s="1585"/>
    </row>
    <row r="403" spans="1:104">
      <c r="A403" s="1466"/>
      <c r="B403" s="1583"/>
      <c r="C403" s="1583"/>
      <c r="D403" s="1583"/>
      <c r="E403" s="1585"/>
      <c r="F403" s="1585"/>
      <c r="G403" s="1585"/>
      <c r="H403" s="1585"/>
      <c r="I403" s="1585"/>
      <c r="J403" s="1585"/>
      <c r="K403" s="1585"/>
      <c r="L403" s="1585"/>
      <c r="M403" s="1585"/>
      <c r="N403" s="1585"/>
      <c r="O403" s="1585"/>
      <c r="P403" s="1585"/>
      <c r="Q403" s="1585"/>
      <c r="R403" s="1585"/>
      <c r="S403" s="1585"/>
      <c r="T403" s="1585"/>
      <c r="U403" s="1585"/>
      <c r="V403" s="1585"/>
      <c r="W403" s="1585"/>
      <c r="X403" s="1585"/>
      <c r="Y403" s="1585"/>
      <c r="Z403" s="1585"/>
      <c r="AA403" s="1585"/>
      <c r="AB403" s="1585"/>
      <c r="AC403" s="1585"/>
      <c r="AD403" s="1585"/>
      <c r="AE403" s="1585"/>
      <c r="AF403" s="1585"/>
      <c r="AG403" s="1585"/>
      <c r="AH403" s="1585"/>
      <c r="AI403" s="1585"/>
      <c r="AJ403" s="1585"/>
      <c r="AK403" s="1585"/>
      <c r="AL403" s="1585"/>
      <c r="AM403" s="1585"/>
      <c r="AN403" s="1585"/>
      <c r="AO403" s="1585"/>
      <c r="AP403" s="1585"/>
      <c r="AQ403" s="1585"/>
      <c r="AR403" s="1585"/>
      <c r="AS403" s="1585"/>
      <c r="AT403" s="1585"/>
      <c r="AU403" s="1585"/>
      <c r="AV403" s="1585"/>
      <c r="AW403" s="1585"/>
      <c r="AX403" s="1585"/>
      <c r="AY403" s="1585"/>
      <c r="AZ403" s="1585"/>
      <c r="BA403" s="1585"/>
      <c r="BB403" s="1585"/>
      <c r="BC403" s="1585"/>
      <c r="BD403" s="1585"/>
      <c r="BE403" s="1585"/>
      <c r="BF403" s="1585"/>
      <c r="BG403" s="1585"/>
      <c r="BH403" s="1585"/>
      <c r="BI403" s="1585"/>
      <c r="BJ403" s="1585"/>
      <c r="BK403" s="1585"/>
      <c r="BL403" s="1585"/>
      <c r="BM403" s="1585"/>
      <c r="BN403" s="1585"/>
      <c r="BO403" s="1585"/>
      <c r="BP403" s="1585"/>
      <c r="BQ403" s="1585"/>
      <c r="BR403" s="1585"/>
      <c r="BS403" s="1585"/>
      <c r="BT403" s="1585"/>
      <c r="BU403" s="1585"/>
      <c r="BV403" s="1585"/>
      <c r="BW403" s="1585"/>
      <c r="BX403" s="1585"/>
      <c r="BY403" s="1585"/>
      <c r="BZ403" s="1585"/>
      <c r="CA403" s="1585"/>
      <c r="CB403" s="1585"/>
      <c r="CC403" s="1585"/>
      <c r="CD403" s="1585"/>
      <c r="CE403" s="1585"/>
      <c r="CF403" s="1585"/>
      <c r="CG403" s="1585"/>
      <c r="CH403" s="1585"/>
      <c r="CI403" s="1585"/>
      <c r="CJ403" s="1585"/>
      <c r="CK403" s="1585"/>
      <c r="CL403" s="1585"/>
      <c r="CM403" s="1585"/>
      <c r="CN403" s="1585"/>
      <c r="CO403" s="1585"/>
      <c r="CP403" s="1585"/>
      <c r="CQ403" s="1585"/>
      <c r="CR403" s="1585"/>
      <c r="CS403" s="1585"/>
      <c r="CT403" s="1585"/>
      <c r="CU403" s="1585"/>
      <c r="CV403" s="1585"/>
      <c r="CW403" s="1585"/>
      <c r="CX403" s="1585"/>
      <c r="CY403" s="1585"/>
      <c r="CZ403" s="1585"/>
    </row>
    <row r="404" spans="1:104">
      <c r="A404" s="1466"/>
      <c r="B404" s="1583"/>
      <c r="C404" s="1583"/>
      <c r="D404" s="1583"/>
      <c r="E404" s="1585"/>
      <c r="F404" s="1585"/>
      <c r="G404" s="1585"/>
      <c r="H404" s="1585"/>
      <c r="I404" s="1585"/>
      <c r="J404" s="1585"/>
      <c r="K404" s="1585"/>
      <c r="L404" s="1585"/>
      <c r="M404" s="1585"/>
      <c r="N404" s="1585"/>
      <c r="O404" s="1585"/>
      <c r="P404" s="1585"/>
      <c r="Q404" s="1585"/>
      <c r="R404" s="1585"/>
      <c r="S404" s="1585"/>
      <c r="T404" s="1585"/>
      <c r="U404" s="1585"/>
      <c r="V404" s="1585"/>
      <c r="W404" s="1585"/>
      <c r="X404" s="1585"/>
      <c r="Y404" s="1585"/>
      <c r="Z404" s="1585"/>
      <c r="AA404" s="1585"/>
      <c r="AB404" s="1585"/>
      <c r="AC404" s="1585"/>
      <c r="AD404" s="1585"/>
      <c r="AE404" s="1585"/>
      <c r="AF404" s="1585"/>
      <c r="AG404" s="1585"/>
      <c r="AH404" s="1585"/>
      <c r="AI404" s="1585"/>
      <c r="AJ404" s="1585"/>
      <c r="AK404" s="1585"/>
      <c r="AL404" s="1585"/>
      <c r="AM404" s="1585"/>
      <c r="AN404" s="1585"/>
      <c r="AO404" s="1585"/>
      <c r="AP404" s="1585"/>
      <c r="AQ404" s="1585"/>
      <c r="AR404" s="1585"/>
      <c r="AS404" s="1585"/>
      <c r="AT404" s="1585"/>
      <c r="AU404" s="1585"/>
      <c r="AV404" s="1585"/>
      <c r="AW404" s="1585"/>
      <c r="AX404" s="1585"/>
      <c r="AY404" s="1585"/>
      <c r="AZ404" s="1585"/>
      <c r="BA404" s="1585"/>
      <c r="BB404" s="1585"/>
      <c r="BC404" s="1585"/>
      <c r="BD404" s="1585"/>
      <c r="BE404" s="1585"/>
      <c r="BF404" s="1585"/>
      <c r="BG404" s="1585"/>
      <c r="BH404" s="1585"/>
      <c r="BI404" s="1585"/>
      <c r="BJ404" s="1585"/>
      <c r="BK404" s="1585"/>
      <c r="BL404" s="1585"/>
      <c r="BM404" s="1585"/>
      <c r="BN404" s="1585"/>
      <c r="BO404" s="1585"/>
      <c r="BP404" s="1585"/>
      <c r="BQ404" s="1585"/>
      <c r="BR404" s="1585"/>
      <c r="BS404" s="1585"/>
      <c r="BT404" s="1585"/>
      <c r="BU404" s="1585"/>
      <c r="BV404" s="1585"/>
      <c r="BW404" s="1585"/>
      <c r="BX404" s="1585"/>
      <c r="BY404" s="1585"/>
      <c r="BZ404" s="1585"/>
      <c r="CA404" s="1585"/>
      <c r="CB404" s="1585"/>
      <c r="CC404" s="1585"/>
      <c r="CD404" s="1585"/>
      <c r="CE404" s="1585"/>
      <c r="CF404" s="1585"/>
      <c r="CG404" s="1585"/>
      <c r="CH404" s="1585"/>
      <c r="CI404" s="1585"/>
      <c r="CJ404" s="1585"/>
      <c r="CK404" s="1585"/>
      <c r="CL404" s="1585"/>
      <c r="CM404" s="1585"/>
      <c r="CN404" s="1585"/>
      <c r="CO404" s="1585"/>
      <c r="CP404" s="1585"/>
      <c r="CQ404" s="1585"/>
      <c r="CR404" s="1585"/>
      <c r="CS404" s="1585"/>
      <c r="CT404" s="1585"/>
      <c r="CU404" s="1585"/>
      <c r="CV404" s="1585"/>
      <c r="CW404" s="1585"/>
      <c r="CX404" s="1585"/>
      <c r="CY404" s="1585"/>
      <c r="CZ404" s="1585"/>
    </row>
    <row r="405" spans="1:104">
      <c r="A405" s="1466"/>
      <c r="B405" s="1583"/>
      <c r="C405" s="1583"/>
      <c r="D405" s="1583"/>
      <c r="E405" s="1585"/>
      <c r="F405" s="1585"/>
      <c r="G405" s="1585"/>
      <c r="H405" s="1585"/>
      <c r="I405" s="1585"/>
      <c r="J405" s="1585"/>
      <c r="K405" s="1585"/>
      <c r="L405" s="1585"/>
      <c r="M405" s="1585"/>
      <c r="N405" s="1585"/>
      <c r="O405" s="1585"/>
      <c r="P405" s="1585"/>
      <c r="Q405" s="1585"/>
      <c r="R405" s="1585"/>
      <c r="S405" s="1585"/>
      <c r="T405" s="1585"/>
      <c r="U405" s="1585"/>
      <c r="V405" s="1585"/>
      <c r="W405" s="1585"/>
      <c r="X405" s="1585"/>
      <c r="Y405" s="1585"/>
      <c r="Z405" s="1585"/>
      <c r="AA405" s="1585"/>
      <c r="AB405" s="1585"/>
      <c r="AC405" s="1585"/>
      <c r="AD405" s="1585"/>
      <c r="AE405" s="1585"/>
      <c r="AF405" s="1585"/>
      <c r="AG405" s="1585"/>
      <c r="AH405" s="1585"/>
      <c r="AI405" s="1585"/>
      <c r="AJ405" s="1585"/>
      <c r="AK405" s="1585"/>
      <c r="AL405" s="1585"/>
      <c r="AM405" s="1585"/>
      <c r="AN405" s="1585"/>
      <c r="AO405" s="1585"/>
      <c r="AP405" s="1585"/>
      <c r="AQ405" s="1585"/>
      <c r="AR405" s="1585"/>
      <c r="AS405" s="1585"/>
      <c r="AT405" s="1585"/>
      <c r="AU405" s="1585"/>
      <c r="AV405" s="1585"/>
      <c r="AW405" s="1585"/>
      <c r="AX405" s="1585"/>
      <c r="AY405" s="1585"/>
      <c r="AZ405" s="1585"/>
      <c r="BA405" s="1585"/>
      <c r="BB405" s="1585"/>
      <c r="BC405" s="1585"/>
      <c r="BD405" s="1585"/>
      <c r="BE405" s="1585"/>
      <c r="BF405" s="1585"/>
      <c r="BG405" s="1585"/>
      <c r="BH405" s="1585"/>
      <c r="BI405" s="1585"/>
      <c r="BJ405" s="1585"/>
      <c r="BK405" s="1585"/>
      <c r="BL405" s="1585"/>
      <c r="BM405" s="1585"/>
      <c r="BN405" s="1585"/>
      <c r="BO405" s="1585"/>
      <c r="BP405" s="1585"/>
      <c r="BQ405" s="1585"/>
      <c r="BR405" s="1585"/>
      <c r="BS405" s="1585"/>
      <c r="BT405" s="1585"/>
      <c r="BU405" s="1585"/>
      <c r="BV405" s="1585"/>
      <c r="BW405" s="1585"/>
      <c r="BX405" s="1585"/>
      <c r="BY405" s="1585"/>
      <c r="BZ405" s="1585"/>
      <c r="CA405" s="1585"/>
      <c r="CB405" s="1585"/>
      <c r="CC405" s="1585"/>
      <c r="CD405" s="1585"/>
      <c r="CE405" s="1585"/>
      <c r="CF405" s="1585"/>
      <c r="CG405" s="1585"/>
      <c r="CH405" s="1585"/>
      <c r="CI405" s="1585"/>
      <c r="CJ405" s="1585"/>
      <c r="CK405" s="1585"/>
      <c r="CL405" s="1585"/>
      <c r="CM405" s="1585"/>
      <c r="CN405" s="1585"/>
      <c r="CO405" s="1585"/>
      <c r="CP405" s="1585"/>
      <c r="CQ405" s="1585"/>
      <c r="CR405" s="1585"/>
      <c r="CS405" s="1585"/>
      <c r="CT405" s="1585"/>
      <c r="CU405" s="1585"/>
      <c r="CV405" s="1585"/>
      <c r="CW405" s="1585"/>
      <c r="CX405" s="1585"/>
      <c r="CY405" s="1585"/>
      <c r="CZ405" s="1585"/>
    </row>
    <row r="406" spans="1:104">
      <c r="A406" s="1466"/>
      <c r="B406" s="1583"/>
      <c r="C406" s="1583"/>
      <c r="D406" s="1583"/>
      <c r="E406" s="1585"/>
      <c r="F406" s="1585"/>
      <c r="G406" s="1585"/>
      <c r="H406" s="1585"/>
      <c r="I406" s="1585"/>
      <c r="J406" s="1585"/>
      <c r="K406" s="1585"/>
      <c r="L406" s="1585"/>
      <c r="M406" s="1585"/>
      <c r="N406" s="1585"/>
      <c r="O406" s="1585"/>
      <c r="P406" s="1585"/>
      <c r="Q406" s="1585"/>
      <c r="R406" s="1585"/>
      <c r="S406" s="1585"/>
      <c r="T406" s="1585"/>
      <c r="U406" s="1585"/>
      <c r="V406" s="1585"/>
      <c r="W406" s="1585"/>
      <c r="X406" s="1585"/>
      <c r="Y406" s="1585"/>
      <c r="Z406" s="1585"/>
      <c r="AA406" s="1585"/>
      <c r="AB406" s="1585"/>
      <c r="AC406" s="1585"/>
      <c r="AD406" s="1585"/>
      <c r="AE406" s="1585"/>
      <c r="AF406" s="1585"/>
      <c r="AG406" s="1585"/>
      <c r="AH406" s="1585"/>
      <c r="AI406" s="1585"/>
      <c r="AJ406" s="1585"/>
      <c r="AK406" s="1585"/>
      <c r="AL406" s="1585"/>
      <c r="AM406" s="1585"/>
      <c r="AN406" s="1585"/>
      <c r="AO406" s="1585"/>
      <c r="AP406" s="1585"/>
      <c r="AQ406" s="1585"/>
      <c r="AR406" s="1585"/>
      <c r="AS406" s="1585"/>
      <c r="AT406" s="1585"/>
      <c r="AU406" s="1585"/>
      <c r="AV406" s="1585"/>
      <c r="AW406" s="1585"/>
      <c r="AX406" s="1585"/>
      <c r="AY406" s="1585"/>
      <c r="AZ406" s="1585"/>
      <c r="BA406" s="1585"/>
      <c r="BB406" s="1585"/>
      <c r="BC406" s="1585"/>
      <c r="BD406" s="1585"/>
      <c r="BE406" s="1585"/>
      <c r="BF406" s="1585"/>
      <c r="BG406" s="1585"/>
      <c r="BH406" s="1585"/>
      <c r="BI406" s="1585"/>
      <c r="BJ406" s="1585"/>
      <c r="BK406" s="1585"/>
      <c r="BL406" s="1585"/>
      <c r="BM406" s="1585"/>
      <c r="BN406" s="1585"/>
      <c r="BO406" s="1585"/>
      <c r="BP406" s="1585"/>
      <c r="BQ406" s="1585"/>
      <c r="BR406" s="1585"/>
      <c r="BS406" s="1585"/>
      <c r="BT406" s="1585"/>
      <c r="BU406" s="1585"/>
      <c r="BV406" s="1585"/>
      <c r="BW406" s="1585"/>
      <c r="BX406" s="1585"/>
      <c r="BY406" s="1585"/>
      <c r="BZ406" s="1585"/>
      <c r="CA406" s="1585"/>
      <c r="CB406" s="1585"/>
      <c r="CC406" s="1585"/>
      <c r="CD406" s="1585"/>
      <c r="CE406" s="1585"/>
      <c r="CF406" s="1585"/>
      <c r="CG406" s="1585"/>
      <c r="CH406" s="1585"/>
      <c r="CI406" s="1585"/>
      <c r="CJ406" s="1585"/>
      <c r="CK406" s="1585"/>
      <c r="CL406" s="1585"/>
      <c r="CM406" s="1585"/>
      <c r="CN406" s="1585"/>
      <c r="CO406" s="1585"/>
      <c r="CP406" s="1585"/>
      <c r="CQ406" s="1585"/>
      <c r="CR406" s="1585"/>
      <c r="CS406" s="1585"/>
      <c r="CT406" s="1585"/>
      <c r="CU406" s="1585"/>
      <c r="CV406" s="1585"/>
      <c r="CW406" s="1585"/>
      <c r="CX406" s="1585"/>
      <c r="CY406" s="1585"/>
      <c r="CZ406" s="1585"/>
    </row>
    <row r="407" spans="1:104">
      <c r="A407" s="1466"/>
      <c r="B407" s="1583"/>
      <c r="C407" s="1583"/>
      <c r="D407" s="1583"/>
      <c r="E407" s="1585"/>
      <c r="F407" s="1585"/>
      <c r="G407" s="1585"/>
      <c r="H407" s="1585"/>
      <c r="I407" s="1585"/>
      <c r="J407" s="1585"/>
      <c r="K407" s="1585"/>
      <c r="L407" s="1585"/>
      <c r="M407" s="1585"/>
      <c r="N407" s="1585"/>
      <c r="O407" s="1585"/>
      <c r="P407" s="1585"/>
      <c r="Q407" s="1585"/>
      <c r="R407" s="1585"/>
      <c r="S407" s="1585"/>
      <c r="T407" s="1585"/>
      <c r="U407" s="1585"/>
      <c r="V407" s="1585"/>
      <c r="W407" s="1585"/>
      <c r="X407" s="1585"/>
      <c r="Y407" s="1585"/>
      <c r="Z407" s="1585"/>
      <c r="AA407" s="1585"/>
      <c r="AB407" s="1585"/>
      <c r="AC407" s="1585"/>
      <c r="AD407" s="1585"/>
      <c r="AE407" s="1585"/>
      <c r="AF407" s="1585"/>
      <c r="AG407" s="1585"/>
      <c r="AH407" s="1585"/>
      <c r="AI407" s="1585"/>
      <c r="AJ407" s="1585"/>
      <c r="AK407" s="1585"/>
      <c r="AL407" s="1585"/>
      <c r="AM407" s="1585"/>
      <c r="AN407" s="1585"/>
      <c r="AO407" s="1585"/>
      <c r="AP407" s="1585"/>
      <c r="AQ407" s="1585"/>
      <c r="AR407" s="1585"/>
      <c r="AS407" s="1585"/>
      <c r="AT407" s="1585"/>
      <c r="AU407" s="1585"/>
      <c r="AV407" s="1585"/>
      <c r="AW407" s="1585"/>
      <c r="AX407" s="1585"/>
      <c r="AY407" s="1585"/>
      <c r="AZ407" s="1585"/>
      <c r="BA407" s="1585"/>
      <c r="BB407" s="1585"/>
      <c r="BC407" s="1585"/>
      <c r="BD407" s="1585"/>
      <c r="BE407" s="1585"/>
      <c r="BF407" s="1585"/>
      <c r="BG407" s="1585"/>
      <c r="BH407" s="1585"/>
      <c r="BI407" s="1585"/>
      <c r="BJ407" s="1585"/>
      <c r="BK407" s="1585"/>
      <c r="BL407" s="1585"/>
      <c r="BM407" s="1585"/>
      <c r="BN407" s="1585"/>
      <c r="BO407" s="1585"/>
      <c r="BP407" s="1585"/>
      <c r="BQ407" s="1585"/>
      <c r="BR407" s="1585"/>
      <c r="BS407" s="1585"/>
      <c r="BT407" s="1585"/>
      <c r="BU407" s="1585"/>
      <c r="BV407" s="1585"/>
      <c r="BW407" s="1585"/>
      <c r="BX407" s="1585"/>
      <c r="BY407" s="1585"/>
      <c r="BZ407" s="1585"/>
      <c r="CA407" s="1585"/>
      <c r="CB407" s="1585"/>
      <c r="CC407" s="1585"/>
      <c r="CD407" s="1585"/>
      <c r="CE407" s="1585"/>
      <c r="CF407" s="1585"/>
      <c r="CG407" s="1585"/>
      <c r="CH407" s="1585"/>
      <c r="CI407" s="1585"/>
      <c r="CJ407" s="1585"/>
      <c r="CK407" s="1585"/>
      <c r="CL407" s="1585"/>
      <c r="CM407" s="1585"/>
      <c r="CN407" s="1585"/>
      <c r="CO407" s="1585"/>
      <c r="CP407" s="1585"/>
      <c r="CQ407" s="1585"/>
      <c r="CR407" s="1585"/>
      <c r="CS407" s="1585"/>
      <c r="CT407" s="1585"/>
      <c r="CU407" s="1585"/>
      <c r="CV407" s="1585"/>
      <c r="CW407" s="1585"/>
      <c r="CX407" s="1585"/>
      <c r="CY407" s="1585"/>
      <c r="CZ407" s="1585"/>
    </row>
    <row r="408" spans="1:104">
      <c r="A408" s="1466"/>
      <c r="B408" s="1583"/>
      <c r="C408" s="1583"/>
      <c r="D408" s="1583"/>
      <c r="E408" s="1585"/>
      <c r="F408" s="1585"/>
      <c r="G408" s="1585"/>
      <c r="H408" s="1585"/>
      <c r="I408" s="1585"/>
      <c r="J408" s="1585"/>
      <c r="K408" s="1585"/>
      <c r="L408" s="1585"/>
      <c r="M408" s="1585"/>
      <c r="N408" s="1585"/>
      <c r="O408" s="1585"/>
      <c r="P408" s="1585"/>
      <c r="Q408" s="1585"/>
      <c r="R408" s="1585"/>
      <c r="S408" s="1585"/>
      <c r="T408" s="1585"/>
      <c r="U408" s="1585"/>
      <c r="V408" s="1585"/>
      <c r="W408" s="1585"/>
      <c r="X408" s="1585"/>
      <c r="Y408" s="1585"/>
      <c r="Z408" s="1585"/>
      <c r="AA408" s="1585"/>
      <c r="AB408" s="1585"/>
      <c r="AC408" s="1585"/>
      <c r="AD408" s="1585"/>
      <c r="AE408" s="1585"/>
      <c r="AF408" s="1585"/>
      <c r="AG408" s="1585"/>
      <c r="AH408" s="1585"/>
      <c r="AI408" s="1585"/>
      <c r="AJ408" s="1585"/>
      <c r="AK408" s="1585"/>
      <c r="AL408" s="1585"/>
      <c r="AM408" s="1585"/>
      <c r="AN408" s="1585"/>
      <c r="AO408" s="1585"/>
      <c r="AP408" s="1585"/>
      <c r="AQ408" s="1585"/>
      <c r="AR408" s="1585"/>
      <c r="AS408" s="1585"/>
      <c r="AT408" s="1585"/>
      <c r="AU408" s="1585"/>
      <c r="AV408" s="1585"/>
      <c r="AW408" s="1585"/>
      <c r="AX408" s="1585"/>
      <c r="AY408" s="1585"/>
      <c r="AZ408" s="1585"/>
      <c r="BA408" s="1585"/>
      <c r="BB408" s="1585"/>
      <c r="BC408" s="1585"/>
      <c r="BD408" s="1585"/>
      <c r="BE408" s="1585"/>
      <c r="BF408" s="1585"/>
      <c r="BG408" s="1585"/>
      <c r="BH408" s="1585"/>
      <c r="BI408" s="1585"/>
      <c r="BJ408" s="1585"/>
      <c r="BK408" s="1585"/>
      <c r="BL408" s="1585"/>
      <c r="BM408" s="1585"/>
      <c r="BN408" s="1585"/>
      <c r="BO408" s="1585"/>
      <c r="BP408" s="1585"/>
      <c r="BQ408" s="1585"/>
      <c r="BR408" s="1585"/>
      <c r="BS408" s="1585"/>
      <c r="BT408" s="1585"/>
      <c r="BU408" s="1585"/>
      <c r="BV408" s="1585"/>
      <c r="BW408" s="1585"/>
      <c r="BX408" s="1585"/>
      <c r="BY408" s="1585"/>
      <c r="BZ408" s="1585"/>
      <c r="CA408" s="1585"/>
      <c r="CB408" s="1585"/>
      <c r="CC408" s="1585"/>
      <c r="CD408" s="1585"/>
      <c r="CE408" s="1585"/>
      <c r="CF408" s="1585"/>
      <c r="CG408" s="1585"/>
      <c r="CH408" s="1585"/>
      <c r="CI408" s="1585"/>
      <c r="CJ408" s="1585"/>
      <c r="CK408" s="1585"/>
      <c r="CL408" s="1585"/>
      <c r="CM408" s="1585"/>
      <c r="CN408" s="1585"/>
      <c r="CO408" s="1585"/>
      <c r="CP408" s="1585"/>
      <c r="CQ408" s="1585"/>
      <c r="CR408" s="1585"/>
      <c r="CS408" s="1585"/>
      <c r="CT408" s="1585"/>
      <c r="CU408" s="1585"/>
      <c r="CV408" s="1585"/>
      <c r="CW408" s="1585"/>
      <c r="CX408" s="1585"/>
      <c r="CY408" s="1585"/>
      <c r="CZ408" s="1585"/>
    </row>
    <row r="409" spans="1:104">
      <c r="A409" s="1466"/>
      <c r="B409" s="1583"/>
      <c r="C409" s="1583"/>
      <c r="D409" s="1583"/>
      <c r="E409" s="1585"/>
      <c r="F409" s="1585"/>
      <c r="G409" s="1585"/>
      <c r="H409" s="1585"/>
      <c r="I409" s="1585"/>
      <c r="J409" s="1585"/>
      <c r="K409" s="1585"/>
      <c r="L409" s="1585"/>
      <c r="M409" s="1585"/>
      <c r="N409" s="1585"/>
      <c r="O409" s="1585"/>
      <c r="P409" s="1585"/>
      <c r="Q409" s="1585"/>
      <c r="R409" s="1585"/>
      <c r="S409" s="1585"/>
      <c r="T409" s="1585"/>
      <c r="U409" s="1585"/>
      <c r="V409" s="1585"/>
      <c r="W409" s="1585"/>
      <c r="X409" s="1585"/>
      <c r="Y409" s="1585"/>
      <c r="Z409" s="1585"/>
      <c r="AA409" s="1585"/>
      <c r="AB409" s="1585"/>
      <c r="AC409" s="1585"/>
      <c r="AD409" s="1585"/>
      <c r="AE409" s="1585"/>
      <c r="AF409" s="1585"/>
      <c r="AG409" s="1585"/>
      <c r="AH409" s="1585"/>
      <c r="AI409" s="1585"/>
      <c r="AJ409" s="1585"/>
      <c r="AK409" s="1585"/>
      <c r="AL409" s="1585"/>
      <c r="AM409" s="1585"/>
      <c r="AN409" s="1585"/>
      <c r="AO409" s="1585"/>
      <c r="AP409" s="1585"/>
      <c r="AQ409" s="1585"/>
      <c r="AR409" s="1585"/>
      <c r="AS409" s="1585"/>
      <c r="AT409" s="1585"/>
      <c r="AU409" s="1585"/>
      <c r="AV409" s="1585"/>
      <c r="AW409" s="1585"/>
      <c r="AX409" s="1585"/>
      <c r="AY409" s="1585"/>
      <c r="AZ409" s="1585"/>
      <c r="BA409" s="1585"/>
      <c r="BB409" s="1585"/>
      <c r="BC409" s="1585"/>
      <c r="BD409" s="1585"/>
      <c r="BE409" s="1585"/>
      <c r="BF409" s="1585"/>
      <c r="BG409" s="1585"/>
      <c r="BH409" s="1585"/>
      <c r="BI409" s="1585"/>
      <c r="BJ409" s="1585"/>
      <c r="BK409" s="1585"/>
      <c r="BL409" s="1585"/>
      <c r="BM409" s="1585"/>
      <c r="BN409" s="1585"/>
      <c r="BO409" s="1585"/>
      <c r="BP409" s="1585"/>
      <c r="BQ409" s="1585"/>
      <c r="BR409" s="1585"/>
      <c r="BS409" s="1585"/>
      <c r="BT409" s="1585"/>
      <c r="BU409" s="1585"/>
      <c r="BV409" s="1585"/>
      <c r="BW409" s="1585"/>
      <c r="BX409" s="1585"/>
      <c r="BY409" s="1585"/>
      <c r="BZ409" s="1585"/>
      <c r="CA409" s="1585"/>
      <c r="CB409" s="1585"/>
      <c r="CC409" s="1585"/>
      <c r="CD409" s="1585"/>
      <c r="CE409" s="1585"/>
      <c r="CF409" s="1585"/>
      <c r="CG409" s="1585"/>
      <c r="CH409" s="1585"/>
      <c r="CI409" s="1585"/>
      <c r="CJ409" s="1585"/>
      <c r="CK409" s="1585"/>
      <c r="CL409" s="1585"/>
      <c r="CM409" s="1585"/>
      <c r="CN409" s="1585"/>
      <c r="CO409" s="1585"/>
      <c r="CP409" s="1585"/>
      <c r="CQ409" s="1585"/>
      <c r="CR409" s="1585"/>
      <c r="CS409" s="1585"/>
      <c r="CT409" s="1585"/>
      <c r="CU409" s="1585"/>
      <c r="CV409" s="1585"/>
      <c r="CW409" s="1585"/>
      <c r="CX409" s="1585"/>
      <c r="CY409" s="1585"/>
      <c r="CZ409" s="1585"/>
    </row>
    <row r="410" spans="1:104">
      <c r="A410" s="1466"/>
      <c r="B410" s="1583"/>
      <c r="C410" s="1583"/>
      <c r="D410" s="1583"/>
      <c r="E410" s="1585"/>
      <c r="F410" s="1585"/>
      <c r="G410" s="1585"/>
      <c r="H410" s="1585"/>
      <c r="I410" s="1585"/>
      <c r="J410" s="1585"/>
      <c r="K410" s="1585"/>
      <c r="L410" s="1585"/>
      <c r="M410" s="1585"/>
      <c r="N410" s="1585"/>
      <c r="O410" s="1585"/>
      <c r="P410" s="1585"/>
      <c r="Q410" s="1585"/>
      <c r="R410" s="1585"/>
      <c r="S410" s="1585"/>
      <c r="T410" s="1585"/>
      <c r="U410" s="1585"/>
      <c r="V410" s="1585"/>
      <c r="W410" s="1585"/>
      <c r="X410" s="1585"/>
      <c r="Y410" s="1585"/>
      <c r="Z410" s="1585"/>
      <c r="AA410" s="1585"/>
      <c r="AB410" s="1585"/>
      <c r="AC410" s="1585"/>
      <c r="AD410" s="1585"/>
      <c r="AE410" s="1585"/>
      <c r="AF410" s="1585"/>
      <c r="AG410" s="1585"/>
      <c r="AH410" s="1585"/>
      <c r="AI410" s="1585"/>
      <c r="AJ410" s="1585"/>
      <c r="AK410" s="1585"/>
      <c r="AL410" s="1585"/>
      <c r="AM410" s="1585"/>
      <c r="AN410" s="1585"/>
      <c r="AO410" s="1585"/>
      <c r="AP410" s="1585"/>
      <c r="AQ410" s="1585"/>
      <c r="AR410" s="1585"/>
      <c r="AS410" s="1585"/>
      <c r="AT410" s="1585"/>
      <c r="AU410" s="1585"/>
      <c r="AV410" s="1585"/>
      <c r="AW410" s="1585"/>
      <c r="AX410" s="1585"/>
      <c r="AY410" s="1585"/>
      <c r="AZ410" s="1585"/>
      <c r="BA410" s="1585"/>
      <c r="BB410" s="1585"/>
      <c r="BC410" s="1585"/>
      <c r="BD410" s="1585"/>
      <c r="BE410" s="1585"/>
      <c r="BF410" s="1585"/>
      <c r="BG410" s="1585"/>
      <c r="BH410" s="1585"/>
      <c r="BI410" s="1585"/>
      <c r="BJ410" s="1585"/>
      <c r="BK410" s="1585"/>
      <c r="BL410" s="1585"/>
      <c r="BM410" s="1585"/>
      <c r="BN410" s="1585"/>
      <c r="BO410" s="1585"/>
      <c r="BP410" s="1585"/>
      <c r="BQ410" s="1585"/>
      <c r="BR410" s="1585"/>
      <c r="BS410" s="1585"/>
      <c r="BT410" s="1585"/>
      <c r="BU410" s="1585"/>
      <c r="BV410" s="1585"/>
      <c r="BW410" s="1585"/>
      <c r="BX410" s="1585"/>
      <c r="BY410" s="1585"/>
      <c r="BZ410" s="1585"/>
      <c r="CA410" s="1585"/>
      <c r="CB410" s="1585"/>
      <c r="CC410" s="1585"/>
      <c r="CD410" s="1585"/>
      <c r="CE410" s="1585"/>
      <c r="CF410" s="1585"/>
      <c r="CG410" s="1585"/>
      <c r="CH410" s="1585"/>
      <c r="CI410" s="1585"/>
      <c r="CJ410" s="1585"/>
      <c r="CK410" s="1585"/>
      <c r="CL410" s="1585"/>
      <c r="CM410" s="1585"/>
      <c r="CN410" s="1585"/>
      <c r="CO410" s="1585"/>
      <c r="CP410" s="1585"/>
      <c r="CQ410" s="1585"/>
      <c r="CR410" s="1585"/>
      <c r="CS410" s="1585"/>
      <c r="CT410" s="1585"/>
      <c r="CU410" s="1585"/>
      <c r="CV410" s="1585"/>
      <c r="CW410" s="1585"/>
      <c r="CX410" s="1585"/>
      <c r="CY410" s="1585"/>
      <c r="CZ410" s="1585"/>
    </row>
    <row r="411" spans="1:104">
      <c r="A411" s="1466"/>
      <c r="B411" s="1583"/>
      <c r="C411" s="1583"/>
      <c r="D411" s="1583"/>
      <c r="E411" s="1585"/>
      <c r="F411" s="1585"/>
      <c r="G411" s="1585"/>
      <c r="H411" s="1585"/>
      <c r="I411" s="1585"/>
      <c r="J411" s="1585"/>
      <c r="K411" s="1585"/>
      <c r="L411" s="1585"/>
      <c r="M411" s="1585"/>
      <c r="N411" s="1585"/>
      <c r="O411" s="1585"/>
      <c r="P411" s="1585"/>
      <c r="Q411" s="1585"/>
      <c r="R411" s="1585"/>
      <c r="S411" s="1585"/>
      <c r="T411" s="1585"/>
      <c r="U411" s="1585"/>
      <c r="V411" s="1585"/>
      <c r="W411" s="1585"/>
      <c r="X411" s="1585"/>
      <c r="Y411" s="1585"/>
      <c r="Z411" s="1585"/>
      <c r="AA411" s="1585"/>
      <c r="AB411" s="1585"/>
      <c r="AC411" s="1585"/>
      <c r="AD411" s="1585"/>
      <c r="AE411" s="1585"/>
      <c r="AF411" s="1585"/>
      <c r="AG411" s="1585"/>
      <c r="AH411" s="1585"/>
      <c r="AI411" s="1585"/>
      <c r="AJ411" s="1585"/>
      <c r="AK411" s="1585"/>
      <c r="AL411" s="1585"/>
      <c r="AM411" s="1585"/>
      <c r="AN411" s="1585"/>
      <c r="AO411" s="1585"/>
      <c r="AP411" s="1585"/>
      <c r="AQ411" s="1585"/>
      <c r="AR411" s="1585"/>
      <c r="AS411" s="1585"/>
      <c r="AT411" s="1585"/>
      <c r="AU411" s="1585"/>
      <c r="AV411" s="1585"/>
      <c r="AW411" s="1585"/>
      <c r="AX411" s="1585"/>
      <c r="AY411" s="1585"/>
      <c r="AZ411" s="1585"/>
      <c r="BA411" s="1585"/>
      <c r="BB411" s="1585"/>
      <c r="BC411" s="1585"/>
      <c r="BD411" s="1585"/>
      <c r="BE411" s="1585"/>
      <c r="BF411" s="1585"/>
      <c r="BG411" s="1585"/>
      <c r="BH411" s="1585"/>
      <c r="BI411" s="1585"/>
      <c r="BJ411" s="1585"/>
      <c r="BK411" s="1585"/>
      <c r="BL411" s="1585"/>
      <c r="BM411" s="1585"/>
      <c r="BN411" s="1585"/>
      <c r="BO411" s="1585"/>
      <c r="BP411" s="1585"/>
      <c r="BQ411" s="1585"/>
      <c r="BR411" s="1585"/>
      <c r="BS411" s="1585"/>
      <c r="BT411" s="1585"/>
      <c r="BU411" s="1585"/>
      <c r="BV411" s="1585"/>
      <c r="BW411" s="1585"/>
      <c r="BX411" s="1585"/>
      <c r="BY411" s="1585"/>
      <c r="BZ411" s="1585"/>
      <c r="CA411" s="1585"/>
      <c r="CB411" s="1585"/>
      <c r="CC411" s="1585"/>
      <c r="CD411" s="1585"/>
      <c r="CE411" s="1585"/>
      <c r="CF411" s="1585"/>
      <c r="CG411" s="1585"/>
      <c r="CH411" s="1585"/>
      <c r="CI411" s="1585"/>
      <c r="CJ411" s="1585"/>
      <c r="CK411" s="1585"/>
      <c r="CL411" s="1585"/>
      <c r="CM411" s="1585"/>
      <c r="CN411" s="1585"/>
      <c r="CO411" s="1585"/>
      <c r="CP411" s="1585"/>
      <c r="CQ411" s="1585"/>
      <c r="CR411" s="1585"/>
      <c r="CS411" s="1585"/>
      <c r="CT411" s="1585"/>
      <c r="CU411" s="1585"/>
      <c r="CV411" s="1585"/>
      <c r="CW411" s="1585"/>
      <c r="CX411" s="1585"/>
      <c r="CY411" s="1585"/>
      <c r="CZ411" s="1585"/>
    </row>
    <row r="412" spans="1:104">
      <c r="A412" s="1466"/>
      <c r="B412" s="1583"/>
      <c r="C412" s="1583"/>
      <c r="D412" s="1583"/>
      <c r="E412" s="1585"/>
      <c r="F412" s="1585"/>
      <c r="G412" s="1585"/>
      <c r="H412" s="1585"/>
      <c r="I412" s="1585"/>
      <c r="J412" s="1585"/>
      <c r="K412" s="1585"/>
      <c r="L412" s="1585"/>
      <c r="M412" s="1585"/>
      <c r="N412" s="1585"/>
      <c r="O412" s="1585"/>
      <c r="P412" s="1585"/>
      <c r="Q412" s="1585"/>
      <c r="R412" s="1585"/>
      <c r="S412" s="1585"/>
      <c r="T412" s="1585"/>
      <c r="U412" s="1585"/>
      <c r="V412" s="1585"/>
      <c r="W412" s="1585"/>
      <c r="X412" s="1585"/>
      <c r="Y412" s="1585"/>
      <c r="Z412" s="1585"/>
      <c r="AA412" s="1585"/>
      <c r="AB412" s="1585"/>
      <c r="AC412" s="1585"/>
      <c r="AD412" s="1585"/>
      <c r="AE412" s="1585"/>
      <c r="AF412" s="1585"/>
      <c r="AG412" s="1585"/>
      <c r="AH412" s="1585"/>
      <c r="AI412" s="1585"/>
      <c r="AJ412" s="1585"/>
      <c r="AK412" s="1585"/>
      <c r="AL412" s="1585"/>
      <c r="AM412" s="1585"/>
      <c r="AN412" s="1585"/>
      <c r="AO412" s="1585"/>
      <c r="AP412" s="1585"/>
      <c r="AQ412" s="1585"/>
      <c r="AR412" s="1585"/>
      <c r="AS412" s="1585"/>
      <c r="AT412" s="1585"/>
      <c r="AU412" s="1585"/>
      <c r="AV412" s="1585"/>
      <c r="AW412" s="1585"/>
      <c r="AX412" s="1585"/>
      <c r="AY412" s="1585"/>
      <c r="AZ412" s="1585"/>
      <c r="BA412" s="1585"/>
      <c r="BB412" s="1585"/>
      <c r="BC412" s="1585"/>
      <c r="BD412" s="1585"/>
      <c r="BE412" s="1585"/>
      <c r="BF412" s="1585"/>
      <c r="BG412" s="1585"/>
      <c r="BH412" s="1585"/>
      <c r="BI412" s="1585"/>
      <c r="BJ412" s="1585"/>
      <c r="BK412" s="1585"/>
      <c r="BL412" s="1585"/>
      <c r="BM412" s="1585"/>
      <c r="BN412" s="1585"/>
      <c r="BO412" s="1585"/>
      <c r="BP412" s="1585"/>
      <c r="BQ412" s="1585"/>
      <c r="BR412" s="1585"/>
      <c r="BS412" s="1585"/>
      <c r="BT412" s="1585"/>
      <c r="BU412" s="1585"/>
      <c r="BV412" s="1585"/>
      <c r="BW412" s="1585"/>
      <c r="BX412" s="1585"/>
      <c r="BY412" s="1585"/>
      <c r="BZ412" s="1585"/>
      <c r="CA412" s="1585"/>
      <c r="CB412" s="1585"/>
      <c r="CC412" s="1585"/>
      <c r="CD412" s="1585"/>
      <c r="CE412" s="1585"/>
      <c r="CF412" s="1585"/>
      <c r="CG412" s="1585"/>
      <c r="CH412" s="1585"/>
      <c r="CI412" s="1585"/>
      <c r="CJ412" s="1585"/>
      <c r="CK412" s="1585"/>
      <c r="CL412" s="1585"/>
      <c r="CM412" s="1585"/>
      <c r="CN412" s="1585"/>
      <c r="CO412" s="1585"/>
      <c r="CP412" s="1585"/>
      <c r="CQ412" s="1585"/>
      <c r="CR412" s="1585"/>
      <c r="CS412" s="1585"/>
      <c r="CT412" s="1585"/>
      <c r="CU412" s="1585"/>
      <c r="CV412" s="1585"/>
      <c r="CW412" s="1585"/>
      <c r="CX412" s="1585"/>
      <c r="CY412" s="1585"/>
      <c r="CZ412" s="1585"/>
    </row>
    <row r="413" spans="1:104">
      <c r="A413" s="1466"/>
      <c r="B413" s="1583"/>
      <c r="C413" s="1583"/>
      <c r="D413" s="1583"/>
      <c r="E413" s="1585"/>
      <c r="F413" s="1585"/>
      <c r="G413" s="1585"/>
      <c r="H413" s="1585"/>
      <c r="I413" s="1585"/>
      <c r="J413" s="1585"/>
      <c r="K413" s="1585"/>
      <c r="L413" s="1585"/>
      <c r="M413" s="1585"/>
      <c r="N413" s="1585"/>
      <c r="O413" s="1585"/>
      <c r="P413" s="1585"/>
      <c r="Q413" s="1585"/>
      <c r="R413" s="1585"/>
      <c r="S413" s="1585"/>
      <c r="T413" s="1585"/>
      <c r="U413" s="1585"/>
      <c r="V413" s="1585"/>
      <c r="W413" s="1585"/>
      <c r="X413" s="1585"/>
      <c r="Y413" s="1585"/>
      <c r="Z413" s="1585"/>
      <c r="AA413" s="1585"/>
      <c r="AB413" s="1585"/>
      <c r="AC413" s="1585"/>
      <c r="AD413" s="1585"/>
      <c r="AE413" s="1585"/>
      <c r="AF413" s="1585"/>
      <c r="AG413" s="1585"/>
      <c r="AH413" s="1585"/>
      <c r="AI413" s="1585"/>
      <c r="AJ413" s="1585"/>
      <c r="AK413" s="1585"/>
      <c r="AL413" s="1585"/>
      <c r="AM413" s="1585"/>
      <c r="AN413" s="1585"/>
      <c r="AO413" s="1585"/>
      <c r="AP413" s="1585"/>
      <c r="AQ413" s="1585"/>
      <c r="AR413" s="1585"/>
      <c r="AS413" s="1585"/>
      <c r="AT413" s="1585"/>
      <c r="AU413" s="1585"/>
      <c r="AV413" s="1585"/>
      <c r="AW413" s="1585"/>
      <c r="AX413" s="1585"/>
      <c r="AY413" s="1585"/>
      <c r="AZ413" s="1585"/>
      <c r="BA413" s="1585"/>
      <c r="BB413" s="1585"/>
      <c r="BC413" s="1585"/>
      <c r="BD413" s="1585"/>
      <c r="BE413" s="1585"/>
      <c r="BF413" s="1585"/>
      <c r="BG413" s="1585"/>
      <c r="BH413" s="1585"/>
      <c r="BI413" s="1585"/>
      <c r="BJ413" s="1585"/>
      <c r="BK413" s="1585"/>
      <c r="BL413" s="1585"/>
      <c r="BM413" s="1585"/>
      <c r="BN413" s="1585"/>
      <c r="BO413" s="1585"/>
      <c r="BP413" s="1585"/>
      <c r="BQ413" s="1585"/>
      <c r="BR413" s="1585"/>
      <c r="BS413" s="1585"/>
      <c r="BT413" s="1585"/>
      <c r="BU413" s="1585"/>
      <c r="BV413" s="1585"/>
      <c r="BW413" s="1585"/>
      <c r="BX413" s="1585"/>
      <c r="BY413" s="1585"/>
      <c r="BZ413" s="1585"/>
      <c r="CA413" s="1585"/>
      <c r="CB413" s="1585"/>
      <c r="CC413" s="1585"/>
      <c r="CD413" s="1585"/>
      <c r="CE413" s="1585"/>
      <c r="CF413" s="1585"/>
      <c r="CG413" s="1585"/>
      <c r="CH413" s="1585"/>
      <c r="CI413" s="1585"/>
      <c r="CJ413" s="1585"/>
      <c r="CK413" s="1585"/>
      <c r="CL413" s="1585"/>
      <c r="CM413" s="1585"/>
      <c r="CN413" s="1585"/>
      <c r="CO413" s="1585"/>
      <c r="CP413" s="1585"/>
      <c r="CQ413" s="1585"/>
      <c r="CR413" s="1585"/>
      <c r="CS413" s="1585"/>
      <c r="CT413" s="1585"/>
      <c r="CU413" s="1585"/>
      <c r="CV413" s="1585"/>
      <c r="CW413" s="1585"/>
      <c r="CX413" s="1585"/>
      <c r="CY413" s="1585"/>
      <c r="CZ413" s="1585"/>
    </row>
    <row r="414" spans="1:104">
      <c r="A414" s="1466"/>
      <c r="B414" s="1583"/>
      <c r="C414" s="1583"/>
      <c r="D414" s="1583"/>
      <c r="E414" s="1585"/>
      <c r="F414" s="1585"/>
      <c r="G414" s="1585"/>
      <c r="H414" s="1585"/>
      <c r="I414" s="1585"/>
      <c r="J414" s="1585"/>
      <c r="K414" s="1585"/>
      <c r="L414" s="1585"/>
      <c r="M414" s="1585"/>
      <c r="N414" s="1585"/>
      <c r="O414" s="1585"/>
      <c r="P414" s="1585"/>
      <c r="Q414" s="1585"/>
      <c r="R414" s="1585"/>
      <c r="S414" s="1585"/>
      <c r="T414" s="1585"/>
      <c r="U414" s="1585"/>
      <c r="V414" s="1585"/>
      <c r="W414" s="1585"/>
      <c r="X414" s="1585"/>
      <c r="Y414" s="1585"/>
      <c r="Z414" s="1585"/>
      <c r="AA414" s="1585"/>
      <c r="AB414" s="1585"/>
      <c r="AC414" s="1585"/>
      <c r="AD414" s="1585"/>
      <c r="AE414" s="1585"/>
      <c r="AF414" s="1585"/>
      <c r="AG414" s="1585"/>
      <c r="AH414" s="1585"/>
      <c r="AI414" s="1585"/>
      <c r="AJ414" s="1585"/>
      <c r="AK414" s="1585"/>
      <c r="AL414" s="1585"/>
      <c r="AM414" s="1585"/>
      <c r="AN414" s="1585"/>
      <c r="AO414" s="1585"/>
      <c r="AP414" s="1585"/>
      <c r="AQ414" s="1585"/>
      <c r="AR414" s="1585"/>
      <c r="AS414" s="1585"/>
      <c r="AT414" s="1585"/>
      <c r="AU414" s="1585"/>
      <c r="AV414" s="1585"/>
      <c r="AW414" s="1585"/>
      <c r="AX414" s="1585"/>
      <c r="AY414" s="1585"/>
      <c r="AZ414" s="1585"/>
      <c r="BA414" s="1585"/>
      <c r="BB414" s="1585"/>
      <c r="BC414" s="1585"/>
      <c r="BD414" s="1585"/>
      <c r="BE414" s="1585"/>
      <c r="BF414" s="1585"/>
      <c r="BG414" s="1585"/>
      <c r="BH414" s="1585"/>
      <c r="BI414" s="1585"/>
      <c r="BJ414" s="1585"/>
      <c r="BK414" s="1585"/>
      <c r="BL414" s="1585"/>
      <c r="BM414" s="1585"/>
      <c r="BN414" s="1585"/>
      <c r="BO414" s="1585"/>
      <c r="BP414" s="1585"/>
      <c r="BQ414" s="1585"/>
      <c r="BR414" s="1585"/>
      <c r="BS414" s="1585"/>
      <c r="BT414" s="1585"/>
      <c r="BU414" s="1585"/>
      <c r="BV414" s="1585"/>
      <c r="BW414" s="1585"/>
      <c r="BX414" s="1585"/>
      <c r="BY414" s="1585"/>
      <c r="BZ414" s="1585"/>
      <c r="CA414" s="1585"/>
      <c r="CB414" s="1585"/>
      <c r="CC414" s="1585"/>
      <c r="CD414" s="1585"/>
      <c r="CE414" s="1585"/>
      <c r="CF414" s="1585"/>
      <c r="CG414" s="1585"/>
      <c r="CH414" s="1585"/>
      <c r="CI414" s="1585"/>
      <c r="CJ414" s="1585"/>
      <c r="CK414" s="1585"/>
      <c r="CL414" s="1585"/>
      <c r="CM414" s="1585"/>
      <c r="CN414" s="1585"/>
      <c r="CO414" s="1585"/>
      <c r="CP414" s="1585"/>
      <c r="CQ414" s="1585"/>
      <c r="CR414" s="1585"/>
      <c r="CS414" s="1585"/>
      <c r="CT414" s="1585"/>
      <c r="CU414" s="1585"/>
      <c r="CV414" s="1585"/>
      <c r="CW414" s="1585"/>
      <c r="CX414" s="1585"/>
      <c r="CY414" s="1585"/>
      <c r="CZ414" s="1585"/>
    </row>
    <row r="415" spans="1:104">
      <c r="A415" s="1466"/>
      <c r="B415" s="1583"/>
      <c r="C415" s="1583"/>
      <c r="D415" s="1583"/>
      <c r="E415" s="1585"/>
      <c r="F415" s="1585"/>
      <c r="G415" s="1585"/>
      <c r="H415" s="1585"/>
      <c r="I415" s="1585"/>
      <c r="J415" s="1585"/>
      <c r="K415" s="1585"/>
      <c r="L415" s="1585"/>
      <c r="M415" s="1585"/>
      <c r="N415" s="1585"/>
      <c r="O415" s="1585"/>
      <c r="P415" s="1585"/>
      <c r="Q415" s="1585"/>
      <c r="R415" s="1585"/>
      <c r="S415" s="1585"/>
      <c r="T415" s="1585"/>
      <c r="U415" s="1585"/>
      <c r="V415" s="1585"/>
      <c r="W415" s="1585"/>
      <c r="X415" s="1585"/>
      <c r="Y415" s="1585"/>
      <c r="Z415" s="1585"/>
      <c r="AA415" s="1585"/>
      <c r="AB415" s="1585"/>
      <c r="AC415" s="1585"/>
      <c r="AD415" s="1585"/>
      <c r="AE415" s="1585"/>
      <c r="AF415" s="1585"/>
      <c r="AG415" s="1585"/>
      <c r="AH415" s="1585"/>
      <c r="AI415" s="1585"/>
      <c r="AJ415" s="1585"/>
      <c r="AK415" s="1585"/>
      <c r="AL415" s="1585"/>
      <c r="AM415" s="1585"/>
      <c r="AN415" s="1585"/>
      <c r="AO415" s="1585"/>
      <c r="AP415" s="1585"/>
      <c r="AQ415" s="1585"/>
      <c r="AR415" s="1585"/>
      <c r="AS415" s="1585"/>
      <c r="AT415" s="1585"/>
      <c r="AU415" s="1585"/>
      <c r="AV415" s="1585"/>
      <c r="AW415" s="1585"/>
      <c r="AX415" s="1585"/>
      <c r="AY415" s="1585"/>
      <c r="AZ415" s="1585"/>
      <c r="BA415" s="1585"/>
      <c r="BB415" s="1585"/>
      <c r="BC415" s="1585"/>
      <c r="BD415" s="1585"/>
      <c r="BE415" s="1585"/>
      <c r="BF415" s="1585"/>
      <c r="BG415" s="1585"/>
      <c r="BH415" s="1585"/>
      <c r="BI415" s="1585"/>
      <c r="BJ415" s="1585"/>
      <c r="BK415" s="1585"/>
      <c r="BL415" s="1585"/>
      <c r="BM415" s="1585"/>
      <c r="BN415" s="1585"/>
      <c r="BO415" s="1585"/>
      <c r="BP415" s="1585"/>
      <c r="BQ415" s="1585"/>
      <c r="BR415" s="1585"/>
      <c r="BS415" s="1585"/>
      <c r="BT415" s="1585"/>
      <c r="BU415" s="1585"/>
      <c r="BV415" s="1585"/>
      <c r="BW415" s="1585"/>
      <c r="BX415" s="1585"/>
      <c r="BY415" s="1585"/>
      <c r="BZ415" s="1585"/>
      <c r="CA415" s="1585"/>
      <c r="CB415" s="1585"/>
      <c r="CC415" s="1585"/>
      <c r="CD415" s="1585"/>
      <c r="CE415" s="1585"/>
      <c r="CF415" s="1585"/>
      <c r="CG415" s="1585"/>
      <c r="CH415" s="1585"/>
      <c r="CI415" s="1585"/>
      <c r="CJ415" s="1585"/>
      <c r="CK415" s="1585"/>
      <c r="CL415" s="1585"/>
      <c r="CM415" s="1585"/>
      <c r="CN415" s="1585"/>
      <c r="CO415" s="1585"/>
      <c r="CP415" s="1585"/>
      <c r="CQ415" s="1585"/>
      <c r="CR415" s="1585"/>
      <c r="CS415" s="1585"/>
      <c r="CT415" s="1585"/>
      <c r="CU415" s="1585"/>
      <c r="CV415" s="1585"/>
      <c r="CW415" s="1585"/>
      <c r="CX415" s="1585"/>
      <c r="CY415" s="1585"/>
      <c r="CZ415" s="1585"/>
    </row>
    <row r="416" spans="1:104">
      <c r="A416" s="1466"/>
      <c r="B416" s="1583"/>
      <c r="C416" s="1583"/>
      <c r="D416" s="1583"/>
      <c r="E416" s="1585"/>
      <c r="F416" s="1585"/>
      <c r="G416" s="1585"/>
      <c r="H416" s="1585"/>
      <c r="I416" s="1585"/>
      <c r="J416" s="1585"/>
      <c r="K416" s="1585"/>
      <c r="L416" s="1585"/>
      <c r="M416" s="1585"/>
      <c r="N416" s="1585"/>
      <c r="O416" s="1585"/>
      <c r="P416" s="1585"/>
      <c r="Q416" s="1585"/>
      <c r="R416" s="1585"/>
      <c r="S416" s="1585"/>
      <c r="T416" s="1585"/>
      <c r="U416" s="1585"/>
      <c r="V416" s="1585"/>
      <c r="W416" s="1585"/>
      <c r="X416" s="1585"/>
      <c r="Y416" s="1585"/>
      <c r="Z416" s="1585"/>
      <c r="AA416" s="1585"/>
      <c r="AB416" s="1585"/>
      <c r="AC416" s="1585"/>
      <c r="AD416" s="1585"/>
      <c r="AE416" s="1585"/>
      <c r="AF416" s="1585"/>
      <c r="AG416" s="1585"/>
      <c r="AH416" s="1585"/>
      <c r="AI416" s="1585"/>
      <c r="AJ416" s="1585"/>
      <c r="AK416" s="1585"/>
      <c r="AL416" s="1585"/>
      <c r="AM416" s="1585"/>
      <c r="AN416" s="1585"/>
      <c r="AO416" s="1585"/>
      <c r="AP416" s="1585"/>
      <c r="AQ416" s="1585"/>
      <c r="AR416" s="1585"/>
      <c r="AS416" s="1585"/>
      <c r="AT416" s="1585"/>
      <c r="AU416" s="1585"/>
      <c r="AV416" s="1585"/>
      <c r="AW416" s="1585"/>
      <c r="AX416" s="1585"/>
      <c r="AY416" s="1585"/>
      <c r="AZ416" s="1585"/>
      <c r="BA416" s="1585"/>
      <c r="BB416" s="1585"/>
      <c r="BC416" s="1585"/>
      <c r="BD416" s="1585"/>
      <c r="BE416" s="1585"/>
      <c r="BF416" s="1585"/>
      <c r="BG416" s="1585"/>
      <c r="BH416" s="1585"/>
      <c r="BI416" s="1585"/>
      <c r="BJ416" s="1585"/>
      <c r="BK416" s="1585"/>
      <c r="BL416" s="1585"/>
      <c r="BM416" s="1585"/>
      <c r="BN416" s="1585"/>
      <c r="BO416" s="1585"/>
      <c r="BP416" s="1585"/>
      <c r="BQ416" s="1585"/>
      <c r="BR416" s="1585"/>
      <c r="BS416" s="1585"/>
      <c r="BT416" s="1585"/>
      <c r="BU416" s="1585"/>
      <c r="BV416" s="1585"/>
      <c r="BW416" s="1585"/>
      <c r="BX416" s="1585"/>
      <c r="BY416" s="1585"/>
      <c r="BZ416" s="1585"/>
      <c r="CA416" s="1585"/>
      <c r="CB416" s="1585"/>
      <c r="CC416" s="1585"/>
      <c r="CD416" s="1585"/>
      <c r="CE416" s="1585"/>
      <c r="CF416" s="1585"/>
      <c r="CG416" s="1585"/>
      <c r="CH416" s="1585"/>
      <c r="CI416" s="1585"/>
      <c r="CJ416" s="1585"/>
      <c r="CK416" s="1585"/>
      <c r="CL416" s="1585"/>
      <c r="CM416" s="1585"/>
      <c r="CN416" s="1585"/>
      <c r="CO416" s="1585"/>
      <c r="CP416" s="1585"/>
      <c r="CQ416" s="1585"/>
      <c r="CR416" s="1585"/>
      <c r="CS416" s="1585"/>
      <c r="CT416" s="1585"/>
      <c r="CU416" s="1585"/>
      <c r="CV416" s="1585"/>
      <c r="CW416" s="1585"/>
      <c r="CX416" s="1585"/>
      <c r="CY416" s="1585"/>
      <c r="CZ416" s="1585"/>
    </row>
    <row r="417" spans="1:407">
      <c r="A417" s="1466"/>
      <c r="B417" s="1583"/>
      <c r="C417" s="1583"/>
      <c r="D417" s="1583"/>
      <c r="E417" s="1585"/>
      <c r="F417" s="1585"/>
      <c r="G417" s="1585"/>
      <c r="H417" s="1585"/>
      <c r="I417" s="1585"/>
      <c r="J417" s="1585"/>
      <c r="K417" s="1585"/>
      <c r="L417" s="1585"/>
      <c r="M417" s="1585"/>
      <c r="N417" s="1585"/>
      <c r="O417" s="1585"/>
      <c r="P417" s="1585"/>
      <c r="Q417" s="1585"/>
      <c r="R417" s="1585"/>
      <c r="S417" s="1585"/>
      <c r="T417" s="1585"/>
      <c r="U417" s="1585"/>
      <c r="V417" s="1585"/>
      <c r="W417" s="1585"/>
      <c r="X417" s="1585"/>
      <c r="Y417" s="1585"/>
      <c r="Z417" s="1585"/>
      <c r="AA417" s="1585"/>
      <c r="AB417" s="1585"/>
      <c r="AC417" s="1585"/>
      <c r="AD417" s="1585"/>
      <c r="AE417" s="1585"/>
      <c r="AF417" s="1585"/>
      <c r="AG417" s="1585"/>
      <c r="AH417" s="1585"/>
      <c r="AI417" s="1585"/>
      <c r="AJ417" s="1585"/>
      <c r="AK417" s="1585"/>
      <c r="AL417" s="1585"/>
      <c r="AM417" s="1585"/>
      <c r="AN417" s="1585"/>
      <c r="AO417" s="1585"/>
      <c r="AP417" s="1585"/>
      <c r="AQ417" s="1585"/>
      <c r="AR417" s="1585"/>
      <c r="AS417" s="1585"/>
      <c r="AT417" s="1585"/>
      <c r="AU417" s="1585"/>
      <c r="AV417" s="1585"/>
      <c r="AW417" s="1585"/>
      <c r="AX417" s="1585"/>
      <c r="AY417" s="1585"/>
      <c r="AZ417" s="1585"/>
      <c r="BA417" s="1585"/>
      <c r="BB417" s="1585"/>
      <c r="BC417" s="1585"/>
      <c r="BD417" s="1585"/>
      <c r="BE417" s="1585"/>
      <c r="BF417" s="1585"/>
      <c r="BG417" s="1585"/>
      <c r="BH417" s="1585"/>
      <c r="BI417" s="1585"/>
      <c r="BJ417" s="1585"/>
      <c r="BK417" s="1585"/>
      <c r="BL417" s="1585"/>
      <c r="BM417" s="1585"/>
      <c r="BN417" s="1585"/>
      <c r="BO417" s="1585"/>
      <c r="BP417" s="1585"/>
      <c r="BQ417" s="1585"/>
      <c r="BR417" s="1585"/>
      <c r="BS417" s="1585"/>
      <c r="BT417" s="1585"/>
      <c r="BU417" s="1585"/>
      <c r="BV417" s="1585"/>
      <c r="BW417" s="1585"/>
      <c r="BX417" s="1585"/>
      <c r="BY417" s="1585"/>
      <c r="BZ417" s="1585"/>
      <c r="CA417" s="1585"/>
      <c r="CB417" s="1585"/>
      <c r="CC417" s="1585"/>
      <c r="CD417" s="1585"/>
      <c r="CE417" s="1585"/>
      <c r="CF417" s="1585"/>
      <c r="CG417" s="1585"/>
      <c r="CH417" s="1585"/>
      <c r="CI417" s="1585"/>
      <c r="CJ417" s="1585"/>
      <c r="CK417" s="1585"/>
      <c r="CL417" s="1585"/>
      <c r="CM417" s="1585"/>
      <c r="CN417" s="1585"/>
      <c r="CO417" s="1585"/>
      <c r="CP417" s="1585"/>
      <c r="CQ417" s="1585"/>
      <c r="CR417" s="1585"/>
      <c r="CS417" s="1585"/>
      <c r="CT417" s="1585"/>
      <c r="CU417" s="1585"/>
      <c r="CV417" s="1585"/>
      <c r="CW417" s="1585"/>
      <c r="CX417" s="1585"/>
      <c r="CY417" s="1585"/>
      <c r="CZ417" s="1585"/>
    </row>
    <row r="418" spans="1:407">
      <c r="A418" s="1466"/>
      <c r="B418" s="1583"/>
      <c r="C418" s="1583"/>
      <c r="D418" s="1583"/>
      <c r="E418" s="1585"/>
      <c r="F418" s="1585"/>
      <c r="G418" s="1585"/>
      <c r="H418" s="1585"/>
      <c r="I418" s="1585"/>
      <c r="J418" s="1585"/>
      <c r="K418" s="1585"/>
      <c r="L418" s="1585"/>
      <c r="M418" s="1585"/>
      <c r="N418" s="1585"/>
      <c r="O418" s="1585"/>
      <c r="P418" s="1585"/>
      <c r="Q418" s="1585"/>
      <c r="R418" s="1585"/>
      <c r="S418" s="1585"/>
      <c r="T418" s="1585"/>
      <c r="U418" s="1585"/>
      <c r="V418" s="1585"/>
      <c r="W418" s="1585"/>
      <c r="X418" s="1585"/>
      <c r="Y418" s="1585"/>
      <c r="Z418" s="1585"/>
      <c r="AA418" s="1585"/>
      <c r="AB418" s="1585"/>
      <c r="AC418" s="1585"/>
      <c r="AD418" s="1585"/>
      <c r="AE418" s="1585"/>
      <c r="AF418" s="1585"/>
      <c r="AG418" s="1585"/>
      <c r="AH418" s="1585"/>
      <c r="AI418" s="1585"/>
      <c r="AJ418" s="1585"/>
      <c r="AK418" s="1585"/>
      <c r="AL418" s="1585"/>
      <c r="AM418" s="1585"/>
      <c r="AN418" s="1585"/>
      <c r="AO418" s="1585"/>
      <c r="AP418" s="1585"/>
      <c r="AQ418" s="1585"/>
      <c r="AR418" s="1585"/>
      <c r="AS418" s="1585"/>
      <c r="AT418" s="1585"/>
      <c r="AU418" s="1585"/>
      <c r="AV418" s="1585"/>
      <c r="AW418" s="1585"/>
      <c r="AX418" s="1585"/>
      <c r="AY418" s="1585"/>
      <c r="AZ418" s="1585"/>
      <c r="BA418" s="1585"/>
      <c r="BB418" s="1585"/>
      <c r="BC418" s="1585"/>
      <c r="BD418" s="1585"/>
      <c r="BE418" s="1585"/>
      <c r="BF418" s="1585"/>
      <c r="BG418" s="1585"/>
      <c r="BH418" s="1585"/>
      <c r="BI418" s="1585"/>
      <c r="BJ418" s="1585"/>
      <c r="BK418" s="1585"/>
      <c r="BL418" s="1585"/>
      <c r="BM418" s="1585"/>
      <c r="BN418" s="1585"/>
      <c r="BO418" s="1585"/>
      <c r="BP418" s="1585"/>
      <c r="BQ418" s="1585"/>
      <c r="BR418" s="1585"/>
      <c r="BS418" s="1585"/>
      <c r="BT418" s="1585"/>
      <c r="BU418" s="1585"/>
      <c r="BV418" s="1585"/>
      <c r="BW418" s="1585"/>
      <c r="BX418" s="1585"/>
      <c r="BY418" s="1585"/>
      <c r="BZ418" s="1585"/>
      <c r="CA418" s="1585"/>
      <c r="CB418" s="1585"/>
      <c r="CC418" s="1585"/>
      <c r="CD418" s="1585"/>
      <c r="CE418" s="1585"/>
      <c r="CF418" s="1585"/>
      <c r="CG418" s="1585"/>
      <c r="CH418" s="1585"/>
      <c r="CI418" s="1585"/>
      <c r="CJ418" s="1585"/>
      <c r="CK418" s="1585"/>
      <c r="CL418" s="1585"/>
      <c r="CM418" s="1585"/>
      <c r="CN418" s="1585"/>
      <c r="CO418" s="1585"/>
      <c r="CP418" s="1585"/>
      <c r="CQ418" s="1585"/>
      <c r="CR418" s="1585"/>
      <c r="CS418" s="1585"/>
      <c r="CT418" s="1585"/>
      <c r="CU418" s="1585"/>
      <c r="CV418" s="1585"/>
      <c r="CW418" s="1585"/>
      <c r="CX418" s="1585"/>
      <c r="CY418" s="1585"/>
      <c r="CZ418" s="1585"/>
    </row>
    <row r="419" spans="1:407">
      <c r="A419" s="1466"/>
      <c r="B419" s="1583"/>
      <c r="C419" s="1583"/>
      <c r="D419" s="1583"/>
      <c r="E419" s="1585"/>
      <c r="F419" s="1585"/>
      <c r="G419" s="1585"/>
      <c r="H419" s="1585"/>
      <c r="I419" s="1585"/>
      <c r="J419" s="1585"/>
      <c r="K419" s="1585"/>
      <c r="L419" s="1585"/>
      <c r="M419" s="1585"/>
      <c r="N419" s="1585"/>
      <c r="O419" s="1585"/>
      <c r="P419" s="1585"/>
      <c r="Q419" s="1585"/>
      <c r="R419" s="1585"/>
      <c r="S419" s="1585"/>
      <c r="T419" s="1585"/>
      <c r="U419" s="1585"/>
      <c r="V419" s="1585"/>
      <c r="W419" s="1585"/>
      <c r="X419" s="1585"/>
      <c r="Y419" s="1585"/>
      <c r="Z419" s="1585"/>
      <c r="AA419" s="1585"/>
      <c r="AB419" s="1585"/>
      <c r="AC419" s="1585"/>
      <c r="AD419" s="1585"/>
      <c r="AE419" s="1585"/>
      <c r="AF419" s="1585"/>
      <c r="AG419" s="1585"/>
      <c r="AH419" s="1585"/>
      <c r="AI419" s="1585"/>
      <c r="AJ419" s="1585"/>
      <c r="AK419" s="1585"/>
      <c r="AL419" s="1585"/>
      <c r="AM419" s="1585"/>
      <c r="AN419" s="1585"/>
      <c r="AO419" s="1585"/>
      <c r="AP419" s="1585"/>
      <c r="AQ419" s="1585"/>
      <c r="AR419" s="1585"/>
      <c r="AS419" s="1585"/>
      <c r="AT419" s="1585"/>
      <c r="AU419" s="1585"/>
      <c r="AV419" s="1585"/>
      <c r="AW419" s="1585"/>
      <c r="AX419" s="1585"/>
      <c r="AY419" s="1585"/>
      <c r="AZ419" s="1585"/>
      <c r="BA419" s="1585"/>
      <c r="BB419" s="1585"/>
      <c r="BC419" s="1585"/>
      <c r="BD419" s="1585"/>
      <c r="BE419" s="1585"/>
      <c r="BF419" s="1585"/>
      <c r="BG419" s="1585"/>
      <c r="BH419" s="1585"/>
      <c r="BI419" s="1585"/>
      <c r="BJ419" s="1585"/>
      <c r="BK419" s="1585"/>
      <c r="BL419" s="1585"/>
      <c r="BM419" s="1585"/>
      <c r="BN419" s="1585"/>
      <c r="BO419" s="1585"/>
      <c r="BP419" s="1585"/>
      <c r="BQ419" s="1585"/>
      <c r="BR419" s="1585"/>
      <c r="BS419" s="1585"/>
      <c r="BT419" s="1585"/>
      <c r="BU419" s="1585"/>
      <c r="BV419" s="1585"/>
      <c r="BW419" s="1585"/>
      <c r="BX419" s="1585"/>
      <c r="BY419" s="1585"/>
      <c r="BZ419" s="1585"/>
      <c r="CA419" s="1585"/>
      <c r="CB419" s="1585"/>
      <c r="CC419" s="1585"/>
      <c r="CD419" s="1585"/>
      <c r="CE419" s="1585"/>
      <c r="CF419" s="1585"/>
      <c r="CG419" s="1585"/>
      <c r="CH419" s="1585"/>
      <c r="CI419" s="1585"/>
      <c r="CJ419" s="1585"/>
      <c r="CK419" s="1585"/>
      <c r="CL419" s="1585"/>
      <c r="CM419" s="1585"/>
      <c r="CN419" s="1585"/>
      <c r="CO419" s="1585"/>
      <c r="CP419" s="1585"/>
      <c r="CQ419" s="1585"/>
      <c r="CR419" s="1585"/>
      <c r="CS419" s="1585"/>
      <c r="CT419" s="1585"/>
      <c r="CU419" s="1585"/>
      <c r="CV419" s="1585"/>
      <c r="CW419" s="1585"/>
      <c r="CX419" s="1585"/>
      <c r="CY419" s="1585"/>
      <c r="CZ419" s="1585"/>
    </row>
    <row r="420" spans="1:407">
      <c r="A420" s="1466"/>
      <c r="B420" s="1583"/>
      <c r="C420" s="1583"/>
      <c r="D420" s="1583"/>
      <c r="E420" s="1585"/>
      <c r="F420" s="1585"/>
      <c r="G420" s="1585"/>
      <c r="H420" s="1585"/>
      <c r="I420" s="1585"/>
      <c r="J420" s="1585"/>
      <c r="K420" s="1585"/>
      <c r="L420" s="1585"/>
      <c r="M420" s="1585"/>
      <c r="N420" s="1585"/>
      <c r="O420" s="1585"/>
      <c r="P420" s="1585"/>
      <c r="Q420" s="1585"/>
      <c r="R420" s="1585"/>
      <c r="S420" s="1585"/>
      <c r="T420" s="1585"/>
      <c r="U420" s="1585"/>
      <c r="V420" s="1585"/>
      <c r="W420" s="1585"/>
      <c r="X420" s="1585"/>
      <c r="Y420" s="1585"/>
      <c r="Z420" s="1585"/>
      <c r="AA420" s="1585"/>
      <c r="AB420" s="1585"/>
      <c r="AC420" s="1585"/>
      <c r="AD420" s="1585"/>
      <c r="AE420" s="1585"/>
      <c r="AF420" s="1585"/>
      <c r="AG420" s="1585"/>
      <c r="AH420" s="1585"/>
      <c r="AI420" s="1585"/>
      <c r="AJ420" s="1585"/>
      <c r="AK420" s="1585"/>
      <c r="AL420" s="1585"/>
      <c r="AM420" s="1585"/>
      <c r="AN420" s="1585"/>
      <c r="AO420" s="1585"/>
      <c r="AP420" s="1585"/>
      <c r="AQ420" s="1585"/>
      <c r="AR420" s="1585"/>
      <c r="AS420" s="1585"/>
      <c r="AT420" s="1585"/>
      <c r="AU420" s="1585"/>
      <c r="AV420" s="1585"/>
      <c r="AW420" s="1585"/>
      <c r="AX420" s="1585"/>
      <c r="AY420" s="1585"/>
      <c r="AZ420" s="1585"/>
      <c r="BA420" s="1585"/>
      <c r="BB420" s="1585"/>
      <c r="BC420" s="1585"/>
      <c r="BD420" s="1585"/>
      <c r="BE420" s="1585"/>
      <c r="BF420" s="1585"/>
      <c r="BG420" s="1585"/>
      <c r="BH420" s="1585"/>
      <c r="BI420" s="1585"/>
      <c r="BJ420" s="1585"/>
      <c r="BK420" s="1585"/>
      <c r="BL420" s="1585"/>
      <c r="BM420" s="1585"/>
      <c r="BN420" s="1585"/>
      <c r="BO420" s="1585"/>
      <c r="BP420" s="1585"/>
      <c r="BQ420" s="1585"/>
      <c r="BR420" s="1585"/>
      <c r="BS420" s="1585"/>
      <c r="BT420" s="1585"/>
      <c r="BU420" s="1585"/>
      <c r="BV420" s="1585"/>
      <c r="BW420" s="1585"/>
      <c r="BX420" s="1585"/>
      <c r="BY420" s="1585"/>
      <c r="BZ420" s="1585"/>
      <c r="CA420" s="1585"/>
      <c r="CB420" s="1585"/>
      <c r="CC420" s="1585"/>
      <c r="CD420" s="1585"/>
      <c r="CE420" s="1585"/>
      <c r="CF420" s="1585"/>
      <c r="CG420" s="1585"/>
      <c r="CH420" s="1585"/>
      <c r="CI420" s="1585"/>
      <c r="CJ420" s="1585"/>
      <c r="CK420" s="1585"/>
      <c r="CL420" s="1585"/>
      <c r="CM420" s="1585"/>
      <c r="CN420" s="1585"/>
      <c r="CO420" s="1585"/>
      <c r="CP420" s="1585"/>
      <c r="CQ420" s="1585"/>
      <c r="CR420" s="1585"/>
      <c r="CS420" s="1585"/>
      <c r="CT420" s="1585"/>
      <c r="CU420" s="1585"/>
      <c r="CV420" s="1585"/>
      <c r="CW420" s="1585"/>
      <c r="CX420" s="1585"/>
      <c r="CY420" s="1585"/>
      <c r="CZ420" s="1585"/>
    </row>
    <row r="421" spans="1:407">
      <c r="A421" s="1466"/>
      <c r="B421" s="1583"/>
      <c r="C421" s="1583"/>
      <c r="D421" s="1583"/>
      <c r="E421" s="1585"/>
      <c r="F421" s="1585"/>
      <c r="G421" s="1585"/>
      <c r="H421" s="1585"/>
      <c r="I421" s="1585"/>
      <c r="J421" s="1585"/>
      <c r="K421" s="1585"/>
      <c r="L421" s="1585"/>
      <c r="M421" s="1585"/>
      <c r="N421" s="1585"/>
      <c r="O421" s="1585"/>
      <c r="P421" s="1585"/>
      <c r="Q421" s="1585"/>
      <c r="R421" s="1585"/>
      <c r="S421" s="1585"/>
      <c r="T421" s="1585"/>
      <c r="U421" s="1585"/>
      <c r="V421" s="1585"/>
      <c r="W421" s="1585"/>
      <c r="X421" s="1585"/>
      <c r="Y421" s="1585"/>
      <c r="Z421" s="1585"/>
      <c r="AA421" s="1585"/>
      <c r="AB421" s="1585"/>
      <c r="AC421" s="1585"/>
      <c r="AD421" s="1585"/>
      <c r="AE421" s="1585"/>
      <c r="AF421" s="1585"/>
      <c r="AG421" s="1585"/>
      <c r="AH421" s="1585"/>
      <c r="AI421" s="1585"/>
      <c r="AJ421" s="1585"/>
      <c r="AK421" s="1585"/>
      <c r="AL421" s="1585"/>
      <c r="AM421" s="1585"/>
      <c r="AN421" s="1585"/>
      <c r="AO421" s="1585"/>
      <c r="AP421" s="1585"/>
      <c r="AQ421" s="1585"/>
      <c r="AR421" s="1585"/>
      <c r="AS421" s="1585"/>
      <c r="AT421" s="1585"/>
      <c r="AU421" s="1585"/>
      <c r="AV421" s="1585"/>
      <c r="AW421" s="1585"/>
      <c r="AX421" s="1585"/>
      <c r="AY421" s="1585"/>
      <c r="AZ421" s="1585"/>
      <c r="BA421" s="1585"/>
      <c r="BB421" s="1585"/>
      <c r="BC421" s="1585"/>
      <c r="BD421" s="1585"/>
      <c r="BE421" s="1585"/>
      <c r="BF421" s="1585"/>
      <c r="BG421" s="1585"/>
      <c r="BH421" s="1585"/>
      <c r="BI421" s="1585"/>
      <c r="BJ421" s="1585"/>
      <c r="BK421" s="1585"/>
      <c r="BL421" s="1585"/>
      <c r="BM421" s="1585"/>
      <c r="BN421" s="1585"/>
      <c r="BO421" s="1585"/>
      <c r="BP421" s="1585"/>
      <c r="BQ421" s="1585"/>
      <c r="BR421" s="1585"/>
      <c r="BS421" s="1585"/>
      <c r="BT421" s="1585"/>
      <c r="BU421" s="1585"/>
      <c r="BV421" s="1585"/>
      <c r="BW421" s="1585"/>
      <c r="BX421" s="1585"/>
      <c r="BY421" s="1585"/>
      <c r="BZ421" s="1585"/>
      <c r="CA421" s="1585"/>
      <c r="CB421" s="1585"/>
      <c r="CC421" s="1585"/>
      <c r="CD421" s="1585"/>
      <c r="CE421" s="1585"/>
      <c r="CF421" s="1585"/>
      <c r="CG421" s="1585"/>
      <c r="CH421" s="1585"/>
      <c r="CI421" s="1585"/>
      <c r="CJ421" s="1585"/>
      <c r="CK421" s="1585"/>
      <c r="CL421" s="1585"/>
      <c r="CM421" s="1585"/>
      <c r="CN421" s="1585"/>
      <c r="CO421" s="1585"/>
      <c r="CP421" s="1585"/>
      <c r="CQ421" s="1585"/>
      <c r="CR421" s="1585"/>
      <c r="CS421" s="1585"/>
      <c r="CT421" s="1585"/>
      <c r="CU421" s="1585"/>
      <c r="CV421" s="1585"/>
      <c r="CW421" s="1585"/>
      <c r="CX421" s="1585"/>
      <c r="CY421" s="1585"/>
      <c r="CZ421" s="1585"/>
    </row>
    <row r="422" spans="1:407">
      <c r="A422" s="1466"/>
      <c r="B422" s="1583"/>
      <c r="C422" s="1583"/>
      <c r="D422" s="1583"/>
      <c r="E422" s="1585"/>
      <c r="F422" s="1585"/>
      <c r="G422" s="1585"/>
      <c r="H422" s="1585"/>
      <c r="I422" s="1585"/>
      <c r="J422" s="1585"/>
      <c r="K422" s="1585"/>
      <c r="L422" s="1585"/>
      <c r="M422" s="1585"/>
      <c r="N422" s="1585"/>
      <c r="O422" s="1585"/>
      <c r="P422" s="1585"/>
      <c r="Q422" s="1585"/>
      <c r="R422" s="1585"/>
      <c r="S422" s="1585"/>
      <c r="T422" s="1585"/>
      <c r="U422" s="1585"/>
      <c r="V422" s="1585"/>
      <c r="W422" s="1585"/>
      <c r="X422" s="1585"/>
      <c r="Y422" s="1585"/>
      <c r="Z422" s="1585"/>
      <c r="AA422" s="1585"/>
      <c r="AB422" s="1585"/>
      <c r="AC422" s="1585"/>
      <c r="AD422" s="1585"/>
      <c r="AE422" s="1585"/>
      <c r="AF422" s="1585"/>
      <c r="AG422" s="1585"/>
      <c r="AH422" s="1585"/>
      <c r="AI422" s="1585"/>
      <c r="AJ422" s="1585"/>
      <c r="AK422" s="1585"/>
      <c r="AL422" s="1585"/>
      <c r="AM422" s="1585"/>
      <c r="AN422" s="1585"/>
      <c r="AO422" s="1585"/>
      <c r="AP422" s="1585"/>
      <c r="AQ422" s="1585"/>
      <c r="AR422" s="1585"/>
      <c r="AS422" s="1585"/>
      <c r="AT422" s="1585"/>
      <c r="AU422" s="1585"/>
      <c r="AV422" s="1585"/>
      <c r="AW422" s="1585"/>
      <c r="AX422" s="1585"/>
      <c r="AY422" s="1585"/>
      <c r="AZ422" s="1585"/>
      <c r="BA422" s="1585"/>
      <c r="BB422" s="1585"/>
      <c r="BC422" s="1585"/>
      <c r="BD422" s="1585"/>
      <c r="BE422" s="1585"/>
      <c r="BF422" s="1585"/>
      <c r="BG422" s="1585"/>
      <c r="BH422" s="1585"/>
      <c r="BI422" s="1585"/>
      <c r="BJ422" s="1585"/>
      <c r="BK422" s="1585"/>
      <c r="BL422" s="1585"/>
      <c r="BM422" s="1585"/>
      <c r="BN422" s="1585"/>
      <c r="BO422" s="1585"/>
      <c r="BP422" s="1585"/>
      <c r="BQ422" s="1585"/>
      <c r="BR422" s="1585"/>
      <c r="BS422" s="1585"/>
      <c r="BT422" s="1585"/>
      <c r="BU422" s="1585"/>
      <c r="BV422" s="1585"/>
      <c r="BW422" s="1585"/>
      <c r="BX422" s="1585"/>
      <c r="BY422" s="1585"/>
      <c r="BZ422" s="1585"/>
      <c r="CA422" s="1585"/>
      <c r="CB422" s="1585"/>
      <c r="CC422" s="1585"/>
      <c r="CD422" s="1585"/>
      <c r="CE422" s="1585"/>
      <c r="CF422" s="1585"/>
      <c r="CG422" s="1585"/>
      <c r="CH422" s="1585"/>
      <c r="CI422" s="1585"/>
      <c r="CJ422" s="1585"/>
      <c r="CK422" s="1585"/>
      <c r="CL422" s="1585"/>
      <c r="CM422" s="1585"/>
      <c r="CN422" s="1585"/>
      <c r="CO422" s="1585"/>
      <c r="CP422" s="1585"/>
      <c r="CQ422" s="1585"/>
      <c r="CR422" s="1585"/>
      <c r="CS422" s="1585"/>
      <c r="CT422" s="1585"/>
      <c r="CU422" s="1585"/>
      <c r="CV422" s="1585"/>
      <c r="CW422" s="1585"/>
      <c r="CX422" s="1585"/>
      <c r="CY422" s="1585"/>
      <c r="CZ422" s="1585"/>
    </row>
    <row r="423" spans="1:407">
      <c r="A423" s="1466"/>
      <c r="B423" s="1583"/>
      <c r="C423" s="1583"/>
      <c r="D423" s="1583"/>
      <c r="E423" s="1585"/>
      <c r="F423" s="1585"/>
      <c r="G423" s="1585"/>
      <c r="H423" s="1585"/>
      <c r="I423" s="1585"/>
      <c r="J423" s="1585"/>
      <c r="K423" s="1585"/>
      <c r="L423" s="1585"/>
      <c r="M423" s="1585"/>
      <c r="N423" s="1585"/>
      <c r="O423" s="1585"/>
      <c r="P423" s="1585"/>
      <c r="Q423" s="1585"/>
      <c r="R423" s="1585"/>
      <c r="S423" s="1585"/>
      <c r="T423" s="1585"/>
      <c r="U423" s="1585"/>
      <c r="V423" s="1585"/>
      <c r="W423" s="1585"/>
      <c r="X423" s="1585"/>
      <c r="Y423" s="1585"/>
      <c r="Z423" s="1585"/>
      <c r="AA423" s="1585"/>
      <c r="AB423" s="1585"/>
      <c r="AC423" s="1585"/>
      <c r="AD423" s="1585"/>
      <c r="AE423" s="1585"/>
      <c r="AF423" s="1585"/>
      <c r="AG423" s="1585"/>
      <c r="AH423" s="1585"/>
      <c r="AI423" s="1585"/>
      <c r="AJ423" s="1585"/>
      <c r="AK423" s="1585"/>
      <c r="AL423" s="1585"/>
      <c r="AM423" s="1585"/>
      <c r="AN423" s="1585"/>
      <c r="AO423" s="1585"/>
      <c r="AP423" s="1585"/>
      <c r="AQ423" s="1585"/>
      <c r="AR423" s="1585"/>
      <c r="AS423" s="1585"/>
      <c r="AT423" s="1585"/>
      <c r="AU423" s="1585"/>
      <c r="AV423" s="1585"/>
      <c r="AW423" s="1585"/>
      <c r="AX423" s="1585"/>
      <c r="AY423" s="1585"/>
      <c r="AZ423" s="1585"/>
      <c r="BA423" s="1585"/>
      <c r="BB423" s="1585"/>
      <c r="BC423" s="1585"/>
      <c r="BD423" s="1585"/>
      <c r="BE423" s="1585"/>
      <c r="BF423" s="1585"/>
      <c r="BG423" s="1585"/>
      <c r="BH423" s="1585"/>
      <c r="BI423" s="1585"/>
      <c r="BJ423" s="1585"/>
      <c r="BK423" s="1585"/>
      <c r="BL423" s="1585"/>
      <c r="BM423" s="1585"/>
      <c r="BN423" s="1585"/>
      <c r="BO423" s="1585"/>
      <c r="BP423" s="1585"/>
      <c r="BQ423" s="1585"/>
      <c r="BR423" s="1585"/>
      <c r="BS423" s="1585"/>
      <c r="BT423" s="1585"/>
      <c r="BU423" s="1585"/>
      <c r="BV423" s="1585"/>
      <c r="BW423" s="1585"/>
      <c r="BX423" s="1585"/>
      <c r="BY423" s="1585"/>
      <c r="BZ423" s="1585"/>
      <c r="CA423" s="1585"/>
      <c r="CB423" s="1585"/>
      <c r="CC423" s="1585"/>
      <c r="CD423" s="1585"/>
      <c r="CE423" s="1585"/>
      <c r="CF423" s="1585"/>
      <c r="CG423" s="1585"/>
      <c r="CH423" s="1585"/>
      <c r="CI423" s="1585"/>
      <c r="CJ423" s="1585"/>
      <c r="CK423" s="1585"/>
      <c r="CL423" s="1585"/>
      <c r="CM423" s="1585"/>
      <c r="CN423" s="1585"/>
      <c r="CO423" s="1585"/>
      <c r="CP423" s="1585"/>
      <c r="CQ423" s="1585"/>
      <c r="CR423" s="1585"/>
      <c r="CS423" s="1585"/>
      <c r="CT423" s="1585"/>
      <c r="CU423" s="1585"/>
      <c r="CV423" s="1585"/>
      <c r="CW423" s="1585"/>
      <c r="CX423" s="1585"/>
      <c r="CY423" s="1585"/>
      <c r="CZ423" s="1585"/>
    </row>
    <row r="424" spans="1:407">
      <c r="A424" s="1466"/>
      <c r="B424" s="1583"/>
      <c r="C424" s="1583"/>
      <c r="D424" s="1583"/>
      <c r="E424" s="1585"/>
      <c r="F424" s="1585"/>
      <c r="G424" s="1585"/>
      <c r="H424" s="1585"/>
      <c r="I424" s="1585"/>
      <c r="J424" s="1585"/>
      <c r="K424" s="1585"/>
      <c r="L424" s="1585"/>
      <c r="M424" s="1585"/>
      <c r="N424" s="1585"/>
      <c r="O424" s="1585"/>
      <c r="P424" s="1585"/>
      <c r="Q424" s="1585"/>
      <c r="R424" s="1585"/>
      <c r="S424" s="1585"/>
      <c r="T424" s="1585"/>
      <c r="U424" s="1585"/>
      <c r="V424" s="1585"/>
      <c r="W424" s="1585"/>
      <c r="X424" s="1585"/>
      <c r="Y424" s="1585"/>
      <c r="Z424" s="1585"/>
      <c r="AA424" s="1585"/>
      <c r="AB424" s="1585"/>
      <c r="AC424" s="1585"/>
      <c r="AD424" s="1585"/>
      <c r="AE424" s="1585"/>
      <c r="AF424" s="1585"/>
      <c r="AG424" s="1585"/>
      <c r="AH424" s="1585"/>
      <c r="AI424" s="1585"/>
      <c r="AJ424" s="1585"/>
      <c r="AK424" s="1585"/>
      <c r="AL424" s="1585"/>
      <c r="AM424" s="1585"/>
      <c r="AN424" s="1585"/>
      <c r="AO424" s="1585"/>
      <c r="AP424" s="1585"/>
      <c r="AQ424" s="1585"/>
      <c r="AR424" s="1585"/>
      <c r="AS424" s="1585"/>
      <c r="AT424" s="1585"/>
      <c r="AU424" s="1585"/>
      <c r="AV424" s="1585"/>
      <c r="AW424" s="1585"/>
      <c r="AX424" s="1585"/>
      <c r="AY424" s="1585"/>
      <c r="AZ424" s="1585"/>
      <c r="BA424" s="1585"/>
      <c r="BB424" s="1585"/>
      <c r="BC424" s="1585"/>
      <c r="BD424" s="1585"/>
      <c r="BE424" s="1585"/>
      <c r="BF424" s="1585"/>
      <c r="BG424" s="1585"/>
      <c r="BH424" s="1585"/>
      <c r="BI424" s="1585"/>
      <c r="BJ424" s="1585"/>
      <c r="BK424" s="1585"/>
      <c r="BL424" s="1585"/>
      <c r="BM424" s="1585"/>
      <c r="BN424" s="1585"/>
      <c r="BO424" s="1585"/>
      <c r="BP424" s="1585"/>
      <c r="BQ424" s="1585"/>
      <c r="BR424" s="1585"/>
      <c r="BS424" s="1585"/>
      <c r="BT424" s="1585"/>
      <c r="BU424" s="1585"/>
      <c r="BV424" s="1585"/>
      <c r="BW424" s="1585"/>
      <c r="BX424" s="1585"/>
      <c r="BY424" s="1585"/>
      <c r="BZ424" s="1585"/>
      <c r="CA424" s="1585"/>
      <c r="CB424" s="1585"/>
      <c r="CC424" s="1585"/>
      <c r="CD424" s="1585"/>
      <c r="CE424" s="1585"/>
      <c r="CF424" s="1585"/>
      <c r="CG424" s="1585"/>
      <c r="CH424" s="1585"/>
      <c r="CI424" s="1585"/>
      <c r="CJ424" s="1585"/>
      <c r="CK424" s="1585"/>
      <c r="CL424" s="1585"/>
      <c r="CM424" s="1585"/>
      <c r="CN424" s="1585"/>
      <c r="CO424" s="1585"/>
      <c r="CP424" s="1585"/>
      <c r="CQ424" s="1585"/>
      <c r="CR424" s="1585"/>
      <c r="CS424" s="1585"/>
      <c r="CT424" s="1585"/>
      <c r="CU424" s="1585"/>
      <c r="CV424" s="1585"/>
      <c r="CW424" s="1585"/>
      <c r="CX424" s="1585"/>
      <c r="CY424" s="1585"/>
      <c r="CZ424" s="1585"/>
    </row>
    <row r="425" spans="1:407">
      <c r="A425" s="1466"/>
      <c r="B425" s="1583"/>
      <c r="C425" s="1583"/>
      <c r="D425" s="1583"/>
      <c r="E425" s="1585"/>
      <c r="F425" s="1585"/>
      <c r="G425" s="1585"/>
      <c r="H425" s="1585"/>
      <c r="I425" s="1585"/>
      <c r="J425" s="1585"/>
      <c r="K425" s="1585"/>
      <c r="L425" s="1585"/>
      <c r="M425" s="1585"/>
      <c r="N425" s="1585"/>
      <c r="O425" s="1585"/>
      <c r="P425" s="1585"/>
      <c r="Q425" s="1585"/>
      <c r="R425" s="1585"/>
      <c r="S425" s="1585"/>
      <c r="T425" s="1585"/>
      <c r="U425" s="1585"/>
      <c r="V425" s="1585"/>
      <c r="W425" s="1585"/>
      <c r="X425" s="1585"/>
      <c r="Y425" s="1585"/>
      <c r="Z425" s="1585"/>
      <c r="AA425" s="1585"/>
      <c r="AB425" s="1585"/>
      <c r="AC425" s="1585"/>
      <c r="AD425" s="1585"/>
      <c r="AE425" s="1585"/>
      <c r="AF425" s="1585"/>
      <c r="AG425" s="1585"/>
      <c r="AH425" s="1585"/>
      <c r="AI425" s="1585"/>
      <c r="AJ425" s="1585"/>
      <c r="AK425" s="1585"/>
      <c r="AL425" s="1585"/>
      <c r="AM425" s="1585"/>
      <c r="AN425" s="1585"/>
      <c r="AO425" s="1585"/>
      <c r="AP425" s="1585"/>
      <c r="AQ425" s="1585"/>
      <c r="AR425" s="1585"/>
      <c r="AS425" s="1585"/>
      <c r="AT425" s="1585"/>
      <c r="AU425" s="1585"/>
      <c r="AV425" s="1585"/>
      <c r="AW425" s="1585"/>
      <c r="AX425" s="1585"/>
      <c r="AY425" s="1585"/>
      <c r="AZ425" s="1585"/>
      <c r="BA425" s="1585"/>
      <c r="BB425" s="1585"/>
      <c r="BC425" s="1585"/>
      <c r="BD425" s="1585"/>
      <c r="BE425" s="1585"/>
      <c r="BF425" s="1585"/>
      <c r="BG425" s="1585"/>
      <c r="BH425" s="1585"/>
      <c r="BI425" s="1585"/>
      <c r="BJ425" s="1585"/>
      <c r="BK425" s="1585"/>
      <c r="BL425" s="1585"/>
      <c r="BM425" s="1585"/>
      <c r="BN425" s="1585"/>
      <c r="BO425" s="1585"/>
      <c r="BP425" s="1585"/>
      <c r="BQ425" s="1585"/>
      <c r="BR425" s="1585"/>
      <c r="BS425" s="1585"/>
      <c r="BT425" s="1585"/>
      <c r="BU425" s="1585"/>
      <c r="BV425" s="1585"/>
      <c r="BW425" s="1585"/>
      <c r="BX425" s="1585"/>
      <c r="BY425" s="1585"/>
      <c r="BZ425" s="1585"/>
      <c r="CA425" s="1585"/>
      <c r="CB425" s="1585"/>
      <c r="CC425" s="1585"/>
      <c r="CD425" s="1585"/>
      <c r="CE425" s="1585"/>
      <c r="CF425" s="1585"/>
      <c r="CG425" s="1585"/>
      <c r="CH425" s="1585"/>
      <c r="CI425" s="1585"/>
      <c r="CJ425" s="1585"/>
      <c r="CK425" s="1585"/>
      <c r="CL425" s="1585"/>
      <c r="CM425" s="1585"/>
      <c r="CN425" s="1585"/>
      <c r="CO425" s="1585"/>
      <c r="CP425" s="1585"/>
      <c r="CQ425" s="1585"/>
      <c r="CR425" s="1585"/>
      <c r="CS425" s="1585"/>
      <c r="CT425" s="1585"/>
      <c r="CU425" s="1585"/>
      <c r="CV425" s="1585"/>
      <c r="CW425" s="1585"/>
      <c r="CX425" s="1585"/>
      <c r="CY425" s="1585"/>
      <c r="CZ425" s="1585"/>
    </row>
    <row r="426" spans="1:407">
      <c r="A426" s="1466"/>
      <c r="B426" s="1583"/>
      <c r="C426" s="1583"/>
      <c r="D426" s="1583"/>
      <c r="E426" s="1585"/>
      <c r="F426" s="1585"/>
      <c r="G426" s="1585"/>
      <c r="H426" s="1585"/>
      <c r="I426" s="1585"/>
      <c r="J426" s="1585"/>
      <c r="K426" s="1585"/>
      <c r="L426" s="1585"/>
      <c r="M426" s="1585"/>
      <c r="N426" s="1585"/>
      <c r="O426" s="1585"/>
      <c r="P426" s="1585"/>
      <c r="Q426" s="1585"/>
      <c r="R426" s="1585"/>
      <c r="S426" s="1585"/>
      <c r="T426" s="1585"/>
      <c r="U426" s="1585"/>
      <c r="V426" s="1585"/>
      <c r="W426" s="1585"/>
      <c r="X426" s="1585"/>
      <c r="Y426" s="1585"/>
      <c r="Z426" s="1585"/>
      <c r="AA426" s="1585"/>
      <c r="AB426" s="1585"/>
      <c r="AC426" s="1585"/>
      <c r="AD426" s="1585"/>
      <c r="AE426" s="1585"/>
      <c r="AF426" s="1585"/>
      <c r="AG426" s="1585"/>
      <c r="AH426" s="1585"/>
      <c r="AI426" s="1585"/>
      <c r="AJ426" s="1585"/>
      <c r="AK426" s="1585"/>
      <c r="AL426" s="1585"/>
      <c r="AM426" s="1585"/>
      <c r="AN426" s="1585"/>
      <c r="AO426" s="1585"/>
      <c r="AP426" s="1585"/>
      <c r="AQ426" s="1585"/>
      <c r="AR426" s="1585"/>
      <c r="AS426" s="1585"/>
      <c r="AT426" s="1585"/>
      <c r="AU426" s="1585"/>
      <c r="AV426" s="1585"/>
      <c r="AW426" s="1585"/>
      <c r="AX426" s="1585"/>
      <c r="AY426" s="1585"/>
      <c r="AZ426" s="1585"/>
      <c r="BA426" s="1585"/>
      <c r="BB426" s="1585"/>
      <c r="BC426" s="1585"/>
      <c r="BD426" s="1585"/>
      <c r="BE426" s="1585"/>
      <c r="BF426" s="1585"/>
      <c r="BG426" s="1585"/>
      <c r="BH426" s="1585"/>
      <c r="BI426" s="1585"/>
      <c r="BJ426" s="1585"/>
      <c r="BK426" s="1585"/>
      <c r="BL426" s="1585"/>
      <c r="BM426" s="1585"/>
      <c r="BN426" s="1585"/>
      <c r="BO426" s="1585"/>
      <c r="BP426" s="1585"/>
      <c r="BQ426" s="1585"/>
      <c r="BR426" s="1585"/>
      <c r="BS426" s="1585"/>
      <c r="BT426" s="1585"/>
      <c r="BU426" s="1585"/>
      <c r="BV426" s="1585"/>
      <c r="BW426" s="1585"/>
      <c r="BX426" s="1585"/>
      <c r="BY426" s="1585"/>
      <c r="BZ426" s="1585"/>
      <c r="CA426" s="1585"/>
      <c r="CB426" s="1585"/>
      <c r="CC426" s="1585"/>
      <c r="CD426" s="1585"/>
      <c r="CE426" s="1585"/>
      <c r="CF426" s="1585"/>
      <c r="CG426" s="1585"/>
      <c r="CH426" s="1585"/>
      <c r="CI426" s="1585"/>
      <c r="CJ426" s="1585"/>
      <c r="CK426" s="1585"/>
      <c r="CL426" s="1585"/>
      <c r="CM426" s="1585"/>
      <c r="CN426" s="1585"/>
      <c r="CO426" s="1585"/>
      <c r="CP426" s="1585"/>
      <c r="CQ426" s="1585"/>
      <c r="CR426" s="1585"/>
      <c r="CS426" s="1585"/>
      <c r="CT426" s="1585"/>
      <c r="CU426" s="1585"/>
      <c r="CV426" s="1585"/>
      <c r="CW426" s="1585"/>
      <c r="CX426" s="1585"/>
      <c r="CY426" s="1585"/>
      <c r="CZ426" s="1585"/>
    </row>
    <row r="427" spans="1:407">
      <c r="A427" s="1466"/>
      <c r="B427" s="1583"/>
      <c r="C427" s="1583"/>
      <c r="D427" s="1583"/>
      <c r="E427" s="1585"/>
      <c r="F427" s="1585"/>
      <c r="G427" s="1585"/>
      <c r="H427" s="1585"/>
      <c r="I427" s="1585"/>
      <c r="J427" s="1585"/>
      <c r="K427" s="1585"/>
      <c r="L427" s="1585"/>
      <c r="M427" s="1585"/>
      <c r="N427" s="1585"/>
      <c r="O427" s="1585"/>
      <c r="P427" s="1585"/>
      <c r="Q427" s="1585"/>
      <c r="R427" s="1585"/>
      <c r="S427" s="1585"/>
      <c r="T427" s="1585"/>
      <c r="U427" s="1585"/>
      <c r="V427" s="1585"/>
      <c r="W427" s="1585"/>
      <c r="X427" s="1585"/>
      <c r="Y427" s="1585"/>
      <c r="Z427" s="1585"/>
      <c r="AA427" s="1585"/>
      <c r="AB427" s="1585"/>
      <c r="AC427" s="1585"/>
      <c r="AD427" s="1585"/>
      <c r="AE427" s="1585"/>
      <c r="AF427" s="1585"/>
      <c r="AG427" s="1585"/>
      <c r="AH427" s="1585"/>
      <c r="AI427" s="1585"/>
      <c r="AJ427" s="1585"/>
      <c r="AK427" s="1585"/>
      <c r="AL427" s="1585"/>
      <c r="AM427" s="1585"/>
      <c r="AN427" s="1585"/>
      <c r="AO427" s="1585"/>
      <c r="AP427" s="1585"/>
      <c r="AQ427" s="1585"/>
      <c r="AR427" s="1585"/>
      <c r="AS427" s="1585"/>
      <c r="AT427" s="1585"/>
      <c r="AU427" s="1585"/>
      <c r="AV427" s="1585"/>
      <c r="AW427" s="1585"/>
      <c r="AX427" s="1585"/>
      <c r="AY427" s="1585"/>
      <c r="AZ427" s="1585"/>
      <c r="BA427" s="1585"/>
      <c r="BB427" s="1585"/>
      <c r="BC427" s="1585"/>
      <c r="BD427" s="1585"/>
      <c r="BE427" s="1585"/>
      <c r="BF427" s="1585"/>
      <c r="BG427" s="1585"/>
      <c r="BH427" s="1585"/>
      <c r="BI427" s="1585"/>
      <c r="BJ427" s="1585"/>
      <c r="BK427" s="1585"/>
      <c r="BL427" s="1585"/>
      <c r="BM427" s="1585"/>
      <c r="BN427" s="1585"/>
      <c r="BO427" s="1585"/>
      <c r="BP427" s="1585"/>
      <c r="BQ427" s="1585"/>
      <c r="BR427" s="1585"/>
      <c r="BS427" s="1585"/>
      <c r="BT427" s="1585"/>
      <c r="BU427" s="1585"/>
      <c r="BV427" s="1585"/>
      <c r="BW427" s="1585"/>
      <c r="BX427" s="1585"/>
      <c r="BY427" s="1585"/>
      <c r="BZ427" s="1585"/>
      <c r="CA427" s="1585"/>
      <c r="CB427" s="1585"/>
      <c r="CC427" s="1585"/>
      <c r="CD427" s="1585"/>
      <c r="CE427" s="1585"/>
      <c r="CF427" s="1585"/>
      <c r="CG427" s="1585"/>
      <c r="CH427" s="1585"/>
      <c r="CI427" s="1585"/>
      <c r="CJ427" s="1585"/>
      <c r="CK427" s="1585"/>
      <c r="CL427" s="1585"/>
      <c r="CM427" s="1585"/>
      <c r="CN427" s="1585"/>
      <c r="CO427" s="1585"/>
      <c r="CP427" s="1585"/>
      <c r="CQ427" s="1585"/>
      <c r="CR427" s="1585"/>
      <c r="CS427" s="1585"/>
      <c r="CT427" s="1585"/>
      <c r="CU427" s="1585"/>
      <c r="CV427" s="1585"/>
      <c r="CW427" s="1585"/>
      <c r="CX427" s="1585"/>
      <c r="CY427" s="1585"/>
      <c r="CZ427" s="1585"/>
    </row>
    <row r="428" spans="1:407">
      <c r="A428" s="1466"/>
      <c r="B428" s="1583"/>
      <c r="C428" s="1583"/>
      <c r="D428" s="1583"/>
      <c r="E428" s="1585"/>
      <c r="F428" s="1585"/>
      <c r="G428" s="1585"/>
      <c r="H428" s="1585"/>
      <c r="I428" s="1585"/>
      <c r="J428" s="1585"/>
      <c r="K428" s="1585"/>
      <c r="L428" s="1585"/>
      <c r="M428" s="1585"/>
      <c r="N428" s="1585"/>
      <c r="O428" s="1585"/>
      <c r="P428" s="1585"/>
      <c r="Q428" s="1585"/>
      <c r="R428" s="1585"/>
      <c r="S428" s="1585"/>
      <c r="T428" s="1585"/>
      <c r="U428" s="1585"/>
      <c r="V428" s="1585"/>
      <c r="W428" s="1585"/>
      <c r="X428" s="1585"/>
      <c r="Y428" s="1585"/>
      <c r="Z428" s="1585"/>
      <c r="AA428" s="1585"/>
      <c r="AB428" s="1585"/>
      <c r="AC428" s="1585"/>
      <c r="AD428" s="1585"/>
      <c r="AE428" s="1585"/>
      <c r="AF428" s="1585"/>
      <c r="AG428" s="1585"/>
      <c r="AH428" s="1585"/>
      <c r="AI428" s="1585"/>
      <c r="AJ428" s="1585"/>
      <c r="AK428" s="1585"/>
      <c r="AL428" s="1585"/>
      <c r="AM428" s="1585"/>
      <c r="AN428" s="1585"/>
      <c r="AO428" s="1585"/>
      <c r="AP428" s="1585"/>
      <c r="AQ428" s="1585"/>
      <c r="AR428" s="1585"/>
      <c r="AS428" s="1585"/>
      <c r="AT428" s="1585"/>
      <c r="AU428" s="1585"/>
      <c r="AV428" s="1585"/>
      <c r="AW428" s="1585"/>
      <c r="AX428" s="1585"/>
      <c r="AY428" s="1585"/>
      <c r="AZ428" s="1585"/>
      <c r="BA428" s="1585"/>
      <c r="BB428" s="1585"/>
      <c r="BC428" s="1585"/>
      <c r="BD428" s="1585"/>
      <c r="BE428" s="1585"/>
      <c r="BF428" s="1585"/>
      <c r="BG428" s="1585"/>
      <c r="BH428" s="1585"/>
      <c r="BI428" s="1585"/>
      <c r="BJ428" s="1585"/>
      <c r="BK428" s="1585"/>
      <c r="BL428" s="1585"/>
      <c r="BM428" s="1585"/>
      <c r="BN428" s="1585"/>
      <c r="BO428" s="1585"/>
      <c r="BP428" s="1585"/>
      <c r="BQ428" s="1585"/>
      <c r="BR428" s="1585"/>
      <c r="BS428" s="1585"/>
      <c r="BT428" s="1585"/>
      <c r="BU428" s="1585"/>
      <c r="BV428" s="1585"/>
      <c r="BW428" s="1585"/>
      <c r="BX428" s="1585"/>
      <c r="BY428" s="1585"/>
      <c r="BZ428" s="1585"/>
      <c r="CA428" s="1585"/>
      <c r="CB428" s="1585"/>
      <c r="CC428" s="1585"/>
      <c r="CD428" s="1585"/>
      <c r="CE428" s="1585"/>
      <c r="CF428" s="1585"/>
      <c r="CG428" s="1585"/>
      <c r="CH428" s="1585"/>
      <c r="CI428" s="1585"/>
      <c r="CJ428" s="1585"/>
      <c r="CK428" s="1585"/>
      <c r="CL428" s="1585"/>
      <c r="CM428" s="1585"/>
      <c r="CN428" s="1585"/>
      <c r="CO428" s="1585"/>
      <c r="CP428" s="1585"/>
      <c r="CQ428" s="1585"/>
      <c r="CR428" s="1585"/>
      <c r="CS428" s="1585"/>
      <c r="CT428" s="1585"/>
      <c r="CU428" s="1585"/>
      <c r="CV428" s="1585"/>
      <c r="CW428" s="1585"/>
      <c r="CX428" s="1585"/>
      <c r="CY428" s="1585"/>
      <c r="CZ428" s="1585"/>
    </row>
    <row r="429" spans="1:407">
      <c r="A429" s="1466"/>
      <c r="B429" s="1583"/>
      <c r="C429" s="1583"/>
      <c r="D429" s="1583"/>
      <c r="E429" s="1585"/>
      <c r="F429" s="1585"/>
      <c r="G429" s="1585"/>
      <c r="H429" s="1585"/>
      <c r="I429" s="1585"/>
      <c r="J429" s="1585"/>
      <c r="K429" s="1585"/>
      <c r="L429" s="1585"/>
      <c r="M429" s="1585"/>
      <c r="N429" s="1585"/>
      <c r="O429" s="1585"/>
      <c r="P429" s="1585"/>
      <c r="Q429" s="1585"/>
      <c r="R429" s="1585"/>
      <c r="S429" s="1585"/>
      <c r="T429" s="1585"/>
      <c r="U429" s="1585"/>
      <c r="V429" s="1585"/>
      <c r="W429" s="1585"/>
      <c r="X429" s="1585"/>
      <c r="Y429" s="1585"/>
      <c r="Z429" s="1585"/>
      <c r="AA429" s="1585"/>
      <c r="AB429" s="1585"/>
      <c r="AC429" s="1585"/>
      <c r="AD429" s="1585"/>
      <c r="AE429" s="1585"/>
      <c r="AF429" s="1585"/>
      <c r="AG429" s="1585"/>
      <c r="AH429" s="1585"/>
      <c r="AI429" s="1585"/>
      <c r="AJ429" s="1585"/>
      <c r="AK429" s="1585"/>
      <c r="AL429" s="1585"/>
      <c r="AM429" s="1585"/>
      <c r="AN429" s="1585"/>
      <c r="AO429" s="1585"/>
      <c r="AP429" s="1585"/>
      <c r="AQ429" s="1585"/>
      <c r="AR429" s="1585"/>
      <c r="AS429" s="1585"/>
      <c r="AT429" s="1585"/>
      <c r="AU429" s="1585"/>
      <c r="AV429" s="1585"/>
      <c r="AW429" s="1585"/>
      <c r="AX429" s="1585"/>
      <c r="AY429" s="1585"/>
      <c r="AZ429" s="1585"/>
      <c r="BA429" s="1585"/>
      <c r="BB429" s="1585"/>
      <c r="BC429" s="1585"/>
      <c r="BD429" s="1585"/>
      <c r="BE429" s="1585"/>
      <c r="BF429" s="1585"/>
      <c r="BG429" s="1585"/>
      <c r="BH429" s="1585"/>
      <c r="BI429" s="1585"/>
      <c r="BJ429" s="1585"/>
      <c r="BK429" s="1585"/>
      <c r="BL429" s="1585"/>
      <c r="BM429" s="1585"/>
      <c r="BN429" s="1585"/>
      <c r="BO429" s="1585"/>
      <c r="BP429" s="1585"/>
      <c r="BQ429" s="1585"/>
      <c r="BR429" s="1585"/>
      <c r="BS429" s="1585"/>
      <c r="BT429" s="1585"/>
      <c r="BU429" s="1585"/>
      <c r="BV429" s="1585"/>
      <c r="BW429" s="1585"/>
      <c r="BX429" s="1585"/>
      <c r="BY429" s="1585"/>
      <c r="BZ429" s="1585"/>
      <c r="CA429" s="1585"/>
      <c r="CB429" s="1585"/>
      <c r="CC429" s="1585"/>
      <c r="CD429" s="1585"/>
      <c r="CE429" s="1585"/>
      <c r="CF429" s="1585"/>
      <c r="CG429" s="1585"/>
      <c r="CH429" s="1585"/>
      <c r="CI429" s="1585"/>
      <c r="CJ429" s="1585"/>
      <c r="CK429" s="1585"/>
      <c r="CL429" s="1585"/>
      <c r="CM429" s="1585"/>
      <c r="CN429" s="1585"/>
      <c r="CO429" s="1585"/>
      <c r="CP429" s="1585"/>
      <c r="CQ429" s="1585"/>
      <c r="CR429" s="1585"/>
      <c r="CS429" s="1585"/>
      <c r="CT429" s="1585"/>
      <c r="CU429" s="1585"/>
      <c r="CV429" s="1585"/>
      <c r="CW429" s="1585"/>
      <c r="CX429" s="1585"/>
      <c r="CY429" s="1585"/>
      <c r="CZ429" s="1585"/>
    </row>
    <row r="430" spans="1:407">
      <c r="A430" s="1466"/>
      <c r="B430" s="1583"/>
      <c r="C430" s="1583"/>
      <c r="D430" s="1583"/>
      <c r="E430" s="1585"/>
      <c r="F430" s="1585"/>
      <c r="G430" s="1585"/>
      <c r="H430" s="1585"/>
      <c r="I430" s="1585"/>
      <c r="J430" s="1585"/>
      <c r="K430" s="1585"/>
      <c r="L430" s="1585"/>
      <c r="M430" s="1585"/>
      <c r="N430" s="1585"/>
      <c r="O430" s="1585"/>
      <c r="P430" s="1585"/>
      <c r="Q430" s="1585"/>
      <c r="R430" s="1585"/>
      <c r="S430" s="1585"/>
      <c r="T430" s="1585"/>
      <c r="U430" s="1585"/>
      <c r="V430" s="1585"/>
      <c r="W430" s="1585"/>
      <c r="X430" s="1585"/>
      <c r="Y430" s="1585"/>
      <c r="Z430" s="1585"/>
      <c r="AA430" s="1585"/>
      <c r="AB430" s="1585"/>
      <c r="AC430" s="1585"/>
      <c r="AD430" s="1585"/>
      <c r="AE430" s="1585"/>
      <c r="AF430" s="1585"/>
      <c r="AG430" s="1585"/>
      <c r="AH430" s="1585"/>
      <c r="AI430" s="1585"/>
      <c r="AJ430" s="1585"/>
      <c r="AK430" s="1585"/>
      <c r="AL430" s="1585"/>
      <c r="AM430" s="1585"/>
      <c r="AN430" s="1585"/>
      <c r="AO430" s="1585"/>
      <c r="AP430" s="1585"/>
      <c r="AQ430" s="1585"/>
      <c r="AR430" s="1585"/>
      <c r="AS430" s="1585"/>
      <c r="AT430" s="1585"/>
      <c r="AU430" s="1585"/>
      <c r="AV430" s="1585"/>
      <c r="AW430" s="1585"/>
      <c r="AX430" s="1585"/>
      <c r="AY430" s="1585"/>
      <c r="AZ430" s="1585"/>
      <c r="BA430" s="1585"/>
      <c r="BB430" s="1585"/>
      <c r="BC430" s="1585"/>
      <c r="BD430" s="1585"/>
      <c r="BE430" s="1585"/>
      <c r="BF430" s="1585"/>
      <c r="BG430" s="1585"/>
      <c r="BH430" s="1585"/>
      <c r="BI430" s="1585"/>
      <c r="BJ430" s="1585"/>
      <c r="BK430" s="1585"/>
      <c r="BL430" s="1585"/>
      <c r="BM430" s="1585"/>
      <c r="BN430" s="1585"/>
      <c r="BO430" s="1585"/>
      <c r="BP430" s="1585"/>
      <c r="BQ430" s="1585"/>
      <c r="BR430" s="1585"/>
      <c r="BS430" s="1585"/>
      <c r="BT430" s="1585"/>
      <c r="BU430" s="1585"/>
      <c r="BV430" s="1585"/>
      <c r="BW430" s="1585"/>
      <c r="BX430" s="1585"/>
      <c r="BY430" s="1585"/>
      <c r="BZ430" s="1585"/>
      <c r="CA430" s="1585"/>
      <c r="CB430" s="1585"/>
      <c r="CC430" s="1585"/>
      <c r="CD430" s="1585"/>
      <c r="CE430" s="1585"/>
      <c r="CF430" s="1585"/>
      <c r="CG430" s="1585"/>
      <c r="CH430" s="1585"/>
      <c r="CI430" s="1585"/>
      <c r="CJ430" s="1585"/>
      <c r="CK430" s="1585"/>
      <c r="CL430" s="1585"/>
      <c r="CM430" s="1585"/>
      <c r="CN430" s="1585"/>
      <c r="CO430" s="1585"/>
      <c r="CP430" s="1585"/>
      <c r="CQ430" s="1585"/>
      <c r="CR430" s="1585"/>
      <c r="CS430" s="1585"/>
      <c r="CT430" s="1585"/>
      <c r="CU430" s="1585"/>
      <c r="CV430" s="1585"/>
      <c r="CW430" s="1585"/>
      <c r="CX430" s="1585"/>
      <c r="CY430" s="1585"/>
      <c r="CZ430" s="1585"/>
    </row>
    <row r="431" spans="1:407" ht="13" thickBot="1">
      <c r="A431" s="1466"/>
      <c r="B431" s="1586"/>
      <c r="C431" s="1586"/>
      <c r="D431" s="1586"/>
      <c r="E431" s="1587"/>
      <c r="F431" s="1587"/>
      <c r="G431" s="1587"/>
      <c r="H431" s="1587"/>
      <c r="I431" s="1587"/>
      <c r="J431" s="1587"/>
      <c r="K431" s="1587"/>
      <c r="L431" s="1587"/>
      <c r="M431" s="1587"/>
      <c r="N431" s="1587"/>
      <c r="O431" s="1587"/>
      <c r="P431" s="1587"/>
      <c r="Q431" s="1587"/>
      <c r="R431" s="1587"/>
      <c r="S431" s="1587"/>
      <c r="T431" s="1587"/>
      <c r="U431" s="1587"/>
      <c r="V431" s="1587"/>
      <c r="W431" s="1587"/>
      <c r="X431" s="1587"/>
      <c r="Y431" s="1587"/>
      <c r="Z431" s="1587"/>
      <c r="AA431" s="1587"/>
      <c r="AB431" s="1587"/>
      <c r="AC431" s="1587"/>
      <c r="AD431" s="1587"/>
      <c r="AE431" s="1587"/>
      <c r="AF431" s="1587"/>
      <c r="AG431" s="1587"/>
      <c r="AH431" s="1587"/>
      <c r="AI431" s="1587"/>
      <c r="AJ431" s="1587"/>
      <c r="AK431" s="1587"/>
      <c r="AL431" s="1587"/>
      <c r="AM431" s="1587"/>
      <c r="AN431" s="1587"/>
      <c r="AO431" s="1587"/>
      <c r="AP431" s="1587"/>
      <c r="AQ431" s="1587"/>
      <c r="AR431" s="1587"/>
      <c r="AS431" s="1587"/>
      <c r="AT431" s="1587"/>
      <c r="AU431" s="1587"/>
      <c r="AV431" s="1587"/>
      <c r="AW431" s="1587"/>
      <c r="AX431" s="1587"/>
      <c r="AY431" s="1587"/>
      <c r="AZ431" s="1587"/>
      <c r="BA431" s="1587"/>
      <c r="BB431" s="1587"/>
      <c r="BC431" s="1587"/>
      <c r="BD431" s="1587"/>
      <c r="BE431" s="1587"/>
      <c r="BF431" s="1587"/>
      <c r="BG431" s="1587"/>
      <c r="BH431" s="1587"/>
      <c r="BI431" s="1587"/>
      <c r="BJ431" s="1587"/>
      <c r="BK431" s="1587"/>
      <c r="BL431" s="1587"/>
      <c r="BM431" s="1587"/>
      <c r="BN431" s="1587"/>
      <c r="BO431" s="1587"/>
      <c r="BP431" s="1587"/>
      <c r="BQ431" s="1587"/>
      <c r="BR431" s="1587"/>
      <c r="BS431" s="1587"/>
      <c r="BT431" s="1587"/>
      <c r="BU431" s="1587"/>
      <c r="BV431" s="1587"/>
      <c r="BW431" s="1587"/>
      <c r="BX431" s="1587"/>
      <c r="BY431" s="1587"/>
      <c r="BZ431" s="1587"/>
      <c r="CA431" s="1587"/>
      <c r="CB431" s="1587"/>
      <c r="CC431" s="1587"/>
      <c r="CD431" s="1587"/>
      <c r="CE431" s="1587"/>
      <c r="CF431" s="1587"/>
      <c r="CG431" s="1587"/>
      <c r="CH431" s="1587"/>
      <c r="CI431" s="1587"/>
      <c r="CJ431" s="1587"/>
      <c r="CK431" s="1587"/>
      <c r="CL431" s="1587"/>
      <c r="CM431" s="1587"/>
      <c r="CN431" s="1587"/>
      <c r="CO431" s="1587"/>
      <c r="CP431" s="1587"/>
      <c r="CQ431" s="1587"/>
      <c r="CR431" s="1587"/>
      <c r="CS431" s="1587"/>
      <c r="CT431" s="1587"/>
      <c r="CU431" s="1587"/>
      <c r="CV431" s="1587"/>
      <c r="CW431" s="1587"/>
      <c r="CX431" s="1587"/>
      <c r="CY431" s="1587"/>
      <c r="CZ431" s="1587"/>
      <c r="DA431" s="1606"/>
      <c r="DB431" s="1606"/>
      <c r="DC431" s="1606"/>
      <c r="DD431" s="1606"/>
      <c r="DE431" s="1606"/>
      <c r="DF431" s="1606"/>
      <c r="DG431" s="1606"/>
      <c r="DH431" s="1606"/>
      <c r="DI431" s="1606"/>
      <c r="DJ431" s="1606"/>
      <c r="DK431" s="1606"/>
      <c r="DL431" s="1606"/>
      <c r="DM431" s="1606"/>
      <c r="DN431" s="1606"/>
      <c r="DO431" s="1606"/>
      <c r="DP431" s="1606"/>
      <c r="DQ431" s="1606"/>
      <c r="DR431" s="1606"/>
      <c r="DS431" s="1606"/>
      <c r="DT431" s="1606"/>
      <c r="DU431" s="1606"/>
      <c r="DV431" s="1606"/>
      <c r="DW431" s="1606"/>
      <c r="DX431" s="1606"/>
      <c r="DY431" s="1606"/>
      <c r="DZ431" s="1606"/>
      <c r="EA431" s="1606"/>
      <c r="EB431" s="1606"/>
      <c r="EC431" s="1606"/>
      <c r="ED431" s="1606"/>
      <c r="EE431" s="1606"/>
      <c r="EF431" s="1606"/>
      <c r="EG431" s="1606"/>
      <c r="EH431" s="1606"/>
      <c r="EI431" s="1606"/>
      <c r="EJ431" s="1606"/>
      <c r="EK431" s="1606"/>
      <c r="EL431" s="1606"/>
      <c r="EM431" s="1606"/>
      <c r="EN431" s="1606"/>
      <c r="EO431" s="1606"/>
      <c r="EP431" s="1606"/>
      <c r="EQ431" s="1606"/>
      <c r="ER431" s="1606"/>
      <c r="ES431" s="1606"/>
      <c r="ET431" s="1606"/>
      <c r="EU431" s="1606"/>
      <c r="EV431" s="1606"/>
      <c r="EW431" s="1606"/>
      <c r="EX431" s="1606"/>
      <c r="EY431" s="1606"/>
      <c r="EZ431" s="1606"/>
      <c r="FA431" s="1606"/>
      <c r="FB431" s="1606"/>
      <c r="FC431" s="1606"/>
      <c r="FD431" s="1606"/>
      <c r="FE431" s="1606"/>
      <c r="FF431" s="1606"/>
      <c r="FG431" s="1606"/>
      <c r="FH431" s="1606"/>
      <c r="FI431" s="1606"/>
      <c r="FJ431" s="1606"/>
      <c r="FK431" s="1606"/>
      <c r="FL431" s="1606"/>
      <c r="FM431" s="1606"/>
      <c r="FN431" s="1606"/>
      <c r="FO431" s="1606"/>
      <c r="FP431" s="1606"/>
      <c r="FQ431" s="1606"/>
      <c r="FR431" s="1606"/>
      <c r="FS431" s="1606"/>
      <c r="FT431" s="1606"/>
      <c r="FU431" s="1606"/>
      <c r="FV431" s="1606"/>
      <c r="FW431" s="1606"/>
      <c r="FX431" s="1606"/>
      <c r="FY431" s="1606"/>
      <c r="FZ431" s="1606"/>
      <c r="GA431" s="1606"/>
      <c r="GB431" s="1606"/>
      <c r="GC431" s="1606"/>
      <c r="GD431" s="1606"/>
      <c r="GE431" s="1606"/>
      <c r="GF431" s="1606"/>
      <c r="GG431" s="1606"/>
      <c r="GH431" s="1606"/>
      <c r="GI431" s="1606"/>
      <c r="GJ431" s="1606"/>
      <c r="GK431" s="1606"/>
      <c r="GL431" s="1606"/>
      <c r="GM431" s="1606"/>
      <c r="GN431" s="1606"/>
      <c r="GO431" s="1606"/>
      <c r="GP431" s="1606"/>
      <c r="GQ431" s="1606"/>
      <c r="GR431" s="1606"/>
      <c r="GS431" s="1606"/>
      <c r="GT431" s="1606"/>
      <c r="GU431" s="1606"/>
      <c r="GV431" s="1606"/>
      <c r="GW431" s="1606"/>
      <c r="GX431" s="1606"/>
      <c r="GY431" s="1606"/>
      <c r="GZ431" s="1606"/>
      <c r="HA431" s="1606"/>
      <c r="HB431" s="1606"/>
      <c r="HC431" s="1606"/>
      <c r="HD431" s="1606"/>
      <c r="HE431" s="1606"/>
      <c r="HF431" s="1606"/>
      <c r="HG431" s="1606"/>
      <c r="HH431" s="1606"/>
      <c r="HI431" s="1606"/>
      <c r="HJ431" s="1606"/>
      <c r="HK431" s="1606"/>
      <c r="HL431" s="1606"/>
      <c r="HM431" s="1606"/>
      <c r="HN431" s="1606"/>
      <c r="HO431" s="1606"/>
      <c r="HP431" s="1606"/>
      <c r="HQ431" s="1606"/>
      <c r="HR431" s="1606"/>
      <c r="HS431" s="1606"/>
      <c r="HT431" s="1606"/>
      <c r="HU431" s="1606"/>
      <c r="HV431" s="1606"/>
      <c r="HW431" s="1606"/>
      <c r="HX431" s="1606"/>
      <c r="HY431" s="1606"/>
      <c r="HZ431" s="1606"/>
      <c r="IA431" s="1606"/>
      <c r="IB431" s="1606"/>
      <c r="IC431" s="1606"/>
      <c r="ID431" s="1606"/>
      <c r="IE431" s="1606"/>
      <c r="IF431" s="1606"/>
      <c r="IG431" s="1606"/>
      <c r="IH431" s="1606"/>
      <c r="II431" s="1606"/>
      <c r="IJ431" s="1606"/>
      <c r="IK431" s="1606"/>
      <c r="IL431" s="1606"/>
      <c r="IM431" s="1606"/>
      <c r="IN431" s="1606"/>
      <c r="IO431" s="1606"/>
      <c r="IP431" s="1606"/>
      <c r="IQ431" s="1606"/>
      <c r="IR431" s="1606"/>
      <c r="IS431" s="1606"/>
      <c r="IT431" s="1606"/>
      <c r="IU431" s="1606"/>
      <c r="IV431" s="1606"/>
      <c r="IW431" s="1606"/>
      <c r="IX431" s="1606"/>
      <c r="IY431" s="1606"/>
      <c r="IZ431" s="1606"/>
      <c r="JA431" s="1606"/>
      <c r="JB431" s="1606"/>
      <c r="JC431" s="1606"/>
      <c r="JD431" s="1606"/>
      <c r="JE431" s="1606"/>
      <c r="JF431" s="1606"/>
      <c r="JG431" s="1606"/>
      <c r="JH431" s="1606"/>
      <c r="JI431" s="1606"/>
      <c r="JJ431" s="1606"/>
      <c r="JK431" s="1606"/>
      <c r="JL431" s="1606"/>
      <c r="JM431" s="1606"/>
      <c r="JN431" s="1606"/>
      <c r="JO431" s="1606"/>
      <c r="JP431" s="1606"/>
      <c r="JQ431" s="1606"/>
      <c r="JR431" s="1606"/>
      <c r="JS431" s="1606"/>
      <c r="JT431" s="1606"/>
      <c r="JU431" s="1606"/>
      <c r="JV431" s="1606"/>
      <c r="JW431" s="1606"/>
      <c r="JX431" s="1606"/>
      <c r="JY431" s="1606"/>
      <c r="JZ431" s="1606"/>
      <c r="KA431" s="1606"/>
      <c r="KB431" s="1606"/>
      <c r="KC431" s="1606"/>
      <c r="KD431" s="1606"/>
      <c r="KE431" s="1606"/>
      <c r="KF431" s="1606"/>
      <c r="KG431" s="1606"/>
      <c r="KH431" s="1606"/>
      <c r="KI431" s="1606"/>
      <c r="KJ431" s="1606"/>
      <c r="KK431" s="1606"/>
      <c r="KL431" s="1606"/>
      <c r="KM431" s="1606"/>
      <c r="KN431" s="1606"/>
      <c r="KO431" s="1606"/>
      <c r="KP431" s="1606"/>
      <c r="KQ431" s="1606"/>
      <c r="KR431" s="1606"/>
      <c r="KS431" s="1606"/>
      <c r="KT431" s="1606"/>
      <c r="KU431" s="1606"/>
      <c r="KV431" s="1606"/>
      <c r="KW431" s="1606"/>
      <c r="KX431" s="1606"/>
      <c r="KY431" s="1606"/>
      <c r="KZ431" s="1606"/>
      <c r="LA431" s="1606"/>
      <c r="LB431" s="1606"/>
      <c r="LC431" s="1606"/>
      <c r="LD431" s="1606"/>
      <c r="LE431" s="1606"/>
      <c r="LF431" s="1606"/>
      <c r="LG431" s="1606"/>
      <c r="LH431" s="1606"/>
      <c r="LI431" s="1606"/>
      <c r="LJ431" s="1606"/>
      <c r="LK431" s="1606"/>
      <c r="LL431" s="1606"/>
      <c r="LM431" s="1606"/>
      <c r="LN431" s="1606"/>
      <c r="LO431" s="1606"/>
      <c r="LP431" s="1606"/>
      <c r="LQ431" s="1606"/>
      <c r="LR431" s="1606"/>
      <c r="LS431" s="1606"/>
      <c r="LT431" s="1606"/>
      <c r="LU431" s="1606"/>
      <c r="LV431" s="1606"/>
      <c r="LW431" s="1606"/>
      <c r="LX431" s="1606"/>
      <c r="LY431" s="1606"/>
      <c r="LZ431" s="1606"/>
      <c r="MA431" s="1606"/>
      <c r="MB431" s="1606"/>
      <c r="MC431" s="1606"/>
      <c r="MD431" s="1606"/>
      <c r="ME431" s="1606"/>
      <c r="MF431" s="1606"/>
      <c r="MG431" s="1606"/>
      <c r="MH431" s="1606"/>
      <c r="MI431" s="1606"/>
      <c r="MJ431" s="1606"/>
      <c r="MK431" s="1606"/>
      <c r="ML431" s="1606"/>
      <c r="MM431" s="1606"/>
      <c r="MN431" s="1606"/>
      <c r="MO431" s="1606"/>
      <c r="MP431" s="1606"/>
      <c r="MQ431" s="1606"/>
      <c r="MR431" s="1606"/>
      <c r="MS431" s="1606"/>
      <c r="MT431" s="1606"/>
      <c r="MU431" s="1606"/>
      <c r="MV431" s="1606"/>
      <c r="MW431" s="1606"/>
      <c r="MX431" s="1606"/>
      <c r="MY431" s="1606"/>
      <c r="MZ431" s="1606"/>
      <c r="NA431" s="1606"/>
      <c r="NB431" s="1606"/>
      <c r="NC431" s="1606"/>
      <c r="ND431" s="1606"/>
      <c r="NE431" s="1606"/>
      <c r="NF431" s="1606"/>
      <c r="NG431" s="1606"/>
      <c r="NH431" s="1606"/>
      <c r="NI431" s="1606"/>
      <c r="NJ431" s="1606"/>
      <c r="NK431" s="1606"/>
      <c r="NL431" s="1606"/>
      <c r="NM431" s="1606"/>
      <c r="NN431" s="1606"/>
      <c r="NO431" s="1606"/>
      <c r="NP431" s="1606"/>
      <c r="NQ431" s="1606"/>
      <c r="NR431" s="1606"/>
      <c r="NS431" s="1606"/>
      <c r="NT431" s="1606"/>
      <c r="NU431" s="1606"/>
      <c r="NV431" s="1606"/>
      <c r="NW431" s="1606"/>
      <c r="NX431" s="1606"/>
      <c r="NY431" s="1606"/>
      <c r="NZ431" s="1606"/>
      <c r="OA431" s="1606"/>
      <c r="OB431" s="1606"/>
      <c r="OC431" s="1606"/>
      <c r="OD431" s="1606"/>
      <c r="OE431" s="1606"/>
      <c r="OF431" s="1606"/>
      <c r="OG431" s="1606"/>
      <c r="OH431" s="1606"/>
      <c r="OI431" s="1606"/>
      <c r="OJ431" s="1606"/>
      <c r="OK431" s="1606"/>
      <c r="OL431" s="1606"/>
      <c r="OM431" s="1606"/>
      <c r="ON431" s="1606"/>
      <c r="OO431" s="1606"/>
      <c r="OP431" s="1606"/>
      <c r="OQ431" s="1606"/>
    </row>
    <row r="432" spans="1:407" ht="13" thickTop="1">
      <c r="B432" s="1235"/>
      <c r="C432" s="1235"/>
      <c r="D432" s="1235"/>
      <c r="E432" s="267"/>
      <c r="F432" s="267"/>
      <c r="G432" s="267"/>
      <c r="H432" s="267"/>
      <c r="I432" s="267"/>
      <c r="J432" s="267"/>
      <c r="K432" s="267"/>
      <c r="L432" s="267"/>
      <c r="M432" s="267"/>
      <c r="N432" s="267"/>
      <c r="O432" s="267"/>
      <c r="P432" s="267"/>
      <c r="Q432" s="267"/>
      <c r="R432" s="267"/>
      <c r="S432" s="267"/>
      <c r="T432" s="267"/>
      <c r="U432" s="267"/>
      <c r="V432" s="267"/>
      <c r="W432" s="267"/>
      <c r="X432" s="267"/>
      <c r="Y432" s="267"/>
      <c r="Z432" s="267"/>
      <c r="AA432" s="267"/>
      <c r="AB432" s="267"/>
      <c r="AC432" s="267"/>
      <c r="AD432" s="267"/>
      <c r="AE432" s="267"/>
      <c r="AF432" s="267"/>
      <c r="AG432" s="267"/>
      <c r="AH432" s="267"/>
      <c r="AI432" s="267"/>
      <c r="AJ432" s="267"/>
      <c r="AK432" s="267"/>
      <c r="AL432" s="267"/>
      <c r="AM432" s="267"/>
      <c r="AN432" s="267"/>
      <c r="AO432" s="267"/>
      <c r="AP432" s="267"/>
      <c r="AQ432" s="267"/>
      <c r="AR432" s="267"/>
      <c r="AS432" s="267"/>
      <c r="AT432" s="267"/>
      <c r="AU432" s="267"/>
      <c r="AV432" s="267"/>
      <c r="AW432" s="267"/>
      <c r="AX432" s="267"/>
      <c r="AY432" s="267"/>
      <c r="AZ432" s="267"/>
      <c r="BA432" s="267"/>
      <c r="BB432" s="267"/>
      <c r="BC432" s="267"/>
      <c r="BD432" s="267"/>
      <c r="BE432" s="267"/>
      <c r="BF432" s="267"/>
      <c r="BG432" s="267"/>
      <c r="BH432" s="267"/>
      <c r="BI432" s="267"/>
      <c r="BJ432" s="267"/>
      <c r="BK432" s="267"/>
      <c r="BL432" s="267"/>
      <c r="BM432" s="267"/>
      <c r="BN432" s="267"/>
      <c r="BO432" s="267"/>
      <c r="BP432" s="267"/>
      <c r="BQ432" s="267"/>
      <c r="BR432" s="267"/>
      <c r="BS432" s="267"/>
      <c r="BT432" s="267"/>
      <c r="BU432" s="267"/>
      <c r="BV432" s="267"/>
      <c r="BW432" s="267"/>
      <c r="BX432" s="267"/>
      <c r="BY432" s="267"/>
      <c r="BZ432" s="267"/>
      <c r="CA432" s="267"/>
      <c r="CB432" s="267"/>
      <c r="CC432" s="267"/>
      <c r="CD432" s="267"/>
      <c r="CE432" s="267"/>
      <c r="CF432" s="267"/>
      <c r="CG432" s="267"/>
      <c r="CH432" s="267"/>
      <c r="CI432" s="267"/>
      <c r="CJ432" s="267"/>
      <c r="CK432" s="267"/>
      <c r="CL432" s="267"/>
      <c r="CM432" s="267"/>
      <c r="CN432" s="267"/>
      <c r="CO432" s="267"/>
      <c r="CP432" s="267"/>
      <c r="CQ432" s="267"/>
      <c r="CR432" s="267"/>
      <c r="CS432" s="267"/>
      <c r="CT432" s="267"/>
      <c r="CU432" s="267"/>
      <c r="CV432" s="267"/>
      <c r="CW432" s="267"/>
      <c r="CX432" s="267"/>
      <c r="CY432" s="267"/>
      <c r="CZ432" s="267"/>
    </row>
    <row r="433" spans="2:104">
      <c r="B433" s="1235"/>
      <c r="C433" s="1235"/>
      <c r="D433" s="1235"/>
      <c r="E433" s="267"/>
      <c r="F433" s="267"/>
      <c r="G433" s="267"/>
      <c r="H433" s="267"/>
      <c r="I433" s="267"/>
      <c r="J433" s="267"/>
      <c r="K433" s="267"/>
      <c r="L433" s="267"/>
      <c r="M433" s="267"/>
      <c r="N433" s="267"/>
      <c r="O433" s="267"/>
      <c r="P433" s="267"/>
      <c r="Q433" s="267"/>
      <c r="R433" s="267"/>
      <c r="S433" s="267"/>
      <c r="T433" s="267"/>
      <c r="U433" s="267"/>
      <c r="V433" s="267"/>
      <c r="W433" s="267"/>
      <c r="X433" s="267"/>
      <c r="Y433" s="267"/>
      <c r="Z433" s="267"/>
      <c r="AA433" s="267"/>
      <c r="AB433" s="267"/>
      <c r="AC433" s="267"/>
      <c r="AD433" s="267"/>
      <c r="AE433" s="267"/>
      <c r="AF433" s="267"/>
      <c r="AG433" s="267"/>
      <c r="AH433" s="267"/>
      <c r="AI433" s="267"/>
      <c r="AJ433" s="267"/>
      <c r="AK433" s="267"/>
      <c r="AL433" s="267"/>
      <c r="AM433" s="267"/>
      <c r="AN433" s="267"/>
      <c r="AO433" s="267"/>
      <c r="AP433" s="267"/>
      <c r="AQ433" s="267"/>
      <c r="AR433" s="267"/>
      <c r="AS433" s="267"/>
      <c r="AT433" s="267"/>
      <c r="AU433" s="267"/>
      <c r="AV433" s="267"/>
      <c r="AW433" s="267"/>
      <c r="AX433" s="267"/>
      <c r="AY433" s="267"/>
      <c r="AZ433" s="267"/>
      <c r="BA433" s="267"/>
      <c r="BB433" s="267"/>
      <c r="BC433" s="267"/>
      <c r="BD433" s="267"/>
      <c r="BE433" s="267"/>
      <c r="BF433" s="267"/>
      <c r="BG433" s="267"/>
      <c r="BH433" s="267"/>
      <c r="BI433" s="267"/>
      <c r="BJ433" s="267"/>
      <c r="BK433" s="267"/>
      <c r="BL433" s="267"/>
      <c r="BM433" s="267"/>
      <c r="BN433" s="267"/>
      <c r="BO433" s="267"/>
      <c r="BP433" s="267"/>
      <c r="BQ433" s="267"/>
      <c r="BR433" s="267"/>
      <c r="BS433" s="267"/>
      <c r="BT433" s="267"/>
      <c r="BU433" s="267"/>
      <c r="BV433" s="267"/>
      <c r="BW433" s="267"/>
      <c r="BX433" s="267"/>
      <c r="BY433" s="267"/>
      <c r="BZ433" s="267"/>
      <c r="CA433" s="267"/>
      <c r="CB433" s="267"/>
      <c r="CC433" s="267"/>
      <c r="CD433" s="267"/>
      <c r="CE433" s="267"/>
      <c r="CF433" s="267"/>
      <c r="CG433" s="267"/>
      <c r="CH433" s="267"/>
      <c r="CI433" s="267"/>
      <c r="CJ433" s="267"/>
      <c r="CK433" s="267"/>
      <c r="CL433" s="267"/>
      <c r="CM433" s="267"/>
      <c r="CN433" s="267"/>
      <c r="CO433" s="267"/>
      <c r="CP433" s="267"/>
      <c r="CQ433" s="267"/>
      <c r="CR433" s="267"/>
      <c r="CS433" s="267"/>
      <c r="CT433" s="267"/>
      <c r="CU433" s="267"/>
      <c r="CV433" s="267"/>
      <c r="CW433" s="267"/>
      <c r="CX433" s="267"/>
      <c r="CY433" s="267"/>
      <c r="CZ433" s="267"/>
    </row>
    <row r="434" spans="2:104">
      <c r="B434" s="1235"/>
      <c r="C434" s="1235"/>
      <c r="D434" s="1235"/>
      <c r="E434" s="267"/>
      <c r="F434" s="267"/>
      <c r="G434" s="267"/>
      <c r="H434" s="267"/>
      <c r="I434" s="267"/>
      <c r="J434" s="267"/>
      <c r="K434" s="267"/>
      <c r="L434" s="267"/>
      <c r="M434" s="267"/>
      <c r="N434" s="267"/>
      <c r="O434" s="267"/>
      <c r="P434" s="267"/>
      <c r="Q434" s="267"/>
      <c r="R434" s="267"/>
      <c r="S434" s="267"/>
      <c r="T434" s="267"/>
      <c r="U434" s="267"/>
      <c r="V434" s="267"/>
      <c r="W434" s="267"/>
      <c r="X434" s="267"/>
      <c r="Y434" s="267"/>
      <c r="Z434" s="267"/>
      <c r="AA434" s="267"/>
      <c r="AB434" s="267"/>
      <c r="AC434" s="267"/>
      <c r="AD434" s="267"/>
      <c r="AE434" s="267"/>
      <c r="AF434" s="267"/>
      <c r="AG434" s="267"/>
      <c r="AH434" s="267"/>
      <c r="AI434" s="267"/>
      <c r="AJ434" s="267"/>
      <c r="AK434" s="267"/>
      <c r="AL434" s="267"/>
      <c r="AM434" s="267"/>
      <c r="AN434" s="267"/>
      <c r="AO434" s="267"/>
      <c r="AP434" s="267"/>
      <c r="AQ434" s="267"/>
      <c r="AR434" s="267"/>
      <c r="AS434" s="267"/>
      <c r="AT434" s="267"/>
      <c r="AU434" s="267"/>
      <c r="AV434" s="267"/>
      <c r="AW434" s="267"/>
      <c r="AX434" s="267"/>
      <c r="AY434" s="267"/>
      <c r="AZ434" s="267"/>
      <c r="BA434" s="267"/>
      <c r="BB434" s="267"/>
      <c r="BC434" s="267"/>
      <c r="BD434" s="267"/>
      <c r="BE434" s="267"/>
      <c r="BF434" s="267"/>
      <c r="BG434" s="267"/>
      <c r="BH434" s="267"/>
      <c r="BI434" s="267"/>
      <c r="BJ434" s="267"/>
      <c r="BK434" s="267"/>
      <c r="BL434" s="267"/>
      <c r="BM434" s="267"/>
      <c r="BN434" s="267"/>
      <c r="BO434" s="267"/>
      <c r="BP434" s="267"/>
      <c r="BQ434" s="267"/>
      <c r="BR434" s="267"/>
      <c r="BS434" s="267"/>
      <c r="BT434" s="267"/>
      <c r="BU434" s="267"/>
      <c r="BV434" s="267"/>
      <c r="BW434" s="267"/>
      <c r="BX434" s="267"/>
      <c r="BY434" s="267"/>
      <c r="BZ434" s="267"/>
      <c r="CA434" s="267"/>
      <c r="CB434" s="267"/>
      <c r="CC434" s="267"/>
      <c r="CD434" s="267"/>
      <c r="CE434" s="267"/>
      <c r="CF434" s="267"/>
      <c r="CG434" s="267"/>
      <c r="CH434" s="267"/>
      <c r="CI434" s="267"/>
      <c r="CJ434" s="267"/>
      <c r="CK434" s="267"/>
      <c r="CL434" s="267"/>
      <c r="CM434" s="267"/>
      <c r="CN434" s="267"/>
      <c r="CO434" s="267"/>
      <c r="CP434" s="267"/>
      <c r="CQ434" s="267"/>
      <c r="CR434" s="267"/>
      <c r="CS434" s="267"/>
      <c r="CT434" s="267"/>
      <c r="CU434" s="267"/>
      <c r="CV434" s="267"/>
      <c r="CW434" s="267"/>
      <c r="CX434" s="267"/>
      <c r="CY434" s="267"/>
      <c r="CZ434" s="267"/>
    </row>
    <row r="435" spans="2:104">
      <c r="B435" s="1235"/>
      <c r="C435" s="1235"/>
      <c r="D435" s="1235"/>
      <c r="E435" s="267"/>
      <c r="F435" s="267"/>
      <c r="G435" s="267"/>
      <c r="H435" s="267"/>
      <c r="I435" s="267"/>
      <c r="J435" s="267"/>
      <c r="K435" s="267"/>
      <c r="L435" s="267"/>
      <c r="M435" s="267"/>
      <c r="N435" s="267"/>
      <c r="O435" s="267"/>
      <c r="P435" s="267"/>
      <c r="Q435" s="267"/>
      <c r="R435" s="267"/>
      <c r="S435" s="267"/>
      <c r="T435" s="267"/>
      <c r="U435" s="267"/>
      <c r="V435" s="267"/>
      <c r="W435" s="267"/>
      <c r="X435" s="267"/>
      <c r="Y435" s="267"/>
      <c r="Z435" s="267"/>
      <c r="AA435" s="267"/>
      <c r="AB435" s="267"/>
      <c r="AC435" s="267"/>
      <c r="AD435" s="267"/>
      <c r="AE435" s="267"/>
      <c r="AF435" s="267"/>
      <c r="AG435" s="267"/>
      <c r="AH435" s="267"/>
      <c r="AI435" s="267"/>
      <c r="AJ435" s="267"/>
      <c r="AK435" s="267"/>
      <c r="AL435" s="267"/>
      <c r="AM435" s="267"/>
      <c r="AN435" s="267"/>
      <c r="AO435" s="267"/>
      <c r="AP435" s="267"/>
      <c r="AQ435" s="267"/>
      <c r="AR435" s="267"/>
      <c r="AS435" s="267"/>
      <c r="AT435" s="267"/>
      <c r="AU435" s="267"/>
      <c r="AV435" s="267"/>
      <c r="AW435" s="267"/>
      <c r="AX435" s="267"/>
      <c r="AY435" s="267"/>
      <c r="AZ435" s="267"/>
      <c r="BA435" s="267"/>
      <c r="BB435" s="267"/>
      <c r="BC435" s="267"/>
      <c r="BD435" s="267"/>
      <c r="BE435" s="267"/>
      <c r="BF435" s="267"/>
      <c r="BG435" s="267"/>
      <c r="BH435" s="267"/>
      <c r="BI435" s="267"/>
      <c r="BJ435" s="267"/>
      <c r="BK435" s="267"/>
      <c r="BL435" s="267"/>
      <c r="BM435" s="267"/>
      <c r="BN435" s="267"/>
      <c r="BO435" s="267"/>
      <c r="BP435" s="267"/>
      <c r="BQ435" s="267"/>
      <c r="BR435" s="267"/>
      <c r="BS435" s="267"/>
      <c r="BT435" s="267"/>
      <c r="BU435" s="267"/>
      <c r="BV435" s="267"/>
      <c r="BW435" s="267"/>
      <c r="BX435" s="267"/>
      <c r="BY435" s="267"/>
      <c r="BZ435" s="267"/>
      <c r="CA435" s="267"/>
      <c r="CB435" s="267"/>
      <c r="CC435" s="267"/>
      <c r="CD435" s="267"/>
      <c r="CE435" s="267"/>
      <c r="CF435" s="267"/>
      <c r="CG435" s="267"/>
      <c r="CH435" s="267"/>
      <c r="CI435" s="267"/>
      <c r="CJ435" s="267"/>
      <c r="CK435" s="267"/>
      <c r="CL435" s="267"/>
      <c r="CM435" s="267"/>
      <c r="CN435" s="267"/>
      <c r="CO435" s="267"/>
      <c r="CP435" s="267"/>
      <c r="CQ435" s="267"/>
      <c r="CR435" s="267"/>
      <c r="CS435" s="267"/>
      <c r="CT435" s="267"/>
      <c r="CU435" s="267"/>
      <c r="CV435" s="267"/>
      <c r="CW435" s="267"/>
      <c r="CX435" s="267"/>
      <c r="CY435" s="267"/>
      <c r="CZ435" s="267"/>
    </row>
    <row r="436" spans="2:104">
      <c r="B436" s="1235"/>
      <c r="C436" s="1235"/>
      <c r="D436" s="1235"/>
      <c r="E436" s="267"/>
      <c r="F436" s="267"/>
      <c r="G436" s="267"/>
      <c r="H436" s="267"/>
      <c r="I436" s="267"/>
      <c r="J436" s="267"/>
      <c r="K436" s="267"/>
      <c r="L436" s="267"/>
      <c r="M436" s="267"/>
      <c r="N436" s="267"/>
      <c r="O436" s="267"/>
      <c r="P436" s="267"/>
      <c r="Q436" s="267"/>
      <c r="R436" s="267"/>
      <c r="S436" s="267"/>
      <c r="T436" s="267"/>
      <c r="U436" s="267"/>
      <c r="V436" s="267"/>
      <c r="W436" s="267"/>
      <c r="X436" s="267"/>
      <c r="Y436" s="267"/>
      <c r="Z436" s="267"/>
      <c r="AA436" s="267"/>
      <c r="AB436" s="267"/>
      <c r="AC436" s="267"/>
      <c r="AD436" s="267"/>
      <c r="AE436" s="267"/>
      <c r="AF436" s="267"/>
      <c r="AG436" s="267"/>
      <c r="AH436" s="267"/>
      <c r="AI436" s="267"/>
      <c r="AJ436" s="267"/>
      <c r="AK436" s="267"/>
      <c r="AL436" s="267"/>
      <c r="AM436" s="267"/>
      <c r="AN436" s="267"/>
      <c r="AO436" s="267"/>
      <c r="AP436" s="267"/>
      <c r="AQ436" s="267"/>
      <c r="AR436" s="267"/>
      <c r="AS436" s="267"/>
      <c r="AT436" s="267"/>
      <c r="AU436" s="267"/>
      <c r="AV436" s="267"/>
      <c r="AW436" s="267"/>
      <c r="AX436" s="267"/>
      <c r="AY436" s="267"/>
      <c r="AZ436" s="267"/>
      <c r="BA436" s="267"/>
      <c r="BB436" s="267"/>
      <c r="BC436" s="267"/>
      <c r="BD436" s="267"/>
      <c r="BE436" s="267"/>
      <c r="BF436" s="267"/>
      <c r="BG436" s="267"/>
      <c r="BH436" s="267"/>
      <c r="BI436" s="267"/>
      <c r="BJ436" s="267"/>
      <c r="BK436" s="267"/>
      <c r="BL436" s="267"/>
      <c r="BM436" s="267"/>
      <c r="BN436" s="267"/>
      <c r="BO436" s="267"/>
      <c r="BP436" s="267"/>
      <c r="BQ436" s="267"/>
      <c r="BR436" s="267"/>
      <c r="BS436" s="267"/>
      <c r="BT436" s="267"/>
      <c r="BU436" s="267"/>
      <c r="BV436" s="267"/>
      <c r="BW436" s="267"/>
      <c r="BX436" s="267"/>
      <c r="BY436" s="267"/>
      <c r="BZ436" s="267"/>
      <c r="CA436" s="267"/>
      <c r="CB436" s="267"/>
      <c r="CC436" s="267"/>
      <c r="CD436" s="267"/>
      <c r="CE436" s="267"/>
      <c r="CF436" s="267"/>
      <c r="CG436" s="267"/>
      <c r="CH436" s="267"/>
      <c r="CI436" s="267"/>
      <c r="CJ436" s="267"/>
      <c r="CK436" s="267"/>
      <c r="CL436" s="267"/>
      <c r="CM436" s="267"/>
      <c r="CN436" s="267"/>
      <c r="CO436" s="267"/>
      <c r="CP436" s="267"/>
      <c r="CQ436" s="267"/>
      <c r="CR436" s="267"/>
      <c r="CS436" s="267"/>
      <c r="CT436" s="267"/>
      <c r="CU436" s="267"/>
      <c r="CV436" s="267"/>
      <c r="CW436" s="267"/>
      <c r="CX436" s="267"/>
      <c r="CY436" s="267"/>
      <c r="CZ436" s="267"/>
    </row>
    <row r="437" spans="2:104">
      <c r="B437" s="1235"/>
      <c r="C437" s="1235"/>
      <c r="D437" s="1235"/>
      <c r="E437" s="267"/>
      <c r="F437" s="267"/>
      <c r="G437" s="267"/>
      <c r="H437" s="267"/>
      <c r="I437" s="267"/>
      <c r="J437" s="267"/>
      <c r="K437" s="267"/>
      <c r="L437" s="267"/>
      <c r="M437" s="267"/>
      <c r="N437" s="267"/>
      <c r="O437" s="267"/>
      <c r="P437" s="267"/>
      <c r="Q437" s="267"/>
      <c r="R437" s="267"/>
      <c r="S437" s="267"/>
      <c r="T437" s="267"/>
      <c r="U437" s="267"/>
      <c r="V437" s="267"/>
      <c r="W437" s="267"/>
      <c r="X437" s="267"/>
      <c r="Y437" s="267"/>
      <c r="Z437" s="267"/>
      <c r="AA437" s="267"/>
      <c r="AB437" s="267"/>
      <c r="AC437" s="267"/>
      <c r="AD437" s="267"/>
      <c r="AE437" s="267"/>
      <c r="AF437" s="267"/>
      <c r="AG437" s="267"/>
      <c r="AH437" s="267"/>
      <c r="AI437" s="267"/>
      <c r="AJ437" s="267"/>
      <c r="AK437" s="267"/>
      <c r="AL437" s="267"/>
      <c r="AM437" s="267"/>
      <c r="AN437" s="267"/>
      <c r="AO437" s="267"/>
      <c r="AP437" s="267"/>
      <c r="AQ437" s="267"/>
      <c r="AR437" s="267"/>
      <c r="AS437" s="267"/>
      <c r="AT437" s="267"/>
      <c r="AU437" s="267"/>
      <c r="AV437" s="267"/>
      <c r="AW437" s="267"/>
      <c r="AX437" s="267"/>
      <c r="AY437" s="267"/>
      <c r="AZ437" s="267"/>
      <c r="BA437" s="267"/>
      <c r="BB437" s="267"/>
      <c r="BC437" s="267"/>
      <c r="BD437" s="267"/>
      <c r="BE437" s="267"/>
      <c r="BF437" s="267"/>
      <c r="BG437" s="267"/>
      <c r="BH437" s="267"/>
      <c r="BI437" s="267"/>
      <c r="BJ437" s="267"/>
      <c r="BK437" s="267"/>
      <c r="BL437" s="267"/>
      <c r="BM437" s="267"/>
      <c r="BN437" s="267"/>
      <c r="BO437" s="267"/>
      <c r="BP437" s="267"/>
      <c r="BQ437" s="267"/>
      <c r="BR437" s="267"/>
      <c r="BS437" s="267"/>
      <c r="BT437" s="267"/>
      <c r="BU437" s="267"/>
      <c r="BV437" s="267"/>
      <c r="BW437" s="267"/>
      <c r="BX437" s="267"/>
      <c r="BY437" s="267"/>
      <c r="BZ437" s="267"/>
      <c r="CA437" s="267"/>
      <c r="CB437" s="267"/>
      <c r="CC437" s="267"/>
      <c r="CD437" s="267"/>
      <c r="CE437" s="267"/>
      <c r="CF437" s="267"/>
      <c r="CG437" s="267"/>
      <c r="CH437" s="267"/>
      <c r="CI437" s="267"/>
      <c r="CJ437" s="267"/>
      <c r="CK437" s="267"/>
      <c r="CL437" s="267"/>
      <c r="CM437" s="267"/>
      <c r="CN437" s="267"/>
      <c r="CO437" s="267"/>
      <c r="CP437" s="267"/>
      <c r="CQ437" s="267"/>
      <c r="CR437" s="267"/>
      <c r="CS437" s="267"/>
      <c r="CT437" s="267"/>
      <c r="CU437" s="267"/>
      <c r="CV437" s="267"/>
      <c r="CW437" s="267"/>
      <c r="CX437" s="267"/>
      <c r="CY437" s="267"/>
      <c r="CZ437" s="267"/>
    </row>
    <row r="438" spans="2:104">
      <c r="B438" s="1235"/>
      <c r="C438" s="1235"/>
      <c r="D438" s="1235"/>
      <c r="E438" s="267"/>
      <c r="F438" s="267"/>
      <c r="G438" s="267"/>
      <c r="H438" s="267"/>
      <c r="I438" s="267"/>
      <c r="J438" s="267"/>
      <c r="K438" s="267"/>
      <c r="L438" s="267"/>
      <c r="M438" s="267"/>
      <c r="N438" s="267"/>
      <c r="O438" s="267"/>
      <c r="P438" s="267"/>
      <c r="Q438" s="267"/>
      <c r="R438" s="267"/>
      <c r="S438" s="267"/>
      <c r="T438" s="267"/>
      <c r="U438" s="267"/>
      <c r="V438" s="267"/>
      <c r="W438" s="267"/>
      <c r="X438" s="267"/>
      <c r="Y438" s="267"/>
      <c r="Z438" s="267"/>
      <c r="AA438" s="267"/>
      <c r="AB438" s="267"/>
      <c r="AC438" s="267"/>
      <c r="AD438" s="267"/>
      <c r="AE438" s="267"/>
      <c r="AF438" s="267"/>
      <c r="AG438" s="267"/>
      <c r="AH438" s="267"/>
      <c r="AI438" s="267"/>
      <c r="AJ438" s="267"/>
      <c r="AK438" s="267"/>
      <c r="AL438" s="267"/>
      <c r="AM438" s="267"/>
      <c r="AN438" s="267"/>
      <c r="AO438" s="267"/>
      <c r="AP438" s="267"/>
      <c r="AQ438" s="267"/>
      <c r="AR438" s="267"/>
      <c r="AS438" s="267"/>
      <c r="AT438" s="267"/>
      <c r="AU438" s="267"/>
      <c r="AV438" s="267"/>
      <c r="AW438" s="267"/>
      <c r="AX438" s="267"/>
      <c r="AY438" s="267"/>
      <c r="AZ438" s="267"/>
      <c r="BA438" s="267"/>
      <c r="BB438" s="267"/>
      <c r="BC438" s="267"/>
      <c r="BD438" s="267"/>
      <c r="BE438" s="267"/>
      <c r="BF438" s="267"/>
      <c r="BG438" s="267"/>
      <c r="BH438" s="267"/>
      <c r="BI438" s="267"/>
      <c r="BJ438" s="267"/>
      <c r="BK438" s="267"/>
      <c r="BL438" s="267"/>
      <c r="BM438" s="267"/>
      <c r="BN438" s="267"/>
      <c r="BO438" s="267"/>
      <c r="BP438" s="267"/>
      <c r="BQ438" s="267"/>
      <c r="BR438" s="267"/>
      <c r="BS438" s="267"/>
      <c r="BT438" s="267"/>
      <c r="BU438" s="267"/>
      <c r="BV438" s="267"/>
      <c r="BW438" s="267"/>
      <c r="BX438" s="267"/>
      <c r="BY438" s="267"/>
      <c r="BZ438" s="267"/>
      <c r="CA438" s="267"/>
      <c r="CB438" s="267"/>
      <c r="CC438" s="267"/>
      <c r="CD438" s="267"/>
      <c r="CE438" s="267"/>
      <c r="CF438" s="267"/>
      <c r="CG438" s="267"/>
      <c r="CH438" s="267"/>
      <c r="CI438" s="267"/>
      <c r="CJ438" s="267"/>
      <c r="CK438" s="267"/>
      <c r="CL438" s="267"/>
      <c r="CM438" s="267"/>
      <c r="CN438" s="267"/>
      <c r="CO438" s="267"/>
      <c r="CP438" s="267"/>
      <c r="CQ438" s="267"/>
      <c r="CR438" s="267"/>
      <c r="CS438" s="267"/>
      <c r="CT438" s="267"/>
      <c r="CU438" s="267"/>
      <c r="CV438" s="267"/>
      <c r="CW438" s="267"/>
      <c r="CX438" s="267"/>
      <c r="CY438" s="267"/>
      <c r="CZ438" s="267"/>
    </row>
    <row r="439" spans="2:104">
      <c r="B439" s="1235"/>
      <c r="C439" s="1235"/>
      <c r="D439" s="1235"/>
      <c r="E439" s="267"/>
      <c r="F439" s="267"/>
      <c r="G439" s="267"/>
      <c r="H439" s="267"/>
      <c r="I439" s="267"/>
      <c r="J439" s="267"/>
      <c r="K439" s="267"/>
      <c r="L439" s="267"/>
      <c r="M439" s="267"/>
      <c r="N439" s="267"/>
      <c r="O439" s="267"/>
      <c r="P439" s="267"/>
      <c r="Q439" s="267"/>
      <c r="R439" s="267"/>
      <c r="S439" s="267"/>
      <c r="T439" s="267"/>
      <c r="U439" s="267"/>
      <c r="V439" s="267"/>
      <c r="W439" s="267"/>
      <c r="X439" s="267"/>
      <c r="Y439" s="267"/>
      <c r="Z439" s="267"/>
      <c r="AA439" s="267"/>
      <c r="AB439" s="267"/>
      <c r="AC439" s="267"/>
      <c r="AD439" s="267"/>
      <c r="AE439" s="267"/>
      <c r="AF439" s="267"/>
      <c r="AG439" s="267"/>
      <c r="AH439" s="267"/>
      <c r="AI439" s="267"/>
      <c r="AJ439" s="267"/>
      <c r="AK439" s="267"/>
      <c r="AL439" s="267"/>
      <c r="AM439" s="267"/>
      <c r="AN439" s="267"/>
      <c r="AO439" s="267"/>
      <c r="AP439" s="267"/>
      <c r="AQ439" s="267"/>
      <c r="AR439" s="267"/>
      <c r="AS439" s="267"/>
      <c r="AT439" s="267"/>
      <c r="AU439" s="267"/>
      <c r="AV439" s="267"/>
      <c r="AW439" s="267"/>
      <c r="AX439" s="267"/>
      <c r="AY439" s="267"/>
      <c r="AZ439" s="267"/>
      <c r="BA439" s="267"/>
      <c r="BB439" s="267"/>
      <c r="BC439" s="267"/>
      <c r="BD439" s="267"/>
      <c r="BE439" s="267"/>
      <c r="BF439" s="267"/>
      <c r="BG439" s="267"/>
      <c r="BH439" s="267"/>
      <c r="BI439" s="267"/>
      <c r="BJ439" s="267"/>
      <c r="BK439" s="267"/>
      <c r="BL439" s="267"/>
      <c r="BM439" s="267"/>
      <c r="BN439" s="267"/>
      <c r="BO439" s="267"/>
      <c r="BP439" s="267"/>
      <c r="BQ439" s="267"/>
      <c r="BR439" s="267"/>
      <c r="BS439" s="267"/>
      <c r="BT439" s="267"/>
      <c r="BU439" s="267"/>
      <c r="BV439" s="267"/>
      <c r="BW439" s="267"/>
      <c r="BX439" s="267"/>
      <c r="BY439" s="267"/>
      <c r="BZ439" s="267"/>
      <c r="CA439" s="267"/>
      <c r="CB439" s="267"/>
      <c r="CC439" s="267"/>
      <c r="CD439" s="267"/>
      <c r="CE439" s="267"/>
      <c r="CF439" s="267"/>
      <c r="CG439" s="267"/>
      <c r="CH439" s="267"/>
      <c r="CI439" s="267"/>
      <c r="CJ439" s="267"/>
      <c r="CK439" s="267"/>
      <c r="CL439" s="267"/>
      <c r="CM439" s="267"/>
      <c r="CN439" s="267"/>
      <c r="CO439" s="267"/>
      <c r="CP439" s="267"/>
      <c r="CQ439" s="267"/>
      <c r="CR439" s="267"/>
      <c r="CS439" s="267"/>
      <c r="CT439" s="267"/>
      <c r="CU439" s="267"/>
      <c r="CV439" s="267"/>
      <c r="CW439" s="267"/>
      <c r="CX439" s="267"/>
      <c r="CY439" s="267"/>
      <c r="CZ439" s="267"/>
    </row>
    <row r="440" spans="2:104">
      <c r="B440" s="1235"/>
      <c r="C440" s="1235"/>
      <c r="D440" s="1235"/>
      <c r="E440" s="267"/>
      <c r="F440" s="267"/>
      <c r="G440" s="267"/>
      <c r="H440" s="267"/>
      <c r="I440" s="267"/>
      <c r="J440" s="267"/>
      <c r="K440" s="267"/>
      <c r="L440" s="267"/>
      <c r="M440" s="267"/>
      <c r="N440" s="267"/>
      <c r="O440" s="267"/>
      <c r="P440" s="267"/>
      <c r="Q440" s="267"/>
      <c r="R440" s="267"/>
      <c r="S440" s="267"/>
      <c r="T440" s="267"/>
      <c r="U440" s="267"/>
      <c r="V440" s="267"/>
      <c r="W440" s="267"/>
      <c r="X440" s="267"/>
      <c r="Y440" s="267"/>
      <c r="Z440" s="267"/>
      <c r="AA440" s="267"/>
      <c r="AB440" s="267"/>
      <c r="AC440" s="267"/>
      <c r="AD440" s="267"/>
      <c r="AE440" s="267"/>
      <c r="AF440" s="267"/>
      <c r="AG440" s="267"/>
      <c r="AH440" s="267"/>
      <c r="AI440" s="267"/>
      <c r="AJ440" s="267"/>
      <c r="AK440" s="267"/>
      <c r="AL440" s="267"/>
      <c r="AM440" s="267"/>
      <c r="AN440" s="267"/>
      <c r="AO440" s="267"/>
      <c r="AP440" s="267"/>
      <c r="AQ440" s="267"/>
      <c r="AR440" s="267"/>
      <c r="AS440" s="267"/>
      <c r="AT440" s="267"/>
      <c r="AU440" s="267"/>
      <c r="AV440" s="267"/>
      <c r="AW440" s="267"/>
      <c r="AX440" s="267"/>
      <c r="AY440" s="267"/>
      <c r="AZ440" s="267"/>
      <c r="BA440" s="267"/>
      <c r="BB440" s="267"/>
      <c r="BC440" s="267"/>
      <c r="BD440" s="267"/>
      <c r="BE440" s="267"/>
      <c r="BF440" s="267"/>
      <c r="BG440" s="267"/>
      <c r="BH440" s="267"/>
      <c r="BI440" s="267"/>
      <c r="BJ440" s="267"/>
      <c r="BK440" s="267"/>
      <c r="BL440" s="267"/>
      <c r="BM440" s="267"/>
      <c r="BN440" s="267"/>
      <c r="BO440" s="267"/>
      <c r="BP440" s="267"/>
      <c r="BQ440" s="267"/>
      <c r="BR440" s="267"/>
      <c r="BS440" s="267"/>
      <c r="BT440" s="267"/>
      <c r="BU440" s="267"/>
      <c r="BV440" s="267"/>
      <c r="BW440" s="267"/>
      <c r="BX440" s="267"/>
      <c r="BY440" s="267"/>
      <c r="BZ440" s="267"/>
      <c r="CA440" s="267"/>
      <c r="CB440" s="267"/>
      <c r="CC440" s="267"/>
      <c r="CD440" s="267"/>
      <c r="CE440" s="267"/>
      <c r="CF440" s="267"/>
      <c r="CG440" s="267"/>
      <c r="CH440" s="267"/>
      <c r="CI440" s="267"/>
      <c r="CJ440" s="267"/>
      <c r="CK440" s="267"/>
      <c r="CL440" s="267"/>
      <c r="CM440" s="267"/>
      <c r="CN440" s="267"/>
      <c r="CO440" s="267"/>
      <c r="CP440" s="267"/>
      <c r="CQ440" s="267"/>
      <c r="CR440" s="267"/>
      <c r="CS440" s="267"/>
      <c r="CT440" s="267"/>
      <c r="CU440" s="267"/>
      <c r="CV440" s="267"/>
      <c r="CW440" s="267"/>
      <c r="CX440" s="267"/>
      <c r="CY440" s="267"/>
      <c r="CZ440" s="267"/>
    </row>
    <row r="441" spans="2:104">
      <c r="B441" s="1235"/>
      <c r="C441" s="1235"/>
      <c r="D441" s="1235"/>
      <c r="E441" s="267"/>
      <c r="F441" s="267"/>
      <c r="G441" s="267"/>
      <c r="H441" s="267"/>
      <c r="I441" s="267"/>
      <c r="J441" s="267"/>
      <c r="K441" s="267"/>
      <c r="L441" s="267"/>
      <c r="M441" s="267"/>
      <c r="N441" s="267"/>
      <c r="O441" s="267"/>
      <c r="P441" s="267"/>
      <c r="Q441" s="267"/>
      <c r="R441" s="267"/>
      <c r="S441" s="267"/>
      <c r="T441" s="267"/>
      <c r="U441" s="267"/>
      <c r="V441" s="267"/>
      <c r="W441" s="267"/>
      <c r="X441" s="267"/>
      <c r="Y441" s="267"/>
      <c r="Z441" s="267"/>
      <c r="AA441" s="267"/>
      <c r="AB441" s="267"/>
      <c r="AC441" s="267"/>
      <c r="AD441" s="267"/>
      <c r="AE441" s="267"/>
      <c r="AF441" s="267"/>
      <c r="AG441" s="267"/>
      <c r="AH441" s="267"/>
      <c r="AI441" s="267"/>
      <c r="AJ441" s="267"/>
      <c r="AK441" s="267"/>
      <c r="AL441" s="267"/>
      <c r="AM441" s="267"/>
      <c r="AN441" s="267"/>
      <c r="AO441" s="267"/>
      <c r="AP441" s="267"/>
      <c r="AQ441" s="267"/>
      <c r="AR441" s="267"/>
      <c r="AS441" s="267"/>
      <c r="AT441" s="267"/>
      <c r="AU441" s="267"/>
      <c r="AV441" s="267"/>
      <c r="AW441" s="267"/>
      <c r="AX441" s="267"/>
      <c r="AY441" s="267"/>
      <c r="AZ441" s="267"/>
      <c r="BA441" s="267"/>
      <c r="BB441" s="267"/>
      <c r="BC441" s="267"/>
      <c r="BD441" s="267"/>
      <c r="BE441" s="267"/>
      <c r="BF441" s="267"/>
      <c r="BG441" s="267"/>
      <c r="BH441" s="267"/>
      <c r="BI441" s="267"/>
      <c r="BJ441" s="267"/>
      <c r="BK441" s="267"/>
      <c r="BL441" s="267"/>
      <c r="BM441" s="267"/>
      <c r="BN441" s="267"/>
      <c r="BO441" s="267"/>
      <c r="BP441" s="267"/>
      <c r="BQ441" s="267"/>
      <c r="BR441" s="267"/>
      <c r="BS441" s="267"/>
      <c r="BT441" s="267"/>
      <c r="BU441" s="267"/>
      <c r="BV441" s="267"/>
      <c r="BW441" s="267"/>
      <c r="BX441" s="267"/>
      <c r="BY441" s="267"/>
      <c r="BZ441" s="267"/>
      <c r="CA441" s="267"/>
      <c r="CB441" s="267"/>
      <c r="CC441" s="267"/>
      <c r="CD441" s="267"/>
      <c r="CE441" s="267"/>
      <c r="CF441" s="267"/>
      <c r="CG441" s="267"/>
      <c r="CH441" s="267"/>
      <c r="CI441" s="267"/>
      <c r="CJ441" s="267"/>
      <c r="CK441" s="267"/>
      <c r="CL441" s="267"/>
      <c r="CM441" s="267"/>
      <c r="CN441" s="267"/>
      <c r="CO441" s="267"/>
      <c r="CP441" s="267"/>
      <c r="CQ441" s="267"/>
      <c r="CR441" s="267"/>
      <c r="CS441" s="267"/>
      <c r="CT441" s="267"/>
      <c r="CU441" s="267"/>
      <c r="CV441" s="267"/>
      <c r="CW441" s="267"/>
      <c r="CX441" s="267"/>
      <c r="CY441" s="267"/>
      <c r="CZ441" s="267"/>
    </row>
    <row r="442" spans="2:104">
      <c r="B442" s="1235"/>
      <c r="C442" s="1235"/>
      <c r="D442" s="1235"/>
      <c r="E442" s="267"/>
      <c r="F442" s="267"/>
      <c r="G442" s="267"/>
      <c r="H442" s="267"/>
      <c r="I442" s="267"/>
      <c r="J442" s="267"/>
      <c r="K442" s="267"/>
      <c r="L442" s="267"/>
      <c r="M442" s="267"/>
      <c r="N442" s="267"/>
      <c r="O442" s="267"/>
      <c r="P442" s="267"/>
      <c r="Q442" s="267"/>
      <c r="R442" s="267"/>
      <c r="S442" s="267"/>
      <c r="T442" s="267"/>
      <c r="U442" s="267"/>
      <c r="V442" s="267"/>
      <c r="W442" s="267"/>
      <c r="X442" s="267"/>
      <c r="Y442" s="267"/>
      <c r="Z442" s="267"/>
      <c r="AA442" s="267"/>
      <c r="AB442" s="267"/>
      <c r="AC442" s="267"/>
      <c r="AD442" s="267"/>
      <c r="AE442" s="267"/>
      <c r="AF442" s="267"/>
      <c r="AG442" s="267"/>
      <c r="AH442" s="267"/>
      <c r="AI442" s="267"/>
      <c r="AJ442" s="267"/>
      <c r="AK442" s="267"/>
      <c r="AL442" s="267"/>
      <c r="AM442" s="267"/>
      <c r="AN442" s="267"/>
      <c r="AO442" s="267"/>
      <c r="AP442" s="267"/>
      <c r="AQ442" s="267"/>
      <c r="AR442" s="267"/>
      <c r="AS442" s="267"/>
      <c r="AT442" s="267"/>
      <c r="AU442" s="267"/>
      <c r="AV442" s="267"/>
      <c r="AW442" s="267"/>
      <c r="AX442" s="267"/>
      <c r="AY442" s="267"/>
      <c r="AZ442" s="267"/>
      <c r="BA442" s="267"/>
      <c r="BB442" s="267"/>
      <c r="BC442" s="267"/>
      <c r="BD442" s="267"/>
      <c r="BE442" s="267"/>
      <c r="BF442" s="267"/>
      <c r="BG442" s="267"/>
      <c r="BH442" s="267"/>
      <c r="BI442" s="267"/>
      <c r="BJ442" s="267"/>
      <c r="BK442" s="267"/>
      <c r="BL442" s="267"/>
      <c r="BM442" s="267"/>
      <c r="BN442" s="267"/>
      <c r="BO442" s="267"/>
      <c r="BP442" s="267"/>
      <c r="BQ442" s="267"/>
      <c r="BR442" s="267"/>
      <c r="BS442" s="267"/>
      <c r="BT442" s="267"/>
      <c r="BU442" s="267"/>
      <c r="BV442" s="267"/>
      <c r="BW442" s="267"/>
      <c r="BX442" s="267"/>
      <c r="BY442" s="267"/>
      <c r="BZ442" s="267"/>
      <c r="CA442" s="267"/>
      <c r="CB442" s="267"/>
      <c r="CC442" s="267"/>
      <c r="CD442" s="267"/>
      <c r="CE442" s="267"/>
      <c r="CF442" s="267"/>
      <c r="CG442" s="267"/>
      <c r="CH442" s="267"/>
      <c r="CI442" s="267"/>
      <c r="CJ442" s="267"/>
      <c r="CK442" s="267"/>
      <c r="CL442" s="267"/>
      <c r="CM442" s="267"/>
      <c r="CN442" s="267"/>
      <c r="CO442" s="267"/>
      <c r="CP442" s="267"/>
      <c r="CQ442" s="267"/>
      <c r="CR442" s="267"/>
      <c r="CS442" s="267"/>
      <c r="CT442" s="267"/>
      <c r="CU442" s="267"/>
      <c r="CV442" s="267"/>
      <c r="CW442" s="267"/>
      <c r="CX442" s="267"/>
      <c r="CY442" s="267"/>
      <c r="CZ442" s="267"/>
    </row>
    <row r="443" spans="2:104">
      <c r="B443" s="1235"/>
      <c r="C443" s="1235"/>
      <c r="D443" s="1235"/>
      <c r="E443" s="267"/>
      <c r="F443" s="267"/>
      <c r="G443" s="267"/>
      <c r="H443" s="267"/>
      <c r="I443" s="267"/>
      <c r="J443" s="267"/>
      <c r="K443" s="267"/>
      <c r="L443" s="267"/>
      <c r="M443" s="267"/>
      <c r="N443" s="267"/>
      <c r="O443" s="267"/>
      <c r="P443" s="267"/>
      <c r="Q443" s="267"/>
      <c r="R443" s="267"/>
      <c r="S443" s="267"/>
      <c r="T443" s="267"/>
      <c r="U443" s="267"/>
      <c r="V443" s="267"/>
      <c r="W443" s="267"/>
      <c r="X443" s="267"/>
      <c r="Y443" s="267"/>
      <c r="Z443" s="267"/>
      <c r="AA443" s="267"/>
      <c r="AB443" s="267"/>
      <c r="AC443" s="267"/>
      <c r="AD443" s="267"/>
      <c r="AE443" s="267"/>
      <c r="AF443" s="267"/>
      <c r="AG443" s="267"/>
      <c r="AH443" s="267"/>
      <c r="AI443" s="267"/>
      <c r="AJ443" s="267"/>
      <c r="AK443" s="267"/>
      <c r="AL443" s="267"/>
      <c r="AM443" s="267"/>
      <c r="AN443" s="267"/>
      <c r="AO443" s="267"/>
      <c r="AP443" s="267"/>
      <c r="AQ443" s="267"/>
      <c r="AR443" s="267"/>
      <c r="AS443" s="267"/>
      <c r="AT443" s="267"/>
      <c r="AU443" s="267"/>
      <c r="AV443" s="267"/>
      <c r="AW443" s="267"/>
      <c r="AX443" s="267"/>
      <c r="AY443" s="267"/>
      <c r="AZ443" s="267"/>
      <c r="BA443" s="267"/>
      <c r="BB443" s="267"/>
      <c r="BC443" s="267"/>
      <c r="BD443" s="267"/>
      <c r="BE443" s="267"/>
      <c r="BF443" s="267"/>
      <c r="BG443" s="267"/>
      <c r="BH443" s="267"/>
      <c r="BI443" s="267"/>
      <c r="BJ443" s="267"/>
      <c r="BK443" s="267"/>
      <c r="BL443" s="267"/>
      <c r="BM443" s="267"/>
      <c r="BN443" s="267"/>
      <c r="BO443" s="267"/>
      <c r="BP443" s="267"/>
      <c r="BQ443" s="267"/>
      <c r="BR443" s="267"/>
      <c r="BS443" s="267"/>
      <c r="BT443" s="267"/>
      <c r="BU443" s="267"/>
      <c r="BV443" s="267"/>
      <c r="BW443" s="267"/>
      <c r="BX443" s="267"/>
      <c r="BY443" s="267"/>
      <c r="BZ443" s="267"/>
      <c r="CA443" s="267"/>
      <c r="CB443" s="267"/>
      <c r="CC443" s="267"/>
      <c r="CD443" s="267"/>
      <c r="CE443" s="267"/>
      <c r="CF443" s="267"/>
      <c r="CG443" s="267"/>
      <c r="CH443" s="267"/>
      <c r="CI443" s="267"/>
      <c r="CJ443" s="267"/>
      <c r="CK443" s="267"/>
      <c r="CL443" s="267"/>
      <c r="CM443" s="267"/>
      <c r="CN443" s="267"/>
      <c r="CO443" s="267"/>
      <c r="CP443" s="267"/>
      <c r="CQ443" s="267"/>
      <c r="CR443" s="267"/>
      <c r="CS443" s="267"/>
      <c r="CT443" s="267"/>
      <c r="CU443" s="267"/>
      <c r="CV443" s="267"/>
      <c r="CW443" s="267"/>
      <c r="CX443" s="267"/>
      <c r="CY443" s="267"/>
      <c r="CZ443" s="267"/>
    </row>
    <row r="444" spans="2:104">
      <c r="B444" s="1235"/>
      <c r="C444" s="1235"/>
      <c r="D444" s="1235"/>
      <c r="E444" s="267"/>
      <c r="F444" s="267"/>
      <c r="G444" s="267"/>
      <c r="H444" s="267"/>
      <c r="I444" s="267"/>
      <c r="J444" s="267"/>
      <c r="K444" s="267"/>
      <c r="L444" s="267"/>
      <c r="M444" s="267"/>
      <c r="N444" s="267"/>
      <c r="O444" s="267"/>
      <c r="P444" s="267"/>
      <c r="Q444" s="267"/>
      <c r="R444" s="267"/>
      <c r="S444" s="267"/>
      <c r="T444" s="267"/>
      <c r="U444" s="267"/>
      <c r="V444" s="267"/>
      <c r="W444" s="267"/>
      <c r="X444" s="267"/>
      <c r="Y444" s="267"/>
      <c r="Z444" s="267"/>
      <c r="AA444" s="267"/>
      <c r="AB444" s="267"/>
      <c r="AC444" s="267"/>
      <c r="AD444" s="267"/>
      <c r="AE444" s="267"/>
      <c r="AF444" s="267"/>
      <c r="AG444" s="267"/>
      <c r="AH444" s="267"/>
      <c r="AI444" s="267"/>
      <c r="AJ444" s="267"/>
      <c r="AK444" s="267"/>
      <c r="AL444" s="267"/>
      <c r="AM444" s="267"/>
      <c r="AN444" s="267"/>
      <c r="AO444" s="267"/>
      <c r="AP444" s="267"/>
      <c r="AQ444" s="267"/>
      <c r="AR444" s="267"/>
      <c r="AS444" s="267"/>
      <c r="AT444" s="267"/>
      <c r="AU444" s="267"/>
      <c r="AV444" s="267"/>
      <c r="AW444" s="267"/>
      <c r="AX444" s="267"/>
      <c r="AY444" s="267"/>
      <c r="AZ444" s="267"/>
      <c r="BA444" s="267"/>
      <c r="BB444" s="267"/>
      <c r="BC444" s="267"/>
      <c r="BD444" s="267"/>
      <c r="BE444" s="267"/>
      <c r="BF444" s="267"/>
      <c r="BG444" s="267"/>
      <c r="BH444" s="267"/>
      <c r="BI444" s="267"/>
      <c r="BJ444" s="267"/>
      <c r="BK444" s="267"/>
      <c r="BL444" s="267"/>
      <c r="BM444" s="267"/>
      <c r="BN444" s="267"/>
      <c r="BO444" s="267"/>
      <c r="BP444" s="267"/>
      <c r="BQ444" s="267"/>
      <c r="BR444" s="267"/>
      <c r="BS444" s="267"/>
      <c r="BT444" s="267"/>
      <c r="BU444" s="267"/>
      <c r="BV444" s="267"/>
      <c r="BW444" s="267"/>
      <c r="BX444" s="267"/>
      <c r="BY444" s="267"/>
      <c r="BZ444" s="267"/>
      <c r="CA444" s="267"/>
      <c r="CB444" s="267"/>
      <c r="CC444" s="267"/>
      <c r="CD444" s="267"/>
      <c r="CE444" s="267"/>
      <c r="CF444" s="267"/>
      <c r="CG444" s="267"/>
      <c r="CH444" s="267"/>
      <c r="CI444" s="267"/>
      <c r="CJ444" s="267"/>
      <c r="CK444" s="267"/>
      <c r="CL444" s="267"/>
      <c r="CM444" s="267"/>
      <c r="CN444" s="267"/>
      <c r="CO444" s="267"/>
      <c r="CP444" s="267"/>
      <c r="CQ444" s="267"/>
      <c r="CR444" s="267"/>
      <c r="CS444" s="267"/>
      <c r="CT444" s="267"/>
      <c r="CU444" s="267"/>
      <c r="CV444" s="267"/>
      <c r="CW444" s="267"/>
      <c r="CX444" s="267"/>
      <c r="CY444" s="267"/>
      <c r="CZ444" s="267"/>
    </row>
    <row r="445" spans="2:104">
      <c r="B445" s="1235"/>
      <c r="C445" s="1235"/>
      <c r="D445" s="1235"/>
      <c r="E445" s="267"/>
      <c r="F445" s="267"/>
      <c r="G445" s="267"/>
      <c r="H445" s="267"/>
      <c r="I445" s="267"/>
      <c r="J445" s="267"/>
      <c r="K445" s="267"/>
      <c r="L445" s="267"/>
      <c r="M445" s="267"/>
      <c r="N445" s="267"/>
      <c r="O445" s="267"/>
      <c r="P445" s="267"/>
      <c r="Q445" s="267"/>
      <c r="R445" s="267"/>
      <c r="S445" s="267"/>
      <c r="T445" s="267"/>
      <c r="U445" s="267"/>
      <c r="V445" s="267"/>
      <c r="W445" s="267"/>
      <c r="X445" s="267"/>
      <c r="Y445" s="267"/>
      <c r="Z445" s="267"/>
      <c r="AA445" s="267"/>
      <c r="AB445" s="267"/>
      <c r="AC445" s="267"/>
      <c r="AD445" s="267"/>
      <c r="AE445" s="267"/>
      <c r="AF445" s="267"/>
      <c r="AG445" s="267"/>
      <c r="AH445" s="267"/>
      <c r="AI445" s="267"/>
      <c r="AJ445" s="267"/>
      <c r="AK445" s="267"/>
      <c r="AL445" s="267"/>
      <c r="AM445" s="267"/>
      <c r="AN445" s="267"/>
      <c r="AO445" s="267"/>
      <c r="AP445" s="267"/>
      <c r="AQ445" s="267"/>
      <c r="AR445" s="267"/>
      <c r="AS445" s="267"/>
      <c r="AT445" s="267"/>
      <c r="AU445" s="267"/>
      <c r="AV445" s="267"/>
      <c r="AW445" s="267"/>
      <c r="AX445" s="267"/>
      <c r="AY445" s="267"/>
      <c r="AZ445" s="267"/>
      <c r="BA445" s="267"/>
      <c r="BB445" s="267"/>
      <c r="BC445" s="267"/>
      <c r="BD445" s="267"/>
      <c r="BE445" s="267"/>
      <c r="BF445" s="267"/>
      <c r="BG445" s="267"/>
      <c r="BH445" s="267"/>
      <c r="BI445" s="267"/>
      <c r="BJ445" s="267"/>
      <c r="BK445" s="267"/>
      <c r="BL445" s="267"/>
      <c r="BM445" s="267"/>
      <c r="BN445" s="267"/>
      <c r="BO445" s="267"/>
      <c r="BP445" s="267"/>
      <c r="BQ445" s="267"/>
      <c r="BR445" s="267"/>
      <c r="BS445" s="267"/>
      <c r="BT445" s="267"/>
      <c r="BU445" s="267"/>
      <c r="BV445" s="267"/>
      <c r="BW445" s="267"/>
      <c r="BX445" s="267"/>
      <c r="BY445" s="267"/>
      <c r="BZ445" s="267"/>
      <c r="CA445" s="267"/>
      <c r="CB445" s="267"/>
      <c r="CC445" s="267"/>
      <c r="CD445" s="267"/>
      <c r="CE445" s="267"/>
      <c r="CF445" s="267"/>
      <c r="CG445" s="267"/>
      <c r="CH445" s="267"/>
      <c r="CI445" s="267"/>
      <c r="CJ445" s="267"/>
      <c r="CK445" s="267"/>
      <c r="CL445" s="267"/>
      <c r="CM445" s="267"/>
      <c r="CN445" s="267"/>
      <c r="CO445" s="267"/>
      <c r="CP445" s="267"/>
      <c r="CQ445" s="267"/>
      <c r="CR445" s="267"/>
      <c r="CS445" s="267"/>
      <c r="CT445" s="267"/>
      <c r="CU445" s="267"/>
      <c r="CV445" s="267"/>
      <c r="CW445" s="267"/>
      <c r="CX445" s="267"/>
      <c r="CY445" s="267"/>
      <c r="CZ445" s="267"/>
    </row>
    <row r="446" spans="2:104">
      <c r="B446" s="1235"/>
      <c r="C446" s="1235"/>
      <c r="D446" s="1235"/>
      <c r="E446" s="267"/>
      <c r="F446" s="267"/>
      <c r="G446" s="267"/>
      <c r="H446" s="267"/>
      <c r="I446" s="267"/>
      <c r="J446" s="267"/>
      <c r="K446" s="267"/>
      <c r="L446" s="267"/>
      <c r="M446" s="267"/>
      <c r="N446" s="267"/>
      <c r="O446" s="267"/>
      <c r="P446" s="267"/>
      <c r="Q446" s="267"/>
      <c r="R446" s="267"/>
      <c r="S446" s="267"/>
      <c r="T446" s="267"/>
      <c r="U446" s="267"/>
      <c r="V446" s="267"/>
      <c r="W446" s="267"/>
      <c r="X446" s="267"/>
      <c r="Y446" s="267"/>
      <c r="Z446" s="267"/>
      <c r="AA446" s="267"/>
      <c r="AB446" s="267"/>
      <c r="AC446" s="267"/>
      <c r="AD446" s="267"/>
      <c r="AE446" s="267"/>
      <c r="AF446" s="267"/>
      <c r="AG446" s="267"/>
      <c r="AH446" s="267"/>
      <c r="AI446" s="267"/>
      <c r="AJ446" s="267"/>
      <c r="AK446" s="267"/>
      <c r="AL446" s="267"/>
      <c r="AM446" s="267"/>
      <c r="AN446" s="267"/>
      <c r="AO446" s="267"/>
      <c r="AP446" s="267"/>
      <c r="AQ446" s="267"/>
      <c r="AR446" s="267"/>
      <c r="AS446" s="267"/>
      <c r="AT446" s="267"/>
      <c r="AU446" s="267"/>
      <c r="AV446" s="267"/>
      <c r="AW446" s="267"/>
      <c r="AX446" s="267"/>
      <c r="AY446" s="267"/>
      <c r="AZ446" s="267"/>
      <c r="BA446" s="267"/>
      <c r="BB446" s="267"/>
      <c r="BC446" s="267"/>
      <c r="BD446" s="267"/>
      <c r="BE446" s="267"/>
      <c r="BF446" s="267"/>
      <c r="BG446" s="267"/>
      <c r="BH446" s="267"/>
      <c r="BI446" s="267"/>
      <c r="BJ446" s="267"/>
      <c r="BK446" s="267"/>
      <c r="BL446" s="267"/>
      <c r="BM446" s="267"/>
      <c r="BN446" s="267"/>
      <c r="BO446" s="267"/>
      <c r="BP446" s="267"/>
      <c r="BQ446" s="267"/>
      <c r="BR446" s="267"/>
      <c r="BS446" s="267"/>
      <c r="BT446" s="267"/>
      <c r="BU446" s="267"/>
      <c r="BV446" s="267"/>
      <c r="BW446" s="267"/>
      <c r="BX446" s="267"/>
      <c r="BY446" s="267"/>
      <c r="BZ446" s="267"/>
      <c r="CA446" s="267"/>
      <c r="CB446" s="267"/>
      <c r="CC446" s="267"/>
      <c r="CD446" s="267"/>
      <c r="CE446" s="267"/>
      <c r="CF446" s="267"/>
      <c r="CG446" s="267"/>
      <c r="CH446" s="267"/>
      <c r="CI446" s="267"/>
      <c r="CJ446" s="267"/>
      <c r="CK446" s="267"/>
      <c r="CL446" s="267"/>
      <c r="CM446" s="267"/>
      <c r="CN446" s="267"/>
      <c r="CO446" s="267"/>
      <c r="CP446" s="267"/>
      <c r="CQ446" s="267"/>
      <c r="CR446" s="267"/>
      <c r="CS446" s="267"/>
      <c r="CT446" s="267"/>
      <c r="CU446" s="267"/>
      <c r="CV446" s="267"/>
      <c r="CW446" s="267"/>
      <c r="CX446" s="267"/>
      <c r="CY446" s="267"/>
      <c r="CZ446" s="267"/>
    </row>
    <row r="447" spans="2:104">
      <c r="B447" s="1235"/>
      <c r="C447" s="1235"/>
      <c r="D447" s="1235"/>
      <c r="E447" s="267"/>
      <c r="F447" s="267"/>
      <c r="G447" s="267"/>
      <c r="H447" s="267"/>
      <c r="I447" s="267"/>
      <c r="J447" s="267"/>
      <c r="K447" s="267"/>
      <c r="L447" s="267"/>
      <c r="M447" s="267"/>
      <c r="N447" s="267"/>
      <c r="O447" s="267"/>
      <c r="P447" s="267"/>
      <c r="Q447" s="267"/>
      <c r="R447" s="267"/>
      <c r="S447" s="267"/>
      <c r="T447" s="267"/>
      <c r="U447" s="267"/>
      <c r="V447" s="267"/>
      <c r="W447" s="267"/>
      <c r="X447" s="267"/>
      <c r="Y447" s="267"/>
      <c r="Z447" s="267"/>
      <c r="AA447" s="267"/>
      <c r="AB447" s="267"/>
      <c r="AC447" s="267"/>
      <c r="AD447" s="267"/>
      <c r="AE447" s="267"/>
      <c r="AF447" s="267"/>
      <c r="AG447" s="267"/>
      <c r="AH447" s="267"/>
      <c r="AI447" s="267"/>
      <c r="AJ447" s="267"/>
      <c r="AK447" s="267"/>
      <c r="AL447" s="267"/>
      <c r="AM447" s="267"/>
      <c r="AN447" s="267"/>
      <c r="AO447" s="267"/>
      <c r="AP447" s="267"/>
      <c r="AQ447" s="267"/>
      <c r="AR447" s="267"/>
      <c r="AS447" s="267"/>
      <c r="AT447" s="267"/>
      <c r="AU447" s="267"/>
      <c r="AV447" s="267"/>
      <c r="AW447" s="267"/>
      <c r="AX447" s="267"/>
      <c r="AY447" s="267"/>
      <c r="AZ447" s="267"/>
      <c r="BA447" s="267"/>
      <c r="BB447" s="267"/>
      <c r="BC447" s="267"/>
      <c r="BD447" s="267"/>
      <c r="BE447" s="267"/>
      <c r="BF447" s="267"/>
      <c r="BG447" s="267"/>
      <c r="BH447" s="267"/>
      <c r="BI447" s="267"/>
      <c r="BJ447" s="267"/>
      <c r="BK447" s="267"/>
      <c r="BL447" s="267"/>
      <c r="BM447" s="267"/>
      <c r="BN447" s="267"/>
      <c r="BO447" s="267"/>
      <c r="BP447" s="267"/>
      <c r="BQ447" s="267"/>
      <c r="BR447" s="267"/>
      <c r="BS447" s="267"/>
      <c r="BT447" s="267"/>
      <c r="BU447" s="267"/>
      <c r="BV447" s="267"/>
      <c r="BW447" s="267"/>
      <c r="BX447" s="267"/>
      <c r="BY447" s="267"/>
      <c r="BZ447" s="267"/>
      <c r="CA447" s="267"/>
      <c r="CB447" s="267"/>
      <c r="CC447" s="267"/>
      <c r="CD447" s="267"/>
      <c r="CE447" s="267"/>
      <c r="CF447" s="267"/>
      <c r="CG447" s="267"/>
      <c r="CH447" s="267"/>
      <c r="CI447" s="267"/>
      <c r="CJ447" s="267"/>
      <c r="CK447" s="267"/>
      <c r="CL447" s="267"/>
      <c r="CM447" s="267"/>
      <c r="CN447" s="267"/>
      <c r="CO447" s="267"/>
      <c r="CP447" s="267"/>
      <c r="CQ447" s="267"/>
      <c r="CR447" s="267"/>
      <c r="CS447" s="267"/>
      <c r="CT447" s="267"/>
      <c r="CU447" s="267"/>
      <c r="CV447" s="267"/>
      <c r="CW447" s="267"/>
      <c r="CX447" s="267"/>
      <c r="CY447" s="267"/>
      <c r="CZ447" s="267"/>
    </row>
    <row r="448" spans="2:104">
      <c r="B448" s="1235"/>
      <c r="C448" s="1235"/>
      <c r="D448" s="1235"/>
      <c r="E448" s="267"/>
      <c r="F448" s="267"/>
      <c r="G448" s="267"/>
      <c r="H448" s="267"/>
      <c r="I448" s="267"/>
      <c r="J448" s="267"/>
      <c r="K448" s="267"/>
      <c r="L448" s="267"/>
      <c r="M448" s="267"/>
      <c r="N448" s="267"/>
      <c r="O448" s="267"/>
      <c r="P448" s="267"/>
      <c r="Q448" s="267"/>
      <c r="R448" s="267"/>
      <c r="S448" s="267"/>
      <c r="T448" s="267"/>
      <c r="U448" s="267"/>
      <c r="V448" s="267"/>
      <c r="W448" s="267"/>
      <c r="X448" s="267"/>
      <c r="Y448" s="267"/>
      <c r="Z448" s="267"/>
      <c r="AA448" s="267"/>
      <c r="AB448" s="267"/>
      <c r="AC448" s="267"/>
      <c r="AD448" s="267"/>
      <c r="AE448" s="267"/>
      <c r="AF448" s="267"/>
      <c r="AG448" s="267"/>
      <c r="AH448" s="267"/>
      <c r="AI448" s="267"/>
      <c r="AJ448" s="267"/>
      <c r="AK448" s="267"/>
      <c r="AL448" s="267"/>
      <c r="AM448" s="267"/>
      <c r="AN448" s="267"/>
      <c r="AO448" s="267"/>
      <c r="AP448" s="267"/>
      <c r="AQ448" s="267"/>
      <c r="AR448" s="267"/>
      <c r="AS448" s="267"/>
      <c r="AT448" s="267"/>
      <c r="AU448" s="267"/>
      <c r="AV448" s="267"/>
      <c r="AW448" s="267"/>
      <c r="AX448" s="267"/>
      <c r="AY448" s="267"/>
      <c r="AZ448" s="267"/>
      <c r="BA448" s="267"/>
      <c r="BB448" s="267"/>
      <c r="BC448" s="267"/>
      <c r="BD448" s="267"/>
      <c r="BE448" s="267"/>
      <c r="BF448" s="267"/>
      <c r="BG448" s="267"/>
      <c r="BH448" s="267"/>
      <c r="BI448" s="267"/>
      <c r="BJ448" s="267"/>
      <c r="BK448" s="267"/>
      <c r="BL448" s="267"/>
      <c r="BM448" s="267"/>
      <c r="BN448" s="267"/>
      <c r="BO448" s="267"/>
      <c r="BP448" s="267"/>
      <c r="BQ448" s="267"/>
      <c r="BR448" s="267"/>
      <c r="BS448" s="267"/>
      <c r="BT448" s="267"/>
      <c r="BU448" s="267"/>
      <c r="BV448" s="267"/>
      <c r="BW448" s="267"/>
      <c r="BX448" s="267"/>
      <c r="BY448" s="267"/>
      <c r="BZ448" s="267"/>
      <c r="CA448" s="267"/>
      <c r="CB448" s="267"/>
      <c r="CC448" s="267"/>
      <c r="CD448" s="267"/>
      <c r="CE448" s="267"/>
      <c r="CF448" s="267"/>
      <c r="CG448" s="267"/>
      <c r="CH448" s="267"/>
      <c r="CI448" s="267"/>
      <c r="CJ448" s="267"/>
      <c r="CK448" s="267"/>
      <c r="CL448" s="267"/>
      <c r="CM448" s="267"/>
      <c r="CN448" s="267"/>
      <c r="CO448" s="267"/>
      <c r="CP448" s="267"/>
      <c r="CQ448" s="267"/>
      <c r="CR448" s="267"/>
      <c r="CS448" s="267"/>
      <c r="CT448" s="267"/>
      <c r="CU448" s="267"/>
      <c r="CV448" s="267"/>
      <c r="CW448" s="267"/>
      <c r="CX448" s="267"/>
      <c r="CY448" s="267"/>
      <c r="CZ448" s="267"/>
    </row>
    <row r="449" spans="2:104">
      <c r="B449" s="1235"/>
      <c r="C449" s="1235"/>
      <c r="D449" s="1235"/>
      <c r="E449" s="267"/>
      <c r="F449" s="267"/>
      <c r="G449" s="267"/>
      <c r="H449" s="267"/>
      <c r="I449" s="267"/>
      <c r="J449" s="267"/>
      <c r="K449" s="267"/>
      <c r="L449" s="267"/>
      <c r="M449" s="267"/>
      <c r="N449" s="267"/>
      <c r="O449" s="267"/>
      <c r="P449" s="267"/>
      <c r="Q449" s="267"/>
      <c r="R449" s="267"/>
      <c r="S449" s="267"/>
      <c r="T449" s="267"/>
      <c r="U449" s="267"/>
      <c r="V449" s="267"/>
      <c r="W449" s="267"/>
      <c r="X449" s="267"/>
      <c r="Y449" s="267"/>
      <c r="Z449" s="267"/>
      <c r="AA449" s="267"/>
      <c r="AB449" s="267"/>
      <c r="AC449" s="267"/>
      <c r="AD449" s="267"/>
      <c r="AE449" s="267"/>
      <c r="AF449" s="267"/>
      <c r="AG449" s="267"/>
      <c r="AH449" s="267"/>
      <c r="AI449" s="267"/>
      <c r="AJ449" s="267"/>
      <c r="AK449" s="267"/>
      <c r="AL449" s="267"/>
      <c r="AM449" s="267"/>
      <c r="AN449" s="267"/>
      <c r="AO449" s="267"/>
      <c r="AP449" s="267"/>
      <c r="AQ449" s="267"/>
      <c r="AR449" s="267"/>
      <c r="AS449" s="267"/>
      <c r="AT449" s="267"/>
      <c r="AU449" s="267"/>
      <c r="AV449" s="267"/>
      <c r="AW449" s="267"/>
      <c r="AX449" s="267"/>
      <c r="AY449" s="267"/>
      <c r="AZ449" s="267"/>
      <c r="BA449" s="267"/>
      <c r="BB449" s="267"/>
      <c r="BC449" s="267"/>
      <c r="BD449" s="267"/>
      <c r="BE449" s="267"/>
      <c r="BF449" s="267"/>
      <c r="BG449" s="267"/>
      <c r="BH449" s="267"/>
      <c r="BI449" s="267"/>
      <c r="BJ449" s="267"/>
      <c r="BK449" s="267"/>
      <c r="BL449" s="267"/>
      <c r="BM449" s="267"/>
      <c r="BN449" s="267"/>
      <c r="BO449" s="267"/>
      <c r="BP449" s="267"/>
      <c r="BQ449" s="267"/>
      <c r="BR449" s="267"/>
      <c r="BS449" s="267"/>
      <c r="BT449" s="267"/>
      <c r="BU449" s="267"/>
      <c r="BV449" s="267"/>
      <c r="BW449" s="267"/>
      <c r="BX449" s="267"/>
      <c r="BY449" s="267"/>
      <c r="BZ449" s="267"/>
      <c r="CA449" s="267"/>
      <c r="CB449" s="267"/>
      <c r="CC449" s="267"/>
      <c r="CD449" s="267"/>
      <c r="CE449" s="267"/>
      <c r="CF449" s="267"/>
      <c r="CG449" s="267"/>
      <c r="CH449" s="267"/>
      <c r="CI449" s="267"/>
      <c r="CJ449" s="267"/>
      <c r="CK449" s="267"/>
      <c r="CL449" s="267"/>
      <c r="CM449" s="267"/>
      <c r="CN449" s="267"/>
      <c r="CO449" s="267"/>
      <c r="CP449" s="267"/>
      <c r="CQ449" s="267"/>
      <c r="CR449" s="267"/>
      <c r="CS449" s="267"/>
      <c r="CT449" s="267"/>
      <c r="CU449" s="267"/>
      <c r="CV449" s="267"/>
      <c r="CW449" s="267"/>
      <c r="CX449" s="267"/>
      <c r="CY449" s="267"/>
      <c r="CZ449" s="267"/>
    </row>
    <row r="450" spans="2:104">
      <c r="B450" s="1235"/>
      <c r="C450" s="1235"/>
      <c r="D450" s="1235"/>
      <c r="E450" s="267"/>
      <c r="F450" s="267"/>
      <c r="G450" s="267"/>
      <c r="H450" s="267"/>
      <c r="I450" s="267"/>
      <c r="J450" s="267"/>
      <c r="K450" s="267"/>
      <c r="L450" s="267"/>
      <c r="M450" s="267"/>
      <c r="N450" s="267"/>
      <c r="O450" s="267"/>
      <c r="P450" s="267"/>
      <c r="Q450" s="267"/>
      <c r="R450" s="267"/>
      <c r="S450" s="267"/>
      <c r="T450" s="267"/>
      <c r="U450" s="267"/>
      <c r="V450" s="267"/>
      <c r="W450" s="267"/>
      <c r="X450" s="267"/>
      <c r="Y450" s="267"/>
      <c r="Z450" s="267"/>
      <c r="AA450" s="267"/>
      <c r="AB450" s="267"/>
      <c r="AC450" s="267"/>
      <c r="AD450" s="267"/>
      <c r="AE450" s="267"/>
      <c r="AF450" s="267"/>
      <c r="AG450" s="267"/>
      <c r="AH450" s="267"/>
      <c r="AI450" s="267"/>
      <c r="AJ450" s="267"/>
      <c r="AK450" s="267"/>
      <c r="AL450" s="267"/>
      <c r="AM450" s="267"/>
      <c r="AN450" s="267"/>
      <c r="AO450" s="267"/>
      <c r="AP450" s="267"/>
      <c r="AQ450" s="267"/>
      <c r="AR450" s="267"/>
      <c r="AS450" s="267"/>
      <c r="AT450" s="267"/>
      <c r="AU450" s="267"/>
      <c r="AV450" s="267"/>
      <c r="AW450" s="267"/>
      <c r="AX450" s="267"/>
      <c r="AY450" s="267"/>
      <c r="AZ450" s="267"/>
      <c r="BA450" s="267"/>
      <c r="BB450" s="267"/>
      <c r="BC450" s="267"/>
      <c r="BD450" s="267"/>
      <c r="BE450" s="267"/>
      <c r="BF450" s="267"/>
      <c r="BG450" s="267"/>
      <c r="BH450" s="267"/>
      <c r="BI450" s="267"/>
      <c r="BJ450" s="267"/>
      <c r="BK450" s="267"/>
      <c r="BL450" s="267"/>
      <c r="BM450" s="267"/>
      <c r="BN450" s="267"/>
      <c r="BO450" s="267"/>
      <c r="BP450" s="267"/>
      <c r="BQ450" s="267"/>
      <c r="BR450" s="267"/>
      <c r="BS450" s="267"/>
      <c r="BT450" s="267"/>
      <c r="BU450" s="267"/>
      <c r="BV450" s="267"/>
      <c r="BW450" s="267"/>
      <c r="BX450" s="267"/>
      <c r="BY450" s="267"/>
      <c r="BZ450" s="267"/>
      <c r="CA450" s="267"/>
      <c r="CB450" s="267"/>
      <c r="CC450" s="267"/>
      <c r="CD450" s="267"/>
      <c r="CE450" s="267"/>
      <c r="CF450" s="267"/>
      <c r="CG450" s="267"/>
      <c r="CH450" s="267"/>
      <c r="CI450" s="267"/>
      <c r="CJ450" s="267"/>
      <c r="CK450" s="267"/>
      <c r="CL450" s="267"/>
      <c r="CM450" s="267"/>
      <c r="CN450" s="267"/>
      <c r="CO450" s="267"/>
      <c r="CP450" s="267"/>
      <c r="CQ450" s="267"/>
      <c r="CR450" s="267"/>
      <c r="CS450" s="267"/>
      <c r="CT450" s="267"/>
      <c r="CU450" s="267"/>
      <c r="CV450" s="267"/>
      <c r="CW450" s="267"/>
      <c r="CX450" s="267"/>
      <c r="CY450" s="267"/>
      <c r="CZ450" s="267"/>
    </row>
    <row r="451" spans="2:104">
      <c r="B451" s="1235"/>
      <c r="C451" s="1235"/>
      <c r="D451" s="1235"/>
      <c r="E451" s="267"/>
      <c r="F451" s="267"/>
      <c r="G451" s="267"/>
      <c r="H451" s="267"/>
      <c r="I451" s="267"/>
      <c r="J451" s="267"/>
      <c r="K451" s="267"/>
      <c r="L451" s="267"/>
      <c r="M451" s="267"/>
      <c r="N451" s="267"/>
      <c r="O451" s="267"/>
      <c r="P451" s="267"/>
      <c r="Q451" s="267"/>
      <c r="R451" s="267"/>
      <c r="S451" s="267"/>
      <c r="T451" s="267"/>
      <c r="U451" s="267"/>
      <c r="V451" s="267"/>
      <c r="W451" s="267"/>
      <c r="X451" s="267"/>
      <c r="Y451" s="267"/>
      <c r="Z451" s="267"/>
      <c r="AA451" s="267"/>
      <c r="AB451" s="267"/>
      <c r="AC451" s="267"/>
      <c r="AD451" s="267"/>
      <c r="AE451" s="267"/>
      <c r="AF451" s="267"/>
      <c r="AG451" s="267"/>
      <c r="AH451" s="267"/>
      <c r="AI451" s="267"/>
      <c r="AJ451" s="267"/>
      <c r="AK451" s="267"/>
      <c r="AL451" s="267"/>
      <c r="AM451" s="267"/>
      <c r="AN451" s="267"/>
      <c r="AO451" s="267"/>
      <c r="AP451" s="267"/>
      <c r="AQ451" s="267"/>
      <c r="AR451" s="267"/>
      <c r="AS451" s="267"/>
      <c r="AT451" s="267"/>
      <c r="AU451" s="267"/>
      <c r="AV451" s="267"/>
      <c r="AW451" s="267"/>
      <c r="AX451" s="267"/>
      <c r="AY451" s="267"/>
      <c r="AZ451" s="267"/>
      <c r="BA451" s="267"/>
      <c r="BB451" s="267"/>
      <c r="BC451" s="267"/>
      <c r="BD451" s="267"/>
      <c r="BE451" s="267"/>
      <c r="BF451" s="267"/>
      <c r="BG451" s="267"/>
      <c r="BH451" s="267"/>
      <c r="BI451" s="267"/>
      <c r="BJ451" s="267"/>
      <c r="BK451" s="267"/>
      <c r="BL451" s="267"/>
      <c r="BM451" s="267"/>
      <c r="BN451" s="267"/>
      <c r="BO451" s="267"/>
      <c r="BP451" s="267"/>
      <c r="BQ451" s="267"/>
      <c r="BR451" s="267"/>
      <c r="BS451" s="267"/>
      <c r="BT451" s="267"/>
      <c r="BU451" s="267"/>
      <c r="BV451" s="267"/>
      <c r="BW451" s="267"/>
      <c r="BX451" s="267"/>
      <c r="BY451" s="267"/>
      <c r="BZ451" s="267"/>
      <c r="CA451" s="267"/>
      <c r="CB451" s="267"/>
      <c r="CC451" s="267"/>
      <c r="CD451" s="267"/>
      <c r="CE451" s="267"/>
      <c r="CF451" s="267"/>
      <c r="CG451" s="267"/>
      <c r="CH451" s="267"/>
      <c r="CI451" s="267"/>
      <c r="CJ451" s="267"/>
      <c r="CK451" s="267"/>
      <c r="CL451" s="267"/>
      <c r="CM451" s="267"/>
      <c r="CN451" s="267"/>
      <c r="CO451" s="267"/>
      <c r="CP451" s="267"/>
      <c r="CQ451" s="267"/>
      <c r="CR451" s="267"/>
      <c r="CS451" s="267"/>
      <c r="CT451" s="267"/>
      <c r="CU451" s="267"/>
      <c r="CV451" s="267"/>
      <c r="CW451" s="267"/>
      <c r="CX451" s="267"/>
      <c r="CY451" s="267"/>
      <c r="CZ451" s="267"/>
    </row>
    <row r="452" spans="2:104">
      <c r="B452" s="1235"/>
      <c r="C452" s="1235"/>
      <c r="D452" s="1235"/>
      <c r="E452" s="267"/>
      <c r="F452" s="267"/>
      <c r="G452" s="267"/>
      <c r="H452" s="267"/>
      <c r="I452" s="267"/>
      <c r="J452" s="267"/>
      <c r="K452" s="267"/>
      <c r="L452" s="267"/>
      <c r="M452" s="267"/>
      <c r="N452" s="267"/>
      <c r="O452" s="267"/>
      <c r="P452" s="267"/>
      <c r="Q452" s="267"/>
      <c r="R452" s="267"/>
      <c r="S452" s="267"/>
      <c r="T452" s="267"/>
      <c r="U452" s="267"/>
      <c r="V452" s="267"/>
      <c r="W452" s="267"/>
      <c r="X452" s="267"/>
      <c r="Y452" s="267"/>
      <c r="Z452" s="267"/>
      <c r="AA452" s="267"/>
      <c r="AB452" s="267"/>
      <c r="AC452" s="267"/>
      <c r="AD452" s="267"/>
      <c r="AE452" s="267"/>
      <c r="AF452" s="267"/>
      <c r="AG452" s="267"/>
      <c r="AH452" s="267"/>
      <c r="AI452" s="267"/>
      <c r="AJ452" s="267"/>
      <c r="AK452" s="267"/>
      <c r="AL452" s="267"/>
      <c r="AM452" s="267"/>
      <c r="AN452" s="267"/>
      <c r="AO452" s="267"/>
      <c r="AP452" s="267"/>
      <c r="AQ452" s="267"/>
      <c r="AR452" s="267"/>
      <c r="AS452" s="267"/>
      <c r="AT452" s="267"/>
      <c r="AU452" s="267"/>
      <c r="AV452" s="267"/>
      <c r="AW452" s="267"/>
      <c r="AX452" s="267"/>
      <c r="AY452" s="267"/>
      <c r="AZ452" s="267"/>
      <c r="BA452" s="267"/>
      <c r="BB452" s="267"/>
      <c r="BC452" s="267"/>
      <c r="BD452" s="267"/>
      <c r="BE452" s="267"/>
      <c r="BF452" s="267"/>
      <c r="BG452" s="267"/>
      <c r="BH452" s="267"/>
      <c r="BI452" s="267"/>
      <c r="BJ452" s="267"/>
      <c r="BK452" s="267"/>
      <c r="BL452" s="267"/>
      <c r="BM452" s="267"/>
      <c r="BN452" s="267"/>
      <c r="BO452" s="267"/>
      <c r="BP452" s="267"/>
      <c r="BQ452" s="267"/>
      <c r="BR452" s="267"/>
      <c r="BS452" s="267"/>
      <c r="BT452" s="267"/>
      <c r="BU452" s="267"/>
      <c r="BV452" s="267"/>
      <c r="BW452" s="267"/>
      <c r="BX452" s="267"/>
      <c r="BY452" s="267"/>
      <c r="BZ452" s="267"/>
      <c r="CA452" s="267"/>
      <c r="CB452" s="267"/>
      <c r="CC452" s="267"/>
      <c r="CD452" s="267"/>
      <c r="CE452" s="267"/>
      <c r="CF452" s="267"/>
      <c r="CG452" s="267"/>
      <c r="CH452" s="267"/>
      <c r="CI452" s="267"/>
      <c r="CJ452" s="267"/>
      <c r="CK452" s="267"/>
      <c r="CL452" s="267"/>
      <c r="CM452" s="267"/>
      <c r="CN452" s="267"/>
      <c r="CO452" s="267"/>
      <c r="CP452" s="267"/>
      <c r="CQ452" s="267"/>
      <c r="CR452" s="267"/>
      <c r="CS452" s="267"/>
      <c r="CT452" s="267"/>
      <c r="CU452" s="267"/>
      <c r="CV452" s="267"/>
      <c r="CW452" s="267"/>
      <c r="CX452" s="267"/>
      <c r="CY452" s="267"/>
      <c r="CZ452" s="267"/>
    </row>
    <row r="453" spans="2:104">
      <c r="B453" s="1235"/>
      <c r="C453" s="1235"/>
      <c r="D453" s="1235"/>
      <c r="E453" s="267"/>
      <c r="F453" s="267"/>
      <c r="G453" s="267"/>
      <c r="H453" s="267"/>
      <c r="I453" s="267"/>
      <c r="J453" s="267"/>
      <c r="K453" s="267"/>
      <c r="L453" s="267"/>
      <c r="M453" s="267"/>
      <c r="N453" s="267"/>
      <c r="O453" s="267"/>
      <c r="P453" s="267"/>
      <c r="Q453" s="267"/>
      <c r="R453" s="267"/>
      <c r="S453" s="267"/>
      <c r="T453" s="267"/>
      <c r="U453" s="267"/>
      <c r="V453" s="267"/>
      <c r="W453" s="267"/>
      <c r="X453" s="267"/>
      <c r="Y453" s="267"/>
      <c r="Z453" s="267"/>
      <c r="AA453" s="267"/>
      <c r="AB453" s="267"/>
      <c r="AC453" s="267"/>
      <c r="AD453" s="267"/>
      <c r="AE453" s="267"/>
      <c r="AF453" s="267"/>
      <c r="AG453" s="267"/>
      <c r="AH453" s="267"/>
      <c r="AI453" s="267"/>
      <c r="AJ453" s="267"/>
      <c r="AK453" s="267"/>
      <c r="AL453" s="267"/>
      <c r="AM453" s="267"/>
      <c r="AN453" s="267"/>
      <c r="AO453" s="267"/>
      <c r="AP453" s="267"/>
      <c r="AQ453" s="267"/>
      <c r="AR453" s="267"/>
      <c r="AS453" s="267"/>
      <c r="AT453" s="267"/>
      <c r="AU453" s="267"/>
      <c r="AV453" s="267"/>
      <c r="AW453" s="267"/>
      <c r="AX453" s="267"/>
      <c r="AY453" s="267"/>
      <c r="AZ453" s="267"/>
      <c r="BA453" s="267"/>
      <c r="BB453" s="267"/>
      <c r="BC453" s="267"/>
      <c r="BD453" s="267"/>
      <c r="BE453" s="267"/>
      <c r="BF453" s="267"/>
      <c r="BG453" s="267"/>
      <c r="BH453" s="267"/>
      <c r="BI453" s="267"/>
      <c r="BJ453" s="267"/>
      <c r="BK453" s="267"/>
      <c r="BL453" s="267"/>
      <c r="BM453" s="267"/>
      <c r="BN453" s="267"/>
      <c r="BO453" s="267"/>
      <c r="BP453" s="267"/>
      <c r="BQ453" s="267"/>
      <c r="BR453" s="267"/>
      <c r="BS453" s="267"/>
      <c r="BT453" s="267"/>
      <c r="BU453" s="267"/>
      <c r="BV453" s="267"/>
      <c r="BW453" s="267"/>
      <c r="BX453" s="267"/>
      <c r="BY453" s="267"/>
      <c r="BZ453" s="267"/>
      <c r="CA453" s="267"/>
      <c r="CB453" s="267"/>
      <c r="CC453" s="267"/>
      <c r="CD453" s="267"/>
      <c r="CE453" s="267"/>
      <c r="CF453" s="267"/>
      <c r="CG453" s="267"/>
      <c r="CH453" s="267"/>
      <c r="CI453" s="267"/>
      <c r="CJ453" s="267"/>
      <c r="CK453" s="267"/>
      <c r="CL453" s="267"/>
      <c r="CM453" s="267"/>
      <c r="CN453" s="267"/>
      <c r="CO453" s="267"/>
      <c r="CP453" s="267"/>
      <c r="CQ453" s="267"/>
      <c r="CR453" s="267"/>
      <c r="CS453" s="267"/>
      <c r="CT453" s="267"/>
      <c r="CU453" s="267"/>
      <c r="CV453" s="267"/>
      <c r="CW453" s="267"/>
      <c r="CX453" s="267"/>
      <c r="CY453" s="267"/>
      <c r="CZ453" s="267"/>
    </row>
    <row r="454" spans="2:104">
      <c r="B454" s="1235"/>
      <c r="C454" s="1235"/>
      <c r="D454" s="1235"/>
      <c r="E454" s="267"/>
      <c r="F454" s="267"/>
      <c r="G454" s="267"/>
      <c r="H454" s="267"/>
      <c r="I454" s="267"/>
      <c r="J454" s="267"/>
      <c r="K454" s="267"/>
      <c r="L454" s="267"/>
      <c r="M454" s="267"/>
      <c r="N454" s="267"/>
      <c r="O454" s="267"/>
      <c r="P454" s="267"/>
      <c r="Q454" s="267"/>
      <c r="R454" s="267"/>
      <c r="S454" s="267"/>
      <c r="T454" s="267"/>
      <c r="U454" s="267"/>
      <c r="V454" s="267"/>
      <c r="W454" s="267"/>
      <c r="X454" s="267"/>
      <c r="Y454" s="267"/>
      <c r="Z454" s="267"/>
      <c r="AA454" s="267"/>
      <c r="AB454" s="267"/>
      <c r="AC454" s="267"/>
      <c r="AD454" s="267"/>
      <c r="AE454" s="267"/>
      <c r="AF454" s="267"/>
      <c r="AG454" s="267"/>
      <c r="AH454" s="267"/>
      <c r="AI454" s="267"/>
      <c r="AJ454" s="267"/>
      <c r="AK454" s="267"/>
      <c r="AL454" s="267"/>
      <c r="AM454" s="267"/>
      <c r="AN454" s="267"/>
      <c r="AO454" s="267"/>
      <c r="AP454" s="267"/>
      <c r="AQ454" s="267"/>
      <c r="AR454" s="267"/>
      <c r="AS454" s="267"/>
      <c r="AT454" s="267"/>
      <c r="AU454" s="267"/>
      <c r="AV454" s="267"/>
      <c r="AW454" s="267"/>
      <c r="AX454" s="267"/>
      <c r="AY454" s="267"/>
      <c r="AZ454" s="267"/>
      <c r="BA454" s="267"/>
      <c r="BB454" s="267"/>
      <c r="BC454" s="267"/>
      <c r="BD454" s="267"/>
      <c r="BE454" s="267"/>
      <c r="BF454" s="267"/>
      <c r="BG454" s="267"/>
      <c r="BH454" s="267"/>
      <c r="BI454" s="267"/>
      <c r="BJ454" s="267"/>
      <c r="BK454" s="267"/>
      <c r="BL454" s="267"/>
      <c r="BM454" s="267"/>
      <c r="BN454" s="267"/>
      <c r="BO454" s="267"/>
      <c r="BP454" s="267"/>
      <c r="BQ454" s="267"/>
      <c r="BR454" s="267"/>
      <c r="BS454" s="267"/>
      <c r="BT454" s="267"/>
      <c r="BU454" s="267"/>
      <c r="BV454" s="267"/>
      <c r="BW454" s="267"/>
      <c r="BX454" s="267"/>
      <c r="BY454" s="267"/>
      <c r="BZ454" s="267"/>
      <c r="CA454" s="267"/>
      <c r="CB454" s="267"/>
      <c r="CC454" s="267"/>
      <c r="CD454" s="267"/>
      <c r="CE454" s="267"/>
      <c r="CF454" s="267"/>
      <c r="CG454" s="267"/>
      <c r="CH454" s="267"/>
      <c r="CI454" s="267"/>
      <c r="CJ454" s="267"/>
      <c r="CK454" s="267"/>
      <c r="CL454" s="267"/>
      <c r="CM454" s="267"/>
      <c r="CN454" s="267"/>
      <c r="CO454" s="267"/>
      <c r="CP454" s="267"/>
      <c r="CQ454" s="267"/>
      <c r="CR454" s="267"/>
      <c r="CS454" s="267"/>
      <c r="CT454" s="267"/>
      <c r="CU454" s="267"/>
      <c r="CV454" s="267"/>
      <c r="CW454" s="267"/>
      <c r="CX454" s="267"/>
      <c r="CY454" s="267"/>
      <c r="CZ454" s="267"/>
    </row>
    <row r="455" spans="2:104">
      <c r="B455" s="1235"/>
      <c r="C455" s="1235"/>
      <c r="D455" s="1235"/>
      <c r="E455" s="267"/>
      <c r="F455" s="267"/>
      <c r="G455" s="267"/>
      <c r="H455" s="267"/>
      <c r="I455" s="267"/>
      <c r="J455" s="267"/>
      <c r="K455" s="267"/>
      <c r="L455" s="267"/>
      <c r="M455" s="267"/>
      <c r="N455" s="267"/>
      <c r="O455" s="267"/>
      <c r="P455" s="267"/>
      <c r="Q455" s="267"/>
      <c r="R455" s="267"/>
      <c r="S455" s="267"/>
      <c r="T455" s="267"/>
      <c r="U455" s="267"/>
      <c r="V455" s="267"/>
      <c r="W455" s="267"/>
      <c r="X455" s="267"/>
      <c r="Y455" s="267"/>
      <c r="Z455" s="267"/>
      <c r="AA455" s="267"/>
      <c r="AB455" s="267"/>
      <c r="AC455" s="267"/>
      <c r="AD455" s="267"/>
      <c r="AE455" s="267"/>
      <c r="AF455" s="267"/>
      <c r="AG455" s="267"/>
      <c r="AH455" s="267"/>
      <c r="AI455" s="267"/>
      <c r="AJ455" s="267"/>
      <c r="AK455" s="267"/>
      <c r="AL455" s="267"/>
      <c r="AM455" s="267"/>
      <c r="AN455" s="267"/>
      <c r="AO455" s="267"/>
      <c r="AP455" s="267"/>
      <c r="AQ455" s="267"/>
      <c r="AR455" s="267"/>
      <c r="AS455" s="267"/>
      <c r="AT455" s="267"/>
      <c r="AU455" s="267"/>
      <c r="AV455" s="267"/>
      <c r="AW455" s="267"/>
      <c r="AX455" s="267"/>
      <c r="AY455" s="267"/>
      <c r="AZ455" s="267"/>
      <c r="BA455" s="267"/>
      <c r="BB455" s="267"/>
      <c r="BC455" s="267"/>
      <c r="BD455" s="267"/>
      <c r="BE455" s="267"/>
      <c r="BF455" s="267"/>
      <c r="BG455" s="267"/>
      <c r="BH455" s="267"/>
      <c r="BI455" s="267"/>
      <c r="BJ455" s="267"/>
      <c r="BK455" s="267"/>
      <c r="BL455" s="267"/>
      <c r="BM455" s="267"/>
      <c r="BN455" s="267"/>
      <c r="BO455" s="267"/>
      <c r="BP455" s="267"/>
      <c r="BQ455" s="267"/>
      <c r="BR455" s="267"/>
      <c r="BS455" s="267"/>
      <c r="BT455" s="267"/>
      <c r="BU455" s="267"/>
      <c r="BV455" s="267"/>
      <c r="BW455" s="267"/>
      <c r="BX455" s="267"/>
      <c r="BY455" s="267"/>
      <c r="BZ455" s="267"/>
      <c r="CA455" s="267"/>
      <c r="CB455" s="267"/>
      <c r="CC455" s="267"/>
      <c r="CD455" s="267"/>
      <c r="CE455" s="267"/>
      <c r="CF455" s="267"/>
      <c r="CG455" s="267"/>
      <c r="CH455" s="267"/>
      <c r="CI455" s="267"/>
      <c r="CJ455" s="267"/>
      <c r="CK455" s="267"/>
      <c r="CL455" s="267"/>
      <c r="CM455" s="267"/>
      <c r="CN455" s="267"/>
      <c r="CO455" s="267"/>
      <c r="CP455" s="267"/>
      <c r="CQ455" s="267"/>
      <c r="CR455" s="267"/>
      <c r="CS455" s="267"/>
      <c r="CT455" s="267"/>
      <c r="CU455" s="267"/>
      <c r="CV455" s="267"/>
      <c r="CW455" s="267"/>
      <c r="CX455" s="267"/>
      <c r="CY455" s="267"/>
      <c r="CZ455" s="267"/>
    </row>
    <row r="456" spans="2:104">
      <c r="B456" s="1235"/>
      <c r="C456" s="1235"/>
      <c r="D456" s="1235"/>
      <c r="E456" s="267"/>
      <c r="F456" s="267"/>
      <c r="G456" s="267"/>
      <c r="H456" s="267"/>
      <c r="I456" s="267"/>
      <c r="J456" s="267"/>
      <c r="K456" s="267"/>
      <c r="L456" s="267"/>
      <c r="M456" s="267"/>
      <c r="N456" s="267"/>
      <c r="O456" s="267"/>
      <c r="P456" s="267"/>
      <c r="Q456" s="267"/>
      <c r="R456" s="267"/>
      <c r="S456" s="267"/>
      <c r="T456" s="267"/>
      <c r="U456" s="267"/>
      <c r="V456" s="267"/>
      <c r="W456" s="267"/>
      <c r="X456" s="267"/>
      <c r="Y456" s="267"/>
      <c r="Z456" s="267"/>
      <c r="AA456" s="267"/>
      <c r="AB456" s="267"/>
      <c r="AC456" s="267"/>
      <c r="AD456" s="267"/>
      <c r="AE456" s="267"/>
      <c r="AF456" s="267"/>
      <c r="AG456" s="267"/>
      <c r="AH456" s="267"/>
      <c r="AI456" s="267"/>
      <c r="AJ456" s="267"/>
      <c r="AK456" s="267"/>
      <c r="AL456" s="267"/>
      <c r="AM456" s="267"/>
      <c r="AN456" s="267"/>
      <c r="AO456" s="267"/>
      <c r="AP456" s="267"/>
      <c r="AQ456" s="267"/>
      <c r="AR456" s="267"/>
      <c r="AS456" s="267"/>
      <c r="AT456" s="267"/>
      <c r="AU456" s="267"/>
      <c r="AV456" s="267"/>
      <c r="AW456" s="267"/>
      <c r="AX456" s="267"/>
      <c r="AY456" s="267"/>
      <c r="AZ456" s="267"/>
      <c r="BA456" s="267"/>
      <c r="BB456" s="267"/>
      <c r="BC456" s="267"/>
      <c r="BD456" s="267"/>
      <c r="BE456" s="267"/>
      <c r="BF456" s="267"/>
      <c r="BG456" s="267"/>
      <c r="BH456" s="267"/>
      <c r="BI456" s="267"/>
      <c r="BJ456" s="267"/>
      <c r="BK456" s="267"/>
      <c r="BL456" s="267"/>
      <c r="BM456" s="267"/>
      <c r="BN456" s="267"/>
      <c r="BO456" s="267"/>
      <c r="BP456" s="267"/>
      <c r="BQ456" s="267"/>
      <c r="BR456" s="267"/>
      <c r="BS456" s="267"/>
      <c r="BT456" s="267"/>
      <c r="BU456" s="267"/>
      <c r="BV456" s="267"/>
      <c r="BW456" s="267"/>
      <c r="BX456" s="267"/>
      <c r="BY456" s="267"/>
      <c r="BZ456" s="267"/>
      <c r="CA456" s="267"/>
      <c r="CB456" s="267"/>
      <c r="CC456" s="267"/>
      <c r="CD456" s="267"/>
      <c r="CE456" s="267"/>
      <c r="CF456" s="267"/>
      <c r="CG456" s="267"/>
      <c r="CH456" s="267"/>
      <c r="CI456" s="267"/>
      <c r="CJ456" s="267"/>
      <c r="CK456" s="267"/>
      <c r="CL456" s="267"/>
      <c r="CM456" s="267"/>
      <c r="CN456" s="267"/>
      <c r="CO456" s="267"/>
      <c r="CP456" s="267"/>
      <c r="CQ456" s="267"/>
      <c r="CR456" s="267"/>
      <c r="CS456" s="267"/>
      <c r="CT456" s="267"/>
      <c r="CU456" s="267"/>
      <c r="CV456" s="267"/>
      <c r="CW456" s="267"/>
      <c r="CX456" s="267"/>
      <c r="CY456" s="267"/>
      <c r="CZ456" s="267"/>
    </row>
    <row r="457" spans="2:104">
      <c r="B457" s="1235"/>
      <c r="C457" s="1235"/>
      <c r="D457" s="1235"/>
      <c r="E457" s="267"/>
      <c r="F457" s="267"/>
      <c r="G457" s="267"/>
      <c r="H457" s="267"/>
      <c r="I457" s="267"/>
      <c r="J457" s="267"/>
      <c r="K457" s="267"/>
      <c r="L457" s="267"/>
      <c r="M457" s="267"/>
      <c r="N457" s="267"/>
      <c r="O457" s="267"/>
      <c r="P457" s="267"/>
      <c r="Q457" s="267"/>
      <c r="R457" s="267"/>
      <c r="S457" s="267"/>
      <c r="T457" s="267"/>
      <c r="U457" s="267"/>
      <c r="V457" s="267"/>
      <c r="W457" s="267"/>
      <c r="X457" s="267"/>
      <c r="Y457" s="267"/>
      <c r="Z457" s="267"/>
      <c r="AA457" s="267"/>
      <c r="AB457" s="267"/>
      <c r="AC457" s="267"/>
      <c r="AD457" s="267"/>
      <c r="AE457" s="267"/>
      <c r="AF457" s="267"/>
      <c r="AG457" s="267"/>
      <c r="AH457" s="267"/>
      <c r="AI457" s="267"/>
      <c r="AJ457" s="267"/>
      <c r="AK457" s="267"/>
      <c r="AL457" s="267"/>
      <c r="AM457" s="267"/>
      <c r="AN457" s="267"/>
      <c r="AO457" s="267"/>
      <c r="AP457" s="267"/>
      <c r="AQ457" s="267"/>
      <c r="AR457" s="267"/>
      <c r="AS457" s="267"/>
      <c r="AT457" s="267"/>
      <c r="AU457" s="267"/>
      <c r="AV457" s="267"/>
      <c r="AW457" s="267"/>
      <c r="AX457" s="267"/>
      <c r="AY457" s="267"/>
      <c r="AZ457" s="267"/>
      <c r="BA457" s="267"/>
      <c r="BB457" s="267"/>
      <c r="BC457" s="267"/>
      <c r="BD457" s="267"/>
      <c r="BE457" s="267"/>
      <c r="BF457" s="267"/>
      <c r="BG457" s="267"/>
      <c r="BH457" s="267"/>
      <c r="BI457" s="267"/>
      <c r="BJ457" s="267"/>
      <c r="BK457" s="267"/>
      <c r="BL457" s="267"/>
      <c r="BM457" s="267"/>
      <c r="BN457" s="267"/>
      <c r="BO457" s="267"/>
      <c r="BP457" s="267"/>
      <c r="BQ457" s="267"/>
      <c r="BR457" s="267"/>
      <c r="BS457" s="267"/>
      <c r="BT457" s="267"/>
      <c r="BU457" s="267"/>
      <c r="BV457" s="267"/>
      <c r="BW457" s="267"/>
      <c r="BX457" s="267"/>
      <c r="BY457" s="267"/>
      <c r="BZ457" s="267"/>
      <c r="CA457" s="267"/>
      <c r="CB457" s="267"/>
      <c r="CC457" s="267"/>
      <c r="CD457" s="267"/>
      <c r="CE457" s="267"/>
      <c r="CF457" s="267"/>
      <c r="CG457" s="267"/>
      <c r="CH457" s="267"/>
      <c r="CI457" s="267"/>
      <c r="CJ457" s="267"/>
      <c r="CK457" s="267"/>
      <c r="CL457" s="267"/>
      <c r="CM457" s="267"/>
      <c r="CN457" s="267"/>
      <c r="CO457" s="267"/>
      <c r="CP457" s="267"/>
      <c r="CQ457" s="267"/>
      <c r="CR457" s="267"/>
      <c r="CS457" s="267"/>
      <c r="CT457" s="267"/>
      <c r="CU457" s="267"/>
      <c r="CV457" s="267"/>
      <c r="CW457" s="267"/>
      <c r="CX457" s="267"/>
      <c r="CY457" s="267"/>
      <c r="CZ457" s="267"/>
    </row>
    <row r="458" spans="2:104">
      <c r="B458" s="1235"/>
      <c r="C458" s="1235"/>
      <c r="D458" s="1235"/>
      <c r="E458" s="267"/>
      <c r="F458" s="267"/>
      <c r="G458" s="267"/>
      <c r="H458" s="267"/>
      <c r="I458" s="267"/>
      <c r="J458" s="267"/>
      <c r="K458" s="267"/>
      <c r="L458" s="267"/>
      <c r="M458" s="267"/>
      <c r="N458" s="267"/>
      <c r="O458" s="267"/>
      <c r="P458" s="267"/>
      <c r="Q458" s="267"/>
      <c r="R458" s="267"/>
      <c r="S458" s="267"/>
      <c r="T458" s="267"/>
      <c r="U458" s="267"/>
      <c r="V458" s="267"/>
      <c r="W458" s="267"/>
      <c r="X458" s="267"/>
      <c r="Y458" s="267"/>
      <c r="Z458" s="267"/>
      <c r="AA458" s="267"/>
      <c r="AB458" s="267"/>
      <c r="AC458" s="267"/>
      <c r="AD458" s="267"/>
      <c r="AE458" s="267"/>
      <c r="AF458" s="267"/>
      <c r="AG458" s="267"/>
      <c r="AH458" s="267"/>
      <c r="AI458" s="267"/>
      <c r="AJ458" s="267"/>
      <c r="AK458" s="267"/>
      <c r="AL458" s="267"/>
      <c r="AM458" s="267"/>
      <c r="AN458" s="267"/>
      <c r="AO458" s="267"/>
      <c r="AP458" s="267"/>
      <c r="AQ458" s="267"/>
      <c r="AR458" s="267"/>
      <c r="AS458" s="267"/>
      <c r="AT458" s="267"/>
      <c r="AU458" s="267"/>
      <c r="AV458" s="267"/>
      <c r="AW458" s="267"/>
      <c r="AX458" s="267"/>
      <c r="AY458" s="267"/>
      <c r="AZ458" s="267"/>
      <c r="BA458" s="267"/>
      <c r="BB458" s="267"/>
      <c r="BC458" s="267"/>
      <c r="BD458" s="267"/>
      <c r="BE458" s="267"/>
      <c r="BF458" s="267"/>
      <c r="BG458" s="267"/>
      <c r="BH458" s="267"/>
      <c r="BI458" s="267"/>
      <c r="BJ458" s="267"/>
      <c r="BK458" s="267"/>
      <c r="BL458" s="267"/>
      <c r="BM458" s="267"/>
      <c r="BN458" s="267"/>
      <c r="BO458" s="267"/>
      <c r="BP458" s="267"/>
      <c r="BQ458" s="267"/>
      <c r="BR458" s="267"/>
      <c r="BS458" s="267"/>
      <c r="BT458" s="267"/>
      <c r="BU458" s="267"/>
      <c r="BV458" s="267"/>
      <c r="BW458" s="267"/>
      <c r="BX458" s="267"/>
      <c r="BY458" s="267"/>
      <c r="BZ458" s="267"/>
      <c r="CA458" s="267"/>
      <c r="CB458" s="267"/>
      <c r="CC458" s="267"/>
      <c r="CD458" s="267"/>
      <c r="CE458" s="267"/>
      <c r="CF458" s="267"/>
      <c r="CG458" s="267"/>
      <c r="CH458" s="267"/>
      <c r="CI458" s="267"/>
      <c r="CJ458" s="267"/>
      <c r="CK458" s="267"/>
      <c r="CL458" s="267"/>
      <c r="CM458" s="267"/>
      <c r="CN458" s="267"/>
      <c r="CO458" s="267"/>
      <c r="CP458" s="267"/>
      <c r="CQ458" s="267"/>
      <c r="CR458" s="267"/>
      <c r="CS458" s="267"/>
      <c r="CT458" s="267"/>
      <c r="CU458" s="267"/>
      <c r="CV458" s="267"/>
      <c r="CW458" s="267"/>
      <c r="CX458" s="267"/>
      <c r="CY458" s="267"/>
      <c r="CZ458" s="267"/>
    </row>
    <row r="459" spans="2:104">
      <c r="B459" s="1235"/>
      <c r="C459" s="1235"/>
      <c r="D459" s="1235"/>
      <c r="E459" s="267"/>
      <c r="F459" s="267"/>
      <c r="G459" s="267"/>
      <c r="H459" s="267"/>
      <c r="I459" s="267"/>
      <c r="J459" s="267"/>
      <c r="K459" s="267"/>
      <c r="L459" s="267"/>
      <c r="M459" s="267"/>
      <c r="N459" s="267"/>
      <c r="O459" s="267"/>
      <c r="P459" s="267"/>
      <c r="Q459" s="267"/>
      <c r="R459" s="267"/>
      <c r="S459" s="267"/>
      <c r="T459" s="267"/>
      <c r="U459" s="267"/>
      <c r="V459" s="267"/>
      <c r="W459" s="267"/>
      <c r="X459" s="267"/>
      <c r="Y459" s="267"/>
      <c r="Z459" s="267"/>
      <c r="AA459" s="267"/>
      <c r="AB459" s="267"/>
      <c r="AC459" s="267"/>
      <c r="AD459" s="267"/>
      <c r="AE459" s="267"/>
      <c r="AF459" s="267"/>
      <c r="AG459" s="267"/>
      <c r="AH459" s="267"/>
      <c r="AI459" s="267"/>
      <c r="AJ459" s="267"/>
      <c r="AK459" s="267"/>
      <c r="AL459" s="267"/>
      <c r="AM459" s="267"/>
      <c r="AN459" s="267"/>
      <c r="AO459" s="267"/>
      <c r="AP459" s="267"/>
      <c r="AQ459" s="267"/>
      <c r="AR459" s="267"/>
      <c r="AS459" s="267"/>
      <c r="AT459" s="267"/>
      <c r="AU459" s="267"/>
      <c r="AV459" s="267"/>
      <c r="AW459" s="267"/>
      <c r="AX459" s="267"/>
      <c r="AY459" s="267"/>
      <c r="AZ459" s="267"/>
      <c r="BA459" s="267"/>
      <c r="BB459" s="267"/>
      <c r="BC459" s="267"/>
      <c r="BD459" s="267"/>
      <c r="BE459" s="267"/>
      <c r="BF459" s="267"/>
      <c r="BG459" s="267"/>
      <c r="BH459" s="267"/>
      <c r="BI459" s="267"/>
      <c r="BJ459" s="267"/>
      <c r="BK459" s="267"/>
      <c r="BL459" s="267"/>
      <c r="BM459" s="267"/>
      <c r="BN459" s="267"/>
      <c r="BO459" s="267"/>
      <c r="BP459" s="267"/>
      <c r="BQ459" s="267"/>
      <c r="BR459" s="267"/>
      <c r="BS459" s="267"/>
      <c r="BT459" s="267"/>
      <c r="BU459" s="267"/>
      <c r="BV459" s="267"/>
      <c r="BW459" s="267"/>
      <c r="BX459" s="267"/>
      <c r="BY459" s="267"/>
      <c r="BZ459" s="267"/>
      <c r="CA459" s="267"/>
      <c r="CB459" s="267"/>
      <c r="CC459" s="267"/>
      <c r="CD459" s="267"/>
      <c r="CE459" s="267"/>
      <c r="CF459" s="267"/>
      <c r="CG459" s="267"/>
      <c r="CH459" s="267"/>
      <c r="CI459" s="267"/>
      <c r="CJ459" s="267"/>
      <c r="CK459" s="267"/>
      <c r="CL459" s="267"/>
      <c r="CM459" s="267"/>
      <c r="CN459" s="267"/>
      <c r="CO459" s="267"/>
      <c r="CP459" s="267"/>
      <c r="CQ459" s="267"/>
      <c r="CR459" s="267"/>
      <c r="CS459" s="267"/>
      <c r="CT459" s="267"/>
      <c r="CU459" s="267"/>
      <c r="CV459" s="267"/>
      <c r="CW459" s="267"/>
      <c r="CX459" s="267"/>
      <c r="CY459" s="267"/>
      <c r="CZ459" s="267"/>
    </row>
    <row r="460" spans="2:104">
      <c r="B460" s="1235"/>
      <c r="C460" s="1235"/>
      <c r="D460" s="1235"/>
      <c r="E460" s="267"/>
      <c r="F460" s="267"/>
      <c r="G460" s="267"/>
      <c r="H460" s="267"/>
      <c r="I460" s="267"/>
      <c r="J460" s="267"/>
      <c r="K460" s="267"/>
      <c r="L460" s="267"/>
      <c r="M460" s="267"/>
      <c r="N460" s="267"/>
      <c r="O460" s="267"/>
      <c r="P460" s="267"/>
      <c r="Q460" s="267"/>
      <c r="R460" s="267"/>
      <c r="S460" s="267"/>
      <c r="T460" s="267"/>
      <c r="U460" s="267"/>
      <c r="V460" s="267"/>
      <c r="W460" s="267"/>
      <c r="X460" s="267"/>
      <c r="Y460" s="267"/>
      <c r="Z460" s="267"/>
      <c r="AA460" s="267"/>
      <c r="AB460" s="267"/>
      <c r="AC460" s="267"/>
      <c r="AD460" s="267"/>
      <c r="AE460" s="267"/>
      <c r="AF460" s="267"/>
      <c r="AG460" s="267"/>
      <c r="AH460" s="267"/>
      <c r="AI460" s="267"/>
      <c r="AJ460" s="267"/>
      <c r="AK460" s="267"/>
      <c r="AL460" s="267"/>
      <c r="AM460" s="267"/>
      <c r="AN460" s="267"/>
      <c r="AO460" s="267"/>
      <c r="AP460" s="267"/>
      <c r="AQ460" s="267"/>
      <c r="AR460" s="267"/>
      <c r="AS460" s="267"/>
      <c r="AT460" s="267"/>
      <c r="AU460" s="267"/>
      <c r="AV460" s="267"/>
      <c r="AW460" s="267"/>
      <c r="AX460" s="267"/>
      <c r="AY460" s="267"/>
      <c r="AZ460" s="267"/>
      <c r="BA460" s="267"/>
      <c r="BB460" s="267"/>
      <c r="BC460" s="267"/>
      <c r="BD460" s="267"/>
      <c r="BE460" s="267"/>
      <c r="BF460" s="267"/>
      <c r="BG460" s="267"/>
      <c r="BH460" s="267"/>
      <c r="BI460" s="267"/>
      <c r="BJ460" s="267"/>
      <c r="BK460" s="267"/>
      <c r="BL460" s="267"/>
      <c r="BM460" s="267"/>
      <c r="BN460" s="267"/>
      <c r="BO460" s="267"/>
      <c r="BP460" s="267"/>
      <c r="BQ460" s="267"/>
      <c r="BR460" s="267"/>
      <c r="BS460" s="267"/>
      <c r="BT460" s="267"/>
      <c r="BU460" s="267"/>
      <c r="BV460" s="267"/>
      <c r="BW460" s="267"/>
      <c r="BX460" s="267"/>
      <c r="BY460" s="267"/>
      <c r="BZ460" s="267"/>
      <c r="CA460" s="267"/>
      <c r="CB460" s="267"/>
      <c r="CC460" s="267"/>
      <c r="CD460" s="267"/>
      <c r="CE460" s="267"/>
      <c r="CF460" s="267"/>
      <c r="CG460" s="267"/>
      <c r="CH460" s="267"/>
      <c r="CI460" s="267"/>
      <c r="CJ460" s="267"/>
      <c r="CK460" s="267"/>
      <c r="CL460" s="267"/>
      <c r="CM460" s="267"/>
      <c r="CN460" s="267"/>
      <c r="CO460" s="267"/>
      <c r="CP460" s="267"/>
      <c r="CQ460" s="267"/>
      <c r="CR460" s="267"/>
      <c r="CS460" s="267"/>
      <c r="CT460" s="267"/>
      <c r="CU460" s="267"/>
      <c r="CV460" s="267"/>
      <c r="CW460" s="267"/>
      <c r="CX460" s="267"/>
      <c r="CY460" s="267"/>
      <c r="CZ460" s="267"/>
    </row>
    <row r="461" spans="2:104">
      <c r="B461" s="1235"/>
      <c r="C461" s="1235"/>
      <c r="D461" s="1235"/>
      <c r="E461" s="267"/>
      <c r="F461" s="267"/>
      <c r="G461" s="267"/>
      <c r="H461" s="267"/>
      <c r="I461" s="267"/>
      <c r="J461" s="267"/>
      <c r="K461" s="267"/>
      <c r="L461" s="267"/>
      <c r="M461" s="267"/>
      <c r="N461" s="267"/>
      <c r="O461" s="267"/>
      <c r="P461" s="267"/>
      <c r="Q461" s="267"/>
      <c r="R461" s="267"/>
      <c r="S461" s="267"/>
      <c r="T461" s="267"/>
      <c r="U461" s="267"/>
      <c r="V461" s="267"/>
      <c r="W461" s="267"/>
      <c r="X461" s="267"/>
      <c r="Y461" s="267"/>
      <c r="Z461" s="267"/>
      <c r="AA461" s="267"/>
      <c r="AB461" s="267"/>
      <c r="AC461" s="267"/>
      <c r="AD461" s="267"/>
      <c r="AE461" s="267"/>
      <c r="AF461" s="267"/>
      <c r="AG461" s="267"/>
      <c r="AH461" s="267"/>
      <c r="AI461" s="267"/>
      <c r="AJ461" s="267"/>
      <c r="AK461" s="267"/>
      <c r="AL461" s="267"/>
      <c r="AM461" s="267"/>
      <c r="AN461" s="267"/>
      <c r="AO461" s="267"/>
      <c r="AP461" s="267"/>
      <c r="AQ461" s="267"/>
      <c r="AR461" s="267"/>
      <c r="AS461" s="267"/>
      <c r="AT461" s="267"/>
      <c r="AU461" s="267"/>
      <c r="AV461" s="267"/>
      <c r="AW461" s="267"/>
      <c r="AX461" s="267"/>
      <c r="AY461" s="267"/>
      <c r="AZ461" s="267"/>
      <c r="BA461" s="267"/>
      <c r="BB461" s="267"/>
      <c r="BC461" s="267"/>
      <c r="BD461" s="267"/>
      <c r="BE461" s="267"/>
      <c r="BF461" s="267"/>
      <c r="BG461" s="267"/>
      <c r="BH461" s="267"/>
      <c r="BI461" s="267"/>
      <c r="BJ461" s="267"/>
      <c r="BK461" s="267"/>
      <c r="BL461" s="267"/>
      <c r="BM461" s="267"/>
      <c r="BN461" s="267"/>
      <c r="BO461" s="267"/>
      <c r="BP461" s="267"/>
      <c r="BQ461" s="267"/>
      <c r="BR461" s="267"/>
      <c r="BS461" s="267"/>
      <c r="BT461" s="267"/>
      <c r="BU461" s="267"/>
      <c r="BV461" s="267"/>
      <c r="BW461" s="267"/>
      <c r="BX461" s="267"/>
      <c r="BY461" s="267"/>
      <c r="BZ461" s="267"/>
      <c r="CA461" s="267"/>
      <c r="CB461" s="267"/>
      <c r="CC461" s="267"/>
      <c r="CD461" s="267"/>
      <c r="CE461" s="267"/>
      <c r="CF461" s="267"/>
      <c r="CG461" s="267"/>
      <c r="CH461" s="267"/>
      <c r="CI461" s="267"/>
      <c r="CJ461" s="267"/>
      <c r="CK461" s="267"/>
      <c r="CL461" s="267"/>
      <c r="CM461" s="267"/>
      <c r="CN461" s="267"/>
      <c r="CO461" s="267"/>
      <c r="CP461" s="267"/>
      <c r="CQ461" s="267"/>
      <c r="CR461" s="267"/>
      <c r="CS461" s="267"/>
      <c r="CT461" s="267"/>
      <c r="CU461" s="267"/>
      <c r="CV461" s="267"/>
      <c r="CW461" s="267"/>
      <c r="CX461" s="267"/>
      <c r="CY461" s="267"/>
      <c r="CZ461" s="267"/>
    </row>
    <row r="462" spans="2:104">
      <c r="B462" s="1235"/>
      <c r="C462" s="1235"/>
      <c r="D462" s="1235"/>
      <c r="E462" s="267"/>
      <c r="F462" s="267"/>
      <c r="G462" s="267"/>
      <c r="H462" s="267"/>
      <c r="I462" s="267"/>
      <c r="J462" s="267"/>
      <c r="K462" s="267"/>
      <c r="L462" s="267"/>
      <c r="M462" s="267"/>
      <c r="N462" s="267"/>
      <c r="O462" s="267"/>
      <c r="P462" s="267"/>
      <c r="Q462" s="267"/>
      <c r="R462" s="267"/>
      <c r="S462" s="267"/>
      <c r="T462" s="267"/>
      <c r="U462" s="267"/>
      <c r="V462" s="267"/>
      <c r="W462" s="267"/>
      <c r="X462" s="267"/>
      <c r="Y462" s="267"/>
      <c r="Z462" s="267"/>
      <c r="AA462" s="267"/>
      <c r="AB462" s="267"/>
      <c r="AC462" s="267"/>
      <c r="AD462" s="267"/>
      <c r="AE462" s="267"/>
      <c r="AF462" s="267"/>
      <c r="AG462" s="267"/>
      <c r="AH462" s="267"/>
      <c r="AI462" s="267"/>
      <c r="AJ462" s="267"/>
      <c r="AK462" s="267"/>
      <c r="AL462" s="267"/>
      <c r="AM462" s="267"/>
      <c r="AN462" s="267"/>
      <c r="AO462" s="267"/>
      <c r="AP462" s="267"/>
      <c r="AQ462" s="267"/>
      <c r="AR462" s="267"/>
      <c r="AS462" s="267"/>
      <c r="AT462" s="267"/>
      <c r="AU462" s="267"/>
      <c r="AV462" s="267"/>
      <c r="AW462" s="267"/>
      <c r="AX462" s="267"/>
      <c r="AY462" s="267"/>
      <c r="AZ462" s="267"/>
      <c r="BA462" s="267"/>
      <c r="BB462" s="267"/>
      <c r="BC462" s="267"/>
      <c r="BD462" s="267"/>
      <c r="BE462" s="267"/>
      <c r="BF462" s="267"/>
      <c r="BG462" s="267"/>
      <c r="BH462" s="267"/>
      <c r="BI462" s="267"/>
      <c r="BJ462" s="267"/>
      <c r="BK462" s="267"/>
      <c r="BL462" s="267"/>
      <c r="BM462" s="267"/>
      <c r="BN462" s="267"/>
      <c r="BO462" s="267"/>
      <c r="BP462" s="267"/>
      <c r="BQ462" s="267"/>
      <c r="BR462" s="267"/>
      <c r="BS462" s="267"/>
      <c r="BT462" s="267"/>
      <c r="BU462" s="267"/>
      <c r="BV462" s="267"/>
      <c r="BW462" s="267"/>
      <c r="BX462" s="267"/>
      <c r="BY462" s="267"/>
      <c r="BZ462" s="267"/>
      <c r="CA462" s="267"/>
      <c r="CB462" s="267"/>
      <c r="CC462" s="267"/>
      <c r="CD462" s="267"/>
      <c r="CE462" s="267"/>
      <c r="CF462" s="267"/>
      <c r="CG462" s="267"/>
      <c r="CH462" s="267"/>
      <c r="CI462" s="267"/>
      <c r="CJ462" s="267"/>
      <c r="CK462" s="267"/>
      <c r="CL462" s="267"/>
      <c r="CM462" s="267"/>
      <c r="CN462" s="267"/>
      <c r="CO462" s="267"/>
      <c r="CP462" s="267"/>
      <c r="CQ462" s="267"/>
      <c r="CR462" s="267"/>
      <c r="CS462" s="267"/>
      <c r="CT462" s="267"/>
      <c r="CU462" s="267"/>
      <c r="CV462" s="267"/>
      <c r="CW462" s="267"/>
      <c r="CX462" s="267"/>
      <c r="CY462" s="267"/>
      <c r="CZ462" s="267"/>
    </row>
    <row r="463" spans="2:104">
      <c r="B463" s="1235"/>
      <c r="C463" s="1235"/>
      <c r="D463" s="1235"/>
      <c r="E463" s="267"/>
      <c r="F463" s="267"/>
      <c r="G463" s="267"/>
      <c r="H463" s="267"/>
      <c r="I463" s="267"/>
      <c r="J463" s="267"/>
      <c r="K463" s="267"/>
      <c r="L463" s="267"/>
      <c r="M463" s="267"/>
      <c r="N463" s="267"/>
      <c r="O463" s="267"/>
      <c r="P463" s="267"/>
      <c r="Q463" s="267"/>
      <c r="R463" s="267"/>
      <c r="S463" s="267"/>
      <c r="T463" s="267"/>
      <c r="U463" s="267"/>
      <c r="V463" s="267"/>
      <c r="W463" s="267"/>
      <c r="X463" s="267"/>
      <c r="Y463" s="267"/>
      <c r="Z463" s="267"/>
      <c r="AA463" s="267"/>
      <c r="AB463" s="267"/>
      <c r="AC463" s="267"/>
      <c r="AD463" s="267"/>
      <c r="AE463" s="267"/>
      <c r="AF463" s="267"/>
      <c r="AG463" s="267"/>
      <c r="AH463" s="267"/>
      <c r="AI463" s="267"/>
      <c r="AJ463" s="267"/>
      <c r="AK463" s="267"/>
      <c r="AL463" s="267"/>
      <c r="AM463" s="267"/>
      <c r="AN463" s="267"/>
      <c r="AO463" s="267"/>
      <c r="AP463" s="267"/>
      <c r="AQ463" s="267"/>
      <c r="AR463" s="267"/>
      <c r="AS463" s="267"/>
      <c r="AT463" s="267"/>
      <c r="AU463" s="267"/>
      <c r="AV463" s="267"/>
      <c r="AW463" s="267"/>
      <c r="AX463" s="267"/>
      <c r="AY463" s="267"/>
      <c r="AZ463" s="267"/>
      <c r="BA463" s="267"/>
      <c r="BB463" s="267"/>
      <c r="BC463" s="267"/>
      <c r="BD463" s="267"/>
      <c r="BE463" s="267"/>
      <c r="BF463" s="267"/>
      <c r="BG463" s="267"/>
      <c r="BH463" s="267"/>
      <c r="BI463" s="267"/>
      <c r="BJ463" s="267"/>
      <c r="BK463" s="267"/>
      <c r="BL463" s="267"/>
      <c r="BM463" s="267"/>
      <c r="BN463" s="267"/>
      <c r="BO463" s="267"/>
      <c r="BP463" s="267"/>
      <c r="BQ463" s="267"/>
      <c r="BR463" s="267"/>
      <c r="BS463" s="267"/>
      <c r="BT463" s="267"/>
      <c r="BU463" s="267"/>
      <c r="BV463" s="267"/>
      <c r="BW463" s="267"/>
      <c r="BX463" s="267"/>
      <c r="BY463" s="267"/>
      <c r="BZ463" s="267"/>
      <c r="CA463" s="267"/>
      <c r="CB463" s="267"/>
      <c r="CC463" s="267"/>
      <c r="CD463" s="267"/>
      <c r="CE463" s="267"/>
      <c r="CF463" s="267"/>
      <c r="CG463" s="267"/>
      <c r="CH463" s="267"/>
      <c r="CI463" s="267"/>
      <c r="CJ463" s="267"/>
      <c r="CK463" s="267"/>
      <c r="CL463" s="267"/>
      <c r="CM463" s="267"/>
      <c r="CN463" s="267"/>
      <c r="CO463" s="267"/>
      <c r="CP463" s="267"/>
      <c r="CQ463" s="267"/>
      <c r="CR463" s="267"/>
      <c r="CS463" s="267"/>
      <c r="CT463" s="267"/>
      <c r="CU463" s="267"/>
      <c r="CV463" s="267"/>
      <c r="CW463" s="267"/>
      <c r="CX463" s="267"/>
      <c r="CY463" s="267"/>
      <c r="CZ463" s="267"/>
    </row>
    <row r="464" spans="2:104">
      <c r="B464" s="1235"/>
      <c r="C464" s="1235"/>
      <c r="D464" s="1235"/>
      <c r="E464" s="267"/>
      <c r="F464" s="267"/>
      <c r="G464" s="267"/>
      <c r="H464" s="267"/>
      <c r="I464" s="267"/>
      <c r="J464" s="267"/>
      <c r="K464" s="267"/>
      <c r="L464" s="267"/>
      <c r="M464" s="267"/>
      <c r="N464" s="267"/>
      <c r="O464" s="267"/>
      <c r="P464" s="267"/>
      <c r="Q464" s="267"/>
      <c r="R464" s="267"/>
      <c r="S464" s="267"/>
      <c r="T464" s="267"/>
      <c r="U464" s="267"/>
      <c r="V464" s="267"/>
      <c r="W464" s="267"/>
      <c r="X464" s="267"/>
      <c r="Y464" s="267"/>
      <c r="Z464" s="267"/>
      <c r="AA464" s="267"/>
      <c r="AB464" s="267"/>
      <c r="AC464" s="267"/>
      <c r="AD464" s="267"/>
      <c r="AE464" s="267"/>
      <c r="AF464" s="267"/>
      <c r="AG464" s="267"/>
      <c r="AH464" s="267"/>
      <c r="AI464" s="267"/>
      <c r="AJ464" s="267"/>
      <c r="AK464" s="267"/>
      <c r="AL464" s="267"/>
      <c r="AM464" s="267"/>
      <c r="AN464" s="267"/>
      <c r="AO464" s="267"/>
      <c r="AP464" s="267"/>
      <c r="AQ464" s="267"/>
      <c r="AR464" s="267"/>
      <c r="AS464" s="267"/>
      <c r="AT464" s="267"/>
      <c r="AU464" s="267"/>
      <c r="AV464" s="267"/>
      <c r="AW464" s="267"/>
      <c r="AX464" s="267"/>
      <c r="AY464" s="267"/>
      <c r="AZ464" s="267"/>
      <c r="BA464" s="267"/>
      <c r="BB464" s="267"/>
      <c r="BC464" s="267"/>
      <c r="BD464" s="267"/>
      <c r="BE464" s="267"/>
      <c r="BF464" s="267"/>
      <c r="BG464" s="267"/>
      <c r="BH464" s="267"/>
      <c r="BI464" s="267"/>
      <c r="BJ464" s="267"/>
      <c r="BK464" s="267"/>
      <c r="BL464" s="267"/>
      <c r="BM464" s="267"/>
      <c r="BN464" s="267"/>
      <c r="BO464" s="267"/>
      <c r="BP464" s="267"/>
      <c r="BQ464" s="267"/>
      <c r="BR464" s="267"/>
      <c r="BS464" s="267"/>
      <c r="BT464" s="267"/>
      <c r="BU464" s="267"/>
      <c r="BV464" s="267"/>
      <c r="BW464" s="267"/>
      <c r="BX464" s="267"/>
      <c r="BY464" s="267"/>
      <c r="BZ464" s="267"/>
      <c r="CA464" s="267"/>
      <c r="CB464" s="267"/>
      <c r="CC464" s="267"/>
      <c r="CD464" s="267"/>
      <c r="CE464" s="267"/>
      <c r="CF464" s="267"/>
      <c r="CG464" s="267"/>
      <c r="CH464" s="267"/>
      <c r="CI464" s="267"/>
      <c r="CJ464" s="267"/>
      <c r="CK464" s="267"/>
      <c r="CL464" s="267"/>
      <c r="CM464" s="267"/>
      <c r="CN464" s="267"/>
      <c r="CO464" s="267"/>
      <c r="CP464" s="267"/>
      <c r="CQ464" s="267"/>
      <c r="CR464" s="267"/>
      <c r="CS464" s="267"/>
      <c r="CT464" s="267"/>
      <c r="CU464" s="267"/>
      <c r="CV464" s="267"/>
      <c r="CW464" s="267"/>
      <c r="CX464" s="267"/>
      <c r="CY464" s="267"/>
      <c r="CZ464" s="267"/>
    </row>
    <row r="465" spans="2:104">
      <c r="B465" s="1235"/>
      <c r="C465" s="1235"/>
      <c r="D465" s="1235"/>
      <c r="E465" s="267"/>
      <c r="F465" s="267"/>
      <c r="G465" s="267"/>
      <c r="H465" s="267"/>
      <c r="I465" s="267"/>
      <c r="J465" s="267"/>
      <c r="K465" s="267"/>
      <c r="L465" s="267"/>
      <c r="M465" s="267"/>
      <c r="N465" s="267"/>
      <c r="O465" s="267"/>
      <c r="P465" s="267"/>
      <c r="Q465" s="267"/>
      <c r="R465" s="267"/>
      <c r="S465" s="267"/>
      <c r="T465" s="267"/>
      <c r="U465" s="267"/>
      <c r="V465" s="267"/>
      <c r="W465" s="267"/>
      <c r="X465" s="267"/>
      <c r="Y465" s="267"/>
      <c r="Z465" s="267"/>
      <c r="AA465" s="267"/>
      <c r="AB465" s="267"/>
      <c r="AC465" s="267"/>
      <c r="AD465" s="267"/>
      <c r="AE465" s="267"/>
      <c r="AF465" s="267"/>
      <c r="AG465" s="267"/>
      <c r="AH465" s="267"/>
      <c r="AI465" s="267"/>
      <c r="AJ465" s="267"/>
      <c r="AK465" s="267"/>
      <c r="AL465" s="267"/>
      <c r="AM465" s="267"/>
      <c r="AN465" s="267"/>
      <c r="AO465" s="267"/>
      <c r="AP465" s="267"/>
      <c r="AQ465" s="267"/>
      <c r="AR465" s="267"/>
      <c r="AS465" s="267"/>
      <c r="AT465" s="267"/>
      <c r="AU465" s="267"/>
      <c r="AV465" s="267"/>
      <c r="AW465" s="267"/>
      <c r="AX465" s="267"/>
      <c r="AY465" s="267"/>
      <c r="AZ465" s="267"/>
      <c r="BA465" s="267"/>
      <c r="BB465" s="267"/>
      <c r="BC465" s="267"/>
      <c r="BD465" s="267"/>
      <c r="BE465" s="267"/>
      <c r="BF465" s="267"/>
      <c r="BG465" s="267"/>
      <c r="BH465" s="267"/>
      <c r="BI465" s="267"/>
      <c r="BJ465" s="267"/>
      <c r="BK465" s="267"/>
      <c r="BL465" s="267"/>
      <c r="BM465" s="267"/>
      <c r="BN465" s="267"/>
      <c r="BO465" s="267"/>
      <c r="BP465" s="267"/>
      <c r="BQ465" s="267"/>
      <c r="BR465" s="267"/>
      <c r="BS465" s="267"/>
      <c r="BT465" s="267"/>
      <c r="BU465" s="267"/>
      <c r="BV465" s="267"/>
      <c r="BW465" s="267"/>
      <c r="BX465" s="267"/>
      <c r="BY465" s="267"/>
      <c r="BZ465" s="267"/>
      <c r="CA465" s="267"/>
      <c r="CB465" s="267"/>
      <c r="CC465" s="267"/>
      <c r="CD465" s="267"/>
      <c r="CE465" s="267"/>
      <c r="CF465" s="267"/>
      <c r="CG465" s="267"/>
      <c r="CH465" s="267"/>
      <c r="CI465" s="267"/>
      <c r="CJ465" s="267"/>
      <c r="CK465" s="267"/>
      <c r="CL465" s="267"/>
      <c r="CM465" s="267"/>
      <c r="CN465" s="267"/>
      <c r="CO465" s="267"/>
      <c r="CP465" s="267"/>
      <c r="CQ465" s="267"/>
      <c r="CR465" s="267"/>
      <c r="CS465" s="267"/>
      <c r="CT465" s="267"/>
      <c r="CU465" s="267"/>
      <c r="CV465" s="267"/>
      <c r="CW465" s="267"/>
      <c r="CX465" s="267"/>
      <c r="CY465" s="267"/>
      <c r="CZ465" s="267"/>
    </row>
    <row r="466" spans="2:104">
      <c r="B466" s="1235"/>
      <c r="C466" s="1235"/>
      <c r="D466" s="1235"/>
      <c r="E466" s="267"/>
      <c r="F466" s="267"/>
      <c r="G466" s="267"/>
      <c r="H466" s="267"/>
      <c r="I466" s="267"/>
      <c r="J466" s="267"/>
      <c r="K466" s="267"/>
      <c r="L466" s="267"/>
      <c r="M466" s="267"/>
      <c r="N466" s="267"/>
      <c r="O466" s="267"/>
      <c r="P466" s="267"/>
      <c r="Q466" s="267"/>
      <c r="R466" s="267"/>
      <c r="S466" s="267"/>
      <c r="T466" s="267"/>
      <c r="U466" s="267"/>
      <c r="V466" s="267"/>
      <c r="W466" s="267"/>
      <c r="X466" s="267"/>
      <c r="Y466" s="267"/>
      <c r="Z466" s="267"/>
      <c r="AA466" s="267"/>
      <c r="AB466" s="267"/>
      <c r="AC466" s="267"/>
      <c r="AD466" s="267"/>
      <c r="AE466" s="267"/>
      <c r="AF466" s="267"/>
      <c r="AG466" s="267"/>
      <c r="AH466" s="267"/>
      <c r="AI466" s="267"/>
      <c r="AJ466" s="267"/>
      <c r="AK466" s="267"/>
      <c r="AL466" s="267"/>
      <c r="AM466" s="267"/>
      <c r="AN466" s="267"/>
      <c r="AO466" s="267"/>
      <c r="AP466" s="267"/>
      <c r="AQ466" s="267"/>
      <c r="AR466" s="267"/>
      <c r="AS466" s="267"/>
      <c r="AT466" s="267"/>
      <c r="AU466" s="267"/>
      <c r="AV466" s="267"/>
      <c r="AW466" s="267"/>
      <c r="AX466" s="267"/>
      <c r="AY466" s="267"/>
      <c r="AZ466" s="267"/>
      <c r="BA466" s="267"/>
      <c r="BB466" s="267"/>
      <c r="BC466" s="267"/>
      <c r="BD466" s="267"/>
      <c r="BE466" s="267"/>
      <c r="BF466" s="267"/>
      <c r="BG466" s="267"/>
      <c r="BH466" s="267"/>
      <c r="BI466" s="267"/>
      <c r="BJ466" s="267"/>
      <c r="BK466" s="267"/>
      <c r="BL466" s="267"/>
      <c r="BM466" s="267"/>
      <c r="BN466" s="267"/>
      <c r="BO466" s="267"/>
      <c r="BP466" s="267"/>
      <c r="BQ466" s="267"/>
      <c r="BR466" s="267"/>
      <c r="BS466" s="267"/>
      <c r="BT466" s="267"/>
      <c r="BU466" s="267"/>
      <c r="BV466" s="267"/>
      <c r="BW466" s="267"/>
      <c r="BX466" s="267"/>
      <c r="BY466" s="267"/>
      <c r="BZ466" s="267"/>
      <c r="CA466" s="267"/>
      <c r="CB466" s="267"/>
      <c r="CC466" s="267"/>
      <c r="CD466" s="267"/>
      <c r="CE466" s="267"/>
      <c r="CF466" s="267"/>
      <c r="CG466" s="267"/>
      <c r="CH466" s="267"/>
      <c r="CI466" s="267"/>
      <c r="CJ466" s="267"/>
      <c r="CK466" s="267"/>
      <c r="CL466" s="267"/>
      <c r="CM466" s="267"/>
      <c r="CN466" s="267"/>
      <c r="CO466" s="267"/>
      <c r="CP466" s="267"/>
      <c r="CQ466" s="267"/>
      <c r="CR466" s="267"/>
      <c r="CS466" s="267"/>
      <c r="CT466" s="267"/>
      <c r="CU466" s="267"/>
      <c r="CV466" s="267"/>
      <c r="CW466" s="267"/>
      <c r="CX466" s="267"/>
      <c r="CY466" s="267"/>
      <c r="CZ466" s="267"/>
    </row>
    <row r="467" spans="2:104">
      <c r="B467" s="1235"/>
      <c r="C467" s="1235"/>
      <c r="D467" s="1235"/>
      <c r="E467" s="267"/>
      <c r="F467" s="267"/>
      <c r="G467" s="267"/>
      <c r="H467" s="267"/>
      <c r="I467" s="267"/>
      <c r="J467" s="267"/>
      <c r="K467" s="267"/>
      <c r="L467" s="267"/>
      <c r="M467" s="267"/>
      <c r="N467" s="267"/>
      <c r="O467" s="267"/>
      <c r="P467" s="267"/>
      <c r="Q467" s="267"/>
      <c r="R467" s="267"/>
      <c r="S467" s="267"/>
      <c r="T467" s="267"/>
      <c r="U467" s="267"/>
      <c r="V467" s="267"/>
      <c r="W467" s="267"/>
      <c r="X467" s="267"/>
      <c r="Y467" s="267"/>
      <c r="Z467" s="267"/>
      <c r="AA467" s="267"/>
      <c r="AB467" s="267"/>
      <c r="AC467" s="267"/>
      <c r="AD467" s="267"/>
      <c r="AE467" s="267"/>
      <c r="AF467" s="267"/>
      <c r="AG467" s="267"/>
      <c r="AH467" s="267"/>
      <c r="AI467" s="267"/>
      <c r="AJ467" s="267"/>
      <c r="AK467" s="267"/>
      <c r="AL467" s="267"/>
      <c r="AM467" s="267"/>
      <c r="AN467" s="267"/>
      <c r="AO467" s="267"/>
      <c r="AP467" s="267"/>
      <c r="AQ467" s="267"/>
      <c r="AR467" s="267"/>
      <c r="AS467" s="267"/>
      <c r="AT467" s="267"/>
      <c r="AU467" s="267"/>
      <c r="AV467" s="267"/>
      <c r="AW467" s="267"/>
      <c r="AX467" s="267"/>
      <c r="AY467" s="267"/>
      <c r="AZ467" s="267"/>
      <c r="BA467" s="267"/>
      <c r="BB467" s="267"/>
      <c r="BC467" s="267"/>
      <c r="BD467" s="267"/>
      <c r="BE467" s="267"/>
      <c r="BF467" s="267"/>
      <c r="BG467" s="267"/>
      <c r="BH467" s="267"/>
      <c r="BI467" s="267"/>
      <c r="BJ467" s="267"/>
      <c r="BK467" s="267"/>
      <c r="BL467" s="267"/>
      <c r="BM467" s="267"/>
      <c r="BN467" s="267"/>
      <c r="BO467" s="267"/>
      <c r="BP467" s="267"/>
      <c r="BQ467" s="267"/>
      <c r="BR467" s="267"/>
      <c r="BS467" s="267"/>
      <c r="BT467" s="267"/>
      <c r="BU467" s="267"/>
      <c r="BV467" s="267"/>
      <c r="BW467" s="267"/>
      <c r="BX467" s="267"/>
      <c r="BY467" s="267"/>
      <c r="BZ467" s="267"/>
      <c r="CA467" s="267"/>
      <c r="CB467" s="267"/>
      <c r="CC467" s="267"/>
      <c r="CD467" s="267"/>
      <c r="CE467" s="267"/>
      <c r="CF467" s="267"/>
      <c r="CG467" s="267"/>
      <c r="CH467" s="267"/>
      <c r="CI467" s="267"/>
      <c r="CJ467" s="267"/>
      <c r="CK467" s="267"/>
      <c r="CL467" s="267"/>
      <c r="CM467" s="267"/>
      <c r="CN467" s="267"/>
      <c r="CO467" s="267"/>
      <c r="CP467" s="267"/>
      <c r="CQ467" s="267"/>
      <c r="CR467" s="267"/>
      <c r="CS467" s="267"/>
      <c r="CT467" s="267"/>
      <c r="CU467" s="267"/>
      <c r="CV467" s="267"/>
      <c r="CW467" s="267"/>
      <c r="CX467" s="267"/>
      <c r="CY467" s="267"/>
      <c r="CZ467" s="267"/>
    </row>
    <row r="468" spans="2:104">
      <c r="B468" s="1235"/>
      <c r="C468" s="1235"/>
      <c r="D468" s="1235"/>
      <c r="E468" s="267"/>
      <c r="F468" s="267"/>
      <c r="G468" s="267"/>
      <c r="H468" s="267"/>
      <c r="I468" s="267"/>
      <c r="J468" s="267"/>
      <c r="K468" s="267"/>
      <c r="L468" s="267"/>
      <c r="M468" s="267"/>
      <c r="N468" s="267"/>
      <c r="O468" s="267"/>
      <c r="P468" s="267"/>
      <c r="Q468" s="267"/>
      <c r="R468" s="267"/>
      <c r="S468" s="267"/>
      <c r="T468" s="267"/>
      <c r="U468" s="267"/>
      <c r="V468" s="267"/>
      <c r="W468" s="267"/>
      <c r="X468" s="267"/>
      <c r="Y468" s="267"/>
      <c r="Z468" s="267"/>
      <c r="AA468" s="267"/>
      <c r="AB468" s="267"/>
      <c r="AC468" s="267"/>
      <c r="AD468" s="267"/>
      <c r="AE468" s="267"/>
      <c r="AF468" s="267"/>
      <c r="AG468" s="267"/>
      <c r="AH468" s="267"/>
      <c r="AI468" s="267"/>
      <c r="AJ468" s="267"/>
      <c r="AK468" s="267"/>
      <c r="AL468" s="267"/>
      <c r="AM468" s="267"/>
      <c r="AN468" s="267"/>
      <c r="AO468" s="267"/>
      <c r="AP468" s="267"/>
      <c r="AQ468" s="267"/>
      <c r="AR468" s="267"/>
      <c r="AS468" s="267"/>
      <c r="AT468" s="267"/>
      <c r="AU468" s="267"/>
      <c r="AV468" s="267"/>
      <c r="AW468" s="267"/>
      <c r="AX468" s="267"/>
      <c r="AY468" s="267"/>
      <c r="AZ468" s="267"/>
      <c r="BA468" s="267"/>
      <c r="BB468" s="267"/>
      <c r="BC468" s="267"/>
      <c r="BD468" s="267"/>
      <c r="BE468" s="267"/>
      <c r="BF468" s="267"/>
      <c r="BG468" s="267"/>
      <c r="BH468" s="267"/>
      <c r="BI468" s="267"/>
      <c r="BJ468" s="267"/>
      <c r="BK468" s="267"/>
      <c r="BL468" s="267"/>
      <c r="BM468" s="267"/>
      <c r="BN468" s="267"/>
      <c r="BO468" s="267"/>
      <c r="BP468" s="267"/>
      <c r="BQ468" s="267"/>
      <c r="BR468" s="267"/>
      <c r="BS468" s="267"/>
      <c r="BT468" s="267"/>
      <c r="BU468" s="267"/>
      <c r="BV468" s="267"/>
      <c r="BW468" s="267"/>
      <c r="BX468" s="267"/>
      <c r="BY468" s="267"/>
      <c r="BZ468" s="267"/>
      <c r="CA468" s="267"/>
      <c r="CB468" s="267"/>
      <c r="CC468" s="267"/>
      <c r="CD468" s="267"/>
      <c r="CE468" s="267"/>
      <c r="CF468" s="267"/>
      <c r="CG468" s="267"/>
      <c r="CH468" s="267"/>
      <c r="CI468" s="267"/>
      <c r="CJ468" s="267"/>
      <c r="CK468" s="267"/>
      <c r="CL468" s="267"/>
      <c r="CM468" s="267"/>
      <c r="CN468" s="267"/>
      <c r="CO468" s="267"/>
      <c r="CP468" s="267"/>
      <c r="CQ468" s="267"/>
      <c r="CR468" s="267"/>
      <c r="CS468" s="267"/>
      <c r="CT468" s="267"/>
      <c r="CU468" s="267"/>
      <c r="CV468" s="267"/>
      <c r="CW468" s="267"/>
      <c r="CX468" s="267"/>
      <c r="CY468" s="267"/>
      <c r="CZ468" s="267"/>
    </row>
    <row r="469" spans="2:104">
      <c r="B469" s="1235"/>
      <c r="C469" s="1235"/>
      <c r="D469" s="1235"/>
      <c r="E469" s="267"/>
      <c r="F469" s="267"/>
      <c r="G469" s="267"/>
      <c r="H469" s="267"/>
      <c r="I469" s="267"/>
      <c r="J469" s="267"/>
      <c r="K469" s="267"/>
      <c r="L469" s="267"/>
      <c r="M469" s="267"/>
      <c r="N469" s="267"/>
      <c r="O469" s="267"/>
      <c r="P469" s="267"/>
      <c r="Q469" s="267"/>
      <c r="R469" s="267"/>
      <c r="S469" s="267"/>
      <c r="T469" s="267"/>
      <c r="U469" s="267"/>
      <c r="V469" s="267"/>
      <c r="W469" s="267"/>
      <c r="X469" s="267"/>
      <c r="Y469" s="267"/>
      <c r="Z469" s="267"/>
      <c r="AA469" s="267"/>
      <c r="AB469" s="267"/>
      <c r="AC469" s="267"/>
      <c r="AD469" s="267"/>
      <c r="AE469" s="267"/>
      <c r="AF469" s="267"/>
      <c r="AG469" s="267"/>
      <c r="AH469" s="267"/>
      <c r="AI469" s="267"/>
      <c r="AJ469" s="267"/>
      <c r="AK469" s="267"/>
      <c r="AL469" s="267"/>
      <c r="AM469" s="267"/>
      <c r="AN469" s="267"/>
      <c r="AO469" s="267"/>
      <c r="AP469" s="267"/>
      <c r="AQ469" s="267"/>
      <c r="AR469" s="267"/>
      <c r="AS469" s="267"/>
      <c r="AT469" s="267"/>
      <c r="AU469" s="267"/>
      <c r="AV469" s="267"/>
      <c r="AW469" s="267"/>
      <c r="AX469" s="267"/>
      <c r="AY469" s="267"/>
      <c r="AZ469" s="267"/>
      <c r="BA469" s="267"/>
      <c r="BB469" s="267"/>
      <c r="BC469" s="267"/>
      <c r="BD469" s="267"/>
      <c r="BE469" s="267"/>
      <c r="BF469" s="267"/>
      <c r="BG469" s="267"/>
      <c r="BH469" s="267"/>
      <c r="BI469" s="267"/>
      <c r="BJ469" s="267"/>
      <c r="BK469" s="267"/>
      <c r="BL469" s="267"/>
      <c r="BM469" s="267"/>
      <c r="BN469" s="267"/>
      <c r="BO469" s="267"/>
      <c r="BP469" s="267"/>
      <c r="BQ469" s="267"/>
      <c r="BR469" s="267"/>
      <c r="BS469" s="267"/>
      <c r="BT469" s="267"/>
      <c r="BU469" s="267"/>
      <c r="BV469" s="267"/>
      <c r="BW469" s="267"/>
      <c r="BX469" s="267"/>
      <c r="BY469" s="267"/>
      <c r="BZ469" s="267"/>
      <c r="CA469" s="267"/>
      <c r="CB469" s="267"/>
      <c r="CC469" s="267"/>
      <c r="CD469" s="267"/>
      <c r="CE469" s="267"/>
      <c r="CF469" s="267"/>
      <c r="CG469" s="267"/>
      <c r="CH469" s="267"/>
      <c r="CI469" s="267"/>
      <c r="CJ469" s="267"/>
      <c r="CK469" s="267"/>
      <c r="CL469" s="267"/>
      <c r="CM469" s="267"/>
      <c r="CN469" s="267"/>
      <c r="CO469" s="267"/>
      <c r="CP469" s="267"/>
      <c r="CQ469" s="267"/>
      <c r="CR469" s="267"/>
      <c r="CS469" s="267"/>
      <c r="CT469" s="267"/>
      <c r="CU469" s="267"/>
      <c r="CV469" s="267"/>
      <c r="CW469" s="267"/>
      <c r="CX469" s="267"/>
      <c r="CY469" s="267"/>
      <c r="CZ469" s="267"/>
    </row>
    <row r="470" spans="2:104">
      <c r="B470" s="1235"/>
      <c r="C470" s="1235"/>
      <c r="D470" s="1235"/>
      <c r="E470" s="267"/>
      <c r="F470" s="267"/>
      <c r="G470" s="267"/>
      <c r="H470" s="267"/>
      <c r="I470" s="267"/>
      <c r="J470" s="267"/>
      <c r="K470" s="267"/>
      <c r="L470" s="267"/>
      <c r="M470" s="267"/>
      <c r="N470" s="267"/>
      <c r="O470" s="267"/>
      <c r="P470" s="267"/>
      <c r="Q470" s="267"/>
      <c r="R470" s="267"/>
      <c r="S470" s="267"/>
      <c r="T470" s="267"/>
      <c r="U470" s="267"/>
      <c r="V470" s="267"/>
      <c r="W470" s="267"/>
      <c r="X470" s="267"/>
      <c r="Y470" s="267"/>
      <c r="Z470" s="267"/>
      <c r="AA470" s="267"/>
      <c r="AB470" s="267"/>
      <c r="AC470" s="267"/>
      <c r="AD470" s="267"/>
      <c r="AE470" s="267"/>
      <c r="AF470" s="267"/>
      <c r="AG470" s="267"/>
      <c r="AH470" s="267"/>
      <c r="AI470" s="267"/>
      <c r="AJ470" s="267"/>
      <c r="AK470" s="267"/>
      <c r="AL470" s="267"/>
      <c r="AM470" s="267"/>
      <c r="AN470" s="267"/>
      <c r="AO470" s="267"/>
      <c r="AP470" s="267"/>
      <c r="AQ470" s="267"/>
      <c r="AR470" s="267"/>
      <c r="AS470" s="267"/>
      <c r="AT470" s="267"/>
      <c r="AU470" s="267"/>
      <c r="AV470" s="267"/>
      <c r="AW470" s="267"/>
      <c r="AX470" s="267"/>
      <c r="AY470" s="267"/>
      <c r="AZ470" s="267"/>
      <c r="BA470" s="267"/>
      <c r="BB470" s="267"/>
      <c r="BC470" s="267"/>
      <c r="BD470" s="267"/>
      <c r="BE470" s="267"/>
      <c r="BF470" s="267"/>
      <c r="BG470" s="267"/>
      <c r="BH470" s="267"/>
      <c r="BI470" s="267"/>
      <c r="BJ470" s="267"/>
      <c r="BK470" s="267"/>
      <c r="BL470" s="267"/>
      <c r="BM470" s="267"/>
      <c r="BN470" s="267"/>
      <c r="BO470" s="267"/>
      <c r="BP470" s="267"/>
      <c r="BQ470" s="267"/>
      <c r="BR470" s="267"/>
      <c r="BS470" s="267"/>
      <c r="BT470" s="267"/>
      <c r="BU470" s="267"/>
      <c r="BV470" s="267"/>
      <c r="BW470" s="267"/>
      <c r="BX470" s="267"/>
      <c r="BY470" s="267"/>
      <c r="BZ470" s="267"/>
      <c r="CA470" s="267"/>
      <c r="CB470" s="267"/>
      <c r="CC470" s="267"/>
      <c r="CD470" s="267"/>
      <c r="CE470" s="267"/>
      <c r="CF470" s="267"/>
      <c r="CG470" s="267"/>
      <c r="CH470" s="267"/>
      <c r="CI470" s="267"/>
      <c r="CJ470" s="267"/>
      <c r="CK470" s="267"/>
      <c r="CL470" s="267"/>
      <c r="CM470" s="267"/>
      <c r="CN470" s="267"/>
      <c r="CO470" s="267"/>
      <c r="CP470" s="267"/>
      <c r="CQ470" s="267"/>
      <c r="CR470" s="267"/>
      <c r="CS470" s="267"/>
      <c r="CT470" s="267"/>
      <c r="CU470" s="267"/>
      <c r="CV470" s="267"/>
      <c r="CW470" s="267"/>
      <c r="CX470" s="267"/>
      <c r="CY470" s="267"/>
      <c r="CZ470" s="267"/>
    </row>
    <row r="471" spans="2:104">
      <c r="B471" s="1235"/>
      <c r="C471" s="1235"/>
      <c r="D471" s="1235"/>
      <c r="E471" s="267"/>
      <c r="F471" s="267"/>
      <c r="G471" s="267"/>
      <c r="H471" s="267"/>
      <c r="I471" s="267"/>
      <c r="J471" s="267"/>
      <c r="K471" s="267"/>
      <c r="L471" s="267"/>
      <c r="M471" s="267"/>
      <c r="N471" s="267"/>
      <c r="O471" s="267"/>
      <c r="P471" s="267"/>
      <c r="Q471" s="267"/>
      <c r="R471" s="267"/>
      <c r="S471" s="267"/>
      <c r="T471" s="267"/>
      <c r="U471" s="267"/>
      <c r="V471" s="267"/>
      <c r="W471" s="267"/>
      <c r="X471" s="267"/>
      <c r="Y471" s="267"/>
      <c r="Z471" s="267"/>
      <c r="AA471" s="267"/>
      <c r="AB471" s="267"/>
      <c r="AC471" s="267"/>
      <c r="AD471" s="267"/>
      <c r="AE471" s="267"/>
      <c r="AF471" s="267"/>
      <c r="AG471" s="267"/>
      <c r="AH471" s="267"/>
      <c r="AI471" s="267"/>
      <c r="AJ471" s="267"/>
      <c r="AK471" s="267"/>
      <c r="AL471" s="267"/>
      <c r="AM471" s="267"/>
      <c r="AN471" s="267"/>
      <c r="AO471" s="267"/>
      <c r="AP471" s="267"/>
      <c r="AQ471" s="267"/>
      <c r="AR471" s="267"/>
      <c r="AS471" s="267"/>
      <c r="AT471" s="267"/>
      <c r="AU471" s="267"/>
      <c r="AV471" s="267"/>
      <c r="AW471" s="267"/>
      <c r="AX471" s="267"/>
      <c r="AY471" s="267"/>
      <c r="AZ471" s="267"/>
      <c r="BA471" s="267"/>
      <c r="BB471" s="267"/>
      <c r="BC471" s="267"/>
      <c r="BD471" s="267"/>
      <c r="BE471" s="267"/>
      <c r="BF471" s="267"/>
      <c r="BG471" s="267"/>
      <c r="BH471" s="267"/>
      <c r="BI471" s="267"/>
      <c r="BJ471" s="267"/>
      <c r="BK471" s="267"/>
      <c r="BL471" s="267"/>
      <c r="BM471" s="267"/>
      <c r="BN471" s="267"/>
      <c r="BO471" s="267"/>
      <c r="BP471" s="267"/>
      <c r="BQ471" s="267"/>
      <c r="BR471" s="267"/>
      <c r="BS471" s="267"/>
      <c r="BT471" s="267"/>
      <c r="BU471" s="267"/>
      <c r="BV471" s="267"/>
      <c r="BW471" s="267"/>
      <c r="BX471" s="267"/>
      <c r="BY471" s="267"/>
      <c r="BZ471" s="267"/>
      <c r="CA471" s="267"/>
      <c r="CB471" s="267"/>
      <c r="CC471" s="267"/>
      <c r="CD471" s="267"/>
      <c r="CE471" s="267"/>
      <c r="CF471" s="267"/>
      <c r="CG471" s="267"/>
      <c r="CH471" s="267"/>
      <c r="CI471" s="267"/>
      <c r="CJ471" s="267"/>
      <c r="CK471" s="267"/>
      <c r="CL471" s="267"/>
      <c r="CM471" s="267"/>
      <c r="CN471" s="267"/>
      <c r="CO471" s="267"/>
      <c r="CP471" s="267"/>
      <c r="CQ471" s="267"/>
      <c r="CR471" s="267"/>
      <c r="CS471" s="267"/>
      <c r="CT471" s="267"/>
      <c r="CU471" s="267"/>
      <c r="CV471" s="267"/>
      <c r="CW471" s="267"/>
      <c r="CX471" s="267"/>
      <c r="CY471" s="267"/>
      <c r="CZ471" s="267"/>
    </row>
    <row r="472" spans="2:104">
      <c r="B472" s="1235"/>
      <c r="C472" s="1235"/>
      <c r="D472" s="1235"/>
      <c r="E472" s="267"/>
      <c r="F472" s="267"/>
      <c r="G472" s="267"/>
      <c r="H472" s="267"/>
      <c r="I472" s="267"/>
      <c r="J472" s="267"/>
      <c r="K472" s="267"/>
      <c r="L472" s="267"/>
      <c r="M472" s="267"/>
      <c r="N472" s="267"/>
      <c r="O472" s="267"/>
      <c r="P472" s="267"/>
      <c r="Q472" s="267"/>
      <c r="R472" s="267"/>
      <c r="S472" s="267"/>
      <c r="T472" s="267"/>
      <c r="U472" s="267"/>
      <c r="V472" s="267"/>
      <c r="W472" s="267"/>
      <c r="X472" s="267"/>
      <c r="Y472" s="267"/>
      <c r="Z472" s="267"/>
      <c r="AA472" s="267"/>
      <c r="AB472" s="267"/>
      <c r="AC472" s="267"/>
      <c r="AD472" s="267"/>
      <c r="AE472" s="267"/>
      <c r="AF472" s="267"/>
      <c r="AG472" s="267"/>
      <c r="AH472" s="267"/>
      <c r="AI472" s="267"/>
      <c r="AJ472" s="267"/>
      <c r="AK472" s="267"/>
      <c r="AL472" s="267"/>
      <c r="AM472" s="267"/>
      <c r="AN472" s="267"/>
      <c r="AO472" s="267"/>
      <c r="AP472" s="267"/>
      <c r="AQ472" s="267"/>
      <c r="AR472" s="267"/>
      <c r="AS472" s="267"/>
      <c r="AT472" s="267"/>
      <c r="AU472" s="267"/>
      <c r="AV472" s="267"/>
      <c r="AW472" s="267"/>
      <c r="AX472" s="267"/>
      <c r="AY472" s="267"/>
      <c r="AZ472" s="267"/>
      <c r="BA472" s="267"/>
      <c r="BB472" s="267"/>
      <c r="BC472" s="267"/>
      <c r="BD472" s="267"/>
      <c r="BE472" s="267"/>
      <c r="BF472" s="267"/>
      <c r="BG472" s="267"/>
      <c r="BH472" s="267"/>
      <c r="BI472" s="267"/>
      <c r="BJ472" s="267"/>
      <c r="BK472" s="267"/>
      <c r="BL472" s="267"/>
      <c r="BM472" s="267"/>
      <c r="BN472" s="267"/>
      <c r="BO472" s="267"/>
      <c r="BP472" s="267"/>
      <c r="BQ472" s="267"/>
      <c r="BR472" s="267"/>
      <c r="BS472" s="267"/>
      <c r="BT472" s="267"/>
      <c r="BU472" s="267"/>
      <c r="BV472" s="267"/>
      <c r="BW472" s="267"/>
      <c r="BX472" s="267"/>
      <c r="BY472" s="267"/>
      <c r="BZ472" s="267"/>
      <c r="CA472" s="267"/>
      <c r="CB472" s="267"/>
      <c r="CC472" s="267"/>
      <c r="CD472" s="267"/>
      <c r="CE472" s="267"/>
      <c r="CF472" s="267"/>
      <c r="CG472" s="267"/>
      <c r="CH472" s="267"/>
      <c r="CI472" s="267"/>
      <c r="CJ472" s="267"/>
      <c r="CK472" s="267"/>
      <c r="CL472" s="267"/>
      <c r="CM472" s="267"/>
      <c r="CN472" s="267"/>
      <c r="CO472" s="267"/>
      <c r="CP472" s="267"/>
      <c r="CQ472" s="267"/>
      <c r="CR472" s="267"/>
      <c r="CS472" s="267"/>
      <c r="CT472" s="267"/>
      <c r="CU472" s="267"/>
      <c r="CV472" s="267"/>
      <c r="CW472" s="267"/>
      <c r="CX472" s="267"/>
      <c r="CY472" s="267"/>
      <c r="CZ472" s="267"/>
    </row>
    <row r="473" spans="2:104">
      <c r="B473" s="1235"/>
      <c r="C473" s="1235"/>
      <c r="D473" s="1235"/>
      <c r="E473" s="267"/>
      <c r="F473" s="267"/>
      <c r="G473" s="267"/>
      <c r="H473" s="267"/>
      <c r="I473" s="267"/>
      <c r="J473" s="267"/>
      <c r="K473" s="267"/>
      <c r="L473" s="267"/>
      <c r="M473" s="267"/>
      <c r="N473" s="267"/>
      <c r="O473" s="267"/>
      <c r="P473" s="267"/>
      <c r="Q473" s="267"/>
      <c r="R473" s="267"/>
      <c r="S473" s="267"/>
      <c r="T473" s="267"/>
      <c r="U473" s="267"/>
      <c r="V473" s="267"/>
      <c r="W473" s="267"/>
      <c r="X473" s="267"/>
      <c r="Y473" s="267"/>
      <c r="Z473" s="267"/>
      <c r="AA473" s="267"/>
      <c r="AB473" s="267"/>
      <c r="AC473" s="267"/>
      <c r="AD473" s="267"/>
      <c r="AE473" s="267"/>
      <c r="AF473" s="267"/>
      <c r="AG473" s="267"/>
      <c r="AH473" s="267"/>
      <c r="AI473" s="267"/>
      <c r="AJ473" s="267"/>
      <c r="AK473" s="267"/>
      <c r="AL473" s="267"/>
      <c r="AM473" s="267"/>
      <c r="AN473" s="267"/>
      <c r="AO473" s="267"/>
      <c r="AP473" s="267"/>
      <c r="AQ473" s="267"/>
      <c r="AR473" s="267"/>
      <c r="AS473" s="267"/>
      <c r="AT473" s="267"/>
      <c r="AU473" s="267"/>
      <c r="AV473" s="267"/>
      <c r="AW473" s="267"/>
      <c r="AX473" s="267"/>
      <c r="AY473" s="267"/>
      <c r="AZ473" s="267"/>
      <c r="BA473" s="267"/>
      <c r="BB473" s="267"/>
      <c r="BC473" s="267"/>
      <c r="BD473" s="267"/>
      <c r="BE473" s="267"/>
      <c r="BF473" s="267"/>
      <c r="BG473" s="267"/>
      <c r="BH473" s="267"/>
      <c r="BI473" s="267"/>
      <c r="BJ473" s="267"/>
      <c r="BK473" s="267"/>
      <c r="BL473" s="267"/>
      <c r="BM473" s="267"/>
      <c r="BN473" s="267"/>
      <c r="BO473" s="267"/>
      <c r="BP473" s="267"/>
      <c r="BQ473" s="267"/>
      <c r="BR473" s="267"/>
      <c r="BS473" s="267"/>
      <c r="BT473" s="267"/>
      <c r="BU473" s="267"/>
      <c r="BV473" s="267"/>
      <c r="BW473" s="267"/>
      <c r="BX473" s="267"/>
      <c r="BY473" s="267"/>
      <c r="BZ473" s="267"/>
      <c r="CA473" s="267"/>
      <c r="CB473" s="267"/>
      <c r="CC473" s="267"/>
      <c r="CD473" s="267"/>
      <c r="CE473" s="267"/>
      <c r="CF473" s="267"/>
      <c r="CG473" s="267"/>
      <c r="CH473" s="267"/>
      <c r="CI473" s="267"/>
      <c r="CJ473" s="267"/>
      <c r="CK473" s="267"/>
      <c r="CL473" s="267"/>
      <c r="CM473" s="267"/>
      <c r="CN473" s="267"/>
      <c r="CO473" s="267"/>
      <c r="CP473" s="267"/>
      <c r="CQ473" s="267"/>
      <c r="CR473" s="267"/>
      <c r="CS473" s="267"/>
      <c r="CT473" s="267"/>
      <c r="CU473" s="267"/>
      <c r="CV473" s="267"/>
      <c r="CW473" s="267"/>
      <c r="CX473" s="267"/>
      <c r="CY473" s="267"/>
      <c r="CZ473" s="267"/>
    </row>
    <row r="474" spans="2:104">
      <c r="B474" s="1235"/>
      <c r="C474" s="1235"/>
      <c r="D474" s="1235"/>
      <c r="E474" s="267"/>
      <c r="F474" s="267"/>
      <c r="G474" s="267"/>
      <c r="H474" s="267"/>
      <c r="I474" s="267"/>
      <c r="J474" s="267"/>
      <c r="K474" s="267"/>
      <c r="L474" s="267"/>
      <c r="M474" s="267"/>
      <c r="N474" s="267"/>
      <c r="O474" s="267"/>
      <c r="P474" s="267"/>
      <c r="Q474" s="267"/>
      <c r="R474" s="267"/>
      <c r="S474" s="267"/>
      <c r="T474" s="267"/>
      <c r="U474" s="267"/>
      <c r="V474" s="267"/>
      <c r="W474" s="267"/>
      <c r="X474" s="267"/>
      <c r="Y474" s="267"/>
      <c r="Z474" s="267"/>
      <c r="AA474" s="267"/>
      <c r="AB474" s="267"/>
      <c r="AC474" s="267"/>
      <c r="AD474" s="267"/>
      <c r="AE474" s="267"/>
      <c r="AF474" s="267"/>
      <c r="AG474" s="267"/>
      <c r="AH474" s="267"/>
      <c r="AI474" s="267"/>
      <c r="AJ474" s="267"/>
      <c r="AK474" s="267"/>
      <c r="AL474" s="267"/>
      <c r="AM474" s="267"/>
      <c r="AN474" s="267"/>
      <c r="AO474" s="267"/>
      <c r="AP474" s="267"/>
      <c r="AQ474" s="267"/>
      <c r="AR474" s="267"/>
      <c r="AS474" s="267"/>
      <c r="AT474" s="267"/>
      <c r="AU474" s="267"/>
      <c r="AV474" s="267"/>
      <c r="AW474" s="267"/>
      <c r="AX474" s="267"/>
      <c r="AY474" s="267"/>
      <c r="AZ474" s="267"/>
      <c r="BA474" s="267"/>
      <c r="BB474" s="267"/>
      <c r="BC474" s="267"/>
      <c r="BD474" s="267"/>
      <c r="BE474" s="267"/>
      <c r="BF474" s="267"/>
      <c r="BG474" s="267"/>
      <c r="BH474" s="267"/>
      <c r="BI474" s="267"/>
      <c r="BJ474" s="267"/>
      <c r="BK474" s="267"/>
      <c r="BL474" s="267"/>
      <c r="BM474" s="267"/>
      <c r="BN474" s="267"/>
      <c r="BO474" s="267"/>
      <c r="BP474" s="267"/>
      <c r="BQ474" s="267"/>
      <c r="BR474" s="267"/>
      <c r="BS474" s="267"/>
      <c r="BT474" s="267"/>
      <c r="BU474" s="267"/>
      <c r="BV474" s="267"/>
      <c r="BW474" s="267"/>
      <c r="BX474" s="267"/>
      <c r="BY474" s="267"/>
      <c r="BZ474" s="267"/>
      <c r="CA474" s="267"/>
      <c r="CB474" s="267"/>
      <c r="CC474" s="267"/>
      <c r="CD474" s="267"/>
      <c r="CE474" s="267"/>
      <c r="CF474" s="267"/>
      <c r="CG474" s="267"/>
      <c r="CH474" s="267"/>
      <c r="CI474" s="267"/>
      <c r="CJ474" s="267"/>
      <c r="CK474" s="267"/>
      <c r="CL474" s="267"/>
      <c r="CM474" s="267"/>
      <c r="CN474" s="267"/>
      <c r="CO474" s="267"/>
      <c r="CP474" s="267"/>
      <c r="CQ474" s="267"/>
      <c r="CR474" s="267"/>
      <c r="CS474" s="267"/>
      <c r="CT474" s="267"/>
      <c r="CU474" s="267"/>
      <c r="CV474" s="267"/>
      <c r="CW474" s="267"/>
      <c r="CX474" s="267"/>
      <c r="CY474" s="267"/>
      <c r="CZ474" s="267"/>
    </row>
    <row r="475" spans="2:104">
      <c r="B475" s="1235"/>
      <c r="C475" s="1235"/>
      <c r="D475" s="1235"/>
      <c r="E475" s="267"/>
      <c r="F475" s="267"/>
      <c r="G475" s="267"/>
      <c r="H475" s="267"/>
      <c r="I475" s="267"/>
      <c r="J475" s="267"/>
      <c r="K475" s="267"/>
      <c r="L475" s="267"/>
      <c r="M475" s="267"/>
      <c r="N475" s="267"/>
      <c r="O475" s="267"/>
      <c r="P475" s="267"/>
      <c r="Q475" s="267"/>
      <c r="R475" s="267"/>
      <c r="S475" s="267"/>
      <c r="T475" s="267"/>
      <c r="U475" s="267"/>
      <c r="V475" s="267"/>
      <c r="W475" s="267"/>
      <c r="X475" s="267"/>
      <c r="Y475" s="267"/>
      <c r="Z475" s="267"/>
      <c r="AA475" s="267"/>
      <c r="AB475" s="267"/>
      <c r="AC475" s="267"/>
      <c r="AD475" s="267"/>
      <c r="AE475" s="267"/>
      <c r="AF475" s="267"/>
      <c r="AG475" s="267"/>
      <c r="AH475" s="267"/>
      <c r="AI475" s="267"/>
      <c r="AJ475" s="267"/>
      <c r="AK475" s="267"/>
      <c r="AL475" s="267"/>
      <c r="AM475" s="267"/>
      <c r="AN475" s="267"/>
      <c r="AO475" s="267"/>
      <c r="AP475" s="267"/>
      <c r="AQ475" s="267"/>
      <c r="AR475" s="267"/>
      <c r="AS475" s="267"/>
      <c r="AT475" s="267"/>
      <c r="AU475" s="267"/>
      <c r="AV475" s="267"/>
      <c r="AW475" s="267"/>
      <c r="AX475" s="267"/>
      <c r="AY475" s="267"/>
      <c r="AZ475" s="267"/>
      <c r="BA475" s="267"/>
      <c r="BB475" s="267"/>
      <c r="BC475" s="267"/>
      <c r="BD475" s="267"/>
      <c r="BE475" s="267"/>
      <c r="BF475" s="267"/>
      <c r="BG475" s="267"/>
      <c r="BH475" s="267"/>
      <c r="BI475" s="267"/>
      <c r="BJ475" s="267"/>
      <c r="BK475" s="267"/>
      <c r="BL475" s="267"/>
      <c r="BM475" s="267"/>
      <c r="BN475" s="267"/>
      <c r="BO475" s="267"/>
      <c r="BP475" s="267"/>
      <c r="BQ475" s="267"/>
      <c r="BR475" s="267"/>
      <c r="BS475" s="267"/>
      <c r="BT475" s="267"/>
      <c r="BU475" s="267"/>
      <c r="BV475" s="267"/>
      <c r="BW475" s="267"/>
      <c r="BX475" s="267"/>
      <c r="BY475" s="267"/>
      <c r="BZ475" s="267"/>
      <c r="CA475" s="267"/>
      <c r="CB475" s="267"/>
      <c r="CC475" s="267"/>
      <c r="CD475" s="267"/>
      <c r="CE475" s="267"/>
      <c r="CF475" s="267"/>
      <c r="CG475" s="267"/>
      <c r="CH475" s="267"/>
      <c r="CI475" s="267"/>
      <c r="CJ475" s="267"/>
      <c r="CK475" s="267"/>
      <c r="CL475" s="267"/>
      <c r="CM475" s="267"/>
      <c r="CN475" s="267"/>
      <c r="CO475" s="267"/>
      <c r="CP475" s="267"/>
      <c r="CQ475" s="267"/>
      <c r="CR475" s="267"/>
      <c r="CS475" s="267"/>
      <c r="CT475" s="267"/>
      <c r="CU475" s="267"/>
      <c r="CV475" s="267"/>
      <c r="CW475" s="267"/>
      <c r="CX475" s="267"/>
      <c r="CY475" s="267"/>
      <c r="CZ475" s="267"/>
    </row>
    <row r="476" spans="2:104">
      <c r="B476" s="1235"/>
      <c r="C476" s="1235"/>
      <c r="D476" s="1235"/>
      <c r="E476" s="267"/>
      <c r="F476" s="267"/>
      <c r="G476" s="267"/>
      <c r="H476" s="267"/>
      <c r="I476" s="267"/>
      <c r="J476" s="267"/>
      <c r="K476" s="267"/>
      <c r="L476" s="267"/>
      <c r="M476" s="267"/>
      <c r="N476" s="267"/>
      <c r="O476" s="267"/>
      <c r="P476" s="267"/>
      <c r="Q476" s="267"/>
      <c r="R476" s="267"/>
      <c r="S476" s="267"/>
      <c r="T476" s="267"/>
      <c r="U476" s="267"/>
      <c r="V476" s="267"/>
      <c r="W476" s="267"/>
      <c r="X476" s="267"/>
      <c r="Y476" s="267"/>
      <c r="Z476" s="267"/>
      <c r="AA476" s="267"/>
      <c r="AB476" s="267"/>
      <c r="AC476" s="267"/>
      <c r="AD476" s="267"/>
      <c r="AE476" s="267"/>
      <c r="AF476" s="267"/>
      <c r="AG476" s="267"/>
      <c r="AH476" s="267"/>
      <c r="AI476" s="267"/>
      <c r="AJ476" s="267"/>
      <c r="AK476" s="267"/>
      <c r="AL476" s="267"/>
      <c r="AM476" s="267"/>
      <c r="AN476" s="267"/>
      <c r="AO476" s="267"/>
      <c r="AP476" s="267"/>
      <c r="AQ476" s="267"/>
      <c r="AR476" s="267"/>
      <c r="AS476" s="267"/>
      <c r="AT476" s="267"/>
      <c r="AU476" s="267"/>
      <c r="AV476" s="267"/>
      <c r="AW476" s="267"/>
      <c r="AX476" s="267"/>
      <c r="AY476" s="267"/>
      <c r="AZ476" s="267"/>
      <c r="BA476" s="267"/>
      <c r="BB476" s="267"/>
      <c r="BC476" s="267"/>
      <c r="BD476" s="267"/>
      <c r="BE476" s="267"/>
      <c r="BF476" s="267"/>
      <c r="BG476" s="267"/>
      <c r="BH476" s="267"/>
      <c r="BI476" s="267"/>
      <c r="BJ476" s="267"/>
      <c r="BK476" s="267"/>
      <c r="BL476" s="267"/>
      <c r="BM476" s="267"/>
      <c r="BN476" s="267"/>
      <c r="BO476" s="267"/>
      <c r="BP476" s="267"/>
      <c r="BQ476" s="267"/>
      <c r="BR476" s="267"/>
      <c r="BS476" s="267"/>
      <c r="BT476" s="267"/>
      <c r="BU476" s="267"/>
      <c r="BV476" s="267"/>
      <c r="BW476" s="267"/>
      <c r="BX476" s="267"/>
      <c r="BY476" s="267"/>
      <c r="BZ476" s="267"/>
      <c r="CA476" s="267"/>
      <c r="CB476" s="267"/>
      <c r="CC476" s="267"/>
      <c r="CD476" s="267"/>
      <c r="CE476" s="267"/>
      <c r="CF476" s="267"/>
      <c r="CG476" s="267"/>
      <c r="CH476" s="267"/>
      <c r="CI476" s="267"/>
      <c r="CJ476" s="267"/>
      <c r="CK476" s="267"/>
      <c r="CL476" s="267"/>
      <c r="CM476" s="267"/>
      <c r="CN476" s="267"/>
      <c r="CO476" s="267"/>
      <c r="CP476" s="267"/>
      <c r="CQ476" s="267"/>
      <c r="CR476" s="267"/>
      <c r="CS476" s="267"/>
      <c r="CT476" s="267"/>
      <c r="CU476" s="267"/>
      <c r="CV476" s="267"/>
      <c r="CW476" s="267"/>
      <c r="CX476" s="267"/>
      <c r="CY476" s="267"/>
      <c r="CZ476" s="267"/>
    </row>
    <row r="477" spans="2:104">
      <c r="B477" s="1235"/>
      <c r="C477" s="1235"/>
      <c r="D477" s="1235"/>
      <c r="E477" s="267"/>
      <c r="F477" s="267"/>
      <c r="G477" s="267"/>
      <c r="H477" s="267"/>
      <c r="I477" s="267"/>
      <c r="J477" s="267"/>
      <c r="K477" s="267"/>
      <c r="L477" s="267"/>
      <c r="M477" s="267"/>
      <c r="N477" s="267"/>
      <c r="O477" s="267"/>
      <c r="P477" s="267"/>
      <c r="Q477" s="267"/>
      <c r="R477" s="267"/>
      <c r="S477" s="267"/>
      <c r="T477" s="267"/>
      <c r="U477" s="267"/>
      <c r="V477" s="267"/>
      <c r="W477" s="267"/>
      <c r="X477" s="267"/>
      <c r="Y477" s="267"/>
      <c r="Z477" s="267"/>
      <c r="AA477" s="267"/>
      <c r="AB477" s="267"/>
      <c r="AC477" s="267"/>
      <c r="AD477" s="267"/>
      <c r="AE477" s="267"/>
      <c r="AF477" s="267"/>
      <c r="AG477" s="267"/>
      <c r="AH477" s="267"/>
      <c r="AI477" s="267"/>
      <c r="AJ477" s="267"/>
      <c r="AK477" s="267"/>
      <c r="AL477" s="267"/>
      <c r="AM477" s="267"/>
      <c r="AN477" s="267"/>
      <c r="AO477" s="267"/>
      <c r="AP477" s="267"/>
      <c r="AQ477" s="267"/>
      <c r="AR477" s="267"/>
      <c r="AS477" s="267"/>
      <c r="AT477" s="267"/>
      <c r="AU477" s="267"/>
      <c r="AV477" s="267"/>
      <c r="AW477" s="267"/>
      <c r="AX477" s="267"/>
      <c r="AY477" s="267"/>
      <c r="AZ477" s="267"/>
      <c r="BA477" s="267"/>
      <c r="BB477" s="267"/>
      <c r="BC477" s="267"/>
      <c r="BD477" s="267"/>
      <c r="BE477" s="267"/>
      <c r="BF477" s="267"/>
      <c r="BG477" s="267"/>
      <c r="BH477" s="267"/>
      <c r="BI477" s="267"/>
      <c r="BJ477" s="267"/>
      <c r="BK477" s="267"/>
      <c r="BL477" s="267"/>
      <c r="BM477" s="267"/>
      <c r="BN477" s="267"/>
      <c r="BO477" s="267"/>
      <c r="BP477" s="267"/>
      <c r="BQ477" s="267"/>
      <c r="BR477" s="267"/>
      <c r="BS477" s="267"/>
      <c r="BT477" s="267"/>
      <c r="BU477" s="267"/>
      <c r="BV477" s="267"/>
      <c r="BW477" s="267"/>
      <c r="BX477" s="267"/>
      <c r="BY477" s="267"/>
      <c r="BZ477" s="267"/>
      <c r="CA477" s="267"/>
      <c r="CB477" s="267"/>
      <c r="CC477" s="267"/>
      <c r="CD477" s="267"/>
      <c r="CE477" s="267"/>
      <c r="CF477" s="267"/>
      <c r="CG477" s="267"/>
      <c r="CH477" s="267"/>
      <c r="CI477" s="267"/>
      <c r="CJ477" s="267"/>
      <c r="CK477" s="267"/>
      <c r="CL477" s="267"/>
      <c r="CM477" s="267"/>
      <c r="CN477" s="267"/>
      <c r="CO477" s="267"/>
      <c r="CP477" s="267"/>
      <c r="CQ477" s="267"/>
      <c r="CR477" s="267"/>
      <c r="CS477" s="267"/>
      <c r="CT477" s="267"/>
      <c r="CU477" s="267"/>
      <c r="CV477" s="267"/>
      <c r="CW477" s="267"/>
      <c r="CX477" s="267"/>
      <c r="CY477" s="267"/>
      <c r="CZ477" s="267"/>
    </row>
    <row r="478" spans="2:104">
      <c r="B478" s="1235"/>
      <c r="C478" s="1235"/>
      <c r="D478" s="1235"/>
      <c r="E478" s="267"/>
      <c r="F478" s="267"/>
      <c r="G478" s="267"/>
      <c r="H478" s="267"/>
      <c r="I478" s="267"/>
      <c r="J478" s="267"/>
      <c r="K478" s="267"/>
      <c r="L478" s="267"/>
      <c r="M478" s="267"/>
      <c r="N478" s="267"/>
      <c r="O478" s="267"/>
      <c r="P478" s="267"/>
      <c r="Q478" s="267"/>
      <c r="R478" s="267"/>
      <c r="S478" s="267"/>
      <c r="T478" s="267"/>
      <c r="U478" s="267"/>
      <c r="V478" s="267"/>
      <c r="W478" s="267"/>
      <c r="X478" s="267"/>
      <c r="Y478" s="267"/>
      <c r="Z478" s="267"/>
      <c r="AA478" s="267"/>
      <c r="AB478" s="267"/>
      <c r="AC478" s="267"/>
      <c r="AD478" s="267"/>
      <c r="AE478" s="267"/>
      <c r="AF478" s="267"/>
      <c r="AG478" s="267"/>
      <c r="AH478" s="267"/>
      <c r="AI478" s="267"/>
      <c r="AJ478" s="267"/>
      <c r="AK478" s="267"/>
      <c r="AL478" s="267"/>
      <c r="AM478" s="267"/>
      <c r="AN478" s="267"/>
      <c r="AO478" s="267"/>
      <c r="AP478" s="267"/>
      <c r="AQ478" s="267"/>
      <c r="AR478" s="267"/>
      <c r="AS478" s="267"/>
      <c r="AT478" s="267"/>
      <c r="AU478" s="267"/>
      <c r="AV478" s="267"/>
      <c r="AW478" s="267"/>
      <c r="AX478" s="267"/>
      <c r="AY478" s="267"/>
      <c r="AZ478" s="267"/>
      <c r="BA478" s="267"/>
      <c r="BB478" s="267"/>
      <c r="BC478" s="267"/>
      <c r="BD478" s="267"/>
      <c r="BE478" s="267"/>
      <c r="BF478" s="267"/>
      <c r="BG478" s="267"/>
      <c r="BH478" s="267"/>
      <c r="BI478" s="267"/>
      <c r="BJ478" s="267"/>
      <c r="BK478" s="267"/>
      <c r="BL478" s="267"/>
      <c r="BM478" s="267"/>
      <c r="BN478" s="267"/>
      <c r="BO478" s="267"/>
      <c r="BP478" s="267"/>
      <c r="BQ478" s="267"/>
      <c r="BR478" s="267"/>
      <c r="BS478" s="267"/>
      <c r="BT478" s="267"/>
      <c r="BU478" s="267"/>
      <c r="BV478" s="267"/>
      <c r="BW478" s="267"/>
      <c r="BX478" s="267"/>
      <c r="BY478" s="267"/>
      <c r="BZ478" s="267"/>
      <c r="CA478" s="267"/>
      <c r="CB478" s="267"/>
      <c r="CC478" s="267"/>
      <c r="CD478" s="267"/>
      <c r="CE478" s="267"/>
      <c r="CF478" s="267"/>
      <c r="CG478" s="267"/>
      <c r="CH478" s="267"/>
      <c r="CI478" s="267"/>
      <c r="CJ478" s="267"/>
      <c r="CK478" s="267"/>
      <c r="CL478" s="267"/>
      <c r="CM478" s="267"/>
      <c r="CN478" s="267"/>
      <c r="CO478" s="267"/>
      <c r="CP478" s="267"/>
      <c r="CQ478" s="267"/>
      <c r="CR478" s="267"/>
      <c r="CS478" s="267"/>
      <c r="CT478" s="267"/>
      <c r="CU478" s="267"/>
      <c r="CV478" s="267"/>
      <c r="CW478" s="267"/>
      <c r="CX478" s="267"/>
      <c r="CY478" s="267"/>
      <c r="CZ478" s="267"/>
    </row>
    <row r="479" spans="2:104">
      <c r="B479" s="1235"/>
      <c r="C479" s="1235"/>
      <c r="D479" s="1235"/>
      <c r="E479" s="267"/>
      <c r="F479" s="267"/>
      <c r="G479" s="267"/>
      <c r="H479" s="267"/>
      <c r="I479" s="267"/>
      <c r="J479" s="267"/>
      <c r="K479" s="267"/>
      <c r="L479" s="267"/>
      <c r="M479" s="267"/>
      <c r="N479" s="267"/>
      <c r="O479" s="267"/>
      <c r="P479" s="267"/>
      <c r="Q479" s="267"/>
      <c r="R479" s="267"/>
      <c r="S479" s="267"/>
      <c r="T479" s="267"/>
      <c r="U479" s="267"/>
      <c r="V479" s="267"/>
      <c r="W479" s="267"/>
      <c r="X479" s="267"/>
      <c r="Y479" s="267"/>
      <c r="Z479" s="267"/>
      <c r="AA479" s="267"/>
      <c r="AB479" s="267"/>
      <c r="AC479" s="267"/>
      <c r="AD479" s="267"/>
      <c r="AE479" s="267"/>
      <c r="AF479" s="267"/>
      <c r="AG479" s="267"/>
      <c r="AH479" s="267"/>
      <c r="AI479" s="267"/>
      <c r="AJ479" s="267"/>
      <c r="AK479" s="267"/>
      <c r="AL479" s="267"/>
      <c r="AM479" s="267"/>
      <c r="AN479" s="267"/>
      <c r="AO479" s="267"/>
      <c r="AP479" s="267"/>
      <c r="AQ479" s="267"/>
      <c r="AR479" s="267"/>
      <c r="AS479" s="267"/>
      <c r="AT479" s="267"/>
      <c r="AU479" s="267"/>
      <c r="AV479" s="267"/>
      <c r="AW479" s="267"/>
      <c r="AX479" s="267"/>
      <c r="AY479" s="267"/>
      <c r="AZ479" s="267"/>
      <c r="BA479" s="267"/>
      <c r="BB479" s="267"/>
      <c r="BC479" s="267"/>
      <c r="BD479" s="267"/>
      <c r="BE479" s="267"/>
      <c r="BF479" s="267"/>
      <c r="BG479" s="267"/>
      <c r="BH479" s="267"/>
      <c r="BI479" s="267"/>
      <c r="BJ479" s="267"/>
      <c r="BK479" s="267"/>
      <c r="BL479" s="267"/>
      <c r="BM479" s="267"/>
      <c r="BN479" s="267"/>
      <c r="BO479" s="267"/>
      <c r="BP479" s="267"/>
      <c r="BQ479" s="267"/>
      <c r="BR479" s="267"/>
      <c r="BS479" s="267"/>
      <c r="BT479" s="267"/>
      <c r="BU479" s="267"/>
      <c r="BV479" s="267"/>
      <c r="BW479" s="267"/>
      <c r="BX479" s="267"/>
      <c r="BY479" s="267"/>
      <c r="BZ479" s="267"/>
      <c r="CA479" s="267"/>
      <c r="CB479" s="267"/>
      <c r="CC479" s="267"/>
      <c r="CD479" s="267"/>
      <c r="CE479" s="267"/>
      <c r="CF479" s="267"/>
      <c r="CG479" s="267"/>
      <c r="CH479" s="267"/>
      <c r="CI479" s="267"/>
      <c r="CJ479" s="267"/>
      <c r="CK479" s="267"/>
      <c r="CL479" s="267"/>
      <c r="CM479" s="267"/>
      <c r="CN479" s="267"/>
      <c r="CO479" s="267"/>
      <c r="CP479" s="267"/>
      <c r="CQ479" s="267"/>
      <c r="CR479" s="267"/>
      <c r="CS479" s="267"/>
      <c r="CT479" s="267"/>
      <c r="CU479" s="267"/>
      <c r="CV479" s="267"/>
      <c r="CW479" s="267"/>
      <c r="CX479" s="267"/>
      <c r="CY479" s="267"/>
      <c r="CZ479" s="267"/>
    </row>
    <row r="480" spans="2:104">
      <c r="B480" s="1235"/>
      <c r="C480" s="1235"/>
      <c r="D480" s="1235"/>
      <c r="E480" s="267"/>
      <c r="F480" s="267"/>
      <c r="G480" s="267"/>
      <c r="H480" s="267"/>
      <c r="I480" s="267"/>
      <c r="J480" s="267"/>
      <c r="K480" s="267"/>
      <c r="L480" s="267"/>
      <c r="M480" s="267"/>
      <c r="N480" s="267"/>
      <c r="O480" s="267"/>
      <c r="P480" s="267"/>
      <c r="Q480" s="267"/>
      <c r="R480" s="267"/>
      <c r="S480" s="267"/>
      <c r="T480" s="267"/>
      <c r="U480" s="267"/>
      <c r="V480" s="267"/>
      <c r="W480" s="267"/>
      <c r="X480" s="267"/>
      <c r="Y480" s="267"/>
      <c r="Z480" s="267"/>
      <c r="AA480" s="267"/>
      <c r="AB480" s="267"/>
      <c r="AC480" s="267"/>
      <c r="AD480" s="267"/>
      <c r="AE480" s="267"/>
      <c r="AF480" s="267"/>
      <c r="AG480" s="267"/>
      <c r="AH480" s="267"/>
      <c r="AI480" s="267"/>
      <c r="AJ480" s="267"/>
      <c r="AK480" s="267"/>
      <c r="AL480" s="267"/>
      <c r="AM480" s="267"/>
      <c r="AN480" s="267"/>
      <c r="AO480" s="267"/>
      <c r="AP480" s="267"/>
      <c r="AQ480" s="267"/>
      <c r="AR480" s="267"/>
      <c r="AS480" s="267"/>
      <c r="AT480" s="267"/>
      <c r="AU480" s="267"/>
      <c r="AV480" s="267"/>
      <c r="AW480" s="267"/>
      <c r="AX480" s="267"/>
      <c r="AY480" s="267"/>
      <c r="AZ480" s="267"/>
      <c r="BA480" s="267"/>
      <c r="BB480" s="267"/>
      <c r="BC480" s="267"/>
      <c r="BD480" s="267"/>
      <c r="BE480" s="267"/>
      <c r="BF480" s="267"/>
      <c r="BG480" s="267"/>
      <c r="BH480" s="267"/>
      <c r="BI480" s="267"/>
      <c r="BJ480" s="267"/>
      <c r="BK480" s="267"/>
      <c r="BL480" s="267"/>
      <c r="BM480" s="267"/>
      <c r="BN480" s="267"/>
      <c r="BO480" s="267"/>
      <c r="BP480" s="267"/>
      <c r="BQ480" s="267"/>
      <c r="BR480" s="267"/>
      <c r="BS480" s="267"/>
      <c r="BT480" s="267"/>
      <c r="BU480" s="267"/>
      <c r="BV480" s="267"/>
      <c r="BW480" s="267"/>
      <c r="BX480" s="267"/>
      <c r="BY480" s="267"/>
      <c r="BZ480" s="267"/>
      <c r="CA480" s="267"/>
      <c r="CB480" s="267"/>
      <c r="CC480" s="267"/>
      <c r="CD480" s="267"/>
      <c r="CE480" s="267"/>
      <c r="CF480" s="267"/>
      <c r="CG480" s="267"/>
      <c r="CH480" s="267"/>
      <c r="CI480" s="267"/>
      <c r="CJ480" s="267"/>
      <c r="CK480" s="267"/>
      <c r="CL480" s="267"/>
      <c r="CM480" s="267"/>
      <c r="CN480" s="267"/>
      <c r="CO480" s="267"/>
      <c r="CP480" s="267"/>
      <c r="CQ480" s="267"/>
      <c r="CR480" s="267"/>
      <c r="CS480" s="267"/>
      <c r="CT480" s="267"/>
      <c r="CU480" s="267"/>
      <c r="CV480" s="267"/>
      <c r="CW480" s="267"/>
      <c r="CX480" s="267"/>
      <c r="CY480" s="267"/>
      <c r="CZ480" s="267"/>
    </row>
    <row r="481" spans="2:104">
      <c r="B481" s="1235"/>
      <c r="C481" s="1235"/>
      <c r="D481" s="1235"/>
      <c r="E481" s="267"/>
      <c r="F481" s="267"/>
      <c r="G481" s="267"/>
      <c r="H481" s="267"/>
      <c r="I481" s="267"/>
      <c r="J481" s="267"/>
      <c r="K481" s="267"/>
      <c r="L481" s="267"/>
      <c r="M481" s="267"/>
      <c r="N481" s="267"/>
      <c r="O481" s="267"/>
      <c r="P481" s="267"/>
      <c r="Q481" s="267"/>
      <c r="R481" s="267"/>
      <c r="S481" s="267"/>
      <c r="T481" s="267"/>
      <c r="U481" s="267"/>
      <c r="V481" s="267"/>
      <c r="W481" s="267"/>
      <c r="X481" s="267"/>
      <c r="Y481" s="267"/>
      <c r="Z481" s="267"/>
      <c r="AA481" s="267"/>
      <c r="AB481" s="267"/>
      <c r="AC481" s="267"/>
      <c r="AD481" s="267"/>
      <c r="AE481" s="267"/>
      <c r="AF481" s="267"/>
      <c r="AG481" s="267"/>
      <c r="AH481" s="267"/>
      <c r="AI481" s="267"/>
      <c r="AJ481" s="267"/>
      <c r="AK481" s="267"/>
      <c r="AL481" s="267"/>
      <c r="AM481" s="267"/>
      <c r="AN481" s="267"/>
      <c r="AO481" s="267"/>
      <c r="AP481" s="267"/>
      <c r="AQ481" s="267"/>
      <c r="AR481" s="267"/>
      <c r="AS481" s="267"/>
      <c r="AT481" s="267"/>
      <c r="AU481" s="267"/>
      <c r="AV481" s="267"/>
      <c r="AW481" s="267"/>
      <c r="AX481" s="267"/>
      <c r="AY481" s="267"/>
      <c r="AZ481" s="267"/>
      <c r="BA481" s="267"/>
      <c r="BB481" s="267"/>
      <c r="BC481" s="267"/>
      <c r="BD481" s="267"/>
      <c r="BE481" s="267"/>
      <c r="BF481" s="267"/>
      <c r="BG481" s="267"/>
      <c r="BH481" s="267"/>
      <c r="BI481" s="267"/>
      <c r="BJ481" s="267"/>
      <c r="BK481" s="267"/>
      <c r="BL481" s="267"/>
      <c r="BM481" s="267"/>
      <c r="BN481" s="267"/>
      <c r="BO481" s="267"/>
      <c r="BP481" s="267"/>
      <c r="BQ481" s="267"/>
      <c r="BR481" s="267"/>
      <c r="BS481" s="267"/>
      <c r="BT481" s="267"/>
      <c r="BU481" s="267"/>
      <c r="BV481" s="267"/>
      <c r="BW481" s="267"/>
      <c r="BX481" s="267"/>
      <c r="BY481" s="267"/>
      <c r="BZ481" s="267"/>
      <c r="CA481" s="267"/>
      <c r="CB481" s="267"/>
      <c r="CC481" s="267"/>
      <c r="CD481" s="267"/>
      <c r="CE481" s="267"/>
      <c r="CF481" s="267"/>
      <c r="CG481" s="267"/>
      <c r="CH481" s="267"/>
      <c r="CI481" s="267"/>
      <c r="CJ481" s="267"/>
      <c r="CK481" s="267"/>
      <c r="CL481" s="267"/>
      <c r="CM481" s="267"/>
      <c r="CN481" s="267"/>
      <c r="CO481" s="267"/>
      <c r="CP481" s="267"/>
      <c r="CQ481" s="267"/>
      <c r="CR481" s="267"/>
      <c r="CS481" s="267"/>
      <c r="CT481" s="267"/>
      <c r="CU481" s="267"/>
      <c r="CV481" s="267"/>
      <c r="CW481" s="267"/>
      <c r="CX481" s="267"/>
      <c r="CY481" s="267"/>
      <c r="CZ481" s="267"/>
    </row>
    <row r="482" spans="2:104">
      <c r="B482" s="1235"/>
      <c r="C482" s="1235"/>
      <c r="D482" s="1235"/>
      <c r="E482" s="267"/>
      <c r="F482" s="267"/>
      <c r="G482" s="267"/>
      <c r="H482" s="267"/>
      <c r="I482" s="267"/>
      <c r="J482" s="267"/>
      <c r="K482" s="267"/>
      <c r="L482" s="267"/>
      <c r="M482" s="267"/>
      <c r="N482" s="267"/>
      <c r="O482" s="267"/>
      <c r="P482" s="267"/>
      <c r="Q482" s="267"/>
      <c r="R482" s="267"/>
      <c r="S482" s="267"/>
      <c r="T482" s="267"/>
      <c r="U482" s="267"/>
      <c r="V482" s="267"/>
      <c r="W482" s="267"/>
      <c r="X482" s="267"/>
      <c r="Y482" s="267"/>
      <c r="Z482" s="267"/>
      <c r="AA482" s="267"/>
      <c r="AB482" s="267"/>
      <c r="AC482" s="267"/>
      <c r="AD482" s="267"/>
      <c r="AE482" s="267"/>
      <c r="AF482" s="267"/>
      <c r="AG482" s="267"/>
      <c r="AH482" s="267"/>
      <c r="AI482" s="267"/>
      <c r="AJ482" s="267"/>
      <c r="AK482" s="267"/>
      <c r="AL482" s="267"/>
      <c r="AM482" s="267"/>
      <c r="AN482" s="267"/>
      <c r="AO482" s="267"/>
      <c r="AP482" s="267"/>
      <c r="AQ482" s="267"/>
      <c r="AR482" s="267"/>
      <c r="AS482" s="267"/>
      <c r="AT482" s="267"/>
      <c r="AU482" s="267"/>
      <c r="AV482" s="267"/>
      <c r="AW482" s="267"/>
      <c r="AX482" s="267"/>
      <c r="AY482" s="267"/>
      <c r="AZ482" s="267"/>
      <c r="BA482" s="267"/>
      <c r="BB482" s="267"/>
      <c r="BC482" s="267"/>
      <c r="BD482" s="267"/>
      <c r="BE482" s="267"/>
      <c r="BF482" s="267"/>
      <c r="BG482" s="267"/>
      <c r="BH482" s="267"/>
      <c r="BI482" s="267"/>
      <c r="BJ482" s="267"/>
      <c r="BK482" s="267"/>
      <c r="BL482" s="267"/>
      <c r="BM482" s="267"/>
      <c r="BN482" s="267"/>
      <c r="BO482" s="267"/>
      <c r="BP482" s="267"/>
      <c r="BQ482" s="267"/>
      <c r="BR482" s="267"/>
      <c r="BS482" s="267"/>
      <c r="BT482" s="267"/>
      <c r="BU482" s="267"/>
      <c r="BV482" s="267"/>
      <c r="BW482" s="267"/>
      <c r="BX482" s="267"/>
      <c r="BY482" s="267"/>
      <c r="BZ482" s="267"/>
      <c r="CA482" s="267"/>
      <c r="CB482" s="267"/>
      <c r="CC482" s="267"/>
      <c r="CD482" s="267"/>
      <c r="CE482" s="267"/>
      <c r="CF482" s="267"/>
      <c r="CG482" s="267"/>
      <c r="CH482" s="267"/>
      <c r="CI482" s="267"/>
      <c r="CJ482" s="267"/>
      <c r="CK482" s="267"/>
      <c r="CL482" s="267"/>
      <c r="CM482" s="267"/>
      <c r="CN482" s="267"/>
      <c r="CO482" s="267"/>
      <c r="CP482" s="267"/>
      <c r="CQ482" s="267"/>
      <c r="CR482" s="267"/>
      <c r="CS482" s="267"/>
      <c r="CT482" s="267"/>
      <c r="CU482" s="267"/>
      <c r="CV482" s="267"/>
      <c r="CW482" s="267"/>
      <c r="CX482" s="267"/>
      <c r="CY482" s="267"/>
      <c r="CZ482" s="267"/>
    </row>
    <row r="483" spans="2:104">
      <c r="B483" s="1235"/>
      <c r="C483" s="1235"/>
      <c r="D483" s="1235"/>
      <c r="E483" s="267"/>
      <c r="F483" s="267"/>
      <c r="G483" s="267"/>
      <c r="H483" s="267"/>
      <c r="I483" s="267"/>
      <c r="J483" s="267"/>
      <c r="K483" s="267"/>
      <c r="L483" s="267"/>
      <c r="M483" s="267"/>
      <c r="N483" s="267"/>
      <c r="O483" s="267"/>
      <c r="P483" s="267"/>
      <c r="Q483" s="267"/>
      <c r="R483" s="267"/>
      <c r="S483" s="267"/>
      <c r="T483" s="267"/>
      <c r="U483" s="267"/>
      <c r="V483" s="267"/>
      <c r="W483" s="267"/>
      <c r="X483" s="267"/>
      <c r="Y483" s="267"/>
      <c r="Z483" s="267"/>
      <c r="AA483" s="267"/>
      <c r="AB483" s="267"/>
      <c r="AC483" s="267"/>
      <c r="AD483" s="267"/>
      <c r="AE483" s="267"/>
      <c r="AF483" s="267"/>
      <c r="AG483" s="267"/>
      <c r="AH483" s="267"/>
      <c r="AI483" s="267"/>
      <c r="AJ483" s="267"/>
      <c r="AK483" s="267"/>
      <c r="AL483" s="267"/>
      <c r="AM483" s="267"/>
      <c r="AN483" s="267"/>
      <c r="AO483" s="267"/>
      <c r="AP483" s="267"/>
      <c r="AQ483" s="267"/>
      <c r="AR483" s="267"/>
      <c r="AS483" s="267"/>
      <c r="AT483" s="267"/>
      <c r="AU483" s="267"/>
      <c r="AV483" s="267"/>
      <c r="AW483" s="267"/>
      <c r="AX483" s="267"/>
      <c r="AY483" s="267"/>
      <c r="AZ483" s="267"/>
      <c r="BA483" s="267"/>
      <c r="BB483" s="267"/>
      <c r="BC483" s="267"/>
      <c r="BD483" s="267"/>
      <c r="BE483" s="267"/>
      <c r="BF483" s="267"/>
      <c r="BG483" s="267"/>
      <c r="BH483" s="267"/>
      <c r="BI483" s="267"/>
      <c r="BJ483" s="267"/>
      <c r="BK483" s="267"/>
      <c r="BL483" s="267"/>
      <c r="BM483" s="267"/>
      <c r="BN483" s="267"/>
      <c r="BO483" s="267"/>
      <c r="BP483" s="267"/>
      <c r="BQ483" s="267"/>
      <c r="BR483" s="267"/>
      <c r="BS483" s="267"/>
      <c r="BT483" s="267"/>
      <c r="BU483" s="267"/>
      <c r="BV483" s="267"/>
      <c r="BW483" s="267"/>
      <c r="BX483" s="267"/>
      <c r="BY483" s="267"/>
      <c r="BZ483" s="267"/>
      <c r="CA483" s="267"/>
      <c r="CB483" s="267"/>
      <c r="CC483" s="267"/>
      <c r="CD483" s="267"/>
      <c r="CE483" s="267"/>
      <c r="CF483" s="267"/>
      <c r="CG483" s="267"/>
      <c r="CH483" s="267"/>
      <c r="CI483" s="267"/>
      <c r="CJ483" s="267"/>
      <c r="CK483" s="267"/>
      <c r="CL483" s="267"/>
      <c r="CM483" s="267"/>
      <c r="CN483" s="267"/>
      <c r="CO483" s="267"/>
      <c r="CP483" s="267"/>
      <c r="CQ483" s="267"/>
      <c r="CR483" s="267"/>
      <c r="CS483" s="267"/>
      <c r="CT483" s="267"/>
      <c r="CU483" s="267"/>
      <c r="CV483" s="267"/>
      <c r="CW483" s="267"/>
      <c r="CX483" s="267"/>
      <c r="CY483" s="267"/>
      <c r="CZ483" s="267"/>
    </row>
    <row r="484" spans="2:104">
      <c r="B484" s="1235"/>
      <c r="C484" s="1235"/>
      <c r="D484" s="1235"/>
      <c r="E484" s="267"/>
      <c r="F484" s="267"/>
      <c r="G484" s="267"/>
      <c r="H484" s="267"/>
      <c r="I484" s="267"/>
      <c r="J484" s="267"/>
      <c r="K484" s="267"/>
      <c r="L484" s="267"/>
      <c r="M484" s="267"/>
      <c r="N484" s="267"/>
      <c r="O484" s="267"/>
      <c r="P484" s="267"/>
      <c r="Q484" s="267"/>
      <c r="R484" s="267"/>
      <c r="S484" s="267"/>
      <c r="T484" s="267"/>
      <c r="U484" s="267"/>
      <c r="V484" s="267"/>
      <c r="W484" s="267"/>
      <c r="X484" s="267"/>
      <c r="Y484" s="267"/>
      <c r="Z484" s="267"/>
      <c r="AA484" s="267"/>
      <c r="AB484" s="267"/>
      <c r="AC484" s="267"/>
      <c r="AD484" s="267"/>
      <c r="AE484" s="267"/>
      <c r="AF484" s="267"/>
      <c r="AG484" s="267"/>
      <c r="AH484" s="267"/>
      <c r="AI484" s="267"/>
      <c r="AJ484" s="267"/>
      <c r="AK484" s="267"/>
      <c r="AL484" s="267"/>
      <c r="AM484" s="267"/>
      <c r="AN484" s="267"/>
      <c r="AO484" s="267"/>
      <c r="AP484" s="267"/>
      <c r="AQ484" s="267"/>
      <c r="AR484" s="267"/>
      <c r="AS484" s="267"/>
      <c r="AT484" s="267"/>
      <c r="AU484" s="267"/>
      <c r="AV484" s="267"/>
      <c r="AW484" s="267"/>
      <c r="AX484" s="267"/>
      <c r="AY484" s="267"/>
      <c r="AZ484" s="267"/>
      <c r="BA484" s="267"/>
      <c r="BB484" s="267"/>
      <c r="BC484" s="267"/>
      <c r="BD484" s="267"/>
      <c r="BE484" s="267"/>
      <c r="BF484" s="267"/>
      <c r="BG484" s="267"/>
      <c r="BH484" s="267"/>
      <c r="BI484" s="267"/>
      <c r="BJ484" s="267"/>
      <c r="BK484" s="267"/>
      <c r="BL484" s="267"/>
      <c r="BM484" s="267"/>
      <c r="BN484" s="267"/>
      <c r="BO484" s="267"/>
      <c r="BP484" s="267"/>
      <c r="BQ484" s="267"/>
      <c r="BR484" s="267"/>
      <c r="BS484" s="267"/>
      <c r="BT484" s="267"/>
      <c r="BU484" s="267"/>
      <c r="BV484" s="267"/>
      <c r="BW484" s="267"/>
      <c r="BX484" s="267"/>
      <c r="BY484" s="267"/>
      <c r="BZ484" s="267"/>
      <c r="CA484" s="267"/>
      <c r="CB484" s="267"/>
      <c r="CC484" s="267"/>
      <c r="CD484" s="267"/>
      <c r="CE484" s="267"/>
      <c r="CF484" s="267"/>
      <c r="CG484" s="267"/>
      <c r="CH484" s="267"/>
      <c r="CI484" s="267"/>
      <c r="CJ484" s="267"/>
      <c r="CK484" s="267"/>
      <c r="CL484" s="267"/>
      <c r="CM484" s="267"/>
      <c r="CN484" s="267"/>
      <c r="CO484" s="267"/>
      <c r="CP484" s="267"/>
      <c r="CQ484" s="267"/>
      <c r="CR484" s="267"/>
      <c r="CS484" s="267"/>
      <c r="CT484" s="267"/>
      <c r="CU484" s="267"/>
      <c r="CV484" s="267"/>
      <c r="CW484" s="267"/>
      <c r="CX484" s="267"/>
      <c r="CY484" s="267"/>
      <c r="CZ484" s="267"/>
    </row>
    <row r="485" spans="2:104">
      <c r="B485" s="1235"/>
      <c r="C485" s="1235"/>
      <c r="D485" s="1235"/>
      <c r="E485" s="267"/>
      <c r="F485" s="267"/>
      <c r="G485" s="267"/>
      <c r="H485" s="267"/>
      <c r="I485" s="267"/>
      <c r="J485" s="267"/>
      <c r="K485" s="267"/>
      <c r="L485" s="267"/>
      <c r="M485" s="267"/>
      <c r="N485" s="267"/>
      <c r="O485" s="267"/>
      <c r="P485" s="267"/>
      <c r="Q485" s="267"/>
      <c r="R485" s="267"/>
      <c r="S485" s="267"/>
      <c r="T485" s="267"/>
      <c r="U485" s="267"/>
      <c r="V485" s="267"/>
      <c r="W485" s="267"/>
      <c r="X485" s="267"/>
      <c r="Y485" s="267"/>
      <c r="Z485" s="267"/>
      <c r="AA485" s="267"/>
      <c r="AB485" s="267"/>
      <c r="AC485" s="267"/>
      <c r="AD485" s="267"/>
      <c r="AE485" s="267"/>
      <c r="AF485" s="267"/>
      <c r="AG485" s="267"/>
      <c r="AH485" s="267"/>
      <c r="AI485" s="267"/>
      <c r="AJ485" s="267"/>
      <c r="AK485" s="267"/>
      <c r="AL485" s="267"/>
      <c r="AM485" s="267"/>
      <c r="AN485" s="267"/>
      <c r="AO485" s="267"/>
      <c r="AP485" s="267"/>
      <c r="AQ485" s="267"/>
      <c r="AR485" s="267"/>
      <c r="AS485" s="267"/>
      <c r="AT485" s="267"/>
      <c r="AU485" s="267"/>
      <c r="AV485" s="267"/>
      <c r="AW485" s="267"/>
      <c r="AX485" s="267"/>
      <c r="AY485" s="267"/>
      <c r="AZ485" s="267"/>
      <c r="BA485" s="267"/>
      <c r="BB485" s="267"/>
      <c r="BC485" s="267"/>
      <c r="BD485" s="267"/>
      <c r="BE485" s="267"/>
      <c r="BF485" s="267"/>
      <c r="BG485" s="267"/>
      <c r="BH485" s="267"/>
      <c r="BI485" s="267"/>
      <c r="BJ485" s="267"/>
      <c r="BK485" s="267"/>
      <c r="BL485" s="267"/>
      <c r="BM485" s="267"/>
      <c r="BN485" s="267"/>
      <c r="BO485" s="267"/>
      <c r="BP485" s="267"/>
      <c r="BQ485" s="267"/>
      <c r="BR485" s="267"/>
      <c r="BS485" s="267"/>
      <c r="BT485" s="267"/>
      <c r="BU485" s="267"/>
      <c r="BV485" s="267"/>
      <c r="BW485" s="267"/>
      <c r="BX485" s="267"/>
      <c r="BY485" s="267"/>
      <c r="BZ485" s="267"/>
      <c r="CA485" s="267"/>
      <c r="CB485" s="267"/>
      <c r="CC485" s="267"/>
      <c r="CD485" s="267"/>
      <c r="CE485" s="267"/>
      <c r="CF485" s="267"/>
      <c r="CG485" s="267"/>
      <c r="CH485" s="267"/>
      <c r="CI485" s="267"/>
      <c r="CJ485" s="267"/>
      <c r="CK485" s="267"/>
      <c r="CL485" s="267"/>
      <c r="CM485" s="267"/>
      <c r="CN485" s="267"/>
      <c r="CO485" s="267"/>
      <c r="CP485" s="267"/>
      <c r="CQ485" s="267"/>
      <c r="CR485" s="267"/>
      <c r="CS485" s="267"/>
      <c r="CT485" s="267"/>
      <c r="CU485" s="267"/>
      <c r="CV485" s="267"/>
      <c r="CW485" s="267"/>
      <c r="CX485" s="267"/>
      <c r="CY485" s="267"/>
      <c r="CZ485" s="267"/>
    </row>
    <row r="486" spans="2:104">
      <c r="B486" s="1235"/>
      <c r="C486" s="1235"/>
      <c r="D486" s="1235"/>
      <c r="E486" s="267"/>
      <c r="F486" s="267"/>
      <c r="G486" s="267"/>
      <c r="H486" s="267"/>
      <c r="I486" s="267"/>
      <c r="J486" s="267"/>
      <c r="K486" s="267"/>
      <c r="L486" s="267"/>
      <c r="M486" s="267"/>
      <c r="N486" s="267"/>
      <c r="O486" s="267"/>
      <c r="P486" s="267"/>
      <c r="Q486" s="267"/>
      <c r="R486" s="267"/>
      <c r="S486" s="267"/>
      <c r="T486" s="267"/>
      <c r="U486" s="267"/>
      <c r="V486" s="267"/>
      <c r="W486" s="267"/>
      <c r="X486" s="267"/>
      <c r="Y486" s="267"/>
      <c r="Z486" s="267"/>
      <c r="AA486" s="267"/>
      <c r="AB486" s="267"/>
      <c r="AC486" s="267"/>
      <c r="AD486" s="267"/>
      <c r="AE486" s="267"/>
      <c r="AF486" s="267"/>
      <c r="AG486" s="267"/>
      <c r="AH486" s="267"/>
      <c r="AI486" s="267"/>
      <c r="AJ486" s="267"/>
      <c r="AK486" s="267"/>
      <c r="AL486" s="267"/>
      <c r="AM486" s="267"/>
      <c r="AN486" s="267"/>
      <c r="AO486" s="267"/>
      <c r="AP486" s="267"/>
      <c r="AQ486" s="267"/>
      <c r="AR486" s="267"/>
      <c r="AS486" s="267"/>
      <c r="AT486" s="267"/>
      <c r="AU486" s="267"/>
      <c r="AV486" s="267"/>
      <c r="AW486" s="267"/>
      <c r="AX486" s="267"/>
      <c r="AY486" s="267"/>
      <c r="AZ486" s="267"/>
      <c r="BA486" s="267"/>
      <c r="BB486" s="267"/>
      <c r="BC486" s="267"/>
      <c r="BD486" s="267"/>
      <c r="BE486" s="267"/>
      <c r="BF486" s="267"/>
      <c r="BG486" s="267"/>
      <c r="BH486" s="267"/>
      <c r="BI486" s="267"/>
      <c r="BJ486" s="267"/>
      <c r="BK486" s="267"/>
      <c r="BL486" s="267"/>
      <c r="BM486" s="267"/>
      <c r="BN486" s="267"/>
      <c r="BO486" s="267"/>
      <c r="BP486" s="267"/>
      <c r="BQ486" s="267"/>
      <c r="BR486" s="267"/>
      <c r="BS486" s="267"/>
      <c r="BT486" s="267"/>
      <c r="BU486" s="267"/>
      <c r="BV486" s="267"/>
      <c r="BW486" s="267"/>
      <c r="BX486" s="267"/>
      <c r="BY486" s="267"/>
      <c r="BZ486" s="267"/>
      <c r="CA486" s="267"/>
      <c r="CB486" s="267"/>
      <c r="CC486" s="267"/>
      <c r="CD486" s="267"/>
      <c r="CE486" s="267"/>
      <c r="CF486" s="267"/>
      <c r="CG486" s="267"/>
      <c r="CH486" s="267"/>
      <c r="CI486" s="267"/>
      <c r="CJ486" s="267"/>
      <c r="CK486" s="267"/>
      <c r="CL486" s="267"/>
      <c r="CM486" s="267"/>
      <c r="CN486" s="267"/>
      <c r="CO486" s="267"/>
      <c r="CP486" s="267"/>
      <c r="CQ486" s="267"/>
      <c r="CR486" s="267"/>
      <c r="CS486" s="267"/>
      <c r="CT486" s="267"/>
      <c r="CU486" s="267"/>
      <c r="CV486" s="267"/>
      <c r="CW486" s="267"/>
      <c r="CX486" s="267"/>
      <c r="CY486" s="267"/>
      <c r="CZ486" s="267"/>
    </row>
    <row r="487" spans="2:104">
      <c r="B487" s="1235"/>
      <c r="C487" s="1235"/>
      <c r="D487" s="1235"/>
      <c r="E487" s="267"/>
      <c r="F487" s="267"/>
      <c r="G487" s="267"/>
      <c r="H487" s="267"/>
      <c r="I487" s="267"/>
      <c r="J487" s="267"/>
      <c r="K487" s="267"/>
      <c r="L487" s="267"/>
      <c r="M487" s="267"/>
      <c r="N487" s="267"/>
      <c r="O487" s="267"/>
      <c r="P487" s="267"/>
      <c r="Q487" s="267"/>
      <c r="R487" s="267"/>
      <c r="S487" s="267"/>
      <c r="T487" s="267"/>
      <c r="U487" s="267"/>
      <c r="V487" s="267"/>
      <c r="W487" s="267"/>
      <c r="X487" s="267"/>
      <c r="Y487" s="267"/>
      <c r="Z487" s="267"/>
      <c r="AA487" s="267"/>
      <c r="AB487" s="267"/>
      <c r="AC487" s="267"/>
      <c r="AD487" s="267"/>
      <c r="AE487" s="267"/>
      <c r="AF487" s="267"/>
      <c r="AG487" s="267"/>
      <c r="AH487" s="267"/>
      <c r="AI487" s="267"/>
      <c r="AJ487" s="267"/>
      <c r="AK487" s="267"/>
      <c r="AL487" s="267"/>
      <c r="AM487" s="267"/>
      <c r="AN487" s="267"/>
      <c r="AO487" s="267"/>
      <c r="AP487" s="267"/>
      <c r="AQ487" s="267"/>
      <c r="AR487" s="267"/>
      <c r="AS487" s="267"/>
      <c r="AT487" s="267"/>
      <c r="AU487" s="267"/>
      <c r="AV487" s="267"/>
      <c r="AW487" s="267"/>
      <c r="AX487" s="267"/>
      <c r="AY487" s="267"/>
      <c r="AZ487" s="267"/>
      <c r="BA487" s="267"/>
      <c r="BB487" s="267"/>
      <c r="BC487" s="267"/>
      <c r="BD487" s="267"/>
      <c r="BE487" s="267"/>
      <c r="BF487" s="267"/>
      <c r="BG487" s="267"/>
      <c r="BH487" s="267"/>
      <c r="BI487" s="267"/>
      <c r="BJ487" s="267"/>
      <c r="BK487" s="267"/>
      <c r="BL487" s="267"/>
      <c r="BM487" s="267"/>
      <c r="BN487" s="267"/>
      <c r="BO487" s="267"/>
      <c r="BP487" s="267"/>
      <c r="BQ487" s="267"/>
      <c r="BR487" s="267"/>
      <c r="BS487" s="267"/>
      <c r="BT487" s="267"/>
      <c r="BU487" s="267"/>
      <c r="BV487" s="267"/>
      <c r="BW487" s="267"/>
      <c r="BX487" s="267"/>
      <c r="BY487" s="267"/>
      <c r="BZ487" s="267"/>
      <c r="CA487" s="267"/>
      <c r="CB487" s="267"/>
      <c r="CC487" s="267"/>
      <c r="CD487" s="267"/>
      <c r="CE487" s="267"/>
      <c r="CF487" s="267"/>
      <c r="CG487" s="267"/>
      <c r="CH487" s="267"/>
      <c r="CI487" s="267"/>
      <c r="CJ487" s="267"/>
      <c r="CK487" s="267"/>
      <c r="CL487" s="267"/>
      <c r="CM487" s="267"/>
      <c r="CN487" s="267"/>
      <c r="CO487" s="267"/>
      <c r="CP487" s="267"/>
      <c r="CQ487" s="267"/>
      <c r="CR487" s="267"/>
      <c r="CS487" s="267"/>
      <c r="CT487" s="267"/>
      <c r="CU487" s="267"/>
      <c r="CV487" s="267"/>
      <c r="CW487" s="267"/>
      <c r="CX487" s="267"/>
      <c r="CY487" s="267"/>
      <c r="CZ487" s="267"/>
    </row>
    <row r="488" spans="2:104">
      <c r="B488" s="1235"/>
      <c r="C488" s="1235"/>
      <c r="D488" s="1235"/>
      <c r="E488" s="267"/>
      <c r="F488" s="267"/>
      <c r="G488" s="267"/>
      <c r="H488" s="267"/>
      <c r="I488" s="267"/>
      <c r="J488" s="267"/>
      <c r="K488" s="267"/>
      <c r="L488" s="267"/>
      <c r="M488" s="267"/>
      <c r="N488" s="267"/>
      <c r="O488" s="267"/>
      <c r="P488" s="267"/>
      <c r="Q488" s="267"/>
      <c r="R488" s="267"/>
      <c r="S488" s="267"/>
      <c r="T488" s="267"/>
      <c r="U488" s="267"/>
      <c r="V488" s="267"/>
      <c r="W488" s="267"/>
      <c r="X488" s="267"/>
      <c r="Y488" s="267"/>
      <c r="Z488" s="267"/>
      <c r="AA488" s="267"/>
      <c r="AB488" s="267"/>
      <c r="AC488" s="267"/>
      <c r="AD488" s="267"/>
      <c r="AE488" s="267"/>
      <c r="AF488" s="267"/>
      <c r="AG488" s="267"/>
      <c r="AH488" s="267"/>
      <c r="AI488" s="267"/>
      <c r="AJ488" s="267"/>
      <c r="AK488" s="267"/>
      <c r="AL488" s="267"/>
      <c r="AM488" s="267"/>
      <c r="AN488" s="267"/>
      <c r="AO488" s="267"/>
      <c r="AP488" s="267"/>
      <c r="AQ488" s="267"/>
      <c r="AR488" s="267"/>
      <c r="AS488" s="267"/>
      <c r="AT488" s="267"/>
      <c r="AU488" s="267"/>
      <c r="AV488" s="267"/>
      <c r="AW488" s="267"/>
      <c r="AX488" s="267"/>
      <c r="AY488" s="267"/>
      <c r="AZ488" s="267"/>
      <c r="BA488" s="267"/>
      <c r="BB488" s="267"/>
      <c r="BC488" s="267"/>
      <c r="BD488" s="267"/>
      <c r="BE488" s="267"/>
      <c r="BF488" s="267"/>
      <c r="BG488" s="267"/>
      <c r="BH488" s="267"/>
      <c r="BI488" s="267"/>
      <c r="BJ488" s="267"/>
      <c r="BK488" s="267"/>
      <c r="BL488" s="267"/>
      <c r="BM488" s="267"/>
      <c r="BN488" s="267"/>
      <c r="BO488" s="267"/>
      <c r="BP488" s="267"/>
      <c r="BQ488" s="267"/>
      <c r="BR488" s="267"/>
      <c r="BS488" s="267"/>
      <c r="BT488" s="267"/>
      <c r="BU488" s="267"/>
      <c r="BV488" s="267"/>
      <c r="BW488" s="267"/>
      <c r="BX488" s="267"/>
      <c r="BY488" s="267"/>
      <c r="BZ488" s="267"/>
      <c r="CA488" s="267"/>
      <c r="CB488" s="267"/>
      <c r="CC488" s="267"/>
      <c r="CD488" s="267"/>
      <c r="CE488" s="267"/>
      <c r="CF488" s="267"/>
      <c r="CG488" s="267"/>
      <c r="CH488" s="267"/>
      <c r="CI488" s="267"/>
      <c r="CJ488" s="267"/>
      <c r="CK488" s="267"/>
      <c r="CL488" s="267"/>
      <c r="CM488" s="267"/>
      <c r="CN488" s="267"/>
      <c r="CO488" s="267"/>
      <c r="CP488" s="267"/>
      <c r="CQ488" s="267"/>
      <c r="CR488" s="267"/>
      <c r="CS488" s="267"/>
      <c r="CT488" s="267"/>
      <c r="CU488" s="267"/>
      <c r="CV488" s="267"/>
      <c r="CW488" s="267"/>
      <c r="CX488" s="267"/>
      <c r="CY488" s="267"/>
      <c r="CZ488" s="267"/>
    </row>
    <row r="489" spans="2:104">
      <c r="B489" s="1235"/>
      <c r="C489" s="1235"/>
      <c r="D489" s="1235"/>
      <c r="E489" s="267"/>
      <c r="F489" s="267"/>
      <c r="G489" s="267"/>
      <c r="H489" s="267"/>
      <c r="I489" s="267"/>
      <c r="J489" s="267"/>
      <c r="K489" s="267"/>
      <c r="L489" s="267"/>
      <c r="M489" s="267"/>
      <c r="N489" s="267"/>
      <c r="O489" s="267"/>
      <c r="P489" s="267"/>
      <c r="Q489" s="267"/>
      <c r="R489" s="267"/>
      <c r="S489" s="267"/>
      <c r="T489" s="267"/>
      <c r="U489" s="267"/>
      <c r="V489" s="267"/>
      <c r="W489" s="267"/>
      <c r="X489" s="267"/>
      <c r="Y489" s="267"/>
      <c r="Z489" s="267"/>
      <c r="AA489" s="267"/>
      <c r="AB489" s="267"/>
      <c r="AC489" s="267"/>
      <c r="AD489" s="267"/>
      <c r="AE489" s="267"/>
      <c r="AF489" s="267"/>
      <c r="AG489" s="267"/>
      <c r="AH489" s="267"/>
      <c r="AI489" s="267"/>
      <c r="AJ489" s="267"/>
      <c r="AK489" s="267"/>
      <c r="AL489" s="267"/>
      <c r="AM489" s="267"/>
      <c r="AN489" s="267"/>
      <c r="AO489" s="267"/>
      <c r="AP489" s="267"/>
      <c r="AQ489" s="267"/>
      <c r="AR489" s="267"/>
      <c r="AS489" s="267"/>
      <c r="AT489" s="267"/>
      <c r="AU489" s="267"/>
      <c r="AV489" s="267"/>
      <c r="AW489" s="267"/>
      <c r="AX489" s="267"/>
      <c r="AY489" s="267"/>
      <c r="AZ489" s="267"/>
      <c r="BA489" s="267"/>
      <c r="BB489" s="267"/>
      <c r="BC489" s="267"/>
      <c r="BD489" s="267"/>
      <c r="BE489" s="267"/>
      <c r="BF489" s="267"/>
      <c r="BG489" s="267"/>
      <c r="BH489" s="267"/>
      <c r="BI489" s="267"/>
      <c r="BJ489" s="267"/>
      <c r="BK489" s="267"/>
      <c r="BL489" s="267"/>
      <c r="BM489" s="267"/>
      <c r="BN489" s="267"/>
      <c r="BO489" s="267"/>
      <c r="BP489" s="267"/>
      <c r="BQ489" s="267"/>
      <c r="BR489" s="267"/>
      <c r="BS489" s="267"/>
      <c r="BT489" s="267"/>
      <c r="BU489" s="267"/>
      <c r="BV489" s="267"/>
      <c r="BW489" s="267"/>
      <c r="BX489" s="267"/>
      <c r="BY489" s="267"/>
      <c r="BZ489" s="267"/>
      <c r="CA489" s="267"/>
      <c r="CB489" s="267"/>
      <c r="CC489" s="267"/>
      <c r="CD489" s="267"/>
      <c r="CE489" s="267"/>
      <c r="CF489" s="267"/>
      <c r="CG489" s="267"/>
      <c r="CH489" s="267"/>
      <c r="CI489" s="267"/>
      <c r="CJ489" s="267"/>
      <c r="CK489" s="267"/>
      <c r="CL489" s="267"/>
      <c r="CM489" s="267"/>
      <c r="CN489" s="267"/>
      <c r="CO489" s="267"/>
      <c r="CP489" s="267"/>
      <c r="CQ489" s="267"/>
      <c r="CR489" s="267"/>
      <c r="CS489" s="267"/>
      <c r="CT489" s="267"/>
      <c r="CU489" s="267"/>
      <c r="CV489" s="267"/>
      <c r="CW489" s="267"/>
      <c r="CX489" s="267"/>
      <c r="CY489" s="267"/>
      <c r="CZ489" s="267"/>
    </row>
    <row r="490" spans="2:104">
      <c r="B490" s="1235"/>
      <c r="C490" s="1235"/>
      <c r="D490" s="1235"/>
      <c r="E490" s="267"/>
      <c r="F490" s="267"/>
      <c r="G490" s="267"/>
      <c r="H490" s="267"/>
      <c r="I490" s="267"/>
      <c r="J490" s="267"/>
      <c r="K490" s="267"/>
      <c r="L490" s="267"/>
      <c r="M490" s="267"/>
      <c r="N490" s="267"/>
      <c r="O490" s="267"/>
      <c r="P490" s="267"/>
      <c r="Q490" s="267"/>
      <c r="R490" s="267"/>
      <c r="S490" s="267"/>
      <c r="T490" s="267"/>
      <c r="U490" s="267"/>
      <c r="V490" s="267"/>
      <c r="W490" s="267"/>
      <c r="X490" s="267"/>
      <c r="Y490" s="267"/>
      <c r="Z490" s="267"/>
      <c r="AA490" s="267"/>
      <c r="AB490" s="267"/>
      <c r="AC490" s="267"/>
      <c r="AD490" s="267"/>
      <c r="AE490" s="267"/>
      <c r="AF490" s="267"/>
      <c r="AG490" s="267"/>
      <c r="AH490" s="267"/>
      <c r="AI490" s="267"/>
      <c r="AJ490" s="267"/>
      <c r="AK490" s="267"/>
      <c r="AL490" s="267"/>
      <c r="AM490" s="267"/>
      <c r="AN490" s="267"/>
      <c r="AO490" s="267"/>
      <c r="AP490" s="267"/>
      <c r="AQ490" s="267"/>
      <c r="AR490" s="267"/>
      <c r="AS490" s="267"/>
      <c r="AT490" s="267"/>
      <c r="AU490" s="267"/>
      <c r="AV490" s="267"/>
      <c r="AW490" s="267"/>
      <c r="AX490" s="267"/>
      <c r="AY490" s="267"/>
      <c r="AZ490" s="267"/>
      <c r="BA490" s="267"/>
      <c r="BB490" s="267"/>
      <c r="BC490" s="267"/>
      <c r="BD490" s="267"/>
      <c r="BE490" s="267"/>
      <c r="BF490" s="267"/>
      <c r="BG490" s="267"/>
      <c r="BH490" s="267"/>
      <c r="BI490" s="267"/>
      <c r="BJ490" s="267"/>
      <c r="BK490" s="267"/>
      <c r="BL490" s="267"/>
      <c r="BM490" s="267"/>
      <c r="BN490" s="267"/>
      <c r="BO490" s="267"/>
      <c r="BP490" s="267"/>
      <c r="BQ490" s="267"/>
      <c r="BR490" s="267"/>
      <c r="BS490" s="267"/>
      <c r="BT490" s="267"/>
      <c r="BU490" s="267"/>
      <c r="BV490" s="267"/>
      <c r="BW490" s="267"/>
      <c r="BX490" s="267"/>
      <c r="BY490" s="267"/>
      <c r="BZ490" s="267"/>
      <c r="CA490" s="267"/>
      <c r="CB490" s="267"/>
      <c r="CC490" s="267"/>
      <c r="CD490" s="267"/>
      <c r="CE490" s="267"/>
      <c r="CF490" s="267"/>
      <c r="CG490" s="267"/>
      <c r="CH490" s="267"/>
      <c r="CI490" s="267"/>
      <c r="CJ490" s="267"/>
      <c r="CK490" s="267"/>
      <c r="CL490" s="267"/>
      <c r="CM490" s="267"/>
      <c r="CN490" s="267"/>
      <c r="CO490" s="267"/>
      <c r="CP490" s="267"/>
      <c r="CQ490" s="267"/>
      <c r="CR490" s="267"/>
      <c r="CS490" s="267"/>
      <c r="CT490" s="267"/>
      <c r="CU490" s="267"/>
      <c r="CV490" s="267"/>
      <c r="CW490" s="267"/>
      <c r="CX490" s="267"/>
      <c r="CY490" s="267"/>
      <c r="CZ490" s="267"/>
    </row>
    <row r="491" spans="2:104">
      <c r="B491" s="1235"/>
      <c r="C491" s="1235"/>
      <c r="D491" s="1235"/>
      <c r="E491" s="267"/>
      <c r="F491" s="267"/>
      <c r="G491" s="267"/>
      <c r="H491" s="267"/>
      <c r="I491" s="267"/>
      <c r="J491" s="267"/>
      <c r="K491" s="267"/>
      <c r="L491" s="267"/>
      <c r="M491" s="267"/>
      <c r="N491" s="267"/>
      <c r="O491" s="267"/>
      <c r="P491" s="267"/>
      <c r="Q491" s="267"/>
      <c r="R491" s="267"/>
      <c r="S491" s="267"/>
      <c r="T491" s="267"/>
      <c r="U491" s="267"/>
      <c r="V491" s="267"/>
      <c r="W491" s="267"/>
      <c r="X491" s="267"/>
      <c r="Y491" s="267"/>
      <c r="Z491" s="267"/>
      <c r="AA491" s="267"/>
      <c r="AB491" s="267"/>
      <c r="AC491" s="267"/>
      <c r="AD491" s="267"/>
      <c r="AE491" s="267"/>
      <c r="AF491" s="267"/>
      <c r="AG491" s="267"/>
      <c r="AH491" s="267"/>
      <c r="AI491" s="267"/>
      <c r="AJ491" s="267"/>
      <c r="AK491" s="267"/>
      <c r="AL491" s="267"/>
      <c r="AM491" s="267"/>
      <c r="AN491" s="267"/>
      <c r="AO491" s="267"/>
      <c r="AP491" s="267"/>
      <c r="AQ491" s="267"/>
      <c r="AR491" s="267"/>
      <c r="AS491" s="267"/>
      <c r="AT491" s="267"/>
      <c r="AU491" s="267"/>
      <c r="AV491" s="267"/>
      <c r="AW491" s="267"/>
      <c r="AX491" s="267"/>
      <c r="AY491" s="267"/>
      <c r="AZ491" s="267"/>
      <c r="BA491" s="267"/>
      <c r="BB491" s="267"/>
      <c r="BC491" s="267"/>
      <c r="BD491" s="267"/>
      <c r="BE491" s="267"/>
      <c r="BF491" s="267"/>
      <c r="BG491" s="267"/>
      <c r="BH491" s="267"/>
      <c r="BI491" s="267"/>
      <c r="BJ491" s="267"/>
      <c r="BK491" s="267"/>
      <c r="BL491" s="267"/>
      <c r="BM491" s="267"/>
      <c r="BN491" s="267"/>
      <c r="BO491" s="267"/>
      <c r="BP491" s="267"/>
      <c r="BQ491" s="267"/>
      <c r="BR491" s="267"/>
      <c r="BS491" s="267"/>
      <c r="BT491" s="267"/>
      <c r="BU491" s="267"/>
      <c r="BV491" s="267"/>
      <c r="BW491" s="267"/>
      <c r="BX491" s="267"/>
      <c r="BY491" s="267"/>
      <c r="BZ491" s="267"/>
      <c r="CA491" s="267"/>
      <c r="CB491" s="267"/>
      <c r="CC491" s="267"/>
      <c r="CD491" s="267"/>
      <c r="CE491" s="267"/>
      <c r="CF491" s="267"/>
      <c r="CG491" s="267"/>
      <c r="CH491" s="267"/>
      <c r="CI491" s="267"/>
      <c r="CJ491" s="267"/>
      <c r="CK491" s="267"/>
      <c r="CL491" s="267"/>
      <c r="CM491" s="267"/>
      <c r="CN491" s="267"/>
      <c r="CO491" s="267"/>
      <c r="CP491" s="267"/>
      <c r="CQ491" s="267"/>
      <c r="CR491" s="267"/>
      <c r="CS491" s="267"/>
      <c r="CT491" s="267"/>
      <c r="CU491" s="267"/>
      <c r="CV491" s="267"/>
      <c r="CW491" s="267"/>
      <c r="CX491" s="267"/>
      <c r="CY491" s="267"/>
      <c r="CZ491" s="267"/>
    </row>
    <row r="492" spans="2:104">
      <c r="B492" s="1235"/>
      <c r="C492" s="1235"/>
      <c r="D492" s="1235"/>
      <c r="E492" s="267"/>
      <c r="F492" s="267"/>
      <c r="G492" s="267"/>
      <c r="H492" s="267"/>
      <c r="I492" s="267"/>
      <c r="J492" s="267"/>
      <c r="K492" s="267"/>
      <c r="L492" s="267"/>
      <c r="M492" s="267"/>
      <c r="N492" s="267"/>
      <c r="O492" s="267"/>
      <c r="P492" s="267"/>
      <c r="Q492" s="267"/>
      <c r="R492" s="267"/>
      <c r="S492" s="267"/>
      <c r="T492" s="267"/>
      <c r="U492" s="267"/>
      <c r="V492" s="267"/>
      <c r="W492" s="267"/>
      <c r="X492" s="267"/>
      <c r="Y492" s="267"/>
      <c r="Z492" s="267"/>
      <c r="AA492" s="267"/>
      <c r="AB492" s="267"/>
      <c r="AC492" s="267"/>
      <c r="AD492" s="267"/>
      <c r="AE492" s="267"/>
      <c r="AF492" s="267"/>
      <c r="AG492" s="267"/>
      <c r="AH492" s="267"/>
      <c r="AI492" s="267"/>
      <c r="AJ492" s="267"/>
      <c r="AK492" s="267"/>
      <c r="AL492" s="267"/>
      <c r="AM492" s="267"/>
      <c r="AN492" s="267"/>
      <c r="AO492" s="267"/>
      <c r="AP492" s="267"/>
      <c r="AQ492" s="267"/>
      <c r="AR492" s="267"/>
      <c r="AS492" s="267"/>
      <c r="AT492" s="267"/>
      <c r="AU492" s="267"/>
      <c r="AV492" s="267"/>
      <c r="AW492" s="267"/>
      <c r="AX492" s="267"/>
      <c r="AY492" s="267"/>
      <c r="AZ492" s="267"/>
      <c r="BA492" s="267"/>
      <c r="BB492" s="267"/>
      <c r="BC492" s="267"/>
      <c r="BD492" s="267"/>
      <c r="BE492" s="267"/>
      <c r="BF492" s="267"/>
      <c r="BG492" s="267"/>
      <c r="BH492" s="267"/>
      <c r="BI492" s="267"/>
      <c r="BJ492" s="267"/>
      <c r="BK492" s="267"/>
      <c r="BL492" s="267"/>
      <c r="BM492" s="267"/>
      <c r="BN492" s="267"/>
      <c r="BO492" s="267"/>
      <c r="BP492" s="267"/>
      <c r="BQ492" s="267"/>
      <c r="BR492" s="267"/>
      <c r="BS492" s="267"/>
      <c r="BT492" s="267"/>
      <c r="BU492" s="267"/>
      <c r="BV492" s="267"/>
      <c r="BW492" s="267"/>
      <c r="BX492" s="267"/>
      <c r="BY492" s="267"/>
      <c r="BZ492" s="267"/>
      <c r="CA492" s="267"/>
      <c r="CB492" s="267"/>
      <c r="CC492" s="267"/>
      <c r="CD492" s="267"/>
      <c r="CE492" s="267"/>
      <c r="CF492" s="267"/>
      <c r="CG492" s="267"/>
      <c r="CH492" s="267"/>
      <c r="CI492" s="267"/>
      <c r="CJ492" s="267"/>
      <c r="CK492" s="267"/>
      <c r="CL492" s="267"/>
      <c r="CM492" s="267"/>
      <c r="CN492" s="267"/>
      <c r="CO492" s="267"/>
      <c r="CP492" s="267"/>
      <c r="CQ492" s="267"/>
      <c r="CR492" s="267"/>
      <c r="CS492" s="267"/>
      <c r="CT492" s="267"/>
      <c r="CU492" s="267"/>
      <c r="CV492" s="267"/>
      <c r="CW492" s="267"/>
      <c r="CX492" s="267"/>
      <c r="CY492" s="267"/>
      <c r="CZ492" s="267"/>
    </row>
    <row r="493" spans="2:104">
      <c r="B493" s="1235"/>
      <c r="C493" s="1235"/>
      <c r="D493" s="1235"/>
      <c r="E493" s="267"/>
      <c r="F493" s="267"/>
      <c r="G493" s="267"/>
      <c r="H493" s="267"/>
      <c r="I493" s="267"/>
      <c r="J493" s="267"/>
      <c r="K493" s="267"/>
      <c r="L493" s="267"/>
      <c r="M493" s="267"/>
      <c r="N493" s="267"/>
      <c r="O493" s="267"/>
      <c r="P493" s="267"/>
      <c r="Q493" s="267"/>
      <c r="R493" s="267"/>
      <c r="S493" s="267"/>
      <c r="T493" s="267"/>
      <c r="U493" s="267"/>
      <c r="V493" s="267"/>
      <c r="W493" s="267"/>
      <c r="X493" s="267"/>
      <c r="Y493" s="267"/>
      <c r="Z493" s="267"/>
      <c r="AA493" s="267"/>
      <c r="AB493" s="267"/>
      <c r="AC493" s="267"/>
      <c r="AD493" s="267"/>
      <c r="AE493" s="267"/>
      <c r="AF493" s="267"/>
      <c r="AG493" s="267"/>
      <c r="AH493" s="267"/>
      <c r="AI493" s="267"/>
      <c r="AJ493" s="267"/>
      <c r="AK493" s="267"/>
      <c r="AL493" s="267"/>
      <c r="AM493" s="267"/>
      <c r="AN493" s="267"/>
      <c r="AO493" s="267"/>
      <c r="AP493" s="267"/>
      <c r="AQ493" s="267"/>
      <c r="AR493" s="267"/>
      <c r="AS493" s="267"/>
      <c r="AT493" s="267"/>
      <c r="AU493" s="267"/>
      <c r="AV493" s="267"/>
      <c r="AW493" s="267"/>
      <c r="AX493" s="267"/>
      <c r="AY493" s="267"/>
      <c r="AZ493" s="267"/>
      <c r="BA493" s="267"/>
      <c r="BB493" s="267"/>
      <c r="BC493" s="267"/>
      <c r="BD493" s="267"/>
      <c r="BE493" s="267"/>
      <c r="BF493" s="267"/>
      <c r="BG493" s="267"/>
      <c r="BH493" s="267"/>
      <c r="BI493" s="267"/>
      <c r="BJ493" s="267"/>
      <c r="BK493" s="267"/>
      <c r="BL493" s="267"/>
      <c r="BM493" s="267"/>
      <c r="BN493" s="267"/>
      <c r="BO493" s="267"/>
      <c r="BP493" s="267"/>
      <c r="BQ493" s="267"/>
      <c r="BR493" s="267"/>
      <c r="BS493" s="267"/>
      <c r="BT493" s="267"/>
      <c r="BU493" s="267"/>
      <c r="BV493" s="267"/>
      <c r="BW493" s="267"/>
      <c r="BX493" s="267"/>
      <c r="BY493" s="267"/>
      <c r="BZ493" s="267"/>
      <c r="CA493" s="267"/>
      <c r="CB493" s="267"/>
      <c r="CC493" s="267"/>
      <c r="CD493" s="267"/>
      <c r="CE493" s="267"/>
      <c r="CF493" s="267"/>
      <c r="CG493" s="267"/>
      <c r="CH493" s="267"/>
      <c r="CI493" s="267"/>
      <c r="CJ493" s="267"/>
      <c r="CK493" s="267"/>
      <c r="CL493" s="267"/>
      <c r="CM493" s="267"/>
      <c r="CN493" s="267"/>
      <c r="CO493" s="267"/>
      <c r="CP493" s="267"/>
      <c r="CQ493" s="267"/>
      <c r="CR493" s="267"/>
      <c r="CS493" s="267"/>
      <c r="CT493" s="267"/>
      <c r="CU493" s="267"/>
      <c r="CV493" s="267"/>
      <c r="CW493" s="267"/>
      <c r="CX493" s="267"/>
      <c r="CY493" s="267"/>
      <c r="CZ493" s="267"/>
    </row>
    <row r="494" spans="2:104">
      <c r="B494" s="1235"/>
      <c r="C494" s="1235"/>
      <c r="D494" s="1235"/>
      <c r="E494" s="267"/>
      <c r="F494" s="267"/>
      <c r="G494" s="267"/>
      <c r="H494" s="267"/>
      <c r="I494" s="267"/>
      <c r="J494" s="267"/>
      <c r="K494" s="267"/>
      <c r="L494" s="267"/>
      <c r="M494" s="267"/>
      <c r="N494" s="267"/>
      <c r="O494" s="267"/>
      <c r="P494" s="267"/>
      <c r="Q494" s="267"/>
      <c r="R494" s="267"/>
      <c r="S494" s="267"/>
      <c r="T494" s="267"/>
      <c r="U494" s="267"/>
      <c r="V494" s="267"/>
      <c r="W494" s="267"/>
      <c r="X494" s="267"/>
      <c r="Y494" s="267"/>
      <c r="Z494" s="267"/>
      <c r="AA494" s="267"/>
      <c r="AB494" s="267"/>
      <c r="AC494" s="267"/>
      <c r="AD494" s="267"/>
      <c r="AE494" s="267"/>
      <c r="AF494" s="267"/>
      <c r="AG494" s="267"/>
      <c r="AH494" s="267"/>
      <c r="AI494" s="267"/>
      <c r="AJ494" s="267"/>
      <c r="AK494" s="267"/>
      <c r="AL494" s="267"/>
      <c r="AM494" s="267"/>
      <c r="AN494" s="267"/>
      <c r="AO494" s="267"/>
      <c r="AP494" s="267"/>
      <c r="AQ494" s="267"/>
      <c r="AR494" s="267"/>
      <c r="AS494" s="267"/>
      <c r="AT494" s="267"/>
      <c r="AU494" s="267"/>
      <c r="AV494" s="267"/>
      <c r="AW494" s="267"/>
      <c r="AX494" s="267"/>
      <c r="AY494" s="267"/>
      <c r="AZ494" s="267"/>
      <c r="BA494" s="267"/>
      <c r="BB494" s="267"/>
      <c r="BC494" s="267"/>
      <c r="BD494" s="267"/>
      <c r="BE494" s="267"/>
      <c r="BF494" s="267"/>
      <c r="BG494" s="267"/>
      <c r="BH494" s="267"/>
      <c r="BI494" s="267"/>
      <c r="BJ494" s="267"/>
      <c r="BK494" s="267"/>
      <c r="BL494" s="267"/>
      <c r="BM494" s="267"/>
      <c r="BN494" s="267"/>
      <c r="BO494" s="267"/>
      <c r="BP494" s="267"/>
      <c r="BQ494" s="267"/>
      <c r="BR494" s="267"/>
      <c r="BS494" s="267"/>
      <c r="BT494" s="267"/>
      <c r="BU494" s="267"/>
      <c r="BV494" s="267"/>
      <c r="BW494" s="267"/>
      <c r="BX494" s="267"/>
      <c r="BY494" s="267"/>
      <c r="BZ494" s="267"/>
      <c r="CA494" s="267"/>
      <c r="CB494" s="267"/>
      <c r="CC494" s="267"/>
      <c r="CD494" s="267"/>
      <c r="CE494" s="267"/>
      <c r="CF494" s="267"/>
      <c r="CG494" s="267"/>
      <c r="CH494" s="267"/>
      <c r="CI494" s="267"/>
      <c r="CJ494" s="267"/>
      <c r="CK494" s="267"/>
      <c r="CL494" s="267"/>
      <c r="CM494" s="267"/>
      <c r="CN494" s="267"/>
      <c r="CO494" s="267"/>
      <c r="CP494" s="267"/>
      <c r="CQ494" s="267"/>
      <c r="CR494" s="267"/>
      <c r="CS494" s="267"/>
      <c r="CT494" s="267"/>
      <c r="CU494" s="267"/>
      <c r="CV494" s="267"/>
      <c r="CW494" s="267"/>
      <c r="CX494" s="267"/>
      <c r="CY494" s="267"/>
      <c r="CZ494" s="267"/>
    </row>
    <row r="495" spans="2:104">
      <c r="B495" s="1235"/>
      <c r="C495" s="1235"/>
      <c r="D495" s="1235"/>
      <c r="E495" s="267"/>
      <c r="F495" s="267"/>
      <c r="G495" s="267"/>
      <c r="H495" s="267"/>
      <c r="I495" s="267"/>
      <c r="J495" s="267"/>
      <c r="K495" s="267"/>
      <c r="L495" s="267"/>
      <c r="M495" s="267"/>
      <c r="N495" s="267"/>
      <c r="O495" s="267"/>
      <c r="P495" s="267"/>
      <c r="Q495" s="267"/>
      <c r="R495" s="267"/>
      <c r="S495" s="267"/>
      <c r="T495" s="267"/>
      <c r="U495" s="267"/>
      <c r="V495" s="267"/>
      <c r="W495" s="267"/>
      <c r="X495" s="267"/>
      <c r="Y495" s="267"/>
      <c r="Z495" s="267"/>
      <c r="AA495" s="267"/>
      <c r="AB495" s="267"/>
      <c r="AC495" s="267"/>
      <c r="AD495" s="267"/>
      <c r="AE495" s="267"/>
      <c r="AF495" s="267"/>
      <c r="AG495" s="267"/>
      <c r="AH495" s="267"/>
      <c r="AI495" s="267"/>
      <c r="AJ495" s="267"/>
      <c r="AK495" s="267"/>
      <c r="AL495" s="267"/>
      <c r="AM495" s="267"/>
      <c r="AN495" s="267"/>
      <c r="AO495" s="267"/>
      <c r="AP495" s="267"/>
      <c r="AQ495" s="267"/>
      <c r="AR495" s="267"/>
      <c r="AS495" s="267"/>
      <c r="AT495" s="267"/>
      <c r="AU495" s="267"/>
      <c r="AV495" s="267"/>
      <c r="AW495" s="267"/>
      <c r="AX495" s="267"/>
      <c r="AY495" s="267"/>
      <c r="AZ495" s="267"/>
      <c r="BA495" s="267"/>
      <c r="BB495" s="267"/>
      <c r="BC495" s="267"/>
      <c r="BD495" s="267"/>
      <c r="BE495" s="267"/>
      <c r="BF495" s="267"/>
      <c r="BG495" s="267"/>
      <c r="BH495" s="267"/>
      <c r="BI495" s="267"/>
      <c r="BJ495" s="267"/>
      <c r="BK495" s="267"/>
      <c r="BL495" s="267"/>
      <c r="BM495" s="267"/>
      <c r="BN495" s="267"/>
      <c r="BO495" s="267"/>
      <c r="BP495" s="267"/>
      <c r="BQ495" s="267"/>
      <c r="BR495" s="267"/>
      <c r="BS495" s="267"/>
      <c r="BT495" s="267"/>
      <c r="BU495" s="267"/>
      <c r="BV495" s="267"/>
      <c r="BW495" s="267"/>
      <c r="BX495" s="267"/>
      <c r="BY495" s="267"/>
      <c r="BZ495" s="267"/>
      <c r="CA495" s="267"/>
      <c r="CB495" s="267"/>
      <c r="CC495" s="267"/>
      <c r="CD495" s="267"/>
      <c r="CE495" s="267"/>
      <c r="CF495" s="267"/>
      <c r="CG495" s="267"/>
      <c r="CH495" s="267"/>
      <c r="CI495" s="267"/>
      <c r="CJ495" s="267"/>
      <c r="CK495" s="267"/>
      <c r="CL495" s="267"/>
      <c r="CM495" s="267"/>
      <c r="CN495" s="267"/>
      <c r="CO495" s="267"/>
      <c r="CP495" s="267"/>
      <c r="CQ495" s="267"/>
      <c r="CR495" s="267"/>
      <c r="CS495" s="267"/>
      <c r="CT495" s="267"/>
      <c r="CU495" s="267"/>
      <c r="CV495" s="267"/>
      <c r="CW495" s="267"/>
      <c r="CX495" s="267"/>
      <c r="CY495" s="267"/>
      <c r="CZ495" s="267"/>
    </row>
    <row r="496" spans="2:104">
      <c r="B496" s="1235"/>
      <c r="C496" s="1235"/>
      <c r="D496" s="1235"/>
      <c r="E496" s="267"/>
      <c r="F496" s="267"/>
      <c r="G496" s="267"/>
      <c r="H496" s="267"/>
      <c r="I496" s="267"/>
      <c r="J496" s="267"/>
      <c r="K496" s="267"/>
      <c r="L496" s="267"/>
      <c r="M496" s="267"/>
      <c r="N496" s="267"/>
      <c r="O496" s="267"/>
      <c r="P496" s="267"/>
      <c r="Q496" s="267"/>
      <c r="R496" s="267"/>
      <c r="S496" s="267"/>
      <c r="T496" s="267"/>
      <c r="U496" s="267"/>
      <c r="V496" s="267"/>
      <c r="W496" s="267"/>
      <c r="X496" s="267"/>
      <c r="Y496" s="267"/>
      <c r="Z496" s="267"/>
      <c r="AA496" s="267"/>
      <c r="AB496" s="267"/>
      <c r="AC496" s="267"/>
      <c r="AD496" s="267"/>
      <c r="AE496" s="267"/>
      <c r="AF496" s="267"/>
      <c r="AG496" s="267"/>
      <c r="AH496" s="267"/>
      <c r="AI496" s="267"/>
      <c r="AJ496" s="267"/>
      <c r="AK496" s="267"/>
      <c r="AL496" s="267"/>
      <c r="AM496" s="267"/>
      <c r="AN496" s="267"/>
      <c r="AO496" s="267"/>
      <c r="AP496" s="267"/>
      <c r="AQ496" s="267"/>
      <c r="AR496" s="267"/>
      <c r="AS496" s="267"/>
      <c r="AT496" s="267"/>
      <c r="AU496" s="267"/>
      <c r="AV496" s="267"/>
      <c r="AW496" s="267"/>
      <c r="AX496" s="267"/>
      <c r="AY496" s="267"/>
      <c r="AZ496" s="267"/>
      <c r="BA496" s="267"/>
      <c r="BB496" s="267"/>
      <c r="BC496" s="267"/>
      <c r="BD496" s="267"/>
      <c r="BE496" s="267"/>
      <c r="BF496" s="267"/>
      <c r="BG496" s="267"/>
      <c r="BH496" s="267"/>
      <c r="BI496" s="267"/>
      <c r="BJ496" s="267"/>
      <c r="BK496" s="267"/>
      <c r="BL496" s="267"/>
      <c r="BM496" s="267"/>
      <c r="BN496" s="267"/>
      <c r="BO496" s="267"/>
      <c r="BP496" s="267"/>
      <c r="BQ496" s="267"/>
      <c r="BR496" s="267"/>
      <c r="BS496" s="267"/>
      <c r="BT496" s="267"/>
      <c r="BU496" s="267"/>
      <c r="BV496" s="267"/>
      <c r="BW496" s="267"/>
      <c r="BX496" s="267"/>
      <c r="BY496" s="267"/>
      <c r="BZ496" s="267"/>
      <c r="CA496" s="267"/>
      <c r="CB496" s="267"/>
      <c r="CC496" s="267"/>
      <c r="CD496" s="267"/>
      <c r="CE496" s="267"/>
      <c r="CF496" s="267"/>
      <c r="CG496" s="267"/>
      <c r="CH496" s="267"/>
      <c r="CI496" s="267"/>
      <c r="CJ496" s="267"/>
      <c r="CK496" s="267"/>
      <c r="CL496" s="267"/>
      <c r="CM496" s="267"/>
      <c r="CN496" s="267"/>
      <c r="CO496" s="267"/>
      <c r="CP496" s="267"/>
      <c r="CQ496" s="267"/>
      <c r="CR496" s="267"/>
      <c r="CS496" s="267"/>
      <c r="CT496" s="267"/>
      <c r="CU496" s="267"/>
      <c r="CV496" s="267"/>
      <c r="CW496" s="267"/>
      <c r="CX496" s="267"/>
      <c r="CY496" s="267"/>
      <c r="CZ496" s="267"/>
    </row>
    <row r="497" spans="2:104">
      <c r="B497" s="1235"/>
      <c r="C497" s="1235"/>
      <c r="D497" s="1235"/>
      <c r="E497" s="267"/>
      <c r="F497" s="267"/>
      <c r="G497" s="267"/>
      <c r="H497" s="267"/>
      <c r="I497" s="267"/>
      <c r="J497" s="267"/>
      <c r="K497" s="267"/>
      <c r="L497" s="267"/>
      <c r="M497" s="267"/>
      <c r="N497" s="267"/>
      <c r="O497" s="267"/>
      <c r="P497" s="267"/>
      <c r="Q497" s="267"/>
      <c r="R497" s="267"/>
      <c r="S497" s="267"/>
      <c r="T497" s="267"/>
      <c r="U497" s="267"/>
      <c r="V497" s="267"/>
      <c r="W497" s="267"/>
      <c r="X497" s="267"/>
      <c r="Y497" s="267"/>
      <c r="Z497" s="267"/>
      <c r="AA497" s="267"/>
      <c r="AB497" s="267"/>
      <c r="AC497" s="267"/>
      <c r="AD497" s="267"/>
      <c r="AE497" s="267"/>
      <c r="AF497" s="267"/>
      <c r="AG497" s="267"/>
      <c r="AH497" s="267"/>
      <c r="AI497" s="267"/>
      <c r="AJ497" s="267"/>
      <c r="AK497" s="267"/>
      <c r="AL497" s="267"/>
      <c r="AM497" s="267"/>
      <c r="AN497" s="267"/>
      <c r="AO497" s="267"/>
      <c r="AP497" s="267"/>
      <c r="AQ497" s="267"/>
      <c r="AR497" s="267"/>
      <c r="AS497" s="267"/>
      <c r="AT497" s="267"/>
      <c r="AU497" s="267"/>
      <c r="AV497" s="267"/>
      <c r="AW497" s="267"/>
      <c r="AX497" s="267"/>
      <c r="AY497" s="267"/>
      <c r="AZ497" s="267"/>
      <c r="BA497" s="267"/>
      <c r="BB497" s="267"/>
      <c r="BC497" s="267"/>
      <c r="BD497" s="267"/>
      <c r="BE497" s="267"/>
      <c r="BF497" s="267"/>
      <c r="BG497" s="267"/>
      <c r="BH497" s="267"/>
      <c r="BI497" s="267"/>
      <c r="BJ497" s="267"/>
      <c r="BK497" s="267"/>
      <c r="BL497" s="267"/>
      <c r="BM497" s="267"/>
      <c r="BN497" s="267"/>
      <c r="BO497" s="267"/>
      <c r="BP497" s="267"/>
      <c r="BQ497" s="267"/>
      <c r="BR497" s="267"/>
      <c r="BS497" s="267"/>
      <c r="BT497" s="267"/>
      <c r="BU497" s="267"/>
      <c r="BV497" s="267"/>
      <c r="BW497" s="267"/>
      <c r="BX497" s="267"/>
      <c r="BY497" s="267"/>
      <c r="BZ497" s="267"/>
      <c r="CA497" s="267"/>
      <c r="CB497" s="267"/>
      <c r="CC497" s="267"/>
      <c r="CD497" s="267"/>
      <c r="CE497" s="267"/>
      <c r="CF497" s="267"/>
      <c r="CG497" s="267"/>
      <c r="CH497" s="267"/>
      <c r="CI497" s="267"/>
      <c r="CJ497" s="267"/>
      <c r="CK497" s="267"/>
      <c r="CL497" s="267"/>
      <c r="CM497" s="267"/>
      <c r="CN497" s="267"/>
      <c r="CO497" s="267"/>
      <c r="CP497" s="267"/>
      <c r="CQ497" s="267"/>
      <c r="CR497" s="267"/>
      <c r="CS497" s="267"/>
      <c r="CT497" s="267"/>
      <c r="CU497" s="267"/>
      <c r="CV497" s="267"/>
      <c r="CW497" s="267"/>
      <c r="CX497" s="267"/>
      <c r="CY497" s="267"/>
      <c r="CZ497" s="267"/>
    </row>
    <row r="498" spans="2:104">
      <c r="B498" s="1235"/>
      <c r="C498" s="1235"/>
      <c r="D498" s="1235"/>
      <c r="E498" s="267"/>
      <c r="F498" s="267"/>
      <c r="G498" s="267"/>
      <c r="H498" s="267"/>
      <c r="I498" s="267"/>
      <c r="J498" s="267"/>
      <c r="K498" s="267"/>
      <c r="L498" s="267"/>
      <c r="M498" s="267"/>
      <c r="N498" s="267"/>
      <c r="O498" s="267"/>
      <c r="P498" s="267"/>
      <c r="Q498" s="267"/>
      <c r="R498" s="267"/>
      <c r="S498" s="267"/>
      <c r="T498" s="267"/>
      <c r="U498" s="267"/>
      <c r="V498" s="267"/>
      <c r="W498" s="267"/>
      <c r="X498" s="267"/>
      <c r="Y498" s="267"/>
      <c r="Z498" s="267"/>
      <c r="AA498" s="267"/>
      <c r="AB498" s="267"/>
      <c r="AC498" s="267"/>
      <c r="AD498" s="267"/>
      <c r="AE498" s="267"/>
      <c r="AF498" s="267"/>
      <c r="AG498" s="267"/>
      <c r="AH498" s="267"/>
      <c r="AI498" s="267"/>
      <c r="AJ498" s="267"/>
      <c r="AK498" s="267"/>
      <c r="AL498" s="267"/>
      <c r="AM498" s="267"/>
      <c r="AN498" s="267"/>
      <c r="AO498" s="267"/>
      <c r="AP498" s="267"/>
      <c r="AQ498" s="267"/>
      <c r="AR498" s="267"/>
      <c r="AS498" s="267"/>
      <c r="AT498" s="267"/>
      <c r="AU498" s="267"/>
      <c r="AV498" s="267"/>
      <c r="AW498" s="267"/>
      <c r="AX498" s="267"/>
      <c r="AY498" s="267"/>
      <c r="AZ498" s="267"/>
      <c r="BA498" s="267"/>
      <c r="BB498" s="267"/>
      <c r="BC498" s="267"/>
      <c r="BD498" s="267"/>
      <c r="BE498" s="267"/>
      <c r="BF498" s="267"/>
      <c r="BG498" s="267"/>
      <c r="BH498" s="267"/>
      <c r="BI498" s="267"/>
      <c r="BJ498" s="267"/>
      <c r="BK498" s="267"/>
      <c r="BL498" s="267"/>
      <c r="BM498" s="267"/>
      <c r="BN498" s="267"/>
      <c r="BO498" s="267"/>
      <c r="BP498" s="267"/>
      <c r="BQ498" s="267"/>
      <c r="BR498" s="267"/>
      <c r="BS498" s="267"/>
      <c r="BT498" s="267"/>
      <c r="BU498" s="267"/>
      <c r="BV498" s="267"/>
      <c r="BW498" s="267"/>
      <c r="BX498" s="267"/>
      <c r="BY498" s="267"/>
      <c r="BZ498" s="267"/>
      <c r="CA498" s="267"/>
      <c r="CB498" s="267"/>
      <c r="CC498" s="267"/>
      <c r="CD498" s="267"/>
      <c r="CE498" s="267"/>
      <c r="CF498" s="267"/>
      <c r="CG498" s="267"/>
      <c r="CH498" s="267"/>
      <c r="CI498" s="267"/>
      <c r="CJ498" s="267"/>
      <c r="CK498" s="267"/>
      <c r="CL498" s="267"/>
      <c r="CM498" s="267"/>
      <c r="CN498" s="267"/>
      <c r="CO498" s="267"/>
      <c r="CP498" s="267"/>
      <c r="CQ498" s="267"/>
      <c r="CR498" s="267"/>
      <c r="CS498" s="267"/>
      <c r="CT498" s="267"/>
      <c r="CU498" s="267"/>
      <c r="CV498" s="267"/>
      <c r="CW498" s="267"/>
      <c r="CX498" s="267"/>
      <c r="CY498" s="267"/>
      <c r="CZ498" s="267"/>
    </row>
    <row r="499" spans="2:104">
      <c r="B499" s="1235"/>
      <c r="C499" s="1235"/>
      <c r="D499" s="1235"/>
      <c r="E499" s="267"/>
      <c r="F499" s="267"/>
      <c r="G499" s="267"/>
      <c r="H499" s="267"/>
      <c r="I499" s="267"/>
      <c r="J499" s="267"/>
      <c r="K499" s="267"/>
      <c r="L499" s="267"/>
      <c r="M499" s="267"/>
      <c r="N499" s="267"/>
      <c r="O499" s="267"/>
      <c r="P499" s="267"/>
      <c r="Q499" s="267"/>
      <c r="R499" s="267"/>
      <c r="S499" s="267"/>
      <c r="T499" s="267"/>
      <c r="U499" s="267"/>
      <c r="V499" s="267"/>
      <c r="W499" s="267"/>
      <c r="X499" s="267"/>
      <c r="Y499" s="267"/>
      <c r="Z499" s="267"/>
      <c r="AA499" s="267"/>
      <c r="AB499" s="267"/>
      <c r="AC499" s="267"/>
      <c r="AD499" s="267"/>
      <c r="AE499" s="267"/>
      <c r="AF499" s="267"/>
      <c r="AG499" s="267"/>
      <c r="AH499" s="267"/>
      <c r="AI499" s="267"/>
      <c r="AJ499" s="267"/>
      <c r="AK499" s="267"/>
      <c r="AL499" s="267"/>
      <c r="AM499" s="267"/>
      <c r="AN499" s="267"/>
      <c r="AO499" s="267"/>
      <c r="AP499" s="267"/>
      <c r="AQ499" s="267"/>
      <c r="AR499" s="267"/>
      <c r="AS499" s="267"/>
      <c r="AT499" s="267"/>
      <c r="AU499" s="267"/>
      <c r="AV499" s="267"/>
      <c r="AW499" s="267"/>
      <c r="AX499" s="267"/>
      <c r="AY499" s="267"/>
      <c r="AZ499" s="267"/>
      <c r="BA499" s="267"/>
      <c r="BB499" s="267"/>
      <c r="BC499" s="267"/>
      <c r="BD499" s="267"/>
      <c r="BE499" s="267"/>
      <c r="BF499" s="267"/>
      <c r="BG499" s="267"/>
      <c r="BH499" s="267"/>
      <c r="BI499" s="267"/>
      <c r="BJ499" s="267"/>
      <c r="BK499" s="267"/>
      <c r="BL499" s="267"/>
      <c r="BM499" s="267"/>
      <c r="BN499" s="267"/>
      <c r="BO499" s="267"/>
      <c r="BP499" s="267"/>
      <c r="BQ499" s="267"/>
      <c r="BR499" s="267"/>
      <c r="BS499" s="267"/>
      <c r="BT499" s="267"/>
      <c r="BU499" s="267"/>
      <c r="BV499" s="267"/>
      <c r="BW499" s="267"/>
      <c r="BX499" s="267"/>
      <c r="BY499" s="267"/>
      <c r="BZ499" s="267"/>
      <c r="CA499" s="267"/>
      <c r="CB499" s="267"/>
      <c r="CC499" s="267"/>
      <c r="CD499" s="267"/>
      <c r="CE499" s="267"/>
      <c r="CF499" s="267"/>
      <c r="CG499" s="267"/>
      <c r="CH499" s="267"/>
      <c r="CI499" s="267"/>
      <c r="CJ499" s="267"/>
      <c r="CK499" s="267"/>
      <c r="CL499" s="267"/>
      <c r="CM499" s="267"/>
      <c r="CN499" s="267"/>
      <c r="CO499" s="267"/>
      <c r="CP499" s="267"/>
      <c r="CQ499" s="267"/>
      <c r="CR499" s="267"/>
      <c r="CS499" s="267"/>
      <c r="CT499" s="267"/>
      <c r="CU499" s="267"/>
      <c r="CV499" s="267"/>
      <c r="CW499" s="267"/>
      <c r="CX499" s="267"/>
      <c r="CY499" s="267"/>
      <c r="CZ499" s="267"/>
    </row>
    <row r="500" spans="2:104">
      <c r="B500" s="1235"/>
      <c r="C500" s="1235"/>
      <c r="D500" s="1235"/>
      <c r="E500" s="267"/>
      <c r="F500" s="267"/>
      <c r="G500" s="267"/>
      <c r="H500" s="267"/>
      <c r="I500" s="267"/>
      <c r="J500" s="267"/>
      <c r="K500" s="267"/>
      <c r="L500" s="267"/>
      <c r="M500" s="267"/>
      <c r="N500" s="267"/>
      <c r="O500" s="267"/>
      <c r="P500" s="267"/>
      <c r="Q500" s="267"/>
      <c r="R500" s="267"/>
      <c r="S500" s="267"/>
      <c r="T500" s="267"/>
      <c r="U500" s="267"/>
      <c r="V500" s="267"/>
      <c r="W500" s="267"/>
      <c r="X500" s="267"/>
      <c r="Y500" s="267"/>
      <c r="Z500" s="267"/>
      <c r="AA500" s="267"/>
      <c r="AB500" s="267"/>
      <c r="AC500" s="267"/>
      <c r="AD500" s="267"/>
      <c r="AE500" s="267"/>
      <c r="AF500" s="267"/>
      <c r="AG500" s="267"/>
      <c r="AH500" s="267"/>
      <c r="AI500" s="267"/>
      <c r="AJ500" s="267"/>
      <c r="AK500" s="267"/>
      <c r="AL500" s="267"/>
      <c r="AM500" s="267"/>
      <c r="AN500" s="267"/>
      <c r="AO500" s="267"/>
      <c r="AP500" s="267"/>
      <c r="AQ500" s="267"/>
      <c r="AR500" s="267"/>
      <c r="AS500" s="267"/>
      <c r="AT500" s="267"/>
      <c r="AU500" s="267"/>
      <c r="AV500" s="267"/>
      <c r="AW500" s="267"/>
      <c r="AX500" s="267"/>
      <c r="AY500" s="267"/>
      <c r="AZ500" s="267"/>
      <c r="BA500" s="267"/>
      <c r="BB500" s="267"/>
      <c r="BC500" s="267"/>
      <c r="BD500" s="267"/>
      <c r="BE500" s="267"/>
      <c r="BF500" s="267"/>
      <c r="BG500" s="267"/>
      <c r="BH500" s="267"/>
      <c r="BI500" s="267"/>
      <c r="BJ500" s="267"/>
      <c r="BK500" s="267"/>
      <c r="BL500" s="267"/>
      <c r="BM500" s="267"/>
      <c r="BN500" s="267"/>
      <c r="BO500" s="267"/>
      <c r="BP500" s="267"/>
      <c r="BQ500" s="267"/>
      <c r="BR500" s="267"/>
      <c r="BS500" s="267"/>
      <c r="BT500" s="267"/>
      <c r="BU500" s="267"/>
      <c r="BV500" s="267"/>
      <c r="BW500" s="267"/>
      <c r="BX500" s="267"/>
      <c r="BY500" s="267"/>
      <c r="BZ500" s="267"/>
      <c r="CA500" s="267"/>
      <c r="CB500" s="267"/>
      <c r="CC500" s="267"/>
      <c r="CD500" s="267"/>
      <c r="CE500" s="267"/>
      <c r="CF500" s="267"/>
      <c r="CG500" s="267"/>
      <c r="CH500" s="267"/>
      <c r="CI500" s="267"/>
      <c r="CJ500" s="267"/>
      <c r="CK500" s="267"/>
      <c r="CL500" s="267"/>
      <c r="CM500" s="267"/>
      <c r="CN500" s="267"/>
      <c r="CO500" s="267"/>
      <c r="CP500" s="267"/>
      <c r="CQ500" s="267"/>
      <c r="CR500" s="267"/>
      <c r="CS500" s="267"/>
      <c r="CT500" s="267"/>
      <c r="CU500" s="267"/>
      <c r="CV500" s="267"/>
      <c r="CW500" s="267"/>
      <c r="CX500" s="267"/>
      <c r="CY500" s="267"/>
      <c r="CZ500" s="267"/>
    </row>
    <row r="501" spans="2:104">
      <c r="B501" s="1235"/>
      <c r="C501" s="1235"/>
      <c r="D501" s="1235"/>
      <c r="E501" s="267"/>
      <c r="F501" s="267"/>
      <c r="G501" s="267"/>
      <c r="H501" s="267"/>
      <c r="I501" s="267"/>
      <c r="J501" s="267"/>
      <c r="K501" s="267"/>
      <c r="L501" s="267"/>
      <c r="M501" s="267"/>
      <c r="N501" s="267"/>
      <c r="O501" s="267"/>
      <c r="P501" s="267"/>
      <c r="Q501" s="267"/>
      <c r="R501" s="267"/>
      <c r="S501" s="267"/>
      <c r="T501" s="267"/>
      <c r="U501" s="267"/>
      <c r="V501" s="267"/>
      <c r="W501" s="267"/>
      <c r="X501" s="267"/>
      <c r="Y501" s="267"/>
      <c r="Z501" s="267"/>
      <c r="AA501" s="267"/>
      <c r="AB501" s="267"/>
      <c r="AC501" s="267"/>
      <c r="AD501" s="267"/>
      <c r="AE501" s="267"/>
      <c r="AF501" s="267"/>
      <c r="AG501" s="267"/>
      <c r="AH501" s="267"/>
      <c r="AI501" s="267"/>
      <c r="AJ501" s="267"/>
      <c r="AK501" s="267"/>
      <c r="AL501" s="267"/>
      <c r="AM501" s="267"/>
      <c r="AN501" s="267"/>
      <c r="AO501" s="267"/>
      <c r="AP501" s="267"/>
      <c r="AQ501" s="267"/>
      <c r="AR501" s="267"/>
      <c r="AS501" s="267"/>
      <c r="AT501" s="267"/>
      <c r="AU501" s="267"/>
      <c r="AV501" s="267"/>
      <c r="AW501" s="267"/>
      <c r="AX501" s="267"/>
      <c r="AY501" s="267"/>
      <c r="AZ501" s="267"/>
      <c r="BA501" s="267"/>
      <c r="BB501" s="267"/>
      <c r="BC501" s="267"/>
      <c r="BD501" s="267"/>
      <c r="BE501" s="267"/>
      <c r="BF501" s="267"/>
      <c r="BG501" s="267"/>
      <c r="BH501" s="267"/>
      <c r="BI501" s="267"/>
      <c r="BJ501" s="267"/>
      <c r="BK501" s="267"/>
      <c r="BL501" s="267"/>
      <c r="BM501" s="267"/>
      <c r="BN501" s="267"/>
      <c r="BO501" s="267"/>
      <c r="BP501" s="267"/>
      <c r="BQ501" s="267"/>
      <c r="BR501" s="267"/>
      <c r="BS501" s="267"/>
      <c r="BT501" s="267"/>
      <c r="BU501" s="267"/>
      <c r="BV501" s="267"/>
      <c r="BW501" s="267"/>
      <c r="BX501" s="267"/>
      <c r="BY501" s="267"/>
      <c r="BZ501" s="267"/>
      <c r="CA501" s="267"/>
      <c r="CB501" s="267"/>
      <c r="CC501" s="267"/>
      <c r="CD501" s="267"/>
      <c r="CE501" s="267"/>
      <c r="CF501" s="267"/>
      <c r="CG501" s="267"/>
      <c r="CH501" s="267"/>
      <c r="CI501" s="267"/>
      <c r="CJ501" s="267"/>
      <c r="CK501" s="267"/>
      <c r="CL501" s="267"/>
      <c r="CM501" s="267"/>
      <c r="CN501" s="267"/>
      <c r="CO501" s="267"/>
      <c r="CP501" s="267"/>
      <c r="CQ501" s="267"/>
      <c r="CR501" s="267"/>
      <c r="CS501" s="267"/>
      <c r="CT501" s="267"/>
      <c r="CU501" s="267"/>
      <c r="CV501" s="267"/>
      <c r="CW501" s="267"/>
      <c r="CX501" s="267"/>
      <c r="CY501" s="267"/>
      <c r="CZ501" s="267"/>
    </row>
    <row r="502" spans="2:104">
      <c r="B502" s="1235"/>
      <c r="C502" s="1235"/>
      <c r="D502" s="1235"/>
      <c r="E502" s="267"/>
      <c r="F502" s="267"/>
      <c r="G502" s="267"/>
      <c r="H502" s="267"/>
      <c r="I502" s="267"/>
      <c r="J502" s="267"/>
      <c r="K502" s="267"/>
      <c r="L502" s="267"/>
      <c r="M502" s="267"/>
      <c r="N502" s="267"/>
      <c r="O502" s="267"/>
      <c r="P502" s="267"/>
      <c r="Q502" s="267"/>
      <c r="R502" s="267"/>
      <c r="S502" s="267"/>
      <c r="T502" s="267"/>
      <c r="U502" s="267"/>
      <c r="V502" s="267"/>
      <c r="W502" s="267"/>
      <c r="X502" s="267"/>
      <c r="Y502" s="267"/>
      <c r="Z502" s="267"/>
      <c r="AA502" s="267"/>
      <c r="AB502" s="267"/>
      <c r="AC502" s="267"/>
      <c r="AD502" s="267"/>
      <c r="AE502" s="267"/>
      <c r="AF502" s="267"/>
      <c r="AG502" s="267"/>
      <c r="AH502" s="267"/>
      <c r="AI502" s="267"/>
      <c r="AJ502" s="267"/>
      <c r="AK502" s="267"/>
      <c r="AL502" s="267"/>
      <c r="AM502" s="267"/>
      <c r="AN502" s="267"/>
      <c r="AO502" s="267"/>
      <c r="AP502" s="267"/>
      <c r="AQ502" s="267"/>
      <c r="AR502" s="267"/>
      <c r="AS502" s="267"/>
      <c r="AT502" s="267"/>
      <c r="AU502" s="267"/>
      <c r="AV502" s="267"/>
      <c r="AW502" s="267"/>
      <c r="AX502" s="267"/>
      <c r="AY502" s="267"/>
      <c r="AZ502" s="267"/>
      <c r="BA502" s="267"/>
      <c r="BB502" s="267"/>
      <c r="BC502" s="267"/>
      <c r="BD502" s="267"/>
      <c r="BE502" s="267"/>
      <c r="BF502" s="267"/>
      <c r="BG502" s="267"/>
      <c r="BH502" s="267"/>
      <c r="BI502" s="267"/>
      <c r="BJ502" s="267"/>
      <c r="BK502" s="267"/>
      <c r="BL502" s="267"/>
      <c r="BM502" s="267"/>
      <c r="BN502" s="267"/>
      <c r="BO502" s="267"/>
      <c r="BP502" s="267"/>
      <c r="BQ502" s="267"/>
      <c r="BR502" s="267"/>
      <c r="BS502" s="267"/>
      <c r="BT502" s="267"/>
      <c r="BU502" s="267"/>
      <c r="BV502" s="267"/>
      <c r="BW502" s="267"/>
      <c r="BX502" s="267"/>
      <c r="BY502" s="267"/>
      <c r="BZ502" s="267"/>
      <c r="CA502" s="267"/>
      <c r="CB502" s="267"/>
      <c r="CC502" s="267"/>
      <c r="CD502" s="267"/>
      <c r="CE502" s="267"/>
      <c r="CF502" s="267"/>
      <c r="CG502" s="267"/>
      <c r="CH502" s="267"/>
      <c r="CI502" s="267"/>
      <c r="CJ502" s="267"/>
      <c r="CK502" s="267"/>
      <c r="CL502" s="267"/>
      <c r="CM502" s="267"/>
      <c r="CN502" s="267"/>
      <c r="CO502" s="267"/>
      <c r="CP502" s="267"/>
      <c r="CQ502" s="267"/>
      <c r="CR502" s="267"/>
      <c r="CS502" s="267"/>
      <c r="CT502" s="267"/>
      <c r="CU502" s="267"/>
      <c r="CV502" s="267"/>
      <c r="CW502" s="267"/>
      <c r="CX502" s="267"/>
      <c r="CY502" s="267"/>
      <c r="CZ502" s="267"/>
    </row>
    <row r="503" spans="2:104">
      <c r="B503" s="1235"/>
      <c r="C503" s="1235"/>
      <c r="D503" s="1235"/>
      <c r="E503" s="267"/>
      <c r="F503" s="267"/>
      <c r="G503" s="267"/>
      <c r="H503" s="267"/>
      <c r="I503" s="267"/>
      <c r="J503" s="267"/>
      <c r="K503" s="267"/>
      <c r="L503" s="267"/>
      <c r="M503" s="267"/>
      <c r="N503" s="267"/>
      <c r="O503" s="267"/>
      <c r="P503" s="267"/>
      <c r="Q503" s="267"/>
      <c r="R503" s="267"/>
      <c r="S503" s="267"/>
      <c r="T503" s="267"/>
      <c r="U503" s="267"/>
      <c r="V503" s="267"/>
      <c r="W503" s="267"/>
      <c r="X503" s="267"/>
      <c r="Y503" s="267"/>
      <c r="Z503" s="267"/>
      <c r="AA503" s="267"/>
      <c r="AB503" s="267"/>
      <c r="AC503" s="267"/>
      <c r="AD503" s="267"/>
      <c r="AE503" s="267"/>
      <c r="AF503" s="267"/>
      <c r="AG503" s="267"/>
      <c r="AH503" s="267"/>
      <c r="AI503" s="267"/>
      <c r="AJ503" s="267"/>
      <c r="AK503" s="267"/>
      <c r="AL503" s="267"/>
      <c r="AM503" s="267"/>
      <c r="AN503" s="267"/>
      <c r="AO503" s="267"/>
      <c r="AP503" s="267"/>
      <c r="AQ503" s="267"/>
      <c r="AR503" s="267"/>
      <c r="AS503" s="267"/>
      <c r="AT503" s="267"/>
      <c r="AU503" s="267"/>
      <c r="AV503" s="267"/>
      <c r="AW503" s="267"/>
      <c r="AX503" s="267"/>
      <c r="AY503" s="267"/>
      <c r="AZ503" s="267"/>
      <c r="BA503" s="267"/>
      <c r="BB503" s="267"/>
      <c r="BC503" s="267"/>
      <c r="BD503" s="267"/>
      <c r="BE503" s="267"/>
      <c r="BF503" s="267"/>
      <c r="BG503" s="267"/>
      <c r="BH503" s="267"/>
      <c r="BI503" s="267"/>
      <c r="BJ503" s="267"/>
      <c r="BK503" s="267"/>
      <c r="BL503" s="267"/>
      <c r="BM503" s="267"/>
      <c r="BN503" s="267"/>
      <c r="BO503" s="267"/>
      <c r="BP503" s="267"/>
      <c r="BQ503" s="267"/>
      <c r="BR503" s="267"/>
      <c r="BS503" s="267"/>
      <c r="BT503" s="267"/>
      <c r="BU503" s="267"/>
      <c r="BV503" s="267"/>
      <c r="BW503" s="267"/>
      <c r="BX503" s="267"/>
      <c r="BY503" s="267"/>
      <c r="BZ503" s="267"/>
      <c r="CA503" s="267"/>
      <c r="CB503" s="267"/>
      <c r="CC503" s="267"/>
      <c r="CD503" s="267"/>
      <c r="CE503" s="267"/>
      <c r="CF503" s="267"/>
      <c r="CG503" s="267"/>
      <c r="CH503" s="267"/>
      <c r="CI503" s="267"/>
      <c r="CJ503" s="267"/>
      <c r="CK503" s="267"/>
      <c r="CL503" s="267"/>
      <c r="CM503" s="267"/>
      <c r="CN503" s="267"/>
      <c r="CO503" s="267"/>
      <c r="CP503" s="267"/>
      <c r="CQ503" s="267"/>
      <c r="CR503" s="267"/>
      <c r="CS503" s="267"/>
      <c r="CT503" s="267"/>
      <c r="CU503" s="267"/>
      <c r="CV503" s="267"/>
      <c r="CW503" s="267"/>
      <c r="CX503" s="267"/>
      <c r="CY503" s="267"/>
      <c r="CZ503" s="267"/>
    </row>
    <row r="504" spans="2:104">
      <c r="B504" s="1235"/>
      <c r="C504" s="1235"/>
      <c r="D504" s="1235"/>
      <c r="E504" s="267"/>
      <c r="F504" s="267"/>
      <c r="G504" s="267"/>
      <c r="H504" s="267"/>
      <c r="I504" s="267"/>
      <c r="J504" s="267"/>
      <c r="K504" s="267"/>
      <c r="L504" s="267"/>
      <c r="M504" s="267"/>
      <c r="N504" s="267"/>
      <c r="O504" s="267"/>
      <c r="P504" s="267"/>
      <c r="Q504" s="267"/>
      <c r="R504" s="267"/>
      <c r="S504" s="267"/>
      <c r="T504" s="267"/>
      <c r="U504" s="267"/>
      <c r="V504" s="267"/>
      <c r="W504" s="267"/>
      <c r="X504" s="267"/>
      <c r="Y504" s="267"/>
      <c r="Z504" s="267"/>
      <c r="AA504" s="267"/>
      <c r="AB504" s="267"/>
      <c r="AC504" s="267"/>
      <c r="AD504" s="267"/>
      <c r="AE504" s="267"/>
      <c r="AF504" s="267"/>
      <c r="AG504" s="267"/>
      <c r="AH504" s="267"/>
      <c r="AI504" s="267"/>
      <c r="AJ504" s="267"/>
      <c r="AK504" s="267"/>
      <c r="AL504" s="267"/>
      <c r="AM504" s="267"/>
      <c r="AN504" s="267"/>
      <c r="AO504" s="267"/>
      <c r="AP504" s="267"/>
      <c r="AQ504" s="267"/>
      <c r="AR504" s="267"/>
      <c r="AS504" s="267"/>
      <c r="AT504" s="267"/>
      <c r="AU504" s="267"/>
      <c r="AV504" s="267"/>
      <c r="AW504" s="267"/>
      <c r="AX504" s="267"/>
      <c r="AY504" s="267"/>
      <c r="AZ504" s="267"/>
      <c r="BA504" s="267"/>
      <c r="BB504" s="267"/>
      <c r="BC504" s="267"/>
      <c r="BD504" s="267"/>
      <c r="BE504" s="267"/>
      <c r="BF504" s="267"/>
      <c r="BG504" s="267"/>
      <c r="BH504" s="267"/>
      <c r="BI504" s="267"/>
      <c r="BJ504" s="267"/>
      <c r="BK504" s="267"/>
      <c r="BL504" s="267"/>
      <c r="BM504" s="267"/>
      <c r="BN504" s="267"/>
      <c r="BO504" s="267"/>
      <c r="BP504" s="267"/>
      <c r="BQ504" s="267"/>
      <c r="BR504" s="267"/>
      <c r="BS504" s="267"/>
      <c r="BT504" s="267"/>
      <c r="BU504" s="267"/>
      <c r="BV504" s="267"/>
      <c r="BW504" s="267"/>
      <c r="BX504" s="267"/>
      <c r="BY504" s="267"/>
      <c r="BZ504" s="267"/>
      <c r="CA504" s="267"/>
      <c r="CB504" s="267"/>
      <c r="CC504" s="267"/>
      <c r="CD504" s="267"/>
      <c r="CE504" s="267"/>
      <c r="CF504" s="267"/>
      <c r="CG504" s="267"/>
      <c r="CH504" s="267"/>
      <c r="CI504" s="267"/>
      <c r="CJ504" s="267"/>
      <c r="CK504" s="267"/>
      <c r="CL504" s="267"/>
      <c r="CM504" s="267"/>
      <c r="CN504" s="267"/>
      <c r="CO504" s="267"/>
      <c r="CP504" s="267"/>
      <c r="CQ504" s="267"/>
      <c r="CR504" s="267"/>
      <c r="CS504" s="267"/>
      <c r="CT504" s="267"/>
      <c r="CU504" s="267"/>
      <c r="CV504" s="267"/>
      <c r="CW504" s="267"/>
      <c r="CX504" s="267"/>
      <c r="CY504" s="267"/>
      <c r="CZ504" s="267"/>
    </row>
    <row r="505" spans="2:104">
      <c r="B505" s="1235"/>
      <c r="C505" s="1235"/>
      <c r="D505" s="1235"/>
      <c r="E505" s="267"/>
      <c r="F505" s="267"/>
      <c r="G505" s="267"/>
      <c r="H505" s="267"/>
      <c r="I505" s="267"/>
      <c r="J505" s="267"/>
      <c r="K505" s="267"/>
      <c r="L505" s="267"/>
      <c r="M505" s="267"/>
      <c r="N505" s="267"/>
      <c r="O505" s="267"/>
      <c r="P505" s="267"/>
      <c r="Q505" s="267"/>
      <c r="R505" s="267"/>
      <c r="S505" s="267"/>
      <c r="T505" s="267"/>
      <c r="U505" s="267"/>
      <c r="V505" s="267"/>
      <c r="W505" s="267"/>
      <c r="X505" s="267"/>
      <c r="Y505" s="267"/>
      <c r="Z505" s="267"/>
      <c r="AA505" s="267"/>
      <c r="AB505" s="267"/>
      <c r="AC505" s="267"/>
      <c r="AD505" s="267"/>
      <c r="AE505" s="267"/>
      <c r="AF505" s="267"/>
      <c r="AG505" s="267"/>
      <c r="AH505" s="267"/>
      <c r="AI505" s="267"/>
      <c r="AJ505" s="267"/>
      <c r="AK505" s="267"/>
      <c r="AL505" s="267"/>
      <c r="AM505" s="267"/>
      <c r="AN505" s="267"/>
      <c r="AO505" s="267"/>
      <c r="AP505" s="267"/>
      <c r="AQ505" s="267"/>
      <c r="AR505" s="267"/>
      <c r="AS505" s="267"/>
      <c r="AT505" s="267"/>
      <c r="AU505" s="267"/>
      <c r="AV505" s="267"/>
      <c r="AW505" s="267"/>
      <c r="AX505" s="267"/>
      <c r="AY505" s="267"/>
      <c r="AZ505" s="267"/>
      <c r="BA505" s="267"/>
      <c r="BB505" s="267"/>
      <c r="BC505" s="267"/>
      <c r="BD505" s="267"/>
      <c r="BE505" s="267"/>
      <c r="BF505" s="267"/>
      <c r="BG505" s="267"/>
      <c r="BH505" s="267"/>
      <c r="BI505" s="267"/>
      <c r="BJ505" s="267"/>
      <c r="BK505" s="267"/>
      <c r="BL505" s="267"/>
      <c r="BM505" s="267"/>
      <c r="BN505" s="267"/>
      <c r="BO505" s="267"/>
      <c r="BP505" s="267"/>
      <c r="BQ505" s="267"/>
      <c r="BR505" s="267"/>
      <c r="BS505" s="267"/>
      <c r="BT505" s="267"/>
      <c r="BU505" s="267"/>
      <c r="BV505" s="267"/>
      <c r="BW505" s="267"/>
      <c r="BX505" s="267"/>
      <c r="BY505" s="267"/>
      <c r="BZ505" s="267"/>
      <c r="CA505" s="267"/>
      <c r="CB505" s="267"/>
      <c r="CC505" s="267"/>
      <c r="CD505" s="267"/>
      <c r="CE505" s="267"/>
      <c r="CF505" s="267"/>
      <c r="CG505" s="267"/>
      <c r="CH505" s="267"/>
      <c r="CI505" s="267"/>
      <c r="CJ505" s="267"/>
      <c r="CK505" s="267"/>
      <c r="CL505" s="267"/>
      <c r="CM505" s="267"/>
      <c r="CN505" s="267"/>
      <c r="CO505" s="267"/>
      <c r="CP505" s="267"/>
      <c r="CQ505" s="267"/>
      <c r="CR505" s="267"/>
      <c r="CS505" s="267"/>
      <c r="CT505" s="267"/>
      <c r="CU505" s="267"/>
      <c r="CV505" s="267"/>
      <c r="CW505" s="267"/>
      <c r="CX505" s="267"/>
      <c r="CY505" s="267"/>
      <c r="CZ505" s="267"/>
    </row>
    <row r="506" spans="2:104">
      <c r="B506" s="1235"/>
      <c r="C506" s="1235"/>
      <c r="D506" s="1235"/>
      <c r="E506" s="267"/>
      <c r="F506" s="267"/>
      <c r="G506" s="267"/>
      <c r="H506" s="267"/>
      <c r="I506" s="267"/>
      <c r="J506" s="267"/>
      <c r="K506" s="267"/>
      <c r="L506" s="267"/>
      <c r="M506" s="267"/>
      <c r="N506" s="267"/>
      <c r="O506" s="267"/>
      <c r="P506" s="267"/>
      <c r="Q506" s="267"/>
      <c r="R506" s="267"/>
      <c r="S506" s="267"/>
      <c r="T506" s="267"/>
      <c r="U506" s="267"/>
      <c r="V506" s="267"/>
      <c r="W506" s="267"/>
      <c r="X506" s="267"/>
      <c r="Y506" s="267"/>
      <c r="Z506" s="267"/>
      <c r="AA506" s="267"/>
      <c r="AB506" s="267"/>
      <c r="AC506" s="267"/>
      <c r="AD506" s="267"/>
      <c r="AE506" s="267"/>
      <c r="AF506" s="267"/>
      <c r="AG506" s="267"/>
      <c r="AH506" s="267"/>
      <c r="AI506" s="267"/>
      <c r="AJ506" s="267"/>
      <c r="AK506" s="267"/>
      <c r="AL506" s="267"/>
      <c r="AM506" s="267"/>
      <c r="AN506" s="267"/>
      <c r="AO506" s="267"/>
      <c r="AP506" s="267"/>
      <c r="AQ506" s="267"/>
      <c r="AR506" s="267"/>
      <c r="AS506" s="267"/>
      <c r="AT506" s="267"/>
      <c r="AU506" s="267"/>
      <c r="AV506" s="267"/>
      <c r="AW506" s="267"/>
      <c r="AX506" s="267"/>
      <c r="AY506" s="267"/>
      <c r="AZ506" s="267"/>
      <c r="BA506" s="267"/>
      <c r="BB506" s="267"/>
      <c r="BC506" s="267"/>
      <c r="BD506" s="267"/>
      <c r="BE506" s="267"/>
      <c r="BF506" s="267"/>
      <c r="BG506" s="267"/>
      <c r="BH506" s="267"/>
      <c r="BI506" s="267"/>
      <c r="BJ506" s="267"/>
      <c r="BK506" s="267"/>
      <c r="BL506" s="267"/>
      <c r="BM506" s="267"/>
      <c r="BN506" s="267"/>
      <c r="BO506" s="267"/>
      <c r="BP506" s="267"/>
      <c r="BQ506" s="267"/>
      <c r="BR506" s="267"/>
      <c r="BS506" s="267"/>
      <c r="BT506" s="267"/>
      <c r="BU506" s="267"/>
      <c r="BV506" s="267"/>
      <c r="BW506" s="267"/>
      <c r="BX506" s="267"/>
      <c r="BY506" s="267"/>
      <c r="BZ506" s="267"/>
      <c r="CA506" s="267"/>
      <c r="CB506" s="267"/>
      <c r="CC506" s="267"/>
      <c r="CD506" s="267"/>
      <c r="CE506" s="267"/>
      <c r="CF506" s="267"/>
      <c r="CG506" s="267"/>
      <c r="CH506" s="267"/>
      <c r="CI506" s="267"/>
      <c r="CJ506" s="267"/>
      <c r="CK506" s="267"/>
      <c r="CL506" s="267"/>
      <c r="CM506" s="267"/>
      <c r="CN506" s="267"/>
      <c r="CO506" s="267"/>
      <c r="CP506" s="267"/>
      <c r="CQ506" s="267"/>
      <c r="CR506" s="267"/>
      <c r="CS506" s="267"/>
      <c r="CT506" s="267"/>
      <c r="CU506" s="267"/>
      <c r="CV506" s="267"/>
      <c r="CW506" s="267"/>
      <c r="CX506" s="267"/>
      <c r="CY506" s="267"/>
      <c r="CZ506" s="267"/>
    </row>
    <row r="507" spans="2:104">
      <c r="B507" s="1235"/>
      <c r="C507" s="1235"/>
      <c r="D507" s="1235"/>
      <c r="E507" s="267"/>
      <c r="F507" s="267"/>
      <c r="G507" s="267"/>
      <c r="H507" s="267"/>
      <c r="I507" s="267"/>
      <c r="J507" s="267"/>
      <c r="K507" s="267"/>
      <c r="L507" s="267"/>
      <c r="M507" s="267"/>
      <c r="N507" s="267"/>
      <c r="O507" s="267"/>
      <c r="P507" s="267"/>
      <c r="Q507" s="267"/>
      <c r="R507" s="267"/>
      <c r="S507" s="267"/>
      <c r="T507" s="267"/>
      <c r="U507" s="267"/>
      <c r="V507" s="267"/>
      <c r="W507" s="267"/>
      <c r="X507" s="267"/>
      <c r="Y507" s="267"/>
      <c r="Z507" s="267"/>
      <c r="AA507" s="267"/>
      <c r="AB507" s="267"/>
      <c r="AC507" s="267"/>
      <c r="AD507" s="267"/>
      <c r="AE507" s="267"/>
      <c r="AF507" s="267"/>
      <c r="AG507" s="267"/>
      <c r="AH507" s="267"/>
      <c r="AI507" s="267"/>
      <c r="AJ507" s="267"/>
      <c r="AK507" s="267"/>
      <c r="AL507" s="267"/>
      <c r="AM507" s="267"/>
      <c r="AN507" s="267"/>
      <c r="AO507" s="267"/>
      <c r="AP507" s="267"/>
      <c r="AQ507" s="267"/>
      <c r="AR507" s="267"/>
      <c r="AS507" s="267"/>
      <c r="AT507" s="267"/>
      <c r="AU507" s="267"/>
      <c r="AV507" s="267"/>
      <c r="AW507" s="267"/>
      <c r="AX507" s="267"/>
      <c r="AY507" s="267"/>
      <c r="AZ507" s="267"/>
      <c r="BA507" s="267"/>
      <c r="BB507" s="267"/>
      <c r="BC507" s="267"/>
      <c r="BD507" s="267"/>
      <c r="BE507" s="267"/>
      <c r="BF507" s="267"/>
      <c r="BG507" s="267"/>
      <c r="BH507" s="267"/>
      <c r="BI507" s="267"/>
      <c r="BJ507" s="267"/>
      <c r="BK507" s="267"/>
      <c r="BL507" s="267"/>
      <c r="BM507" s="267"/>
      <c r="BN507" s="267"/>
      <c r="BO507" s="267"/>
      <c r="BP507" s="267"/>
      <c r="BQ507" s="267"/>
      <c r="BR507" s="267"/>
      <c r="BS507" s="267"/>
      <c r="BT507" s="267"/>
      <c r="BU507" s="267"/>
      <c r="BV507" s="267"/>
      <c r="BW507" s="267"/>
      <c r="BX507" s="267"/>
      <c r="BY507" s="267"/>
      <c r="BZ507" s="267"/>
      <c r="CA507" s="267"/>
      <c r="CB507" s="267"/>
      <c r="CC507" s="267"/>
      <c r="CD507" s="267"/>
      <c r="CE507" s="267"/>
      <c r="CF507" s="267"/>
      <c r="CG507" s="267"/>
      <c r="CH507" s="267"/>
      <c r="CI507" s="267"/>
      <c r="CJ507" s="267"/>
      <c r="CK507" s="267"/>
      <c r="CL507" s="267"/>
      <c r="CM507" s="267"/>
      <c r="CN507" s="267"/>
      <c r="CO507" s="267"/>
      <c r="CP507" s="267"/>
      <c r="CQ507" s="267"/>
      <c r="CR507" s="267"/>
      <c r="CS507" s="267"/>
      <c r="CT507" s="267"/>
      <c r="CU507" s="267"/>
      <c r="CV507" s="267"/>
      <c r="CW507" s="267"/>
      <c r="CX507" s="267"/>
      <c r="CY507" s="267"/>
      <c r="CZ507" s="267"/>
    </row>
    <row r="508" spans="2:104">
      <c r="B508" s="1235"/>
      <c r="C508" s="1235"/>
      <c r="D508" s="1235"/>
      <c r="E508" s="267"/>
      <c r="F508" s="267"/>
      <c r="G508" s="267"/>
      <c r="H508" s="267"/>
      <c r="I508" s="267"/>
      <c r="J508" s="267"/>
      <c r="K508" s="267"/>
      <c r="L508" s="267"/>
      <c r="M508" s="267"/>
      <c r="N508" s="267"/>
      <c r="O508" s="267"/>
      <c r="P508" s="267"/>
      <c r="Q508" s="267"/>
      <c r="R508" s="267"/>
      <c r="S508" s="267"/>
      <c r="T508" s="267"/>
      <c r="U508" s="267"/>
      <c r="V508" s="267"/>
      <c r="W508" s="267"/>
      <c r="X508" s="267"/>
      <c r="Y508" s="267"/>
      <c r="Z508" s="267"/>
      <c r="AA508" s="267"/>
      <c r="AB508" s="267"/>
      <c r="AC508" s="267"/>
      <c r="AD508" s="267"/>
      <c r="AE508" s="267"/>
      <c r="AF508" s="267"/>
      <c r="AG508" s="267"/>
      <c r="AH508" s="267"/>
      <c r="AI508" s="267"/>
      <c r="AJ508" s="267"/>
      <c r="AK508" s="267"/>
      <c r="AL508" s="267"/>
      <c r="AM508" s="267"/>
      <c r="AN508" s="267"/>
      <c r="AO508" s="267"/>
      <c r="AP508" s="267"/>
      <c r="AQ508" s="267"/>
      <c r="AR508" s="267"/>
      <c r="AS508" s="267"/>
      <c r="AT508" s="267"/>
      <c r="AU508" s="267"/>
      <c r="AV508" s="267"/>
      <c r="AW508" s="267"/>
      <c r="AX508" s="267"/>
      <c r="AY508" s="267"/>
      <c r="AZ508" s="267"/>
      <c r="BA508" s="267"/>
      <c r="BB508" s="267"/>
      <c r="BC508" s="267"/>
      <c r="BD508" s="267"/>
      <c r="BE508" s="267"/>
      <c r="BF508" s="267"/>
      <c r="BG508" s="267"/>
      <c r="BH508" s="267"/>
      <c r="BI508" s="267"/>
      <c r="BJ508" s="267"/>
      <c r="BK508" s="267"/>
      <c r="BL508" s="267"/>
      <c r="BM508" s="267"/>
      <c r="BN508" s="267"/>
      <c r="BO508" s="267"/>
      <c r="BP508" s="267"/>
      <c r="BQ508" s="267"/>
      <c r="BR508" s="267"/>
      <c r="BS508" s="267"/>
      <c r="BT508" s="267"/>
      <c r="BU508" s="267"/>
      <c r="BV508" s="267"/>
      <c r="BW508" s="267"/>
      <c r="BX508" s="267"/>
      <c r="BY508" s="267"/>
      <c r="BZ508" s="267"/>
      <c r="CA508" s="267"/>
      <c r="CB508" s="267"/>
      <c r="CC508" s="267"/>
      <c r="CD508" s="267"/>
      <c r="CE508" s="267"/>
      <c r="CF508" s="267"/>
      <c r="CG508" s="267"/>
      <c r="CH508" s="267"/>
      <c r="CI508" s="267"/>
      <c r="CJ508" s="267"/>
      <c r="CK508" s="267"/>
      <c r="CL508" s="267"/>
      <c r="CM508" s="267"/>
      <c r="CN508" s="267"/>
      <c r="CO508" s="267"/>
      <c r="CP508" s="267"/>
      <c r="CQ508" s="267"/>
      <c r="CR508" s="267"/>
      <c r="CS508" s="267"/>
      <c r="CT508" s="267"/>
      <c r="CU508" s="267"/>
      <c r="CV508" s="267"/>
      <c r="CW508" s="267"/>
      <c r="CX508" s="267"/>
      <c r="CY508" s="267"/>
      <c r="CZ508" s="267"/>
    </row>
    <row r="509" spans="2:104">
      <c r="B509" s="1235"/>
      <c r="C509" s="1235"/>
      <c r="D509" s="1235"/>
      <c r="E509" s="267"/>
      <c r="F509" s="267"/>
      <c r="G509" s="267"/>
      <c r="H509" s="267"/>
      <c r="I509" s="267"/>
      <c r="J509" s="267"/>
      <c r="K509" s="267"/>
      <c r="L509" s="267"/>
      <c r="M509" s="267"/>
      <c r="N509" s="267"/>
      <c r="O509" s="267"/>
      <c r="P509" s="267"/>
      <c r="Q509" s="267"/>
      <c r="R509" s="267"/>
      <c r="S509" s="267"/>
      <c r="T509" s="267"/>
      <c r="U509" s="267"/>
      <c r="V509" s="267"/>
      <c r="W509" s="267"/>
      <c r="X509" s="267"/>
      <c r="Y509" s="267"/>
      <c r="Z509" s="267"/>
      <c r="AA509" s="267"/>
      <c r="AB509" s="267"/>
      <c r="AC509" s="267"/>
      <c r="AD509" s="267"/>
      <c r="AE509" s="267"/>
      <c r="AF509" s="267"/>
      <c r="AG509" s="267"/>
      <c r="AH509" s="267"/>
      <c r="AI509" s="267"/>
      <c r="AJ509" s="267"/>
      <c r="AK509" s="267"/>
      <c r="AL509" s="267"/>
      <c r="AM509" s="267"/>
      <c r="AN509" s="267"/>
      <c r="AO509" s="267"/>
      <c r="AP509" s="267"/>
      <c r="AQ509" s="267"/>
      <c r="AR509" s="267"/>
      <c r="AS509" s="267"/>
      <c r="AT509" s="267"/>
      <c r="AU509" s="267"/>
      <c r="AV509" s="267"/>
      <c r="AW509" s="267"/>
      <c r="AX509" s="267"/>
      <c r="AY509" s="267"/>
      <c r="AZ509" s="267"/>
      <c r="BA509" s="267"/>
      <c r="BB509" s="267"/>
      <c r="BC509" s="267"/>
      <c r="BD509" s="267"/>
      <c r="BE509" s="267"/>
      <c r="BF509" s="267"/>
      <c r="BG509" s="267"/>
      <c r="BH509" s="267"/>
      <c r="BI509" s="267"/>
      <c r="BJ509" s="267"/>
      <c r="BK509" s="267"/>
      <c r="BL509" s="267"/>
      <c r="BM509" s="267"/>
      <c r="BN509" s="267"/>
      <c r="BO509" s="267"/>
      <c r="BP509" s="267"/>
      <c r="BQ509" s="267"/>
      <c r="BR509" s="267"/>
      <c r="BS509" s="267"/>
      <c r="BT509" s="267"/>
      <c r="BU509" s="267"/>
      <c r="BV509" s="267"/>
      <c r="BW509" s="267"/>
      <c r="BX509" s="267"/>
      <c r="BY509" s="267"/>
      <c r="BZ509" s="267"/>
      <c r="CA509" s="267"/>
      <c r="CB509" s="267"/>
      <c r="CC509" s="267"/>
      <c r="CD509" s="267"/>
      <c r="CE509" s="267"/>
      <c r="CF509" s="267"/>
      <c r="CG509" s="267"/>
      <c r="CH509" s="267"/>
      <c r="CI509" s="267"/>
      <c r="CJ509" s="267"/>
      <c r="CK509" s="267"/>
      <c r="CL509" s="267"/>
      <c r="CM509" s="267"/>
      <c r="CN509" s="267"/>
      <c r="CO509" s="267"/>
      <c r="CP509" s="267"/>
      <c r="CQ509" s="267"/>
      <c r="CR509" s="267"/>
      <c r="CS509" s="267"/>
      <c r="CT509" s="267"/>
      <c r="CU509" s="267"/>
      <c r="CV509" s="267"/>
      <c r="CW509" s="267"/>
      <c r="CX509" s="267"/>
      <c r="CY509" s="267"/>
      <c r="CZ509" s="267"/>
    </row>
    <row r="510" spans="2:104">
      <c r="B510" s="1235"/>
      <c r="C510" s="1235"/>
      <c r="D510" s="1235"/>
      <c r="E510" s="267"/>
      <c r="F510" s="267"/>
      <c r="G510" s="267"/>
      <c r="H510" s="267"/>
      <c r="I510" s="267"/>
      <c r="J510" s="267"/>
      <c r="K510" s="267"/>
      <c r="L510" s="267"/>
      <c r="M510" s="267"/>
      <c r="N510" s="267"/>
      <c r="O510" s="267"/>
      <c r="P510" s="267"/>
      <c r="Q510" s="267"/>
      <c r="R510" s="267"/>
      <c r="S510" s="267"/>
      <c r="T510" s="267"/>
      <c r="U510" s="267"/>
      <c r="V510" s="267"/>
      <c r="W510" s="267"/>
      <c r="X510" s="267"/>
      <c r="Y510" s="267"/>
      <c r="Z510" s="267"/>
      <c r="AA510" s="267"/>
      <c r="AB510" s="267"/>
      <c r="AC510" s="267"/>
      <c r="AD510" s="267"/>
      <c r="AE510" s="267"/>
      <c r="AF510" s="267"/>
      <c r="AG510" s="267"/>
      <c r="AH510" s="267"/>
      <c r="AI510" s="267"/>
      <c r="AJ510" s="267"/>
      <c r="AK510" s="267"/>
      <c r="AL510" s="267"/>
      <c r="AM510" s="267"/>
      <c r="AN510" s="267"/>
      <c r="AO510" s="267"/>
      <c r="AP510" s="267"/>
      <c r="AQ510" s="267"/>
      <c r="AR510" s="267"/>
      <c r="AS510" s="267"/>
      <c r="AT510" s="267"/>
      <c r="AU510" s="267"/>
      <c r="AV510" s="267"/>
      <c r="AW510" s="267"/>
      <c r="AX510" s="267"/>
      <c r="AY510" s="267"/>
      <c r="AZ510" s="267"/>
      <c r="BA510" s="267"/>
      <c r="BB510" s="267"/>
      <c r="BC510" s="267"/>
      <c r="BD510" s="267"/>
      <c r="BE510" s="267"/>
      <c r="BF510" s="267"/>
      <c r="BG510" s="267"/>
      <c r="BH510" s="267"/>
      <c r="BI510" s="267"/>
      <c r="BJ510" s="267"/>
      <c r="BK510" s="267"/>
      <c r="BL510" s="267"/>
      <c r="BM510" s="267"/>
      <c r="BN510" s="267"/>
      <c r="BO510" s="267"/>
      <c r="BP510" s="267"/>
      <c r="BQ510" s="267"/>
      <c r="BR510" s="267"/>
      <c r="BS510" s="267"/>
      <c r="BT510" s="267"/>
      <c r="BU510" s="267"/>
      <c r="BV510" s="267"/>
      <c r="BW510" s="267"/>
      <c r="BX510" s="267"/>
      <c r="BY510" s="267"/>
      <c r="BZ510" s="267"/>
      <c r="CA510" s="267"/>
      <c r="CB510" s="267"/>
      <c r="CC510" s="267"/>
      <c r="CD510" s="267"/>
      <c r="CE510" s="267"/>
      <c r="CF510" s="267"/>
      <c r="CG510" s="267"/>
      <c r="CH510" s="267"/>
      <c r="CI510" s="267"/>
      <c r="CJ510" s="267"/>
      <c r="CK510" s="267"/>
      <c r="CL510" s="267"/>
      <c r="CM510" s="267"/>
      <c r="CN510" s="267"/>
      <c r="CO510" s="267"/>
      <c r="CP510" s="267"/>
      <c r="CQ510" s="267"/>
      <c r="CR510" s="267"/>
      <c r="CS510" s="267"/>
      <c r="CT510" s="267"/>
      <c r="CU510" s="267"/>
      <c r="CV510" s="267"/>
      <c r="CW510" s="267"/>
      <c r="CX510" s="267"/>
      <c r="CY510" s="267"/>
      <c r="CZ510" s="267"/>
    </row>
    <row r="511" spans="2:104">
      <c r="B511" s="1235"/>
      <c r="C511" s="1235"/>
      <c r="D511" s="1235"/>
      <c r="E511" s="267"/>
      <c r="F511" s="267"/>
      <c r="G511" s="267"/>
      <c r="H511" s="267"/>
      <c r="I511" s="267"/>
      <c r="J511" s="267"/>
      <c r="K511" s="267"/>
      <c r="L511" s="267"/>
      <c r="M511" s="267"/>
      <c r="N511" s="267"/>
      <c r="O511" s="267"/>
      <c r="P511" s="267"/>
      <c r="Q511" s="267"/>
      <c r="R511" s="267"/>
      <c r="S511" s="267"/>
      <c r="T511" s="267"/>
      <c r="U511" s="267"/>
      <c r="V511" s="267"/>
      <c r="W511" s="267"/>
      <c r="X511" s="267"/>
      <c r="Y511" s="267"/>
      <c r="Z511" s="267"/>
      <c r="AA511" s="267"/>
      <c r="AB511" s="267"/>
      <c r="AC511" s="267"/>
      <c r="AD511" s="267"/>
      <c r="AE511" s="267"/>
      <c r="AF511" s="267"/>
      <c r="AG511" s="267"/>
      <c r="AH511" s="267"/>
      <c r="AI511" s="267"/>
      <c r="AJ511" s="267"/>
      <c r="AK511" s="267"/>
      <c r="AL511" s="267"/>
      <c r="AM511" s="267"/>
      <c r="AN511" s="267"/>
      <c r="AO511" s="267"/>
      <c r="AP511" s="267"/>
      <c r="AQ511" s="267"/>
      <c r="AR511" s="267"/>
      <c r="AS511" s="267"/>
      <c r="AT511" s="267"/>
      <c r="AU511" s="267"/>
      <c r="AV511" s="267"/>
      <c r="AW511" s="267"/>
      <c r="AX511" s="267"/>
      <c r="AY511" s="267"/>
      <c r="AZ511" s="267"/>
      <c r="BA511" s="267"/>
      <c r="BB511" s="267"/>
      <c r="BC511" s="267"/>
      <c r="BD511" s="267"/>
      <c r="BE511" s="267"/>
      <c r="BF511" s="267"/>
      <c r="BG511" s="267"/>
      <c r="BH511" s="267"/>
      <c r="BI511" s="267"/>
      <c r="BJ511" s="267"/>
      <c r="BK511" s="267"/>
      <c r="BL511" s="267"/>
      <c r="BM511" s="267"/>
      <c r="BN511" s="267"/>
      <c r="BO511" s="267"/>
      <c r="BP511" s="267"/>
      <c r="BQ511" s="267"/>
      <c r="BR511" s="267"/>
      <c r="BS511" s="267"/>
      <c r="BT511" s="267"/>
      <c r="BU511" s="267"/>
      <c r="BV511" s="267"/>
      <c r="BW511" s="267"/>
      <c r="BX511" s="267"/>
      <c r="BY511" s="267"/>
      <c r="BZ511" s="267"/>
      <c r="CA511" s="267"/>
      <c r="CB511" s="267"/>
      <c r="CC511" s="267"/>
      <c r="CD511" s="267"/>
      <c r="CE511" s="267"/>
      <c r="CF511" s="267"/>
      <c r="CG511" s="267"/>
      <c r="CH511" s="267"/>
      <c r="CI511" s="267"/>
      <c r="CJ511" s="267"/>
      <c r="CK511" s="267"/>
      <c r="CL511" s="267"/>
      <c r="CM511" s="267"/>
      <c r="CN511" s="267"/>
      <c r="CO511" s="267"/>
      <c r="CP511" s="267"/>
      <c r="CQ511" s="267"/>
      <c r="CR511" s="267"/>
      <c r="CS511" s="267"/>
      <c r="CT511" s="267"/>
      <c r="CU511" s="267"/>
      <c r="CV511" s="267"/>
      <c r="CW511" s="267"/>
      <c r="CX511" s="267"/>
      <c r="CY511" s="267"/>
      <c r="CZ511" s="267"/>
    </row>
    <row r="512" spans="2:104">
      <c r="B512" s="1235"/>
      <c r="C512" s="1235"/>
      <c r="D512" s="1235"/>
      <c r="E512" s="267"/>
      <c r="F512" s="267"/>
      <c r="G512" s="267"/>
      <c r="H512" s="267"/>
      <c r="I512" s="267"/>
      <c r="J512" s="267"/>
      <c r="K512" s="267"/>
      <c r="L512" s="267"/>
      <c r="M512" s="267"/>
      <c r="N512" s="267"/>
      <c r="O512" s="267"/>
      <c r="P512" s="267"/>
      <c r="Q512" s="267"/>
      <c r="R512" s="267"/>
      <c r="S512" s="267"/>
      <c r="T512" s="267"/>
      <c r="U512" s="267"/>
      <c r="V512" s="267"/>
      <c r="W512" s="267"/>
      <c r="X512" s="267"/>
      <c r="Y512" s="267"/>
      <c r="Z512" s="267"/>
      <c r="AA512" s="267"/>
      <c r="AB512" s="267"/>
      <c r="AC512" s="267"/>
      <c r="AD512" s="267"/>
      <c r="AE512" s="267"/>
      <c r="AF512" s="267"/>
      <c r="AG512" s="267"/>
      <c r="AH512" s="267"/>
      <c r="AI512" s="267"/>
      <c r="AJ512" s="267"/>
      <c r="AK512" s="267"/>
      <c r="AL512" s="267"/>
      <c r="AM512" s="267"/>
      <c r="AN512" s="267"/>
      <c r="AO512" s="267"/>
      <c r="AP512" s="267"/>
      <c r="AQ512" s="267"/>
      <c r="AR512" s="267"/>
      <c r="AS512" s="267"/>
      <c r="AT512" s="267"/>
      <c r="AU512" s="267"/>
      <c r="AV512" s="267"/>
      <c r="AW512" s="267"/>
      <c r="AX512" s="267"/>
      <c r="AY512" s="267"/>
      <c r="AZ512" s="267"/>
      <c r="BA512" s="267"/>
      <c r="BB512" s="267"/>
      <c r="BC512" s="267"/>
      <c r="BD512" s="267"/>
      <c r="BE512" s="267"/>
      <c r="BF512" s="267"/>
      <c r="BG512" s="267"/>
      <c r="BH512" s="267"/>
      <c r="BI512" s="267"/>
      <c r="BJ512" s="267"/>
      <c r="BK512" s="267"/>
      <c r="BL512" s="267"/>
      <c r="BM512" s="267"/>
      <c r="BN512" s="267"/>
      <c r="BO512" s="267"/>
      <c r="BP512" s="267"/>
      <c r="BQ512" s="267"/>
      <c r="BR512" s="267"/>
      <c r="BS512" s="267"/>
      <c r="BT512" s="267"/>
      <c r="BU512" s="267"/>
      <c r="BV512" s="267"/>
      <c r="BW512" s="267"/>
      <c r="BX512" s="267"/>
      <c r="BY512" s="267"/>
      <c r="BZ512" s="267"/>
      <c r="CA512" s="267"/>
      <c r="CB512" s="267"/>
      <c r="CC512" s="267"/>
      <c r="CD512" s="267"/>
      <c r="CE512" s="267"/>
      <c r="CF512" s="267"/>
      <c r="CG512" s="267"/>
      <c r="CH512" s="267"/>
      <c r="CI512" s="267"/>
      <c r="CJ512" s="267"/>
      <c r="CK512" s="267"/>
      <c r="CL512" s="267"/>
      <c r="CM512" s="267"/>
      <c r="CN512" s="267"/>
      <c r="CO512" s="267"/>
      <c r="CP512" s="267"/>
      <c r="CQ512" s="267"/>
      <c r="CR512" s="267"/>
      <c r="CS512" s="267"/>
      <c r="CT512" s="267"/>
      <c r="CU512" s="267"/>
      <c r="CV512" s="267"/>
      <c r="CW512" s="267"/>
      <c r="CX512" s="267"/>
      <c r="CY512" s="267"/>
      <c r="CZ512" s="267"/>
    </row>
    <row r="513" spans="2:104">
      <c r="B513" s="1235"/>
      <c r="C513" s="1235"/>
      <c r="D513" s="1235"/>
      <c r="E513" s="267"/>
      <c r="F513" s="267"/>
      <c r="G513" s="267"/>
      <c r="H513" s="267"/>
      <c r="I513" s="267"/>
      <c r="J513" s="267"/>
      <c r="K513" s="267"/>
      <c r="L513" s="267"/>
      <c r="M513" s="267"/>
      <c r="N513" s="267"/>
      <c r="O513" s="267"/>
      <c r="P513" s="267"/>
      <c r="Q513" s="267"/>
      <c r="R513" s="267"/>
      <c r="S513" s="267"/>
      <c r="T513" s="267"/>
      <c r="U513" s="267"/>
      <c r="V513" s="267"/>
      <c r="W513" s="267"/>
      <c r="X513" s="267"/>
      <c r="Y513" s="267"/>
      <c r="Z513" s="267"/>
      <c r="AA513" s="267"/>
      <c r="AB513" s="267"/>
      <c r="AC513" s="267"/>
      <c r="AD513" s="267"/>
      <c r="AE513" s="267"/>
      <c r="AF513" s="267"/>
      <c r="AG513" s="267"/>
      <c r="AH513" s="267"/>
      <c r="AI513" s="267"/>
      <c r="AJ513" s="267"/>
      <c r="AK513" s="267"/>
      <c r="AL513" s="267"/>
      <c r="AM513" s="267"/>
      <c r="AN513" s="267"/>
      <c r="AO513" s="267"/>
      <c r="AP513" s="267"/>
      <c r="AQ513" s="267"/>
      <c r="AR513" s="267"/>
      <c r="AS513" s="267"/>
      <c r="AT513" s="267"/>
      <c r="AU513" s="267"/>
      <c r="AV513" s="267"/>
      <c r="AW513" s="267"/>
      <c r="AX513" s="267"/>
      <c r="AY513" s="267"/>
      <c r="AZ513" s="267"/>
      <c r="BA513" s="267"/>
      <c r="BB513" s="267"/>
      <c r="BC513" s="267"/>
      <c r="BD513" s="267"/>
      <c r="BE513" s="267"/>
      <c r="BF513" s="267"/>
      <c r="BG513" s="267"/>
      <c r="BH513" s="267"/>
      <c r="BI513" s="267"/>
      <c r="BJ513" s="267"/>
      <c r="BK513" s="267"/>
      <c r="BL513" s="267"/>
      <c r="BM513" s="267"/>
      <c r="BN513" s="267"/>
      <c r="BO513" s="267"/>
      <c r="BP513" s="267"/>
      <c r="BQ513" s="267"/>
      <c r="BR513" s="267"/>
      <c r="BS513" s="267"/>
      <c r="BT513" s="267"/>
      <c r="BU513" s="267"/>
      <c r="BV513" s="267"/>
      <c r="BW513" s="267"/>
      <c r="BX513" s="267"/>
      <c r="BY513" s="267"/>
      <c r="BZ513" s="267"/>
      <c r="CA513" s="267"/>
      <c r="CB513" s="267"/>
      <c r="CC513" s="267"/>
      <c r="CD513" s="267"/>
      <c r="CE513" s="267"/>
      <c r="CF513" s="267"/>
      <c r="CG513" s="267"/>
      <c r="CH513" s="267"/>
      <c r="CI513" s="267"/>
      <c r="CJ513" s="267"/>
      <c r="CK513" s="267"/>
      <c r="CL513" s="267"/>
      <c r="CM513" s="267"/>
      <c r="CN513" s="267"/>
      <c r="CO513" s="267"/>
      <c r="CP513" s="267"/>
      <c r="CQ513" s="267"/>
      <c r="CR513" s="267"/>
      <c r="CS513" s="267"/>
      <c r="CT513" s="267"/>
      <c r="CU513" s="267"/>
      <c r="CV513" s="267"/>
      <c r="CW513" s="267"/>
      <c r="CX513" s="267"/>
      <c r="CY513" s="267"/>
      <c r="CZ513" s="267"/>
    </row>
    <row r="514" spans="2:104">
      <c r="B514" s="1235"/>
      <c r="C514" s="1235"/>
      <c r="D514" s="1235"/>
      <c r="E514" s="267"/>
      <c r="F514" s="267"/>
      <c r="G514" s="267"/>
      <c r="H514" s="267"/>
      <c r="I514" s="267"/>
      <c r="J514" s="267"/>
      <c r="K514" s="267"/>
      <c r="L514" s="267"/>
      <c r="M514" s="267"/>
      <c r="N514" s="267"/>
      <c r="O514" s="267"/>
      <c r="P514" s="267"/>
      <c r="Q514" s="267"/>
      <c r="R514" s="267"/>
      <c r="S514" s="267"/>
      <c r="T514" s="267"/>
      <c r="U514" s="267"/>
      <c r="V514" s="267"/>
      <c r="W514" s="267"/>
      <c r="X514" s="267"/>
      <c r="Y514" s="267"/>
      <c r="Z514" s="267"/>
      <c r="AA514" s="267"/>
      <c r="AB514" s="267"/>
      <c r="AC514" s="267"/>
      <c r="AD514" s="267"/>
      <c r="AE514" s="267"/>
      <c r="AF514" s="267"/>
      <c r="AG514" s="267"/>
      <c r="AH514" s="267"/>
      <c r="AI514" s="267"/>
      <c r="AJ514" s="267"/>
      <c r="AK514" s="267"/>
      <c r="AL514" s="267"/>
      <c r="AM514" s="267"/>
      <c r="AN514" s="267"/>
      <c r="AO514" s="267"/>
      <c r="AP514" s="267"/>
      <c r="AQ514" s="267"/>
      <c r="AR514" s="267"/>
      <c r="AS514" s="267"/>
      <c r="AT514" s="267"/>
      <c r="AU514" s="267"/>
      <c r="AV514" s="267"/>
      <c r="AW514" s="267"/>
      <c r="AX514" s="267"/>
      <c r="AY514" s="267"/>
      <c r="AZ514" s="267"/>
      <c r="BA514" s="267"/>
      <c r="BB514" s="267"/>
      <c r="BC514" s="267"/>
      <c r="BD514" s="267"/>
      <c r="BE514" s="267"/>
      <c r="BF514" s="267"/>
      <c r="BG514" s="267"/>
      <c r="BH514" s="267"/>
      <c r="BI514" s="267"/>
      <c r="BJ514" s="267"/>
      <c r="BK514" s="267"/>
      <c r="BL514" s="267"/>
      <c r="BM514" s="267"/>
      <c r="BN514" s="267"/>
      <c r="BO514" s="267"/>
      <c r="BP514" s="267"/>
      <c r="BQ514" s="267"/>
      <c r="BR514" s="267"/>
      <c r="BS514" s="267"/>
      <c r="BT514" s="267"/>
      <c r="BU514" s="267"/>
      <c r="BV514" s="267"/>
      <c r="BW514" s="267"/>
      <c r="BX514" s="267"/>
      <c r="BY514" s="267"/>
      <c r="BZ514" s="267"/>
      <c r="CA514" s="267"/>
      <c r="CB514" s="267"/>
      <c r="CC514" s="267"/>
      <c r="CD514" s="267"/>
      <c r="CE514" s="267"/>
      <c r="CF514" s="267"/>
      <c r="CG514" s="267"/>
      <c r="CH514" s="267"/>
      <c r="CI514" s="267"/>
      <c r="CJ514" s="267"/>
      <c r="CK514" s="267"/>
      <c r="CL514" s="267"/>
      <c r="CM514" s="267"/>
      <c r="CN514" s="267"/>
      <c r="CO514" s="267"/>
      <c r="CP514" s="267"/>
      <c r="CQ514" s="267"/>
      <c r="CR514" s="267"/>
      <c r="CS514" s="267"/>
      <c r="CT514" s="267"/>
      <c r="CU514" s="267"/>
      <c r="CV514" s="267"/>
      <c r="CW514" s="267"/>
      <c r="CX514" s="267"/>
      <c r="CY514" s="267"/>
      <c r="CZ514" s="267"/>
    </row>
    <row r="515" spans="2:104">
      <c r="B515" s="1235"/>
      <c r="C515" s="1235"/>
      <c r="D515" s="1235"/>
      <c r="E515" s="267"/>
      <c r="F515" s="267"/>
      <c r="G515" s="267"/>
      <c r="H515" s="267"/>
      <c r="I515" s="267"/>
      <c r="J515" s="267"/>
      <c r="K515" s="267"/>
      <c r="L515" s="267"/>
      <c r="M515" s="267"/>
      <c r="N515" s="267"/>
      <c r="O515" s="267"/>
      <c r="P515" s="267"/>
      <c r="Q515" s="267"/>
      <c r="R515" s="267"/>
      <c r="S515" s="267"/>
      <c r="T515" s="267"/>
      <c r="U515" s="267"/>
      <c r="V515" s="267"/>
      <c r="W515" s="267"/>
      <c r="X515" s="267"/>
      <c r="Y515" s="267"/>
      <c r="Z515" s="267"/>
      <c r="AA515" s="267"/>
      <c r="AB515" s="267"/>
      <c r="AC515" s="267"/>
      <c r="AD515" s="267"/>
      <c r="AE515" s="267"/>
      <c r="AF515" s="267"/>
      <c r="AG515" s="267"/>
      <c r="AH515" s="267"/>
      <c r="AI515" s="267"/>
      <c r="AJ515" s="267"/>
      <c r="AK515" s="267"/>
      <c r="AL515" s="267"/>
      <c r="AM515" s="267"/>
      <c r="AN515" s="267"/>
      <c r="AO515" s="267"/>
      <c r="AP515" s="267"/>
      <c r="AQ515" s="267"/>
      <c r="AR515" s="267"/>
      <c r="AS515" s="267"/>
      <c r="AT515" s="267"/>
      <c r="AU515" s="267"/>
      <c r="AV515" s="267"/>
      <c r="AW515" s="267"/>
      <c r="AX515" s="267"/>
      <c r="AY515" s="267"/>
      <c r="AZ515" s="267"/>
      <c r="BA515" s="267"/>
      <c r="BB515" s="267"/>
      <c r="BC515" s="267"/>
      <c r="BD515" s="267"/>
      <c r="BE515" s="267"/>
      <c r="BF515" s="267"/>
      <c r="BG515" s="267"/>
      <c r="BH515" s="267"/>
      <c r="BI515" s="267"/>
      <c r="BJ515" s="267"/>
      <c r="BK515" s="267"/>
      <c r="BL515" s="267"/>
      <c r="BM515" s="267"/>
      <c r="BN515" s="267"/>
      <c r="BO515" s="267"/>
      <c r="BP515" s="267"/>
      <c r="BQ515" s="267"/>
      <c r="BR515" s="267"/>
      <c r="BS515" s="267"/>
      <c r="BT515" s="267"/>
      <c r="BU515" s="267"/>
      <c r="BV515" s="267"/>
      <c r="BW515" s="267"/>
      <c r="BX515" s="267"/>
      <c r="BY515" s="267"/>
      <c r="BZ515" s="267"/>
      <c r="CA515" s="267"/>
      <c r="CB515" s="267"/>
      <c r="CC515" s="267"/>
      <c r="CD515" s="267"/>
      <c r="CE515" s="267"/>
      <c r="CF515" s="267"/>
      <c r="CG515" s="267"/>
      <c r="CH515" s="267"/>
      <c r="CI515" s="267"/>
      <c r="CJ515" s="267"/>
      <c r="CK515" s="267"/>
      <c r="CL515" s="267"/>
      <c r="CM515" s="267"/>
      <c r="CN515" s="267"/>
      <c r="CO515" s="267"/>
      <c r="CP515" s="267"/>
      <c r="CQ515" s="267"/>
      <c r="CR515" s="267"/>
      <c r="CS515" s="267"/>
      <c r="CT515" s="267"/>
      <c r="CU515" s="267"/>
      <c r="CV515" s="267"/>
      <c r="CW515" s="267"/>
      <c r="CX515" s="267"/>
      <c r="CY515" s="267"/>
      <c r="CZ515" s="267"/>
    </row>
    <row r="516" spans="2:104">
      <c r="B516" s="1235"/>
      <c r="C516" s="1235"/>
      <c r="D516" s="1235"/>
      <c r="E516" s="267"/>
      <c r="F516" s="267"/>
      <c r="G516" s="267"/>
      <c r="H516" s="267"/>
      <c r="I516" s="267"/>
      <c r="J516" s="267"/>
      <c r="K516" s="267"/>
      <c r="L516" s="267"/>
      <c r="M516" s="267"/>
      <c r="N516" s="267"/>
      <c r="O516" s="267"/>
      <c r="P516" s="267"/>
      <c r="Q516" s="267"/>
      <c r="R516" s="267"/>
      <c r="S516" s="267"/>
      <c r="T516" s="267"/>
      <c r="U516" s="267"/>
      <c r="V516" s="267"/>
      <c r="W516" s="267"/>
      <c r="X516" s="267"/>
      <c r="Y516" s="267"/>
      <c r="Z516" s="267"/>
      <c r="AA516" s="267"/>
      <c r="AB516" s="267"/>
      <c r="AC516" s="267"/>
      <c r="AD516" s="267"/>
      <c r="AE516" s="267"/>
      <c r="AF516" s="267"/>
      <c r="AG516" s="267"/>
      <c r="AH516" s="267"/>
      <c r="AI516" s="267"/>
      <c r="AJ516" s="267"/>
      <c r="AK516" s="267"/>
      <c r="AL516" s="267"/>
      <c r="AM516" s="267"/>
      <c r="AN516" s="267"/>
      <c r="AO516" s="267"/>
      <c r="AP516" s="267"/>
      <c r="AQ516" s="267"/>
      <c r="AR516" s="267"/>
      <c r="AS516" s="267"/>
      <c r="AT516" s="267"/>
      <c r="AU516" s="267"/>
      <c r="AV516" s="267"/>
      <c r="AW516" s="267"/>
      <c r="AX516" s="267"/>
      <c r="AY516" s="267"/>
      <c r="AZ516" s="267"/>
      <c r="BA516" s="267"/>
      <c r="BB516" s="267"/>
      <c r="BC516" s="267"/>
      <c r="BD516" s="267"/>
      <c r="BE516" s="267"/>
      <c r="BF516" s="267"/>
      <c r="BG516" s="267"/>
      <c r="BH516" s="267"/>
      <c r="BI516" s="267"/>
      <c r="BJ516" s="267"/>
      <c r="BK516" s="267"/>
      <c r="BL516" s="267"/>
      <c r="BM516" s="267"/>
      <c r="BN516" s="267"/>
      <c r="BO516" s="267"/>
      <c r="BP516" s="267"/>
      <c r="BQ516" s="267"/>
      <c r="BR516" s="267"/>
      <c r="BS516" s="267"/>
      <c r="BT516" s="267"/>
      <c r="BU516" s="267"/>
      <c r="BV516" s="267"/>
      <c r="BW516" s="267"/>
      <c r="BX516" s="267"/>
      <c r="BY516" s="267"/>
      <c r="BZ516" s="267"/>
      <c r="CA516" s="267"/>
      <c r="CB516" s="267"/>
      <c r="CC516" s="267"/>
      <c r="CD516" s="267"/>
      <c r="CE516" s="267"/>
      <c r="CF516" s="267"/>
      <c r="CG516" s="267"/>
      <c r="CH516" s="267"/>
      <c r="CI516" s="267"/>
      <c r="CJ516" s="267"/>
      <c r="CK516" s="267"/>
      <c r="CL516" s="267"/>
      <c r="CM516" s="267"/>
      <c r="CN516" s="267"/>
      <c r="CO516" s="267"/>
      <c r="CP516" s="267"/>
      <c r="CQ516" s="267"/>
      <c r="CR516" s="267"/>
      <c r="CS516" s="267"/>
      <c r="CT516" s="267"/>
      <c r="CU516" s="267"/>
      <c r="CV516" s="267"/>
      <c r="CW516" s="267"/>
      <c r="CX516" s="267"/>
      <c r="CY516" s="267"/>
      <c r="CZ516" s="267"/>
    </row>
    <row r="517" spans="2:104">
      <c r="B517" s="1235"/>
      <c r="C517" s="1235"/>
      <c r="D517" s="1235"/>
      <c r="E517" s="267"/>
      <c r="F517" s="267"/>
      <c r="G517" s="267"/>
      <c r="H517" s="267"/>
      <c r="I517" s="267"/>
      <c r="J517" s="267"/>
      <c r="K517" s="267"/>
      <c r="L517" s="267"/>
      <c r="M517" s="267"/>
      <c r="N517" s="267"/>
      <c r="O517" s="267"/>
      <c r="P517" s="267"/>
      <c r="Q517" s="267"/>
      <c r="R517" s="267"/>
      <c r="S517" s="267"/>
      <c r="T517" s="267"/>
      <c r="U517" s="267"/>
      <c r="V517" s="267"/>
      <c r="W517" s="267"/>
      <c r="X517" s="267"/>
      <c r="Y517" s="267"/>
      <c r="Z517" s="267"/>
      <c r="AA517" s="267"/>
      <c r="AB517" s="267"/>
      <c r="AC517" s="267"/>
      <c r="AD517" s="267"/>
      <c r="AE517" s="267"/>
      <c r="AF517" s="267"/>
      <c r="AG517" s="267"/>
      <c r="AH517" s="267"/>
      <c r="AI517" s="267"/>
      <c r="AJ517" s="267"/>
      <c r="AK517" s="267"/>
      <c r="AL517" s="267"/>
      <c r="AM517" s="267"/>
      <c r="AN517" s="267"/>
      <c r="AO517" s="267"/>
      <c r="AP517" s="267"/>
      <c r="AQ517" s="267"/>
      <c r="AR517" s="267"/>
      <c r="AS517" s="267"/>
      <c r="AT517" s="267"/>
      <c r="AU517" s="267"/>
      <c r="AV517" s="267"/>
      <c r="AW517" s="267"/>
      <c r="AX517" s="267"/>
      <c r="AY517" s="267"/>
      <c r="AZ517" s="267"/>
      <c r="BA517" s="267"/>
      <c r="BB517" s="267"/>
      <c r="BC517" s="267"/>
      <c r="BD517" s="267"/>
      <c r="BE517" s="267"/>
      <c r="BF517" s="267"/>
      <c r="BG517" s="267"/>
      <c r="BH517" s="267"/>
      <c r="BI517" s="267"/>
      <c r="BJ517" s="267"/>
      <c r="BK517" s="267"/>
      <c r="BL517" s="267"/>
      <c r="BM517" s="267"/>
      <c r="BN517" s="267"/>
      <c r="BO517" s="267"/>
      <c r="BP517" s="267"/>
      <c r="BQ517" s="267"/>
      <c r="BR517" s="267"/>
      <c r="BS517" s="267"/>
      <c r="BT517" s="267"/>
      <c r="BU517" s="267"/>
      <c r="BV517" s="267"/>
      <c r="BW517" s="267"/>
      <c r="BX517" s="267"/>
      <c r="BY517" s="267"/>
      <c r="BZ517" s="267"/>
      <c r="CA517" s="267"/>
      <c r="CB517" s="267"/>
      <c r="CC517" s="267"/>
      <c r="CD517" s="267"/>
      <c r="CE517" s="267"/>
      <c r="CF517" s="267"/>
      <c r="CG517" s="267"/>
      <c r="CH517" s="267"/>
      <c r="CI517" s="267"/>
      <c r="CJ517" s="267"/>
      <c r="CK517" s="267"/>
      <c r="CL517" s="267"/>
      <c r="CM517" s="267"/>
      <c r="CN517" s="267"/>
      <c r="CO517" s="267"/>
      <c r="CP517" s="267"/>
      <c r="CQ517" s="267"/>
      <c r="CR517" s="267"/>
      <c r="CS517" s="267"/>
      <c r="CT517" s="267"/>
      <c r="CU517" s="267"/>
      <c r="CV517" s="267"/>
      <c r="CW517" s="267"/>
      <c r="CX517" s="267"/>
      <c r="CY517" s="267"/>
      <c r="CZ517" s="267"/>
    </row>
    <row r="518" spans="2:104">
      <c r="B518" s="1235"/>
      <c r="C518" s="1235"/>
      <c r="D518" s="1235"/>
      <c r="E518" s="267"/>
      <c r="F518" s="267"/>
      <c r="G518" s="267"/>
      <c r="H518" s="267"/>
      <c r="I518" s="267"/>
      <c r="J518" s="267"/>
      <c r="K518" s="267"/>
      <c r="L518" s="267"/>
      <c r="M518" s="267"/>
      <c r="N518" s="267"/>
      <c r="O518" s="267"/>
      <c r="P518" s="267"/>
      <c r="Q518" s="267"/>
      <c r="R518" s="267"/>
      <c r="S518" s="267"/>
      <c r="T518" s="267"/>
      <c r="U518" s="267"/>
      <c r="V518" s="267"/>
      <c r="W518" s="267"/>
      <c r="X518" s="267"/>
      <c r="Y518" s="267"/>
      <c r="Z518" s="267"/>
      <c r="AA518" s="267"/>
      <c r="AB518" s="267"/>
      <c r="AC518" s="267"/>
      <c r="AD518" s="267"/>
      <c r="AE518" s="267"/>
      <c r="AF518" s="267"/>
      <c r="AG518" s="267"/>
      <c r="AH518" s="267"/>
      <c r="AI518" s="267"/>
      <c r="AJ518" s="267"/>
      <c r="AK518" s="267"/>
      <c r="AL518" s="267"/>
      <c r="AM518" s="267"/>
      <c r="AN518" s="267"/>
      <c r="AO518" s="267"/>
      <c r="AP518" s="267"/>
      <c r="AQ518" s="267"/>
      <c r="AR518" s="267"/>
      <c r="AS518" s="267"/>
      <c r="AT518" s="267"/>
      <c r="AU518" s="267"/>
      <c r="AV518" s="267"/>
      <c r="AW518" s="267"/>
      <c r="AX518" s="267"/>
      <c r="AY518" s="267"/>
      <c r="AZ518" s="267"/>
      <c r="BA518" s="267"/>
      <c r="BB518" s="267"/>
      <c r="BC518" s="267"/>
      <c r="BD518" s="267"/>
      <c r="BE518" s="267"/>
      <c r="BF518" s="267"/>
      <c r="BG518" s="267"/>
      <c r="BH518" s="267"/>
      <c r="BI518" s="267"/>
      <c r="BJ518" s="267"/>
      <c r="BK518" s="267"/>
      <c r="BL518" s="267"/>
      <c r="BM518" s="267"/>
      <c r="BN518" s="267"/>
      <c r="BO518" s="267"/>
      <c r="BP518" s="267"/>
      <c r="BQ518" s="267"/>
      <c r="BR518" s="267"/>
      <c r="BS518" s="267"/>
      <c r="BT518" s="267"/>
      <c r="BU518" s="267"/>
      <c r="BV518" s="267"/>
      <c r="BW518" s="267"/>
      <c r="BX518" s="267"/>
      <c r="BY518" s="267"/>
      <c r="BZ518" s="267"/>
      <c r="CA518" s="267"/>
      <c r="CB518" s="267"/>
      <c r="CC518" s="267"/>
      <c r="CD518" s="267"/>
      <c r="CE518" s="267"/>
      <c r="CF518" s="267"/>
      <c r="CG518" s="267"/>
      <c r="CH518" s="267"/>
      <c r="CI518" s="267"/>
      <c r="CJ518" s="267"/>
      <c r="CK518" s="267"/>
      <c r="CL518" s="267"/>
      <c r="CM518" s="267"/>
      <c r="CN518" s="267"/>
      <c r="CO518" s="267"/>
      <c r="CP518" s="267"/>
      <c r="CQ518" s="267"/>
      <c r="CR518" s="267"/>
      <c r="CS518" s="267"/>
      <c r="CT518" s="267"/>
      <c r="CU518" s="267"/>
      <c r="CV518" s="267"/>
      <c r="CW518" s="267"/>
      <c r="CX518" s="267"/>
      <c r="CY518" s="267"/>
      <c r="CZ518" s="267"/>
    </row>
    <row r="519" spans="2:104">
      <c r="B519" s="1235"/>
      <c r="C519" s="1235"/>
      <c r="D519" s="1235"/>
      <c r="E519" s="267"/>
      <c r="F519" s="267"/>
      <c r="G519" s="267"/>
      <c r="H519" s="267"/>
      <c r="I519" s="267"/>
      <c r="J519" s="267"/>
      <c r="K519" s="267"/>
      <c r="L519" s="267"/>
      <c r="M519" s="267"/>
      <c r="N519" s="267"/>
      <c r="O519" s="267"/>
      <c r="P519" s="267"/>
      <c r="Q519" s="267"/>
      <c r="R519" s="267"/>
      <c r="S519" s="267"/>
      <c r="T519" s="267"/>
      <c r="U519" s="267"/>
      <c r="V519" s="267"/>
      <c r="W519" s="267"/>
      <c r="X519" s="267"/>
      <c r="Y519" s="267"/>
      <c r="Z519" s="267"/>
      <c r="AA519" s="267"/>
      <c r="AB519" s="267"/>
      <c r="AC519" s="267"/>
      <c r="AD519" s="267"/>
      <c r="AE519" s="267"/>
      <c r="AF519" s="267"/>
      <c r="AG519" s="267"/>
      <c r="AH519" s="267"/>
      <c r="AI519" s="267"/>
      <c r="AJ519" s="267"/>
      <c r="AK519" s="267"/>
      <c r="AL519" s="267"/>
      <c r="AM519" s="267"/>
      <c r="AN519" s="267"/>
      <c r="AO519" s="267"/>
      <c r="AP519" s="267"/>
      <c r="AQ519" s="267"/>
      <c r="AR519" s="267"/>
      <c r="AS519" s="267"/>
      <c r="AT519" s="267"/>
      <c r="AU519" s="267"/>
      <c r="AV519" s="267"/>
      <c r="AW519" s="267"/>
      <c r="AX519" s="267"/>
      <c r="AY519" s="267"/>
      <c r="AZ519" s="267"/>
      <c r="BA519" s="267"/>
      <c r="BB519" s="267"/>
      <c r="BC519" s="267"/>
      <c r="BD519" s="267"/>
      <c r="BE519" s="267"/>
      <c r="BF519" s="267"/>
      <c r="BG519" s="267"/>
      <c r="BH519" s="267"/>
      <c r="BI519" s="267"/>
      <c r="BJ519" s="267"/>
      <c r="BK519" s="267"/>
      <c r="BL519" s="267"/>
      <c r="BM519" s="267"/>
      <c r="BN519" s="267"/>
      <c r="BO519" s="267"/>
      <c r="BP519" s="267"/>
      <c r="BQ519" s="267"/>
      <c r="BR519" s="267"/>
      <c r="BS519" s="267"/>
      <c r="BT519" s="267"/>
      <c r="BU519" s="267"/>
      <c r="BV519" s="267"/>
      <c r="BW519" s="267"/>
      <c r="BX519" s="267"/>
      <c r="BY519" s="267"/>
      <c r="BZ519" s="267"/>
      <c r="CA519" s="267"/>
      <c r="CB519" s="267"/>
      <c r="CC519" s="267"/>
      <c r="CD519" s="267"/>
      <c r="CE519" s="267"/>
      <c r="CF519" s="267"/>
      <c r="CG519" s="267"/>
      <c r="CH519" s="267"/>
      <c r="CI519" s="267"/>
      <c r="CJ519" s="267"/>
      <c r="CK519" s="267"/>
      <c r="CL519" s="267"/>
      <c r="CM519" s="267"/>
      <c r="CN519" s="267"/>
      <c r="CO519" s="267"/>
      <c r="CP519" s="267"/>
      <c r="CQ519" s="267"/>
      <c r="CR519" s="267"/>
      <c r="CS519" s="267"/>
      <c r="CT519" s="267"/>
      <c r="CU519" s="267"/>
      <c r="CV519" s="267"/>
      <c r="CW519" s="267"/>
      <c r="CX519" s="267"/>
      <c r="CY519" s="267"/>
      <c r="CZ519" s="267"/>
    </row>
    <row r="520" spans="2:104">
      <c r="B520" s="1235"/>
      <c r="C520" s="1235"/>
      <c r="D520" s="1235"/>
      <c r="E520" s="267"/>
      <c r="F520" s="267"/>
      <c r="G520" s="267"/>
      <c r="H520" s="267"/>
      <c r="I520" s="267"/>
      <c r="J520" s="267"/>
      <c r="K520" s="267"/>
      <c r="L520" s="267"/>
      <c r="M520" s="267"/>
      <c r="N520" s="267"/>
      <c r="O520" s="267"/>
      <c r="P520" s="267"/>
      <c r="Q520" s="267"/>
      <c r="R520" s="267"/>
      <c r="S520" s="267"/>
      <c r="T520" s="267"/>
      <c r="U520" s="267"/>
      <c r="V520" s="267"/>
      <c r="W520" s="267"/>
      <c r="X520" s="267"/>
      <c r="Y520" s="267"/>
      <c r="Z520" s="267"/>
      <c r="AA520" s="267"/>
      <c r="AB520" s="267"/>
      <c r="AC520" s="267"/>
      <c r="AD520" s="267"/>
      <c r="AE520" s="267"/>
      <c r="AF520" s="267"/>
      <c r="AG520" s="267"/>
      <c r="AH520" s="267"/>
      <c r="AI520" s="267"/>
      <c r="AJ520" s="267"/>
      <c r="AK520" s="267"/>
      <c r="AL520" s="267"/>
      <c r="AM520" s="267"/>
      <c r="AN520" s="267"/>
      <c r="AO520" s="267"/>
      <c r="AP520" s="267"/>
      <c r="AQ520" s="267"/>
      <c r="AR520" s="267"/>
      <c r="AS520" s="267"/>
      <c r="AT520" s="267"/>
      <c r="AU520" s="267"/>
      <c r="AV520" s="267"/>
      <c r="AW520" s="267"/>
      <c r="AX520" s="267"/>
      <c r="AY520" s="267"/>
      <c r="AZ520" s="267"/>
      <c r="BA520" s="267"/>
      <c r="BB520" s="267"/>
      <c r="BC520" s="267"/>
      <c r="BD520" s="267"/>
      <c r="BE520" s="267"/>
      <c r="BF520" s="267"/>
      <c r="BG520" s="267"/>
      <c r="BH520" s="267"/>
      <c r="BI520" s="267"/>
      <c r="BJ520" s="267"/>
      <c r="BK520" s="267"/>
      <c r="BL520" s="267"/>
      <c r="BM520" s="267"/>
      <c r="BN520" s="267"/>
      <c r="BO520" s="267"/>
      <c r="BP520" s="267"/>
      <c r="BQ520" s="267"/>
      <c r="BR520" s="267"/>
      <c r="BS520" s="267"/>
      <c r="BT520" s="267"/>
      <c r="BU520" s="267"/>
      <c r="BV520" s="267"/>
      <c r="BW520" s="267"/>
      <c r="BX520" s="267"/>
      <c r="BY520" s="267"/>
      <c r="BZ520" s="267"/>
      <c r="CA520" s="267"/>
      <c r="CB520" s="267"/>
      <c r="CC520" s="267"/>
      <c r="CD520" s="267"/>
      <c r="CE520" s="267"/>
      <c r="CF520" s="267"/>
      <c r="CG520" s="267"/>
      <c r="CH520" s="267"/>
      <c r="CI520" s="267"/>
      <c r="CJ520" s="267"/>
      <c r="CK520" s="267"/>
      <c r="CL520" s="267"/>
      <c r="CM520" s="267"/>
      <c r="CN520" s="267"/>
      <c r="CO520" s="267"/>
      <c r="CP520" s="267"/>
      <c r="CQ520" s="267"/>
      <c r="CR520" s="267"/>
      <c r="CS520" s="267"/>
      <c r="CT520" s="267"/>
      <c r="CU520" s="267"/>
      <c r="CV520" s="267"/>
      <c r="CW520" s="267"/>
      <c r="CX520" s="267"/>
      <c r="CY520" s="267"/>
      <c r="CZ520" s="267"/>
    </row>
    <row r="521" spans="2:104">
      <c r="B521" s="1235"/>
      <c r="C521" s="1235"/>
      <c r="D521" s="1235"/>
      <c r="E521" s="267"/>
      <c r="F521" s="267"/>
      <c r="G521" s="267"/>
      <c r="H521" s="267"/>
      <c r="I521" s="267"/>
      <c r="J521" s="267"/>
      <c r="K521" s="267"/>
      <c r="L521" s="267"/>
      <c r="M521" s="267"/>
      <c r="N521" s="267"/>
      <c r="O521" s="267"/>
      <c r="P521" s="267"/>
      <c r="Q521" s="267"/>
      <c r="R521" s="267"/>
      <c r="S521" s="267"/>
      <c r="T521" s="267"/>
      <c r="U521" s="267"/>
      <c r="V521" s="267"/>
      <c r="W521" s="267"/>
      <c r="X521" s="267"/>
      <c r="Y521" s="267"/>
      <c r="Z521" s="267"/>
      <c r="AA521" s="267"/>
      <c r="AB521" s="267"/>
      <c r="AC521" s="267"/>
      <c r="AD521" s="267"/>
      <c r="AE521" s="267"/>
      <c r="AF521" s="267"/>
      <c r="AG521" s="267"/>
      <c r="AH521" s="267"/>
      <c r="AI521" s="267"/>
      <c r="AJ521" s="267"/>
      <c r="AK521" s="267"/>
      <c r="AL521" s="267"/>
      <c r="AM521" s="267"/>
      <c r="AN521" s="267"/>
      <c r="AO521" s="267"/>
      <c r="AP521" s="267"/>
      <c r="AQ521" s="267"/>
      <c r="AR521" s="267"/>
      <c r="AS521" s="267"/>
      <c r="AT521" s="267"/>
      <c r="AU521" s="267"/>
      <c r="AV521" s="267"/>
      <c r="AW521" s="267"/>
      <c r="AX521" s="267"/>
      <c r="AY521" s="267"/>
      <c r="AZ521" s="267"/>
      <c r="BA521" s="267"/>
      <c r="BB521" s="267"/>
      <c r="BC521" s="267"/>
      <c r="BD521" s="267"/>
      <c r="BE521" s="267"/>
      <c r="BF521" s="267"/>
      <c r="BG521" s="267"/>
      <c r="BH521" s="267"/>
      <c r="BI521" s="267"/>
      <c r="BJ521" s="267"/>
      <c r="BK521" s="267"/>
      <c r="BL521" s="267"/>
      <c r="BM521" s="267"/>
      <c r="BN521" s="267"/>
      <c r="BO521" s="267"/>
      <c r="BP521" s="267"/>
      <c r="BQ521" s="267"/>
      <c r="BR521" s="267"/>
      <c r="BS521" s="267"/>
      <c r="BT521" s="267"/>
      <c r="BU521" s="267"/>
      <c r="BV521" s="267"/>
      <c r="BW521" s="267"/>
      <c r="BX521" s="267"/>
      <c r="BY521" s="267"/>
      <c r="BZ521" s="267"/>
      <c r="CA521" s="267"/>
      <c r="CB521" s="267"/>
      <c r="CC521" s="267"/>
      <c r="CD521" s="267"/>
      <c r="CE521" s="267"/>
      <c r="CF521" s="267"/>
      <c r="CG521" s="267"/>
      <c r="CH521" s="267"/>
      <c r="CI521" s="267"/>
      <c r="CJ521" s="267"/>
      <c r="CK521" s="267"/>
      <c r="CL521" s="267"/>
      <c r="CM521" s="267"/>
      <c r="CN521" s="267"/>
      <c r="CO521" s="267"/>
      <c r="CP521" s="267"/>
      <c r="CQ521" s="267"/>
      <c r="CR521" s="267"/>
      <c r="CS521" s="267"/>
      <c r="CT521" s="267"/>
      <c r="CU521" s="267"/>
      <c r="CV521" s="267"/>
      <c r="CW521" s="267"/>
      <c r="CX521" s="267"/>
      <c r="CY521" s="267"/>
      <c r="CZ521" s="267"/>
    </row>
    <row r="522" spans="2:104">
      <c r="B522" s="1235"/>
      <c r="C522" s="1235"/>
      <c r="D522" s="1235"/>
      <c r="E522" s="267"/>
      <c r="F522" s="267"/>
      <c r="G522" s="267"/>
      <c r="H522" s="267"/>
      <c r="I522" s="267"/>
      <c r="J522" s="267"/>
      <c r="K522" s="267"/>
      <c r="L522" s="267"/>
      <c r="M522" s="267"/>
      <c r="N522" s="267"/>
      <c r="O522" s="267"/>
      <c r="P522" s="267"/>
      <c r="Q522" s="267"/>
      <c r="R522" s="267"/>
      <c r="S522" s="267"/>
      <c r="T522" s="267"/>
      <c r="U522" s="267"/>
      <c r="V522" s="267"/>
      <c r="W522" s="267"/>
      <c r="X522" s="267"/>
      <c r="Y522" s="267"/>
      <c r="Z522" s="267"/>
      <c r="AA522" s="267"/>
      <c r="AB522" s="267"/>
      <c r="AC522" s="267"/>
      <c r="AD522" s="267"/>
      <c r="AE522" s="267"/>
      <c r="AF522" s="267"/>
      <c r="AG522" s="267"/>
      <c r="AH522" s="267"/>
      <c r="AI522" s="267"/>
      <c r="AJ522" s="267"/>
      <c r="AK522" s="267"/>
      <c r="AL522" s="267"/>
      <c r="AM522" s="267"/>
      <c r="AN522" s="267"/>
      <c r="AO522" s="267"/>
      <c r="AP522" s="267"/>
      <c r="AQ522" s="267"/>
      <c r="AR522" s="267"/>
      <c r="AS522" s="267"/>
      <c r="AT522" s="267"/>
      <c r="AU522" s="267"/>
      <c r="AV522" s="267"/>
      <c r="AW522" s="267"/>
      <c r="AX522" s="267"/>
      <c r="AY522" s="267"/>
      <c r="AZ522" s="267"/>
      <c r="BA522" s="267"/>
      <c r="BB522" s="267"/>
      <c r="BC522" s="267"/>
      <c r="BD522" s="267"/>
      <c r="BE522" s="267"/>
      <c r="BF522" s="267"/>
      <c r="BG522" s="267"/>
      <c r="BH522" s="267"/>
      <c r="BI522" s="267"/>
      <c r="BJ522" s="267"/>
      <c r="BK522" s="267"/>
      <c r="BL522" s="267"/>
      <c r="BM522" s="267"/>
      <c r="BN522" s="267"/>
      <c r="BO522" s="267"/>
      <c r="BP522" s="267"/>
      <c r="BQ522" s="267"/>
      <c r="BR522" s="267"/>
      <c r="BS522" s="267"/>
      <c r="BT522" s="267"/>
      <c r="BU522" s="267"/>
      <c r="BV522" s="267"/>
      <c r="BW522" s="267"/>
      <c r="BX522" s="267"/>
      <c r="BY522" s="267"/>
      <c r="BZ522" s="267"/>
      <c r="CA522" s="267"/>
      <c r="CB522" s="267"/>
      <c r="CC522" s="267"/>
      <c r="CD522" s="267"/>
      <c r="CE522" s="267"/>
      <c r="CF522" s="267"/>
      <c r="CG522" s="267"/>
      <c r="CH522" s="267"/>
      <c r="CI522" s="267"/>
      <c r="CJ522" s="267"/>
      <c r="CK522" s="267"/>
      <c r="CL522" s="267"/>
      <c r="CM522" s="267"/>
      <c r="CN522" s="267"/>
      <c r="CO522" s="267"/>
      <c r="CP522" s="267"/>
      <c r="CQ522" s="267"/>
      <c r="CR522" s="267"/>
      <c r="CS522" s="267"/>
      <c r="CT522" s="267"/>
      <c r="CU522" s="267"/>
      <c r="CV522" s="267"/>
      <c r="CW522" s="267"/>
      <c r="CX522" s="267"/>
      <c r="CY522" s="267"/>
      <c r="CZ522" s="267"/>
    </row>
    <row r="523" spans="2:104">
      <c r="B523" s="1235"/>
      <c r="C523" s="1235"/>
      <c r="D523" s="1235"/>
      <c r="E523" s="267"/>
      <c r="F523" s="267"/>
      <c r="G523" s="267"/>
      <c r="H523" s="267"/>
      <c r="I523" s="267"/>
      <c r="J523" s="267"/>
      <c r="K523" s="267"/>
      <c r="L523" s="267"/>
      <c r="M523" s="267"/>
      <c r="N523" s="267"/>
      <c r="O523" s="267"/>
      <c r="P523" s="267"/>
      <c r="Q523" s="267"/>
      <c r="R523" s="267"/>
      <c r="S523" s="267"/>
      <c r="T523" s="267"/>
      <c r="U523" s="267"/>
      <c r="V523" s="267"/>
      <c r="W523" s="267"/>
      <c r="X523" s="267"/>
      <c r="Y523" s="267"/>
      <c r="Z523" s="267"/>
      <c r="AA523" s="267"/>
      <c r="AB523" s="267"/>
      <c r="AC523" s="267"/>
      <c r="AD523" s="267"/>
      <c r="AE523" s="267"/>
      <c r="AF523" s="267"/>
      <c r="AG523" s="267"/>
      <c r="AH523" s="267"/>
      <c r="AI523" s="267"/>
      <c r="AJ523" s="267"/>
      <c r="AK523" s="267"/>
      <c r="AL523" s="267"/>
      <c r="AM523" s="267"/>
      <c r="AN523" s="267"/>
      <c r="AO523" s="267"/>
      <c r="AP523" s="267"/>
      <c r="AQ523" s="267"/>
      <c r="AR523" s="267"/>
      <c r="AS523" s="267"/>
      <c r="AT523" s="267"/>
      <c r="AU523" s="267"/>
      <c r="AV523" s="267"/>
      <c r="AW523" s="267"/>
      <c r="AX523" s="267"/>
      <c r="AY523" s="267"/>
      <c r="AZ523" s="267"/>
      <c r="BA523" s="267"/>
      <c r="BB523" s="267"/>
      <c r="BC523" s="267"/>
      <c r="BD523" s="267"/>
      <c r="BE523" s="267"/>
      <c r="BF523" s="267"/>
      <c r="BG523" s="267"/>
      <c r="BH523" s="267"/>
      <c r="BI523" s="267"/>
      <c r="BJ523" s="267"/>
      <c r="BK523" s="267"/>
      <c r="BL523" s="267"/>
      <c r="BM523" s="267"/>
      <c r="BN523" s="267"/>
      <c r="BO523" s="267"/>
      <c r="BP523" s="267"/>
      <c r="BQ523" s="267"/>
      <c r="BR523" s="267"/>
      <c r="BS523" s="267"/>
      <c r="BT523" s="267"/>
      <c r="BU523" s="267"/>
      <c r="BV523" s="267"/>
      <c r="BW523" s="267"/>
      <c r="BX523" s="267"/>
      <c r="BY523" s="267"/>
      <c r="BZ523" s="267"/>
      <c r="CA523" s="267"/>
      <c r="CB523" s="267"/>
      <c r="CC523" s="267"/>
      <c r="CD523" s="267"/>
      <c r="CE523" s="267"/>
      <c r="CF523" s="267"/>
      <c r="CG523" s="267"/>
      <c r="CH523" s="267"/>
      <c r="CI523" s="267"/>
      <c r="CJ523" s="267"/>
      <c r="CK523" s="267"/>
      <c r="CL523" s="267"/>
      <c r="CM523" s="267"/>
      <c r="CN523" s="267"/>
      <c r="CO523" s="267"/>
      <c r="CP523" s="267"/>
      <c r="CQ523" s="267"/>
      <c r="CR523" s="267"/>
      <c r="CS523" s="267"/>
      <c r="CT523" s="267"/>
      <c r="CU523" s="267"/>
      <c r="CV523" s="267"/>
      <c r="CW523" s="267"/>
      <c r="CX523" s="267"/>
      <c r="CY523" s="267"/>
      <c r="CZ523" s="267"/>
    </row>
    <row r="524" spans="2:104">
      <c r="B524" s="1235"/>
      <c r="C524" s="1235"/>
      <c r="D524" s="1235"/>
      <c r="E524" s="267"/>
      <c r="F524" s="267"/>
      <c r="G524" s="267"/>
      <c r="H524" s="267"/>
      <c r="I524" s="267"/>
      <c r="J524" s="267"/>
      <c r="K524" s="267"/>
      <c r="L524" s="267"/>
      <c r="M524" s="267"/>
      <c r="N524" s="267"/>
      <c r="O524" s="267"/>
      <c r="P524" s="267"/>
      <c r="Q524" s="267"/>
      <c r="R524" s="267"/>
      <c r="S524" s="267"/>
      <c r="T524" s="267"/>
      <c r="U524" s="267"/>
      <c r="V524" s="267"/>
      <c r="W524" s="267"/>
      <c r="X524" s="267"/>
      <c r="Y524" s="267"/>
      <c r="Z524" s="267"/>
      <c r="AA524" s="267"/>
      <c r="AB524" s="267"/>
      <c r="AC524" s="267"/>
      <c r="AD524" s="267"/>
      <c r="AE524" s="267"/>
      <c r="AF524" s="267"/>
      <c r="AG524" s="267"/>
      <c r="AH524" s="267"/>
      <c r="AI524" s="267"/>
      <c r="AJ524" s="267"/>
      <c r="AK524" s="267"/>
      <c r="AL524" s="267"/>
      <c r="AM524" s="267"/>
      <c r="AN524" s="267"/>
      <c r="AO524" s="267"/>
      <c r="AP524" s="267"/>
      <c r="AQ524" s="267"/>
      <c r="AR524" s="267"/>
      <c r="AS524" s="267"/>
      <c r="AT524" s="267"/>
      <c r="AU524" s="267"/>
      <c r="AV524" s="267"/>
      <c r="AW524" s="267"/>
      <c r="AX524" s="267"/>
      <c r="AY524" s="267"/>
      <c r="AZ524" s="267"/>
      <c r="BA524" s="267"/>
      <c r="BB524" s="267"/>
      <c r="BC524" s="267"/>
      <c r="BD524" s="267"/>
      <c r="BE524" s="267"/>
      <c r="BF524" s="267"/>
      <c r="BG524" s="267"/>
      <c r="BH524" s="267"/>
      <c r="BI524" s="267"/>
      <c r="BJ524" s="267"/>
      <c r="BK524" s="267"/>
      <c r="BL524" s="267"/>
      <c r="BM524" s="267"/>
      <c r="BN524" s="267"/>
      <c r="BO524" s="267"/>
      <c r="BP524" s="267"/>
      <c r="BQ524" s="267"/>
      <c r="BR524" s="267"/>
      <c r="BS524" s="267"/>
      <c r="BT524" s="267"/>
      <c r="BU524" s="267"/>
      <c r="BV524" s="267"/>
      <c r="BW524" s="267"/>
      <c r="BX524" s="267"/>
      <c r="BY524" s="267"/>
      <c r="BZ524" s="267"/>
      <c r="CA524" s="267"/>
      <c r="CB524" s="267"/>
      <c r="CC524" s="267"/>
      <c r="CD524" s="267"/>
      <c r="CE524" s="267"/>
      <c r="CF524" s="267"/>
      <c r="CG524" s="267"/>
      <c r="CH524" s="267"/>
      <c r="CI524" s="267"/>
      <c r="CJ524" s="267"/>
      <c r="CK524" s="267"/>
      <c r="CL524" s="267"/>
      <c r="CM524" s="267"/>
      <c r="CN524" s="267"/>
      <c r="CO524" s="267"/>
      <c r="CP524" s="267"/>
      <c r="CQ524" s="267"/>
      <c r="CR524" s="267"/>
      <c r="CS524" s="267"/>
      <c r="CT524" s="267"/>
      <c r="CU524" s="267"/>
      <c r="CV524" s="267"/>
      <c r="CW524" s="267"/>
      <c r="CX524" s="267"/>
      <c r="CY524" s="267"/>
      <c r="CZ524" s="267"/>
    </row>
    <row r="525" spans="2:104">
      <c r="B525" s="1235"/>
      <c r="C525" s="1235"/>
      <c r="D525" s="1235"/>
      <c r="E525" s="267"/>
      <c r="F525" s="267"/>
      <c r="G525" s="267"/>
      <c r="H525" s="267"/>
      <c r="I525" s="267"/>
      <c r="J525" s="267"/>
      <c r="K525" s="267"/>
      <c r="L525" s="267"/>
      <c r="M525" s="267"/>
      <c r="N525" s="267"/>
      <c r="O525" s="267"/>
      <c r="P525" s="267"/>
      <c r="Q525" s="267"/>
      <c r="R525" s="267"/>
      <c r="S525" s="267"/>
      <c r="T525" s="267"/>
      <c r="U525" s="267"/>
      <c r="V525" s="267"/>
      <c r="W525" s="267"/>
      <c r="X525" s="267"/>
      <c r="Y525" s="267"/>
      <c r="Z525" s="267"/>
      <c r="AA525" s="267"/>
      <c r="AB525" s="267"/>
      <c r="AC525" s="267"/>
      <c r="AD525" s="267"/>
      <c r="AE525" s="267"/>
      <c r="AF525" s="267"/>
      <c r="AG525" s="267"/>
      <c r="AH525" s="267"/>
      <c r="AI525" s="267"/>
      <c r="AJ525" s="267"/>
      <c r="AK525" s="267"/>
      <c r="AL525" s="267"/>
      <c r="AM525" s="267"/>
      <c r="AN525" s="267"/>
      <c r="AO525" s="267"/>
      <c r="AP525" s="267"/>
      <c r="AQ525" s="267"/>
      <c r="AR525" s="267"/>
      <c r="AS525" s="267"/>
      <c r="AT525" s="267"/>
      <c r="AU525" s="267"/>
      <c r="AV525" s="267"/>
      <c r="AW525" s="267"/>
      <c r="AX525" s="267"/>
      <c r="AY525" s="267"/>
      <c r="AZ525" s="267"/>
      <c r="BA525" s="267"/>
      <c r="BB525" s="267"/>
      <c r="BC525" s="267"/>
      <c r="BD525" s="267"/>
      <c r="BE525" s="267"/>
      <c r="BF525" s="267"/>
      <c r="BG525" s="267"/>
      <c r="BH525" s="267"/>
      <c r="BI525" s="267"/>
      <c r="BJ525" s="267"/>
      <c r="BK525" s="267"/>
      <c r="BL525" s="267"/>
      <c r="BM525" s="267"/>
      <c r="BN525" s="267"/>
      <c r="BO525" s="267"/>
      <c r="BP525" s="267"/>
      <c r="BQ525" s="267"/>
      <c r="BR525" s="267"/>
      <c r="BS525" s="267"/>
      <c r="BT525" s="267"/>
      <c r="BU525" s="267"/>
      <c r="BV525" s="267"/>
      <c r="BW525" s="267"/>
      <c r="BX525" s="267"/>
      <c r="BY525" s="267"/>
      <c r="BZ525" s="267"/>
      <c r="CA525" s="267"/>
      <c r="CB525" s="267"/>
      <c r="CC525" s="267"/>
      <c r="CD525" s="267"/>
      <c r="CE525" s="267"/>
      <c r="CF525" s="267"/>
      <c r="CG525" s="267"/>
      <c r="CH525" s="267"/>
      <c r="CI525" s="267"/>
      <c r="CJ525" s="267"/>
      <c r="CK525" s="267"/>
      <c r="CL525" s="267"/>
      <c r="CM525" s="267"/>
      <c r="CN525" s="267"/>
      <c r="CO525" s="267"/>
      <c r="CP525" s="267"/>
      <c r="CQ525" s="267"/>
      <c r="CR525" s="267"/>
      <c r="CS525" s="267"/>
      <c r="CT525" s="267"/>
      <c r="CU525" s="267"/>
      <c r="CV525" s="267"/>
      <c r="CW525" s="267"/>
      <c r="CX525" s="267"/>
      <c r="CY525" s="267"/>
      <c r="CZ525" s="267"/>
    </row>
    <row r="526" spans="2:104">
      <c r="B526" s="1235"/>
      <c r="C526" s="1235"/>
      <c r="D526" s="1235"/>
      <c r="E526" s="267"/>
      <c r="F526" s="267"/>
      <c r="G526" s="267"/>
      <c r="H526" s="267"/>
      <c r="I526" s="267"/>
      <c r="J526" s="267"/>
      <c r="K526" s="267"/>
      <c r="L526" s="267"/>
      <c r="M526" s="267"/>
      <c r="N526" s="267"/>
      <c r="O526" s="267"/>
      <c r="P526" s="267"/>
      <c r="Q526" s="267"/>
      <c r="R526" s="267"/>
      <c r="S526" s="267"/>
      <c r="T526" s="267"/>
      <c r="U526" s="267"/>
      <c r="V526" s="267"/>
      <c r="W526" s="267"/>
      <c r="X526" s="267"/>
      <c r="Y526" s="267"/>
      <c r="Z526" s="267"/>
      <c r="AA526" s="267"/>
      <c r="AB526" s="267"/>
      <c r="AC526" s="267"/>
      <c r="AD526" s="267"/>
      <c r="AE526" s="267"/>
      <c r="AF526" s="267"/>
      <c r="AG526" s="267"/>
      <c r="AH526" s="267"/>
      <c r="AI526" s="267"/>
      <c r="AJ526" s="267"/>
      <c r="AK526" s="267"/>
      <c r="AL526" s="267"/>
      <c r="AM526" s="267"/>
      <c r="AN526" s="267"/>
      <c r="AO526" s="267"/>
      <c r="AP526" s="267"/>
      <c r="AQ526" s="267"/>
      <c r="AR526" s="267"/>
      <c r="AS526" s="267"/>
      <c r="AT526" s="267"/>
      <c r="AU526" s="267"/>
      <c r="AV526" s="267"/>
      <c r="AW526" s="267"/>
      <c r="AX526" s="267"/>
      <c r="AY526" s="267"/>
      <c r="AZ526" s="267"/>
      <c r="BA526" s="267"/>
      <c r="BB526" s="267"/>
      <c r="BC526" s="267"/>
      <c r="BD526" s="267"/>
      <c r="BE526" s="267"/>
      <c r="BF526" s="267"/>
      <c r="BG526" s="267"/>
      <c r="BH526" s="267"/>
      <c r="BI526" s="267"/>
      <c r="BJ526" s="267"/>
      <c r="BK526" s="267"/>
      <c r="BL526" s="267"/>
      <c r="BM526" s="267"/>
      <c r="BN526" s="267"/>
      <c r="BO526" s="267"/>
      <c r="BP526" s="267"/>
      <c r="BQ526" s="267"/>
      <c r="BR526" s="267"/>
      <c r="BS526" s="267"/>
      <c r="BT526" s="267"/>
      <c r="BU526" s="267"/>
      <c r="BV526" s="267"/>
      <c r="BW526" s="267"/>
      <c r="BX526" s="267"/>
      <c r="BY526" s="267"/>
      <c r="BZ526" s="267"/>
      <c r="CA526" s="267"/>
      <c r="CB526" s="267"/>
      <c r="CC526" s="267"/>
      <c r="CD526" s="267"/>
      <c r="CE526" s="267"/>
      <c r="CF526" s="267"/>
      <c r="CG526" s="267"/>
      <c r="CH526" s="267"/>
      <c r="CI526" s="267"/>
      <c r="CJ526" s="267"/>
      <c r="CK526" s="267"/>
      <c r="CL526" s="267"/>
      <c r="CM526" s="267"/>
      <c r="CN526" s="267"/>
      <c r="CO526" s="267"/>
      <c r="CP526" s="267"/>
      <c r="CQ526" s="267"/>
      <c r="CR526" s="267"/>
      <c r="CS526" s="267"/>
      <c r="CT526" s="267"/>
      <c r="CU526" s="267"/>
      <c r="CV526" s="267"/>
      <c r="CW526" s="267"/>
      <c r="CX526" s="267"/>
      <c r="CY526" s="267"/>
      <c r="CZ526" s="267"/>
    </row>
    <row r="527" spans="2:104">
      <c r="B527" s="1235"/>
      <c r="C527" s="1235"/>
      <c r="D527" s="1235"/>
      <c r="E527" s="267"/>
      <c r="F527" s="267"/>
      <c r="G527" s="267"/>
      <c r="H527" s="267"/>
      <c r="I527" s="267"/>
      <c r="J527" s="267"/>
      <c r="K527" s="267"/>
      <c r="L527" s="267"/>
      <c r="M527" s="267"/>
      <c r="N527" s="267"/>
      <c r="O527" s="267"/>
      <c r="P527" s="267"/>
      <c r="Q527" s="267"/>
      <c r="R527" s="267"/>
      <c r="S527" s="267"/>
      <c r="T527" s="267"/>
      <c r="U527" s="267"/>
      <c r="V527" s="267"/>
      <c r="W527" s="267"/>
      <c r="X527" s="267"/>
      <c r="Y527" s="267"/>
      <c r="Z527" s="267"/>
      <c r="AA527" s="267"/>
      <c r="AB527" s="267"/>
      <c r="AC527" s="267"/>
      <c r="AD527" s="267"/>
      <c r="AE527" s="267"/>
      <c r="AF527" s="267"/>
      <c r="AG527" s="267"/>
      <c r="AH527" s="267"/>
      <c r="AI527" s="267"/>
      <c r="AJ527" s="267"/>
      <c r="AK527" s="267"/>
      <c r="AL527" s="267"/>
      <c r="AM527" s="267"/>
      <c r="AN527" s="267"/>
      <c r="AO527" s="267"/>
      <c r="AP527" s="267"/>
      <c r="AQ527" s="267"/>
      <c r="AR527" s="267"/>
      <c r="AS527" s="267"/>
      <c r="AT527" s="267"/>
      <c r="AU527" s="267"/>
      <c r="AV527" s="267"/>
      <c r="AW527" s="267"/>
      <c r="AX527" s="267"/>
      <c r="AY527" s="267"/>
      <c r="AZ527" s="267"/>
      <c r="BA527" s="267"/>
      <c r="BB527" s="267"/>
      <c r="BC527" s="267"/>
      <c r="BD527" s="267"/>
      <c r="BE527" s="267"/>
      <c r="BF527" s="267"/>
      <c r="BG527" s="267"/>
      <c r="BH527" s="267"/>
      <c r="BI527" s="267"/>
      <c r="BJ527" s="267"/>
      <c r="BK527" s="267"/>
      <c r="BL527" s="267"/>
      <c r="BM527" s="267"/>
      <c r="BN527" s="267"/>
      <c r="BO527" s="267"/>
      <c r="BP527" s="267"/>
      <c r="BQ527" s="267"/>
      <c r="BR527" s="267"/>
      <c r="BS527" s="267"/>
      <c r="BT527" s="267"/>
      <c r="BU527" s="267"/>
      <c r="BV527" s="267"/>
      <c r="BW527" s="267"/>
      <c r="BX527" s="267"/>
      <c r="BY527" s="267"/>
      <c r="BZ527" s="267"/>
      <c r="CA527" s="267"/>
      <c r="CB527" s="267"/>
      <c r="CC527" s="267"/>
      <c r="CD527" s="267"/>
      <c r="CE527" s="267"/>
      <c r="CF527" s="267"/>
      <c r="CG527" s="267"/>
      <c r="CH527" s="267"/>
      <c r="CI527" s="267"/>
      <c r="CJ527" s="267"/>
      <c r="CK527" s="267"/>
      <c r="CL527" s="267"/>
      <c r="CM527" s="267"/>
      <c r="CN527" s="267"/>
      <c r="CO527" s="267"/>
      <c r="CP527" s="267"/>
      <c r="CQ527" s="267"/>
      <c r="CR527" s="267"/>
      <c r="CS527" s="267"/>
      <c r="CT527" s="267"/>
      <c r="CU527" s="267"/>
      <c r="CV527" s="267"/>
      <c r="CW527" s="267"/>
      <c r="CX527" s="267"/>
      <c r="CY527" s="267"/>
      <c r="CZ527" s="267"/>
    </row>
    <row r="528" spans="2:104">
      <c r="B528" s="1235"/>
      <c r="C528" s="1235"/>
      <c r="D528" s="1235"/>
      <c r="E528" s="267"/>
      <c r="F528" s="267"/>
      <c r="G528" s="267"/>
      <c r="H528" s="267"/>
      <c r="I528" s="267"/>
      <c r="J528" s="267"/>
      <c r="K528" s="267"/>
      <c r="L528" s="267"/>
      <c r="M528" s="267"/>
      <c r="N528" s="267"/>
      <c r="O528" s="267"/>
      <c r="P528" s="267"/>
      <c r="Q528" s="267"/>
      <c r="R528" s="267"/>
      <c r="S528" s="267"/>
      <c r="T528" s="267"/>
      <c r="U528" s="267"/>
      <c r="V528" s="267"/>
      <c r="W528" s="267"/>
      <c r="X528" s="267"/>
      <c r="Y528" s="267"/>
      <c r="Z528" s="267"/>
      <c r="AA528" s="267"/>
      <c r="AB528" s="267"/>
      <c r="AC528" s="267"/>
      <c r="AD528" s="267"/>
      <c r="AE528" s="267"/>
      <c r="AF528" s="267"/>
      <c r="AG528" s="267"/>
      <c r="AH528" s="267"/>
      <c r="AI528" s="267"/>
      <c r="AJ528" s="267"/>
      <c r="AK528" s="267"/>
      <c r="AL528" s="267"/>
      <c r="AM528" s="267"/>
      <c r="AN528" s="267"/>
      <c r="AO528" s="267"/>
      <c r="AP528" s="267"/>
      <c r="AQ528" s="267"/>
      <c r="AR528" s="267"/>
      <c r="AS528" s="267"/>
      <c r="AT528" s="267"/>
      <c r="AU528" s="267"/>
      <c r="AV528" s="267"/>
      <c r="AW528" s="267"/>
      <c r="AX528" s="267"/>
      <c r="AY528" s="267"/>
      <c r="AZ528" s="267"/>
      <c r="BA528" s="267"/>
      <c r="BB528" s="267"/>
      <c r="BC528" s="267"/>
      <c r="BD528" s="267"/>
      <c r="BE528" s="267"/>
      <c r="BF528" s="267"/>
      <c r="BG528" s="267"/>
      <c r="BH528" s="267"/>
      <c r="BI528" s="267"/>
      <c r="BJ528" s="267"/>
      <c r="BK528" s="267"/>
      <c r="BL528" s="267"/>
      <c r="BM528" s="267"/>
      <c r="BN528" s="267"/>
      <c r="BO528" s="267"/>
      <c r="BP528" s="267"/>
      <c r="BQ528" s="267"/>
      <c r="BR528" s="267"/>
      <c r="BS528" s="267"/>
      <c r="BT528" s="267"/>
      <c r="BU528" s="267"/>
      <c r="BV528" s="267"/>
      <c r="BW528" s="267"/>
      <c r="BX528" s="267"/>
      <c r="BY528" s="267"/>
      <c r="BZ528" s="267"/>
      <c r="CA528" s="267"/>
      <c r="CB528" s="267"/>
      <c r="CC528" s="267"/>
      <c r="CD528" s="267"/>
      <c r="CE528" s="267"/>
      <c r="CF528" s="267"/>
      <c r="CG528" s="267"/>
      <c r="CH528" s="267"/>
      <c r="CI528" s="267"/>
      <c r="CJ528" s="267"/>
      <c r="CK528" s="267"/>
      <c r="CL528" s="267"/>
      <c r="CM528" s="267"/>
      <c r="CN528" s="267"/>
      <c r="CO528" s="267"/>
      <c r="CP528" s="267"/>
      <c r="CQ528" s="267"/>
      <c r="CR528" s="267"/>
      <c r="CS528" s="267"/>
      <c r="CT528" s="267"/>
      <c r="CU528" s="267"/>
      <c r="CV528" s="267"/>
      <c r="CW528" s="267"/>
      <c r="CX528" s="267"/>
      <c r="CY528" s="267"/>
      <c r="CZ528" s="267"/>
    </row>
    <row r="529" spans="2:104">
      <c r="B529" s="1235"/>
      <c r="C529" s="1235"/>
      <c r="D529" s="1235"/>
      <c r="E529" s="267"/>
      <c r="F529" s="267"/>
      <c r="G529" s="267"/>
      <c r="H529" s="267"/>
      <c r="I529" s="267"/>
      <c r="J529" s="267"/>
      <c r="K529" s="267"/>
      <c r="L529" s="267"/>
      <c r="M529" s="267"/>
      <c r="N529" s="267"/>
      <c r="O529" s="267"/>
      <c r="P529" s="267"/>
      <c r="Q529" s="267"/>
      <c r="R529" s="267"/>
      <c r="S529" s="267"/>
      <c r="T529" s="267"/>
      <c r="U529" s="267"/>
      <c r="V529" s="267"/>
      <c r="W529" s="267"/>
      <c r="X529" s="267"/>
      <c r="Y529" s="267"/>
      <c r="Z529" s="267"/>
      <c r="AA529" s="267"/>
      <c r="AB529" s="267"/>
      <c r="AC529" s="267"/>
      <c r="AD529" s="267"/>
      <c r="AE529" s="267"/>
      <c r="AF529" s="267"/>
      <c r="AG529" s="267"/>
      <c r="AH529" s="267"/>
      <c r="AI529" s="267"/>
      <c r="AJ529" s="267"/>
      <c r="AK529" s="267"/>
      <c r="AL529" s="267"/>
      <c r="AM529" s="267"/>
      <c r="AN529" s="267"/>
      <c r="AO529" s="267"/>
      <c r="AP529" s="267"/>
      <c r="AQ529" s="267"/>
      <c r="AR529" s="267"/>
      <c r="AS529" s="267"/>
      <c r="AT529" s="267"/>
      <c r="AU529" s="267"/>
      <c r="AV529" s="267"/>
      <c r="AW529" s="267"/>
      <c r="AX529" s="267"/>
      <c r="AY529" s="267"/>
      <c r="AZ529" s="267"/>
      <c r="BA529" s="267"/>
      <c r="BB529" s="267"/>
      <c r="BC529" s="267"/>
      <c r="BD529" s="267"/>
      <c r="BE529" s="267"/>
      <c r="BF529" s="267"/>
      <c r="BG529" s="267"/>
      <c r="BH529" s="267"/>
      <c r="BI529" s="267"/>
      <c r="BJ529" s="267"/>
      <c r="BK529" s="267"/>
      <c r="BL529" s="267"/>
      <c r="BM529" s="267"/>
      <c r="BN529" s="267"/>
      <c r="BO529" s="267"/>
      <c r="BP529" s="267"/>
      <c r="BQ529" s="267"/>
      <c r="BR529" s="267"/>
      <c r="BS529" s="267"/>
      <c r="BT529" s="267"/>
      <c r="BU529" s="267"/>
      <c r="BV529" s="267"/>
      <c r="BW529" s="267"/>
      <c r="BX529" s="267"/>
      <c r="BY529" s="267"/>
      <c r="BZ529" s="267"/>
      <c r="CA529" s="267"/>
      <c r="CB529" s="267"/>
      <c r="CC529" s="267"/>
      <c r="CD529" s="267"/>
      <c r="CE529" s="267"/>
      <c r="CF529" s="267"/>
      <c r="CG529" s="267"/>
      <c r="CH529" s="267"/>
      <c r="CI529" s="267"/>
      <c r="CJ529" s="267"/>
      <c r="CK529" s="267"/>
      <c r="CL529" s="267"/>
      <c r="CM529" s="267"/>
      <c r="CN529" s="267"/>
      <c r="CO529" s="267"/>
      <c r="CP529" s="267"/>
      <c r="CQ529" s="267"/>
      <c r="CR529" s="267"/>
      <c r="CS529" s="267"/>
      <c r="CT529" s="267"/>
      <c r="CU529" s="267"/>
      <c r="CV529" s="267"/>
      <c r="CW529" s="267"/>
      <c r="CX529" s="267"/>
      <c r="CY529" s="267"/>
      <c r="CZ529" s="267"/>
    </row>
    <row r="530" spans="2:104">
      <c r="B530" s="1235"/>
      <c r="C530" s="1235"/>
      <c r="D530" s="1235"/>
      <c r="E530" s="267"/>
      <c r="F530" s="267"/>
      <c r="G530" s="267"/>
      <c r="H530" s="267"/>
      <c r="I530" s="267"/>
      <c r="J530" s="267"/>
      <c r="K530" s="267"/>
      <c r="L530" s="267"/>
      <c r="M530" s="267"/>
      <c r="N530" s="267"/>
      <c r="O530" s="267"/>
      <c r="P530" s="267"/>
      <c r="Q530" s="267"/>
      <c r="R530" s="267"/>
      <c r="S530" s="267"/>
      <c r="T530" s="267"/>
      <c r="U530" s="267"/>
      <c r="V530" s="267"/>
      <c r="W530" s="267"/>
      <c r="X530" s="267"/>
      <c r="Y530" s="267"/>
      <c r="Z530" s="267"/>
      <c r="AA530" s="267"/>
      <c r="AB530" s="267"/>
      <c r="AC530" s="267"/>
      <c r="AD530" s="267"/>
      <c r="AE530" s="267"/>
      <c r="AF530" s="267"/>
      <c r="AG530" s="267"/>
      <c r="AH530" s="267"/>
      <c r="AI530" s="267"/>
      <c r="AJ530" s="267"/>
      <c r="AK530" s="267"/>
      <c r="AL530" s="267"/>
      <c r="AM530" s="267"/>
      <c r="AN530" s="267"/>
      <c r="AO530" s="267"/>
      <c r="AP530" s="267"/>
      <c r="AQ530" s="267"/>
      <c r="AR530" s="267"/>
      <c r="AS530" s="267"/>
      <c r="AT530" s="267"/>
      <c r="AU530" s="267"/>
      <c r="AV530" s="267"/>
      <c r="AW530" s="267"/>
      <c r="AX530" s="267"/>
      <c r="AY530" s="267"/>
      <c r="AZ530" s="267"/>
      <c r="BA530" s="267"/>
      <c r="BB530" s="267"/>
      <c r="BC530" s="267"/>
      <c r="BD530" s="267"/>
      <c r="BE530" s="267"/>
      <c r="BF530" s="267"/>
      <c r="BG530" s="267"/>
      <c r="BH530" s="267"/>
      <c r="BI530" s="267"/>
      <c r="BJ530" s="267"/>
      <c r="BK530" s="267"/>
      <c r="BL530" s="267"/>
      <c r="BM530" s="267"/>
      <c r="BN530" s="267"/>
      <c r="BO530" s="267"/>
      <c r="BP530" s="267"/>
      <c r="BQ530" s="267"/>
      <c r="BR530" s="267"/>
      <c r="BS530" s="267"/>
      <c r="BT530" s="267"/>
      <c r="BU530" s="267"/>
      <c r="BV530" s="267"/>
      <c r="BW530" s="267"/>
      <c r="BX530" s="267"/>
      <c r="BY530" s="267"/>
      <c r="BZ530" s="267"/>
      <c r="CA530" s="267"/>
      <c r="CB530" s="267"/>
      <c r="CC530" s="267"/>
      <c r="CD530" s="267"/>
      <c r="CE530" s="267"/>
      <c r="CF530" s="267"/>
      <c r="CG530" s="267"/>
      <c r="CH530" s="267"/>
      <c r="CI530" s="267"/>
      <c r="CJ530" s="267"/>
      <c r="CK530" s="267"/>
      <c r="CL530" s="267"/>
      <c r="CM530" s="267"/>
      <c r="CN530" s="267"/>
      <c r="CO530" s="267"/>
      <c r="CP530" s="267"/>
      <c r="CQ530" s="267"/>
      <c r="CR530" s="267"/>
      <c r="CS530" s="267"/>
      <c r="CT530" s="267"/>
      <c r="CU530" s="267"/>
      <c r="CV530" s="267"/>
      <c r="CW530" s="267"/>
      <c r="CX530" s="267"/>
      <c r="CY530" s="267"/>
      <c r="CZ530" s="267"/>
    </row>
    <row r="531" spans="2:104">
      <c r="B531" s="1235"/>
      <c r="C531" s="1235"/>
      <c r="D531" s="1235"/>
      <c r="E531" s="267"/>
      <c r="F531" s="267"/>
      <c r="G531" s="267"/>
      <c r="H531" s="267"/>
      <c r="I531" s="267"/>
      <c r="J531" s="267"/>
      <c r="K531" s="267"/>
      <c r="L531" s="267"/>
      <c r="M531" s="267"/>
      <c r="N531" s="267"/>
      <c r="O531" s="267"/>
      <c r="P531" s="267"/>
      <c r="Q531" s="267"/>
      <c r="R531" s="267"/>
      <c r="S531" s="267"/>
      <c r="T531" s="267"/>
      <c r="U531" s="267"/>
      <c r="V531" s="267"/>
      <c r="W531" s="267"/>
      <c r="X531" s="267"/>
      <c r="Y531" s="267"/>
      <c r="Z531" s="267"/>
      <c r="AA531" s="267"/>
      <c r="AB531" s="267"/>
      <c r="AC531" s="267"/>
      <c r="AD531" s="267"/>
      <c r="AE531" s="267"/>
      <c r="AF531" s="267"/>
      <c r="AG531" s="267"/>
      <c r="AH531" s="267"/>
      <c r="AI531" s="267"/>
      <c r="AJ531" s="267"/>
      <c r="AK531" s="267"/>
      <c r="AL531" s="267"/>
      <c r="AM531" s="267"/>
      <c r="AN531" s="267"/>
      <c r="AO531" s="267"/>
      <c r="AP531" s="267"/>
      <c r="AQ531" s="267"/>
      <c r="AR531" s="267"/>
      <c r="AS531" s="267"/>
      <c r="AT531" s="267"/>
      <c r="AU531" s="267"/>
      <c r="AV531" s="267"/>
      <c r="AW531" s="267"/>
      <c r="AX531" s="267"/>
      <c r="AY531" s="267"/>
      <c r="AZ531" s="267"/>
      <c r="BA531" s="267"/>
      <c r="BB531" s="267"/>
      <c r="BC531" s="267"/>
      <c r="BD531" s="267"/>
      <c r="BE531" s="267"/>
      <c r="BF531" s="267"/>
      <c r="BG531" s="267"/>
      <c r="BH531" s="267"/>
      <c r="BI531" s="267"/>
      <c r="BJ531" s="267"/>
      <c r="BK531" s="267"/>
      <c r="BL531" s="267"/>
      <c r="BM531" s="267"/>
      <c r="BN531" s="267"/>
      <c r="BO531" s="267"/>
      <c r="BP531" s="267"/>
      <c r="BQ531" s="267"/>
      <c r="BR531" s="267"/>
      <c r="BS531" s="267"/>
      <c r="BT531" s="267"/>
      <c r="BU531" s="267"/>
      <c r="BV531" s="267"/>
      <c r="BW531" s="267"/>
      <c r="BX531" s="267"/>
      <c r="BY531" s="267"/>
      <c r="BZ531" s="267"/>
      <c r="CA531" s="267"/>
      <c r="CB531" s="267"/>
      <c r="CC531" s="267"/>
      <c r="CD531" s="267"/>
      <c r="CE531" s="267"/>
      <c r="CF531" s="267"/>
      <c r="CG531" s="267"/>
      <c r="CH531" s="267"/>
      <c r="CI531" s="267"/>
      <c r="CJ531" s="267"/>
      <c r="CK531" s="267"/>
      <c r="CL531" s="267"/>
      <c r="CM531" s="267"/>
      <c r="CN531" s="267"/>
      <c r="CO531" s="267"/>
      <c r="CP531" s="267"/>
      <c r="CQ531" s="267"/>
      <c r="CR531" s="267"/>
      <c r="CS531" s="267"/>
      <c r="CT531" s="267"/>
      <c r="CU531" s="267"/>
      <c r="CV531" s="267"/>
      <c r="CW531" s="267"/>
      <c r="CX531" s="267"/>
      <c r="CY531" s="267"/>
      <c r="CZ531" s="267"/>
    </row>
    <row r="532" spans="2:104">
      <c r="B532" s="1235"/>
      <c r="C532" s="1235"/>
      <c r="D532" s="1235"/>
      <c r="E532" s="267"/>
      <c r="F532" s="267"/>
      <c r="G532" s="267"/>
      <c r="H532" s="267"/>
      <c r="I532" s="267"/>
      <c r="J532" s="267"/>
      <c r="K532" s="267"/>
      <c r="L532" s="267"/>
      <c r="M532" s="267"/>
      <c r="N532" s="267"/>
      <c r="O532" s="267"/>
      <c r="P532" s="267"/>
      <c r="Q532" s="267"/>
      <c r="R532" s="267"/>
      <c r="S532" s="267"/>
      <c r="T532" s="267"/>
      <c r="U532" s="267"/>
      <c r="V532" s="267"/>
      <c r="W532" s="267"/>
      <c r="X532" s="267"/>
      <c r="Y532" s="267"/>
      <c r="Z532" s="267"/>
      <c r="AA532" s="267"/>
      <c r="AB532" s="267"/>
      <c r="AC532" s="267"/>
      <c r="AD532" s="267"/>
      <c r="AE532" s="267"/>
      <c r="AF532" s="267"/>
      <c r="AG532" s="267"/>
      <c r="AH532" s="267"/>
      <c r="AI532" s="267"/>
      <c r="AJ532" s="267"/>
      <c r="AK532" s="267"/>
      <c r="AL532" s="267"/>
      <c r="AM532" s="267"/>
      <c r="AN532" s="267"/>
      <c r="AO532" s="267"/>
      <c r="AP532" s="267"/>
      <c r="AQ532" s="267"/>
      <c r="AR532" s="267"/>
      <c r="AS532" s="267"/>
      <c r="AT532" s="267"/>
      <c r="AU532" s="267"/>
      <c r="AV532" s="267"/>
      <c r="AW532" s="267"/>
      <c r="AX532" s="267"/>
      <c r="AY532" s="267"/>
      <c r="AZ532" s="267"/>
      <c r="BA532" s="267"/>
      <c r="BB532" s="267"/>
      <c r="BC532" s="267"/>
      <c r="BD532" s="267"/>
      <c r="BE532" s="267"/>
      <c r="BF532" s="267"/>
      <c r="BG532" s="267"/>
      <c r="BH532" s="267"/>
      <c r="BI532" s="267"/>
      <c r="BJ532" s="267"/>
      <c r="BK532" s="267"/>
      <c r="BL532" s="267"/>
      <c r="BM532" s="267"/>
      <c r="BN532" s="267"/>
      <c r="BO532" s="267"/>
      <c r="BP532" s="267"/>
      <c r="BQ532" s="267"/>
      <c r="BR532" s="267"/>
      <c r="BS532" s="267"/>
      <c r="BT532" s="267"/>
      <c r="BU532" s="267"/>
      <c r="BV532" s="267"/>
      <c r="BW532" s="267"/>
      <c r="BX532" s="267"/>
      <c r="BY532" s="267"/>
      <c r="BZ532" s="267"/>
      <c r="CA532" s="267"/>
      <c r="CB532" s="267"/>
      <c r="CC532" s="267"/>
      <c r="CD532" s="267"/>
      <c r="CE532" s="267"/>
      <c r="CF532" s="267"/>
      <c r="CG532" s="267"/>
      <c r="CH532" s="267"/>
      <c r="CI532" s="267"/>
      <c r="CJ532" s="267"/>
      <c r="CK532" s="267"/>
      <c r="CL532" s="267"/>
      <c r="CM532" s="267"/>
      <c r="CN532" s="267"/>
      <c r="CO532" s="267"/>
      <c r="CP532" s="267"/>
      <c r="CQ532" s="267"/>
      <c r="CR532" s="267"/>
      <c r="CS532" s="267"/>
      <c r="CT532" s="267"/>
      <c r="CU532" s="267"/>
      <c r="CV532" s="267"/>
      <c r="CW532" s="267"/>
      <c r="CX532" s="267"/>
      <c r="CY532" s="267"/>
      <c r="CZ532" s="267"/>
    </row>
    <row r="533" spans="2:104">
      <c r="B533" s="1235"/>
      <c r="C533" s="1235"/>
      <c r="D533" s="1235"/>
      <c r="E533" s="267"/>
      <c r="F533" s="267"/>
      <c r="G533" s="267"/>
      <c r="H533" s="267"/>
      <c r="I533" s="267"/>
      <c r="J533" s="267"/>
      <c r="K533" s="267"/>
      <c r="L533" s="267"/>
      <c r="M533" s="267"/>
      <c r="N533" s="267"/>
      <c r="O533" s="267"/>
      <c r="P533" s="267"/>
      <c r="Q533" s="267"/>
      <c r="R533" s="267"/>
      <c r="S533" s="267"/>
      <c r="T533" s="267"/>
      <c r="U533" s="267"/>
      <c r="V533" s="267"/>
      <c r="W533" s="267"/>
      <c r="X533" s="267"/>
      <c r="Y533" s="267"/>
      <c r="Z533" s="267"/>
      <c r="AA533" s="267"/>
      <c r="AB533" s="267"/>
      <c r="AC533" s="267"/>
      <c r="AD533" s="267"/>
      <c r="AE533" s="267"/>
      <c r="AF533" s="267"/>
      <c r="AG533" s="267"/>
      <c r="AH533" s="267"/>
      <c r="AI533" s="267"/>
      <c r="AJ533" s="267"/>
      <c r="AK533" s="267"/>
      <c r="AL533" s="267"/>
      <c r="AM533" s="267"/>
      <c r="AN533" s="267"/>
      <c r="AO533" s="267"/>
      <c r="AP533" s="267"/>
      <c r="AQ533" s="267"/>
      <c r="AR533" s="267"/>
      <c r="AS533" s="267"/>
      <c r="AT533" s="267"/>
      <c r="AU533" s="267"/>
      <c r="AV533" s="267"/>
      <c r="AW533" s="267"/>
      <c r="AX533" s="267"/>
      <c r="AY533" s="267"/>
      <c r="AZ533" s="267"/>
      <c r="BA533" s="267"/>
      <c r="BB533" s="267"/>
      <c r="BC533" s="267"/>
      <c r="BD533" s="267"/>
      <c r="BE533" s="267"/>
      <c r="BF533" s="267"/>
      <c r="BG533" s="267"/>
      <c r="BH533" s="267"/>
      <c r="BI533" s="267"/>
      <c r="BJ533" s="267"/>
      <c r="BK533" s="267"/>
      <c r="BL533" s="267"/>
      <c r="BM533" s="267"/>
      <c r="BN533" s="267"/>
      <c r="BO533" s="267"/>
      <c r="BP533" s="267"/>
      <c r="BQ533" s="267"/>
      <c r="BR533" s="267"/>
      <c r="BS533" s="267"/>
      <c r="BT533" s="267"/>
      <c r="BU533" s="267"/>
      <c r="BV533" s="267"/>
      <c r="BW533" s="267"/>
      <c r="BX533" s="267"/>
      <c r="BY533" s="267"/>
      <c r="BZ533" s="267"/>
      <c r="CA533" s="267"/>
      <c r="CB533" s="267"/>
      <c r="CC533" s="267"/>
      <c r="CD533" s="267"/>
      <c r="CE533" s="267"/>
      <c r="CF533" s="267"/>
      <c r="CG533" s="267"/>
      <c r="CH533" s="267"/>
      <c r="CI533" s="267"/>
      <c r="CJ533" s="267"/>
      <c r="CK533" s="267"/>
      <c r="CL533" s="267"/>
      <c r="CM533" s="267"/>
      <c r="CN533" s="267"/>
      <c r="CO533" s="267"/>
      <c r="CP533" s="267"/>
      <c r="CQ533" s="267"/>
      <c r="CR533" s="267"/>
      <c r="CS533" s="267"/>
      <c r="CT533" s="267"/>
      <c r="CU533" s="267"/>
      <c r="CV533" s="267"/>
      <c r="CW533" s="267"/>
      <c r="CX533" s="267"/>
      <c r="CY533" s="267"/>
      <c r="CZ533" s="267"/>
    </row>
    <row r="534" spans="2:104">
      <c r="B534" s="1235"/>
      <c r="C534" s="1235"/>
      <c r="D534" s="1235"/>
      <c r="E534" s="267"/>
      <c r="F534" s="267"/>
      <c r="G534" s="267"/>
      <c r="H534" s="267"/>
      <c r="I534" s="267"/>
      <c r="J534" s="267"/>
      <c r="K534" s="267"/>
      <c r="L534" s="267"/>
      <c r="M534" s="267"/>
      <c r="N534" s="267"/>
      <c r="O534" s="267"/>
      <c r="P534" s="267"/>
      <c r="Q534" s="267"/>
      <c r="R534" s="267"/>
      <c r="S534" s="267"/>
      <c r="T534" s="267"/>
      <c r="U534" s="267"/>
      <c r="V534" s="267"/>
      <c r="W534" s="267"/>
      <c r="X534" s="267"/>
      <c r="Y534" s="267"/>
      <c r="Z534" s="267"/>
      <c r="AA534" s="267"/>
      <c r="AB534" s="267"/>
      <c r="AC534" s="267"/>
      <c r="AD534" s="267"/>
      <c r="AE534" s="267"/>
      <c r="AF534" s="267"/>
      <c r="AG534" s="267"/>
      <c r="AH534" s="267"/>
      <c r="AI534" s="267"/>
      <c r="AJ534" s="267"/>
      <c r="AK534" s="267"/>
      <c r="AL534" s="267"/>
      <c r="AM534" s="267"/>
      <c r="AN534" s="267"/>
      <c r="AO534" s="267"/>
      <c r="AP534" s="267"/>
      <c r="AQ534" s="267"/>
      <c r="AR534" s="267"/>
      <c r="AS534" s="267"/>
      <c r="AT534" s="267"/>
      <c r="AU534" s="267"/>
      <c r="AV534" s="267"/>
      <c r="AW534" s="267"/>
      <c r="AX534" s="267"/>
      <c r="AY534" s="267"/>
      <c r="AZ534" s="267"/>
      <c r="BA534" s="267"/>
      <c r="BB534" s="267"/>
      <c r="BC534" s="267"/>
      <c r="BD534" s="267"/>
      <c r="BE534" s="267"/>
      <c r="BF534" s="267"/>
      <c r="BG534" s="267"/>
      <c r="BH534" s="267"/>
      <c r="BI534" s="267"/>
      <c r="BJ534" s="267"/>
      <c r="BK534" s="267"/>
      <c r="BL534" s="267"/>
      <c r="BM534" s="267"/>
      <c r="BN534" s="267"/>
      <c r="BO534" s="267"/>
      <c r="BP534" s="267"/>
      <c r="BQ534" s="267"/>
      <c r="BR534" s="267"/>
      <c r="BS534" s="267"/>
      <c r="BT534" s="267"/>
      <c r="BU534" s="267"/>
      <c r="BV534" s="267"/>
      <c r="BW534" s="267"/>
      <c r="BX534" s="267"/>
      <c r="BY534" s="267"/>
      <c r="BZ534" s="267"/>
      <c r="CA534" s="267"/>
      <c r="CB534" s="267"/>
      <c r="CC534" s="267"/>
      <c r="CD534" s="267"/>
      <c r="CE534" s="267"/>
      <c r="CF534" s="267"/>
      <c r="CG534" s="267"/>
      <c r="CH534" s="267"/>
      <c r="CI534" s="267"/>
      <c r="CJ534" s="267"/>
      <c r="CK534" s="267"/>
      <c r="CL534" s="267"/>
      <c r="CM534" s="267"/>
      <c r="CN534" s="267"/>
      <c r="CO534" s="267"/>
      <c r="CP534" s="267"/>
      <c r="CQ534" s="267"/>
      <c r="CR534" s="267"/>
      <c r="CS534" s="267"/>
      <c r="CT534" s="267"/>
      <c r="CU534" s="267"/>
      <c r="CV534" s="267"/>
      <c r="CW534" s="267"/>
      <c r="CX534" s="267"/>
      <c r="CY534" s="267"/>
      <c r="CZ534" s="267"/>
    </row>
    <row r="535" spans="2:104">
      <c r="B535" s="1235"/>
      <c r="C535" s="1235"/>
      <c r="D535" s="1235"/>
      <c r="E535" s="267"/>
      <c r="F535" s="267"/>
      <c r="G535" s="267"/>
      <c r="H535" s="267"/>
      <c r="I535" s="267"/>
      <c r="J535" s="267"/>
      <c r="K535" s="267"/>
      <c r="L535" s="267"/>
      <c r="M535" s="267"/>
      <c r="N535" s="267"/>
      <c r="O535" s="267"/>
      <c r="P535" s="267"/>
      <c r="Q535" s="267"/>
      <c r="R535" s="267"/>
      <c r="S535" s="267"/>
      <c r="T535" s="267"/>
      <c r="U535" s="267"/>
      <c r="V535" s="267"/>
      <c r="W535" s="267"/>
      <c r="X535" s="267"/>
      <c r="Y535" s="267"/>
      <c r="Z535" s="267"/>
      <c r="AA535" s="267"/>
      <c r="AB535" s="267"/>
      <c r="AC535" s="267"/>
      <c r="AD535" s="267"/>
      <c r="AE535" s="267"/>
      <c r="AF535" s="267"/>
      <c r="AG535" s="267"/>
      <c r="AH535" s="267"/>
      <c r="AI535" s="267"/>
      <c r="AJ535" s="267"/>
      <c r="AK535" s="267"/>
      <c r="AL535" s="267"/>
      <c r="AM535" s="267"/>
      <c r="AN535" s="267"/>
      <c r="AO535" s="267"/>
      <c r="AP535" s="267"/>
      <c r="AQ535" s="267"/>
      <c r="AR535" s="267"/>
      <c r="AS535" s="267"/>
      <c r="AT535" s="267"/>
      <c r="AU535" s="267"/>
      <c r="AV535" s="267"/>
      <c r="AW535" s="267"/>
      <c r="AX535" s="267"/>
      <c r="AY535" s="267"/>
      <c r="AZ535" s="267"/>
      <c r="BA535" s="267"/>
      <c r="BB535" s="267"/>
      <c r="BC535" s="267"/>
      <c r="BD535" s="267"/>
      <c r="BE535" s="267"/>
      <c r="BF535" s="267"/>
      <c r="BG535" s="267"/>
      <c r="BH535" s="267"/>
      <c r="BI535" s="267"/>
      <c r="BJ535" s="267"/>
      <c r="BK535" s="267"/>
      <c r="BL535" s="267"/>
      <c r="BM535" s="267"/>
      <c r="BN535" s="267"/>
      <c r="BO535" s="267"/>
      <c r="BP535" s="267"/>
      <c r="BQ535" s="267"/>
      <c r="BR535" s="267"/>
      <c r="BS535" s="267"/>
      <c r="BT535" s="267"/>
      <c r="BU535" s="267"/>
      <c r="BV535" s="267"/>
      <c r="BW535" s="267"/>
      <c r="BX535" s="267"/>
      <c r="BY535" s="267"/>
      <c r="BZ535" s="267"/>
      <c r="CA535" s="267"/>
      <c r="CB535" s="267"/>
      <c r="CC535" s="267"/>
      <c r="CD535" s="267"/>
      <c r="CE535" s="267"/>
      <c r="CF535" s="267"/>
      <c r="CG535" s="267"/>
      <c r="CH535" s="267"/>
      <c r="CI535" s="267"/>
      <c r="CJ535" s="267"/>
      <c r="CK535" s="267"/>
      <c r="CL535" s="267"/>
      <c r="CM535" s="267"/>
      <c r="CN535" s="267"/>
      <c r="CO535" s="267"/>
      <c r="CP535" s="267"/>
      <c r="CQ535" s="267"/>
      <c r="CR535" s="267"/>
      <c r="CS535" s="267"/>
      <c r="CT535" s="267"/>
      <c r="CU535" s="267"/>
      <c r="CV535" s="267"/>
      <c r="CW535" s="267"/>
      <c r="CX535" s="267"/>
      <c r="CY535" s="267"/>
      <c r="CZ535" s="267"/>
    </row>
    <row r="536" spans="2:104">
      <c r="B536" s="1235"/>
      <c r="C536" s="1235"/>
      <c r="D536" s="1235"/>
      <c r="E536" s="267"/>
      <c r="F536" s="267"/>
      <c r="G536" s="267"/>
      <c r="H536" s="267"/>
      <c r="I536" s="267"/>
      <c r="J536" s="267"/>
      <c r="K536" s="267"/>
      <c r="L536" s="267"/>
      <c r="M536" s="267"/>
      <c r="N536" s="267"/>
      <c r="O536" s="267"/>
      <c r="P536" s="267"/>
      <c r="Q536" s="267"/>
      <c r="R536" s="267"/>
      <c r="S536" s="267"/>
      <c r="T536" s="267"/>
      <c r="U536" s="267"/>
      <c r="V536" s="267"/>
      <c r="W536" s="267"/>
      <c r="X536" s="267"/>
      <c r="Y536" s="267"/>
      <c r="Z536" s="267"/>
      <c r="AA536" s="267"/>
      <c r="AB536" s="267"/>
      <c r="AC536" s="267"/>
      <c r="AD536" s="267"/>
      <c r="AE536" s="267"/>
      <c r="AF536" s="267"/>
      <c r="AG536" s="267"/>
      <c r="AH536" s="267"/>
      <c r="AI536" s="267"/>
      <c r="AJ536" s="267"/>
      <c r="AK536" s="267"/>
      <c r="AL536" s="267"/>
      <c r="AM536" s="267"/>
      <c r="AN536" s="267"/>
      <c r="AO536" s="267"/>
      <c r="AP536" s="267"/>
      <c r="AQ536" s="267"/>
      <c r="AR536" s="267"/>
      <c r="AS536" s="267"/>
      <c r="AT536" s="267"/>
      <c r="AU536" s="267"/>
      <c r="AV536" s="267"/>
      <c r="AW536" s="267"/>
      <c r="AX536" s="267"/>
      <c r="AY536" s="267"/>
      <c r="AZ536" s="267"/>
      <c r="BA536" s="267"/>
      <c r="BB536" s="267"/>
      <c r="BC536" s="267"/>
      <c r="BD536" s="267"/>
      <c r="BE536" s="267"/>
      <c r="BF536" s="267"/>
      <c r="BG536" s="267"/>
      <c r="BH536" s="267"/>
      <c r="BI536" s="267"/>
      <c r="BJ536" s="267"/>
      <c r="BK536" s="267"/>
      <c r="BL536" s="267"/>
      <c r="BM536" s="267"/>
      <c r="BN536" s="267"/>
      <c r="BO536" s="267"/>
      <c r="BP536" s="267"/>
      <c r="BQ536" s="267"/>
      <c r="BR536" s="267"/>
      <c r="BS536" s="267"/>
      <c r="BT536" s="267"/>
      <c r="BU536" s="267"/>
      <c r="BV536" s="267"/>
      <c r="BW536" s="267"/>
      <c r="BX536" s="267"/>
      <c r="BY536" s="267"/>
      <c r="BZ536" s="267"/>
      <c r="CA536" s="267"/>
      <c r="CB536" s="267"/>
      <c r="CC536" s="267"/>
      <c r="CD536" s="267"/>
      <c r="CE536" s="267"/>
      <c r="CF536" s="267"/>
      <c r="CG536" s="267"/>
      <c r="CH536" s="267"/>
      <c r="CI536" s="267"/>
      <c r="CJ536" s="267"/>
      <c r="CK536" s="267"/>
      <c r="CL536" s="267"/>
      <c r="CM536" s="267"/>
      <c r="CN536" s="267"/>
      <c r="CO536" s="267"/>
      <c r="CP536" s="267"/>
      <c r="CQ536" s="267"/>
      <c r="CR536" s="267"/>
      <c r="CS536" s="267"/>
      <c r="CT536" s="267"/>
      <c r="CU536" s="267"/>
      <c r="CV536" s="267"/>
      <c r="CW536" s="267"/>
      <c r="CX536" s="267"/>
      <c r="CY536" s="267"/>
      <c r="CZ536" s="267"/>
    </row>
    <row r="537" spans="2:104">
      <c r="B537" s="1235"/>
      <c r="C537" s="1235"/>
      <c r="D537" s="1235"/>
      <c r="E537" s="267"/>
      <c r="F537" s="267"/>
      <c r="G537" s="267"/>
      <c r="H537" s="267"/>
      <c r="I537" s="267"/>
      <c r="J537" s="267"/>
      <c r="K537" s="267"/>
      <c r="L537" s="267"/>
      <c r="M537" s="267"/>
      <c r="N537" s="267"/>
      <c r="O537" s="267"/>
      <c r="P537" s="267"/>
      <c r="Q537" s="267"/>
      <c r="R537" s="267"/>
      <c r="S537" s="267"/>
      <c r="T537" s="267"/>
      <c r="U537" s="267"/>
      <c r="V537" s="267"/>
      <c r="W537" s="267"/>
      <c r="X537" s="267"/>
      <c r="Y537" s="267"/>
      <c r="Z537" s="267"/>
      <c r="AA537" s="267"/>
      <c r="AB537" s="267"/>
      <c r="AC537" s="267"/>
      <c r="AD537" s="267"/>
      <c r="AE537" s="267"/>
      <c r="AF537" s="267"/>
      <c r="AG537" s="267"/>
      <c r="AH537" s="267"/>
      <c r="AI537" s="267"/>
      <c r="AJ537" s="267"/>
      <c r="AK537" s="267"/>
      <c r="AL537" s="267"/>
      <c r="AM537" s="267"/>
      <c r="AN537" s="267"/>
      <c r="AO537" s="267"/>
      <c r="AP537" s="267"/>
      <c r="AQ537" s="267"/>
      <c r="AR537" s="267"/>
      <c r="AS537" s="267"/>
      <c r="AT537" s="267"/>
      <c r="AU537" s="267"/>
      <c r="AV537" s="267"/>
      <c r="AW537" s="267"/>
      <c r="AX537" s="267"/>
      <c r="AY537" s="267"/>
      <c r="AZ537" s="267"/>
      <c r="BA537" s="267"/>
      <c r="BB537" s="267"/>
      <c r="BC537" s="267"/>
      <c r="BD537" s="267"/>
      <c r="BE537" s="267"/>
      <c r="BF537" s="267"/>
      <c r="BG537" s="267"/>
      <c r="BH537" s="267"/>
      <c r="BI537" s="267"/>
      <c r="BJ537" s="267"/>
      <c r="BK537" s="267"/>
      <c r="BL537" s="267"/>
      <c r="BM537" s="267"/>
      <c r="BN537" s="267"/>
      <c r="BO537" s="267"/>
      <c r="BP537" s="267"/>
      <c r="BQ537" s="267"/>
      <c r="BR537" s="267"/>
      <c r="BS537" s="267"/>
      <c r="BT537" s="267"/>
      <c r="BU537" s="267"/>
      <c r="BV537" s="267"/>
      <c r="BW537" s="267"/>
      <c r="BX537" s="267"/>
      <c r="BY537" s="267"/>
      <c r="BZ537" s="267"/>
      <c r="CA537" s="267"/>
      <c r="CB537" s="267"/>
      <c r="CC537" s="267"/>
      <c r="CD537" s="267"/>
      <c r="CE537" s="267"/>
      <c r="CF537" s="267"/>
      <c r="CG537" s="267"/>
      <c r="CH537" s="267"/>
      <c r="CI537" s="267"/>
      <c r="CJ537" s="267"/>
      <c r="CK537" s="267"/>
      <c r="CL537" s="267"/>
      <c r="CM537" s="267"/>
      <c r="CN537" s="267"/>
      <c r="CO537" s="267"/>
      <c r="CP537" s="267"/>
      <c r="CQ537" s="267"/>
      <c r="CR537" s="267"/>
      <c r="CS537" s="267"/>
      <c r="CT537" s="267"/>
      <c r="CU537" s="267"/>
      <c r="CV537" s="267"/>
      <c r="CW537" s="267"/>
      <c r="CX537" s="267"/>
      <c r="CY537" s="267"/>
      <c r="CZ537" s="267"/>
    </row>
    <row r="538" spans="2:104">
      <c r="B538" s="1235"/>
      <c r="C538" s="1235"/>
      <c r="D538" s="1235"/>
      <c r="E538" s="267"/>
      <c r="F538" s="267"/>
      <c r="G538" s="267"/>
      <c r="H538" s="267"/>
      <c r="I538" s="267"/>
      <c r="J538" s="267"/>
      <c r="K538" s="267"/>
      <c r="L538" s="267"/>
      <c r="M538" s="267"/>
      <c r="N538" s="267"/>
      <c r="O538" s="267"/>
      <c r="P538" s="267"/>
      <c r="Q538" s="267"/>
      <c r="R538" s="267"/>
      <c r="S538" s="267"/>
      <c r="T538" s="267"/>
      <c r="U538" s="267"/>
      <c r="V538" s="267"/>
      <c r="W538" s="267"/>
      <c r="X538" s="267"/>
      <c r="Y538" s="267"/>
      <c r="Z538" s="267"/>
      <c r="AA538" s="267"/>
      <c r="AB538" s="267"/>
      <c r="AC538" s="267"/>
      <c r="AD538" s="267"/>
      <c r="AE538" s="267"/>
      <c r="AF538" s="267"/>
      <c r="AG538" s="267"/>
      <c r="AH538" s="267"/>
      <c r="AI538" s="267"/>
      <c r="AJ538" s="267"/>
      <c r="AK538" s="267"/>
      <c r="AL538" s="267"/>
      <c r="AM538" s="267"/>
      <c r="AN538" s="267"/>
      <c r="AO538" s="267"/>
      <c r="AP538" s="267"/>
      <c r="AQ538" s="267"/>
      <c r="AR538" s="267"/>
      <c r="AS538" s="267"/>
      <c r="AT538" s="267"/>
      <c r="AU538" s="267"/>
      <c r="AV538" s="267"/>
      <c r="AW538" s="267"/>
      <c r="AX538" s="267"/>
      <c r="AY538" s="267"/>
      <c r="AZ538" s="267"/>
      <c r="BA538" s="267"/>
      <c r="BB538" s="267"/>
      <c r="BC538" s="267"/>
      <c r="BD538" s="267"/>
      <c r="BE538" s="267"/>
      <c r="BF538" s="267"/>
      <c r="BG538" s="267"/>
      <c r="BH538" s="267"/>
      <c r="BI538" s="267"/>
      <c r="BJ538" s="267"/>
      <c r="BK538" s="267"/>
      <c r="BL538" s="267"/>
      <c r="BM538" s="267"/>
      <c r="BN538" s="267"/>
      <c r="BO538" s="267"/>
      <c r="BP538" s="267"/>
      <c r="BQ538" s="267"/>
      <c r="BR538" s="267"/>
      <c r="BS538" s="267"/>
      <c r="BT538" s="267"/>
      <c r="BU538" s="267"/>
      <c r="BV538" s="267"/>
      <c r="BW538" s="267"/>
      <c r="BX538" s="267"/>
      <c r="BY538" s="267"/>
      <c r="BZ538" s="267"/>
      <c r="CA538" s="267"/>
      <c r="CB538" s="267"/>
      <c r="CC538" s="267"/>
      <c r="CD538" s="267"/>
      <c r="CE538" s="267"/>
      <c r="CF538" s="267"/>
      <c r="CG538" s="267"/>
      <c r="CH538" s="267"/>
      <c r="CI538" s="267"/>
      <c r="CJ538" s="267"/>
      <c r="CK538" s="267"/>
      <c r="CL538" s="267"/>
      <c r="CM538" s="267"/>
      <c r="CN538" s="267"/>
      <c r="CO538" s="267"/>
      <c r="CP538" s="267"/>
      <c r="CQ538" s="267"/>
      <c r="CR538" s="267"/>
      <c r="CS538" s="267"/>
      <c r="CT538" s="267"/>
      <c r="CU538" s="267"/>
      <c r="CV538" s="267"/>
      <c r="CW538" s="267"/>
      <c r="CX538" s="267"/>
      <c r="CY538" s="267"/>
      <c r="CZ538" s="267"/>
    </row>
    <row r="539" spans="2:104">
      <c r="B539" s="1235"/>
      <c r="C539" s="1235"/>
      <c r="D539" s="1235"/>
      <c r="E539" s="267"/>
      <c r="F539" s="267"/>
      <c r="G539" s="267"/>
      <c r="H539" s="267"/>
      <c r="I539" s="267"/>
      <c r="J539" s="267"/>
      <c r="K539" s="267"/>
      <c r="L539" s="267"/>
      <c r="M539" s="267"/>
      <c r="N539" s="267"/>
      <c r="O539" s="267"/>
      <c r="P539" s="267"/>
      <c r="Q539" s="267"/>
      <c r="R539" s="267"/>
      <c r="S539" s="267"/>
      <c r="T539" s="267"/>
      <c r="U539" s="267"/>
      <c r="V539" s="267"/>
      <c r="W539" s="267"/>
      <c r="X539" s="267"/>
      <c r="Y539" s="267"/>
      <c r="Z539" s="267"/>
      <c r="AA539" s="267"/>
      <c r="AB539" s="267"/>
      <c r="AC539" s="267"/>
      <c r="AD539" s="267"/>
      <c r="AE539" s="267"/>
      <c r="AF539" s="267"/>
      <c r="AG539" s="267"/>
      <c r="AH539" s="267"/>
      <c r="AI539" s="267"/>
      <c r="AJ539" s="267"/>
      <c r="AK539" s="267"/>
      <c r="AL539" s="267"/>
      <c r="AM539" s="267"/>
      <c r="AN539" s="267"/>
      <c r="AO539" s="267"/>
      <c r="AP539" s="267"/>
      <c r="AQ539" s="267"/>
      <c r="AR539" s="267"/>
      <c r="AS539" s="267"/>
      <c r="AT539" s="267"/>
      <c r="AU539" s="267"/>
      <c r="AV539" s="267"/>
      <c r="AW539" s="267"/>
      <c r="AX539" s="267"/>
      <c r="AY539" s="267"/>
      <c r="AZ539" s="267"/>
      <c r="BA539" s="267"/>
      <c r="BB539" s="267"/>
      <c r="BC539" s="267"/>
      <c r="BD539" s="267"/>
      <c r="BE539" s="267"/>
      <c r="BF539" s="267"/>
      <c r="BG539" s="267"/>
      <c r="BH539" s="267"/>
      <c r="BI539" s="267"/>
      <c r="BJ539" s="267"/>
      <c r="BK539" s="267"/>
      <c r="BL539" s="267"/>
      <c r="BM539" s="267"/>
      <c r="BN539" s="267"/>
      <c r="BO539" s="267"/>
      <c r="BP539" s="267"/>
      <c r="BQ539" s="267"/>
      <c r="BR539" s="267"/>
      <c r="BS539" s="267"/>
      <c r="BT539" s="267"/>
      <c r="BU539" s="267"/>
      <c r="BV539" s="267"/>
      <c r="BW539" s="267"/>
      <c r="BX539" s="267"/>
      <c r="BY539" s="267"/>
      <c r="BZ539" s="267"/>
      <c r="CA539" s="267"/>
      <c r="CB539" s="267"/>
      <c r="CC539" s="267"/>
      <c r="CD539" s="267"/>
      <c r="CE539" s="267"/>
      <c r="CF539" s="267"/>
      <c r="CG539" s="267"/>
      <c r="CH539" s="267"/>
      <c r="CI539" s="267"/>
      <c r="CJ539" s="267"/>
      <c r="CK539" s="267"/>
      <c r="CL539" s="267"/>
      <c r="CM539" s="267"/>
      <c r="CN539" s="267"/>
      <c r="CO539" s="267"/>
      <c r="CP539" s="267"/>
      <c r="CQ539" s="267"/>
      <c r="CR539" s="267"/>
      <c r="CS539" s="267"/>
      <c r="CT539" s="267"/>
      <c r="CU539" s="267"/>
      <c r="CV539" s="267"/>
      <c r="CW539" s="267"/>
      <c r="CX539" s="267"/>
      <c r="CY539" s="267"/>
      <c r="CZ539" s="267"/>
    </row>
    <row r="540" spans="2:104">
      <c r="B540" s="1235"/>
      <c r="C540" s="1235"/>
      <c r="D540" s="1235"/>
      <c r="E540" s="267"/>
      <c r="F540" s="267"/>
      <c r="G540" s="267"/>
      <c r="H540" s="267"/>
      <c r="I540" s="267"/>
      <c r="J540" s="267"/>
      <c r="K540" s="267"/>
      <c r="L540" s="267"/>
      <c r="M540" s="267"/>
      <c r="N540" s="267"/>
      <c r="O540" s="267"/>
      <c r="P540" s="267"/>
      <c r="Q540" s="267"/>
      <c r="R540" s="267"/>
      <c r="S540" s="267"/>
      <c r="T540" s="267"/>
      <c r="U540" s="267"/>
      <c r="V540" s="267"/>
      <c r="W540" s="267"/>
      <c r="X540" s="267"/>
      <c r="Y540" s="267"/>
      <c r="Z540" s="267"/>
      <c r="AA540" s="267"/>
      <c r="AB540" s="267"/>
      <c r="AC540" s="267"/>
      <c r="AD540" s="267"/>
      <c r="AE540" s="267"/>
      <c r="AF540" s="267"/>
      <c r="AG540" s="267"/>
      <c r="AH540" s="267"/>
      <c r="AI540" s="267"/>
      <c r="AJ540" s="267"/>
      <c r="AK540" s="267"/>
      <c r="AL540" s="267"/>
      <c r="AM540" s="267"/>
      <c r="AN540" s="267"/>
      <c r="AO540" s="267"/>
      <c r="AP540" s="267"/>
      <c r="AQ540" s="267"/>
      <c r="AR540" s="267"/>
      <c r="AS540" s="267"/>
      <c r="AT540" s="267"/>
      <c r="AU540" s="267"/>
      <c r="AV540" s="267"/>
      <c r="AW540" s="267"/>
      <c r="AX540" s="267"/>
      <c r="AY540" s="267"/>
      <c r="AZ540" s="267"/>
      <c r="BA540" s="267"/>
      <c r="BB540" s="267"/>
      <c r="BC540" s="267"/>
      <c r="BD540" s="267"/>
      <c r="BE540" s="267"/>
      <c r="BF540" s="267"/>
      <c r="BG540" s="267"/>
      <c r="BH540" s="267"/>
      <c r="BI540" s="267"/>
      <c r="BJ540" s="267"/>
      <c r="BK540" s="267"/>
      <c r="BL540" s="267"/>
      <c r="BM540" s="267"/>
      <c r="BN540" s="267"/>
      <c r="BO540" s="267"/>
      <c r="BP540" s="267"/>
      <c r="BQ540" s="267"/>
      <c r="BR540" s="267"/>
      <c r="BS540" s="267"/>
      <c r="BT540" s="267"/>
      <c r="BU540" s="267"/>
      <c r="BV540" s="267"/>
      <c r="BW540" s="267"/>
      <c r="BX540" s="267"/>
      <c r="BY540" s="267"/>
      <c r="BZ540" s="267"/>
      <c r="CA540" s="267"/>
      <c r="CB540" s="267"/>
      <c r="CC540" s="267"/>
      <c r="CD540" s="267"/>
      <c r="CE540" s="267"/>
      <c r="CF540" s="267"/>
      <c r="CG540" s="267"/>
      <c r="CH540" s="267"/>
      <c r="CI540" s="267"/>
      <c r="CJ540" s="267"/>
      <c r="CK540" s="267"/>
      <c r="CL540" s="267"/>
      <c r="CM540" s="267"/>
      <c r="CN540" s="267"/>
      <c r="CO540" s="267"/>
      <c r="CP540" s="267"/>
      <c r="CQ540" s="267"/>
      <c r="CR540" s="267"/>
      <c r="CS540" s="267"/>
      <c r="CT540" s="267"/>
      <c r="CU540" s="267"/>
      <c r="CV540" s="267"/>
      <c r="CW540" s="267"/>
      <c r="CX540" s="267"/>
      <c r="CY540" s="267"/>
      <c r="CZ540" s="267"/>
    </row>
    <row r="541" spans="2:104">
      <c r="B541" s="1235"/>
      <c r="C541" s="1235"/>
      <c r="D541" s="1235"/>
      <c r="E541" s="267"/>
      <c r="F541" s="267"/>
      <c r="G541" s="267"/>
      <c r="H541" s="267"/>
      <c r="I541" s="267"/>
      <c r="J541" s="267"/>
      <c r="K541" s="267"/>
      <c r="L541" s="267"/>
      <c r="M541" s="267"/>
      <c r="N541" s="267"/>
      <c r="O541" s="267"/>
      <c r="P541" s="267"/>
      <c r="Q541" s="267"/>
      <c r="R541" s="267"/>
      <c r="S541" s="267"/>
      <c r="T541" s="267"/>
      <c r="U541" s="267"/>
      <c r="V541" s="267"/>
      <c r="W541" s="267"/>
      <c r="X541" s="267"/>
      <c r="Y541" s="267"/>
      <c r="Z541" s="267"/>
      <c r="AA541" s="267"/>
      <c r="AB541" s="267"/>
      <c r="AC541" s="267"/>
      <c r="AD541" s="267"/>
      <c r="AE541" s="267"/>
      <c r="AF541" s="267"/>
      <c r="AG541" s="267"/>
      <c r="AH541" s="267"/>
      <c r="AI541" s="267"/>
      <c r="AJ541" s="267"/>
      <c r="AK541" s="267"/>
      <c r="AL541" s="267"/>
      <c r="AM541" s="267"/>
      <c r="AN541" s="267"/>
      <c r="AO541" s="267"/>
      <c r="AP541" s="267"/>
      <c r="AQ541" s="267"/>
      <c r="AR541" s="267"/>
      <c r="AS541" s="267"/>
      <c r="AT541" s="267"/>
      <c r="AU541" s="267"/>
      <c r="AV541" s="267"/>
      <c r="AW541" s="267"/>
      <c r="AX541" s="267"/>
      <c r="AY541" s="267"/>
      <c r="AZ541" s="267"/>
      <c r="BA541" s="267"/>
      <c r="BB541" s="267"/>
      <c r="BC541" s="267"/>
      <c r="BD541" s="267"/>
      <c r="BE541" s="267"/>
      <c r="BF541" s="267"/>
      <c r="BG541" s="267"/>
      <c r="BH541" s="267"/>
      <c r="BI541" s="267"/>
      <c r="BJ541" s="267"/>
      <c r="BK541" s="267"/>
      <c r="BL541" s="267"/>
      <c r="BM541" s="267"/>
      <c r="BN541" s="267"/>
      <c r="BO541" s="267"/>
      <c r="BP541" s="267"/>
      <c r="BQ541" s="267"/>
      <c r="BR541" s="267"/>
      <c r="BS541" s="267"/>
      <c r="BT541" s="267"/>
      <c r="BU541" s="267"/>
      <c r="BV541" s="267"/>
      <c r="BW541" s="267"/>
      <c r="BX541" s="267"/>
      <c r="BY541" s="267"/>
      <c r="BZ541" s="267"/>
      <c r="CA541" s="267"/>
      <c r="CB541" s="267"/>
      <c r="CC541" s="267"/>
      <c r="CD541" s="267"/>
      <c r="CE541" s="267"/>
      <c r="CF541" s="267"/>
      <c r="CG541" s="267"/>
      <c r="CH541" s="267"/>
      <c r="CI541" s="267"/>
      <c r="CJ541" s="267"/>
      <c r="CK541" s="267"/>
      <c r="CL541" s="267"/>
      <c r="CM541" s="267"/>
      <c r="CN541" s="267"/>
      <c r="CO541" s="267"/>
      <c r="CP541" s="267"/>
      <c r="CQ541" s="267"/>
      <c r="CR541" s="267"/>
      <c r="CS541" s="267"/>
      <c r="CT541" s="267"/>
      <c r="CU541" s="267"/>
      <c r="CV541" s="267"/>
      <c r="CW541" s="267"/>
      <c r="CX541" s="267"/>
      <c r="CY541" s="267"/>
      <c r="CZ541" s="267"/>
    </row>
    <row r="542" spans="2:104">
      <c r="B542" s="1235"/>
      <c r="C542" s="1235"/>
      <c r="D542" s="1235"/>
      <c r="E542" s="267"/>
      <c r="F542" s="267"/>
      <c r="G542" s="267"/>
      <c r="H542" s="267"/>
      <c r="I542" s="267"/>
      <c r="J542" s="267"/>
      <c r="K542" s="267"/>
      <c r="L542" s="267"/>
      <c r="M542" s="267"/>
      <c r="N542" s="267"/>
      <c r="O542" s="267"/>
      <c r="P542" s="267"/>
      <c r="Q542" s="267"/>
      <c r="R542" s="267"/>
      <c r="S542" s="267"/>
      <c r="T542" s="267"/>
      <c r="U542" s="267"/>
      <c r="V542" s="267"/>
      <c r="W542" s="267"/>
      <c r="X542" s="267"/>
      <c r="Y542" s="267"/>
      <c r="Z542" s="267"/>
      <c r="AA542" s="267"/>
      <c r="AB542" s="267"/>
      <c r="AC542" s="267"/>
      <c r="AD542" s="267"/>
      <c r="AE542" s="267"/>
      <c r="AF542" s="267"/>
      <c r="AG542" s="267"/>
      <c r="AH542" s="267"/>
      <c r="AI542" s="267"/>
      <c r="AJ542" s="267"/>
      <c r="AK542" s="267"/>
      <c r="AL542" s="267"/>
      <c r="AM542" s="267"/>
      <c r="AN542" s="267"/>
      <c r="AO542" s="267"/>
      <c r="AP542" s="267"/>
      <c r="AQ542" s="267"/>
      <c r="AR542" s="267"/>
      <c r="AS542" s="267"/>
      <c r="AT542" s="267"/>
      <c r="AU542" s="267"/>
      <c r="AV542" s="267"/>
      <c r="AW542" s="267"/>
      <c r="AX542" s="267"/>
      <c r="AY542" s="267"/>
      <c r="AZ542" s="267"/>
      <c r="BA542" s="267"/>
      <c r="BB542" s="267"/>
      <c r="BC542" s="267"/>
      <c r="BD542" s="267"/>
      <c r="BE542" s="267"/>
      <c r="BF542" s="267"/>
      <c r="BG542" s="267"/>
      <c r="BH542" s="267"/>
      <c r="BI542" s="267"/>
      <c r="BJ542" s="267"/>
      <c r="BK542" s="267"/>
      <c r="BL542" s="267"/>
      <c r="BM542" s="267"/>
      <c r="BN542" s="267"/>
      <c r="BO542" s="267"/>
      <c r="BP542" s="267"/>
      <c r="BQ542" s="267"/>
      <c r="BR542" s="267"/>
      <c r="BS542" s="267"/>
      <c r="BT542" s="267"/>
      <c r="BU542" s="267"/>
      <c r="BV542" s="267"/>
      <c r="BW542" s="267"/>
      <c r="BX542" s="267"/>
      <c r="BY542" s="267"/>
      <c r="BZ542" s="267"/>
      <c r="CA542" s="267"/>
      <c r="CB542" s="267"/>
      <c r="CC542" s="267"/>
      <c r="CD542" s="267"/>
      <c r="CE542" s="267"/>
      <c r="CF542" s="267"/>
      <c r="CG542" s="267"/>
      <c r="CH542" s="267"/>
      <c r="CI542" s="267"/>
      <c r="CJ542" s="267"/>
      <c r="CK542" s="267"/>
      <c r="CL542" s="267"/>
      <c r="CM542" s="267"/>
      <c r="CN542" s="267"/>
      <c r="CO542" s="267"/>
      <c r="CP542" s="267"/>
      <c r="CQ542" s="267"/>
      <c r="CR542" s="267"/>
      <c r="CS542" s="267"/>
      <c r="CT542" s="267"/>
      <c r="CU542" s="267"/>
      <c r="CV542" s="267"/>
      <c r="CW542" s="267"/>
      <c r="CX542" s="267"/>
      <c r="CY542" s="267"/>
      <c r="CZ542" s="267"/>
    </row>
    <row r="543" spans="2:104">
      <c r="B543" s="1235"/>
      <c r="C543" s="1235"/>
      <c r="D543" s="1235"/>
      <c r="E543" s="267"/>
      <c r="F543" s="267"/>
      <c r="G543" s="267"/>
      <c r="H543" s="267"/>
      <c r="I543" s="267"/>
      <c r="J543" s="267"/>
      <c r="K543" s="267"/>
      <c r="L543" s="267"/>
      <c r="M543" s="267"/>
      <c r="N543" s="267"/>
      <c r="O543" s="267"/>
      <c r="P543" s="267"/>
      <c r="Q543" s="267"/>
      <c r="R543" s="267"/>
      <c r="S543" s="267"/>
      <c r="T543" s="267"/>
      <c r="U543" s="267"/>
      <c r="V543" s="267"/>
      <c r="W543" s="267"/>
      <c r="X543" s="267"/>
      <c r="Y543" s="267"/>
      <c r="Z543" s="267"/>
      <c r="AA543" s="267"/>
      <c r="AB543" s="267"/>
      <c r="AC543" s="267"/>
      <c r="AD543" s="267"/>
      <c r="AE543" s="267"/>
      <c r="AF543" s="267"/>
      <c r="AG543" s="267"/>
      <c r="AH543" s="267"/>
      <c r="AI543" s="267"/>
      <c r="AJ543" s="267"/>
      <c r="AK543" s="267"/>
      <c r="AL543" s="267"/>
      <c r="AM543" s="267"/>
      <c r="AN543" s="267"/>
      <c r="AO543" s="267"/>
      <c r="AP543" s="267"/>
      <c r="AQ543" s="267"/>
      <c r="AR543" s="267"/>
      <c r="AS543" s="267"/>
      <c r="AT543" s="267"/>
      <c r="AU543" s="267"/>
      <c r="AV543" s="267"/>
      <c r="AW543" s="267"/>
      <c r="AX543" s="267"/>
      <c r="AY543" s="267"/>
      <c r="AZ543" s="267"/>
      <c r="BA543" s="267"/>
      <c r="BB543" s="267"/>
      <c r="BC543" s="267"/>
      <c r="BD543" s="267"/>
      <c r="BE543" s="267"/>
      <c r="BF543" s="267"/>
      <c r="BG543" s="267"/>
      <c r="BH543" s="267"/>
      <c r="BI543" s="267"/>
      <c r="BJ543" s="267"/>
      <c r="BK543" s="267"/>
      <c r="BL543" s="267"/>
      <c r="BM543" s="267"/>
      <c r="BN543" s="267"/>
      <c r="BO543" s="267"/>
      <c r="BP543" s="267"/>
      <c r="BQ543" s="267"/>
      <c r="BR543" s="267"/>
      <c r="BS543" s="267"/>
      <c r="BT543" s="267"/>
      <c r="BU543" s="267"/>
      <c r="BV543" s="267"/>
      <c r="BW543" s="267"/>
      <c r="BX543" s="267"/>
      <c r="BY543" s="267"/>
      <c r="BZ543" s="267"/>
      <c r="CA543" s="267"/>
      <c r="CB543" s="267"/>
      <c r="CC543" s="267"/>
      <c r="CD543" s="267"/>
      <c r="CE543" s="267"/>
      <c r="CF543" s="267"/>
      <c r="CG543" s="267"/>
      <c r="CH543" s="267"/>
      <c r="CI543" s="267"/>
      <c r="CJ543" s="267"/>
      <c r="CK543" s="267"/>
      <c r="CL543" s="267"/>
      <c r="CM543" s="267"/>
      <c r="CN543" s="267"/>
      <c r="CO543" s="267"/>
      <c r="CP543" s="267"/>
      <c r="CQ543" s="267"/>
      <c r="CR543" s="267"/>
      <c r="CS543" s="267"/>
      <c r="CT543" s="267"/>
      <c r="CU543" s="267"/>
      <c r="CV543" s="267"/>
      <c r="CW543" s="267"/>
      <c r="CX543" s="267"/>
      <c r="CY543" s="267"/>
      <c r="CZ543" s="267"/>
    </row>
    <row r="544" spans="2:104">
      <c r="B544" s="1235"/>
      <c r="C544" s="1235"/>
      <c r="D544" s="1235"/>
      <c r="E544" s="267"/>
      <c r="F544" s="267"/>
      <c r="G544" s="267"/>
      <c r="H544" s="267"/>
      <c r="I544" s="267"/>
      <c r="J544" s="267"/>
      <c r="K544" s="267"/>
      <c r="L544" s="267"/>
      <c r="M544" s="267"/>
      <c r="N544" s="267"/>
      <c r="O544" s="267"/>
      <c r="P544" s="267"/>
      <c r="Q544" s="267"/>
      <c r="R544" s="267"/>
      <c r="S544" s="267"/>
      <c r="T544" s="267"/>
      <c r="U544" s="267"/>
      <c r="V544" s="267"/>
      <c r="W544" s="267"/>
      <c r="X544" s="267"/>
      <c r="Y544" s="267"/>
      <c r="Z544" s="267"/>
      <c r="AA544" s="267"/>
      <c r="AB544" s="267"/>
      <c r="AC544" s="267"/>
      <c r="AD544" s="267"/>
      <c r="AE544" s="267"/>
      <c r="AF544" s="267"/>
      <c r="AG544" s="267"/>
      <c r="AH544" s="267"/>
      <c r="AI544" s="267"/>
      <c r="AJ544" s="267"/>
      <c r="AK544" s="267"/>
      <c r="AL544" s="267"/>
      <c r="AM544" s="267"/>
      <c r="AN544" s="267"/>
      <c r="AO544" s="267"/>
      <c r="AP544" s="267"/>
      <c r="AQ544" s="267"/>
      <c r="AR544" s="267"/>
      <c r="AS544" s="267"/>
      <c r="AT544" s="267"/>
      <c r="AU544" s="267"/>
      <c r="AV544" s="267"/>
      <c r="AW544" s="267"/>
      <c r="AX544" s="267"/>
      <c r="AY544" s="267"/>
      <c r="AZ544" s="267"/>
      <c r="BA544" s="267"/>
      <c r="BB544" s="267"/>
      <c r="BC544" s="267"/>
      <c r="BD544" s="267"/>
      <c r="BE544" s="267"/>
      <c r="BF544" s="267"/>
      <c r="BG544" s="267"/>
      <c r="BH544" s="267"/>
      <c r="BI544" s="267"/>
      <c r="BJ544" s="267"/>
      <c r="BK544" s="267"/>
      <c r="BL544" s="267"/>
      <c r="BM544" s="267"/>
      <c r="BN544" s="267"/>
      <c r="BO544" s="267"/>
      <c r="BP544" s="267"/>
      <c r="BQ544" s="267"/>
      <c r="BR544" s="267"/>
      <c r="BS544" s="267"/>
      <c r="BT544" s="267"/>
      <c r="BU544" s="267"/>
      <c r="BV544" s="267"/>
      <c r="BW544" s="267"/>
      <c r="BX544" s="267"/>
      <c r="BY544" s="267"/>
      <c r="BZ544" s="267"/>
      <c r="CA544" s="267"/>
      <c r="CB544" s="267"/>
      <c r="CC544" s="267"/>
      <c r="CD544" s="267"/>
      <c r="CE544" s="267"/>
      <c r="CF544" s="267"/>
      <c r="CG544" s="267"/>
      <c r="CH544" s="267"/>
      <c r="CI544" s="267"/>
      <c r="CJ544" s="267"/>
      <c r="CK544" s="267"/>
      <c r="CL544" s="267"/>
      <c r="CM544" s="267"/>
      <c r="CN544" s="267"/>
      <c r="CO544" s="267"/>
      <c r="CP544" s="267"/>
      <c r="CQ544" s="267"/>
      <c r="CR544" s="267"/>
      <c r="CS544" s="267"/>
      <c r="CT544" s="267"/>
      <c r="CU544" s="267"/>
      <c r="CV544" s="267"/>
      <c r="CW544" s="267"/>
      <c r="CX544" s="267"/>
      <c r="CY544" s="267"/>
      <c r="CZ544" s="267"/>
    </row>
    <row r="545" spans="2:104">
      <c r="B545" s="1235"/>
      <c r="C545" s="1235"/>
      <c r="D545" s="1235"/>
      <c r="E545" s="267"/>
      <c r="F545" s="267"/>
      <c r="G545" s="267"/>
      <c r="H545" s="267"/>
      <c r="I545" s="267"/>
      <c r="J545" s="267"/>
      <c r="K545" s="267"/>
      <c r="L545" s="267"/>
      <c r="M545" s="267"/>
      <c r="N545" s="267"/>
      <c r="O545" s="267"/>
      <c r="P545" s="267"/>
      <c r="Q545" s="267"/>
      <c r="R545" s="267"/>
      <c r="S545" s="267"/>
      <c r="T545" s="267"/>
      <c r="U545" s="267"/>
      <c r="V545" s="267"/>
      <c r="W545" s="267"/>
      <c r="X545" s="267"/>
      <c r="Y545" s="267"/>
      <c r="Z545" s="267"/>
      <c r="AA545" s="267"/>
      <c r="AB545" s="267"/>
      <c r="AC545" s="267"/>
      <c r="AD545" s="267"/>
      <c r="AE545" s="267"/>
      <c r="AF545" s="267"/>
      <c r="AG545" s="267"/>
      <c r="AH545" s="267"/>
      <c r="AI545" s="267"/>
      <c r="AJ545" s="267"/>
      <c r="AK545" s="267"/>
      <c r="AL545" s="267"/>
      <c r="AM545" s="267"/>
      <c r="AN545" s="267"/>
      <c r="AO545" s="267"/>
      <c r="AP545" s="267"/>
      <c r="AQ545" s="267"/>
      <c r="AR545" s="267"/>
      <c r="AS545" s="267"/>
      <c r="AT545" s="267"/>
      <c r="AU545" s="267"/>
      <c r="AV545" s="267"/>
      <c r="AW545" s="267"/>
      <c r="AX545" s="267"/>
      <c r="AY545" s="267"/>
      <c r="AZ545" s="267"/>
      <c r="BA545" s="267"/>
      <c r="BB545" s="267"/>
      <c r="BC545" s="267"/>
      <c r="BD545" s="267"/>
      <c r="BE545" s="267"/>
      <c r="BF545" s="267"/>
      <c r="BG545" s="267"/>
      <c r="BH545" s="267"/>
      <c r="BI545" s="267"/>
      <c r="BJ545" s="267"/>
      <c r="BK545" s="267"/>
      <c r="BL545" s="267"/>
      <c r="BM545" s="267"/>
      <c r="BN545" s="267"/>
      <c r="BO545" s="267"/>
      <c r="BP545" s="267"/>
      <c r="BQ545" s="267"/>
      <c r="BR545" s="267"/>
      <c r="BS545" s="267"/>
      <c r="BT545" s="267"/>
      <c r="BU545" s="267"/>
      <c r="BV545" s="267"/>
      <c r="BW545" s="267"/>
      <c r="BX545" s="267"/>
      <c r="BY545" s="267"/>
      <c r="BZ545" s="267"/>
      <c r="CA545" s="267"/>
      <c r="CB545" s="267"/>
      <c r="CC545" s="267"/>
      <c r="CD545" s="267"/>
      <c r="CE545" s="267"/>
      <c r="CF545" s="267"/>
      <c r="CG545" s="267"/>
      <c r="CH545" s="267"/>
      <c r="CI545" s="267"/>
      <c r="CJ545" s="267"/>
      <c r="CK545" s="267"/>
      <c r="CL545" s="267"/>
      <c r="CM545" s="267"/>
      <c r="CN545" s="267"/>
      <c r="CO545" s="267"/>
      <c r="CP545" s="267"/>
      <c r="CQ545" s="267"/>
      <c r="CR545" s="267"/>
      <c r="CS545" s="267"/>
      <c r="CT545" s="267"/>
      <c r="CU545" s="267"/>
      <c r="CV545" s="267"/>
      <c r="CW545" s="267"/>
      <c r="CX545" s="267"/>
      <c r="CY545" s="267"/>
      <c r="CZ545" s="267"/>
    </row>
    <row r="546" spans="2:104">
      <c r="B546" s="1235"/>
      <c r="C546" s="1235"/>
      <c r="D546" s="1235"/>
      <c r="E546" s="267"/>
      <c r="F546" s="267"/>
      <c r="G546" s="267"/>
      <c r="H546" s="267"/>
      <c r="I546" s="267"/>
      <c r="J546" s="267"/>
      <c r="K546" s="267"/>
      <c r="L546" s="267"/>
      <c r="M546" s="267"/>
      <c r="N546" s="267"/>
      <c r="O546" s="267"/>
      <c r="P546" s="267"/>
      <c r="Q546" s="267"/>
      <c r="R546" s="267"/>
      <c r="S546" s="267"/>
      <c r="T546" s="267"/>
      <c r="U546" s="267"/>
      <c r="V546" s="267"/>
      <c r="W546" s="267"/>
      <c r="X546" s="267"/>
      <c r="Y546" s="267"/>
      <c r="Z546" s="267"/>
      <c r="AA546" s="267"/>
      <c r="AB546" s="267"/>
      <c r="AC546" s="267"/>
      <c r="AD546" s="267"/>
      <c r="AE546" s="267"/>
      <c r="AF546" s="267"/>
      <c r="AG546" s="267"/>
      <c r="AH546" s="267"/>
      <c r="AI546" s="267"/>
      <c r="AJ546" s="267"/>
      <c r="AK546" s="267"/>
      <c r="AL546" s="267"/>
      <c r="AM546" s="267"/>
      <c r="AN546" s="267"/>
      <c r="AO546" s="267"/>
      <c r="AP546" s="267"/>
      <c r="AQ546" s="267"/>
      <c r="AR546" s="267"/>
      <c r="AS546" s="267"/>
      <c r="AT546" s="267"/>
      <c r="AU546" s="267"/>
      <c r="AV546" s="267"/>
      <c r="AW546" s="267"/>
      <c r="AX546" s="267"/>
      <c r="AY546" s="267"/>
      <c r="AZ546" s="267"/>
      <c r="BA546" s="267"/>
      <c r="BB546" s="267"/>
      <c r="BC546" s="267"/>
      <c r="BD546" s="267"/>
      <c r="BE546" s="267"/>
      <c r="BF546" s="267"/>
      <c r="BG546" s="267"/>
      <c r="BH546" s="267"/>
      <c r="BI546" s="267"/>
      <c r="BJ546" s="267"/>
      <c r="BK546" s="267"/>
      <c r="BL546" s="267"/>
      <c r="BM546" s="267"/>
      <c r="BN546" s="267"/>
      <c r="BO546" s="267"/>
      <c r="BP546" s="267"/>
      <c r="BQ546" s="267"/>
      <c r="BR546" s="267"/>
      <c r="BS546" s="267"/>
      <c r="BT546" s="267"/>
      <c r="BU546" s="267"/>
      <c r="BV546" s="267"/>
      <c r="BW546" s="267"/>
      <c r="BX546" s="267"/>
      <c r="BY546" s="267"/>
      <c r="BZ546" s="267"/>
      <c r="CA546" s="267"/>
      <c r="CB546" s="267"/>
      <c r="CC546" s="267"/>
      <c r="CD546" s="267"/>
      <c r="CE546" s="267"/>
      <c r="CF546" s="267"/>
      <c r="CG546" s="267"/>
      <c r="CH546" s="267"/>
      <c r="CI546" s="267"/>
      <c r="CJ546" s="267"/>
      <c r="CK546" s="267"/>
      <c r="CL546" s="267"/>
      <c r="CM546" s="267"/>
      <c r="CN546" s="267"/>
      <c r="CO546" s="267"/>
      <c r="CP546" s="267"/>
      <c r="CQ546" s="267"/>
      <c r="CR546" s="267"/>
      <c r="CS546" s="267"/>
      <c r="CT546" s="267"/>
      <c r="CU546" s="267"/>
      <c r="CV546" s="267"/>
      <c r="CW546" s="267"/>
      <c r="CX546" s="267"/>
      <c r="CY546" s="267"/>
      <c r="CZ546" s="267"/>
    </row>
    <row r="547" spans="2:104">
      <c r="B547" s="1235"/>
      <c r="C547" s="1235"/>
      <c r="D547" s="1235"/>
      <c r="E547" s="267"/>
      <c r="F547" s="267"/>
      <c r="G547" s="267"/>
      <c r="H547" s="267"/>
      <c r="I547" s="267"/>
      <c r="J547" s="267"/>
      <c r="K547" s="267"/>
      <c r="L547" s="267"/>
      <c r="M547" s="267"/>
      <c r="N547" s="267"/>
      <c r="O547" s="267"/>
      <c r="P547" s="267"/>
      <c r="Q547" s="267"/>
      <c r="R547" s="267"/>
      <c r="S547" s="267"/>
      <c r="T547" s="267"/>
      <c r="U547" s="267"/>
      <c r="V547" s="267"/>
      <c r="W547" s="267"/>
      <c r="X547" s="267"/>
      <c r="Y547" s="267"/>
      <c r="Z547" s="267"/>
      <c r="AA547" s="267"/>
      <c r="AB547" s="267"/>
      <c r="AC547" s="267"/>
      <c r="AD547" s="267"/>
      <c r="AE547" s="267"/>
      <c r="AF547" s="267"/>
      <c r="AG547" s="267"/>
      <c r="AH547" s="267"/>
      <c r="AI547" s="267"/>
      <c r="AJ547" s="267"/>
      <c r="AK547" s="267"/>
      <c r="AL547" s="267"/>
      <c r="AM547" s="267"/>
      <c r="AN547" s="267"/>
      <c r="AO547" s="267"/>
      <c r="AP547" s="267"/>
      <c r="AQ547" s="267"/>
      <c r="AR547" s="267"/>
      <c r="AS547" s="267"/>
      <c r="AT547" s="267"/>
      <c r="AU547" s="267"/>
      <c r="AV547" s="267"/>
      <c r="AW547" s="267"/>
      <c r="AX547" s="267"/>
      <c r="AY547" s="267"/>
      <c r="AZ547" s="267"/>
      <c r="BA547" s="267"/>
      <c r="BB547" s="267"/>
      <c r="BC547" s="267"/>
      <c r="BD547" s="267"/>
      <c r="BE547" s="267"/>
      <c r="BF547" s="267"/>
      <c r="BG547" s="267"/>
      <c r="BH547" s="267"/>
      <c r="BI547" s="267"/>
      <c r="BJ547" s="267"/>
      <c r="BK547" s="267"/>
      <c r="BL547" s="267"/>
      <c r="BM547" s="267"/>
      <c r="BN547" s="267"/>
      <c r="BO547" s="267"/>
      <c r="BP547" s="267"/>
      <c r="BQ547" s="267"/>
      <c r="BR547" s="267"/>
      <c r="BS547" s="267"/>
      <c r="BT547" s="267"/>
      <c r="BU547" s="267"/>
      <c r="BV547" s="267"/>
      <c r="BW547" s="267"/>
      <c r="BX547" s="267"/>
      <c r="BY547" s="267"/>
      <c r="BZ547" s="267"/>
      <c r="CA547" s="267"/>
      <c r="CB547" s="267"/>
      <c r="CC547" s="267"/>
      <c r="CD547" s="267"/>
      <c r="CE547" s="267"/>
      <c r="CF547" s="267"/>
      <c r="CG547" s="267"/>
      <c r="CH547" s="267"/>
      <c r="CI547" s="267"/>
      <c r="CJ547" s="267"/>
      <c r="CK547" s="267"/>
      <c r="CL547" s="267"/>
      <c r="CM547" s="267"/>
      <c r="CN547" s="267"/>
      <c r="CO547" s="267"/>
      <c r="CP547" s="267"/>
      <c r="CQ547" s="267"/>
      <c r="CR547" s="267"/>
      <c r="CS547" s="267"/>
      <c r="CT547" s="267"/>
      <c r="CU547" s="267"/>
      <c r="CV547" s="267"/>
      <c r="CW547" s="267"/>
      <c r="CX547" s="267"/>
      <c r="CY547" s="267"/>
      <c r="CZ547" s="267"/>
    </row>
    <row r="548" spans="2:104">
      <c r="B548" s="1235"/>
      <c r="C548" s="1235"/>
      <c r="D548" s="1235"/>
      <c r="E548" s="267"/>
      <c r="F548" s="267"/>
      <c r="G548" s="267"/>
      <c r="H548" s="267"/>
      <c r="I548" s="267"/>
      <c r="J548" s="267"/>
      <c r="K548" s="267"/>
      <c r="L548" s="267"/>
      <c r="M548" s="267"/>
      <c r="N548" s="267"/>
      <c r="O548" s="267"/>
      <c r="P548" s="267"/>
      <c r="Q548" s="267"/>
      <c r="R548" s="267"/>
      <c r="S548" s="267"/>
      <c r="T548" s="267"/>
      <c r="U548" s="267"/>
      <c r="V548" s="267"/>
      <c r="W548" s="267"/>
      <c r="X548" s="267"/>
      <c r="Y548" s="267"/>
      <c r="Z548" s="267"/>
      <c r="AA548" s="267"/>
      <c r="AB548" s="267"/>
      <c r="AC548" s="267"/>
      <c r="AD548" s="267"/>
      <c r="AE548" s="267"/>
      <c r="AF548" s="267"/>
      <c r="AG548" s="267"/>
      <c r="AH548" s="267"/>
      <c r="AI548" s="267"/>
      <c r="AJ548" s="267"/>
      <c r="AK548" s="267"/>
      <c r="AL548" s="267"/>
      <c r="AM548" s="267"/>
      <c r="AN548" s="267"/>
      <c r="AO548" s="267"/>
      <c r="AP548" s="267"/>
      <c r="AQ548" s="267"/>
      <c r="AR548" s="267"/>
      <c r="AS548" s="267"/>
      <c r="AT548" s="267"/>
      <c r="AU548" s="267"/>
      <c r="AV548" s="267"/>
      <c r="AW548" s="267"/>
      <c r="AX548" s="267"/>
      <c r="AY548" s="267"/>
      <c r="AZ548" s="267"/>
      <c r="BA548" s="267"/>
      <c r="BB548" s="267"/>
      <c r="BC548" s="267"/>
      <c r="BD548" s="267"/>
      <c r="BE548" s="267"/>
      <c r="BF548" s="267"/>
      <c r="BG548" s="267"/>
      <c r="BH548" s="267"/>
      <c r="BI548" s="267"/>
      <c r="BJ548" s="267"/>
      <c r="BK548" s="267"/>
      <c r="BL548" s="267"/>
      <c r="BM548" s="267"/>
      <c r="BN548" s="267"/>
      <c r="BO548" s="267"/>
      <c r="BP548" s="267"/>
      <c r="BQ548" s="267"/>
      <c r="BR548" s="267"/>
      <c r="BS548" s="267"/>
      <c r="BT548" s="267"/>
      <c r="BU548" s="267"/>
      <c r="BV548" s="267"/>
      <c r="BW548" s="267"/>
      <c r="BX548" s="267"/>
      <c r="BY548" s="267"/>
      <c r="BZ548" s="267"/>
      <c r="CA548" s="267"/>
      <c r="CB548" s="267"/>
      <c r="CC548" s="267"/>
      <c r="CD548" s="267"/>
      <c r="CE548" s="267"/>
      <c r="CF548" s="267"/>
      <c r="CG548" s="267"/>
      <c r="CH548" s="267"/>
      <c r="CI548" s="267"/>
      <c r="CJ548" s="267"/>
      <c r="CK548" s="267"/>
      <c r="CL548" s="267"/>
      <c r="CM548" s="267"/>
      <c r="CN548" s="267"/>
      <c r="CO548" s="267"/>
      <c r="CP548" s="267"/>
      <c r="CQ548" s="267"/>
      <c r="CR548" s="267"/>
      <c r="CS548" s="267"/>
      <c r="CT548" s="267"/>
      <c r="CU548" s="267"/>
      <c r="CV548" s="267"/>
      <c r="CW548" s="267"/>
      <c r="CX548" s="267"/>
      <c r="CY548" s="267"/>
      <c r="CZ548" s="267"/>
    </row>
    <row r="549" spans="2:104">
      <c r="B549" s="1235"/>
      <c r="C549" s="1235"/>
      <c r="D549" s="1235"/>
      <c r="E549" s="267"/>
      <c r="F549" s="267"/>
      <c r="G549" s="267"/>
      <c r="H549" s="267"/>
      <c r="I549" s="267"/>
      <c r="J549" s="267"/>
      <c r="K549" s="267"/>
      <c r="L549" s="267"/>
      <c r="M549" s="267"/>
      <c r="N549" s="267"/>
      <c r="O549" s="267"/>
      <c r="P549" s="267"/>
      <c r="Q549" s="267"/>
      <c r="R549" s="267"/>
      <c r="S549" s="267"/>
      <c r="T549" s="267"/>
      <c r="U549" s="267"/>
      <c r="V549" s="267"/>
      <c r="W549" s="267"/>
      <c r="X549" s="267"/>
      <c r="Y549" s="267"/>
      <c r="Z549" s="267"/>
      <c r="AA549" s="267"/>
      <c r="AB549" s="267"/>
      <c r="AC549" s="267"/>
      <c r="AD549" s="267"/>
      <c r="AE549" s="267"/>
      <c r="AF549" s="267"/>
      <c r="AG549" s="267"/>
      <c r="AH549" s="267"/>
      <c r="AI549" s="267"/>
      <c r="AJ549" s="267"/>
      <c r="AK549" s="267"/>
      <c r="AL549" s="267"/>
      <c r="AM549" s="267"/>
      <c r="AN549" s="267"/>
      <c r="AO549" s="267"/>
      <c r="AP549" s="267"/>
      <c r="AQ549" s="267"/>
      <c r="AR549" s="267"/>
      <c r="AS549" s="267"/>
      <c r="AT549" s="267"/>
      <c r="AU549" s="267"/>
      <c r="AV549" s="267"/>
      <c r="AW549" s="267"/>
      <c r="AX549" s="267"/>
      <c r="AY549" s="267"/>
      <c r="AZ549" s="267"/>
      <c r="BA549" s="267"/>
      <c r="BB549" s="267"/>
      <c r="BC549" s="267"/>
      <c r="BD549" s="267"/>
      <c r="BE549" s="267"/>
      <c r="BF549" s="267"/>
      <c r="BG549" s="267"/>
      <c r="BH549" s="267"/>
      <c r="BI549" s="267"/>
      <c r="BJ549" s="267"/>
      <c r="BK549" s="267"/>
      <c r="BL549" s="267"/>
      <c r="BM549" s="267"/>
      <c r="BN549" s="267"/>
      <c r="BO549" s="267"/>
      <c r="BP549" s="267"/>
      <c r="BQ549" s="267"/>
      <c r="BR549" s="267"/>
      <c r="BS549" s="267"/>
      <c r="BT549" s="267"/>
      <c r="BU549" s="267"/>
      <c r="BV549" s="267"/>
      <c r="BW549" s="267"/>
      <c r="BX549" s="267"/>
      <c r="BY549" s="267"/>
      <c r="BZ549" s="267"/>
      <c r="CA549" s="267"/>
      <c r="CB549" s="267"/>
      <c r="CC549" s="267"/>
      <c r="CD549" s="267"/>
      <c r="CE549" s="267"/>
      <c r="CF549" s="267"/>
      <c r="CG549" s="267"/>
      <c r="CH549" s="267"/>
      <c r="CI549" s="267"/>
      <c r="CJ549" s="267"/>
      <c r="CK549" s="267"/>
      <c r="CL549" s="267"/>
      <c r="CM549" s="267"/>
      <c r="CN549" s="267"/>
      <c r="CO549" s="267"/>
      <c r="CP549" s="267"/>
      <c r="CQ549" s="267"/>
      <c r="CR549" s="267"/>
      <c r="CS549" s="267"/>
      <c r="CT549" s="267"/>
      <c r="CU549" s="267"/>
      <c r="CV549" s="267"/>
      <c r="CW549" s="267"/>
      <c r="CX549" s="267"/>
      <c r="CY549" s="267"/>
      <c r="CZ549" s="267"/>
    </row>
    <row r="550" spans="2:104">
      <c r="B550" s="1235"/>
      <c r="C550" s="1235"/>
      <c r="D550" s="1235"/>
      <c r="E550" s="267"/>
      <c r="F550" s="267"/>
      <c r="G550" s="267"/>
      <c r="H550" s="267"/>
      <c r="I550" s="267"/>
      <c r="J550" s="267"/>
      <c r="K550" s="267"/>
      <c r="L550" s="267"/>
      <c r="M550" s="267"/>
      <c r="N550" s="267"/>
      <c r="O550" s="267"/>
      <c r="P550" s="267"/>
      <c r="Q550" s="267"/>
      <c r="R550" s="267"/>
      <c r="S550" s="267"/>
      <c r="T550" s="267"/>
      <c r="U550" s="267"/>
      <c r="V550" s="267"/>
      <c r="W550" s="267"/>
      <c r="X550" s="267"/>
      <c r="Y550" s="267"/>
      <c r="Z550" s="267"/>
      <c r="AA550" s="267"/>
      <c r="AB550" s="267"/>
      <c r="AC550" s="267"/>
      <c r="AD550" s="267"/>
      <c r="AE550" s="267"/>
      <c r="AF550" s="267"/>
      <c r="AG550" s="267"/>
      <c r="AH550" s="267"/>
      <c r="AI550" s="267"/>
      <c r="AJ550" s="267"/>
      <c r="AK550" s="267"/>
      <c r="AL550" s="267"/>
      <c r="AM550" s="267"/>
      <c r="AN550" s="267"/>
      <c r="AO550" s="267"/>
      <c r="AP550" s="267"/>
      <c r="AQ550" s="267"/>
      <c r="AR550" s="267"/>
      <c r="AS550" s="267"/>
      <c r="AT550" s="267"/>
      <c r="AU550" s="267"/>
      <c r="AV550" s="267"/>
      <c r="AW550" s="267"/>
      <c r="AX550" s="267"/>
      <c r="AY550" s="267"/>
      <c r="AZ550" s="267"/>
      <c r="BA550" s="267"/>
      <c r="BB550" s="267"/>
      <c r="BC550" s="267"/>
      <c r="BD550" s="267"/>
      <c r="BE550" s="267"/>
      <c r="BF550" s="267"/>
      <c r="BG550" s="267"/>
      <c r="BH550" s="267"/>
      <c r="BI550" s="267"/>
      <c r="BJ550" s="267"/>
      <c r="BK550" s="267"/>
      <c r="BL550" s="267"/>
      <c r="BM550" s="267"/>
      <c r="BN550" s="267"/>
      <c r="BO550" s="267"/>
      <c r="BP550" s="267"/>
      <c r="BQ550" s="267"/>
      <c r="BR550" s="267"/>
      <c r="BS550" s="267"/>
      <c r="BT550" s="267"/>
      <c r="BU550" s="267"/>
      <c r="BV550" s="267"/>
      <c r="BW550" s="267"/>
      <c r="BX550" s="267"/>
      <c r="BY550" s="267"/>
      <c r="BZ550" s="267"/>
      <c r="CA550" s="267"/>
      <c r="CB550" s="267"/>
      <c r="CC550" s="267"/>
      <c r="CD550" s="267"/>
      <c r="CE550" s="267"/>
      <c r="CF550" s="267"/>
      <c r="CG550" s="267"/>
      <c r="CH550" s="267"/>
      <c r="CI550" s="267"/>
      <c r="CJ550" s="267"/>
      <c r="CK550" s="267"/>
      <c r="CL550" s="267"/>
      <c r="CM550" s="267"/>
      <c r="CN550" s="267"/>
      <c r="CO550" s="267"/>
      <c r="CP550" s="267"/>
      <c r="CQ550" s="267"/>
      <c r="CR550" s="267"/>
      <c r="CS550" s="267"/>
      <c r="CT550" s="267"/>
      <c r="CU550" s="267"/>
      <c r="CV550" s="267"/>
      <c r="CW550" s="267"/>
      <c r="CX550" s="267"/>
      <c r="CY550" s="267"/>
      <c r="CZ550" s="267"/>
    </row>
    <row r="551" spans="2:104">
      <c r="B551" s="1235"/>
      <c r="C551" s="1235"/>
      <c r="D551" s="1235"/>
      <c r="E551" s="267"/>
      <c r="F551" s="267"/>
      <c r="G551" s="267"/>
      <c r="H551" s="267"/>
      <c r="I551" s="267"/>
      <c r="J551" s="267"/>
      <c r="K551" s="267"/>
      <c r="L551" s="267"/>
      <c r="M551" s="267"/>
      <c r="N551" s="267"/>
      <c r="O551" s="267"/>
      <c r="P551" s="267"/>
      <c r="Q551" s="267"/>
      <c r="R551" s="267"/>
      <c r="S551" s="267"/>
      <c r="T551" s="267"/>
      <c r="U551" s="267"/>
      <c r="V551" s="267"/>
      <c r="W551" s="267"/>
      <c r="X551" s="267"/>
      <c r="Y551" s="267"/>
      <c r="Z551" s="267"/>
      <c r="AA551" s="267"/>
      <c r="AB551" s="267"/>
      <c r="AC551" s="267"/>
      <c r="AD551" s="267"/>
      <c r="AE551" s="267"/>
      <c r="AF551" s="267"/>
      <c r="AG551" s="267"/>
      <c r="AH551" s="267"/>
      <c r="AI551" s="267"/>
      <c r="AJ551" s="267"/>
      <c r="AK551" s="267"/>
      <c r="AL551" s="267"/>
      <c r="AM551" s="267"/>
      <c r="AN551" s="267"/>
      <c r="AO551" s="267"/>
      <c r="AP551" s="267"/>
      <c r="AQ551" s="267"/>
      <c r="AR551" s="267"/>
      <c r="AS551" s="267"/>
      <c r="AT551" s="267"/>
      <c r="AU551" s="267"/>
      <c r="AV551" s="267"/>
      <c r="AW551" s="267"/>
      <c r="AX551" s="267"/>
      <c r="AY551" s="267"/>
      <c r="AZ551" s="267"/>
      <c r="BA551" s="267"/>
      <c r="BB551" s="267"/>
      <c r="BC551" s="267"/>
      <c r="BD551" s="267"/>
      <c r="BE551" s="267"/>
      <c r="BF551" s="267"/>
      <c r="BG551" s="267"/>
      <c r="BH551" s="267"/>
      <c r="BI551" s="267"/>
      <c r="BJ551" s="267"/>
      <c r="BK551" s="267"/>
      <c r="BL551" s="267"/>
      <c r="BM551" s="267"/>
      <c r="BN551" s="267"/>
      <c r="BO551" s="267"/>
      <c r="BP551" s="267"/>
      <c r="BQ551" s="267"/>
      <c r="BR551" s="267"/>
      <c r="BS551" s="267"/>
      <c r="BT551" s="267"/>
      <c r="BU551" s="267"/>
      <c r="BV551" s="267"/>
      <c r="BW551" s="267"/>
      <c r="BX551" s="267"/>
      <c r="BY551" s="267"/>
      <c r="BZ551" s="267"/>
      <c r="CA551" s="267"/>
      <c r="CB551" s="267"/>
      <c r="CC551" s="267"/>
      <c r="CD551" s="267"/>
      <c r="CE551" s="267"/>
      <c r="CF551" s="267"/>
      <c r="CG551" s="267"/>
      <c r="CH551" s="267"/>
      <c r="CI551" s="267"/>
      <c r="CJ551" s="267"/>
      <c r="CK551" s="267"/>
      <c r="CL551" s="267"/>
      <c r="CM551" s="267"/>
      <c r="CN551" s="267"/>
      <c r="CO551" s="267"/>
      <c r="CP551" s="267"/>
      <c r="CQ551" s="267"/>
      <c r="CR551" s="267"/>
      <c r="CS551" s="267"/>
      <c r="CT551" s="267"/>
      <c r="CU551" s="267"/>
      <c r="CV551" s="267"/>
      <c r="CW551" s="267"/>
      <c r="CX551" s="267"/>
      <c r="CY551" s="267"/>
      <c r="CZ551" s="267"/>
    </row>
    <row r="552" spans="2:104">
      <c r="B552" s="1235"/>
      <c r="C552" s="1235"/>
      <c r="D552" s="1235"/>
      <c r="E552" s="267"/>
      <c r="F552" s="267"/>
      <c r="G552" s="267"/>
      <c r="H552" s="267"/>
      <c r="I552" s="267"/>
      <c r="J552" s="267"/>
      <c r="K552" s="267"/>
      <c r="L552" s="267"/>
      <c r="M552" s="267"/>
      <c r="N552" s="267"/>
      <c r="O552" s="267"/>
      <c r="P552" s="267"/>
      <c r="Q552" s="267"/>
      <c r="R552" s="267"/>
      <c r="S552" s="267"/>
      <c r="T552" s="267"/>
      <c r="U552" s="267"/>
      <c r="V552" s="267"/>
      <c r="W552" s="267"/>
      <c r="X552" s="267"/>
      <c r="Y552" s="267"/>
      <c r="Z552" s="267"/>
      <c r="AA552" s="267"/>
      <c r="AB552" s="267"/>
      <c r="AC552" s="267"/>
      <c r="AD552" s="267"/>
      <c r="AE552" s="267"/>
      <c r="AF552" s="267"/>
      <c r="AG552" s="267"/>
      <c r="AH552" s="267"/>
      <c r="AI552" s="267"/>
      <c r="AJ552" s="267"/>
      <c r="AK552" s="267"/>
      <c r="AL552" s="267"/>
      <c r="AM552" s="267"/>
      <c r="AN552" s="267"/>
      <c r="AO552" s="267"/>
      <c r="AP552" s="267"/>
      <c r="AQ552" s="267"/>
      <c r="AR552" s="267"/>
      <c r="AS552" s="267"/>
      <c r="AT552" s="267"/>
      <c r="AU552" s="267"/>
      <c r="AV552" s="267"/>
      <c r="AW552" s="267"/>
      <c r="AX552" s="267"/>
      <c r="AY552" s="267"/>
      <c r="AZ552" s="267"/>
      <c r="BA552" s="267"/>
      <c r="BB552" s="267"/>
      <c r="BC552" s="267"/>
      <c r="BD552" s="267"/>
      <c r="BE552" s="267"/>
      <c r="BF552" s="267"/>
      <c r="BG552" s="267"/>
      <c r="BH552" s="267"/>
      <c r="BI552" s="267"/>
      <c r="BJ552" s="267"/>
      <c r="BK552" s="267"/>
      <c r="BL552" s="267"/>
      <c r="BM552" s="267"/>
      <c r="BN552" s="267"/>
      <c r="BO552" s="267"/>
      <c r="BP552" s="267"/>
      <c r="BQ552" s="267"/>
      <c r="BR552" s="267"/>
      <c r="BS552" s="267"/>
      <c r="BT552" s="267"/>
      <c r="BU552" s="267"/>
      <c r="BV552" s="267"/>
      <c r="BW552" s="267"/>
      <c r="BX552" s="267"/>
      <c r="BY552" s="267"/>
      <c r="BZ552" s="267"/>
      <c r="CA552" s="267"/>
      <c r="CB552" s="267"/>
      <c r="CC552" s="267"/>
      <c r="CD552" s="267"/>
      <c r="CE552" s="267"/>
      <c r="CF552" s="267"/>
      <c r="CG552" s="267"/>
      <c r="CH552" s="267"/>
      <c r="CI552" s="267"/>
      <c r="CJ552" s="267"/>
      <c r="CK552" s="267"/>
      <c r="CL552" s="267"/>
      <c r="CM552" s="267"/>
      <c r="CN552" s="267"/>
      <c r="CO552" s="267"/>
      <c r="CP552" s="267"/>
      <c r="CQ552" s="267"/>
      <c r="CR552" s="267"/>
      <c r="CS552" s="267"/>
      <c r="CT552" s="267"/>
      <c r="CU552" s="267"/>
      <c r="CV552" s="267"/>
      <c r="CW552" s="267"/>
      <c r="CX552" s="267"/>
      <c r="CY552" s="267"/>
      <c r="CZ552" s="267"/>
    </row>
    <row r="553" spans="2:104">
      <c r="B553" s="1235"/>
      <c r="C553" s="1235"/>
      <c r="D553" s="1235"/>
      <c r="E553" s="267"/>
      <c r="F553" s="267"/>
      <c r="G553" s="267"/>
      <c r="H553" s="267"/>
      <c r="I553" s="267"/>
      <c r="J553" s="267"/>
      <c r="K553" s="267"/>
      <c r="L553" s="267"/>
      <c r="M553" s="267"/>
      <c r="N553" s="267"/>
      <c r="O553" s="267"/>
      <c r="P553" s="267"/>
      <c r="Q553" s="267"/>
      <c r="R553" s="267"/>
      <c r="S553" s="267"/>
      <c r="T553" s="267"/>
      <c r="U553" s="267"/>
      <c r="V553" s="267"/>
      <c r="W553" s="267"/>
      <c r="X553" s="267"/>
      <c r="Y553" s="267"/>
      <c r="Z553" s="267"/>
      <c r="AA553" s="267"/>
      <c r="AB553" s="267"/>
      <c r="AC553" s="267"/>
      <c r="AD553" s="267"/>
      <c r="AE553" s="267"/>
      <c r="AF553" s="267"/>
      <c r="AG553" s="267"/>
      <c r="AH553" s="267"/>
      <c r="AI553" s="267"/>
      <c r="AJ553" s="267"/>
      <c r="AK553" s="267"/>
      <c r="AL553" s="267"/>
      <c r="AM553" s="267"/>
      <c r="AN553" s="267"/>
      <c r="AO553" s="267"/>
      <c r="AP553" s="267"/>
      <c r="AQ553" s="267"/>
      <c r="AR553" s="267"/>
      <c r="AS553" s="267"/>
      <c r="AT553" s="267"/>
      <c r="AU553" s="267"/>
      <c r="AV553" s="267"/>
      <c r="AW553" s="267"/>
      <c r="AX553" s="267"/>
      <c r="AY553" s="267"/>
      <c r="AZ553" s="267"/>
      <c r="BA553" s="267"/>
      <c r="BB553" s="267"/>
      <c r="BC553" s="267"/>
      <c r="BD553" s="267"/>
      <c r="BE553" s="267"/>
      <c r="BF553" s="267"/>
      <c r="BG553" s="267"/>
      <c r="BH553" s="267"/>
      <c r="BI553" s="267"/>
      <c r="BJ553" s="267"/>
      <c r="BK553" s="267"/>
      <c r="BL553" s="267"/>
      <c r="BM553" s="267"/>
      <c r="BN553" s="267"/>
      <c r="BO553" s="267"/>
      <c r="BP553" s="267"/>
      <c r="BQ553" s="267"/>
      <c r="BR553" s="267"/>
      <c r="BS553" s="267"/>
      <c r="BT553" s="267"/>
      <c r="BU553" s="267"/>
      <c r="BV553" s="267"/>
      <c r="BW553" s="267"/>
      <c r="BX553" s="267"/>
      <c r="BY553" s="267"/>
      <c r="BZ553" s="267"/>
      <c r="CA553" s="267"/>
      <c r="CB553" s="267"/>
      <c r="CC553" s="267"/>
      <c r="CD553" s="267"/>
      <c r="CE553" s="267"/>
      <c r="CF553" s="267"/>
      <c r="CG553" s="267"/>
      <c r="CH553" s="267"/>
      <c r="CI553" s="267"/>
      <c r="CJ553" s="267"/>
      <c r="CK553" s="267"/>
      <c r="CL553" s="267"/>
      <c r="CM553" s="267"/>
      <c r="CN553" s="267"/>
      <c r="CO553" s="267"/>
      <c r="CP553" s="267"/>
      <c r="CQ553" s="267"/>
      <c r="CR553" s="267"/>
      <c r="CS553" s="267"/>
      <c r="CT553" s="267"/>
      <c r="CU553" s="267"/>
      <c r="CV553" s="267"/>
      <c r="CW553" s="267"/>
      <c r="CX553" s="267"/>
      <c r="CY553" s="267"/>
      <c r="CZ553" s="267"/>
    </row>
    <row r="554" spans="2:104">
      <c r="B554" s="1235"/>
      <c r="C554" s="1235"/>
      <c r="D554" s="1235"/>
      <c r="E554" s="267"/>
      <c r="F554" s="267"/>
      <c r="G554" s="267"/>
      <c r="H554" s="267"/>
      <c r="I554" s="267"/>
      <c r="J554" s="267"/>
      <c r="K554" s="267"/>
      <c r="L554" s="267"/>
      <c r="M554" s="267"/>
      <c r="N554" s="267"/>
      <c r="O554" s="267"/>
      <c r="P554" s="267"/>
      <c r="Q554" s="267"/>
      <c r="R554" s="267"/>
      <c r="S554" s="267"/>
      <c r="T554" s="267"/>
      <c r="U554" s="267"/>
      <c r="V554" s="267"/>
      <c r="W554" s="267"/>
      <c r="X554" s="267"/>
      <c r="Y554" s="267"/>
      <c r="Z554" s="267"/>
      <c r="AA554" s="267"/>
      <c r="AB554" s="267"/>
      <c r="AC554" s="267"/>
      <c r="AD554" s="267"/>
      <c r="AE554" s="267"/>
      <c r="AF554" s="267"/>
      <c r="AG554" s="267"/>
      <c r="AH554" s="267"/>
      <c r="AI554" s="267"/>
      <c r="AJ554" s="267"/>
      <c r="AK554" s="267"/>
      <c r="AL554" s="267"/>
      <c r="AM554" s="267"/>
      <c r="AN554" s="267"/>
      <c r="AO554" s="267"/>
      <c r="AP554" s="267"/>
      <c r="AQ554" s="267"/>
      <c r="AR554" s="267"/>
      <c r="AS554" s="267"/>
      <c r="AT554" s="267"/>
      <c r="AU554" s="267"/>
      <c r="AV554" s="267"/>
      <c r="AW554" s="267"/>
      <c r="AX554" s="267"/>
      <c r="AY554" s="267"/>
      <c r="AZ554" s="267"/>
      <c r="BA554" s="267"/>
      <c r="BB554" s="267"/>
      <c r="BC554" s="267"/>
      <c r="BD554" s="267"/>
      <c r="BE554" s="267"/>
      <c r="BF554" s="267"/>
      <c r="BG554" s="267"/>
      <c r="BH554" s="267"/>
      <c r="BI554" s="267"/>
      <c r="BJ554" s="267"/>
      <c r="BK554" s="267"/>
      <c r="BL554" s="267"/>
      <c r="BM554" s="267"/>
      <c r="BN554" s="267"/>
      <c r="BO554" s="267"/>
      <c r="BP554" s="267"/>
      <c r="BQ554" s="267"/>
      <c r="BR554" s="267"/>
      <c r="BS554" s="267"/>
      <c r="BT554" s="267"/>
      <c r="BU554" s="267"/>
      <c r="BV554" s="267"/>
      <c r="BW554" s="267"/>
      <c r="BX554" s="267"/>
      <c r="BY554" s="267"/>
      <c r="BZ554" s="267"/>
      <c r="CA554" s="267"/>
      <c r="CB554" s="267"/>
      <c r="CC554" s="267"/>
      <c r="CD554" s="267"/>
      <c r="CE554" s="267"/>
      <c r="CF554" s="267"/>
      <c r="CG554" s="267"/>
      <c r="CH554" s="267"/>
      <c r="CI554" s="267"/>
      <c r="CJ554" s="267"/>
      <c r="CK554" s="267"/>
      <c r="CL554" s="267"/>
      <c r="CM554" s="267"/>
      <c r="CN554" s="267"/>
      <c r="CO554" s="267"/>
      <c r="CP554" s="267"/>
      <c r="CQ554" s="267"/>
      <c r="CR554" s="267"/>
      <c r="CS554" s="267"/>
      <c r="CT554" s="267"/>
      <c r="CU554" s="267"/>
      <c r="CV554" s="267"/>
      <c r="CW554" s="267"/>
      <c r="CX554" s="267"/>
      <c r="CY554" s="267"/>
      <c r="CZ554" s="267"/>
    </row>
    <row r="555" spans="2:104">
      <c r="B555" s="1235"/>
      <c r="C555" s="1235"/>
      <c r="D555" s="1235"/>
      <c r="E555" s="267"/>
      <c r="F555" s="267"/>
      <c r="G555" s="267"/>
      <c r="H555" s="267"/>
      <c r="I555" s="267"/>
      <c r="J555" s="267"/>
      <c r="K555" s="267"/>
      <c r="L555" s="267"/>
      <c r="M555" s="267"/>
      <c r="N555" s="267"/>
      <c r="O555" s="267"/>
      <c r="P555" s="267"/>
      <c r="Q555" s="267"/>
      <c r="R555" s="267"/>
      <c r="S555" s="267"/>
      <c r="T555" s="267"/>
      <c r="U555" s="267"/>
      <c r="V555" s="267"/>
      <c r="W555" s="267"/>
      <c r="X555" s="267"/>
      <c r="Y555" s="267"/>
      <c r="Z555" s="267"/>
      <c r="AA555" s="267"/>
      <c r="AB555" s="267"/>
      <c r="AC555" s="267"/>
      <c r="AD555" s="267"/>
      <c r="AE555" s="267"/>
      <c r="AF555" s="267"/>
      <c r="AG555" s="267"/>
      <c r="AH555" s="267"/>
      <c r="AI555" s="267"/>
      <c r="AJ555" s="267"/>
      <c r="AK555" s="267"/>
      <c r="AL555" s="267"/>
      <c r="AM555" s="267"/>
      <c r="AN555" s="267"/>
      <c r="AO555" s="267"/>
      <c r="AP555" s="267"/>
      <c r="AQ555" s="267"/>
      <c r="AR555" s="267"/>
      <c r="AS555" s="267"/>
      <c r="AT555" s="267"/>
      <c r="AU555" s="267"/>
      <c r="AV555" s="267"/>
      <c r="AW555" s="267"/>
      <c r="AX555" s="267"/>
      <c r="AY555" s="267"/>
      <c r="AZ555" s="267"/>
      <c r="BA555" s="267"/>
      <c r="BB555" s="267"/>
      <c r="BC555" s="267"/>
      <c r="BD555" s="267"/>
      <c r="BE555" s="267"/>
      <c r="BF555" s="267"/>
      <c r="BG555" s="267"/>
      <c r="BH555" s="267"/>
      <c r="BI555" s="267"/>
      <c r="BJ555" s="267"/>
      <c r="BK555" s="267"/>
      <c r="BL555" s="267"/>
      <c r="BM555" s="267"/>
      <c r="BN555" s="267"/>
      <c r="BO555" s="267"/>
      <c r="BP555" s="267"/>
      <c r="BQ555" s="267"/>
      <c r="BR555" s="267"/>
      <c r="BS555" s="267"/>
      <c r="BT555" s="267"/>
      <c r="BU555" s="267"/>
      <c r="BV555" s="267"/>
      <c r="BW555" s="267"/>
      <c r="BX555" s="267"/>
      <c r="BY555" s="267"/>
      <c r="BZ555" s="267"/>
      <c r="CA555" s="267"/>
      <c r="CB555" s="267"/>
      <c r="CC555" s="267"/>
      <c r="CD555" s="267"/>
      <c r="CE555" s="267"/>
      <c r="CF555" s="267"/>
      <c r="CG555" s="267"/>
      <c r="CH555" s="267"/>
      <c r="CI555" s="267"/>
      <c r="CJ555" s="267"/>
      <c r="CK555" s="267"/>
      <c r="CL555" s="267"/>
      <c r="CM555" s="267"/>
      <c r="CN555" s="267"/>
      <c r="CO555" s="267"/>
      <c r="CP555" s="267"/>
      <c r="CQ555" s="267"/>
      <c r="CR555" s="267"/>
      <c r="CS555" s="267"/>
      <c r="CT555" s="267"/>
      <c r="CU555" s="267"/>
      <c r="CV555" s="267"/>
      <c r="CW555" s="267"/>
      <c r="CX555" s="267"/>
      <c r="CY555" s="267"/>
      <c r="CZ555" s="267"/>
    </row>
    <row r="556" spans="2:104">
      <c r="B556" s="1235"/>
      <c r="C556" s="1235"/>
      <c r="D556" s="1235"/>
      <c r="E556" s="267"/>
      <c r="F556" s="267"/>
      <c r="G556" s="267"/>
      <c r="H556" s="267"/>
      <c r="I556" s="267"/>
      <c r="J556" s="267"/>
      <c r="K556" s="267"/>
      <c r="L556" s="267"/>
      <c r="M556" s="267"/>
      <c r="N556" s="267"/>
      <c r="O556" s="267"/>
      <c r="P556" s="267"/>
      <c r="Q556" s="267"/>
      <c r="R556" s="267"/>
      <c r="S556" s="267"/>
      <c r="T556" s="267"/>
      <c r="U556" s="267"/>
      <c r="V556" s="267"/>
      <c r="W556" s="267"/>
      <c r="X556" s="267"/>
      <c r="Y556" s="267"/>
      <c r="Z556" s="267"/>
      <c r="AA556" s="267"/>
      <c r="AB556" s="267"/>
      <c r="AC556" s="267"/>
      <c r="AD556" s="267"/>
      <c r="AE556" s="267"/>
      <c r="AF556" s="267"/>
      <c r="AG556" s="267"/>
      <c r="AH556" s="267"/>
      <c r="AI556" s="267"/>
      <c r="AJ556" s="267"/>
      <c r="AK556" s="267"/>
      <c r="AL556" s="267"/>
      <c r="AM556" s="267"/>
      <c r="AN556" s="267"/>
      <c r="AO556" s="267"/>
      <c r="AP556" s="267"/>
      <c r="AQ556" s="267"/>
      <c r="AR556" s="267"/>
      <c r="AS556" s="267"/>
      <c r="AT556" s="267"/>
      <c r="AU556" s="267"/>
      <c r="AV556" s="267"/>
      <c r="AW556" s="267"/>
      <c r="AX556" s="267"/>
      <c r="AY556" s="267"/>
      <c r="AZ556" s="267"/>
      <c r="BA556" s="267"/>
      <c r="BB556" s="267"/>
      <c r="BC556" s="267"/>
      <c r="BD556" s="267"/>
      <c r="BE556" s="267"/>
      <c r="BF556" s="267"/>
      <c r="BG556" s="267"/>
      <c r="BH556" s="267"/>
      <c r="BI556" s="267"/>
      <c r="BJ556" s="267"/>
      <c r="BK556" s="267"/>
      <c r="BL556" s="267"/>
      <c r="BM556" s="267"/>
      <c r="BN556" s="267"/>
      <c r="BO556" s="267"/>
      <c r="BP556" s="267"/>
      <c r="BQ556" s="267"/>
      <c r="BR556" s="267"/>
      <c r="BS556" s="267"/>
      <c r="BT556" s="267"/>
      <c r="BU556" s="267"/>
      <c r="BV556" s="267"/>
      <c r="BW556" s="267"/>
      <c r="BX556" s="267"/>
      <c r="BY556" s="267"/>
      <c r="BZ556" s="267"/>
      <c r="CA556" s="267"/>
      <c r="CB556" s="267"/>
      <c r="CC556" s="267"/>
      <c r="CD556" s="267"/>
      <c r="CE556" s="267"/>
      <c r="CF556" s="267"/>
      <c r="CG556" s="267"/>
      <c r="CH556" s="267"/>
      <c r="CI556" s="267"/>
      <c r="CJ556" s="267"/>
      <c r="CK556" s="267"/>
      <c r="CL556" s="267"/>
      <c r="CM556" s="267"/>
      <c r="CN556" s="267"/>
      <c r="CO556" s="267"/>
      <c r="CP556" s="267"/>
      <c r="CQ556" s="267"/>
      <c r="CR556" s="267"/>
      <c r="CS556" s="267"/>
      <c r="CT556" s="267"/>
      <c r="CU556" s="267"/>
      <c r="CV556" s="267"/>
      <c r="CW556" s="267"/>
      <c r="CX556" s="267"/>
      <c r="CY556" s="267"/>
      <c r="CZ556" s="267"/>
    </row>
    <row r="557" spans="2:104">
      <c r="B557" s="1235"/>
      <c r="C557" s="1235"/>
      <c r="D557" s="1235"/>
      <c r="E557" s="267"/>
      <c r="F557" s="267"/>
      <c r="G557" s="267"/>
      <c r="H557" s="267"/>
      <c r="I557" s="267"/>
      <c r="J557" s="267"/>
      <c r="K557" s="267"/>
      <c r="L557" s="267"/>
      <c r="M557" s="267"/>
      <c r="N557" s="267"/>
      <c r="O557" s="267"/>
      <c r="P557" s="267"/>
      <c r="Q557" s="267"/>
      <c r="R557" s="267"/>
      <c r="S557" s="267"/>
      <c r="T557" s="267"/>
      <c r="U557" s="267"/>
      <c r="V557" s="267"/>
      <c r="W557" s="267"/>
      <c r="X557" s="267"/>
      <c r="Y557" s="267"/>
      <c r="Z557" s="267"/>
      <c r="AA557" s="267"/>
      <c r="AB557" s="267"/>
      <c r="AC557" s="267"/>
      <c r="AD557" s="267"/>
      <c r="AE557" s="267"/>
      <c r="AF557" s="267"/>
      <c r="AG557" s="267"/>
      <c r="AH557" s="267"/>
      <c r="AI557" s="267"/>
      <c r="AJ557" s="267"/>
      <c r="AK557" s="267"/>
      <c r="AL557" s="267"/>
      <c r="AM557" s="267"/>
      <c r="AN557" s="267"/>
      <c r="AO557" s="267"/>
      <c r="AP557" s="267"/>
      <c r="AQ557" s="267"/>
      <c r="AR557" s="267"/>
      <c r="AS557" s="267"/>
      <c r="AT557" s="267"/>
      <c r="AU557" s="267"/>
      <c r="AV557" s="267"/>
      <c r="AW557" s="267"/>
      <c r="AX557" s="267"/>
      <c r="AY557" s="267"/>
      <c r="AZ557" s="267"/>
      <c r="BA557" s="267"/>
      <c r="BB557" s="267"/>
      <c r="BC557" s="267"/>
      <c r="BD557" s="267"/>
      <c r="BE557" s="267"/>
      <c r="BF557" s="267"/>
      <c r="BG557" s="267"/>
      <c r="BH557" s="267"/>
      <c r="BI557" s="267"/>
      <c r="BJ557" s="267"/>
      <c r="BK557" s="267"/>
      <c r="BL557" s="267"/>
      <c r="BM557" s="267"/>
      <c r="BN557" s="267"/>
      <c r="BO557" s="267"/>
      <c r="BP557" s="267"/>
      <c r="BQ557" s="267"/>
      <c r="BR557" s="267"/>
      <c r="BS557" s="267"/>
      <c r="BT557" s="267"/>
      <c r="BU557" s="267"/>
      <c r="BV557" s="267"/>
      <c r="BW557" s="267"/>
      <c r="BX557" s="267"/>
      <c r="BY557" s="267"/>
      <c r="BZ557" s="267"/>
      <c r="CA557" s="267"/>
      <c r="CB557" s="267"/>
      <c r="CC557" s="267"/>
      <c r="CD557" s="267"/>
      <c r="CE557" s="267"/>
      <c r="CF557" s="267"/>
      <c r="CG557" s="267"/>
      <c r="CH557" s="267"/>
      <c r="CI557" s="267"/>
      <c r="CJ557" s="267"/>
      <c r="CK557" s="267"/>
      <c r="CL557" s="267"/>
      <c r="CM557" s="267"/>
      <c r="CN557" s="267"/>
      <c r="CO557" s="267"/>
      <c r="CP557" s="267"/>
      <c r="CQ557" s="267"/>
      <c r="CR557" s="267"/>
      <c r="CS557" s="267"/>
      <c r="CT557" s="267"/>
      <c r="CU557" s="267"/>
      <c r="CV557" s="267"/>
      <c r="CW557" s="267"/>
      <c r="CX557" s="267"/>
      <c r="CY557" s="267"/>
      <c r="CZ557" s="267"/>
    </row>
    <row r="558" spans="2:104">
      <c r="B558" s="1235"/>
      <c r="C558" s="1235"/>
      <c r="D558" s="1235"/>
      <c r="E558" s="267"/>
      <c r="F558" s="267"/>
      <c r="G558" s="267"/>
      <c r="H558" s="267"/>
      <c r="I558" s="267"/>
      <c r="J558" s="267"/>
      <c r="K558" s="267"/>
      <c r="L558" s="267"/>
      <c r="M558" s="267"/>
      <c r="N558" s="267"/>
      <c r="O558" s="267"/>
      <c r="P558" s="267"/>
      <c r="Q558" s="267"/>
      <c r="R558" s="267"/>
      <c r="S558" s="267"/>
      <c r="T558" s="267"/>
      <c r="U558" s="267"/>
      <c r="V558" s="267"/>
      <c r="W558" s="267"/>
      <c r="X558" s="267"/>
      <c r="Y558" s="267"/>
      <c r="Z558" s="267"/>
      <c r="AA558" s="267"/>
      <c r="AB558" s="267"/>
      <c r="AC558" s="267"/>
      <c r="AD558" s="267"/>
      <c r="AE558" s="267"/>
      <c r="AF558" s="267"/>
      <c r="AG558" s="267"/>
      <c r="AH558" s="267"/>
      <c r="AI558" s="267"/>
      <c r="AJ558" s="267"/>
      <c r="AK558" s="267"/>
      <c r="AL558" s="267"/>
      <c r="AM558" s="267"/>
      <c r="AN558" s="267"/>
      <c r="AO558" s="267"/>
      <c r="AP558" s="267"/>
      <c r="AQ558" s="267"/>
      <c r="AR558" s="267"/>
      <c r="AS558" s="267"/>
      <c r="AT558" s="267"/>
      <c r="AU558" s="267"/>
      <c r="AV558" s="267"/>
      <c r="AW558" s="267"/>
      <c r="AX558" s="267"/>
      <c r="AY558" s="267"/>
      <c r="AZ558" s="267"/>
      <c r="BA558" s="267"/>
      <c r="BB558" s="267"/>
      <c r="BC558" s="267"/>
      <c r="BD558" s="267"/>
      <c r="BE558" s="267"/>
      <c r="BF558" s="267"/>
      <c r="BG558" s="267"/>
      <c r="BH558" s="267"/>
      <c r="BI558" s="267"/>
      <c r="BJ558" s="267"/>
      <c r="BK558" s="267"/>
      <c r="BL558" s="267"/>
      <c r="BM558" s="267"/>
      <c r="BN558" s="267"/>
      <c r="BO558" s="267"/>
      <c r="BP558" s="267"/>
      <c r="BQ558" s="267"/>
      <c r="BR558" s="267"/>
      <c r="BS558" s="267"/>
      <c r="BT558" s="267"/>
      <c r="BU558" s="267"/>
      <c r="BV558" s="267"/>
      <c r="BW558" s="267"/>
      <c r="BX558" s="267"/>
      <c r="BY558" s="267"/>
      <c r="BZ558" s="267"/>
      <c r="CA558" s="267"/>
      <c r="CB558" s="267"/>
      <c r="CC558" s="267"/>
      <c r="CD558" s="267"/>
      <c r="CE558" s="267"/>
      <c r="CF558" s="267"/>
      <c r="CG558" s="267"/>
      <c r="CH558" s="267"/>
      <c r="CI558" s="267"/>
      <c r="CJ558" s="267"/>
      <c r="CK558" s="267"/>
      <c r="CL558" s="267"/>
      <c r="CM558" s="267"/>
      <c r="CN558" s="267"/>
      <c r="CO558" s="267"/>
      <c r="CP558" s="267"/>
      <c r="CQ558" s="267"/>
      <c r="CR558" s="267"/>
      <c r="CS558" s="267"/>
      <c r="CT558" s="267"/>
      <c r="CU558" s="267"/>
      <c r="CV558" s="267"/>
      <c r="CW558" s="267"/>
      <c r="CX558" s="267"/>
      <c r="CY558" s="267"/>
      <c r="CZ558" s="267"/>
    </row>
    <row r="559" spans="2:104">
      <c r="B559" s="1235"/>
      <c r="C559" s="1235"/>
      <c r="D559" s="1235"/>
      <c r="E559" s="267"/>
      <c r="F559" s="267"/>
      <c r="G559" s="267"/>
      <c r="H559" s="267"/>
      <c r="I559" s="267"/>
      <c r="J559" s="267"/>
      <c r="K559" s="267"/>
      <c r="L559" s="267"/>
      <c r="M559" s="267"/>
      <c r="N559" s="267"/>
      <c r="O559" s="267"/>
      <c r="P559" s="267"/>
      <c r="Q559" s="267"/>
      <c r="R559" s="267"/>
      <c r="S559" s="267"/>
      <c r="T559" s="267"/>
      <c r="U559" s="267"/>
      <c r="V559" s="267"/>
      <c r="W559" s="267"/>
      <c r="X559" s="267"/>
      <c r="Y559" s="267"/>
      <c r="Z559" s="267"/>
      <c r="AA559" s="267"/>
      <c r="AB559" s="267"/>
      <c r="AC559" s="267"/>
      <c r="AD559" s="267"/>
      <c r="AE559" s="267"/>
      <c r="AF559" s="267"/>
      <c r="AG559" s="267"/>
      <c r="AH559" s="267"/>
      <c r="AI559" s="267"/>
      <c r="AJ559" s="267"/>
      <c r="AK559" s="267"/>
      <c r="AL559" s="267"/>
      <c r="AM559" s="267"/>
      <c r="AN559" s="267"/>
      <c r="AO559" s="267"/>
      <c r="AP559" s="267"/>
      <c r="AQ559" s="267"/>
      <c r="AR559" s="267"/>
      <c r="AS559" s="267"/>
      <c r="AT559" s="267"/>
      <c r="AU559" s="267"/>
      <c r="AV559" s="267"/>
      <c r="AW559" s="267"/>
      <c r="AX559" s="267"/>
      <c r="AY559" s="267"/>
      <c r="AZ559" s="267"/>
      <c r="BA559" s="267"/>
      <c r="BB559" s="267"/>
      <c r="BC559" s="267"/>
      <c r="BD559" s="267"/>
      <c r="BE559" s="267"/>
      <c r="BF559" s="267"/>
      <c r="BG559" s="267"/>
      <c r="BH559" s="267"/>
      <c r="BI559" s="267"/>
      <c r="BJ559" s="267"/>
      <c r="BK559" s="267"/>
      <c r="BL559" s="267"/>
      <c r="BM559" s="267"/>
      <c r="BN559" s="267"/>
      <c r="BO559" s="267"/>
      <c r="BP559" s="267"/>
      <c r="BQ559" s="267"/>
      <c r="BR559" s="267"/>
      <c r="BS559" s="267"/>
      <c r="BT559" s="267"/>
      <c r="BU559" s="267"/>
      <c r="BV559" s="267"/>
      <c r="BW559" s="267"/>
      <c r="BX559" s="267"/>
      <c r="BY559" s="267"/>
      <c r="BZ559" s="267"/>
      <c r="CA559" s="267"/>
      <c r="CB559" s="267"/>
      <c r="CC559" s="267"/>
      <c r="CD559" s="267"/>
      <c r="CE559" s="267"/>
      <c r="CF559" s="267"/>
      <c r="CG559" s="267"/>
      <c r="CH559" s="267"/>
      <c r="CI559" s="267"/>
      <c r="CJ559" s="267"/>
      <c r="CK559" s="267"/>
      <c r="CL559" s="267"/>
      <c r="CM559" s="267"/>
      <c r="CN559" s="267"/>
      <c r="CO559" s="267"/>
      <c r="CP559" s="267"/>
      <c r="CQ559" s="267"/>
      <c r="CR559" s="267"/>
      <c r="CS559" s="267"/>
      <c r="CT559" s="267"/>
      <c r="CU559" s="267"/>
      <c r="CV559" s="267"/>
      <c r="CW559" s="267"/>
      <c r="CX559" s="267"/>
      <c r="CY559" s="267"/>
      <c r="CZ559" s="267"/>
    </row>
    <row r="560" spans="2:104">
      <c r="B560" s="1235"/>
      <c r="C560" s="1235"/>
      <c r="D560" s="1235"/>
      <c r="E560" s="267"/>
      <c r="F560" s="267"/>
      <c r="G560" s="267"/>
      <c r="H560" s="267"/>
      <c r="I560" s="267"/>
      <c r="J560" s="267"/>
      <c r="K560" s="267"/>
      <c r="L560" s="267"/>
      <c r="M560" s="267"/>
      <c r="N560" s="267"/>
      <c r="O560" s="267"/>
      <c r="P560" s="267"/>
      <c r="Q560" s="267"/>
      <c r="R560" s="267"/>
      <c r="S560" s="267"/>
      <c r="T560" s="267"/>
      <c r="U560" s="267"/>
      <c r="V560" s="267"/>
      <c r="W560" s="267"/>
      <c r="X560" s="267"/>
      <c r="Y560" s="267"/>
      <c r="Z560" s="267"/>
      <c r="AA560" s="267"/>
      <c r="AB560" s="267"/>
      <c r="AC560" s="267"/>
      <c r="AD560" s="267"/>
      <c r="AE560" s="267"/>
      <c r="AF560" s="267"/>
      <c r="AG560" s="267"/>
      <c r="AH560" s="267"/>
      <c r="AI560" s="267"/>
      <c r="AJ560" s="267"/>
      <c r="AK560" s="267"/>
      <c r="AL560" s="267"/>
      <c r="AM560" s="267"/>
      <c r="AN560" s="267"/>
      <c r="AO560" s="267"/>
      <c r="AP560" s="267"/>
      <c r="AQ560" s="267"/>
      <c r="AR560" s="267"/>
      <c r="AS560" s="267"/>
      <c r="AT560" s="267"/>
      <c r="AU560" s="267"/>
      <c r="AV560" s="267"/>
      <c r="AW560" s="267"/>
      <c r="AX560" s="267"/>
      <c r="AY560" s="267"/>
      <c r="AZ560" s="267"/>
      <c r="BA560" s="267"/>
      <c r="BB560" s="267"/>
      <c r="BC560" s="267"/>
      <c r="BD560" s="267"/>
      <c r="BE560" s="267"/>
      <c r="BF560" s="267"/>
      <c r="BG560" s="267"/>
      <c r="BH560" s="267"/>
      <c r="BI560" s="267"/>
      <c r="BJ560" s="267"/>
      <c r="BK560" s="267"/>
      <c r="BL560" s="267"/>
      <c r="BM560" s="267"/>
      <c r="BN560" s="267"/>
      <c r="BO560" s="267"/>
      <c r="BP560" s="267"/>
      <c r="BQ560" s="267"/>
      <c r="BR560" s="267"/>
      <c r="BS560" s="267"/>
      <c r="BT560" s="267"/>
      <c r="BU560" s="267"/>
      <c r="BV560" s="267"/>
      <c r="BW560" s="267"/>
      <c r="BX560" s="267"/>
      <c r="BY560" s="267"/>
      <c r="BZ560" s="267"/>
      <c r="CA560" s="267"/>
      <c r="CB560" s="267"/>
      <c r="CC560" s="267"/>
      <c r="CD560" s="267"/>
      <c r="CE560" s="267"/>
      <c r="CF560" s="267"/>
      <c r="CG560" s="267"/>
      <c r="CH560" s="267"/>
      <c r="CI560" s="267"/>
      <c r="CJ560" s="267"/>
      <c r="CK560" s="267"/>
      <c r="CL560" s="267"/>
      <c r="CM560" s="267"/>
      <c r="CN560" s="267"/>
      <c r="CO560" s="267"/>
      <c r="CP560" s="267"/>
      <c r="CQ560" s="267"/>
      <c r="CR560" s="267"/>
      <c r="CS560" s="267"/>
      <c r="CT560" s="267"/>
      <c r="CU560" s="267"/>
      <c r="CV560" s="267"/>
      <c r="CW560" s="267"/>
      <c r="CX560" s="267"/>
      <c r="CY560" s="267"/>
      <c r="CZ560" s="267"/>
    </row>
    <row r="561" spans="2:104">
      <c r="B561" s="1235"/>
      <c r="C561" s="1235"/>
      <c r="D561" s="1235"/>
      <c r="E561" s="267"/>
      <c r="F561" s="267"/>
      <c r="G561" s="267"/>
      <c r="H561" s="267"/>
      <c r="I561" s="267"/>
      <c r="J561" s="267"/>
      <c r="K561" s="267"/>
      <c r="L561" s="267"/>
      <c r="M561" s="267"/>
      <c r="N561" s="267"/>
      <c r="O561" s="267"/>
      <c r="P561" s="267"/>
      <c r="Q561" s="267"/>
      <c r="R561" s="267"/>
      <c r="S561" s="267"/>
      <c r="T561" s="267"/>
      <c r="U561" s="267"/>
      <c r="V561" s="267"/>
      <c r="W561" s="267"/>
      <c r="X561" s="267"/>
      <c r="Y561" s="267"/>
      <c r="Z561" s="267"/>
      <c r="AA561" s="267"/>
      <c r="AB561" s="267"/>
      <c r="AC561" s="267"/>
      <c r="AD561" s="267"/>
      <c r="AE561" s="267"/>
      <c r="AF561" s="267"/>
      <c r="AG561" s="267"/>
      <c r="AH561" s="267"/>
      <c r="AI561" s="267"/>
      <c r="AJ561" s="267"/>
      <c r="AK561" s="267"/>
      <c r="AL561" s="267"/>
      <c r="AM561" s="267"/>
      <c r="AN561" s="267"/>
      <c r="AO561" s="267"/>
      <c r="AP561" s="267"/>
      <c r="AQ561" s="267"/>
      <c r="AR561" s="267"/>
      <c r="AS561" s="267"/>
      <c r="AT561" s="267"/>
      <c r="AU561" s="267"/>
      <c r="AV561" s="267"/>
      <c r="AW561" s="267"/>
      <c r="AX561" s="267"/>
      <c r="AY561" s="267"/>
      <c r="AZ561" s="267"/>
      <c r="BA561" s="267"/>
      <c r="BB561" s="267"/>
      <c r="BC561" s="267"/>
      <c r="BD561" s="267"/>
      <c r="BE561" s="267"/>
      <c r="BF561" s="267"/>
      <c r="BG561" s="267"/>
      <c r="BH561" s="267"/>
      <c r="BI561" s="267"/>
      <c r="BJ561" s="267"/>
      <c r="BK561" s="267"/>
      <c r="BL561" s="267"/>
      <c r="BM561" s="267"/>
      <c r="BN561" s="267"/>
      <c r="BO561" s="267"/>
      <c r="BP561" s="267"/>
      <c r="BQ561" s="267"/>
      <c r="BR561" s="267"/>
      <c r="BS561" s="267"/>
      <c r="BT561" s="267"/>
      <c r="BU561" s="267"/>
      <c r="BV561" s="267"/>
      <c r="BW561" s="267"/>
      <c r="BX561" s="267"/>
      <c r="BY561" s="267"/>
      <c r="BZ561" s="267"/>
      <c r="CA561" s="267"/>
      <c r="CB561" s="267"/>
      <c r="CC561" s="267"/>
      <c r="CD561" s="267"/>
      <c r="CE561" s="267"/>
      <c r="CF561" s="267"/>
      <c r="CG561" s="267"/>
      <c r="CH561" s="267"/>
      <c r="CI561" s="267"/>
      <c r="CJ561" s="267"/>
      <c r="CK561" s="267"/>
      <c r="CL561" s="267"/>
      <c r="CM561" s="267"/>
      <c r="CN561" s="267"/>
      <c r="CO561" s="267"/>
      <c r="CP561" s="267"/>
      <c r="CQ561" s="267"/>
      <c r="CR561" s="267"/>
      <c r="CS561" s="267"/>
      <c r="CT561" s="267"/>
      <c r="CU561" s="267"/>
      <c r="CV561" s="267"/>
      <c r="CW561" s="267"/>
      <c r="CX561" s="267"/>
      <c r="CY561" s="267"/>
      <c r="CZ561" s="267"/>
    </row>
    <row r="562" spans="2:104">
      <c r="B562" s="1235"/>
      <c r="C562" s="1235"/>
      <c r="D562" s="1235"/>
      <c r="E562" s="267"/>
      <c r="F562" s="267"/>
      <c r="G562" s="267"/>
      <c r="H562" s="267"/>
      <c r="I562" s="267"/>
      <c r="J562" s="267"/>
      <c r="K562" s="267"/>
      <c r="L562" s="267"/>
      <c r="M562" s="267"/>
      <c r="N562" s="267"/>
      <c r="O562" s="267"/>
      <c r="P562" s="267"/>
      <c r="Q562" s="267"/>
      <c r="R562" s="267"/>
      <c r="S562" s="267"/>
      <c r="T562" s="267"/>
      <c r="U562" s="267"/>
      <c r="V562" s="267"/>
      <c r="W562" s="267"/>
      <c r="X562" s="267"/>
      <c r="Y562" s="267"/>
      <c r="Z562" s="267"/>
      <c r="AA562" s="267"/>
      <c r="AB562" s="267"/>
      <c r="AC562" s="267"/>
      <c r="AD562" s="267"/>
      <c r="AE562" s="267"/>
      <c r="AF562" s="267"/>
      <c r="AG562" s="267"/>
      <c r="AH562" s="267"/>
      <c r="AI562" s="267"/>
      <c r="AJ562" s="267"/>
      <c r="AK562" s="267"/>
      <c r="AL562" s="267"/>
      <c r="AM562" s="267"/>
      <c r="AN562" s="267"/>
      <c r="AO562" s="267"/>
      <c r="AP562" s="267"/>
      <c r="AQ562" s="267"/>
      <c r="AR562" s="267"/>
      <c r="AS562" s="267"/>
      <c r="AT562" s="267"/>
      <c r="AU562" s="267"/>
      <c r="AV562" s="267"/>
      <c r="AW562" s="267"/>
      <c r="AX562" s="267"/>
      <c r="AY562" s="267"/>
      <c r="AZ562" s="267"/>
      <c r="BA562" s="267"/>
      <c r="BB562" s="267"/>
      <c r="BC562" s="267"/>
      <c r="BD562" s="267"/>
      <c r="BE562" s="267"/>
      <c r="BF562" s="267"/>
      <c r="BG562" s="267"/>
      <c r="BH562" s="267"/>
      <c r="BI562" s="267"/>
      <c r="BJ562" s="267"/>
      <c r="BK562" s="267"/>
      <c r="BL562" s="267"/>
      <c r="BM562" s="267"/>
      <c r="BN562" s="267"/>
      <c r="BO562" s="267"/>
      <c r="BP562" s="267"/>
      <c r="BQ562" s="267"/>
      <c r="BR562" s="267"/>
      <c r="BS562" s="267"/>
      <c r="BT562" s="267"/>
      <c r="BU562" s="267"/>
      <c r="BV562" s="267"/>
      <c r="BW562" s="267"/>
      <c r="BX562" s="267"/>
      <c r="BY562" s="267"/>
      <c r="BZ562" s="267"/>
      <c r="CA562" s="267"/>
      <c r="CB562" s="267"/>
      <c r="CC562" s="267"/>
      <c r="CD562" s="267"/>
      <c r="CE562" s="267"/>
      <c r="CF562" s="267"/>
      <c r="CG562" s="267"/>
      <c r="CH562" s="267"/>
      <c r="CI562" s="267"/>
      <c r="CJ562" s="267"/>
      <c r="CK562" s="267"/>
      <c r="CL562" s="267"/>
      <c r="CM562" s="267"/>
      <c r="CN562" s="267"/>
      <c r="CO562" s="267"/>
      <c r="CP562" s="267"/>
      <c r="CQ562" s="267"/>
      <c r="CR562" s="267"/>
      <c r="CS562" s="267"/>
      <c r="CT562" s="267"/>
      <c r="CU562" s="267"/>
      <c r="CV562" s="267"/>
      <c r="CW562" s="267"/>
      <c r="CX562" s="267"/>
      <c r="CY562" s="267"/>
      <c r="CZ562" s="267"/>
    </row>
    <row r="563" spans="2:104">
      <c r="B563" s="1235"/>
      <c r="C563" s="1235"/>
      <c r="D563" s="1235"/>
      <c r="E563" s="267"/>
      <c r="F563" s="267"/>
      <c r="G563" s="267"/>
      <c r="H563" s="267"/>
      <c r="I563" s="267"/>
      <c r="J563" s="267"/>
      <c r="K563" s="267"/>
      <c r="L563" s="267"/>
      <c r="M563" s="267"/>
      <c r="N563" s="267"/>
      <c r="O563" s="267"/>
      <c r="P563" s="267"/>
      <c r="Q563" s="267"/>
      <c r="R563" s="267"/>
      <c r="S563" s="267"/>
      <c r="T563" s="267"/>
      <c r="U563" s="267"/>
      <c r="V563" s="267"/>
      <c r="W563" s="267"/>
      <c r="X563" s="267"/>
      <c r="Y563" s="267"/>
      <c r="Z563" s="267"/>
      <c r="AA563" s="267"/>
      <c r="AB563" s="267"/>
      <c r="AC563" s="267"/>
      <c r="AD563" s="267"/>
      <c r="AE563" s="267"/>
      <c r="AF563" s="267"/>
      <c r="AG563" s="267"/>
      <c r="AH563" s="267"/>
      <c r="AI563" s="267"/>
      <c r="AJ563" s="267"/>
      <c r="AK563" s="267"/>
      <c r="AL563" s="267"/>
      <c r="AM563" s="267"/>
      <c r="AN563" s="267"/>
      <c r="AO563" s="267"/>
      <c r="AP563" s="267"/>
      <c r="AQ563" s="267"/>
      <c r="AR563" s="267"/>
      <c r="AS563" s="267"/>
      <c r="AT563" s="267"/>
      <c r="AU563" s="267"/>
      <c r="AV563" s="267"/>
      <c r="AW563" s="267"/>
      <c r="AX563" s="267"/>
      <c r="AY563" s="267"/>
      <c r="AZ563" s="267"/>
      <c r="BA563" s="267"/>
      <c r="BB563" s="267"/>
      <c r="BC563" s="267"/>
      <c r="BD563" s="267"/>
      <c r="BE563" s="267"/>
      <c r="BF563" s="267"/>
      <c r="BG563" s="267"/>
      <c r="BH563" s="267"/>
      <c r="BI563" s="267"/>
      <c r="BJ563" s="267"/>
      <c r="BK563" s="267"/>
      <c r="BL563" s="267"/>
      <c r="BM563" s="267"/>
      <c r="BN563" s="267"/>
      <c r="BO563" s="267"/>
      <c r="BP563" s="267"/>
      <c r="BQ563" s="267"/>
      <c r="BR563" s="267"/>
      <c r="BS563" s="267"/>
      <c r="BT563" s="267"/>
      <c r="BU563" s="267"/>
      <c r="BV563" s="267"/>
      <c r="BW563" s="267"/>
      <c r="BX563" s="267"/>
      <c r="BY563" s="267"/>
      <c r="BZ563" s="267"/>
      <c r="CA563" s="267"/>
      <c r="CB563" s="267"/>
      <c r="CC563" s="267"/>
      <c r="CD563" s="267"/>
      <c r="CE563" s="267"/>
      <c r="CF563" s="267"/>
      <c r="CG563" s="267"/>
      <c r="CH563" s="267"/>
      <c r="CI563" s="267"/>
      <c r="CJ563" s="267"/>
      <c r="CK563" s="267"/>
      <c r="CL563" s="267"/>
      <c r="CM563" s="267"/>
      <c r="CN563" s="267"/>
      <c r="CO563" s="267"/>
      <c r="CP563" s="267"/>
      <c r="CQ563" s="267"/>
      <c r="CR563" s="267"/>
      <c r="CS563" s="267"/>
      <c r="CT563" s="267"/>
      <c r="CU563" s="267"/>
      <c r="CV563" s="267"/>
      <c r="CW563" s="267"/>
      <c r="CX563" s="267"/>
      <c r="CY563" s="267"/>
      <c r="CZ563" s="267"/>
    </row>
    <row r="564" spans="2:104">
      <c r="B564" s="1235"/>
      <c r="C564" s="1235"/>
      <c r="D564" s="1235"/>
      <c r="E564" s="267"/>
      <c r="F564" s="267"/>
      <c r="G564" s="267"/>
      <c r="H564" s="267"/>
      <c r="I564" s="267"/>
      <c r="J564" s="267"/>
      <c r="K564" s="267"/>
      <c r="L564" s="267"/>
      <c r="M564" s="267"/>
      <c r="N564" s="267"/>
      <c r="O564" s="267"/>
      <c r="P564" s="267"/>
      <c r="Q564" s="267"/>
      <c r="R564" s="267"/>
      <c r="S564" s="267"/>
      <c r="T564" s="267"/>
      <c r="U564" s="267"/>
      <c r="V564" s="267"/>
      <c r="W564" s="267"/>
      <c r="X564" s="267"/>
      <c r="Y564" s="267"/>
      <c r="Z564" s="267"/>
      <c r="AA564" s="267"/>
      <c r="AB564" s="267"/>
      <c r="AC564" s="267"/>
      <c r="AD564" s="267"/>
      <c r="AE564" s="267"/>
      <c r="AF564" s="267"/>
      <c r="AG564" s="267"/>
      <c r="AH564" s="267"/>
      <c r="AI564" s="267"/>
      <c r="AJ564" s="267"/>
      <c r="AK564" s="267"/>
      <c r="AL564" s="267"/>
      <c r="AM564" s="267"/>
      <c r="AN564" s="267"/>
      <c r="AO564" s="267"/>
      <c r="AP564" s="267"/>
      <c r="AQ564" s="267"/>
      <c r="AR564" s="267"/>
      <c r="AS564" s="267"/>
      <c r="AT564" s="267"/>
      <c r="AU564" s="267"/>
      <c r="AV564" s="267"/>
      <c r="AW564" s="267"/>
      <c r="AX564" s="267"/>
      <c r="AY564" s="267"/>
      <c r="AZ564" s="267"/>
      <c r="BA564" s="267"/>
      <c r="BB564" s="267"/>
      <c r="BC564" s="267"/>
      <c r="BD564" s="267"/>
      <c r="BE564" s="267"/>
      <c r="BF564" s="267"/>
      <c r="BG564" s="267"/>
      <c r="BH564" s="267"/>
      <c r="BI564" s="267"/>
      <c r="BJ564" s="267"/>
      <c r="BK564" s="267"/>
      <c r="BL564" s="267"/>
      <c r="BM564" s="267"/>
      <c r="BN564" s="267"/>
      <c r="BO564" s="267"/>
      <c r="BP564" s="267"/>
      <c r="BQ564" s="267"/>
      <c r="BR564" s="267"/>
      <c r="BS564" s="267"/>
      <c r="BT564" s="267"/>
      <c r="BU564" s="267"/>
      <c r="BV564" s="267"/>
      <c r="BW564" s="267"/>
      <c r="BX564" s="267"/>
      <c r="BY564" s="267"/>
      <c r="BZ564" s="267"/>
      <c r="CA564" s="267"/>
      <c r="CB564" s="267"/>
      <c r="CC564" s="267"/>
      <c r="CD564" s="267"/>
      <c r="CE564" s="267"/>
      <c r="CF564" s="267"/>
      <c r="CG564" s="267"/>
      <c r="CH564" s="267"/>
      <c r="CI564" s="267"/>
      <c r="CJ564" s="267"/>
      <c r="CK564" s="267"/>
      <c r="CL564" s="267"/>
      <c r="CM564" s="267"/>
      <c r="CN564" s="267"/>
      <c r="CO564" s="267"/>
      <c r="CP564" s="267"/>
      <c r="CQ564" s="267"/>
      <c r="CR564" s="267"/>
      <c r="CS564" s="267"/>
      <c r="CT564" s="267"/>
      <c r="CU564" s="267"/>
      <c r="CV564" s="267"/>
      <c r="CW564" s="267"/>
      <c r="CX564" s="267"/>
      <c r="CY564" s="267"/>
      <c r="CZ564" s="267"/>
    </row>
    <row r="565" spans="2:104">
      <c r="B565" s="1235"/>
      <c r="C565" s="1235"/>
      <c r="D565" s="1235"/>
      <c r="E565" s="267"/>
      <c r="F565" s="267"/>
      <c r="G565" s="267"/>
      <c r="H565" s="267"/>
      <c r="I565" s="267"/>
      <c r="J565" s="267"/>
      <c r="K565" s="267"/>
      <c r="L565" s="267"/>
      <c r="M565" s="267"/>
      <c r="N565" s="267"/>
      <c r="O565" s="267"/>
      <c r="P565" s="267"/>
      <c r="Q565" s="267"/>
      <c r="R565" s="267"/>
      <c r="S565" s="267"/>
      <c r="T565" s="267"/>
      <c r="U565" s="267"/>
      <c r="V565" s="267"/>
      <c r="W565" s="267"/>
      <c r="X565" s="267"/>
      <c r="Y565" s="267"/>
      <c r="Z565" s="267"/>
      <c r="AA565" s="267"/>
      <c r="AB565" s="267"/>
      <c r="AC565" s="267"/>
      <c r="AD565" s="267"/>
      <c r="AE565" s="267"/>
      <c r="AF565" s="267"/>
      <c r="AG565" s="267"/>
      <c r="AH565" s="267"/>
      <c r="AI565" s="267"/>
      <c r="AJ565" s="267"/>
      <c r="AK565" s="267"/>
      <c r="AL565" s="267"/>
      <c r="AM565" s="267"/>
      <c r="AN565" s="267"/>
      <c r="AO565" s="267"/>
      <c r="AP565" s="267"/>
      <c r="AQ565" s="267"/>
      <c r="AR565" s="267"/>
      <c r="AS565" s="267"/>
      <c r="AT565" s="267"/>
      <c r="AU565" s="267"/>
      <c r="AV565" s="267"/>
      <c r="AW565" s="267"/>
      <c r="AX565" s="267"/>
      <c r="AY565" s="267"/>
      <c r="AZ565" s="267"/>
      <c r="BA565" s="267"/>
      <c r="BB565" s="267"/>
      <c r="BC565" s="267"/>
      <c r="BD565" s="267"/>
      <c r="BE565" s="267"/>
      <c r="BF565" s="267"/>
      <c r="BG565" s="267"/>
      <c r="BH565" s="267"/>
      <c r="BI565" s="267"/>
      <c r="BJ565" s="267"/>
      <c r="BK565" s="267"/>
      <c r="BL565" s="267"/>
      <c r="BM565" s="267"/>
      <c r="BN565" s="267"/>
      <c r="BO565" s="267"/>
      <c r="BP565" s="267"/>
      <c r="BQ565" s="267"/>
      <c r="BR565" s="267"/>
      <c r="BS565" s="267"/>
      <c r="BT565" s="267"/>
      <c r="BU565" s="267"/>
      <c r="BV565" s="267"/>
      <c r="BW565" s="267"/>
      <c r="BX565" s="267"/>
      <c r="BY565" s="267"/>
      <c r="BZ565" s="267"/>
      <c r="CA565" s="267"/>
      <c r="CB565" s="267"/>
      <c r="CC565" s="267"/>
      <c r="CD565" s="267"/>
      <c r="CE565" s="267"/>
      <c r="CF565" s="267"/>
      <c r="CG565" s="267"/>
      <c r="CH565" s="267"/>
      <c r="CI565" s="267"/>
      <c r="CJ565" s="267"/>
      <c r="CK565" s="267"/>
      <c r="CL565" s="267"/>
      <c r="CM565" s="267"/>
      <c r="CN565" s="267"/>
      <c r="CO565" s="267"/>
      <c r="CP565" s="267"/>
      <c r="CQ565" s="267"/>
      <c r="CR565" s="267"/>
      <c r="CS565" s="267"/>
      <c r="CT565" s="267"/>
      <c r="CU565" s="267"/>
      <c r="CV565" s="267"/>
      <c r="CW565" s="267"/>
      <c r="CX565" s="267"/>
      <c r="CY565" s="267"/>
      <c r="CZ565" s="267"/>
    </row>
    <row r="566" spans="2:104">
      <c r="B566" s="1235"/>
      <c r="C566" s="1235"/>
      <c r="D566" s="1235"/>
      <c r="E566" s="267"/>
      <c r="F566" s="267"/>
      <c r="G566" s="267"/>
      <c r="H566" s="267"/>
      <c r="I566" s="267"/>
      <c r="J566" s="267"/>
      <c r="K566" s="267"/>
      <c r="L566" s="267"/>
      <c r="M566" s="267"/>
      <c r="N566" s="267"/>
      <c r="O566" s="267"/>
      <c r="P566" s="267"/>
      <c r="Q566" s="267"/>
      <c r="R566" s="267"/>
      <c r="S566" s="267"/>
      <c r="T566" s="267"/>
      <c r="U566" s="267"/>
      <c r="V566" s="267"/>
      <c r="W566" s="267"/>
      <c r="X566" s="267"/>
      <c r="Y566" s="267"/>
      <c r="Z566" s="267"/>
      <c r="AA566" s="267"/>
      <c r="AB566" s="267"/>
      <c r="AC566" s="267"/>
      <c r="AD566" s="267"/>
      <c r="AE566" s="267"/>
      <c r="AF566" s="267"/>
      <c r="AG566" s="267"/>
      <c r="AH566" s="267"/>
      <c r="AI566" s="267"/>
      <c r="AJ566" s="267"/>
      <c r="AK566" s="267"/>
      <c r="AL566" s="267"/>
      <c r="AM566" s="267"/>
      <c r="AN566" s="267"/>
      <c r="AO566" s="267"/>
      <c r="AP566" s="267"/>
      <c r="AQ566" s="267"/>
      <c r="AR566" s="267"/>
      <c r="AS566" s="267"/>
      <c r="AT566" s="267"/>
      <c r="AU566" s="267"/>
      <c r="AV566" s="267"/>
      <c r="AW566" s="267"/>
      <c r="AX566" s="267"/>
      <c r="AY566" s="267"/>
      <c r="AZ566" s="267"/>
      <c r="BA566" s="267"/>
      <c r="BB566" s="267"/>
      <c r="BC566" s="267"/>
      <c r="BD566" s="267"/>
      <c r="BE566" s="267"/>
      <c r="BF566" s="267"/>
      <c r="BG566" s="267"/>
      <c r="BH566" s="267"/>
      <c r="BI566" s="267"/>
      <c r="BJ566" s="267"/>
      <c r="BK566" s="267"/>
      <c r="BL566" s="267"/>
      <c r="BM566" s="267"/>
      <c r="BN566" s="267"/>
      <c r="BO566" s="267"/>
      <c r="BP566" s="267"/>
      <c r="BQ566" s="267"/>
      <c r="BR566" s="267"/>
      <c r="BS566" s="267"/>
      <c r="BT566" s="267"/>
      <c r="BU566" s="267"/>
      <c r="BV566" s="267"/>
      <c r="BW566" s="267"/>
      <c r="BX566" s="267"/>
      <c r="BY566" s="267"/>
      <c r="BZ566" s="267"/>
      <c r="CA566" s="267"/>
      <c r="CB566" s="267"/>
      <c r="CC566" s="267"/>
      <c r="CD566" s="267"/>
      <c r="CE566" s="267"/>
      <c r="CF566" s="267"/>
      <c r="CG566" s="267"/>
      <c r="CH566" s="267"/>
      <c r="CI566" s="267"/>
      <c r="CJ566" s="267"/>
      <c r="CK566" s="267"/>
      <c r="CL566" s="267"/>
      <c r="CM566" s="267"/>
      <c r="CN566" s="267"/>
      <c r="CO566" s="267"/>
      <c r="CP566" s="267"/>
      <c r="CQ566" s="267"/>
      <c r="CR566" s="267"/>
      <c r="CS566" s="267"/>
      <c r="CT566" s="267"/>
      <c r="CU566" s="267"/>
      <c r="CV566" s="267"/>
      <c r="CW566" s="267"/>
      <c r="CX566" s="267"/>
      <c r="CY566" s="267"/>
      <c r="CZ566" s="267"/>
    </row>
    <row r="567" spans="2:104">
      <c r="B567" s="1235"/>
      <c r="C567" s="1235"/>
      <c r="D567" s="1235"/>
      <c r="E567" s="267"/>
      <c r="F567" s="267"/>
      <c r="G567" s="267"/>
      <c r="H567" s="267"/>
      <c r="I567" s="267"/>
      <c r="J567" s="267"/>
      <c r="K567" s="267"/>
      <c r="L567" s="267"/>
      <c r="M567" s="267"/>
      <c r="N567" s="267"/>
      <c r="O567" s="267"/>
      <c r="P567" s="267"/>
      <c r="Q567" s="267"/>
      <c r="R567" s="267"/>
      <c r="S567" s="267"/>
      <c r="T567" s="267"/>
      <c r="U567" s="267"/>
      <c r="V567" s="267"/>
      <c r="W567" s="267"/>
      <c r="X567" s="267"/>
      <c r="Y567" s="267"/>
      <c r="Z567" s="267"/>
      <c r="AA567" s="267"/>
      <c r="AB567" s="267"/>
      <c r="AC567" s="267"/>
      <c r="AD567" s="267"/>
      <c r="AE567" s="267"/>
      <c r="AF567" s="267"/>
      <c r="AG567" s="267"/>
      <c r="AH567" s="267"/>
      <c r="AI567" s="267"/>
      <c r="AJ567" s="267"/>
      <c r="AK567" s="267"/>
      <c r="AL567" s="267"/>
      <c r="AM567" s="267"/>
      <c r="AN567" s="267"/>
      <c r="AO567" s="267"/>
      <c r="AP567" s="267"/>
      <c r="AQ567" s="267"/>
      <c r="AR567" s="267"/>
      <c r="AS567" s="267"/>
      <c r="AT567" s="267"/>
      <c r="AU567" s="267"/>
      <c r="AV567" s="267"/>
      <c r="AW567" s="267"/>
      <c r="AX567" s="267"/>
      <c r="AY567" s="267"/>
      <c r="AZ567" s="267"/>
      <c r="BA567" s="267"/>
      <c r="BB567" s="267"/>
      <c r="BC567" s="267"/>
      <c r="BD567" s="267"/>
      <c r="BE567" s="267"/>
      <c r="BF567" s="267"/>
      <c r="BG567" s="267"/>
      <c r="BH567" s="267"/>
      <c r="BI567" s="267"/>
      <c r="BJ567" s="267"/>
      <c r="BK567" s="267"/>
      <c r="BL567" s="267"/>
      <c r="BM567" s="267"/>
      <c r="BN567" s="267"/>
      <c r="BO567" s="267"/>
      <c r="BP567" s="267"/>
      <c r="BQ567" s="267"/>
      <c r="BR567" s="267"/>
      <c r="BS567" s="267"/>
      <c r="BT567" s="267"/>
      <c r="BU567" s="267"/>
      <c r="BV567" s="267"/>
      <c r="BW567" s="267"/>
      <c r="BX567" s="267"/>
      <c r="BY567" s="267"/>
      <c r="BZ567" s="267"/>
      <c r="CA567" s="267"/>
      <c r="CB567" s="267"/>
      <c r="CC567" s="267"/>
      <c r="CD567" s="267"/>
      <c r="CE567" s="267"/>
      <c r="CF567" s="267"/>
      <c r="CG567" s="267"/>
      <c r="CH567" s="267"/>
      <c r="CI567" s="267"/>
      <c r="CJ567" s="267"/>
      <c r="CK567" s="267"/>
      <c r="CL567" s="267"/>
      <c r="CM567" s="267"/>
      <c r="CN567" s="267"/>
      <c r="CO567" s="267"/>
      <c r="CP567" s="267"/>
      <c r="CQ567" s="267"/>
      <c r="CR567" s="267"/>
      <c r="CS567" s="267"/>
      <c r="CT567" s="267"/>
      <c r="CU567" s="267"/>
      <c r="CV567" s="267"/>
      <c r="CW567" s="267"/>
      <c r="CX567" s="267"/>
      <c r="CY567" s="267"/>
      <c r="CZ567" s="267"/>
    </row>
    <row r="568" spans="2:104">
      <c r="B568" s="1235"/>
      <c r="C568" s="1235"/>
      <c r="D568" s="1235"/>
      <c r="E568" s="267"/>
      <c r="F568" s="267"/>
      <c r="G568" s="267"/>
      <c r="H568" s="267"/>
      <c r="I568" s="267"/>
      <c r="J568" s="267"/>
      <c r="K568" s="267"/>
      <c r="L568" s="267"/>
      <c r="M568" s="267"/>
      <c r="N568" s="267"/>
      <c r="O568" s="267"/>
      <c r="P568" s="267"/>
      <c r="Q568" s="267"/>
      <c r="R568" s="267"/>
      <c r="S568" s="267"/>
      <c r="T568" s="267"/>
      <c r="U568" s="267"/>
      <c r="V568" s="267"/>
      <c r="W568" s="267"/>
      <c r="X568" s="267"/>
      <c r="Y568" s="267"/>
      <c r="Z568" s="267"/>
      <c r="AA568" s="267"/>
      <c r="AB568" s="267"/>
      <c r="AC568" s="267"/>
      <c r="AD568" s="267"/>
      <c r="AE568" s="267"/>
      <c r="AF568" s="267"/>
      <c r="AG568" s="267"/>
      <c r="AH568" s="267"/>
      <c r="AI568" s="267"/>
      <c r="AJ568" s="267"/>
      <c r="AK568" s="267"/>
      <c r="AL568" s="267"/>
      <c r="AM568" s="267"/>
      <c r="AN568" s="267"/>
      <c r="AO568" s="267"/>
      <c r="AP568" s="267"/>
      <c r="AQ568" s="267"/>
      <c r="AR568" s="267"/>
      <c r="AS568" s="267"/>
      <c r="AT568" s="267"/>
      <c r="AU568" s="267"/>
      <c r="AV568" s="267"/>
      <c r="AW568" s="267"/>
      <c r="AX568" s="267"/>
      <c r="AY568" s="267"/>
      <c r="AZ568" s="267"/>
      <c r="BA568" s="267"/>
      <c r="BB568" s="267"/>
      <c r="BC568" s="267"/>
      <c r="BD568" s="267"/>
      <c r="BE568" s="267"/>
      <c r="BF568" s="267"/>
      <c r="BG568" s="267"/>
      <c r="BH568" s="267"/>
      <c r="BI568" s="267"/>
      <c r="BJ568" s="267"/>
      <c r="BK568" s="267"/>
      <c r="BL568" s="267"/>
      <c r="BM568" s="267"/>
      <c r="BN568" s="267"/>
      <c r="BO568" s="267"/>
      <c r="BP568" s="267"/>
      <c r="BQ568" s="267"/>
      <c r="BR568" s="267"/>
      <c r="BS568" s="267"/>
      <c r="BT568" s="267"/>
      <c r="BU568" s="267"/>
      <c r="BV568" s="267"/>
      <c r="BW568" s="267"/>
      <c r="BX568" s="267"/>
      <c r="BY568" s="267"/>
      <c r="BZ568" s="267"/>
      <c r="CA568" s="267"/>
      <c r="CB568" s="267"/>
      <c r="CC568" s="267"/>
      <c r="CD568" s="267"/>
      <c r="CE568" s="267"/>
      <c r="CF568" s="267"/>
      <c r="CG568" s="267"/>
      <c r="CH568" s="267"/>
      <c r="CI568" s="267"/>
      <c r="CJ568" s="267"/>
      <c r="CK568" s="267"/>
      <c r="CL568" s="267"/>
      <c r="CM568" s="267"/>
      <c r="CN568" s="267"/>
      <c r="CO568" s="267"/>
      <c r="CP568" s="267"/>
      <c r="CQ568" s="267"/>
      <c r="CR568" s="267"/>
      <c r="CS568" s="267"/>
      <c r="CT568" s="267"/>
      <c r="CU568" s="267"/>
      <c r="CV568" s="267"/>
      <c r="CW568" s="267"/>
      <c r="CX568" s="267"/>
      <c r="CY568" s="267"/>
      <c r="CZ568" s="267"/>
    </row>
    <row r="569" spans="2:104">
      <c r="B569" s="1235"/>
      <c r="C569" s="1235"/>
      <c r="D569" s="1235"/>
      <c r="E569" s="267"/>
      <c r="F569" s="267"/>
      <c r="G569" s="267"/>
      <c r="H569" s="267"/>
      <c r="I569" s="267"/>
      <c r="J569" s="267"/>
      <c r="K569" s="267"/>
      <c r="L569" s="267"/>
      <c r="M569" s="267"/>
      <c r="N569" s="267"/>
      <c r="O569" s="267"/>
      <c r="P569" s="267"/>
      <c r="Q569" s="267"/>
      <c r="R569" s="267"/>
      <c r="S569" s="267"/>
      <c r="T569" s="267"/>
      <c r="U569" s="267"/>
      <c r="V569" s="267"/>
      <c r="W569" s="267"/>
      <c r="X569" s="267"/>
      <c r="Y569" s="267"/>
      <c r="Z569" s="267"/>
      <c r="AA569" s="267"/>
      <c r="AB569" s="267"/>
      <c r="AC569" s="267"/>
      <c r="AD569" s="267"/>
      <c r="AE569" s="267"/>
      <c r="AF569" s="267"/>
      <c r="AG569" s="267"/>
      <c r="AH569" s="267"/>
      <c r="AI569" s="267"/>
      <c r="AJ569" s="267"/>
      <c r="AK569" s="267"/>
      <c r="AL569" s="267"/>
      <c r="AM569" s="267"/>
      <c r="AN569" s="267"/>
      <c r="AO569" s="267"/>
      <c r="AP569" s="267"/>
      <c r="AQ569" s="267"/>
      <c r="AR569" s="267"/>
      <c r="AS569" s="267"/>
      <c r="AT569" s="267"/>
      <c r="AU569" s="267"/>
      <c r="AV569" s="267"/>
      <c r="AW569" s="267"/>
      <c r="AX569" s="267"/>
      <c r="AY569" s="267"/>
      <c r="AZ569" s="267"/>
      <c r="BA569" s="267"/>
      <c r="BB569" s="267"/>
      <c r="BC569" s="267"/>
      <c r="BD569" s="267"/>
      <c r="BE569" s="267"/>
      <c r="BF569" s="267"/>
      <c r="BG569" s="267"/>
      <c r="BH569" s="267"/>
      <c r="BI569" s="267"/>
      <c r="BJ569" s="267"/>
      <c r="BK569" s="267"/>
      <c r="BL569" s="267"/>
      <c r="BM569" s="267"/>
      <c r="BN569" s="267"/>
      <c r="BO569" s="267"/>
      <c r="BP569" s="267"/>
      <c r="BQ569" s="267"/>
      <c r="BR569" s="267"/>
      <c r="BS569" s="267"/>
      <c r="BT569" s="267"/>
      <c r="BU569" s="267"/>
      <c r="BV569" s="267"/>
      <c r="BW569" s="267"/>
      <c r="BX569" s="267"/>
      <c r="BY569" s="267"/>
      <c r="BZ569" s="267"/>
      <c r="CA569" s="267"/>
      <c r="CB569" s="267"/>
      <c r="CC569" s="267"/>
      <c r="CD569" s="267"/>
      <c r="CE569" s="267"/>
      <c r="CF569" s="267"/>
      <c r="CG569" s="267"/>
      <c r="CH569" s="267"/>
      <c r="CI569" s="267"/>
      <c r="CJ569" s="267"/>
      <c r="CK569" s="267"/>
      <c r="CL569" s="267"/>
      <c r="CM569" s="267"/>
      <c r="CN569" s="267"/>
      <c r="CO569" s="267"/>
      <c r="CP569" s="267"/>
      <c r="CQ569" s="267"/>
      <c r="CR569" s="267"/>
      <c r="CS569" s="267"/>
      <c r="CT569" s="267"/>
      <c r="CU569" s="267"/>
      <c r="CV569" s="267"/>
      <c r="CW569" s="267"/>
      <c r="CX569" s="267"/>
      <c r="CY569" s="267"/>
      <c r="CZ569" s="267"/>
    </row>
    <row r="570" spans="2:104">
      <c r="B570" s="1235"/>
      <c r="C570" s="1235"/>
      <c r="D570" s="1235"/>
      <c r="E570" s="267"/>
      <c r="F570" s="267"/>
      <c r="G570" s="267"/>
      <c r="H570" s="267"/>
      <c r="I570" s="267"/>
      <c r="J570" s="267"/>
      <c r="K570" s="267"/>
      <c r="L570" s="267"/>
      <c r="M570" s="267"/>
      <c r="N570" s="267"/>
      <c r="O570" s="267"/>
      <c r="P570" s="267"/>
      <c r="Q570" s="267"/>
      <c r="R570" s="267"/>
      <c r="S570" s="267"/>
      <c r="T570" s="267"/>
      <c r="U570" s="267"/>
      <c r="V570" s="267"/>
      <c r="W570" s="267"/>
      <c r="X570" s="267"/>
      <c r="Y570" s="267"/>
      <c r="Z570" s="267"/>
      <c r="AA570" s="267"/>
      <c r="AB570" s="267"/>
      <c r="AC570" s="267"/>
      <c r="AD570" s="267"/>
      <c r="AE570" s="267"/>
      <c r="AF570" s="267"/>
      <c r="AG570" s="267"/>
      <c r="AH570" s="267"/>
      <c r="AI570" s="267"/>
      <c r="AJ570" s="267"/>
      <c r="AK570" s="267"/>
      <c r="AL570" s="267"/>
      <c r="AM570" s="267"/>
      <c r="AN570" s="267"/>
      <c r="AO570" s="267"/>
      <c r="AP570" s="267"/>
      <c r="AQ570" s="267"/>
      <c r="AR570" s="267"/>
      <c r="AS570" s="267"/>
      <c r="AT570" s="267"/>
      <c r="AU570" s="267"/>
      <c r="AV570" s="267"/>
      <c r="AW570" s="267"/>
      <c r="AX570" s="267"/>
      <c r="AY570" s="267"/>
      <c r="AZ570" s="267"/>
      <c r="BA570" s="267"/>
      <c r="BB570" s="267"/>
      <c r="BC570" s="267"/>
      <c r="BD570" s="267"/>
      <c r="BE570" s="267"/>
      <c r="BF570" s="267"/>
      <c r="BG570" s="267"/>
      <c r="BH570" s="267"/>
      <c r="BI570" s="267"/>
      <c r="BJ570" s="267"/>
      <c r="BK570" s="267"/>
      <c r="BL570" s="267"/>
      <c r="BM570" s="267"/>
      <c r="BN570" s="267"/>
      <c r="BO570" s="267"/>
      <c r="BP570" s="267"/>
      <c r="BQ570" s="267"/>
      <c r="BR570" s="267"/>
      <c r="BS570" s="267"/>
      <c r="BT570" s="267"/>
      <c r="BU570" s="267"/>
      <c r="BV570" s="267"/>
      <c r="BW570" s="267"/>
      <c r="BX570" s="267"/>
      <c r="BY570" s="267"/>
      <c r="BZ570" s="267"/>
      <c r="CA570" s="267"/>
      <c r="CB570" s="267"/>
      <c r="CC570" s="267"/>
      <c r="CD570" s="267"/>
      <c r="CE570" s="267"/>
      <c r="CF570" s="267"/>
      <c r="CG570" s="267"/>
      <c r="CH570" s="267"/>
      <c r="CI570" s="267"/>
      <c r="CJ570" s="267"/>
      <c r="CK570" s="267"/>
      <c r="CL570" s="267"/>
      <c r="CM570" s="267"/>
      <c r="CN570" s="267"/>
      <c r="CO570" s="267"/>
      <c r="CP570" s="267"/>
      <c r="CQ570" s="267"/>
      <c r="CR570" s="267"/>
      <c r="CS570" s="267"/>
      <c r="CT570" s="267"/>
      <c r="CU570" s="267"/>
      <c r="CV570" s="267"/>
      <c r="CW570" s="267"/>
      <c r="CX570" s="267"/>
      <c r="CY570" s="267"/>
      <c r="CZ570" s="267"/>
    </row>
    <row r="571" spans="2:104">
      <c r="B571" s="1235"/>
      <c r="C571" s="1235"/>
      <c r="D571" s="1235"/>
      <c r="E571" s="267"/>
      <c r="F571" s="267"/>
      <c r="G571" s="267"/>
      <c r="H571" s="267"/>
      <c r="I571" s="267"/>
      <c r="J571" s="267"/>
      <c r="K571" s="267"/>
      <c r="L571" s="267"/>
      <c r="M571" s="267"/>
      <c r="N571" s="267"/>
      <c r="O571" s="267"/>
      <c r="P571" s="267"/>
      <c r="Q571" s="267"/>
      <c r="R571" s="267"/>
      <c r="S571" s="267"/>
      <c r="T571" s="267"/>
      <c r="U571" s="267"/>
      <c r="V571" s="267"/>
      <c r="W571" s="267"/>
      <c r="X571" s="267"/>
      <c r="Y571" s="267"/>
      <c r="Z571" s="267"/>
      <c r="AA571" s="267"/>
      <c r="AB571" s="267"/>
      <c r="AC571" s="267"/>
      <c r="AD571" s="267"/>
      <c r="AE571" s="267"/>
      <c r="AF571" s="267"/>
      <c r="AG571" s="267"/>
      <c r="AH571" s="267"/>
      <c r="AI571" s="267"/>
      <c r="AJ571" s="267"/>
      <c r="AK571" s="267"/>
      <c r="AL571" s="267"/>
      <c r="AM571" s="267"/>
      <c r="AN571" s="267"/>
      <c r="AO571" s="267"/>
      <c r="AP571" s="267"/>
      <c r="AQ571" s="267"/>
      <c r="AR571" s="267"/>
      <c r="AS571" s="267"/>
      <c r="AT571" s="267"/>
      <c r="AU571" s="267"/>
      <c r="AV571" s="267"/>
      <c r="AW571" s="267"/>
      <c r="AX571" s="267"/>
      <c r="AY571" s="267"/>
      <c r="AZ571" s="267"/>
      <c r="BA571" s="267"/>
      <c r="BB571" s="267"/>
      <c r="BC571" s="267"/>
      <c r="BD571" s="267"/>
      <c r="BE571" s="267"/>
      <c r="BF571" s="267"/>
      <c r="BG571" s="267"/>
      <c r="BH571" s="267"/>
      <c r="BI571" s="267"/>
      <c r="BJ571" s="267"/>
      <c r="BK571" s="267"/>
      <c r="BL571" s="267"/>
      <c r="BM571" s="267"/>
      <c r="BN571" s="267"/>
      <c r="BO571" s="267"/>
      <c r="BP571" s="267"/>
      <c r="BQ571" s="267"/>
      <c r="BR571" s="267"/>
      <c r="BS571" s="267"/>
      <c r="BT571" s="267"/>
      <c r="BU571" s="267"/>
      <c r="BV571" s="267"/>
      <c r="BW571" s="267"/>
      <c r="BX571" s="267"/>
      <c r="BY571" s="267"/>
      <c r="BZ571" s="267"/>
      <c r="CA571" s="267"/>
      <c r="CB571" s="267"/>
      <c r="CC571" s="267"/>
      <c r="CD571" s="267"/>
      <c r="CE571" s="267"/>
      <c r="CF571" s="267"/>
      <c r="CG571" s="267"/>
      <c r="CH571" s="267"/>
      <c r="CI571" s="267"/>
      <c r="CJ571" s="267"/>
      <c r="CK571" s="267"/>
      <c r="CL571" s="267"/>
      <c r="CM571" s="267"/>
      <c r="CN571" s="267"/>
      <c r="CO571" s="267"/>
      <c r="CP571" s="267"/>
      <c r="CQ571" s="267"/>
      <c r="CR571" s="267"/>
      <c r="CS571" s="267"/>
      <c r="CT571" s="267"/>
      <c r="CU571" s="267"/>
      <c r="CV571" s="267"/>
      <c r="CW571" s="267"/>
      <c r="CX571" s="267"/>
      <c r="CY571" s="267"/>
      <c r="CZ571" s="267"/>
    </row>
    <row r="572" spans="2:104">
      <c r="B572" s="1235"/>
      <c r="C572" s="1235"/>
      <c r="D572" s="1235"/>
      <c r="E572" s="267"/>
      <c r="F572" s="267"/>
      <c r="G572" s="267"/>
      <c r="H572" s="267"/>
      <c r="I572" s="267"/>
      <c r="J572" s="267"/>
      <c r="K572" s="267"/>
      <c r="L572" s="267"/>
      <c r="M572" s="267"/>
      <c r="N572" s="267"/>
      <c r="O572" s="267"/>
      <c r="P572" s="267"/>
      <c r="Q572" s="267"/>
      <c r="R572" s="267"/>
      <c r="S572" s="267"/>
      <c r="T572" s="267"/>
      <c r="U572" s="267"/>
      <c r="V572" s="267"/>
      <c r="W572" s="267"/>
      <c r="X572" s="267"/>
      <c r="Y572" s="267"/>
      <c r="Z572" s="267"/>
      <c r="AA572" s="267"/>
      <c r="AB572" s="267"/>
      <c r="AC572" s="267"/>
      <c r="AD572" s="267"/>
      <c r="AE572" s="267"/>
      <c r="AF572" s="267"/>
      <c r="AG572" s="267"/>
      <c r="AH572" s="267"/>
      <c r="AI572" s="267"/>
      <c r="AJ572" s="267"/>
      <c r="AK572" s="267"/>
      <c r="AL572" s="267"/>
      <c r="AM572" s="267"/>
      <c r="AN572" s="267"/>
      <c r="AO572" s="267"/>
      <c r="AP572" s="267"/>
      <c r="AQ572" s="267"/>
      <c r="AR572" s="267"/>
      <c r="AS572" s="267"/>
      <c r="AT572" s="267"/>
      <c r="AU572" s="267"/>
      <c r="AV572" s="267"/>
      <c r="AW572" s="267"/>
      <c r="AX572" s="267"/>
      <c r="AY572" s="267"/>
      <c r="AZ572" s="267"/>
      <c r="BA572" s="267"/>
      <c r="BB572" s="267"/>
      <c r="BC572" s="267"/>
      <c r="BD572" s="267"/>
      <c r="BE572" s="267"/>
      <c r="BF572" s="267"/>
      <c r="BG572" s="267"/>
      <c r="BH572" s="267"/>
      <c r="BI572" s="267"/>
      <c r="BJ572" s="267"/>
      <c r="BK572" s="267"/>
      <c r="BL572" s="267"/>
      <c r="BM572" s="267"/>
      <c r="BN572" s="267"/>
      <c r="BO572" s="267"/>
      <c r="BP572" s="267"/>
      <c r="BQ572" s="267"/>
      <c r="BR572" s="267"/>
      <c r="BS572" s="267"/>
      <c r="BT572" s="267"/>
      <c r="BU572" s="267"/>
      <c r="BV572" s="267"/>
      <c r="BW572" s="267"/>
      <c r="BX572" s="267"/>
      <c r="BY572" s="267"/>
      <c r="BZ572" s="267"/>
      <c r="CA572" s="267"/>
      <c r="CB572" s="267"/>
      <c r="CC572" s="267"/>
      <c r="CD572" s="267"/>
      <c r="CE572" s="267"/>
      <c r="CF572" s="267"/>
      <c r="CG572" s="267"/>
      <c r="CH572" s="267"/>
      <c r="CI572" s="267"/>
      <c r="CJ572" s="267"/>
      <c r="CK572" s="267"/>
      <c r="CL572" s="267"/>
      <c r="CM572" s="267"/>
      <c r="CN572" s="267"/>
      <c r="CO572" s="267"/>
      <c r="CP572" s="267"/>
      <c r="CQ572" s="267"/>
      <c r="CR572" s="267"/>
      <c r="CS572" s="267"/>
      <c r="CT572" s="267"/>
      <c r="CU572" s="267"/>
      <c r="CV572" s="267"/>
      <c r="CW572" s="267"/>
      <c r="CX572" s="267"/>
      <c r="CY572" s="267"/>
      <c r="CZ572" s="267"/>
    </row>
    <row r="573" spans="2:104">
      <c r="B573" s="1235"/>
      <c r="C573" s="1235"/>
      <c r="D573" s="1235"/>
      <c r="E573" s="267"/>
      <c r="F573" s="267"/>
      <c r="G573" s="267"/>
      <c r="H573" s="267"/>
      <c r="I573" s="267"/>
      <c r="J573" s="267"/>
      <c r="K573" s="267"/>
      <c r="L573" s="267"/>
      <c r="M573" s="267"/>
      <c r="N573" s="267"/>
      <c r="O573" s="267"/>
      <c r="P573" s="267"/>
      <c r="Q573" s="267"/>
      <c r="R573" s="267"/>
      <c r="S573" s="267"/>
      <c r="T573" s="267"/>
      <c r="U573" s="267"/>
      <c r="V573" s="267"/>
      <c r="W573" s="267"/>
      <c r="X573" s="267"/>
      <c r="Y573" s="267"/>
      <c r="Z573" s="267"/>
      <c r="AA573" s="267"/>
      <c r="AB573" s="267"/>
      <c r="AC573" s="267"/>
      <c r="AD573" s="267"/>
      <c r="AE573" s="267"/>
      <c r="AF573" s="267"/>
      <c r="AG573" s="267"/>
      <c r="AH573" s="267"/>
      <c r="AI573" s="267"/>
      <c r="AJ573" s="267"/>
      <c r="AK573" s="267"/>
      <c r="AL573" s="267"/>
      <c r="AM573" s="267"/>
      <c r="AN573" s="267"/>
      <c r="AO573" s="267"/>
      <c r="AP573" s="267"/>
      <c r="AQ573" s="267"/>
      <c r="AR573" s="267"/>
      <c r="AS573" s="267"/>
      <c r="AT573" s="267"/>
      <c r="AU573" s="267"/>
      <c r="AV573" s="267"/>
      <c r="AW573" s="267"/>
      <c r="AX573" s="267"/>
      <c r="AY573" s="267"/>
      <c r="AZ573" s="267"/>
      <c r="BA573" s="267"/>
      <c r="BB573" s="267"/>
      <c r="BC573" s="267"/>
      <c r="BD573" s="267"/>
      <c r="BE573" s="267"/>
      <c r="BF573" s="267"/>
      <c r="BG573" s="267"/>
      <c r="BH573" s="267"/>
      <c r="BI573" s="267"/>
      <c r="BJ573" s="267"/>
      <c r="BK573" s="267"/>
      <c r="BL573" s="267"/>
      <c r="BM573" s="267"/>
      <c r="BN573" s="267"/>
      <c r="BO573" s="267"/>
      <c r="BP573" s="267"/>
      <c r="BQ573" s="267"/>
      <c r="BR573" s="267"/>
      <c r="BS573" s="267"/>
      <c r="BT573" s="267"/>
      <c r="BU573" s="267"/>
      <c r="BV573" s="267"/>
      <c r="BW573" s="267"/>
      <c r="BX573" s="267"/>
      <c r="BY573" s="267"/>
      <c r="BZ573" s="267"/>
      <c r="CA573" s="267"/>
      <c r="CB573" s="267"/>
      <c r="CC573" s="267"/>
      <c r="CD573" s="267"/>
      <c r="CE573" s="267"/>
      <c r="CF573" s="267"/>
      <c r="CG573" s="267"/>
      <c r="CH573" s="267"/>
      <c r="CI573" s="267"/>
      <c r="CJ573" s="267"/>
      <c r="CK573" s="267"/>
      <c r="CL573" s="267"/>
      <c r="CM573" s="267"/>
      <c r="CN573" s="267"/>
      <c r="CO573" s="267"/>
      <c r="CP573" s="267"/>
      <c r="CQ573" s="267"/>
      <c r="CR573" s="267"/>
      <c r="CS573" s="267"/>
      <c r="CT573" s="267"/>
      <c r="CU573" s="267"/>
      <c r="CV573" s="267"/>
      <c r="CW573" s="267"/>
      <c r="CX573" s="267"/>
      <c r="CY573" s="267"/>
      <c r="CZ573" s="267"/>
    </row>
    <row r="574" spans="2:104">
      <c r="B574" s="1235"/>
      <c r="C574" s="1235"/>
      <c r="D574" s="1235"/>
      <c r="E574" s="267"/>
      <c r="F574" s="267"/>
      <c r="G574" s="267"/>
      <c r="H574" s="267"/>
      <c r="I574" s="267"/>
      <c r="J574" s="267"/>
      <c r="K574" s="267"/>
      <c r="L574" s="267"/>
      <c r="M574" s="267"/>
      <c r="N574" s="267"/>
      <c r="O574" s="267"/>
      <c r="P574" s="267"/>
      <c r="Q574" s="267"/>
      <c r="R574" s="267"/>
      <c r="S574" s="267"/>
      <c r="T574" s="267"/>
      <c r="U574" s="267"/>
      <c r="V574" s="267"/>
      <c r="W574" s="267"/>
      <c r="X574" s="267"/>
      <c r="Y574" s="267"/>
      <c r="Z574" s="267"/>
      <c r="AA574" s="267"/>
      <c r="AB574" s="267"/>
      <c r="AC574" s="267"/>
      <c r="AD574" s="267"/>
      <c r="AE574" s="267"/>
      <c r="AF574" s="267"/>
      <c r="AG574" s="267"/>
      <c r="AH574" s="267"/>
      <c r="AI574" s="267"/>
      <c r="AJ574" s="267"/>
      <c r="AK574" s="267"/>
      <c r="AL574" s="267"/>
      <c r="AM574" s="267"/>
      <c r="AN574" s="267"/>
      <c r="AO574" s="267"/>
      <c r="AP574" s="267"/>
      <c r="AQ574" s="267"/>
      <c r="AR574" s="267"/>
      <c r="AS574" s="267"/>
      <c r="AT574" s="267"/>
      <c r="AU574" s="267"/>
      <c r="AV574" s="267"/>
      <c r="AW574" s="267"/>
      <c r="AX574" s="267"/>
      <c r="AY574" s="267"/>
      <c r="AZ574" s="267"/>
      <c r="BA574" s="267"/>
      <c r="BB574" s="267"/>
      <c r="BC574" s="267"/>
      <c r="BD574" s="267"/>
      <c r="BE574" s="267"/>
      <c r="BF574" s="267"/>
      <c r="BG574" s="267"/>
      <c r="BH574" s="267"/>
      <c r="BI574" s="267"/>
      <c r="BJ574" s="267"/>
      <c r="BK574" s="267"/>
      <c r="BL574" s="267"/>
      <c r="BM574" s="267"/>
      <c r="BN574" s="267"/>
      <c r="BO574" s="267"/>
      <c r="BP574" s="267"/>
      <c r="BQ574" s="267"/>
      <c r="BR574" s="267"/>
      <c r="BS574" s="267"/>
      <c r="BT574" s="267"/>
      <c r="BU574" s="267"/>
      <c r="BV574" s="267"/>
      <c r="BW574" s="267"/>
      <c r="BX574" s="267"/>
      <c r="BY574" s="267"/>
      <c r="BZ574" s="267"/>
      <c r="CA574" s="267"/>
      <c r="CB574" s="267"/>
      <c r="CC574" s="267"/>
      <c r="CD574" s="267"/>
      <c r="CE574" s="267"/>
      <c r="CF574" s="267"/>
      <c r="CG574" s="267"/>
      <c r="CH574" s="267"/>
      <c r="CI574" s="267"/>
      <c r="CJ574" s="267"/>
      <c r="CK574" s="267"/>
      <c r="CL574" s="267"/>
      <c r="CM574" s="267"/>
      <c r="CN574" s="267"/>
      <c r="CO574" s="267"/>
      <c r="CP574" s="267"/>
      <c r="CQ574" s="267"/>
      <c r="CR574" s="267"/>
      <c r="CS574" s="267"/>
      <c r="CT574" s="267"/>
      <c r="CU574" s="267"/>
      <c r="CV574" s="267"/>
      <c r="CW574" s="267"/>
      <c r="CX574" s="267"/>
      <c r="CY574" s="267"/>
      <c r="CZ574" s="267"/>
    </row>
    <row r="575" spans="2:104">
      <c r="B575" s="1235"/>
      <c r="C575" s="1235"/>
      <c r="D575" s="1235"/>
      <c r="E575" s="267"/>
      <c r="F575" s="267"/>
      <c r="G575" s="267"/>
      <c r="H575" s="267"/>
      <c r="I575" s="267"/>
      <c r="J575" s="267"/>
      <c r="K575" s="267"/>
      <c r="L575" s="267"/>
      <c r="M575" s="267"/>
      <c r="N575" s="267"/>
      <c r="O575" s="267"/>
      <c r="P575" s="267"/>
      <c r="Q575" s="267"/>
      <c r="R575" s="267"/>
      <c r="S575" s="267"/>
      <c r="T575" s="267"/>
      <c r="U575" s="267"/>
      <c r="V575" s="267"/>
      <c r="W575" s="267"/>
      <c r="X575" s="267"/>
      <c r="Y575" s="267"/>
      <c r="Z575" s="267"/>
      <c r="AA575" s="267"/>
      <c r="AB575" s="267"/>
      <c r="AC575" s="267"/>
      <c r="AD575" s="267"/>
      <c r="AE575" s="267"/>
      <c r="AF575" s="267"/>
      <c r="AG575" s="267"/>
      <c r="AH575" s="267"/>
      <c r="AI575" s="267"/>
      <c r="AJ575" s="267"/>
      <c r="AK575" s="267"/>
      <c r="AL575" s="267"/>
      <c r="AM575" s="267"/>
      <c r="AN575" s="267"/>
      <c r="AO575" s="267"/>
      <c r="AP575" s="267"/>
      <c r="AQ575" s="267"/>
      <c r="AR575" s="267"/>
      <c r="AS575" s="267"/>
      <c r="AT575" s="267"/>
      <c r="AU575" s="267"/>
      <c r="AV575" s="267"/>
      <c r="AW575" s="267"/>
      <c r="AX575" s="267"/>
      <c r="AY575" s="267"/>
      <c r="AZ575" s="267"/>
      <c r="BA575" s="267"/>
      <c r="BB575" s="267"/>
      <c r="BC575" s="267"/>
      <c r="BD575" s="267"/>
      <c r="BE575" s="267"/>
      <c r="BF575" s="267"/>
      <c r="BG575" s="267"/>
      <c r="BH575" s="267"/>
      <c r="BI575" s="267"/>
      <c r="BJ575" s="267"/>
      <c r="BK575" s="267"/>
      <c r="BL575" s="267"/>
      <c r="BM575" s="267"/>
      <c r="BN575" s="267"/>
      <c r="BO575" s="267"/>
      <c r="BP575" s="267"/>
      <c r="BQ575" s="267"/>
      <c r="BR575" s="267"/>
      <c r="BS575" s="267"/>
      <c r="BT575" s="267"/>
      <c r="BU575" s="267"/>
      <c r="BV575" s="267"/>
      <c r="BW575" s="267"/>
      <c r="BX575" s="267"/>
      <c r="BY575" s="267"/>
      <c r="BZ575" s="267"/>
      <c r="CA575" s="267"/>
      <c r="CB575" s="267"/>
      <c r="CC575" s="267"/>
      <c r="CD575" s="267"/>
      <c r="CE575" s="267"/>
      <c r="CF575" s="267"/>
      <c r="CG575" s="267"/>
      <c r="CH575" s="267"/>
      <c r="CI575" s="267"/>
      <c r="CJ575" s="267"/>
      <c r="CK575" s="267"/>
      <c r="CL575" s="267"/>
      <c r="CM575" s="267"/>
      <c r="CN575" s="267"/>
      <c r="CO575" s="267"/>
      <c r="CP575" s="267"/>
      <c r="CQ575" s="267"/>
      <c r="CR575" s="267"/>
      <c r="CS575" s="267"/>
      <c r="CT575" s="267"/>
      <c r="CU575" s="267"/>
      <c r="CV575" s="267"/>
      <c r="CW575" s="267"/>
      <c r="CX575" s="267"/>
      <c r="CY575" s="267"/>
      <c r="CZ575" s="267"/>
    </row>
    <row r="576" spans="2:104">
      <c r="B576" s="1235"/>
      <c r="C576" s="1235"/>
      <c r="D576" s="1235"/>
      <c r="E576" s="267"/>
      <c r="F576" s="267"/>
      <c r="G576" s="267"/>
      <c r="H576" s="267"/>
      <c r="I576" s="267"/>
      <c r="J576" s="267"/>
      <c r="K576" s="267"/>
      <c r="L576" s="267"/>
      <c r="M576" s="267"/>
      <c r="N576" s="267"/>
      <c r="O576" s="267"/>
      <c r="P576" s="267"/>
      <c r="Q576" s="267"/>
      <c r="R576" s="267"/>
      <c r="S576" s="267"/>
      <c r="T576" s="267"/>
      <c r="U576" s="267"/>
      <c r="V576" s="267"/>
      <c r="W576" s="267"/>
      <c r="X576" s="267"/>
      <c r="Y576" s="267"/>
      <c r="Z576" s="267"/>
      <c r="AA576" s="267"/>
      <c r="AB576" s="267"/>
      <c r="AC576" s="267"/>
      <c r="AD576" s="267"/>
      <c r="AE576" s="267"/>
      <c r="AF576" s="267"/>
      <c r="AG576" s="267"/>
      <c r="AH576" s="267"/>
      <c r="AI576" s="267"/>
      <c r="AJ576" s="267"/>
      <c r="AK576" s="267"/>
      <c r="AL576" s="267"/>
      <c r="AM576" s="267"/>
      <c r="AN576" s="267"/>
      <c r="AO576" s="267"/>
      <c r="AP576" s="267"/>
      <c r="AQ576" s="267"/>
      <c r="AR576" s="267"/>
      <c r="AS576" s="267"/>
      <c r="AT576" s="267"/>
      <c r="AU576" s="267"/>
      <c r="AV576" s="267"/>
      <c r="AW576" s="267"/>
      <c r="AX576" s="267"/>
      <c r="AY576" s="267"/>
      <c r="AZ576" s="267"/>
      <c r="BA576" s="267"/>
      <c r="BB576" s="267"/>
      <c r="BC576" s="267"/>
      <c r="BD576" s="267"/>
      <c r="BE576" s="267"/>
      <c r="BF576" s="267"/>
      <c r="BG576" s="267"/>
      <c r="BH576" s="267"/>
      <c r="BI576" s="267"/>
      <c r="BJ576" s="267"/>
      <c r="BK576" s="267"/>
      <c r="BL576" s="267"/>
      <c r="BM576" s="267"/>
      <c r="BN576" s="267"/>
      <c r="BO576" s="267"/>
      <c r="BP576" s="267"/>
      <c r="BQ576" s="267"/>
      <c r="BR576" s="267"/>
      <c r="BS576" s="267"/>
      <c r="BT576" s="267"/>
      <c r="BU576" s="267"/>
      <c r="BV576" s="267"/>
      <c r="BW576" s="267"/>
      <c r="BX576" s="267"/>
      <c r="BY576" s="267"/>
      <c r="BZ576" s="267"/>
      <c r="CA576" s="267"/>
      <c r="CB576" s="267"/>
      <c r="CC576" s="267"/>
      <c r="CD576" s="267"/>
      <c r="CE576" s="267"/>
      <c r="CF576" s="267"/>
      <c r="CG576" s="267"/>
      <c r="CH576" s="267"/>
      <c r="CI576" s="267"/>
      <c r="CJ576" s="267"/>
      <c r="CK576" s="267"/>
      <c r="CL576" s="267"/>
      <c r="CM576" s="267"/>
      <c r="CN576" s="267"/>
      <c r="CO576" s="267"/>
      <c r="CP576" s="267"/>
      <c r="CQ576" s="267"/>
      <c r="CR576" s="267"/>
      <c r="CS576" s="267"/>
      <c r="CT576" s="267"/>
      <c r="CU576" s="267"/>
      <c r="CV576" s="267"/>
      <c r="CW576" s="267"/>
      <c r="CX576" s="267"/>
      <c r="CY576" s="267"/>
      <c r="CZ576" s="267"/>
    </row>
    <row r="577" spans="2:104">
      <c r="B577" s="1235"/>
      <c r="C577" s="1235"/>
      <c r="D577" s="1235"/>
      <c r="E577" s="267"/>
      <c r="F577" s="267"/>
      <c r="G577" s="267"/>
      <c r="H577" s="267"/>
      <c r="I577" s="267"/>
      <c r="J577" s="267"/>
      <c r="K577" s="267"/>
      <c r="L577" s="267"/>
      <c r="M577" s="267"/>
      <c r="N577" s="267"/>
      <c r="O577" s="267"/>
      <c r="P577" s="267"/>
      <c r="Q577" s="267"/>
      <c r="R577" s="267"/>
      <c r="S577" s="267"/>
      <c r="T577" s="267"/>
      <c r="U577" s="267"/>
      <c r="V577" s="267"/>
      <c r="W577" s="267"/>
      <c r="X577" s="267"/>
      <c r="Y577" s="267"/>
      <c r="Z577" s="267"/>
      <c r="AA577" s="267"/>
      <c r="AB577" s="267"/>
      <c r="AC577" s="267"/>
      <c r="AD577" s="267"/>
      <c r="AE577" s="267"/>
      <c r="AF577" s="267"/>
      <c r="AG577" s="267"/>
      <c r="AH577" s="267"/>
      <c r="AI577" s="267"/>
      <c r="AJ577" s="267"/>
      <c r="AK577" s="267"/>
      <c r="AL577" s="267"/>
      <c r="AM577" s="267"/>
      <c r="AN577" s="267"/>
      <c r="AO577" s="267"/>
      <c r="AP577" s="267"/>
      <c r="AQ577" s="267"/>
      <c r="AR577" s="267"/>
      <c r="AS577" s="267"/>
      <c r="AT577" s="267"/>
      <c r="AU577" s="267"/>
      <c r="AV577" s="267"/>
      <c r="AW577" s="267"/>
      <c r="AX577" s="267"/>
      <c r="AY577" s="267"/>
      <c r="AZ577" s="267"/>
      <c r="BA577" s="267"/>
      <c r="BB577" s="267"/>
      <c r="BC577" s="267"/>
      <c r="BD577" s="267"/>
      <c r="BE577" s="267"/>
      <c r="BF577" s="267"/>
      <c r="BG577" s="267"/>
      <c r="BH577" s="267"/>
      <c r="BI577" s="267"/>
      <c r="BJ577" s="267"/>
      <c r="BK577" s="267"/>
      <c r="BL577" s="267"/>
      <c r="BM577" s="267"/>
      <c r="BN577" s="267"/>
      <c r="BO577" s="267"/>
      <c r="BP577" s="267"/>
      <c r="BQ577" s="267"/>
      <c r="BR577" s="267"/>
      <c r="BS577" s="267"/>
      <c r="BT577" s="267"/>
      <c r="BU577" s="267"/>
      <c r="BV577" s="267"/>
      <c r="BW577" s="267"/>
      <c r="BX577" s="267"/>
      <c r="BY577" s="267"/>
      <c r="BZ577" s="267"/>
      <c r="CA577" s="267"/>
      <c r="CB577" s="267"/>
      <c r="CC577" s="267"/>
      <c r="CD577" s="267"/>
      <c r="CE577" s="267"/>
      <c r="CF577" s="267"/>
      <c r="CG577" s="267"/>
      <c r="CH577" s="267"/>
      <c r="CI577" s="267"/>
      <c r="CJ577" s="267"/>
      <c r="CK577" s="267"/>
      <c r="CL577" s="267"/>
      <c r="CM577" s="267"/>
      <c r="CN577" s="267"/>
      <c r="CO577" s="267"/>
      <c r="CP577" s="267"/>
      <c r="CQ577" s="267"/>
      <c r="CR577" s="267"/>
      <c r="CS577" s="267"/>
      <c r="CT577" s="267"/>
      <c r="CU577" s="267"/>
      <c r="CV577" s="267"/>
      <c r="CW577" s="267"/>
      <c r="CX577" s="267"/>
      <c r="CY577" s="267"/>
      <c r="CZ577" s="267"/>
    </row>
    <row r="578" spans="2:104">
      <c r="B578" s="1235"/>
      <c r="C578" s="1235"/>
      <c r="D578" s="1235"/>
      <c r="E578" s="267"/>
      <c r="F578" s="267"/>
      <c r="G578" s="267"/>
      <c r="H578" s="267"/>
      <c r="I578" s="267"/>
      <c r="J578" s="267"/>
      <c r="K578" s="267"/>
      <c r="L578" s="267"/>
      <c r="M578" s="267"/>
      <c r="N578" s="267"/>
      <c r="O578" s="267"/>
      <c r="P578" s="267"/>
      <c r="Q578" s="267"/>
      <c r="R578" s="267"/>
      <c r="S578" s="267"/>
      <c r="T578" s="267"/>
      <c r="U578" s="267"/>
      <c r="V578" s="267"/>
      <c r="W578" s="267"/>
      <c r="X578" s="267"/>
      <c r="Y578" s="267"/>
      <c r="Z578" s="267"/>
      <c r="AA578" s="267"/>
      <c r="AB578" s="267"/>
      <c r="AC578" s="267"/>
      <c r="AD578" s="267"/>
      <c r="AE578" s="267"/>
      <c r="AF578" s="267"/>
      <c r="AG578" s="267"/>
      <c r="AH578" s="267"/>
      <c r="AI578" s="267"/>
      <c r="AJ578" s="267"/>
      <c r="AK578" s="267"/>
      <c r="AL578" s="267"/>
      <c r="AM578" s="267"/>
      <c r="AN578" s="267"/>
      <c r="AO578" s="267"/>
      <c r="AP578" s="267"/>
      <c r="AQ578" s="267"/>
      <c r="AR578" s="267"/>
      <c r="AS578" s="267"/>
      <c r="AT578" s="267"/>
      <c r="AU578" s="267"/>
      <c r="AV578" s="267"/>
      <c r="AW578" s="267"/>
      <c r="AX578" s="267"/>
      <c r="AY578" s="267"/>
      <c r="AZ578" s="267"/>
      <c r="BA578" s="267"/>
      <c r="BB578" s="267"/>
      <c r="BC578" s="267"/>
      <c r="BD578" s="267"/>
      <c r="BE578" s="267"/>
      <c r="BF578" s="267"/>
      <c r="BG578" s="267"/>
      <c r="BH578" s="267"/>
      <c r="BI578" s="267"/>
      <c r="BJ578" s="267"/>
      <c r="BK578" s="267"/>
      <c r="BL578" s="267"/>
      <c r="BM578" s="267"/>
      <c r="BN578" s="267"/>
      <c r="BO578" s="267"/>
      <c r="BP578" s="267"/>
      <c r="BQ578" s="267"/>
      <c r="BR578" s="267"/>
      <c r="BS578" s="267"/>
      <c r="BT578" s="267"/>
      <c r="BU578" s="267"/>
      <c r="BV578" s="267"/>
      <c r="BW578" s="267"/>
      <c r="BX578" s="267"/>
      <c r="BY578" s="267"/>
      <c r="BZ578" s="267"/>
      <c r="CA578" s="267"/>
      <c r="CB578" s="267"/>
      <c r="CC578" s="267"/>
      <c r="CD578" s="267"/>
      <c r="CE578" s="267"/>
      <c r="CF578" s="267"/>
      <c r="CG578" s="267"/>
      <c r="CH578" s="267"/>
      <c r="CI578" s="267"/>
      <c r="CJ578" s="267"/>
      <c r="CK578" s="267"/>
      <c r="CL578" s="267"/>
      <c r="CM578" s="267"/>
      <c r="CN578" s="267"/>
      <c r="CO578" s="267"/>
      <c r="CP578" s="267"/>
      <c r="CQ578" s="267"/>
      <c r="CR578" s="267"/>
      <c r="CS578" s="267"/>
      <c r="CT578" s="267"/>
      <c r="CU578" s="267"/>
      <c r="CV578" s="267"/>
      <c r="CW578" s="267"/>
      <c r="CX578" s="267"/>
      <c r="CY578" s="267"/>
      <c r="CZ578" s="267"/>
    </row>
    <row r="579" spans="2:104">
      <c r="B579" s="1235"/>
      <c r="C579" s="1235"/>
      <c r="D579" s="1235"/>
      <c r="E579" s="267"/>
      <c r="F579" s="267"/>
      <c r="G579" s="267"/>
      <c r="H579" s="267"/>
      <c r="I579" s="267"/>
      <c r="J579" s="267"/>
      <c r="K579" s="267"/>
      <c r="L579" s="267"/>
      <c r="M579" s="267"/>
      <c r="N579" s="267"/>
      <c r="O579" s="267"/>
      <c r="P579" s="267"/>
      <c r="Q579" s="267"/>
      <c r="R579" s="267"/>
      <c r="S579" s="267"/>
      <c r="T579" s="267"/>
      <c r="U579" s="267"/>
      <c r="V579" s="267"/>
      <c r="W579" s="267"/>
      <c r="X579" s="267"/>
      <c r="Y579" s="267"/>
      <c r="Z579" s="267"/>
      <c r="AA579" s="267"/>
      <c r="AB579" s="267"/>
      <c r="AC579" s="267"/>
      <c r="AD579" s="267"/>
      <c r="AE579" s="267"/>
      <c r="AF579" s="267"/>
      <c r="AG579" s="267"/>
      <c r="AH579" s="267"/>
      <c r="AI579" s="267"/>
      <c r="AJ579" s="267"/>
      <c r="AK579" s="267"/>
      <c r="AL579" s="267"/>
      <c r="AM579" s="267"/>
      <c r="AN579" s="267"/>
      <c r="AO579" s="267"/>
      <c r="AP579" s="267"/>
      <c r="AQ579" s="267"/>
      <c r="AR579" s="267"/>
      <c r="AS579" s="267"/>
      <c r="AT579" s="267"/>
      <c r="AU579" s="267"/>
      <c r="AV579" s="267"/>
      <c r="AW579" s="267"/>
      <c r="AX579" s="267"/>
      <c r="AY579" s="267"/>
      <c r="AZ579" s="267"/>
      <c r="BA579" s="267"/>
      <c r="BB579" s="267"/>
      <c r="BC579" s="267"/>
      <c r="BD579" s="267"/>
      <c r="BE579" s="267"/>
      <c r="BF579" s="267"/>
      <c r="BG579" s="267"/>
      <c r="BH579" s="267"/>
      <c r="BI579" s="267"/>
      <c r="BJ579" s="267"/>
      <c r="BK579" s="267"/>
      <c r="BL579" s="267"/>
      <c r="BM579" s="267"/>
      <c r="BN579" s="267"/>
      <c r="BO579" s="267"/>
      <c r="BP579" s="267"/>
      <c r="BQ579" s="267"/>
      <c r="BR579" s="267"/>
      <c r="BS579" s="267"/>
      <c r="BT579" s="267"/>
      <c r="BU579" s="267"/>
      <c r="BV579" s="267"/>
      <c r="BW579" s="267"/>
      <c r="BX579" s="267"/>
      <c r="BY579" s="267"/>
      <c r="BZ579" s="267"/>
      <c r="CA579" s="267"/>
      <c r="CB579" s="267"/>
      <c r="CC579" s="267"/>
      <c r="CD579" s="267"/>
      <c r="CE579" s="267"/>
      <c r="CF579" s="267"/>
      <c r="CG579" s="267"/>
      <c r="CH579" s="267"/>
      <c r="CI579" s="267"/>
      <c r="CJ579" s="267"/>
      <c r="CK579" s="267"/>
      <c r="CL579" s="267"/>
      <c r="CM579" s="267"/>
      <c r="CN579" s="267"/>
      <c r="CO579" s="267"/>
      <c r="CP579" s="267"/>
      <c r="CQ579" s="267"/>
      <c r="CR579" s="267"/>
      <c r="CS579" s="267"/>
      <c r="CT579" s="267"/>
      <c r="CU579" s="267"/>
      <c r="CV579" s="267"/>
      <c r="CW579" s="267"/>
      <c r="CX579" s="267"/>
      <c r="CY579" s="267"/>
      <c r="CZ579" s="267"/>
    </row>
    <row r="580" spans="2:104">
      <c r="B580" s="1235"/>
      <c r="C580" s="1235"/>
      <c r="D580" s="1235"/>
      <c r="E580" s="267"/>
      <c r="F580" s="267"/>
      <c r="G580" s="267"/>
      <c r="H580" s="267"/>
      <c r="I580" s="267"/>
      <c r="J580" s="267"/>
      <c r="K580" s="267"/>
      <c r="L580" s="267"/>
      <c r="M580" s="267"/>
      <c r="N580" s="267"/>
      <c r="O580" s="267"/>
      <c r="P580" s="267"/>
      <c r="Q580" s="267"/>
      <c r="R580" s="267"/>
      <c r="S580" s="267"/>
      <c r="T580" s="267"/>
      <c r="U580" s="267"/>
      <c r="V580" s="267"/>
      <c r="W580" s="267"/>
      <c r="X580" s="267"/>
      <c r="Y580" s="267"/>
      <c r="Z580" s="267"/>
      <c r="AA580" s="267"/>
      <c r="AB580" s="267"/>
      <c r="AC580" s="267"/>
      <c r="AD580" s="267"/>
      <c r="AE580" s="267"/>
      <c r="AF580" s="267"/>
      <c r="AG580" s="267"/>
      <c r="AH580" s="267"/>
      <c r="AI580" s="267"/>
      <c r="AJ580" s="267"/>
      <c r="AK580" s="267"/>
      <c r="AL580" s="267"/>
      <c r="AM580" s="267"/>
      <c r="AN580" s="267"/>
      <c r="AO580" s="267"/>
      <c r="AP580" s="267"/>
      <c r="AQ580" s="267"/>
      <c r="AR580" s="267"/>
      <c r="AS580" s="267"/>
      <c r="AT580" s="267"/>
      <c r="AU580" s="267"/>
      <c r="AV580" s="267"/>
      <c r="AW580" s="267"/>
      <c r="AX580" s="267"/>
      <c r="AY580" s="267"/>
      <c r="AZ580" s="267"/>
      <c r="BA580" s="267"/>
      <c r="BB580" s="267"/>
      <c r="BC580" s="267"/>
      <c r="BD580" s="267"/>
      <c r="BE580" s="267"/>
      <c r="BF580" s="267"/>
      <c r="BG580" s="267"/>
      <c r="BH580" s="267"/>
      <c r="BI580" s="267"/>
      <c r="BJ580" s="267"/>
      <c r="BK580" s="267"/>
      <c r="BL580" s="267"/>
      <c r="BM580" s="267"/>
      <c r="BN580" s="267"/>
      <c r="BO580" s="267"/>
      <c r="BP580" s="267"/>
      <c r="BQ580" s="267"/>
      <c r="BR580" s="267"/>
      <c r="BS580" s="267"/>
      <c r="BT580" s="267"/>
      <c r="BU580" s="267"/>
      <c r="BV580" s="267"/>
      <c r="BW580" s="267"/>
      <c r="BX580" s="267"/>
      <c r="BY580" s="267"/>
      <c r="BZ580" s="267"/>
      <c r="CA580" s="267"/>
      <c r="CB580" s="267"/>
      <c r="CC580" s="267"/>
      <c r="CD580" s="267"/>
      <c r="CE580" s="267"/>
      <c r="CF580" s="267"/>
      <c r="CG580" s="267"/>
      <c r="CH580" s="267"/>
      <c r="CI580" s="267"/>
      <c r="CJ580" s="267"/>
      <c r="CK580" s="267"/>
      <c r="CL580" s="267"/>
      <c r="CM580" s="267"/>
      <c r="CN580" s="267"/>
      <c r="CO580" s="267"/>
      <c r="CP580" s="267"/>
      <c r="CQ580" s="267"/>
      <c r="CR580" s="267"/>
      <c r="CS580" s="267"/>
      <c r="CT580" s="267"/>
      <c r="CU580" s="267"/>
      <c r="CV580" s="267"/>
      <c r="CW580" s="267"/>
      <c r="CX580" s="267"/>
      <c r="CY580" s="267"/>
      <c r="CZ580" s="267"/>
    </row>
    <row r="581" spans="2:104">
      <c r="B581" s="1235"/>
      <c r="C581" s="1235"/>
      <c r="D581" s="1235"/>
      <c r="E581" s="267"/>
      <c r="F581" s="267"/>
      <c r="G581" s="267"/>
      <c r="H581" s="267"/>
      <c r="I581" s="267"/>
      <c r="J581" s="267"/>
      <c r="K581" s="267"/>
      <c r="L581" s="267"/>
      <c r="M581" s="267"/>
      <c r="N581" s="267"/>
      <c r="O581" s="267"/>
      <c r="P581" s="267"/>
      <c r="Q581" s="267"/>
      <c r="R581" s="267"/>
      <c r="S581" s="267"/>
      <c r="T581" s="267"/>
      <c r="U581" s="267"/>
      <c r="V581" s="267"/>
      <c r="W581" s="267"/>
      <c r="X581" s="267"/>
      <c r="Y581" s="267"/>
      <c r="Z581" s="267"/>
      <c r="AA581" s="267"/>
      <c r="AB581" s="267"/>
      <c r="AC581" s="267"/>
      <c r="AD581" s="267"/>
      <c r="AE581" s="267"/>
      <c r="AF581" s="267"/>
      <c r="AG581" s="267"/>
      <c r="AH581" s="267"/>
      <c r="AI581" s="267"/>
      <c r="AJ581" s="267"/>
      <c r="AK581" s="267"/>
      <c r="AL581" s="267"/>
      <c r="AM581" s="267"/>
      <c r="AN581" s="267"/>
      <c r="AO581" s="267"/>
      <c r="AP581" s="267"/>
      <c r="AQ581" s="267"/>
      <c r="AR581" s="267"/>
      <c r="AS581" s="267"/>
      <c r="AT581" s="267"/>
      <c r="AU581" s="267"/>
      <c r="AV581" s="267"/>
      <c r="AW581" s="267"/>
      <c r="AX581" s="267"/>
      <c r="AY581" s="267"/>
      <c r="AZ581" s="267"/>
      <c r="BA581" s="267"/>
      <c r="BB581" s="267"/>
      <c r="BC581" s="267"/>
      <c r="BD581" s="267"/>
      <c r="BE581" s="267"/>
      <c r="BF581" s="267"/>
      <c r="BG581" s="267"/>
      <c r="BH581" s="267"/>
      <c r="BI581" s="267"/>
      <c r="BJ581" s="267"/>
      <c r="BK581" s="267"/>
      <c r="BL581" s="267"/>
      <c r="BM581" s="267"/>
      <c r="BN581" s="267"/>
      <c r="BO581" s="267"/>
      <c r="BP581" s="267"/>
      <c r="BQ581" s="267"/>
      <c r="BR581" s="267"/>
      <c r="BS581" s="267"/>
      <c r="BT581" s="267"/>
      <c r="BU581" s="267"/>
      <c r="BV581" s="267"/>
      <c r="BW581" s="267"/>
      <c r="BX581" s="267"/>
      <c r="BY581" s="267"/>
      <c r="BZ581" s="267"/>
      <c r="CA581" s="267"/>
      <c r="CB581" s="267"/>
      <c r="CC581" s="267"/>
      <c r="CD581" s="267"/>
      <c r="CE581" s="267"/>
      <c r="CF581" s="267"/>
      <c r="CG581" s="267"/>
      <c r="CH581" s="267"/>
      <c r="CI581" s="267"/>
      <c r="CJ581" s="267"/>
      <c r="CK581" s="267"/>
      <c r="CL581" s="267"/>
      <c r="CM581" s="267"/>
      <c r="CN581" s="267"/>
      <c r="CO581" s="267"/>
      <c r="CP581" s="267"/>
      <c r="CQ581" s="267"/>
      <c r="CR581" s="267"/>
      <c r="CS581" s="267"/>
      <c r="CT581" s="267"/>
      <c r="CU581" s="267"/>
      <c r="CV581" s="267"/>
      <c r="CW581" s="267"/>
      <c r="CX581" s="267"/>
      <c r="CY581" s="267"/>
      <c r="CZ581" s="267"/>
    </row>
    <row r="582" spans="2:104">
      <c r="B582" s="1235"/>
      <c r="C582" s="1235"/>
      <c r="D582" s="1235"/>
      <c r="E582" s="267"/>
      <c r="F582" s="267"/>
      <c r="G582" s="267"/>
      <c r="H582" s="267"/>
      <c r="I582" s="267"/>
      <c r="J582" s="267"/>
      <c r="K582" s="267"/>
      <c r="L582" s="267"/>
      <c r="M582" s="267"/>
      <c r="N582" s="267"/>
      <c r="O582" s="267"/>
      <c r="P582" s="267"/>
      <c r="Q582" s="267"/>
      <c r="R582" s="267"/>
      <c r="S582" s="267"/>
      <c r="T582" s="267"/>
      <c r="U582" s="267"/>
      <c r="V582" s="267"/>
      <c r="W582" s="267"/>
      <c r="X582" s="267"/>
      <c r="Y582" s="267"/>
      <c r="Z582" s="267"/>
      <c r="AA582" s="267"/>
      <c r="AB582" s="267"/>
      <c r="AC582" s="267"/>
      <c r="AD582" s="267"/>
      <c r="AE582" s="267"/>
      <c r="AF582" s="267"/>
      <c r="AG582" s="267"/>
      <c r="AH582" s="267"/>
      <c r="AI582" s="267"/>
      <c r="AJ582" s="267"/>
      <c r="AK582" s="267"/>
      <c r="AL582" s="267"/>
      <c r="AM582" s="267"/>
      <c r="AN582" s="267"/>
      <c r="AO582" s="267"/>
      <c r="AP582" s="267"/>
      <c r="AQ582" s="267"/>
      <c r="AR582" s="267"/>
      <c r="AS582" s="267"/>
      <c r="AT582" s="267"/>
      <c r="AU582" s="267"/>
      <c r="AV582" s="267"/>
      <c r="AW582" s="267"/>
      <c r="AX582" s="267"/>
      <c r="AY582" s="267"/>
      <c r="AZ582" s="267"/>
      <c r="BA582" s="267"/>
      <c r="BB582" s="267"/>
      <c r="BC582" s="267"/>
      <c r="BD582" s="267"/>
      <c r="BE582" s="267"/>
      <c r="BF582" s="267"/>
      <c r="BG582" s="267"/>
      <c r="BH582" s="267"/>
      <c r="BI582" s="267"/>
      <c r="BJ582" s="267"/>
      <c r="BK582" s="267"/>
      <c r="BL582" s="267"/>
      <c r="BM582" s="267"/>
      <c r="BN582" s="267"/>
      <c r="BO582" s="267"/>
      <c r="BP582" s="267"/>
      <c r="BQ582" s="267"/>
      <c r="BR582" s="267"/>
      <c r="BS582" s="267"/>
      <c r="BT582" s="267"/>
      <c r="BU582" s="267"/>
      <c r="BV582" s="267"/>
      <c r="BW582" s="267"/>
      <c r="BX582" s="267"/>
      <c r="BY582" s="267"/>
      <c r="BZ582" s="267"/>
      <c r="CA582" s="267"/>
      <c r="CB582" s="267"/>
      <c r="CC582" s="267"/>
      <c r="CD582" s="267"/>
      <c r="CE582" s="267"/>
      <c r="CF582" s="267"/>
      <c r="CG582" s="267"/>
      <c r="CH582" s="267"/>
      <c r="CI582" s="267"/>
      <c r="CJ582" s="267"/>
      <c r="CK582" s="267"/>
      <c r="CL582" s="267"/>
      <c r="CM582" s="267"/>
      <c r="CN582" s="267"/>
      <c r="CO582" s="267"/>
      <c r="CP582" s="267"/>
      <c r="CQ582" s="267"/>
      <c r="CR582" s="267"/>
      <c r="CS582" s="267"/>
      <c r="CT582" s="267"/>
      <c r="CU582" s="267"/>
      <c r="CV582" s="267"/>
      <c r="CW582" s="267"/>
      <c r="CX582" s="267"/>
      <c r="CY582" s="267"/>
      <c r="CZ582" s="267"/>
    </row>
    <row r="583" spans="2:104">
      <c r="B583" s="1235"/>
      <c r="C583" s="1235"/>
      <c r="D583" s="1235"/>
      <c r="E583" s="267"/>
      <c r="F583" s="267"/>
      <c r="G583" s="267"/>
      <c r="H583" s="267"/>
      <c r="I583" s="267"/>
      <c r="J583" s="267"/>
      <c r="K583" s="267"/>
      <c r="L583" s="267"/>
      <c r="M583" s="267"/>
      <c r="N583" s="267"/>
      <c r="O583" s="267"/>
      <c r="P583" s="267"/>
      <c r="Q583" s="267"/>
      <c r="R583" s="267"/>
      <c r="S583" s="267"/>
      <c r="T583" s="267"/>
      <c r="U583" s="267"/>
      <c r="V583" s="267"/>
      <c r="W583" s="267"/>
      <c r="X583" s="267"/>
      <c r="Y583" s="267"/>
      <c r="Z583" s="267"/>
      <c r="AA583" s="267"/>
      <c r="AB583" s="267"/>
      <c r="AC583" s="267"/>
      <c r="AD583" s="267"/>
      <c r="AE583" s="267"/>
      <c r="AF583" s="267"/>
      <c r="AG583" s="267"/>
      <c r="AH583" s="267"/>
      <c r="AI583" s="267"/>
      <c r="AJ583" s="267"/>
      <c r="AK583" s="267"/>
      <c r="AL583" s="267"/>
      <c r="AM583" s="267"/>
      <c r="AN583" s="267"/>
      <c r="AO583" s="267"/>
      <c r="AP583" s="267"/>
      <c r="AQ583" s="267"/>
      <c r="AR583" s="267"/>
      <c r="AS583" s="267"/>
      <c r="AT583" s="267"/>
      <c r="AU583" s="267"/>
      <c r="AV583" s="267"/>
      <c r="AW583" s="267"/>
      <c r="AX583" s="267"/>
      <c r="AY583" s="267"/>
      <c r="AZ583" s="267"/>
      <c r="BA583" s="267"/>
      <c r="BB583" s="267"/>
      <c r="BC583" s="267"/>
      <c r="BD583" s="267"/>
      <c r="BE583" s="267"/>
      <c r="BF583" s="267"/>
      <c r="BG583" s="267"/>
      <c r="BH583" s="267"/>
      <c r="BI583" s="267"/>
      <c r="BJ583" s="267"/>
      <c r="BK583" s="267"/>
      <c r="BL583" s="267"/>
      <c r="BM583" s="267"/>
      <c r="BN583" s="267"/>
      <c r="BO583" s="267"/>
      <c r="BP583" s="267"/>
      <c r="BQ583" s="267"/>
      <c r="BR583" s="267"/>
      <c r="BS583" s="267"/>
      <c r="BT583" s="267"/>
      <c r="BU583" s="267"/>
      <c r="BV583" s="267"/>
      <c r="BW583" s="267"/>
      <c r="BX583" s="267"/>
      <c r="BY583" s="267"/>
      <c r="BZ583" s="267"/>
      <c r="CA583" s="267"/>
      <c r="CB583" s="267"/>
      <c r="CC583" s="267"/>
      <c r="CD583" s="267"/>
      <c r="CE583" s="267"/>
      <c r="CF583" s="267"/>
      <c r="CG583" s="267"/>
      <c r="CH583" s="267"/>
      <c r="CI583" s="267"/>
      <c r="CJ583" s="267"/>
      <c r="CK583" s="267"/>
      <c r="CL583" s="267"/>
      <c r="CM583" s="267"/>
      <c r="CN583" s="267"/>
      <c r="CO583" s="267"/>
      <c r="CP583" s="267"/>
      <c r="CQ583" s="267"/>
      <c r="CR583" s="267"/>
      <c r="CS583" s="267"/>
      <c r="CT583" s="267"/>
      <c r="CU583" s="267"/>
      <c r="CV583" s="267"/>
      <c r="CW583" s="267"/>
      <c r="CX583" s="267"/>
      <c r="CY583" s="267"/>
      <c r="CZ583" s="267"/>
    </row>
    <row r="584" spans="2:104">
      <c r="B584" s="1235"/>
      <c r="C584" s="1235"/>
      <c r="D584" s="1235"/>
      <c r="E584" s="267"/>
      <c r="F584" s="267"/>
      <c r="G584" s="267"/>
      <c r="H584" s="267"/>
      <c r="I584" s="267"/>
      <c r="J584" s="267"/>
      <c r="K584" s="267"/>
      <c r="L584" s="267"/>
      <c r="M584" s="267"/>
      <c r="N584" s="267"/>
      <c r="O584" s="267"/>
      <c r="P584" s="267"/>
      <c r="Q584" s="267"/>
      <c r="R584" s="267"/>
      <c r="S584" s="267"/>
      <c r="T584" s="267"/>
      <c r="U584" s="267"/>
      <c r="V584" s="267"/>
      <c r="W584" s="267"/>
      <c r="X584" s="267"/>
      <c r="Y584" s="267"/>
      <c r="Z584" s="267"/>
      <c r="AA584" s="267"/>
      <c r="AB584" s="267"/>
      <c r="AC584" s="267"/>
      <c r="AD584" s="267"/>
      <c r="AE584" s="267"/>
      <c r="AF584" s="267"/>
      <c r="AG584" s="267"/>
      <c r="AH584" s="267"/>
      <c r="AI584" s="267"/>
      <c r="AJ584" s="267"/>
      <c r="AK584" s="267"/>
      <c r="AL584" s="267"/>
      <c r="AM584" s="267"/>
      <c r="AN584" s="267"/>
      <c r="AO584" s="267"/>
      <c r="AP584" s="267"/>
      <c r="AQ584" s="267"/>
      <c r="AR584" s="267"/>
      <c r="AS584" s="267"/>
      <c r="AT584" s="267"/>
      <c r="AU584" s="267"/>
      <c r="AV584" s="267"/>
      <c r="AW584" s="267"/>
      <c r="AX584" s="267"/>
      <c r="AY584" s="267"/>
      <c r="AZ584" s="267"/>
      <c r="BA584" s="267"/>
      <c r="BB584" s="267"/>
      <c r="BC584" s="267"/>
      <c r="BD584" s="267"/>
      <c r="BE584" s="267"/>
      <c r="BF584" s="267"/>
      <c r="BG584" s="267"/>
      <c r="BH584" s="267"/>
      <c r="BI584" s="267"/>
      <c r="BJ584" s="267"/>
      <c r="BK584" s="267"/>
      <c r="BL584" s="267"/>
      <c r="BM584" s="267"/>
      <c r="BN584" s="267"/>
      <c r="BO584" s="267"/>
      <c r="BP584" s="267"/>
      <c r="BQ584" s="267"/>
      <c r="BR584" s="267"/>
      <c r="BS584" s="267"/>
      <c r="BT584" s="267"/>
      <c r="BU584" s="267"/>
      <c r="BV584" s="267"/>
      <c r="BW584" s="267"/>
      <c r="BX584" s="267"/>
      <c r="BY584" s="267"/>
      <c r="BZ584" s="267"/>
      <c r="CA584" s="267"/>
      <c r="CB584" s="267"/>
      <c r="CC584" s="267"/>
      <c r="CD584" s="267"/>
      <c r="CE584" s="267"/>
      <c r="CF584" s="267"/>
      <c r="CG584" s="267"/>
      <c r="CH584" s="267"/>
      <c r="CI584" s="267"/>
      <c r="CJ584" s="267"/>
      <c r="CK584" s="267"/>
      <c r="CL584" s="267"/>
      <c r="CM584" s="267"/>
      <c r="CN584" s="267"/>
      <c r="CO584" s="267"/>
      <c r="CP584" s="267"/>
      <c r="CQ584" s="267"/>
      <c r="CR584" s="267"/>
      <c r="CS584" s="267"/>
      <c r="CT584" s="267"/>
      <c r="CU584" s="267"/>
      <c r="CV584" s="267"/>
      <c r="CW584" s="267"/>
      <c r="CX584" s="267"/>
      <c r="CY584" s="267"/>
      <c r="CZ584" s="267"/>
    </row>
    <row r="585" spans="2:104">
      <c r="B585" s="1235"/>
      <c r="C585" s="1235"/>
      <c r="D585" s="1235"/>
      <c r="E585" s="267"/>
      <c r="F585" s="267"/>
      <c r="G585" s="267"/>
      <c r="H585" s="267"/>
      <c r="I585" s="267"/>
      <c r="J585" s="267"/>
      <c r="K585" s="267"/>
      <c r="L585" s="267"/>
      <c r="M585" s="267"/>
      <c r="N585" s="267"/>
      <c r="O585" s="267"/>
      <c r="P585" s="267"/>
      <c r="Q585" s="267"/>
      <c r="R585" s="267"/>
      <c r="S585" s="267"/>
      <c r="T585" s="267"/>
      <c r="U585" s="267"/>
      <c r="V585" s="267"/>
      <c r="W585" s="267"/>
      <c r="X585" s="267"/>
      <c r="Y585" s="267"/>
      <c r="Z585" s="267"/>
      <c r="AA585" s="267"/>
      <c r="AB585" s="267"/>
      <c r="AC585" s="267"/>
      <c r="AD585" s="267"/>
      <c r="AE585" s="267"/>
      <c r="AF585" s="267"/>
      <c r="AG585" s="267"/>
      <c r="AH585" s="267"/>
      <c r="AI585" s="267"/>
      <c r="AJ585" s="267"/>
      <c r="AK585" s="267"/>
      <c r="AL585" s="267"/>
      <c r="AM585" s="267"/>
      <c r="AN585" s="267"/>
      <c r="AO585" s="267"/>
      <c r="AP585" s="267"/>
      <c r="AQ585" s="267"/>
      <c r="AR585" s="267"/>
      <c r="AS585" s="267"/>
      <c r="AT585" s="267"/>
      <c r="AU585" s="267"/>
      <c r="AV585" s="267"/>
      <c r="AW585" s="267"/>
      <c r="AX585" s="267"/>
      <c r="AY585" s="267"/>
      <c r="AZ585" s="267"/>
      <c r="BA585" s="267"/>
      <c r="BB585" s="267"/>
      <c r="BC585" s="267"/>
      <c r="BD585" s="267"/>
      <c r="BE585" s="267"/>
      <c r="BF585" s="267"/>
      <c r="BG585" s="267"/>
      <c r="BH585" s="267"/>
      <c r="BI585" s="267"/>
      <c r="BJ585" s="267"/>
      <c r="BK585" s="267"/>
      <c r="BL585" s="267"/>
      <c r="BM585" s="267"/>
      <c r="BN585" s="267"/>
      <c r="BO585" s="267"/>
      <c r="BP585" s="267"/>
      <c r="BQ585" s="267"/>
      <c r="BR585" s="267"/>
      <c r="BS585" s="267"/>
      <c r="BT585" s="267"/>
      <c r="BU585" s="267"/>
      <c r="BV585" s="267"/>
      <c r="BW585" s="267"/>
      <c r="BX585" s="267"/>
      <c r="BY585" s="267"/>
      <c r="BZ585" s="267"/>
      <c r="CA585" s="267"/>
      <c r="CB585" s="267"/>
      <c r="CC585" s="267"/>
      <c r="CD585" s="267"/>
      <c r="CE585" s="267"/>
      <c r="CF585" s="267"/>
      <c r="CG585" s="267"/>
      <c r="CH585" s="267"/>
      <c r="CI585" s="267"/>
      <c r="CJ585" s="267"/>
      <c r="CK585" s="267"/>
      <c r="CL585" s="267"/>
      <c r="CM585" s="267"/>
      <c r="CN585" s="267"/>
      <c r="CO585" s="267"/>
      <c r="CP585" s="267"/>
      <c r="CQ585" s="267"/>
      <c r="CR585" s="267"/>
      <c r="CS585" s="267"/>
      <c r="CT585" s="267"/>
      <c r="CU585" s="267"/>
      <c r="CV585" s="267"/>
      <c r="CW585" s="267"/>
      <c r="CX585" s="267"/>
      <c r="CY585" s="267"/>
      <c r="CZ585" s="267"/>
    </row>
    <row r="586" spans="2:104">
      <c r="B586" s="1235"/>
      <c r="C586" s="1235"/>
      <c r="D586" s="1235"/>
      <c r="E586" s="267"/>
      <c r="F586" s="267"/>
      <c r="G586" s="267"/>
      <c r="H586" s="267"/>
      <c r="I586" s="267"/>
      <c r="J586" s="267"/>
      <c r="K586" s="267"/>
      <c r="L586" s="267"/>
      <c r="M586" s="267"/>
      <c r="N586" s="267"/>
      <c r="O586" s="267"/>
      <c r="P586" s="267"/>
      <c r="Q586" s="267"/>
      <c r="R586" s="267"/>
      <c r="S586" s="267"/>
      <c r="T586" s="267"/>
      <c r="U586" s="267"/>
      <c r="V586" s="267"/>
      <c r="W586" s="267"/>
      <c r="X586" s="267"/>
      <c r="Y586" s="267"/>
      <c r="Z586" s="267"/>
      <c r="AA586" s="267"/>
      <c r="AB586" s="267"/>
      <c r="AC586" s="267"/>
      <c r="AD586" s="267"/>
      <c r="AE586" s="267"/>
      <c r="AF586" s="267"/>
      <c r="AG586" s="267"/>
      <c r="AH586" s="267"/>
      <c r="AI586" s="267"/>
      <c r="AJ586" s="267"/>
      <c r="AK586" s="267"/>
      <c r="AL586" s="267"/>
      <c r="AM586" s="267"/>
      <c r="AN586" s="267"/>
      <c r="AO586" s="267"/>
      <c r="AP586" s="267"/>
      <c r="AQ586" s="267"/>
      <c r="AR586" s="267"/>
      <c r="AS586" s="267"/>
      <c r="AT586" s="267"/>
      <c r="AU586" s="267"/>
      <c r="AV586" s="267"/>
      <c r="AW586" s="267"/>
      <c r="AX586" s="267"/>
      <c r="AY586" s="267"/>
      <c r="AZ586" s="267"/>
      <c r="BA586" s="267"/>
      <c r="BB586" s="267"/>
      <c r="BC586" s="267"/>
      <c r="BD586" s="267"/>
      <c r="BE586" s="267"/>
      <c r="BF586" s="267"/>
      <c r="BG586" s="267"/>
      <c r="BH586" s="267"/>
      <c r="BI586" s="267"/>
      <c r="BJ586" s="267"/>
      <c r="BK586" s="267"/>
      <c r="BL586" s="267"/>
      <c r="BM586" s="267"/>
      <c r="BN586" s="267"/>
      <c r="BO586" s="267"/>
      <c r="BP586" s="267"/>
      <c r="BQ586" s="267"/>
      <c r="BR586" s="267"/>
      <c r="BS586" s="267"/>
      <c r="BT586" s="267"/>
      <c r="BU586" s="267"/>
      <c r="BV586" s="267"/>
      <c r="BW586" s="267"/>
      <c r="BX586" s="267"/>
      <c r="BY586" s="267"/>
      <c r="BZ586" s="267"/>
      <c r="CA586" s="267"/>
      <c r="CB586" s="267"/>
      <c r="CC586" s="267"/>
      <c r="CD586" s="267"/>
      <c r="CE586" s="267"/>
      <c r="CF586" s="267"/>
      <c r="CG586" s="267"/>
      <c r="CH586" s="267"/>
      <c r="CI586" s="267"/>
      <c r="CJ586" s="267"/>
      <c r="CK586" s="267"/>
      <c r="CL586" s="267"/>
      <c r="CM586" s="267"/>
      <c r="CN586" s="267"/>
      <c r="CO586" s="267"/>
      <c r="CP586" s="267"/>
      <c r="CQ586" s="267"/>
      <c r="CR586" s="267"/>
      <c r="CS586" s="267"/>
      <c r="CT586" s="267"/>
      <c r="CU586" s="267"/>
      <c r="CV586" s="267"/>
      <c r="CW586" s="267"/>
      <c r="CX586" s="267"/>
      <c r="CY586" s="267"/>
      <c r="CZ586" s="267"/>
    </row>
    <row r="587" spans="2:104">
      <c r="B587" s="1235"/>
      <c r="C587" s="1235"/>
      <c r="D587" s="1235"/>
      <c r="E587" s="267"/>
      <c r="F587" s="267"/>
      <c r="G587" s="267"/>
      <c r="H587" s="267"/>
      <c r="I587" s="267"/>
      <c r="J587" s="267"/>
      <c r="K587" s="267"/>
      <c r="L587" s="267"/>
      <c r="M587" s="267"/>
      <c r="N587" s="267"/>
      <c r="O587" s="267"/>
      <c r="P587" s="267"/>
      <c r="Q587" s="267"/>
      <c r="R587" s="267"/>
      <c r="S587" s="267"/>
      <c r="T587" s="267"/>
      <c r="U587" s="267"/>
      <c r="V587" s="267"/>
      <c r="W587" s="267"/>
      <c r="X587" s="267"/>
      <c r="Y587" s="267"/>
      <c r="Z587" s="267"/>
      <c r="AA587" s="267"/>
      <c r="AB587" s="267"/>
      <c r="AC587" s="267"/>
      <c r="AD587" s="267"/>
      <c r="AE587" s="267"/>
      <c r="AF587" s="267"/>
      <c r="AG587" s="267"/>
      <c r="AH587" s="267"/>
      <c r="AI587" s="267"/>
      <c r="AJ587" s="267"/>
      <c r="AK587" s="267"/>
      <c r="AL587" s="267"/>
      <c r="AM587" s="267"/>
      <c r="AN587" s="267"/>
      <c r="AO587" s="267"/>
      <c r="AP587" s="267"/>
      <c r="AQ587" s="267"/>
      <c r="AR587" s="267"/>
      <c r="AS587" s="267"/>
      <c r="AT587" s="267"/>
      <c r="AU587" s="267"/>
      <c r="AV587" s="267"/>
      <c r="AW587" s="267"/>
      <c r="AX587" s="267"/>
      <c r="AY587" s="267"/>
      <c r="AZ587" s="267"/>
      <c r="BA587" s="267"/>
      <c r="BB587" s="267"/>
      <c r="BC587" s="267"/>
      <c r="BD587" s="267"/>
      <c r="BE587" s="267"/>
      <c r="BF587" s="267"/>
      <c r="BG587" s="267"/>
      <c r="BH587" s="267"/>
      <c r="BI587" s="267"/>
      <c r="BJ587" s="267"/>
      <c r="BK587" s="267"/>
      <c r="BL587" s="267"/>
      <c r="BM587" s="267"/>
      <c r="BN587" s="267"/>
      <c r="BO587" s="267"/>
      <c r="BP587" s="267"/>
      <c r="BQ587" s="267"/>
      <c r="BR587" s="267"/>
      <c r="BS587" s="267"/>
      <c r="BT587" s="267"/>
      <c r="BU587" s="267"/>
      <c r="BV587" s="267"/>
      <c r="BW587" s="267"/>
      <c r="BX587" s="267"/>
      <c r="BY587" s="267"/>
      <c r="BZ587" s="267"/>
      <c r="CA587" s="267"/>
      <c r="CB587" s="267"/>
      <c r="CC587" s="267"/>
      <c r="CD587" s="267"/>
      <c r="CE587" s="267"/>
      <c r="CF587" s="267"/>
      <c r="CG587" s="267"/>
      <c r="CH587" s="267"/>
      <c r="CI587" s="267"/>
      <c r="CJ587" s="267"/>
      <c r="CK587" s="267"/>
      <c r="CL587" s="267"/>
      <c r="CM587" s="267"/>
      <c r="CN587" s="267"/>
      <c r="CO587" s="267"/>
      <c r="CP587" s="267"/>
      <c r="CQ587" s="267"/>
      <c r="CR587" s="267"/>
      <c r="CS587" s="267"/>
      <c r="CT587" s="267"/>
      <c r="CU587" s="267"/>
      <c r="CV587" s="267"/>
      <c r="CW587" s="267"/>
      <c r="CX587" s="267"/>
      <c r="CY587" s="267"/>
      <c r="CZ587" s="267"/>
    </row>
    <row r="588" spans="2:104">
      <c r="B588" s="1235"/>
      <c r="C588" s="1235"/>
      <c r="D588" s="1235"/>
      <c r="E588" s="267"/>
      <c r="F588" s="267"/>
      <c r="G588" s="267"/>
      <c r="H588" s="267"/>
      <c r="I588" s="267"/>
      <c r="J588" s="267"/>
      <c r="K588" s="267"/>
      <c r="L588" s="267"/>
      <c r="M588" s="267"/>
      <c r="N588" s="267"/>
      <c r="O588" s="267"/>
      <c r="P588" s="267"/>
      <c r="Q588" s="267"/>
      <c r="R588" s="267"/>
      <c r="S588" s="267"/>
      <c r="T588" s="267"/>
      <c r="U588" s="267"/>
      <c r="V588" s="267"/>
      <c r="W588" s="267"/>
      <c r="X588" s="267"/>
      <c r="Y588" s="267"/>
      <c r="Z588" s="267"/>
      <c r="AA588" s="267"/>
      <c r="AB588" s="267"/>
      <c r="AC588" s="267"/>
      <c r="AD588" s="267"/>
      <c r="AE588" s="267"/>
      <c r="AF588" s="267"/>
      <c r="AG588" s="267"/>
      <c r="AH588" s="267"/>
      <c r="AI588" s="267"/>
      <c r="AJ588" s="267"/>
      <c r="AK588" s="267"/>
      <c r="AL588" s="267"/>
      <c r="AM588" s="267"/>
      <c r="AN588" s="267"/>
      <c r="AO588" s="267"/>
      <c r="AP588" s="267"/>
      <c r="AQ588" s="267"/>
      <c r="AR588" s="267"/>
      <c r="AS588" s="267"/>
      <c r="AT588" s="267"/>
      <c r="AU588" s="267"/>
      <c r="AV588" s="267"/>
      <c r="AW588" s="267"/>
      <c r="AX588" s="267"/>
      <c r="AY588" s="267"/>
      <c r="AZ588" s="267"/>
      <c r="BA588" s="267"/>
      <c r="BB588" s="267"/>
      <c r="BC588" s="267"/>
      <c r="BD588" s="267"/>
      <c r="BE588" s="267"/>
      <c r="BF588" s="267"/>
      <c r="BG588" s="267"/>
      <c r="BH588" s="267"/>
      <c r="BI588" s="267"/>
      <c r="BJ588" s="267"/>
      <c r="BK588" s="267"/>
      <c r="BL588" s="267"/>
      <c r="BM588" s="267"/>
      <c r="BN588" s="267"/>
      <c r="BO588" s="267"/>
      <c r="BP588" s="267"/>
      <c r="BQ588" s="267"/>
      <c r="BR588" s="267"/>
      <c r="BS588" s="267"/>
      <c r="BT588" s="267"/>
      <c r="BU588" s="267"/>
      <c r="BV588" s="267"/>
      <c r="BW588" s="267"/>
      <c r="BX588" s="267"/>
      <c r="BY588" s="267"/>
      <c r="BZ588" s="267"/>
      <c r="CA588" s="267"/>
      <c r="CB588" s="267"/>
      <c r="CC588" s="267"/>
      <c r="CD588" s="267"/>
      <c r="CE588" s="267"/>
      <c r="CF588" s="267"/>
      <c r="CG588" s="267"/>
      <c r="CH588" s="267"/>
      <c r="CI588" s="267"/>
      <c r="CJ588" s="267"/>
      <c r="CK588" s="267"/>
      <c r="CL588" s="267"/>
      <c r="CM588" s="267"/>
      <c r="CN588" s="267"/>
      <c r="CO588" s="267"/>
      <c r="CP588" s="267"/>
      <c r="CQ588" s="267"/>
      <c r="CR588" s="267"/>
      <c r="CS588" s="267"/>
      <c r="CT588" s="267"/>
      <c r="CU588" s="267"/>
      <c r="CV588" s="267"/>
      <c r="CW588" s="267"/>
      <c r="CX588" s="267"/>
      <c r="CY588" s="267"/>
      <c r="CZ588" s="267"/>
    </row>
    <row r="589" spans="2:104">
      <c r="B589" s="1235"/>
      <c r="C589" s="1235"/>
      <c r="D589" s="1235"/>
      <c r="E589" s="267"/>
      <c r="F589" s="267"/>
      <c r="G589" s="267"/>
      <c r="H589" s="267"/>
      <c r="I589" s="267"/>
      <c r="J589" s="267"/>
      <c r="K589" s="267"/>
      <c r="L589" s="267"/>
      <c r="M589" s="267"/>
      <c r="N589" s="267"/>
      <c r="O589" s="267"/>
      <c r="P589" s="267"/>
      <c r="Q589" s="267"/>
      <c r="R589" s="267"/>
      <c r="S589" s="267"/>
      <c r="T589" s="267"/>
      <c r="U589" s="267"/>
      <c r="V589" s="267"/>
      <c r="W589" s="267"/>
      <c r="X589" s="267"/>
      <c r="Y589" s="267"/>
      <c r="Z589" s="267"/>
      <c r="AA589" s="267"/>
      <c r="AB589" s="267"/>
      <c r="AC589" s="267"/>
      <c r="AD589" s="267"/>
      <c r="AE589" s="267"/>
      <c r="AF589" s="267"/>
      <c r="AG589" s="267"/>
      <c r="AH589" s="267"/>
      <c r="AI589" s="267"/>
      <c r="AJ589" s="267"/>
      <c r="AK589" s="267"/>
      <c r="AL589" s="267"/>
      <c r="AM589" s="267"/>
      <c r="AN589" s="267"/>
      <c r="AO589" s="267"/>
      <c r="AP589" s="267"/>
      <c r="AQ589" s="267"/>
      <c r="AR589" s="267"/>
      <c r="AS589" s="267"/>
      <c r="AT589" s="267"/>
      <c r="AU589" s="267"/>
      <c r="AV589" s="267"/>
      <c r="AW589" s="267"/>
      <c r="AX589" s="267"/>
      <c r="AY589" s="267"/>
      <c r="AZ589" s="267"/>
      <c r="BA589" s="267"/>
      <c r="BB589" s="267"/>
      <c r="BC589" s="267"/>
      <c r="BD589" s="267"/>
      <c r="BE589" s="267"/>
      <c r="BF589" s="267"/>
      <c r="BG589" s="267"/>
      <c r="BH589" s="267"/>
      <c r="BI589" s="267"/>
      <c r="BJ589" s="267"/>
      <c r="BK589" s="267"/>
      <c r="BL589" s="267"/>
      <c r="BM589" s="267"/>
      <c r="BN589" s="267"/>
      <c r="BO589" s="267"/>
      <c r="BP589" s="267"/>
      <c r="BQ589" s="267"/>
      <c r="BR589" s="267"/>
      <c r="BS589" s="267"/>
      <c r="BT589" s="267"/>
      <c r="BU589" s="267"/>
      <c r="BV589" s="267"/>
      <c r="BW589" s="267"/>
      <c r="BX589" s="267"/>
      <c r="BY589" s="267"/>
      <c r="BZ589" s="267"/>
      <c r="CA589" s="267"/>
      <c r="CB589" s="267"/>
      <c r="CC589" s="267"/>
      <c r="CD589" s="267"/>
      <c r="CE589" s="267"/>
      <c r="CF589" s="267"/>
      <c r="CG589" s="267"/>
      <c r="CH589" s="267"/>
      <c r="CI589" s="267"/>
      <c r="CJ589" s="267"/>
      <c r="CK589" s="267"/>
      <c r="CL589" s="267"/>
      <c r="CM589" s="267"/>
      <c r="CN589" s="267"/>
      <c r="CO589" s="267"/>
      <c r="CP589" s="267"/>
      <c r="CQ589" s="267"/>
      <c r="CR589" s="267"/>
      <c r="CS589" s="267"/>
      <c r="CT589" s="267"/>
      <c r="CU589" s="267"/>
      <c r="CV589" s="267"/>
      <c r="CW589" s="267"/>
      <c r="CX589" s="267"/>
      <c r="CY589" s="267"/>
      <c r="CZ589" s="267"/>
    </row>
    <row r="590" spans="2:104">
      <c r="B590" s="1235"/>
      <c r="C590" s="1235"/>
      <c r="D590" s="1235"/>
      <c r="E590" s="267"/>
      <c r="F590" s="267"/>
      <c r="G590" s="267"/>
      <c r="H590" s="267"/>
      <c r="I590" s="267"/>
      <c r="J590" s="267"/>
      <c r="K590" s="267"/>
      <c r="L590" s="267"/>
      <c r="M590" s="267"/>
      <c r="N590" s="267"/>
      <c r="O590" s="267"/>
      <c r="P590" s="267"/>
      <c r="Q590" s="267"/>
      <c r="R590" s="267"/>
      <c r="S590" s="267"/>
      <c r="T590" s="267"/>
      <c r="U590" s="267"/>
      <c r="V590" s="267"/>
      <c r="W590" s="267"/>
      <c r="X590" s="267"/>
      <c r="Y590" s="267"/>
      <c r="Z590" s="267"/>
      <c r="AA590" s="267"/>
      <c r="AB590" s="267"/>
      <c r="AC590" s="267"/>
      <c r="AD590" s="267"/>
      <c r="AE590" s="267"/>
      <c r="AF590" s="267"/>
      <c r="AG590" s="267"/>
      <c r="AH590" s="267"/>
      <c r="AI590" s="267"/>
      <c r="AJ590" s="267"/>
      <c r="AK590" s="267"/>
      <c r="AL590" s="267"/>
      <c r="AM590" s="267"/>
      <c r="AN590" s="267"/>
      <c r="AO590" s="267"/>
      <c r="AP590" s="267"/>
      <c r="AQ590" s="267"/>
      <c r="AR590" s="267"/>
      <c r="AS590" s="267"/>
      <c r="AT590" s="267"/>
      <c r="AU590" s="267"/>
      <c r="AV590" s="267"/>
      <c r="AW590" s="267"/>
      <c r="AX590" s="267"/>
      <c r="AY590" s="267"/>
      <c r="AZ590" s="267"/>
      <c r="BA590" s="267"/>
      <c r="BB590" s="267"/>
      <c r="BC590" s="267"/>
      <c r="BD590" s="267"/>
      <c r="BE590" s="267"/>
      <c r="BF590" s="267"/>
      <c r="BG590" s="267"/>
      <c r="BH590" s="267"/>
      <c r="BI590" s="267"/>
      <c r="BJ590" s="267"/>
      <c r="BK590" s="267"/>
      <c r="BL590" s="267"/>
      <c r="BM590" s="267"/>
      <c r="BN590" s="267"/>
      <c r="BO590" s="267"/>
      <c r="BP590" s="267"/>
      <c r="BQ590" s="267"/>
      <c r="BR590" s="267"/>
      <c r="BS590" s="267"/>
      <c r="BT590" s="267"/>
      <c r="BU590" s="267"/>
      <c r="BV590" s="267"/>
      <c r="BW590" s="267"/>
      <c r="BX590" s="267"/>
      <c r="BY590" s="267"/>
      <c r="BZ590" s="267"/>
      <c r="CA590" s="267"/>
      <c r="CB590" s="267"/>
      <c r="CC590" s="267"/>
      <c r="CD590" s="267"/>
      <c r="CE590" s="267"/>
      <c r="CF590" s="267"/>
      <c r="CG590" s="267"/>
      <c r="CH590" s="267"/>
      <c r="CI590" s="267"/>
      <c r="CJ590" s="267"/>
      <c r="CK590" s="267"/>
      <c r="CL590" s="267"/>
      <c r="CM590" s="267"/>
      <c r="CN590" s="267"/>
      <c r="CO590" s="267"/>
      <c r="CP590" s="267"/>
      <c r="CQ590" s="267"/>
      <c r="CR590" s="267"/>
      <c r="CS590" s="267"/>
      <c r="CT590" s="267"/>
      <c r="CU590" s="267"/>
      <c r="CV590" s="267"/>
      <c r="CW590" s="267"/>
      <c r="CX590" s="267"/>
      <c r="CY590" s="267"/>
      <c r="CZ590" s="267"/>
    </row>
    <row r="591" spans="2:104">
      <c r="B591" s="1235"/>
      <c r="C591" s="1235"/>
      <c r="D591" s="1235"/>
      <c r="E591" s="267"/>
      <c r="F591" s="267"/>
      <c r="G591" s="267"/>
      <c r="H591" s="267"/>
      <c r="I591" s="267"/>
      <c r="J591" s="267"/>
      <c r="K591" s="267"/>
      <c r="L591" s="267"/>
      <c r="M591" s="267"/>
      <c r="N591" s="267"/>
      <c r="O591" s="267"/>
      <c r="P591" s="267"/>
      <c r="Q591" s="267"/>
      <c r="R591" s="267"/>
      <c r="S591" s="267"/>
      <c r="T591" s="267"/>
      <c r="U591" s="267"/>
      <c r="V591" s="267"/>
      <c r="W591" s="267"/>
      <c r="X591" s="267"/>
      <c r="Y591" s="267"/>
      <c r="Z591" s="267"/>
      <c r="AA591" s="267"/>
      <c r="AB591" s="267"/>
      <c r="AC591" s="267"/>
      <c r="AD591" s="267"/>
      <c r="AE591" s="267"/>
      <c r="AF591" s="267"/>
      <c r="AG591" s="267"/>
      <c r="AH591" s="267"/>
      <c r="AI591" s="267"/>
      <c r="AJ591" s="267"/>
      <c r="AK591" s="267"/>
      <c r="AL591" s="267"/>
      <c r="AM591" s="267"/>
      <c r="AN591" s="267"/>
      <c r="AO591" s="267"/>
      <c r="AP591" s="267"/>
      <c r="AQ591" s="267"/>
      <c r="AR591" s="267"/>
      <c r="AS591" s="267"/>
      <c r="AT591" s="267"/>
      <c r="AU591" s="267"/>
      <c r="AV591" s="267"/>
      <c r="AW591" s="267"/>
      <c r="AX591" s="267"/>
      <c r="AY591" s="267"/>
      <c r="AZ591" s="267"/>
      <c r="BA591" s="267"/>
      <c r="BB591" s="267"/>
      <c r="BC591" s="267"/>
      <c r="BD591" s="267"/>
      <c r="BE591" s="267"/>
      <c r="BF591" s="267"/>
      <c r="BG591" s="267"/>
      <c r="BH591" s="267"/>
      <c r="BI591" s="267"/>
      <c r="BJ591" s="267"/>
      <c r="BK591" s="267"/>
      <c r="BL591" s="267"/>
      <c r="BM591" s="267"/>
      <c r="BN591" s="267"/>
      <c r="BO591" s="267"/>
      <c r="BP591" s="267"/>
      <c r="BQ591" s="267"/>
      <c r="BR591" s="267"/>
      <c r="BS591" s="267"/>
      <c r="BT591" s="267"/>
      <c r="BU591" s="267"/>
      <c r="BV591" s="267"/>
      <c r="BW591" s="267"/>
      <c r="BX591" s="267"/>
      <c r="BY591" s="267"/>
      <c r="BZ591" s="267"/>
      <c r="CA591" s="267"/>
      <c r="CB591" s="267"/>
      <c r="CC591" s="267"/>
      <c r="CD591" s="267"/>
      <c r="CE591" s="267"/>
      <c r="CF591" s="267"/>
      <c r="CG591" s="267"/>
      <c r="CH591" s="267"/>
      <c r="CI591" s="267"/>
      <c r="CJ591" s="267"/>
      <c r="CK591" s="267"/>
      <c r="CL591" s="267"/>
      <c r="CM591" s="267"/>
      <c r="CN591" s="267"/>
      <c r="CO591" s="267"/>
      <c r="CP591" s="267"/>
      <c r="CQ591" s="267"/>
      <c r="CR591" s="267"/>
      <c r="CS591" s="267"/>
      <c r="CT591" s="267"/>
      <c r="CU591" s="267"/>
      <c r="CV591" s="267"/>
      <c r="CW591" s="267"/>
      <c r="CX591" s="267"/>
      <c r="CY591" s="267"/>
      <c r="CZ591" s="267"/>
    </row>
    <row r="592" spans="2:104">
      <c r="B592" s="1235"/>
      <c r="C592" s="1235"/>
      <c r="D592" s="1235"/>
      <c r="E592" s="267"/>
      <c r="F592" s="267"/>
      <c r="G592" s="267"/>
      <c r="H592" s="267"/>
      <c r="I592" s="267"/>
      <c r="J592" s="267"/>
      <c r="K592" s="267"/>
      <c r="L592" s="267"/>
      <c r="M592" s="267"/>
      <c r="N592" s="267"/>
      <c r="O592" s="267"/>
      <c r="P592" s="267"/>
      <c r="Q592" s="267"/>
      <c r="R592" s="267"/>
      <c r="S592" s="267"/>
      <c r="T592" s="267"/>
      <c r="U592" s="267"/>
      <c r="V592" s="267"/>
      <c r="W592" s="267"/>
      <c r="X592" s="267"/>
      <c r="Y592" s="267"/>
      <c r="Z592" s="267"/>
      <c r="AA592" s="267"/>
      <c r="AB592" s="267"/>
      <c r="AC592" s="267"/>
      <c r="AD592" s="267"/>
      <c r="AE592" s="267"/>
      <c r="AF592" s="267"/>
      <c r="AG592" s="267"/>
      <c r="AH592" s="267"/>
      <c r="AI592" s="267"/>
      <c r="AJ592" s="267"/>
      <c r="AK592" s="267"/>
      <c r="AL592" s="267"/>
      <c r="AM592" s="267"/>
      <c r="AN592" s="267"/>
      <c r="AO592" s="267"/>
      <c r="AP592" s="267"/>
      <c r="AQ592" s="267"/>
      <c r="AR592" s="267"/>
      <c r="AS592" s="267"/>
      <c r="AT592" s="267"/>
      <c r="AU592" s="267"/>
      <c r="AV592" s="267"/>
      <c r="AW592" s="267"/>
      <c r="AX592" s="267"/>
      <c r="AY592" s="267"/>
      <c r="AZ592" s="267"/>
      <c r="BA592" s="267"/>
      <c r="BB592" s="267"/>
      <c r="BC592" s="267"/>
      <c r="BD592" s="267"/>
      <c r="BE592" s="267"/>
      <c r="BF592" s="267"/>
      <c r="BG592" s="267"/>
      <c r="BH592" s="267"/>
      <c r="BI592" s="267"/>
      <c r="BJ592" s="267"/>
      <c r="BK592" s="267"/>
      <c r="BL592" s="267"/>
      <c r="BM592" s="267"/>
      <c r="BN592" s="267"/>
      <c r="BO592" s="267"/>
      <c r="BP592" s="267"/>
      <c r="BQ592" s="267"/>
      <c r="BR592" s="267"/>
      <c r="BS592" s="267"/>
      <c r="BT592" s="267"/>
      <c r="BU592" s="267"/>
      <c r="BV592" s="267"/>
      <c r="BW592" s="267"/>
      <c r="BX592" s="267"/>
      <c r="BY592" s="267"/>
      <c r="BZ592" s="267"/>
      <c r="CA592" s="267"/>
      <c r="CB592" s="267"/>
      <c r="CC592" s="267"/>
      <c r="CD592" s="267"/>
      <c r="CE592" s="267"/>
      <c r="CF592" s="267"/>
      <c r="CG592" s="267"/>
      <c r="CH592" s="267"/>
      <c r="CI592" s="267"/>
      <c r="CJ592" s="267"/>
      <c r="CK592" s="267"/>
      <c r="CL592" s="267"/>
      <c r="CM592" s="267"/>
      <c r="CN592" s="267"/>
      <c r="CO592" s="267"/>
      <c r="CP592" s="267"/>
      <c r="CQ592" s="267"/>
      <c r="CR592" s="267"/>
      <c r="CS592" s="267"/>
      <c r="CT592" s="267"/>
      <c r="CU592" s="267"/>
      <c r="CV592" s="267"/>
      <c r="CW592" s="267"/>
      <c r="CX592" s="267"/>
      <c r="CY592" s="267"/>
      <c r="CZ592" s="267"/>
    </row>
    <row r="593" spans="2:104">
      <c r="B593" s="1235"/>
      <c r="C593" s="1235"/>
      <c r="D593" s="1235"/>
      <c r="E593" s="267"/>
      <c r="F593" s="267"/>
      <c r="G593" s="267"/>
      <c r="H593" s="267"/>
      <c r="I593" s="267"/>
      <c r="J593" s="267"/>
      <c r="K593" s="267"/>
      <c r="L593" s="267"/>
      <c r="M593" s="267"/>
      <c r="N593" s="267"/>
      <c r="O593" s="267"/>
      <c r="P593" s="267"/>
      <c r="Q593" s="267"/>
      <c r="R593" s="267"/>
      <c r="S593" s="267"/>
      <c r="T593" s="267"/>
      <c r="U593" s="267"/>
      <c r="V593" s="267"/>
      <c r="W593" s="267"/>
      <c r="X593" s="267"/>
      <c r="Y593" s="267"/>
      <c r="Z593" s="267"/>
      <c r="AA593" s="267"/>
      <c r="AB593" s="267"/>
      <c r="AC593" s="267"/>
      <c r="AD593" s="267"/>
      <c r="AE593" s="267"/>
      <c r="AF593" s="267"/>
      <c r="AG593" s="267"/>
      <c r="AH593" s="267"/>
      <c r="AI593" s="267"/>
      <c r="AJ593" s="267"/>
      <c r="AK593" s="267"/>
      <c r="AL593" s="267"/>
      <c r="AM593" s="267"/>
      <c r="AN593" s="267"/>
      <c r="AO593" s="267"/>
      <c r="AP593" s="267"/>
      <c r="AQ593" s="267"/>
      <c r="AR593" s="267"/>
      <c r="AS593" s="267"/>
      <c r="AT593" s="267"/>
      <c r="AU593" s="267"/>
      <c r="AV593" s="267"/>
      <c r="AW593" s="267"/>
      <c r="AX593" s="267"/>
      <c r="AY593" s="267"/>
      <c r="AZ593" s="267"/>
      <c r="BA593" s="267"/>
      <c r="BB593" s="267"/>
      <c r="BC593" s="267"/>
      <c r="BD593" s="267"/>
      <c r="BE593" s="267"/>
      <c r="BF593" s="267"/>
      <c r="BG593" s="267"/>
      <c r="BH593" s="267"/>
      <c r="BI593" s="267"/>
      <c r="BJ593" s="267"/>
      <c r="BK593" s="267"/>
      <c r="BL593" s="267"/>
      <c r="BM593" s="267"/>
      <c r="BN593" s="267"/>
      <c r="BO593" s="267"/>
      <c r="BP593" s="267"/>
      <c r="BQ593" s="267"/>
      <c r="BR593" s="267"/>
      <c r="BS593" s="267"/>
      <c r="BT593" s="267"/>
      <c r="BU593" s="267"/>
      <c r="BV593" s="267"/>
      <c r="BW593" s="267"/>
      <c r="BX593" s="267"/>
      <c r="BY593" s="267"/>
      <c r="BZ593" s="267"/>
      <c r="CA593" s="267"/>
      <c r="CB593" s="267"/>
      <c r="CC593" s="267"/>
      <c r="CD593" s="267"/>
      <c r="CE593" s="267"/>
      <c r="CF593" s="267"/>
      <c r="CG593" s="267"/>
      <c r="CH593" s="267"/>
      <c r="CI593" s="267"/>
      <c r="CJ593" s="267"/>
      <c r="CK593" s="267"/>
      <c r="CL593" s="267"/>
      <c r="CM593" s="267"/>
      <c r="CN593" s="267"/>
      <c r="CO593" s="267"/>
      <c r="CP593" s="267"/>
      <c r="CQ593" s="267"/>
      <c r="CR593" s="267"/>
      <c r="CS593" s="267"/>
      <c r="CT593" s="267"/>
      <c r="CU593" s="267"/>
      <c r="CV593" s="267"/>
      <c r="CW593" s="267"/>
      <c r="CX593" s="267"/>
      <c r="CY593" s="267"/>
      <c r="CZ593" s="267"/>
    </row>
    <row r="594" spans="2:104">
      <c r="B594" s="1235"/>
      <c r="C594" s="1235"/>
      <c r="D594" s="1235"/>
      <c r="E594" s="267"/>
      <c r="F594" s="267"/>
      <c r="G594" s="267"/>
      <c r="H594" s="267"/>
      <c r="I594" s="267"/>
      <c r="J594" s="267"/>
      <c r="K594" s="267"/>
      <c r="L594" s="267"/>
      <c r="M594" s="267"/>
      <c r="N594" s="267"/>
      <c r="O594" s="267"/>
      <c r="P594" s="267"/>
      <c r="Q594" s="267"/>
      <c r="R594" s="267"/>
      <c r="S594" s="267"/>
      <c r="T594" s="267"/>
      <c r="U594" s="267"/>
      <c r="V594" s="267"/>
      <c r="W594" s="267"/>
      <c r="X594" s="267"/>
      <c r="Y594" s="267"/>
      <c r="Z594" s="267"/>
      <c r="AA594" s="267"/>
      <c r="AB594" s="267"/>
      <c r="AC594" s="267"/>
      <c r="AD594" s="267"/>
      <c r="AE594" s="267"/>
      <c r="AF594" s="267"/>
      <c r="AG594" s="267"/>
      <c r="AH594" s="267"/>
      <c r="AI594" s="267"/>
      <c r="AJ594" s="267"/>
      <c r="AK594" s="267"/>
      <c r="AL594" s="267"/>
      <c r="AM594" s="267"/>
      <c r="AN594" s="267"/>
      <c r="AO594" s="267"/>
      <c r="AP594" s="267"/>
      <c r="AQ594" s="267"/>
      <c r="AR594" s="267"/>
      <c r="AS594" s="267"/>
      <c r="AT594" s="267"/>
      <c r="AU594" s="267"/>
      <c r="AV594" s="267"/>
      <c r="AW594" s="267"/>
      <c r="AX594" s="267"/>
      <c r="AY594" s="267"/>
      <c r="AZ594" s="267"/>
      <c r="BA594" s="267"/>
      <c r="BB594" s="267"/>
      <c r="BC594" s="267"/>
      <c r="BD594" s="267"/>
      <c r="BE594" s="267"/>
      <c r="BF594" s="267"/>
      <c r="BG594" s="267"/>
      <c r="BH594" s="267"/>
      <c r="BI594" s="267"/>
      <c r="BJ594" s="267"/>
      <c r="BK594" s="267"/>
      <c r="BL594" s="267"/>
      <c r="BM594" s="267"/>
      <c r="BN594" s="267"/>
      <c r="BO594" s="267"/>
      <c r="BP594" s="267"/>
      <c r="BQ594" s="267"/>
      <c r="BR594" s="267"/>
      <c r="BS594" s="267"/>
      <c r="BT594" s="267"/>
      <c r="BU594" s="267"/>
      <c r="BV594" s="267"/>
      <c r="BW594" s="267"/>
      <c r="BX594" s="267"/>
      <c r="BY594" s="267"/>
      <c r="BZ594" s="267"/>
      <c r="CA594" s="267"/>
      <c r="CB594" s="267"/>
      <c r="CC594" s="267"/>
      <c r="CD594" s="267"/>
      <c r="CE594" s="267"/>
      <c r="CF594" s="267"/>
      <c r="CG594" s="267"/>
      <c r="CH594" s="267"/>
      <c r="CI594" s="267"/>
      <c r="CJ594" s="267"/>
      <c r="CK594" s="267"/>
      <c r="CL594" s="267"/>
      <c r="CM594" s="267"/>
      <c r="CN594" s="267"/>
      <c r="CO594" s="267"/>
      <c r="CP594" s="267"/>
      <c r="CQ594" s="267"/>
      <c r="CR594" s="267"/>
      <c r="CS594" s="267"/>
      <c r="CT594" s="267"/>
      <c r="CU594" s="267"/>
      <c r="CV594" s="267"/>
      <c r="CW594" s="267"/>
      <c r="CX594" s="267"/>
      <c r="CY594" s="267"/>
      <c r="CZ594" s="267"/>
    </row>
    <row r="595" spans="2:104">
      <c r="B595" s="1235"/>
      <c r="C595" s="1235"/>
      <c r="D595" s="1235"/>
      <c r="E595" s="267"/>
      <c r="F595" s="267"/>
      <c r="G595" s="267"/>
      <c r="H595" s="267"/>
      <c r="I595" s="267"/>
      <c r="J595" s="267"/>
      <c r="K595" s="267"/>
      <c r="L595" s="267"/>
      <c r="M595" s="267"/>
      <c r="N595" s="267"/>
      <c r="O595" s="267"/>
      <c r="P595" s="267"/>
      <c r="Q595" s="267"/>
      <c r="R595" s="267"/>
      <c r="S595" s="267"/>
      <c r="T595" s="267"/>
      <c r="U595" s="267"/>
      <c r="V595" s="267"/>
      <c r="W595" s="267"/>
      <c r="X595" s="267"/>
      <c r="Y595" s="267"/>
      <c r="Z595" s="267"/>
      <c r="AA595" s="267"/>
      <c r="AB595" s="267"/>
      <c r="AC595" s="267"/>
      <c r="AD595" s="267"/>
      <c r="AE595" s="267"/>
      <c r="AF595" s="267"/>
      <c r="AG595" s="267"/>
      <c r="AH595" s="267"/>
      <c r="AI595" s="267"/>
      <c r="AJ595" s="267"/>
      <c r="AK595" s="267"/>
      <c r="AL595" s="267"/>
      <c r="AM595" s="267"/>
      <c r="AN595" s="267"/>
      <c r="AO595" s="267"/>
      <c r="AP595" s="267"/>
      <c r="AQ595" s="267"/>
      <c r="AR595" s="267"/>
      <c r="AS595" s="267"/>
      <c r="AT595" s="267"/>
      <c r="AU595" s="267"/>
      <c r="AV595" s="267"/>
      <c r="AW595" s="267"/>
      <c r="AX595" s="267"/>
      <c r="AY595" s="267"/>
      <c r="AZ595" s="267"/>
      <c r="BA595" s="267"/>
      <c r="BB595" s="267"/>
      <c r="BC595" s="267"/>
      <c r="BD595" s="267"/>
      <c r="BE595" s="267"/>
      <c r="BF595" s="267"/>
      <c r="BG595" s="267"/>
      <c r="BH595" s="267"/>
      <c r="BI595" s="267"/>
      <c r="BJ595" s="267"/>
      <c r="BK595" s="267"/>
      <c r="BL595" s="267"/>
      <c r="BM595" s="267"/>
      <c r="BN595" s="267"/>
      <c r="BO595" s="267"/>
      <c r="BP595" s="267"/>
      <c r="BQ595" s="267"/>
      <c r="BR595" s="267"/>
      <c r="BS595" s="267"/>
      <c r="BT595" s="267"/>
      <c r="BU595" s="267"/>
      <c r="BV595" s="267"/>
      <c r="BW595" s="267"/>
      <c r="BX595" s="267"/>
      <c r="BY595" s="267"/>
      <c r="BZ595" s="267"/>
      <c r="CA595" s="267"/>
      <c r="CB595" s="267"/>
      <c r="CC595" s="267"/>
      <c r="CD595" s="267"/>
      <c r="CE595" s="267"/>
      <c r="CF595" s="267"/>
      <c r="CG595" s="267"/>
      <c r="CH595" s="267"/>
      <c r="CI595" s="267"/>
      <c r="CJ595" s="267"/>
      <c r="CK595" s="267"/>
      <c r="CL595" s="267"/>
      <c r="CM595" s="267"/>
      <c r="CN595" s="267"/>
      <c r="CO595" s="267"/>
      <c r="CP595" s="267"/>
      <c r="CQ595" s="267"/>
      <c r="CR595" s="267"/>
      <c r="CS595" s="267"/>
      <c r="CT595" s="267"/>
      <c r="CU595" s="267"/>
      <c r="CV595" s="267"/>
      <c r="CW595" s="267"/>
      <c r="CX595" s="267"/>
      <c r="CY595" s="267"/>
      <c r="CZ595" s="267"/>
    </row>
    <row r="596" spans="2:104">
      <c r="B596" s="1235"/>
      <c r="C596" s="1235"/>
      <c r="D596" s="1235"/>
      <c r="E596" s="267"/>
      <c r="F596" s="267"/>
      <c r="G596" s="267"/>
      <c r="H596" s="267"/>
      <c r="I596" s="267"/>
      <c r="J596" s="267"/>
      <c r="K596" s="267"/>
      <c r="L596" s="267"/>
      <c r="M596" s="267"/>
      <c r="N596" s="267"/>
      <c r="O596" s="267"/>
      <c r="P596" s="267"/>
      <c r="Q596" s="267"/>
      <c r="R596" s="267"/>
      <c r="S596" s="267"/>
      <c r="T596" s="267"/>
      <c r="U596" s="267"/>
      <c r="V596" s="267"/>
      <c r="W596" s="267"/>
      <c r="X596" s="267"/>
      <c r="Y596" s="267"/>
      <c r="Z596" s="267"/>
      <c r="AA596" s="267"/>
      <c r="AB596" s="267"/>
      <c r="AC596" s="267"/>
      <c r="AD596" s="267"/>
      <c r="AE596" s="267"/>
      <c r="AF596" s="267"/>
      <c r="AG596" s="267"/>
      <c r="AH596" s="267"/>
      <c r="AI596" s="267"/>
      <c r="AJ596" s="267"/>
      <c r="AK596" s="267"/>
      <c r="AL596" s="267"/>
      <c r="AM596" s="267"/>
      <c r="AN596" s="267"/>
      <c r="AO596" s="267"/>
      <c r="AP596" s="267"/>
      <c r="AQ596" s="267"/>
      <c r="AR596" s="267"/>
      <c r="AS596" s="267"/>
      <c r="AT596" s="267"/>
      <c r="AU596" s="267"/>
      <c r="AV596" s="267"/>
      <c r="AW596" s="267"/>
      <c r="AX596" s="267"/>
      <c r="AY596" s="267"/>
      <c r="AZ596" s="267"/>
      <c r="BA596" s="267"/>
      <c r="BB596" s="267"/>
      <c r="BC596" s="267"/>
      <c r="BD596" s="267"/>
      <c r="BE596" s="267"/>
      <c r="BF596" s="267"/>
      <c r="BG596" s="267"/>
      <c r="BH596" s="267"/>
      <c r="BI596" s="267"/>
      <c r="BJ596" s="267"/>
      <c r="BK596" s="267"/>
      <c r="BL596" s="267"/>
      <c r="BM596" s="267"/>
      <c r="BN596" s="267"/>
      <c r="BO596" s="267"/>
      <c r="BP596" s="267"/>
      <c r="BQ596" s="267"/>
      <c r="BR596" s="267"/>
      <c r="BS596" s="267"/>
      <c r="BT596" s="267"/>
      <c r="BU596" s="267"/>
      <c r="BV596" s="267"/>
      <c r="BW596" s="267"/>
      <c r="BX596" s="267"/>
      <c r="BY596" s="267"/>
      <c r="BZ596" s="267"/>
      <c r="CA596" s="267"/>
      <c r="CB596" s="267"/>
      <c r="CC596" s="267"/>
      <c r="CD596" s="267"/>
      <c r="CE596" s="267"/>
      <c r="CF596" s="267"/>
      <c r="CG596" s="267"/>
      <c r="CH596" s="267"/>
      <c r="CI596" s="267"/>
      <c r="CJ596" s="267"/>
      <c r="CK596" s="267"/>
      <c r="CL596" s="267"/>
      <c r="CM596" s="267"/>
      <c r="CN596" s="267"/>
      <c r="CO596" s="267"/>
      <c r="CP596" s="267"/>
      <c r="CQ596" s="267"/>
      <c r="CR596" s="267"/>
      <c r="CS596" s="267"/>
      <c r="CT596" s="267"/>
      <c r="CU596" s="267"/>
      <c r="CV596" s="267"/>
      <c r="CW596" s="267"/>
      <c r="CX596" s="267"/>
      <c r="CY596" s="267"/>
      <c r="CZ596" s="267"/>
    </row>
    <row r="597" spans="2:104">
      <c r="B597" s="1235"/>
      <c r="C597" s="1235"/>
      <c r="D597" s="1235"/>
      <c r="E597" s="267"/>
      <c r="F597" s="267"/>
      <c r="G597" s="267"/>
      <c r="H597" s="267"/>
      <c r="I597" s="267"/>
      <c r="J597" s="267"/>
      <c r="K597" s="267"/>
      <c r="L597" s="267"/>
      <c r="M597" s="267"/>
      <c r="N597" s="267"/>
      <c r="O597" s="267"/>
      <c r="P597" s="267"/>
      <c r="Q597" s="267"/>
      <c r="R597" s="267"/>
      <c r="S597" s="267"/>
      <c r="T597" s="267"/>
      <c r="U597" s="267"/>
      <c r="V597" s="267"/>
      <c r="W597" s="267"/>
      <c r="X597" s="267"/>
      <c r="Y597" s="267"/>
      <c r="Z597" s="267"/>
      <c r="AA597" s="267"/>
      <c r="AB597" s="267"/>
      <c r="AC597" s="267"/>
      <c r="AD597" s="267"/>
      <c r="AE597" s="267"/>
      <c r="AF597" s="267"/>
      <c r="AG597" s="267"/>
      <c r="AH597" s="267"/>
      <c r="AI597" s="267"/>
      <c r="AJ597" s="267"/>
      <c r="AK597" s="267"/>
      <c r="AL597" s="267"/>
      <c r="AM597" s="267"/>
      <c r="AN597" s="267"/>
      <c r="AO597" s="267"/>
      <c r="AP597" s="267"/>
      <c r="AQ597" s="267"/>
      <c r="AR597" s="267"/>
      <c r="AS597" s="267"/>
      <c r="AT597" s="267"/>
      <c r="AU597" s="267"/>
      <c r="AV597" s="267"/>
      <c r="AW597" s="267"/>
      <c r="AX597" s="267"/>
      <c r="AY597" s="267"/>
      <c r="AZ597" s="267"/>
      <c r="BA597" s="267"/>
      <c r="BB597" s="267"/>
      <c r="BC597" s="267"/>
      <c r="BD597" s="267"/>
      <c r="BE597" s="267"/>
      <c r="BF597" s="267"/>
      <c r="BG597" s="267"/>
      <c r="BH597" s="267"/>
      <c r="BI597" s="267"/>
      <c r="BJ597" s="267"/>
      <c r="BK597" s="267"/>
      <c r="BL597" s="267"/>
      <c r="BM597" s="267"/>
      <c r="BN597" s="267"/>
      <c r="BO597" s="267"/>
      <c r="BP597" s="267"/>
      <c r="BQ597" s="267"/>
      <c r="BR597" s="267"/>
      <c r="BS597" s="267"/>
      <c r="BT597" s="267"/>
      <c r="BU597" s="267"/>
      <c r="BV597" s="267"/>
      <c r="BW597" s="267"/>
      <c r="BX597" s="267"/>
      <c r="BY597" s="267"/>
      <c r="BZ597" s="267"/>
      <c r="CA597" s="267"/>
      <c r="CB597" s="267"/>
      <c r="CC597" s="267"/>
      <c r="CD597" s="267"/>
      <c r="CE597" s="267"/>
      <c r="CF597" s="267"/>
      <c r="CG597" s="267"/>
      <c r="CH597" s="267"/>
      <c r="CI597" s="267"/>
      <c r="CJ597" s="267"/>
      <c r="CK597" s="267"/>
      <c r="CL597" s="267"/>
      <c r="CM597" s="267"/>
      <c r="CN597" s="267"/>
      <c r="CO597" s="267"/>
      <c r="CP597" s="267"/>
      <c r="CQ597" s="267"/>
      <c r="CR597" s="267"/>
      <c r="CS597" s="267"/>
      <c r="CT597" s="267"/>
      <c r="CU597" s="267"/>
      <c r="CV597" s="267"/>
      <c r="CW597" s="267"/>
      <c r="CX597" s="267"/>
      <c r="CY597" s="267"/>
      <c r="CZ597" s="267"/>
    </row>
    <row r="598" spans="2:104">
      <c r="B598" s="1235"/>
      <c r="C598" s="1235"/>
      <c r="D598" s="1235"/>
      <c r="E598" s="267"/>
      <c r="F598" s="267"/>
      <c r="G598" s="267"/>
      <c r="H598" s="267"/>
      <c r="I598" s="267"/>
      <c r="J598" s="267"/>
      <c r="K598" s="267"/>
      <c r="L598" s="267"/>
      <c r="M598" s="267"/>
      <c r="N598" s="267"/>
      <c r="O598" s="267"/>
      <c r="P598" s="267"/>
      <c r="Q598" s="267"/>
      <c r="R598" s="267"/>
      <c r="S598" s="267"/>
      <c r="T598" s="267"/>
      <c r="U598" s="267"/>
      <c r="V598" s="267"/>
      <c r="W598" s="267"/>
      <c r="X598" s="267"/>
      <c r="Y598" s="267"/>
      <c r="Z598" s="267"/>
      <c r="AA598" s="267"/>
      <c r="AB598" s="267"/>
      <c r="AC598" s="267"/>
      <c r="AD598" s="267"/>
      <c r="AE598" s="267"/>
      <c r="AF598" s="267"/>
      <c r="AG598" s="267"/>
      <c r="AH598" s="267"/>
      <c r="AI598" s="267"/>
      <c r="AJ598" s="267"/>
      <c r="AK598" s="267"/>
      <c r="AL598" s="267"/>
      <c r="AM598" s="267"/>
      <c r="AN598" s="267"/>
      <c r="AO598" s="267"/>
      <c r="AP598" s="267"/>
      <c r="AQ598" s="267"/>
      <c r="AR598" s="267"/>
      <c r="AS598" s="267"/>
      <c r="AT598" s="267"/>
      <c r="AU598" s="267"/>
      <c r="AV598" s="267"/>
      <c r="AW598" s="267"/>
      <c r="AX598" s="267"/>
      <c r="AY598" s="267"/>
      <c r="AZ598" s="267"/>
      <c r="BA598" s="267"/>
      <c r="BB598" s="267"/>
      <c r="BC598" s="267"/>
      <c r="BD598" s="267"/>
      <c r="BE598" s="267"/>
      <c r="BF598" s="267"/>
      <c r="BG598" s="267"/>
      <c r="BH598" s="267"/>
      <c r="BI598" s="267"/>
      <c r="BJ598" s="267"/>
      <c r="BK598" s="267"/>
      <c r="BL598" s="267"/>
      <c r="BM598" s="267"/>
      <c r="BN598" s="267"/>
      <c r="BO598" s="267"/>
      <c r="BP598" s="267"/>
      <c r="BQ598" s="267"/>
      <c r="BR598" s="267"/>
      <c r="BS598" s="267"/>
      <c r="BT598" s="267"/>
      <c r="BU598" s="267"/>
      <c r="BV598" s="267"/>
      <c r="BW598" s="267"/>
      <c r="BX598" s="267"/>
      <c r="BY598" s="267"/>
      <c r="BZ598" s="267"/>
      <c r="CA598" s="267"/>
      <c r="CB598" s="267"/>
      <c r="CC598" s="267"/>
      <c r="CD598" s="267"/>
      <c r="CE598" s="267"/>
      <c r="CF598" s="267"/>
      <c r="CG598" s="267"/>
      <c r="CH598" s="267"/>
      <c r="CI598" s="267"/>
      <c r="CJ598" s="267"/>
      <c r="CK598" s="267"/>
      <c r="CL598" s="267"/>
      <c r="CM598" s="267"/>
      <c r="CN598" s="267"/>
      <c r="CO598" s="267"/>
      <c r="CP598" s="267"/>
      <c r="CQ598" s="267"/>
      <c r="CR598" s="267"/>
      <c r="CS598" s="267"/>
      <c r="CT598" s="267"/>
      <c r="CU598" s="267"/>
      <c r="CV598" s="267"/>
      <c r="CW598" s="267"/>
      <c r="CX598" s="267"/>
      <c r="CY598" s="267"/>
      <c r="CZ598" s="267"/>
    </row>
    <row r="599" spans="2:104">
      <c r="B599" s="1235"/>
      <c r="C599" s="1235"/>
      <c r="D599" s="1235"/>
      <c r="E599" s="267"/>
      <c r="F599" s="267"/>
      <c r="G599" s="267"/>
      <c r="H599" s="267"/>
      <c r="I599" s="267"/>
      <c r="J599" s="267"/>
      <c r="K599" s="267"/>
      <c r="L599" s="267"/>
      <c r="M599" s="267"/>
      <c r="N599" s="267"/>
      <c r="O599" s="267"/>
      <c r="P599" s="267"/>
      <c r="Q599" s="267"/>
      <c r="R599" s="267"/>
      <c r="S599" s="267"/>
      <c r="T599" s="267"/>
      <c r="U599" s="267"/>
      <c r="V599" s="267"/>
      <c r="W599" s="267"/>
      <c r="X599" s="267"/>
      <c r="Y599" s="267"/>
      <c r="Z599" s="267"/>
      <c r="AA599" s="267"/>
      <c r="AB599" s="267"/>
      <c r="AC599" s="267"/>
      <c r="AD599" s="267"/>
      <c r="AE599" s="267"/>
      <c r="AF599" s="267"/>
      <c r="AG599" s="267"/>
      <c r="AH599" s="267"/>
      <c r="AI599" s="267"/>
      <c r="AJ599" s="267"/>
      <c r="AK599" s="267"/>
      <c r="AL599" s="267"/>
      <c r="AM599" s="267"/>
      <c r="AN599" s="267"/>
      <c r="AO599" s="267"/>
      <c r="AP599" s="267"/>
      <c r="AQ599" s="267"/>
      <c r="AR599" s="267"/>
      <c r="AS599" s="267"/>
      <c r="AT599" s="267"/>
      <c r="AU599" s="267"/>
      <c r="AV599" s="267"/>
      <c r="AW599" s="267"/>
      <c r="AX599" s="267"/>
      <c r="AY599" s="267"/>
      <c r="AZ599" s="267"/>
      <c r="BA599" s="267"/>
      <c r="BB599" s="267"/>
      <c r="BC599" s="267"/>
      <c r="BD599" s="267"/>
      <c r="BE599" s="267"/>
      <c r="BF599" s="267"/>
      <c r="BG599" s="267"/>
      <c r="BH599" s="267"/>
      <c r="BI599" s="267"/>
      <c r="BJ599" s="267"/>
      <c r="BK599" s="267"/>
      <c r="BL599" s="267"/>
      <c r="BM599" s="267"/>
      <c r="BN599" s="267"/>
      <c r="BO599" s="267"/>
      <c r="BP599" s="267"/>
      <c r="BQ599" s="267"/>
      <c r="BR599" s="267"/>
      <c r="BS599" s="267"/>
      <c r="BT599" s="267"/>
      <c r="BU599" s="267"/>
      <c r="BV599" s="267"/>
      <c r="BW599" s="267"/>
      <c r="BX599" s="267"/>
      <c r="BY599" s="267"/>
      <c r="BZ599" s="267"/>
      <c r="CA599" s="267"/>
      <c r="CB599" s="267"/>
      <c r="CC599" s="267"/>
      <c r="CD599" s="267"/>
      <c r="CE599" s="267"/>
      <c r="CF599" s="267"/>
      <c r="CG599" s="267"/>
      <c r="CH599" s="267"/>
      <c r="CI599" s="267"/>
      <c r="CJ599" s="267"/>
      <c r="CK599" s="267"/>
      <c r="CL599" s="267"/>
      <c r="CM599" s="267"/>
      <c r="CN599" s="267"/>
      <c r="CO599" s="267"/>
      <c r="CP599" s="267"/>
      <c r="CQ599" s="267"/>
      <c r="CR599" s="267"/>
      <c r="CS599" s="267"/>
      <c r="CT599" s="267"/>
      <c r="CU599" s="267"/>
      <c r="CV599" s="267"/>
      <c r="CW599" s="267"/>
      <c r="CX599" s="267"/>
      <c r="CY599" s="267"/>
      <c r="CZ599" s="267"/>
    </row>
    <row r="600" spans="2:104">
      <c r="B600" s="1235"/>
      <c r="C600" s="1235"/>
      <c r="D600" s="1235"/>
      <c r="E600" s="267"/>
      <c r="F600" s="267"/>
      <c r="G600" s="267"/>
      <c r="H600" s="267"/>
      <c r="I600" s="267"/>
      <c r="J600" s="267"/>
      <c r="K600" s="267"/>
      <c r="L600" s="267"/>
      <c r="M600" s="267"/>
      <c r="N600" s="267"/>
      <c r="O600" s="267"/>
      <c r="P600" s="267"/>
      <c r="Q600" s="267"/>
      <c r="R600" s="267"/>
      <c r="S600" s="267"/>
      <c r="T600" s="267"/>
      <c r="U600" s="267"/>
      <c r="V600" s="267"/>
      <c r="W600" s="267"/>
      <c r="X600" s="267"/>
      <c r="Y600" s="267"/>
      <c r="Z600" s="267"/>
      <c r="AA600" s="267"/>
      <c r="AB600" s="267"/>
      <c r="AC600" s="267"/>
      <c r="AD600" s="267"/>
      <c r="AE600" s="267"/>
      <c r="AF600" s="267"/>
      <c r="AG600" s="267"/>
      <c r="AH600" s="267"/>
      <c r="AI600" s="267"/>
      <c r="AJ600" s="267"/>
      <c r="AK600" s="267"/>
      <c r="AL600" s="267"/>
      <c r="AM600" s="267"/>
      <c r="AN600" s="267"/>
      <c r="AO600" s="267"/>
      <c r="AP600" s="267"/>
      <c r="AQ600" s="267"/>
      <c r="AR600" s="267"/>
      <c r="AS600" s="267"/>
      <c r="AT600" s="267"/>
      <c r="AU600" s="267"/>
      <c r="AV600" s="267"/>
      <c r="AW600" s="267"/>
      <c r="AX600" s="267"/>
      <c r="AY600" s="267"/>
      <c r="AZ600" s="267"/>
      <c r="BA600" s="267"/>
      <c r="BB600" s="267"/>
      <c r="BC600" s="267"/>
      <c r="BD600" s="267"/>
      <c r="BE600" s="267"/>
      <c r="BF600" s="267"/>
      <c r="BG600" s="267"/>
      <c r="BH600" s="267"/>
      <c r="BI600" s="267"/>
      <c r="BJ600" s="267"/>
      <c r="BK600" s="267"/>
      <c r="BL600" s="267"/>
      <c r="BM600" s="267"/>
      <c r="BN600" s="267"/>
      <c r="BO600" s="267"/>
      <c r="BP600" s="267"/>
      <c r="BQ600" s="267"/>
      <c r="BR600" s="267"/>
      <c r="BS600" s="267"/>
      <c r="BT600" s="267"/>
      <c r="BU600" s="267"/>
      <c r="BV600" s="267"/>
      <c r="BW600" s="267"/>
      <c r="BX600" s="267"/>
      <c r="BY600" s="267"/>
      <c r="BZ600" s="267"/>
      <c r="CA600" s="267"/>
      <c r="CB600" s="267"/>
      <c r="CC600" s="267"/>
      <c r="CD600" s="267"/>
      <c r="CE600" s="267"/>
      <c r="CF600" s="267"/>
      <c r="CG600" s="267"/>
      <c r="CH600" s="267"/>
      <c r="CI600" s="267"/>
      <c r="CJ600" s="267"/>
      <c r="CK600" s="267"/>
      <c r="CL600" s="267"/>
      <c r="CM600" s="267"/>
      <c r="CN600" s="267"/>
      <c r="CO600" s="267"/>
      <c r="CP600" s="267"/>
      <c r="CQ600" s="267"/>
      <c r="CR600" s="267"/>
      <c r="CS600" s="267"/>
      <c r="CT600" s="267"/>
      <c r="CU600" s="267"/>
      <c r="CV600" s="267"/>
      <c r="CW600" s="267"/>
      <c r="CX600" s="267"/>
      <c r="CY600" s="267"/>
      <c r="CZ600" s="267"/>
    </row>
    <row r="601" spans="2:104">
      <c r="B601" s="1235"/>
      <c r="C601" s="1235"/>
      <c r="D601" s="1235"/>
      <c r="E601" s="267"/>
      <c r="F601" s="267"/>
      <c r="G601" s="267"/>
      <c r="H601" s="267"/>
      <c r="I601" s="267"/>
      <c r="J601" s="267"/>
      <c r="K601" s="267"/>
      <c r="L601" s="267"/>
      <c r="M601" s="267"/>
      <c r="N601" s="267"/>
      <c r="O601" s="267"/>
      <c r="P601" s="267"/>
      <c r="Q601" s="267"/>
      <c r="R601" s="267"/>
      <c r="S601" s="267"/>
      <c r="T601" s="267"/>
      <c r="U601" s="267"/>
      <c r="V601" s="267"/>
      <c r="W601" s="267"/>
      <c r="X601" s="267"/>
      <c r="Y601" s="267"/>
      <c r="Z601" s="267"/>
      <c r="AA601" s="267"/>
      <c r="AB601" s="267"/>
      <c r="AC601" s="267"/>
      <c r="AD601" s="267"/>
      <c r="AE601" s="267"/>
      <c r="AF601" s="267"/>
      <c r="AG601" s="267"/>
      <c r="AH601" s="267"/>
      <c r="AI601" s="267"/>
      <c r="AJ601" s="267"/>
      <c r="AK601" s="267"/>
      <c r="AL601" s="267"/>
      <c r="AM601" s="267"/>
      <c r="AN601" s="267"/>
      <c r="AO601" s="267"/>
      <c r="AP601" s="267"/>
      <c r="AQ601" s="267"/>
      <c r="AR601" s="267"/>
      <c r="AS601" s="267"/>
      <c r="AT601" s="267"/>
      <c r="AU601" s="267"/>
      <c r="AV601" s="267"/>
      <c r="AW601" s="267"/>
      <c r="AX601" s="267"/>
      <c r="AY601" s="267"/>
      <c r="AZ601" s="267"/>
      <c r="BA601" s="267"/>
      <c r="BB601" s="267"/>
      <c r="BC601" s="267"/>
      <c r="BD601" s="267"/>
      <c r="BE601" s="267"/>
      <c r="BF601" s="267"/>
      <c r="BG601" s="267"/>
      <c r="BH601" s="267"/>
      <c r="BI601" s="267"/>
      <c r="BJ601" s="267"/>
      <c r="BK601" s="267"/>
      <c r="BL601" s="267"/>
      <c r="BM601" s="267"/>
      <c r="BN601" s="267"/>
      <c r="BO601" s="267"/>
      <c r="BP601" s="267"/>
      <c r="BQ601" s="267"/>
      <c r="BR601" s="267"/>
      <c r="BS601" s="267"/>
      <c r="BT601" s="267"/>
      <c r="BU601" s="267"/>
      <c r="BV601" s="267"/>
      <c r="BW601" s="267"/>
      <c r="BX601" s="267"/>
      <c r="BY601" s="267"/>
      <c r="BZ601" s="267"/>
      <c r="CA601" s="267"/>
      <c r="CB601" s="267"/>
      <c r="CC601" s="267"/>
      <c r="CD601" s="267"/>
      <c r="CE601" s="267"/>
      <c r="CF601" s="267"/>
      <c r="CG601" s="267"/>
      <c r="CH601" s="267"/>
      <c r="CI601" s="267"/>
      <c r="CJ601" s="267"/>
      <c r="CK601" s="267"/>
      <c r="CL601" s="267"/>
      <c r="CM601" s="267"/>
      <c r="CN601" s="267"/>
      <c r="CO601" s="267"/>
      <c r="CP601" s="267"/>
      <c r="CQ601" s="267"/>
      <c r="CR601" s="267"/>
      <c r="CS601" s="267"/>
      <c r="CT601" s="267"/>
      <c r="CU601" s="267"/>
      <c r="CV601" s="267"/>
      <c r="CW601" s="267"/>
      <c r="CX601" s="267"/>
      <c r="CY601" s="267"/>
      <c r="CZ601" s="267"/>
    </row>
    <row r="602" spans="2:104">
      <c r="B602" s="1235"/>
      <c r="C602" s="1235"/>
      <c r="D602" s="1235"/>
      <c r="E602" s="267"/>
      <c r="F602" s="267"/>
      <c r="G602" s="267"/>
      <c r="H602" s="267"/>
      <c r="I602" s="267"/>
      <c r="J602" s="267"/>
      <c r="K602" s="267"/>
      <c r="L602" s="267"/>
      <c r="M602" s="267"/>
      <c r="N602" s="267"/>
      <c r="O602" s="267"/>
      <c r="P602" s="267"/>
      <c r="Q602" s="267"/>
      <c r="R602" s="267"/>
      <c r="S602" s="267"/>
      <c r="T602" s="267"/>
      <c r="U602" s="267"/>
      <c r="V602" s="267"/>
      <c r="W602" s="267"/>
      <c r="X602" s="267"/>
      <c r="Y602" s="267"/>
      <c r="Z602" s="267"/>
      <c r="AA602" s="267"/>
      <c r="AB602" s="267"/>
      <c r="AC602" s="267"/>
      <c r="AD602" s="267"/>
      <c r="AE602" s="267"/>
      <c r="AF602" s="267"/>
      <c r="AG602" s="267"/>
      <c r="AH602" s="267"/>
      <c r="AI602" s="267"/>
      <c r="AJ602" s="267"/>
      <c r="AK602" s="267"/>
      <c r="AL602" s="267"/>
      <c r="AM602" s="267"/>
      <c r="AN602" s="267"/>
      <c r="AO602" s="267"/>
      <c r="AP602" s="267"/>
      <c r="AQ602" s="267"/>
      <c r="AR602" s="267"/>
      <c r="AS602" s="267"/>
      <c r="AT602" s="267"/>
      <c r="AU602" s="267"/>
      <c r="AV602" s="267"/>
      <c r="AW602" s="267"/>
      <c r="AX602" s="267"/>
      <c r="AY602" s="267"/>
      <c r="AZ602" s="267"/>
      <c r="BA602" s="267"/>
      <c r="BB602" s="267"/>
      <c r="BC602" s="267"/>
      <c r="BD602" s="267"/>
      <c r="BE602" s="267"/>
      <c r="BF602" s="267"/>
      <c r="BG602" s="267"/>
      <c r="BH602" s="267"/>
      <c r="BI602" s="267"/>
      <c r="BJ602" s="267"/>
      <c r="BK602" s="267"/>
      <c r="BL602" s="267"/>
      <c r="BM602" s="267"/>
      <c r="BN602" s="267"/>
      <c r="BO602" s="267"/>
      <c r="BP602" s="267"/>
      <c r="BQ602" s="267"/>
      <c r="BR602" s="267"/>
      <c r="BS602" s="267"/>
      <c r="BT602" s="267"/>
      <c r="BU602" s="267"/>
      <c r="BV602" s="267"/>
      <c r="BW602" s="267"/>
      <c r="BX602" s="267"/>
      <c r="BY602" s="267"/>
      <c r="BZ602" s="267"/>
      <c r="CA602" s="267"/>
      <c r="CB602" s="267"/>
      <c r="CC602" s="267"/>
      <c r="CD602" s="267"/>
      <c r="CE602" s="267"/>
      <c r="CF602" s="267"/>
      <c r="CG602" s="267"/>
      <c r="CH602" s="267"/>
      <c r="CI602" s="267"/>
      <c r="CJ602" s="267"/>
      <c r="CK602" s="267"/>
      <c r="CL602" s="267"/>
      <c r="CM602" s="267"/>
      <c r="CN602" s="267"/>
      <c r="CO602" s="267"/>
      <c r="CP602" s="267"/>
      <c r="CQ602" s="267"/>
      <c r="CR602" s="267"/>
      <c r="CS602" s="267"/>
      <c r="CT602" s="267"/>
      <c r="CU602" s="267"/>
      <c r="CV602" s="267"/>
      <c r="CW602" s="267"/>
      <c r="CX602" s="267"/>
      <c r="CY602" s="267"/>
      <c r="CZ602" s="267"/>
    </row>
    <row r="603" spans="2:104">
      <c r="B603" s="1235"/>
      <c r="C603" s="1235"/>
      <c r="D603" s="1235"/>
      <c r="E603" s="267"/>
      <c r="F603" s="267"/>
      <c r="G603" s="267"/>
      <c r="H603" s="267"/>
      <c r="I603" s="267"/>
      <c r="J603" s="267"/>
      <c r="K603" s="267"/>
      <c r="L603" s="267"/>
      <c r="M603" s="267"/>
      <c r="N603" s="267"/>
      <c r="O603" s="267"/>
      <c r="P603" s="267"/>
      <c r="Q603" s="267"/>
      <c r="R603" s="267"/>
      <c r="S603" s="267"/>
      <c r="T603" s="267"/>
      <c r="U603" s="267"/>
      <c r="V603" s="267"/>
      <c r="W603" s="267"/>
      <c r="X603" s="267"/>
      <c r="Y603" s="267"/>
      <c r="Z603" s="267"/>
      <c r="AA603" s="267"/>
      <c r="AB603" s="267"/>
      <c r="AC603" s="267"/>
      <c r="AD603" s="267"/>
      <c r="AE603" s="267"/>
      <c r="AF603" s="267"/>
      <c r="AG603" s="267"/>
      <c r="AH603" s="267"/>
      <c r="AI603" s="267"/>
      <c r="AJ603" s="267"/>
      <c r="AK603" s="267"/>
      <c r="AL603" s="267"/>
      <c r="AM603" s="267"/>
      <c r="AN603" s="267"/>
      <c r="AO603" s="267"/>
      <c r="AP603" s="267"/>
      <c r="AQ603" s="267"/>
      <c r="AR603" s="267"/>
      <c r="AS603" s="267"/>
      <c r="AT603" s="267"/>
      <c r="AU603" s="267"/>
      <c r="AV603" s="267"/>
      <c r="AW603" s="267"/>
      <c r="AX603" s="267"/>
      <c r="AY603" s="267"/>
      <c r="AZ603" s="267"/>
      <c r="BA603" s="267"/>
      <c r="BB603" s="267"/>
      <c r="BC603" s="267"/>
      <c r="BD603" s="267"/>
      <c r="BE603" s="267"/>
      <c r="BF603" s="267"/>
      <c r="BG603" s="267"/>
      <c r="BH603" s="267"/>
      <c r="BI603" s="267"/>
      <c r="BJ603" s="267"/>
      <c r="BK603" s="267"/>
      <c r="BL603" s="267"/>
      <c r="BM603" s="267"/>
      <c r="BN603" s="267"/>
      <c r="BO603" s="267"/>
      <c r="BP603" s="267"/>
      <c r="BQ603" s="267"/>
      <c r="BR603" s="267"/>
      <c r="BS603" s="267"/>
      <c r="BT603" s="267"/>
      <c r="BU603" s="267"/>
      <c r="BV603" s="267"/>
      <c r="BW603" s="267"/>
      <c r="BX603" s="267"/>
      <c r="BY603" s="267"/>
      <c r="BZ603" s="267"/>
      <c r="CA603" s="267"/>
      <c r="CB603" s="267"/>
      <c r="CC603" s="267"/>
      <c r="CD603" s="267"/>
      <c r="CE603" s="267"/>
      <c r="CF603" s="267"/>
      <c r="CG603" s="267"/>
      <c r="CH603" s="267"/>
      <c r="CI603" s="267"/>
      <c r="CJ603" s="267"/>
      <c r="CK603" s="267"/>
      <c r="CL603" s="267"/>
      <c r="CM603" s="267"/>
      <c r="CN603" s="267"/>
      <c r="CO603" s="267"/>
      <c r="CP603" s="267"/>
      <c r="CQ603" s="267"/>
      <c r="CR603" s="267"/>
      <c r="CS603" s="267"/>
      <c r="CT603" s="267"/>
      <c r="CU603" s="267"/>
      <c r="CV603" s="267"/>
      <c r="CW603" s="267"/>
      <c r="CX603" s="267"/>
      <c r="CY603" s="267"/>
      <c r="CZ603" s="267"/>
    </row>
    <row r="604" spans="2:104">
      <c r="B604" s="1235"/>
      <c r="C604" s="1235"/>
      <c r="D604" s="1235"/>
      <c r="E604" s="267"/>
      <c r="F604" s="267"/>
      <c r="G604" s="267"/>
      <c r="H604" s="267"/>
      <c r="I604" s="267"/>
      <c r="J604" s="267"/>
      <c r="K604" s="267"/>
      <c r="L604" s="267"/>
      <c r="M604" s="267"/>
      <c r="N604" s="267"/>
      <c r="O604" s="267"/>
      <c r="P604" s="267"/>
      <c r="Q604" s="267"/>
      <c r="R604" s="267"/>
      <c r="S604" s="267"/>
      <c r="T604" s="267"/>
      <c r="U604" s="267"/>
      <c r="V604" s="267"/>
      <c r="W604" s="267"/>
      <c r="X604" s="267"/>
      <c r="Y604" s="267"/>
      <c r="Z604" s="267"/>
      <c r="AA604" s="267"/>
      <c r="AB604" s="267"/>
      <c r="AC604" s="267"/>
      <c r="AD604" s="267"/>
      <c r="AE604" s="267"/>
      <c r="AF604" s="267"/>
      <c r="AG604" s="267"/>
      <c r="AH604" s="267"/>
      <c r="AI604" s="267"/>
      <c r="AJ604" s="267"/>
      <c r="AK604" s="267"/>
      <c r="AL604" s="267"/>
      <c r="AM604" s="267"/>
      <c r="AN604" s="267"/>
      <c r="AO604" s="267"/>
      <c r="AP604" s="267"/>
      <c r="AQ604" s="267"/>
      <c r="AR604" s="267"/>
      <c r="AS604" s="267"/>
      <c r="AT604" s="267"/>
      <c r="AU604" s="267"/>
      <c r="AV604" s="267"/>
      <c r="AW604" s="267"/>
      <c r="AX604" s="267"/>
      <c r="AY604" s="267"/>
      <c r="AZ604" s="267"/>
      <c r="BA604" s="267"/>
      <c r="BB604" s="267"/>
      <c r="BC604" s="267"/>
      <c r="BD604" s="267"/>
      <c r="BE604" s="267"/>
      <c r="BF604" s="267"/>
      <c r="BG604" s="267"/>
      <c r="BH604" s="267"/>
      <c r="BI604" s="267"/>
      <c r="BJ604" s="267"/>
      <c r="BK604" s="267"/>
      <c r="BL604" s="267"/>
      <c r="BM604" s="267"/>
      <c r="BN604" s="267"/>
      <c r="BO604" s="267"/>
      <c r="BP604" s="267"/>
      <c r="BQ604" s="267"/>
      <c r="BR604" s="267"/>
      <c r="BS604" s="267"/>
      <c r="BT604" s="267"/>
      <c r="BU604" s="267"/>
      <c r="BV604" s="267"/>
      <c r="BW604" s="267"/>
      <c r="BX604" s="267"/>
      <c r="BY604" s="267"/>
      <c r="BZ604" s="267"/>
      <c r="CA604" s="267"/>
      <c r="CB604" s="267"/>
      <c r="CC604" s="267"/>
      <c r="CD604" s="267"/>
      <c r="CE604" s="267"/>
      <c r="CF604" s="267"/>
      <c r="CG604" s="267"/>
      <c r="CH604" s="267"/>
      <c r="CI604" s="267"/>
      <c r="CJ604" s="267"/>
      <c r="CK604" s="267"/>
      <c r="CL604" s="267"/>
      <c r="CM604" s="267"/>
      <c r="CN604" s="267"/>
      <c r="CO604" s="267"/>
      <c r="CP604" s="267"/>
      <c r="CQ604" s="267"/>
      <c r="CR604" s="267"/>
      <c r="CS604" s="267"/>
      <c r="CT604" s="267"/>
      <c r="CU604" s="267"/>
      <c r="CV604" s="267"/>
      <c r="CW604" s="267"/>
      <c r="CX604" s="267"/>
      <c r="CY604" s="267"/>
      <c r="CZ604" s="267"/>
    </row>
    <row r="605" spans="2:104">
      <c r="B605" s="1235"/>
      <c r="C605" s="1235"/>
      <c r="D605" s="1235"/>
      <c r="E605" s="267"/>
      <c r="F605" s="267"/>
      <c r="G605" s="267"/>
      <c r="H605" s="267"/>
      <c r="I605" s="267"/>
      <c r="J605" s="267"/>
      <c r="K605" s="267"/>
      <c r="L605" s="267"/>
      <c r="M605" s="267"/>
      <c r="N605" s="267"/>
      <c r="O605" s="267"/>
      <c r="P605" s="267"/>
      <c r="Q605" s="267"/>
      <c r="R605" s="267"/>
      <c r="S605" s="267"/>
      <c r="T605" s="267"/>
      <c r="U605" s="267"/>
      <c r="V605" s="267"/>
      <c r="W605" s="267"/>
      <c r="X605" s="267"/>
      <c r="Y605" s="267"/>
      <c r="Z605" s="267"/>
      <c r="AA605" s="267"/>
      <c r="AB605" s="267"/>
      <c r="AC605" s="267"/>
      <c r="AD605" s="267"/>
      <c r="AE605" s="267"/>
      <c r="AF605" s="267"/>
      <c r="AG605" s="267"/>
      <c r="AH605" s="267"/>
      <c r="AI605" s="267"/>
      <c r="AJ605" s="267"/>
      <c r="AK605" s="267"/>
      <c r="AL605" s="267"/>
      <c r="AM605" s="267"/>
      <c r="AN605" s="267"/>
      <c r="AO605" s="267"/>
      <c r="AP605" s="267"/>
      <c r="AQ605" s="267"/>
      <c r="AR605" s="267"/>
      <c r="AS605" s="267"/>
      <c r="AT605" s="267"/>
      <c r="AU605" s="267"/>
      <c r="AV605" s="267"/>
      <c r="AW605" s="267"/>
      <c r="AX605" s="267"/>
      <c r="AY605" s="267"/>
      <c r="AZ605" s="267"/>
      <c r="BA605" s="267"/>
      <c r="BB605" s="267"/>
      <c r="BC605" s="267"/>
      <c r="BD605" s="267"/>
      <c r="BE605" s="267"/>
      <c r="BF605" s="267"/>
      <c r="BG605" s="267"/>
      <c r="BH605" s="267"/>
      <c r="BI605" s="267"/>
      <c r="BJ605" s="267"/>
      <c r="BK605" s="267"/>
      <c r="BL605" s="267"/>
      <c r="BM605" s="267"/>
      <c r="BN605" s="267"/>
      <c r="BO605" s="267"/>
      <c r="BP605" s="267"/>
      <c r="BQ605" s="267"/>
      <c r="BR605" s="267"/>
      <c r="BS605" s="267"/>
      <c r="BT605" s="267"/>
      <c r="BU605" s="267"/>
      <c r="BV605" s="267"/>
      <c r="BW605" s="267"/>
      <c r="BX605" s="267"/>
      <c r="BY605" s="267"/>
      <c r="BZ605" s="267"/>
      <c r="CA605" s="267"/>
      <c r="CB605" s="267"/>
      <c r="CC605" s="267"/>
      <c r="CD605" s="267"/>
      <c r="CE605" s="267"/>
      <c r="CF605" s="267"/>
      <c r="CG605" s="267"/>
      <c r="CH605" s="267"/>
      <c r="CI605" s="267"/>
      <c r="CJ605" s="267"/>
      <c r="CK605" s="267"/>
      <c r="CL605" s="267"/>
      <c r="CM605" s="267"/>
      <c r="CN605" s="267"/>
      <c r="CO605" s="267"/>
      <c r="CP605" s="267"/>
      <c r="CQ605" s="267"/>
      <c r="CR605" s="267"/>
      <c r="CS605" s="267"/>
      <c r="CT605" s="267"/>
      <c r="CU605" s="267"/>
      <c r="CV605" s="267"/>
      <c r="CW605" s="267"/>
      <c r="CX605" s="267"/>
      <c r="CY605" s="267"/>
      <c r="CZ605" s="267"/>
    </row>
    <row r="606" spans="2:104">
      <c r="B606" s="1235"/>
      <c r="C606" s="1235"/>
      <c r="D606" s="1235"/>
      <c r="E606" s="267"/>
      <c r="F606" s="267"/>
      <c r="G606" s="267"/>
      <c r="H606" s="267"/>
      <c r="I606" s="267"/>
      <c r="J606" s="267"/>
      <c r="K606" s="267"/>
      <c r="L606" s="267"/>
      <c r="M606" s="267"/>
      <c r="N606" s="267"/>
      <c r="O606" s="267"/>
      <c r="P606" s="267"/>
      <c r="Q606" s="267"/>
      <c r="R606" s="267"/>
      <c r="S606" s="267"/>
      <c r="T606" s="267"/>
      <c r="U606" s="267"/>
      <c r="V606" s="267"/>
      <c r="W606" s="267"/>
      <c r="X606" s="267"/>
      <c r="Y606" s="267"/>
      <c r="Z606" s="267"/>
      <c r="AA606" s="267"/>
      <c r="AB606" s="267"/>
      <c r="AC606" s="267"/>
      <c r="AD606" s="267"/>
      <c r="AE606" s="267"/>
      <c r="AF606" s="267"/>
      <c r="AG606" s="267"/>
      <c r="AH606" s="267"/>
      <c r="AI606" s="267"/>
      <c r="AJ606" s="267"/>
      <c r="AK606" s="267"/>
      <c r="AL606" s="267"/>
      <c r="AM606" s="267"/>
      <c r="AN606" s="267"/>
      <c r="AO606" s="267"/>
      <c r="AP606" s="267"/>
      <c r="AQ606" s="267"/>
      <c r="AR606" s="267"/>
      <c r="AS606" s="267"/>
      <c r="AT606" s="267"/>
      <c r="AU606" s="267"/>
      <c r="AV606" s="267"/>
      <c r="AW606" s="267"/>
      <c r="AX606" s="267"/>
      <c r="AY606" s="267"/>
      <c r="AZ606" s="267"/>
      <c r="BA606" s="267"/>
      <c r="BB606" s="267"/>
      <c r="BC606" s="267"/>
      <c r="BD606" s="267"/>
      <c r="BE606" s="267"/>
      <c r="BF606" s="267"/>
      <c r="BG606" s="267"/>
      <c r="BH606" s="267"/>
      <c r="BI606" s="267"/>
      <c r="BJ606" s="267"/>
      <c r="BK606" s="267"/>
      <c r="BL606" s="267"/>
      <c r="BM606" s="267"/>
      <c r="BN606" s="267"/>
      <c r="BO606" s="267"/>
      <c r="BP606" s="267"/>
      <c r="BQ606" s="267"/>
      <c r="BR606" s="267"/>
      <c r="BS606" s="267"/>
      <c r="BT606" s="267"/>
      <c r="BU606" s="267"/>
      <c r="BV606" s="267"/>
      <c r="BW606" s="267"/>
      <c r="BX606" s="267"/>
      <c r="BY606" s="267"/>
      <c r="BZ606" s="267"/>
      <c r="CA606" s="267"/>
      <c r="CB606" s="267"/>
      <c r="CC606" s="267"/>
      <c r="CD606" s="267"/>
      <c r="CE606" s="267"/>
      <c r="CF606" s="267"/>
      <c r="CG606" s="267"/>
      <c r="CH606" s="267"/>
      <c r="CI606" s="267"/>
      <c r="CJ606" s="267"/>
      <c r="CK606" s="267"/>
      <c r="CL606" s="267"/>
      <c r="CM606" s="267"/>
      <c r="CN606" s="267"/>
      <c r="CO606" s="267"/>
      <c r="CP606" s="267"/>
      <c r="CQ606" s="267"/>
      <c r="CR606" s="267"/>
      <c r="CS606" s="267"/>
      <c r="CT606" s="267"/>
      <c r="CU606" s="267"/>
      <c r="CV606" s="267"/>
      <c r="CW606" s="267"/>
      <c r="CX606" s="267"/>
      <c r="CY606" s="267"/>
      <c r="CZ606" s="267"/>
    </row>
    <row r="607" spans="2:104">
      <c r="B607" s="1235"/>
      <c r="C607" s="1235"/>
      <c r="D607" s="1235"/>
      <c r="E607" s="267"/>
      <c r="F607" s="267"/>
      <c r="G607" s="267"/>
      <c r="H607" s="267"/>
      <c r="I607" s="267"/>
      <c r="J607" s="267"/>
      <c r="K607" s="267"/>
      <c r="L607" s="267"/>
      <c r="M607" s="267"/>
      <c r="N607" s="267"/>
      <c r="O607" s="267"/>
      <c r="P607" s="267"/>
      <c r="Q607" s="267"/>
      <c r="R607" s="267"/>
      <c r="S607" s="267"/>
      <c r="T607" s="267"/>
      <c r="U607" s="267"/>
      <c r="V607" s="267"/>
      <c r="W607" s="267"/>
      <c r="X607" s="267"/>
      <c r="Y607" s="267"/>
      <c r="Z607" s="267"/>
      <c r="AA607" s="267"/>
      <c r="AB607" s="267"/>
      <c r="AC607" s="267"/>
      <c r="AD607" s="267"/>
      <c r="AE607" s="267"/>
      <c r="AF607" s="267"/>
      <c r="AG607" s="267"/>
      <c r="AH607" s="267"/>
      <c r="AI607" s="267"/>
      <c r="AJ607" s="267"/>
      <c r="AK607" s="267"/>
      <c r="AL607" s="267"/>
      <c r="AM607" s="267"/>
      <c r="AN607" s="267"/>
      <c r="AO607" s="267"/>
      <c r="AP607" s="267"/>
      <c r="AQ607" s="267"/>
      <c r="AR607" s="267"/>
      <c r="AS607" s="267"/>
      <c r="AT607" s="267"/>
      <c r="AU607" s="267"/>
      <c r="AV607" s="267"/>
      <c r="AW607" s="267"/>
      <c r="AX607" s="267"/>
      <c r="AY607" s="267"/>
      <c r="AZ607" s="267"/>
      <c r="BA607" s="267"/>
      <c r="BB607" s="267"/>
      <c r="BC607" s="267"/>
      <c r="BD607" s="267"/>
      <c r="BE607" s="267"/>
      <c r="BF607" s="267"/>
      <c r="BG607" s="267"/>
      <c r="BH607" s="267"/>
      <c r="BI607" s="267"/>
      <c r="BJ607" s="267"/>
      <c r="BK607" s="267"/>
      <c r="BL607" s="267"/>
      <c r="BM607" s="267"/>
      <c r="BN607" s="267"/>
      <c r="BO607" s="267"/>
      <c r="BP607" s="267"/>
      <c r="BQ607" s="267"/>
      <c r="BR607" s="267"/>
      <c r="BS607" s="267"/>
      <c r="BT607" s="267"/>
      <c r="BU607" s="267"/>
      <c r="BV607" s="267"/>
      <c r="BW607" s="267"/>
      <c r="BX607" s="267"/>
      <c r="BY607" s="267"/>
      <c r="BZ607" s="267"/>
      <c r="CA607" s="267"/>
      <c r="CB607" s="267"/>
      <c r="CC607" s="267"/>
      <c r="CD607" s="267"/>
      <c r="CE607" s="267"/>
      <c r="CF607" s="267"/>
      <c r="CG607" s="267"/>
      <c r="CH607" s="267"/>
      <c r="CI607" s="267"/>
      <c r="CJ607" s="267"/>
      <c r="CK607" s="267"/>
      <c r="CL607" s="267"/>
      <c r="CM607" s="267"/>
      <c r="CN607" s="267"/>
      <c r="CO607" s="267"/>
      <c r="CP607" s="267"/>
      <c r="CQ607" s="267"/>
      <c r="CR607" s="267"/>
      <c r="CS607" s="267"/>
      <c r="CT607" s="267"/>
      <c r="CU607" s="267"/>
      <c r="CV607" s="267"/>
      <c r="CW607" s="267"/>
      <c r="CX607" s="267"/>
      <c r="CY607" s="267"/>
      <c r="CZ607" s="267"/>
    </row>
    <row r="608" spans="2:104">
      <c r="B608" s="1235"/>
      <c r="C608" s="1235"/>
      <c r="D608" s="1235"/>
      <c r="E608" s="267"/>
      <c r="F608" s="267"/>
      <c r="G608" s="267"/>
      <c r="H608" s="267"/>
      <c r="I608" s="267"/>
      <c r="J608" s="267"/>
      <c r="K608" s="267"/>
      <c r="L608" s="267"/>
      <c r="M608" s="267"/>
      <c r="N608" s="267"/>
      <c r="O608" s="267"/>
      <c r="P608" s="267"/>
      <c r="Q608" s="267"/>
      <c r="R608" s="267"/>
      <c r="S608" s="267"/>
      <c r="T608" s="267"/>
      <c r="U608" s="267"/>
      <c r="V608" s="267"/>
      <c r="W608" s="267"/>
      <c r="X608" s="267"/>
      <c r="Y608" s="267"/>
      <c r="Z608" s="267"/>
      <c r="AA608" s="267"/>
      <c r="AB608" s="267"/>
      <c r="AC608" s="267"/>
      <c r="AD608" s="267"/>
      <c r="AE608" s="267"/>
      <c r="AF608" s="267"/>
      <c r="AG608" s="267"/>
      <c r="AH608" s="267"/>
      <c r="AI608" s="267"/>
      <c r="AJ608" s="267"/>
      <c r="AK608" s="267"/>
      <c r="AL608" s="267"/>
      <c r="AM608" s="267"/>
      <c r="AN608" s="267"/>
      <c r="AO608" s="267"/>
      <c r="AP608" s="267"/>
      <c r="AQ608" s="267"/>
      <c r="AR608" s="267"/>
      <c r="AS608" s="267"/>
      <c r="AT608" s="267"/>
      <c r="AU608" s="267"/>
      <c r="AV608" s="267"/>
      <c r="AW608" s="267"/>
      <c r="AX608" s="267"/>
      <c r="AY608" s="267"/>
      <c r="AZ608" s="267"/>
      <c r="BA608" s="267"/>
      <c r="BB608" s="267"/>
      <c r="BC608" s="267"/>
      <c r="BD608" s="267"/>
      <c r="BE608" s="267"/>
      <c r="BF608" s="267"/>
      <c r="BG608" s="267"/>
      <c r="BH608" s="267"/>
      <c r="BI608" s="267"/>
      <c r="BJ608" s="267"/>
      <c r="BK608" s="267"/>
      <c r="BL608" s="267"/>
      <c r="BM608" s="267"/>
      <c r="BN608" s="267"/>
      <c r="BO608" s="267"/>
      <c r="BP608" s="267"/>
      <c r="BQ608" s="267"/>
      <c r="BR608" s="267"/>
      <c r="BS608" s="267"/>
      <c r="BT608" s="267"/>
      <c r="BU608" s="267"/>
      <c r="BV608" s="267"/>
      <c r="BW608" s="267"/>
      <c r="BX608" s="267"/>
      <c r="BY608" s="267"/>
      <c r="BZ608" s="267"/>
      <c r="CA608" s="267"/>
      <c r="CB608" s="267"/>
      <c r="CC608" s="267"/>
      <c r="CD608" s="267"/>
      <c r="CE608" s="267"/>
      <c r="CF608" s="267"/>
      <c r="CG608" s="267"/>
      <c r="CH608" s="267"/>
      <c r="CI608" s="267"/>
      <c r="CJ608" s="267"/>
      <c r="CK608" s="267"/>
      <c r="CL608" s="267"/>
      <c r="CM608" s="267"/>
      <c r="CN608" s="267"/>
      <c r="CO608" s="267"/>
      <c r="CP608" s="267"/>
      <c r="CQ608" s="267"/>
      <c r="CR608" s="267"/>
      <c r="CS608" s="267"/>
      <c r="CT608" s="267"/>
      <c r="CU608" s="267"/>
      <c r="CV608" s="267"/>
      <c r="CW608" s="267"/>
      <c r="CX608" s="267"/>
      <c r="CY608" s="267"/>
      <c r="CZ608" s="267"/>
    </row>
    <row r="609" spans="2:104">
      <c r="B609" s="1235"/>
      <c r="C609" s="1235"/>
      <c r="D609" s="1235"/>
      <c r="E609" s="267"/>
      <c r="F609" s="267"/>
      <c r="G609" s="267"/>
      <c r="H609" s="267"/>
      <c r="I609" s="267"/>
      <c r="J609" s="267"/>
      <c r="K609" s="267"/>
      <c r="L609" s="267"/>
      <c r="M609" s="267"/>
      <c r="N609" s="267"/>
      <c r="O609" s="267"/>
      <c r="P609" s="267"/>
      <c r="Q609" s="267"/>
      <c r="R609" s="267"/>
      <c r="S609" s="267"/>
      <c r="T609" s="267"/>
      <c r="U609" s="267"/>
      <c r="V609" s="267"/>
      <c r="W609" s="267"/>
      <c r="X609" s="267"/>
      <c r="Y609" s="267"/>
      <c r="Z609" s="267"/>
      <c r="AA609" s="267"/>
      <c r="AB609" s="267"/>
      <c r="AC609" s="267"/>
      <c r="AD609" s="267"/>
      <c r="AE609" s="267"/>
      <c r="AF609" s="267"/>
      <c r="AG609" s="267"/>
      <c r="AH609" s="267"/>
      <c r="AI609" s="267"/>
      <c r="AJ609" s="267"/>
      <c r="AK609" s="267"/>
      <c r="AL609" s="267"/>
      <c r="AM609" s="267"/>
      <c r="AN609" s="267"/>
      <c r="AO609" s="267"/>
      <c r="AP609" s="267"/>
      <c r="AQ609" s="267"/>
      <c r="AR609" s="267"/>
      <c r="AS609" s="267"/>
      <c r="AT609" s="267"/>
      <c r="AU609" s="267"/>
      <c r="AV609" s="267"/>
      <c r="AW609" s="267"/>
      <c r="AX609" s="267"/>
      <c r="AY609" s="267"/>
      <c r="AZ609" s="267"/>
      <c r="BA609" s="267"/>
      <c r="BB609" s="267"/>
      <c r="BC609" s="267"/>
      <c r="BD609" s="267"/>
      <c r="BE609" s="267"/>
      <c r="BF609" s="267"/>
      <c r="BG609" s="267"/>
      <c r="BH609" s="267"/>
      <c r="BI609" s="267"/>
      <c r="BJ609" s="267"/>
      <c r="BK609" s="267"/>
      <c r="BL609" s="267"/>
      <c r="BM609" s="267"/>
      <c r="BN609" s="267"/>
      <c r="BO609" s="267"/>
      <c r="BP609" s="267"/>
      <c r="BQ609" s="267"/>
      <c r="BR609" s="267"/>
      <c r="BS609" s="267"/>
      <c r="BT609" s="267"/>
      <c r="BU609" s="267"/>
      <c r="BV609" s="267"/>
      <c r="BW609" s="267"/>
      <c r="BX609" s="267"/>
      <c r="BY609" s="267"/>
      <c r="BZ609" s="267"/>
      <c r="CA609" s="267"/>
      <c r="CB609" s="267"/>
      <c r="CC609" s="267"/>
      <c r="CD609" s="267"/>
      <c r="CE609" s="267"/>
      <c r="CF609" s="267"/>
      <c r="CG609" s="267"/>
      <c r="CH609" s="267"/>
      <c r="CI609" s="267"/>
      <c r="CJ609" s="267"/>
      <c r="CK609" s="267"/>
      <c r="CL609" s="267"/>
      <c r="CM609" s="267"/>
      <c r="CN609" s="267"/>
      <c r="CO609" s="267"/>
      <c r="CP609" s="267"/>
      <c r="CQ609" s="267"/>
      <c r="CR609" s="267"/>
      <c r="CS609" s="267"/>
      <c r="CT609" s="267"/>
      <c r="CU609" s="267"/>
      <c r="CV609" s="267"/>
      <c r="CW609" s="267"/>
      <c r="CX609" s="267"/>
      <c r="CY609" s="267"/>
      <c r="CZ609" s="267"/>
    </row>
    <row r="610" spans="2:104">
      <c r="B610" s="1235"/>
      <c r="C610" s="1235"/>
      <c r="D610" s="1235"/>
      <c r="E610" s="267"/>
      <c r="F610" s="267"/>
      <c r="G610" s="267"/>
      <c r="H610" s="267"/>
      <c r="I610" s="267"/>
      <c r="J610" s="267"/>
      <c r="K610" s="267"/>
      <c r="L610" s="267"/>
      <c r="M610" s="267"/>
      <c r="N610" s="267"/>
      <c r="O610" s="267"/>
      <c r="P610" s="267"/>
      <c r="Q610" s="267"/>
      <c r="R610" s="267"/>
      <c r="S610" s="267"/>
      <c r="T610" s="267"/>
      <c r="U610" s="267"/>
      <c r="V610" s="267"/>
      <c r="W610" s="267"/>
      <c r="X610" s="267"/>
      <c r="Y610" s="267"/>
      <c r="Z610" s="267"/>
      <c r="AA610" s="267"/>
      <c r="AB610" s="267"/>
      <c r="AC610" s="267"/>
      <c r="AD610" s="267"/>
      <c r="AE610" s="267"/>
      <c r="AF610" s="267"/>
      <c r="AG610" s="267"/>
      <c r="AH610" s="267"/>
      <c r="AI610" s="267"/>
      <c r="AJ610" s="267"/>
      <c r="AK610" s="267"/>
      <c r="AL610" s="267"/>
      <c r="AM610" s="267"/>
      <c r="AN610" s="267"/>
      <c r="AO610" s="267"/>
      <c r="AP610" s="267"/>
      <c r="AQ610" s="267"/>
      <c r="AR610" s="267"/>
      <c r="AS610" s="267"/>
      <c r="AT610" s="267"/>
      <c r="AU610" s="267"/>
      <c r="AV610" s="267"/>
      <c r="AW610" s="267"/>
      <c r="AX610" s="267"/>
      <c r="AY610" s="267"/>
      <c r="AZ610" s="267"/>
      <c r="BA610" s="267"/>
      <c r="BB610" s="267"/>
      <c r="BC610" s="267"/>
      <c r="BD610" s="267"/>
      <c r="BE610" s="267"/>
      <c r="BF610" s="267"/>
      <c r="BG610" s="267"/>
      <c r="BH610" s="267"/>
      <c r="BI610" s="267"/>
      <c r="BJ610" s="267"/>
      <c r="BK610" s="267"/>
      <c r="BL610" s="267"/>
      <c r="BM610" s="267"/>
      <c r="BN610" s="267"/>
      <c r="BO610" s="267"/>
      <c r="BP610" s="267"/>
      <c r="BQ610" s="267"/>
      <c r="BR610" s="267"/>
      <c r="BS610" s="267"/>
      <c r="BT610" s="267"/>
      <c r="BU610" s="267"/>
      <c r="BV610" s="267"/>
      <c r="BW610" s="267"/>
      <c r="BX610" s="267"/>
      <c r="BY610" s="267"/>
      <c r="BZ610" s="267"/>
      <c r="CA610" s="267"/>
      <c r="CB610" s="267"/>
      <c r="CC610" s="267"/>
      <c r="CD610" s="267"/>
      <c r="CE610" s="267"/>
      <c r="CF610" s="267"/>
      <c r="CG610" s="267"/>
      <c r="CH610" s="267"/>
      <c r="CI610" s="267"/>
      <c r="CJ610" s="267"/>
      <c r="CK610" s="267"/>
      <c r="CL610" s="267"/>
      <c r="CM610" s="267"/>
      <c r="CN610" s="267"/>
      <c r="CO610" s="267"/>
      <c r="CP610" s="267"/>
      <c r="CQ610" s="267"/>
      <c r="CR610" s="267"/>
      <c r="CS610" s="267"/>
      <c r="CT610" s="267"/>
      <c r="CU610" s="267"/>
      <c r="CV610" s="267"/>
      <c r="CW610" s="267"/>
      <c r="CX610" s="267"/>
      <c r="CY610" s="267"/>
      <c r="CZ610" s="267"/>
    </row>
    <row r="611" spans="2:104">
      <c r="B611" s="1235"/>
      <c r="C611" s="1235"/>
      <c r="D611" s="1235"/>
      <c r="E611" s="267"/>
      <c r="F611" s="267"/>
      <c r="G611" s="267"/>
      <c r="H611" s="267"/>
      <c r="I611" s="267"/>
      <c r="J611" s="267"/>
      <c r="K611" s="267"/>
      <c r="L611" s="267"/>
      <c r="M611" s="267"/>
      <c r="N611" s="267"/>
      <c r="O611" s="267"/>
      <c r="P611" s="267"/>
      <c r="Q611" s="267"/>
      <c r="R611" s="267"/>
      <c r="S611" s="267"/>
      <c r="T611" s="267"/>
      <c r="U611" s="267"/>
      <c r="V611" s="267"/>
      <c r="W611" s="267"/>
      <c r="X611" s="267"/>
      <c r="Y611" s="267"/>
      <c r="Z611" s="267"/>
      <c r="AA611" s="267"/>
      <c r="AB611" s="267"/>
      <c r="AC611" s="267"/>
      <c r="AD611" s="267"/>
      <c r="AE611" s="267"/>
      <c r="AF611" s="267"/>
      <c r="AG611" s="267"/>
      <c r="AH611" s="267"/>
      <c r="AI611" s="267"/>
      <c r="AJ611" s="267"/>
      <c r="AK611" s="267"/>
      <c r="AL611" s="267"/>
      <c r="AM611" s="267"/>
      <c r="AN611" s="267"/>
      <c r="AO611" s="267"/>
      <c r="AP611" s="267"/>
      <c r="AQ611" s="267"/>
      <c r="AR611" s="267"/>
      <c r="AS611" s="267"/>
      <c r="AT611" s="267"/>
      <c r="AU611" s="267"/>
      <c r="AV611" s="267"/>
      <c r="AW611" s="267"/>
      <c r="AX611" s="267"/>
      <c r="AY611" s="267"/>
      <c r="AZ611" s="267"/>
      <c r="BA611" s="267"/>
      <c r="BB611" s="267"/>
      <c r="BC611" s="267"/>
      <c r="BD611" s="267"/>
      <c r="BE611" s="267"/>
      <c r="BF611" s="267"/>
      <c r="BG611" s="267"/>
      <c r="BH611" s="267"/>
      <c r="BI611" s="267"/>
      <c r="BJ611" s="267"/>
      <c r="BK611" s="267"/>
      <c r="BL611" s="267"/>
      <c r="BM611" s="267"/>
      <c r="BN611" s="267"/>
      <c r="BO611" s="267"/>
      <c r="BP611" s="267"/>
      <c r="BQ611" s="267"/>
      <c r="BR611" s="267"/>
      <c r="BS611" s="267"/>
      <c r="BT611" s="267"/>
      <c r="BU611" s="267"/>
      <c r="BV611" s="267"/>
      <c r="BW611" s="267"/>
      <c r="BX611" s="267"/>
      <c r="BY611" s="267"/>
      <c r="BZ611" s="267"/>
      <c r="CA611" s="267"/>
      <c r="CB611" s="267"/>
      <c r="CC611" s="267"/>
      <c r="CD611" s="267"/>
      <c r="CE611" s="267"/>
      <c r="CF611" s="267"/>
      <c r="CG611" s="267"/>
      <c r="CH611" s="267"/>
      <c r="CI611" s="267"/>
      <c r="CJ611" s="267"/>
      <c r="CK611" s="267"/>
      <c r="CL611" s="267"/>
      <c r="CM611" s="267"/>
      <c r="CN611" s="267"/>
      <c r="CO611" s="267"/>
      <c r="CP611" s="267"/>
      <c r="CQ611" s="267"/>
      <c r="CR611" s="267"/>
      <c r="CS611" s="267"/>
      <c r="CT611" s="267"/>
      <c r="CU611" s="267"/>
      <c r="CV611" s="267"/>
      <c r="CW611" s="267"/>
      <c r="CX611" s="267"/>
      <c r="CY611" s="267"/>
      <c r="CZ611" s="267"/>
    </row>
    <row r="612" spans="2:104">
      <c r="B612" s="1235"/>
      <c r="C612" s="1235"/>
      <c r="D612" s="1235"/>
      <c r="E612" s="267"/>
      <c r="F612" s="267"/>
      <c r="G612" s="267"/>
      <c r="H612" s="267"/>
      <c r="I612" s="267"/>
      <c r="J612" s="267"/>
      <c r="K612" s="267"/>
      <c r="L612" s="267"/>
      <c r="M612" s="267"/>
      <c r="N612" s="267"/>
      <c r="O612" s="267"/>
      <c r="P612" s="267"/>
      <c r="Q612" s="267"/>
      <c r="R612" s="267"/>
      <c r="S612" s="267"/>
      <c r="T612" s="267"/>
      <c r="U612" s="267"/>
      <c r="V612" s="267"/>
      <c r="W612" s="267"/>
      <c r="X612" s="267"/>
      <c r="Y612" s="267"/>
      <c r="Z612" s="267"/>
      <c r="AA612" s="267"/>
      <c r="AB612" s="267"/>
      <c r="AC612" s="267"/>
      <c r="AD612" s="267"/>
      <c r="AE612" s="267"/>
      <c r="AF612" s="267"/>
      <c r="AG612" s="267"/>
      <c r="AH612" s="267"/>
      <c r="AI612" s="267"/>
      <c r="AJ612" s="267"/>
      <c r="AK612" s="267"/>
      <c r="AL612" s="267"/>
      <c r="AM612" s="267"/>
      <c r="AN612" s="267"/>
      <c r="AO612" s="267"/>
      <c r="AP612" s="267"/>
      <c r="AQ612" s="267"/>
      <c r="AR612" s="267"/>
      <c r="AS612" s="267"/>
      <c r="AT612" s="267"/>
      <c r="AU612" s="267"/>
      <c r="AV612" s="267"/>
      <c r="AW612" s="267"/>
      <c r="AX612" s="267"/>
      <c r="AY612" s="267"/>
      <c r="AZ612" s="267"/>
      <c r="BA612" s="267"/>
      <c r="BB612" s="267"/>
      <c r="BC612" s="267"/>
      <c r="BD612" s="267"/>
      <c r="BE612" s="267"/>
      <c r="BF612" s="267"/>
      <c r="BG612" s="267"/>
      <c r="BH612" s="267"/>
      <c r="BI612" s="267"/>
      <c r="BJ612" s="267"/>
      <c r="BK612" s="267"/>
      <c r="BL612" s="267"/>
      <c r="BM612" s="267"/>
      <c r="BN612" s="267"/>
      <c r="BO612" s="267"/>
      <c r="BP612" s="267"/>
      <c r="BQ612" s="267"/>
      <c r="BR612" s="267"/>
      <c r="BS612" s="267"/>
      <c r="BT612" s="267"/>
      <c r="BU612" s="267"/>
      <c r="BV612" s="267"/>
      <c r="BW612" s="267"/>
      <c r="BX612" s="267"/>
      <c r="BY612" s="267"/>
      <c r="BZ612" s="267"/>
      <c r="CA612" s="267"/>
      <c r="CB612" s="267"/>
      <c r="CC612" s="267"/>
      <c r="CD612" s="267"/>
      <c r="CE612" s="267"/>
      <c r="CF612" s="267"/>
      <c r="CG612" s="267"/>
      <c r="CH612" s="267"/>
      <c r="CI612" s="267"/>
      <c r="CJ612" s="267"/>
      <c r="CK612" s="267"/>
      <c r="CL612" s="267"/>
      <c r="CM612" s="267"/>
      <c r="CN612" s="267"/>
      <c r="CO612" s="267"/>
      <c r="CP612" s="267"/>
      <c r="CQ612" s="267"/>
      <c r="CR612" s="267"/>
      <c r="CS612" s="267"/>
      <c r="CT612" s="267"/>
      <c r="CU612" s="267"/>
      <c r="CV612" s="267"/>
      <c r="CW612" s="267"/>
      <c r="CX612" s="267"/>
      <c r="CY612" s="267"/>
      <c r="CZ612" s="267"/>
    </row>
    <row r="613" spans="2:104">
      <c r="B613" s="1235"/>
      <c r="C613" s="1235"/>
      <c r="D613" s="1235"/>
      <c r="E613" s="267"/>
      <c r="F613" s="267"/>
      <c r="G613" s="267"/>
      <c r="H613" s="267"/>
      <c r="I613" s="267"/>
      <c r="J613" s="267"/>
      <c r="K613" s="267"/>
      <c r="L613" s="267"/>
      <c r="M613" s="267"/>
      <c r="N613" s="267"/>
      <c r="O613" s="267"/>
      <c r="P613" s="267"/>
      <c r="Q613" s="267"/>
      <c r="R613" s="267"/>
      <c r="S613" s="267"/>
      <c r="T613" s="267"/>
      <c r="U613" s="267"/>
      <c r="V613" s="267"/>
      <c r="W613" s="267"/>
      <c r="X613" s="267"/>
      <c r="Y613" s="267"/>
      <c r="Z613" s="267"/>
      <c r="AA613" s="267"/>
      <c r="AB613" s="267"/>
      <c r="AC613" s="267"/>
      <c r="AD613" s="267"/>
      <c r="AE613" s="267"/>
      <c r="AF613" s="267"/>
      <c r="AG613" s="267"/>
      <c r="AH613" s="267"/>
      <c r="AI613" s="267"/>
      <c r="AJ613" s="267"/>
      <c r="AK613" s="267"/>
      <c r="AL613" s="267"/>
      <c r="AM613" s="267"/>
      <c r="AN613" s="267"/>
      <c r="AO613" s="267"/>
      <c r="AP613" s="267"/>
      <c r="AQ613" s="267"/>
      <c r="AR613" s="267"/>
      <c r="AS613" s="267"/>
      <c r="AT613" s="267"/>
      <c r="AU613" s="267"/>
      <c r="AV613" s="267"/>
      <c r="AW613" s="267"/>
      <c r="AX613" s="267"/>
      <c r="AY613" s="267"/>
      <c r="AZ613" s="267"/>
      <c r="BA613" s="267"/>
      <c r="BB613" s="267"/>
      <c r="BC613" s="267"/>
      <c r="BD613" s="267"/>
      <c r="BE613" s="267"/>
      <c r="BF613" s="267"/>
      <c r="BG613" s="267"/>
      <c r="BH613" s="267"/>
      <c r="BI613" s="267"/>
      <c r="BJ613" s="267"/>
      <c r="BK613" s="267"/>
      <c r="BL613" s="267"/>
      <c r="BM613" s="267"/>
      <c r="BN613" s="267"/>
      <c r="BO613" s="267"/>
      <c r="BP613" s="267"/>
      <c r="BQ613" s="267"/>
      <c r="BR613" s="267"/>
      <c r="BS613" s="267"/>
      <c r="BT613" s="267"/>
      <c r="BU613" s="267"/>
      <c r="BV613" s="267"/>
      <c r="BW613" s="267"/>
      <c r="BX613" s="267"/>
      <c r="BY613" s="267"/>
      <c r="BZ613" s="267"/>
      <c r="CA613" s="267"/>
      <c r="CB613" s="267"/>
      <c r="CC613" s="267"/>
      <c r="CD613" s="267"/>
      <c r="CE613" s="267"/>
      <c r="CF613" s="267"/>
      <c r="CG613" s="267"/>
      <c r="CH613" s="267"/>
      <c r="CI613" s="267"/>
      <c r="CJ613" s="267"/>
      <c r="CK613" s="267"/>
      <c r="CL613" s="267"/>
      <c r="CM613" s="267"/>
      <c r="CN613" s="267"/>
      <c r="CO613" s="267"/>
      <c r="CP613" s="267"/>
      <c r="CQ613" s="267"/>
      <c r="CR613" s="267"/>
      <c r="CS613" s="267"/>
      <c r="CT613" s="267"/>
      <c r="CU613" s="267"/>
      <c r="CV613" s="267"/>
      <c r="CW613" s="267"/>
      <c r="CX613" s="267"/>
      <c r="CY613" s="267"/>
      <c r="CZ613" s="267"/>
    </row>
    <row r="614" spans="2:104">
      <c r="B614" s="1235"/>
      <c r="C614" s="1235"/>
      <c r="D614" s="1235"/>
      <c r="E614" s="267"/>
      <c r="F614" s="267"/>
      <c r="G614" s="267"/>
      <c r="H614" s="267"/>
      <c r="I614" s="267"/>
      <c r="J614" s="267"/>
      <c r="K614" s="267"/>
      <c r="L614" s="267"/>
      <c r="M614" s="267"/>
      <c r="N614" s="267"/>
      <c r="O614" s="267"/>
      <c r="P614" s="267"/>
      <c r="Q614" s="267"/>
      <c r="R614" s="267"/>
      <c r="S614" s="267"/>
      <c r="T614" s="267"/>
      <c r="U614" s="267"/>
      <c r="V614" s="267"/>
      <c r="W614" s="267"/>
      <c r="X614" s="267"/>
      <c r="Y614" s="267"/>
      <c r="Z614" s="267"/>
      <c r="AA614" s="267"/>
      <c r="AB614" s="267"/>
      <c r="AC614" s="267"/>
      <c r="AD614" s="267"/>
      <c r="AE614" s="267"/>
      <c r="AF614" s="267"/>
      <c r="AG614" s="267"/>
      <c r="AH614" s="267"/>
      <c r="AI614" s="267"/>
      <c r="AJ614" s="267"/>
      <c r="AK614" s="267"/>
      <c r="AL614" s="267"/>
      <c r="AM614" s="267"/>
      <c r="AN614" s="267"/>
      <c r="AO614" s="267"/>
      <c r="AP614" s="267"/>
      <c r="AQ614" s="267"/>
      <c r="AR614" s="267"/>
      <c r="AS614" s="267"/>
      <c r="AT614" s="267"/>
      <c r="AU614" s="267"/>
      <c r="AV614" s="267"/>
      <c r="AW614" s="267"/>
      <c r="AX614" s="267"/>
      <c r="AY614" s="267"/>
      <c r="AZ614" s="267"/>
      <c r="BA614" s="267"/>
      <c r="BB614" s="267"/>
      <c r="BC614" s="267"/>
      <c r="BD614" s="267"/>
      <c r="BE614" s="267"/>
      <c r="BF614" s="267"/>
      <c r="BG614" s="267"/>
      <c r="BH614" s="267"/>
      <c r="BI614" s="267"/>
      <c r="BJ614" s="267"/>
      <c r="BK614" s="267"/>
      <c r="BL614" s="267"/>
      <c r="BM614" s="267"/>
      <c r="BN614" s="267"/>
      <c r="BO614" s="267"/>
      <c r="BP614" s="267"/>
      <c r="BQ614" s="267"/>
      <c r="BR614" s="267"/>
      <c r="BS614" s="267"/>
      <c r="BT614" s="267"/>
      <c r="BU614" s="267"/>
      <c r="BV614" s="267"/>
      <c r="BW614" s="267"/>
      <c r="BX614" s="267"/>
      <c r="BY614" s="267"/>
      <c r="BZ614" s="267"/>
      <c r="CA614" s="267"/>
      <c r="CB614" s="267"/>
      <c r="CC614" s="267"/>
      <c r="CD614" s="267"/>
      <c r="CE614" s="267"/>
      <c r="CF614" s="267"/>
      <c r="CG614" s="267"/>
      <c r="CH614" s="267"/>
      <c r="CI614" s="267"/>
      <c r="CJ614" s="267"/>
      <c r="CK614" s="267"/>
      <c r="CL614" s="267"/>
      <c r="CM614" s="267"/>
      <c r="CN614" s="267"/>
      <c r="CO614" s="267"/>
      <c r="CP614" s="267"/>
      <c r="CQ614" s="267"/>
      <c r="CR614" s="267"/>
      <c r="CS614" s="267"/>
      <c r="CT614" s="267"/>
      <c r="CU614" s="267"/>
      <c r="CV614" s="267"/>
      <c r="CW614" s="267"/>
      <c r="CX614" s="267"/>
      <c r="CY614" s="267"/>
      <c r="CZ614" s="267"/>
    </row>
    <row r="615" spans="2:104">
      <c r="B615" s="1235"/>
      <c r="C615" s="1235"/>
      <c r="D615" s="1235"/>
      <c r="E615" s="267"/>
      <c r="F615" s="267"/>
      <c r="G615" s="267"/>
      <c r="H615" s="267"/>
      <c r="I615" s="267"/>
      <c r="J615" s="267"/>
      <c r="K615" s="267"/>
      <c r="L615" s="267"/>
      <c r="M615" s="267"/>
      <c r="N615" s="267"/>
      <c r="O615" s="267"/>
      <c r="P615" s="267"/>
      <c r="Q615" s="267"/>
      <c r="R615" s="267"/>
      <c r="S615" s="267"/>
      <c r="T615" s="267"/>
      <c r="U615" s="267"/>
      <c r="V615" s="267"/>
      <c r="W615" s="267"/>
      <c r="X615" s="267"/>
      <c r="Y615" s="267"/>
      <c r="Z615" s="267"/>
      <c r="AA615" s="267"/>
      <c r="AB615" s="267"/>
      <c r="AC615" s="267"/>
      <c r="AD615" s="267"/>
      <c r="AE615" s="267"/>
      <c r="AF615" s="267"/>
      <c r="AG615" s="267"/>
      <c r="AH615" s="267"/>
      <c r="AI615" s="267"/>
      <c r="AJ615" s="267"/>
      <c r="AK615" s="267"/>
      <c r="AL615" s="267"/>
      <c r="AM615" s="267"/>
      <c r="AN615" s="267"/>
      <c r="AO615" s="267"/>
      <c r="AP615" s="267"/>
      <c r="AQ615" s="267"/>
      <c r="AR615" s="267"/>
      <c r="AS615" s="267"/>
      <c r="AT615" s="267"/>
      <c r="AU615" s="267"/>
      <c r="AV615" s="267"/>
      <c r="AW615" s="267"/>
      <c r="AX615" s="267"/>
      <c r="AY615" s="267"/>
      <c r="AZ615" s="267"/>
      <c r="BA615" s="267"/>
      <c r="BB615" s="267"/>
      <c r="BC615" s="267"/>
      <c r="BD615" s="267"/>
      <c r="BE615" s="267"/>
      <c r="BF615" s="267"/>
      <c r="BG615" s="267"/>
      <c r="BH615" s="267"/>
      <c r="BI615" s="267"/>
      <c r="BJ615" s="267"/>
      <c r="BK615" s="267"/>
      <c r="BL615" s="267"/>
      <c r="BM615" s="267"/>
      <c r="BN615" s="267"/>
      <c r="BO615" s="267"/>
      <c r="BP615" s="267"/>
      <c r="BQ615" s="267"/>
      <c r="BR615" s="267"/>
      <c r="BS615" s="267"/>
      <c r="BT615" s="267"/>
      <c r="BU615" s="267"/>
      <c r="BV615" s="267"/>
      <c r="BW615" s="267"/>
      <c r="BX615" s="267"/>
      <c r="BY615" s="267"/>
      <c r="BZ615" s="267"/>
      <c r="CA615" s="267"/>
      <c r="CB615" s="267"/>
      <c r="CC615" s="267"/>
      <c r="CD615" s="267"/>
      <c r="CE615" s="267"/>
      <c r="CF615" s="267"/>
      <c r="CG615" s="267"/>
      <c r="CH615" s="267"/>
      <c r="CI615" s="267"/>
      <c r="CJ615" s="267"/>
      <c r="CK615" s="267"/>
      <c r="CL615" s="267"/>
      <c r="CM615" s="267"/>
      <c r="CN615" s="267"/>
      <c r="CO615" s="267"/>
      <c r="CP615" s="267"/>
      <c r="CQ615" s="267"/>
      <c r="CR615" s="267"/>
      <c r="CS615" s="267"/>
      <c r="CT615" s="267"/>
      <c r="CU615" s="267"/>
      <c r="CV615" s="267"/>
      <c r="CW615" s="267"/>
      <c r="CX615" s="267"/>
      <c r="CY615" s="267"/>
      <c r="CZ615" s="267"/>
    </row>
    <row r="616" spans="2:104">
      <c r="B616" s="1235"/>
      <c r="C616" s="1235"/>
      <c r="D616" s="1235"/>
      <c r="E616" s="267"/>
      <c r="F616" s="267"/>
      <c r="G616" s="267"/>
      <c r="H616" s="267"/>
      <c r="I616" s="267"/>
      <c r="J616" s="267"/>
      <c r="K616" s="267"/>
      <c r="L616" s="267"/>
      <c r="M616" s="267"/>
      <c r="N616" s="267"/>
      <c r="O616" s="267"/>
      <c r="P616" s="267"/>
      <c r="Q616" s="267"/>
      <c r="R616" s="267"/>
      <c r="S616" s="267"/>
      <c r="T616" s="267"/>
      <c r="U616" s="267"/>
      <c r="V616" s="267"/>
      <c r="W616" s="267"/>
      <c r="X616" s="267"/>
      <c r="Y616" s="267"/>
      <c r="Z616" s="267"/>
      <c r="AA616" s="267"/>
      <c r="AB616" s="267"/>
      <c r="AC616" s="267"/>
      <c r="AD616" s="267"/>
      <c r="AE616" s="267"/>
      <c r="AF616" s="267"/>
      <c r="AG616" s="267"/>
      <c r="AH616" s="267"/>
      <c r="AI616" s="267"/>
      <c r="AJ616" s="267"/>
      <c r="AK616" s="267"/>
      <c r="AL616" s="267"/>
      <c r="AM616" s="267"/>
      <c r="AN616" s="267"/>
      <c r="AO616" s="267"/>
      <c r="AP616" s="267"/>
      <c r="AQ616" s="267"/>
      <c r="AR616" s="267"/>
      <c r="AS616" s="267"/>
      <c r="AT616" s="267"/>
      <c r="AU616" s="267"/>
      <c r="AV616" s="267"/>
      <c r="AW616" s="267"/>
      <c r="AX616" s="267"/>
      <c r="AY616" s="267"/>
      <c r="AZ616" s="267"/>
      <c r="BA616" s="267"/>
      <c r="BB616" s="267"/>
      <c r="BC616" s="267"/>
      <c r="BD616" s="267"/>
      <c r="BE616" s="267"/>
      <c r="BF616" s="267"/>
      <c r="BG616" s="267"/>
      <c r="BH616" s="267"/>
      <c r="BI616" s="267"/>
      <c r="BJ616" s="267"/>
      <c r="BK616" s="267"/>
      <c r="BL616" s="267"/>
      <c r="BM616" s="267"/>
      <c r="BN616" s="267"/>
      <c r="BO616" s="267"/>
      <c r="BP616" s="267"/>
      <c r="BQ616" s="267"/>
      <c r="BR616" s="267"/>
      <c r="BS616" s="267"/>
      <c r="BT616" s="267"/>
      <c r="BU616" s="267"/>
      <c r="BV616" s="267"/>
      <c r="BW616" s="267"/>
      <c r="BX616" s="267"/>
      <c r="BY616" s="267"/>
      <c r="BZ616" s="267"/>
      <c r="CA616" s="267"/>
      <c r="CB616" s="267"/>
      <c r="CC616" s="267"/>
      <c r="CD616" s="267"/>
      <c r="CE616" s="267"/>
      <c r="CF616" s="267"/>
      <c r="CG616" s="267"/>
      <c r="CH616" s="267"/>
      <c r="CI616" s="267"/>
      <c r="CJ616" s="267"/>
      <c r="CK616" s="267"/>
      <c r="CL616" s="267"/>
      <c r="CM616" s="267"/>
      <c r="CN616" s="267"/>
      <c r="CO616" s="267"/>
      <c r="CP616" s="267"/>
      <c r="CQ616" s="267"/>
      <c r="CR616" s="267"/>
      <c r="CS616" s="267"/>
      <c r="CT616" s="267"/>
      <c r="CU616" s="267"/>
      <c r="CV616" s="267"/>
      <c r="CW616" s="267"/>
      <c r="CX616" s="267"/>
      <c r="CY616" s="267"/>
      <c r="CZ616" s="267"/>
    </row>
    <row r="617" spans="2:104">
      <c r="B617" s="1235"/>
      <c r="C617" s="1235"/>
      <c r="D617" s="1235"/>
      <c r="E617" s="267"/>
      <c r="F617" s="267"/>
      <c r="G617" s="267"/>
      <c r="H617" s="267"/>
      <c r="I617" s="267"/>
      <c r="J617" s="267"/>
      <c r="K617" s="267"/>
      <c r="L617" s="267"/>
      <c r="M617" s="267"/>
      <c r="N617" s="267"/>
      <c r="O617" s="267"/>
      <c r="P617" s="267"/>
      <c r="Q617" s="267"/>
      <c r="R617" s="267"/>
      <c r="S617" s="267"/>
      <c r="T617" s="267"/>
      <c r="U617" s="267"/>
      <c r="V617" s="267"/>
      <c r="W617" s="267"/>
      <c r="X617" s="267"/>
      <c r="Y617" s="267"/>
      <c r="Z617" s="267"/>
      <c r="AA617" s="267"/>
      <c r="AB617" s="267"/>
      <c r="AC617" s="267"/>
      <c r="AD617" s="267"/>
      <c r="AE617" s="267"/>
      <c r="AF617" s="267"/>
      <c r="AG617" s="267"/>
      <c r="AH617" s="267"/>
      <c r="AI617" s="267"/>
      <c r="AJ617" s="267"/>
      <c r="AK617" s="267"/>
      <c r="AL617" s="267"/>
      <c r="AM617" s="267"/>
      <c r="AN617" s="267"/>
      <c r="AO617" s="267"/>
      <c r="AP617" s="267"/>
      <c r="AQ617" s="267"/>
      <c r="AR617" s="267"/>
      <c r="AS617" s="267"/>
      <c r="AT617" s="267"/>
      <c r="AU617" s="267"/>
      <c r="AV617" s="267"/>
      <c r="AW617" s="267"/>
      <c r="AX617" s="267"/>
      <c r="AY617" s="267"/>
      <c r="AZ617" s="267"/>
      <c r="BA617" s="267"/>
      <c r="BB617" s="267"/>
      <c r="BC617" s="267"/>
      <c r="BD617" s="267"/>
      <c r="BE617" s="267"/>
      <c r="BF617" s="267"/>
      <c r="BG617" s="267"/>
      <c r="BH617" s="267"/>
      <c r="BI617" s="267"/>
      <c r="BJ617" s="267"/>
      <c r="BK617" s="267"/>
      <c r="BL617" s="267"/>
      <c r="BM617" s="267"/>
      <c r="BN617" s="267"/>
      <c r="BO617" s="267"/>
      <c r="BP617" s="267"/>
      <c r="BQ617" s="267"/>
      <c r="BR617" s="267"/>
      <c r="BS617" s="267"/>
      <c r="BT617" s="267"/>
      <c r="BU617" s="267"/>
      <c r="BV617" s="267"/>
      <c r="BW617" s="267"/>
      <c r="BX617" s="267"/>
      <c r="BY617" s="267"/>
      <c r="BZ617" s="267"/>
      <c r="CA617" s="267"/>
      <c r="CB617" s="267"/>
      <c r="CC617" s="267"/>
      <c r="CD617" s="267"/>
      <c r="CE617" s="267"/>
      <c r="CF617" s="267"/>
      <c r="CG617" s="267"/>
      <c r="CH617" s="267"/>
      <c r="CI617" s="267"/>
      <c r="CJ617" s="267"/>
      <c r="CK617" s="267"/>
      <c r="CL617" s="267"/>
      <c r="CM617" s="267"/>
      <c r="CN617" s="267"/>
      <c r="CO617" s="267"/>
      <c r="CP617" s="267"/>
      <c r="CQ617" s="267"/>
      <c r="CR617" s="267"/>
      <c r="CS617" s="267"/>
      <c r="CT617" s="267"/>
      <c r="CU617" s="267"/>
      <c r="CV617" s="267"/>
      <c r="CW617" s="267"/>
      <c r="CX617" s="267"/>
      <c r="CY617" s="267"/>
      <c r="CZ617" s="267"/>
    </row>
    <row r="618" spans="2:104">
      <c r="B618" s="1235"/>
      <c r="C618" s="1235"/>
      <c r="D618" s="1235"/>
      <c r="E618" s="267"/>
      <c r="F618" s="267"/>
      <c r="G618" s="267"/>
      <c r="H618" s="267"/>
      <c r="I618" s="267"/>
      <c r="J618" s="267"/>
      <c r="K618" s="267"/>
      <c r="L618" s="267"/>
      <c r="M618" s="267"/>
      <c r="N618" s="267"/>
      <c r="O618" s="267"/>
      <c r="P618" s="267"/>
      <c r="Q618" s="267"/>
      <c r="R618" s="267"/>
      <c r="S618" s="267"/>
      <c r="T618" s="267"/>
      <c r="U618" s="267"/>
      <c r="V618" s="267"/>
      <c r="W618" s="267"/>
      <c r="X618" s="267"/>
      <c r="Y618" s="267"/>
      <c r="Z618" s="267"/>
      <c r="AA618" s="267"/>
      <c r="AB618" s="267"/>
      <c r="AC618" s="267"/>
      <c r="AD618" s="267"/>
      <c r="AE618" s="267"/>
      <c r="AF618" s="267"/>
      <c r="AG618" s="267"/>
      <c r="AH618" s="267"/>
      <c r="AI618" s="267"/>
      <c r="AJ618" s="267"/>
      <c r="AK618" s="267"/>
      <c r="AL618" s="267"/>
      <c r="AM618" s="267"/>
      <c r="AN618" s="267"/>
      <c r="AO618" s="267"/>
      <c r="AP618" s="267"/>
      <c r="AQ618" s="267"/>
      <c r="AR618" s="267"/>
      <c r="AS618" s="267"/>
      <c r="AT618" s="267"/>
      <c r="AU618" s="267"/>
      <c r="AV618" s="267"/>
      <c r="AW618" s="267"/>
      <c r="AX618" s="267"/>
      <c r="AY618" s="267"/>
      <c r="AZ618" s="267"/>
      <c r="BA618" s="267"/>
      <c r="BB618" s="267"/>
      <c r="BC618" s="267"/>
      <c r="BD618" s="267"/>
      <c r="BE618" s="267"/>
      <c r="BF618" s="267"/>
      <c r="BG618" s="267"/>
      <c r="BH618" s="267"/>
      <c r="BI618" s="267"/>
      <c r="BJ618" s="267"/>
      <c r="BK618" s="267"/>
      <c r="BL618" s="267"/>
      <c r="BM618" s="267"/>
      <c r="BN618" s="267"/>
      <c r="BO618" s="267"/>
      <c r="BP618" s="267"/>
      <c r="BQ618" s="267"/>
      <c r="BR618" s="267"/>
      <c r="BS618" s="267"/>
      <c r="BT618" s="267"/>
      <c r="BU618" s="267"/>
      <c r="BV618" s="267"/>
      <c r="BW618" s="267"/>
      <c r="BX618" s="267"/>
      <c r="BY618" s="267"/>
      <c r="BZ618" s="267"/>
      <c r="CA618" s="267"/>
      <c r="CB618" s="267"/>
      <c r="CC618" s="267"/>
      <c r="CD618" s="267"/>
      <c r="CE618" s="267"/>
      <c r="CF618" s="267"/>
      <c r="CG618" s="267"/>
      <c r="CH618" s="267"/>
      <c r="CI618" s="267"/>
      <c r="CJ618" s="267"/>
      <c r="CK618" s="267"/>
      <c r="CL618" s="267"/>
      <c r="CM618" s="267"/>
      <c r="CN618" s="267"/>
      <c r="CO618" s="267"/>
      <c r="CP618" s="267"/>
      <c r="CQ618" s="267"/>
      <c r="CR618" s="267"/>
      <c r="CS618" s="267"/>
      <c r="CT618" s="267"/>
      <c r="CU618" s="267"/>
      <c r="CV618" s="267"/>
      <c r="CW618" s="267"/>
      <c r="CX618" s="267"/>
      <c r="CY618" s="267"/>
      <c r="CZ618" s="267"/>
    </row>
    <row r="619" spans="2:104">
      <c r="B619" s="1235"/>
      <c r="C619" s="1235"/>
      <c r="D619" s="1235"/>
      <c r="E619" s="267"/>
      <c r="F619" s="267"/>
      <c r="G619" s="267"/>
      <c r="H619" s="267"/>
      <c r="I619" s="267"/>
      <c r="J619" s="267"/>
      <c r="K619" s="267"/>
      <c r="L619" s="267"/>
      <c r="M619" s="267"/>
      <c r="N619" s="267"/>
      <c r="O619" s="267"/>
      <c r="P619" s="267"/>
      <c r="Q619" s="267"/>
      <c r="R619" s="267"/>
      <c r="S619" s="267"/>
      <c r="T619" s="267"/>
      <c r="U619" s="267"/>
      <c r="V619" s="267"/>
      <c r="W619" s="267"/>
      <c r="X619" s="267"/>
      <c r="Y619" s="267"/>
      <c r="Z619" s="267"/>
      <c r="AA619" s="267"/>
      <c r="AB619" s="267"/>
      <c r="AC619" s="267"/>
      <c r="AD619" s="267"/>
      <c r="AE619" s="267"/>
      <c r="AF619" s="267"/>
      <c r="AG619" s="267"/>
      <c r="AH619" s="267"/>
      <c r="AI619" s="267"/>
      <c r="AJ619" s="267"/>
      <c r="AK619" s="267"/>
      <c r="AL619" s="267"/>
      <c r="AM619" s="267"/>
      <c r="AN619" s="267"/>
      <c r="AO619" s="267"/>
      <c r="AP619" s="267"/>
      <c r="AQ619" s="267"/>
      <c r="AR619" s="267"/>
      <c r="AS619" s="267"/>
      <c r="AT619" s="267"/>
      <c r="AU619" s="267"/>
      <c r="AV619" s="267"/>
      <c r="AW619" s="267"/>
      <c r="AX619" s="267"/>
      <c r="AY619" s="267"/>
      <c r="AZ619" s="267"/>
      <c r="BA619" s="267"/>
      <c r="BB619" s="267"/>
      <c r="BC619" s="267"/>
      <c r="BD619" s="267"/>
      <c r="BE619" s="267"/>
      <c r="BF619" s="267"/>
      <c r="BG619" s="267"/>
      <c r="BH619" s="267"/>
      <c r="BI619" s="267"/>
      <c r="BJ619" s="267"/>
      <c r="BK619" s="267"/>
      <c r="BL619" s="267"/>
      <c r="BM619" s="267"/>
      <c r="BN619" s="267"/>
      <c r="BO619" s="267"/>
      <c r="BP619" s="267"/>
      <c r="BQ619" s="267"/>
      <c r="BR619" s="267"/>
      <c r="BS619" s="267"/>
      <c r="BT619" s="267"/>
      <c r="BU619" s="267"/>
      <c r="BV619" s="267"/>
      <c r="BW619" s="267"/>
      <c r="BX619" s="267"/>
      <c r="BY619" s="267"/>
      <c r="BZ619" s="267"/>
      <c r="CA619" s="267"/>
      <c r="CB619" s="267"/>
      <c r="CC619" s="267"/>
      <c r="CD619" s="267"/>
      <c r="CE619" s="267"/>
      <c r="CF619" s="267"/>
      <c r="CG619" s="267"/>
      <c r="CH619" s="267"/>
      <c r="CI619" s="267"/>
      <c r="CJ619" s="267"/>
      <c r="CK619" s="267"/>
      <c r="CL619" s="267"/>
      <c r="CM619" s="267"/>
      <c r="CN619" s="267"/>
      <c r="CO619" s="267"/>
      <c r="CP619" s="267"/>
      <c r="CQ619" s="267"/>
      <c r="CR619" s="267"/>
      <c r="CS619" s="267"/>
      <c r="CT619" s="267"/>
      <c r="CU619" s="267"/>
      <c r="CV619" s="267"/>
      <c r="CW619" s="267"/>
      <c r="CX619" s="267"/>
      <c r="CY619" s="267"/>
      <c r="CZ619" s="267"/>
    </row>
    <row r="620" spans="2:104">
      <c r="B620" s="1235"/>
      <c r="C620" s="1235"/>
      <c r="D620" s="1235"/>
      <c r="E620" s="267"/>
      <c r="F620" s="267"/>
      <c r="G620" s="267"/>
      <c r="H620" s="267"/>
      <c r="I620" s="267"/>
      <c r="J620" s="267"/>
      <c r="K620" s="267"/>
      <c r="L620" s="267"/>
      <c r="M620" s="267"/>
      <c r="N620" s="267"/>
      <c r="O620" s="267"/>
      <c r="P620" s="267"/>
      <c r="Q620" s="267"/>
      <c r="R620" s="267"/>
      <c r="S620" s="267"/>
      <c r="T620" s="267"/>
      <c r="U620" s="267"/>
      <c r="V620" s="267"/>
      <c r="W620" s="267"/>
      <c r="X620" s="267"/>
      <c r="Y620" s="267"/>
      <c r="Z620" s="267"/>
      <c r="AA620" s="267"/>
      <c r="AB620" s="267"/>
      <c r="AC620" s="267"/>
      <c r="AD620" s="267"/>
      <c r="AE620" s="267"/>
      <c r="AF620" s="267"/>
      <c r="AG620" s="267"/>
      <c r="AH620" s="267"/>
      <c r="AI620" s="267"/>
      <c r="AJ620" s="267"/>
      <c r="AK620" s="267"/>
      <c r="AL620" s="267"/>
      <c r="AM620" s="267"/>
      <c r="AN620" s="267"/>
      <c r="AO620" s="267"/>
      <c r="AP620" s="267"/>
      <c r="AQ620" s="267"/>
      <c r="AR620" s="267"/>
      <c r="AS620" s="267"/>
      <c r="AT620" s="267"/>
      <c r="AU620" s="267"/>
      <c r="AV620" s="267"/>
      <c r="AW620" s="267"/>
      <c r="AX620" s="267"/>
      <c r="AY620" s="267"/>
      <c r="AZ620" s="267"/>
      <c r="BA620" s="267"/>
      <c r="BB620" s="267"/>
      <c r="BC620" s="267"/>
      <c r="BD620" s="267"/>
      <c r="BE620" s="267"/>
      <c r="BF620" s="267"/>
      <c r="BG620" s="267"/>
      <c r="BH620" s="267"/>
      <c r="BI620" s="267"/>
      <c r="BJ620" s="267"/>
      <c r="BK620" s="267"/>
      <c r="BL620" s="267"/>
      <c r="BM620" s="267"/>
      <c r="BN620" s="267"/>
      <c r="BO620" s="267"/>
      <c r="BP620" s="267"/>
      <c r="BQ620" s="267"/>
      <c r="BR620" s="267"/>
      <c r="BS620" s="267"/>
      <c r="BT620" s="267"/>
      <c r="BU620" s="267"/>
      <c r="BV620" s="267"/>
      <c r="BW620" s="267"/>
      <c r="BX620" s="267"/>
      <c r="BY620" s="267"/>
      <c r="BZ620" s="267"/>
      <c r="CA620" s="267"/>
      <c r="CB620" s="267"/>
      <c r="CC620" s="267"/>
      <c r="CD620" s="267"/>
      <c r="CE620" s="267"/>
      <c r="CF620" s="267"/>
      <c r="CG620" s="267"/>
      <c r="CH620" s="267"/>
      <c r="CI620" s="267"/>
      <c r="CJ620" s="267"/>
      <c r="CK620" s="267"/>
      <c r="CL620" s="267"/>
      <c r="CM620" s="267"/>
      <c r="CN620" s="267"/>
      <c r="CO620" s="267"/>
      <c r="CP620" s="267"/>
      <c r="CQ620" s="267"/>
      <c r="CR620" s="267"/>
      <c r="CS620" s="267"/>
      <c r="CT620" s="267"/>
      <c r="CU620" s="267"/>
      <c r="CV620" s="267"/>
      <c r="CW620" s="267"/>
      <c r="CX620" s="267"/>
      <c r="CY620" s="267"/>
      <c r="CZ620" s="267"/>
    </row>
    <row r="621" spans="2:104">
      <c r="B621" s="1235"/>
      <c r="C621" s="1235"/>
      <c r="D621" s="1235"/>
      <c r="E621" s="267"/>
      <c r="F621" s="267"/>
      <c r="G621" s="267"/>
      <c r="H621" s="267"/>
      <c r="I621" s="267"/>
      <c r="J621" s="267"/>
      <c r="K621" s="267"/>
      <c r="L621" s="267"/>
      <c r="M621" s="267"/>
      <c r="N621" s="267"/>
      <c r="O621" s="267"/>
      <c r="P621" s="267"/>
      <c r="Q621" s="267"/>
      <c r="R621" s="267"/>
      <c r="S621" s="267"/>
      <c r="T621" s="267"/>
      <c r="U621" s="267"/>
      <c r="V621" s="267"/>
      <c r="W621" s="267"/>
      <c r="X621" s="267"/>
      <c r="Y621" s="267"/>
      <c r="Z621" s="267"/>
      <c r="AA621" s="267"/>
      <c r="AB621" s="267"/>
      <c r="AC621" s="267"/>
      <c r="AD621" s="267"/>
      <c r="AE621" s="267"/>
      <c r="AF621" s="267"/>
      <c r="AG621" s="267"/>
      <c r="AH621" s="267"/>
      <c r="AI621" s="267"/>
      <c r="AJ621" s="267"/>
      <c r="AK621" s="267"/>
      <c r="AL621" s="267"/>
      <c r="AM621" s="267"/>
      <c r="AN621" s="267"/>
      <c r="AO621" s="267"/>
      <c r="AP621" s="267"/>
      <c r="AQ621" s="267"/>
      <c r="AR621" s="267"/>
      <c r="AS621" s="267"/>
      <c r="AT621" s="267"/>
      <c r="AU621" s="267"/>
      <c r="AV621" s="267"/>
      <c r="AW621" s="267"/>
      <c r="AX621" s="267"/>
      <c r="AY621" s="267"/>
      <c r="AZ621" s="267"/>
      <c r="BA621" s="267"/>
      <c r="BB621" s="267"/>
      <c r="BC621" s="267"/>
      <c r="BD621" s="267"/>
      <c r="BE621" s="267"/>
      <c r="BF621" s="267"/>
      <c r="BG621" s="267"/>
      <c r="BH621" s="267"/>
      <c r="BI621" s="267"/>
      <c r="BJ621" s="267"/>
      <c r="BK621" s="267"/>
      <c r="BL621" s="267"/>
      <c r="BM621" s="267"/>
      <c r="BN621" s="267"/>
      <c r="BO621" s="267"/>
      <c r="BP621" s="267"/>
      <c r="BQ621" s="267"/>
      <c r="BR621" s="267"/>
      <c r="BS621" s="267"/>
      <c r="BT621" s="267"/>
      <c r="BU621" s="267"/>
      <c r="BV621" s="267"/>
      <c r="BW621" s="267"/>
      <c r="BX621" s="267"/>
      <c r="BY621" s="267"/>
      <c r="BZ621" s="267"/>
      <c r="CA621" s="267"/>
      <c r="CB621" s="267"/>
      <c r="CC621" s="267"/>
      <c r="CD621" s="267"/>
      <c r="CE621" s="267"/>
      <c r="CF621" s="267"/>
      <c r="CG621" s="267"/>
      <c r="CH621" s="267"/>
      <c r="CI621" s="267"/>
      <c r="CJ621" s="267"/>
      <c r="CK621" s="267"/>
      <c r="CL621" s="267"/>
      <c r="CM621" s="267"/>
      <c r="CN621" s="267"/>
      <c r="CO621" s="267"/>
      <c r="CP621" s="267"/>
      <c r="CQ621" s="267"/>
      <c r="CR621" s="267"/>
      <c r="CS621" s="267"/>
      <c r="CT621" s="267"/>
      <c r="CU621" s="267"/>
      <c r="CV621" s="267"/>
      <c r="CW621" s="267"/>
      <c r="CX621" s="267"/>
      <c r="CY621" s="267"/>
      <c r="CZ621" s="267"/>
    </row>
    <row r="622" spans="2:104">
      <c r="B622" s="1235"/>
      <c r="C622" s="1235"/>
      <c r="D622" s="1235"/>
      <c r="E622" s="267"/>
      <c r="F622" s="267"/>
      <c r="G622" s="267"/>
      <c r="H622" s="267"/>
      <c r="I622" s="267"/>
      <c r="J622" s="267"/>
      <c r="K622" s="267"/>
      <c r="L622" s="267"/>
      <c r="M622" s="267"/>
      <c r="N622" s="267"/>
      <c r="O622" s="267"/>
      <c r="P622" s="267"/>
      <c r="Q622" s="267"/>
      <c r="R622" s="267"/>
      <c r="S622" s="267"/>
      <c r="T622" s="267"/>
      <c r="U622" s="267"/>
      <c r="V622" s="267"/>
      <c r="W622" s="267"/>
      <c r="X622" s="267"/>
      <c r="Y622" s="267"/>
      <c r="Z622" s="267"/>
      <c r="AA622" s="267"/>
      <c r="AB622" s="267"/>
      <c r="AC622" s="267"/>
      <c r="AD622" s="267"/>
      <c r="AE622" s="267"/>
      <c r="AF622" s="267"/>
      <c r="AG622" s="267"/>
      <c r="AH622" s="267"/>
      <c r="AI622" s="267"/>
      <c r="AJ622" s="267"/>
      <c r="AK622" s="267"/>
      <c r="AL622" s="267"/>
      <c r="AM622" s="267"/>
      <c r="AN622" s="267"/>
      <c r="AO622" s="267"/>
      <c r="AP622" s="267"/>
      <c r="AQ622" s="267"/>
      <c r="AR622" s="267"/>
      <c r="AS622" s="267"/>
      <c r="AT622" s="267"/>
      <c r="AU622" s="267"/>
      <c r="AV622" s="267"/>
      <c r="AW622" s="267"/>
      <c r="AX622" s="267"/>
      <c r="AY622" s="267"/>
      <c r="AZ622" s="267"/>
      <c r="BA622" s="267"/>
      <c r="BB622" s="267"/>
      <c r="BC622" s="267"/>
      <c r="BD622" s="267"/>
      <c r="BE622" s="267"/>
      <c r="BF622" s="267"/>
      <c r="BG622" s="267"/>
      <c r="BH622" s="267"/>
      <c r="BI622" s="267"/>
      <c r="BJ622" s="267"/>
      <c r="BK622" s="267"/>
      <c r="BL622" s="267"/>
      <c r="BM622" s="267"/>
      <c r="BN622" s="267"/>
      <c r="BO622" s="267"/>
      <c r="BP622" s="267"/>
      <c r="BQ622" s="267"/>
      <c r="BR622" s="267"/>
      <c r="BS622" s="267"/>
      <c r="BT622" s="267"/>
      <c r="BU622" s="267"/>
      <c r="BV622" s="267"/>
      <c r="BW622" s="267"/>
      <c r="BX622" s="267"/>
      <c r="BY622" s="267"/>
      <c r="BZ622" s="267"/>
      <c r="CA622" s="267"/>
      <c r="CB622" s="267"/>
      <c r="CC622" s="267"/>
      <c r="CD622" s="267"/>
      <c r="CE622" s="267"/>
      <c r="CF622" s="267"/>
      <c r="CG622" s="267"/>
      <c r="CH622" s="267"/>
      <c r="CI622" s="267"/>
      <c r="CJ622" s="267"/>
      <c r="CK622" s="267"/>
      <c r="CL622" s="267"/>
      <c r="CM622" s="267"/>
      <c r="CN622" s="267"/>
      <c r="CO622" s="267"/>
      <c r="CP622" s="267"/>
      <c r="CQ622" s="267"/>
      <c r="CR622" s="267"/>
      <c r="CS622" s="267"/>
      <c r="CT622" s="267"/>
      <c r="CU622" s="267"/>
      <c r="CV622" s="267"/>
      <c r="CW622" s="267"/>
      <c r="CX622" s="267"/>
      <c r="CY622" s="267"/>
      <c r="CZ622" s="267"/>
    </row>
    <row r="623" spans="2:104">
      <c r="B623" s="1235"/>
      <c r="C623" s="1235"/>
      <c r="D623" s="1235"/>
      <c r="E623" s="267"/>
      <c r="F623" s="267"/>
      <c r="G623" s="267"/>
      <c r="H623" s="267"/>
      <c r="I623" s="267"/>
      <c r="J623" s="267"/>
      <c r="K623" s="267"/>
      <c r="L623" s="267"/>
      <c r="M623" s="267"/>
      <c r="N623" s="267"/>
      <c r="O623" s="267"/>
      <c r="P623" s="267"/>
      <c r="Q623" s="267"/>
      <c r="R623" s="267"/>
      <c r="S623" s="267"/>
      <c r="T623" s="267"/>
      <c r="U623" s="267"/>
      <c r="V623" s="267"/>
      <c r="W623" s="267"/>
      <c r="X623" s="267"/>
      <c r="Y623" s="267"/>
      <c r="Z623" s="267"/>
      <c r="AA623" s="267"/>
      <c r="AB623" s="267"/>
      <c r="AC623" s="267"/>
      <c r="AD623" s="267"/>
      <c r="AE623" s="267"/>
      <c r="AF623" s="267"/>
      <c r="AG623" s="267"/>
      <c r="AH623" s="267"/>
      <c r="AI623" s="267"/>
      <c r="AJ623" s="267"/>
      <c r="AK623" s="267"/>
      <c r="AL623" s="267"/>
      <c r="AM623" s="267"/>
      <c r="AN623" s="267"/>
      <c r="AO623" s="267"/>
      <c r="AP623" s="267"/>
      <c r="AQ623" s="267"/>
      <c r="AR623" s="267"/>
      <c r="AS623" s="267"/>
      <c r="AT623" s="267"/>
      <c r="AU623" s="267"/>
      <c r="AV623" s="267"/>
      <c r="AW623" s="267"/>
      <c r="AX623" s="267"/>
      <c r="AY623" s="267"/>
      <c r="AZ623" s="267"/>
      <c r="BA623" s="267"/>
      <c r="BB623" s="267"/>
      <c r="BC623" s="267"/>
      <c r="BD623" s="267"/>
      <c r="BE623" s="267"/>
      <c r="BF623" s="267"/>
      <c r="BG623" s="267"/>
      <c r="BH623" s="267"/>
      <c r="BI623" s="267"/>
      <c r="BJ623" s="267"/>
      <c r="BK623" s="267"/>
      <c r="BL623" s="267"/>
      <c r="BM623" s="267"/>
      <c r="BN623" s="267"/>
      <c r="BO623" s="267"/>
      <c r="BP623" s="267"/>
      <c r="BQ623" s="267"/>
      <c r="BR623" s="267"/>
      <c r="BS623" s="267"/>
      <c r="BT623" s="267"/>
      <c r="BU623" s="267"/>
      <c r="BV623" s="267"/>
      <c r="BW623" s="267"/>
      <c r="BX623" s="267"/>
      <c r="BY623" s="267"/>
      <c r="BZ623" s="267"/>
      <c r="CA623" s="267"/>
      <c r="CB623" s="267"/>
      <c r="CC623" s="267"/>
      <c r="CD623" s="267"/>
      <c r="CE623" s="267"/>
      <c r="CF623" s="267"/>
      <c r="CG623" s="267"/>
      <c r="CH623" s="267"/>
      <c r="CI623" s="267"/>
      <c r="CJ623" s="267"/>
      <c r="CK623" s="267"/>
      <c r="CL623" s="267"/>
      <c r="CM623" s="267"/>
      <c r="CN623" s="267"/>
      <c r="CO623" s="267"/>
      <c r="CP623" s="267"/>
      <c r="CQ623" s="267"/>
      <c r="CR623" s="267"/>
      <c r="CS623" s="267"/>
      <c r="CT623" s="267"/>
      <c r="CU623" s="267"/>
      <c r="CV623" s="267"/>
      <c r="CW623" s="267"/>
      <c r="CX623" s="267"/>
      <c r="CY623" s="267"/>
      <c r="CZ623" s="267"/>
    </row>
    <row r="624" spans="2:104">
      <c r="B624" s="1235"/>
      <c r="C624" s="1235"/>
      <c r="D624" s="1235"/>
      <c r="E624" s="267"/>
      <c r="F624" s="267"/>
      <c r="G624" s="267"/>
      <c r="H624" s="267"/>
      <c r="I624" s="267"/>
      <c r="J624" s="267"/>
      <c r="K624" s="267"/>
      <c r="L624" s="267"/>
      <c r="M624" s="267"/>
      <c r="N624" s="267"/>
      <c r="O624" s="267"/>
      <c r="P624" s="267"/>
      <c r="Q624" s="267"/>
      <c r="R624" s="267"/>
      <c r="S624" s="267"/>
      <c r="T624" s="267"/>
      <c r="U624" s="267"/>
      <c r="V624" s="267"/>
      <c r="W624" s="267"/>
      <c r="X624" s="267"/>
      <c r="Y624" s="267"/>
      <c r="Z624" s="267"/>
      <c r="AA624" s="267"/>
      <c r="AB624" s="267"/>
      <c r="AC624" s="267"/>
      <c r="AD624" s="267"/>
      <c r="AE624" s="267"/>
      <c r="AF624" s="267"/>
      <c r="AG624" s="267"/>
      <c r="AH624" s="267"/>
      <c r="AI624" s="267"/>
      <c r="AJ624" s="267"/>
      <c r="AK624" s="267"/>
      <c r="AL624" s="267"/>
      <c r="AM624" s="267"/>
      <c r="AN624" s="267"/>
      <c r="AO624" s="267"/>
      <c r="AP624" s="267"/>
      <c r="AQ624" s="267"/>
      <c r="AR624" s="267"/>
      <c r="AS624" s="267"/>
      <c r="AT624" s="267"/>
      <c r="AU624" s="267"/>
      <c r="AV624" s="267"/>
      <c r="AW624" s="267"/>
      <c r="AX624" s="267"/>
      <c r="AY624" s="267"/>
      <c r="AZ624" s="267"/>
      <c r="BA624" s="267"/>
      <c r="BB624" s="267"/>
      <c r="BC624" s="267"/>
      <c r="BD624" s="267"/>
      <c r="BE624" s="267"/>
      <c r="BF624" s="267"/>
      <c r="BG624" s="267"/>
      <c r="BH624" s="267"/>
      <c r="BI624" s="267"/>
      <c r="BJ624" s="267"/>
      <c r="BK624" s="267"/>
      <c r="BL624" s="267"/>
      <c r="BM624" s="267"/>
      <c r="BN624" s="267"/>
      <c r="BO624" s="267"/>
      <c r="BP624" s="267"/>
      <c r="BQ624" s="267"/>
      <c r="BR624" s="267"/>
      <c r="BS624" s="267"/>
      <c r="BT624" s="267"/>
      <c r="BU624" s="267"/>
      <c r="BV624" s="267"/>
      <c r="BW624" s="267"/>
      <c r="BX624" s="267"/>
      <c r="BY624" s="267"/>
      <c r="BZ624" s="267"/>
      <c r="CA624" s="267"/>
      <c r="CB624" s="267"/>
      <c r="CC624" s="267"/>
      <c r="CD624" s="267"/>
      <c r="CE624" s="267"/>
      <c r="CF624" s="267"/>
      <c r="CG624" s="267"/>
      <c r="CH624" s="267"/>
      <c r="CI624" s="267"/>
      <c r="CJ624" s="267"/>
      <c r="CK624" s="267"/>
      <c r="CL624" s="267"/>
      <c r="CM624" s="267"/>
      <c r="CN624" s="267"/>
      <c r="CO624" s="267"/>
      <c r="CP624" s="267"/>
      <c r="CQ624" s="267"/>
      <c r="CR624" s="267"/>
      <c r="CS624" s="267"/>
      <c r="CT624" s="267"/>
      <c r="CU624" s="267"/>
      <c r="CV624" s="267"/>
      <c r="CW624" s="267"/>
      <c r="CX624" s="267"/>
      <c r="CY624" s="267"/>
      <c r="CZ624" s="267"/>
    </row>
    <row r="625" spans="2:104">
      <c r="B625" s="1235"/>
      <c r="C625" s="1235"/>
      <c r="D625" s="1235"/>
      <c r="E625" s="267"/>
      <c r="F625" s="267"/>
      <c r="G625" s="267"/>
      <c r="H625" s="267"/>
      <c r="I625" s="267"/>
      <c r="J625" s="267"/>
      <c r="K625" s="267"/>
      <c r="L625" s="267"/>
      <c r="M625" s="267"/>
      <c r="N625" s="267"/>
      <c r="O625" s="267"/>
      <c r="P625" s="267"/>
      <c r="Q625" s="267"/>
      <c r="R625" s="267"/>
      <c r="S625" s="267"/>
      <c r="T625" s="267"/>
      <c r="U625" s="267"/>
      <c r="V625" s="267"/>
      <c r="W625" s="267"/>
      <c r="X625" s="267"/>
      <c r="Y625" s="267"/>
      <c r="Z625" s="267"/>
      <c r="AA625" s="267"/>
      <c r="AB625" s="267"/>
      <c r="AC625" s="267"/>
      <c r="AD625" s="267"/>
      <c r="AE625" s="267"/>
      <c r="AF625" s="267"/>
      <c r="AG625" s="267"/>
      <c r="AH625" s="267"/>
      <c r="AI625" s="267"/>
      <c r="AJ625" s="267"/>
      <c r="AK625" s="267"/>
      <c r="AL625" s="267"/>
      <c r="AM625" s="267"/>
      <c r="AN625" s="267"/>
      <c r="AO625" s="267"/>
      <c r="AP625" s="267"/>
      <c r="AQ625" s="267"/>
      <c r="AR625" s="267"/>
      <c r="AS625" s="267"/>
      <c r="AT625" s="267"/>
      <c r="AU625" s="267"/>
      <c r="AV625" s="267"/>
      <c r="AW625" s="267"/>
      <c r="AX625" s="267"/>
      <c r="AY625" s="267"/>
      <c r="AZ625" s="267"/>
      <c r="BA625" s="267"/>
      <c r="BB625" s="267"/>
      <c r="BC625" s="267"/>
      <c r="BD625" s="267"/>
      <c r="BE625" s="267"/>
      <c r="BF625" s="267"/>
      <c r="BG625" s="267"/>
      <c r="BH625" s="267"/>
      <c r="BI625" s="267"/>
      <c r="BJ625" s="267"/>
      <c r="BK625" s="267"/>
      <c r="BL625" s="267"/>
      <c r="BM625" s="267"/>
      <c r="BN625" s="267"/>
      <c r="BO625" s="267"/>
      <c r="BP625" s="267"/>
      <c r="BQ625" s="267"/>
      <c r="BR625" s="267"/>
      <c r="BS625" s="267"/>
      <c r="BT625" s="267"/>
      <c r="BU625" s="267"/>
      <c r="BV625" s="267"/>
      <c r="BW625" s="267"/>
      <c r="BX625" s="267"/>
      <c r="BY625" s="267"/>
      <c r="BZ625" s="267"/>
      <c r="CA625" s="267"/>
      <c r="CB625" s="267"/>
      <c r="CC625" s="267"/>
      <c r="CD625" s="267"/>
      <c r="CE625" s="267"/>
      <c r="CF625" s="267"/>
      <c r="CG625" s="267"/>
      <c r="CH625" s="267"/>
      <c r="CI625" s="267"/>
      <c r="CJ625" s="267"/>
      <c r="CK625" s="267"/>
      <c r="CL625" s="267"/>
      <c r="CM625" s="267"/>
      <c r="CN625" s="267"/>
      <c r="CO625" s="267"/>
      <c r="CP625" s="267"/>
      <c r="CQ625" s="267"/>
      <c r="CR625" s="267"/>
      <c r="CS625" s="267"/>
      <c r="CT625" s="267"/>
      <c r="CU625" s="267"/>
      <c r="CV625" s="267"/>
      <c r="CW625" s="267"/>
      <c r="CX625" s="267"/>
      <c r="CY625" s="267"/>
      <c r="CZ625" s="267"/>
    </row>
    <row r="626" spans="2:104">
      <c r="B626" s="1235"/>
      <c r="C626" s="1235"/>
      <c r="D626" s="1235"/>
      <c r="E626" s="267"/>
      <c r="F626" s="267"/>
      <c r="G626" s="267"/>
      <c r="H626" s="267"/>
      <c r="I626" s="267"/>
      <c r="J626" s="267"/>
      <c r="K626" s="267"/>
      <c r="L626" s="267"/>
      <c r="M626" s="267"/>
      <c r="N626" s="267"/>
      <c r="O626" s="267"/>
      <c r="P626" s="267"/>
      <c r="Q626" s="267"/>
      <c r="R626" s="267"/>
      <c r="S626" s="267"/>
      <c r="T626" s="267"/>
      <c r="U626" s="267"/>
      <c r="V626" s="267"/>
      <c r="W626" s="267"/>
      <c r="X626" s="267"/>
      <c r="Y626" s="267"/>
      <c r="Z626" s="267"/>
      <c r="AA626" s="267"/>
      <c r="AB626" s="267"/>
      <c r="AC626" s="267"/>
      <c r="AD626" s="267"/>
      <c r="AE626" s="267"/>
      <c r="AF626" s="267"/>
      <c r="AG626" s="267"/>
      <c r="AH626" s="267"/>
      <c r="AI626" s="267"/>
      <c r="AJ626" s="267"/>
      <c r="AK626" s="267"/>
      <c r="AL626" s="267"/>
      <c r="AM626" s="267"/>
      <c r="AN626" s="267"/>
      <c r="AO626" s="267"/>
      <c r="AP626" s="267"/>
      <c r="AQ626" s="267"/>
      <c r="AR626" s="267"/>
      <c r="AS626" s="267"/>
      <c r="AT626" s="267"/>
      <c r="AU626" s="267"/>
      <c r="AV626" s="267"/>
      <c r="AW626" s="267"/>
      <c r="AX626" s="267"/>
      <c r="AY626" s="267"/>
      <c r="AZ626" s="267"/>
      <c r="BA626" s="267"/>
      <c r="BB626" s="267"/>
      <c r="BC626" s="267"/>
      <c r="BD626" s="267"/>
      <c r="BE626" s="267"/>
      <c r="BF626" s="267"/>
      <c r="BG626" s="267"/>
      <c r="BH626" s="267"/>
      <c r="BI626" s="267"/>
      <c r="BJ626" s="267"/>
      <c r="BK626" s="267"/>
      <c r="BL626" s="267"/>
      <c r="BM626" s="267"/>
      <c r="BN626" s="267"/>
      <c r="BO626" s="267"/>
      <c r="BP626" s="267"/>
      <c r="BQ626" s="267"/>
      <c r="BR626" s="267"/>
      <c r="BS626" s="267"/>
      <c r="BT626" s="267"/>
      <c r="BU626" s="267"/>
      <c r="BV626" s="267"/>
      <c r="BW626" s="267"/>
      <c r="BX626" s="267"/>
      <c r="BY626" s="267"/>
      <c r="BZ626" s="267"/>
      <c r="CA626" s="267"/>
      <c r="CB626" s="267"/>
      <c r="CC626" s="267"/>
      <c r="CD626" s="267"/>
      <c r="CE626" s="267"/>
      <c r="CF626" s="267"/>
      <c r="CG626" s="267"/>
      <c r="CH626" s="267"/>
      <c r="CI626" s="267"/>
      <c r="CJ626" s="267"/>
      <c r="CK626" s="267"/>
      <c r="CL626" s="267"/>
      <c r="CM626" s="267"/>
      <c r="CN626" s="267"/>
      <c r="CO626" s="267"/>
      <c r="CP626" s="267"/>
      <c r="CQ626" s="267"/>
      <c r="CR626" s="267"/>
      <c r="CS626" s="267"/>
      <c r="CT626" s="267"/>
      <c r="CU626" s="267"/>
      <c r="CV626" s="267"/>
      <c r="CW626" s="267"/>
      <c r="CX626" s="267"/>
      <c r="CY626" s="267"/>
      <c r="CZ626" s="267"/>
    </row>
    <row r="627" spans="2:104">
      <c r="B627" s="1235"/>
      <c r="C627" s="1235"/>
      <c r="D627" s="1235"/>
      <c r="E627" s="267"/>
      <c r="F627" s="267"/>
      <c r="G627" s="267"/>
      <c r="H627" s="267"/>
      <c r="I627" s="267"/>
      <c r="J627" s="267"/>
      <c r="K627" s="267"/>
      <c r="L627" s="267"/>
      <c r="M627" s="267"/>
      <c r="N627" s="267"/>
      <c r="O627" s="267"/>
      <c r="P627" s="267"/>
      <c r="Q627" s="267"/>
      <c r="R627" s="267"/>
      <c r="S627" s="267"/>
      <c r="T627" s="267"/>
      <c r="U627" s="267"/>
      <c r="V627" s="267"/>
      <c r="W627" s="267"/>
      <c r="X627" s="267"/>
      <c r="Y627" s="267"/>
      <c r="Z627" s="267"/>
      <c r="AA627" s="267"/>
      <c r="AB627" s="267"/>
      <c r="AC627" s="267"/>
      <c r="AD627" s="267"/>
      <c r="AE627" s="267"/>
      <c r="AF627" s="267"/>
      <c r="AG627" s="267"/>
      <c r="AH627" s="267"/>
      <c r="AI627" s="267"/>
      <c r="AJ627" s="267"/>
      <c r="AK627" s="267"/>
      <c r="AL627" s="267"/>
      <c r="AM627" s="267"/>
      <c r="AN627" s="267"/>
      <c r="AO627" s="267"/>
      <c r="AP627" s="267"/>
      <c r="AQ627" s="267"/>
      <c r="AR627" s="267"/>
      <c r="AS627" s="267"/>
      <c r="AT627" s="267"/>
      <c r="AU627" s="267"/>
      <c r="AV627" s="267"/>
      <c r="AW627" s="267"/>
      <c r="AX627" s="267"/>
      <c r="AY627" s="267"/>
      <c r="AZ627" s="267"/>
      <c r="BA627" s="267"/>
      <c r="BB627" s="267"/>
      <c r="BC627" s="267"/>
      <c r="BD627" s="267"/>
      <c r="BE627" s="267"/>
      <c r="BF627" s="267"/>
      <c r="BG627" s="267"/>
      <c r="BH627" s="267"/>
      <c r="BI627" s="267"/>
      <c r="BJ627" s="267"/>
      <c r="BK627" s="267"/>
      <c r="BL627" s="267"/>
      <c r="BM627" s="267"/>
      <c r="BN627" s="267"/>
      <c r="BO627" s="267"/>
      <c r="BP627" s="267"/>
      <c r="BQ627" s="267"/>
      <c r="BR627" s="267"/>
      <c r="BS627" s="267"/>
      <c r="BT627" s="267"/>
      <c r="BU627" s="267"/>
      <c r="BV627" s="267"/>
      <c r="BW627" s="267"/>
      <c r="BX627" s="267"/>
      <c r="BY627" s="267"/>
      <c r="BZ627" s="267"/>
      <c r="CA627" s="267"/>
      <c r="CB627" s="267"/>
      <c r="CC627" s="267"/>
      <c r="CD627" s="267"/>
      <c r="CE627" s="267"/>
      <c r="CF627" s="267"/>
      <c r="CG627" s="267"/>
      <c r="CH627" s="267"/>
      <c r="CI627" s="267"/>
      <c r="CJ627" s="267"/>
      <c r="CK627" s="267"/>
      <c r="CL627" s="267"/>
      <c r="CM627" s="267"/>
      <c r="CN627" s="267"/>
      <c r="CO627" s="267"/>
      <c r="CP627" s="267"/>
      <c r="CQ627" s="267"/>
      <c r="CR627" s="267"/>
      <c r="CS627" s="267"/>
      <c r="CT627" s="267"/>
      <c r="CU627" s="267"/>
      <c r="CV627" s="267"/>
      <c r="CW627" s="267"/>
      <c r="CX627" s="267"/>
      <c r="CY627" s="267"/>
      <c r="CZ627" s="267"/>
    </row>
    <row r="628" spans="2:104">
      <c r="B628" s="1235"/>
      <c r="C628" s="1235"/>
      <c r="D628" s="1235"/>
      <c r="E628" s="267"/>
      <c r="F628" s="267"/>
      <c r="G628" s="267"/>
      <c r="H628" s="267"/>
      <c r="I628" s="267"/>
      <c r="J628" s="267"/>
      <c r="K628" s="267"/>
      <c r="L628" s="267"/>
      <c r="M628" s="267"/>
      <c r="N628" s="267"/>
      <c r="O628" s="267"/>
      <c r="P628" s="267"/>
      <c r="Q628" s="267"/>
      <c r="R628" s="267"/>
      <c r="S628" s="267"/>
      <c r="T628" s="267"/>
      <c r="U628" s="267"/>
      <c r="V628" s="267"/>
      <c r="W628" s="267"/>
      <c r="X628" s="267"/>
      <c r="Y628" s="267"/>
      <c r="Z628" s="267"/>
      <c r="AA628" s="267"/>
      <c r="AB628" s="267"/>
      <c r="AC628" s="267"/>
      <c r="AD628" s="267"/>
      <c r="AE628" s="267"/>
      <c r="AF628" s="267"/>
      <c r="AG628" s="267"/>
      <c r="AH628" s="267"/>
      <c r="AI628" s="267"/>
      <c r="AJ628" s="267"/>
      <c r="AK628" s="267"/>
      <c r="AL628" s="267"/>
      <c r="AM628" s="267"/>
      <c r="AN628" s="267"/>
      <c r="AO628" s="267"/>
      <c r="AP628" s="267"/>
      <c r="AQ628" s="267"/>
      <c r="AR628" s="267"/>
      <c r="AS628" s="267"/>
      <c r="AT628" s="267"/>
      <c r="AU628" s="267"/>
      <c r="AV628" s="267"/>
      <c r="AW628" s="267"/>
      <c r="AX628" s="267"/>
      <c r="AY628" s="267"/>
      <c r="AZ628" s="267"/>
      <c r="BA628" s="267"/>
      <c r="BB628" s="267"/>
      <c r="BC628" s="267"/>
      <c r="BD628" s="267"/>
      <c r="BE628" s="267"/>
      <c r="BF628" s="267"/>
      <c r="BG628" s="267"/>
      <c r="BH628" s="267"/>
      <c r="BI628" s="267"/>
      <c r="BJ628" s="267"/>
      <c r="BK628" s="267"/>
      <c r="BL628" s="267"/>
      <c r="BM628" s="267"/>
      <c r="BN628" s="267"/>
      <c r="BO628" s="267"/>
      <c r="BP628" s="267"/>
      <c r="BQ628" s="267"/>
      <c r="BR628" s="267"/>
      <c r="BS628" s="267"/>
      <c r="BT628" s="267"/>
      <c r="BU628" s="267"/>
      <c r="BV628" s="267"/>
      <c r="BW628" s="267"/>
      <c r="BX628" s="267"/>
      <c r="BY628" s="267"/>
      <c r="BZ628" s="267"/>
      <c r="CA628" s="267"/>
      <c r="CB628" s="267"/>
      <c r="CC628" s="267"/>
      <c r="CD628" s="267"/>
      <c r="CE628" s="267"/>
      <c r="CF628" s="267"/>
      <c r="CG628" s="267"/>
      <c r="CH628" s="267"/>
      <c r="CI628" s="267"/>
      <c r="CJ628" s="267"/>
      <c r="CK628" s="267"/>
      <c r="CL628" s="267"/>
      <c r="CM628" s="267"/>
      <c r="CN628" s="267"/>
      <c r="CO628" s="267"/>
      <c r="CP628" s="267"/>
      <c r="CQ628" s="267"/>
      <c r="CR628" s="267"/>
      <c r="CS628" s="267"/>
      <c r="CT628" s="267"/>
      <c r="CU628" s="267"/>
      <c r="CV628" s="267"/>
      <c r="CW628" s="267"/>
      <c r="CX628" s="267"/>
      <c r="CY628" s="267"/>
      <c r="CZ628" s="267"/>
    </row>
    <row r="629" spans="2:104">
      <c r="B629" s="1235"/>
      <c r="C629" s="1235"/>
      <c r="D629" s="1235"/>
      <c r="E629" s="267"/>
      <c r="F629" s="267"/>
      <c r="G629" s="267"/>
      <c r="H629" s="267"/>
      <c r="I629" s="267"/>
      <c r="J629" s="267"/>
      <c r="K629" s="267"/>
      <c r="L629" s="267"/>
      <c r="M629" s="267"/>
      <c r="N629" s="267"/>
      <c r="O629" s="267"/>
      <c r="P629" s="267"/>
      <c r="Q629" s="267"/>
      <c r="R629" s="267"/>
      <c r="S629" s="267"/>
      <c r="T629" s="267"/>
      <c r="U629" s="267"/>
      <c r="V629" s="267"/>
      <c r="W629" s="267"/>
      <c r="X629" s="267"/>
      <c r="Y629" s="267"/>
      <c r="Z629" s="267"/>
      <c r="AA629" s="267"/>
      <c r="AB629" s="267"/>
      <c r="AC629" s="267"/>
      <c r="AD629" s="267"/>
      <c r="AE629" s="267"/>
      <c r="AF629" s="267"/>
      <c r="AG629" s="267"/>
      <c r="AH629" s="267"/>
      <c r="AI629" s="267"/>
      <c r="AJ629" s="267"/>
      <c r="AK629" s="267"/>
      <c r="AL629" s="267"/>
      <c r="AM629" s="267"/>
      <c r="AN629" s="267"/>
      <c r="AO629" s="267"/>
      <c r="AP629" s="267"/>
      <c r="AQ629" s="267"/>
      <c r="AR629" s="267"/>
      <c r="AS629" s="267"/>
      <c r="AT629" s="267"/>
      <c r="AU629" s="267"/>
      <c r="AV629" s="267"/>
      <c r="AW629" s="267"/>
      <c r="AX629" s="267"/>
      <c r="AY629" s="267"/>
      <c r="AZ629" s="267"/>
      <c r="BA629" s="267"/>
      <c r="BB629" s="267"/>
      <c r="BC629" s="267"/>
      <c r="BD629" s="267"/>
      <c r="BE629" s="267"/>
      <c r="BF629" s="267"/>
      <c r="BG629" s="267"/>
      <c r="BH629" s="267"/>
      <c r="BI629" s="267"/>
      <c r="BJ629" s="267"/>
      <c r="BK629" s="267"/>
      <c r="BL629" s="267"/>
      <c r="BM629" s="267"/>
      <c r="BN629" s="267"/>
      <c r="BO629" s="267"/>
      <c r="BP629" s="267"/>
      <c r="BQ629" s="267"/>
      <c r="BR629" s="267"/>
      <c r="BS629" s="267"/>
      <c r="BT629" s="267"/>
      <c r="BU629" s="267"/>
      <c r="BV629" s="267"/>
      <c r="BW629" s="267"/>
      <c r="BX629" s="267"/>
      <c r="BY629" s="267"/>
      <c r="BZ629" s="267"/>
      <c r="CA629" s="267"/>
      <c r="CB629" s="267"/>
      <c r="CC629" s="267"/>
      <c r="CD629" s="267"/>
      <c r="CE629" s="267"/>
      <c r="CF629" s="267"/>
      <c r="CG629" s="267"/>
      <c r="CH629" s="267"/>
      <c r="CI629" s="267"/>
      <c r="CJ629" s="267"/>
      <c r="CK629" s="267"/>
      <c r="CL629" s="267"/>
      <c r="CM629" s="267"/>
      <c r="CN629" s="267"/>
      <c r="CO629" s="267"/>
      <c r="CP629" s="267"/>
      <c r="CQ629" s="267"/>
      <c r="CR629" s="267"/>
      <c r="CS629" s="267"/>
      <c r="CT629" s="267"/>
      <c r="CU629" s="267"/>
      <c r="CV629" s="267"/>
      <c r="CW629" s="267"/>
      <c r="CX629" s="267"/>
      <c r="CY629" s="267"/>
      <c r="CZ629" s="267"/>
    </row>
    <row r="630" spans="2:104">
      <c r="B630" s="1235"/>
      <c r="C630" s="1235"/>
      <c r="D630" s="1235"/>
      <c r="E630" s="267"/>
      <c r="F630" s="267"/>
      <c r="G630" s="267"/>
      <c r="H630" s="267"/>
      <c r="I630" s="267"/>
      <c r="J630" s="267"/>
      <c r="K630" s="267"/>
      <c r="L630" s="267"/>
      <c r="M630" s="267"/>
      <c r="N630" s="267"/>
      <c r="O630" s="267"/>
      <c r="P630" s="267"/>
      <c r="Q630" s="267"/>
      <c r="R630" s="267"/>
      <c r="S630" s="267"/>
      <c r="T630" s="267"/>
      <c r="U630" s="267"/>
      <c r="V630" s="267"/>
      <c r="W630" s="267"/>
      <c r="X630" s="267"/>
      <c r="Y630" s="267"/>
      <c r="Z630" s="267"/>
      <c r="AA630" s="267"/>
      <c r="AB630" s="267"/>
      <c r="AC630" s="267"/>
      <c r="AD630" s="267"/>
      <c r="AE630" s="267"/>
      <c r="AF630" s="267"/>
      <c r="AG630" s="267"/>
      <c r="AH630" s="267"/>
      <c r="AI630" s="267"/>
      <c r="AJ630" s="267"/>
      <c r="AK630" s="267"/>
      <c r="AL630" s="267"/>
      <c r="AM630" s="267"/>
      <c r="AN630" s="267"/>
      <c r="AO630" s="267"/>
      <c r="AP630" s="267"/>
      <c r="AQ630" s="267"/>
      <c r="AR630" s="267"/>
      <c r="AS630" s="267"/>
      <c r="AT630" s="267"/>
      <c r="AU630" s="267"/>
      <c r="AV630" s="267"/>
      <c r="AW630" s="267"/>
      <c r="AX630" s="267"/>
      <c r="AY630" s="267"/>
      <c r="AZ630" s="267"/>
      <c r="BA630" s="267"/>
      <c r="BB630" s="267"/>
      <c r="BC630" s="267"/>
      <c r="BD630" s="267"/>
      <c r="BE630" s="267"/>
      <c r="BF630" s="267"/>
      <c r="BG630" s="267"/>
      <c r="BH630" s="267"/>
      <c r="BI630" s="267"/>
      <c r="BJ630" s="267"/>
      <c r="BK630" s="267"/>
      <c r="BL630" s="267"/>
      <c r="BM630" s="267"/>
      <c r="BN630" s="267"/>
      <c r="BO630" s="267"/>
      <c r="BP630" s="267"/>
      <c r="BQ630" s="267"/>
      <c r="BR630" s="267"/>
      <c r="BS630" s="267"/>
      <c r="BT630" s="267"/>
      <c r="BU630" s="267"/>
      <c r="BV630" s="267"/>
      <c r="BW630" s="267"/>
      <c r="BX630" s="267"/>
      <c r="BY630" s="267"/>
      <c r="BZ630" s="267"/>
      <c r="CA630" s="267"/>
      <c r="CB630" s="267"/>
      <c r="CC630" s="267"/>
      <c r="CD630" s="267"/>
      <c r="CE630" s="267"/>
      <c r="CF630" s="267"/>
      <c r="CG630" s="267"/>
      <c r="CH630" s="267"/>
      <c r="CI630" s="267"/>
      <c r="CJ630" s="267"/>
      <c r="CK630" s="267"/>
      <c r="CL630" s="267"/>
      <c r="CM630" s="267"/>
      <c r="CN630" s="267"/>
      <c r="CO630" s="267"/>
      <c r="CP630" s="267"/>
      <c r="CQ630" s="267"/>
      <c r="CR630" s="267"/>
      <c r="CS630" s="267"/>
      <c r="CT630" s="267"/>
      <c r="CU630" s="267"/>
      <c r="CV630" s="267"/>
      <c r="CW630" s="267"/>
      <c r="CX630" s="267"/>
      <c r="CY630" s="267"/>
      <c r="CZ630" s="267"/>
    </row>
    <row r="631" spans="2:104">
      <c r="B631" s="1235"/>
      <c r="C631" s="1235"/>
      <c r="D631" s="1235"/>
      <c r="E631" s="267"/>
      <c r="F631" s="267"/>
      <c r="G631" s="267"/>
      <c r="H631" s="267"/>
      <c r="I631" s="267"/>
      <c r="J631" s="267"/>
      <c r="K631" s="267"/>
      <c r="L631" s="267"/>
      <c r="M631" s="267"/>
      <c r="N631" s="267"/>
      <c r="O631" s="267"/>
      <c r="P631" s="267"/>
      <c r="Q631" s="267"/>
      <c r="R631" s="267"/>
      <c r="S631" s="267"/>
      <c r="T631" s="267"/>
      <c r="U631" s="267"/>
      <c r="V631" s="267"/>
      <c r="W631" s="267"/>
      <c r="X631" s="267"/>
      <c r="Y631" s="267"/>
      <c r="Z631" s="267"/>
      <c r="AA631" s="267"/>
      <c r="AB631" s="267"/>
      <c r="AC631" s="267"/>
      <c r="AD631" s="267"/>
      <c r="AE631" s="267"/>
      <c r="AF631" s="267"/>
      <c r="AG631" s="267"/>
      <c r="AH631" s="267"/>
      <c r="AI631" s="267"/>
      <c r="AJ631" s="267"/>
      <c r="AK631" s="267"/>
      <c r="AL631" s="267"/>
      <c r="AM631" s="267"/>
      <c r="AN631" s="267"/>
      <c r="AO631" s="267"/>
      <c r="AP631" s="267"/>
      <c r="AQ631" s="267"/>
      <c r="AR631" s="267"/>
      <c r="AS631" s="267"/>
      <c r="AT631" s="267"/>
      <c r="AU631" s="267"/>
      <c r="AV631" s="267"/>
      <c r="AW631" s="267"/>
      <c r="AX631" s="267"/>
      <c r="AY631" s="267"/>
      <c r="AZ631" s="267"/>
      <c r="BA631" s="267"/>
      <c r="BB631" s="267"/>
      <c r="BC631" s="267"/>
      <c r="BD631" s="267"/>
      <c r="BE631" s="267"/>
      <c r="BF631" s="267"/>
      <c r="BG631" s="267"/>
      <c r="BH631" s="267"/>
      <c r="BI631" s="267"/>
      <c r="BJ631" s="267"/>
      <c r="BK631" s="267"/>
      <c r="BL631" s="267"/>
      <c r="BM631" s="267"/>
      <c r="BN631" s="267"/>
      <c r="BO631" s="267"/>
      <c r="BP631" s="267"/>
      <c r="BQ631" s="267"/>
      <c r="BR631" s="267"/>
      <c r="BS631" s="267"/>
      <c r="BT631" s="267"/>
      <c r="BU631" s="267"/>
      <c r="BV631" s="267"/>
      <c r="BW631" s="267"/>
      <c r="BX631" s="267"/>
      <c r="BY631" s="267"/>
      <c r="BZ631" s="267"/>
      <c r="CA631" s="267"/>
      <c r="CB631" s="267"/>
      <c r="CC631" s="267"/>
      <c r="CD631" s="267"/>
      <c r="CE631" s="267"/>
      <c r="CF631" s="267"/>
      <c r="CG631" s="267"/>
      <c r="CH631" s="267"/>
      <c r="CI631" s="267"/>
      <c r="CJ631" s="267"/>
      <c r="CK631" s="267"/>
      <c r="CL631" s="267"/>
      <c r="CM631" s="267"/>
      <c r="CN631" s="267"/>
      <c r="CO631" s="267"/>
      <c r="CP631" s="267"/>
      <c r="CQ631" s="267"/>
      <c r="CR631" s="267"/>
      <c r="CS631" s="267"/>
      <c r="CT631" s="267"/>
      <c r="CU631" s="267"/>
      <c r="CV631" s="267"/>
      <c r="CW631" s="267"/>
      <c r="CX631" s="267"/>
      <c r="CY631" s="267"/>
      <c r="CZ631" s="267"/>
    </row>
    <row r="632" spans="2:104">
      <c r="B632" s="1235"/>
      <c r="C632" s="1235"/>
      <c r="D632" s="1235"/>
      <c r="E632" s="267"/>
      <c r="F632" s="267"/>
      <c r="G632" s="267"/>
      <c r="H632" s="267"/>
      <c r="I632" s="267"/>
      <c r="J632" s="267"/>
      <c r="K632" s="267"/>
      <c r="L632" s="267"/>
      <c r="M632" s="267"/>
      <c r="N632" s="267"/>
      <c r="O632" s="267"/>
      <c r="P632" s="267"/>
      <c r="Q632" s="267"/>
      <c r="R632" s="267"/>
      <c r="S632" s="267"/>
      <c r="T632" s="267"/>
      <c r="U632" s="267"/>
      <c r="V632" s="267"/>
      <c r="W632" s="267"/>
      <c r="X632" s="267"/>
      <c r="Y632" s="267"/>
      <c r="Z632" s="267"/>
      <c r="AA632" s="267"/>
      <c r="AB632" s="267"/>
      <c r="AC632" s="267"/>
      <c r="AD632" s="267"/>
      <c r="AE632" s="267"/>
      <c r="AF632" s="267"/>
      <c r="AG632" s="267"/>
      <c r="AH632" s="267"/>
      <c r="AI632" s="267"/>
      <c r="AJ632" s="267"/>
      <c r="AK632" s="267"/>
      <c r="AL632" s="267"/>
      <c r="AM632" s="267"/>
      <c r="AN632" s="267"/>
      <c r="AO632" s="267"/>
      <c r="AP632" s="267"/>
      <c r="AQ632" s="267"/>
      <c r="AR632" s="267"/>
      <c r="AS632" s="267"/>
      <c r="AT632" s="267"/>
      <c r="AU632" s="267"/>
      <c r="AV632" s="267"/>
      <c r="AW632" s="267"/>
      <c r="AX632" s="267"/>
      <c r="AY632" s="267"/>
      <c r="AZ632" s="267"/>
      <c r="BA632" s="267"/>
      <c r="BB632" s="267"/>
      <c r="BC632" s="267"/>
      <c r="BD632" s="267"/>
      <c r="BE632" s="267"/>
      <c r="BF632" s="267"/>
      <c r="BG632" s="267"/>
      <c r="BH632" s="267"/>
      <c r="BI632" s="267"/>
      <c r="BJ632" s="267"/>
      <c r="BK632" s="267"/>
      <c r="BL632" s="267"/>
      <c r="BM632" s="267"/>
      <c r="BN632" s="267"/>
      <c r="BO632" s="267"/>
      <c r="BP632" s="267"/>
      <c r="BQ632" s="267"/>
      <c r="BR632" s="267"/>
      <c r="BS632" s="267"/>
      <c r="BT632" s="267"/>
      <c r="BU632" s="267"/>
      <c r="BV632" s="267"/>
      <c r="BW632" s="267"/>
      <c r="BX632" s="267"/>
      <c r="BY632" s="267"/>
      <c r="BZ632" s="267"/>
      <c r="CA632" s="267"/>
      <c r="CB632" s="267"/>
      <c r="CC632" s="267"/>
      <c r="CD632" s="267"/>
      <c r="CE632" s="267"/>
      <c r="CF632" s="267"/>
      <c r="CG632" s="267"/>
      <c r="CH632" s="267"/>
      <c r="CI632" s="267"/>
      <c r="CJ632" s="267"/>
      <c r="CK632" s="267"/>
      <c r="CL632" s="267"/>
      <c r="CM632" s="267"/>
      <c r="CN632" s="267"/>
      <c r="CO632" s="267"/>
      <c r="CP632" s="267"/>
      <c r="CQ632" s="267"/>
      <c r="CR632" s="267"/>
      <c r="CS632" s="267"/>
      <c r="CT632" s="267"/>
      <c r="CU632" s="267"/>
      <c r="CV632" s="267"/>
      <c r="CW632" s="267"/>
      <c r="CX632" s="267"/>
      <c r="CY632" s="267"/>
      <c r="CZ632" s="267"/>
    </row>
    <row r="633" spans="2:104">
      <c r="B633" s="1235"/>
      <c r="C633" s="1235"/>
      <c r="D633" s="1235"/>
      <c r="E633" s="267"/>
      <c r="F633" s="267"/>
      <c r="G633" s="267"/>
      <c r="H633" s="267"/>
      <c r="I633" s="267"/>
      <c r="J633" s="267"/>
      <c r="K633" s="267"/>
      <c r="L633" s="267"/>
      <c r="M633" s="267"/>
      <c r="N633" s="267"/>
      <c r="O633" s="267"/>
      <c r="P633" s="267"/>
      <c r="Q633" s="267"/>
      <c r="R633" s="267"/>
      <c r="S633" s="267"/>
      <c r="T633" s="267"/>
      <c r="U633" s="267"/>
      <c r="V633" s="267"/>
      <c r="W633" s="267"/>
      <c r="X633" s="267"/>
      <c r="Y633" s="267"/>
      <c r="Z633" s="267"/>
      <c r="AA633" s="267"/>
      <c r="AB633" s="267"/>
      <c r="AC633" s="267"/>
      <c r="AD633" s="267"/>
      <c r="AE633" s="267"/>
      <c r="AF633" s="267"/>
      <c r="AG633" s="267"/>
      <c r="AH633" s="267"/>
      <c r="AI633" s="267"/>
      <c r="AJ633" s="267"/>
      <c r="AK633" s="267"/>
      <c r="AL633" s="267"/>
      <c r="AM633" s="267"/>
      <c r="AN633" s="267"/>
      <c r="AO633" s="267"/>
      <c r="AP633" s="267"/>
      <c r="AQ633" s="267"/>
      <c r="AR633" s="267"/>
      <c r="AS633" s="267"/>
      <c r="AT633" s="267"/>
      <c r="AU633" s="267"/>
      <c r="AV633" s="267"/>
      <c r="AW633" s="267"/>
      <c r="AX633" s="267"/>
      <c r="AY633" s="267"/>
      <c r="AZ633" s="267"/>
      <c r="BA633" s="267"/>
      <c r="BB633" s="267"/>
      <c r="BC633" s="267"/>
      <c r="BD633" s="267"/>
      <c r="BE633" s="267"/>
      <c r="BF633" s="267"/>
      <c r="BG633" s="267"/>
      <c r="BH633" s="267"/>
      <c r="BI633" s="267"/>
      <c r="BJ633" s="267"/>
      <c r="BK633" s="267"/>
      <c r="BL633" s="267"/>
      <c r="BM633" s="267"/>
      <c r="BN633" s="267"/>
      <c r="BO633" s="267"/>
      <c r="BP633" s="267"/>
      <c r="BQ633" s="267"/>
      <c r="BR633" s="267"/>
      <c r="BS633" s="267"/>
      <c r="BT633" s="267"/>
      <c r="BU633" s="267"/>
      <c r="BV633" s="267"/>
      <c r="BW633" s="267"/>
      <c r="BX633" s="267"/>
      <c r="BY633" s="267"/>
      <c r="BZ633" s="267"/>
      <c r="CA633" s="267"/>
      <c r="CB633" s="267"/>
      <c r="CC633" s="267"/>
      <c r="CD633" s="267"/>
      <c r="CE633" s="267"/>
      <c r="CF633" s="267"/>
      <c r="CG633" s="267"/>
      <c r="CH633" s="267"/>
      <c r="CI633" s="267"/>
      <c r="CJ633" s="267"/>
      <c r="CK633" s="267"/>
      <c r="CL633" s="267"/>
      <c r="CM633" s="267"/>
      <c r="CN633" s="267"/>
      <c r="CO633" s="267"/>
      <c r="CP633" s="267"/>
      <c r="CQ633" s="267"/>
      <c r="CR633" s="267"/>
      <c r="CS633" s="267"/>
      <c r="CT633" s="267"/>
      <c r="CU633" s="267"/>
      <c r="CV633" s="267"/>
      <c r="CW633" s="267"/>
      <c r="CX633" s="267"/>
      <c r="CY633" s="267"/>
      <c r="CZ633" s="267"/>
    </row>
    <row r="634" spans="2:104">
      <c r="B634" s="1235"/>
      <c r="C634" s="1235"/>
      <c r="D634" s="1235"/>
      <c r="E634" s="267"/>
      <c r="F634" s="267"/>
      <c r="G634" s="267"/>
      <c r="H634" s="267"/>
      <c r="I634" s="267"/>
      <c r="J634" s="267"/>
      <c r="K634" s="267"/>
      <c r="L634" s="267"/>
      <c r="M634" s="267"/>
      <c r="N634" s="267"/>
      <c r="O634" s="267"/>
      <c r="P634" s="267"/>
      <c r="Q634" s="267"/>
      <c r="R634" s="267"/>
      <c r="S634" s="267"/>
      <c r="T634" s="267"/>
      <c r="U634" s="267"/>
      <c r="V634" s="267"/>
      <c r="W634" s="267"/>
      <c r="X634" s="267"/>
      <c r="Y634" s="267"/>
      <c r="Z634" s="267"/>
      <c r="AA634" s="267"/>
      <c r="AB634" s="267"/>
      <c r="AC634" s="267"/>
      <c r="AD634" s="267"/>
      <c r="AE634" s="267"/>
      <c r="AF634" s="267"/>
      <c r="AG634" s="267"/>
      <c r="AH634" s="267"/>
      <c r="AI634" s="267"/>
      <c r="AJ634" s="267"/>
      <c r="AK634" s="267"/>
      <c r="AL634" s="267"/>
      <c r="AM634" s="267"/>
      <c r="AN634" s="267"/>
      <c r="AO634" s="267"/>
      <c r="AP634" s="267"/>
      <c r="AQ634" s="267"/>
      <c r="AR634" s="267"/>
      <c r="AS634" s="267"/>
      <c r="AT634" s="267"/>
      <c r="AU634" s="267"/>
      <c r="AV634" s="267"/>
      <c r="AW634" s="267"/>
      <c r="AX634" s="267"/>
      <c r="AY634" s="267"/>
      <c r="AZ634" s="267"/>
      <c r="BA634" s="267"/>
      <c r="BB634" s="267"/>
      <c r="BC634" s="267"/>
      <c r="BD634" s="267"/>
      <c r="BE634" s="267"/>
      <c r="BF634" s="267"/>
      <c r="BG634" s="267"/>
      <c r="BH634" s="267"/>
      <c r="BI634" s="267"/>
      <c r="BJ634" s="267"/>
      <c r="BK634" s="267"/>
      <c r="BL634" s="267"/>
      <c r="BM634" s="267"/>
      <c r="BN634" s="267"/>
      <c r="BO634" s="267"/>
      <c r="BP634" s="267"/>
      <c r="BQ634" s="267"/>
      <c r="BR634" s="267"/>
      <c r="BS634" s="267"/>
      <c r="BT634" s="267"/>
      <c r="BU634" s="267"/>
      <c r="BV634" s="267"/>
      <c r="BW634" s="267"/>
      <c r="BX634" s="267"/>
      <c r="BY634" s="267"/>
      <c r="BZ634" s="267"/>
      <c r="CA634" s="267"/>
      <c r="CB634" s="267"/>
      <c r="CC634" s="267"/>
      <c r="CD634" s="267"/>
      <c r="CE634" s="267"/>
      <c r="CF634" s="267"/>
      <c r="CG634" s="267"/>
      <c r="CH634" s="267"/>
      <c r="CI634" s="267"/>
      <c r="CJ634" s="267"/>
      <c r="CK634" s="267"/>
      <c r="CL634" s="267"/>
      <c r="CM634" s="267"/>
      <c r="CN634" s="267"/>
      <c r="CO634" s="267"/>
      <c r="CP634" s="267"/>
      <c r="CQ634" s="267"/>
      <c r="CR634" s="267"/>
      <c r="CS634" s="267"/>
      <c r="CT634" s="267"/>
      <c r="CU634" s="267"/>
      <c r="CV634" s="267"/>
      <c r="CW634" s="267"/>
      <c r="CX634" s="267"/>
      <c r="CY634" s="267"/>
      <c r="CZ634" s="267"/>
    </row>
    <row r="635" spans="2:104">
      <c r="B635" s="1235"/>
      <c r="C635" s="1235"/>
      <c r="D635" s="1235"/>
      <c r="E635" s="267"/>
      <c r="F635" s="267"/>
      <c r="G635" s="267"/>
      <c r="H635" s="267"/>
      <c r="I635" s="267"/>
      <c r="J635" s="267"/>
      <c r="K635" s="267"/>
      <c r="L635" s="267"/>
      <c r="M635" s="267"/>
      <c r="N635" s="267"/>
      <c r="O635" s="267"/>
      <c r="P635" s="267"/>
      <c r="Q635" s="267"/>
      <c r="R635" s="267"/>
      <c r="S635" s="267"/>
      <c r="T635" s="267"/>
      <c r="U635" s="267"/>
      <c r="V635" s="267"/>
      <c r="W635" s="267"/>
      <c r="X635" s="267"/>
      <c r="Y635" s="267"/>
      <c r="Z635" s="267"/>
      <c r="AA635" s="267"/>
      <c r="AB635" s="267"/>
      <c r="AC635" s="267"/>
      <c r="AD635" s="267"/>
      <c r="AE635" s="267"/>
      <c r="AF635" s="267"/>
      <c r="AG635" s="267"/>
      <c r="AH635" s="267"/>
      <c r="AI635" s="267"/>
      <c r="AJ635" s="267"/>
      <c r="AK635" s="267"/>
      <c r="AL635" s="267"/>
      <c r="AM635" s="267"/>
      <c r="AN635" s="267"/>
      <c r="AO635" s="267"/>
      <c r="AP635" s="267"/>
      <c r="AQ635" s="267"/>
      <c r="AR635" s="267"/>
      <c r="AS635" s="267"/>
      <c r="AT635" s="267"/>
      <c r="AU635" s="267"/>
      <c r="AV635" s="267"/>
      <c r="AW635" s="267"/>
      <c r="AX635" s="267"/>
      <c r="AY635" s="267"/>
      <c r="AZ635" s="267"/>
      <c r="BA635" s="267"/>
      <c r="BB635" s="267"/>
      <c r="BC635" s="267"/>
      <c r="BD635" s="267"/>
      <c r="BE635" s="267"/>
      <c r="BF635" s="267"/>
      <c r="BG635" s="267"/>
      <c r="BH635" s="267"/>
      <c r="BI635" s="267"/>
      <c r="BJ635" s="267"/>
      <c r="BK635" s="267"/>
      <c r="BL635" s="267"/>
      <c r="BM635" s="267"/>
      <c r="BN635" s="267"/>
      <c r="BO635" s="267"/>
      <c r="BP635" s="267"/>
      <c r="BQ635" s="267"/>
      <c r="BR635" s="267"/>
      <c r="BS635" s="267"/>
      <c r="BT635" s="267"/>
      <c r="BU635" s="267"/>
      <c r="BV635" s="267"/>
      <c r="BW635" s="267"/>
      <c r="BX635" s="267"/>
      <c r="BY635" s="267"/>
      <c r="BZ635" s="267"/>
      <c r="CA635" s="267"/>
      <c r="CB635" s="267"/>
      <c r="CC635" s="267"/>
      <c r="CD635" s="267"/>
      <c r="CE635" s="267"/>
      <c r="CF635" s="267"/>
      <c r="CG635" s="267"/>
      <c r="CH635" s="267"/>
      <c r="CI635" s="267"/>
      <c r="CJ635" s="267"/>
      <c r="CK635" s="267"/>
      <c r="CL635" s="267"/>
      <c r="CM635" s="267"/>
      <c r="CN635" s="267"/>
      <c r="CO635" s="267"/>
      <c r="CP635" s="267"/>
      <c r="CQ635" s="267"/>
      <c r="CR635" s="267"/>
      <c r="CS635" s="267"/>
      <c r="CT635" s="267"/>
      <c r="CU635" s="267"/>
      <c r="CV635" s="267"/>
      <c r="CW635" s="267"/>
      <c r="CX635" s="267"/>
      <c r="CY635" s="267"/>
      <c r="CZ635" s="267"/>
    </row>
    <row r="636" spans="2:104">
      <c r="B636" s="1235"/>
      <c r="C636" s="1235"/>
      <c r="D636" s="1235"/>
      <c r="E636" s="267"/>
      <c r="F636" s="267"/>
      <c r="G636" s="267"/>
      <c r="H636" s="267"/>
      <c r="I636" s="267"/>
      <c r="J636" s="267"/>
      <c r="K636" s="267"/>
      <c r="L636" s="267"/>
      <c r="M636" s="267"/>
      <c r="N636" s="267"/>
      <c r="O636" s="267"/>
      <c r="P636" s="267"/>
      <c r="Q636" s="267"/>
      <c r="R636" s="267"/>
      <c r="S636" s="267"/>
      <c r="T636" s="267"/>
      <c r="U636" s="267"/>
      <c r="V636" s="267"/>
      <c r="W636" s="267"/>
      <c r="X636" s="267"/>
      <c r="Y636" s="267"/>
      <c r="Z636" s="267"/>
      <c r="AA636" s="267"/>
      <c r="AB636" s="267"/>
      <c r="AC636" s="267"/>
      <c r="AD636" s="267"/>
      <c r="AE636" s="267"/>
      <c r="AF636" s="267"/>
      <c r="AG636" s="267"/>
      <c r="AH636" s="267"/>
      <c r="AI636" s="267"/>
      <c r="AJ636" s="267"/>
      <c r="AK636" s="267"/>
      <c r="AL636" s="267"/>
      <c r="AM636" s="267"/>
      <c r="AN636" s="267"/>
      <c r="AO636" s="267"/>
      <c r="AP636" s="267"/>
      <c r="AQ636" s="267"/>
      <c r="AR636" s="267"/>
      <c r="AS636" s="267"/>
      <c r="AT636" s="267"/>
      <c r="AU636" s="267"/>
      <c r="AV636" s="267"/>
      <c r="AW636" s="267"/>
      <c r="AX636" s="267"/>
      <c r="AY636" s="267"/>
      <c r="AZ636" s="267"/>
      <c r="BA636" s="267"/>
      <c r="BB636" s="267"/>
      <c r="BC636" s="267"/>
      <c r="BD636" s="267"/>
      <c r="BE636" s="267"/>
      <c r="BF636" s="267"/>
      <c r="BG636" s="267"/>
      <c r="BH636" s="267"/>
      <c r="BI636" s="267"/>
      <c r="BJ636" s="267"/>
      <c r="BK636" s="267"/>
      <c r="BL636" s="267"/>
      <c r="BM636" s="267"/>
      <c r="BN636" s="267"/>
      <c r="BO636" s="267"/>
      <c r="BP636" s="267"/>
      <c r="BQ636" s="267"/>
      <c r="BR636" s="267"/>
      <c r="BS636" s="267"/>
      <c r="BT636" s="267"/>
      <c r="BU636" s="267"/>
      <c r="BV636" s="267"/>
      <c r="BW636" s="267"/>
      <c r="BX636" s="267"/>
      <c r="BY636" s="267"/>
      <c r="BZ636" s="267"/>
      <c r="CA636" s="267"/>
      <c r="CB636" s="267"/>
      <c r="CC636" s="267"/>
      <c r="CD636" s="267"/>
      <c r="CE636" s="267"/>
      <c r="CF636" s="267"/>
      <c r="CG636" s="267"/>
      <c r="CH636" s="267"/>
      <c r="CI636" s="267"/>
      <c r="CJ636" s="267"/>
      <c r="CK636" s="267"/>
      <c r="CL636" s="267"/>
      <c r="CM636" s="267"/>
      <c r="CN636" s="267"/>
      <c r="CO636" s="267"/>
      <c r="CP636" s="267"/>
      <c r="CQ636" s="267"/>
      <c r="CR636" s="267"/>
      <c r="CS636" s="267"/>
      <c r="CT636" s="267"/>
      <c r="CU636" s="267"/>
      <c r="CV636" s="267"/>
      <c r="CW636" s="267"/>
      <c r="CX636" s="267"/>
      <c r="CY636" s="267"/>
      <c r="CZ636" s="267"/>
    </row>
    <row r="637" spans="2:104">
      <c r="B637" s="1235"/>
      <c r="C637" s="1235"/>
      <c r="D637" s="1235"/>
      <c r="E637" s="267"/>
      <c r="F637" s="267"/>
      <c r="G637" s="267"/>
      <c r="H637" s="267"/>
      <c r="I637" s="267"/>
      <c r="J637" s="267"/>
      <c r="K637" s="267"/>
      <c r="L637" s="267"/>
      <c r="M637" s="267"/>
      <c r="N637" s="267"/>
      <c r="O637" s="267"/>
      <c r="P637" s="267"/>
      <c r="Q637" s="267"/>
      <c r="R637" s="267"/>
      <c r="S637" s="267"/>
      <c r="T637" s="267"/>
      <c r="U637" s="267"/>
      <c r="V637" s="267"/>
      <c r="W637" s="267"/>
      <c r="X637" s="267"/>
      <c r="Y637" s="267"/>
      <c r="Z637" s="267"/>
      <c r="AA637" s="267"/>
      <c r="AB637" s="267"/>
      <c r="AC637" s="267"/>
      <c r="AD637" s="267"/>
      <c r="AE637" s="267"/>
      <c r="AF637" s="267"/>
      <c r="AG637" s="267"/>
      <c r="AH637" s="267"/>
      <c r="AI637" s="267"/>
      <c r="AJ637" s="267"/>
      <c r="AK637" s="267"/>
      <c r="AL637" s="267"/>
      <c r="AM637" s="267"/>
      <c r="AN637" s="267"/>
      <c r="AO637" s="267"/>
      <c r="AP637" s="267"/>
      <c r="AQ637" s="267"/>
      <c r="AR637" s="267"/>
      <c r="AS637" s="267"/>
      <c r="AT637" s="267"/>
      <c r="AU637" s="267"/>
      <c r="AV637" s="267"/>
      <c r="AW637" s="267"/>
      <c r="AX637" s="267"/>
      <c r="AY637" s="267"/>
      <c r="AZ637" s="267"/>
      <c r="BA637" s="267"/>
      <c r="BB637" s="267"/>
      <c r="BC637" s="267"/>
      <c r="BD637" s="267"/>
      <c r="BE637" s="267"/>
      <c r="BF637" s="267"/>
      <c r="BG637" s="267"/>
      <c r="BH637" s="267"/>
      <c r="BI637" s="267"/>
      <c r="BJ637" s="267"/>
      <c r="BK637" s="267"/>
      <c r="BL637" s="267"/>
      <c r="BM637" s="267"/>
      <c r="BN637" s="267"/>
      <c r="BO637" s="267"/>
      <c r="BP637" s="267"/>
      <c r="BQ637" s="267"/>
      <c r="BR637" s="267"/>
      <c r="BS637" s="267"/>
      <c r="BT637" s="267"/>
      <c r="BU637" s="267"/>
      <c r="BV637" s="267"/>
      <c r="BW637" s="267"/>
      <c r="BX637" s="267"/>
      <c r="BY637" s="267"/>
      <c r="BZ637" s="267"/>
      <c r="CA637" s="267"/>
      <c r="CB637" s="267"/>
      <c r="CC637" s="267"/>
      <c r="CD637" s="267"/>
      <c r="CE637" s="267"/>
      <c r="CF637" s="267"/>
      <c r="CG637" s="267"/>
      <c r="CH637" s="267"/>
      <c r="CI637" s="267"/>
      <c r="CJ637" s="267"/>
      <c r="CK637" s="267"/>
      <c r="CL637" s="267"/>
      <c r="CM637" s="267"/>
      <c r="CN637" s="267"/>
      <c r="CO637" s="267"/>
      <c r="CP637" s="267"/>
      <c r="CQ637" s="267"/>
      <c r="CR637" s="267"/>
      <c r="CS637" s="267"/>
      <c r="CT637" s="267"/>
      <c r="CU637" s="267"/>
      <c r="CV637" s="267"/>
      <c r="CW637" s="267"/>
      <c r="CX637" s="267"/>
      <c r="CY637" s="267"/>
      <c r="CZ637" s="267"/>
    </row>
    <row r="638" spans="2:104">
      <c r="B638" s="1235"/>
      <c r="C638" s="1235"/>
      <c r="D638" s="1235"/>
      <c r="E638" s="267"/>
      <c r="F638" s="267"/>
      <c r="G638" s="267"/>
      <c r="H638" s="267"/>
      <c r="I638" s="267"/>
      <c r="J638" s="267"/>
      <c r="K638" s="267"/>
      <c r="L638" s="267"/>
      <c r="M638" s="267"/>
      <c r="N638" s="267"/>
      <c r="O638" s="267"/>
      <c r="P638" s="267"/>
      <c r="Q638" s="267"/>
      <c r="R638" s="267"/>
      <c r="S638" s="267"/>
      <c r="T638" s="267"/>
      <c r="U638" s="267"/>
      <c r="V638" s="267"/>
      <c r="W638" s="267"/>
      <c r="X638" s="267"/>
      <c r="Y638" s="267"/>
      <c r="Z638" s="267"/>
      <c r="AA638" s="267"/>
      <c r="AB638" s="267"/>
      <c r="AC638" s="267"/>
      <c r="AD638" s="267"/>
      <c r="AE638" s="267"/>
      <c r="AF638" s="267"/>
      <c r="AG638" s="267"/>
      <c r="AH638" s="267"/>
      <c r="AI638" s="267"/>
      <c r="AJ638" s="267"/>
      <c r="AK638" s="267"/>
      <c r="AL638" s="267"/>
      <c r="AM638" s="267"/>
      <c r="AN638" s="267"/>
      <c r="AO638" s="267"/>
      <c r="AP638" s="267"/>
      <c r="AQ638" s="267"/>
      <c r="AR638" s="267"/>
      <c r="AS638" s="267"/>
      <c r="AT638" s="267"/>
      <c r="AU638" s="267"/>
      <c r="AV638" s="267"/>
      <c r="AW638" s="267"/>
      <c r="AX638" s="267"/>
      <c r="AY638" s="267"/>
      <c r="AZ638" s="267"/>
      <c r="BA638" s="267"/>
      <c r="BB638" s="267"/>
      <c r="BC638" s="267"/>
      <c r="BD638" s="267"/>
      <c r="BE638" s="267"/>
      <c r="BF638" s="267"/>
      <c r="BG638" s="267"/>
      <c r="BH638" s="267"/>
      <c r="BI638" s="267"/>
      <c r="BJ638" s="267"/>
      <c r="BK638" s="267"/>
      <c r="BL638" s="267"/>
      <c r="BM638" s="267"/>
      <c r="BN638" s="267"/>
      <c r="BO638" s="267"/>
      <c r="BP638" s="267"/>
      <c r="BQ638" s="267"/>
      <c r="BR638" s="267"/>
      <c r="BS638" s="267"/>
      <c r="BT638" s="267"/>
      <c r="BU638" s="267"/>
      <c r="BV638" s="267"/>
      <c r="BW638" s="267"/>
      <c r="BX638" s="267"/>
      <c r="BY638" s="267"/>
      <c r="BZ638" s="267"/>
      <c r="CA638" s="267"/>
      <c r="CB638" s="267"/>
      <c r="CC638" s="267"/>
      <c r="CD638" s="267"/>
      <c r="CE638" s="267"/>
      <c r="CF638" s="267"/>
      <c r="CG638" s="267"/>
      <c r="CH638" s="267"/>
      <c r="CI638" s="267"/>
      <c r="CJ638" s="267"/>
      <c r="CK638" s="267"/>
      <c r="CL638" s="267"/>
      <c r="CM638" s="267"/>
      <c r="CN638" s="267"/>
      <c r="CO638" s="267"/>
      <c r="CP638" s="267"/>
      <c r="CQ638" s="267"/>
      <c r="CR638" s="267"/>
      <c r="CS638" s="267"/>
      <c r="CT638" s="267"/>
      <c r="CU638" s="267"/>
      <c r="CV638" s="267"/>
      <c r="CW638" s="267"/>
      <c r="CX638" s="267"/>
      <c r="CY638" s="267"/>
      <c r="CZ638" s="267"/>
    </row>
    <row r="639" spans="2:104">
      <c r="B639" s="1235"/>
      <c r="C639" s="1235"/>
      <c r="D639" s="1235"/>
      <c r="E639" s="267"/>
      <c r="F639" s="267"/>
      <c r="G639" s="267"/>
      <c r="H639" s="267"/>
      <c r="I639" s="267"/>
      <c r="J639" s="267"/>
      <c r="K639" s="267"/>
      <c r="L639" s="267"/>
      <c r="M639" s="267"/>
      <c r="N639" s="267"/>
      <c r="O639" s="267"/>
      <c r="P639" s="267"/>
      <c r="Q639" s="267"/>
      <c r="R639" s="267"/>
      <c r="S639" s="267"/>
      <c r="T639" s="267"/>
      <c r="U639" s="267"/>
      <c r="V639" s="267"/>
      <c r="W639" s="267"/>
      <c r="X639" s="267"/>
      <c r="Y639" s="267"/>
      <c r="Z639" s="267"/>
      <c r="AA639" s="267"/>
      <c r="AB639" s="267"/>
      <c r="AC639" s="267"/>
      <c r="AD639" s="267"/>
      <c r="AE639" s="267"/>
      <c r="AF639" s="267"/>
      <c r="AG639" s="267"/>
      <c r="AH639" s="267"/>
      <c r="AI639" s="267"/>
      <c r="AJ639" s="267"/>
      <c r="AK639" s="267"/>
      <c r="AL639" s="267"/>
      <c r="AM639" s="267"/>
      <c r="AN639" s="267"/>
      <c r="AO639" s="267"/>
      <c r="AP639" s="267"/>
      <c r="AQ639" s="267"/>
      <c r="AR639" s="267"/>
      <c r="AS639" s="267"/>
      <c r="AT639" s="267"/>
      <c r="AU639" s="267"/>
      <c r="AV639" s="267"/>
      <c r="AW639" s="267"/>
      <c r="AX639" s="267"/>
      <c r="AY639" s="267"/>
      <c r="AZ639" s="267"/>
      <c r="BA639" s="267"/>
      <c r="BB639" s="267"/>
      <c r="BC639" s="267"/>
      <c r="BD639" s="267"/>
      <c r="BE639" s="267"/>
      <c r="BF639" s="267"/>
      <c r="BG639" s="267"/>
      <c r="BH639" s="267"/>
      <c r="BI639" s="267"/>
      <c r="BJ639" s="267"/>
      <c r="BK639" s="267"/>
      <c r="BL639" s="267"/>
      <c r="BM639" s="267"/>
      <c r="BN639" s="267"/>
      <c r="BO639" s="267"/>
      <c r="BP639" s="267"/>
      <c r="BQ639" s="267"/>
      <c r="BR639" s="267"/>
      <c r="BS639" s="267"/>
      <c r="BT639" s="267"/>
      <c r="BU639" s="267"/>
      <c r="BV639" s="267"/>
      <c r="BW639" s="267"/>
      <c r="BX639" s="267"/>
      <c r="BY639" s="267"/>
      <c r="BZ639" s="267"/>
      <c r="CA639" s="267"/>
      <c r="CB639" s="267"/>
      <c r="CC639" s="267"/>
      <c r="CD639" s="267"/>
      <c r="CE639" s="267"/>
      <c r="CF639" s="267"/>
      <c r="CG639" s="267"/>
      <c r="CH639" s="267"/>
      <c r="CI639" s="267"/>
      <c r="CJ639" s="267"/>
      <c r="CK639" s="267"/>
      <c r="CL639" s="267"/>
      <c r="CM639" s="267"/>
      <c r="CN639" s="267"/>
      <c r="CO639" s="267"/>
      <c r="CP639" s="267"/>
      <c r="CQ639" s="267"/>
      <c r="CR639" s="267"/>
      <c r="CS639" s="267"/>
      <c r="CT639" s="267"/>
      <c r="CU639" s="267"/>
      <c r="CV639" s="267"/>
      <c r="CW639" s="267"/>
      <c r="CX639" s="267"/>
      <c r="CY639" s="267"/>
      <c r="CZ639" s="267"/>
    </row>
    <row r="640" spans="2:104">
      <c r="B640" s="1235"/>
      <c r="C640" s="1235"/>
      <c r="D640" s="1235"/>
      <c r="E640" s="267"/>
      <c r="F640" s="267"/>
      <c r="G640" s="267"/>
      <c r="H640" s="267"/>
      <c r="I640" s="267"/>
      <c r="J640" s="267"/>
      <c r="K640" s="267"/>
      <c r="L640" s="267"/>
      <c r="M640" s="267"/>
      <c r="N640" s="267"/>
      <c r="O640" s="267"/>
      <c r="P640" s="267"/>
      <c r="Q640" s="267"/>
      <c r="R640" s="267"/>
      <c r="S640" s="267"/>
      <c r="T640" s="267"/>
      <c r="U640" s="267"/>
      <c r="V640" s="267"/>
      <c r="W640" s="267"/>
      <c r="X640" s="267"/>
      <c r="Y640" s="267"/>
      <c r="Z640" s="267"/>
      <c r="AA640" s="267"/>
      <c r="AB640" s="267"/>
      <c r="AC640" s="267"/>
      <c r="AD640" s="267"/>
      <c r="AE640" s="267"/>
      <c r="AF640" s="267"/>
      <c r="AG640" s="267"/>
      <c r="AH640" s="267"/>
      <c r="AI640" s="267"/>
      <c r="AJ640" s="267"/>
      <c r="AK640" s="267"/>
      <c r="AL640" s="267"/>
      <c r="AM640" s="267"/>
      <c r="AN640" s="267"/>
      <c r="AO640" s="267"/>
      <c r="AP640" s="267"/>
      <c r="AQ640" s="267"/>
      <c r="AR640" s="267"/>
      <c r="AS640" s="267"/>
      <c r="AT640" s="267"/>
      <c r="AU640" s="267"/>
      <c r="AV640" s="267"/>
      <c r="AW640" s="267"/>
      <c r="AX640" s="267"/>
      <c r="AY640" s="267"/>
      <c r="AZ640" s="267"/>
      <c r="BA640" s="267"/>
      <c r="BB640" s="267"/>
      <c r="BC640" s="267"/>
      <c r="BD640" s="267"/>
      <c r="BE640" s="267"/>
      <c r="BF640" s="267"/>
      <c r="BG640" s="267"/>
      <c r="BH640" s="267"/>
      <c r="BI640" s="267"/>
      <c r="BJ640" s="267"/>
      <c r="BK640" s="267"/>
      <c r="BL640" s="267"/>
      <c r="BM640" s="267"/>
      <c r="BN640" s="267"/>
      <c r="BO640" s="267"/>
      <c r="BP640" s="267"/>
      <c r="BQ640" s="267"/>
      <c r="BR640" s="267"/>
      <c r="BS640" s="267"/>
      <c r="BT640" s="267"/>
      <c r="BU640" s="267"/>
      <c r="BV640" s="267"/>
      <c r="BW640" s="267"/>
      <c r="BX640" s="267"/>
      <c r="BY640" s="267"/>
      <c r="BZ640" s="267"/>
      <c r="CA640" s="267"/>
      <c r="CB640" s="267"/>
      <c r="CC640" s="267"/>
      <c r="CD640" s="267"/>
      <c r="CE640" s="267"/>
      <c r="CF640" s="267"/>
      <c r="CG640" s="267"/>
      <c r="CH640" s="267"/>
      <c r="CI640" s="267"/>
      <c r="CJ640" s="267"/>
      <c r="CK640" s="267"/>
      <c r="CL640" s="267"/>
      <c r="CM640" s="267"/>
      <c r="CN640" s="267"/>
      <c r="CO640" s="267"/>
      <c r="CP640" s="267"/>
      <c r="CQ640" s="267"/>
      <c r="CR640" s="267"/>
      <c r="CS640" s="267"/>
      <c r="CT640" s="267"/>
      <c r="CU640" s="267"/>
      <c r="CV640" s="267"/>
      <c r="CW640" s="267"/>
      <c r="CX640" s="267"/>
      <c r="CY640" s="267"/>
      <c r="CZ640" s="267"/>
    </row>
    <row r="641" spans="2:104">
      <c r="B641" s="1235"/>
      <c r="C641" s="1235"/>
      <c r="D641" s="1235"/>
      <c r="E641" s="267"/>
      <c r="F641" s="267"/>
      <c r="G641" s="267"/>
      <c r="H641" s="267"/>
      <c r="I641" s="267"/>
      <c r="J641" s="267"/>
      <c r="K641" s="267"/>
      <c r="L641" s="267"/>
      <c r="M641" s="267"/>
      <c r="N641" s="267"/>
      <c r="O641" s="267"/>
      <c r="P641" s="267"/>
      <c r="Q641" s="267"/>
      <c r="R641" s="267"/>
      <c r="S641" s="267"/>
      <c r="T641" s="267"/>
      <c r="U641" s="267"/>
      <c r="V641" s="267"/>
      <c r="W641" s="267"/>
      <c r="X641" s="267"/>
      <c r="Y641" s="267"/>
      <c r="Z641" s="267"/>
      <c r="AA641" s="267"/>
      <c r="AB641" s="267"/>
      <c r="AC641" s="267"/>
      <c r="AD641" s="267"/>
      <c r="AE641" s="267"/>
      <c r="AF641" s="267"/>
      <c r="AG641" s="267"/>
      <c r="AH641" s="267"/>
      <c r="AI641" s="267"/>
      <c r="AJ641" s="267"/>
      <c r="AK641" s="267"/>
      <c r="AL641" s="267"/>
      <c r="AM641" s="267"/>
      <c r="AN641" s="267"/>
      <c r="AO641" s="267"/>
      <c r="AP641" s="267"/>
      <c r="AQ641" s="267"/>
      <c r="AR641" s="267"/>
      <c r="AS641" s="267"/>
      <c r="AT641" s="267"/>
      <c r="AU641" s="267"/>
      <c r="AV641" s="267"/>
      <c r="AW641" s="267"/>
      <c r="AX641" s="267"/>
      <c r="AY641" s="267"/>
      <c r="AZ641" s="267"/>
      <c r="BA641" s="267"/>
      <c r="BB641" s="267"/>
      <c r="BC641" s="267"/>
      <c r="BD641" s="267"/>
      <c r="BE641" s="267"/>
      <c r="BF641" s="267"/>
      <c r="BG641" s="267"/>
      <c r="BH641" s="267"/>
      <c r="BI641" s="267"/>
      <c r="BJ641" s="267"/>
      <c r="BK641" s="267"/>
      <c r="BL641" s="267"/>
      <c r="BM641" s="267"/>
      <c r="BN641" s="267"/>
      <c r="BO641" s="267"/>
      <c r="BP641" s="267"/>
      <c r="BQ641" s="267"/>
      <c r="BR641" s="267"/>
      <c r="BS641" s="267"/>
      <c r="BT641" s="267"/>
      <c r="BU641" s="267"/>
      <c r="BV641" s="267"/>
      <c r="BW641" s="267"/>
      <c r="BX641" s="267"/>
      <c r="BY641" s="267"/>
      <c r="BZ641" s="267"/>
      <c r="CA641" s="267"/>
      <c r="CB641" s="267"/>
      <c r="CC641" s="267"/>
      <c r="CD641" s="267"/>
      <c r="CE641" s="267"/>
      <c r="CF641" s="267"/>
      <c r="CG641" s="267"/>
      <c r="CH641" s="267"/>
      <c r="CI641" s="267"/>
      <c r="CJ641" s="267"/>
      <c r="CK641" s="267"/>
      <c r="CL641" s="267"/>
      <c r="CM641" s="267"/>
      <c r="CN641" s="267"/>
      <c r="CO641" s="267"/>
      <c r="CP641" s="267"/>
      <c r="CQ641" s="267"/>
      <c r="CR641" s="267"/>
      <c r="CS641" s="267"/>
      <c r="CT641" s="267"/>
      <c r="CU641" s="267"/>
      <c r="CV641" s="267"/>
      <c r="CW641" s="267"/>
      <c r="CX641" s="267"/>
      <c r="CY641" s="267"/>
      <c r="CZ641" s="267"/>
    </row>
    <row r="642" spans="2:104">
      <c r="B642" s="1235"/>
      <c r="C642" s="1235"/>
      <c r="D642" s="1235"/>
      <c r="E642" s="267"/>
      <c r="F642" s="267"/>
      <c r="G642" s="267"/>
      <c r="H642" s="267"/>
      <c r="I642" s="267"/>
      <c r="J642" s="267"/>
      <c r="K642" s="267"/>
      <c r="L642" s="267"/>
      <c r="M642" s="267"/>
      <c r="N642" s="267"/>
      <c r="O642" s="267"/>
      <c r="P642" s="267"/>
      <c r="Q642" s="267"/>
      <c r="R642" s="267"/>
      <c r="S642" s="267"/>
      <c r="T642" s="267"/>
      <c r="U642" s="267"/>
      <c r="V642" s="267"/>
      <c r="W642" s="267"/>
      <c r="X642" s="267"/>
      <c r="Y642" s="267"/>
      <c r="Z642" s="267"/>
      <c r="AA642" s="267"/>
      <c r="AB642" s="267"/>
      <c r="AC642" s="267"/>
      <c r="AD642" s="267"/>
      <c r="AE642" s="267"/>
      <c r="AF642" s="267"/>
      <c r="AG642" s="267"/>
      <c r="AH642" s="267"/>
      <c r="AI642" s="267"/>
      <c r="AJ642" s="267"/>
      <c r="AK642" s="267"/>
      <c r="AL642" s="267"/>
      <c r="AM642" s="267"/>
      <c r="AN642" s="267"/>
      <c r="AO642" s="267"/>
      <c r="AP642" s="267"/>
      <c r="AQ642" s="267"/>
      <c r="AR642" s="267"/>
      <c r="AS642" s="267"/>
      <c r="AT642" s="267"/>
      <c r="AU642" s="267"/>
      <c r="AV642" s="267"/>
      <c r="AW642" s="267"/>
      <c r="AX642" s="267"/>
      <c r="AY642" s="267"/>
      <c r="AZ642" s="267"/>
      <c r="BA642" s="267"/>
      <c r="BB642" s="267"/>
      <c r="BC642" s="267"/>
      <c r="BD642" s="267"/>
      <c r="BE642" s="267"/>
      <c r="BF642" s="267"/>
      <c r="BG642" s="267"/>
      <c r="BH642" s="267"/>
      <c r="BI642" s="267"/>
      <c r="BJ642" s="267"/>
      <c r="BK642" s="267"/>
      <c r="BL642" s="267"/>
      <c r="BM642" s="267"/>
      <c r="BN642" s="267"/>
      <c r="BO642" s="267"/>
      <c r="BP642" s="267"/>
      <c r="BQ642" s="267"/>
      <c r="BR642" s="267"/>
      <c r="BS642" s="267"/>
      <c r="BT642" s="267"/>
      <c r="BU642" s="267"/>
      <c r="BV642" s="267"/>
      <c r="BW642" s="267"/>
      <c r="BX642" s="267"/>
      <c r="BY642" s="267"/>
      <c r="BZ642" s="267"/>
      <c r="CA642" s="267"/>
      <c r="CB642" s="267"/>
      <c r="CC642" s="267"/>
      <c r="CD642" s="267"/>
      <c r="CE642" s="267"/>
      <c r="CF642" s="267"/>
      <c r="CG642" s="267"/>
      <c r="CH642" s="267"/>
      <c r="CI642" s="267"/>
      <c r="CJ642" s="267"/>
      <c r="CK642" s="267"/>
      <c r="CL642" s="267"/>
      <c r="CM642" s="267"/>
      <c r="CN642" s="267"/>
      <c r="CO642" s="267"/>
      <c r="CP642" s="267"/>
      <c r="CQ642" s="267"/>
      <c r="CR642" s="267"/>
      <c r="CS642" s="267"/>
      <c r="CT642" s="267"/>
      <c r="CU642" s="267"/>
      <c r="CV642" s="267"/>
      <c r="CW642" s="267"/>
      <c r="CX642" s="267"/>
      <c r="CY642" s="267"/>
      <c r="CZ642" s="267"/>
    </row>
    <row r="643" spans="2:104">
      <c r="B643" s="1235"/>
      <c r="C643" s="1235"/>
      <c r="D643" s="1235"/>
      <c r="E643" s="267"/>
      <c r="F643" s="267"/>
      <c r="G643" s="267"/>
      <c r="H643" s="267"/>
      <c r="I643" s="267"/>
      <c r="J643" s="267"/>
      <c r="K643" s="267"/>
      <c r="L643" s="267"/>
      <c r="M643" s="267"/>
      <c r="N643" s="267"/>
      <c r="O643" s="267"/>
      <c r="P643" s="267"/>
      <c r="Q643" s="267"/>
      <c r="R643" s="267"/>
      <c r="S643" s="267"/>
      <c r="T643" s="267"/>
      <c r="U643" s="267"/>
      <c r="V643" s="267"/>
      <c r="W643" s="267"/>
      <c r="X643" s="267"/>
      <c r="Y643" s="267"/>
      <c r="Z643" s="267"/>
      <c r="AA643" s="267"/>
      <c r="AB643" s="267"/>
      <c r="AC643" s="267"/>
      <c r="AD643" s="267"/>
      <c r="AE643" s="267"/>
      <c r="AF643" s="267"/>
      <c r="AG643" s="267"/>
      <c r="AH643" s="267"/>
      <c r="AI643" s="267"/>
      <c r="AJ643" s="267"/>
      <c r="AK643" s="267"/>
      <c r="AL643" s="267"/>
      <c r="AM643" s="267"/>
      <c r="AN643" s="267"/>
      <c r="AO643" s="267"/>
      <c r="AP643" s="267"/>
      <c r="AQ643" s="267"/>
      <c r="AR643" s="267"/>
      <c r="AS643" s="267"/>
      <c r="AT643" s="267"/>
      <c r="AU643" s="267"/>
      <c r="AV643" s="267"/>
      <c r="AW643" s="267"/>
      <c r="AX643" s="267"/>
      <c r="AY643" s="267"/>
      <c r="AZ643" s="267"/>
      <c r="BA643" s="267"/>
      <c r="BB643" s="267"/>
      <c r="BC643" s="267"/>
      <c r="BD643" s="267"/>
      <c r="BE643" s="267"/>
      <c r="BF643" s="267"/>
      <c r="BG643" s="267"/>
      <c r="BH643" s="267"/>
      <c r="BI643" s="267"/>
      <c r="BJ643" s="267"/>
      <c r="BK643" s="267"/>
      <c r="BL643" s="267"/>
      <c r="BM643" s="267"/>
      <c r="BN643" s="267"/>
      <c r="BO643" s="267"/>
      <c r="BP643" s="267"/>
      <c r="BQ643" s="267"/>
      <c r="BR643" s="267"/>
      <c r="BS643" s="267"/>
      <c r="BT643" s="267"/>
      <c r="BU643" s="267"/>
      <c r="BV643" s="267"/>
      <c r="BW643" s="267"/>
      <c r="BX643" s="267"/>
      <c r="BY643" s="267"/>
      <c r="BZ643" s="267"/>
      <c r="CA643" s="267"/>
      <c r="CB643" s="267"/>
      <c r="CC643" s="267"/>
      <c r="CD643" s="267"/>
      <c r="CE643" s="267"/>
      <c r="CF643" s="267"/>
      <c r="CG643" s="267"/>
      <c r="CH643" s="267"/>
      <c r="CI643" s="267"/>
      <c r="CJ643" s="267"/>
      <c r="CK643" s="267"/>
      <c r="CL643" s="267"/>
      <c r="CM643" s="267"/>
      <c r="CN643" s="267"/>
      <c r="CO643" s="267"/>
      <c r="CP643" s="267"/>
      <c r="CQ643" s="267"/>
      <c r="CR643" s="267"/>
      <c r="CS643" s="267"/>
      <c r="CT643" s="267"/>
      <c r="CU643" s="267"/>
      <c r="CV643" s="267"/>
      <c r="CW643" s="267"/>
      <c r="CX643" s="267"/>
      <c r="CY643" s="267"/>
      <c r="CZ643" s="267"/>
    </row>
    <row r="644" spans="2:104">
      <c r="B644" s="1235"/>
      <c r="C644" s="1235"/>
      <c r="D644" s="1235"/>
      <c r="E644" s="267"/>
      <c r="F644" s="267"/>
      <c r="G644" s="267"/>
      <c r="H644" s="267"/>
      <c r="I644" s="267"/>
      <c r="J644" s="267"/>
      <c r="K644" s="267"/>
      <c r="L644" s="267"/>
      <c r="M644" s="267"/>
      <c r="N644" s="267"/>
      <c r="O644" s="267"/>
      <c r="P644" s="267"/>
      <c r="Q644" s="267"/>
      <c r="R644" s="267"/>
      <c r="S644" s="267"/>
      <c r="T644" s="267"/>
      <c r="U644" s="267"/>
      <c r="V644" s="267"/>
      <c r="W644" s="267"/>
      <c r="X644" s="267"/>
      <c r="Y644" s="267"/>
      <c r="Z644" s="267"/>
      <c r="AA644" s="267"/>
      <c r="AB644" s="267"/>
      <c r="AC644" s="267"/>
      <c r="AD644" s="267"/>
      <c r="AE644" s="267"/>
      <c r="AF644" s="267"/>
      <c r="AG644" s="267"/>
      <c r="AH644" s="267"/>
      <c r="AI644" s="267"/>
      <c r="AJ644" s="267"/>
      <c r="AK644" s="267"/>
      <c r="AL644" s="267"/>
      <c r="AM644" s="267"/>
      <c r="AN644" s="267"/>
      <c r="AO644" s="267"/>
      <c r="AP644" s="267"/>
      <c r="AQ644" s="267"/>
      <c r="AR644" s="267"/>
      <c r="AS644" s="267"/>
      <c r="AT644" s="267"/>
      <c r="AU644" s="267"/>
      <c r="AV644" s="267"/>
      <c r="AW644" s="267"/>
      <c r="AX644" s="267"/>
      <c r="AY644" s="267"/>
      <c r="AZ644" s="267"/>
      <c r="BA644" s="267"/>
      <c r="BB644" s="267"/>
      <c r="BC644" s="267"/>
      <c r="BD644" s="267"/>
      <c r="BE644" s="267"/>
      <c r="BF644" s="267"/>
      <c r="BG644" s="267"/>
      <c r="BH644" s="267"/>
      <c r="BI644" s="267"/>
      <c r="BJ644" s="267"/>
      <c r="BK644" s="267"/>
      <c r="BL644" s="267"/>
      <c r="BM644" s="267"/>
      <c r="BN644" s="267"/>
      <c r="BO644" s="267"/>
      <c r="BP644" s="267"/>
      <c r="BQ644" s="267"/>
      <c r="BR644" s="267"/>
      <c r="BS644" s="267"/>
      <c r="BT644" s="267"/>
      <c r="BU644" s="267"/>
      <c r="BV644" s="267"/>
      <c r="BW644" s="267"/>
      <c r="BX644" s="267"/>
      <c r="BY644" s="267"/>
      <c r="BZ644" s="267"/>
      <c r="CA644" s="267"/>
      <c r="CB644" s="267"/>
      <c r="CC644" s="267"/>
      <c r="CD644" s="267"/>
      <c r="CE644" s="267"/>
      <c r="CF644" s="267"/>
      <c r="CG644" s="267"/>
      <c r="CH644" s="267"/>
      <c r="CI644" s="267"/>
      <c r="CJ644" s="267"/>
      <c r="CK644" s="267"/>
      <c r="CL644" s="267"/>
      <c r="CM644" s="267"/>
      <c r="CN644" s="267"/>
      <c r="CO644" s="267"/>
      <c r="CP644" s="267"/>
      <c r="CQ644" s="267"/>
      <c r="CR644" s="267"/>
      <c r="CS644" s="267"/>
      <c r="CT644" s="267"/>
      <c r="CU644" s="267"/>
      <c r="CV644" s="267"/>
      <c r="CW644" s="267"/>
      <c r="CX644" s="267"/>
      <c r="CY644" s="267"/>
      <c r="CZ644" s="267"/>
    </row>
    <row r="645" spans="2:104">
      <c r="B645" s="1235"/>
      <c r="C645" s="1235"/>
      <c r="D645" s="1235"/>
      <c r="E645" s="267"/>
      <c r="F645" s="267"/>
      <c r="G645" s="267"/>
      <c r="H645" s="267"/>
      <c r="I645" s="267"/>
      <c r="J645" s="267"/>
      <c r="K645" s="267"/>
      <c r="L645" s="267"/>
      <c r="M645" s="267"/>
      <c r="N645" s="267"/>
      <c r="O645" s="267"/>
      <c r="P645" s="267"/>
      <c r="Q645" s="267"/>
      <c r="R645" s="267"/>
      <c r="S645" s="267"/>
      <c r="T645" s="267"/>
      <c r="U645" s="267"/>
      <c r="V645" s="267"/>
      <c r="W645" s="267"/>
      <c r="X645" s="267"/>
      <c r="Y645" s="267"/>
      <c r="Z645" s="267"/>
      <c r="AA645" s="267"/>
      <c r="AB645" s="267"/>
      <c r="AC645" s="267"/>
      <c r="AD645" s="267"/>
      <c r="AE645" s="267"/>
      <c r="AF645" s="267"/>
      <c r="AG645" s="267"/>
      <c r="AH645" s="267"/>
      <c r="AI645" s="267"/>
      <c r="AJ645" s="267"/>
      <c r="AK645" s="267"/>
      <c r="AL645" s="267"/>
      <c r="AM645" s="267"/>
      <c r="AN645" s="267"/>
      <c r="AO645" s="267"/>
      <c r="AP645" s="267"/>
      <c r="AQ645" s="267"/>
      <c r="AR645" s="267"/>
      <c r="AS645" s="267"/>
      <c r="AT645" s="267"/>
      <c r="AU645" s="267"/>
      <c r="AV645" s="267"/>
      <c r="AW645" s="267"/>
      <c r="AX645" s="267"/>
      <c r="AY645" s="267"/>
      <c r="AZ645" s="267"/>
      <c r="BA645" s="267"/>
      <c r="BB645" s="267"/>
      <c r="BC645" s="267"/>
      <c r="BD645" s="267"/>
      <c r="BE645" s="267"/>
      <c r="BF645" s="267"/>
      <c r="BG645" s="267"/>
      <c r="BH645" s="267"/>
      <c r="BI645" s="267"/>
      <c r="BJ645" s="267"/>
      <c r="BK645" s="267"/>
      <c r="BL645" s="267"/>
      <c r="BM645" s="267"/>
      <c r="BN645" s="267"/>
      <c r="BO645" s="267"/>
      <c r="BP645" s="267"/>
      <c r="BQ645" s="267"/>
      <c r="BR645" s="267"/>
      <c r="BS645" s="267"/>
      <c r="BT645" s="267"/>
      <c r="BU645" s="267"/>
      <c r="BV645" s="267"/>
      <c r="BW645" s="267"/>
      <c r="BX645" s="267"/>
      <c r="BY645" s="267"/>
      <c r="BZ645" s="267"/>
      <c r="CA645" s="267"/>
      <c r="CB645" s="267"/>
      <c r="CC645" s="267"/>
      <c r="CD645" s="267"/>
      <c r="CE645" s="267"/>
      <c r="CF645" s="267"/>
      <c r="CG645" s="267"/>
      <c r="CH645" s="267"/>
      <c r="CI645" s="267"/>
      <c r="CJ645" s="267"/>
      <c r="CK645" s="267"/>
      <c r="CL645" s="267"/>
      <c r="CM645" s="267"/>
      <c r="CN645" s="267"/>
      <c r="CO645" s="267"/>
      <c r="CP645" s="267"/>
      <c r="CQ645" s="267"/>
      <c r="CR645" s="267"/>
      <c r="CS645" s="267"/>
      <c r="CT645" s="267"/>
      <c r="CU645" s="267"/>
      <c r="CV645" s="267"/>
      <c r="CW645" s="267"/>
      <c r="CX645" s="267"/>
      <c r="CY645" s="267"/>
      <c r="CZ645" s="267"/>
    </row>
    <row r="646" spans="2:104">
      <c r="B646" s="1235"/>
      <c r="C646" s="1235"/>
      <c r="D646" s="1235"/>
      <c r="E646" s="267"/>
      <c r="F646" s="267"/>
      <c r="G646" s="267"/>
      <c r="H646" s="267"/>
      <c r="I646" s="267"/>
      <c r="J646" s="267"/>
      <c r="K646" s="267"/>
      <c r="L646" s="267"/>
      <c r="M646" s="267"/>
      <c r="N646" s="267"/>
      <c r="O646" s="267"/>
      <c r="P646" s="267"/>
      <c r="Q646" s="267"/>
      <c r="R646" s="267"/>
      <c r="S646" s="267"/>
      <c r="T646" s="267"/>
      <c r="U646" s="267"/>
      <c r="V646" s="267"/>
      <c r="W646" s="267"/>
      <c r="X646" s="267"/>
      <c r="Y646" s="267"/>
      <c r="Z646" s="267"/>
      <c r="AA646" s="267"/>
      <c r="AB646" s="267"/>
      <c r="AC646" s="267"/>
      <c r="AD646" s="267"/>
      <c r="AE646" s="267"/>
      <c r="AF646" s="267"/>
      <c r="AG646" s="267"/>
      <c r="AH646" s="267"/>
      <c r="AI646" s="267"/>
      <c r="AJ646" s="267"/>
      <c r="AK646" s="267"/>
      <c r="AL646" s="267"/>
      <c r="AM646" s="267"/>
      <c r="AN646" s="267"/>
      <c r="AO646" s="267"/>
      <c r="AP646" s="267"/>
      <c r="AQ646" s="267"/>
      <c r="AR646" s="267"/>
      <c r="AS646" s="267"/>
      <c r="AT646" s="267"/>
      <c r="AU646" s="267"/>
      <c r="AV646" s="267"/>
      <c r="AW646" s="267"/>
      <c r="AX646" s="267"/>
      <c r="AY646" s="267"/>
      <c r="AZ646" s="267"/>
      <c r="BA646" s="267"/>
      <c r="BB646" s="267"/>
      <c r="BC646" s="267"/>
      <c r="BD646" s="267"/>
      <c r="BE646" s="267"/>
      <c r="BF646" s="267"/>
      <c r="BG646" s="267"/>
      <c r="BH646" s="267"/>
      <c r="BI646" s="267"/>
      <c r="BJ646" s="267"/>
      <c r="BK646" s="267"/>
      <c r="BL646" s="267"/>
      <c r="BM646" s="267"/>
      <c r="BN646" s="267"/>
      <c r="BO646" s="267"/>
      <c r="BP646" s="267"/>
      <c r="BQ646" s="267"/>
      <c r="BR646" s="267"/>
      <c r="BS646" s="267"/>
      <c r="BT646" s="267"/>
      <c r="BU646" s="267"/>
      <c r="BV646" s="267"/>
      <c r="BW646" s="267"/>
      <c r="BX646" s="267"/>
      <c r="BY646" s="267"/>
      <c r="BZ646" s="267"/>
      <c r="CA646" s="267"/>
      <c r="CB646" s="267"/>
      <c r="CC646" s="267"/>
      <c r="CD646" s="267"/>
      <c r="CE646" s="267"/>
      <c r="CF646" s="267"/>
      <c r="CG646" s="267"/>
      <c r="CH646" s="267"/>
      <c r="CI646" s="267"/>
      <c r="CJ646" s="267"/>
      <c r="CK646" s="267"/>
      <c r="CL646" s="267"/>
      <c r="CM646" s="267"/>
      <c r="CN646" s="267"/>
      <c r="CO646" s="267"/>
      <c r="CP646" s="267"/>
      <c r="CQ646" s="267"/>
      <c r="CR646" s="267"/>
      <c r="CS646" s="267"/>
      <c r="CT646" s="267"/>
      <c r="CU646" s="267"/>
      <c r="CV646" s="267"/>
      <c r="CW646" s="267"/>
      <c r="CX646" s="267"/>
      <c r="CY646" s="267"/>
      <c r="CZ646" s="267"/>
    </row>
    <row r="647" spans="2:104">
      <c r="B647" s="1235"/>
      <c r="C647" s="1235"/>
      <c r="D647" s="1235"/>
      <c r="E647" s="267"/>
      <c r="F647" s="267"/>
      <c r="G647" s="267"/>
      <c r="H647" s="267"/>
      <c r="I647" s="267"/>
      <c r="J647" s="267"/>
      <c r="K647" s="267"/>
      <c r="L647" s="267"/>
      <c r="M647" s="267"/>
      <c r="N647" s="267"/>
      <c r="O647" s="267"/>
      <c r="P647" s="267"/>
      <c r="Q647" s="267"/>
      <c r="R647" s="267"/>
      <c r="S647" s="267"/>
      <c r="T647" s="267"/>
      <c r="U647" s="267"/>
      <c r="V647" s="267"/>
      <c r="W647" s="267"/>
      <c r="X647" s="267"/>
      <c r="Y647" s="267"/>
      <c r="Z647" s="267"/>
      <c r="AA647" s="267"/>
      <c r="AB647" s="267"/>
      <c r="AC647" s="267"/>
      <c r="AD647" s="267"/>
      <c r="AE647" s="267"/>
      <c r="AF647" s="267"/>
      <c r="AG647" s="267"/>
      <c r="AH647" s="267"/>
      <c r="AI647" s="267"/>
      <c r="AJ647" s="267"/>
      <c r="AK647" s="267"/>
      <c r="AL647" s="267"/>
      <c r="AM647" s="267"/>
      <c r="AN647" s="267"/>
      <c r="AO647" s="267"/>
      <c r="AP647" s="267"/>
      <c r="AQ647" s="267"/>
      <c r="AR647" s="267"/>
      <c r="AS647" s="267"/>
      <c r="AT647" s="267"/>
      <c r="AU647" s="267"/>
      <c r="AV647" s="267"/>
      <c r="AW647" s="267"/>
      <c r="AX647" s="267"/>
      <c r="AY647" s="267"/>
      <c r="AZ647" s="267"/>
      <c r="BA647" s="267"/>
      <c r="BB647" s="267"/>
      <c r="BC647" s="267"/>
      <c r="BD647" s="267"/>
      <c r="BE647" s="267"/>
      <c r="BF647" s="267"/>
      <c r="BG647" s="267"/>
      <c r="BH647" s="267"/>
      <c r="BI647" s="267"/>
      <c r="BJ647" s="267"/>
      <c r="BK647" s="267"/>
      <c r="BL647" s="267"/>
      <c r="BM647" s="267"/>
      <c r="BN647" s="267"/>
      <c r="BO647" s="267"/>
      <c r="BP647" s="267"/>
      <c r="BQ647" s="267"/>
      <c r="BR647" s="267"/>
      <c r="BS647" s="267"/>
      <c r="BT647" s="267"/>
      <c r="BU647" s="267"/>
      <c r="BV647" s="267"/>
      <c r="BW647" s="267"/>
      <c r="BX647" s="267"/>
      <c r="BY647" s="267"/>
      <c r="BZ647" s="267"/>
      <c r="CA647" s="267"/>
      <c r="CB647" s="267"/>
      <c r="CC647" s="267"/>
      <c r="CD647" s="267"/>
      <c r="CE647" s="267"/>
      <c r="CF647" s="267"/>
      <c r="CG647" s="267"/>
      <c r="CH647" s="267"/>
      <c r="CI647" s="267"/>
      <c r="CJ647" s="267"/>
      <c r="CK647" s="267"/>
      <c r="CL647" s="267"/>
      <c r="CM647" s="267"/>
      <c r="CN647" s="267"/>
      <c r="CO647" s="267"/>
      <c r="CP647" s="267"/>
      <c r="CQ647" s="267"/>
      <c r="CR647" s="267"/>
      <c r="CS647" s="267"/>
      <c r="CT647" s="267"/>
      <c r="CU647" s="267"/>
      <c r="CV647" s="267"/>
      <c r="CW647" s="267"/>
      <c r="CX647" s="267"/>
      <c r="CY647" s="267"/>
      <c r="CZ647" s="267"/>
    </row>
    <row r="648" spans="2:104">
      <c r="B648" s="1235"/>
      <c r="C648" s="1235"/>
      <c r="D648" s="1235"/>
      <c r="E648" s="267"/>
      <c r="F648" s="267"/>
      <c r="G648" s="267"/>
      <c r="H648" s="267"/>
      <c r="I648" s="267"/>
      <c r="J648" s="267"/>
      <c r="K648" s="267"/>
      <c r="L648" s="267"/>
      <c r="M648" s="267"/>
      <c r="N648" s="267"/>
      <c r="O648" s="267"/>
      <c r="P648" s="267"/>
      <c r="Q648" s="267"/>
      <c r="R648" s="267"/>
      <c r="S648" s="267"/>
      <c r="T648" s="267"/>
      <c r="U648" s="267"/>
      <c r="V648" s="267"/>
      <c r="W648" s="267"/>
      <c r="X648" s="267"/>
      <c r="Y648" s="267"/>
      <c r="Z648" s="267"/>
      <c r="AA648" s="267"/>
      <c r="AB648" s="267"/>
      <c r="AC648" s="267"/>
      <c r="AD648" s="267"/>
      <c r="AE648" s="267"/>
      <c r="AF648" s="267"/>
      <c r="AG648" s="267"/>
      <c r="AH648" s="267"/>
      <c r="AI648" s="267"/>
      <c r="AJ648" s="267"/>
      <c r="AK648" s="267"/>
      <c r="AL648" s="267"/>
      <c r="AM648" s="267"/>
      <c r="AN648" s="267"/>
      <c r="AO648" s="267"/>
      <c r="AP648" s="267"/>
      <c r="AQ648" s="267"/>
      <c r="AR648" s="267"/>
      <c r="AS648" s="267"/>
      <c r="AT648" s="267"/>
      <c r="AU648" s="267"/>
      <c r="AV648" s="267"/>
      <c r="AW648" s="267"/>
      <c r="AX648" s="267"/>
      <c r="AY648" s="267"/>
      <c r="AZ648" s="267"/>
      <c r="BA648" s="267"/>
      <c r="BB648" s="267"/>
      <c r="BC648" s="267"/>
      <c r="BD648" s="267"/>
      <c r="BE648" s="267"/>
      <c r="BF648" s="267"/>
      <c r="BG648" s="267"/>
      <c r="BH648" s="267"/>
      <c r="BI648" s="267"/>
      <c r="BJ648" s="267"/>
      <c r="BK648" s="267"/>
      <c r="BL648" s="267"/>
      <c r="BM648" s="267"/>
      <c r="BN648" s="267"/>
      <c r="BO648" s="267"/>
      <c r="BP648" s="267"/>
      <c r="BQ648" s="267"/>
      <c r="BR648" s="267"/>
      <c r="BS648" s="267"/>
      <c r="BT648" s="267"/>
      <c r="BU648" s="267"/>
      <c r="BV648" s="267"/>
      <c r="BW648" s="267"/>
      <c r="BX648" s="267"/>
      <c r="BY648" s="267"/>
      <c r="BZ648" s="267"/>
      <c r="CA648" s="267"/>
      <c r="CB648" s="267"/>
      <c r="CC648" s="267"/>
      <c r="CD648" s="267"/>
      <c r="CE648" s="267"/>
      <c r="CF648" s="267"/>
      <c r="CG648" s="267"/>
      <c r="CH648" s="267"/>
      <c r="CI648" s="267"/>
      <c r="CJ648" s="267"/>
      <c r="CK648" s="267"/>
      <c r="CL648" s="267"/>
      <c r="CM648" s="267"/>
      <c r="CN648" s="267"/>
      <c r="CO648" s="267"/>
      <c r="CP648" s="267"/>
      <c r="CQ648" s="267"/>
      <c r="CR648" s="267"/>
      <c r="CS648" s="267"/>
      <c r="CT648" s="267"/>
      <c r="CU648" s="267"/>
      <c r="CV648" s="267"/>
      <c r="CW648" s="267"/>
      <c r="CX648" s="267"/>
      <c r="CY648" s="267"/>
      <c r="CZ648" s="267"/>
    </row>
    <row r="649" spans="2:104">
      <c r="B649" s="1235"/>
      <c r="C649" s="1235"/>
      <c r="D649" s="1235"/>
      <c r="E649" s="267"/>
      <c r="F649" s="267"/>
      <c r="G649" s="267"/>
      <c r="H649" s="267"/>
      <c r="I649" s="267"/>
      <c r="J649" s="267"/>
      <c r="K649" s="267"/>
      <c r="L649" s="267"/>
      <c r="M649" s="267"/>
      <c r="N649" s="267"/>
      <c r="O649" s="267"/>
      <c r="P649" s="267"/>
      <c r="Q649" s="267"/>
      <c r="R649" s="267"/>
      <c r="S649" s="267"/>
      <c r="T649" s="267"/>
      <c r="U649" s="267"/>
      <c r="V649" s="267"/>
      <c r="W649" s="267"/>
      <c r="X649" s="267"/>
      <c r="Y649" s="267"/>
      <c r="Z649" s="267"/>
      <c r="AA649" s="267"/>
      <c r="AB649" s="267"/>
      <c r="AC649" s="267"/>
      <c r="AD649" s="267"/>
      <c r="AE649" s="267"/>
      <c r="AF649" s="267"/>
      <c r="AG649" s="267"/>
      <c r="AH649" s="267"/>
      <c r="AI649" s="267"/>
      <c r="AJ649" s="267"/>
      <c r="AK649" s="267"/>
      <c r="AL649" s="267"/>
      <c r="AM649" s="267"/>
      <c r="AN649" s="267"/>
      <c r="AO649" s="267"/>
      <c r="AP649" s="267"/>
      <c r="AQ649" s="267"/>
      <c r="AR649" s="267"/>
      <c r="AS649" s="267"/>
      <c r="AT649" s="267"/>
      <c r="AU649" s="267"/>
      <c r="AV649" s="267"/>
      <c r="AW649" s="267"/>
      <c r="AX649" s="267"/>
      <c r="AY649" s="267"/>
      <c r="AZ649" s="267"/>
      <c r="BA649" s="267"/>
      <c r="BB649" s="267"/>
      <c r="BC649" s="267"/>
      <c r="BD649" s="267"/>
      <c r="BE649" s="267"/>
      <c r="BF649" s="267"/>
      <c r="BG649" s="267"/>
      <c r="BH649" s="267"/>
      <c r="BI649" s="267"/>
      <c r="BJ649" s="267"/>
      <c r="BK649" s="267"/>
      <c r="BL649" s="267"/>
      <c r="BM649" s="267"/>
      <c r="BN649" s="267"/>
      <c r="BO649" s="267"/>
      <c r="BP649" s="267"/>
      <c r="BQ649" s="267"/>
      <c r="BR649" s="267"/>
      <c r="BS649" s="267"/>
      <c r="BT649" s="267"/>
      <c r="BU649" s="267"/>
      <c r="BV649" s="267"/>
      <c r="BW649" s="267"/>
      <c r="BX649" s="267"/>
      <c r="BY649" s="267"/>
      <c r="BZ649" s="267"/>
      <c r="CA649" s="267"/>
      <c r="CB649" s="267"/>
      <c r="CC649" s="267"/>
      <c r="CD649" s="267"/>
      <c r="CE649" s="267"/>
      <c r="CF649" s="267"/>
      <c r="CG649" s="267"/>
      <c r="CH649" s="267"/>
      <c r="CI649" s="267"/>
      <c r="CJ649" s="267"/>
      <c r="CK649" s="267"/>
      <c r="CL649" s="267"/>
      <c r="CM649" s="267"/>
      <c r="CN649" s="267"/>
      <c r="CO649" s="267"/>
      <c r="CP649" s="267"/>
      <c r="CQ649" s="267"/>
      <c r="CR649" s="267"/>
      <c r="CS649" s="267"/>
      <c r="CT649" s="267"/>
      <c r="CU649" s="267"/>
      <c r="CV649" s="267"/>
      <c r="CW649" s="267"/>
      <c r="CX649" s="267"/>
      <c r="CY649" s="267"/>
      <c r="CZ649" s="267"/>
    </row>
    <row r="650" spans="2:104">
      <c r="B650" s="1235"/>
      <c r="C650" s="1235"/>
      <c r="D650" s="1235"/>
      <c r="E650" s="267"/>
      <c r="F650" s="267"/>
      <c r="G650" s="267"/>
      <c r="H650" s="267"/>
      <c r="I650" s="267"/>
      <c r="J650" s="267"/>
      <c r="K650" s="267"/>
      <c r="L650" s="267"/>
      <c r="M650" s="267"/>
      <c r="N650" s="267"/>
      <c r="O650" s="267"/>
      <c r="P650" s="267"/>
      <c r="Q650" s="267"/>
      <c r="R650" s="267"/>
      <c r="S650" s="267"/>
      <c r="T650" s="267"/>
      <c r="U650" s="267"/>
      <c r="V650" s="267"/>
      <c r="W650" s="267"/>
      <c r="X650" s="267"/>
      <c r="Y650" s="267"/>
      <c r="Z650" s="267"/>
      <c r="AA650" s="267"/>
      <c r="AB650" s="267"/>
      <c r="AC650" s="267"/>
      <c r="AD650" s="267"/>
      <c r="AE650" s="267"/>
      <c r="AF650" s="267"/>
      <c r="AG650" s="267"/>
      <c r="AH650" s="267"/>
      <c r="AI650" s="267"/>
      <c r="AJ650" s="267"/>
      <c r="AK650" s="267"/>
      <c r="AL650" s="267"/>
      <c r="AM650" s="267"/>
      <c r="AN650" s="267"/>
      <c r="AO650" s="267"/>
      <c r="AP650" s="267"/>
      <c r="AQ650" s="267"/>
      <c r="AR650" s="267"/>
      <c r="AS650" s="267"/>
      <c r="AT650" s="267"/>
      <c r="AU650" s="267"/>
      <c r="AV650" s="267"/>
      <c r="AW650" s="267"/>
      <c r="AX650" s="267"/>
      <c r="AY650" s="267"/>
      <c r="AZ650" s="267"/>
      <c r="BA650" s="267"/>
      <c r="BB650" s="267"/>
      <c r="BC650" s="267"/>
      <c r="BD650" s="267"/>
      <c r="BE650" s="267"/>
      <c r="BF650" s="267"/>
      <c r="BG650" s="267"/>
      <c r="BH650" s="267"/>
      <c r="BI650" s="267"/>
      <c r="BJ650" s="267"/>
      <c r="BK650" s="267"/>
      <c r="BL650" s="267"/>
      <c r="BM650" s="267"/>
      <c r="BN650" s="267"/>
      <c r="BO650" s="267"/>
      <c r="BP650" s="267"/>
      <c r="BQ650" s="267"/>
      <c r="BR650" s="267"/>
      <c r="BS650" s="267"/>
      <c r="BT650" s="267"/>
      <c r="BU650" s="267"/>
      <c r="BV650" s="267"/>
      <c r="BW650" s="267"/>
      <c r="BX650" s="267"/>
      <c r="BY650" s="267"/>
      <c r="BZ650" s="267"/>
      <c r="CA650" s="267"/>
      <c r="CB650" s="267"/>
      <c r="CC650" s="267"/>
      <c r="CD650" s="267"/>
      <c r="CE650" s="267"/>
      <c r="CF650" s="267"/>
      <c r="CG650" s="267"/>
      <c r="CH650" s="267"/>
      <c r="CI650" s="267"/>
      <c r="CJ650" s="267"/>
      <c r="CK650" s="267"/>
      <c r="CL650" s="267"/>
      <c r="CM650" s="267"/>
      <c r="CN650" s="267"/>
      <c r="CO650" s="267"/>
      <c r="CP650" s="267"/>
      <c r="CQ650" s="267"/>
      <c r="CR650" s="267"/>
      <c r="CS650" s="267"/>
      <c r="CT650" s="267"/>
      <c r="CU650" s="267"/>
      <c r="CV650" s="267"/>
      <c r="CW650" s="267"/>
      <c r="CX650" s="267"/>
      <c r="CY650" s="267"/>
      <c r="CZ650" s="267"/>
    </row>
    <row r="651" spans="2:104">
      <c r="B651" s="1235"/>
      <c r="C651" s="1235"/>
      <c r="D651" s="1235"/>
      <c r="E651" s="267"/>
      <c r="F651" s="267"/>
      <c r="G651" s="267"/>
      <c r="H651" s="267"/>
      <c r="I651" s="267"/>
      <c r="J651" s="267"/>
      <c r="K651" s="267"/>
      <c r="L651" s="267"/>
      <c r="M651" s="267"/>
      <c r="N651" s="267"/>
      <c r="O651" s="267"/>
      <c r="P651" s="267"/>
      <c r="Q651" s="267"/>
      <c r="R651" s="267"/>
      <c r="S651" s="267"/>
      <c r="T651" s="267"/>
      <c r="U651" s="267"/>
      <c r="V651" s="267"/>
      <c r="W651" s="267"/>
      <c r="X651" s="267"/>
      <c r="Y651" s="267"/>
      <c r="Z651" s="267"/>
      <c r="AA651" s="267"/>
      <c r="AB651" s="267"/>
      <c r="AC651" s="267"/>
      <c r="AD651" s="267"/>
      <c r="AE651" s="267"/>
      <c r="AF651" s="267"/>
      <c r="AG651" s="267"/>
      <c r="AH651" s="267"/>
      <c r="AI651" s="267"/>
      <c r="AJ651" s="267"/>
      <c r="AK651" s="267"/>
      <c r="AL651" s="267"/>
      <c r="AM651" s="267"/>
      <c r="AN651" s="267"/>
      <c r="AO651" s="267"/>
      <c r="AP651" s="267"/>
      <c r="AQ651" s="267"/>
      <c r="AR651" s="267"/>
      <c r="AS651" s="267"/>
      <c r="AT651" s="267"/>
      <c r="AU651" s="267"/>
      <c r="AV651" s="267"/>
      <c r="AW651" s="267"/>
      <c r="AX651" s="267"/>
      <c r="AY651" s="267"/>
      <c r="AZ651" s="267"/>
      <c r="BA651" s="267"/>
      <c r="BB651" s="267"/>
      <c r="BC651" s="267"/>
      <c r="BD651" s="267"/>
      <c r="BE651" s="267"/>
      <c r="BF651" s="267"/>
      <c r="BG651" s="267"/>
      <c r="BH651" s="267"/>
      <c r="BI651" s="267"/>
      <c r="BJ651" s="267"/>
      <c r="BK651" s="267"/>
      <c r="BL651" s="267"/>
      <c r="BM651" s="267"/>
      <c r="BN651" s="267"/>
      <c r="BO651" s="267"/>
      <c r="BP651" s="267"/>
      <c r="BQ651" s="267"/>
      <c r="BR651" s="267"/>
      <c r="BS651" s="267"/>
      <c r="BT651" s="267"/>
      <c r="BU651" s="267"/>
      <c r="BV651" s="267"/>
      <c r="BW651" s="267"/>
      <c r="BX651" s="267"/>
      <c r="BY651" s="267"/>
      <c r="BZ651" s="267"/>
      <c r="CA651" s="267"/>
      <c r="CB651" s="267"/>
      <c r="CC651" s="267"/>
      <c r="CD651" s="267"/>
      <c r="CE651" s="267"/>
      <c r="CF651" s="267"/>
      <c r="CG651" s="267"/>
      <c r="CH651" s="267"/>
      <c r="CI651" s="267"/>
      <c r="CJ651" s="267"/>
      <c r="CK651" s="267"/>
      <c r="CL651" s="267"/>
      <c r="CM651" s="267"/>
      <c r="CN651" s="267"/>
      <c r="CO651" s="267"/>
      <c r="CP651" s="267"/>
      <c r="CQ651" s="267"/>
      <c r="CR651" s="267"/>
      <c r="CS651" s="267"/>
      <c r="CT651" s="267"/>
      <c r="CU651" s="267"/>
      <c r="CV651" s="267"/>
      <c r="CW651" s="267"/>
      <c r="CX651" s="267"/>
      <c r="CY651" s="267"/>
      <c r="CZ651" s="267"/>
    </row>
    <row r="652" spans="2:104">
      <c r="B652" s="1235"/>
      <c r="C652" s="1235"/>
      <c r="D652" s="1235"/>
      <c r="E652" s="267"/>
      <c r="F652" s="267"/>
      <c r="G652" s="267"/>
      <c r="H652" s="267"/>
      <c r="I652" s="267"/>
      <c r="J652" s="267"/>
      <c r="K652" s="267"/>
      <c r="L652" s="267"/>
      <c r="M652" s="267"/>
      <c r="N652" s="267"/>
      <c r="O652" s="267"/>
      <c r="P652" s="267"/>
      <c r="Q652" s="267"/>
      <c r="R652" s="267"/>
      <c r="S652" s="267"/>
      <c r="T652" s="267"/>
      <c r="U652" s="267"/>
      <c r="V652" s="267"/>
      <c r="W652" s="267"/>
      <c r="X652" s="267"/>
      <c r="Y652" s="267"/>
      <c r="Z652" s="267"/>
      <c r="AA652" s="267"/>
      <c r="AB652" s="267"/>
      <c r="AC652" s="267"/>
      <c r="AD652" s="267"/>
      <c r="AE652" s="267"/>
      <c r="AF652" s="267"/>
      <c r="AG652" s="267"/>
      <c r="AH652" s="267"/>
      <c r="AI652" s="267"/>
      <c r="AJ652" s="267"/>
      <c r="AK652" s="267"/>
      <c r="AL652" s="267"/>
      <c r="AM652" s="267"/>
      <c r="AN652" s="267"/>
      <c r="AO652" s="267"/>
      <c r="AP652" s="267"/>
      <c r="AQ652" s="267"/>
      <c r="AR652" s="267"/>
      <c r="AS652" s="267"/>
      <c r="AT652" s="267"/>
      <c r="AU652" s="267"/>
      <c r="AV652" s="267"/>
      <c r="AW652" s="267"/>
      <c r="AX652" s="267"/>
      <c r="AY652" s="267"/>
      <c r="AZ652" s="267"/>
      <c r="BA652" s="267"/>
      <c r="BB652" s="267"/>
      <c r="BC652" s="267"/>
      <c r="BD652" s="267"/>
      <c r="BE652" s="267"/>
      <c r="BF652" s="267"/>
      <c r="BG652" s="267"/>
      <c r="BH652" s="267"/>
      <c r="BI652" s="267"/>
      <c r="BJ652" s="267"/>
      <c r="BK652" s="267"/>
      <c r="BL652" s="267"/>
      <c r="BM652" s="267"/>
      <c r="BN652" s="267"/>
      <c r="BO652" s="267"/>
      <c r="BP652" s="267"/>
      <c r="BQ652" s="267"/>
      <c r="BR652" s="267"/>
      <c r="BS652" s="267"/>
      <c r="BT652" s="267"/>
      <c r="BU652" s="267"/>
      <c r="BV652" s="267"/>
      <c r="BW652" s="267"/>
      <c r="BX652" s="267"/>
      <c r="BY652" s="267"/>
      <c r="BZ652" s="267"/>
      <c r="CA652" s="267"/>
      <c r="CB652" s="267"/>
      <c r="CC652" s="267"/>
      <c r="CD652" s="267"/>
      <c r="CE652" s="267"/>
      <c r="CF652" s="267"/>
      <c r="CG652" s="267"/>
      <c r="CH652" s="267"/>
      <c r="CI652" s="267"/>
      <c r="CJ652" s="267"/>
      <c r="CK652" s="267"/>
      <c r="CL652" s="267"/>
      <c r="CM652" s="267"/>
      <c r="CN652" s="267"/>
      <c r="CO652" s="267"/>
      <c r="CP652" s="267"/>
      <c r="CQ652" s="267"/>
      <c r="CR652" s="267"/>
      <c r="CS652" s="267"/>
      <c r="CT652" s="267"/>
      <c r="CU652" s="267"/>
      <c r="CV652" s="267"/>
      <c r="CW652" s="267"/>
      <c r="CX652" s="267"/>
      <c r="CY652" s="267"/>
      <c r="CZ652" s="267"/>
    </row>
    <row r="653" spans="2:104">
      <c r="B653" s="1235"/>
      <c r="C653" s="1235"/>
      <c r="D653" s="1235"/>
      <c r="E653" s="267"/>
      <c r="F653" s="267"/>
      <c r="G653" s="267"/>
      <c r="H653" s="267"/>
      <c r="I653" s="267"/>
      <c r="J653" s="267"/>
      <c r="K653" s="267"/>
      <c r="L653" s="267"/>
      <c r="M653" s="267"/>
      <c r="N653" s="267"/>
      <c r="O653" s="267"/>
      <c r="P653" s="267"/>
      <c r="Q653" s="267"/>
      <c r="R653" s="267"/>
      <c r="S653" s="267"/>
      <c r="T653" s="267"/>
      <c r="U653" s="267"/>
      <c r="V653" s="267"/>
      <c r="W653" s="267"/>
      <c r="X653" s="267"/>
      <c r="Y653" s="267"/>
      <c r="Z653" s="267"/>
      <c r="AA653" s="267"/>
      <c r="AB653" s="267"/>
      <c r="AC653" s="267"/>
      <c r="AD653" s="267"/>
      <c r="AE653" s="267"/>
      <c r="AF653" s="267"/>
      <c r="AG653" s="267"/>
      <c r="AH653" s="267"/>
      <c r="AI653" s="267"/>
      <c r="AJ653" s="267"/>
      <c r="AK653" s="267"/>
      <c r="AL653" s="267"/>
      <c r="AM653" s="267"/>
      <c r="AN653" s="267"/>
      <c r="AO653" s="267"/>
      <c r="AP653" s="267"/>
      <c r="AQ653" s="267"/>
      <c r="AR653" s="267"/>
      <c r="AS653" s="267"/>
      <c r="AT653" s="267"/>
      <c r="AU653" s="267"/>
      <c r="AV653" s="267"/>
      <c r="AW653" s="267"/>
      <c r="AX653" s="267"/>
      <c r="AY653" s="267"/>
      <c r="AZ653" s="267"/>
      <c r="BA653" s="267"/>
      <c r="BB653" s="267"/>
      <c r="BC653" s="267"/>
      <c r="BD653" s="267"/>
      <c r="BE653" s="267"/>
      <c r="BF653" s="267"/>
      <c r="BG653" s="267"/>
      <c r="BH653" s="267"/>
      <c r="BI653" s="267"/>
      <c r="BJ653" s="267"/>
      <c r="BK653" s="267"/>
      <c r="BL653" s="267"/>
      <c r="BM653" s="267"/>
      <c r="BN653" s="267"/>
      <c r="BO653" s="267"/>
      <c r="BP653" s="267"/>
      <c r="BQ653" s="267"/>
      <c r="BR653" s="267"/>
      <c r="BS653" s="267"/>
      <c r="BT653" s="267"/>
      <c r="BU653" s="267"/>
      <c r="BV653" s="267"/>
      <c r="BW653" s="267"/>
      <c r="BX653" s="267"/>
      <c r="BY653" s="267"/>
      <c r="BZ653" s="267"/>
      <c r="CA653" s="267"/>
      <c r="CB653" s="267"/>
      <c r="CC653" s="267"/>
      <c r="CD653" s="267"/>
      <c r="CE653" s="267"/>
      <c r="CF653" s="267"/>
      <c r="CG653" s="267"/>
      <c r="CH653" s="267"/>
      <c r="CI653" s="267"/>
      <c r="CJ653" s="267"/>
      <c r="CK653" s="267"/>
      <c r="CL653" s="267"/>
      <c r="CM653" s="267"/>
      <c r="CN653" s="267"/>
      <c r="CO653" s="267"/>
      <c r="CP653" s="267"/>
      <c r="CQ653" s="267"/>
      <c r="CR653" s="267"/>
      <c r="CS653" s="267"/>
      <c r="CT653" s="267"/>
      <c r="CU653" s="267"/>
      <c r="CV653" s="267"/>
      <c r="CW653" s="267"/>
      <c r="CX653" s="267"/>
      <c r="CY653" s="267"/>
      <c r="CZ653" s="267"/>
    </row>
    <row r="654" spans="2:104">
      <c r="B654" s="1235"/>
      <c r="C654" s="1235"/>
      <c r="D654" s="1235"/>
      <c r="E654" s="267"/>
      <c r="F654" s="267"/>
      <c r="G654" s="267"/>
      <c r="H654" s="267"/>
      <c r="I654" s="267"/>
      <c r="J654" s="267"/>
      <c r="K654" s="267"/>
      <c r="L654" s="267"/>
      <c r="M654" s="267"/>
      <c r="N654" s="267"/>
      <c r="O654" s="267"/>
      <c r="P654" s="267"/>
      <c r="Q654" s="267"/>
      <c r="R654" s="267"/>
      <c r="S654" s="267"/>
      <c r="T654" s="267"/>
      <c r="U654" s="267"/>
      <c r="V654" s="267"/>
      <c r="W654" s="267"/>
      <c r="X654" s="267"/>
      <c r="Y654" s="267"/>
      <c r="Z654" s="267"/>
      <c r="AA654" s="267"/>
      <c r="AB654" s="267"/>
      <c r="AC654" s="267"/>
      <c r="AD654" s="267"/>
      <c r="AE654" s="267"/>
      <c r="AF654" s="267"/>
      <c r="AG654" s="267"/>
      <c r="AH654" s="267"/>
      <c r="AI654" s="267"/>
      <c r="AJ654" s="267"/>
      <c r="AK654" s="267"/>
      <c r="AL654" s="267"/>
      <c r="AM654" s="267"/>
      <c r="AN654" s="267"/>
      <c r="AO654" s="267"/>
      <c r="AP654" s="267"/>
      <c r="AQ654" s="267"/>
      <c r="AR654" s="267"/>
      <c r="AS654" s="267"/>
      <c r="AT654" s="267"/>
      <c r="AU654" s="267"/>
      <c r="AV654" s="267"/>
      <c r="AW654" s="267"/>
      <c r="AX654" s="267"/>
      <c r="AY654" s="267"/>
      <c r="AZ654" s="267"/>
      <c r="BA654" s="267"/>
      <c r="BB654" s="267"/>
      <c r="BC654" s="267"/>
      <c r="BD654" s="267"/>
      <c r="BE654" s="267"/>
      <c r="BF654" s="267"/>
      <c r="BG654" s="267"/>
      <c r="BH654" s="267"/>
      <c r="BI654" s="267"/>
      <c r="BJ654" s="267"/>
      <c r="BK654" s="267"/>
      <c r="BL654" s="267"/>
      <c r="BM654" s="267"/>
      <c r="BN654" s="267"/>
      <c r="BO654" s="267"/>
      <c r="BP654" s="267"/>
      <c r="BQ654" s="267"/>
      <c r="BR654" s="267"/>
      <c r="BS654" s="267"/>
      <c r="BT654" s="267"/>
      <c r="BU654" s="267"/>
      <c r="BV654" s="267"/>
      <c r="BW654" s="267"/>
      <c r="BX654" s="267"/>
      <c r="BY654" s="267"/>
      <c r="BZ654" s="267"/>
      <c r="CA654" s="267"/>
      <c r="CB654" s="267"/>
      <c r="CC654" s="267"/>
      <c r="CD654" s="267"/>
      <c r="CE654" s="267"/>
      <c r="CF654" s="267"/>
      <c r="CG654" s="267"/>
      <c r="CH654" s="267"/>
      <c r="CI654" s="267"/>
      <c r="CJ654" s="267"/>
      <c r="CK654" s="267"/>
      <c r="CL654" s="267"/>
      <c r="CM654" s="267"/>
      <c r="CN654" s="267"/>
      <c r="CO654" s="267"/>
      <c r="CP654" s="267"/>
      <c r="CQ654" s="267"/>
      <c r="CR654" s="267"/>
      <c r="CS654" s="267"/>
      <c r="CT654" s="267"/>
      <c r="CU654" s="267"/>
      <c r="CV654" s="267"/>
      <c r="CW654" s="267"/>
      <c r="CX654" s="267"/>
      <c r="CY654" s="267"/>
      <c r="CZ654" s="267"/>
    </row>
    <row r="655" spans="2:104">
      <c r="B655" s="1235"/>
      <c r="C655" s="1235"/>
      <c r="D655" s="1235"/>
      <c r="E655" s="267"/>
      <c r="F655" s="267"/>
      <c r="G655" s="267"/>
      <c r="H655" s="267"/>
      <c r="I655" s="267"/>
      <c r="J655" s="267"/>
      <c r="K655" s="267"/>
      <c r="L655" s="267"/>
      <c r="M655" s="267"/>
      <c r="N655" s="267"/>
      <c r="O655" s="267"/>
      <c r="P655" s="267"/>
      <c r="Q655" s="267"/>
      <c r="R655" s="267"/>
      <c r="S655" s="267"/>
      <c r="T655" s="267"/>
      <c r="U655" s="267"/>
      <c r="V655" s="267"/>
      <c r="W655" s="267"/>
      <c r="X655" s="267"/>
      <c r="Y655" s="267"/>
      <c r="Z655" s="267"/>
      <c r="AA655" s="267"/>
      <c r="AB655" s="267"/>
      <c r="AC655" s="267"/>
      <c r="AD655" s="267"/>
      <c r="AE655" s="267"/>
      <c r="AF655" s="267"/>
      <c r="AG655" s="267"/>
      <c r="AH655" s="267"/>
      <c r="AI655" s="267"/>
      <c r="AJ655" s="267"/>
      <c r="AK655" s="267"/>
      <c r="AL655" s="267"/>
      <c r="AM655" s="267"/>
      <c r="AN655" s="267"/>
      <c r="AO655" s="267"/>
      <c r="AP655" s="267"/>
      <c r="AQ655" s="267"/>
      <c r="AR655" s="267"/>
      <c r="AS655" s="267"/>
      <c r="AT655" s="267"/>
      <c r="AU655" s="267"/>
      <c r="AV655" s="267"/>
      <c r="AW655" s="267"/>
      <c r="AX655" s="267"/>
      <c r="AY655" s="267"/>
      <c r="AZ655" s="267"/>
      <c r="BA655" s="267"/>
      <c r="BB655" s="267"/>
      <c r="BC655" s="267"/>
      <c r="BD655" s="267"/>
      <c r="BE655" s="267"/>
      <c r="BF655" s="267"/>
      <c r="BG655" s="267"/>
      <c r="BH655" s="267"/>
      <c r="BI655" s="267"/>
      <c r="BJ655" s="267"/>
      <c r="BK655" s="267"/>
      <c r="BL655" s="267"/>
      <c r="BM655" s="267"/>
      <c r="BN655" s="267"/>
      <c r="BO655" s="267"/>
      <c r="BP655" s="267"/>
      <c r="BQ655" s="267"/>
      <c r="BR655" s="267"/>
      <c r="BS655" s="267"/>
      <c r="BT655" s="267"/>
      <c r="BU655" s="267"/>
      <c r="BV655" s="267"/>
      <c r="BW655" s="267"/>
      <c r="BX655" s="267"/>
      <c r="BY655" s="267"/>
      <c r="BZ655" s="267"/>
      <c r="CA655" s="267"/>
      <c r="CB655" s="267"/>
      <c r="CC655" s="267"/>
      <c r="CD655" s="267"/>
      <c r="CE655" s="267"/>
      <c r="CF655" s="267"/>
      <c r="CG655" s="267"/>
      <c r="CH655" s="267"/>
      <c r="CI655" s="267"/>
      <c r="CJ655" s="267"/>
      <c r="CK655" s="267"/>
      <c r="CL655" s="267"/>
      <c r="CM655" s="267"/>
      <c r="CN655" s="267"/>
      <c r="CO655" s="267"/>
      <c r="CP655" s="267"/>
      <c r="CQ655" s="267"/>
      <c r="CR655" s="267"/>
      <c r="CS655" s="267"/>
      <c r="CT655" s="267"/>
      <c r="CU655" s="267"/>
      <c r="CV655" s="267"/>
      <c r="CW655" s="267"/>
      <c r="CX655" s="267"/>
      <c r="CY655" s="267"/>
      <c r="CZ655" s="267"/>
    </row>
    <row r="656" spans="2:104">
      <c r="B656" s="1235"/>
      <c r="C656" s="1235"/>
      <c r="D656" s="1235"/>
      <c r="E656" s="267"/>
      <c r="F656" s="267"/>
      <c r="G656" s="267"/>
      <c r="H656" s="267"/>
      <c r="I656" s="267"/>
      <c r="J656" s="267"/>
      <c r="K656" s="267"/>
      <c r="L656" s="267"/>
      <c r="M656" s="267"/>
      <c r="N656" s="267"/>
      <c r="O656" s="267"/>
      <c r="P656" s="267"/>
      <c r="Q656" s="267"/>
      <c r="R656" s="267"/>
      <c r="S656" s="267"/>
      <c r="T656" s="267"/>
      <c r="U656" s="267"/>
      <c r="V656" s="267"/>
      <c r="W656" s="267"/>
      <c r="X656" s="267"/>
      <c r="Y656" s="267"/>
      <c r="Z656" s="267"/>
      <c r="AA656" s="267"/>
      <c r="AB656" s="267"/>
      <c r="AC656" s="267"/>
      <c r="AD656" s="267"/>
      <c r="AE656" s="267"/>
      <c r="AF656" s="267"/>
      <c r="AG656" s="267"/>
      <c r="AH656" s="267"/>
      <c r="AI656" s="267"/>
      <c r="AJ656" s="267"/>
      <c r="AK656" s="267"/>
      <c r="AL656" s="267"/>
      <c r="AM656" s="267"/>
      <c r="AN656" s="267"/>
      <c r="AO656" s="267"/>
      <c r="AP656" s="267"/>
      <c r="AQ656" s="267"/>
      <c r="AR656" s="267"/>
      <c r="AS656" s="267"/>
      <c r="AT656" s="267"/>
      <c r="AU656" s="267"/>
      <c r="AV656" s="267"/>
      <c r="AW656" s="267"/>
      <c r="AX656" s="267"/>
      <c r="AY656" s="267"/>
      <c r="AZ656" s="267"/>
      <c r="BA656" s="267"/>
      <c r="BB656" s="267"/>
      <c r="BC656" s="267"/>
      <c r="BD656" s="267"/>
      <c r="BE656" s="267"/>
      <c r="BF656" s="267"/>
      <c r="BG656" s="267"/>
      <c r="BH656" s="267"/>
      <c r="BI656" s="267"/>
      <c r="BJ656" s="267"/>
      <c r="BK656" s="267"/>
      <c r="BL656" s="267"/>
      <c r="BM656" s="267"/>
      <c r="BN656" s="267"/>
      <c r="BO656" s="267"/>
      <c r="BP656" s="267"/>
      <c r="BQ656" s="267"/>
      <c r="BR656" s="267"/>
      <c r="BS656" s="267"/>
      <c r="BT656" s="267"/>
      <c r="BU656" s="267"/>
      <c r="BV656" s="267"/>
      <c r="BW656" s="267"/>
      <c r="BX656" s="267"/>
      <c r="BY656" s="267"/>
      <c r="BZ656" s="267"/>
      <c r="CA656" s="267"/>
      <c r="CB656" s="267"/>
      <c r="CC656" s="267"/>
      <c r="CD656" s="267"/>
      <c r="CE656" s="267"/>
      <c r="CF656" s="267"/>
      <c r="CG656" s="267"/>
      <c r="CH656" s="267"/>
      <c r="CI656" s="267"/>
      <c r="CJ656" s="267"/>
      <c r="CK656" s="267"/>
      <c r="CL656" s="267"/>
      <c r="CM656" s="267"/>
      <c r="CN656" s="267"/>
      <c r="CO656" s="267"/>
      <c r="CP656" s="267"/>
      <c r="CQ656" s="267"/>
      <c r="CR656" s="267"/>
      <c r="CS656" s="267"/>
      <c r="CT656" s="267"/>
      <c r="CU656" s="267"/>
      <c r="CV656" s="267"/>
      <c r="CW656" s="267"/>
      <c r="CX656" s="267"/>
      <c r="CY656" s="267"/>
      <c r="CZ656" s="267"/>
    </row>
    <row r="657" spans="2:104">
      <c r="B657" s="1235"/>
      <c r="C657" s="1235"/>
      <c r="D657" s="1235"/>
      <c r="E657" s="267"/>
      <c r="F657" s="267"/>
      <c r="G657" s="267"/>
      <c r="H657" s="267"/>
      <c r="I657" s="267"/>
      <c r="J657" s="267"/>
      <c r="K657" s="267"/>
      <c r="L657" s="267"/>
      <c r="M657" s="267"/>
      <c r="N657" s="267"/>
      <c r="O657" s="267"/>
      <c r="P657" s="267"/>
      <c r="Q657" s="267"/>
      <c r="R657" s="267"/>
      <c r="S657" s="267"/>
      <c r="T657" s="267"/>
      <c r="U657" s="267"/>
      <c r="V657" s="267"/>
      <c r="W657" s="267"/>
      <c r="X657" s="267"/>
      <c r="Y657" s="267"/>
      <c r="Z657" s="267"/>
      <c r="AA657" s="267"/>
      <c r="AB657" s="267"/>
      <c r="AC657" s="267"/>
      <c r="AD657" s="267"/>
      <c r="AE657" s="267"/>
      <c r="AF657" s="267"/>
      <c r="AG657" s="267"/>
      <c r="AH657" s="267"/>
      <c r="AI657" s="267"/>
      <c r="AJ657" s="267"/>
      <c r="AK657" s="267"/>
      <c r="AL657" s="267"/>
      <c r="AM657" s="267"/>
      <c r="AN657" s="267"/>
      <c r="AO657" s="267"/>
      <c r="AP657" s="267"/>
      <c r="AQ657" s="267"/>
      <c r="AR657" s="267"/>
      <c r="AS657" s="267"/>
      <c r="AT657" s="267"/>
      <c r="AU657" s="267"/>
      <c r="AV657" s="267"/>
      <c r="AW657" s="267"/>
      <c r="AX657" s="267"/>
      <c r="AY657" s="267"/>
      <c r="AZ657" s="267"/>
      <c r="BA657" s="267"/>
      <c r="BB657" s="267"/>
      <c r="BC657" s="267"/>
      <c r="BD657" s="267"/>
      <c r="BE657" s="267"/>
      <c r="BF657" s="267"/>
      <c r="BG657" s="267"/>
      <c r="BH657" s="267"/>
      <c r="BI657" s="267"/>
      <c r="BJ657" s="267"/>
      <c r="BK657" s="267"/>
      <c r="BL657" s="267"/>
      <c r="BM657" s="267"/>
      <c r="BN657" s="267"/>
      <c r="BO657" s="267"/>
      <c r="BP657" s="267"/>
      <c r="BQ657" s="267"/>
      <c r="BR657" s="267"/>
      <c r="BS657" s="267"/>
      <c r="BT657" s="267"/>
      <c r="BU657" s="267"/>
      <c r="BV657" s="267"/>
      <c r="BW657" s="267"/>
      <c r="BX657" s="267"/>
      <c r="BY657" s="267"/>
      <c r="BZ657" s="267"/>
      <c r="CA657" s="267"/>
      <c r="CB657" s="267"/>
      <c r="CC657" s="267"/>
      <c r="CD657" s="267"/>
      <c r="CE657" s="267"/>
      <c r="CF657" s="267"/>
      <c r="CG657" s="267"/>
      <c r="CH657" s="267"/>
      <c r="CI657" s="267"/>
      <c r="CJ657" s="267"/>
      <c r="CK657" s="267"/>
      <c r="CL657" s="267"/>
      <c r="CM657" s="267"/>
      <c r="CN657" s="267"/>
      <c r="CO657" s="267"/>
      <c r="CP657" s="267"/>
      <c r="CQ657" s="267"/>
      <c r="CR657" s="267"/>
      <c r="CS657" s="267"/>
      <c r="CT657" s="267"/>
      <c r="CU657" s="267"/>
      <c r="CV657" s="267"/>
      <c r="CW657" s="267"/>
      <c r="CX657" s="267"/>
      <c r="CY657" s="267"/>
      <c r="CZ657" s="267"/>
    </row>
    <row r="658" spans="2:104">
      <c r="B658" s="1235"/>
      <c r="C658" s="1235"/>
      <c r="D658" s="1235"/>
      <c r="E658" s="267"/>
      <c r="F658" s="267"/>
      <c r="G658" s="267"/>
      <c r="H658" s="267"/>
      <c r="I658" s="267"/>
      <c r="J658" s="267"/>
      <c r="K658" s="267"/>
      <c r="L658" s="267"/>
      <c r="M658" s="267"/>
      <c r="N658" s="267"/>
      <c r="O658" s="267"/>
      <c r="P658" s="267"/>
      <c r="Q658" s="267"/>
      <c r="R658" s="267"/>
      <c r="S658" s="267"/>
      <c r="T658" s="267"/>
      <c r="U658" s="267"/>
      <c r="V658" s="267"/>
      <c r="W658" s="267"/>
      <c r="X658" s="267"/>
      <c r="Y658" s="267"/>
      <c r="Z658" s="267"/>
      <c r="AA658" s="267"/>
      <c r="AB658" s="267"/>
      <c r="AC658" s="267"/>
      <c r="AD658" s="267"/>
      <c r="AE658" s="267"/>
      <c r="AF658" s="267"/>
      <c r="AG658" s="267"/>
      <c r="AH658" s="267"/>
      <c r="AI658" s="267"/>
      <c r="AJ658" s="267"/>
      <c r="AK658" s="267"/>
      <c r="AL658" s="267"/>
      <c r="AM658" s="267"/>
      <c r="AN658" s="267"/>
      <c r="AO658" s="267"/>
      <c r="AP658" s="267"/>
      <c r="AQ658" s="267"/>
      <c r="AR658" s="267"/>
      <c r="AS658" s="267"/>
      <c r="AT658" s="267"/>
      <c r="AU658" s="267"/>
      <c r="AV658" s="267"/>
      <c r="AW658" s="267"/>
      <c r="AX658" s="267"/>
      <c r="AY658" s="267"/>
      <c r="AZ658" s="267"/>
      <c r="BA658" s="267"/>
      <c r="BB658" s="267"/>
      <c r="BC658" s="267"/>
      <c r="BD658" s="267"/>
      <c r="BE658" s="267"/>
      <c r="BF658" s="267"/>
      <c r="BG658" s="267"/>
      <c r="BH658" s="267"/>
      <c r="BI658" s="267"/>
      <c r="BJ658" s="267"/>
      <c r="BK658" s="267"/>
      <c r="BL658" s="267"/>
      <c r="BM658" s="267"/>
      <c r="BN658" s="267"/>
      <c r="BO658" s="267"/>
      <c r="BP658" s="267"/>
      <c r="BQ658" s="267"/>
      <c r="BR658" s="267"/>
      <c r="BS658" s="267"/>
      <c r="BT658" s="267"/>
      <c r="BU658" s="267"/>
      <c r="BV658" s="267"/>
      <c r="BW658" s="267"/>
      <c r="BX658" s="267"/>
      <c r="BY658" s="267"/>
      <c r="BZ658" s="267"/>
      <c r="CA658" s="267"/>
      <c r="CB658" s="267"/>
      <c r="CC658" s="267"/>
      <c r="CD658" s="267"/>
      <c r="CE658" s="267"/>
      <c r="CF658" s="267"/>
      <c r="CG658" s="267"/>
      <c r="CH658" s="267"/>
      <c r="CI658" s="267"/>
      <c r="CJ658" s="267"/>
      <c r="CK658" s="267"/>
      <c r="CL658" s="267"/>
      <c r="CM658" s="267"/>
      <c r="CN658" s="267"/>
      <c r="CO658" s="267"/>
      <c r="CP658" s="267"/>
      <c r="CQ658" s="267"/>
      <c r="CR658" s="267"/>
      <c r="CS658" s="267"/>
      <c r="CT658" s="267"/>
      <c r="CU658" s="267"/>
      <c r="CV658" s="267"/>
      <c r="CW658" s="267"/>
      <c r="CX658" s="267"/>
      <c r="CY658" s="267"/>
      <c r="CZ658" s="267"/>
    </row>
    <row r="659" spans="2:104">
      <c r="B659" s="1235"/>
      <c r="C659" s="1235"/>
      <c r="D659" s="1235"/>
      <c r="E659" s="267"/>
      <c r="F659" s="267"/>
      <c r="G659" s="267"/>
      <c r="H659" s="267"/>
      <c r="I659" s="267"/>
      <c r="J659" s="267"/>
      <c r="K659" s="267"/>
      <c r="L659" s="267"/>
      <c r="M659" s="267"/>
      <c r="N659" s="267"/>
      <c r="O659" s="267"/>
      <c r="P659" s="267"/>
      <c r="Q659" s="267"/>
      <c r="R659" s="267"/>
      <c r="S659" s="267"/>
      <c r="T659" s="267"/>
      <c r="U659" s="267"/>
      <c r="V659" s="267"/>
      <c r="W659" s="267"/>
      <c r="X659" s="267"/>
      <c r="Y659" s="267"/>
      <c r="Z659" s="267"/>
      <c r="AA659" s="267"/>
      <c r="AB659" s="267"/>
      <c r="AC659" s="267"/>
      <c r="AD659" s="267"/>
      <c r="AE659" s="267"/>
      <c r="AF659" s="267"/>
      <c r="AG659" s="267"/>
      <c r="AH659" s="267"/>
      <c r="AI659" s="267"/>
      <c r="AJ659" s="267"/>
      <c r="AK659" s="267"/>
      <c r="AL659" s="267"/>
      <c r="AM659" s="267"/>
      <c r="AN659" s="267"/>
      <c r="AO659" s="267"/>
      <c r="AP659" s="267"/>
      <c r="AQ659" s="267"/>
      <c r="AR659" s="267"/>
      <c r="AS659" s="267"/>
      <c r="AT659" s="267"/>
      <c r="AU659" s="267"/>
      <c r="AV659" s="267"/>
      <c r="AW659" s="267"/>
      <c r="AX659" s="267"/>
      <c r="AY659" s="267"/>
      <c r="AZ659" s="267"/>
      <c r="BA659" s="267"/>
      <c r="BB659" s="267"/>
      <c r="BC659" s="267"/>
      <c r="BD659" s="267"/>
      <c r="BE659" s="267"/>
      <c r="BF659" s="267"/>
      <c r="BG659" s="267"/>
      <c r="BH659" s="267"/>
      <c r="BI659" s="267"/>
      <c r="BJ659" s="267"/>
      <c r="BK659" s="267"/>
      <c r="BL659" s="267"/>
      <c r="BM659" s="267"/>
      <c r="BN659" s="267"/>
      <c r="BO659" s="267"/>
      <c r="BP659" s="267"/>
      <c r="BQ659" s="267"/>
      <c r="BR659" s="267"/>
      <c r="BS659" s="267"/>
      <c r="BT659" s="267"/>
      <c r="BU659" s="267"/>
      <c r="BV659" s="267"/>
      <c r="BW659" s="267"/>
      <c r="BX659" s="267"/>
      <c r="BY659" s="267"/>
      <c r="BZ659" s="267"/>
      <c r="CA659" s="267"/>
      <c r="CB659" s="267"/>
      <c r="CC659" s="267"/>
      <c r="CD659" s="267"/>
      <c r="CE659" s="267"/>
      <c r="CF659" s="267"/>
      <c r="CG659" s="267"/>
      <c r="CH659" s="267"/>
      <c r="CI659" s="267"/>
      <c r="CJ659" s="267"/>
      <c r="CK659" s="267"/>
      <c r="CL659" s="267"/>
      <c r="CM659" s="267"/>
      <c r="CN659" s="267"/>
      <c r="CO659" s="267"/>
      <c r="CP659" s="267"/>
      <c r="CQ659" s="267"/>
      <c r="CR659" s="267"/>
      <c r="CS659" s="267"/>
      <c r="CT659" s="267"/>
      <c r="CU659" s="267"/>
      <c r="CV659" s="267"/>
      <c r="CW659" s="267"/>
      <c r="CX659" s="267"/>
      <c r="CY659" s="267"/>
      <c r="CZ659" s="267"/>
    </row>
    <row r="660" spans="2:104">
      <c r="B660" s="1235"/>
      <c r="C660" s="1235"/>
      <c r="D660" s="1235"/>
      <c r="E660" s="267"/>
      <c r="F660" s="267"/>
      <c r="G660" s="267"/>
      <c r="H660" s="267"/>
      <c r="I660" s="267"/>
      <c r="J660" s="267"/>
      <c r="K660" s="267"/>
      <c r="L660" s="267"/>
      <c r="M660" s="267"/>
      <c r="N660" s="267"/>
      <c r="O660" s="267"/>
      <c r="P660" s="267"/>
      <c r="Q660" s="267"/>
      <c r="R660" s="267"/>
      <c r="S660" s="267"/>
      <c r="T660" s="267"/>
      <c r="U660" s="267"/>
      <c r="V660" s="267"/>
      <c r="W660" s="267"/>
      <c r="X660" s="267"/>
      <c r="Y660" s="267"/>
      <c r="Z660" s="267"/>
      <c r="AA660" s="267"/>
      <c r="AB660" s="267"/>
      <c r="AC660" s="267"/>
      <c r="AD660" s="267"/>
      <c r="AE660" s="267"/>
      <c r="AF660" s="267"/>
      <c r="AG660" s="267"/>
      <c r="AH660" s="267"/>
      <c r="AI660" s="267"/>
      <c r="AJ660" s="267"/>
      <c r="AK660" s="267"/>
      <c r="AL660" s="267"/>
      <c r="AM660" s="267"/>
      <c r="AN660" s="267"/>
      <c r="AO660" s="267"/>
      <c r="AP660" s="267"/>
      <c r="AQ660" s="267"/>
      <c r="AR660" s="267"/>
      <c r="AS660" s="267"/>
      <c r="AT660" s="267"/>
      <c r="AU660" s="267"/>
      <c r="AV660" s="267"/>
      <c r="AW660" s="267"/>
      <c r="AX660" s="267"/>
      <c r="AY660" s="267"/>
      <c r="AZ660" s="267"/>
      <c r="BA660" s="267"/>
      <c r="BB660" s="267"/>
      <c r="BC660" s="267"/>
      <c r="BD660" s="267"/>
      <c r="BE660" s="267"/>
      <c r="BF660" s="267"/>
      <c r="BG660" s="267"/>
      <c r="BH660" s="267"/>
      <c r="BI660" s="267"/>
      <c r="BJ660" s="267"/>
      <c r="BK660" s="267"/>
      <c r="BL660" s="267"/>
      <c r="BM660" s="267"/>
      <c r="BN660" s="267"/>
      <c r="BO660" s="267"/>
      <c r="BP660" s="267"/>
      <c r="BQ660" s="267"/>
      <c r="BR660" s="267"/>
      <c r="BS660" s="267"/>
      <c r="BT660" s="267"/>
      <c r="BU660" s="267"/>
      <c r="BV660" s="267"/>
      <c r="BW660" s="267"/>
      <c r="BX660" s="267"/>
      <c r="BY660" s="267"/>
      <c r="BZ660" s="267"/>
      <c r="CA660" s="267"/>
      <c r="CB660" s="267"/>
      <c r="CC660" s="267"/>
      <c r="CD660" s="267"/>
      <c r="CE660" s="267"/>
      <c r="CF660" s="267"/>
      <c r="CG660" s="267"/>
      <c r="CH660" s="267"/>
      <c r="CI660" s="267"/>
      <c r="CJ660" s="267"/>
      <c r="CK660" s="267"/>
      <c r="CL660" s="267"/>
      <c r="CM660" s="267"/>
      <c r="CN660" s="267"/>
      <c r="CO660" s="267"/>
      <c r="CP660" s="267"/>
      <c r="CQ660" s="267"/>
      <c r="CR660" s="267"/>
      <c r="CS660" s="267"/>
      <c r="CT660" s="267"/>
      <c r="CU660" s="267"/>
      <c r="CV660" s="267"/>
      <c r="CW660" s="267"/>
      <c r="CX660" s="267"/>
      <c r="CY660" s="267"/>
      <c r="CZ660" s="267"/>
    </row>
    <row r="661" spans="2:104">
      <c r="B661" s="1235"/>
      <c r="C661" s="1235"/>
      <c r="D661" s="1235"/>
      <c r="E661" s="267"/>
      <c r="F661" s="267"/>
      <c r="G661" s="267"/>
      <c r="H661" s="267"/>
      <c r="I661" s="267"/>
      <c r="J661" s="267"/>
      <c r="K661" s="267"/>
      <c r="L661" s="267"/>
      <c r="M661" s="267"/>
      <c r="N661" s="267"/>
      <c r="O661" s="267"/>
      <c r="P661" s="267"/>
      <c r="Q661" s="267"/>
      <c r="R661" s="267"/>
      <c r="S661" s="267"/>
      <c r="T661" s="267"/>
      <c r="U661" s="267"/>
      <c r="V661" s="267"/>
      <c r="W661" s="267"/>
      <c r="X661" s="267"/>
      <c r="Y661" s="267"/>
      <c r="Z661" s="267"/>
      <c r="AA661" s="267"/>
      <c r="AB661" s="267"/>
      <c r="AC661" s="267"/>
      <c r="AD661" s="267"/>
      <c r="AE661" s="267"/>
      <c r="AF661" s="267"/>
      <c r="AG661" s="267"/>
      <c r="AH661" s="267"/>
      <c r="AI661" s="267"/>
      <c r="AJ661" s="267"/>
      <c r="AK661" s="267"/>
      <c r="AL661" s="267"/>
      <c r="AM661" s="267"/>
      <c r="AN661" s="267"/>
      <c r="AO661" s="267"/>
      <c r="AP661" s="267"/>
      <c r="AQ661" s="267"/>
      <c r="AR661" s="267"/>
      <c r="AS661" s="267"/>
      <c r="AT661" s="267"/>
      <c r="AU661" s="267"/>
      <c r="AV661" s="267"/>
      <c r="AW661" s="267"/>
      <c r="AX661" s="267"/>
      <c r="AY661" s="267"/>
      <c r="AZ661" s="267"/>
      <c r="BA661" s="267"/>
      <c r="BB661" s="267"/>
      <c r="BC661" s="267"/>
      <c r="BD661" s="267"/>
      <c r="BE661" s="267"/>
      <c r="BF661" s="267"/>
      <c r="BG661" s="267"/>
      <c r="BH661" s="267"/>
      <c r="BI661" s="267"/>
      <c r="BJ661" s="267"/>
      <c r="BK661" s="267"/>
      <c r="BL661" s="267"/>
      <c r="BM661" s="267"/>
      <c r="BN661" s="267"/>
      <c r="BO661" s="267"/>
      <c r="BP661" s="267"/>
      <c r="BQ661" s="267"/>
      <c r="BR661" s="267"/>
      <c r="BS661" s="267"/>
      <c r="BT661" s="267"/>
      <c r="BU661" s="267"/>
      <c r="BV661" s="267"/>
      <c r="BW661" s="267"/>
      <c r="BX661" s="267"/>
      <c r="BY661" s="267"/>
      <c r="BZ661" s="267"/>
      <c r="CA661" s="267"/>
      <c r="CB661" s="267"/>
      <c r="CC661" s="267"/>
      <c r="CD661" s="267"/>
      <c r="CE661" s="267"/>
      <c r="CF661" s="267"/>
      <c r="CG661" s="267"/>
      <c r="CH661" s="267"/>
      <c r="CI661" s="267"/>
      <c r="CJ661" s="267"/>
      <c r="CK661" s="267"/>
      <c r="CL661" s="267"/>
      <c r="CM661" s="267"/>
      <c r="CN661" s="267"/>
      <c r="CO661" s="267"/>
      <c r="CP661" s="267"/>
      <c r="CQ661" s="267"/>
      <c r="CR661" s="267"/>
      <c r="CS661" s="267"/>
      <c r="CT661" s="267"/>
      <c r="CU661" s="267"/>
      <c r="CV661" s="267"/>
      <c r="CW661" s="267"/>
      <c r="CX661" s="267"/>
      <c r="CY661" s="267"/>
      <c r="CZ661" s="267"/>
    </row>
    <row r="662" spans="2:104">
      <c r="B662" s="1235"/>
      <c r="C662" s="1235"/>
      <c r="D662" s="1235"/>
      <c r="E662" s="267"/>
      <c r="F662" s="267"/>
      <c r="G662" s="267"/>
      <c r="H662" s="267"/>
      <c r="I662" s="267"/>
      <c r="J662" s="267"/>
      <c r="K662" s="267"/>
      <c r="L662" s="267"/>
      <c r="M662" s="267"/>
      <c r="N662" s="267"/>
      <c r="O662" s="267"/>
      <c r="P662" s="267"/>
      <c r="Q662" s="267"/>
      <c r="R662" s="267"/>
      <c r="S662" s="267"/>
      <c r="T662" s="267"/>
      <c r="U662" s="267"/>
      <c r="V662" s="267"/>
      <c r="W662" s="267"/>
      <c r="X662" s="267"/>
      <c r="Y662" s="267"/>
      <c r="Z662" s="267"/>
      <c r="AA662" s="267"/>
      <c r="AB662" s="267"/>
      <c r="AC662" s="267"/>
      <c r="AD662" s="267"/>
      <c r="AE662" s="267"/>
      <c r="AF662" s="267"/>
      <c r="AG662" s="267"/>
      <c r="AH662" s="267"/>
      <c r="AI662" s="267"/>
      <c r="AJ662" s="267"/>
      <c r="AK662" s="267"/>
      <c r="AL662" s="267"/>
      <c r="AM662" s="267"/>
      <c r="AN662" s="267"/>
      <c r="AO662" s="267"/>
      <c r="AP662" s="267"/>
      <c r="AQ662" s="267"/>
      <c r="AR662" s="267"/>
      <c r="AS662" s="267"/>
      <c r="AT662" s="267"/>
      <c r="AU662" s="267"/>
      <c r="AV662" s="267"/>
      <c r="AW662" s="267"/>
      <c r="AX662" s="267"/>
      <c r="AY662" s="267"/>
      <c r="AZ662" s="267"/>
      <c r="BA662" s="267"/>
      <c r="BB662" s="267"/>
      <c r="BC662" s="267"/>
      <c r="BD662" s="267"/>
      <c r="BE662" s="267"/>
      <c r="BF662" s="267"/>
      <c r="BG662" s="267"/>
      <c r="BH662" s="267"/>
      <c r="BI662" s="267"/>
      <c r="BJ662" s="267"/>
      <c r="BK662" s="267"/>
      <c r="BL662" s="267"/>
      <c r="BM662" s="267"/>
      <c r="BN662" s="267"/>
      <c r="BO662" s="267"/>
      <c r="BP662" s="267"/>
      <c r="BQ662" s="267"/>
      <c r="BR662" s="267"/>
      <c r="BS662" s="267"/>
      <c r="BT662" s="267"/>
      <c r="BU662" s="267"/>
      <c r="BV662" s="267"/>
      <c r="BW662" s="267"/>
      <c r="BX662" s="267"/>
      <c r="BY662" s="267"/>
      <c r="BZ662" s="267"/>
      <c r="CA662" s="267"/>
      <c r="CB662" s="267"/>
      <c r="CC662" s="267"/>
      <c r="CD662" s="267"/>
      <c r="CE662" s="267"/>
      <c r="CF662" s="267"/>
      <c r="CG662" s="267"/>
      <c r="CH662" s="267"/>
      <c r="CI662" s="267"/>
      <c r="CJ662" s="267"/>
      <c r="CK662" s="267"/>
      <c r="CL662" s="267"/>
      <c r="CM662" s="267"/>
      <c r="CN662" s="267"/>
      <c r="CO662" s="267"/>
      <c r="CP662" s="267"/>
      <c r="CQ662" s="267"/>
      <c r="CR662" s="267"/>
      <c r="CS662" s="267"/>
      <c r="CT662" s="267"/>
      <c r="CU662" s="267"/>
      <c r="CV662" s="267"/>
      <c r="CW662" s="267"/>
      <c r="CX662" s="267"/>
      <c r="CY662" s="267"/>
      <c r="CZ662" s="267"/>
    </row>
    <row r="663" spans="2:104">
      <c r="B663" s="1235"/>
      <c r="C663" s="1235"/>
      <c r="D663" s="1235"/>
      <c r="E663" s="267"/>
      <c r="F663" s="267"/>
      <c r="G663" s="267"/>
      <c r="H663" s="267"/>
      <c r="I663" s="267"/>
      <c r="J663" s="267"/>
      <c r="K663" s="267"/>
      <c r="L663" s="267"/>
      <c r="M663" s="267"/>
      <c r="N663" s="267"/>
      <c r="O663" s="267"/>
      <c r="P663" s="267"/>
      <c r="Q663" s="267"/>
      <c r="R663" s="267"/>
      <c r="S663" s="267"/>
      <c r="T663" s="267"/>
      <c r="U663" s="267"/>
      <c r="V663" s="267"/>
      <c r="W663" s="267"/>
      <c r="X663" s="267"/>
      <c r="Y663" s="267"/>
      <c r="Z663" s="267"/>
      <c r="AA663" s="267"/>
      <c r="AB663" s="267"/>
      <c r="AC663" s="267"/>
      <c r="AD663" s="267"/>
      <c r="AE663" s="267"/>
      <c r="AF663" s="267"/>
      <c r="AG663" s="267"/>
      <c r="AH663" s="267"/>
      <c r="AI663" s="267"/>
      <c r="AJ663" s="267"/>
      <c r="AK663" s="267"/>
      <c r="AL663" s="267"/>
      <c r="AM663" s="267"/>
      <c r="AN663" s="267"/>
      <c r="AO663" s="267"/>
      <c r="AP663" s="267"/>
      <c r="AQ663" s="267"/>
      <c r="AR663" s="267"/>
      <c r="AS663" s="267"/>
      <c r="AT663" s="267"/>
      <c r="AU663" s="267"/>
      <c r="AV663" s="267"/>
      <c r="AW663" s="267"/>
      <c r="AX663" s="267"/>
      <c r="AY663" s="267"/>
      <c r="AZ663" s="267"/>
      <c r="BA663" s="267"/>
      <c r="BB663" s="267"/>
      <c r="BC663" s="267"/>
      <c r="BD663" s="267"/>
      <c r="BE663" s="267"/>
      <c r="BF663" s="267"/>
      <c r="BG663" s="267"/>
      <c r="BH663" s="267"/>
      <c r="BI663" s="267"/>
      <c r="BJ663" s="267"/>
      <c r="BK663" s="267"/>
      <c r="BL663" s="267"/>
      <c r="BM663" s="267"/>
      <c r="BN663" s="267"/>
      <c r="BO663" s="267"/>
      <c r="BP663" s="267"/>
      <c r="BQ663" s="267"/>
      <c r="BR663" s="267"/>
      <c r="BS663" s="267"/>
      <c r="BT663" s="267"/>
      <c r="BU663" s="267"/>
      <c r="BV663" s="267"/>
      <c r="BW663" s="267"/>
      <c r="BX663" s="267"/>
      <c r="BY663" s="267"/>
      <c r="BZ663" s="267"/>
      <c r="CA663" s="267"/>
      <c r="CB663" s="267"/>
      <c r="CC663" s="267"/>
      <c r="CD663" s="267"/>
      <c r="CE663" s="267"/>
      <c r="CF663" s="267"/>
      <c r="CG663" s="267"/>
      <c r="CH663" s="267"/>
      <c r="CI663" s="267"/>
      <c r="CJ663" s="267"/>
      <c r="CK663" s="267"/>
      <c r="CL663" s="267"/>
      <c r="CM663" s="267"/>
      <c r="CN663" s="267"/>
      <c r="CO663" s="267"/>
      <c r="CP663" s="267"/>
      <c r="CQ663" s="267"/>
      <c r="CR663" s="267"/>
      <c r="CS663" s="267"/>
      <c r="CT663" s="267"/>
      <c r="CU663" s="267"/>
      <c r="CV663" s="267"/>
      <c r="CW663" s="267"/>
      <c r="CX663" s="267"/>
      <c r="CY663" s="267"/>
      <c r="CZ663" s="267"/>
    </row>
    <row r="664" spans="2:104">
      <c r="B664" s="1235"/>
      <c r="C664" s="1235"/>
      <c r="D664" s="1235"/>
      <c r="E664" s="267"/>
      <c r="F664" s="267"/>
      <c r="G664" s="267"/>
      <c r="H664" s="267"/>
      <c r="I664" s="267"/>
      <c r="J664" s="267"/>
      <c r="K664" s="267"/>
      <c r="L664" s="267"/>
      <c r="M664" s="267"/>
      <c r="N664" s="267"/>
      <c r="O664" s="267"/>
      <c r="P664" s="267"/>
      <c r="Q664" s="267"/>
      <c r="R664" s="267"/>
      <c r="S664" s="267"/>
      <c r="T664" s="267"/>
      <c r="U664" s="267"/>
      <c r="V664" s="267"/>
      <c r="W664" s="267"/>
      <c r="X664" s="267"/>
      <c r="Y664" s="267"/>
      <c r="Z664" s="267"/>
      <c r="AA664" s="267"/>
      <c r="AB664" s="267"/>
      <c r="AC664" s="267"/>
      <c r="AD664" s="267"/>
      <c r="AE664" s="267"/>
      <c r="AF664" s="267"/>
      <c r="AG664" s="267"/>
      <c r="AH664" s="267"/>
      <c r="AI664" s="267"/>
      <c r="AJ664" s="267"/>
      <c r="AK664" s="267"/>
      <c r="AL664" s="267"/>
      <c r="AM664" s="267"/>
      <c r="AN664" s="267"/>
      <c r="AO664" s="267"/>
      <c r="AP664" s="267"/>
      <c r="AQ664" s="267"/>
      <c r="AR664" s="267"/>
      <c r="AS664" s="267"/>
      <c r="AT664" s="267"/>
      <c r="AU664" s="267"/>
      <c r="AV664" s="267"/>
      <c r="AW664" s="267"/>
      <c r="AX664" s="267"/>
      <c r="AY664" s="267"/>
      <c r="AZ664" s="267"/>
      <c r="BA664" s="267"/>
      <c r="BB664" s="267"/>
      <c r="BC664" s="267"/>
      <c r="BD664" s="267"/>
      <c r="BE664" s="267"/>
      <c r="BF664" s="267"/>
      <c r="BG664" s="267"/>
      <c r="BH664" s="267"/>
      <c r="BI664" s="267"/>
      <c r="BJ664" s="267"/>
      <c r="BK664" s="267"/>
      <c r="BL664" s="267"/>
      <c r="BM664" s="267"/>
      <c r="BN664" s="267"/>
      <c r="BO664" s="267"/>
      <c r="BP664" s="267"/>
      <c r="BQ664" s="267"/>
      <c r="BR664" s="267"/>
      <c r="BS664" s="267"/>
      <c r="BT664" s="267"/>
      <c r="BU664" s="267"/>
      <c r="BV664" s="267"/>
      <c r="BW664" s="267"/>
      <c r="BX664" s="267"/>
      <c r="BY664" s="267"/>
      <c r="BZ664" s="267"/>
      <c r="CA664" s="267"/>
      <c r="CB664" s="267"/>
      <c r="CC664" s="267"/>
      <c r="CD664" s="267"/>
      <c r="CE664" s="267"/>
      <c r="CF664" s="267"/>
      <c r="CG664" s="267"/>
      <c r="CH664" s="267"/>
      <c r="CI664" s="267"/>
      <c r="CJ664" s="267"/>
      <c r="CK664" s="267"/>
      <c r="CL664" s="267"/>
      <c r="CM664" s="267"/>
      <c r="CN664" s="267"/>
      <c r="CO664" s="267"/>
      <c r="CP664" s="267"/>
      <c r="CQ664" s="267"/>
      <c r="CR664" s="267"/>
      <c r="CS664" s="267"/>
      <c r="CT664" s="267"/>
      <c r="CU664" s="267"/>
      <c r="CV664" s="267"/>
      <c r="CW664" s="267"/>
      <c r="CX664" s="267"/>
      <c r="CY664" s="267"/>
      <c r="CZ664" s="267"/>
    </row>
    <row r="665" spans="2:104">
      <c r="B665" s="1235"/>
      <c r="C665" s="1235"/>
      <c r="D665" s="1235"/>
      <c r="E665" s="267"/>
      <c r="F665" s="267"/>
      <c r="G665" s="267"/>
      <c r="H665" s="267"/>
      <c r="I665" s="267"/>
      <c r="J665" s="267"/>
      <c r="K665" s="267"/>
      <c r="L665" s="267"/>
      <c r="M665" s="267"/>
      <c r="N665" s="267"/>
      <c r="O665" s="267"/>
      <c r="P665" s="267"/>
      <c r="Q665" s="267"/>
      <c r="R665" s="267"/>
      <c r="S665" s="267"/>
      <c r="T665" s="267"/>
      <c r="U665" s="267"/>
      <c r="V665" s="267"/>
      <c r="W665" s="267"/>
      <c r="X665" s="267"/>
      <c r="Y665" s="267"/>
      <c r="Z665" s="267"/>
      <c r="AA665" s="267"/>
      <c r="AB665" s="267"/>
      <c r="AC665" s="267"/>
      <c r="AD665" s="267"/>
      <c r="AE665" s="267"/>
      <c r="AF665" s="267"/>
      <c r="AG665" s="267"/>
      <c r="AH665" s="267"/>
      <c r="AI665" s="267"/>
      <c r="AJ665" s="267"/>
      <c r="AK665" s="267"/>
      <c r="AL665" s="267"/>
      <c r="AM665" s="267"/>
      <c r="AN665" s="267"/>
      <c r="AO665" s="267"/>
      <c r="AP665" s="267"/>
      <c r="AQ665" s="267"/>
      <c r="AR665" s="267"/>
      <c r="AS665" s="267"/>
      <c r="AT665" s="267"/>
      <c r="AU665" s="267"/>
      <c r="AV665" s="267"/>
      <c r="AW665" s="267"/>
      <c r="AX665" s="267"/>
      <c r="AY665" s="267"/>
      <c r="AZ665" s="267"/>
      <c r="BA665" s="267"/>
      <c r="BB665" s="267"/>
      <c r="BC665" s="267"/>
      <c r="BD665" s="267"/>
      <c r="BE665" s="267"/>
      <c r="BF665" s="267"/>
      <c r="BG665" s="267"/>
      <c r="BH665" s="267"/>
      <c r="BI665" s="267"/>
      <c r="BJ665" s="267"/>
      <c r="BK665" s="267"/>
      <c r="BL665" s="267"/>
      <c r="BM665" s="267"/>
      <c r="BN665" s="267"/>
      <c r="BO665" s="267"/>
      <c r="BP665" s="267"/>
      <c r="BQ665" s="267"/>
      <c r="BR665" s="267"/>
      <c r="BS665" s="267"/>
      <c r="BT665" s="267"/>
      <c r="BU665" s="267"/>
      <c r="BV665" s="267"/>
      <c r="BW665" s="267"/>
      <c r="BX665" s="267"/>
      <c r="BY665" s="267"/>
      <c r="BZ665" s="267"/>
      <c r="CA665" s="267"/>
      <c r="CB665" s="267"/>
      <c r="CC665" s="267"/>
      <c r="CD665" s="267"/>
      <c r="CE665" s="267"/>
      <c r="CF665" s="267"/>
      <c r="CG665" s="267"/>
      <c r="CH665" s="267"/>
      <c r="CI665" s="267"/>
      <c r="CJ665" s="267"/>
      <c r="CK665" s="267"/>
      <c r="CL665" s="267"/>
      <c r="CM665" s="267"/>
      <c r="CN665" s="267"/>
      <c r="CO665" s="267"/>
      <c r="CP665" s="267"/>
      <c r="CQ665" s="267"/>
      <c r="CR665" s="267"/>
      <c r="CS665" s="267"/>
      <c r="CT665" s="267"/>
      <c r="CU665" s="267"/>
      <c r="CV665" s="267"/>
      <c r="CW665" s="267"/>
      <c r="CX665" s="267"/>
      <c r="CY665" s="267"/>
      <c r="CZ665" s="267"/>
    </row>
    <row r="666" spans="2:104">
      <c r="B666" s="1235"/>
      <c r="C666" s="1235"/>
      <c r="D666" s="1235"/>
      <c r="E666" s="267"/>
      <c r="F666" s="267"/>
      <c r="G666" s="267"/>
      <c r="H666" s="267"/>
      <c r="I666" s="267"/>
      <c r="J666" s="267"/>
      <c r="K666" s="267"/>
      <c r="L666" s="267"/>
      <c r="M666" s="267"/>
      <c r="N666" s="267"/>
      <c r="O666" s="267"/>
      <c r="P666" s="267"/>
      <c r="Q666" s="267"/>
      <c r="R666" s="267"/>
      <c r="S666" s="267"/>
      <c r="T666" s="267"/>
      <c r="U666" s="267"/>
      <c r="V666" s="267"/>
      <c r="W666" s="267"/>
      <c r="X666" s="267"/>
      <c r="Y666" s="267"/>
      <c r="Z666" s="267"/>
      <c r="AA666" s="267"/>
      <c r="AB666" s="267"/>
      <c r="AC666" s="267"/>
      <c r="AD666" s="267"/>
      <c r="AE666" s="267"/>
      <c r="AF666" s="267"/>
      <c r="AG666" s="267"/>
      <c r="AH666" s="267"/>
      <c r="AI666" s="267"/>
      <c r="AJ666" s="267"/>
      <c r="AK666" s="267"/>
      <c r="AL666" s="267"/>
      <c r="AM666" s="267"/>
      <c r="AN666" s="267"/>
      <c r="AO666" s="267"/>
      <c r="AP666" s="267"/>
      <c r="AQ666" s="267"/>
      <c r="AR666" s="267"/>
      <c r="AS666" s="267"/>
      <c r="AT666" s="267"/>
      <c r="AU666" s="267"/>
      <c r="AV666" s="267"/>
      <c r="AW666" s="267"/>
      <c r="AX666" s="267"/>
      <c r="AY666" s="267"/>
      <c r="AZ666" s="267"/>
      <c r="BA666" s="267"/>
      <c r="BB666" s="267"/>
      <c r="BC666" s="267"/>
      <c r="BD666" s="267"/>
      <c r="BE666" s="267"/>
      <c r="BF666" s="267"/>
      <c r="BG666" s="267"/>
      <c r="BH666" s="267"/>
      <c r="BI666" s="267"/>
      <c r="BJ666" s="267"/>
      <c r="BK666" s="267"/>
      <c r="BL666" s="267"/>
      <c r="BM666" s="267"/>
      <c r="BN666" s="267"/>
      <c r="BO666" s="267"/>
      <c r="BP666" s="267"/>
      <c r="BQ666" s="267"/>
      <c r="BR666" s="267"/>
      <c r="BS666" s="267"/>
      <c r="BT666" s="267"/>
      <c r="BU666" s="267"/>
      <c r="BV666" s="267"/>
      <c r="BW666" s="267"/>
      <c r="BX666" s="267"/>
      <c r="BY666" s="267"/>
      <c r="BZ666" s="267"/>
      <c r="CA666" s="267"/>
      <c r="CB666" s="267"/>
      <c r="CC666" s="267"/>
      <c r="CD666" s="267"/>
      <c r="CE666" s="267"/>
      <c r="CF666" s="267"/>
      <c r="CG666" s="267"/>
      <c r="CH666" s="267"/>
      <c r="CI666" s="267"/>
      <c r="CJ666" s="267"/>
      <c r="CK666" s="267"/>
      <c r="CL666" s="267"/>
      <c r="CM666" s="267"/>
      <c r="CN666" s="267"/>
      <c r="CO666" s="267"/>
      <c r="CP666" s="267"/>
      <c r="CQ666" s="267"/>
      <c r="CR666" s="267"/>
      <c r="CS666" s="267"/>
      <c r="CT666" s="267"/>
      <c r="CU666" s="267"/>
      <c r="CV666" s="267"/>
      <c r="CW666" s="267"/>
      <c r="CX666" s="267"/>
      <c r="CY666" s="267"/>
      <c r="CZ666" s="267"/>
    </row>
    <row r="667" spans="2:104">
      <c r="B667" s="1235"/>
      <c r="C667" s="1235"/>
      <c r="D667" s="1235"/>
      <c r="E667" s="267"/>
      <c r="F667" s="267"/>
      <c r="G667" s="267"/>
      <c r="H667" s="267"/>
      <c r="I667" s="267"/>
      <c r="J667" s="267"/>
      <c r="K667" s="267"/>
      <c r="L667" s="267"/>
      <c r="M667" s="267"/>
      <c r="N667" s="267"/>
      <c r="O667" s="267"/>
      <c r="P667" s="267"/>
      <c r="Q667" s="267"/>
      <c r="R667" s="267"/>
      <c r="S667" s="267"/>
      <c r="T667" s="267"/>
      <c r="U667" s="267"/>
      <c r="V667" s="267"/>
      <c r="W667" s="267"/>
      <c r="X667" s="267"/>
      <c r="Y667" s="267"/>
      <c r="Z667" s="267"/>
      <c r="AA667" s="267"/>
      <c r="AB667" s="267"/>
      <c r="AC667" s="267"/>
      <c r="AD667" s="267"/>
      <c r="AE667" s="267"/>
      <c r="AF667" s="267"/>
      <c r="AG667" s="267"/>
      <c r="AH667" s="267"/>
      <c r="AI667" s="267"/>
      <c r="AJ667" s="267"/>
      <c r="AK667" s="267"/>
      <c r="AL667" s="267"/>
      <c r="AM667" s="267"/>
      <c r="AN667" s="267"/>
      <c r="AO667" s="267"/>
      <c r="AP667" s="267"/>
      <c r="AQ667" s="267"/>
      <c r="AR667" s="267"/>
      <c r="AS667" s="267"/>
      <c r="AT667" s="267"/>
      <c r="AU667" s="267"/>
      <c r="AV667" s="267"/>
      <c r="AW667" s="267"/>
      <c r="AX667" s="267"/>
      <c r="AY667" s="267"/>
      <c r="AZ667" s="267"/>
      <c r="BA667" s="267"/>
      <c r="BB667" s="267"/>
      <c r="BC667" s="267"/>
      <c r="BD667" s="267"/>
      <c r="BE667" s="267"/>
      <c r="BF667" s="267"/>
      <c r="BG667" s="267"/>
      <c r="BH667" s="267"/>
      <c r="BI667" s="267"/>
      <c r="BJ667" s="267"/>
      <c r="BK667" s="267"/>
      <c r="BL667" s="267"/>
      <c r="BM667" s="267"/>
      <c r="BN667" s="267"/>
      <c r="BO667" s="267"/>
      <c r="BP667" s="267"/>
      <c r="BQ667" s="267"/>
      <c r="BR667" s="267"/>
      <c r="BS667" s="267"/>
      <c r="BT667" s="267"/>
      <c r="BU667" s="267"/>
      <c r="BV667" s="267"/>
      <c r="BW667" s="267"/>
      <c r="BX667" s="267"/>
      <c r="BY667" s="267"/>
      <c r="BZ667" s="267"/>
      <c r="CA667" s="267"/>
      <c r="CB667" s="267"/>
      <c r="CC667" s="267"/>
      <c r="CD667" s="267"/>
      <c r="CE667" s="267"/>
      <c r="CF667" s="267"/>
      <c r="CG667" s="267"/>
      <c r="CH667" s="267"/>
      <c r="CI667" s="267"/>
      <c r="CJ667" s="267"/>
      <c r="CK667" s="267"/>
      <c r="CL667" s="267"/>
      <c r="CM667" s="267"/>
      <c r="CN667" s="267"/>
      <c r="CO667" s="267"/>
      <c r="CP667" s="267"/>
      <c r="CQ667" s="267"/>
      <c r="CR667" s="267"/>
      <c r="CS667" s="267"/>
      <c r="CT667" s="267"/>
      <c r="CU667" s="267"/>
      <c r="CV667" s="267"/>
      <c r="CW667" s="267"/>
      <c r="CX667" s="267"/>
      <c r="CY667" s="267"/>
      <c r="CZ667" s="267"/>
    </row>
    <row r="668" spans="2:104">
      <c r="B668" s="1235"/>
      <c r="C668" s="1235"/>
      <c r="D668" s="1235"/>
      <c r="E668" s="267"/>
      <c r="F668" s="267"/>
      <c r="G668" s="267"/>
      <c r="H668" s="267"/>
      <c r="I668" s="267"/>
      <c r="J668" s="267"/>
      <c r="K668" s="267"/>
      <c r="L668" s="267"/>
      <c r="M668" s="267"/>
      <c r="N668" s="267"/>
      <c r="O668" s="267"/>
      <c r="P668" s="267"/>
      <c r="Q668" s="267"/>
      <c r="R668" s="267"/>
      <c r="S668" s="267"/>
      <c r="T668" s="267"/>
      <c r="U668" s="267"/>
      <c r="V668" s="267"/>
      <c r="W668" s="267"/>
      <c r="X668" s="267"/>
      <c r="Y668" s="267"/>
      <c r="Z668" s="267"/>
      <c r="AA668" s="267"/>
      <c r="AB668" s="267"/>
      <c r="AC668" s="267"/>
      <c r="AD668" s="267"/>
      <c r="AE668" s="267"/>
      <c r="AF668" s="267"/>
      <c r="AG668" s="267"/>
      <c r="AH668" s="267"/>
      <c r="AI668" s="267"/>
      <c r="AJ668" s="267"/>
      <c r="AK668" s="267"/>
      <c r="AL668" s="267"/>
      <c r="AM668" s="267"/>
      <c r="AN668" s="267"/>
      <c r="AO668" s="267"/>
      <c r="AP668" s="267"/>
      <c r="AQ668" s="267"/>
      <c r="AR668" s="267"/>
      <c r="AS668" s="267"/>
      <c r="AT668" s="267"/>
      <c r="AU668" s="267"/>
      <c r="AV668" s="267"/>
      <c r="AW668" s="267"/>
      <c r="AX668" s="267"/>
      <c r="AY668" s="267"/>
      <c r="AZ668" s="267"/>
      <c r="BA668" s="267"/>
      <c r="BB668" s="267"/>
      <c r="BC668" s="267"/>
      <c r="BD668" s="267"/>
      <c r="BE668" s="267"/>
      <c r="BF668" s="267"/>
      <c r="BG668" s="267"/>
      <c r="BH668" s="267"/>
      <c r="BI668" s="267"/>
      <c r="BJ668" s="267"/>
      <c r="BK668" s="267"/>
      <c r="BL668" s="267"/>
      <c r="BM668" s="267"/>
      <c r="BN668" s="267"/>
      <c r="BO668" s="267"/>
      <c r="BP668" s="267"/>
      <c r="BQ668" s="267"/>
      <c r="BR668" s="267"/>
      <c r="BS668" s="267"/>
      <c r="BT668" s="267"/>
      <c r="BU668" s="267"/>
      <c r="BV668" s="267"/>
      <c r="BW668" s="267"/>
      <c r="BX668" s="267"/>
      <c r="BY668" s="267"/>
      <c r="BZ668" s="267"/>
      <c r="CA668" s="267"/>
      <c r="CB668" s="267"/>
      <c r="CC668" s="267"/>
      <c r="CD668" s="267"/>
      <c r="CE668" s="267"/>
      <c r="CF668" s="267"/>
      <c r="CG668" s="267"/>
      <c r="CH668" s="267"/>
      <c r="CI668" s="267"/>
      <c r="CJ668" s="267"/>
      <c r="CK668" s="267"/>
      <c r="CL668" s="267"/>
      <c r="CM668" s="267"/>
      <c r="CN668" s="267"/>
      <c r="CO668" s="267"/>
      <c r="CP668" s="267"/>
      <c r="CQ668" s="267"/>
      <c r="CR668" s="267"/>
      <c r="CS668" s="267"/>
      <c r="CT668" s="267"/>
      <c r="CU668" s="267"/>
      <c r="CV668" s="267"/>
      <c r="CW668" s="267"/>
      <c r="CX668" s="267"/>
      <c r="CY668" s="267"/>
      <c r="CZ668" s="267"/>
    </row>
    <row r="669" spans="2:104">
      <c r="B669" s="1235"/>
      <c r="C669" s="1235"/>
      <c r="D669" s="1235"/>
      <c r="E669" s="267"/>
      <c r="F669" s="267"/>
      <c r="G669" s="267"/>
      <c r="H669" s="267"/>
      <c r="I669" s="267"/>
      <c r="J669" s="267"/>
      <c r="K669" s="267"/>
      <c r="L669" s="267"/>
      <c r="M669" s="267"/>
      <c r="N669" s="267"/>
      <c r="O669" s="267"/>
      <c r="P669" s="267"/>
      <c r="Q669" s="267"/>
      <c r="R669" s="267"/>
      <c r="S669" s="267"/>
      <c r="T669" s="267"/>
      <c r="U669" s="267"/>
      <c r="V669" s="267"/>
      <c r="W669" s="267"/>
      <c r="X669" s="267"/>
      <c r="Y669" s="267"/>
      <c r="Z669" s="267"/>
      <c r="AA669" s="267"/>
      <c r="AB669" s="267"/>
      <c r="AC669" s="267"/>
      <c r="AD669" s="267"/>
      <c r="AE669" s="267"/>
      <c r="AF669" s="267"/>
      <c r="AG669" s="267"/>
      <c r="AH669" s="267"/>
      <c r="AI669" s="267"/>
      <c r="AJ669" s="267"/>
      <c r="AK669" s="267"/>
      <c r="AL669" s="267"/>
      <c r="AM669" s="267"/>
      <c r="AN669" s="267"/>
      <c r="AO669" s="267"/>
      <c r="AP669" s="267"/>
      <c r="AQ669" s="267"/>
      <c r="AR669" s="267"/>
      <c r="AS669" s="267"/>
      <c r="AT669" s="267"/>
      <c r="AU669" s="267"/>
      <c r="AV669" s="267"/>
      <c r="AW669" s="267"/>
      <c r="AX669" s="267"/>
      <c r="AY669" s="267"/>
      <c r="AZ669" s="267"/>
      <c r="BA669" s="267"/>
      <c r="BB669" s="267"/>
      <c r="BC669" s="267"/>
      <c r="BD669" s="267"/>
      <c r="BE669" s="267"/>
      <c r="BF669" s="267"/>
      <c r="BG669" s="267"/>
      <c r="BH669" s="267"/>
      <c r="BI669" s="267"/>
      <c r="BJ669" s="267"/>
      <c r="BK669" s="267"/>
      <c r="BL669" s="267"/>
      <c r="BM669" s="267"/>
      <c r="BN669" s="267"/>
      <c r="BO669" s="267"/>
      <c r="BP669" s="267"/>
      <c r="BQ669" s="267"/>
      <c r="BR669" s="267"/>
      <c r="BS669" s="267"/>
      <c r="BT669" s="267"/>
      <c r="BU669" s="267"/>
      <c r="BV669" s="267"/>
      <c r="BW669" s="267"/>
      <c r="BX669" s="267"/>
      <c r="BY669" s="267"/>
      <c r="BZ669" s="267"/>
      <c r="CA669" s="267"/>
      <c r="CB669" s="267"/>
      <c r="CC669" s="267"/>
      <c r="CD669" s="267"/>
      <c r="CE669" s="267"/>
      <c r="CF669" s="267"/>
      <c r="CG669" s="267"/>
      <c r="CH669" s="267"/>
      <c r="CI669" s="267"/>
      <c r="CJ669" s="267"/>
      <c r="CK669" s="267"/>
      <c r="CL669" s="267"/>
      <c r="CM669" s="267"/>
      <c r="CN669" s="267"/>
      <c r="CO669" s="267"/>
      <c r="CP669" s="267"/>
      <c r="CQ669" s="267"/>
      <c r="CR669" s="267"/>
      <c r="CS669" s="267"/>
      <c r="CT669" s="267"/>
      <c r="CU669" s="267"/>
      <c r="CV669" s="267"/>
      <c r="CW669" s="267"/>
      <c r="CX669" s="267"/>
      <c r="CY669" s="267"/>
      <c r="CZ669" s="267"/>
    </row>
    <row r="670" spans="2:104">
      <c r="B670" s="1235"/>
      <c r="C670" s="1235"/>
      <c r="D670" s="1235"/>
      <c r="E670" s="267"/>
      <c r="F670" s="267"/>
      <c r="G670" s="267"/>
      <c r="H670" s="267"/>
      <c r="I670" s="267"/>
      <c r="J670" s="267"/>
      <c r="K670" s="267"/>
      <c r="L670" s="267"/>
      <c r="M670" s="267"/>
      <c r="N670" s="267"/>
      <c r="O670" s="267"/>
      <c r="P670" s="267"/>
      <c r="Q670" s="267"/>
      <c r="R670" s="267"/>
      <c r="S670" s="267"/>
      <c r="T670" s="267"/>
      <c r="U670" s="267"/>
      <c r="V670" s="267"/>
      <c r="W670" s="267"/>
      <c r="X670" s="267"/>
      <c r="Y670" s="267"/>
      <c r="Z670" s="267"/>
      <c r="AA670" s="267"/>
      <c r="AB670" s="267"/>
      <c r="AC670" s="267"/>
      <c r="AD670" s="267"/>
      <c r="AE670" s="267"/>
      <c r="AF670" s="267"/>
      <c r="AG670" s="267"/>
      <c r="AH670" s="267"/>
      <c r="AI670" s="267"/>
      <c r="AJ670" s="267"/>
      <c r="AK670" s="267"/>
      <c r="AL670" s="267"/>
      <c r="AM670" s="267"/>
      <c r="AN670" s="267"/>
      <c r="AO670" s="267"/>
      <c r="AP670" s="267"/>
      <c r="AQ670" s="267"/>
      <c r="AR670" s="267"/>
      <c r="AS670" s="267"/>
      <c r="AT670" s="267"/>
      <c r="AU670" s="267"/>
      <c r="AV670" s="267"/>
      <c r="AW670" s="267"/>
      <c r="AX670" s="267"/>
      <c r="AY670" s="267"/>
      <c r="AZ670" s="267"/>
      <c r="BA670" s="267"/>
      <c r="BB670" s="267"/>
      <c r="BC670" s="267"/>
      <c r="BD670" s="267"/>
      <c r="BE670" s="267"/>
      <c r="BF670" s="267"/>
      <c r="BG670" s="267"/>
      <c r="BH670" s="267"/>
      <c r="BI670" s="267"/>
      <c r="BJ670" s="267"/>
      <c r="BK670" s="267"/>
      <c r="BL670" s="267"/>
      <c r="BM670" s="267"/>
      <c r="BN670" s="267"/>
      <c r="BO670" s="267"/>
      <c r="BP670" s="267"/>
      <c r="BQ670" s="267"/>
      <c r="BR670" s="267"/>
      <c r="BS670" s="267"/>
      <c r="BT670" s="267"/>
      <c r="BU670" s="267"/>
      <c r="BV670" s="267"/>
      <c r="BW670" s="267"/>
      <c r="BX670" s="267"/>
      <c r="BY670" s="267"/>
      <c r="BZ670" s="267"/>
      <c r="CA670" s="267"/>
      <c r="CB670" s="267"/>
      <c r="CC670" s="267"/>
      <c r="CD670" s="267"/>
      <c r="CE670" s="267"/>
      <c r="CF670" s="267"/>
      <c r="CG670" s="267"/>
      <c r="CH670" s="267"/>
      <c r="CI670" s="267"/>
      <c r="CJ670" s="267"/>
      <c r="CK670" s="267"/>
      <c r="CL670" s="267"/>
      <c r="CM670" s="267"/>
      <c r="CN670" s="267"/>
      <c r="CO670" s="267"/>
      <c r="CP670" s="267"/>
      <c r="CQ670" s="267"/>
      <c r="CR670" s="267"/>
      <c r="CS670" s="267"/>
      <c r="CT670" s="267"/>
      <c r="CU670" s="267"/>
      <c r="CV670" s="267"/>
      <c r="CW670" s="267"/>
      <c r="CX670" s="267"/>
      <c r="CY670" s="267"/>
      <c r="CZ670" s="267"/>
    </row>
    <row r="671" spans="2:104">
      <c r="B671" s="1235"/>
      <c r="C671" s="1235"/>
      <c r="D671" s="1235"/>
      <c r="E671" s="267"/>
      <c r="F671" s="267"/>
      <c r="G671" s="267"/>
      <c r="H671" s="267"/>
      <c r="I671" s="267"/>
      <c r="J671" s="267"/>
      <c r="K671" s="267"/>
      <c r="L671" s="267"/>
      <c r="M671" s="267"/>
      <c r="N671" s="267"/>
      <c r="O671" s="267"/>
      <c r="P671" s="267"/>
      <c r="Q671" s="267"/>
      <c r="R671" s="267"/>
      <c r="S671" s="267"/>
      <c r="T671" s="267"/>
      <c r="U671" s="267"/>
      <c r="V671" s="267"/>
      <c r="W671" s="267"/>
      <c r="X671" s="267"/>
      <c r="Y671" s="267"/>
      <c r="Z671" s="267"/>
      <c r="AA671" s="267"/>
      <c r="AB671" s="267"/>
      <c r="AC671" s="267"/>
      <c r="AD671" s="267"/>
      <c r="AE671" s="267"/>
      <c r="AF671" s="267"/>
      <c r="AG671" s="267"/>
      <c r="AH671" s="267"/>
      <c r="AI671" s="267"/>
      <c r="AJ671" s="267"/>
      <c r="AK671" s="267"/>
      <c r="AL671" s="267"/>
      <c r="AM671" s="267"/>
      <c r="AN671" s="267"/>
      <c r="AO671" s="267"/>
      <c r="AP671" s="267"/>
      <c r="AQ671" s="267"/>
      <c r="AR671" s="267"/>
      <c r="AS671" s="267"/>
      <c r="AT671" s="267"/>
      <c r="AU671" s="267"/>
      <c r="AV671" s="267"/>
      <c r="AW671" s="267"/>
      <c r="AX671" s="267"/>
      <c r="AY671" s="267"/>
      <c r="AZ671" s="267"/>
      <c r="BA671" s="267"/>
      <c r="BB671" s="267"/>
      <c r="BC671" s="267"/>
      <c r="BD671" s="267"/>
      <c r="BE671" s="267"/>
      <c r="BF671" s="267"/>
      <c r="BG671" s="267"/>
      <c r="BH671" s="267"/>
      <c r="BI671" s="267"/>
      <c r="BJ671" s="267"/>
      <c r="BK671" s="267"/>
      <c r="BL671" s="267"/>
      <c r="BM671" s="267"/>
      <c r="BN671" s="267"/>
      <c r="BO671" s="267"/>
      <c r="BP671" s="267"/>
      <c r="BQ671" s="267"/>
      <c r="BR671" s="267"/>
      <c r="BS671" s="267"/>
      <c r="BT671" s="267"/>
      <c r="BU671" s="267"/>
      <c r="BV671" s="267"/>
      <c r="BW671" s="267"/>
      <c r="BX671" s="267"/>
      <c r="BY671" s="267"/>
      <c r="BZ671" s="267"/>
      <c r="CA671" s="267"/>
      <c r="CB671" s="267"/>
      <c r="CC671" s="267"/>
      <c r="CD671" s="267"/>
      <c r="CE671" s="267"/>
      <c r="CF671" s="267"/>
      <c r="CG671" s="267"/>
      <c r="CH671" s="267"/>
      <c r="CI671" s="267"/>
      <c r="CJ671" s="267"/>
      <c r="CK671" s="267"/>
      <c r="CL671" s="267"/>
      <c r="CM671" s="267"/>
      <c r="CN671" s="267"/>
      <c r="CO671" s="267"/>
      <c r="CP671" s="267"/>
      <c r="CQ671" s="267"/>
      <c r="CR671" s="267"/>
      <c r="CS671" s="267"/>
      <c r="CT671" s="267"/>
      <c r="CU671" s="267"/>
      <c r="CV671" s="267"/>
      <c r="CW671" s="267"/>
      <c r="CX671" s="267"/>
      <c r="CY671" s="267"/>
      <c r="CZ671" s="267"/>
    </row>
    <row r="672" spans="2:104">
      <c r="B672" s="1235"/>
      <c r="C672" s="1235"/>
      <c r="D672" s="1235"/>
      <c r="E672" s="267"/>
      <c r="F672" s="267"/>
      <c r="G672" s="267"/>
      <c r="H672" s="267"/>
      <c r="I672" s="267"/>
      <c r="J672" s="267"/>
      <c r="K672" s="267"/>
      <c r="L672" s="267"/>
      <c r="M672" s="267"/>
      <c r="N672" s="267"/>
      <c r="O672" s="267"/>
      <c r="P672" s="267"/>
      <c r="Q672" s="267"/>
      <c r="R672" s="267"/>
      <c r="S672" s="267"/>
      <c r="T672" s="267"/>
      <c r="U672" s="267"/>
      <c r="V672" s="267"/>
      <c r="W672" s="267"/>
      <c r="X672" s="267"/>
      <c r="Y672" s="267"/>
      <c r="Z672" s="267"/>
      <c r="AA672" s="267"/>
      <c r="AB672" s="267"/>
      <c r="AC672" s="267"/>
      <c r="AD672" s="267"/>
      <c r="AE672" s="267"/>
      <c r="AF672" s="267"/>
      <c r="AG672" s="267"/>
      <c r="AH672" s="267"/>
      <c r="AI672" s="267"/>
      <c r="AJ672" s="267"/>
      <c r="AK672" s="267"/>
      <c r="AL672" s="267"/>
      <c r="AM672" s="267"/>
      <c r="AN672" s="267"/>
      <c r="AO672" s="267"/>
      <c r="AP672" s="267"/>
      <c r="AQ672" s="267"/>
      <c r="AR672" s="267"/>
      <c r="AS672" s="267"/>
      <c r="AT672" s="267"/>
      <c r="AU672" s="267"/>
      <c r="AV672" s="267"/>
      <c r="AW672" s="267"/>
      <c r="AX672" s="267"/>
      <c r="AY672" s="267"/>
      <c r="AZ672" s="267"/>
      <c r="BA672" s="267"/>
      <c r="BB672" s="267"/>
      <c r="BC672" s="267"/>
      <c r="BD672" s="267"/>
      <c r="BE672" s="267"/>
      <c r="BF672" s="267"/>
      <c r="BG672" s="267"/>
      <c r="BH672" s="267"/>
      <c r="BI672" s="267"/>
      <c r="BJ672" s="267"/>
      <c r="BK672" s="267"/>
      <c r="BL672" s="267"/>
      <c r="BM672" s="267"/>
      <c r="BN672" s="267"/>
      <c r="BO672" s="267"/>
      <c r="BP672" s="267"/>
      <c r="BQ672" s="267"/>
      <c r="BR672" s="267"/>
      <c r="BS672" s="267"/>
      <c r="BT672" s="267"/>
      <c r="BU672" s="267"/>
      <c r="BV672" s="267"/>
      <c r="BW672" s="267"/>
      <c r="BX672" s="267"/>
      <c r="BY672" s="267"/>
      <c r="BZ672" s="267"/>
      <c r="CA672" s="267"/>
      <c r="CB672" s="267"/>
      <c r="CC672" s="267"/>
      <c r="CD672" s="267"/>
      <c r="CE672" s="267"/>
      <c r="CF672" s="267"/>
      <c r="CG672" s="267"/>
      <c r="CH672" s="267"/>
      <c r="CI672" s="267"/>
      <c r="CJ672" s="267"/>
      <c r="CK672" s="267"/>
      <c r="CL672" s="267"/>
      <c r="CM672" s="267"/>
      <c r="CN672" s="267"/>
      <c r="CO672" s="267"/>
      <c r="CP672" s="267"/>
      <c r="CQ672" s="267"/>
      <c r="CR672" s="267"/>
      <c r="CS672" s="267"/>
      <c r="CT672" s="267"/>
      <c r="CU672" s="267"/>
      <c r="CV672" s="267"/>
      <c r="CW672" s="267"/>
      <c r="CX672" s="267"/>
      <c r="CY672" s="267"/>
      <c r="CZ672" s="267"/>
    </row>
    <row r="673" spans="2:104">
      <c r="B673" s="1235"/>
      <c r="C673" s="1235"/>
      <c r="D673" s="1235"/>
      <c r="E673" s="267"/>
      <c r="F673" s="267"/>
      <c r="G673" s="267"/>
      <c r="H673" s="267"/>
      <c r="I673" s="267"/>
      <c r="J673" s="267"/>
      <c r="K673" s="267"/>
      <c r="L673" s="267"/>
      <c r="M673" s="267"/>
      <c r="N673" s="267"/>
      <c r="O673" s="267"/>
      <c r="P673" s="267"/>
      <c r="Q673" s="267"/>
      <c r="R673" s="267"/>
      <c r="S673" s="267"/>
      <c r="T673" s="267"/>
      <c r="U673" s="267"/>
      <c r="V673" s="267"/>
      <c r="W673" s="267"/>
      <c r="X673" s="267"/>
      <c r="Y673" s="267"/>
      <c r="Z673" s="267"/>
      <c r="AA673" s="267"/>
      <c r="AB673" s="267"/>
      <c r="AC673" s="267"/>
      <c r="AD673" s="267"/>
      <c r="AE673" s="267"/>
      <c r="AF673" s="267"/>
      <c r="AG673" s="267"/>
      <c r="AH673" s="267"/>
      <c r="AI673" s="267"/>
      <c r="AJ673" s="267"/>
      <c r="AK673" s="267"/>
      <c r="AL673" s="267"/>
      <c r="AM673" s="267"/>
      <c r="AN673" s="267"/>
      <c r="AO673" s="267"/>
      <c r="AP673" s="267"/>
      <c r="AQ673" s="267"/>
      <c r="AR673" s="267"/>
      <c r="AS673" s="267"/>
      <c r="AT673" s="267"/>
      <c r="AU673" s="267"/>
      <c r="AV673" s="267"/>
      <c r="AW673" s="267"/>
      <c r="AX673" s="267"/>
      <c r="AY673" s="267"/>
      <c r="AZ673" s="267"/>
      <c r="BA673" s="267"/>
      <c r="BB673" s="267"/>
      <c r="BC673" s="267"/>
      <c r="BD673" s="267"/>
      <c r="BE673" s="267"/>
      <c r="BF673" s="267"/>
      <c r="BG673" s="267"/>
      <c r="BH673" s="267"/>
      <c r="BI673" s="267"/>
      <c r="BJ673" s="267"/>
      <c r="BK673" s="267"/>
      <c r="BL673" s="267"/>
      <c r="BM673" s="267"/>
      <c r="BN673" s="267"/>
      <c r="BO673" s="267"/>
      <c r="BP673" s="267"/>
      <c r="BQ673" s="267"/>
      <c r="BR673" s="267"/>
      <c r="BS673" s="267"/>
      <c r="BT673" s="267"/>
      <c r="BU673" s="267"/>
      <c r="BV673" s="267"/>
      <c r="BW673" s="267"/>
      <c r="BX673" s="267"/>
      <c r="BY673" s="267"/>
      <c r="BZ673" s="267"/>
      <c r="CA673" s="267"/>
      <c r="CB673" s="267"/>
      <c r="CC673" s="267"/>
      <c r="CD673" s="267"/>
      <c r="CE673" s="267"/>
      <c r="CF673" s="267"/>
      <c r="CG673" s="267"/>
      <c r="CH673" s="267"/>
      <c r="CI673" s="267"/>
      <c r="CJ673" s="267"/>
      <c r="CK673" s="267"/>
      <c r="CL673" s="267"/>
      <c r="CM673" s="267"/>
      <c r="CN673" s="267"/>
      <c r="CO673" s="267"/>
      <c r="CP673" s="267"/>
      <c r="CQ673" s="267"/>
      <c r="CR673" s="267"/>
      <c r="CS673" s="267"/>
      <c r="CT673" s="267"/>
      <c r="CU673" s="267"/>
      <c r="CV673" s="267"/>
      <c r="CW673" s="267"/>
      <c r="CX673" s="267"/>
      <c r="CY673" s="267"/>
      <c r="CZ673" s="267"/>
    </row>
    <row r="674" spans="2:104">
      <c r="B674" s="1235"/>
      <c r="C674" s="1235"/>
      <c r="D674" s="1235"/>
      <c r="E674" s="267"/>
      <c r="F674" s="267"/>
      <c r="G674" s="267"/>
      <c r="H674" s="267"/>
      <c r="I674" s="267"/>
      <c r="J674" s="267"/>
      <c r="K674" s="267"/>
      <c r="L674" s="267"/>
      <c r="M674" s="267"/>
      <c r="N674" s="267"/>
      <c r="O674" s="267"/>
      <c r="P674" s="267"/>
      <c r="Q674" s="267"/>
      <c r="R674" s="267"/>
      <c r="S674" s="267"/>
      <c r="T674" s="267"/>
      <c r="U674" s="267"/>
      <c r="V674" s="267"/>
      <c r="W674" s="267"/>
      <c r="X674" s="267"/>
      <c r="Y674" s="267"/>
      <c r="Z674" s="267"/>
      <c r="AA674" s="267"/>
      <c r="AB674" s="267"/>
      <c r="AC674" s="267"/>
      <c r="AD674" s="267"/>
      <c r="AE674" s="267"/>
      <c r="AF674" s="267"/>
      <c r="AG674" s="267"/>
      <c r="AH674" s="267"/>
      <c r="AI674" s="267"/>
      <c r="AJ674" s="267"/>
      <c r="AK674" s="267"/>
      <c r="AL674" s="267"/>
      <c r="AM674" s="267"/>
      <c r="AN674" s="267"/>
      <c r="AO674" s="267"/>
      <c r="AP674" s="267"/>
      <c r="AQ674" s="267"/>
      <c r="AR674" s="267"/>
      <c r="AS674" s="267"/>
      <c r="AT674" s="267"/>
      <c r="AU674" s="267"/>
      <c r="AV674" s="267"/>
      <c r="AW674" s="267"/>
      <c r="AX674" s="267"/>
      <c r="AY674" s="267"/>
      <c r="AZ674" s="267"/>
      <c r="BA674" s="267"/>
      <c r="BB674" s="267"/>
      <c r="BC674" s="267"/>
      <c r="BD674" s="267"/>
      <c r="BE674" s="267"/>
      <c r="BF674" s="267"/>
      <c r="BG674" s="267"/>
      <c r="BH674" s="267"/>
      <c r="BI674" s="267"/>
      <c r="BJ674" s="267"/>
      <c r="BK674" s="267"/>
      <c r="BL674" s="267"/>
      <c r="BM674" s="267"/>
      <c r="BN674" s="267"/>
      <c r="BO674" s="267"/>
      <c r="BP674" s="267"/>
      <c r="BQ674" s="267"/>
      <c r="BR674" s="267"/>
      <c r="BS674" s="267"/>
      <c r="BT674" s="267"/>
      <c r="BU674" s="267"/>
      <c r="BV674" s="267"/>
      <c r="BW674" s="267"/>
      <c r="BX674" s="267"/>
      <c r="BY674" s="267"/>
      <c r="BZ674" s="267"/>
      <c r="CA674" s="267"/>
      <c r="CB674" s="267"/>
      <c r="CC674" s="267"/>
      <c r="CD674" s="267"/>
      <c r="CE674" s="267"/>
      <c r="CF674" s="267"/>
      <c r="CG674" s="267"/>
      <c r="CH674" s="267"/>
      <c r="CI674" s="267"/>
      <c r="CJ674" s="267"/>
      <c r="CK674" s="267"/>
      <c r="CL674" s="267"/>
      <c r="CM674" s="267"/>
      <c r="CN674" s="267"/>
      <c r="CO674" s="267"/>
      <c r="CP674" s="267"/>
      <c r="CQ674" s="267"/>
      <c r="CR674" s="267"/>
      <c r="CS674" s="267"/>
      <c r="CT674" s="267"/>
      <c r="CU674" s="267"/>
      <c r="CV674" s="267"/>
      <c r="CW674" s="267"/>
      <c r="CX674" s="267"/>
      <c r="CY674" s="267"/>
      <c r="CZ674" s="267"/>
    </row>
    <row r="675" spans="2:104">
      <c r="B675" s="1235"/>
      <c r="C675" s="1235"/>
      <c r="D675" s="1235"/>
      <c r="E675" s="267"/>
      <c r="F675" s="267"/>
      <c r="G675" s="267"/>
      <c r="H675" s="267"/>
      <c r="I675" s="267"/>
      <c r="J675" s="267"/>
      <c r="K675" s="267"/>
      <c r="L675" s="267"/>
      <c r="M675" s="267"/>
      <c r="N675" s="267"/>
      <c r="O675" s="267"/>
      <c r="P675" s="267"/>
      <c r="Q675" s="267"/>
      <c r="R675" s="267"/>
      <c r="S675" s="267"/>
      <c r="T675" s="267"/>
      <c r="U675" s="267"/>
      <c r="V675" s="267"/>
      <c r="W675" s="267"/>
      <c r="X675" s="267"/>
      <c r="Y675" s="267"/>
      <c r="Z675" s="267"/>
      <c r="AA675" s="267"/>
      <c r="AB675" s="267"/>
      <c r="AC675" s="267"/>
      <c r="AD675" s="267"/>
      <c r="AE675" s="267"/>
      <c r="AF675" s="267"/>
      <c r="AG675" s="267"/>
      <c r="AH675" s="267"/>
      <c r="AI675" s="267"/>
      <c r="AJ675" s="267"/>
      <c r="AK675" s="267"/>
      <c r="AL675" s="267"/>
      <c r="AM675" s="267"/>
      <c r="AN675" s="267"/>
      <c r="AO675" s="267"/>
      <c r="AP675" s="267"/>
      <c r="AQ675" s="267"/>
      <c r="AR675" s="267"/>
      <c r="AS675" s="267"/>
      <c r="AT675" s="267"/>
      <c r="AU675" s="267"/>
      <c r="AV675" s="267"/>
      <c r="AW675" s="267"/>
      <c r="AX675" s="267"/>
      <c r="AY675" s="267"/>
      <c r="AZ675" s="267"/>
      <c r="BA675" s="267"/>
      <c r="BB675" s="267"/>
      <c r="BC675" s="267"/>
      <c r="BD675" s="267"/>
      <c r="BE675" s="267"/>
      <c r="BF675" s="267"/>
      <c r="BG675" s="267"/>
      <c r="BH675" s="267"/>
      <c r="BI675" s="267"/>
      <c r="BJ675" s="267"/>
      <c r="BK675" s="267"/>
      <c r="BL675" s="267"/>
      <c r="BM675" s="267"/>
      <c r="BN675" s="267"/>
      <c r="BO675" s="267"/>
      <c r="BP675" s="267"/>
      <c r="BQ675" s="267"/>
      <c r="BR675" s="267"/>
      <c r="BS675" s="267"/>
      <c r="BT675" s="267"/>
      <c r="BU675" s="267"/>
      <c r="BV675" s="267"/>
      <c r="BW675" s="267"/>
      <c r="BX675" s="267"/>
      <c r="BY675" s="267"/>
      <c r="BZ675" s="267"/>
      <c r="CA675" s="267"/>
      <c r="CB675" s="267"/>
      <c r="CC675" s="267"/>
      <c r="CD675" s="267"/>
      <c r="CE675" s="267"/>
      <c r="CF675" s="267"/>
      <c r="CG675" s="267"/>
      <c r="CH675" s="267"/>
      <c r="CI675" s="267"/>
      <c r="CJ675" s="267"/>
      <c r="CK675" s="267"/>
      <c r="CL675" s="267"/>
      <c r="CM675" s="267"/>
      <c r="CN675" s="267"/>
      <c r="CO675" s="267"/>
      <c r="CP675" s="267"/>
      <c r="CQ675" s="267"/>
      <c r="CR675" s="267"/>
      <c r="CS675" s="267"/>
      <c r="CT675" s="267"/>
      <c r="CU675" s="267"/>
      <c r="CV675" s="267"/>
      <c r="CW675" s="267"/>
      <c r="CX675" s="267"/>
      <c r="CY675" s="267"/>
      <c r="CZ675" s="267"/>
    </row>
    <row r="676" spans="2:104">
      <c r="B676" s="1235"/>
      <c r="C676" s="1235"/>
      <c r="D676" s="1235"/>
      <c r="E676" s="267"/>
      <c r="F676" s="267"/>
      <c r="G676" s="267"/>
      <c r="H676" s="267"/>
      <c r="I676" s="267"/>
      <c r="J676" s="267"/>
      <c r="K676" s="267"/>
      <c r="L676" s="267"/>
      <c r="M676" s="267"/>
      <c r="N676" s="267"/>
      <c r="O676" s="267"/>
      <c r="P676" s="267"/>
      <c r="Q676" s="267"/>
      <c r="R676" s="267"/>
      <c r="S676" s="267"/>
      <c r="T676" s="267"/>
      <c r="U676" s="267"/>
      <c r="V676" s="267"/>
      <c r="W676" s="267"/>
      <c r="X676" s="267"/>
      <c r="Y676" s="267"/>
      <c r="Z676" s="267"/>
      <c r="AA676" s="267"/>
      <c r="AB676" s="267"/>
      <c r="AC676" s="267"/>
      <c r="AD676" s="267"/>
      <c r="AE676" s="267"/>
      <c r="AF676" s="267"/>
      <c r="AG676" s="267"/>
      <c r="AH676" s="267"/>
      <c r="AI676" s="267"/>
      <c r="AJ676" s="267"/>
      <c r="AK676" s="267"/>
      <c r="AL676" s="267"/>
      <c r="AM676" s="267"/>
      <c r="AN676" s="267"/>
      <c r="AO676" s="267"/>
      <c r="AP676" s="267"/>
      <c r="AQ676" s="267"/>
      <c r="AR676" s="267"/>
      <c r="AS676" s="267"/>
      <c r="AT676" s="267"/>
      <c r="AU676" s="267"/>
      <c r="AV676" s="267"/>
      <c r="AW676" s="267"/>
      <c r="AX676" s="267"/>
      <c r="AY676" s="267"/>
      <c r="AZ676" s="267"/>
      <c r="BA676" s="267"/>
      <c r="BB676" s="267"/>
      <c r="BC676" s="267"/>
      <c r="BD676" s="267"/>
      <c r="BE676" s="267"/>
      <c r="BF676" s="267"/>
      <c r="BG676" s="267"/>
      <c r="BH676" s="267"/>
      <c r="BI676" s="267"/>
      <c r="BJ676" s="267"/>
      <c r="BK676" s="267"/>
      <c r="BL676" s="267"/>
      <c r="BM676" s="267"/>
      <c r="BN676" s="267"/>
      <c r="BO676" s="267"/>
      <c r="BP676" s="267"/>
      <c r="BQ676" s="267"/>
      <c r="BR676" s="267"/>
      <c r="BS676" s="267"/>
      <c r="BT676" s="267"/>
      <c r="BU676" s="267"/>
      <c r="BV676" s="267"/>
      <c r="BW676" s="267"/>
      <c r="BX676" s="267"/>
      <c r="BY676" s="267"/>
      <c r="BZ676" s="267"/>
      <c r="CA676" s="267"/>
      <c r="CB676" s="267"/>
      <c r="CC676" s="267"/>
      <c r="CD676" s="267"/>
      <c r="CE676" s="267"/>
      <c r="CF676" s="267"/>
      <c r="CG676" s="267"/>
      <c r="CH676" s="267"/>
      <c r="CI676" s="267"/>
      <c r="CJ676" s="267"/>
      <c r="CK676" s="267"/>
      <c r="CL676" s="267"/>
      <c r="CM676" s="267"/>
      <c r="CN676" s="267"/>
      <c r="CO676" s="267"/>
      <c r="CP676" s="267"/>
      <c r="CQ676" s="267"/>
      <c r="CR676" s="267"/>
      <c r="CS676" s="267"/>
      <c r="CT676" s="267"/>
      <c r="CU676" s="267"/>
      <c r="CV676" s="267"/>
      <c r="CW676" s="267"/>
      <c r="CX676" s="267"/>
      <c r="CY676" s="267"/>
      <c r="CZ676" s="267"/>
    </row>
    <row r="677" spans="2:104">
      <c r="B677" s="1235"/>
      <c r="C677" s="1235"/>
      <c r="D677" s="1235"/>
      <c r="E677" s="267"/>
      <c r="F677" s="267"/>
      <c r="G677" s="267"/>
      <c r="H677" s="267"/>
      <c r="I677" s="267"/>
      <c r="J677" s="267"/>
      <c r="K677" s="267"/>
      <c r="L677" s="267"/>
      <c r="M677" s="267"/>
      <c r="N677" s="267"/>
      <c r="O677" s="267"/>
      <c r="P677" s="267"/>
      <c r="Q677" s="267"/>
      <c r="R677" s="267"/>
      <c r="S677" s="267"/>
      <c r="T677" s="267"/>
      <c r="U677" s="267"/>
      <c r="V677" s="267"/>
      <c r="W677" s="267"/>
      <c r="X677" s="267"/>
      <c r="Y677" s="267"/>
      <c r="Z677" s="267"/>
      <c r="AA677" s="267"/>
      <c r="AB677" s="267"/>
      <c r="AC677" s="267"/>
      <c r="AD677" s="267"/>
      <c r="AE677" s="267"/>
      <c r="AF677" s="267"/>
      <c r="AG677" s="267"/>
      <c r="AH677" s="267"/>
      <c r="AI677" s="267"/>
      <c r="AJ677" s="267"/>
      <c r="AK677" s="267"/>
      <c r="AL677" s="267"/>
      <c r="AM677" s="267"/>
      <c r="AN677" s="267"/>
      <c r="AO677" s="267"/>
      <c r="AP677" s="267"/>
      <c r="AQ677" s="267"/>
      <c r="AR677" s="267"/>
      <c r="AS677" s="267"/>
      <c r="AT677" s="267"/>
      <c r="AU677" s="267"/>
      <c r="AV677" s="267"/>
      <c r="AW677" s="267"/>
      <c r="AX677" s="267"/>
      <c r="AY677" s="267"/>
      <c r="AZ677" s="267"/>
      <c r="BA677" s="267"/>
      <c r="BB677" s="267"/>
      <c r="BC677" s="267"/>
      <c r="BD677" s="267"/>
      <c r="BE677" s="267"/>
      <c r="BF677" s="267"/>
      <c r="BG677" s="267"/>
      <c r="BH677" s="267"/>
      <c r="BI677" s="267"/>
      <c r="BJ677" s="267"/>
      <c r="BK677" s="267"/>
      <c r="BL677" s="267"/>
      <c r="BM677" s="267"/>
      <c r="BN677" s="267"/>
      <c r="BO677" s="267"/>
      <c r="BP677" s="267"/>
      <c r="BQ677" s="267"/>
      <c r="BR677" s="267"/>
      <c r="BS677" s="267"/>
      <c r="BT677" s="267"/>
      <c r="BU677" s="267"/>
      <c r="BV677" s="267"/>
      <c r="BW677" s="267"/>
      <c r="BX677" s="267"/>
      <c r="BY677" s="267"/>
      <c r="BZ677" s="267"/>
      <c r="CA677" s="267"/>
      <c r="CB677" s="267"/>
      <c r="CC677" s="267"/>
      <c r="CD677" s="267"/>
      <c r="CE677" s="267"/>
      <c r="CF677" s="267"/>
      <c r="CG677" s="267"/>
      <c r="CH677" s="267"/>
      <c r="CI677" s="267"/>
      <c r="CJ677" s="267"/>
      <c r="CK677" s="267"/>
      <c r="CL677" s="267"/>
      <c r="CM677" s="267"/>
      <c r="CN677" s="267"/>
      <c r="CO677" s="267"/>
      <c r="CP677" s="267"/>
      <c r="CQ677" s="267"/>
      <c r="CR677" s="267"/>
      <c r="CS677" s="267"/>
      <c r="CT677" s="267"/>
      <c r="CU677" s="267"/>
      <c r="CV677" s="267"/>
      <c r="CW677" s="267"/>
      <c r="CX677" s="267"/>
      <c r="CY677" s="267"/>
      <c r="CZ677" s="267"/>
    </row>
    <row r="678" spans="2:104">
      <c r="B678" s="1235"/>
      <c r="C678" s="1235"/>
      <c r="D678" s="1235"/>
      <c r="E678" s="267"/>
      <c r="F678" s="267"/>
      <c r="G678" s="267"/>
      <c r="H678" s="267"/>
      <c r="I678" s="267"/>
      <c r="J678" s="267"/>
      <c r="K678" s="267"/>
      <c r="L678" s="267"/>
      <c r="M678" s="267"/>
      <c r="N678" s="267"/>
      <c r="O678" s="267"/>
      <c r="P678" s="267"/>
      <c r="Q678" s="267"/>
      <c r="R678" s="267"/>
      <c r="S678" s="267"/>
      <c r="T678" s="267"/>
      <c r="U678" s="267"/>
      <c r="V678" s="267"/>
      <c r="W678" s="267"/>
      <c r="X678" s="267"/>
      <c r="Y678" s="267"/>
      <c r="Z678" s="267"/>
      <c r="AA678" s="267"/>
      <c r="AB678" s="267"/>
      <c r="AC678" s="267"/>
      <c r="AD678" s="267"/>
      <c r="AE678" s="267"/>
      <c r="AF678" s="267"/>
      <c r="AG678" s="267"/>
      <c r="AH678" s="267"/>
      <c r="AI678" s="267"/>
      <c r="AJ678" s="267"/>
      <c r="AK678" s="267"/>
      <c r="AL678" s="267"/>
      <c r="AM678" s="267"/>
      <c r="AN678" s="267"/>
      <c r="AO678" s="267"/>
      <c r="AP678" s="267"/>
      <c r="AQ678" s="267"/>
      <c r="AR678" s="267"/>
      <c r="AS678" s="267"/>
      <c r="AT678" s="267"/>
      <c r="AU678" s="267"/>
      <c r="AV678" s="267"/>
      <c r="AW678" s="267"/>
      <c r="AX678" s="267"/>
      <c r="AY678" s="267"/>
      <c r="AZ678" s="267"/>
      <c r="BA678" s="267"/>
      <c r="BB678" s="267"/>
      <c r="BC678" s="267"/>
      <c r="BD678" s="267"/>
      <c r="BE678" s="267"/>
      <c r="BF678" s="267"/>
      <c r="BG678" s="267"/>
      <c r="BH678" s="267"/>
      <c r="BI678" s="267"/>
      <c r="BJ678" s="267"/>
      <c r="BK678" s="267"/>
      <c r="BL678" s="267"/>
      <c r="BM678" s="267"/>
      <c r="BN678" s="267"/>
      <c r="BO678" s="267"/>
      <c r="BP678" s="267"/>
      <c r="BQ678" s="267"/>
      <c r="BR678" s="267"/>
      <c r="BS678" s="267"/>
      <c r="BT678" s="267"/>
      <c r="BU678" s="267"/>
      <c r="BV678" s="267"/>
      <c r="BW678" s="267"/>
      <c r="BX678" s="267"/>
      <c r="BY678" s="267"/>
      <c r="BZ678" s="267"/>
      <c r="CA678" s="267"/>
      <c r="CB678" s="267"/>
      <c r="CC678" s="267"/>
      <c r="CD678" s="267"/>
      <c r="CE678" s="267"/>
      <c r="CF678" s="267"/>
      <c r="CG678" s="267"/>
      <c r="CH678" s="267"/>
      <c r="CI678" s="267"/>
      <c r="CJ678" s="267"/>
      <c r="CK678" s="267"/>
      <c r="CL678" s="267"/>
      <c r="CM678" s="267"/>
      <c r="CN678" s="267"/>
      <c r="CO678" s="267"/>
      <c r="CP678" s="267"/>
      <c r="CQ678" s="267"/>
      <c r="CR678" s="267"/>
      <c r="CS678" s="267"/>
      <c r="CT678" s="267"/>
      <c r="CU678" s="267"/>
      <c r="CV678" s="267"/>
      <c r="CW678" s="267"/>
      <c r="CX678" s="267"/>
      <c r="CY678" s="267"/>
      <c r="CZ678" s="267"/>
    </row>
    <row r="679" spans="2:104">
      <c r="B679" s="1235"/>
      <c r="C679" s="1235"/>
      <c r="D679" s="1235"/>
      <c r="E679" s="267"/>
      <c r="F679" s="267"/>
      <c r="G679" s="267"/>
      <c r="H679" s="267"/>
      <c r="I679" s="267"/>
      <c r="J679" s="267"/>
      <c r="K679" s="267"/>
      <c r="L679" s="267"/>
      <c r="M679" s="267"/>
      <c r="N679" s="267"/>
      <c r="O679" s="267"/>
      <c r="P679" s="267"/>
      <c r="Q679" s="267"/>
      <c r="R679" s="267"/>
      <c r="S679" s="267"/>
      <c r="T679" s="267"/>
      <c r="U679" s="267"/>
      <c r="V679" s="267"/>
      <c r="W679" s="267"/>
      <c r="X679" s="267"/>
      <c r="Y679" s="267"/>
      <c r="Z679" s="267"/>
      <c r="AA679" s="267"/>
      <c r="AB679" s="267"/>
      <c r="AC679" s="267"/>
      <c r="AD679" s="267"/>
      <c r="AE679" s="267"/>
      <c r="AF679" s="267"/>
      <c r="AG679" s="267"/>
      <c r="AH679" s="267"/>
      <c r="AI679" s="267"/>
      <c r="AJ679" s="267"/>
      <c r="AK679" s="267"/>
      <c r="AL679" s="267"/>
      <c r="AM679" s="267"/>
      <c r="AN679" s="267"/>
      <c r="AO679" s="267"/>
      <c r="AP679" s="267"/>
      <c r="AQ679" s="267"/>
      <c r="AR679" s="267"/>
      <c r="AS679" s="267"/>
      <c r="AT679" s="267"/>
      <c r="AU679" s="267"/>
      <c r="AV679" s="267"/>
      <c r="AW679" s="267"/>
      <c r="AX679" s="267"/>
      <c r="AY679" s="267"/>
      <c r="AZ679" s="267"/>
      <c r="BA679" s="267"/>
      <c r="BB679" s="267"/>
      <c r="BC679" s="267"/>
      <c r="BD679" s="267"/>
      <c r="BE679" s="267"/>
      <c r="BF679" s="267"/>
      <c r="BG679" s="267"/>
      <c r="BH679" s="267"/>
      <c r="BI679" s="267"/>
      <c r="BJ679" s="267"/>
      <c r="BK679" s="267"/>
      <c r="BL679" s="267"/>
      <c r="BM679" s="267"/>
      <c r="BN679" s="267"/>
      <c r="BO679" s="267"/>
      <c r="BP679" s="267"/>
      <c r="BQ679" s="267"/>
      <c r="BR679" s="267"/>
      <c r="BS679" s="267"/>
      <c r="BT679" s="267"/>
      <c r="BU679" s="267"/>
      <c r="BV679" s="267"/>
      <c r="BW679" s="267"/>
      <c r="BX679" s="267"/>
      <c r="BY679" s="267"/>
      <c r="BZ679" s="267"/>
      <c r="CA679" s="267"/>
      <c r="CB679" s="267"/>
      <c r="CC679" s="267"/>
      <c r="CD679" s="267"/>
      <c r="CE679" s="267"/>
      <c r="CF679" s="267"/>
      <c r="CG679" s="267"/>
      <c r="CH679" s="267"/>
      <c r="CI679" s="267"/>
      <c r="CJ679" s="267"/>
      <c r="CK679" s="267"/>
      <c r="CL679" s="267"/>
      <c r="CM679" s="267"/>
      <c r="CN679" s="267"/>
      <c r="CO679" s="267"/>
      <c r="CP679" s="267"/>
      <c r="CQ679" s="267"/>
      <c r="CR679" s="267"/>
      <c r="CS679" s="267"/>
      <c r="CT679" s="267"/>
      <c r="CU679" s="267"/>
      <c r="CV679" s="267"/>
      <c r="CW679" s="267"/>
      <c r="CX679" s="267"/>
      <c r="CY679" s="267"/>
      <c r="CZ679" s="267"/>
    </row>
    <row r="680" spans="2:104">
      <c r="B680" s="1235"/>
      <c r="C680" s="1235"/>
      <c r="D680" s="1235"/>
      <c r="E680" s="267"/>
      <c r="F680" s="267"/>
      <c r="G680" s="267"/>
      <c r="H680" s="267"/>
      <c r="I680" s="267"/>
      <c r="J680" s="267"/>
      <c r="K680" s="267"/>
      <c r="L680" s="267"/>
      <c r="M680" s="267"/>
      <c r="N680" s="267"/>
      <c r="O680" s="267"/>
      <c r="P680" s="267"/>
      <c r="Q680" s="267"/>
      <c r="R680" s="267"/>
      <c r="S680" s="267"/>
      <c r="T680" s="267"/>
      <c r="U680" s="267"/>
      <c r="V680" s="267"/>
      <c r="W680" s="267"/>
      <c r="X680" s="267"/>
      <c r="Y680" s="267"/>
      <c r="Z680" s="267"/>
      <c r="AA680" s="267"/>
      <c r="AB680" s="267"/>
      <c r="AC680" s="267"/>
      <c r="AD680" s="267"/>
      <c r="AE680" s="267"/>
      <c r="AF680" s="267"/>
      <c r="AG680" s="267"/>
      <c r="AH680" s="267"/>
      <c r="AI680" s="267"/>
      <c r="AJ680" s="267"/>
      <c r="AK680" s="267"/>
      <c r="AL680" s="267"/>
      <c r="AM680" s="267"/>
      <c r="AN680" s="267"/>
      <c r="AO680" s="267"/>
      <c r="AP680" s="267"/>
      <c r="AQ680" s="267"/>
      <c r="AR680" s="267"/>
      <c r="AS680" s="267"/>
      <c r="AT680" s="267"/>
      <c r="AU680" s="267"/>
      <c r="AV680" s="267"/>
      <c r="AW680" s="267"/>
      <c r="AX680" s="267"/>
      <c r="AY680" s="267"/>
      <c r="AZ680" s="267"/>
      <c r="BA680" s="267"/>
      <c r="BB680" s="267"/>
      <c r="BC680" s="267"/>
      <c r="BD680" s="267"/>
      <c r="BE680" s="267"/>
      <c r="BF680" s="267"/>
      <c r="BG680" s="267"/>
      <c r="BH680" s="267"/>
      <c r="BI680" s="267"/>
      <c r="BJ680" s="267"/>
      <c r="BK680" s="267"/>
      <c r="BL680" s="267"/>
      <c r="BM680" s="267"/>
      <c r="BN680" s="267"/>
      <c r="BO680" s="267"/>
      <c r="BP680" s="267"/>
      <c r="BQ680" s="267"/>
      <c r="BR680" s="267"/>
      <c r="BS680" s="267"/>
      <c r="BT680" s="267"/>
      <c r="BU680" s="267"/>
      <c r="BV680" s="267"/>
      <c r="BW680" s="267"/>
      <c r="BX680" s="267"/>
      <c r="BY680" s="267"/>
      <c r="BZ680" s="267"/>
      <c r="CA680" s="267"/>
      <c r="CB680" s="267"/>
      <c r="CC680" s="267"/>
      <c r="CD680" s="267"/>
      <c r="CE680" s="267"/>
      <c r="CF680" s="267"/>
      <c r="CG680" s="267"/>
      <c r="CH680" s="267"/>
      <c r="CI680" s="267"/>
      <c r="CJ680" s="267"/>
      <c r="CK680" s="267"/>
      <c r="CL680" s="267"/>
      <c r="CM680" s="267"/>
      <c r="CN680" s="267"/>
      <c r="CO680" s="267"/>
      <c r="CP680" s="267"/>
      <c r="CQ680" s="267"/>
      <c r="CR680" s="267"/>
      <c r="CS680" s="267"/>
      <c r="CT680" s="267"/>
      <c r="CU680" s="267"/>
      <c r="CV680" s="267"/>
      <c r="CW680" s="267"/>
      <c r="CX680" s="267"/>
      <c r="CY680" s="267"/>
      <c r="CZ680" s="267"/>
    </row>
    <row r="681" spans="2:104">
      <c r="B681" s="1235"/>
      <c r="C681" s="1235"/>
      <c r="D681" s="1235"/>
      <c r="E681" s="267"/>
      <c r="F681" s="267"/>
      <c r="G681" s="267"/>
      <c r="H681" s="267"/>
      <c r="I681" s="267"/>
      <c r="J681" s="267"/>
      <c r="K681" s="267"/>
      <c r="L681" s="267"/>
      <c r="M681" s="267"/>
      <c r="N681" s="267"/>
      <c r="O681" s="267"/>
      <c r="P681" s="267"/>
      <c r="Q681" s="267"/>
      <c r="R681" s="267"/>
      <c r="S681" s="267"/>
      <c r="T681" s="267"/>
      <c r="U681" s="267"/>
      <c r="V681" s="267"/>
      <c r="W681" s="267"/>
      <c r="X681" s="267"/>
      <c r="Y681" s="267"/>
      <c r="Z681" s="267"/>
      <c r="AA681" s="267"/>
      <c r="AB681" s="267"/>
      <c r="AC681" s="267"/>
      <c r="AD681" s="267"/>
      <c r="AE681" s="267"/>
      <c r="AF681" s="267"/>
      <c r="AG681" s="267"/>
      <c r="AH681" s="267"/>
      <c r="AI681" s="267"/>
      <c r="AJ681" s="267"/>
      <c r="AK681" s="267"/>
      <c r="AL681" s="267"/>
      <c r="AM681" s="267"/>
      <c r="AN681" s="267"/>
      <c r="AO681" s="267"/>
      <c r="AP681" s="267"/>
      <c r="AQ681" s="267"/>
      <c r="AR681" s="267"/>
      <c r="AS681" s="267"/>
      <c r="AT681" s="267"/>
      <c r="AU681" s="267"/>
      <c r="AV681" s="267"/>
      <c r="AW681" s="267"/>
      <c r="AX681" s="267"/>
      <c r="AY681" s="267"/>
      <c r="AZ681" s="267"/>
      <c r="BA681" s="267"/>
      <c r="BB681" s="267"/>
      <c r="BC681" s="267"/>
      <c r="BD681" s="267"/>
      <c r="BE681" s="267"/>
      <c r="BF681" s="267"/>
      <c r="BG681" s="267"/>
      <c r="BH681" s="267"/>
      <c r="BI681" s="267"/>
      <c r="BJ681" s="267"/>
      <c r="BK681" s="267"/>
      <c r="BL681" s="267"/>
      <c r="BM681" s="267"/>
      <c r="BN681" s="267"/>
      <c r="BO681" s="267"/>
      <c r="BP681" s="267"/>
      <c r="BQ681" s="267"/>
      <c r="BR681" s="267"/>
      <c r="BS681" s="267"/>
      <c r="BT681" s="267"/>
      <c r="BU681" s="267"/>
      <c r="BV681" s="267"/>
      <c r="BW681" s="267"/>
      <c r="BX681" s="267"/>
      <c r="BY681" s="267"/>
      <c r="BZ681" s="267"/>
      <c r="CA681" s="267"/>
      <c r="CB681" s="267"/>
      <c r="CC681" s="267"/>
      <c r="CD681" s="267"/>
      <c r="CE681" s="267"/>
      <c r="CF681" s="267"/>
      <c r="CG681" s="267"/>
      <c r="CH681" s="267"/>
      <c r="CI681" s="267"/>
      <c r="CJ681" s="267"/>
      <c r="CK681" s="267"/>
      <c r="CL681" s="267"/>
      <c r="CM681" s="267"/>
      <c r="CN681" s="267"/>
      <c r="CO681" s="267"/>
      <c r="CP681" s="267"/>
      <c r="CQ681" s="267"/>
      <c r="CR681" s="267"/>
      <c r="CS681" s="267"/>
      <c r="CT681" s="267"/>
      <c r="CU681" s="267"/>
      <c r="CV681" s="267"/>
      <c r="CW681" s="267"/>
      <c r="CX681" s="267"/>
      <c r="CY681" s="267"/>
      <c r="CZ681" s="267"/>
    </row>
    <row r="682" spans="2:104">
      <c r="B682" s="1235"/>
      <c r="C682" s="1235"/>
      <c r="D682" s="1235"/>
      <c r="E682" s="267"/>
      <c r="F682" s="267"/>
      <c r="G682" s="267"/>
      <c r="H682" s="267"/>
      <c r="I682" s="267"/>
      <c r="J682" s="267"/>
      <c r="K682" s="267"/>
      <c r="L682" s="267"/>
      <c r="M682" s="267"/>
      <c r="N682" s="267"/>
      <c r="O682" s="267"/>
      <c r="P682" s="267"/>
      <c r="Q682" s="267"/>
      <c r="R682" s="267"/>
      <c r="S682" s="267"/>
      <c r="T682" s="267"/>
      <c r="U682" s="267"/>
      <c r="V682" s="267"/>
      <c r="W682" s="267"/>
      <c r="X682" s="267"/>
      <c r="Y682" s="267"/>
      <c r="Z682" s="267"/>
      <c r="AA682" s="267"/>
      <c r="AB682" s="267"/>
      <c r="AC682" s="267"/>
      <c r="AD682" s="267"/>
      <c r="AE682" s="267"/>
      <c r="AF682" s="267"/>
      <c r="AG682" s="267"/>
      <c r="AH682" s="267"/>
      <c r="AI682" s="267"/>
      <c r="AJ682" s="267"/>
      <c r="AK682" s="267"/>
      <c r="AL682" s="267"/>
      <c r="AM682" s="267"/>
      <c r="AN682" s="267"/>
      <c r="AO682" s="267"/>
      <c r="AP682" s="267"/>
      <c r="AQ682" s="267"/>
      <c r="AR682" s="267"/>
      <c r="AS682" s="267"/>
      <c r="AT682" s="267"/>
      <c r="AU682" s="267"/>
      <c r="AV682" s="267"/>
      <c r="AW682" s="267"/>
      <c r="AX682" s="267"/>
      <c r="AY682" s="267"/>
      <c r="AZ682" s="267"/>
      <c r="BA682" s="267"/>
      <c r="BB682" s="267"/>
      <c r="BC682" s="267"/>
      <c r="BD682" s="267"/>
      <c r="BE682" s="267"/>
      <c r="BF682" s="267"/>
      <c r="BG682" s="267"/>
      <c r="BH682" s="267"/>
      <c r="BI682" s="267"/>
      <c r="BJ682" s="267"/>
      <c r="BK682" s="267"/>
      <c r="BL682" s="267"/>
      <c r="BM682" s="267"/>
      <c r="BN682" s="267"/>
      <c r="BO682" s="267"/>
      <c r="BP682" s="267"/>
      <c r="BQ682" s="267"/>
      <c r="BR682" s="267"/>
      <c r="BS682" s="267"/>
      <c r="BT682" s="267"/>
      <c r="BU682" s="267"/>
      <c r="BV682" s="267"/>
      <c r="BW682" s="267"/>
      <c r="BX682" s="267"/>
      <c r="BY682" s="267"/>
      <c r="BZ682" s="267"/>
      <c r="CA682" s="267"/>
      <c r="CB682" s="267"/>
      <c r="CC682" s="267"/>
      <c r="CD682" s="267"/>
      <c r="CE682" s="267"/>
      <c r="CF682" s="267"/>
      <c r="CG682" s="267"/>
      <c r="CH682" s="267"/>
      <c r="CI682" s="267"/>
      <c r="CJ682" s="267"/>
      <c r="CK682" s="267"/>
      <c r="CL682" s="267"/>
      <c r="CM682" s="267"/>
      <c r="CN682" s="267"/>
      <c r="CO682" s="267"/>
      <c r="CP682" s="267"/>
      <c r="CQ682" s="267"/>
      <c r="CR682" s="267"/>
      <c r="CS682" s="267"/>
      <c r="CT682" s="267"/>
      <c r="CU682" s="267"/>
      <c r="CV682" s="267"/>
      <c r="CW682" s="267"/>
      <c r="CX682" s="267"/>
      <c r="CY682" s="267"/>
      <c r="CZ682" s="267"/>
    </row>
    <row r="683" spans="2:104">
      <c r="B683" s="1235"/>
      <c r="C683" s="1235"/>
      <c r="D683" s="1235"/>
      <c r="E683" s="267"/>
      <c r="F683" s="267"/>
      <c r="G683" s="267"/>
      <c r="H683" s="267"/>
      <c r="I683" s="267"/>
      <c r="J683" s="267"/>
      <c r="K683" s="267"/>
      <c r="L683" s="267"/>
      <c r="M683" s="267"/>
      <c r="N683" s="267"/>
      <c r="O683" s="267"/>
      <c r="P683" s="267"/>
      <c r="Q683" s="267"/>
      <c r="R683" s="267"/>
      <c r="S683" s="267"/>
      <c r="T683" s="267"/>
      <c r="U683" s="267"/>
      <c r="V683" s="267"/>
      <c r="W683" s="267"/>
      <c r="X683" s="267"/>
      <c r="Y683" s="267"/>
      <c r="Z683" s="267"/>
      <c r="AA683" s="267"/>
      <c r="AB683" s="267"/>
      <c r="AC683" s="267"/>
      <c r="AD683" s="267"/>
      <c r="AE683" s="267"/>
      <c r="AF683" s="267"/>
      <c r="AG683" s="267"/>
      <c r="AH683" s="267"/>
      <c r="AI683" s="267"/>
      <c r="AJ683" s="267"/>
      <c r="AK683" s="267"/>
      <c r="AL683" s="267"/>
      <c r="AM683" s="267"/>
      <c r="AN683" s="267"/>
      <c r="AO683" s="267"/>
      <c r="AP683" s="267"/>
      <c r="AQ683" s="267"/>
      <c r="AR683" s="267"/>
      <c r="AS683" s="267"/>
      <c r="AT683" s="267"/>
      <c r="AU683" s="267"/>
      <c r="AV683" s="267"/>
      <c r="AW683" s="267"/>
      <c r="AX683" s="267"/>
      <c r="AY683" s="267"/>
      <c r="AZ683" s="267"/>
      <c r="BA683" s="267"/>
      <c r="BB683" s="267"/>
      <c r="BC683" s="267"/>
      <c r="BD683" s="267"/>
      <c r="BE683" s="267"/>
      <c r="BF683" s="267"/>
      <c r="BG683" s="267"/>
      <c r="BH683" s="267"/>
      <c r="BI683" s="267"/>
      <c r="BJ683" s="267"/>
      <c r="BK683" s="267"/>
      <c r="BL683" s="267"/>
      <c r="BM683" s="267"/>
      <c r="BN683" s="267"/>
      <c r="BO683" s="267"/>
      <c r="BP683" s="267"/>
      <c r="BQ683" s="267"/>
      <c r="BR683" s="267"/>
      <c r="BS683" s="267"/>
      <c r="BT683" s="267"/>
      <c r="BU683" s="267"/>
      <c r="BV683" s="267"/>
      <c r="BW683" s="267"/>
      <c r="BX683" s="267"/>
      <c r="BY683" s="267"/>
      <c r="BZ683" s="267"/>
      <c r="CA683" s="267"/>
      <c r="CB683" s="267"/>
      <c r="CC683" s="267"/>
      <c r="CD683" s="267"/>
      <c r="CE683" s="267"/>
      <c r="CF683" s="267"/>
      <c r="CG683" s="267"/>
      <c r="CH683" s="267"/>
      <c r="CI683" s="267"/>
      <c r="CJ683" s="267"/>
      <c r="CK683" s="267"/>
      <c r="CL683" s="267"/>
      <c r="CM683" s="267"/>
      <c r="CN683" s="267"/>
      <c r="CO683" s="267"/>
      <c r="CP683" s="267"/>
      <c r="CQ683" s="267"/>
      <c r="CR683" s="267"/>
      <c r="CS683" s="267"/>
      <c r="CT683" s="267"/>
      <c r="CU683" s="267"/>
      <c r="CV683" s="267"/>
      <c r="CW683" s="267"/>
      <c r="CX683" s="267"/>
      <c r="CY683" s="267"/>
      <c r="CZ683" s="267"/>
    </row>
    <row r="684" spans="2:104">
      <c r="B684" s="1235"/>
      <c r="C684" s="1235"/>
      <c r="D684" s="1235"/>
      <c r="E684" s="267"/>
      <c r="F684" s="267"/>
      <c r="G684" s="267"/>
      <c r="H684" s="267"/>
      <c r="I684" s="267"/>
      <c r="J684" s="267"/>
      <c r="K684" s="267"/>
      <c r="L684" s="267"/>
      <c r="M684" s="267"/>
      <c r="N684" s="267"/>
      <c r="O684" s="267"/>
      <c r="P684" s="267"/>
      <c r="Q684" s="267"/>
      <c r="R684" s="267"/>
      <c r="S684" s="267"/>
      <c r="T684" s="267"/>
      <c r="U684" s="267"/>
      <c r="V684" s="267"/>
      <c r="W684" s="267"/>
      <c r="X684" s="267"/>
      <c r="Y684" s="267"/>
      <c r="Z684" s="267"/>
      <c r="AA684" s="267"/>
      <c r="AB684" s="267"/>
      <c r="AC684" s="267"/>
      <c r="AD684" s="267"/>
      <c r="AE684" s="267"/>
      <c r="AF684" s="267"/>
      <c r="AG684" s="267"/>
      <c r="AH684" s="267"/>
      <c r="AI684" s="267"/>
      <c r="AJ684" s="267"/>
      <c r="AK684" s="267"/>
      <c r="AL684" s="267"/>
      <c r="AM684" s="267"/>
      <c r="AN684" s="267"/>
      <c r="AO684" s="267"/>
      <c r="AP684" s="267"/>
      <c r="AQ684" s="267"/>
      <c r="AR684" s="267"/>
      <c r="AS684" s="267"/>
      <c r="AT684" s="267"/>
      <c r="AU684" s="267"/>
      <c r="AV684" s="267"/>
      <c r="AW684" s="267"/>
      <c r="AX684" s="267"/>
      <c r="AY684" s="267"/>
      <c r="AZ684" s="267"/>
      <c r="BA684" s="267"/>
      <c r="BB684" s="267"/>
      <c r="BC684" s="267"/>
      <c r="BD684" s="267"/>
      <c r="BE684" s="267"/>
      <c r="BF684" s="267"/>
      <c r="BG684" s="267"/>
      <c r="BH684" s="267"/>
      <c r="BI684" s="267"/>
      <c r="BJ684" s="267"/>
      <c r="BK684" s="267"/>
      <c r="BL684" s="267"/>
      <c r="BM684" s="267"/>
      <c r="BN684" s="267"/>
      <c r="BO684" s="267"/>
      <c r="BP684" s="267"/>
      <c r="BQ684" s="267"/>
      <c r="BR684" s="267"/>
      <c r="BS684" s="267"/>
      <c r="BT684" s="267"/>
      <c r="BU684" s="267"/>
      <c r="BV684" s="267"/>
      <c r="BW684" s="267"/>
      <c r="BX684" s="267"/>
      <c r="BY684" s="267"/>
      <c r="BZ684" s="267"/>
      <c r="CA684" s="267"/>
      <c r="CB684" s="267"/>
      <c r="CC684" s="267"/>
      <c r="CD684" s="267"/>
      <c r="CE684" s="267"/>
      <c r="CF684" s="267"/>
      <c r="CG684" s="267"/>
      <c r="CH684" s="267"/>
      <c r="CI684" s="267"/>
      <c r="CJ684" s="267"/>
      <c r="CK684" s="267"/>
      <c r="CL684" s="267"/>
      <c r="CM684" s="267"/>
      <c r="CN684" s="267"/>
      <c r="CO684" s="267"/>
      <c r="CP684" s="267"/>
      <c r="CQ684" s="267"/>
      <c r="CR684" s="267"/>
      <c r="CS684" s="267"/>
      <c r="CT684" s="267"/>
      <c r="CU684" s="267"/>
      <c r="CV684" s="267"/>
      <c r="CW684" s="267"/>
      <c r="CX684" s="267"/>
      <c r="CY684" s="267"/>
      <c r="CZ684" s="267"/>
    </row>
    <row r="685" spans="2:104">
      <c r="B685" s="1235"/>
      <c r="C685" s="1235"/>
      <c r="D685" s="1235"/>
      <c r="E685" s="267"/>
      <c r="F685" s="267"/>
      <c r="G685" s="267"/>
      <c r="H685" s="267"/>
      <c r="I685" s="267"/>
      <c r="J685" s="267"/>
      <c r="K685" s="267"/>
      <c r="L685" s="267"/>
      <c r="M685" s="267"/>
      <c r="N685" s="267"/>
      <c r="O685" s="267"/>
      <c r="P685" s="267"/>
      <c r="Q685" s="267"/>
      <c r="R685" s="267"/>
      <c r="S685" s="267"/>
      <c r="T685" s="267"/>
      <c r="U685" s="267"/>
      <c r="V685" s="267"/>
      <c r="W685" s="267"/>
      <c r="X685" s="267"/>
      <c r="Y685" s="267"/>
      <c r="Z685" s="267"/>
      <c r="AA685" s="267"/>
      <c r="AB685" s="267"/>
      <c r="AC685" s="267"/>
      <c r="AD685" s="267"/>
      <c r="AE685" s="267"/>
      <c r="AF685" s="267"/>
      <c r="AG685" s="267"/>
      <c r="AH685" s="267"/>
      <c r="AI685" s="267"/>
      <c r="AJ685" s="267"/>
      <c r="AK685" s="267"/>
      <c r="AL685" s="267"/>
      <c r="AM685" s="267"/>
      <c r="AN685" s="267"/>
      <c r="AO685" s="267"/>
      <c r="AP685" s="267"/>
      <c r="AQ685" s="267"/>
      <c r="AR685" s="267"/>
      <c r="AS685" s="267"/>
      <c r="AT685" s="267"/>
      <c r="AU685" s="267"/>
      <c r="AV685" s="267"/>
      <c r="AW685" s="267"/>
      <c r="AX685" s="267"/>
      <c r="AY685" s="267"/>
      <c r="AZ685" s="267"/>
      <c r="BA685" s="267"/>
      <c r="BB685" s="267"/>
      <c r="BC685" s="267"/>
      <c r="BD685" s="267"/>
      <c r="BE685" s="267"/>
      <c r="BF685" s="267"/>
      <c r="BG685" s="267"/>
      <c r="BH685" s="267"/>
      <c r="BI685" s="267"/>
      <c r="BJ685" s="267"/>
      <c r="BK685" s="267"/>
      <c r="BL685" s="267"/>
      <c r="BM685" s="267"/>
      <c r="BN685" s="267"/>
      <c r="BO685" s="267"/>
      <c r="BP685" s="267"/>
      <c r="BQ685" s="267"/>
      <c r="BR685" s="267"/>
      <c r="BS685" s="267"/>
      <c r="BT685" s="267"/>
      <c r="BU685" s="267"/>
      <c r="BV685" s="267"/>
      <c r="BW685" s="267"/>
      <c r="BX685" s="267"/>
      <c r="BY685" s="267"/>
      <c r="BZ685" s="267"/>
      <c r="CA685" s="267"/>
      <c r="CB685" s="267"/>
      <c r="CC685" s="267"/>
      <c r="CD685" s="267"/>
      <c r="CE685" s="267"/>
      <c r="CF685" s="267"/>
      <c r="CG685" s="267"/>
      <c r="CH685" s="267"/>
      <c r="CI685" s="267"/>
      <c r="CJ685" s="267"/>
      <c r="CK685" s="267"/>
      <c r="CL685" s="267"/>
      <c r="CM685" s="267"/>
      <c r="CN685" s="267"/>
      <c r="CO685" s="267"/>
      <c r="CP685" s="267"/>
      <c r="CQ685" s="267"/>
      <c r="CR685" s="267"/>
      <c r="CS685" s="267"/>
      <c r="CT685" s="267"/>
      <c r="CU685" s="267"/>
      <c r="CV685" s="267"/>
      <c r="CW685" s="267"/>
      <c r="CX685" s="267"/>
      <c r="CY685" s="267"/>
      <c r="CZ685" s="267"/>
    </row>
    <row r="686" spans="2:104">
      <c r="B686" s="1235"/>
      <c r="C686" s="1235"/>
      <c r="D686" s="1235"/>
      <c r="E686" s="267"/>
      <c r="F686" s="267"/>
      <c r="G686" s="267"/>
      <c r="H686" s="267"/>
      <c r="I686" s="267"/>
      <c r="J686" s="267"/>
      <c r="K686" s="267"/>
      <c r="L686" s="267"/>
      <c r="M686" s="267"/>
      <c r="N686" s="267"/>
      <c r="O686" s="267"/>
      <c r="P686" s="267"/>
      <c r="Q686" s="267"/>
      <c r="R686" s="267"/>
      <c r="S686" s="267"/>
      <c r="T686" s="267"/>
      <c r="U686" s="267"/>
      <c r="V686" s="267"/>
      <c r="W686" s="267"/>
      <c r="X686" s="267"/>
      <c r="Y686" s="267"/>
      <c r="Z686" s="267"/>
      <c r="AA686" s="267"/>
      <c r="AB686" s="267"/>
      <c r="AC686" s="267"/>
      <c r="AD686" s="267"/>
      <c r="AE686" s="267"/>
      <c r="AF686" s="267"/>
      <c r="AG686" s="267"/>
      <c r="AH686" s="267"/>
      <c r="AI686" s="267"/>
      <c r="AJ686" s="267"/>
      <c r="AK686" s="267"/>
      <c r="AL686" s="267"/>
      <c r="AM686" s="267"/>
      <c r="AN686" s="267"/>
      <c r="AO686" s="267"/>
      <c r="AP686" s="267"/>
      <c r="AQ686" s="267"/>
      <c r="AR686" s="267"/>
      <c r="AS686" s="267"/>
      <c r="AT686" s="267"/>
      <c r="AU686" s="267"/>
      <c r="AV686" s="267"/>
      <c r="AW686" s="267"/>
      <c r="AX686" s="267"/>
      <c r="AY686" s="267"/>
      <c r="AZ686" s="267"/>
      <c r="BA686" s="267"/>
      <c r="BB686" s="267"/>
      <c r="BC686" s="267"/>
      <c r="BD686" s="267"/>
      <c r="BE686" s="267"/>
      <c r="BF686" s="267"/>
      <c r="BG686" s="267"/>
      <c r="BH686" s="267"/>
      <c r="BI686" s="267"/>
      <c r="BJ686" s="267"/>
      <c r="BK686" s="267"/>
      <c r="BL686" s="267"/>
      <c r="BM686" s="267"/>
      <c r="BN686" s="267"/>
      <c r="BO686" s="267"/>
      <c r="BP686" s="267"/>
      <c r="BQ686" s="267"/>
      <c r="BR686" s="267"/>
      <c r="BS686" s="267"/>
      <c r="BT686" s="267"/>
      <c r="BU686" s="267"/>
      <c r="BV686" s="267"/>
      <c r="BW686" s="267"/>
      <c r="BX686" s="267"/>
      <c r="BY686" s="267"/>
      <c r="BZ686" s="267"/>
      <c r="CA686" s="267"/>
      <c r="CB686" s="267"/>
      <c r="CC686" s="267"/>
      <c r="CD686" s="267"/>
      <c r="CE686" s="267"/>
      <c r="CF686" s="267"/>
      <c r="CG686" s="267"/>
      <c r="CH686" s="267"/>
      <c r="CI686" s="267"/>
      <c r="CJ686" s="267"/>
      <c r="CK686" s="267"/>
      <c r="CL686" s="267"/>
      <c r="CM686" s="267"/>
      <c r="CN686" s="267"/>
      <c r="CO686" s="267"/>
      <c r="CP686" s="267"/>
      <c r="CQ686" s="267"/>
      <c r="CR686" s="267"/>
      <c r="CS686" s="267"/>
      <c r="CT686" s="267"/>
      <c r="CU686" s="267"/>
      <c r="CV686" s="267"/>
      <c r="CW686" s="267"/>
      <c r="CX686" s="267"/>
      <c r="CY686" s="267"/>
      <c r="CZ686" s="267"/>
    </row>
    <row r="687" spans="2:104">
      <c r="B687" s="1235"/>
      <c r="C687" s="1235"/>
      <c r="D687" s="1235"/>
      <c r="E687" s="267"/>
      <c r="F687" s="267"/>
      <c r="G687" s="267"/>
      <c r="H687" s="267"/>
      <c r="I687" s="267"/>
      <c r="J687" s="267"/>
      <c r="K687" s="267"/>
      <c r="L687" s="267"/>
      <c r="M687" s="267"/>
      <c r="N687" s="267"/>
      <c r="O687" s="267"/>
      <c r="P687" s="267"/>
      <c r="Q687" s="267"/>
      <c r="R687" s="267"/>
      <c r="S687" s="267"/>
      <c r="T687" s="267"/>
      <c r="U687" s="267"/>
      <c r="V687" s="267"/>
      <c r="W687" s="267"/>
      <c r="X687" s="267"/>
      <c r="Y687" s="267"/>
      <c r="Z687" s="267"/>
      <c r="AA687" s="267"/>
      <c r="AB687" s="267"/>
      <c r="AC687" s="267"/>
      <c r="AD687" s="267"/>
      <c r="AE687" s="267"/>
      <c r="AF687" s="267"/>
      <c r="AG687" s="267"/>
      <c r="AH687" s="267"/>
      <c r="AI687" s="267"/>
      <c r="AJ687" s="267"/>
      <c r="AK687" s="267"/>
      <c r="AL687" s="267"/>
      <c r="AM687" s="267"/>
      <c r="AN687" s="267"/>
      <c r="AO687" s="267"/>
      <c r="AP687" s="267"/>
      <c r="AQ687" s="267"/>
      <c r="AR687" s="267"/>
      <c r="AS687" s="267"/>
      <c r="AT687" s="267"/>
      <c r="AU687" s="267"/>
      <c r="AV687" s="267"/>
      <c r="AW687" s="267"/>
      <c r="AX687" s="267"/>
      <c r="AY687" s="267"/>
      <c r="AZ687" s="267"/>
      <c r="BA687" s="267"/>
      <c r="BB687" s="267"/>
      <c r="BC687" s="267"/>
      <c r="BD687" s="267"/>
      <c r="BE687" s="267"/>
      <c r="BF687" s="267"/>
      <c r="BG687" s="267"/>
      <c r="BH687" s="267"/>
      <c r="BI687" s="267"/>
      <c r="BJ687" s="267"/>
      <c r="BK687" s="267"/>
      <c r="BL687" s="267"/>
      <c r="BM687" s="267"/>
      <c r="BN687" s="267"/>
      <c r="BO687" s="267"/>
      <c r="BP687" s="267"/>
      <c r="BQ687" s="267"/>
      <c r="BR687" s="267"/>
      <c r="BS687" s="267"/>
      <c r="BT687" s="267"/>
      <c r="BU687" s="267"/>
      <c r="BV687" s="267"/>
      <c r="BW687" s="267"/>
      <c r="BX687" s="267"/>
      <c r="BY687" s="267"/>
      <c r="BZ687" s="267"/>
      <c r="CA687" s="267"/>
      <c r="CB687" s="267"/>
      <c r="CC687" s="267"/>
      <c r="CD687" s="267"/>
      <c r="CE687" s="267"/>
      <c r="CF687" s="267"/>
      <c r="CG687" s="267"/>
      <c r="CH687" s="267"/>
      <c r="CI687" s="267"/>
      <c r="CJ687" s="267"/>
      <c r="CK687" s="267"/>
      <c r="CL687" s="267"/>
      <c r="CM687" s="267"/>
      <c r="CN687" s="267"/>
      <c r="CO687" s="267"/>
      <c r="CP687" s="267"/>
      <c r="CQ687" s="267"/>
      <c r="CR687" s="267"/>
      <c r="CS687" s="267"/>
      <c r="CT687" s="267"/>
      <c r="CU687" s="267"/>
      <c r="CV687" s="267"/>
      <c r="CW687" s="267"/>
      <c r="CX687" s="267"/>
      <c r="CY687" s="267"/>
      <c r="CZ687" s="267"/>
    </row>
    <row r="688" spans="2:104">
      <c r="B688" s="1235"/>
      <c r="C688" s="1235"/>
      <c r="D688" s="1235"/>
      <c r="E688" s="267"/>
      <c r="F688" s="267"/>
      <c r="G688" s="267"/>
      <c r="H688" s="267"/>
      <c r="I688" s="267"/>
      <c r="J688" s="267"/>
      <c r="K688" s="267"/>
      <c r="L688" s="267"/>
      <c r="M688" s="267"/>
      <c r="N688" s="267"/>
      <c r="O688" s="267"/>
      <c r="P688" s="267"/>
      <c r="Q688" s="267"/>
      <c r="R688" s="267"/>
      <c r="S688" s="267"/>
      <c r="T688" s="267"/>
      <c r="U688" s="267"/>
      <c r="V688" s="267"/>
      <c r="W688" s="267"/>
      <c r="X688" s="267"/>
      <c r="Y688" s="267"/>
      <c r="Z688" s="267"/>
      <c r="AA688" s="267"/>
      <c r="AB688" s="267"/>
      <c r="AC688" s="267"/>
      <c r="AD688" s="267"/>
      <c r="AE688" s="267"/>
      <c r="AF688" s="267"/>
      <c r="AG688" s="267"/>
      <c r="AH688" s="267"/>
      <c r="AI688" s="267"/>
      <c r="AJ688" s="267"/>
      <c r="AK688" s="267"/>
      <c r="AL688" s="267"/>
      <c r="AM688" s="267"/>
      <c r="AN688" s="267"/>
      <c r="AO688" s="267"/>
      <c r="AP688" s="267"/>
      <c r="AQ688" s="267"/>
      <c r="AR688" s="267"/>
      <c r="AS688" s="267"/>
      <c r="AT688" s="267"/>
      <c r="AU688" s="267"/>
      <c r="AV688" s="267"/>
      <c r="AW688" s="267"/>
      <c r="AX688" s="267"/>
      <c r="AY688" s="267"/>
      <c r="AZ688" s="267"/>
      <c r="BA688" s="267"/>
      <c r="BB688" s="267"/>
      <c r="BC688" s="267"/>
      <c r="BD688" s="267"/>
      <c r="BE688" s="267"/>
      <c r="BF688" s="267"/>
      <c r="BG688" s="267"/>
      <c r="BH688" s="267"/>
      <c r="BI688" s="267"/>
      <c r="BJ688" s="267"/>
      <c r="BK688" s="267"/>
      <c r="BL688" s="267"/>
      <c r="BM688" s="267"/>
      <c r="BN688" s="267"/>
      <c r="BO688" s="267"/>
      <c r="BP688" s="267"/>
      <c r="BQ688" s="267"/>
      <c r="BR688" s="267"/>
      <c r="BS688" s="267"/>
      <c r="BT688" s="267"/>
      <c r="BU688" s="267"/>
      <c r="BV688" s="267"/>
      <c r="BW688" s="267"/>
      <c r="BX688" s="267"/>
      <c r="BY688" s="267"/>
      <c r="BZ688" s="267"/>
      <c r="CA688" s="267"/>
      <c r="CB688" s="267"/>
      <c r="CC688" s="267"/>
      <c r="CD688" s="267"/>
      <c r="CE688" s="267"/>
      <c r="CF688" s="267"/>
      <c r="CG688" s="267"/>
      <c r="CH688" s="267"/>
      <c r="CI688" s="267"/>
      <c r="CJ688" s="267"/>
      <c r="CK688" s="267"/>
      <c r="CL688" s="267"/>
      <c r="CM688" s="267"/>
      <c r="CN688" s="267"/>
      <c r="CO688" s="267"/>
      <c r="CP688" s="267"/>
      <c r="CQ688" s="267"/>
      <c r="CR688" s="267"/>
      <c r="CS688" s="267"/>
      <c r="CT688" s="267"/>
      <c r="CU688" s="267"/>
      <c r="CV688" s="267"/>
      <c r="CW688" s="267"/>
      <c r="CX688" s="267"/>
      <c r="CY688" s="267"/>
      <c r="CZ688" s="267"/>
    </row>
    <row r="689" spans="2:104">
      <c r="B689" s="1235"/>
      <c r="C689" s="1235"/>
      <c r="D689" s="1235"/>
      <c r="E689" s="267"/>
      <c r="F689" s="267"/>
      <c r="G689" s="267"/>
      <c r="H689" s="267"/>
      <c r="I689" s="267"/>
      <c r="J689" s="267"/>
      <c r="K689" s="267"/>
      <c r="L689" s="267"/>
      <c r="M689" s="267"/>
      <c r="N689" s="267"/>
      <c r="O689" s="267"/>
      <c r="P689" s="267"/>
      <c r="Q689" s="267"/>
      <c r="R689" s="267"/>
      <c r="S689" s="267"/>
      <c r="T689" s="267"/>
      <c r="U689" s="267"/>
      <c r="V689" s="267"/>
      <c r="W689" s="267"/>
      <c r="X689" s="267"/>
      <c r="Y689" s="267"/>
      <c r="Z689" s="267"/>
      <c r="AA689" s="267"/>
      <c r="AB689" s="267"/>
      <c r="AC689" s="267"/>
      <c r="AD689" s="267"/>
      <c r="AE689" s="267"/>
      <c r="AF689" s="267"/>
      <c r="AG689" s="267"/>
      <c r="AH689" s="267"/>
      <c r="AI689" s="267"/>
      <c r="AJ689" s="267"/>
      <c r="AK689" s="267"/>
      <c r="AL689" s="267"/>
      <c r="AM689" s="267"/>
      <c r="AN689" s="267"/>
      <c r="AO689" s="267"/>
      <c r="AP689" s="267"/>
      <c r="AQ689" s="267"/>
      <c r="AR689" s="267"/>
      <c r="AS689" s="267"/>
      <c r="AT689" s="267"/>
      <c r="AU689" s="267"/>
      <c r="AV689" s="267"/>
      <c r="AW689" s="267"/>
      <c r="AX689" s="267"/>
      <c r="AY689" s="267"/>
      <c r="AZ689" s="267"/>
      <c r="BA689" s="267"/>
      <c r="BB689" s="267"/>
      <c r="BC689" s="267"/>
      <c r="BD689" s="267"/>
      <c r="BE689" s="267"/>
      <c r="BF689" s="267"/>
      <c r="BG689" s="267"/>
      <c r="BH689" s="267"/>
      <c r="BI689" s="267"/>
      <c r="BJ689" s="267"/>
      <c r="BK689" s="267"/>
      <c r="BL689" s="267"/>
      <c r="BM689" s="267"/>
      <c r="BN689" s="267"/>
      <c r="BO689" s="267"/>
      <c r="BP689" s="267"/>
      <c r="BQ689" s="267"/>
      <c r="BR689" s="267"/>
      <c r="BS689" s="267"/>
      <c r="BT689" s="267"/>
      <c r="BU689" s="267"/>
      <c r="BV689" s="267"/>
      <c r="BW689" s="267"/>
      <c r="BX689" s="267"/>
      <c r="BY689" s="267"/>
      <c r="BZ689" s="267"/>
      <c r="CA689" s="267"/>
      <c r="CB689" s="267"/>
      <c r="CC689" s="267"/>
      <c r="CD689" s="267"/>
      <c r="CE689" s="267"/>
      <c r="CF689" s="267"/>
      <c r="CG689" s="267"/>
      <c r="CH689" s="267"/>
      <c r="CI689" s="267"/>
      <c r="CJ689" s="267"/>
      <c r="CK689" s="267"/>
      <c r="CL689" s="267"/>
      <c r="CM689" s="267"/>
      <c r="CN689" s="267"/>
      <c r="CO689" s="267"/>
      <c r="CP689" s="267"/>
      <c r="CQ689" s="267"/>
      <c r="CR689" s="267"/>
      <c r="CS689" s="267"/>
      <c r="CT689" s="267"/>
      <c r="CU689" s="267"/>
      <c r="CV689" s="267"/>
      <c r="CW689" s="267"/>
      <c r="CX689" s="267"/>
      <c r="CY689" s="267"/>
      <c r="CZ689" s="267"/>
    </row>
    <row r="690" spans="2:104">
      <c r="B690" s="1235"/>
      <c r="C690" s="1235"/>
      <c r="D690" s="1235"/>
      <c r="E690" s="267"/>
      <c r="F690" s="267"/>
      <c r="G690" s="267"/>
      <c r="H690" s="267"/>
      <c r="I690" s="267"/>
      <c r="J690" s="267"/>
      <c r="K690" s="267"/>
      <c r="L690" s="267"/>
      <c r="M690" s="267"/>
      <c r="N690" s="267"/>
      <c r="O690" s="267"/>
      <c r="P690" s="267"/>
      <c r="Q690" s="267"/>
      <c r="R690" s="267"/>
      <c r="S690" s="267"/>
      <c r="T690" s="267"/>
      <c r="U690" s="267"/>
      <c r="V690" s="267"/>
      <c r="W690" s="267"/>
      <c r="X690" s="267"/>
      <c r="Y690" s="267"/>
      <c r="Z690" s="267"/>
      <c r="AA690" s="267"/>
      <c r="AB690" s="267"/>
      <c r="AC690" s="267"/>
      <c r="AD690" s="267"/>
      <c r="AE690" s="267"/>
      <c r="AF690" s="267"/>
      <c r="AG690" s="267"/>
      <c r="AH690" s="267"/>
      <c r="AI690" s="267"/>
      <c r="AJ690" s="267"/>
      <c r="AK690" s="267"/>
      <c r="AL690" s="267"/>
      <c r="AM690" s="267"/>
      <c r="AN690" s="267"/>
      <c r="AO690" s="267"/>
      <c r="AP690" s="267"/>
      <c r="AQ690" s="267"/>
      <c r="AR690" s="267"/>
      <c r="AS690" s="267"/>
      <c r="AT690" s="267"/>
      <c r="AU690" s="267"/>
      <c r="AV690" s="267"/>
      <c r="AW690" s="267"/>
      <c r="AX690" s="267"/>
      <c r="AY690" s="267"/>
      <c r="AZ690" s="267"/>
      <c r="BA690" s="267"/>
      <c r="BB690" s="267"/>
      <c r="BC690" s="267"/>
      <c r="BD690" s="267"/>
      <c r="BE690" s="267"/>
      <c r="BF690" s="267"/>
      <c r="BG690" s="267"/>
      <c r="BH690" s="267"/>
      <c r="BI690" s="267"/>
      <c r="BJ690" s="267"/>
      <c r="BK690" s="267"/>
      <c r="BL690" s="267"/>
      <c r="BM690" s="267"/>
      <c r="BN690" s="267"/>
      <c r="BO690" s="267"/>
      <c r="BP690" s="267"/>
      <c r="BQ690" s="267"/>
      <c r="BR690" s="267"/>
      <c r="BS690" s="267"/>
      <c r="BT690" s="267"/>
      <c r="BU690" s="267"/>
      <c r="BV690" s="267"/>
      <c r="BW690" s="267"/>
      <c r="BX690" s="267"/>
      <c r="BY690" s="267"/>
      <c r="BZ690" s="267"/>
      <c r="CA690" s="267"/>
      <c r="CB690" s="267"/>
      <c r="CC690" s="267"/>
      <c r="CD690" s="267"/>
      <c r="CE690" s="267"/>
      <c r="CF690" s="267"/>
      <c r="CG690" s="267"/>
      <c r="CH690" s="267"/>
      <c r="CI690" s="267"/>
      <c r="CJ690" s="267"/>
      <c r="CK690" s="267"/>
      <c r="CL690" s="267"/>
      <c r="CM690" s="267"/>
      <c r="CN690" s="267"/>
      <c r="CO690" s="267"/>
      <c r="CP690" s="267"/>
      <c r="CQ690" s="267"/>
      <c r="CR690" s="267"/>
      <c r="CS690" s="267"/>
      <c r="CT690" s="267"/>
      <c r="CU690" s="267"/>
      <c r="CV690" s="267"/>
      <c r="CW690" s="267"/>
      <c r="CX690" s="267"/>
      <c r="CY690" s="267"/>
      <c r="CZ690" s="267"/>
    </row>
    <row r="691" spans="2:104">
      <c r="B691" s="1235"/>
      <c r="C691" s="1235"/>
      <c r="D691" s="1235"/>
      <c r="E691" s="267"/>
      <c r="F691" s="267"/>
      <c r="G691" s="267"/>
      <c r="H691" s="267"/>
      <c r="I691" s="267"/>
      <c r="J691" s="267"/>
      <c r="K691" s="267"/>
      <c r="L691" s="267"/>
      <c r="M691" s="267"/>
      <c r="N691" s="267"/>
      <c r="O691" s="267"/>
      <c r="P691" s="267"/>
      <c r="Q691" s="267"/>
      <c r="R691" s="267"/>
      <c r="S691" s="267"/>
      <c r="T691" s="267"/>
      <c r="U691" s="267"/>
      <c r="V691" s="267"/>
      <c r="W691" s="267"/>
      <c r="X691" s="267"/>
      <c r="Y691" s="267"/>
      <c r="Z691" s="267"/>
      <c r="AA691" s="267"/>
      <c r="AB691" s="267"/>
      <c r="AC691" s="267"/>
      <c r="AD691" s="267"/>
      <c r="AE691" s="267"/>
      <c r="AF691" s="267"/>
      <c r="AG691" s="267"/>
      <c r="AH691" s="267"/>
      <c r="AI691" s="267"/>
      <c r="AJ691" s="267"/>
      <c r="AK691" s="267"/>
      <c r="AL691" s="267"/>
      <c r="AM691" s="267"/>
      <c r="AN691" s="267"/>
      <c r="AO691" s="267"/>
      <c r="AP691" s="267"/>
      <c r="AQ691" s="267"/>
      <c r="AR691" s="267"/>
      <c r="AS691" s="267"/>
      <c r="AT691" s="267"/>
      <c r="AU691" s="267"/>
      <c r="AV691" s="267"/>
      <c r="AW691" s="267"/>
      <c r="AX691" s="267"/>
      <c r="AY691" s="267"/>
      <c r="AZ691" s="267"/>
      <c r="BA691" s="267"/>
      <c r="BB691" s="267"/>
      <c r="BC691" s="267"/>
      <c r="BD691" s="267"/>
      <c r="BE691" s="267"/>
      <c r="BF691" s="267"/>
      <c r="BG691" s="267"/>
      <c r="BH691" s="267"/>
      <c r="BI691" s="267"/>
      <c r="BJ691" s="267"/>
      <c r="BK691" s="267"/>
      <c r="BL691" s="267"/>
      <c r="BM691" s="267"/>
      <c r="BN691" s="267"/>
      <c r="BO691" s="267"/>
      <c r="BP691" s="267"/>
      <c r="BQ691" s="267"/>
      <c r="BR691" s="267"/>
      <c r="BS691" s="267"/>
      <c r="BT691" s="267"/>
      <c r="BU691" s="267"/>
      <c r="BV691" s="267"/>
      <c r="BW691" s="267"/>
      <c r="BX691" s="267"/>
      <c r="BY691" s="267"/>
      <c r="BZ691" s="267"/>
      <c r="CA691" s="267"/>
      <c r="CB691" s="267"/>
      <c r="CC691" s="267"/>
      <c r="CD691" s="267"/>
      <c r="CE691" s="267"/>
      <c r="CF691" s="267"/>
      <c r="CG691" s="267"/>
      <c r="CH691" s="267"/>
      <c r="CI691" s="267"/>
      <c r="CJ691" s="267"/>
      <c r="CK691" s="267"/>
      <c r="CL691" s="267"/>
      <c r="CM691" s="267"/>
      <c r="CN691" s="267"/>
      <c r="CO691" s="267"/>
      <c r="CP691" s="267"/>
      <c r="CQ691" s="267"/>
      <c r="CR691" s="267"/>
      <c r="CS691" s="267"/>
      <c r="CT691" s="267"/>
      <c r="CU691" s="267"/>
      <c r="CV691" s="267"/>
      <c r="CW691" s="267"/>
      <c r="CX691" s="267"/>
      <c r="CY691" s="267"/>
      <c r="CZ691" s="267"/>
    </row>
    <row r="692" spans="2:104">
      <c r="B692" s="1235"/>
      <c r="C692" s="1235"/>
      <c r="D692" s="1235"/>
      <c r="E692" s="267"/>
      <c r="F692" s="267"/>
      <c r="G692" s="267"/>
      <c r="H692" s="267"/>
      <c r="I692" s="267"/>
      <c r="J692" s="267"/>
      <c r="K692" s="267"/>
      <c r="L692" s="267"/>
      <c r="M692" s="267"/>
      <c r="N692" s="267"/>
      <c r="O692" s="267"/>
      <c r="P692" s="267"/>
      <c r="Q692" s="267"/>
      <c r="R692" s="267"/>
      <c r="S692" s="267"/>
      <c r="T692" s="267"/>
      <c r="U692" s="267"/>
      <c r="V692" s="267"/>
      <c r="W692" s="267"/>
      <c r="X692" s="267"/>
      <c r="Y692" s="267"/>
      <c r="Z692" s="267"/>
      <c r="AA692" s="267"/>
      <c r="AB692" s="267"/>
      <c r="AC692" s="267"/>
      <c r="AD692" s="267"/>
      <c r="AE692" s="267"/>
      <c r="AF692" s="267"/>
      <c r="AG692" s="267"/>
      <c r="AH692" s="267"/>
      <c r="AI692" s="267"/>
      <c r="AJ692" s="267"/>
      <c r="AK692" s="267"/>
      <c r="AL692" s="267"/>
      <c r="AM692" s="267"/>
      <c r="AN692" s="267"/>
      <c r="AO692" s="267"/>
      <c r="AP692" s="267"/>
      <c r="AQ692" s="267"/>
      <c r="AR692" s="267"/>
      <c r="AS692" s="267"/>
      <c r="AT692" s="267"/>
      <c r="AU692" s="267"/>
      <c r="AV692" s="267"/>
      <c r="AW692" s="267"/>
      <c r="AX692" s="267"/>
      <c r="AY692" s="267"/>
      <c r="AZ692" s="267"/>
      <c r="BA692" s="267"/>
      <c r="BB692" s="267"/>
      <c r="BC692" s="267"/>
      <c r="BD692" s="267"/>
      <c r="BE692" s="267"/>
      <c r="BF692" s="267"/>
      <c r="BG692" s="267"/>
      <c r="BH692" s="267"/>
      <c r="BI692" s="267"/>
      <c r="BJ692" s="267"/>
      <c r="BK692" s="267"/>
      <c r="BL692" s="267"/>
      <c r="BM692" s="267"/>
      <c r="BN692" s="267"/>
      <c r="BO692" s="267"/>
      <c r="BP692" s="267"/>
      <c r="BQ692" s="267"/>
      <c r="BR692" s="267"/>
      <c r="BS692" s="267"/>
      <c r="BT692" s="267"/>
      <c r="BU692" s="267"/>
      <c r="BV692" s="267"/>
      <c r="BW692" s="267"/>
      <c r="BX692" s="267"/>
      <c r="BY692" s="267"/>
      <c r="BZ692" s="267"/>
      <c r="CA692" s="267"/>
      <c r="CB692" s="267"/>
      <c r="CC692" s="267"/>
      <c r="CD692" s="267"/>
      <c r="CE692" s="267"/>
      <c r="CF692" s="267"/>
      <c r="CG692" s="267"/>
      <c r="CH692" s="267"/>
      <c r="CI692" s="267"/>
      <c r="CJ692" s="267"/>
      <c r="CK692" s="267"/>
      <c r="CL692" s="267"/>
      <c r="CM692" s="267"/>
      <c r="CN692" s="267"/>
      <c r="CO692" s="267"/>
      <c r="CP692" s="267"/>
      <c r="CQ692" s="267"/>
      <c r="CR692" s="267"/>
      <c r="CS692" s="267"/>
      <c r="CT692" s="267"/>
      <c r="CU692" s="267"/>
      <c r="CV692" s="267"/>
      <c r="CW692" s="267"/>
      <c r="CX692" s="267"/>
      <c r="CY692" s="267"/>
      <c r="CZ692" s="267"/>
    </row>
    <row r="693" spans="2:104">
      <c r="B693" s="1235"/>
      <c r="C693" s="1235"/>
      <c r="D693" s="1235"/>
      <c r="E693" s="267"/>
      <c r="F693" s="267"/>
      <c r="G693" s="267"/>
      <c r="H693" s="267"/>
      <c r="I693" s="267"/>
      <c r="J693" s="267"/>
      <c r="K693" s="267"/>
      <c r="L693" s="267"/>
      <c r="M693" s="267"/>
      <c r="N693" s="267"/>
      <c r="O693" s="267"/>
      <c r="P693" s="267"/>
      <c r="Q693" s="267"/>
      <c r="R693" s="267"/>
      <c r="S693" s="267"/>
      <c r="T693" s="267"/>
      <c r="U693" s="267"/>
      <c r="V693" s="267"/>
      <c r="W693" s="267"/>
      <c r="X693" s="267"/>
      <c r="Y693" s="267"/>
      <c r="Z693" s="267"/>
      <c r="AA693" s="267"/>
      <c r="AB693" s="267"/>
      <c r="AC693" s="267"/>
      <c r="AD693" s="267"/>
      <c r="AE693" s="267"/>
      <c r="AF693" s="267"/>
      <c r="AG693" s="267"/>
      <c r="AH693" s="267"/>
      <c r="AI693" s="267"/>
      <c r="AJ693" s="267"/>
      <c r="AK693" s="267"/>
      <c r="AL693" s="267"/>
      <c r="AM693" s="267"/>
      <c r="AN693" s="267"/>
      <c r="AO693" s="267"/>
      <c r="AP693" s="267"/>
      <c r="AQ693" s="267"/>
      <c r="AR693" s="267"/>
      <c r="AS693" s="267"/>
      <c r="AT693" s="267"/>
      <c r="AU693" s="267"/>
      <c r="AV693" s="267"/>
      <c r="AW693" s="267"/>
      <c r="AX693" s="267"/>
      <c r="AY693" s="267"/>
      <c r="AZ693" s="267"/>
      <c r="BA693" s="267"/>
      <c r="BB693" s="267"/>
      <c r="BC693" s="267"/>
      <c r="BD693" s="267"/>
      <c r="BE693" s="267"/>
      <c r="BF693" s="267"/>
      <c r="BG693" s="267"/>
      <c r="BH693" s="267"/>
      <c r="BI693" s="267"/>
      <c r="BJ693" s="267"/>
      <c r="BK693" s="267"/>
      <c r="BL693" s="267"/>
      <c r="BM693" s="267"/>
      <c r="BN693" s="267"/>
      <c r="BO693" s="267"/>
      <c r="BP693" s="267"/>
      <c r="BQ693" s="267"/>
      <c r="BR693" s="267"/>
      <c r="BS693" s="267"/>
      <c r="BT693" s="267"/>
      <c r="BU693" s="267"/>
      <c r="BV693" s="267"/>
      <c r="BW693" s="267"/>
      <c r="BX693" s="267"/>
      <c r="BY693" s="267"/>
      <c r="BZ693" s="267"/>
      <c r="CA693" s="267"/>
      <c r="CB693" s="267"/>
      <c r="CC693" s="267"/>
      <c r="CD693" s="267"/>
      <c r="CE693" s="267"/>
      <c r="CF693" s="267"/>
      <c r="CG693" s="267"/>
      <c r="CH693" s="267"/>
      <c r="CI693" s="267"/>
      <c r="CJ693" s="267"/>
      <c r="CK693" s="267"/>
      <c r="CL693" s="267"/>
      <c r="CM693" s="267"/>
      <c r="CN693" s="267"/>
      <c r="CO693" s="267"/>
      <c r="CP693" s="267"/>
      <c r="CQ693" s="267"/>
      <c r="CR693" s="267"/>
      <c r="CS693" s="267"/>
      <c r="CT693" s="267"/>
      <c r="CU693" s="267"/>
      <c r="CV693" s="267"/>
      <c r="CW693" s="267"/>
      <c r="CX693" s="267"/>
      <c r="CY693" s="267"/>
      <c r="CZ693" s="267"/>
    </row>
    <row r="694" spans="2:104">
      <c r="B694" s="1235"/>
      <c r="C694" s="1235"/>
      <c r="D694" s="1235"/>
      <c r="E694" s="267"/>
      <c r="F694" s="267"/>
      <c r="G694" s="267"/>
      <c r="H694" s="267"/>
      <c r="I694" s="267"/>
      <c r="J694" s="267"/>
      <c r="K694" s="267"/>
      <c r="L694" s="267"/>
      <c r="M694" s="267"/>
      <c r="N694" s="267"/>
      <c r="O694" s="267"/>
      <c r="P694" s="267"/>
      <c r="Q694" s="267"/>
      <c r="R694" s="267"/>
      <c r="S694" s="267"/>
      <c r="T694" s="267"/>
      <c r="U694" s="267"/>
      <c r="V694" s="267"/>
      <c r="W694" s="267"/>
      <c r="X694" s="267"/>
      <c r="Y694" s="267"/>
      <c r="Z694" s="267"/>
      <c r="AA694" s="267"/>
      <c r="AB694" s="267"/>
      <c r="AC694" s="267"/>
      <c r="AD694" s="267"/>
      <c r="AE694" s="267"/>
      <c r="AF694" s="267"/>
      <c r="AG694" s="267"/>
      <c r="AH694" s="267"/>
      <c r="AI694" s="267"/>
      <c r="AJ694" s="267"/>
      <c r="AK694" s="267"/>
      <c r="AL694" s="267"/>
      <c r="AM694" s="267"/>
      <c r="AN694" s="267"/>
      <c r="AO694" s="267"/>
      <c r="AP694" s="267"/>
      <c r="AQ694" s="267"/>
      <c r="AR694" s="267"/>
      <c r="AS694" s="267"/>
      <c r="AT694" s="267"/>
      <c r="AU694" s="267"/>
      <c r="AV694" s="267"/>
      <c r="AW694" s="267"/>
      <c r="AX694" s="267"/>
      <c r="AY694" s="267"/>
      <c r="AZ694" s="267"/>
      <c r="BA694" s="267"/>
      <c r="BB694" s="267"/>
      <c r="BC694" s="267"/>
      <c r="BD694" s="267"/>
      <c r="BE694" s="267"/>
      <c r="BF694" s="267"/>
      <c r="BG694" s="267"/>
      <c r="BH694" s="267"/>
      <c r="BI694" s="267"/>
      <c r="BJ694" s="267"/>
      <c r="BK694" s="267"/>
      <c r="BL694" s="267"/>
      <c r="BM694" s="267"/>
      <c r="BN694" s="267"/>
      <c r="BO694" s="267"/>
      <c r="BP694" s="267"/>
      <c r="BQ694" s="267"/>
      <c r="BR694" s="267"/>
      <c r="BS694" s="267"/>
      <c r="BT694" s="267"/>
      <c r="BU694" s="267"/>
      <c r="BV694" s="267"/>
      <c r="BW694" s="267"/>
      <c r="BX694" s="267"/>
      <c r="BY694" s="267"/>
      <c r="BZ694" s="267"/>
      <c r="CA694" s="267"/>
      <c r="CB694" s="267"/>
      <c r="CC694" s="267"/>
      <c r="CD694" s="267"/>
      <c r="CE694" s="267"/>
      <c r="CF694" s="267"/>
      <c r="CG694" s="267"/>
      <c r="CH694" s="267"/>
      <c r="CI694" s="267"/>
      <c r="CJ694" s="267"/>
      <c r="CK694" s="267"/>
      <c r="CL694" s="267"/>
      <c r="CM694" s="267"/>
      <c r="CN694" s="267"/>
      <c r="CO694" s="267"/>
      <c r="CP694" s="267"/>
      <c r="CQ694" s="267"/>
      <c r="CR694" s="267"/>
      <c r="CS694" s="267"/>
      <c r="CT694" s="267"/>
      <c r="CU694" s="267"/>
      <c r="CV694" s="267"/>
      <c r="CW694" s="267"/>
      <c r="CX694" s="267"/>
      <c r="CY694" s="267"/>
      <c r="CZ694" s="267"/>
    </row>
    <row r="695" spans="2:104">
      <c r="B695" s="1235"/>
      <c r="C695" s="1235"/>
      <c r="D695" s="1235"/>
      <c r="E695" s="267"/>
      <c r="F695" s="267"/>
      <c r="G695" s="267"/>
      <c r="H695" s="267"/>
      <c r="I695" s="267"/>
      <c r="J695" s="267"/>
      <c r="K695" s="267"/>
      <c r="L695" s="267"/>
      <c r="M695" s="267"/>
      <c r="N695" s="267"/>
      <c r="O695" s="267"/>
      <c r="P695" s="267"/>
      <c r="Q695" s="267"/>
      <c r="R695" s="267"/>
      <c r="S695" s="267"/>
      <c r="T695" s="267"/>
      <c r="U695" s="267"/>
      <c r="V695" s="267"/>
      <c r="W695" s="267"/>
      <c r="X695" s="267"/>
      <c r="Y695" s="267"/>
      <c r="Z695" s="267"/>
      <c r="AA695" s="267"/>
      <c r="AB695" s="267"/>
      <c r="AC695" s="267"/>
      <c r="AD695" s="267"/>
      <c r="AE695" s="267"/>
      <c r="AF695" s="267"/>
      <c r="AG695" s="267"/>
      <c r="AH695" s="267"/>
      <c r="AI695" s="267"/>
      <c r="AJ695" s="267"/>
      <c r="AK695" s="267"/>
      <c r="AL695" s="267"/>
      <c r="AM695" s="267"/>
      <c r="AN695" s="267"/>
      <c r="AO695" s="267"/>
      <c r="AP695" s="267"/>
      <c r="AQ695" s="267"/>
      <c r="AR695" s="267"/>
      <c r="AS695" s="267"/>
      <c r="AT695" s="267"/>
      <c r="AU695" s="267"/>
      <c r="AV695" s="267"/>
      <c r="AW695" s="267"/>
      <c r="AX695" s="267"/>
      <c r="AY695" s="267"/>
      <c r="AZ695" s="267"/>
      <c r="BA695" s="267"/>
      <c r="BB695" s="267"/>
      <c r="BC695" s="267"/>
      <c r="BD695" s="267"/>
      <c r="BE695" s="267"/>
      <c r="BF695" s="267"/>
      <c r="BG695" s="267"/>
      <c r="BH695" s="267"/>
      <c r="BI695" s="267"/>
      <c r="BJ695" s="267"/>
      <c r="BK695" s="267"/>
      <c r="BL695" s="267"/>
      <c r="BM695" s="267"/>
      <c r="BN695" s="267"/>
      <c r="BO695" s="267"/>
      <c r="BP695" s="267"/>
      <c r="BQ695" s="267"/>
      <c r="BR695" s="267"/>
      <c r="BS695" s="267"/>
      <c r="BT695" s="267"/>
      <c r="BU695" s="267"/>
      <c r="BV695" s="267"/>
      <c r="BW695" s="267"/>
      <c r="BX695" s="267"/>
      <c r="BY695" s="267"/>
      <c r="BZ695" s="267"/>
      <c r="CA695" s="267"/>
      <c r="CB695" s="267"/>
      <c r="CC695" s="267"/>
      <c r="CD695" s="267"/>
      <c r="CE695" s="267"/>
      <c r="CF695" s="267"/>
      <c r="CG695" s="267"/>
      <c r="CH695" s="267"/>
      <c r="CI695" s="267"/>
      <c r="CJ695" s="267"/>
      <c r="CK695" s="267"/>
      <c r="CL695" s="267"/>
      <c r="CM695" s="267"/>
      <c r="CN695" s="267"/>
      <c r="CO695" s="267"/>
      <c r="CP695" s="267"/>
      <c r="CQ695" s="267"/>
      <c r="CR695" s="267"/>
      <c r="CS695" s="267"/>
      <c r="CT695" s="267"/>
      <c r="CU695" s="267"/>
      <c r="CV695" s="267"/>
      <c r="CW695" s="267"/>
      <c r="CX695" s="267"/>
      <c r="CY695" s="267"/>
      <c r="CZ695" s="267"/>
    </row>
    <row r="696" spans="2:104">
      <c r="B696" s="1235"/>
      <c r="C696" s="1235"/>
      <c r="D696" s="1235"/>
      <c r="E696" s="267"/>
      <c r="F696" s="267"/>
      <c r="G696" s="267"/>
      <c r="H696" s="267"/>
      <c r="I696" s="267"/>
      <c r="J696" s="267"/>
      <c r="K696" s="267"/>
      <c r="L696" s="267"/>
      <c r="M696" s="267"/>
      <c r="N696" s="267"/>
      <c r="O696" s="267"/>
      <c r="P696" s="267"/>
      <c r="Q696" s="267"/>
      <c r="R696" s="267"/>
      <c r="S696" s="267"/>
      <c r="T696" s="267"/>
      <c r="U696" s="267"/>
      <c r="V696" s="267"/>
      <c r="W696" s="267"/>
      <c r="X696" s="267"/>
      <c r="Y696" s="267"/>
      <c r="Z696" s="267"/>
      <c r="AA696" s="267"/>
      <c r="AB696" s="267"/>
      <c r="AC696" s="267"/>
      <c r="AD696" s="267"/>
      <c r="AE696" s="267"/>
      <c r="AF696" s="267"/>
      <c r="AG696" s="267"/>
      <c r="AH696" s="267"/>
      <c r="AI696" s="267"/>
      <c r="AJ696" s="267"/>
      <c r="AK696" s="267"/>
      <c r="AL696" s="267"/>
      <c r="AM696" s="267"/>
      <c r="AN696" s="267"/>
      <c r="AO696" s="267"/>
      <c r="AP696" s="267"/>
      <c r="AQ696" s="267"/>
      <c r="AR696" s="267"/>
      <c r="AS696" s="267"/>
      <c r="AT696" s="267"/>
      <c r="AU696" s="267"/>
      <c r="AV696" s="267"/>
      <c r="AW696" s="267"/>
      <c r="AX696" s="267"/>
      <c r="AY696" s="267"/>
      <c r="AZ696" s="267"/>
      <c r="BA696" s="267"/>
      <c r="BB696" s="267"/>
      <c r="BC696" s="267"/>
      <c r="BD696" s="267"/>
      <c r="BE696" s="267"/>
      <c r="BF696" s="267"/>
      <c r="BG696" s="267"/>
      <c r="BH696" s="267"/>
      <c r="BI696" s="267"/>
      <c r="BJ696" s="267"/>
      <c r="BK696" s="267"/>
      <c r="BL696" s="267"/>
      <c r="BM696" s="267"/>
      <c r="BN696" s="267"/>
      <c r="BO696" s="267"/>
      <c r="BP696" s="267"/>
      <c r="BQ696" s="267"/>
      <c r="BR696" s="267"/>
      <c r="BS696" s="267"/>
      <c r="BT696" s="267"/>
      <c r="BU696" s="267"/>
      <c r="BV696" s="267"/>
      <c r="BW696" s="267"/>
      <c r="BX696" s="267"/>
      <c r="BY696" s="267"/>
      <c r="BZ696" s="267"/>
      <c r="CA696" s="267"/>
      <c r="CB696" s="267"/>
      <c r="CC696" s="267"/>
      <c r="CD696" s="267"/>
      <c r="CE696" s="267"/>
      <c r="CF696" s="267"/>
      <c r="CG696" s="267"/>
      <c r="CH696" s="267"/>
      <c r="CI696" s="267"/>
      <c r="CJ696" s="267"/>
      <c r="CK696" s="267"/>
      <c r="CL696" s="267"/>
      <c r="CM696" s="267"/>
      <c r="CN696" s="267"/>
      <c r="CO696" s="267"/>
      <c r="CP696" s="267"/>
      <c r="CQ696" s="267"/>
      <c r="CR696" s="267"/>
      <c r="CS696" s="267"/>
      <c r="CT696" s="267"/>
      <c r="CU696" s="267"/>
      <c r="CV696" s="267"/>
      <c r="CW696" s="267"/>
      <c r="CX696" s="267"/>
      <c r="CY696" s="267"/>
      <c r="CZ696" s="267"/>
    </row>
    <row r="697" spans="2:104">
      <c r="B697" s="1235"/>
      <c r="C697" s="1235"/>
      <c r="D697" s="1235"/>
      <c r="E697" s="267"/>
      <c r="F697" s="267"/>
      <c r="G697" s="267"/>
      <c r="H697" s="267"/>
      <c r="I697" s="267"/>
      <c r="J697" s="267"/>
      <c r="K697" s="267"/>
      <c r="L697" s="267"/>
      <c r="M697" s="267"/>
      <c r="N697" s="267"/>
      <c r="O697" s="267"/>
      <c r="P697" s="267"/>
      <c r="Q697" s="267"/>
      <c r="R697" s="267"/>
      <c r="S697" s="267"/>
      <c r="T697" s="267"/>
      <c r="U697" s="267"/>
      <c r="V697" s="267"/>
      <c r="W697" s="267"/>
      <c r="X697" s="267"/>
      <c r="Y697" s="267"/>
      <c r="Z697" s="267"/>
      <c r="AA697" s="267"/>
      <c r="AB697" s="267"/>
      <c r="AC697" s="267"/>
      <c r="AD697" s="267"/>
      <c r="AE697" s="267"/>
      <c r="AF697" s="267"/>
      <c r="AG697" s="267"/>
      <c r="AH697" s="267"/>
      <c r="AI697" s="267"/>
      <c r="AJ697" s="267"/>
      <c r="AK697" s="267"/>
      <c r="AL697" s="267"/>
      <c r="AM697" s="267"/>
      <c r="AN697" s="267"/>
      <c r="AO697" s="267"/>
      <c r="AP697" s="267"/>
      <c r="AQ697" s="267"/>
      <c r="AR697" s="267"/>
      <c r="AS697" s="267"/>
      <c r="AT697" s="267"/>
      <c r="AU697" s="267"/>
      <c r="AV697" s="267"/>
      <c r="AW697" s="267"/>
      <c r="AX697" s="267"/>
      <c r="AY697" s="267"/>
      <c r="AZ697" s="267"/>
      <c r="BA697" s="267"/>
      <c r="BB697" s="267"/>
      <c r="BC697" s="267"/>
      <c r="BD697" s="267"/>
      <c r="BE697" s="267"/>
      <c r="BF697" s="267"/>
      <c r="BG697" s="267"/>
      <c r="BH697" s="267"/>
      <c r="BI697" s="267"/>
      <c r="BJ697" s="267"/>
      <c r="BK697" s="267"/>
      <c r="BL697" s="267"/>
      <c r="BM697" s="267"/>
      <c r="BN697" s="267"/>
      <c r="BO697" s="267"/>
      <c r="BP697" s="267"/>
      <c r="BQ697" s="267"/>
      <c r="BR697" s="267"/>
      <c r="BS697" s="267"/>
      <c r="BT697" s="267"/>
      <c r="BU697" s="267"/>
      <c r="BV697" s="267"/>
      <c r="BW697" s="267"/>
      <c r="BX697" s="267"/>
      <c r="BY697" s="267"/>
      <c r="BZ697" s="267"/>
      <c r="CA697" s="267"/>
      <c r="CB697" s="267"/>
      <c r="CC697" s="267"/>
      <c r="CD697" s="267"/>
      <c r="CE697" s="267"/>
      <c r="CF697" s="267"/>
      <c r="CG697" s="267"/>
      <c r="CH697" s="267"/>
      <c r="CI697" s="267"/>
      <c r="CJ697" s="267"/>
      <c r="CK697" s="267"/>
      <c r="CL697" s="267"/>
      <c r="CM697" s="267"/>
      <c r="CN697" s="267"/>
      <c r="CO697" s="267"/>
      <c r="CP697" s="267"/>
      <c r="CQ697" s="267"/>
      <c r="CR697" s="267"/>
      <c r="CS697" s="267"/>
      <c r="CT697" s="267"/>
      <c r="CU697" s="267"/>
      <c r="CV697" s="267"/>
      <c r="CW697" s="267"/>
      <c r="CX697" s="267"/>
      <c r="CY697" s="267"/>
      <c r="CZ697" s="267"/>
    </row>
    <row r="698" spans="2:104">
      <c r="B698" s="1235"/>
      <c r="C698" s="1235"/>
      <c r="D698" s="1235"/>
      <c r="E698" s="267"/>
      <c r="F698" s="267"/>
      <c r="G698" s="267"/>
      <c r="H698" s="267"/>
      <c r="I698" s="267"/>
      <c r="J698" s="267"/>
      <c r="K698" s="267"/>
      <c r="L698" s="267"/>
      <c r="M698" s="267"/>
      <c r="N698" s="267"/>
      <c r="O698" s="267"/>
      <c r="P698" s="267"/>
      <c r="Q698" s="267"/>
      <c r="R698" s="267"/>
      <c r="S698" s="267"/>
      <c r="T698" s="267"/>
      <c r="U698" s="267"/>
      <c r="V698" s="267"/>
      <c r="W698" s="267"/>
      <c r="X698" s="267"/>
      <c r="Y698" s="267"/>
      <c r="Z698" s="267"/>
      <c r="AA698" s="267"/>
      <c r="AB698" s="267"/>
      <c r="AC698" s="267"/>
      <c r="AD698" s="267"/>
      <c r="AE698" s="267"/>
      <c r="AF698" s="267"/>
      <c r="AG698" s="267"/>
      <c r="AH698" s="267"/>
      <c r="AI698" s="267"/>
      <c r="AJ698" s="267"/>
      <c r="AK698" s="267"/>
      <c r="AL698" s="267"/>
      <c r="AM698" s="267"/>
      <c r="AN698" s="267"/>
      <c r="AO698" s="267"/>
      <c r="AP698" s="267"/>
      <c r="AQ698" s="267"/>
      <c r="AR698" s="267"/>
      <c r="AS698" s="267"/>
      <c r="AT698" s="267"/>
      <c r="AU698" s="267"/>
      <c r="AV698" s="267"/>
      <c r="AW698" s="267"/>
      <c r="AX698" s="267"/>
      <c r="AY698" s="267"/>
      <c r="AZ698" s="267"/>
      <c r="BA698" s="267"/>
      <c r="BB698" s="267"/>
      <c r="BC698" s="267"/>
      <c r="BD698" s="267"/>
      <c r="BE698" s="267"/>
      <c r="BF698" s="267"/>
      <c r="BG698" s="267"/>
      <c r="BH698" s="267"/>
      <c r="BI698" s="267"/>
      <c r="BJ698" s="267"/>
      <c r="BK698" s="267"/>
      <c r="BL698" s="267"/>
      <c r="BM698" s="267"/>
      <c r="BN698" s="267"/>
      <c r="BO698" s="267"/>
      <c r="BP698" s="267"/>
      <c r="BQ698" s="267"/>
      <c r="BR698" s="267"/>
      <c r="BS698" s="267"/>
      <c r="BT698" s="267"/>
      <c r="BU698" s="267"/>
      <c r="BV698" s="267"/>
      <c r="BW698" s="267"/>
      <c r="BX698" s="267"/>
      <c r="BY698" s="267"/>
      <c r="BZ698" s="267"/>
      <c r="CA698" s="267"/>
      <c r="CB698" s="267"/>
      <c r="CC698" s="267"/>
      <c r="CD698" s="267"/>
      <c r="CE698" s="267"/>
      <c r="CF698" s="267"/>
      <c r="CG698" s="267"/>
      <c r="CH698" s="267"/>
      <c r="CI698" s="267"/>
      <c r="CJ698" s="267"/>
      <c r="CK698" s="267"/>
      <c r="CL698" s="267"/>
      <c r="CM698" s="267"/>
      <c r="CN698" s="267"/>
      <c r="CO698" s="267"/>
      <c r="CP698" s="267"/>
      <c r="CQ698" s="267"/>
      <c r="CR698" s="267"/>
      <c r="CS698" s="267"/>
      <c r="CT698" s="267"/>
      <c r="CU698" s="267"/>
      <c r="CV698" s="267"/>
      <c r="CW698" s="267"/>
      <c r="CX698" s="267"/>
      <c r="CY698" s="267"/>
      <c r="CZ698" s="267"/>
    </row>
    <row r="699" spans="2:104">
      <c r="B699" s="1235"/>
      <c r="C699" s="1235"/>
      <c r="D699" s="1235"/>
      <c r="E699" s="267"/>
      <c r="F699" s="267"/>
      <c r="G699" s="267"/>
      <c r="H699" s="267"/>
      <c r="I699" s="267"/>
      <c r="J699" s="267"/>
      <c r="K699" s="267"/>
      <c r="L699" s="267"/>
      <c r="M699" s="267"/>
      <c r="N699" s="267"/>
      <c r="O699" s="267"/>
      <c r="P699" s="267"/>
      <c r="Q699" s="267"/>
      <c r="R699" s="267"/>
      <c r="S699" s="267"/>
      <c r="T699" s="267"/>
      <c r="U699" s="267"/>
      <c r="V699" s="267"/>
      <c r="W699" s="267"/>
      <c r="X699" s="267"/>
      <c r="Y699" s="267"/>
      <c r="Z699" s="267"/>
      <c r="AA699" s="267"/>
      <c r="AB699" s="267"/>
      <c r="AC699" s="267"/>
      <c r="AD699" s="267"/>
      <c r="AE699" s="267"/>
      <c r="AF699" s="267"/>
      <c r="AG699" s="267"/>
      <c r="AH699" s="267"/>
      <c r="AI699" s="267"/>
      <c r="AJ699" s="267"/>
      <c r="AK699" s="267"/>
      <c r="AL699" s="267"/>
      <c r="AM699" s="267"/>
      <c r="AN699" s="267"/>
      <c r="AO699" s="267"/>
      <c r="AP699" s="267"/>
      <c r="AQ699" s="267"/>
      <c r="AR699" s="267"/>
      <c r="AS699" s="267"/>
      <c r="AT699" s="267"/>
      <c r="AU699" s="267"/>
      <c r="AV699" s="267"/>
      <c r="AW699" s="267"/>
      <c r="AX699" s="267"/>
      <c r="AY699" s="267"/>
      <c r="AZ699" s="267"/>
      <c r="BA699" s="267"/>
      <c r="BB699" s="267"/>
      <c r="BC699" s="267"/>
      <c r="BD699" s="267"/>
      <c r="BE699" s="267"/>
      <c r="BF699" s="267"/>
      <c r="BG699" s="267"/>
      <c r="BH699" s="267"/>
      <c r="BI699" s="267"/>
      <c r="BJ699" s="267"/>
      <c r="BK699" s="267"/>
      <c r="BL699" s="267"/>
      <c r="BM699" s="267"/>
      <c r="BN699" s="267"/>
      <c r="BO699" s="267"/>
      <c r="BP699" s="267"/>
      <c r="BQ699" s="267"/>
      <c r="BR699" s="267"/>
      <c r="BS699" s="267"/>
      <c r="BT699" s="267"/>
      <c r="BU699" s="267"/>
      <c r="BV699" s="267"/>
      <c r="BW699" s="267"/>
      <c r="BX699" s="267"/>
      <c r="BY699" s="267"/>
      <c r="BZ699" s="267"/>
      <c r="CA699" s="267"/>
      <c r="CB699" s="267"/>
      <c r="CC699" s="267"/>
      <c r="CD699" s="267"/>
      <c r="CE699" s="267"/>
      <c r="CF699" s="267"/>
      <c r="CG699" s="267"/>
      <c r="CH699" s="267"/>
      <c r="CI699" s="267"/>
      <c r="CJ699" s="267"/>
      <c r="CK699" s="267"/>
      <c r="CL699" s="267"/>
      <c r="CM699" s="267"/>
      <c r="CN699" s="267"/>
      <c r="CO699" s="267"/>
      <c r="CP699" s="267"/>
      <c r="CQ699" s="267"/>
      <c r="CR699" s="267"/>
      <c r="CS699" s="267"/>
      <c r="CT699" s="267"/>
      <c r="CU699" s="267"/>
      <c r="CV699" s="267"/>
      <c r="CW699" s="267"/>
      <c r="CX699" s="267"/>
      <c r="CY699" s="267"/>
      <c r="CZ699" s="267"/>
    </row>
    <row r="700" spans="2:104">
      <c r="B700" s="1235"/>
      <c r="C700" s="1235"/>
      <c r="D700" s="1235"/>
      <c r="E700" s="267"/>
      <c r="F700" s="267"/>
      <c r="G700" s="267"/>
      <c r="H700" s="267"/>
      <c r="I700" s="267"/>
      <c r="J700" s="267"/>
      <c r="K700" s="267"/>
      <c r="L700" s="267"/>
      <c r="M700" s="267"/>
      <c r="N700" s="267"/>
      <c r="O700" s="267"/>
      <c r="P700" s="267"/>
      <c r="Q700" s="267"/>
      <c r="R700" s="267"/>
      <c r="S700" s="267"/>
      <c r="T700" s="267"/>
      <c r="U700" s="267"/>
      <c r="V700" s="267"/>
      <c r="W700" s="267"/>
      <c r="X700" s="267"/>
      <c r="Y700" s="267"/>
      <c r="Z700" s="267"/>
      <c r="AA700" s="267"/>
      <c r="AB700" s="267"/>
      <c r="AC700" s="267"/>
      <c r="AD700" s="267"/>
      <c r="AE700" s="267"/>
      <c r="AF700" s="267"/>
      <c r="AG700" s="267"/>
      <c r="AH700" s="267"/>
      <c r="AI700" s="267"/>
      <c r="AJ700" s="267"/>
      <c r="AK700" s="267"/>
      <c r="AL700" s="267"/>
      <c r="AM700" s="267"/>
      <c r="AN700" s="267"/>
      <c r="AO700" s="267"/>
      <c r="AP700" s="267"/>
      <c r="AQ700" s="267"/>
      <c r="AR700" s="267"/>
      <c r="AS700" s="267"/>
      <c r="AT700" s="267"/>
      <c r="AU700" s="267"/>
      <c r="AV700" s="267"/>
      <c r="AW700" s="267"/>
      <c r="AX700" s="267"/>
      <c r="AY700" s="267"/>
      <c r="AZ700" s="267"/>
      <c r="BA700" s="267"/>
      <c r="BB700" s="267"/>
      <c r="BC700" s="267"/>
      <c r="BD700" s="267"/>
      <c r="BE700" s="267"/>
      <c r="BF700" s="267"/>
      <c r="BG700" s="267"/>
      <c r="BH700" s="267"/>
      <c r="BI700" s="267"/>
      <c r="BJ700" s="267"/>
      <c r="BK700" s="267"/>
      <c r="BL700" s="267"/>
      <c r="BM700" s="267"/>
      <c r="BN700" s="267"/>
      <c r="BO700" s="267"/>
      <c r="BP700" s="267"/>
      <c r="BQ700" s="267"/>
      <c r="BR700" s="267"/>
      <c r="BS700" s="267"/>
      <c r="BT700" s="267"/>
      <c r="BU700" s="267"/>
      <c r="BV700" s="267"/>
      <c r="BW700" s="267"/>
      <c r="BX700" s="267"/>
      <c r="BY700" s="267"/>
      <c r="BZ700" s="267"/>
      <c r="CA700" s="267"/>
      <c r="CB700" s="267"/>
      <c r="CC700" s="267"/>
      <c r="CD700" s="267"/>
      <c r="CE700" s="267"/>
      <c r="CF700" s="267"/>
      <c r="CG700" s="267"/>
      <c r="CH700" s="267"/>
      <c r="CI700" s="267"/>
      <c r="CJ700" s="267"/>
      <c r="CK700" s="267"/>
      <c r="CL700" s="267"/>
      <c r="CM700" s="267"/>
      <c r="CN700" s="267"/>
      <c r="CO700" s="267"/>
      <c r="CP700" s="267"/>
      <c r="CQ700" s="267"/>
      <c r="CR700" s="267"/>
      <c r="CS700" s="267"/>
      <c r="CT700" s="267"/>
      <c r="CU700" s="267"/>
      <c r="CV700" s="267"/>
      <c r="CW700" s="267"/>
      <c r="CX700" s="267"/>
      <c r="CY700" s="267"/>
      <c r="CZ700" s="267"/>
    </row>
    <row r="701" spans="2:104">
      <c r="B701" s="1235"/>
      <c r="C701" s="1235"/>
      <c r="D701" s="1235"/>
      <c r="E701" s="267"/>
      <c r="F701" s="267"/>
      <c r="G701" s="267"/>
      <c r="H701" s="267"/>
      <c r="I701" s="267"/>
      <c r="J701" s="267"/>
      <c r="K701" s="267"/>
      <c r="L701" s="267"/>
      <c r="M701" s="267"/>
      <c r="N701" s="267"/>
      <c r="O701" s="267"/>
      <c r="P701" s="267"/>
      <c r="Q701" s="267"/>
      <c r="R701" s="267"/>
      <c r="S701" s="267"/>
      <c r="T701" s="267"/>
      <c r="U701" s="267"/>
      <c r="V701" s="267"/>
      <c r="W701" s="267"/>
      <c r="X701" s="267"/>
      <c r="Y701" s="267"/>
      <c r="Z701" s="267"/>
      <c r="AA701" s="267"/>
      <c r="AB701" s="267"/>
      <c r="AC701" s="267"/>
      <c r="AD701" s="267"/>
      <c r="AE701" s="267"/>
      <c r="AF701" s="267"/>
      <c r="AG701" s="267"/>
      <c r="AH701" s="267"/>
      <c r="AI701" s="267"/>
      <c r="AJ701" s="267"/>
      <c r="AK701" s="267"/>
      <c r="AL701" s="267"/>
      <c r="AM701" s="267"/>
      <c r="AN701" s="267"/>
      <c r="AO701" s="267"/>
      <c r="AP701" s="267"/>
      <c r="AQ701" s="267"/>
      <c r="AR701" s="267"/>
      <c r="AS701" s="267"/>
      <c r="AT701" s="267"/>
      <c r="AU701" s="267"/>
      <c r="AV701" s="267"/>
      <c r="AW701" s="267"/>
      <c r="AX701" s="267"/>
      <c r="AY701" s="267"/>
      <c r="AZ701" s="267"/>
      <c r="BA701" s="267"/>
      <c r="BB701" s="267"/>
      <c r="BC701" s="267"/>
      <c r="BD701" s="267"/>
      <c r="BE701" s="267"/>
      <c r="BF701" s="267"/>
      <c r="BG701" s="267"/>
      <c r="BH701" s="267"/>
      <c r="BI701" s="267"/>
      <c r="BJ701" s="267"/>
      <c r="BK701" s="267"/>
      <c r="BL701" s="267"/>
      <c r="BM701" s="267"/>
      <c r="BN701" s="267"/>
      <c r="BO701" s="267"/>
      <c r="BP701" s="267"/>
      <c r="BQ701" s="267"/>
      <c r="BR701" s="267"/>
      <c r="BS701" s="267"/>
      <c r="BT701" s="267"/>
      <c r="BU701" s="267"/>
      <c r="BV701" s="267"/>
      <c r="BW701" s="267"/>
      <c r="BX701" s="267"/>
      <c r="BY701" s="267"/>
      <c r="BZ701" s="267"/>
      <c r="CA701" s="267"/>
      <c r="CB701" s="267"/>
      <c r="CC701" s="267"/>
      <c r="CD701" s="267"/>
      <c r="CE701" s="267"/>
      <c r="CF701" s="267"/>
      <c r="CG701" s="267"/>
      <c r="CH701" s="267"/>
      <c r="CI701" s="267"/>
      <c r="CJ701" s="267"/>
      <c r="CK701" s="267"/>
      <c r="CL701" s="267"/>
      <c r="CM701" s="267"/>
      <c r="CN701" s="267"/>
      <c r="CO701" s="267"/>
      <c r="CP701" s="267"/>
      <c r="CQ701" s="267"/>
      <c r="CR701" s="267"/>
      <c r="CS701" s="267"/>
      <c r="CT701" s="267"/>
      <c r="CU701" s="267"/>
      <c r="CV701" s="267"/>
      <c r="CW701" s="267"/>
      <c r="CX701" s="267"/>
      <c r="CY701" s="267"/>
      <c r="CZ701" s="267"/>
    </row>
    <row r="702" spans="2:104">
      <c r="B702" s="1235"/>
      <c r="C702" s="1235"/>
      <c r="D702" s="1235"/>
      <c r="E702" s="267"/>
      <c r="F702" s="267"/>
      <c r="G702" s="267"/>
      <c r="H702" s="267"/>
      <c r="I702" s="267"/>
      <c r="J702" s="267"/>
      <c r="K702" s="267"/>
      <c r="L702" s="267"/>
      <c r="M702" s="267"/>
      <c r="N702" s="267"/>
      <c r="O702" s="267"/>
      <c r="P702" s="267"/>
      <c r="Q702" s="267"/>
      <c r="R702" s="267"/>
      <c r="S702" s="267"/>
      <c r="T702" s="267"/>
      <c r="U702" s="267"/>
      <c r="V702" s="267"/>
      <c r="W702" s="267"/>
      <c r="X702" s="267"/>
      <c r="Y702" s="267"/>
      <c r="Z702" s="267"/>
      <c r="AA702" s="267"/>
      <c r="AB702" s="267"/>
      <c r="AC702" s="267"/>
      <c r="AD702" s="267"/>
      <c r="AE702" s="267"/>
      <c r="AF702" s="267"/>
      <c r="AG702" s="267"/>
      <c r="AH702" s="267"/>
      <c r="AI702" s="267"/>
      <c r="AJ702" s="267"/>
      <c r="AK702" s="267"/>
      <c r="AL702" s="267"/>
      <c r="AM702" s="267"/>
      <c r="AN702" s="267"/>
      <c r="AO702" s="267"/>
      <c r="AP702" s="267"/>
      <c r="AQ702" s="267"/>
      <c r="AR702" s="267"/>
      <c r="AS702" s="267"/>
      <c r="AT702" s="267"/>
      <c r="AU702" s="267"/>
      <c r="AV702" s="267"/>
      <c r="AW702" s="267"/>
      <c r="AX702" s="267"/>
      <c r="AY702" s="267"/>
      <c r="AZ702" s="267"/>
      <c r="BA702" s="267"/>
      <c r="BB702" s="267"/>
      <c r="BC702" s="267"/>
      <c r="BD702" s="267"/>
      <c r="BE702" s="267"/>
      <c r="BF702" s="267"/>
      <c r="BG702" s="267"/>
      <c r="BH702" s="267"/>
      <c r="BI702" s="267"/>
      <c r="BJ702" s="267"/>
      <c r="BK702" s="267"/>
      <c r="BL702" s="267"/>
      <c r="BM702" s="267"/>
      <c r="BN702" s="267"/>
      <c r="BO702" s="267"/>
      <c r="BP702" s="267"/>
      <c r="BQ702" s="267"/>
      <c r="BR702" s="267"/>
      <c r="BS702" s="267"/>
      <c r="BT702" s="267"/>
      <c r="BU702" s="267"/>
      <c r="BV702" s="267"/>
      <c r="BW702" s="267"/>
      <c r="BX702" s="267"/>
      <c r="BY702" s="267"/>
      <c r="BZ702" s="267"/>
      <c r="CA702" s="267"/>
      <c r="CB702" s="267"/>
      <c r="CC702" s="267"/>
      <c r="CD702" s="267"/>
      <c r="CE702" s="267"/>
      <c r="CF702" s="267"/>
      <c r="CG702" s="267"/>
      <c r="CH702" s="267"/>
      <c r="CI702" s="267"/>
      <c r="CJ702" s="267"/>
      <c r="CK702" s="267"/>
      <c r="CL702" s="267"/>
      <c r="CM702" s="267"/>
      <c r="CN702" s="267"/>
      <c r="CO702" s="267"/>
      <c r="CP702" s="267"/>
      <c r="CQ702" s="267"/>
      <c r="CR702" s="267"/>
      <c r="CS702" s="267"/>
      <c r="CT702" s="267"/>
      <c r="CU702" s="267"/>
      <c r="CV702" s="267"/>
      <c r="CW702" s="267"/>
      <c r="CX702" s="267"/>
      <c r="CY702" s="267"/>
      <c r="CZ702" s="267"/>
    </row>
    <row r="703" spans="2:104">
      <c r="B703" s="1235"/>
      <c r="C703" s="1235"/>
      <c r="D703" s="1235"/>
      <c r="E703" s="267"/>
      <c r="F703" s="267"/>
      <c r="G703" s="267"/>
      <c r="H703" s="267"/>
      <c r="I703" s="267"/>
      <c r="J703" s="267"/>
      <c r="K703" s="267"/>
      <c r="L703" s="267"/>
      <c r="M703" s="267"/>
      <c r="N703" s="267"/>
      <c r="O703" s="267"/>
      <c r="P703" s="267"/>
      <c r="Q703" s="267"/>
      <c r="R703" s="267"/>
      <c r="S703" s="267"/>
      <c r="T703" s="267"/>
      <c r="U703" s="267"/>
      <c r="V703" s="267"/>
      <c r="W703" s="267"/>
      <c r="X703" s="267"/>
      <c r="Y703" s="267"/>
      <c r="Z703" s="267"/>
      <c r="AA703" s="267"/>
      <c r="AB703" s="267"/>
      <c r="AC703" s="267"/>
      <c r="AD703" s="267"/>
      <c r="AE703" s="267"/>
      <c r="AF703" s="267"/>
      <c r="AG703" s="267"/>
      <c r="AH703" s="267"/>
      <c r="AI703" s="267"/>
      <c r="AJ703" s="267"/>
      <c r="AK703" s="267"/>
      <c r="AL703" s="267"/>
      <c r="AM703" s="267"/>
      <c r="AN703" s="267"/>
      <c r="AO703" s="267"/>
      <c r="AP703" s="267"/>
      <c r="AQ703" s="267"/>
      <c r="AR703" s="267"/>
      <c r="AS703" s="267"/>
      <c r="AT703" s="267"/>
      <c r="AU703" s="267"/>
      <c r="AV703" s="267"/>
      <c r="AW703" s="267"/>
      <c r="AX703" s="267"/>
      <c r="AY703" s="267"/>
      <c r="AZ703" s="267"/>
      <c r="BA703" s="267"/>
      <c r="BB703" s="267"/>
      <c r="BC703" s="267"/>
      <c r="BD703" s="267"/>
      <c r="BE703" s="267"/>
      <c r="BF703" s="267"/>
      <c r="BG703" s="267"/>
      <c r="BH703" s="267"/>
      <c r="BI703" s="267"/>
      <c r="BJ703" s="267"/>
      <c r="BK703" s="267"/>
      <c r="BL703" s="267"/>
      <c r="BM703" s="267"/>
      <c r="BN703" s="267"/>
      <c r="BO703" s="267"/>
      <c r="BP703" s="267"/>
      <c r="BQ703" s="267"/>
      <c r="BR703" s="267"/>
      <c r="BS703" s="267"/>
      <c r="BT703" s="267"/>
      <c r="BU703" s="267"/>
      <c r="BV703" s="267"/>
      <c r="BW703" s="267"/>
      <c r="BX703" s="267"/>
      <c r="BY703" s="267"/>
      <c r="BZ703" s="267"/>
      <c r="CA703" s="267"/>
      <c r="CB703" s="267"/>
      <c r="CC703" s="267"/>
      <c r="CD703" s="267"/>
      <c r="CE703" s="267"/>
      <c r="CF703" s="267"/>
      <c r="CG703" s="267"/>
      <c r="CH703" s="267"/>
      <c r="CI703" s="267"/>
      <c r="CJ703" s="267"/>
      <c r="CK703" s="267"/>
      <c r="CL703" s="267"/>
      <c r="CM703" s="267"/>
      <c r="CN703" s="267"/>
      <c r="CO703" s="267"/>
      <c r="CP703" s="267"/>
      <c r="CQ703" s="267"/>
      <c r="CR703" s="267"/>
      <c r="CS703" s="267"/>
      <c r="CT703" s="267"/>
      <c r="CU703" s="267"/>
      <c r="CV703" s="267"/>
      <c r="CW703" s="267"/>
      <c r="CX703" s="267"/>
      <c r="CY703" s="267"/>
      <c r="CZ703" s="267"/>
    </row>
    <row r="704" spans="2:104">
      <c r="B704" s="1235"/>
      <c r="C704" s="1235"/>
      <c r="D704" s="1235"/>
      <c r="E704" s="267"/>
      <c r="F704" s="267"/>
      <c r="G704" s="267"/>
      <c r="H704" s="267"/>
      <c r="I704" s="267"/>
      <c r="J704" s="267"/>
      <c r="K704" s="267"/>
      <c r="L704" s="267"/>
      <c r="M704" s="267"/>
      <c r="N704" s="267"/>
      <c r="O704" s="267"/>
      <c r="P704" s="267"/>
      <c r="Q704" s="267"/>
      <c r="R704" s="267"/>
      <c r="S704" s="267"/>
      <c r="T704" s="267"/>
      <c r="U704" s="267"/>
      <c r="V704" s="267"/>
      <c r="W704" s="267"/>
      <c r="X704" s="267"/>
      <c r="Y704" s="267"/>
      <c r="Z704" s="267"/>
      <c r="AA704" s="267"/>
      <c r="AB704" s="267"/>
      <c r="AC704" s="267"/>
      <c r="AD704" s="267"/>
      <c r="AE704" s="267"/>
      <c r="AF704" s="267"/>
      <c r="AG704" s="267"/>
      <c r="AH704" s="267"/>
      <c r="AI704" s="267"/>
      <c r="AJ704" s="267"/>
      <c r="AK704" s="267"/>
      <c r="AL704" s="267"/>
      <c r="AM704" s="267"/>
      <c r="AN704" s="267"/>
      <c r="AO704" s="267"/>
      <c r="AP704" s="267"/>
      <c r="AQ704" s="267"/>
      <c r="AR704" s="267"/>
      <c r="AS704" s="267"/>
      <c r="AT704" s="267"/>
      <c r="AU704" s="267"/>
      <c r="AV704" s="267"/>
      <c r="AW704" s="267"/>
      <c r="AX704" s="267"/>
      <c r="AY704" s="267"/>
      <c r="AZ704" s="267"/>
      <c r="BA704" s="267"/>
      <c r="BB704" s="267"/>
      <c r="BC704" s="267"/>
      <c r="BD704" s="267"/>
      <c r="BE704" s="267"/>
      <c r="BF704" s="267"/>
      <c r="BG704" s="267"/>
      <c r="BH704" s="267"/>
      <c r="BI704" s="267"/>
      <c r="BJ704" s="267"/>
      <c r="BK704" s="267"/>
      <c r="BL704" s="267"/>
      <c r="BM704" s="267"/>
      <c r="BN704" s="267"/>
      <c r="BO704" s="267"/>
      <c r="BP704" s="267"/>
      <c r="BQ704" s="267"/>
      <c r="BR704" s="267"/>
      <c r="BS704" s="267"/>
      <c r="BT704" s="267"/>
      <c r="BU704" s="267"/>
      <c r="BV704" s="267"/>
      <c r="BW704" s="267"/>
      <c r="BX704" s="267"/>
      <c r="BY704" s="267"/>
      <c r="BZ704" s="267"/>
      <c r="CA704" s="267"/>
      <c r="CB704" s="267"/>
      <c r="CC704" s="267"/>
      <c r="CD704" s="267"/>
      <c r="CE704" s="267"/>
      <c r="CF704" s="267"/>
      <c r="CG704" s="267"/>
      <c r="CH704" s="267"/>
      <c r="CI704" s="267"/>
      <c r="CJ704" s="267"/>
      <c r="CK704" s="267"/>
      <c r="CL704" s="267"/>
      <c r="CM704" s="267"/>
      <c r="CN704" s="267"/>
      <c r="CO704" s="267"/>
      <c r="CP704" s="267"/>
      <c r="CQ704" s="267"/>
      <c r="CR704" s="267"/>
      <c r="CS704" s="267"/>
      <c r="CT704" s="267"/>
      <c r="CU704" s="267"/>
      <c r="CV704" s="267"/>
      <c r="CW704" s="267"/>
      <c r="CX704" s="267"/>
      <c r="CY704" s="267"/>
      <c r="CZ704" s="267"/>
    </row>
    <row r="705" spans="2:104">
      <c r="B705" s="1235"/>
      <c r="C705" s="1235"/>
      <c r="D705" s="1235"/>
      <c r="E705" s="267"/>
      <c r="F705" s="267"/>
      <c r="G705" s="267"/>
      <c r="H705" s="267"/>
      <c r="I705" s="267"/>
      <c r="J705" s="267"/>
      <c r="K705" s="267"/>
      <c r="L705" s="267"/>
      <c r="M705" s="267"/>
      <c r="N705" s="267"/>
      <c r="O705" s="267"/>
      <c r="P705" s="267"/>
      <c r="Q705" s="267"/>
      <c r="R705" s="267"/>
      <c r="S705" s="267"/>
      <c r="T705" s="267"/>
      <c r="U705" s="267"/>
      <c r="V705" s="267"/>
      <c r="W705" s="267"/>
      <c r="X705" s="267"/>
      <c r="Y705" s="267"/>
      <c r="Z705" s="267"/>
      <c r="AA705" s="267"/>
      <c r="AB705" s="267"/>
      <c r="AC705" s="267"/>
      <c r="AD705" s="267"/>
      <c r="AE705" s="267"/>
      <c r="AF705" s="267"/>
      <c r="AG705" s="267"/>
      <c r="AH705" s="267"/>
      <c r="AI705" s="267"/>
      <c r="AJ705" s="267"/>
      <c r="AK705" s="267"/>
      <c r="AL705" s="267"/>
      <c r="AM705" s="267"/>
      <c r="AN705" s="267"/>
      <c r="AO705" s="267"/>
      <c r="AP705" s="267"/>
      <c r="AQ705" s="267"/>
      <c r="AR705" s="267"/>
      <c r="AS705" s="267"/>
      <c r="AT705" s="267"/>
      <c r="AU705" s="267"/>
      <c r="AV705" s="267"/>
      <c r="AW705" s="267"/>
      <c r="AX705" s="267"/>
      <c r="AY705" s="267"/>
      <c r="AZ705" s="267"/>
      <c r="BA705" s="267"/>
      <c r="BB705" s="267"/>
      <c r="BC705" s="267"/>
      <c r="BD705" s="267"/>
      <c r="BE705" s="267"/>
      <c r="BF705" s="267"/>
      <c r="BG705" s="267"/>
      <c r="BH705" s="267"/>
      <c r="BI705" s="267"/>
      <c r="BJ705" s="267"/>
      <c r="BK705" s="267"/>
      <c r="BL705" s="267"/>
      <c r="BM705" s="267"/>
      <c r="BN705" s="267"/>
      <c r="BO705" s="267"/>
      <c r="BP705" s="267"/>
      <c r="BQ705" s="267"/>
      <c r="BR705" s="267"/>
      <c r="BS705" s="267"/>
      <c r="BT705" s="267"/>
      <c r="BU705" s="267"/>
      <c r="BV705" s="267"/>
      <c r="BW705" s="267"/>
      <c r="BX705" s="267"/>
      <c r="BY705" s="267"/>
      <c r="BZ705" s="267"/>
      <c r="CA705" s="267"/>
      <c r="CB705" s="267"/>
      <c r="CC705" s="267"/>
      <c r="CD705" s="267"/>
      <c r="CE705" s="267"/>
      <c r="CF705" s="267"/>
      <c r="CG705" s="267"/>
      <c r="CH705" s="267"/>
      <c r="CI705" s="267"/>
      <c r="CJ705" s="267"/>
      <c r="CK705" s="267"/>
      <c r="CL705" s="267"/>
      <c r="CM705" s="267"/>
      <c r="CN705" s="267"/>
      <c r="CO705" s="267"/>
      <c r="CP705" s="267"/>
      <c r="CQ705" s="267"/>
      <c r="CR705" s="267"/>
      <c r="CS705" s="267"/>
      <c r="CT705" s="267"/>
      <c r="CU705" s="267"/>
      <c r="CV705" s="267"/>
      <c r="CW705" s="267"/>
      <c r="CX705" s="267"/>
      <c r="CY705" s="267"/>
      <c r="CZ705" s="267"/>
    </row>
    <row r="706" spans="2:104">
      <c r="B706" s="1235"/>
      <c r="C706" s="1235"/>
      <c r="D706" s="1235"/>
      <c r="E706" s="267"/>
      <c r="F706" s="267"/>
      <c r="G706" s="267"/>
      <c r="H706" s="267"/>
      <c r="I706" s="267"/>
      <c r="J706" s="267"/>
      <c r="K706" s="267"/>
      <c r="L706" s="267"/>
      <c r="M706" s="267"/>
      <c r="N706" s="267"/>
      <c r="O706" s="267"/>
      <c r="P706" s="267"/>
      <c r="Q706" s="267"/>
      <c r="R706" s="267"/>
      <c r="S706" s="267"/>
      <c r="T706" s="267"/>
      <c r="U706" s="267"/>
      <c r="V706" s="267"/>
      <c r="W706" s="267"/>
      <c r="X706" s="267"/>
      <c r="Y706" s="267"/>
      <c r="Z706" s="267"/>
      <c r="AA706" s="267"/>
      <c r="AB706" s="267"/>
      <c r="AC706" s="267"/>
      <c r="AD706" s="267"/>
      <c r="AE706" s="267"/>
      <c r="AF706" s="267"/>
      <c r="AG706" s="267"/>
      <c r="AH706" s="267"/>
      <c r="AI706" s="267"/>
      <c r="AJ706" s="267"/>
      <c r="AK706" s="267"/>
      <c r="AL706" s="267"/>
      <c r="AM706" s="267"/>
      <c r="AN706" s="267"/>
      <c r="AO706" s="267"/>
      <c r="AP706" s="267"/>
      <c r="AQ706" s="267"/>
      <c r="AR706" s="267"/>
      <c r="AS706" s="267"/>
      <c r="AT706" s="267"/>
      <c r="AU706" s="267"/>
      <c r="AV706" s="267"/>
      <c r="AW706" s="267"/>
      <c r="AX706" s="267"/>
      <c r="AY706" s="267"/>
      <c r="AZ706" s="267"/>
      <c r="BA706" s="267"/>
      <c r="BB706" s="267"/>
      <c r="BC706" s="267"/>
      <c r="BD706" s="267"/>
      <c r="BE706" s="267"/>
      <c r="BF706" s="267"/>
      <c r="BG706" s="267"/>
      <c r="BH706" s="267"/>
      <c r="BI706" s="267"/>
      <c r="BJ706" s="267"/>
      <c r="BK706" s="267"/>
      <c r="BL706" s="267"/>
      <c r="BM706" s="267"/>
      <c r="BN706" s="267"/>
      <c r="BO706" s="267"/>
      <c r="BP706" s="267"/>
      <c r="BQ706" s="267"/>
      <c r="BR706" s="267"/>
      <c r="BS706" s="267"/>
      <c r="BT706" s="267"/>
      <c r="BU706" s="267"/>
      <c r="BV706" s="267"/>
      <c r="BW706" s="267"/>
      <c r="BX706" s="267"/>
      <c r="BY706" s="267"/>
      <c r="BZ706" s="267"/>
      <c r="CA706" s="267"/>
      <c r="CB706" s="267"/>
      <c r="CC706" s="267"/>
      <c r="CD706" s="267"/>
      <c r="CE706" s="267"/>
      <c r="CF706" s="267"/>
      <c r="CG706" s="267"/>
      <c r="CH706" s="267"/>
      <c r="CI706" s="267"/>
      <c r="CJ706" s="267"/>
      <c r="CK706" s="267"/>
      <c r="CL706" s="267"/>
      <c r="CM706" s="267"/>
      <c r="CN706" s="267"/>
      <c r="CO706" s="267"/>
      <c r="CP706" s="267"/>
      <c r="CQ706" s="267"/>
      <c r="CR706" s="267"/>
      <c r="CS706" s="267"/>
      <c r="CT706" s="267"/>
      <c r="CU706" s="267"/>
      <c r="CV706" s="267"/>
      <c r="CW706" s="267"/>
      <c r="CX706" s="267"/>
      <c r="CY706" s="267"/>
      <c r="CZ706" s="267"/>
    </row>
    <row r="707" spans="2:104">
      <c r="B707" s="1235"/>
      <c r="C707" s="1235"/>
      <c r="D707" s="1235"/>
      <c r="E707" s="267"/>
      <c r="F707" s="267"/>
      <c r="G707" s="267"/>
      <c r="H707" s="267"/>
      <c r="I707" s="267"/>
      <c r="J707" s="267"/>
      <c r="K707" s="267"/>
      <c r="L707" s="267"/>
      <c r="M707" s="267"/>
      <c r="N707" s="267"/>
      <c r="O707" s="267"/>
      <c r="P707" s="267"/>
      <c r="Q707" s="267"/>
      <c r="R707" s="267"/>
      <c r="S707" s="267"/>
      <c r="T707" s="267"/>
      <c r="U707" s="267"/>
      <c r="V707" s="267"/>
      <c r="W707" s="267"/>
      <c r="X707" s="267"/>
      <c r="Y707" s="267"/>
      <c r="Z707" s="267"/>
      <c r="AA707" s="267"/>
      <c r="AB707" s="267"/>
      <c r="AC707" s="267"/>
      <c r="AD707" s="267"/>
      <c r="AE707" s="267"/>
      <c r="AF707" s="267"/>
      <c r="AG707" s="267"/>
      <c r="AH707" s="267"/>
      <c r="AI707" s="267"/>
      <c r="AJ707" s="267"/>
      <c r="AK707" s="267"/>
      <c r="AL707" s="267"/>
      <c r="AM707" s="267"/>
      <c r="AN707" s="267"/>
      <c r="AO707" s="267"/>
      <c r="AP707" s="267"/>
      <c r="AQ707" s="267"/>
      <c r="AR707" s="267"/>
      <c r="AS707" s="267"/>
      <c r="AT707" s="267"/>
      <c r="AU707" s="267"/>
      <c r="AV707" s="267"/>
      <c r="AW707" s="267"/>
      <c r="AX707" s="267"/>
      <c r="AY707" s="267"/>
      <c r="AZ707" s="267"/>
      <c r="BA707" s="267"/>
      <c r="BB707" s="267"/>
      <c r="BC707" s="267"/>
      <c r="BD707" s="267"/>
      <c r="BE707" s="267"/>
      <c r="BF707" s="267"/>
      <c r="BG707" s="267"/>
      <c r="BH707" s="267"/>
      <c r="BI707" s="267"/>
      <c r="BJ707" s="267"/>
      <c r="BK707" s="267"/>
      <c r="BL707" s="267"/>
      <c r="BM707" s="267"/>
      <c r="BN707" s="267"/>
      <c r="BO707" s="267"/>
      <c r="BP707" s="267"/>
      <c r="BQ707" s="267"/>
      <c r="BR707" s="267"/>
      <c r="BS707" s="267"/>
      <c r="BT707" s="267"/>
      <c r="BU707" s="267"/>
      <c r="BV707" s="267"/>
      <c r="BW707" s="267"/>
      <c r="BX707" s="267"/>
      <c r="BY707" s="267"/>
      <c r="BZ707" s="267"/>
      <c r="CA707" s="267"/>
      <c r="CB707" s="267"/>
      <c r="CC707" s="267"/>
      <c r="CD707" s="267"/>
      <c r="CE707" s="267"/>
      <c r="CF707" s="267"/>
      <c r="CG707" s="267"/>
      <c r="CH707" s="267"/>
      <c r="CI707" s="267"/>
      <c r="CJ707" s="267"/>
      <c r="CK707" s="267"/>
      <c r="CL707" s="267"/>
      <c r="CM707" s="267"/>
      <c r="CN707" s="267"/>
      <c r="CO707" s="267"/>
      <c r="CP707" s="267"/>
      <c r="CQ707" s="267"/>
      <c r="CR707" s="267"/>
      <c r="CS707" s="267"/>
      <c r="CT707" s="267"/>
      <c r="CU707" s="267"/>
      <c r="CV707" s="267"/>
      <c r="CW707" s="267"/>
      <c r="CX707" s="267"/>
      <c r="CY707" s="267"/>
      <c r="CZ707" s="267"/>
    </row>
    <row r="708" spans="2:104">
      <c r="B708" s="1235"/>
      <c r="C708" s="1235"/>
      <c r="D708" s="1235"/>
      <c r="E708" s="267"/>
      <c r="F708" s="267"/>
      <c r="G708" s="267"/>
      <c r="H708" s="267"/>
      <c r="I708" s="267"/>
      <c r="J708" s="267"/>
      <c r="K708" s="267"/>
      <c r="L708" s="267"/>
      <c r="M708" s="267"/>
      <c r="N708" s="267"/>
      <c r="O708" s="267"/>
      <c r="P708" s="267"/>
      <c r="Q708" s="267"/>
      <c r="R708" s="267"/>
      <c r="S708" s="267"/>
      <c r="T708" s="267"/>
      <c r="U708" s="267"/>
      <c r="V708" s="267"/>
      <c r="W708" s="267"/>
      <c r="X708" s="267"/>
      <c r="Y708" s="267"/>
      <c r="Z708" s="267"/>
      <c r="AA708" s="267"/>
      <c r="AB708" s="267"/>
      <c r="AC708" s="267"/>
      <c r="AD708" s="267"/>
      <c r="AE708" s="267"/>
      <c r="AF708" s="267"/>
      <c r="AG708" s="267"/>
      <c r="AH708" s="267"/>
      <c r="AI708" s="267"/>
      <c r="AJ708" s="267"/>
      <c r="AK708" s="267"/>
      <c r="AL708" s="267"/>
      <c r="AM708" s="267"/>
      <c r="AN708" s="267"/>
      <c r="AO708" s="267"/>
      <c r="AP708" s="267"/>
      <c r="AQ708" s="267"/>
      <c r="AR708" s="267"/>
      <c r="AS708" s="267"/>
      <c r="AT708" s="267"/>
      <c r="AU708" s="267"/>
      <c r="AV708" s="267"/>
      <c r="AW708" s="267"/>
      <c r="AX708" s="267"/>
      <c r="AY708" s="267"/>
      <c r="AZ708" s="267"/>
      <c r="BA708" s="267"/>
      <c r="BB708" s="267"/>
      <c r="BC708" s="267"/>
      <c r="BD708" s="267"/>
      <c r="BE708" s="267"/>
      <c r="BF708" s="267"/>
      <c r="BG708" s="267"/>
      <c r="BH708" s="267"/>
      <c r="BI708" s="267"/>
      <c r="BJ708" s="267"/>
      <c r="BK708" s="267"/>
      <c r="BL708" s="267"/>
      <c r="BM708" s="267"/>
      <c r="BN708" s="267"/>
      <c r="BO708" s="267"/>
      <c r="BP708" s="267"/>
      <c r="BQ708" s="267"/>
      <c r="BR708" s="267"/>
      <c r="BS708" s="267"/>
      <c r="BT708" s="267"/>
      <c r="BU708" s="267"/>
      <c r="BV708" s="267"/>
      <c r="BW708" s="267"/>
      <c r="BX708" s="267"/>
      <c r="BY708" s="267"/>
      <c r="BZ708" s="267"/>
      <c r="CA708" s="267"/>
      <c r="CB708" s="267"/>
      <c r="CC708" s="267"/>
      <c r="CD708" s="267"/>
      <c r="CE708" s="267"/>
      <c r="CF708" s="267"/>
      <c r="CG708" s="267"/>
      <c r="CH708" s="267"/>
      <c r="CI708" s="267"/>
      <c r="CJ708" s="267"/>
      <c r="CK708" s="267"/>
      <c r="CL708" s="267"/>
      <c r="CM708" s="267"/>
      <c r="CN708" s="267"/>
      <c r="CO708" s="267"/>
      <c r="CP708" s="267"/>
      <c r="CQ708" s="267"/>
      <c r="CR708" s="267"/>
      <c r="CS708" s="267"/>
      <c r="CT708" s="267"/>
      <c r="CU708" s="267"/>
      <c r="CV708" s="267"/>
      <c r="CW708" s="267"/>
      <c r="CX708" s="267"/>
      <c r="CY708" s="267"/>
      <c r="CZ708" s="267"/>
    </row>
    <row r="709" spans="2:104">
      <c r="B709" s="1235"/>
      <c r="C709" s="1235"/>
      <c r="D709" s="1235"/>
      <c r="E709" s="267"/>
      <c r="F709" s="267"/>
      <c r="G709" s="267"/>
      <c r="H709" s="267"/>
      <c r="I709" s="267"/>
      <c r="J709" s="267"/>
      <c r="K709" s="267"/>
      <c r="L709" s="267"/>
      <c r="M709" s="267"/>
      <c r="N709" s="267"/>
      <c r="O709" s="267"/>
      <c r="P709" s="267"/>
      <c r="Q709" s="267"/>
      <c r="R709" s="267"/>
      <c r="S709" s="267"/>
      <c r="T709" s="267"/>
      <c r="U709" s="267"/>
      <c r="V709" s="267"/>
      <c r="W709" s="267"/>
      <c r="X709" s="267"/>
      <c r="Y709" s="267"/>
      <c r="Z709" s="267"/>
      <c r="AA709" s="267"/>
      <c r="AB709" s="267"/>
      <c r="AC709" s="267"/>
      <c r="AD709" s="267"/>
      <c r="AE709" s="267"/>
      <c r="AF709" s="267"/>
      <c r="AG709" s="267"/>
      <c r="AH709" s="267"/>
      <c r="AI709" s="267"/>
      <c r="AJ709" s="267"/>
      <c r="AK709" s="267"/>
      <c r="AL709" s="267"/>
      <c r="AM709" s="267"/>
      <c r="AN709" s="267"/>
      <c r="AO709" s="267"/>
      <c r="AP709" s="267"/>
      <c r="AQ709" s="267"/>
      <c r="AR709" s="267"/>
      <c r="AS709" s="267"/>
      <c r="AT709" s="267"/>
      <c r="AU709" s="267"/>
      <c r="AV709" s="267"/>
      <c r="AW709" s="267"/>
      <c r="AX709" s="267"/>
      <c r="AY709" s="267"/>
      <c r="AZ709" s="267"/>
      <c r="BA709" s="267"/>
      <c r="BB709" s="267"/>
      <c r="BC709" s="267"/>
      <c r="BD709" s="267"/>
      <c r="BE709" s="267"/>
      <c r="BF709" s="267"/>
      <c r="BG709" s="267"/>
      <c r="BH709" s="267"/>
      <c r="BI709" s="267"/>
      <c r="BJ709" s="267"/>
      <c r="BK709" s="267"/>
      <c r="BL709" s="267"/>
      <c r="BM709" s="267"/>
      <c r="BN709" s="267"/>
      <c r="BO709" s="267"/>
      <c r="BP709" s="267"/>
      <c r="BQ709" s="267"/>
      <c r="BR709" s="267"/>
      <c r="BS709" s="267"/>
      <c r="BT709" s="267"/>
      <c r="BU709" s="267"/>
      <c r="BV709" s="267"/>
      <c r="BW709" s="267"/>
      <c r="BX709" s="267"/>
      <c r="BY709" s="267"/>
      <c r="BZ709" s="267"/>
      <c r="CA709" s="267"/>
      <c r="CB709" s="267"/>
      <c r="CC709" s="267"/>
      <c r="CD709" s="267"/>
      <c r="CE709" s="267"/>
      <c r="CF709" s="267"/>
      <c r="CG709" s="267"/>
      <c r="CH709" s="267"/>
      <c r="CI709" s="267"/>
      <c r="CJ709" s="267"/>
      <c r="CK709" s="267"/>
      <c r="CL709" s="267"/>
      <c r="CM709" s="267"/>
      <c r="CN709" s="267"/>
      <c r="CO709" s="267"/>
      <c r="CP709" s="267"/>
      <c r="CQ709" s="267"/>
      <c r="CR709" s="267"/>
      <c r="CS709" s="267"/>
      <c r="CT709" s="267"/>
      <c r="CU709" s="267"/>
      <c r="CV709" s="267"/>
      <c r="CW709" s="267"/>
      <c r="CX709" s="267"/>
      <c r="CY709" s="267"/>
      <c r="CZ709" s="267"/>
    </row>
    <row r="710" spans="2:104">
      <c r="B710" s="1235"/>
      <c r="C710" s="1235"/>
      <c r="D710" s="1235"/>
      <c r="E710" s="267"/>
      <c r="F710" s="267"/>
      <c r="G710" s="267"/>
      <c r="H710" s="267"/>
      <c r="I710" s="267"/>
      <c r="J710" s="267"/>
      <c r="K710" s="267"/>
      <c r="L710" s="267"/>
      <c r="M710" s="267"/>
      <c r="N710" s="267"/>
      <c r="O710" s="267"/>
      <c r="P710" s="267"/>
      <c r="Q710" s="267"/>
      <c r="R710" s="267"/>
      <c r="S710" s="267"/>
      <c r="T710" s="267"/>
      <c r="U710" s="267"/>
      <c r="V710" s="267"/>
      <c r="W710" s="267"/>
      <c r="X710" s="267"/>
      <c r="Y710" s="267"/>
      <c r="Z710" s="267"/>
      <c r="AA710" s="267"/>
      <c r="AB710" s="267"/>
      <c r="AC710" s="267"/>
      <c r="AD710" s="267"/>
      <c r="AE710" s="267"/>
      <c r="AF710" s="267"/>
      <c r="AG710" s="267"/>
      <c r="AH710" s="267"/>
      <c r="AI710" s="267"/>
      <c r="AJ710" s="267"/>
      <c r="AK710" s="267"/>
      <c r="AL710" s="267"/>
      <c r="AM710" s="267"/>
      <c r="AN710" s="267"/>
      <c r="AO710" s="267"/>
      <c r="AP710" s="267"/>
      <c r="AQ710" s="267"/>
      <c r="AR710" s="267"/>
      <c r="AS710" s="267"/>
      <c r="AT710" s="267"/>
      <c r="AU710" s="267"/>
      <c r="AV710" s="267"/>
      <c r="AW710" s="267"/>
      <c r="AX710" s="267"/>
      <c r="AY710" s="267"/>
      <c r="AZ710" s="267"/>
      <c r="BA710" s="267"/>
      <c r="BB710" s="267"/>
      <c r="BC710" s="267"/>
      <c r="BD710" s="267"/>
      <c r="BE710" s="267"/>
      <c r="BF710" s="267"/>
      <c r="BG710" s="267"/>
      <c r="BH710" s="267"/>
      <c r="BI710" s="267"/>
      <c r="BJ710" s="267"/>
      <c r="BK710" s="267"/>
      <c r="BL710" s="267"/>
      <c r="BM710" s="267"/>
      <c r="BN710" s="267"/>
      <c r="BO710" s="267"/>
      <c r="BP710" s="267"/>
      <c r="BQ710" s="267"/>
      <c r="BR710" s="267"/>
      <c r="BS710" s="267"/>
      <c r="BT710" s="267"/>
      <c r="BU710" s="267"/>
      <c r="BV710" s="267"/>
      <c r="BW710" s="267"/>
      <c r="BX710" s="267"/>
      <c r="BY710" s="267"/>
      <c r="BZ710" s="267"/>
      <c r="CA710" s="267"/>
      <c r="CB710" s="267"/>
      <c r="CC710" s="267"/>
      <c r="CD710" s="267"/>
      <c r="CE710" s="267"/>
      <c r="CF710" s="267"/>
      <c r="CG710" s="267"/>
      <c r="CH710" s="267"/>
      <c r="CI710" s="267"/>
      <c r="CJ710" s="267"/>
      <c r="CK710" s="267"/>
      <c r="CL710" s="267"/>
      <c r="CM710" s="267"/>
      <c r="CN710" s="267"/>
      <c r="CO710" s="267"/>
      <c r="CP710" s="267"/>
      <c r="CQ710" s="267"/>
      <c r="CR710" s="267"/>
      <c r="CS710" s="267"/>
      <c r="CT710" s="267"/>
      <c r="CU710" s="267"/>
      <c r="CV710" s="267"/>
      <c r="CW710" s="267"/>
      <c r="CX710" s="267"/>
      <c r="CY710" s="267"/>
      <c r="CZ710" s="267"/>
    </row>
    <row r="711" spans="2:104">
      <c r="B711" s="1235"/>
      <c r="C711" s="1235"/>
      <c r="D711" s="1235"/>
      <c r="E711" s="267"/>
      <c r="F711" s="267"/>
      <c r="G711" s="267"/>
      <c r="H711" s="267"/>
      <c r="I711" s="267"/>
      <c r="J711" s="267"/>
      <c r="K711" s="267"/>
      <c r="L711" s="267"/>
      <c r="M711" s="267"/>
      <c r="N711" s="267"/>
      <c r="O711" s="267"/>
      <c r="P711" s="267"/>
      <c r="Q711" s="267"/>
      <c r="R711" s="267"/>
      <c r="S711" s="267"/>
      <c r="T711" s="267"/>
      <c r="U711" s="267"/>
      <c r="V711" s="267"/>
      <c r="W711" s="267"/>
      <c r="X711" s="267"/>
      <c r="Y711" s="267"/>
      <c r="Z711" s="267"/>
      <c r="AA711" s="267"/>
      <c r="AB711" s="267"/>
      <c r="AC711" s="267"/>
      <c r="AD711" s="267"/>
      <c r="AE711" s="267"/>
      <c r="AF711" s="267"/>
      <c r="AG711" s="267"/>
      <c r="AH711" s="267"/>
      <c r="AI711" s="267"/>
      <c r="AJ711" s="267"/>
      <c r="AK711" s="267"/>
      <c r="AL711" s="267"/>
      <c r="AM711" s="267"/>
      <c r="AN711" s="267"/>
      <c r="AO711" s="267"/>
      <c r="AP711" s="267"/>
      <c r="AQ711" s="267"/>
      <c r="AR711" s="267"/>
      <c r="AS711" s="267"/>
      <c r="AT711" s="267"/>
      <c r="AU711" s="267"/>
      <c r="AV711" s="267"/>
      <c r="AW711" s="267"/>
      <c r="AX711" s="267"/>
      <c r="AY711" s="267"/>
      <c r="AZ711" s="267"/>
      <c r="BA711" s="267"/>
      <c r="BB711" s="267"/>
      <c r="BC711" s="267"/>
      <c r="BD711" s="267"/>
      <c r="BE711" s="267"/>
      <c r="BF711" s="267"/>
      <c r="BG711" s="267"/>
      <c r="BH711" s="267"/>
      <c r="BI711" s="267"/>
      <c r="BJ711" s="267"/>
      <c r="BK711" s="267"/>
      <c r="BL711" s="267"/>
      <c r="BM711" s="267"/>
      <c r="BN711" s="267"/>
      <c r="BO711" s="267"/>
      <c r="BP711" s="267"/>
      <c r="BQ711" s="267"/>
      <c r="BR711" s="267"/>
      <c r="BS711" s="267"/>
      <c r="BT711" s="267"/>
      <c r="BU711" s="267"/>
      <c r="BV711" s="267"/>
      <c r="BW711" s="267"/>
      <c r="BX711" s="267"/>
      <c r="BY711" s="267"/>
      <c r="BZ711" s="267"/>
      <c r="CA711" s="267"/>
      <c r="CB711" s="267"/>
      <c r="CC711" s="267"/>
      <c r="CD711" s="267"/>
      <c r="CE711" s="267"/>
      <c r="CF711" s="267"/>
      <c r="CG711" s="267"/>
      <c r="CH711" s="267"/>
      <c r="CI711" s="267"/>
      <c r="CJ711" s="267"/>
      <c r="CK711" s="267"/>
      <c r="CL711" s="267"/>
      <c r="CM711" s="267"/>
      <c r="CN711" s="267"/>
      <c r="CO711" s="267"/>
      <c r="CP711" s="267"/>
      <c r="CQ711" s="267"/>
      <c r="CR711" s="267"/>
      <c r="CS711" s="267"/>
      <c r="CT711" s="267"/>
      <c r="CU711" s="267"/>
      <c r="CV711" s="267"/>
      <c r="CW711" s="267"/>
      <c r="CX711" s="267"/>
      <c r="CY711" s="267"/>
      <c r="CZ711" s="267"/>
    </row>
    <row r="712" spans="2:104">
      <c r="B712" s="1235"/>
      <c r="C712" s="1235"/>
      <c r="D712" s="1235"/>
      <c r="E712" s="267"/>
      <c r="F712" s="267"/>
      <c r="G712" s="267"/>
      <c r="H712" s="267"/>
      <c r="I712" s="267"/>
      <c r="J712" s="267"/>
      <c r="K712" s="267"/>
      <c r="L712" s="267"/>
      <c r="M712" s="267"/>
      <c r="N712" s="267"/>
      <c r="O712" s="267"/>
      <c r="P712" s="267"/>
      <c r="Q712" s="267"/>
      <c r="R712" s="267"/>
      <c r="S712" s="267"/>
      <c r="T712" s="267"/>
      <c r="U712" s="267"/>
      <c r="V712" s="267"/>
      <c r="W712" s="267"/>
      <c r="X712" s="267"/>
      <c r="Y712" s="267"/>
      <c r="Z712" s="267"/>
      <c r="AA712" s="267"/>
      <c r="AB712" s="267"/>
      <c r="AC712" s="267"/>
      <c r="AD712" s="267"/>
      <c r="AE712" s="267"/>
      <c r="AF712" s="267"/>
      <c r="AG712" s="267"/>
      <c r="AH712" s="267"/>
      <c r="AI712" s="267"/>
      <c r="AJ712" s="267"/>
      <c r="AK712" s="267"/>
      <c r="AL712" s="267"/>
      <c r="AM712" s="267"/>
      <c r="AN712" s="267"/>
      <c r="AO712" s="267"/>
      <c r="AP712" s="267"/>
      <c r="AQ712" s="267"/>
      <c r="AR712" s="267"/>
      <c r="AS712" s="267"/>
      <c r="AT712" s="267"/>
      <c r="AU712" s="267"/>
      <c r="AV712" s="267"/>
      <c r="AW712" s="267"/>
      <c r="AX712" s="267"/>
      <c r="AY712" s="267"/>
      <c r="AZ712" s="267"/>
      <c r="BA712" s="267"/>
      <c r="BB712" s="267"/>
      <c r="BC712" s="267"/>
      <c r="BD712" s="267"/>
      <c r="BE712" s="267"/>
      <c r="BF712" s="267"/>
      <c r="BG712" s="267"/>
      <c r="BH712" s="267"/>
      <c r="BI712" s="267"/>
      <c r="BJ712" s="267"/>
      <c r="BK712" s="267"/>
      <c r="BL712" s="267"/>
      <c r="BM712" s="267"/>
      <c r="BN712" s="267"/>
      <c r="BO712" s="267"/>
      <c r="BP712" s="267"/>
      <c r="BQ712" s="267"/>
      <c r="BR712" s="267"/>
      <c r="BS712" s="267"/>
      <c r="BT712" s="267"/>
      <c r="BU712" s="267"/>
      <c r="BV712" s="267"/>
      <c r="BW712" s="267"/>
      <c r="BX712" s="267"/>
      <c r="BY712" s="267"/>
      <c r="BZ712" s="267"/>
      <c r="CA712" s="267"/>
      <c r="CB712" s="267"/>
      <c r="CC712" s="267"/>
      <c r="CD712" s="267"/>
      <c r="CE712" s="267"/>
      <c r="CF712" s="267"/>
      <c r="CG712" s="267"/>
      <c r="CH712" s="267"/>
      <c r="CI712" s="267"/>
      <c r="CJ712" s="267"/>
      <c r="CK712" s="267"/>
      <c r="CL712" s="267"/>
      <c r="CM712" s="267"/>
      <c r="CN712" s="267"/>
      <c r="CO712" s="267"/>
      <c r="CP712" s="267"/>
      <c r="CQ712" s="267"/>
      <c r="CR712" s="267"/>
      <c r="CS712" s="267"/>
      <c r="CT712" s="267"/>
      <c r="CU712" s="267"/>
      <c r="CV712" s="267"/>
      <c r="CW712" s="267"/>
      <c r="CX712" s="267"/>
      <c r="CY712" s="267"/>
      <c r="CZ712" s="267"/>
    </row>
    <row r="713" spans="2:104">
      <c r="B713" s="1235"/>
      <c r="C713" s="1235"/>
      <c r="D713" s="1235"/>
      <c r="E713" s="267"/>
      <c r="F713" s="267"/>
      <c r="G713" s="267"/>
      <c r="H713" s="267"/>
      <c r="I713" s="267"/>
      <c r="J713" s="267"/>
      <c r="K713" s="267"/>
      <c r="L713" s="267"/>
      <c r="M713" s="267"/>
      <c r="N713" s="267"/>
      <c r="O713" s="267"/>
      <c r="P713" s="267"/>
      <c r="Q713" s="267"/>
      <c r="R713" s="267"/>
      <c r="S713" s="267"/>
      <c r="T713" s="267"/>
      <c r="U713" s="267"/>
      <c r="V713" s="267"/>
      <c r="W713" s="267"/>
      <c r="X713" s="267"/>
      <c r="Y713" s="267"/>
      <c r="Z713" s="267"/>
      <c r="AA713" s="267"/>
      <c r="AB713" s="267"/>
      <c r="AC713" s="267"/>
      <c r="AD713" s="267"/>
      <c r="AE713" s="267"/>
      <c r="AF713" s="267"/>
      <c r="AG713" s="267"/>
      <c r="AH713" s="267"/>
      <c r="AI713" s="267"/>
      <c r="AJ713" s="267"/>
      <c r="AK713" s="267"/>
      <c r="AL713" s="267"/>
      <c r="AM713" s="267"/>
      <c r="AN713" s="267"/>
      <c r="AO713" s="267"/>
      <c r="AP713" s="267"/>
      <c r="AQ713" s="267"/>
      <c r="AR713" s="267"/>
      <c r="AS713" s="267"/>
      <c r="AT713" s="267"/>
      <c r="AU713" s="267"/>
      <c r="AV713" s="267"/>
      <c r="AW713" s="267"/>
      <c r="AX713" s="267"/>
      <c r="AY713" s="267"/>
      <c r="AZ713" s="267"/>
      <c r="BA713" s="267"/>
      <c r="BB713" s="267"/>
      <c r="BC713" s="267"/>
      <c r="BD713" s="267"/>
      <c r="BE713" s="267"/>
      <c r="BF713" s="267"/>
      <c r="BG713" s="267"/>
      <c r="BH713" s="267"/>
      <c r="BI713" s="267"/>
      <c r="BJ713" s="267"/>
      <c r="BK713" s="267"/>
      <c r="BL713" s="267"/>
      <c r="BM713" s="267"/>
      <c r="BN713" s="267"/>
      <c r="BO713" s="267"/>
      <c r="BP713" s="267"/>
      <c r="BQ713" s="267"/>
      <c r="BR713" s="267"/>
      <c r="BS713" s="267"/>
      <c r="BT713" s="267"/>
      <c r="BU713" s="267"/>
      <c r="BV713" s="267"/>
      <c r="BW713" s="267"/>
      <c r="BX713" s="267"/>
      <c r="BY713" s="267"/>
      <c r="BZ713" s="267"/>
      <c r="CA713" s="267"/>
      <c r="CB713" s="267"/>
      <c r="CC713" s="267"/>
      <c r="CD713" s="267"/>
      <c r="CE713" s="267"/>
      <c r="CF713" s="267"/>
      <c r="CG713" s="267"/>
      <c r="CH713" s="267"/>
      <c r="CI713" s="267"/>
      <c r="CJ713" s="267"/>
      <c r="CK713" s="267"/>
      <c r="CL713" s="267"/>
      <c r="CM713" s="267"/>
      <c r="CN713" s="267"/>
      <c r="CO713" s="267"/>
      <c r="CP713" s="267"/>
      <c r="CQ713" s="267"/>
      <c r="CR713" s="267"/>
      <c r="CS713" s="267"/>
      <c r="CT713" s="267"/>
      <c r="CU713" s="267"/>
      <c r="CV713" s="267"/>
      <c r="CW713" s="267"/>
      <c r="CX713" s="267"/>
      <c r="CY713" s="267"/>
      <c r="CZ713" s="267"/>
    </row>
    <row r="714" spans="2:104">
      <c r="B714" s="1235"/>
      <c r="C714" s="1235"/>
      <c r="D714" s="1235"/>
      <c r="E714" s="267"/>
      <c r="F714" s="267"/>
      <c r="G714" s="267"/>
      <c r="H714" s="267"/>
      <c r="I714" s="267"/>
      <c r="J714" s="267"/>
      <c r="K714" s="267"/>
      <c r="L714" s="267"/>
      <c r="M714" s="267"/>
      <c r="N714" s="267"/>
      <c r="O714" s="267"/>
      <c r="P714" s="267"/>
      <c r="Q714" s="267"/>
      <c r="R714" s="267"/>
      <c r="S714" s="267"/>
      <c r="T714" s="267"/>
      <c r="U714" s="267"/>
      <c r="V714" s="267"/>
      <c r="W714" s="267"/>
      <c r="X714" s="267"/>
      <c r="Y714" s="267"/>
      <c r="Z714" s="267"/>
      <c r="AA714" s="267"/>
      <c r="AB714" s="267"/>
      <c r="AC714" s="267"/>
      <c r="AD714" s="267"/>
      <c r="AE714" s="267"/>
      <c r="AF714" s="267"/>
      <c r="AG714" s="267"/>
      <c r="AH714" s="267"/>
      <c r="AI714" s="267"/>
      <c r="AJ714" s="267"/>
      <c r="AK714" s="267"/>
      <c r="AL714" s="267"/>
      <c r="AM714" s="267"/>
      <c r="AN714" s="267"/>
      <c r="AO714" s="267"/>
      <c r="AP714" s="267"/>
      <c r="AQ714" s="267"/>
      <c r="AR714" s="267"/>
      <c r="AS714" s="267"/>
      <c r="AT714" s="267"/>
      <c r="AU714" s="267"/>
      <c r="AV714" s="267"/>
      <c r="AW714" s="267"/>
      <c r="AX714" s="267"/>
      <c r="AY714" s="267"/>
      <c r="AZ714" s="267"/>
      <c r="BA714" s="267"/>
      <c r="BB714" s="267"/>
      <c r="BC714" s="267"/>
      <c r="BD714" s="267"/>
      <c r="BE714" s="267"/>
      <c r="BF714" s="267"/>
      <c r="BG714" s="267"/>
      <c r="BH714" s="267"/>
      <c r="BI714" s="267"/>
      <c r="BJ714" s="267"/>
      <c r="BK714" s="267"/>
      <c r="BL714" s="267"/>
      <c r="BM714" s="267"/>
      <c r="BN714" s="267"/>
      <c r="BO714" s="267"/>
      <c r="BP714" s="267"/>
      <c r="BQ714" s="267"/>
      <c r="BR714" s="267"/>
      <c r="BS714" s="267"/>
      <c r="BT714" s="267"/>
      <c r="BU714" s="267"/>
      <c r="BV714" s="267"/>
      <c r="BW714" s="267"/>
      <c r="BX714" s="267"/>
      <c r="BY714" s="267"/>
      <c r="BZ714" s="267"/>
      <c r="CA714" s="267"/>
      <c r="CB714" s="267"/>
      <c r="CC714" s="267"/>
      <c r="CD714" s="267"/>
      <c r="CE714" s="267"/>
      <c r="CF714" s="267"/>
      <c r="CG714" s="267"/>
      <c r="CH714" s="267"/>
      <c r="CI714" s="267"/>
      <c r="CJ714" s="267"/>
      <c r="CK714" s="267"/>
      <c r="CL714" s="267"/>
      <c r="CM714" s="267"/>
      <c r="CN714" s="267"/>
      <c r="CO714" s="267"/>
      <c r="CP714" s="267"/>
      <c r="CQ714" s="267"/>
      <c r="CR714" s="267"/>
      <c r="CS714" s="267"/>
      <c r="CT714" s="267"/>
      <c r="CU714" s="267"/>
      <c r="CV714" s="267"/>
      <c r="CW714" s="267"/>
      <c r="CX714" s="267"/>
      <c r="CY714" s="267"/>
      <c r="CZ714" s="267"/>
    </row>
    <row r="715" spans="2:104">
      <c r="B715" s="1235"/>
      <c r="C715" s="1235"/>
      <c r="D715" s="1235"/>
      <c r="E715" s="267"/>
      <c r="F715" s="267"/>
      <c r="G715" s="267"/>
      <c r="H715" s="267"/>
      <c r="I715" s="267"/>
      <c r="J715" s="267"/>
      <c r="K715" s="267"/>
      <c r="L715" s="267"/>
      <c r="M715" s="267"/>
      <c r="N715" s="267"/>
      <c r="O715" s="267"/>
      <c r="P715" s="267"/>
      <c r="Q715" s="267"/>
      <c r="R715" s="267"/>
      <c r="S715" s="267"/>
      <c r="T715" s="267"/>
      <c r="U715" s="267"/>
      <c r="V715" s="267"/>
      <c r="W715" s="267"/>
      <c r="X715" s="267"/>
      <c r="Y715" s="267"/>
      <c r="Z715" s="267"/>
      <c r="AA715" s="267"/>
      <c r="AB715" s="267"/>
      <c r="AC715" s="267"/>
      <c r="AD715" s="267"/>
      <c r="AE715" s="267"/>
      <c r="AF715" s="267"/>
      <c r="AG715" s="267"/>
      <c r="AH715" s="267"/>
      <c r="AI715" s="267"/>
      <c r="AJ715" s="267"/>
      <c r="AK715" s="267"/>
      <c r="AL715" s="267"/>
      <c r="AM715" s="267"/>
      <c r="AN715" s="267"/>
      <c r="AO715" s="267"/>
      <c r="AP715" s="267"/>
      <c r="AQ715" s="267"/>
      <c r="AR715" s="267"/>
      <c r="AS715" s="267"/>
      <c r="AT715" s="267"/>
      <c r="AU715" s="267"/>
      <c r="AV715" s="267"/>
      <c r="AW715" s="267"/>
      <c r="AX715" s="267"/>
      <c r="AY715" s="267"/>
      <c r="AZ715" s="267"/>
      <c r="BA715" s="267"/>
      <c r="BB715" s="267"/>
      <c r="BC715" s="267"/>
      <c r="BD715" s="267"/>
      <c r="BE715" s="267"/>
      <c r="BF715" s="267"/>
      <c r="BG715" s="267"/>
      <c r="BH715" s="267"/>
      <c r="BI715" s="267"/>
      <c r="BJ715" s="267"/>
      <c r="BK715" s="267"/>
      <c r="BL715" s="267"/>
      <c r="BM715" s="267"/>
      <c r="BN715" s="267"/>
      <c r="BO715" s="267"/>
      <c r="BP715" s="267"/>
      <c r="BQ715" s="267"/>
      <c r="BR715" s="267"/>
      <c r="BS715" s="267"/>
      <c r="BT715" s="267"/>
      <c r="BU715" s="267"/>
      <c r="BV715" s="267"/>
      <c r="BW715" s="267"/>
      <c r="BX715" s="267"/>
      <c r="BY715" s="267"/>
      <c r="BZ715" s="267"/>
      <c r="CA715" s="267"/>
      <c r="CB715" s="267"/>
      <c r="CC715" s="267"/>
      <c r="CD715" s="267"/>
      <c r="CE715" s="267"/>
      <c r="CF715" s="267"/>
      <c r="CG715" s="267"/>
      <c r="CH715" s="267"/>
      <c r="CI715" s="267"/>
      <c r="CJ715" s="267"/>
      <c r="CK715" s="267"/>
      <c r="CL715" s="267"/>
      <c r="CM715" s="267"/>
      <c r="CN715" s="267"/>
      <c r="CO715" s="267"/>
      <c r="CP715" s="267"/>
      <c r="CQ715" s="267"/>
      <c r="CR715" s="267"/>
      <c r="CS715" s="267"/>
      <c r="CT715" s="267"/>
      <c r="CU715" s="267"/>
      <c r="CV715" s="267"/>
      <c r="CW715" s="267"/>
      <c r="CX715" s="267"/>
      <c r="CY715" s="267"/>
      <c r="CZ715" s="267"/>
    </row>
    <row r="716" spans="2:104">
      <c r="B716" s="1235"/>
      <c r="C716" s="1235"/>
      <c r="D716" s="1235"/>
      <c r="E716" s="267"/>
      <c r="F716" s="267"/>
      <c r="G716" s="267"/>
      <c r="H716" s="267"/>
      <c r="I716" s="267"/>
      <c r="J716" s="267"/>
      <c r="K716" s="267"/>
      <c r="L716" s="267"/>
      <c r="M716" s="267"/>
      <c r="N716" s="267"/>
      <c r="O716" s="267"/>
      <c r="P716" s="267"/>
      <c r="Q716" s="267"/>
      <c r="R716" s="267"/>
      <c r="S716" s="267"/>
      <c r="T716" s="267"/>
      <c r="U716" s="267"/>
      <c r="V716" s="267"/>
      <c r="W716" s="267"/>
      <c r="X716" s="267"/>
      <c r="Y716" s="267"/>
      <c r="Z716" s="267"/>
      <c r="AA716" s="267"/>
      <c r="AB716" s="267"/>
      <c r="AC716" s="267"/>
      <c r="AD716" s="267"/>
      <c r="AE716" s="267"/>
      <c r="AF716" s="267"/>
      <c r="AG716" s="267"/>
      <c r="AH716" s="267"/>
      <c r="AI716" s="267"/>
      <c r="AJ716" s="267"/>
      <c r="AK716" s="267"/>
      <c r="AL716" s="267"/>
      <c r="AM716" s="267"/>
      <c r="AN716" s="267"/>
      <c r="AO716" s="267"/>
      <c r="AP716" s="267"/>
      <c r="AQ716" s="267"/>
      <c r="AR716" s="267"/>
      <c r="AS716" s="267"/>
      <c r="AT716" s="267"/>
      <c r="AU716" s="267"/>
      <c r="AV716" s="267"/>
      <c r="AW716" s="267"/>
      <c r="AX716" s="267"/>
      <c r="AY716" s="267"/>
      <c r="AZ716" s="267"/>
      <c r="BA716" s="267"/>
      <c r="BB716" s="267"/>
      <c r="BC716" s="267"/>
      <c r="BD716" s="267"/>
      <c r="BE716" s="267"/>
      <c r="BF716" s="267"/>
      <c r="BG716" s="267"/>
      <c r="BH716" s="267"/>
      <c r="BI716" s="267"/>
      <c r="BJ716" s="267"/>
      <c r="BK716" s="267"/>
      <c r="BL716" s="267"/>
      <c r="BM716" s="267"/>
      <c r="BN716" s="267"/>
      <c r="BO716" s="267"/>
      <c r="BP716" s="267"/>
      <c r="BQ716" s="267"/>
      <c r="BR716" s="267"/>
      <c r="BS716" s="267"/>
      <c r="BT716" s="267"/>
      <c r="BU716" s="267"/>
      <c r="BV716" s="267"/>
      <c r="BW716" s="267"/>
      <c r="BX716" s="267"/>
      <c r="BY716" s="267"/>
      <c r="BZ716" s="267"/>
      <c r="CA716" s="267"/>
      <c r="CB716" s="267"/>
      <c r="CC716" s="267"/>
      <c r="CD716" s="267"/>
      <c r="CE716" s="267"/>
      <c r="CF716" s="267"/>
      <c r="CG716" s="267"/>
      <c r="CH716" s="267"/>
      <c r="CI716" s="267"/>
      <c r="CJ716" s="267"/>
      <c r="CK716" s="267"/>
      <c r="CL716" s="267"/>
      <c r="CM716" s="267"/>
      <c r="CN716" s="267"/>
      <c r="CO716" s="267"/>
      <c r="CP716" s="267"/>
      <c r="CQ716" s="267"/>
      <c r="CR716" s="267"/>
      <c r="CS716" s="267"/>
      <c r="CT716" s="267"/>
      <c r="CU716" s="267"/>
      <c r="CV716" s="267"/>
      <c r="CW716" s="267"/>
      <c r="CX716" s="267"/>
      <c r="CY716" s="267"/>
      <c r="CZ716" s="267"/>
    </row>
    <row r="717" spans="2:104">
      <c r="B717" s="1235"/>
      <c r="C717" s="1235"/>
      <c r="D717" s="1235"/>
      <c r="E717" s="267"/>
      <c r="F717" s="267"/>
      <c r="G717" s="267"/>
      <c r="H717" s="267"/>
      <c r="I717" s="267"/>
      <c r="J717" s="267"/>
      <c r="K717" s="267"/>
      <c r="L717" s="267"/>
      <c r="M717" s="267"/>
      <c r="N717" s="267"/>
      <c r="O717" s="267"/>
      <c r="P717" s="267"/>
      <c r="Q717" s="267"/>
      <c r="R717" s="267"/>
      <c r="S717" s="267"/>
      <c r="T717" s="267"/>
      <c r="U717" s="267"/>
      <c r="V717" s="267"/>
      <c r="W717" s="267"/>
      <c r="X717" s="267"/>
      <c r="Y717" s="267"/>
      <c r="Z717" s="267"/>
      <c r="AA717" s="267"/>
      <c r="AB717" s="267"/>
      <c r="AC717" s="267"/>
      <c r="AD717" s="267"/>
      <c r="AE717" s="267"/>
      <c r="AF717" s="267"/>
      <c r="AG717" s="267"/>
      <c r="AH717" s="267"/>
      <c r="AI717" s="267"/>
      <c r="AJ717" s="267"/>
      <c r="AK717" s="267"/>
      <c r="AL717" s="267"/>
      <c r="AM717" s="267"/>
      <c r="AN717" s="267"/>
      <c r="AO717" s="267"/>
      <c r="AP717" s="267"/>
      <c r="AQ717" s="267"/>
      <c r="AR717" s="267"/>
      <c r="AS717" s="267"/>
      <c r="AT717" s="267"/>
      <c r="AU717" s="267"/>
      <c r="AV717" s="267"/>
      <c r="AW717" s="267"/>
      <c r="AX717" s="267"/>
      <c r="AY717" s="267"/>
      <c r="AZ717" s="267"/>
      <c r="BA717" s="267"/>
      <c r="BB717" s="267"/>
      <c r="BC717" s="267"/>
      <c r="BD717" s="267"/>
      <c r="BE717" s="267"/>
      <c r="BF717" s="267"/>
      <c r="BG717" s="267"/>
      <c r="BH717" s="267"/>
      <c r="BI717" s="267"/>
      <c r="BJ717" s="267"/>
      <c r="BK717" s="267"/>
      <c r="BL717" s="267"/>
      <c r="BM717" s="267"/>
      <c r="BN717" s="267"/>
      <c r="BO717" s="267"/>
      <c r="BP717" s="267"/>
      <c r="BQ717" s="267"/>
      <c r="BR717" s="267"/>
      <c r="BS717" s="267"/>
      <c r="BT717" s="267"/>
      <c r="BU717" s="267"/>
      <c r="BV717" s="267"/>
      <c r="BW717" s="267"/>
      <c r="BX717" s="267"/>
      <c r="BY717" s="267"/>
      <c r="BZ717" s="267"/>
      <c r="CA717" s="267"/>
      <c r="CB717" s="267"/>
      <c r="CC717" s="267"/>
      <c r="CD717" s="267"/>
      <c r="CE717" s="267"/>
      <c r="CF717" s="267"/>
      <c r="CG717" s="267"/>
      <c r="CH717" s="267"/>
      <c r="CI717" s="267"/>
      <c r="CJ717" s="267"/>
      <c r="CK717" s="267"/>
      <c r="CL717" s="267"/>
      <c r="CM717" s="267"/>
      <c r="CN717" s="267"/>
      <c r="CO717" s="267"/>
      <c r="CP717" s="267"/>
      <c r="CQ717" s="267"/>
      <c r="CR717" s="267"/>
      <c r="CS717" s="267"/>
      <c r="CT717" s="267"/>
      <c r="CU717" s="267"/>
      <c r="CV717" s="267"/>
      <c r="CW717" s="267"/>
      <c r="CX717" s="267"/>
      <c r="CY717" s="267"/>
      <c r="CZ717" s="267"/>
    </row>
    <row r="718" spans="2:104">
      <c r="B718" s="1235"/>
      <c r="C718" s="1235"/>
      <c r="D718" s="1235"/>
      <c r="E718" s="267"/>
      <c r="F718" s="267"/>
      <c r="G718" s="267"/>
      <c r="H718" s="267"/>
      <c r="I718" s="267"/>
      <c r="J718" s="267"/>
      <c r="K718" s="267"/>
      <c r="L718" s="267"/>
      <c r="M718" s="267"/>
      <c r="N718" s="267"/>
      <c r="O718" s="267"/>
      <c r="P718" s="267"/>
      <c r="Q718" s="267"/>
      <c r="R718" s="267"/>
      <c r="S718" s="267"/>
      <c r="T718" s="267"/>
      <c r="U718" s="267"/>
      <c r="V718" s="267"/>
      <c r="W718" s="267"/>
      <c r="X718" s="267"/>
      <c r="Y718" s="267"/>
      <c r="Z718" s="267"/>
      <c r="AA718" s="267"/>
      <c r="AB718" s="267"/>
      <c r="AC718" s="267"/>
      <c r="AD718" s="267"/>
      <c r="AE718" s="267"/>
      <c r="AF718" s="267"/>
      <c r="AG718" s="267"/>
      <c r="AH718" s="267"/>
      <c r="AI718" s="267"/>
      <c r="AJ718" s="267"/>
      <c r="AK718" s="267"/>
      <c r="AL718" s="267"/>
      <c r="AM718" s="267"/>
      <c r="AN718" s="267"/>
      <c r="AO718" s="267"/>
      <c r="AP718" s="267"/>
      <c r="AQ718" s="267"/>
      <c r="AR718" s="267"/>
      <c r="AS718" s="267"/>
      <c r="AT718" s="267"/>
      <c r="AU718" s="267"/>
      <c r="AV718" s="267"/>
      <c r="AW718" s="267"/>
      <c r="AX718" s="267"/>
      <c r="AY718" s="267"/>
      <c r="AZ718" s="267"/>
      <c r="BA718" s="267"/>
      <c r="BB718" s="267"/>
      <c r="BC718" s="267"/>
      <c r="BD718" s="267"/>
      <c r="BE718" s="267"/>
      <c r="BF718" s="267"/>
      <c r="BG718" s="267"/>
      <c r="BH718" s="267"/>
      <c r="BI718" s="267"/>
      <c r="BJ718" s="267"/>
      <c r="BK718" s="267"/>
      <c r="BL718" s="267"/>
      <c r="BM718" s="267"/>
      <c r="BN718" s="267"/>
      <c r="BO718" s="267"/>
      <c r="BP718" s="267"/>
      <c r="BQ718" s="267"/>
      <c r="BR718" s="267"/>
      <c r="BS718" s="267"/>
      <c r="BT718" s="267"/>
      <c r="BU718" s="267"/>
      <c r="BV718" s="267"/>
      <c r="BW718" s="267"/>
      <c r="BX718" s="267"/>
      <c r="BY718" s="267"/>
      <c r="BZ718" s="267"/>
      <c r="CA718" s="267"/>
      <c r="CB718" s="267"/>
      <c r="CC718" s="267"/>
      <c r="CD718" s="267"/>
      <c r="CE718" s="267"/>
      <c r="CF718" s="267"/>
      <c r="CG718" s="267"/>
      <c r="CH718" s="267"/>
      <c r="CI718" s="267"/>
      <c r="CJ718" s="267"/>
      <c r="CK718" s="267"/>
      <c r="CL718" s="267"/>
      <c r="CM718" s="267"/>
      <c r="CN718" s="267"/>
      <c r="CO718" s="267"/>
      <c r="CP718" s="267"/>
      <c r="CQ718" s="267"/>
      <c r="CR718" s="267"/>
      <c r="CS718" s="267"/>
      <c r="CT718" s="267"/>
      <c r="CU718" s="267"/>
      <c r="CV718" s="267"/>
      <c r="CW718" s="267"/>
      <c r="CX718" s="267"/>
      <c r="CY718" s="267"/>
      <c r="CZ718" s="267"/>
    </row>
    <row r="719" spans="2:104">
      <c r="B719" s="1235"/>
      <c r="C719" s="1235"/>
      <c r="D719" s="1235"/>
      <c r="E719" s="267"/>
      <c r="F719" s="267"/>
      <c r="G719" s="267"/>
      <c r="H719" s="267"/>
      <c r="I719" s="267"/>
      <c r="J719" s="267"/>
      <c r="K719" s="267"/>
      <c r="L719" s="267"/>
      <c r="M719" s="267"/>
      <c r="N719" s="267"/>
      <c r="O719" s="267"/>
      <c r="P719" s="267"/>
      <c r="Q719" s="267"/>
      <c r="R719" s="267"/>
      <c r="S719" s="267"/>
      <c r="T719" s="267"/>
      <c r="U719" s="267"/>
      <c r="V719" s="267"/>
      <c r="W719" s="267"/>
      <c r="X719" s="267"/>
      <c r="Y719" s="267"/>
      <c r="Z719" s="267"/>
      <c r="AA719" s="267"/>
      <c r="AB719" s="267"/>
      <c r="AC719" s="267"/>
      <c r="AD719" s="267"/>
      <c r="AE719" s="267"/>
      <c r="AF719" s="267"/>
      <c r="AG719" s="267"/>
      <c r="AH719" s="267"/>
      <c r="AI719" s="267"/>
      <c r="AJ719" s="267"/>
      <c r="AK719" s="267"/>
      <c r="AL719" s="267"/>
      <c r="AM719" s="267"/>
      <c r="AN719" s="267"/>
      <c r="AO719" s="267"/>
      <c r="AP719" s="267"/>
      <c r="AQ719" s="267"/>
      <c r="AR719" s="267"/>
      <c r="AS719" s="267"/>
      <c r="AT719" s="267"/>
      <c r="AU719" s="267"/>
      <c r="AV719" s="267"/>
      <c r="AW719" s="267"/>
      <c r="AX719" s="267"/>
      <c r="AY719" s="267"/>
      <c r="AZ719" s="267"/>
      <c r="BA719" s="267"/>
      <c r="BB719" s="267"/>
      <c r="BC719" s="267"/>
      <c r="BD719" s="267"/>
      <c r="BE719" s="267"/>
      <c r="BF719" s="267"/>
      <c r="BG719" s="267"/>
      <c r="BH719" s="267"/>
      <c r="BI719" s="267"/>
      <c r="BJ719" s="267"/>
      <c r="BK719" s="267"/>
      <c r="BL719" s="267"/>
      <c r="BM719" s="267"/>
      <c r="BN719" s="267"/>
      <c r="BO719" s="267"/>
      <c r="BP719" s="267"/>
      <c r="BQ719" s="267"/>
      <c r="BR719" s="267"/>
      <c r="BS719" s="267"/>
      <c r="BT719" s="267"/>
      <c r="BU719" s="267"/>
      <c r="BV719" s="267"/>
      <c r="BW719" s="267"/>
      <c r="BX719" s="267"/>
      <c r="BY719" s="267"/>
      <c r="BZ719" s="267"/>
      <c r="CA719" s="267"/>
      <c r="CB719" s="267"/>
      <c r="CC719" s="267"/>
      <c r="CD719" s="267"/>
      <c r="CE719" s="267"/>
      <c r="CF719" s="267"/>
      <c r="CG719" s="267"/>
      <c r="CH719" s="267"/>
      <c r="CI719" s="267"/>
      <c r="CJ719" s="267"/>
      <c r="CK719" s="267"/>
      <c r="CL719" s="267"/>
      <c r="CM719" s="267"/>
      <c r="CN719" s="267"/>
      <c r="CO719" s="267"/>
      <c r="CP719" s="267"/>
      <c r="CQ719" s="267"/>
      <c r="CR719" s="267"/>
      <c r="CS719" s="267"/>
      <c r="CT719" s="267"/>
      <c r="CU719" s="267"/>
      <c r="CV719" s="267"/>
      <c r="CW719" s="267"/>
      <c r="CX719" s="267"/>
      <c r="CY719" s="267"/>
      <c r="CZ719" s="267"/>
    </row>
    <row r="720" spans="2:104">
      <c r="B720" s="1235"/>
      <c r="C720" s="1235"/>
      <c r="D720" s="1235"/>
      <c r="E720" s="267"/>
      <c r="F720" s="267"/>
      <c r="G720" s="267"/>
      <c r="H720" s="267"/>
      <c r="I720" s="267"/>
      <c r="J720" s="267"/>
      <c r="K720" s="267"/>
      <c r="L720" s="267"/>
      <c r="M720" s="267"/>
      <c r="N720" s="267"/>
      <c r="O720" s="267"/>
      <c r="P720" s="267"/>
      <c r="Q720" s="267"/>
      <c r="R720" s="267"/>
      <c r="S720" s="267"/>
      <c r="T720" s="267"/>
      <c r="U720" s="267"/>
      <c r="V720" s="267"/>
      <c r="W720" s="267"/>
      <c r="X720" s="267"/>
      <c r="Y720" s="267"/>
      <c r="Z720" s="267"/>
      <c r="AA720" s="267"/>
      <c r="AB720" s="267"/>
      <c r="AC720" s="267"/>
      <c r="AD720" s="267"/>
      <c r="AE720" s="267"/>
      <c r="AF720" s="267"/>
      <c r="AG720" s="267"/>
      <c r="AH720" s="267"/>
      <c r="AI720" s="267"/>
      <c r="AJ720" s="267"/>
      <c r="AK720" s="267"/>
      <c r="AL720" s="267"/>
      <c r="AM720" s="267"/>
      <c r="AN720" s="267"/>
      <c r="AO720" s="267"/>
      <c r="AP720" s="267"/>
      <c r="AQ720" s="267"/>
      <c r="AR720" s="267"/>
      <c r="AS720" s="267"/>
      <c r="AT720" s="267"/>
      <c r="AU720" s="267"/>
      <c r="AV720" s="267"/>
      <c r="AW720" s="267"/>
      <c r="AX720" s="267"/>
      <c r="AY720" s="267"/>
      <c r="AZ720" s="267"/>
      <c r="BA720" s="267"/>
      <c r="BB720" s="267"/>
      <c r="BC720" s="267"/>
      <c r="BD720" s="267"/>
      <c r="BE720" s="267"/>
      <c r="BF720" s="267"/>
      <c r="BG720" s="267"/>
      <c r="BH720" s="267"/>
      <c r="BI720" s="267"/>
      <c r="BJ720" s="267"/>
      <c r="BK720" s="267"/>
      <c r="BL720" s="267"/>
      <c r="BM720" s="267"/>
      <c r="BN720" s="267"/>
      <c r="BO720" s="267"/>
      <c r="BP720" s="267"/>
      <c r="BQ720" s="267"/>
      <c r="BR720" s="267"/>
      <c r="BS720" s="267"/>
      <c r="BT720" s="267"/>
      <c r="BU720" s="267"/>
      <c r="BV720" s="267"/>
      <c r="BW720" s="267"/>
      <c r="BX720" s="267"/>
      <c r="BY720" s="267"/>
      <c r="BZ720" s="267"/>
      <c r="CA720" s="267"/>
      <c r="CB720" s="267"/>
      <c r="CC720" s="267"/>
      <c r="CD720" s="267"/>
      <c r="CE720" s="267"/>
      <c r="CF720" s="267"/>
      <c r="CG720" s="267"/>
      <c r="CH720" s="267"/>
      <c r="CI720" s="267"/>
      <c r="CJ720" s="267"/>
      <c r="CK720" s="267"/>
      <c r="CL720" s="267"/>
      <c r="CM720" s="267"/>
      <c r="CN720" s="267"/>
      <c r="CO720" s="267"/>
      <c r="CP720" s="267"/>
      <c r="CQ720" s="267"/>
      <c r="CR720" s="267"/>
      <c r="CS720" s="267"/>
      <c r="CT720" s="267"/>
      <c r="CU720" s="267"/>
      <c r="CV720" s="267"/>
      <c r="CW720" s="267"/>
      <c r="CX720" s="267"/>
      <c r="CY720" s="267"/>
      <c r="CZ720" s="267"/>
    </row>
    <row r="721" spans="2:104">
      <c r="B721" s="1235"/>
      <c r="C721" s="1235"/>
      <c r="D721" s="1235"/>
      <c r="E721" s="267"/>
      <c r="F721" s="267"/>
      <c r="G721" s="267"/>
      <c r="H721" s="267"/>
      <c r="I721" s="267"/>
      <c r="J721" s="267"/>
      <c r="K721" s="267"/>
      <c r="L721" s="267"/>
      <c r="M721" s="267"/>
      <c r="N721" s="267"/>
      <c r="O721" s="267"/>
      <c r="P721" s="267"/>
      <c r="Q721" s="267"/>
      <c r="R721" s="267"/>
      <c r="S721" s="267"/>
      <c r="T721" s="267"/>
      <c r="U721" s="267"/>
      <c r="V721" s="267"/>
      <c r="W721" s="267"/>
      <c r="X721" s="267"/>
      <c r="Y721" s="267"/>
      <c r="Z721" s="267"/>
      <c r="AA721" s="267"/>
      <c r="AB721" s="267"/>
      <c r="AC721" s="267"/>
      <c r="AD721" s="267"/>
      <c r="AE721" s="267"/>
      <c r="AF721" s="267"/>
      <c r="AG721" s="267"/>
      <c r="AH721" s="267"/>
      <c r="AI721" s="267"/>
      <c r="AJ721" s="267"/>
      <c r="AK721" s="267"/>
      <c r="AL721" s="267"/>
      <c r="AM721" s="267"/>
      <c r="AN721" s="267"/>
      <c r="AO721" s="267"/>
      <c r="AP721" s="267"/>
      <c r="AQ721" s="267"/>
      <c r="AR721" s="267"/>
      <c r="AS721" s="267"/>
      <c r="AT721" s="267"/>
      <c r="AU721" s="267"/>
      <c r="AV721" s="267"/>
      <c r="AW721" s="267"/>
      <c r="AX721" s="267"/>
      <c r="AY721" s="267"/>
      <c r="AZ721" s="267"/>
      <c r="BA721" s="267"/>
      <c r="BB721" s="267"/>
      <c r="BC721" s="267"/>
      <c r="BD721" s="267"/>
      <c r="BE721" s="267"/>
      <c r="BF721" s="267"/>
      <c r="BG721" s="267"/>
      <c r="BH721" s="267"/>
      <c r="BI721" s="267"/>
      <c r="BJ721" s="267"/>
      <c r="BK721" s="267"/>
      <c r="BL721" s="267"/>
      <c r="BM721" s="267"/>
      <c r="BN721" s="267"/>
      <c r="BO721" s="267"/>
      <c r="BP721" s="267"/>
      <c r="BQ721" s="267"/>
      <c r="BR721" s="267"/>
      <c r="BS721" s="267"/>
      <c r="BT721" s="267"/>
      <c r="BU721" s="267"/>
      <c r="BV721" s="267"/>
      <c r="BW721" s="267"/>
      <c r="BX721" s="267"/>
      <c r="BY721" s="267"/>
      <c r="BZ721" s="267"/>
      <c r="CA721" s="267"/>
      <c r="CB721" s="267"/>
      <c r="CC721" s="267"/>
      <c r="CD721" s="267"/>
      <c r="CE721" s="267"/>
      <c r="CF721" s="267"/>
      <c r="CG721" s="267"/>
      <c r="CH721" s="267"/>
      <c r="CI721" s="267"/>
      <c r="CJ721" s="267"/>
      <c r="CK721" s="267"/>
      <c r="CL721" s="267"/>
      <c r="CM721" s="267"/>
      <c r="CN721" s="267"/>
      <c r="CO721" s="267"/>
      <c r="CP721" s="267"/>
      <c r="CQ721" s="267"/>
      <c r="CR721" s="267"/>
      <c r="CS721" s="267"/>
      <c r="CT721" s="267"/>
      <c r="CU721" s="267"/>
      <c r="CV721" s="267"/>
      <c r="CW721" s="267"/>
      <c r="CX721" s="267"/>
      <c r="CY721" s="267"/>
      <c r="CZ721" s="267"/>
    </row>
    <row r="722" spans="2:104">
      <c r="B722" s="1235"/>
      <c r="C722" s="1235"/>
      <c r="D722" s="1235"/>
      <c r="E722" s="267"/>
      <c r="F722" s="267"/>
      <c r="G722" s="267"/>
      <c r="H722" s="267"/>
      <c r="I722" s="267"/>
      <c r="J722" s="267"/>
      <c r="K722" s="267"/>
      <c r="L722" s="267"/>
      <c r="M722" s="267"/>
      <c r="N722" s="267"/>
      <c r="O722" s="267"/>
      <c r="P722" s="267"/>
      <c r="Q722" s="267"/>
      <c r="R722" s="267"/>
      <c r="S722" s="267"/>
      <c r="T722" s="267"/>
      <c r="U722" s="267"/>
      <c r="V722" s="267"/>
      <c r="W722" s="267"/>
      <c r="X722" s="267"/>
      <c r="Y722" s="267"/>
      <c r="Z722" s="267"/>
      <c r="AA722" s="267"/>
      <c r="AB722" s="267"/>
      <c r="AC722" s="267"/>
      <c r="AD722" s="267"/>
      <c r="AE722" s="267"/>
      <c r="AF722" s="267"/>
      <c r="AG722" s="267"/>
      <c r="AH722" s="267"/>
      <c r="AI722" s="267"/>
      <c r="AJ722" s="267"/>
      <c r="AK722" s="267"/>
      <c r="AL722" s="267"/>
      <c r="AM722" s="267"/>
      <c r="AN722" s="267"/>
      <c r="AO722" s="267"/>
      <c r="AP722" s="267"/>
      <c r="AQ722" s="267"/>
      <c r="AR722" s="267"/>
      <c r="AS722" s="267"/>
      <c r="AT722" s="267"/>
      <c r="AU722" s="267"/>
      <c r="AV722" s="267"/>
      <c r="AW722" s="267"/>
      <c r="AX722" s="267"/>
      <c r="AY722" s="267"/>
      <c r="AZ722" s="267"/>
      <c r="BA722" s="267"/>
      <c r="BB722" s="267"/>
      <c r="BC722" s="267"/>
      <c r="BD722" s="267"/>
      <c r="BE722" s="267"/>
      <c r="BF722" s="267"/>
      <c r="BG722" s="267"/>
      <c r="BH722" s="267"/>
      <c r="BI722" s="267"/>
      <c r="BJ722" s="267"/>
      <c r="BK722" s="267"/>
      <c r="BL722" s="267"/>
      <c r="BM722" s="267"/>
      <c r="BN722" s="267"/>
      <c r="BO722" s="267"/>
      <c r="BP722" s="267"/>
      <c r="BQ722" s="267"/>
      <c r="BR722" s="267"/>
      <c r="BS722" s="267"/>
      <c r="BT722" s="267"/>
      <c r="BU722" s="267"/>
      <c r="BV722" s="267"/>
      <c r="BW722" s="267"/>
      <c r="BX722" s="267"/>
      <c r="BY722" s="267"/>
      <c r="BZ722" s="267"/>
      <c r="CA722" s="267"/>
      <c r="CB722" s="267"/>
      <c r="CC722" s="267"/>
      <c r="CD722" s="267"/>
      <c r="CE722" s="267"/>
      <c r="CF722" s="267"/>
      <c r="CG722" s="267"/>
      <c r="CH722" s="267"/>
      <c r="CI722" s="267"/>
      <c r="CJ722" s="267"/>
      <c r="CK722" s="267"/>
      <c r="CL722" s="267"/>
      <c r="CM722" s="267"/>
      <c r="CN722" s="267"/>
      <c r="CO722" s="267"/>
      <c r="CP722" s="267"/>
      <c r="CQ722" s="267"/>
      <c r="CR722" s="267"/>
      <c r="CS722" s="267"/>
      <c r="CT722" s="267"/>
      <c r="CU722" s="267"/>
      <c r="CV722" s="267"/>
      <c r="CW722" s="267"/>
      <c r="CX722" s="267"/>
      <c r="CY722" s="267"/>
      <c r="CZ722" s="267"/>
    </row>
    <row r="723" spans="2:104">
      <c r="B723" s="1235"/>
      <c r="C723" s="1235"/>
      <c r="D723" s="1235"/>
      <c r="E723" s="267"/>
      <c r="F723" s="267"/>
      <c r="G723" s="267"/>
      <c r="H723" s="267"/>
      <c r="I723" s="267"/>
      <c r="J723" s="267"/>
      <c r="K723" s="267"/>
      <c r="L723" s="267"/>
      <c r="M723" s="267"/>
      <c r="N723" s="267"/>
      <c r="O723" s="267"/>
      <c r="P723" s="267"/>
      <c r="Q723" s="267"/>
      <c r="R723" s="267"/>
      <c r="S723" s="267"/>
      <c r="T723" s="267"/>
      <c r="U723" s="267"/>
      <c r="V723" s="267"/>
      <c r="W723" s="267"/>
      <c r="X723" s="267"/>
      <c r="Y723" s="267"/>
      <c r="Z723" s="267"/>
      <c r="AA723" s="267"/>
      <c r="AB723" s="267"/>
      <c r="AC723" s="267"/>
      <c r="AD723" s="267"/>
      <c r="AE723" s="267"/>
      <c r="AF723" s="267"/>
      <c r="AG723" s="267"/>
      <c r="AH723" s="267"/>
      <c r="AI723" s="267"/>
      <c r="AJ723" s="267"/>
      <c r="AK723" s="267"/>
      <c r="AL723" s="267"/>
      <c r="AM723" s="267"/>
      <c r="AN723" s="267"/>
      <c r="AO723" s="267"/>
      <c r="AP723" s="267"/>
      <c r="AQ723" s="267"/>
      <c r="AR723" s="267"/>
      <c r="AS723" s="267"/>
      <c r="AT723" s="267"/>
      <c r="AU723" s="267"/>
      <c r="AV723" s="267"/>
      <c r="AW723" s="267"/>
      <c r="AX723" s="267"/>
      <c r="AY723" s="267"/>
      <c r="AZ723" s="267"/>
      <c r="BA723" s="267"/>
      <c r="BB723" s="267"/>
      <c r="BC723" s="267"/>
      <c r="BD723" s="267"/>
      <c r="BE723" s="267"/>
      <c r="BF723" s="267"/>
      <c r="BG723" s="267"/>
      <c r="BH723" s="267"/>
      <c r="BI723" s="267"/>
      <c r="BJ723" s="267"/>
      <c r="BK723" s="267"/>
      <c r="BL723" s="267"/>
      <c r="BM723" s="267"/>
      <c r="BN723" s="267"/>
      <c r="BO723" s="267"/>
      <c r="BP723" s="267"/>
      <c r="BQ723" s="267"/>
      <c r="BR723" s="267"/>
      <c r="BS723" s="267"/>
      <c r="BT723" s="267"/>
      <c r="BU723" s="267"/>
      <c r="BV723" s="267"/>
      <c r="BW723" s="267"/>
      <c r="BX723" s="267"/>
      <c r="BY723" s="267"/>
      <c r="BZ723" s="267"/>
      <c r="CA723" s="267"/>
      <c r="CB723" s="267"/>
      <c r="CC723" s="267"/>
      <c r="CD723" s="267"/>
      <c r="CE723" s="267"/>
      <c r="CF723" s="267"/>
      <c r="CG723" s="267"/>
      <c r="CH723" s="267"/>
      <c r="CI723" s="267"/>
      <c r="CJ723" s="267"/>
      <c r="CK723" s="267"/>
      <c r="CL723" s="267"/>
      <c r="CM723" s="267"/>
      <c r="CN723" s="267"/>
      <c r="CO723" s="267"/>
      <c r="CP723" s="267"/>
      <c r="CQ723" s="267"/>
      <c r="CR723" s="267"/>
      <c r="CS723" s="267"/>
      <c r="CT723" s="267"/>
      <c r="CU723" s="267"/>
      <c r="CV723" s="267"/>
      <c r="CW723" s="267"/>
      <c r="CX723" s="267"/>
      <c r="CY723" s="267"/>
      <c r="CZ723" s="267"/>
    </row>
    <row r="724" spans="2:104">
      <c r="B724" s="1235"/>
      <c r="C724" s="1235"/>
      <c r="D724" s="1235"/>
      <c r="E724" s="267"/>
      <c r="F724" s="267"/>
      <c r="G724" s="267"/>
      <c r="H724" s="267"/>
      <c r="I724" s="267"/>
      <c r="J724" s="267"/>
      <c r="K724" s="267"/>
      <c r="L724" s="267"/>
      <c r="M724" s="267"/>
      <c r="N724" s="267"/>
      <c r="O724" s="267"/>
      <c r="P724" s="267"/>
      <c r="Q724" s="267"/>
      <c r="R724" s="267"/>
      <c r="S724" s="267"/>
      <c r="T724" s="267"/>
      <c r="U724" s="267"/>
      <c r="V724" s="267"/>
      <c r="W724" s="267"/>
      <c r="X724" s="267"/>
      <c r="Y724" s="267"/>
      <c r="Z724" s="267"/>
      <c r="AA724" s="267"/>
      <c r="AB724" s="267"/>
      <c r="AC724" s="267"/>
      <c r="AD724" s="267"/>
      <c r="AE724" s="267"/>
      <c r="AF724" s="267"/>
      <c r="AG724" s="267"/>
      <c r="AH724" s="267"/>
      <c r="AI724" s="267"/>
      <c r="AJ724" s="267"/>
      <c r="AK724" s="267"/>
      <c r="AL724" s="267"/>
      <c r="AM724" s="267"/>
      <c r="AN724" s="267"/>
      <c r="AO724" s="267"/>
      <c r="AP724" s="267"/>
      <c r="AQ724" s="267"/>
      <c r="AR724" s="267"/>
      <c r="AS724" s="267"/>
      <c r="AT724" s="267"/>
      <c r="AU724" s="267"/>
      <c r="AV724" s="267"/>
      <c r="AW724" s="267"/>
      <c r="AX724" s="267"/>
      <c r="AY724" s="267"/>
      <c r="AZ724" s="267"/>
      <c r="BA724" s="267"/>
      <c r="BB724" s="267"/>
      <c r="BC724" s="267"/>
      <c r="BD724" s="267"/>
      <c r="BE724" s="267"/>
      <c r="BF724" s="267"/>
      <c r="BG724" s="267"/>
      <c r="BH724" s="267"/>
      <c r="BI724" s="267"/>
      <c r="BJ724" s="267"/>
      <c r="BK724" s="267"/>
      <c r="BL724" s="267"/>
      <c r="BM724" s="267"/>
      <c r="BN724" s="267"/>
      <c r="BO724" s="267"/>
      <c r="BP724" s="267"/>
      <c r="BQ724" s="267"/>
      <c r="BR724" s="267"/>
      <c r="BS724" s="267"/>
      <c r="BT724" s="267"/>
      <c r="BU724" s="267"/>
      <c r="BV724" s="267"/>
      <c r="BW724" s="267"/>
      <c r="BX724" s="267"/>
      <c r="BY724" s="267"/>
      <c r="BZ724" s="267"/>
      <c r="CA724" s="267"/>
      <c r="CB724" s="267"/>
      <c r="CC724" s="267"/>
      <c r="CD724" s="267"/>
      <c r="CE724" s="267"/>
      <c r="CF724" s="267"/>
      <c r="CG724" s="267"/>
      <c r="CH724" s="267"/>
      <c r="CI724" s="267"/>
      <c r="CJ724" s="267"/>
      <c r="CK724" s="267"/>
      <c r="CL724" s="267"/>
      <c r="CM724" s="267"/>
      <c r="CN724" s="267"/>
      <c r="CO724" s="267"/>
      <c r="CP724" s="267"/>
      <c r="CQ724" s="267"/>
      <c r="CR724" s="267"/>
      <c r="CS724" s="267"/>
      <c r="CT724" s="267"/>
      <c r="CU724" s="267"/>
      <c r="CV724" s="267"/>
      <c r="CW724" s="267"/>
      <c r="CX724" s="267"/>
      <c r="CY724" s="267"/>
      <c r="CZ724" s="267"/>
    </row>
    <row r="725" spans="2:104">
      <c r="B725" s="1235"/>
      <c r="C725" s="1235"/>
      <c r="D725" s="1235"/>
      <c r="E725" s="267"/>
      <c r="F725" s="267"/>
      <c r="G725" s="267"/>
      <c r="H725" s="267"/>
      <c r="I725" s="267"/>
      <c r="J725" s="267"/>
      <c r="K725" s="267"/>
      <c r="L725" s="267"/>
      <c r="M725" s="267"/>
      <c r="N725" s="267"/>
      <c r="O725" s="267"/>
      <c r="P725" s="267"/>
      <c r="Q725" s="267"/>
      <c r="R725" s="267"/>
      <c r="S725" s="267"/>
      <c r="T725" s="267"/>
      <c r="U725" s="267"/>
      <c r="V725" s="267"/>
      <c r="W725" s="267"/>
      <c r="X725" s="267"/>
      <c r="Y725" s="267"/>
      <c r="Z725" s="267"/>
      <c r="AA725" s="267"/>
      <c r="AB725" s="267"/>
      <c r="AC725" s="267"/>
      <c r="AD725" s="267"/>
      <c r="AE725" s="267"/>
      <c r="AF725" s="267"/>
      <c r="AG725" s="267"/>
      <c r="AH725" s="267"/>
      <c r="AI725" s="267"/>
      <c r="AJ725" s="267"/>
      <c r="AK725" s="267"/>
      <c r="AL725" s="267"/>
      <c r="AM725" s="267"/>
      <c r="AN725" s="267"/>
      <c r="AO725" s="267"/>
      <c r="AP725" s="267"/>
      <c r="AQ725" s="267"/>
      <c r="AR725" s="267"/>
      <c r="AS725" s="267"/>
      <c r="AT725" s="267"/>
      <c r="AU725" s="267"/>
      <c r="AV725" s="267"/>
      <c r="AW725" s="267"/>
      <c r="AX725" s="267"/>
      <c r="AY725" s="267"/>
      <c r="AZ725" s="267"/>
      <c r="BA725" s="267"/>
      <c r="BB725" s="267"/>
      <c r="BC725" s="267"/>
      <c r="BD725" s="267"/>
      <c r="BE725" s="267"/>
      <c r="BF725" s="267"/>
      <c r="BG725" s="267"/>
      <c r="BH725" s="267"/>
      <c r="BI725" s="267"/>
      <c r="BJ725" s="267"/>
      <c r="BK725" s="267"/>
      <c r="BL725" s="267"/>
      <c r="BM725" s="267"/>
      <c r="BN725" s="267"/>
      <c r="BO725" s="267"/>
      <c r="BP725" s="267"/>
      <c r="BQ725" s="267"/>
      <c r="BR725" s="267"/>
      <c r="BS725" s="267"/>
      <c r="BT725" s="267"/>
      <c r="BU725" s="267"/>
      <c r="BV725" s="267"/>
      <c r="BW725" s="267"/>
      <c r="BX725" s="267"/>
      <c r="BY725" s="267"/>
      <c r="BZ725" s="267"/>
      <c r="CA725" s="267"/>
      <c r="CB725" s="267"/>
      <c r="CC725" s="267"/>
      <c r="CD725" s="267"/>
      <c r="CE725" s="267"/>
      <c r="CF725" s="267"/>
      <c r="CG725" s="267"/>
      <c r="CH725" s="267"/>
      <c r="CI725" s="267"/>
      <c r="CJ725" s="267"/>
      <c r="CK725" s="267"/>
      <c r="CL725" s="267"/>
      <c r="CM725" s="267"/>
      <c r="CN725" s="267"/>
      <c r="CO725" s="267"/>
      <c r="CP725" s="267"/>
      <c r="CQ725" s="267"/>
      <c r="CR725" s="267"/>
      <c r="CS725" s="267"/>
      <c r="CT725" s="267"/>
      <c r="CU725" s="267"/>
      <c r="CV725" s="267"/>
      <c r="CW725" s="267"/>
      <c r="CX725" s="267"/>
      <c r="CY725" s="267"/>
      <c r="CZ725" s="267"/>
    </row>
    <row r="726" spans="2:104">
      <c r="B726" s="1235"/>
      <c r="C726" s="1235"/>
      <c r="D726" s="1235"/>
      <c r="E726" s="267"/>
      <c r="F726" s="267"/>
      <c r="G726" s="267"/>
      <c r="H726" s="267"/>
      <c r="I726" s="267"/>
      <c r="J726" s="267"/>
      <c r="K726" s="267"/>
      <c r="L726" s="267"/>
      <c r="M726" s="267"/>
      <c r="N726" s="267"/>
      <c r="O726" s="267"/>
      <c r="P726" s="267"/>
      <c r="Q726" s="267"/>
      <c r="R726" s="267"/>
      <c r="S726" s="267"/>
      <c r="T726" s="267"/>
      <c r="U726" s="267"/>
      <c r="V726" s="267"/>
      <c r="W726" s="267"/>
      <c r="X726" s="267"/>
      <c r="Y726" s="267"/>
      <c r="Z726" s="267"/>
      <c r="AA726" s="267"/>
      <c r="AB726" s="267"/>
      <c r="AC726" s="267"/>
      <c r="AD726" s="267"/>
      <c r="AE726" s="267"/>
      <c r="AF726" s="267"/>
      <c r="AG726" s="267"/>
      <c r="AH726" s="267"/>
      <c r="AI726" s="267"/>
      <c r="AJ726" s="267"/>
      <c r="AK726" s="267"/>
      <c r="AL726" s="267"/>
      <c r="AM726" s="267"/>
      <c r="AN726" s="267"/>
      <c r="AO726" s="267"/>
      <c r="AP726" s="267"/>
      <c r="AQ726" s="267"/>
      <c r="AR726" s="267"/>
      <c r="AS726" s="267"/>
      <c r="AT726" s="267"/>
      <c r="AU726" s="267"/>
      <c r="AV726" s="267"/>
      <c r="AW726" s="267"/>
      <c r="AX726" s="267"/>
      <c r="AY726" s="267"/>
      <c r="AZ726" s="267"/>
      <c r="BA726" s="267"/>
      <c r="BB726" s="267"/>
      <c r="BC726" s="267"/>
      <c r="BD726" s="267"/>
      <c r="BE726" s="267"/>
      <c r="BF726" s="267"/>
      <c r="BG726" s="267"/>
      <c r="BH726" s="267"/>
      <c r="BI726" s="267"/>
      <c r="BJ726" s="267"/>
      <c r="BK726" s="267"/>
      <c r="BL726" s="267"/>
      <c r="BM726" s="267"/>
      <c r="BN726" s="267"/>
      <c r="BO726" s="267"/>
      <c r="BP726" s="267"/>
      <c r="BQ726" s="267"/>
      <c r="BR726" s="267"/>
      <c r="BS726" s="267"/>
      <c r="BT726" s="267"/>
      <c r="BU726" s="267"/>
      <c r="BV726" s="267"/>
      <c r="BW726" s="267"/>
      <c r="BX726" s="267"/>
      <c r="BY726" s="267"/>
      <c r="BZ726" s="267"/>
      <c r="CA726" s="267"/>
      <c r="CB726" s="267"/>
      <c r="CC726" s="267"/>
      <c r="CD726" s="267"/>
      <c r="CE726" s="267"/>
      <c r="CF726" s="267"/>
      <c r="CG726" s="267"/>
      <c r="CH726" s="267"/>
      <c r="CI726" s="267"/>
      <c r="CJ726" s="267"/>
      <c r="CK726" s="267"/>
      <c r="CL726" s="267"/>
      <c r="CM726" s="267"/>
      <c r="CN726" s="267"/>
      <c r="CO726" s="267"/>
      <c r="CP726" s="267"/>
      <c r="CQ726" s="267"/>
      <c r="CR726" s="267"/>
      <c r="CS726" s="267"/>
      <c r="CT726" s="267"/>
      <c r="CU726" s="267"/>
      <c r="CV726" s="267"/>
      <c r="CW726" s="267"/>
      <c r="CX726" s="267"/>
      <c r="CY726" s="267"/>
      <c r="CZ726" s="267"/>
    </row>
    <row r="727" spans="2:104">
      <c r="B727" s="1235"/>
      <c r="C727" s="1235"/>
      <c r="D727" s="1235"/>
      <c r="E727" s="267"/>
      <c r="F727" s="267"/>
      <c r="G727" s="267"/>
      <c r="H727" s="267"/>
      <c r="I727" s="267"/>
      <c r="J727" s="267"/>
      <c r="K727" s="267"/>
      <c r="L727" s="267"/>
      <c r="M727" s="267"/>
      <c r="N727" s="267"/>
      <c r="O727" s="267"/>
      <c r="P727" s="267"/>
      <c r="Q727" s="267"/>
      <c r="R727" s="267"/>
      <c r="S727" s="267"/>
      <c r="T727" s="267"/>
      <c r="U727" s="267"/>
      <c r="V727" s="267"/>
      <c r="W727" s="267"/>
      <c r="X727" s="267"/>
      <c r="Y727" s="267"/>
      <c r="Z727" s="267"/>
      <c r="AA727" s="267"/>
      <c r="AB727" s="267"/>
      <c r="AC727" s="267"/>
      <c r="AD727" s="267"/>
      <c r="AE727" s="267"/>
      <c r="AF727" s="267"/>
      <c r="AG727" s="267"/>
      <c r="AH727" s="267"/>
      <c r="AI727" s="267"/>
      <c r="AJ727" s="267"/>
      <c r="AK727" s="267"/>
      <c r="AL727" s="267"/>
      <c r="AM727" s="267"/>
      <c r="AN727" s="267"/>
      <c r="AO727" s="267"/>
      <c r="AP727" s="267"/>
      <c r="AQ727" s="267"/>
      <c r="AR727" s="267"/>
      <c r="AS727" s="267"/>
      <c r="AT727" s="267"/>
      <c r="AU727" s="267"/>
      <c r="AV727" s="267"/>
      <c r="AW727" s="267"/>
      <c r="AX727" s="267"/>
      <c r="AY727" s="267"/>
      <c r="AZ727" s="267"/>
      <c r="BA727" s="267"/>
      <c r="BB727" s="267"/>
      <c r="BC727" s="267"/>
      <c r="BD727" s="267"/>
      <c r="BE727" s="267"/>
      <c r="BF727" s="267"/>
      <c r="BG727" s="267"/>
      <c r="BH727" s="267"/>
      <c r="BI727" s="267"/>
      <c r="BJ727" s="267"/>
      <c r="BK727" s="267"/>
      <c r="BL727" s="267"/>
      <c r="BM727" s="267"/>
      <c r="BN727" s="267"/>
      <c r="BO727" s="267"/>
      <c r="BP727" s="267"/>
      <c r="BQ727" s="267"/>
      <c r="BR727" s="267"/>
      <c r="BS727" s="267"/>
      <c r="BT727" s="267"/>
      <c r="BU727" s="267"/>
      <c r="BV727" s="267"/>
      <c r="BW727" s="267"/>
      <c r="BX727" s="267"/>
      <c r="BY727" s="267"/>
      <c r="BZ727" s="267"/>
      <c r="CA727" s="267"/>
      <c r="CB727" s="267"/>
      <c r="CC727" s="267"/>
      <c r="CD727" s="267"/>
      <c r="CE727" s="267"/>
      <c r="CF727" s="267"/>
      <c r="CG727" s="267"/>
      <c r="CH727" s="267"/>
      <c r="CI727" s="267"/>
      <c r="CJ727" s="267"/>
      <c r="CK727" s="267"/>
      <c r="CL727" s="267"/>
      <c r="CM727" s="267"/>
      <c r="CN727" s="267"/>
      <c r="CO727" s="267"/>
      <c r="CP727" s="267"/>
      <c r="CQ727" s="267"/>
      <c r="CR727" s="267"/>
      <c r="CS727" s="267"/>
      <c r="CT727" s="267"/>
      <c r="CU727" s="267"/>
      <c r="CV727" s="267"/>
      <c r="CW727" s="267"/>
      <c r="CX727" s="267"/>
      <c r="CY727" s="267"/>
      <c r="CZ727" s="267"/>
    </row>
    <row r="728" spans="2:104">
      <c r="B728" s="1235"/>
      <c r="C728" s="1235"/>
      <c r="D728" s="1235"/>
      <c r="E728" s="267"/>
      <c r="F728" s="267"/>
      <c r="G728" s="267"/>
      <c r="H728" s="267"/>
      <c r="I728" s="267"/>
      <c r="J728" s="267"/>
      <c r="K728" s="267"/>
      <c r="L728" s="267"/>
      <c r="M728" s="267"/>
      <c r="N728" s="267"/>
      <c r="O728" s="267"/>
      <c r="P728" s="267"/>
      <c r="Q728" s="267"/>
      <c r="R728" s="267"/>
      <c r="S728" s="267"/>
      <c r="T728" s="267"/>
      <c r="U728" s="267"/>
      <c r="V728" s="267"/>
      <c r="W728" s="267"/>
      <c r="X728" s="267"/>
      <c r="Y728" s="267"/>
      <c r="Z728" s="267"/>
      <c r="AA728" s="267"/>
      <c r="AB728" s="267"/>
      <c r="AC728" s="267"/>
      <c r="AD728" s="267"/>
      <c r="AE728" s="267"/>
      <c r="AF728" s="267"/>
      <c r="AG728" s="267"/>
      <c r="AH728" s="267"/>
      <c r="AI728" s="267"/>
      <c r="AJ728" s="267"/>
      <c r="AK728" s="267"/>
      <c r="AL728" s="267"/>
      <c r="AM728" s="267"/>
      <c r="AN728" s="267"/>
      <c r="AO728" s="267"/>
      <c r="AP728" s="267"/>
      <c r="AQ728" s="267"/>
      <c r="AR728" s="267"/>
      <c r="AS728" s="267"/>
      <c r="AT728" s="267"/>
      <c r="AU728" s="267"/>
      <c r="AV728" s="267"/>
      <c r="AW728" s="267"/>
      <c r="AX728" s="267"/>
      <c r="AY728" s="267"/>
      <c r="AZ728" s="267"/>
      <c r="BA728" s="267"/>
      <c r="BB728" s="267"/>
      <c r="BC728" s="267"/>
      <c r="BD728" s="267"/>
      <c r="BE728" s="267"/>
      <c r="BF728" s="267"/>
      <c r="BG728" s="267"/>
      <c r="BH728" s="267"/>
      <c r="BI728" s="267"/>
      <c r="BJ728" s="267"/>
      <c r="BK728" s="267"/>
      <c r="BL728" s="267"/>
      <c r="BM728" s="267"/>
      <c r="BN728" s="267"/>
      <c r="BO728" s="267"/>
      <c r="BP728" s="267"/>
      <c r="BQ728" s="267"/>
      <c r="BR728" s="267"/>
      <c r="BS728" s="267"/>
      <c r="BT728" s="267"/>
      <c r="BU728" s="267"/>
      <c r="BV728" s="267"/>
      <c r="BW728" s="267"/>
      <c r="BX728" s="267"/>
      <c r="BY728" s="267"/>
      <c r="BZ728" s="267"/>
      <c r="CA728" s="267"/>
      <c r="CB728" s="267"/>
      <c r="CC728" s="267"/>
      <c r="CD728" s="267"/>
      <c r="CE728" s="267"/>
      <c r="CF728" s="267"/>
      <c r="CG728" s="267"/>
      <c r="CH728" s="267"/>
      <c r="CI728" s="267"/>
      <c r="CJ728" s="267"/>
      <c r="CK728" s="267"/>
      <c r="CL728" s="267"/>
      <c r="CM728" s="267"/>
      <c r="CN728" s="267"/>
      <c r="CO728" s="267"/>
      <c r="CP728" s="267"/>
      <c r="CQ728" s="267"/>
      <c r="CR728" s="267"/>
      <c r="CS728" s="267"/>
      <c r="CT728" s="267"/>
      <c r="CU728" s="267"/>
      <c r="CV728" s="267"/>
      <c r="CW728" s="267"/>
      <c r="CX728" s="267"/>
      <c r="CY728" s="267"/>
      <c r="CZ728" s="267"/>
    </row>
    <row r="729" spans="2:104">
      <c r="B729" s="1235"/>
      <c r="C729" s="1235"/>
      <c r="D729" s="1235"/>
      <c r="E729" s="267"/>
      <c r="F729" s="267"/>
      <c r="G729" s="267"/>
      <c r="H729" s="267"/>
      <c r="I729" s="267"/>
      <c r="J729" s="267"/>
      <c r="K729" s="267"/>
      <c r="L729" s="267"/>
      <c r="M729" s="267"/>
      <c r="N729" s="267"/>
      <c r="O729" s="267"/>
      <c r="P729" s="267"/>
      <c r="Q729" s="267"/>
      <c r="R729" s="267"/>
      <c r="S729" s="267"/>
      <c r="T729" s="267"/>
      <c r="U729" s="267"/>
      <c r="V729" s="267"/>
      <c r="W729" s="267"/>
      <c r="X729" s="267"/>
      <c r="Y729" s="267"/>
      <c r="Z729" s="267"/>
      <c r="AA729" s="267"/>
      <c r="AB729" s="267"/>
      <c r="AC729" s="267"/>
      <c r="AD729" s="267"/>
      <c r="AE729" s="267"/>
      <c r="AF729" s="267"/>
      <c r="AG729" s="267"/>
      <c r="AH729" s="267"/>
      <c r="AI729" s="267"/>
      <c r="AJ729" s="267"/>
      <c r="AK729" s="267"/>
      <c r="AL729" s="267"/>
      <c r="AM729" s="267"/>
      <c r="AN729" s="267"/>
      <c r="AO729" s="267"/>
      <c r="AP729" s="267"/>
      <c r="AQ729" s="267"/>
      <c r="AR729" s="267"/>
      <c r="AS729" s="267"/>
      <c r="AT729" s="267"/>
      <c r="AU729" s="267"/>
      <c r="AV729" s="267"/>
      <c r="AW729" s="267"/>
      <c r="AX729" s="267"/>
      <c r="AY729" s="267"/>
      <c r="AZ729" s="267"/>
      <c r="BA729" s="267"/>
      <c r="BB729" s="267"/>
      <c r="BC729" s="267"/>
      <c r="BD729" s="267"/>
      <c r="BE729" s="267"/>
      <c r="BF729" s="267"/>
      <c r="BG729" s="267"/>
      <c r="BH729" s="267"/>
      <c r="BI729" s="267"/>
      <c r="BJ729" s="267"/>
      <c r="BK729" s="267"/>
      <c r="BL729" s="267"/>
      <c r="BM729" s="267"/>
      <c r="BN729" s="267"/>
      <c r="BO729" s="267"/>
      <c r="BP729" s="267"/>
      <c r="BQ729" s="267"/>
      <c r="BR729" s="267"/>
      <c r="BS729" s="267"/>
      <c r="BT729" s="267"/>
      <c r="BU729" s="267"/>
      <c r="BV729" s="267"/>
      <c r="BW729" s="267"/>
      <c r="BX729" s="267"/>
      <c r="BY729" s="267"/>
      <c r="BZ729" s="267"/>
      <c r="CA729" s="267"/>
      <c r="CB729" s="267"/>
      <c r="CC729" s="267"/>
      <c r="CD729" s="267"/>
      <c r="CE729" s="267"/>
      <c r="CF729" s="267"/>
      <c r="CG729" s="267"/>
      <c r="CH729" s="267"/>
      <c r="CI729" s="267"/>
      <c r="CJ729" s="267"/>
      <c r="CK729" s="267"/>
      <c r="CL729" s="267"/>
      <c r="CM729" s="267"/>
      <c r="CN729" s="267"/>
      <c r="CO729" s="267"/>
      <c r="CP729" s="267"/>
      <c r="CQ729" s="267"/>
      <c r="CR729" s="267"/>
      <c r="CS729" s="267"/>
      <c r="CT729" s="267"/>
      <c r="CU729" s="267"/>
      <c r="CV729" s="267"/>
      <c r="CW729" s="267"/>
      <c r="CX729" s="267"/>
      <c r="CY729" s="267"/>
      <c r="CZ729" s="267"/>
    </row>
    <row r="730" spans="2:104">
      <c r="B730" s="1235"/>
      <c r="C730" s="1235"/>
      <c r="D730" s="1235"/>
      <c r="E730" s="267"/>
      <c r="F730" s="267"/>
      <c r="G730" s="267"/>
      <c r="H730" s="267"/>
      <c r="I730" s="267"/>
      <c r="J730" s="267"/>
      <c r="K730" s="267"/>
      <c r="L730" s="267"/>
      <c r="M730" s="267"/>
      <c r="N730" s="267"/>
      <c r="O730" s="267"/>
      <c r="P730" s="267"/>
      <c r="Q730" s="267"/>
      <c r="R730" s="267"/>
      <c r="S730" s="267"/>
      <c r="T730" s="267"/>
      <c r="U730" s="267"/>
      <c r="V730" s="267"/>
      <c r="W730" s="267"/>
      <c r="X730" s="267"/>
      <c r="Y730" s="267"/>
      <c r="Z730" s="267"/>
      <c r="AA730" s="267"/>
      <c r="AB730" s="267"/>
      <c r="AC730" s="267"/>
      <c r="AD730" s="267"/>
      <c r="AE730" s="267"/>
      <c r="AF730" s="267"/>
      <c r="AG730" s="267"/>
      <c r="AH730" s="267"/>
      <c r="AI730" s="267"/>
      <c r="AJ730" s="267"/>
      <c r="AK730" s="267"/>
      <c r="AL730" s="267"/>
      <c r="AM730" s="267"/>
      <c r="AN730" s="267"/>
      <c r="AO730" s="267"/>
      <c r="AP730" s="267"/>
      <c r="AQ730" s="267"/>
      <c r="AR730" s="267"/>
      <c r="AS730" s="267"/>
      <c r="AT730" s="267"/>
      <c r="AU730" s="267"/>
      <c r="AV730" s="267"/>
      <c r="AW730" s="267"/>
      <c r="AX730" s="267"/>
      <c r="AY730" s="267"/>
      <c r="AZ730" s="267"/>
      <c r="BA730" s="267"/>
      <c r="BB730" s="267"/>
      <c r="BC730" s="267"/>
      <c r="BD730" s="267"/>
      <c r="BE730" s="267"/>
      <c r="BF730" s="267"/>
      <c r="BG730" s="267"/>
      <c r="BH730" s="267"/>
      <c r="BI730" s="267"/>
      <c r="BJ730" s="267"/>
      <c r="BK730" s="267"/>
      <c r="BL730" s="267"/>
      <c r="BM730" s="267"/>
      <c r="BN730" s="267"/>
      <c r="BO730" s="267"/>
      <c r="BP730" s="267"/>
      <c r="BQ730" s="267"/>
      <c r="BR730" s="267"/>
      <c r="BS730" s="267"/>
      <c r="BT730" s="267"/>
      <c r="BU730" s="267"/>
      <c r="BV730" s="267"/>
      <c r="BW730" s="267"/>
      <c r="BX730" s="267"/>
      <c r="BY730" s="267"/>
      <c r="BZ730" s="267"/>
      <c r="CA730" s="267"/>
      <c r="CB730" s="267"/>
      <c r="CC730" s="267"/>
      <c r="CD730" s="267"/>
      <c r="CE730" s="267"/>
      <c r="CF730" s="267"/>
      <c r="CG730" s="267"/>
      <c r="CH730" s="267"/>
      <c r="CI730" s="267"/>
      <c r="CJ730" s="267"/>
      <c r="CK730" s="267"/>
      <c r="CL730" s="267"/>
      <c r="CM730" s="267"/>
      <c r="CN730" s="267"/>
      <c r="CO730" s="267"/>
      <c r="CP730" s="267"/>
      <c r="CQ730" s="267"/>
      <c r="CR730" s="267"/>
      <c r="CS730" s="267"/>
      <c r="CT730" s="267"/>
      <c r="CU730" s="267"/>
      <c r="CV730" s="267"/>
      <c r="CW730" s="267"/>
      <c r="CX730" s="267"/>
      <c r="CY730" s="267"/>
      <c r="CZ730" s="267"/>
    </row>
    <row r="731" spans="2:104">
      <c r="B731" s="1235"/>
      <c r="C731" s="1235"/>
      <c r="D731" s="1235"/>
      <c r="E731" s="267"/>
      <c r="F731" s="267"/>
      <c r="G731" s="267"/>
      <c r="H731" s="267"/>
      <c r="I731" s="267"/>
      <c r="J731" s="267"/>
      <c r="K731" s="267"/>
      <c r="L731" s="267"/>
      <c r="M731" s="267"/>
      <c r="N731" s="267"/>
      <c r="O731" s="267"/>
      <c r="P731" s="267"/>
      <c r="Q731" s="267"/>
      <c r="R731" s="267"/>
      <c r="S731" s="267"/>
      <c r="T731" s="267"/>
      <c r="U731" s="267"/>
      <c r="V731" s="267"/>
      <c r="W731" s="267"/>
      <c r="X731" s="267"/>
      <c r="Y731" s="267"/>
      <c r="Z731" s="267"/>
      <c r="AA731" s="267"/>
      <c r="AB731" s="267"/>
      <c r="AC731" s="267"/>
      <c r="AD731" s="267"/>
      <c r="AE731" s="267"/>
      <c r="AF731" s="267"/>
      <c r="AG731" s="267"/>
      <c r="AH731" s="267"/>
      <c r="AI731" s="267"/>
      <c r="AJ731" s="267"/>
      <c r="AK731" s="267"/>
      <c r="AL731" s="267"/>
      <c r="AM731" s="267"/>
      <c r="AN731" s="267"/>
      <c r="AO731" s="267"/>
      <c r="AP731" s="267"/>
      <c r="AQ731" s="267"/>
      <c r="AR731" s="267"/>
      <c r="AS731" s="267"/>
      <c r="AT731" s="267"/>
      <c r="AU731" s="267"/>
      <c r="AV731" s="267"/>
      <c r="AW731" s="267"/>
      <c r="AX731" s="267"/>
      <c r="AY731" s="267"/>
      <c r="AZ731" s="267"/>
      <c r="BA731" s="267"/>
      <c r="BB731" s="267"/>
      <c r="BC731" s="267"/>
      <c r="BD731" s="267"/>
      <c r="BE731" s="267"/>
      <c r="BF731" s="267"/>
      <c r="BG731" s="267"/>
      <c r="BH731" s="267"/>
      <c r="BI731" s="267"/>
      <c r="BJ731" s="267"/>
      <c r="BK731" s="267"/>
      <c r="BL731" s="267"/>
      <c r="BM731" s="267"/>
      <c r="BN731" s="267"/>
      <c r="BO731" s="267"/>
      <c r="BP731" s="267"/>
      <c r="BQ731" s="267"/>
      <c r="BR731" s="267"/>
      <c r="BS731" s="267"/>
      <c r="BT731" s="267"/>
      <c r="BU731" s="267"/>
      <c r="BV731" s="267"/>
      <c r="BW731" s="267"/>
      <c r="BX731" s="267"/>
      <c r="BY731" s="267"/>
      <c r="BZ731" s="267"/>
      <c r="CA731" s="267"/>
      <c r="CB731" s="267"/>
      <c r="CC731" s="267"/>
      <c r="CD731" s="267"/>
      <c r="CE731" s="267"/>
      <c r="CF731" s="267"/>
      <c r="CG731" s="267"/>
      <c r="CH731" s="267"/>
      <c r="CI731" s="267"/>
      <c r="CJ731" s="267"/>
      <c r="CK731" s="267"/>
      <c r="CL731" s="267"/>
      <c r="CM731" s="267"/>
      <c r="CN731" s="267"/>
      <c r="CO731" s="267"/>
      <c r="CP731" s="267"/>
      <c r="CQ731" s="267"/>
      <c r="CR731" s="267"/>
      <c r="CS731" s="267"/>
      <c r="CT731" s="267"/>
      <c r="CU731" s="267"/>
      <c r="CV731" s="267"/>
      <c r="CW731" s="267"/>
      <c r="CX731" s="267"/>
      <c r="CY731" s="267"/>
      <c r="CZ731" s="267"/>
    </row>
    <row r="732" spans="2:104">
      <c r="B732" s="1235"/>
      <c r="C732" s="1235"/>
      <c r="D732" s="1235"/>
      <c r="E732" s="267"/>
      <c r="F732" s="267"/>
      <c r="G732" s="267"/>
      <c r="H732" s="267"/>
      <c r="I732" s="267"/>
      <c r="J732" s="267"/>
      <c r="K732" s="267"/>
      <c r="L732" s="267"/>
      <c r="M732" s="267"/>
      <c r="N732" s="267"/>
      <c r="O732" s="267"/>
      <c r="P732" s="267"/>
      <c r="Q732" s="267"/>
      <c r="R732" s="267"/>
      <c r="S732" s="267"/>
      <c r="T732" s="267"/>
      <c r="U732" s="267"/>
      <c r="V732" s="267"/>
      <c r="W732" s="267"/>
      <c r="X732" s="267"/>
      <c r="Y732" s="267"/>
      <c r="Z732" s="267"/>
      <c r="AA732" s="267"/>
      <c r="AB732" s="267"/>
      <c r="AC732" s="267"/>
      <c r="AD732" s="267"/>
      <c r="AE732" s="267"/>
      <c r="AF732" s="267"/>
      <c r="AG732" s="267"/>
      <c r="AH732" s="267"/>
      <c r="AI732" s="267"/>
      <c r="AJ732" s="267"/>
      <c r="AK732" s="267"/>
      <c r="AL732" s="267"/>
      <c r="AM732" s="267"/>
      <c r="AN732" s="267"/>
      <c r="AO732" s="267"/>
      <c r="AP732" s="267"/>
      <c r="AQ732" s="267"/>
      <c r="AR732" s="267"/>
      <c r="AS732" s="267"/>
      <c r="AT732" s="267"/>
      <c r="AU732" s="267"/>
      <c r="AV732" s="267"/>
      <c r="AW732" s="267"/>
      <c r="AX732" s="267"/>
      <c r="AY732" s="267"/>
      <c r="AZ732" s="267"/>
      <c r="BA732" s="267"/>
      <c r="BB732" s="267"/>
      <c r="BC732" s="267"/>
      <c r="BD732" s="267"/>
      <c r="BE732" s="267"/>
      <c r="BF732" s="267"/>
      <c r="BG732" s="267"/>
      <c r="BH732" s="267"/>
      <c r="BI732" s="267"/>
      <c r="BJ732" s="267"/>
      <c r="BK732" s="267"/>
      <c r="BL732" s="267"/>
      <c r="BM732" s="267"/>
      <c r="BN732" s="267"/>
      <c r="BO732" s="267"/>
      <c r="BP732" s="267"/>
      <c r="BQ732" s="267"/>
      <c r="BR732" s="267"/>
      <c r="BS732" s="267"/>
      <c r="BT732" s="267"/>
      <c r="BU732" s="267"/>
      <c r="BV732" s="267"/>
      <c r="BW732" s="267"/>
      <c r="BX732" s="267"/>
      <c r="BY732" s="267"/>
      <c r="BZ732" s="267"/>
      <c r="CA732" s="267"/>
      <c r="CB732" s="267"/>
      <c r="CC732" s="267"/>
      <c r="CD732" s="267"/>
      <c r="CE732" s="267"/>
      <c r="CF732" s="267"/>
      <c r="CG732" s="267"/>
      <c r="CH732" s="267"/>
      <c r="CI732" s="267"/>
      <c r="CJ732" s="267"/>
      <c r="CK732" s="267"/>
      <c r="CL732" s="267"/>
      <c r="CM732" s="267"/>
      <c r="CN732" s="267"/>
      <c r="CO732" s="267"/>
      <c r="CP732" s="267"/>
      <c r="CQ732" s="267"/>
      <c r="CR732" s="267"/>
      <c r="CS732" s="267"/>
      <c r="CT732" s="267"/>
      <c r="CU732" s="267"/>
      <c r="CV732" s="267"/>
      <c r="CW732" s="267"/>
      <c r="CX732" s="267"/>
      <c r="CY732" s="267"/>
      <c r="CZ732" s="267"/>
    </row>
    <row r="733" spans="2:104">
      <c r="B733" s="1235"/>
      <c r="C733" s="1235"/>
      <c r="D733" s="1235"/>
      <c r="E733" s="267"/>
      <c r="F733" s="267"/>
      <c r="G733" s="267"/>
      <c r="H733" s="267"/>
      <c r="I733" s="267"/>
      <c r="J733" s="267"/>
      <c r="K733" s="267"/>
      <c r="L733" s="267"/>
      <c r="M733" s="267"/>
      <c r="N733" s="267"/>
      <c r="O733" s="267"/>
      <c r="P733" s="267"/>
      <c r="Q733" s="267"/>
      <c r="R733" s="267"/>
      <c r="S733" s="267"/>
      <c r="T733" s="267"/>
      <c r="U733" s="267"/>
      <c r="V733" s="267"/>
      <c r="W733" s="267"/>
      <c r="X733" s="267"/>
      <c r="Y733" s="267"/>
      <c r="Z733" s="267"/>
      <c r="AA733" s="267"/>
      <c r="AB733" s="267"/>
      <c r="AC733" s="267"/>
      <c r="AD733" s="267"/>
      <c r="AE733" s="267"/>
      <c r="AF733" s="267"/>
      <c r="AG733" s="267"/>
      <c r="AH733" s="267"/>
      <c r="AI733" s="267"/>
      <c r="AJ733" s="267"/>
      <c r="AK733" s="267"/>
      <c r="AL733" s="267"/>
      <c r="AM733" s="267"/>
      <c r="AN733" s="267"/>
      <c r="AO733" s="267"/>
      <c r="AP733" s="267"/>
      <c r="AQ733" s="267"/>
      <c r="AR733" s="267"/>
      <c r="AS733" s="267"/>
      <c r="AT733" s="267"/>
      <c r="AU733" s="267"/>
      <c r="AV733" s="267"/>
      <c r="AW733" s="267"/>
      <c r="AX733" s="267"/>
      <c r="AY733" s="267"/>
      <c r="AZ733" s="267"/>
      <c r="BA733" s="267"/>
      <c r="BB733" s="267"/>
      <c r="BC733" s="267"/>
      <c r="BD733" s="267"/>
      <c r="BE733" s="267"/>
      <c r="BF733" s="267"/>
      <c r="BG733" s="267"/>
      <c r="BH733" s="267"/>
      <c r="BI733" s="267"/>
      <c r="BJ733" s="267"/>
      <c r="BK733" s="267"/>
      <c r="BL733" s="267"/>
      <c r="BM733" s="267"/>
      <c r="BN733" s="267"/>
      <c r="BO733" s="267"/>
      <c r="BP733" s="267"/>
      <c r="BQ733" s="267"/>
      <c r="BR733" s="267"/>
      <c r="BS733" s="267"/>
      <c r="BT733" s="267"/>
      <c r="BU733" s="267"/>
      <c r="BV733" s="267"/>
      <c r="BW733" s="267"/>
      <c r="BX733" s="267"/>
      <c r="BY733" s="267"/>
      <c r="BZ733" s="267"/>
      <c r="CA733" s="267"/>
      <c r="CB733" s="267"/>
      <c r="CC733" s="267"/>
      <c r="CD733" s="267"/>
      <c r="CE733" s="267"/>
      <c r="CF733" s="267"/>
      <c r="CG733" s="267"/>
      <c r="CH733" s="267"/>
      <c r="CI733" s="267"/>
      <c r="CJ733" s="267"/>
      <c r="CK733" s="267"/>
      <c r="CL733" s="267"/>
      <c r="CM733" s="267"/>
      <c r="CN733" s="267"/>
      <c r="CO733" s="267"/>
      <c r="CP733" s="267"/>
      <c r="CQ733" s="267"/>
      <c r="CR733" s="267"/>
      <c r="CS733" s="267"/>
      <c r="CT733" s="267"/>
      <c r="CU733" s="267"/>
      <c r="CV733" s="267"/>
      <c r="CW733" s="267"/>
      <c r="CX733" s="267"/>
      <c r="CY733" s="267"/>
      <c r="CZ733" s="267"/>
    </row>
    <row r="734" spans="2:104">
      <c r="B734" s="1235"/>
      <c r="C734" s="1235"/>
      <c r="D734" s="1235"/>
      <c r="E734" s="267"/>
      <c r="F734" s="267"/>
      <c r="G734" s="267"/>
      <c r="H734" s="267"/>
      <c r="I734" s="267"/>
      <c r="J734" s="267"/>
      <c r="K734" s="267"/>
      <c r="L734" s="267"/>
      <c r="M734" s="267"/>
      <c r="N734" s="267"/>
      <c r="O734" s="267"/>
      <c r="P734" s="267"/>
      <c r="Q734" s="267"/>
      <c r="R734" s="267"/>
      <c r="S734" s="267"/>
      <c r="T734" s="267"/>
      <c r="U734" s="267"/>
      <c r="V734" s="267"/>
      <c r="W734" s="267"/>
      <c r="X734" s="267"/>
      <c r="Y734" s="267"/>
      <c r="Z734" s="267"/>
      <c r="AA734" s="267"/>
      <c r="AB734" s="267"/>
      <c r="AC734" s="267"/>
      <c r="AD734" s="267"/>
      <c r="AE734" s="267"/>
      <c r="AF734" s="267"/>
      <c r="AG734" s="267"/>
      <c r="AH734" s="267"/>
      <c r="AI734" s="267"/>
      <c r="AJ734" s="267"/>
      <c r="AK734" s="267"/>
      <c r="AL734" s="267"/>
      <c r="AM734" s="267"/>
      <c r="AN734" s="267"/>
      <c r="AO734" s="267"/>
      <c r="AP734" s="267"/>
      <c r="AQ734" s="267"/>
      <c r="AR734" s="267"/>
      <c r="AS734" s="267"/>
      <c r="AT734" s="267"/>
      <c r="AU734" s="267"/>
      <c r="AV734" s="267"/>
      <c r="AW734" s="267"/>
      <c r="AX734" s="267"/>
      <c r="AY734" s="267"/>
      <c r="AZ734" s="267"/>
      <c r="BA734" s="267"/>
      <c r="BB734" s="267"/>
      <c r="BC734" s="267"/>
      <c r="BD734" s="267"/>
      <c r="BE734" s="267"/>
      <c r="BF734" s="267"/>
      <c r="BG734" s="267"/>
      <c r="BH734" s="267"/>
      <c r="BI734" s="267"/>
      <c r="BJ734" s="267"/>
      <c r="BK734" s="267"/>
      <c r="BL734" s="267"/>
      <c r="BM734" s="267"/>
      <c r="BN734" s="267"/>
      <c r="BO734" s="267"/>
      <c r="BP734" s="267"/>
      <c r="BQ734" s="267"/>
      <c r="BR734" s="267"/>
      <c r="BS734" s="267"/>
      <c r="BT734" s="267"/>
      <c r="BU734" s="267"/>
      <c r="BV734" s="267"/>
      <c r="BW734" s="267"/>
      <c r="BX734" s="267"/>
      <c r="BY734" s="267"/>
      <c r="BZ734" s="267"/>
      <c r="CA734" s="267"/>
      <c r="CB734" s="267"/>
      <c r="CC734" s="267"/>
      <c r="CD734" s="267"/>
      <c r="CE734" s="267"/>
      <c r="CF734" s="267"/>
      <c r="CG734" s="267"/>
      <c r="CH734" s="267"/>
      <c r="CI734" s="267"/>
      <c r="CJ734" s="267"/>
      <c r="CK734" s="267"/>
      <c r="CL734" s="267"/>
      <c r="CM734" s="267"/>
      <c r="CN734" s="267"/>
      <c r="CO734" s="267"/>
      <c r="CP734" s="267"/>
      <c r="CQ734" s="267"/>
      <c r="CR734" s="267"/>
      <c r="CS734" s="267"/>
      <c r="CT734" s="267"/>
      <c r="CU734" s="267"/>
      <c r="CV734" s="267"/>
      <c r="CW734" s="267"/>
      <c r="CX734" s="267"/>
      <c r="CY734" s="267"/>
      <c r="CZ734" s="267"/>
    </row>
    <row r="735" spans="2:104">
      <c r="B735" s="1235"/>
      <c r="C735" s="1235"/>
      <c r="D735" s="1235"/>
      <c r="E735" s="267"/>
      <c r="F735" s="267"/>
      <c r="G735" s="267"/>
      <c r="H735" s="267"/>
      <c r="I735" s="267"/>
      <c r="J735" s="267"/>
      <c r="K735" s="267"/>
      <c r="L735" s="267"/>
      <c r="M735" s="267"/>
      <c r="N735" s="267"/>
      <c r="O735" s="267"/>
      <c r="P735" s="267"/>
      <c r="Q735" s="267"/>
      <c r="R735" s="267"/>
      <c r="S735" s="267"/>
      <c r="T735" s="267"/>
      <c r="U735" s="267"/>
      <c r="V735" s="267"/>
      <c r="W735" s="267"/>
      <c r="X735" s="267"/>
      <c r="Y735" s="267"/>
      <c r="Z735" s="267"/>
      <c r="AA735" s="267"/>
      <c r="AB735" s="267"/>
      <c r="AC735" s="267"/>
      <c r="AD735" s="267"/>
      <c r="AE735" s="267"/>
      <c r="AF735" s="267"/>
      <c r="AG735" s="267"/>
      <c r="AH735" s="267"/>
      <c r="AI735" s="267"/>
      <c r="AJ735" s="267"/>
      <c r="AK735" s="267"/>
      <c r="AL735" s="267"/>
      <c r="AM735" s="267"/>
      <c r="AN735" s="267"/>
      <c r="AO735" s="267"/>
      <c r="AP735" s="267"/>
      <c r="AQ735" s="267"/>
      <c r="AR735" s="267"/>
      <c r="AS735" s="267"/>
      <c r="AT735" s="267"/>
      <c r="AU735" s="267"/>
      <c r="AV735" s="267"/>
      <c r="AW735" s="267"/>
      <c r="AX735" s="267"/>
      <c r="AY735" s="267"/>
      <c r="AZ735" s="267"/>
      <c r="BA735" s="267"/>
      <c r="BB735" s="267"/>
      <c r="BC735" s="267"/>
      <c r="BD735" s="267"/>
      <c r="BE735" s="267"/>
      <c r="BF735" s="267"/>
      <c r="BG735" s="267"/>
      <c r="BH735" s="267"/>
      <c r="BI735" s="267"/>
      <c r="BJ735" s="267"/>
      <c r="BK735" s="267"/>
      <c r="BL735" s="267"/>
      <c r="BM735" s="267"/>
      <c r="BN735" s="267"/>
      <c r="BO735" s="267"/>
      <c r="BP735" s="267"/>
      <c r="BQ735" s="267"/>
      <c r="BR735" s="267"/>
      <c r="BS735" s="267"/>
      <c r="BT735" s="267"/>
      <c r="BU735" s="267"/>
      <c r="BV735" s="267"/>
      <c r="BW735" s="267"/>
      <c r="BX735" s="267"/>
      <c r="BY735" s="267"/>
      <c r="BZ735" s="267"/>
      <c r="CA735" s="267"/>
      <c r="CB735" s="267"/>
      <c r="CC735" s="267"/>
      <c r="CD735" s="267"/>
      <c r="CE735" s="267"/>
      <c r="CF735" s="267"/>
      <c r="CG735" s="267"/>
      <c r="CH735" s="267"/>
      <c r="CI735" s="267"/>
      <c r="CJ735" s="267"/>
      <c r="CK735" s="267"/>
      <c r="CL735" s="267"/>
      <c r="CM735" s="267"/>
      <c r="CN735" s="267"/>
      <c r="CO735" s="267"/>
      <c r="CP735" s="267"/>
      <c r="CQ735" s="267"/>
      <c r="CR735" s="267"/>
      <c r="CS735" s="267"/>
      <c r="CT735" s="267"/>
      <c r="CU735" s="267"/>
      <c r="CV735" s="267"/>
      <c r="CW735" s="267"/>
      <c r="CX735" s="267"/>
      <c r="CY735" s="267"/>
      <c r="CZ735" s="267"/>
    </row>
    <row r="736" spans="2:104">
      <c r="B736" s="1235"/>
      <c r="C736" s="1235"/>
      <c r="D736" s="1235"/>
      <c r="E736" s="267"/>
      <c r="F736" s="267"/>
      <c r="G736" s="267"/>
      <c r="H736" s="267"/>
      <c r="I736" s="267"/>
      <c r="J736" s="267"/>
      <c r="K736" s="267"/>
      <c r="L736" s="267"/>
      <c r="M736" s="267"/>
      <c r="N736" s="267"/>
      <c r="O736" s="267"/>
      <c r="P736" s="267"/>
      <c r="Q736" s="267"/>
      <c r="R736" s="267"/>
      <c r="S736" s="267"/>
      <c r="T736" s="267"/>
      <c r="U736" s="267"/>
      <c r="V736" s="267"/>
      <c r="W736" s="267"/>
      <c r="X736" s="267"/>
      <c r="Y736" s="267"/>
      <c r="Z736" s="267"/>
      <c r="AA736" s="267"/>
      <c r="AB736" s="267"/>
      <c r="AC736" s="267"/>
      <c r="AD736" s="267"/>
      <c r="AE736" s="267"/>
      <c r="AF736" s="267"/>
      <c r="AG736" s="267"/>
      <c r="AH736" s="267"/>
      <c r="AI736" s="267"/>
      <c r="AJ736" s="267"/>
      <c r="AK736" s="267"/>
      <c r="AL736" s="267"/>
      <c r="AM736" s="267"/>
      <c r="AN736" s="267"/>
      <c r="AO736" s="267"/>
      <c r="AP736" s="267"/>
      <c r="AQ736" s="267"/>
      <c r="AR736" s="267"/>
      <c r="AS736" s="267"/>
      <c r="AT736" s="267"/>
      <c r="AU736" s="267"/>
      <c r="AV736" s="267"/>
      <c r="AW736" s="267"/>
      <c r="AX736" s="267"/>
      <c r="AY736" s="267"/>
      <c r="AZ736" s="267"/>
      <c r="BA736" s="267"/>
      <c r="BB736" s="267"/>
      <c r="BC736" s="267"/>
      <c r="BD736" s="267"/>
      <c r="BE736" s="267"/>
      <c r="BF736" s="267"/>
      <c r="BG736" s="267"/>
      <c r="BH736" s="267"/>
      <c r="BI736" s="267"/>
      <c r="BJ736" s="267"/>
      <c r="BK736" s="267"/>
      <c r="BL736" s="267"/>
      <c r="BM736" s="267"/>
      <c r="BN736" s="267"/>
      <c r="BO736" s="267"/>
      <c r="BP736" s="267"/>
      <c r="BQ736" s="267"/>
      <c r="BR736" s="267"/>
      <c r="BS736" s="267"/>
      <c r="BT736" s="267"/>
      <c r="BU736" s="267"/>
      <c r="BV736" s="267"/>
      <c r="BW736" s="267"/>
      <c r="BX736" s="267"/>
      <c r="BY736" s="267"/>
      <c r="BZ736" s="267"/>
      <c r="CA736" s="267"/>
      <c r="CB736" s="267"/>
      <c r="CC736" s="267"/>
      <c r="CD736" s="267"/>
      <c r="CE736" s="267"/>
      <c r="CF736" s="267"/>
      <c r="CG736" s="267"/>
      <c r="CH736" s="267"/>
      <c r="CI736" s="267"/>
      <c r="CJ736" s="267"/>
      <c r="CK736" s="267"/>
      <c r="CL736" s="267"/>
      <c r="CM736" s="267"/>
      <c r="CN736" s="267"/>
      <c r="CO736" s="267"/>
      <c r="CP736" s="267"/>
      <c r="CQ736" s="267"/>
      <c r="CR736" s="267"/>
      <c r="CS736" s="267"/>
      <c r="CT736" s="267"/>
      <c r="CU736" s="267"/>
      <c r="CV736" s="267"/>
      <c r="CW736" s="267"/>
      <c r="CX736" s="267"/>
      <c r="CY736" s="267"/>
      <c r="CZ736" s="267"/>
    </row>
    <row r="737" spans="2:104">
      <c r="B737" s="1235"/>
      <c r="C737" s="1235"/>
      <c r="D737" s="1235"/>
      <c r="E737" s="267"/>
      <c r="F737" s="267"/>
      <c r="G737" s="267"/>
      <c r="H737" s="267"/>
      <c r="I737" s="267"/>
      <c r="J737" s="267"/>
      <c r="K737" s="267"/>
      <c r="L737" s="267"/>
      <c r="M737" s="267"/>
      <c r="N737" s="267"/>
      <c r="O737" s="267"/>
      <c r="P737" s="267"/>
      <c r="Q737" s="267"/>
      <c r="R737" s="267"/>
      <c r="S737" s="267"/>
      <c r="T737" s="267"/>
      <c r="U737" s="267"/>
      <c r="V737" s="267"/>
      <c r="W737" s="267"/>
      <c r="X737" s="267"/>
      <c r="Y737" s="267"/>
      <c r="Z737" s="267"/>
      <c r="AA737" s="267"/>
      <c r="AB737" s="267"/>
      <c r="AC737" s="267"/>
      <c r="AD737" s="267"/>
      <c r="AE737" s="267"/>
      <c r="AF737" s="267"/>
      <c r="AG737" s="267"/>
      <c r="AH737" s="267"/>
      <c r="AI737" s="267"/>
      <c r="AJ737" s="267"/>
      <c r="AK737" s="267"/>
      <c r="AL737" s="267"/>
      <c r="AM737" s="267"/>
      <c r="AN737" s="267"/>
      <c r="AO737" s="267"/>
      <c r="AP737" s="267"/>
      <c r="AQ737" s="267"/>
      <c r="AR737" s="267"/>
      <c r="AS737" s="267"/>
      <c r="AT737" s="267"/>
      <c r="AU737" s="267"/>
      <c r="AV737" s="267"/>
      <c r="AW737" s="267"/>
      <c r="AX737" s="267"/>
      <c r="AY737" s="267"/>
      <c r="AZ737" s="267"/>
      <c r="BA737" s="267"/>
      <c r="BB737" s="267"/>
      <c r="BC737" s="267"/>
      <c r="BD737" s="267"/>
      <c r="BE737" s="267"/>
      <c r="BF737" s="267"/>
      <c r="BG737" s="267"/>
      <c r="BH737" s="267"/>
      <c r="BI737" s="267"/>
      <c r="BJ737" s="267"/>
      <c r="BK737" s="267"/>
      <c r="BL737" s="267"/>
      <c r="BM737" s="267"/>
      <c r="BN737" s="267"/>
      <c r="BO737" s="267"/>
      <c r="BP737" s="267"/>
      <c r="BQ737" s="267"/>
      <c r="BR737" s="267"/>
      <c r="BS737" s="267"/>
      <c r="BT737" s="267"/>
      <c r="BU737" s="267"/>
      <c r="BV737" s="267"/>
      <c r="BW737" s="267"/>
      <c r="BX737" s="267"/>
      <c r="BY737" s="267"/>
      <c r="BZ737" s="267"/>
      <c r="CA737" s="267"/>
      <c r="CB737" s="267"/>
      <c r="CC737" s="267"/>
      <c r="CD737" s="267"/>
      <c r="CE737" s="267"/>
      <c r="CF737" s="267"/>
      <c r="CG737" s="267"/>
      <c r="CH737" s="267"/>
      <c r="CI737" s="267"/>
      <c r="CJ737" s="267"/>
      <c r="CK737" s="267"/>
      <c r="CL737" s="267"/>
      <c r="CM737" s="267"/>
      <c r="CN737" s="267"/>
      <c r="CO737" s="267"/>
      <c r="CP737" s="267"/>
      <c r="CQ737" s="267"/>
      <c r="CR737" s="267"/>
      <c r="CS737" s="267"/>
      <c r="CT737" s="267"/>
      <c r="CU737" s="267"/>
      <c r="CV737" s="267"/>
      <c r="CW737" s="267"/>
      <c r="CX737" s="267"/>
      <c r="CY737" s="267"/>
      <c r="CZ737" s="267"/>
    </row>
    <row r="738" spans="2:104">
      <c r="B738" s="1235"/>
      <c r="C738" s="1235"/>
      <c r="D738" s="1235"/>
      <c r="E738" s="267"/>
      <c r="F738" s="267"/>
      <c r="G738" s="267"/>
      <c r="H738" s="267"/>
      <c r="I738" s="267"/>
      <c r="J738" s="267"/>
      <c r="K738" s="267"/>
      <c r="L738" s="267"/>
      <c r="M738" s="267"/>
      <c r="N738" s="267"/>
      <c r="O738" s="267"/>
      <c r="P738" s="267"/>
      <c r="Q738" s="267"/>
      <c r="R738" s="267"/>
      <c r="S738" s="267"/>
      <c r="T738" s="267"/>
      <c r="U738" s="267"/>
      <c r="V738" s="267"/>
      <c r="W738" s="267"/>
      <c r="X738" s="267"/>
      <c r="Y738" s="267"/>
      <c r="Z738" s="267"/>
      <c r="AA738" s="267"/>
      <c r="AB738" s="267"/>
      <c r="AC738" s="267"/>
      <c r="AD738" s="267"/>
      <c r="AE738" s="267"/>
      <c r="AF738" s="267"/>
      <c r="AG738" s="267"/>
      <c r="AH738" s="267"/>
      <c r="AI738" s="267"/>
      <c r="AJ738" s="267"/>
      <c r="AK738" s="267"/>
      <c r="AL738" s="267"/>
      <c r="AM738" s="267"/>
      <c r="AN738" s="267"/>
      <c r="AO738" s="267"/>
      <c r="AP738" s="267"/>
      <c r="AQ738" s="267"/>
      <c r="AR738" s="267"/>
      <c r="AS738" s="267"/>
      <c r="AT738" s="267"/>
      <c r="AU738" s="267"/>
      <c r="AV738" s="267"/>
      <c r="AW738" s="267"/>
      <c r="AX738" s="267"/>
      <c r="AY738" s="267"/>
      <c r="AZ738" s="267"/>
      <c r="BA738" s="267"/>
      <c r="BB738" s="267"/>
      <c r="BC738" s="267"/>
      <c r="BD738" s="267"/>
      <c r="BE738" s="267"/>
      <c r="BF738" s="267"/>
      <c r="BG738" s="267"/>
      <c r="BH738" s="267"/>
      <c r="BI738" s="267"/>
      <c r="BJ738" s="267"/>
      <c r="BK738" s="267"/>
      <c r="BL738" s="267"/>
      <c r="BM738" s="267"/>
      <c r="BN738" s="267"/>
      <c r="BO738" s="267"/>
      <c r="BP738" s="267"/>
      <c r="BQ738" s="267"/>
      <c r="BR738" s="267"/>
      <c r="BS738" s="267"/>
      <c r="BT738" s="267"/>
      <c r="BU738" s="267"/>
      <c r="BV738" s="267"/>
      <c r="BW738" s="267"/>
      <c r="BX738" s="267"/>
      <c r="BY738" s="267"/>
      <c r="BZ738" s="267"/>
      <c r="CA738" s="267"/>
      <c r="CB738" s="267"/>
      <c r="CC738" s="267"/>
      <c r="CD738" s="267"/>
      <c r="CE738" s="267"/>
      <c r="CF738" s="267"/>
      <c r="CG738" s="267"/>
      <c r="CH738" s="267"/>
      <c r="CI738" s="267"/>
      <c r="CJ738" s="267"/>
      <c r="CK738" s="267"/>
      <c r="CL738" s="267"/>
      <c r="CM738" s="267"/>
      <c r="CN738" s="267"/>
      <c r="CO738" s="267"/>
      <c r="CP738" s="267"/>
      <c r="CQ738" s="267"/>
      <c r="CR738" s="267"/>
      <c r="CS738" s="267"/>
      <c r="CT738" s="267"/>
      <c r="CU738" s="267"/>
      <c r="CV738" s="267"/>
      <c r="CW738" s="267"/>
      <c r="CX738" s="267"/>
      <c r="CY738" s="267"/>
      <c r="CZ738" s="267"/>
    </row>
    <row r="739" spans="2:104">
      <c r="B739" s="1235"/>
      <c r="C739" s="1235"/>
      <c r="D739" s="1235"/>
      <c r="E739" s="267"/>
      <c r="F739" s="267"/>
      <c r="G739" s="267"/>
      <c r="H739" s="267"/>
      <c r="I739" s="267"/>
      <c r="J739" s="267"/>
      <c r="K739" s="267"/>
      <c r="L739" s="267"/>
      <c r="M739" s="267"/>
      <c r="N739" s="267"/>
      <c r="O739" s="267"/>
      <c r="P739" s="267"/>
      <c r="Q739" s="267"/>
      <c r="R739" s="267"/>
      <c r="S739" s="267"/>
      <c r="T739" s="267"/>
      <c r="U739" s="267"/>
      <c r="V739" s="267"/>
      <c r="W739" s="267"/>
      <c r="X739" s="267"/>
      <c r="Y739" s="267"/>
      <c r="Z739" s="267"/>
      <c r="AA739" s="267"/>
      <c r="AB739" s="267"/>
      <c r="AC739" s="267"/>
      <c r="AD739" s="267"/>
      <c r="AE739" s="267"/>
      <c r="AF739" s="267"/>
      <c r="AG739" s="267"/>
      <c r="AH739" s="267"/>
      <c r="AI739" s="267"/>
      <c r="AJ739" s="267"/>
      <c r="AK739" s="267"/>
      <c r="AL739" s="267"/>
      <c r="AM739" s="267"/>
      <c r="AN739" s="267"/>
      <c r="AO739" s="267"/>
      <c r="AP739" s="267"/>
      <c r="AQ739" s="267"/>
      <c r="AR739" s="267"/>
      <c r="AS739" s="267"/>
      <c r="AT739" s="267"/>
      <c r="AU739" s="267"/>
      <c r="AV739" s="267"/>
      <c r="AW739" s="267"/>
      <c r="AX739" s="267"/>
      <c r="AY739" s="267"/>
      <c r="AZ739" s="267"/>
      <c r="BA739" s="267"/>
      <c r="BB739" s="267"/>
      <c r="BC739" s="267"/>
      <c r="BD739" s="267"/>
      <c r="BE739" s="267"/>
      <c r="BF739" s="267"/>
      <c r="BG739" s="267"/>
      <c r="BH739" s="267"/>
      <c r="BI739" s="267"/>
      <c r="BJ739" s="267"/>
      <c r="BK739" s="267"/>
      <c r="BL739" s="267"/>
      <c r="BM739" s="267"/>
      <c r="BN739" s="267"/>
      <c r="BO739" s="267"/>
      <c r="BP739" s="267"/>
      <c r="BQ739" s="267"/>
      <c r="BR739" s="267"/>
      <c r="BS739" s="267"/>
      <c r="BT739" s="267"/>
      <c r="BU739" s="267"/>
      <c r="BV739" s="267"/>
      <c r="BW739" s="267"/>
      <c r="BX739" s="267"/>
      <c r="BY739" s="267"/>
      <c r="BZ739" s="267"/>
      <c r="CA739" s="267"/>
      <c r="CB739" s="267"/>
      <c r="CC739" s="267"/>
      <c r="CD739" s="267"/>
      <c r="CE739" s="267"/>
      <c r="CF739" s="267"/>
      <c r="CG739" s="267"/>
      <c r="CH739" s="267"/>
      <c r="CI739" s="267"/>
      <c r="CJ739" s="267"/>
      <c r="CK739" s="267"/>
      <c r="CL739" s="267"/>
      <c r="CM739" s="267"/>
      <c r="CN739" s="267"/>
      <c r="CO739" s="267"/>
      <c r="CP739" s="267"/>
      <c r="CQ739" s="267"/>
      <c r="CR739" s="267"/>
      <c r="CS739" s="267"/>
      <c r="CT739" s="267"/>
      <c r="CU739" s="267"/>
      <c r="CV739" s="267"/>
      <c r="CW739" s="267"/>
      <c r="CX739" s="267"/>
      <c r="CY739" s="267"/>
      <c r="CZ739" s="267"/>
    </row>
    <row r="740" spans="2:104">
      <c r="B740" s="1235"/>
      <c r="C740" s="1235"/>
      <c r="D740" s="1235"/>
      <c r="E740" s="267"/>
      <c r="F740" s="267"/>
      <c r="G740" s="267"/>
      <c r="H740" s="267"/>
      <c r="I740" s="267"/>
      <c r="J740" s="267"/>
      <c r="K740" s="267"/>
      <c r="L740" s="267"/>
      <c r="M740" s="267"/>
      <c r="N740" s="267"/>
      <c r="O740" s="267"/>
      <c r="P740" s="267"/>
      <c r="Q740" s="267"/>
      <c r="R740" s="267"/>
      <c r="S740" s="267"/>
      <c r="T740" s="267"/>
      <c r="U740" s="267"/>
      <c r="V740" s="267"/>
      <c r="W740" s="267"/>
      <c r="X740" s="267"/>
      <c r="Y740" s="267"/>
      <c r="Z740" s="267"/>
      <c r="AA740" s="267"/>
      <c r="AB740" s="267"/>
      <c r="AC740" s="267"/>
      <c r="AD740" s="267"/>
      <c r="AE740" s="267"/>
      <c r="AF740" s="267"/>
      <c r="AG740" s="267"/>
      <c r="AH740" s="267"/>
      <c r="AI740" s="267"/>
      <c r="AJ740" s="267"/>
      <c r="AK740" s="267"/>
      <c r="AL740" s="267"/>
      <c r="AM740" s="267"/>
      <c r="AN740" s="267"/>
      <c r="AO740" s="267"/>
      <c r="AP740" s="267"/>
      <c r="AQ740" s="267"/>
      <c r="AR740" s="267"/>
      <c r="AS740" s="267"/>
      <c r="AT740" s="267"/>
      <c r="AU740" s="267"/>
      <c r="AV740" s="267"/>
      <c r="AW740" s="267"/>
      <c r="AX740" s="267"/>
      <c r="AY740" s="267"/>
      <c r="AZ740" s="267"/>
      <c r="BA740" s="267"/>
      <c r="BB740" s="267"/>
      <c r="BC740" s="267"/>
      <c r="BD740" s="267"/>
      <c r="BE740" s="267"/>
      <c r="BF740" s="267"/>
      <c r="BG740" s="267"/>
      <c r="BH740" s="267"/>
      <c r="BI740" s="267"/>
      <c r="BJ740" s="267"/>
      <c r="BK740" s="267"/>
      <c r="BL740" s="267"/>
      <c r="BM740" s="267"/>
      <c r="BN740" s="267"/>
      <c r="BO740" s="267"/>
      <c r="BP740" s="267"/>
      <c r="BQ740" s="267"/>
      <c r="BR740" s="267"/>
      <c r="BS740" s="267"/>
      <c r="BT740" s="267"/>
      <c r="BU740" s="267"/>
      <c r="BV740" s="267"/>
      <c r="BW740" s="267"/>
      <c r="BX740" s="267"/>
      <c r="BY740" s="267"/>
      <c r="BZ740" s="267"/>
      <c r="CA740" s="267"/>
      <c r="CB740" s="267"/>
      <c r="CC740" s="267"/>
      <c r="CD740" s="267"/>
      <c r="CE740" s="267"/>
      <c r="CF740" s="267"/>
      <c r="CG740" s="267"/>
      <c r="CH740" s="267"/>
      <c r="CI740" s="267"/>
      <c r="CJ740" s="267"/>
      <c r="CK740" s="267"/>
      <c r="CL740" s="267"/>
      <c r="CM740" s="267"/>
      <c r="CN740" s="267"/>
      <c r="CO740" s="267"/>
      <c r="CP740" s="267"/>
      <c r="CQ740" s="267"/>
      <c r="CR740" s="267"/>
      <c r="CS740" s="267"/>
      <c r="CT740" s="267"/>
      <c r="CU740" s="267"/>
      <c r="CV740" s="267"/>
      <c r="CW740" s="267"/>
      <c r="CX740" s="267"/>
      <c r="CY740" s="267"/>
      <c r="CZ740" s="267"/>
    </row>
    <row r="741" spans="2:104">
      <c r="B741" s="1235"/>
      <c r="C741" s="1235"/>
      <c r="D741" s="1235"/>
      <c r="E741" s="267"/>
      <c r="F741" s="267"/>
      <c r="G741" s="267"/>
      <c r="H741" s="267"/>
      <c r="I741" s="267"/>
      <c r="J741" s="267"/>
      <c r="K741" s="267"/>
      <c r="L741" s="267"/>
      <c r="M741" s="267"/>
      <c r="N741" s="267"/>
      <c r="O741" s="267"/>
      <c r="P741" s="267"/>
      <c r="Q741" s="267"/>
      <c r="R741" s="267"/>
      <c r="S741" s="267"/>
      <c r="T741" s="267"/>
      <c r="U741" s="267"/>
      <c r="V741" s="267"/>
      <c r="W741" s="267"/>
      <c r="X741" s="267"/>
      <c r="Y741" s="267"/>
      <c r="Z741" s="267"/>
      <c r="AA741" s="267"/>
      <c r="AB741" s="267"/>
      <c r="AC741" s="267"/>
      <c r="AD741" s="267"/>
      <c r="AE741" s="267"/>
      <c r="AF741" s="267"/>
      <c r="AG741" s="267"/>
      <c r="AH741" s="267"/>
      <c r="AI741" s="267"/>
      <c r="AJ741" s="267"/>
      <c r="AK741" s="267"/>
      <c r="AL741" s="267"/>
      <c r="AM741" s="267"/>
      <c r="AN741" s="267"/>
      <c r="AO741" s="267"/>
      <c r="AP741" s="267"/>
      <c r="AQ741" s="267"/>
      <c r="AR741" s="267"/>
      <c r="AS741" s="267"/>
      <c r="AT741" s="267"/>
      <c r="AU741" s="267"/>
      <c r="AV741" s="267"/>
      <c r="AW741" s="267"/>
      <c r="AX741" s="267"/>
      <c r="AY741" s="267"/>
      <c r="AZ741" s="267"/>
      <c r="BA741" s="267"/>
      <c r="BB741" s="267"/>
      <c r="BC741" s="267"/>
      <c r="BD741" s="267"/>
      <c r="BE741" s="267"/>
      <c r="BF741" s="267"/>
      <c r="BG741" s="267"/>
      <c r="BH741" s="267"/>
      <c r="BI741" s="267"/>
      <c r="BJ741" s="267"/>
      <c r="BK741" s="267"/>
      <c r="BL741" s="267"/>
      <c r="BM741" s="267"/>
      <c r="BN741" s="267"/>
      <c r="BO741" s="267"/>
      <c r="BP741" s="267"/>
      <c r="BQ741" s="267"/>
      <c r="BR741" s="267"/>
      <c r="BS741" s="267"/>
      <c r="BT741" s="267"/>
      <c r="BU741" s="267"/>
      <c r="BV741" s="267"/>
      <c r="BW741" s="267"/>
      <c r="BX741" s="267"/>
      <c r="BY741" s="267"/>
      <c r="BZ741" s="267"/>
      <c r="CA741" s="267"/>
      <c r="CB741" s="267"/>
      <c r="CC741" s="267"/>
      <c r="CD741" s="267"/>
      <c r="CE741" s="267"/>
      <c r="CF741" s="267"/>
      <c r="CG741" s="267"/>
      <c r="CH741" s="267"/>
      <c r="CI741" s="267"/>
      <c r="CJ741" s="267"/>
      <c r="CK741" s="267"/>
      <c r="CL741" s="267"/>
      <c r="CM741" s="267"/>
      <c r="CN741" s="267"/>
      <c r="CO741" s="267"/>
      <c r="CP741" s="267"/>
      <c r="CQ741" s="267"/>
      <c r="CR741" s="267"/>
      <c r="CS741" s="267"/>
      <c r="CT741" s="267"/>
      <c r="CU741" s="267"/>
      <c r="CV741" s="267"/>
      <c r="CW741" s="267"/>
      <c r="CX741" s="267"/>
      <c r="CY741" s="267"/>
      <c r="CZ741" s="267"/>
    </row>
    <row r="742" spans="2:104">
      <c r="B742" s="1235"/>
      <c r="C742" s="1235"/>
      <c r="D742" s="1235"/>
      <c r="E742" s="267"/>
      <c r="F742" s="267"/>
      <c r="G742" s="267"/>
      <c r="H742" s="267"/>
      <c r="I742" s="267"/>
      <c r="J742" s="267"/>
      <c r="K742" s="267"/>
      <c r="L742" s="267"/>
      <c r="M742" s="267"/>
      <c r="N742" s="267"/>
      <c r="O742" s="267"/>
      <c r="P742" s="267"/>
      <c r="Q742" s="267"/>
      <c r="R742" s="267"/>
      <c r="S742" s="267"/>
      <c r="T742" s="267"/>
      <c r="U742" s="267"/>
      <c r="V742" s="267"/>
      <c r="W742" s="267"/>
      <c r="X742" s="267"/>
      <c r="Y742" s="267"/>
      <c r="Z742" s="267"/>
      <c r="AA742" s="267"/>
      <c r="AB742" s="267"/>
      <c r="AC742" s="267"/>
      <c r="AD742" s="267"/>
      <c r="AE742" s="267"/>
      <c r="AF742" s="267"/>
      <c r="AG742" s="267"/>
      <c r="AH742" s="267"/>
      <c r="AI742" s="267"/>
      <c r="AJ742" s="267"/>
      <c r="AK742" s="267"/>
      <c r="AL742" s="267"/>
      <c r="AM742" s="267"/>
      <c r="AN742" s="267"/>
      <c r="AO742" s="267"/>
      <c r="AP742" s="267"/>
      <c r="AQ742" s="267"/>
      <c r="AR742" s="267"/>
      <c r="AS742" s="267"/>
      <c r="AT742" s="267"/>
      <c r="AU742" s="267"/>
      <c r="AV742" s="267"/>
      <c r="AW742" s="267"/>
      <c r="AX742" s="267"/>
      <c r="AY742" s="267"/>
      <c r="AZ742" s="267"/>
      <c r="BA742" s="267"/>
      <c r="BB742" s="267"/>
      <c r="BC742" s="267"/>
      <c r="BD742" s="267"/>
      <c r="BE742" s="267"/>
      <c r="BF742" s="267"/>
      <c r="BG742" s="267"/>
      <c r="BH742" s="267"/>
      <c r="BI742" s="267"/>
      <c r="BJ742" s="267"/>
      <c r="BK742" s="267"/>
      <c r="BL742" s="267"/>
      <c r="BM742" s="267"/>
      <c r="BN742" s="267"/>
      <c r="BO742" s="267"/>
      <c r="BP742" s="267"/>
      <c r="BQ742" s="267"/>
      <c r="BR742" s="267"/>
      <c r="BS742" s="267"/>
      <c r="BT742" s="267"/>
      <c r="BU742" s="267"/>
      <c r="BV742" s="267"/>
      <c r="BW742" s="267"/>
      <c r="BX742" s="267"/>
      <c r="BY742" s="267"/>
      <c r="BZ742" s="267"/>
      <c r="CA742" s="267"/>
      <c r="CB742" s="267"/>
      <c r="CC742" s="267"/>
      <c r="CD742" s="267"/>
      <c r="CE742" s="267"/>
      <c r="CF742" s="267"/>
      <c r="CG742" s="267"/>
      <c r="CH742" s="267"/>
      <c r="CI742" s="267"/>
      <c r="CJ742" s="267"/>
      <c r="CK742" s="267"/>
      <c r="CL742" s="267"/>
      <c r="CM742" s="267"/>
      <c r="CN742" s="267"/>
      <c r="CO742" s="267"/>
      <c r="CP742" s="267"/>
      <c r="CQ742" s="267"/>
      <c r="CR742" s="267"/>
      <c r="CS742" s="267"/>
      <c r="CT742" s="267"/>
      <c r="CU742" s="267"/>
      <c r="CV742" s="267"/>
      <c r="CW742" s="267"/>
      <c r="CX742" s="267"/>
      <c r="CY742" s="267"/>
      <c r="CZ742" s="267"/>
    </row>
    <row r="743" spans="2:104">
      <c r="B743" s="1235"/>
      <c r="C743" s="1235"/>
      <c r="D743" s="1235"/>
      <c r="E743" s="267"/>
      <c r="F743" s="267"/>
      <c r="G743" s="267"/>
      <c r="H743" s="267"/>
      <c r="I743" s="267"/>
      <c r="J743" s="267"/>
      <c r="K743" s="267"/>
      <c r="L743" s="267"/>
      <c r="M743" s="267"/>
      <c r="N743" s="267"/>
      <c r="O743" s="267"/>
      <c r="P743" s="267"/>
      <c r="Q743" s="267"/>
      <c r="R743" s="267"/>
      <c r="S743" s="267"/>
      <c r="T743" s="267"/>
      <c r="U743" s="267"/>
      <c r="V743" s="267"/>
      <c r="W743" s="267"/>
      <c r="X743" s="267"/>
      <c r="Y743" s="267"/>
      <c r="Z743" s="267"/>
      <c r="AA743" s="267"/>
      <c r="AB743" s="267"/>
      <c r="AC743" s="267"/>
      <c r="AD743" s="267"/>
      <c r="AE743" s="267"/>
      <c r="AF743" s="267"/>
      <c r="AG743" s="267"/>
      <c r="AH743" s="267"/>
      <c r="AI743" s="267"/>
      <c r="AJ743" s="267"/>
      <c r="AK743" s="267"/>
      <c r="AL743" s="267"/>
      <c r="AM743" s="267"/>
      <c r="AN743" s="267"/>
      <c r="AO743" s="267"/>
      <c r="AP743" s="267"/>
      <c r="AQ743" s="267"/>
      <c r="AR743" s="267"/>
      <c r="AS743" s="267"/>
      <c r="AT743" s="267"/>
      <c r="AU743" s="267"/>
      <c r="AV743" s="267"/>
      <c r="AW743" s="267"/>
      <c r="AX743" s="267"/>
      <c r="AY743" s="267"/>
      <c r="AZ743" s="267"/>
      <c r="BA743" s="267"/>
      <c r="BB743" s="267"/>
      <c r="BC743" s="267"/>
      <c r="BD743" s="267"/>
      <c r="BE743" s="267"/>
      <c r="BF743" s="267"/>
      <c r="BG743" s="267"/>
      <c r="BH743" s="267"/>
      <c r="BI743" s="267"/>
      <c r="BJ743" s="267"/>
      <c r="BK743" s="267"/>
      <c r="BL743" s="267"/>
      <c r="BM743" s="267"/>
      <c r="BN743" s="267"/>
      <c r="BO743" s="267"/>
      <c r="BP743" s="267"/>
      <c r="BQ743" s="267"/>
      <c r="BR743" s="267"/>
      <c r="BS743" s="267"/>
      <c r="BT743" s="267"/>
      <c r="BU743" s="267"/>
      <c r="BV743" s="267"/>
      <c r="BW743" s="267"/>
      <c r="BX743" s="267"/>
      <c r="BY743" s="267"/>
      <c r="BZ743" s="267"/>
      <c r="CA743" s="267"/>
      <c r="CB743" s="267"/>
      <c r="CC743" s="267"/>
      <c r="CD743" s="267"/>
      <c r="CE743" s="267"/>
      <c r="CF743" s="267"/>
      <c r="CG743" s="267"/>
      <c r="CH743" s="267"/>
      <c r="CI743" s="267"/>
      <c r="CJ743" s="267"/>
      <c r="CK743" s="267"/>
      <c r="CL743" s="267"/>
      <c r="CM743" s="267"/>
      <c r="CN743" s="267"/>
      <c r="CO743" s="267"/>
      <c r="CP743" s="267"/>
      <c r="CQ743" s="267"/>
      <c r="CR743" s="267"/>
      <c r="CS743" s="267"/>
      <c r="CT743" s="267"/>
      <c r="CU743" s="267"/>
      <c r="CV743" s="267"/>
      <c r="CW743" s="267"/>
      <c r="CX743" s="267"/>
      <c r="CY743" s="267"/>
      <c r="CZ743" s="267"/>
    </row>
    <row r="744" spans="2:104">
      <c r="B744" s="1235"/>
      <c r="C744" s="1235"/>
      <c r="D744" s="1235"/>
      <c r="E744" s="267"/>
      <c r="F744" s="267"/>
      <c r="G744" s="267"/>
      <c r="H744" s="267"/>
      <c r="I744" s="267"/>
      <c r="J744" s="267"/>
      <c r="K744" s="267"/>
      <c r="L744" s="267"/>
      <c r="M744" s="267"/>
      <c r="N744" s="267"/>
      <c r="O744" s="267"/>
      <c r="P744" s="267"/>
      <c r="Q744" s="267"/>
      <c r="R744" s="267"/>
      <c r="S744" s="267"/>
      <c r="T744" s="267"/>
      <c r="U744" s="267"/>
      <c r="V744" s="267"/>
      <c r="W744" s="267"/>
      <c r="X744" s="267"/>
      <c r="Y744" s="267"/>
      <c r="Z744" s="267"/>
      <c r="AA744" s="267"/>
      <c r="AB744" s="267"/>
      <c r="AC744" s="267"/>
      <c r="AD744" s="267"/>
      <c r="AE744" s="267"/>
      <c r="AF744" s="267"/>
      <c r="AG744" s="267"/>
      <c r="AH744" s="267"/>
      <c r="AI744" s="267"/>
      <c r="AJ744" s="267"/>
      <c r="AK744" s="267"/>
      <c r="AL744" s="267"/>
      <c r="AM744" s="267"/>
      <c r="AN744" s="267"/>
      <c r="AO744" s="267"/>
      <c r="AP744" s="267"/>
      <c r="AQ744" s="267"/>
      <c r="AR744" s="267"/>
      <c r="AS744" s="267"/>
      <c r="AT744" s="267"/>
      <c r="AU744" s="267"/>
      <c r="AV744" s="267"/>
      <c r="AW744" s="267"/>
      <c r="AX744" s="267"/>
      <c r="AY744" s="267"/>
      <c r="AZ744" s="267"/>
      <c r="BA744" s="267"/>
      <c r="BB744" s="267"/>
      <c r="BC744" s="267"/>
      <c r="BD744" s="267"/>
      <c r="BE744" s="267"/>
      <c r="BF744" s="267"/>
      <c r="BG744" s="267"/>
      <c r="BH744" s="267"/>
      <c r="BI744" s="267"/>
      <c r="BJ744" s="267"/>
      <c r="BK744" s="267"/>
      <c r="BL744" s="267"/>
      <c r="BM744" s="267"/>
      <c r="BN744" s="267"/>
      <c r="BO744" s="267"/>
      <c r="BP744" s="267"/>
      <c r="BQ744" s="267"/>
      <c r="BR744" s="267"/>
      <c r="BS744" s="267"/>
      <c r="BT744" s="267"/>
      <c r="BU744" s="267"/>
      <c r="BV744" s="267"/>
      <c r="BW744" s="267"/>
      <c r="BX744" s="267"/>
      <c r="BY744" s="267"/>
      <c r="BZ744" s="267"/>
      <c r="CA744" s="267"/>
      <c r="CB744" s="267"/>
      <c r="CC744" s="267"/>
      <c r="CD744" s="267"/>
      <c r="CE744" s="267"/>
      <c r="CF744" s="267"/>
      <c r="CG744" s="267"/>
      <c r="CH744" s="267"/>
      <c r="CI744" s="267"/>
      <c r="CJ744" s="267"/>
      <c r="CK744" s="267"/>
      <c r="CL744" s="267"/>
      <c r="CM744" s="267"/>
      <c r="CN744" s="267"/>
      <c r="CO744" s="267"/>
      <c r="CP744" s="267"/>
      <c r="CQ744" s="267"/>
      <c r="CR744" s="267"/>
      <c r="CS744" s="267"/>
      <c r="CT744" s="267"/>
      <c r="CU744" s="267"/>
      <c r="CV744" s="267"/>
      <c r="CW744" s="267"/>
      <c r="CX744" s="267"/>
      <c r="CY744" s="267"/>
      <c r="CZ744" s="267"/>
    </row>
    <row r="745" spans="2:104">
      <c r="B745" s="1235"/>
      <c r="C745" s="1235"/>
      <c r="D745" s="1235"/>
      <c r="E745" s="267"/>
      <c r="F745" s="267"/>
      <c r="G745" s="267"/>
      <c r="H745" s="267"/>
      <c r="I745" s="267"/>
      <c r="J745" s="267"/>
      <c r="K745" s="267"/>
      <c r="L745" s="267"/>
      <c r="M745" s="267"/>
      <c r="N745" s="267"/>
      <c r="O745" s="267"/>
      <c r="P745" s="267"/>
      <c r="Q745" s="267"/>
      <c r="R745" s="267"/>
      <c r="S745" s="267"/>
      <c r="T745" s="267"/>
      <c r="U745" s="267"/>
      <c r="V745" s="267"/>
      <c r="W745" s="267"/>
      <c r="X745" s="267"/>
      <c r="Y745" s="267"/>
      <c r="Z745" s="267"/>
      <c r="AA745" s="267"/>
      <c r="AB745" s="267"/>
      <c r="AC745" s="267"/>
      <c r="AD745" s="267"/>
      <c r="AE745" s="267"/>
      <c r="AF745" s="267"/>
      <c r="AG745" s="267"/>
      <c r="AH745" s="267"/>
      <c r="AI745" s="267"/>
      <c r="AJ745" s="267"/>
      <c r="AK745" s="267"/>
      <c r="AL745" s="267"/>
      <c r="AM745" s="267"/>
      <c r="AN745" s="267"/>
      <c r="AO745" s="267"/>
      <c r="AP745" s="267"/>
      <c r="AQ745" s="267"/>
      <c r="AR745" s="267"/>
      <c r="AS745" s="267"/>
      <c r="AT745" s="267"/>
      <c r="AU745" s="267"/>
      <c r="AV745" s="267"/>
      <c r="AW745" s="267"/>
      <c r="AX745" s="267"/>
      <c r="AY745" s="267"/>
      <c r="AZ745" s="267"/>
      <c r="BA745" s="267"/>
      <c r="BB745" s="267"/>
      <c r="BC745" s="267"/>
      <c r="BD745" s="267"/>
      <c r="BE745" s="267"/>
      <c r="BF745" s="267"/>
      <c r="BG745" s="267"/>
      <c r="BH745" s="267"/>
      <c r="BI745" s="267"/>
      <c r="BJ745" s="267"/>
      <c r="BK745" s="267"/>
      <c r="BL745" s="267"/>
      <c r="BM745" s="267"/>
      <c r="BN745" s="267"/>
      <c r="BO745" s="267"/>
      <c r="BP745" s="267"/>
      <c r="BQ745" s="267"/>
      <c r="BR745" s="267"/>
      <c r="BS745" s="267"/>
      <c r="BT745" s="267"/>
      <c r="BU745" s="267"/>
      <c r="BV745" s="267"/>
      <c r="BW745" s="267"/>
      <c r="BX745" s="267"/>
      <c r="BY745" s="267"/>
      <c r="BZ745" s="267"/>
      <c r="CA745" s="267"/>
      <c r="CB745" s="267"/>
      <c r="CC745" s="267"/>
      <c r="CD745" s="267"/>
      <c r="CE745" s="267"/>
      <c r="CF745" s="267"/>
      <c r="CG745" s="267"/>
      <c r="CH745" s="267"/>
      <c r="CI745" s="267"/>
      <c r="CJ745" s="267"/>
      <c r="CK745" s="267"/>
      <c r="CL745" s="267"/>
      <c r="CM745" s="267"/>
      <c r="CN745" s="267"/>
      <c r="CO745" s="267"/>
      <c r="CP745" s="267"/>
      <c r="CQ745" s="267"/>
      <c r="CR745" s="267"/>
      <c r="CS745" s="267"/>
      <c r="CT745" s="267"/>
      <c r="CU745" s="267"/>
      <c r="CV745" s="267"/>
      <c r="CW745" s="267"/>
      <c r="CX745" s="267"/>
      <c r="CY745" s="267"/>
      <c r="CZ745" s="267"/>
    </row>
    <row r="746" spans="2:104">
      <c r="B746" s="1235"/>
      <c r="C746" s="1235"/>
      <c r="D746" s="1235"/>
      <c r="E746" s="267"/>
      <c r="F746" s="267"/>
      <c r="G746" s="267"/>
      <c r="H746" s="267"/>
      <c r="I746" s="267"/>
      <c r="J746" s="267"/>
      <c r="K746" s="267"/>
      <c r="L746" s="267"/>
      <c r="M746" s="267"/>
      <c r="N746" s="267"/>
      <c r="O746" s="267"/>
      <c r="P746" s="267"/>
      <c r="Q746" s="267"/>
      <c r="R746" s="267"/>
      <c r="S746" s="267"/>
      <c r="T746" s="267"/>
      <c r="U746" s="267"/>
      <c r="V746" s="267"/>
      <c r="W746" s="267"/>
      <c r="X746" s="267"/>
      <c r="Y746" s="267"/>
      <c r="Z746" s="267"/>
      <c r="AA746" s="267"/>
      <c r="AB746" s="267"/>
      <c r="AC746" s="267"/>
      <c r="AD746" s="267"/>
      <c r="AE746" s="267"/>
      <c r="AF746" s="267"/>
      <c r="AG746" s="267"/>
      <c r="AH746" s="267"/>
      <c r="AI746" s="267"/>
      <c r="AJ746" s="267"/>
      <c r="AK746" s="267"/>
      <c r="AL746" s="267"/>
      <c r="AM746" s="267"/>
      <c r="AN746" s="267"/>
      <c r="AO746" s="267"/>
      <c r="AP746" s="267"/>
      <c r="AQ746" s="267"/>
      <c r="AR746" s="267"/>
      <c r="AS746" s="267"/>
      <c r="AT746" s="267"/>
      <c r="AU746" s="267"/>
      <c r="AV746" s="267"/>
      <c r="AW746" s="267"/>
      <c r="AX746" s="267"/>
      <c r="AY746" s="267"/>
      <c r="AZ746" s="267"/>
      <c r="BA746" s="267"/>
      <c r="BB746" s="267"/>
      <c r="BC746" s="267"/>
      <c r="BD746" s="267"/>
      <c r="BE746" s="267"/>
      <c r="BF746" s="267"/>
      <c r="BG746" s="267"/>
      <c r="BH746" s="267"/>
      <c r="BI746" s="267"/>
      <c r="BJ746" s="267"/>
      <c r="BK746" s="267"/>
      <c r="BL746" s="267"/>
      <c r="BM746" s="267"/>
      <c r="BN746" s="267"/>
      <c r="BO746" s="267"/>
      <c r="BP746" s="267"/>
      <c r="BQ746" s="267"/>
      <c r="BR746" s="267"/>
      <c r="BS746" s="267"/>
      <c r="BT746" s="267"/>
      <c r="BU746" s="267"/>
      <c r="BV746" s="267"/>
      <c r="BW746" s="267"/>
      <c r="BX746" s="267"/>
      <c r="BY746" s="267"/>
      <c r="BZ746" s="267"/>
      <c r="CA746" s="267"/>
      <c r="CB746" s="267"/>
      <c r="CC746" s="267"/>
      <c r="CD746" s="267"/>
      <c r="CE746" s="267"/>
      <c r="CF746" s="267"/>
      <c r="CG746" s="267"/>
      <c r="CH746" s="267"/>
      <c r="CI746" s="267"/>
      <c r="CJ746" s="267"/>
      <c r="CK746" s="267"/>
      <c r="CL746" s="267"/>
      <c r="CM746" s="267"/>
      <c r="CN746" s="267"/>
      <c r="CO746" s="267"/>
      <c r="CP746" s="267"/>
      <c r="CQ746" s="267"/>
      <c r="CR746" s="267"/>
      <c r="CS746" s="267"/>
      <c r="CT746" s="267"/>
      <c r="CU746" s="267"/>
      <c r="CV746" s="267"/>
      <c r="CW746" s="267"/>
      <c r="CX746" s="267"/>
      <c r="CY746" s="267"/>
      <c r="CZ746" s="267"/>
    </row>
    <row r="747" spans="2:104">
      <c r="B747" s="1235"/>
      <c r="C747" s="1235"/>
      <c r="D747" s="1235"/>
      <c r="E747" s="267"/>
      <c r="F747" s="267"/>
      <c r="G747" s="267"/>
      <c r="H747" s="267"/>
      <c r="I747" s="267"/>
      <c r="J747" s="267"/>
      <c r="K747" s="267"/>
      <c r="L747" s="267"/>
      <c r="M747" s="267"/>
      <c r="N747" s="267"/>
      <c r="O747" s="267"/>
      <c r="P747" s="267"/>
      <c r="Q747" s="267"/>
      <c r="R747" s="267"/>
      <c r="S747" s="267"/>
      <c r="T747" s="267"/>
      <c r="U747" s="267"/>
      <c r="V747" s="267"/>
      <c r="W747" s="267"/>
      <c r="X747" s="267"/>
      <c r="Y747" s="267"/>
      <c r="Z747" s="267"/>
      <c r="AA747" s="267"/>
      <c r="AB747" s="267"/>
      <c r="AC747" s="267"/>
      <c r="AD747" s="267"/>
      <c r="AE747" s="267"/>
      <c r="AF747" s="267"/>
      <c r="AG747" s="267"/>
      <c r="AH747" s="267"/>
      <c r="AI747" s="267"/>
      <c r="AJ747" s="267"/>
      <c r="AK747" s="267"/>
      <c r="AL747" s="267"/>
      <c r="AM747" s="267"/>
      <c r="AN747" s="267"/>
      <c r="AO747" s="267"/>
      <c r="AP747" s="267"/>
      <c r="AQ747" s="267"/>
      <c r="AR747" s="267"/>
      <c r="AS747" s="267"/>
      <c r="AT747" s="267"/>
      <c r="AU747" s="267"/>
      <c r="AV747" s="267"/>
      <c r="AW747" s="267"/>
      <c r="AX747" s="267"/>
      <c r="AY747" s="267"/>
      <c r="AZ747" s="267"/>
      <c r="BA747" s="267"/>
      <c r="BB747" s="267"/>
      <c r="BC747" s="267"/>
      <c r="BD747" s="267"/>
      <c r="BE747" s="267"/>
      <c r="BF747" s="267"/>
      <c r="BG747" s="267"/>
      <c r="BH747" s="267"/>
      <c r="BI747" s="267"/>
      <c r="BJ747" s="267"/>
      <c r="BK747" s="267"/>
      <c r="BL747" s="267"/>
      <c r="BM747" s="267"/>
      <c r="BN747" s="267"/>
      <c r="BO747" s="267"/>
      <c r="BP747" s="267"/>
      <c r="BQ747" s="267"/>
      <c r="BR747" s="267"/>
      <c r="BS747" s="267"/>
      <c r="BT747" s="267"/>
      <c r="BU747" s="267"/>
      <c r="BV747" s="267"/>
      <c r="BW747" s="267"/>
      <c r="BX747" s="267"/>
      <c r="BY747" s="267"/>
      <c r="BZ747" s="267"/>
      <c r="CA747" s="267"/>
      <c r="CB747" s="267"/>
      <c r="CC747" s="267"/>
      <c r="CD747" s="267"/>
      <c r="CE747" s="267"/>
      <c r="CF747" s="267"/>
      <c r="CG747" s="267"/>
      <c r="CH747" s="267"/>
      <c r="CI747" s="267"/>
      <c r="CJ747" s="267"/>
      <c r="CK747" s="267"/>
      <c r="CL747" s="267"/>
      <c r="CM747" s="267"/>
      <c r="CN747" s="267"/>
      <c r="CO747" s="267"/>
      <c r="CP747" s="267"/>
      <c r="CQ747" s="267"/>
      <c r="CR747" s="267"/>
      <c r="CS747" s="267"/>
      <c r="CT747" s="267"/>
      <c r="CU747" s="267"/>
      <c r="CV747" s="267"/>
      <c r="CW747" s="267"/>
      <c r="CX747" s="267"/>
      <c r="CY747" s="267"/>
      <c r="CZ747" s="267"/>
    </row>
    <row r="748" spans="2:104">
      <c r="B748" s="1235"/>
      <c r="C748" s="1235"/>
      <c r="D748" s="1235"/>
      <c r="E748" s="267"/>
      <c r="F748" s="267"/>
      <c r="G748" s="267"/>
      <c r="H748" s="267"/>
      <c r="I748" s="267"/>
      <c r="J748" s="267"/>
      <c r="K748" s="267"/>
      <c r="L748" s="267"/>
      <c r="M748" s="267"/>
      <c r="N748" s="267"/>
      <c r="O748" s="267"/>
      <c r="P748" s="267"/>
      <c r="Q748" s="267"/>
      <c r="R748" s="267"/>
      <c r="S748" s="267"/>
      <c r="T748" s="267"/>
      <c r="U748" s="267"/>
      <c r="V748" s="267"/>
      <c r="W748" s="267"/>
      <c r="X748" s="267"/>
      <c r="Y748" s="267"/>
      <c r="Z748" s="267"/>
      <c r="AA748" s="267"/>
      <c r="AB748" s="267"/>
      <c r="AC748" s="267"/>
      <c r="AD748" s="267"/>
      <c r="AE748" s="267"/>
      <c r="AF748" s="267"/>
      <c r="AG748" s="267"/>
      <c r="AH748" s="267"/>
      <c r="AI748" s="267"/>
      <c r="AJ748" s="267"/>
      <c r="AK748" s="267"/>
      <c r="AL748" s="267"/>
      <c r="AM748" s="267"/>
      <c r="AN748" s="267"/>
      <c r="AO748" s="267"/>
      <c r="AP748" s="267"/>
      <c r="AQ748" s="267"/>
      <c r="AR748" s="267"/>
      <c r="AS748" s="267"/>
      <c r="AT748" s="267"/>
      <c r="AU748" s="267"/>
      <c r="AV748" s="267"/>
      <c r="AW748" s="267"/>
      <c r="AX748" s="267"/>
      <c r="AY748" s="267"/>
      <c r="AZ748" s="267"/>
      <c r="BA748" s="267"/>
      <c r="BB748" s="267"/>
      <c r="BC748" s="267"/>
      <c r="BD748" s="267"/>
      <c r="BE748" s="267"/>
      <c r="BF748" s="267"/>
      <c r="BG748" s="267"/>
      <c r="BH748" s="267"/>
      <c r="BI748" s="267"/>
      <c r="BJ748" s="267"/>
      <c r="BK748" s="267"/>
      <c r="BL748" s="267"/>
      <c r="BM748" s="267"/>
      <c r="BN748" s="267"/>
      <c r="BO748" s="267"/>
      <c r="BP748" s="267"/>
      <c r="BQ748" s="267"/>
      <c r="BR748" s="267"/>
      <c r="BS748" s="267"/>
      <c r="BT748" s="267"/>
      <c r="BU748" s="267"/>
      <c r="BV748" s="267"/>
      <c r="BW748" s="267"/>
      <c r="BX748" s="267"/>
      <c r="BY748" s="267"/>
      <c r="BZ748" s="267"/>
      <c r="CA748" s="267"/>
      <c r="CB748" s="267"/>
      <c r="CC748" s="267"/>
      <c r="CD748" s="267"/>
      <c r="CE748" s="267"/>
      <c r="CF748" s="267"/>
      <c r="CG748" s="267"/>
      <c r="CH748" s="267"/>
      <c r="CI748" s="267"/>
      <c r="CJ748" s="267"/>
      <c r="CK748" s="267"/>
      <c r="CL748" s="267"/>
      <c r="CM748" s="267"/>
      <c r="CN748" s="267"/>
      <c r="CO748" s="267"/>
      <c r="CP748" s="267"/>
      <c r="CQ748" s="267"/>
      <c r="CR748" s="267"/>
      <c r="CS748" s="267"/>
      <c r="CT748" s="267"/>
      <c r="CU748" s="267"/>
      <c r="CV748" s="267"/>
      <c r="CW748" s="267"/>
      <c r="CX748" s="267"/>
      <c r="CY748" s="267"/>
      <c r="CZ748" s="267"/>
    </row>
    <row r="749" spans="2:104">
      <c r="B749" s="1235"/>
      <c r="C749" s="1235"/>
      <c r="D749" s="1235"/>
      <c r="E749" s="267"/>
      <c r="F749" s="267"/>
      <c r="G749" s="267"/>
      <c r="H749" s="267"/>
      <c r="I749" s="267"/>
      <c r="J749" s="267"/>
      <c r="K749" s="267"/>
      <c r="L749" s="267"/>
      <c r="M749" s="267"/>
      <c r="N749" s="267"/>
      <c r="O749" s="267"/>
      <c r="P749" s="267"/>
      <c r="Q749" s="267"/>
      <c r="R749" s="267"/>
      <c r="S749" s="267"/>
      <c r="T749" s="267"/>
      <c r="U749" s="267"/>
      <c r="V749" s="267"/>
      <c r="W749" s="267"/>
      <c r="X749" s="267"/>
      <c r="Y749" s="267"/>
      <c r="Z749" s="267"/>
      <c r="AA749" s="267"/>
      <c r="AB749" s="267"/>
      <c r="AC749" s="267"/>
      <c r="AD749" s="267"/>
      <c r="AE749" s="267"/>
      <c r="AF749" s="267"/>
      <c r="AG749" s="267"/>
      <c r="AH749" s="267"/>
      <c r="AI749" s="267"/>
      <c r="AJ749" s="267"/>
      <c r="AK749" s="267"/>
      <c r="AL749" s="267"/>
      <c r="AM749" s="267"/>
      <c r="AN749" s="267"/>
      <c r="AO749" s="267"/>
      <c r="AP749" s="267"/>
      <c r="AQ749" s="267"/>
      <c r="AR749" s="267"/>
      <c r="AS749" s="267"/>
      <c r="AT749" s="267"/>
      <c r="AU749" s="267"/>
      <c r="AV749" s="267"/>
      <c r="AW749" s="267"/>
      <c r="AX749" s="267"/>
      <c r="AY749" s="267"/>
      <c r="AZ749" s="267"/>
      <c r="BA749" s="267"/>
      <c r="BB749" s="267"/>
      <c r="BC749" s="267"/>
      <c r="BD749" s="267"/>
      <c r="BE749" s="267"/>
      <c r="BF749" s="267"/>
      <c r="BG749" s="267"/>
      <c r="BH749" s="267"/>
      <c r="BI749" s="267"/>
      <c r="BJ749" s="267"/>
      <c r="BK749" s="267"/>
      <c r="BL749" s="267"/>
      <c r="BM749" s="267"/>
      <c r="BN749" s="267"/>
      <c r="BO749" s="267"/>
      <c r="BP749" s="267"/>
      <c r="BQ749" s="267"/>
      <c r="BR749" s="267"/>
      <c r="BS749" s="267"/>
      <c r="BT749" s="267"/>
      <c r="BU749" s="267"/>
      <c r="BV749" s="267"/>
      <c r="BW749" s="267"/>
      <c r="BX749" s="267"/>
      <c r="BY749" s="267"/>
      <c r="BZ749" s="267"/>
      <c r="CA749" s="267"/>
      <c r="CB749" s="267"/>
      <c r="CC749" s="267"/>
      <c r="CD749" s="267"/>
      <c r="CE749" s="267"/>
      <c r="CF749" s="267"/>
      <c r="CG749" s="267"/>
      <c r="CH749" s="267"/>
      <c r="CI749" s="267"/>
      <c r="CJ749" s="267"/>
      <c r="CK749" s="267"/>
      <c r="CL749" s="267"/>
      <c r="CM749" s="267"/>
      <c r="CN749" s="267"/>
      <c r="CO749" s="267"/>
      <c r="CP749" s="267"/>
      <c r="CQ749" s="267"/>
      <c r="CR749" s="267"/>
      <c r="CS749" s="267"/>
      <c r="CT749" s="267"/>
      <c r="CU749" s="267"/>
      <c r="CV749" s="267"/>
      <c r="CW749" s="267"/>
      <c r="CX749" s="267"/>
      <c r="CY749" s="267"/>
      <c r="CZ749" s="267"/>
    </row>
    <row r="750" spans="2:104">
      <c r="B750" s="1235"/>
      <c r="C750" s="1235"/>
      <c r="D750" s="1235"/>
      <c r="E750" s="267"/>
      <c r="F750" s="267"/>
      <c r="G750" s="267"/>
      <c r="H750" s="267"/>
      <c r="I750" s="267"/>
      <c r="J750" s="267"/>
      <c r="K750" s="267"/>
      <c r="L750" s="267"/>
      <c r="M750" s="267"/>
      <c r="N750" s="267"/>
      <c r="O750" s="267"/>
      <c r="P750" s="267"/>
      <c r="Q750" s="267"/>
      <c r="R750" s="267"/>
      <c r="S750" s="267"/>
      <c r="T750" s="267"/>
      <c r="U750" s="267"/>
      <c r="V750" s="267"/>
      <c r="W750" s="267"/>
      <c r="X750" s="267"/>
      <c r="Y750" s="267"/>
      <c r="Z750" s="267"/>
      <c r="AA750" s="267"/>
      <c r="AB750" s="267"/>
      <c r="AC750" s="267"/>
      <c r="AD750" s="267"/>
      <c r="AE750" s="267"/>
      <c r="AF750" s="267"/>
      <c r="AG750" s="267"/>
      <c r="AH750" s="267"/>
      <c r="AI750" s="267"/>
      <c r="AJ750" s="267"/>
      <c r="AK750" s="267"/>
      <c r="AL750" s="267"/>
      <c r="AM750" s="267"/>
      <c r="AN750" s="267"/>
      <c r="AO750" s="267"/>
      <c r="AP750" s="267"/>
      <c r="AQ750" s="267"/>
      <c r="AR750" s="267"/>
      <c r="AS750" s="267"/>
      <c r="AT750" s="267"/>
      <c r="AU750" s="267"/>
      <c r="AV750" s="267"/>
      <c r="AW750" s="267"/>
      <c r="AX750" s="267"/>
      <c r="AY750" s="267"/>
      <c r="AZ750" s="267"/>
      <c r="BA750" s="267"/>
      <c r="BB750" s="267"/>
      <c r="BC750" s="267"/>
      <c r="BD750" s="267"/>
      <c r="BE750" s="267"/>
      <c r="BF750" s="267"/>
      <c r="BG750" s="267"/>
      <c r="BH750" s="267"/>
      <c r="BI750" s="267"/>
      <c r="BJ750" s="267"/>
      <c r="BK750" s="267"/>
      <c r="BL750" s="267"/>
      <c r="BM750" s="267"/>
      <c r="BN750" s="267"/>
      <c r="BO750" s="267"/>
      <c r="BP750" s="267"/>
      <c r="BQ750" s="267"/>
      <c r="BR750" s="267"/>
      <c r="BS750" s="267"/>
      <c r="BT750" s="267"/>
      <c r="BU750" s="267"/>
      <c r="BV750" s="267"/>
      <c r="BW750" s="267"/>
      <c r="BX750" s="267"/>
      <c r="BY750" s="267"/>
      <c r="BZ750" s="267"/>
      <c r="CA750" s="267"/>
      <c r="CB750" s="267"/>
      <c r="CC750" s="267"/>
      <c r="CD750" s="267"/>
      <c r="CE750" s="267"/>
      <c r="CF750" s="267"/>
      <c r="CG750" s="267"/>
      <c r="CH750" s="267"/>
      <c r="CI750" s="267"/>
      <c r="CJ750" s="267"/>
      <c r="CK750" s="267"/>
      <c r="CL750" s="267"/>
      <c r="CM750" s="267"/>
      <c r="CN750" s="267"/>
      <c r="CO750" s="267"/>
      <c r="CP750" s="267"/>
      <c r="CQ750" s="267"/>
      <c r="CR750" s="267"/>
      <c r="CS750" s="267"/>
      <c r="CT750" s="267"/>
      <c r="CU750" s="267"/>
      <c r="CV750" s="267"/>
      <c r="CW750" s="267"/>
      <c r="CX750" s="267"/>
      <c r="CY750" s="267"/>
      <c r="CZ750" s="267"/>
    </row>
    <row r="751" spans="2:104">
      <c r="B751" s="1235"/>
      <c r="C751" s="1235"/>
      <c r="D751" s="1235"/>
      <c r="E751" s="267"/>
      <c r="F751" s="267"/>
      <c r="G751" s="267"/>
      <c r="H751" s="267"/>
      <c r="I751" s="267"/>
      <c r="J751" s="267"/>
      <c r="K751" s="267"/>
      <c r="L751" s="267"/>
      <c r="M751" s="267"/>
      <c r="N751" s="267"/>
      <c r="O751" s="267"/>
      <c r="P751" s="267"/>
      <c r="Q751" s="267"/>
      <c r="R751" s="267"/>
      <c r="S751" s="267"/>
      <c r="T751" s="267"/>
      <c r="U751" s="267"/>
      <c r="V751" s="267"/>
      <c r="W751" s="267"/>
      <c r="X751" s="267"/>
      <c r="Y751" s="267"/>
      <c r="Z751" s="267"/>
      <c r="AA751" s="267"/>
      <c r="AB751" s="267"/>
      <c r="AC751" s="267"/>
      <c r="AD751" s="267"/>
      <c r="AE751" s="267"/>
      <c r="AF751" s="267"/>
      <c r="AG751" s="267"/>
      <c r="AH751" s="267"/>
      <c r="AI751" s="267"/>
      <c r="AJ751" s="267"/>
      <c r="AK751" s="267"/>
      <c r="AL751" s="267"/>
      <c r="AM751" s="267"/>
      <c r="AN751" s="267"/>
      <c r="AO751" s="267"/>
      <c r="AP751" s="267"/>
      <c r="AQ751" s="267"/>
      <c r="AR751" s="267"/>
      <c r="AS751" s="267"/>
      <c r="AT751" s="267"/>
      <c r="AU751" s="267"/>
      <c r="AV751" s="267"/>
      <c r="AW751" s="267"/>
      <c r="AX751" s="267"/>
      <c r="AY751" s="267"/>
      <c r="AZ751" s="267"/>
      <c r="BA751" s="267"/>
      <c r="BB751" s="267"/>
      <c r="BC751" s="267"/>
      <c r="BD751" s="267"/>
      <c r="BE751" s="267"/>
      <c r="BF751" s="267"/>
      <c r="BG751" s="267"/>
      <c r="BH751" s="267"/>
      <c r="BI751" s="267"/>
      <c r="BJ751" s="267"/>
      <c r="BK751" s="267"/>
      <c r="BL751" s="267"/>
      <c r="BM751" s="267"/>
      <c r="BN751" s="267"/>
      <c r="BO751" s="267"/>
      <c r="BP751" s="267"/>
      <c r="BQ751" s="267"/>
      <c r="BR751" s="267"/>
      <c r="BS751" s="267"/>
      <c r="BT751" s="267"/>
      <c r="BU751" s="267"/>
      <c r="BV751" s="267"/>
      <c r="BW751" s="267"/>
      <c r="BX751" s="267"/>
      <c r="BY751" s="267"/>
      <c r="BZ751" s="267"/>
      <c r="CA751" s="267"/>
      <c r="CB751" s="267"/>
      <c r="CC751" s="267"/>
      <c r="CD751" s="267"/>
      <c r="CE751" s="267"/>
      <c r="CF751" s="267"/>
      <c r="CG751" s="267"/>
      <c r="CH751" s="267"/>
      <c r="CI751" s="267"/>
      <c r="CJ751" s="267"/>
      <c r="CK751" s="267"/>
      <c r="CL751" s="267"/>
      <c r="CM751" s="267"/>
      <c r="CN751" s="267"/>
      <c r="CO751" s="267"/>
      <c r="CP751" s="267"/>
      <c r="CQ751" s="267"/>
      <c r="CR751" s="267"/>
      <c r="CS751" s="267"/>
      <c r="CT751" s="267"/>
      <c r="CU751" s="267"/>
      <c r="CV751" s="267"/>
      <c r="CW751" s="267"/>
      <c r="CX751" s="267"/>
      <c r="CY751" s="267"/>
      <c r="CZ751" s="267"/>
    </row>
    <row r="752" spans="2:104">
      <c r="B752" s="1235"/>
      <c r="C752" s="1235"/>
      <c r="D752" s="1235"/>
      <c r="E752" s="267"/>
      <c r="F752" s="267"/>
      <c r="G752" s="267"/>
      <c r="H752" s="267"/>
      <c r="I752" s="267"/>
      <c r="J752" s="267"/>
      <c r="K752" s="267"/>
      <c r="L752" s="267"/>
      <c r="M752" s="267"/>
      <c r="N752" s="267"/>
      <c r="O752" s="267"/>
      <c r="P752" s="267"/>
      <c r="Q752" s="267"/>
      <c r="R752" s="267"/>
      <c r="S752" s="267"/>
      <c r="T752" s="267"/>
      <c r="U752" s="267"/>
      <c r="V752" s="267"/>
      <c r="W752" s="267"/>
      <c r="X752" s="267"/>
      <c r="Y752" s="267"/>
      <c r="Z752" s="267"/>
      <c r="AA752" s="267"/>
      <c r="AB752" s="267"/>
      <c r="AC752" s="267"/>
      <c r="AD752" s="267"/>
      <c r="AE752" s="267"/>
      <c r="AF752" s="267"/>
      <c r="AG752" s="267"/>
      <c r="AH752" s="267"/>
      <c r="AI752" s="267"/>
      <c r="AJ752" s="267"/>
      <c r="AK752" s="267"/>
      <c r="AL752" s="267"/>
      <c r="AM752" s="267"/>
      <c r="AN752" s="267"/>
      <c r="AO752" s="267"/>
      <c r="AP752" s="267"/>
      <c r="AQ752" s="267"/>
      <c r="AR752" s="267"/>
      <c r="AS752" s="267"/>
      <c r="AT752" s="267"/>
      <c r="AU752" s="267"/>
      <c r="AV752" s="267"/>
      <c r="AW752" s="267"/>
      <c r="AX752" s="267"/>
      <c r="AY752" s="267"/>
      <c r="AZ752" s="267"/>
      <c r="BA752" s="267"/>
      <c r="BB752" s="267"/>
      <c r="BC752" s="267"/>
      <c r="BD752" s="267"/>
      <c r="BE752" s="267"/>
      <c r="BF752" s="267"/>
      <c r="BG752" s="267"/>
      <c r="BH752" s="267"/>
      <c r="BI752" s="267"/>
      <c r="BJ752" s="267"/>
      <c r="BK752" s="267"/>
      <c r="BL752" s="267"/>
      <c r="BM752" s="267"/>
      <c r="BN752" s="267"/>
      <c r="BO752" s="267"/>
      <c r="BP752" s="267"/>
      <c r="BQ752" s="267"/>
      <c r="BR752" s="267"/>
      <c r="BS752" s="267"/>
      <c r="BT752" s="267"/>
      <c r="BU752" s="267"/>
      <c r="BV752" s="267"/>
      <c r="BW752" s="267"/>
      <c r="BX752" s="267"/>
      <c r="BY752" s="267"/>
      <c r="BZ752" s="267"/>
      <c r="CA752" s="267"/>
      <c r="CB752" s="267"/>
      <c r="CC752" s="267"/>
      <c r="CD752" s="267"/>
      <c r="CE752" s="267"/>
      <c r="CF752" s="267"/>
      <c r="CG752" s="267"/>
      <c r="CH752" s="267"/>
      <c r="CI752" s="267"/>
      <c r="CJ752" s="267"/>
      <c r="CK752" s="267"/>
      <c r="CL752" s="267"/>
      <c r="CM752" s="267"/>
      <c r="CN752" s="267"/>
      <c r="CO752" s="267"/>
      <c r="CP752" s="267"/>
      <c r="CQ752" s="267"/>
      <c r="CR752" s="267"/>
      <c r="CS752" s="267"/>
      <c r="CT752" s="267"/>
      <c r="CU752" s="267"/>
      <c r="CV752" s="267"/>
      <c r="CW752" s="267"/>
      <c r="CX752" s="267"/>
      <c r="CY752" s="267"/>
      <c r="CZ752" s="267"/>
    </row>
    <row r="753" spans="2:104">
      <c r="B753" s="1235"/>
      <c r="C753" s="1235"/>
      <c r="D753" s="1235"/>
      <c r="E753" s="267"/>
      <c r="F753" s="267"/>
      <c r="G753" s="267"/>
      <c r="H753" s="267"/>
      <c r="I753" s="267"/>
      <c r="J753" s="267"/>
      <c r="K753" s="267"/>
      <c r="L753" s="267"/>
      <c r="M753" s="267"/>
      <c r="N753" s="267"/>
      <c r="O753" s="267"/>
      <c r="P753" s="267"/>
      <c r="Q753" s="267"/>
      <c r="R753" s="267"/>
      <c r="S753" s="267"/>
      <c r="T753" s="267"/>
      <c r="U753" s="267"/>
      <c r="V753" s="267"/>
      <c r="W753" s="267"/>
      <c r="X753" s="267"/>
      <c r="Y753" s="267"/>
      <c r="Z753" s="267"/>
      <c r="AA753" s="267"/>
      <c r="AB753" s="267"/>
      <c r="AC753" s="267"/>
      <c r="AD753" s="267"/>
      <c r="AE753" s="267"/>
      <c r="AF753" s="267"/>
      <c r="AG753" s="267"/>
      <c r="AH753" s="267"/>
      <c r="AI753" s="267"/>
      <c r="AJ753" s="267"/>
      <c r="AK753" s="267"/>
      <c r="AL753" s="267"/>
      <c r="AM753" s="267"/>
      <c r="AN753" s="267"/>
      <c r="AO753" s="267"/>
      <c r="AP753" s="267"/>
      <c r="AQ753" s="267"/>
      <c r="AR753" s="267"/>
      <c r="AS753" s="267"/>
      <c r="AT753" s="267"/>
      <c r="AU753" s="267"/>
      <c r="AV753" s="267"/>
      <c r="AW753" s="267"/>
      <c r="AX753" s="267"/>
      <c r="AY753" s="267"/>
      <c r="AZ753" s="267"/>
      <c r="BA753" s="267"/>
      <c r="BB753" s="267"/>
      <c r="BC753" s="267"/>
      <c r="BD753" s="267"/>
      <c r="BE753" s="267"/>
      <c r="BF753" s="267"/>
      <c r="BG753" s="267"/>
      <c r="BH753" s="267"/>
      <c r="BI753" s="267"/>
      <c r="BJ753" s="267"/>
      <c r="BK753" s="267"/>
      <c r="BL753" s="267"/>
      <c r="BM753" s="267"/>
      <c r="BN753" s="267"/>
      <c r="BO753" s="267"/>
      <c r="BP753" s="267"/>
      <c r="BQ753" s="267"/>
      <c r="BR753" s="267"/>
      <c r="BS753" s="267"/>
      <c r="BT753" s="267"/>
      <c r="BU753" s="267"/>
      <c r="BV753" s="267"/>
      <c r="BW753" s="267"/>
      <c r="BX753" s="267"/>
      <c r="BY753" s="267"/>
      <c r="BZ753" s="267"/>
      <c r="CA753" s="267"/>
      <c r="CB753" s="267"/>
      <c r="CC753" s="267"/>
      <c r="CD753" s="267"/>
      <c r="CE753" s="267"/>
      <c r="CF753" s="267"/>
      <c r="CG753" s="267"/>
      <c r="CH753" s="267"/>
      <c r="CI753" s="267"/>
      <c r="CJ753" s="267"/>
      <c r="CK753" s="267"/>
      <c r="CL753" s="267"/>
      <c r="CM753" s="267"/>
      <c r="CN753" s="267"/>
      <c r="CO753" s="267"/>
      <c r="CP753" s="267"/>
      <c r="CQ753" s="267"/>
      <c r="CR753" s="267"/>
      <c r="CS753" s="267"/>
      <c r="CT753" s="267"/>
      <c r="CU753" s="267"/>
      <c r="CV753" s="267"/>
      <c r="CW753" s="267"/>
      <c r="CX753" s="267"/>
      <c r="CY753" s="267"/>
      <c r="CZ753" s="267"/>
    </row>
    <row r="754" spans="2:104">
      <c r="B754" s="1235"/>
      <c r="C754" s="1235"/>
      <c r="D754" s="1235"/>
      <c r="E754" s="267"/>
      <c r="F754" s="267"/>
      <c r="G754" s="267"/>
      <c r="H754" s="267"/>
      <c r="I754" s="267"/>
      <c r="J754" s="267"/>
      <c r="K754" s="267"/>
      <c r="L754" s="267"/>
      <c r="M754" s="267"/>
      <c r="N754" s="267"/>
      <c r="O754" s="267"/>
      <c r="P754" s="267"/>
      <c r="Q754" s="267"/>
      <c r="R754" s="267"/>
      <c r="S754" s="267"/>
      <c r="T754" s="267"/>
      <c r="U754" s="267"/>
      <c r="V754" s="267"/>
      <c r="W754" s="267"/>
      <c r="X754" s="267"/>
      <c r="Y754" s="267"/>
      <c r="Z754" s="267"/>
      <c r="AA754" s="267"/>
      <c r="AB754" s="267"/>
      <c r="AC754" s="267"/>
      <c r="AD754" s="267"/>
      <c r="AE754" s="267"/>
      <c r="AF754" s="267"/>
      <c r="AG754" s="267"/>
      <c r="AH754" s="267"/>
      <c r="AI754" s="267"/>
      <c r="AJ754" s="267"/>
      <c r="AK754" s="267"/>
      <c r="AL754" s="267"/>
      <c r="AM754" s="267"/>
      <c r="AN754" s="267"/>
      <c r="AO754" s="267"/>
      <c r="AP754" s="267"/>
      <c r="AQ754" s="267"/>
      <c r="AR754" s="267"/>
      <c r="AS754" s="267"/>
      <c r="AT754" s="267"/>
      <c r="AU754" s="267"/>
      <c r="AV754" s="267"/>
      <c r="AW754" s="267"/>
      <c r="AX754" s="267"/>
      <c r="AY754" s="267"/>
      <c r="AZ754" s="267"/>
      <c r="BA754" s="267"/>
      <c r="BB754" s="267"/>
      <c r="BC754" s="267"/>
      <c r="BD754" s="267"/>
      <c r="BE754" s="267"/>
      <c r="BF754" s="267"/>
      <c r="BG754" s="267"/>
      <c r="BH754" s="267"/>
      <c r="BI754" s="267"/>
      <c r="BJ754" s="267"/>
      <c r="BK754" s="267"/>
      <c r="BL754" s="267"/>
      <c r="BM754" s="267"/>
      <c r="BN754" s="267"/>
      <c r="BO754" s="267"/>
      <c r="BP754" s="267"/>
      <c r="BQ754" s="267"/>
      <c r="BR754" s="267"/>
      <c r="BS754" s="267"/>
      <c r="BT754" s="267"/>
      <c r="BU754" s="267"/>
      <c r="BV754" s="267"/>
      <c r="BW754" s="267"/>
      <c r="BX754" s="267"/>
      <c r="BY754" s="267"/>
      <c r="BZ754" s="267"/>
      <c r="CA754" s="267"/>
      <c r="CB754" s="267"/>
      <c r="CC754" s="267"/>
      <c r="CD754" s="267"/>
      <c r="CE754" s="267"/>
      <c r="CF754" s="267"/>
      <c r="CG754" s="267"/>
      <c r="CH754" s="267"/>
      <c r="CI754" s="267"/>
      <c r="CJ754" s="267"/>
      <c r="CK754" s="267"/>
      <c r="CL754" s="267"/>
      <c r="CM754" s="267"/>
      <c r="CN754" s="267"/>
      <c r="CO754" s="267"/>
      <c r="CP754" s="267"/>
      <c r="CQ754" s="267"/>
      <c r="CR754" s="267"/>
      <c r="CS754" s="267"/>
      <c r="CT754" s="267"/>
      <c r="CU754" s="267"/>
      <c r="CV754" s="267"/>
      <c r="CW754" s="267"/>
      <c r="CX754" s="267"/>
      <c r="CY754" s="267"/>
      <c r="CZ754" s="267"/>
    </row>
    <row r="755" spans="2:104">
      <c r="B755" s="1235"/>
      <c r="C755" s="1235"/>
      <c r="D755" s="1235"/>
      <c r="E755" s="267"/>
      <c r="F755" s="267"/>
      <c r="G755" s="267"/>
      <c r="H755" s="267"/>
      <c r="I755" s="267"/>
      <c r="J755" s="267"/>
      <c r="K755" s="267"/>
      <c r="L755" s="267"/>
      <c r="M755" s="267"/>
      <c r="N755" s="267"/>
      <c r="O755" s="267"/>
      <c r="P755" s="267"/>
      <c r="Q755" s="267"/>
      <c r="R755" s="267"/>
      <c r="S755" s="267"/>
      <c r="T755" s="267"/>
      <c r="U755" s="267"/>
      <c r="V755" s="267"/>
      <c r="W755" s="267"/>
      <c r="X755" s="267"/>
      <c r="Y755" s="267"/>
      <c r="Z755" s="267"/>
      <c r="AA755" s="267"/>
      <c r="AB755" s="267"/>
      <c r="AC755" s="267"/>
      <c r="AD755" s="267"/>
      <c r="AE755" s="267"/>
      <c r="AF755" s="267"/>
      <c r="AG755" s="267"/>
      <c r="AH755" s="267"/>
      <c r="AI755" s="267"/>
      <c r="AJ755" s="267"/>
      <c r="AK755" s="267"/>
      <c r="AL755" s="267"/>
      <c r="AM755" s="267"/>
      <c r="AN755" s="267"/>
      <c r="AO755" s="267"/>
      <c r="AP755" s="267"/>
      <c r="AQ755" s="267"/>
      <c r="AR755" s="267"/>
      <c r="AS755" s="267"/>
      <c r="AT755" s="267"/>
      <c r="AU755" s="267"/>
      <c r="AV755" s="267"/>
      <c r="AW755" s="267"/>
      <c r="AX755" s="267"/>
      <c r="AY755" s="267"/>
      <c r="AZ755" s="267"/>
      <c r="BA755" s="267"/>
      <c r="BB755" s="267"/>
      <c r="BC755" s="267"/>
      <c r="BD755" s="267"/>
      <c r="BE755" s="267"/>
      <c r="BF755" s="267"/>
      <c r="BG755" s="267"/>
      <c r="BH755" s="267"/>
      <c r="BI755" s="267"/>
      <c r="BJ755" s="267"/>
      <c r="BK755" s="267"/>
      <c r="BL755" s="267"/>
      <c r="BM755" s="267"/>
      <c r="BN755" s="267"/>
      <c r="BO755" s="267"/>
      <c r="BP755" s="267"/>
      <c r="BQ755" s="267"/>
      <c r="BR755" s="267"/>
      <c r="BS755" s="267"/>
      <c r="BT755" s="267"/>
      <c r="BU755" s="267"/>
      <c r="BV755" s="267"/>
      <c r="BW755" s="267"/>
      <c r="BX755" s="267"/>
      <c r="BY755" s="267"/>
      <c r="BZ755" s="267"/>
      <c r="CA755" s="267"/>
      <c r="CB755" s="267"/>
      <c r="CC755" s="267"/>
      <c r="CD755" s="267"/>
      <c r="CE755" s="267"/>
      <c r="CF755" s="267"/>
      <c r="CG755" s="267"/>
      <c r="CH755" s="267"/>
      <c r="CI755" s="267"/>
      <c r="CJ755" s="267"/>
      <c r="CK755" s="267"/>
      <c r="CL755" s="267"/>
      <c r="CM755" s="267"/>
      <c r="CN755" s="267"/>
      <c r="CO755" s="267"/>
      <c r="CP755" s="267"/>
      <c r="CQ755" s="267"/>
      <c r="CR755" s="267"/>
      <c r="CS755" s="267"/>
      <c r="CT755" s="267"/>
      <c r="CU755" s="267"/>
      <c r="CV755" s="267"/>
      <c r="CW755" s="267"/>
      <c r="CX755" s="267"/>
      <c r="CY755" s="267"/>
      <c r="CZ755" s="267"/>
    </row>
    <row r="756" spans="2:104">
      <c r="B756" s="1235"/>
      <c r="C756" s="1235"/>
      <c r="D756" s="1235"/>
      <c r="E756" s="267"/>
      <c r="F756" s="267"/>
      <c r="G756" s="267"/>
      <c r="H756" s="267"/>
      <c r="I756" s="267"/>
      <c r="J756" s="267"/>
      <c r="K756" s="267"/>
      <c r="L756" s="267"/>
      <c r="M756" s="267"/>
      <c r="N756" s="267"/>
      <c r="O756" s="267"/>
      <c r="P756" s="267"/>
      <c r="Q756" s="267"/>
      <c r="R756" s="267"/>
      <c r="S756" s="267"/>
      <c r="T756" s="267"/>
      <c r="U756" s="267"/>
      <c r="V756" s="267"/>
      <c r="W756" s="267"/>
      <c r="X756" s="267"/>
      <c r="Y756" s="267"/>
      <c r="Z756" s="267"/>
      <c r="AA756" s="267"/>
      <c r="AB756" s="267"/>
      <c r="AC756" s="267"/>
      <c r="AD756" s="267"/>
      <c r="AE756" s="267"/>
      <c r="AF756" s="267"/>
      <c r="AG756" s="267"/>
      <c r="AH756" s="267"/>
      <c r="AI756" s="267"/>
      <c r="AJ756" s="267"/>
      <c r="AK756" s="267"/>
      <c r="AL756" s="267"/>
      <c r="AM756" s="267"/>
      <c r="AN756" s="267"/>
      <c r="AO756" s="267"/>
      <c r="AP756" s="267"/>
      <c r="AQ756" s="267"/>
      <c r="AR756" s="267"/>
      <c r="AS756" s="267"/>
      <c r="AT756" s="267"/>
      <c r="AU756" s="267"/>
      <c r="AV756" s="267"/>
      <c r="AW756" s="267"/>
      <c r="AX756" s="267"/>
      <c r="AY756" s="267"/>
      <c r="AZ756" s="267"/>
      <c r="BA756" s="267"/>
      <c r="BB756" s="267"/>
      <c r="BC756" s="267"/>
      <c r="BD756" s="267"/>
      <c r="BE756" s="267"/>
      <c r="BF756" s="267"/>
      <c r="BG756" s="267"/>
      <c r="BH756" s="267"/>
      <c r="BI756" s="267"/>
      <c r="BJ756" s="267"/>
      <c r="BK756" s="267"/>
      <c r="BL756" s="267"/>
      <c r="BM756" s="267"/>
      <c r="BN756" s="267"/>
      <c r="BO756" s="267"/>
      <c r="BP756" s="267"/>
      <c r="BQ756" s="267"/>
      <c r="BR756" s="267"/>
      <c r="BS756" s="267"/>
      <c r="BT756" s="267"/>
      <c r="BU756" s="267"/>
      <c r="BV756" s="267"/>
      <c r="BW756" s="267"/>
      <c r="BX756" s="267"/>
      <c r="BY756" s="267"/>
      <c r="BZ756" s="267"/>
      <c r="CA756" s="267"/>
      <c r="CB756" s="267"/>
      <c r="CC756" s="267"/>
      <c r="CD756" s="267"/>
      <c r="CE756" s="267"/>
      <c r="CF756" s="267"/>
      <c r="CG756" s="267"/>
      <c r="CH756" s="267"/>
      <c r="CI756" s="267"/>
      <c r="CJ756" s="267"/>
      <c r="CK756" s="267"/>
      <c r="CL756" s="267"/>
      <c r="CM756" s="267"/>
      <c r="CN756" s="267"/>
      <c r="CO756" s="267"/>
      <c r="CP756" s="267"/>
      <c r="CQ756" s="267"/>
      <c r="CR756" s="267"/>
      <c r="CS756" s="267"/>
      <c r="CT756" s="267"/>
      <c r="CU756" s="267"/>
      <c r="CV756" s="267"/>
      <c r="CW756" s="267"/>
      <c r="CX756" s="267"/>
      <c r="CY756" s="267"/>
      <c r="CZ756" s="267"/>
    </row>
    <row r="757" spans="2:104">
      <c r="B757" s="1235"/>
      <c r="C757" s="1235"/>
      <c r="D757" s="1235"/>
      <c r="E757" s="267"/>
      <c r="F757" s="267"/>
      <c r="G757" s="267"/>
      <c r="H757" s="267"/>
      <c r="I757" s="267"/>
      <c r="J757" s="267"/>
      <c r="K757" s="267"/>
      <c r="L757" s="267"/>
      <c r="M757" s="267"/>
      <c r="N757" s="267"/>
      <c r="O757" s="267"/>
      <c r="P757" s="267"/>
      <c r="Q757" s="267"/>
      <c r="R757" s="267"/>
      <c r="S757" s="267"/>
      <c r="T757" s="267"/>
      <c r="U757" s="267"/>
      <c r="V757" s="267"/>
      <c r="W757" s="267"/>
      <c r="X757" s="267"/>
      <c r="Y757" s="267"/>
      <c r="Z757" s="267"/>
      <c r="AA757" s="267"/>
      <c r="AB757" s="267"/>
      <c r="AC757" s="267"/>
      <c r="AD757" s="267"/>
      <c r="AE757" s="267"/>
      <c r="AF757" s="267"/>
      <c r="AG757" s="267"/>
      <c r="AH757" s="267"/>
      <c r="AI757" s="267"/>
      <c r="AJ757" s="267"/>
      <c r="AK757" s="267"/>
      <c r="AL757" s="267"/>
      <c r="AM757" s="267"/>
      <c r="AN757" s="267"/>
      <c r="AO757" s="267"/>
      <c r="AP757" s="267"/>
      <c r="AQ757" s="267"/>
      <c r="AR757" s="267"/>
      <c r="AS757" s="267"/>
      <c r="AT757" s="267"/>
      <c r="AU757" s="267"/>
      <c r="AV757" s="267"/>
      <c r="AW757" s="267"/>
      <c r="AX757" s="267"/>
      <c r="AY757" s="267"/>
      <c r="AZ757" s="267"/>
      <c r="BA757" s="267"/>
      <c r="BB757" s="267"/>
      <c r="BC757" s="267"/>
      <c r="BD757" s="267"/>
      <c r="BE757" s="267"/>
      <c r="BF757" s="267"/>
      <c r="BG757" s="267"/>
      <c r="BH757" s="267"/>
      <c r="BI757" s="267"/>
      <c r="BJ757" s="267"/>
      <c r="BK757" s="267"/>
      <c r="BL757" s="267"/>
      <c r="BM757" s="267"/>
      <c r="BN757" s="267"/>
      <c r="BO757" s="267"/>
      <c r="BP757" s="267"/>
      <c r="BQ757" s="267"/>
      <c r="BR757" s="267"/>
      <c r="BS757" s="267"/>
      <c r="BT757" s="267"/>
      <c r="BU757" s="267"/>
      <c r="BV757" s="267"/>
      <c r="BW757" s="267"/>
      <c r="BX757" s="267"/>
      <c r="BY757" s="267"/>
      <c r="BZ757" s="267"/>
      <c r="CA757" s="267"/>
      <c r="CB757" s="267"/>
      <c r="CC757" s="267"/>
      <c r="CD757" s="267"/>
      <c r="CE757" s="267"/>
      <c r="CF757" s="267"/>
      <c r="CG757" s="267"/>
      <c r="CH757" s="267"/>
      <c r="CI757" s="267"/>
      <c r="CJ757" s="267"/>
      <c r="CK757" s="267"/>
      <c r="CL757" s="267"/>
      <c r="CM757" s="267"/>
      <c r="CN757" s="267"/>
      <c r="CO757" s="267"/>
      <c r="CP757" s="267"/>
      <c r="CQ757" s="267"/>
      <c r="CR757" s="267"/>
      <c r="CS757" s="267"/>
      <c r="CT757" s="267"/>
      <c r="CU757" s="267"/>
      <c r="CV757" s="267"/>
      <c r="CW757" s="267"/>
      <c r="CX757" s="267"/>
      <c r="CY757" s="267"/>
      <c r="CZ757" s="267"/>
    </row>
    <row r="758" spans="2:104">
      <c r="B758" s="1235"/>
      <c r="C758" s="1235"/>
      <c r="D758" s="1235"/>
      <c r="E758" s="267"/>
      <c r="F758" s="267"/>
      <c r="G758" s="267"/>
      <c r="H758" s="267"/>
      <c r="I758" s="267"/>
      <c r="J758" s="267"/>
      <c r="K758" s="267"/>
      <c r="L758" s="267"/>
      <c r="M758" s="267"/>
      <c r="N758" s="267"/>
      <c r="O758" s="267"/>
      <c r="P758" s="267"/>
      <c r="Q758" s="267"/>
      <c r="R758" s="267"/>
      <c r="S758" s="267"/>
      <c r="T758" s="267"/>
      <c r="U758" s="267"/>
      <c r="V758" s="267"/>
      <c r="W758" s="267"/>
      <c r="X758" s="267"/>
      <c r="Y758" s="267"/>
      <c r="Z758" s="267"/>
      <c r="AA758" s="267"/>
      <c r="AB758" s="267"/>
      <c r="AC758" s="267"/>
      <c r="AD758" s="267"/>
      <c r="AE758" s="267"/>
      <c r="AF758" s="267"/>
      <c r="AG758" s="267"/>
      <c r="AH758" s="267"/>
      <c r="AI758" s="267"/>
      <c r="AJ758" s="267"/>
      <c r="AK758" s="267"/>
      <c r="AL758" s="267"/>
      <c r="AM758" s="267"/>
      <c r="AN758" s="267"/>
      <c r="AO758" s="267"/>
      <c r="AP758" s="267"/>
      <c r="AQ758" s="267"/>
      <c r="AR758" s="267"/>
      <c r="AS758" s="267"/>
      <c r="AT758" s="267"/>
      <c r="AU758" s="267"/>
      <c r="AV758" s="267"/>
      <c r="AW758" s="267"/>
      <c r="AX758" s="267"/>
      <c r="AY758" s="267"/>
      <c r="AZ758" s="267"/>
      <c r="BA758" s="267"/>
      <c r="BB758" s="267"/>
      <c r="BC758" s="267"/>
      <c r="BD758" s="267"/>
      <c r="BE758" s="267"/>
      <c r="BF758" s="267"/>
      <c r="BG758" s="267"/>
      <c r="BH758" s="267"/>
      <c r="BI758" s="267"/>
      <c r="BJ758" s="267"/>
      <c r="BK758" s="267"/>
      <c r="BL758" s="267"/>
      <c r="BM758" s="267"/>
      <c r="BN758" s="267"/>
      <c r="BO758" s="267"/>
      <c r="BP758" s="267"/>
      <c r="BQ758" s="267"/>
      <c r="BR758" s="267"/>
      <c r="BS758" s="267"/>
      <c r="BT758" s="267"/>
      <c r="BU758" s="267"/>
      <c r="BV758" s="267"/>
      <c r="BW758" s="267"/>
      <c r="BX758" s="267"/>
      <c r="BY758" s="267"/>
      <c r="BZ758" s="267"/>
      <c r="CA758" s="267"/>
      <c r="CB758" s="267"/>
      <c r="CC758" s="267"/>
      <c r="CD758" s="267"/>
      <c r="CE758" s="267"/>
      <c r="CF758" s="267"/>
      <c r="CG758" s="267"/>
      <c r="CH758" s="267"/>
      <c r="CI758" s="267"/>
      <c r="CJ758" s="267"/>
      <c r="CK758" s="267"/>
      <c r="CL758" s="267"/>
      <c r="CM758" s="267"/>
      <c r="CN758" s="267"/>
      <c r="CO758" s="267"/>
      <c r="CP758" s="267"/>
      <c r="CQ758" s="267"/>
      <c r="CR758" s="267"/>
      <c r="CS758" s="267"/>
      <c r="CT758" s="267"/>
      <c r="CU758" s="267"/>
      <c r="CV758" s="267"/>
      <c r="CW758" s="267"/>
      <c r="CX758" s="267"/>
      <c r="CY758" s="267"/>
      <c r="CZ758" s="267"/>
    </row>
    <row r="759" spans="2:104">
      <c r="B759" s="1235"/>
      <c r="C759" s="1235"/>
      <c r="D759" s="1235"/>
      <c r="E759" s="267"/>
      <c r="F759" s="267"/>
      <c r="G759" s="267"/>
      <c r="H759" s="267"/>
      <c r="I759" s="267"/>
      <c r="J759" s="267"/>
      <c r="K759" s="267"/>
      <c r="L759" s="267"/>
      <c r="M759" s="267"/>
      <c r="N759" s="267"/>
      <c r="O759" s="267"/>
      <c r="P759" s="267"/>
      <c r="Q759" s="267"/>
      <c r="R759" s="267"/>
      <c r="S759" s="267"/>
      <c r="T759" s="267"/>
      <c r="U759" s="267"/>
      <c r="V759" s="267"/>
      <c r="W759" s="267"/>
      <c r="X759" s="267"/>
      <c r="Y759" s="267"/>
      <c r="Z759" s="267"/>
      <c r="AA759" s="267"/>
      <c r="AB759" s="267"/>
      <c r="AC759" s="267"/>
      <c r="AD759" s="267"/>
      <c r="AE759" s="267"/>
      <c r="AF759" s="267"/>
      <c r="AG759" s="267"/>
      <c r="AH759" s="267"/>
      <c r="AI759" s="267"/>
      <c r="AJ759" s="267"/>
      <c r="AK759" s="267"/>
      <c r="AL759" s="267"/>
      <c r="AM759" s="267"/>
      <c r="AN759" s="267"/>
      <c r="AO759" s="267"/>
      <c r="AP759" s="267"/>
      <c r="AQ759" s="267"/>
      <c r="AR759" s="267"/>
      <c r="AS759" s="267"/>
      <c r="AT759" s="267"/>
      <c r="AU759" s="267"/>
      <c r="AV759" s="267"/>
      <c r="AW759" s="267"/>
      <c r="AX759" s="267"/>
      <c r="AY759" s="267"/>
      <c r="AZ759" s="267"/>
      <c r="BA759" s="267"/>
      <c r="BB759" s="267"/>
      <c r="BC759" s="267"/>
      <c r="BD759" s="267"/>
      <c r="BE759" s="267"/>
      <c r="BF759" s="267"/>
      <c r="BG759" s="267"/>
      <c r="BH759" s="267"/>
      <c r="BI759" s="267"/>
      <c r="BJ759" s="267"/>
      <c r="BK759" s="267"/>
      <c r="BL759" s="267"/>
      <c r="BM759" s="267"/>
      <c r="BN759" s="267"/>
      <c r="BO759" s="267"/>
      <c r="BP759" s="267"/>
      <c r="BQ759" s="267"/>
      <c r="BR759" s="267"/>
      <c r="BS759" s="267"/>
      <c r="BT759" s="267"/>
      <c r="BU759" s="267"/>
      <c r="BV759" s="267"/>
      <c r="BW759" s="267"/>
      <c r="BX759" s="267"/>
      <c r="BY759" s="267"/>
      <c r="BZ759" s="267"/>
      <c r="CA759" s="267"/>
      <c r="CB759" s="267"/>
      <c r="CC759" s="267"/>
      <c r="CD759" s="267"/>
      <c r="CE759" s="267"/>
      <c r="CF759" s="267"/>
      <c r="CG759" s="267"/>
      <c r="CH759" s="267"/>
      <c r="CI759" s="267"/>
      <c r="CJ759" s="267"/>
      <c r="CK759" s="267"/>
      <c r="CL759" s="267"/>
      <c r="CM759" s="267"/>
      <c r="CN759" s="267"/>
      <c r="CO759" s="267"/>
      <c r="CP759" s="267"/>
      <c r="CQ759" s="267"/>
      <c r="CR759" s="267"/>
      <c r="CS759" s="267"/>
      <c r="CT759" s="267"/>
      <c r="CU759" s="267"/>
      <c r="CV759" s="267"/>
      <c r="CW759" s="267"/>
      <c r="CX759" s="267"/>
      <c r="CY759" s="267"/>
      <c r="CZ759" s="267"/>
    </row>
    <row r="760" spans="2:104">
      <c r="B760" s="1235"/>
      <c r="C760" s="1235"/>
      <c r="D760" s="1235"/>
      <c r="E760" s="267"/>
      <c r="F760" s="267"/>
      <c r="G760" s="267"/>
      <c r="H760" s="267"/>
      <c r="I760" s="267"/>
      <c r="J760" s="267"/>
      <c r="K760" s="267"/>
      <c r="L760" s="267"/>
      <c r="M760" s="267"/>
      <c r="N760" s="267"/>
      <c r="O760" s="267"/>
      <c r="P760" s="267"/>
      <c r="Q760" s="267"/>
      <c r="R760" s="267"/>
      <c r="S760" s="267"/>
      <c r="T760" s="267"/>
      <c r="U760" s="267"/>
      <c r="V760" s="267"/>
      <c r="W760" s="267"/>
      <c r="X760" s="267"/>
      <c r="Y760" s="267"/>
      <c r="Z760" s="267"/>
      <c r="AA760" s="267"/>
      <c r="AB760" s="267"/>
      <c r="AC760" s="267"/>
      <c r="AD760" s="267"/>
      <c r="AE760" s="267"/>
      <c r="AF760" s="267"/>
      <c r="AG760" s="267"/>
      <c r="AH760" s="267"/>
      <c r="AI760" s="267"/>
      <c r="AJ760" s="267"/>
      <c r="AK760" s="267"/>
      <c r="AL760" s="267"/>
      <c r="AM760" s="267"/>
      <c r="AN760" s="267"/>
      <c r="AO760" s="267"/>
      <c r="AP760" s="267"/>
      <c r="AQ760" s="267"/>
      <c r="AR760" s="267"/>
      <c r="AS760" s="267"/>
      <c r="AT760" s="267"/>
      <c r="AU760" s="267"/>
      <c r="AV760" s="267"/>
      <c r="AW760" s="267"/>
      <c r="AX760" s="267"/>
      <c r="AY760" s="267"/>
      <c r="AZ760" s="267"/>
      <c r="BA760" s="267"/>
      <c r="BB760" s="267"/>
      <c r="BC760" s="267"/>
      <c r="BD760" s="267"/>
      <c r="BE760" s="267"/>
      <c r="BF760" s="267"/>
      <c r="BG760" s="267"/>
      <c r="BH760" s="267"/>
      <c r="BI760" s="267"/>
      <c r="BJ760" s="267"/>
      <c r="BK760" s="267"/>
      <c r="BL760" s="267"/>
      <c r="BM760" s="267"/>
      <c r="BN760" s="267"/>
      <c r="BO760" s="267"/>
      <c r="BP760" s="267"/>
      <c r="BQ760" s="267"/>
      <c r="BR760" s="267"/>
      <c r="BS760" s="267"/>
      <c r="BT760" s="267"/>
      <c r="BU760" s="267"/>
      <c r="BV760" s="267"/>
      <c r="BW760" s="267"/>
      <c r="BX760" s="267"/>
      <c r="BY760" s="267"/>
      <c r="BZ760" s="267"/>
      <c r="CA760" s="267"/>
      <c r="CB760" s="267"/>
      <c r="CC760" s="267"/>
      <c r="CD760" s="267"/>
      <c r="CE760" s="267"/>
      <c r="CF760" s="267"/>
      <c r="CG760" s="267"/>
      <c r="CH760" s="267"/>
      <c r="CI760" s="267"/>
      <c r="CJ760" s="267"/>
      <c r="CK760" s="267"/>
      <c r="CL760" s="267"/>
      <c r="CM760" s="267"/>
      <c r="CN760" s="267"/>
      <c r="CO760" s="267"/>
      <c r="CP760" s="267"/>
      <c r="CQ760" s="267"/>
      <c r="CR760" s="267"/>
      <c r="CS760" s="267"/>
      <c r="CT760" s="267"/>
      <c r="CU760" s="267"/>
      <c r="CV760" s="267"/>
      <c r="CW760" s="267"/>
      <c r="CX760" s="267"/>
      <c r="CY760" s="267"/>
      <c r="CZ760" s="267"/>
    </row>
    <row r="761" spans="2:104">
      <c r="B761" s="1235"/>
      <c r="C761" s="1235"/>
      <c r="D761" s="1235"/>
      <c r="E761" s="267"/>
      <c r="F761" s="267"/>
      <c r="G761" s="267"/>
      <c r="H761" s="267"/>
      <c r="I761" s="267"/>
      <c r="J761" s="267"/>
      <c r="K761" s="267"/>
      <c r="L761" s="267"/>
      <c r="M761" s="267"/>
      <c r="N761" s="267"/>
      <c r="O761" s="267"/>
      <c r="P761" s="267"/>
      <c r="Q761" s="267"/>
      <c r="R761" s="267"/>
      <c r="S761" s="267"/>
      <c r="T761" s="267"/>
      <c r="U761" s="267"/>
      <c r="V761" s="267"/>
      <c r="W761" s="267"/>
      <c r="X761" s="267"/>
      <c r="Y761" s="267"/>
      <c r="Z761" s="267"/>
      <c r="AA761" s="267"/>
      <c r="AB761" s="267"/>
      <c r="AC761" s="267"/>
      <c r="AD761" s="267"/>
      <c r="AE761" s="267"/>
      <c r="AF761" s="267"/>
      <c r="AG761" s="267"/>
      <c r="AH761" s="267"/>
      <c r="AI761" s="267"/>
      <c r="AJ761" s="267"/>
      <c r="AK761" s="267"/>
      <c r="AL761" s="267"/>
      <c r="AM761" s="267"/>
      <c r="AN761" s="267"/>
      <c r="AO761" s="267"/>
      <c r="AP761" s="267"/>
      <c r="AQ761" s="267"/>
      <c r="AR761" s="267"/>
      <c r="AS761" s="267"/>
      <c r="AT761" s="267"/>
      <c r="AU761" s="267"/>
      <c r="AV761" s="267"/>
      <c r="AW761" s="267"/>
      <c r="AX761" s="267"/>
      <c r="AY761" s="267"/>
      <c r="AZ761" s="267"/>
      <c r="BA761" s="267"/>
      <c r="BB761" s="267"/>
      <c r="BC761" s="267"/>
      <c r="BD761" s="267"/>
      <c r="BE761" s="267"/>
      <c r="BF761" s="267"/>
      <c r="BG761" s="267"/>
      <c r="BH761" s="267"/>
      <c r="BI761" s="267"/>
      <c r="BJ761" s="267"/>
      <c r="BK761" s="267"/>
      <c r="BL761" s="267"/>
      <c r="BM761" s="267"/>
      <c r="BN761" s="267"/>
      <c r="BO761" s="267"/>
      <c r="BP761" s="267"/>
      <c r="BQ761" s="267"/>
      <c r="BR761" s="267"/>
      <c r="BS761" s="267"/>
      <c r="BT761" s="267"/>
      <c r="BU761" s="267"/>
      <c r="BV761" s="267"/>
      <c r="BW761" s="267"/>
      <c r="BX761" s="267"/>
      <c r="BY761" s="267"/>
      <c r="BZ761" s="267"/>
      <c r="CA761" s="267"/>
      <c r="CB761" s="267"/>
      <c r="CC761" s="267"/>
      <c r="CD761" s="267"/>
      <c r="CE761" s="267"/>
      <c r="CF761" s="267"/>
      <c r="CG761" s="267"/>
      <c r="CH761" s="267"/>
      <c r="CI761" s="267"/>
      <c r="CJ761" s="267"/>
      <c r="CK761" s="267"/>
      <c r="CL761" s="267"/>
      <c r="CM761" s="267"/>
      <c r="CN761" s="267"/>
      <c r="CO761" s="267"/>
      <c r="CP761" s="267"/>
      <c r="CQ761" s="267"/>
      <c r="CR761" s="267"/>
      <c r="CS761" s="267"/>
      <c r="CT761" s="267"/>
      <c r="CU761" s="267"/>
      <c r="CV761" s="267"/>
      <c r="CW761" s="267"/>
      <c r="CX761" s="267"/>
      <c r="CY761" s="267"/>
      <c r="CZ761" s="267"/>
    </row>
    <row r="762" spans="2:104">
      <c r="B762" s="1235"/>
      <c r="C762" s="1235"/>
      <c r="D762" s="1235"/>
      <c r="E762" s="267"/>
      <c r="F762" s="267"/>
      <c r="G762" s="267"/>
      <c r="H762" s="267"/>
      <c r="I762" s="267"/>
      <c r="J762" s="267"/>
      <c r="K762" s="267"/>
      <c r="L762" s="267"/>
      <c r="M762" s="267"/>
      <c r="N762" s="267"/>
      <c r="O762" s="267"/>
      <c r="P762" s="267"/>
      <c r="Q762" s="267"/>
      <c r="R762" s="267"/>
      <c r="S762" s="267"/>
      <c r="T762" s="267"/>
      <c r="U762" s="267"/>
      <c r="V762" s="267"/>
      <c r="W762" s="267"/>
      <c r="X762" s="267"/>
      <c r="Y762" s="267"/>
      <c r="Z762" s="267"/>
      <c r="AA762" s="267"/>
      <c r="AB762" s="267"/>
      <c r="AC762" s="267"/>
      <c r="AD762" s="267"/>
      <c r="AE762" s="267"/>
      <c r="AF762" s="267"/>
      <c r="AG762" s="267"/>
      <c r="AH762" s="267"/>
      <c r="AI762" s="267"/>
      <c r="AJ762" s="267"/>
      <c r="AK762" s="267"/>
      <c r="AL762" s="267"/>
      <c r="AM762" s="267"/>
      <c r="AN762" s="267"/>
      <c r="AO762" s="267"/>
      <c r="AP762" s="267"/>
      <c r="AQ762" s="267"/>
      <c r="AR762" s="267"/>
      <c r="AS762" s="267"/>
      <c r="AT762" s="267"/>
      <c r="AU762" s="267"/>
      <c r="AV762" s="267"/>
      <c r="AW762" s="267"/>
      <c r="AX762" s="267"/>
      <c r="AY762" s="267"/>
      <c r="AZ762" s="267"/>
      <c r="BA762" s="267"/>
      <c r="BB762" s="267"/>
      <c r="BC762" s="267"/>
      <c r="BD762" s="267"/>
      <c r="BE762" s="267"/>
      <c r="BF762" s="267"/>
      <c r="BG762" s="267"/>
      <c r="BH762" s="267"/>
      <c r="BI762" s="267"/>
      <c r="BJ762" s="267"/>
      <c r="BK762" s="267"/>
      <c r="BL762" s="267"/>
      <c r="BM762" s="267"/>
      <c r="BN762" s="267"/>
      <c r="BO762" s="267"/>
      <c r="BP762" s="267"/>
      <c r="BQ762" s="267"/>
      <c r="BR762" s="267"/>
      <c r="BS762" s="267"/>
      <c r="BT762" s="267"/>
      <c r="BU762" s="267"/>
      <c r="BV762" s="267"/>
      <c r="BW762" s="267"/>
      <c r="BX762" s="267"/>
      <c r="BY762" s="267"/>
      <c r="BZ762" s="267"/>
      <c r="CA762" s="267"/>
      <c r="CB762" s="267"/>
      <c r="CC762" s="267"/>
      <c r="CD762" s="267"/>
      <c r="CE762" s="267"/>
      <c r="CF762" s="267"/>
      <c r="CG762" s="267"/>
      <c r="CH762" s="267"/>
      <c r="CI762" s="267"/>
      <c r="CJ762" s="267"/>
      <c r="CK762" s="267"/>
      <c r="CL762" s="267"/>
      <c r="CM762" s="267"/>
      <c r="CN762" s="267"/>
      <c r="CO762" s="267"/>
      <c r="CP762" s="267"/>
      <c r="CQ762" s="267"/>
      <c r="CR762" s="267"/>
      <c r="CS762" s="267"/>
      <c r="CT762" s="267"/>
      <c r="CU762" s="267"/>
      <c r="CV762" s="267"/>
      <c r="CW762" s="267"/>
      <c r="CX762" s="267"/>
      <c r="CY762" s="267"/>
      <c r="CZ762" s="267"/>
    </row>
    <row r="763" spans="2:104">
      <c r="B763" s="1235"/>
      <c r="C763" s="1235"/>
      <c r="D763" s="1235"/>
      <c r="E763" s="267"/>
      <c r="F763" s="267"/>
      <c r="G763" s="267"/>
      <c r="H763" s="267"/>
      <c r="I763" s="267"/>
      <c r="J763" s="267"/>
      <c r="K763" s="267"/>
      <c r="L763" s="267"/>
      <c r="M763" s="267"/>
      <c r="N763" s="267"/>
      <c r="O763" s="267"/>
      <c r="P763" s="267"/>
      <c r="Q763" s="267"/>
      <c r="R763" s="267"/>
      <c r="S763" s="267"/>
      <c r="T763" s="267"/>
      <c r="U763" s="267"/>
      <c r="V763" s="267"/>
      <c r="W763" s="267"/>
      <c r="X763" s="267"/>
      <c r="Y763" s="267"/>
      <c r="Z763" s="267"/>
      <c r="AA763" s="267"/>
      <c r="AB763" s="267"/>
      <c r="AC763" s="267"/>
      <c r="AD763" s="267"/>
      <c r="AE763" s="267"/>
      <c r="AF763" s="267"/>
      <c r="AG763" s="267"/>
      <c r="AH763" s="267"/>
      <c r="AI763" s="267"/>
      <c r="AJ763" s="267"/>
      <c r="AK763" s="267"/>
      <c r="AL763" s="267"/>
      <c r="AM763" s="267"/>
      <c r="AN763" s="267"/>
      <c r="AO763" s="267"/>
      <c r="AP763" s="267"/>
      <c r="AQ763" s="267"/>
      <c r="AR763" s="267"/>
      <c r="AS763" s="267"/>
      <c r="AT763" s="267"/>
      <c r="AU763" s="267"/>
      <c r="AV763" s="267"/>
      <c r="AW763" s="267"/>
      <c r="AX763" s="267"/>
      <c r="AY763" s="267"/>
      <c r="AZ763" s="267"/>
      <c r="BA763" s="267"/>
      <c r="BB763" s="267"/>
      <c r="BC763" s="267"/>
      <c r="BD763" s="267"/>
      <c r="BE763" s="267"/>
      <c r="BF763" s="267"/>
      <c r="BG763" s="267"/>
      <c r="BH763" s="267"/>
      <c r="BI763" s="267"/>
      <c r="BJ763" s="267"/>
      <c r="BK763" s="267"/>
      <c r="BL763" s="267"/>
      <c r="BM763" s="267"/>
      <c r="BN763" s="267"/>
      <c r="BO763" s="267"/>
      <c r="BP763" s="267"/>
      <c r="BQ763" s="267"/>
      <c r="BR763" s="267"/>
      <c r="BS763" s="267"/>
      <c r="BT763" s="267"/>
      <c r="BU763" s="267"/>
      <c r="BV763" s="267"/>
      <c r="BW763" s="267"/>
      <c r="BX763" s="267"/>
      <c r="BY763" s="267"/>
      <c r="BZ763" s="267"/>
      <c r="CA763" s="267"/>
      <c r="CB763" s="267"/>
      <c r="CC763" s="267"/>
      <c r="CD763" s="267"/>
      <c r="CE763" s="267"/>
      <c r="CF763" s="267"/>
      <c r="CG763" s="267"/>
      <c r="CH763" s="267"/>
      <c r="CI763" s="267"/>
      <c r="CJ763" s="267"/>
      <c r="CK763" s="267"/>
      <c r="CL763" s="267"/>
      <c r="CM763" s="267"/>
      <c r="CN763" s="267"/>
      <c r="CO763" s="267"/>
      <c r="CP763" s="267"/>
      <c r="CQ763" s="267"/>
      <c r="CR763" s="267"/>
      <c r="CS763" s="267"/>
      <c r="CT763" s="267"/>
      <c r="CU763" s="267"/>
      <c r="CV763" s="267"/>
      <c r="CW763" s="267"/>
      <c r="CX763" s="267"/>
      <c r="CY763" s="267"/>
      <c r="CZ763" s="267"/>
    </row>
    <row r="764" spans="2:104">
      <c r="B764" s="1235"/>
      <c r="C764" s="1235"/>
      <c r="D764" s="1235"/>
      <c r="E764" s="267"/>
      <c r="F764" s="267"/>
      <c r="G764" s="267"/>
      <c r="H764" s="267"/>
      <c r="I764" s="267"/>
      <c r="J764" s="267"/>
      <c r="K764" s="267"/>
      <c r="L764" s="267"/>
      <c r="M764" s="267"/>
      <c r="N764" s="267"/>
      <c r="O764" s="267"/>
      <c r="P764" s="267"/>
      <c r="Q764" s="267"/>
      <c r="R764" s="267"/>
      <c r="S764" s="267"/>
      <c r="T764" s="267"/>
      <c r="U764" s="267"/>
      <c r="V764" s="267"/>
      <c r="W764" s="267"/>
      <c r="X764" s="267"/>
      <c r="Y764" s="267"/>
      <c r="Z764" s="267"/>
      <c r="AA764" s="267"/>
      <c r="AB764" s="267"/>
      <c r="AC764" s="267"/>
      <c r="AD764" s="267"/>
      <c r="AE764" s="267"/>
      <c r="AF764" s="267"/>
      <c r="AG764" s="267"/>
      <c r="AH764" s="267"/>
      <c r="AI764" s="267"/>
      <c r="AJ764" s="267"/>
      <c r="AK764" s="267"/>
      <c r="AL764" s="267"/>
      <c r="AM764" s="267"/>
      <c r="AN764" s="267"/>
      <c r="AO764" s="267"/>
      <c r="AP764" s="267"/>
      <c r="AQ764" s="267"/>
      <c r="AR764" s="267"/>
      <c r="AS764" s="267"/>
      <c r="AT764" s="267"/>
      <c r="AU764" s="267"/>
      <c r="AV764" s="267"/>
      <c r="AW764" s="267"/>
      <c r="AX764" s="267"/>
      <c r="AY764" s="267"/>
      <c r="AZ764" s="267"/>
      <c r="BA764" s="267"/>
      <c r="BB764" s="267"/>
      <c r="BC764" s="267"/>
      <c r="BD764" s="267"/>
      <c r="BE764" s="267"/>
      <c r="BF764" s="267"/>
      <c r="BG764" s="267"/>
      <c r="BH764" s="267"/>
      <c r="BI764" s="267"/>
      <c r="BJ764" s="267"/>
      <c r="BK764" s="267"/>
      <c r="BL764" s="267"/>
      <c r="BM764" s="267"/>
      <c r="BN764" s="267"/>
      <c r="BO764" s="267"/>
      <c r="BP764" s="267"/>
      <c r="BQ764" s="267"/>
      <c r="BR764" s="267"/>
      <c r="BS764" s="267"/>
      <c r="BT764" s="267"/>
      <c r="BU764" s="267"/>
      <c r="BV764" s="267"/>
      <c r="BW764" s="267"/>
      <c r="BX764" s="267"/>
      <c r="BY764" s="267"/>
      <c r="BZ764" s="267"/>
      <c r="CA764" s="267"/>
      <c r="CB764" s="267"/>
      <c r="CC764" s="267"/>
      <c r="CD764" s="267"/>
      <c r="CE764" s="267"/>
      <c r="CF764" s="267"/>
      <c r="CG764" s="267"/>
      <c r="CH764" s="267"/>
      <c r="CI764" s="267"/>
      <c r="CJ764" s="267"/>
      <c r="CK764" s="267"/>
      <c r="CL764" s="267"/>
      <c r="CM764" s="267"/>
      <c r="CN764" s="267"/>
      <c r="CO764" s="267"/>
      <c r="CP764" s="267"/>
      <c r="CQ764" s="267"/>
      <c r="CR764" s="267"/>
      <c r="CS764" s="267"/>
      <c r="CT764" s="267"/>
      <c r="CU764" s="267"/>
      <c r="CV764" s="267"/>
      <c r="CW764" s="267"/>
      <c r="CX764" s="267"/>
      <c r="CY764" s="267"/>
      <c r="CZ764" s="267"/>
    </row>
    <row r="765" spans="2:104">
      <c r="B765" s="1235"/>
      <c r="C765" s="1235"/>
      <c r="D765" s="1235"/>
      <c r="E765" s="267"/>
      <c r="F765" s="267"/>
      <c r="G765" s="267"/>
      <c r="H765" s="267"/>
      <c r="I765" s="267"/>
      <c r="J765" s="267"/>
      <c r="K765" s="267"/>
      <c r="L765" s="267"/>
      <c r="M765" s="267"/>
      <c r="N765" s="267"/>
      <c r="O765" s="267"/>
      <c r="P765" s="267"/>
      <c r="Q765" s="267"/>
      <c r="R765" s="267"/>
      <c r="S765" s="267"/>
      <c r="T765" s="267"/>
      <c r="U765" s="267"/>
      <c r="V765" s="267"/>
      <c r="W765" s="267"/>
      <c r="X765" s="267"/>
      <c r="Y765" s="267"/>
      <c r="Z765" s="267"/>
      <c r="AA765" s="267"/>
      <c r="AB765" s="267"/>
      <c r="AC765" s="267"/>
      <c r="AD765" s="267"/>
      <c r="AE765" s="267"/>
      <c r="AF765" s="267"/>
      <c r="AG765" s="267"/>
      <c r="AH765" s="267"/>
      <c r="AI765" s="267"/>
      <c r="AJ765" s="267"/>
      <c r="AK765" s="267"/>
      <c r="AL765" s="267"/>
      <c r="AM765" s="267"/>
      <c r="AN765" s="267"/>
      <c r="AO765" s="267"/>
      <c r="AP765" s="267"/>
      <c r="AQ765" s="267"/>
      <c r="AR765" s="267"/>
      <c r="AS765" s="267"/>
      <c r="AT765" s="267"/>
      <c r="AU765" s="267"/>
      <c r="AV765" s="267"/>
      <c r="AW765" s="267"/>
      <c r="AX765" s="267"/>
      <c r="AY765" s="267"/>
      <c r="AZ765" s="267"/>
      <c r="BA765" s="267"/>
      <c r="BB765" s="267"/>
      <c r="BC765" s="267"/>
      <c r="BD765" s="267"/>
      <c r="BE765" s="267"/>
      <c r="BF765" s="267"/>
      <c r="BG765" s="267"/>
      <c r="BH765" s="267"/>
      <c r="BI765" s="267"/>
      <c r="BJ765" s="267"/>
      <c r="BK765" s="267"/>
      <c r="BL765" s="267"/>
      <c r="BM765" s="267"/>
      <c r="BN765" s="267"/>
      <c r="BO765" s="267"/>
      <c r="BP765" s="267"/>
      <c r="BQ765" s="267"/>
      <c r="BR765" s="267"/>
      <c r="BS765" s="267"/>
      <c r="BT765" s="267"/>
      <c r="BU765" s="267"/>
      <c r="BV765" s="267"/>
      <c r="BW765" s="267"/>
      <c r="BX765" s="267"/>
      <c r="BY765" s="267"/>
      <c r="BZ765" s="267"/>
      <c r="CA765" s="267"/>
      <c r="CB765" s="267"/>
      <c r="CC765" s="267"/>
      <c r="CD765" s="267"/>
      <c r="CE765" s="267"/>
      <c r="CF765" s="267"/>
      <c r="CG765" s="267"/>
      <c r="CH765" s="267"/>
      <c r="CI765" s="267"/>
      <c r="CJ765" s="267"/>
      <c r="CK765" s="267"/>
      <c r="CL765" s="267"/>
      <c r="CM765" s="267"/>
      <c r="CN765" s="267"/>
      <c r="CO765" s="267"/>
      <c r="CP765" s="267"/>
      <c r="CQ765" s="267"/>
      <c r="CR765" s="267"/>
      <c r="CS765" s="267"/>
      <c r="CT765" s="267"/>
      <c r="CU765" s="267"/>
      <c r="CV765" s="267"/>
      <c r="CW765" s="267"/>
      <c r="CX765" s="267"/>
      <c r="CY765" s="267"/>
      <c r="CZ765" s="267"/>
    </row>
    <row r="766" spans="2:104">
      <c r="B766" s="1235"/>
      <c r="C766" s="1235"/>
      <c r="D766" s="1235"/>
      <c r="E766" s="267"/>
      <c r="F766" s="267"/>
      <c r="G766" s="267"/>
      <c r="H766" s="267"/>
      <c r="I766" s="267"/>
      <c r="J766" s="267"/>
      <c r="K766" s="267"/>
      <c r="L766" s="267"/>
      <c r="M766" s="267"/>
      <c r="N766" s="267"/>
      <c r="O766" s="267"/>
      <c r="P766" s="267"/>
      <c r="Q766" s="267"/>
      <c r="R766" s="267"/>
      <c r="S766" s="267"/>
      <c r="T766" s="267"/>
      <c r="U766" s="267"/>
      <c r="V766" s="267"/>
      <c r="W766" s="267"/>
      <c r="X766" s="267"/>
      <c r="Y766" s="267"/>
      <c r="Z766" s="267"/>
      <c r="AA766" s="267"/>
      <c r="AB766" s="267"/>
      <c r="AC766" s="267"/>
      <c r="AD766" s="267"/>
      <c r="AE766" s="267"/>
      <c r="AF766" s="267"/>
      <c r="AG766" s="267"/>
      <c r="AH766" s="267"/>
      <c r="AI766" s="267"/>
      <c r="AJ766" s="267"/>
      <c r="AK766" s="267"/>
      <c r="AL766" s="267"/>
      <c r="AM766" s="267"/>
      <c r="AN766" s="267"/>
      <c r="AO766" s="267"/>
      <c r="AP766" s="267"/>
      <c r="AQ766" s="267"/>
      <c r="AR766" s="267"/>
      <c r="AS766" s="267"/>
      <c r="AT766" s="267"/>
      <c r="AU766" s="267"/>
      <c r="AV766" s="267"/>
      <c r="AW766" s="267"/>
      <c r="AX766" s="267"/>
      <c r="AY766" s="267"/>
      <c r="AZ766" s="267"/>
      <c r="BA766" s="267"/>
      <c r="BB766" s="267"/>
      <c r="BC766" s="267"/>
      <c r="BD766" s="267"/>
      <c r="BE766" s="267"/>
      <c r="BF766" s="267"/>
      <c r="BG766" s="267"/>
      <c r="BH766" s="267"/>
      <c r="BI766" s="267"/>
      <c r="BJ766" s="267"/>
      <c r="BK766" s="267"/>
      <c r="BL766" s="267"/>
      <c r="BM766" s="267"/>
      <c r="BN766" s="267"/>
      <c r="BO766" s="267"/>
      <c r="BP766" s="267"/>
      <c r="BQ766" s="267"/>
      <c r="BR766" s="267"/>
      <c r="BS766" s="267"/>
      <c r="BT766" s="267"/>
      <c r="BU766" s="267"/>
      <c r="BV766" s="267"/>
      <c r="BW766" s="267"/>
      <c r="BX766" s="267"/>
      <c r="BY766" s="267"/>
      <c r="BZ766" s="267"/>
      <c r="CA766" s="267"/>
      <c r="CB766" s="267"/>
      <c r="CC766" s="267"/>
      <c r="CD766" s="267"/>
      <c r="CE766" s="267"/>
      <c r="CF766" s="267"/>
      <c r="CG766" s="267"/>
      <c r="CH766" s="267"/>
      <c r="CI766" s="267"/>
      <c r="CJ766" s="267"/>
      <c r="CK766" s="267"/>
      <c r="CL766" s="267"/>
      <c r="CM766" s="267"/>
      <c r="CN766" s="267"/>
      <c r="CO766" s="267"/>
      <c r="CP766" s="267"/>
      <c r="CQ766" s="267"/>
      <c r="CR766" s="267"/>
      <c r="CS766" s="267"/>
      <c r="CT766" s="267"/>
      <c r="CU766" s="267"/>
      <c r="CV766" s="267"/>
      <c r="CW766" s="267"/>
      <c r="CX766" s="267"/>
      <c r="CY766" s="267"/>
      <c r="CZ766" s="267"/>
    </row>
    <row r="767" spans="2:104">
      <c r="B767" s="1235"/>
      <c r="C767" s="1235"/>
      <c r="D767" s="1235"/>
      <c r="E767" s="267"/>
      <c r="F767" s="267"/>
      <c r="G767" s="267"/>
      <c r="H767" s="267"/>
      <c r="I767" s="267"/>
      <c r="J767" s="267"/>
      <c r="K767" s="267"/>
      <c r="L767" s="267"/>
      <c r="M767" s="267"/>
      <c r="N767" s="267"/>
      <c r="O767" s="267"/>
      <c r="P767" s="267"/>
      <c r="Q767" s="267"/>
      <c r="R767" s="267"/>
      <c r="S767" s="267"/>
      <c r="T767" s="267"/>
      <c r="U767" s="267"/>
      <c r="V767" s="267"/>
      <c r="W767" s="267"/>
      <c r="X767" s="267"/>
      <c r="Y767" s="267"/>
      <c r="Z767" s="267"/>
      <c r="AA767" s="267"/>
      <c r="AB767" s="267"/>
      <c r="AC767" s="267"/>
      <c r="AD767" s="267"/>
      <c r="AE767" s="267"/>
      <c r="AF767" s="267"/>
      <c r="AG767" s="267"/>
      <c r="AH767" s="267"/>
      <c r="AI767" s="267"/>
      <c r="AJ767" s="267"/>
      <c r="AK767" s="267"/>
      <c r="AL767" s="267"/>
      <c r="AM767" s="267"/>
      <c r="AN767" s="267"/>
      <c r="AO767" s="267"/>
      <c r="AP767" s="267"/>
      <c r="AQ767" s="267"/>
      <c r="AR767" s="267"/>
      <c r="AS767" s="267"/>
      <c r="AT767" s="267"/>
      <c r="AU767" s="267"/>
      <c r="AV767" s="267"/>
      <c r="AW767" s="267"/>
      <c r="AX767" s="267"/>
      <c r="AY767" s="267"/>
      <c r="AZ767" s="267"/>
      <c r="BA767" s="267"/>
      <c r="BB767" s="267"/>
      <c r="BC767" s="267"/>
      <c r="BD767" s="267"/>
      <c r="BE767" s="267"/>
      <c r="BF767" s="267"/>
      <c r="BG767" s="267"/>
      <c r="BH767" s="267"/>
      <c r="BI767" s="267"/>
      <c r="BJ767" s="267"/>
      <c r="BK767" s="267"/>
      <c r="BL767" s="267"/>
      <c r="BM767" s="267"/>
      <c r="BN767" s="267"/>
      <c r="BO767" s="267"/>
      <c r="BP767" s="267"/>
      <c r="BQ767" s="267"/>
      <c r="BR767" s="267"/>
      <c r="BS767" s="267"/>
      <c r="BT767" s="267"/>
      <c r="BU767" s="267"/>
      <c r="BV767" s="267"/>
      <c r="BW767" s="267"/>
      <c r="BX767" s="267"/>
      <c r="BY767" s="267"/>
      <c r="BZ767" s="267"/>
      <c r="CA767" s="267"/>
      <c r="CB767" s="267"/>
      <c r="CC767" s="267"/>
      <c r="CD767" s="267"/>
      <c r="CE767" s="267"/>
      <c r="CF767" s="267"/>
      <c r="CG767" s="267"/>
      <c r="CH767" s="267"/>
      <c r="CI767" s="267"/>
      <c r="CJ767" s="267"/>
      <c r="CK767" s="267"/>
      <c r="CL767" s="267"/>
      <c r="CM767" s="267"/>
      <c r="CN767" s="267"/>
      <c r="CO767" s="267"/>
      <c r="CP767" s="267"/>
      <c r="CQ767" s="267"/>
      <c r="CR767" s="267"/>
      <c r="CS767" s="267"/>
      <c r="CT767" s="267"/>
      <c r="CU767" s="267"/>
      <c r="CV767" s="267"/>
      <c r="CW767" s="267"/>
      <c r="CX767" s="267"/>
      <c r="CY767" s="267"/>
      <c r="CZ767" s="267"/>
    </row>
    <row r="768" spans="2:104">
      <c r="B768" s="1235"/>
      <c r="C768" s="1235"/>
      <c r="D768" s="1235"/>
      <c r="E768" s="267"/>
      <c r="F768" s="267"/>
      <c r="G768" s="267"/>
      <c r="H768" s="267"/>
      <c r="I768" s="267"/>
      <c r="J768" s="267"/>
      <c r="K768" s="267"/>
      <c r="L768" s="267"/>
      <c r="M768" s="267"/>
      <c r="N768" s="267"/>
      <c r="O768" s="267"/>
      <c r="P768" s="267"/>
      <c r="Q768" s="267"/>
      <c r="R768" s="267"/>
      <c r="S768" s="267"/>
      <c r="T768" s="267"/>
      <c r="U768" s="267"/>
      <c r="V768" s="267"/>
      <c r="W768" s="267"/>
      <c r="X768" s="267"/>
      <c r="Y768" s="267"/>
      <c r="Z768" s="267"/>
      <c r="AA768" s="267"/>
      <c r="AB768" s="267"/>
      <c r="AC768" s="267"/>
      <c r="AD768" s="267"/>
      <c r="AE768" s="267"/>
      <c r="AF768" s="267"/>
      <c r="AG768" s="267"/>
      <c r="AH768" s="267"/>
      <c r="AI768" s="267"/>
      <c r="AJ768" s="267"/>
      <c r="AK768" s="267"/>
      <c r="AL768" s="267"/>
      <c r="AM768" s="267"/>
      <c r="AN768" s="267"/>
      <c r="AO768" s="267"/>
      <c r="AP768" s="267"/>
      <c r="AQ768" s="267"/>
      <c r="AR768" s="267"/>
      <c r="AS768" s="267"/>
      <c r="AT768" s="267"/>
      <c r="AU768" s="267"/>
      <c r="AV768" s="267"/>
      <c r="AW768" s="267"/>
      <c r="AX768" s="267"/>
      <c r="AY768" s="267"/>
      <c r="AZ768" s="267"/>
      <c r="BA768" s="267"/>
      <c r="BB768" s="267"/>
      <c r="BC768" s="267"/>
      <c r="BD768" s="267"/>
      <c r="BE768" s="267"/>
      <c r="BF768" s="267"/>
      <c r="BG768" s="267"/>
      <c r="BH768" s="267"/>
      <c r="BI768" s="267"/>
      <c r="BJ768" s="267"/>
      <c r="BK768" s="267"/>
      <c r="BL768" s="267"/>
      <c r="BM768" s="267"/>
      <c r="BN768" s="267"/>
      <c r="BO768" s="267"/>
      <c r="BP768" s="267"/>
      <c r="BQ768" s="267"/>
      <c r="BR768" s="267"/>
      <c r="BS768" s="267"/>
      <c r="BT768" s="267"/>
      <c r="BU768" s="267"/>
      <c r="BV768" s="267"/>
      <c r="BW768" s="267"/>
      <c r="BX768" s="267"/>
      <c r="BY768" s="267"/>
      <c r="BZ768" s="267"/>
      <c r="CA768" s="267"/>
      <c r="CB768" s="267"/>
      <c r="CC768" s="267"/>
      <c r="CD768" s="267"/>
      <c r="CE768" s="267"/>
      <c r="CF768" s="267"/>
      <c r="CG768" s="267"/>
      <c r="CH768" s="267"/>
      <c r="CI768" s="267"/>
      <c r="CJ768" s="267"/>
      <c r="CK768" s="267"/>
      <c r="CL768" s="267"/>
      <c r="CM768" s="267"/>
      <c r="CN768" s="267"/>
      <c r="CO768" s="267"/>
      <c r="CP768" s="267"/>
      <c r="CQ768" s="267"/>
      <c r="CR768" s="267"/>
      <c r="CS768" s="267"/>
      <c r="CT768" s="267"/>
      <c r="CU768" s="267"/>
      <c r="CV768" s="267"/>
      <c r="CW768" s="267"/>
      <c r="CX768" s="267"/>
      <c r="CY768" s="267"/>
      <c r="CZ768" s="267"/>
    </row>
    <row r="769" spans="2:104">
      <c r="B769" s="1235"/>
      <c r="C769" s="1235"/>
      <c r="D769" s="1235"/>
      <c r="E769" s="267"/>
      <c r="F769" s="267"/>
      <c r="G769" s="267"/>
      <c r="H769" s="267"/>
      <c r="I769" s="267"/>
      <c r="J769" s="267"/>
      <c r="K769" s="267"/>
      <c r="L769" s="267"/>
      <c r="M769" s="267"/>
      <c r="N769" s="267"/>
      <c r="O769" s="267"/>
      <c r="P769" s="267"/>
      <c r="Q769" s="267"/>
      <c r="R769" s="267"/>
      <c r="S769" s="267"/>
      <c r="T769" s="267"/>
      <c r="U769" s="267"/>
      <c r="V769" s="267"/>
      <c r="W769" s="267"/>
      <c r="X769" s="267"/>
      <c r="Y769" s="267"/>
      <c r="Z769" s="267"/>
      <c r="AA769" s="267"/>
      <c r="AB769" s="267"/>
      <c r="AC769" s="267"/>
      <c r="AD769" s="267"/>
      <c r="AE769" s="267"/>
      <c r="AF769" s="267"/>
      <c r="AG769" s="267"/>
      <c r="AH769" s="267"/>
      <c r="AI769" s="267"/>
      <c r="AJ769" s="267"/>
      <c r="AK769" s="267"/>
      <c r="AL769" s="267"/>
      <c r="AM769" s="267"/>
      <c r="AN769" s="267"/>
      <c r="AO769" s="267"/>
      <c r="AP769" s="267"/>
      <c r="AQ769" s="267"/>
      <c r="AR769" s="267"/>
      <c r="AS769" s="267"/>
      <c r="AT769" s="267"/>
      <c r="AU769" s="267"/>
      <c r="AV769" s="267"/>
      <c r="AW769" s="267"/>
      <c r="AX769" s="267"/>
      <c r="AY769" s="267"/>
      <c r="AZ769" s="267"/>
      <c r="BA769" s="267"/>
      <c r="BB769" s="267"/>
      <c r="BC769" s="267"/>
      <c r="BD769" s="267"/>
      <c r="BE769" s="267"/>
      <c r="BF769" s="267"/>
      <c r="BG769" s="267"/>
      <c r="BH769" s="267"/>
      <c r="BI769" s="267"/>
      <c r="BJ769" s="267"/>
      <c r="BK769" s="267"/>
      <c r="BL769" s="267"/>
      <c r="BM769" s="267"/>
      <c r="BN769" s="267"/>
      <c r="BO769" s="267"/>
      <c r="BP769" s="267"/>
      <c r="BQ769" s="267"/>
      <c r="BR769" s="267"/>
      <c r="BS769" s="267"/>
      <c r="BT769" s="267"/>
      <c r="BU769" s="267"/>
      <c r="BV769" s="267"/>
      <c r="BW769" s="267"/>
      <c r="BX769" s="267"/>
      <c r="BY769" s="267"/>
      <c r="BZ769" s="267"/>
      <c r="CA769" s="267"/>
      <c r="CB769" s="267"/>
      <c r="CC769" s="267"/>
      <c r="CD769" s="267"/>
      <c r="CE769" s="267"/>
      <c r="CF769" s="267"/>
      <c r="CG769" s="267"/>
      <c r="CH769" s="267"/>
      <c r="CI769" s="267"/>
      <c r="CJ769" s="267"/>
      <c r="CK769" s="267"/>
      <c r="CL769" s="267"/>
      <c r="CM769" s="267"/>
      <c r="CN769" s="267"/>
      <c r="CO769" s="267"/>
      <c r="CP769" s="267"/>
      <c r="CQ769" s="267"/>
      <c r="CR769" s="267"/>
      <c r="CS769" s="267"/>
      <c r="CT769" s="267"/>
      <c r="CU769" s="267"/>
      <c r="CV769" s="267"/>
      <c r="CW769" s="267"/>
      <c r="CX769" s="267"/>
      <c r="CY769" s="267"/>
      <c r="CZ769" s="267"/>
    </row>
    <row r="770" spans="2:104">
      <c r="B770" s="1235"/>
      <c r="C770" s="1235"/>
      <c r="D770" s="1235"/>
      <c r="E770" s="267"/>
      <c r="F770" s="267"/>
      <c r="G770" s="267"/>
      <c r="H770" s="267"/>
      <c r="I770" s="267"/>
      <c r="J770" s="267"/>
      <c r="K770" s="267"/>
      <c r="L770" s="267"/>
      <c r="M770" s="267"/>
      <c r="N770" s="267"/>
      <c r="O770" s="267"/>
      <c r="P770" s="267"/>
      <c r="Q770" s="267"/>
      <c r="R770" s="267"/>
      <c r="S770" s="267"/>
      <c r="T770" s="267"/>
      <c r="U770" s="267"/>
      <c r="V770" s="267"/>
      <c r="W770" s="267"/>
      <c r="X770" s="267"/>
      <c r="Y770" s="267"/>
      <c r="Z770" s="267"/>
      <c r="AA770" s="267"/>
      <c r="AB770" s="267"/>
      <c r="AC770" s="267"/>
      <c r="AD770" s="267"/>
      <c r="AE770" s="267"/>
      <c r="AF770" s="267"/>
      <c r="AG770" s="267"/>
      <c r="AH770" s="267"/>
      <c r="AI770" s="267"/>
      <c r="AJ770" s="267"/>
      <c r="AK770" s="267"/>
      <c r="AL770" s="267"/>
      <c r="AM770" s="267"/>
      <c r="AN770" s="267"/>
      <c r="AO770" s="267"/>
      <c r="AP770" s="267"/>
      <c r="AQ770" s="267"/>
      <c r="AR770" s="267"/>
      <c r="AS770" s="267"/>
      <c r="AT770" s="267"/>
      <c r="AU770" s="267"/>
      <c r="AV770" s="267"/>
      <c r="AW770" s="267"/>
      <c r="AX770" s="267"/>
      <c r="AY770" s="267"/>
      <c r="AZ770" s="267"/>
      <c r="BA770" s="267"/>
      <c r="BB770" s="267"/>
      <c r="BC770" s="267"/>
      <c r="BD770" s="267"/>
      <c r="BE770" s="267"/>
      <c r="BF770" s="267"/>
      <c r="BG770" s="267"/>
      <c r="BH770" s="267"/>
      <c r="BI770" s="267"/>
      <c r="BJ770" s="267"/>
      <c r="BK770" s="267"/>
      <c r="BL770" s="267"/>
      <c r="BM770" s="267"/>
      <c r="BN770" s="267"/>
      <c r="BO770" s="267"/>
      <c r="BP770" s="267"/>
      <c r="BQ770" s="267"/>
      <c r="BR770" s="267"/>
      <c r="BS770" s="267"/>
      <c r="BT770" s="267"/>
      <c r="BU770" s="267"/>
      <c r="BV770" s="267"/>
      <c r="BW770" s="267"/>
      <c r="BX770" s="267"/>
      <c r="BY770" s="267"/>
      <c r="BZ770" s="267"/>
      <c r="CA770" s="267"/>
      <c r="CB770" s="267"/>
      <c r="CC770" s="267"/>
      <c r="CD770" s="267"/>
      <c r="CE770" s="267"/>
      <c r="CF770" s="267"/>
      <c r="CG770" s="267"/>
      <c r="CH770" s="267"/>
      <c r="CI770" s="267"/>
      <c r="CJ770" s="267"/>
      <c r="CK770" s="267"/>
      <c r="CL770" s="267"/>
      <c r="CM770" s="267"/>
      <c r="CN770" s="267"/>
      <c r="CO770" s="267"/>
      <c r="CP770" s="267"/>
      <c r="CQ770" s="267"/>
      <c r="CR770" s="267"/>
      <c r="CS770" s="267"/>
      <c r="CT770" s="267"/>
      <c r="CU770" s="267"/>
      <c r="CV770" s="267"/>
      <c r="CW770" s="267"/>
      <c r="CX770" s="267"/>
      <c r="CY770" s="267"/>
      <c r="CZ770" s="267"/>
    </row>
    <row r="771" spans="2:104">
      <c r="B771" s="1235"/>
      <c r="C771" s="1235"/>
      <c r="D771" s="1235"/>
      <c r="E771" s="267"/>
      <c r="F771" s="267"/>
      <c r="G771" s="267"/>
      <c r="H771" s="267"/>
      <c r="I771" s="267"/>
      <c r="J771" s="267"/>
      <c r="K771" s="267"/>
      <c r="L771" s="267"/>
      <c r="M771" s="267"/>
      <c r="N771" s="267"/>
      <c r="O771" s="267"/>
      <c r="P771" s="267"/>
      <c r="Q771" s="267"/>
      <c r="R771" s="267"/>
      <c r="S771" s="267"/>
      <c r="T771" s="267"/>
      <c r="U771" s="267"/>
      <c r="V771" s="267"/>
      <c r="W771" s="267"/>
      <c r="X771" s="267"/>
      <c r="Y771" s="267"/>
      <c r="Z771" s="267"/>
      <c r="AA771" s="267"/>
      <c r="AB771" s="267"/>
      <c r="AC771" s="267"/>
      <c r="AD771" s="267"/>
      <c r="AE771" s="267"/>
      <c r="AF771" s="267"/>
      <c r="AG771" s="267"/>
      <c r="AH771" s="267"/>
      <c r="AI771" s="267"/>
      <c r="AJ771" s="267"/>
      <c r="AK771" s="267"/>
      <c r="AL771" s="267"/>
      <c r="AM771" s="267"/>
      <c r="AN771" s="267"/>
      <c r="AO771" s="267"/>
      <c r="AP771" s="267"/>
      <c r="AQ771" s="267"/>
      <c r="AR771" s="267"/>
      <c r="AS771" s="267"/>
      <c r="AT771" s="267"/>
      <c r="AU771" s="267"/>
      <c r="AV771" s="267"/>
      <c r="AW771" s="267"/>
      <c r="AX771" s="267"/>
      <c r="AY771" s="267"/>
      <c r="AZ771" s="267"/>
      <c r="BA771" s="267"/>
      <c r="BB771" s="267"/>
      <c r="BC771" s="267"/>
      <c r="BD771" s="267"/>
      <c r="BE771" s="267"/>
      <c r="BF771" s="267"/>
      <c r="BG771" s="267"/>
      <c r="BH771" s="267"/>
      <c r="BI771" s="267"/>
      <c r="BJ771" s="267"/>
      <c r="BK771" s="267"/>
      <c r="BL771" s="267"/>
      <c r="BM771" s="267"/>
      <c r="BN771" s="267"/>
      <c r="BO771" s="267"/>
      <c r="BP771" s="267"/>
      <c r="BQ771" s="267"/>
      <c r="BR771" s="267"/>
      <c r="BS771" s="267"/>
      <c r="BT771" s="267"/>
      <c r="BU771" s="267"/>
      <c r="BV771" s="267"/>
      <c r="BW771" s="267"/>
      <c r="BX771" s="267"/>
      <c r="BY771" s="267"/>
      <c r="BZ771" s="267"/>
      <c r="CA771" s="267"/>
      <c r="CB771" s="267"/>
      <c r="CC771" s="267"/>
      <c r="CD771" s="267"/>
      <c r="CE771" s="267"/>
      <c r="CF771" s="267"/>
      <c r="CG771" s="267"/>
      <c r="CH771" s="267"/>
      <c r="CI771" s="267"/>
      <c r="CJ771" s="267"/>
      <c r="CK771" s="267"/>
      <c r="CL771" s="267"/>
      <c r="CM771" s="267"/>
      <c r="CN771" s="267"/>
      <c r="CO771" s="267"/>
      <c r="CP771" s="267"/>
      <c r="CQ771" s="267"/>
      <c r="CR771" s="267"/>
      <c r="CS771" s="267"/>
      <c r="CT771" s="267"/>
      <c r="CU771" s="267"/>
      <c r="CV771" s="267"/>
      <c r="CW771" s="267"/>
      <c r="CX771" s="267"/>
      <c r="CY771" s="267"/>
      <c r="CZ771" s="267"/>
    </row>
    <row r="772" spans="2:104">
      <c r="B772" s="1235"/>
      <c r="C772" s="1235"/>
      <c r="D772" s="1235"/>
      <c r="E772" s="267"/>
      <c r="F772" s="267"/>
      <c r="G772" s="267"/>
      <c r="H772" s="267"/>
      <c r="I772" s="267"/>
      <c r="J772" s="267"/>
      <c r="K772" s="267"/>
      <c r="L772" s="267"/>
      <c r="M772" s="267"/>
      <c r="N772" s="267"/>
      <c r="O772" s="267"/>
      <c r="P772" s="267"/>
      <c r="Q772" s="267"/>
      <c r="R772" s="267"/>
      <c r="S772" s="267"/>
      <c r="T772" s="267"/>
      <c r="U772" s="267"/>
      <c r="V772" s="267"/>
      <c r="W772" s="267"/>
      <c r="X772" s="267"/>
      <c r="Y772" s="267"/>
      <c r="Z772" s="267"/>
      <c r="AA772" s="267"/>
      <c r="AB772" s="267"/>
      <c r="AC772" s="267"/>
      <c r="AD772" s="267"/>
      <c r="AE772" s="267"/>
      <c r="AF772" s="267"/>
      <c r="AG772" s="267"/>
      <c r="AH772" s="267"/>
      <c r="AI772" s="267"/>
      <c r="AJ772" s="267"/>
      <c r="AK772" s="267"/>
      <c r="AL772" s="267"/>
      <c r="AM772" s="267"/>
      <c r="AN772" s="267"/>
      <c r="AO772" s="267"/>
      <c r="AP772" s="267"/>
      <c r="AQ772" s="267"/>
      <c r="AR772" s="267"/>
      <c r="AS772" s="267"/>
      <c r="AT772" s="267"/>
      <c r="AU772" s="267"/>
      <c r="AV772" s="267"/>
      <c r="AW772" s="267"/>
      <c r="AX772" s="267"/>
      <c r="AY772" s="267"/>
      <c r="AZ772" s="267"/>
      <c r="BA772" s="267"/>
      <c r="BB772" s="267"/>
      <c r="BC772" s="267"/>
      <c r="BD772" s="267"/>
      <c r="BE772" s="267"/>
      <c r="BF772" s="267"/>
      <c r="BG772" s="267"/>
      <c r="BH772" s="267"/>
      <c r="BI772" s="267"/>
      <c r="BJ772" s="267"/>
      <c r="BK772" s="267"/>
      <c r="BL772" s="267"/>
      <c r="BM772" s="267"/>
      <c r="BN772" s="267"/>
      <c r="BO772" s="267"/>
      <c r="BP772" s="267"/>
      <c r="BQ772" s="267"/>
      <c r="BR772" s="267"/>
      <c r="BS772" s="267"/>
      <c r="BT772" s="267"/>
      <c r="BU772" s="267"/>
      <c r="BV772" s="267"/>
      <c r="BW772" s="267"/>
      <c r="BX772" s="267"/>
      <c r="BY772" s="267"/>
      <c r="BZ772" s="267"/>
      <c r="CA772" s="267"/>
      <c r="CB772" s="267"/>
      <c r="CC772" s="267"/>
      <c r="CD772" s="267"/>
      <c r="CE772" s="267"/>
      <c r="CF772" s="267"/>
      <c r="CG772" s="267"/>
      <c r="CH772" s="267"/>
      <c r="CI772" s="267"/>
      <c r="CJ772" s="267"/>
      <c r="CK772" s="267"/>
      <c r="CL772" s="267"/>
      <c r="CM772" s="267"/>
      <c r="CN772" s="267"/>
      <c r="CO772" s="267"/>
      <c r="CP772" s="267"/>
      <c r="CQ772" s="267"/>
      <c r="CR772" s="267"/>
      <c r="CS772" s="267"/>
      <c r="CT772" s="267"/>
      <c r="CU772" s="267"/>
      <c r="CV772" s="267"/>
      <c r="CW772" s="267"/>
      <c r="CX772" s="267"/>
      <c r="CY772" s="267"/>
      <c r="CZ772" s="267"/>
    </row>
    <row r="773" spans="2:104">
      <c r="B773" s="1235"/>
      <c r="C773" s="1235"/>
      <c r="D773" s="1235"/>
      <c r="E773" s="267"/>
      <c r="F773" s="267"/>
      <c r="G773" s="267"/>
      <c r="H773" s="267"/>
      <c r="I773" s="267"/>
      <c r="J773" s="267"/>
      <c r="K773" s="267"/>
      <c r="L773" s="267"/>
      <c r="M773" s="267"/>
      <c r="N773" s="267"/>
      <c r="O773" s="267"/>
      <c r="P773" s="267"/>
      <c r="Q773" s="267"/>
      <c r="R773" s="267"/>
      <c r="S773" s="267"/>
      <c r="T773" s="267"/>
      <c r="U773" s="267"/>
      <c r="V773" s="267"/>
      <c r="W773" s="267"/>
      <c r="X773" s="267"/>
      <c r="Y773" s="267"/>
      <c r="Z773" s="267"/>
      <c r="AA773" s="267"/>
      <c r="AB773" s="267"/>
      <c r="AC773" s="267"/>
      <c r="AD773" s="267"/>
      <c r="AE773" s="267"/>
      <c r="AF773" s="267"/>
      <c r="AG773" s="267"/>
      <c r="AH773" s="267"/>
      <c r="AI773" s="267"/>
      <c r="AJ773" s="267"/>
      <c r="AK773" s="267"/>
      <c r="AL773" s="267"/>
      <c r="AM773" s="267"/>
      <c r="AN773" s="267"/>
      <c r="AO773" s="267"/>
      <c r="AP773" s="267"/>
      <c r="AQ773" s="267"/>
      <c r="AR773" s="267"/>
      <c r="AS773" s="267"/>
      <c r="AT773" s="267"/>
      <c r="AU773" s="267"/>
      <c r="AV773" s="267"/>
      <c r="AW773" s="267"/>
      <c r="AX773" s="267"/>
      <c r="AY773" s="267"/>
      <c r="AZ773" s="267"/>
      <c r="BA773" s="267"/>
      <c r="BB773" s="267"/>
      <c r="BC773" s="267"/>
      <c r="BD773" s="267"/>
      <c r="BE773" s="267"/>
      <c r="BF773" s="267"/>
      <c r="BG773" s="267"/>
      <c r="BH773" s="267"/>
      <c r="BI773" s="267"/>
      <c r="BJ773" s="267"/>
      <c r="BK773" s="267"/>
      <c r="BL773" s="267"/>
      <c r="BM773" s="267"/>
      <c r="BN773" s="267"/>
      <c r="BO773" s="267"/>
      <c r="BP773" s="267"/>
      <c r="BQ773" s="267"/>
      <c r="BR773" s="267"/>
      <c r="BS773" s="267"/>
      <c r="BT773" s="267"/>
      <c r="BU773" s="267"/>
      <c r="BV773" s="267"/>
      <c r="BW773" s="267"/>
      <c r="BX773" s="267"/>
      <c r="BY773" s="267"/>
      <c r="BZ773" s="267"/>
      <c r="CA773" s="267"/>
      <c r="CB773" s="267"/>
      <c r="CC773" s="267"/>
      <c r="CD773" s="267"/>
      <c r="CE773" s="267"/>
      <c r="CF773" s="267"/>
      <c r="CG773" s="267"/>
      <c r="CH773" s="267"/>
      <c r="CI773" s="267"/>
      <c r="CJ773" s="267"/>
      <c r="CK773" s="267"/>
      <c r="CL773" s="267"/>
      <c r="CM773" s="267"/>
      <c r="CN773" s="267"/>
      <c r="CO773" s="267"/>
      <c r="CP773" s="267"/>
      <c r="CQ773" s="267"/>
      <c r="CR773" s="267"/>
      <c r="CS773" s="267"/>
      <c r="CT773" s="267"/>
      <c r="CU773" s="267"/>
      <c r="CV773" s="267"/>
      <c r="CW773" s="267"/>
      <c r="CX773" s="267"/>
      <c r="CY773" s="267"/>
      <c r="CZ773" s="267"/>
    </row>
    <row r="774" spans="2:104">
      <c r="B774" s="1235"/>
      <c r="C774" s="1235"/>
      <c r="D774" s="1235"/>
      <c r="E774" s="267"/>
      <c r="F774" s="267"/>
      <c r="G774" s="267"/>
      <c r="H774" s="267"/>
      <c r="I774" s="267"/>
      <c r="J774" s="267"/>
      <c r="K774" s="267"/>
      <c r="L774" s="267"/>
      <c r="M774" s="267"/>
      <c r="N774" s="267"/>
      <c r="O774" s="267"/>
      <c r="P774" s="267"/>
      <c r="Q774" s="267"/>
      <c r="R774" s="267"/>
      <c r="S774" s="267"/>
      <c r="T774" s="267"/>
      <c r="U774" s="267"/>
      <c r="V774" s="267"/>
      <c r="W774" s="267"/>
      <c r="X774" s="267"/>
      <c r="Y774" s="267"/>
      <c r="Z774" s="267"/>
      <c r="AA774" s="267"/>
      <c r="AB774" s="267"/>
      <c r="AC774" s="267"/>
      <c r="AD774" s="267"/>
      <c r="AE774" s="267"/>
      <c r="AF774" s="267"/>
      <c r="AG774" s="267"/>
      <c r="AH774" s="267"/>
      <c r="AI774" s="267"/>
      <c r="AJ774" s="267"/>
      <c r="AK774" s="267"/>
      <c r="AL774" s="267"/>
      <c r="AM774" s="267"/>
      <c r="AN774" s="267"/>
      <c r="AO774" s="267"/>
      <c r="AP774" s="267"/>
      <c r="AQ774" s="267"/>
      <c r="AR774" s="267"/>
      <c r="AS774" s="267"/>
      <c r="AT774" s="267"/>
      <c r="AU774" s="267"/>
      <c r="AV774" s="267"/>
      <c r="AW774" s="267"/>
      <c r="AX774" s="267"/>
      <c r="AY774" s="267"/>
      <c r="AZ774" s="267"/>
      <c r="BA774" s="267"/>
      <c r="BB774" s="267"/>
      <c r="BC774" s="267"/>
      <c r="BD774" s="267"/>
      <c r="BE774" s="267"/>
      <c r="BF774" s="267"/>
      <c r="BG774" s="267"/>
      <c r="BH774" s="267"/>
      <c r="BI774" s="267"/>
      <c r="BJ774" s="267"/>
      <c r="BK774" s="267"/>
      <c r="BL774" s="267"/>
      <c r="BM774" s="267"/>
      <c r="BN774" s="267"/>
      <c r="BO774" s="267"/>
      <c r="BP774" s="267"/>
      <c r="BQ774" s="267"/>
      <c r="BR774" s="267"/>
      <c r="BS774" s="267"/>
      <c r="BT774" s="267"/>
      <c r="BU774" s="267"/>
      <c r="BV774" s="267"/>
      <c r="BW774" s="267"/>
      <c r="BX774" s="267"/>
      <c r="BY774" s="267"/>
      <c r="BZ774" s="267"/>
      <c r="CA774" s="267"/>
      <c r="CB774" s="267"/>
      <c r="CC774" s="267"/>
      <c r="CD774" s="267"/>
      <c r="CE774" s="267"/>
      <c r="CF774" s="267"/>
      <c r="CG774" s="267"/>
      <c r="CH774" s="267"/>
      <c r="CI774" s="267"/>
      <c r="CJ774" s="267"/>
      <c r="CK774" s="267"/>
      <c r="CL774" s="267"/>
      <c r="CM774" s="267"/>
      <c r="CN774" s="267"/>
      <c r="CO774" s="267"/>
      <c r="CP774" s="267"/>
      <c r="CQ774" s="267"/>
      <c r="CR774" s="267"/>
      <c r="CS774" s="267"/>
      <c r="CT774" s="267"/>
      <c r="CU774" s="267"/>
      <c r="CV774" s="267"/>
      <c r="CW774" s="267"/>
      <c r="CX774" s="267"/>
      <c r="CY774" s="267"/>
      <c r="CZ774" s="267"/>
    </row>
    <row r="775" spans="2:104">
      <c r="B775" s="1235"/>
      <c r="C775" s="1235"/>
      <c r="D775" s="1235"/>
      <c r="E775" s="267"/>
      <c r="F775" s="267"/>
      <c r="G775" s="267"/>
      <c r="H775" s="267"/>
      <c r="I775" s="267"/>
      <c r="J775" s="267"/>
      <c r="K775" s="267"/>
      <c r="L775" s="267"/>
      <c r="M775" s="267"/>
      <c r="N775" s="267"/>
      <c r="O775" s="267"/>
      <c r="P775" s="267"/>
      <c r="Q775" s="267"/>
      <c r="R775" s="267"/>
      <c r="S775" s="267"/>
      <c r="T775" s="267"/>
      <c r="U775" s="267"/>
      <c r="V775" s="267"/>
      <c r="W775" s="267"/>
      <c r="X775" s="267"/>
      <c r="Y775" s="267"/>
      <c r="Z775" s="267"/>
      <c r="AA775" s="267"/>
      <c r="AB775" s="267"/>
      <c r="AC775" s="267"/>
      <c r="AD775" s="267"/>
      <c r="AE775" s="267"/>
      <c r="AF775" s="267"/>
      <c r="AG775" s="267"/>
      <c r="AH775" s="267"/>
      <c r="AI775" s="267"/>
      <c r="AJ775" s="267"/>
      <c r="AK775" s="267"/>
      <c r="AL775" s="267"/>
      <c r="AM775" s="267"/>
      <c r="AN775" s="267"/>
      <c r="AO775" s="267"/>
      <c r="AP775" s="267"/>
      <c r="AQ775" s="267"/>
      <c r="AR775" s="267"/>
      <c r="AS775" s="267"/>
      <c r="AT775" s="267"/>
      <c r="AU775" s="267"/>
      <c r="AV775" s="267"/>
      <c r="AW775" s="267"/>
      <c r="AX775" s="267"/>
      <c r="AY775" s="267"/>
      <c r="AZ775" s="267"/>
      <c r="BA775" s="267"/>
      <c r="BB775" s="267"/>
      <c r="BC775" s="267"/>
      <c r="BD775" s="267"/>
      <c r="BE775" s="267"/>
      <c r="BF775" s="267"/>
      <c r="BG775" s="267"/>
      <c r="BH775" s="267"/>
      <c r="BI775" s="267"/>
      <c r="BJ775" s="267"/>
      <c r="BK775" s="267"/>
      <c r="BL775" s="267"/>
      <c r="BM775" s="267"/>
      <c r="BN775" s="267"/>
      <c r="BO775" s="267"/>
      <c r="BP775" s="267"/>
      <c r="BQ775" s="267"/>
      <c r="BR775" s="267"/>
      <c r="BS775" s="267"/>
      <c r="BT775" s="267"/>
      <c r="BU775" s="267"/>
      <c r="BV775" s="267"/>
      <c r="BW775" s="267"/>
      <c r="BX775" s="267"/>
      <c r="BY775" s="267"/>
      <c r="BZ775" s="267"/>
      <c r="CA775" s="267"/>
      <c r="CB775" s="267"/>
      <c r="CC775" s="267"/>
      <c r="CD775" s="267"/>
      <c r="CE775" s="267"/>
      <c r="CF775" s="267"/>
      <c r="CG775" s="267"/>
      <c r="CH775" s="267"/>
      <c r="CI775" s="267"/>
      <c r="CJ775" s="267"/>
      <c r="CK775" s="267"/>
      <c r="CL775" s="267"/>
      <c r="CM775" s="267"/>
      <c r="CN775" s="267"/>
      <c r="CO775" s="267"/>
      <c r="CP775" s="267"/>
      <c r="CQ775" s="267"/>
      <c r="CR775" s="267"/>
      <c r="CS775" s="267"/>
      <c r="CT775" s="267"/>
      <c r="CU775" s="267"/>
      <c r="CV775" s="267"/>
      <c r="CW775" s="267"/>
      <c r="CX775" s="267"/>
      <c r="CY775" s="267"/>
      <c r="CZ775" s="267"/>
    </row>
    <row r="776" spans="2:104">
      <c r="B776" s="1235"/>
      <c r="C776" s="1235"/>
      <c r="D776" s="1235"/>
      <c r="E776" s="267"/>
      <c r="F776" s="267"/>
      <c r="G776" s="267"/>
      <c r="H776" s="267"/>
      <c r="I776" s="267"/>
      <c r="J776" s="267"/>
      <c r="K776" s="267"/>
      <c r="L776" s="267"/>
      <c r="M776" s="267"/>
      <c r="N776" s="267"/>
      <c r="O776" s="267"/>
      <c r="P776" s="267"/>
      <c r="Q776" s="267"/>
      <c r="R776" s="267"/>
      <c r="S776" s="267"/>
      <c r="T776" s="267"/>
      <c r="U776" s="267"/>
      <c r="V776" s="267"/>
      <c r="W776" s="267"/>
      <c r="X776" s="267"/>
      <c r="Y776" s="267"/>
      <c r="Z776" s="267"/>
      <c r="AA776" s="267"/>
      <c r="AB776" s="267"/>
      <c r="AC776" s="267"/>
      <c r="AD776" s="267"/>
      <c r="AE776" s="267"/>
      <c r="AF776" s="267"/>
      <c r="AG776" s="267"/>
      <c r="AH776" s="267"/>
      <c r="AI776" s="267"/>
      <c r="AJ776" s="267"/>
      <c r="AK776" s="267"/>
      <c r="AL776" s="267"/>
      <c r="AM776" s="267"/>
      <c r="AN776" s="267"/>
      <c r="AO776" s="267"/>
      <c r="AP776" s="267"/>
      <c r="AQ776" s="267"/>
      <c r="AR776" s="267"/>
      <c r="AS776" s="267"/>
      <c r="AT776" s="267"/>
      <c r="AU776" s="267"/>
      <c r="AV776" s="267"/>
      <c r="AW776" s="267"/>
      <c r="AX776" s="267"/>
      <c r="AY776" s="267"/>
      <c r="AZ776" s="267"/>
      <c r="BA776" s="267"/>
      <c r="BB776" s="267"/>
      <c r="BC776" s="267"/>
      <c r="BD776" s="267"/>
      <c r="BE776" s="267"/>
      <c r="BF776" s="267"/>
      <c r="BG776" s="267"/>
      <c r="BH776" s="267"/>
      <c r="BI776" s="267"/>
      <c r="BJ776" s="267"/>
      <c r="BK776" s="267"/>
      <c r="BL776" s="267"/>
      <c r="BM776" s="267"/>
      <c r="BN776" s="267"/>
      <c r="BO776" s="267"/>
      <c r="BP776" s="267"/>
      <c r="BQ776" s="267"/>
      <c r="BR776" s="267"/>
      <c r="BS776" s="267"/>
      <c r="BT776" s="267"/>
      <c r="BU776" s="267"/>
      <c r="BV776" s="267"/>
      <c r="BW776" s="267"/>
      <c r="BX776" s="267"/>
      <c r="BY776" s="267"/>
      <c r="BZ776" s="267"/>
      <c r="CA776" s="267"/>
      <c r="CB776" s="267"/>
      <c r="CC776" s="267"/>
      <c r="CD776" s="267"/>
      <c r="CE776" s="267"/>
      <c r="CF776" s="267"/>
      <c r="CG776" s="267"/>
      <c r="CH776" s="267"/>
      <c r="CI776" s="267"/>
      <c r="CJ776" s="267"/>
      <c r="CK776" s="267"/>
      <c r="CL776" s="267"/>
      <c r="CM776" s="267"/>
      <c r="CN776" s="267"/>
      <c r="CO776" s="267"/>
      <c r="CP776" s="267"/>
      <c r="CQ776" s="267"/>
      <c r="CR776" s="267"/>
      <c r="CS776" s="267"/>
      <c r="CT776" s="267"/>
      <c r="CU776" s="267"/>
      <c r="CV776" s="267"/>
      <c r="CW776" s="267"/>
      <c r="CX776" s="267"/>
      <c r="CY776" s="267"/>
      <c r="CZ776" s="267"/>
    </row>
    <row r="777" spans="2:104">
      <c r="B777" s="1235"/>
      <c r="C777" s="1235"/>
      <c r="D777" s="1235"/>
      <c r="E777" s="267"/>
      <c r="F777" s="267"/>
      <c r="G777" s="267"/>
      <c r="H777" s="267"/>
      <c r="I777" s="267"/>
      <c r="J777" s="267"/>
      <c r="K777" s="267"/>
      <c r="L777" s="267"/>
      <c r="M777" s="267"/>
      <c r="N777" s="267"/>
      <c r="O777" s="267"/>
      <c r="P777" s="267"/>
      <c r="Q777" s="267"/>
      <c r="R777" s="267"/>
      <c r="S777" s="267"/>
      <c r="T777" s="267"/>
      <c r="U777" s="267"/>
      <c r="V777" s="267"/>
      <c r="W777" s="267"/>
      <c r="X777" s="267"/>
      <c r="Y777" s="267"/>
      <c r="Z777" s="267"/>
      <c r="AA777" s="267"/>
      <c r="AB777" s="267"/>
      <c r="AC777" s="267"/>
      <c r="AD777" s="267"/>
      <c r="AE777" s="267"/>
      <c r="AF777" s="267"/>
      <c r="AG777" s="267"/>
      <c r="AH777" s="267"/>
      <c r="AI777" s="267"/>
      <c r="AJ777" s="267"/>
      <c r="AK777" s="267"/>
      <c r="AL777" s="267"/>
      <c r="AM777" s="267"/>
      <c r="AN777" s="267"/>
      <c r="AO777" s="267"/>
      <c r="AP777" s="267"/>
      <c r="AQ777" s="267"/>
      <c r="AR777" s="267"/>
      <c r="AS777" s="267"/>
      <c r="AT777" s="267"/>
      <c r="AU777" s="267"/>
      <c r="AV777" s="267"/>
      <c r="AW777" s="267"/>
      <c r="AX777" s="267"/>
      <c r="AY777" s="267"/>
      <c r="AZ777" s="267"/>
      <c r="BA777" s="267"/>
      <c r="BB777" s="267"/>
      <c r="BC777" s="267"/>
      <c r="BD777" s="267"/>
      <c r="BE777" s="267"/>
      <c r="BF777" s="267"/>
      <c r="BG777" s="267"/>
      <c r="BH777" s="267"/>
      <c r="BI777" s="267"/>
      <c r="BJ777" s="267"/>
      <c r="BK777" s="267"/>
      <c r="BL777" s="267"/>
      <c r="BM777" s="267"/>
      <c r="BN777" s="267"/>
      <c r="BO777" s="267"/>
      <c r="BP777" s="267"/>
      <c r="BQ777" s="267"/>
      <c r="BR777" s="267"/>
      <c r="BS777" s="267"/>
      <c r="BT777" s="267"/>
      <c r="BU777" s="267"/>
      <c r="BV777" s="267"/>
      <c r="BW777" s="267"/>
      <c r="BX777" s="267"/>
      <c r="BY777" s="267"/>
      <c r="BZ777" s="267"/>
      <c r="CA777" s="267"/>
      <c r="CB777" s="267"/>
      <c r="CC777" s="267"/>
      <c r="CD777" s="267"/>
      <c r="CE777" s="267"/>
      <c r="CF777" s="267"/>
      <c r="CG777" s="267"/>
      <c r="CH777" s="267"/>
      <c r="CI777" s="267"/>
      <c r="CJ777" s="267"/>
      <c r="CK777" s="267"/>
      <c r="CL777" s="267"/>
      <c r="CM777" s="267"/>
      <c r="CN777" s="267"/>
      <c r="CO777" s="267"/>
      <c r="CP777" s="267"/>
      <c r="CQ777" s="267"/>
      <c r="CR777" s="267"/>
      <c r="CS777" s="267"/>
      <c r="CT777" s="267"/>
      <c r="CU777" s="267"/>
      <c r="CV777" s="267"/>
      <c r="CW777" s="267"/>
      <c r="CX777" s="267"/>
      <c r="CY777" s="267"/>
      <c r="CZ777" s="267"/>
    </row>
    <row r="778" spans="2:104">
      <c r="B778" s="1235"/>
      <c r="C778" s="1235"/>
      <c r="D778" s="1235"/>
      <c r="E778" s="267"/>
      <c r="F778" s="267"/>
      <c r="G778" s="267"/>
      <c r="H778" s="267"/>
      <c r="I778" s="267"/>
      <c r="J778" s="267"/>
      <c r="K778" s="267"/>
      <c r="L778" s="267"/>
      <c r="M778" s="267"/>
      <c r="N778" s="267"/>
      <c r="O778" s="267"/>
      <c r="P778" s="267"/>
      <c r="Q778" s="267"/>
      <c r="R778" s="267"/>
      <c r="S778" s="267"/>
      <c r="T778" s="267"/>
      <c r="U778" s="267"/>
      <c r="V778" s="267"/>
      <c r="W778" s="267"/>
      <c r="X778" s="267"/>
      <c r="Y778" s="267"/>
      <c r="Z778" s="267"/>
      <c r="AA778" s="267"/>
      <c r="AB778" s="267"/>
      <c r="AC778" s="267"/>
      <c r="AD778" s="267"/>
      <c r="AE778" s="267"/>
      <c r="AF778" s="267"/>
      <c r="AG778" s="267"/>
      <c r="AH778" s="267"/>
      <c r="AI778" s="267"/>
      <c r="AJ778" s="267"/>
      <c r="AK778" s="267"/>
      <c r="AL778" s="267"/>
      <c r="AM778" s="267"/>
      <c r="AN778" s="267"/>
      <c r="AO778" s="267"/>
      <c r="AP778" s="267"/>
      <c r="AQ778" s="267"/>
      <c r="AR778" s="267"/>
      <c r="AS778" s="267"/>
      <c r="AT778" s="267"/>
      <c r="AU778" s="267"/>
      <c r="AV778" s="267"/>
      <c r="AW778" s="267"/>
      <c r="AX778" s="267"/>
      <c r="AY778" s="267"/>
      <c r="AZ778" s="267"/>
      <c r="BA778" s="267"/>
      <c r="BB778" s="267"/>
      <c r="BC778" s="267"/>
      <c r="BD778" s="267"/>
      <c r="BE778" s="267"/>
      <c r="BF778" s="267"/>
      <c r="BG778" s="267"/>
      <c r="BH778" s="267"/>
      <c r="BI778" s="267"/>
      <c r="BJ778" s="267"/>
      <c r="BK778" s="267"/>
      <c r="BL778" s="267"/>
      <c r="BM778" s="267"/>
      <c r="BN778" s="267"/>
      <c r="BO778" s="267"/>
      <c r="BP778" s="267"/>
      <c r="BQ778" s="267"/>
      <c r="BR778" s="267"/>
      <c r="BS778" s="267"/>
      <c r="BT778" s="267"/>
      <c r="BU778" s="267"/>
      <c r="BV778" s="267"/>
      <c r="BW778" s="267"/>
      <c r="BX778" s="267"/>
      <c r="BY778" s="267"/>
      <c r="BZ778" s="267"/>
      <c r="CA778" s="267"/>
      <c r="CB778" s="267"/>
      <c r="CC778" s="267"/>
      <c r="CD778" s="267"/>
      <c r="CE778" s="267"/>
      <c r="CF778" s="267"/>
      <c r="CG778" s="267"/>
      <c r="CH778" s="267"/>
      <c r="CI778" s="267"/>
      <c r="CJ778" s="267"/>
      <c r="CK778" s="267"/>
      <c r="CL778" s="267"/>
      <c r="CM778" s="267"/>
      <c r="CN778" s="267"/>
      <c r="CO778" s="267"/>
      <c r="CP778" s="267"/>
      <c r="CQ778" s="267"/>
      <c r="CR778" s="267"/>
      <c r="CS778" s="267"/>
      <c r="CT778" s="267"/>
      <c r="CU778" s="267"/>
      <c r="CV778" s="267"/>
      <c r="CW778" s="267"/>
      <c r="CX778" s="267"/>
      <c r="CY778" s="267"/>
      <c r="CZ778" s="267"/>
    </row>
    <row r="779" spans="2:104">
      <c r="B779" s="1235"/>
      <c r="C779" s="1235"/>
      <c r="D779" s="1235"/>
      <c r="E779" s="267"/>
      <c r="F779" s="267"/>
      <c r="G779" s="267"/>
      <c r="H779" s="267"/>
      <c r="I779" s="267"/>
      <c r="J779" s="267"/>
      <c r="K779" s="267"/>
      <c r="L779" s="267"/>
      <c r="M779" s="267"/>
      <c r="N779" s="267"/>
      <c r="O779" s="267"/>
      <c r="P779" s="267"/>
      <c r="Q779" s="267"/>
      <c r="R779" s="267"/>
      <c r="S779" s="267"/>
      <c r="T779" s="267"/>
      <c r="U779" s="267"/>
      <c r="V779" s="267"/>
      <c r="W779" s="267"/>
      <c r="X779" s="267"/>
      <c r="Y779" s="267"/>
      <c r="Z779" s="267"/>
      <c r="AA779" s="267"/>
      <c r="AB779" s="267"/>
      <c r="AC779" s="267"/>
      <c r="AD779" s="267"/>
      <c r="AE779" s="267"/>
      <c r="AF779" s="267"/>
      <c r="AG779" s="267"/>
      <c r="AH779" s="267"/>
      <c r="AI779" s="267"/>
      <c r="AJ779" s="267"/>
      <c r="AK779" s="267"/>
      <c r="AL779" s="267"/>
      <c r="AM779" s="267"/>
      <c r="AN779" s="267"/>
      <c r="AO779" s="267"/>
      <c r="AP779" s="267"/>
      <c r="AQ779" s="267"/>
      <c r="AR779" s="267"/>
      <c r="AS779" s="267"/>
      <c r="AT779" s="267"/>
      <c r="AU779" s="267"/>
      <c r="AV779" s="267"/>
      <c r="AW779" s="267"/>
      <c r="AX779" s="267"/>
      <c r="AY779" s="267"/>
      <c r="AZ779" s="267"/>
      <c r="BA779" s="267"/>
      <c r="BB779" s="267"/>
      <c r="BC779" s="267"/>
      <c r="BD779" s="267"/>
      <c r="BE779" s="267"/>
      <c r="BF779" s="267"/>
      <c r="BG779" s="267"/>
      <c r="BH779" s="267"/>
      <c r="BI779" s="267"/>
      <c r="BJ779" s="267"/>
      <c r="BK779" s="267"/>
      <c r="BL779" s="267"/>
      <c r="BM779" s="267"/>
      <c r="BN779" s="267"/>
      <c r="BO779" s="267"/>
      <c r="BP779" s="267"/>
      <c r="BQ779" s="267"/>
      <c r="BR779" s="267"/>
      <c r="BS779" s="267"/>
      <c r="BT779" s="267"/>
      <c r="BU779" s="267"/>
      <c r="BV779" s="267"/>
      <c r="BW779" s="267"/>
      <c r="BX779" s="267"/>
      <c r="BY779" s="267"/>
      <c r="BZ779" s="267"/>
      <c r="CA779" s="267"/>
      <c r="CB779" s="267"/>
      <c r="CC779" s="267"/>
      <c r="CD779" s="267"/>
      <c r="CE779" s="267"/>
      <c r="CF779" s="267"/>
      <c r="CG779" s="267"/>
      <c r="CH779" s="267"/>
      <c r="CI779" s="267"/>
      <c r="CJ779" s="267"/>
      <c r="CK779" s="267"/>
      <c r="CL779" s="267"/>
      <c r="CM779" s="267"/>
      <c r="CN779" s="267"/>
      <c r="CO779" s="267"/>
      <c r="CP779" s="267"/>
      <c r="CQ779" s="267"/>
      <c r="CR779" s="267"/>
      <c r="CS779" s="267"/>
      <c r="CT779" s="267"/>
      <c r="CU779" s="267"/>
      <c r="CV779" s="267"/>
      <c r="CW779" s="267"/>
      <c r="CX779" s="267"/>
      <c r="CY779" s="267"/>
      <c r="CZ779" s="267"/>
    </row>
    <row r="780" spans="2:104">
      <c r="B780" s="1235"/>
      <c r="C780" s="1235"/>
      <c r="D780" s="1235"/>
      <c r="E780" s="267"/>
      <c r="F780" s="267"/>
      <c r="G780" s="267"/>
      <c r="H780" s="267"/>
      <c r="I780" s="267"/>
      <c r="J780" s="267"/>
      <c r="K780" s="267"/>
      <c r="L780" s="267"/>
      <c r="M780" s="267"/>
      <c r="N780" s="267"/>
      <c r="O780" s="267"/>
      <c r="P780" s="267"/>
      <c r="Q780" s="267"/>
      <c r="R780" s="267"/>
      <c r="S780" s="267"/>
      <c r="T780" s="267"/>
      <c r="U780" s="267"/>
      <c r="V780" s="267"/>
      <c r="W780" s="267"/>
      <c r="X780" s="267"/>
      <c r="Y780" s="267"/>
      <c r="Z780" s="267"/>
      <c r="AA780" s="267"/>
      <c r="AB780" s="267"/>
      <c r="AC780" s="267"/>
      <c r="AD780" s="267"/>
      <c r="AE780" s="267"/>
      <c r="AF780" s="267"/>
      <c r="AG780" s="267"/>
      <c r="AH780" s="267"/>
      <c r="AI780" s="267"/>
      <c r="AJ780" s="267"/>
      <c r="AK780" s="267"/>
      <c r="AL780" s="267"/>
      <c r="AM780" s="267"/>
      <c r="AN780" s="267"/>
      <c r="AO780" s="267"/>
      <c r="AP780" s="267"/>
      <c r="AQ780" s="267"/>
      <c r="AR780" s="267"/>
      <c r="AS780" s="267"/>
      <c r="AT780" s="267"/>
      <c r="AU780" s="267"/>
      <c r="AV780" s="267"/>
      <c r="AW780" s="267"/>
      <c r="AX780" s="267"/>
      <c r="AY780" s="267"/>
      <c r="AZ780" s="267"/>
      <c r="BA780" s="267"/>
      <c r="BB780" s="267"/>
      <c r="BC780" s="267"/>
      <c r="BD780" s="267"/>
      <c r="BE780" s="267"/>
      <c r="BF780" s="267"/>
      <c r="BG780" s="267"/>
      <c r="BH780" s="267"/>
      <c r="BI780" s="267"/>
      <c r="BJ780" s="267"/>
      <c r="BK780" s="267"/>
      <c r="BL780" s="267"/>
      <c r="BM780" s="267"/>
      <c r="BN780" s="267"/>
      <c r="BO780" s="267"/>
      <c r="BP780" s="267"/>
      <c r="BQ780" s="267"/>
      <c r="BR780" s="267"/>
      <c r="BS780" s="267"/>
      <c r="BT780" s="267"/>
      <c r="BU780" s="267"/>
      <c r="BV780" s="267"/>
      <c r="BW780" s="267"/>
      <c r="BX780" s="267"/>
      <c r="BY780" s="267"/>
      <c r="BZ780" s="267"/>
      <c r="CA780" s="267"/>
      <c r="CB780" s="267"/>
      <c r="CC780" s="267"/>
      <c r="CD780" s="267"/>
      <c r="CE780" s="267"/>
      <c r="CF780" s="267"/>
      <c r="CG780" s="267"/>
      <c r="CH780" s="267"/>
      <c r="CI780" s="267"/>
      <c r="CJ780" s="267"/>
      <c r="CK780" s="267"/>
      <c r="CL780" s="267"/>
      <c r="CM780" s="267"/>
      <c r="CN780" s="267"/>
      <c r="CO780" s="267"/>
      <c r="CP780" s="267"/>
      <c r="CQ780" s="267"/>
      <c r="CR780" s="267"/>
      <c r="CS780" s="267"/>
      <c r="CT780" s="267"/>
      <c r="CU780" s="267"/>
      <c r="CV780" s="267"/>
      <c r="CW780" s="267"/>
      <c r="CX780" s="267"/>
      <c r="CY780" s="267"/>
      <c r="CZ780" s="267"/>
    </row>
    <row r="781" spans="2:104">
      <c r="B781" s="1235"/>
      <c r="C781" s="1235"/>
      <c r="D781" s="1235"/>
      <c r="E781" s="267"/>
      <c r="F781" s="267"/>
      <c r="G781" s="267"/>
      <c r="H781" s="267"/>
      <c r="I781" s="267"/>
      <c r="J781" s="267"/>
      <c r="K781" s="267"/>
      <c r="L781" s="267"/>
      <c r="M781" s="267"/>
      <c r="N781" s="267"/>
      <c r="O781" s="267"/>
      <c r="P781" s="267"/>
      <c r="Q781" s="267"/>
      <c r="R781" s="267"/>
      <c r="S781" s="267"/>
      <c r="T781" s="267"/>
      <c r="U781" s="267"/>
      <c r="V781" s="267"/>
      <c r="W781" s="267"/>
      <c r="X781" s="267"/>
      <c r="Y781" s="267"/>
      <c r="Z781" s="267"/>
      <c r="AA781" s="267"/>
      <c r="AB781" s="267"/>
      <c r="AC781" s="267"/>
      <c r="AD781" s="267"/>
      <c r="AE781" s="267"/>
      <c r="AF781" s="267"/>
      <c r="AG781" s="267"/>
      <c r="AH781" s="267"/>
      <c r="AI781" s="267"/>
      <c r="AJ781" s="267"/>
      <c r="AK781" s="267"/>
      <c r="AL781" s="267"/>
      <c r="AM781" s="267"/>
      <c r="AN781" s="267"/>
      <c r="AO781" s="267"/>
      <c r="AP781" s="267"/>
      <c r="AQ781" s="267"/>
      <c r="AR781" s="267"/>
      <c r="AS781" s="267"/>
      <c r="AT781" s="267"/>
      <c r="AU781" s="267"/>
      <c r="AV781" s="267"/>
      <c r="AW781" s="267"/>
      <c r="AX781" s="267"/>
      <c r="AY781" s="267"/>
      <c r="AZ781" s="267"/>
      <c r="BA781" s="267"/>
      <c r="BB781" s="267"/>
      <c r="BC781" s="267"/>
      <c r="BD781" s="267"/>
      <c r="BE781" s="267"/>
      <c r="BF781" s="267"/>
      <c r="BG781" s="267"/>
      <c r="BH781" s="267"/>
      <c r="BI781" s="267"/>
      <c r="BJ781" s="267"/>
      <c r="BK781" s="267"/>
      <c r="BL781" s="267"/>
      <c r="BM781" s="267"/>
      <c r="BN781" s="267"/>
      <c r="BO781" s="267"/>
      <c r="BP781" s="267"/>
      <c r="BQ781" s="267"/>
      <c r="BR781" s="267"/>
      <c r="BS781" s="267"/>
      <c r="BT781" s="267"/>
      <c r="BU781" s="267"/>
      <c r="BV781" s="267"/>
      <c r="BW781" s="267"/>
      <c r="BX781" s="267"/>
      <c r="BY781" s="267"/>
      <c r="BZ781" s="267"/>
      <c r="CA781" s="267"/>
      <c r="CB781" s="267"/>
      <c r="CC781" s="267"/>
      <c r="CD781" s="267"/>
      <c r="CE781" s="267"/>
      <c r="CF781" s="267"/>
      <c r="CG781" s="267"/>
      <c r="CH781" s="267"/>
      <c r="CI781" s="267"/>
      <c r="CJ781" s="267"/>
      <c r="CK781" s="267"/>
      <c r="CL781" s="267"/>
      <c r="CM781" s="267"/>
      <c r="CN781" s="267"/>
      <c r="CO781" s="267"/>
      <c r="CP781" s="267"/>
      <c r="CQ781" s="267"/>
      <c r="CR781" s="267"/>
      <c r="CS781" s="267"/>
      <c r="CT781" s="267"/>
      <c r="CU781" s="267"/>
      <c r="CV781" s="267"/>
      <c r="CW781" s="267"/>
      <c r="CX781" s="267"/>
      <c r="CY781" s="267"/>
      <c r="CZ781" s="267"/>
    </row>
    <row r="782" spans="2:104">
      <c r="B782" s="1235"/>
      <c r="C782" s="1235"/>
      <c r="D782" s="1235"/>
      <c r="E782" s="267"/>
      <c r="F782" s="267"/>
      <c r="G782" s="267"/>
      <c r="H782" s="267"/>
      <c r="I782" s="267"/>
      <c r="J782" s="267"/>
      <c r="K782" s="267"/>
      <c r="L782" s="267"/>
      <c r="M782" s="267"/>
      <c r="N782" s="267"/>
      <c r="O782" s="267"/>
      <c r="P782" s="267"/>
      <c r="Q782" s="267"/>
      <c r="R782" s="267"/>
      <c r="S782" s="267"/>
      <c r="T782" s="267"/>
      <c r="U782" s="267"/>
      <c r="V782" s="267"/>
      <c r="W782" s="267"/>
      <c r="X782" s="267"/>
      <c r="Y782" s="267"/>
      <c r="Z782" s="267"/>
      <c r="AA782" s="267"/>
      <c r="AB782" s="267"/>
      <c r="AC782" s="267"/>
      <c r="AD782" s="267"/>
      <c r="AE782" s="267"/>
      <c r="AF782" s="267"/>
      <c r="AG782" s="267"/>
      <c r="AH782" s="267"/>
      <c r="AI782" s="267"/>
      <c r="AJ782" s="267"/>
      <c r="AK782" s="267"/>
      <c r="AL782" s="267"/>
      <c r="AM782" s="267"/>
      <c r="AN782" s="267"/>
      <c r="AO782" s="267"/>
      <c r="AP782" s="267"/>
      <c r="AQ782" s="267"/>
      <c r="AR782" s="267"/>
      <c r="AS782" s="267"/>
      <c r="AT782" s="267"/>
      <c r="AU782" s="267"/>
      <c r="AV782" s="267"/>
      <c r="AW782" s="267"/>
      <c r="AX782" s="267"/>
      <c r="AY782" s="267"/>
      <c r="AZ782" s="267"/>
      <c r="BA782" s="267"/>
      <c r="BB782" s="267"/>
      <c r="BC782" s="267"/>
      <c r="BD782" s="267"/>
      <c r="BE782" s="267"/>
      <c r="BF782" s="267"/>
      <c r="BG782" s="267"/>
      <c r="BH782" s="267"/>
      <c r="BI782" s="267"/>
      <c r="BJ782" s="267"/>
      <c r="BK782" s="267"/>
      <c r="BL782" s="267"/>
      <c r="BM782" s="267"/>
      <c r="BN782" s="267"/>
      <c r="BO782" s="267"/>
      <c r="BP782" s="267"/>
      <c r="BQ782" s="267"/>
      <c r="BR782" s="267"/>
      <c r="BS782" s="267"/>
      <c r="BT782" s="267"/>
      <c r="BU782" s="267"/>
      <c r="BV782" s="267"/>
      <c r="BW782" s="267"/>
      <c r="BX782" s="267"/>
      <c r="BY782" s="267"/>
      <c r="BZ782" s="267"/>
      <c r="CA782" s="267"/>
      <c r="CB782" s="267"/>
      <c r="CC782" s="267"/>
      <c r="CD782" s="267"/>
      <c r="CE782" s="267"/>
      <c r="CF782" s="267"/>
      <c r="CG782" s="267"/>
      <c r="CH782" s="267"/>
      <c r="CI782" s="267"/>
      <c r="CJ782" s="267"/>
      <c r="CK782" s="267"/>
      <c r="CL782" s="267"/>
      <c r="CM782" s="267"/>
      <c r="CN782" s="267"/>
      <c r="CO782" s="267"/>
      <c r="CP782" s="267"/>
      <c r="CQ782" s="267"/>
      <c r="CR782" s="267"/>
      <c r="CS782" s="267"/>
      <c r="CT782" s="267"/>
      <c r="CU782" s="267"/>
      <c r="CV782" s="267"/>
      <c r="CW782" s="267"/>
      <c r="CX782" s="267"/>
      <c r="CY782" s="267"/>
      <c r="CZ782" s="267"/>
    </row>
    <row r="783" spans="2:104">
      <c r="B783" s="1235"/>
      <c r="C783" s="1235"/>
      <c r="D783" s="1235"/>
      <c r="E783" s="267"/>
      <c r="F783" s="267"/>
      <c r="G783" s="267"/>
      <c r="H783" s="267"/>
      <c r="I783" s="267"/>
      <c r="J783" s="267"/>
      <c r="K783" s="267"/>
      <c r="L783" s="267"/>
      <c r="M783" s="267"/>
      <c r="N783" s="267"/>
      <c r="O783" s="267"/>
      <c r="P783" s="267"/>
      <c r="Q783" s="267"/>
      <c r="R783" s="267"/>
      <c r="S783" s="267"/>
      <c r="T783" s="267"/>
      <c r="U783" s="267"/>
      <c r="V783" s="267"/>
      <c r="W783" s="267"/>
      <c r="X783" s="267"/>
      <c r="Y783" s="267"/>
      <c r="Z783" s="267"/>
      <c r="AA783" s="267"/>
      <c r="AB783" s="267"/>
      <c r="AC783" s="267"/>
      <c r="AD783" s="267"/>
      <c r="AE783" s="267"/>
      <c r="AF783" s="267"/>
      <c r="AG783" s="267"/>
      <c r="AH783" s="267"/>
      <c r="AI783" s="267"/>
      <c r="AJ783" s="267"/>
      <c r="AK783" s="267"/>
      <c r="AL783" s="267"/>
      <c r="AM783" s="267"/>
      <c r="AN783" s="267"/>
      <c r="AO783" s="267"/>
      <c r="AP783" s="267"/>
      <c r="AQ783" s="267"/>
      <c r="AR783" s="267"/>
      <c r="AS783" s="267"/>
      <c r="AT783" s="267"/>
      <c r="AU783" s="267"/>
      <c r="AV783" s="267"/>
      <c r="AW783" s="267"/>
      <c r="AX783" s="267"/>
      <c r="AY783" s="267"/>
      <c r="AZ783" s="267"/>
      <c r="BA783" s="267"/>
      <c r="BB783" s="267"/>
      <c r="BC783" s="267"/>
      <c r="BD783" s="267"/>
      <c r="BE783" s="267"/>
      <c r="BF783" s="267"/>
      <c r="BG783" s="267"/>
      <c r="BH783" s="267"/>
      <c r="BI783" s="267"/>
      <c r="BJ783" s="267"/>
      <c r="BK783" s="267"/>
      <c r="BL783" s="267"/>
      <c r="BM783" s="267"/>
      <c r="BN783" s="267"/>
      <c r="BO783" s="267"/>
      <c r="BP783" s="267"/>
      <c r="BQ783" s="267"/>
      <c r="BR783" s="267"/>
      <c r="BS783" s="267"/>
      <c r="BT783" s="267"/>
      <c r="BU783" s="267"/>
      <c r="BV783" s="267"/>
      <c r="BW783" s="267"/>
      <c r="BX783" s="267"/>
      <c r="BY783" s="267"/>
      <c r="BZ783" s="267"/>
      <c r="CA783" s="267"/>
      <c r="CB783" s="267"/>
      <c r="CC783" s="267"/>
      <c r="CD783" s="267"/>
      <c r="CE783" s="267"/>
      <c r="CF783" s="267"/>
      <c r="CG783" s="267"/>
      <c r="CH783" s="267"/>
      <c r="CI783" s="267"/>
      <c r="CJ783" s="267"/>
      <c r="CK783" s="267"/>
      <c r="CL783" s="267"/>
      <c r="CM783" s="267"/>
      <c r="CN783" s="267"/>
      <c r="CO783" s="267"/>
      <c r="CP783" s="267"/>
      <c r="CQ783" s="267"/>
      <c r="CR783" s="267"/>
      <c r="CS783" s="267"/>
      <c r="CT783" s="267"/>
      <c r="CU783" s="267"/>
      <c r="CV783" s="267"/>
      <c r="CW783" s="267"/>
      <c r="CX783" s="267"/>
      <c r="CY783" s="267"/>
      <c r="CZ783" s="267"/>
    </row>
    <row r="784" spans="2:104">
      <c r="B784" s="1235"/>
      <c r="C784" s="1235"/>
      <c r="D784" s="1235"/>
      <c r="E784" s="267"/>
      <c r="F784" s="267"/>
      <c r="G784" s="267"/>
      <c r="H784" s="267"/>
      <c r="I784" s="267"/>
      <c r="J784" s="267"/>
      <c r="K784" s="267"/>
      <c r="L784" s="267"/>
      <c r="M784" s="267"/>
      <c r="N784" s="267"/>
      <c r="O784" s="267"/>
      <c r="P784" s="267"/>
      <c r="Q784" s="267"/>
      <c r="R784" s="267"/>
      <c r="S784" s="267"/>
      <c r="T784" s="267"/>
      <c r="U784" s="267"/>
      <c r="V784" s="267"/>
      <c r="W784" s="267"/>
      <c r="X784" s="267"/>
      <c r="Y784" s="267"/>
      <c r="Z784" s="267"/>
      <c r="AA784" s="267"/>
      <c r="AB784" s="267"/>
      <c r="AC784" s="267"/>
      <c r="AD784" s="267"/>
      <c r="AE784" s="267"/>
      <c r="AF784" s="267"/>
      <c r="AG784" s="267"/>
      <c r="AH784" s="267"/>
      <c r="AI784" s="267"/>
      <c r="AJ784" s="267"/>
      <c r="AK784" s="267"/>
      <c r="AL784" s="267"/>
      <c r="AM784" s="267"/>
      <c r="AN784" s="267"/>
      <c r="AO784" s="267"/>
      <c r="AP784" s="267"/>
      <c r="AQ784" s="267"/>
      <c r="AR784" s="267"/>
      <c r="AS784" s="267"/>
      <c r="AT784" s="267"/>
      <c r="AU784" s="267"/>
      <c r="AV784" s="267"/>
      <c r="AW784" s="267"/>
      <c r="AX784" s="267"/>
      <c r="AY784" s="267"/>
      <c r="AZ784" s="267"/>
      <c r="BA784" s="267"/>
      <c r="BB784" s="267"/>
      <c r="BC784" s="267"/>
      <c r="BD784" s="267"/>
      <c r="BE784" s="267"/>
      <c r="BF784" s="267"/>
      <c r="BG784" s="267"/>
      <c r="BH784" s="267"/>
      <c r="BI784" s="267"/>
      <c r="BJ784" s="267"/>
      <c r="BK784" s="267"/>
      <c r="BL784" s="267"/>
      <c r="BM784" s="267"/>
      <c r="BN784" s="267"/>
      <c r="BO784" s="267"/>
      <c r="BP784" s="267"/>
      <c r="BQ784" s="267"/>
      <c r="BR784" s="267"/>
      <c r="BS784" s="267"/>
      <c r="BT784" s="267"/>
      <c r="BU784" s="267"/>
      <c r="BV784" s="267"/>
      <c r="BW784" s="267"/>
      <c r="BX784" s="267"/>
      <c r="BY784" s="267"/>
      <c r="BZ784" s="267"/>
      <c r="CA784" s="267"/>
      <c r="CB784" s="267"/>
      <c r="CC784" s="267"/>
      <c r="CD784" s="267"/>
      <c r="CE784" s="267"/>
      <c r="CF784" s="267"/>
      <c r="CG784" s="267"/>
      <c r="CH784" s="267"/>
      <c r="CI784" s="267"/>
      <c r="CJ784" s="267"/>
      <c r="CK784" s="267"/>
      <c r="CL784" s="267"/>
      <c r="CM784" s="267"/>
      <c r="CN784" s="267"/>
      <c r="CO784" s="267"/>
      <c r="CP784" s="267"/>
      <c r="CQ784" s="267"/>
      <c r="CR784" s="267"/>
      <c r="CS784" s="267"/>
      <c r="CT784" s="267"/>
      <c r="CU784" s="267"/>
      <c r="CV784" s="267"/>
      <c r="CW784" s="267"/>
      <c r="CX784" s="267"/>
      <c r="CY784" s="267"/>
      <c r="CZ784" s="267"/>
    </row>
    <row r="785" spans="2:104">
      <c r="B785" s="1235"/>
      <c r="C785" s="1235"/>
      <c r="D785" s="1235"/>
      <c r="E785" s="267"/>
      <c r="F785" s="267"/>
      <c r="G785" s="267"/>
      <c r="H785" s="267"/>
      <c r="I785" s="267"/>
      <c r="J785" s="267"/>
      <c r="K785" s="267"/>
      <c r="L785" s="267"/>
      <c r="M785" s="267"/>
      <c r="N785" s="267"/>
      <c r="O785" s="267"/>
      <c r="P785" s="267"/>
      <c r="Q785" s="267"/>
      <c r="R785" s="267"/>
      <c r="S785" s="267"/>
      <c r="T785" s="267"/>
      <c r="U785" s="267"/>
      <c r="V785" s="267"/>
      <c r="W785" s="267"/>
      <c r="X785" s="267"/>
      <c r="Y785" s="267"/>
      <c r="Z785" s="267"/>
      <c r="AA785" s="267"/>
      <c r="AB785" s="267"/>
      <c r="AC785" s="267"/>
      <c r="AD785" s="267"/>
      <c r="AE785" s="267"/>
      <c r="AF785" s="267"/>
      <c r="AG785" s="267"/>
      <c r="AH785" s="267"/>
      <c r="AI785" s="267"/>
      <c r="AJ785" s="267"/>
      <c r="AK785" s="267"/>
      <c r="AL785" s="267"/>
      <c r="AM785" s="267"/>
      <c r="AN785" s="267"/>
      <c r="AO785" s="267"/>
      <c r="AP785" s="267"/>
      <c r="AQ785" s="267"/>
      <c r="AR785" s="267"/>
      <c r="AS785" s="267"/>
      <c r="AT785" s="267"/>
      <c r="AU785" s="267"/>
      <c r="AV785" s="267"/>
      <c r="AW785" s="267"/>
      <c r="AX785" s="267"/>
      <c r="AY785" s="267"/>
      <c r="AZ785" s="267"/>
      <c r="BA785" s="267"/>
      <c r="BB785" s="267"/>
      <c r="BC785" s="267"/>
      <c r="BD785" s="267"/>
      <c r="BE785" s="267"/>
      <c r="BF785" s="267"/>
      <c r="BG785" s="267"/>
      <c r="BH785" s="267"/>
      <c r="BI785" s="267"/>
      <c r="BJ785" s="267"/>
      <c r="BK785" s="267"/>
      <c r="BL785" s="267"/>
      <c r="BM785" s="267"/>
      <c r="BN785" s="267"/>
      <c r="BO785" s="267"/>
      <c r="BP785" s="267"/>
      <c r="BQ785" s="267"/>
      <c r="BR785" s="267"/>
      <c r="BS785" s="267"/>
      <c r="BT785" s="267"/>
      <c r="BU785" s="267"/>
      <c r="BV785" s="267"/>
      <c r="BW785" s="267"/>
      <c r="BX785" s="267"/>
      <c r="BY785" s="267"/>
      <c r="BZ785" s="267"/>
      <c r="CA785" s="267"/>
      <c r="CB785" s="267"/>
      <c r="CC785" s="267"/>
      <c r="CD785" s="267"/>
      <c r="CE785" s="267"/>
      <c r="CF785" s="267"/>
      <c r="CG785" s="267"/>
      <c r="CH785" s="267"/>
      <c r="CI785" s="267"/>
      <c r="CJ785" s="267"/>
      <c r="CK785" s="267"/>
      <c r="CL785" s="267"/>
      <c r="CM785" s="267"/>
      <c r="CN785" s="267"/>
      <c r="CO785" s="267"/>
      <c r="CP785" s="267"/>
      <c r="CQ785" s="267"/>
      <c r="CR785" s="267"/>
      <c r="CS785" s="267"/>
      <c r="CT785" s="267"/>
      <c r="CU785" s="267"/>
      <c r="CV785" s="267"/>
      <c r="CW785" s="267"/>
      <c r="CX785" s="267"/>
      <c r="CY785" s="267"/>
      <c r="CZ785" s="267"/>
    </row>
    <row r="786" spans="2:104">
      <c r="B786" s="1235"/>
      <c r="C786" s="1235"/>
      <c r="D786" s="1235"/>
      <c r="E786" s="267"/>
      <c r="F786" s="267"/>
      <c r="G786" s="267"/>
      <c r="H786" s="267"/>
      <c r="I786" s="267"/>
      <c r="J786" s="267"/>
      <c r="K786" s="267"/>
      <c r="L786" s="267"/>
      <c r="M786" s="267"/>
      <c r="N786" s="267"/>
      <c r="O786" s="267"/>
      <c r="P786" s="267"/>
      <c r="Q786" s="267"/>
      <c r="R786" s="267"/>
      <c r="S786" s="267"/>
      <c r="T786" s="267"/>
      <c r="U786" s="267"/>
      <c r="V786" s="267"/>
      <c r="W786" s="267"/>
      <c r="X786" s="267"/>
      <c r="Y786" s="267"/>
      <c r="Z786" s="267"/>
      <c r="AA786" s="267"/>
      <c r="AB786" s="267"/>
      <c r="AC786" s="267"/>
      <c r="AD786" s="267"/>
      <c r="AE786" s="267"/>
      <c r="AF786" s="267"/>
      <c r="AG786" s="267"/>
      <c r="AH786" s="267"/>
      <c r="AI786" s="267"/>
      <c r="AJ786" s="267"/>
      <c r="AK786" s="267"/>
      <c r="AL786" s="267"/>
      <c r="AM786" s="267"/>
      <c r="AN786" s="267"/>
      <c r="AO786" s="267"/>
      <c r="AP786" s="267"/>
      <c r="AQ786" s="267"/>
      <c r="AR786" s="267"/>
      <c r="AS786" s="267"/>
      <c r="AT786" s="267"/>
      <c r="AU786" s="267"/>
      <c r="AV786" s="267"/>
      <c r="AW786" s="267"/>
      <c r="AX786" s="267"/>
      <c r="AY786" s="267"/>
      <c r="AZ786" s="267"/>
      <c r="BA786" s="267"/>
      <c r="BB786" s="267"/>
      <c r="BC786" s="267"/>
      <c r="BD786" s="267"/>
      <c r="BE786" s="267"/>
      <c r="BF786" s="267"/>
      <c r="BG786" s="267"/>
      <c r="BH786" s="267"/>
      <c r="BI786" s="267"/>
      <c r="BJ786" s="267"/>
      <c r="BK786" s="267"/>
      <c r="BL786" s="267"/>
      <c r="BM786" s="267"/>
      <c r="BN786" s="267"/>
      <c r="BO786" s="267"/>
      <c r="BP786" s="267"/>
      <c r="BQ786" s="267"/>
      <c r="BR786" s="267"/>
      <c r="BS786" s="267"/>
      <c r="BT786" s="267"/>
      <c r="BU786" s="267"/>
      <c r="BV786" s="267"/>
      <c r="BW786" s="267"/>
      <c r="BX786" s="267"/>
      <c r="BY786" s="267"/>
      <c r="BZ786" s="267"/>
      <c r="CA786" s="267"/>
      <c r="CB786" s="267"/>
      <c r="CC786" s="267"/>
      <c r="CD786" s="267"/>
      <c r="CE786" s="267"/>
      <c r="CF786" s="267"/>
      <c r="CG786" s="267"/>
      <c r="CH786" s="267"/>
      <c r="CI786" s="267"/>
      <c r="CJ786" s="267"/>
      <c r="CK786" s="267"/>
      <c r="CL786" s="267"/>
      <c r="CM786" s="267"/>
      <c r="CN786" s="267"/>
      <c r="CO786" s="267"/>
      <c r="CP786" s="267"/>
      <c r="CQ786" s="267"/>
      <c r="CR786" s="267"/>
      <c r="CS786" s="267"/>
      <c r="CT786" s="267"/>
      <c r="CU786" s="267"/>
      <c r="CV786" s="267"/>
      <c r="CW786" s="267"/>
      <c r="CX786" s="267"/>
      <c r="CY786" s="267"/>
      <c r="CZ786" s="267"/>
    </row>
    <row r="787" spans="2:104">
      <c r="B787" s="1235"/>
      <c r="C787" s="1235"/>
      <c r="D787" s="1235"/>
      <c r="E787" s="267"/>
      <c r="F787" s="267"/>
      <c r="G787" s="267"/>
      <c r="H787" s="267"/>
      <c r="I787" s="267"/>
      <c r="J787" s="267"/>
      <c r="K787" s="267"/>
      <c r="L787" s="267"/>
      <c r="M787" s="267"/>
      <c r="N787" s="267"/>
      <c r="O787" s="267"/>
      <c r="P787" s="267"/>
      <c r="Q787" s="267"/>
      <c r="R787" s="267"/>
      <c r="S787" s="267"/>
      <c r="T787" s="267"/>
      <c r="U787" s="267"/>
      <c r="V787" s="267"/>
      <c r="W787" s="267"/>
      <c r="X787" s="267"/>
      <c r="Y787" s="267"/>
      <c r="Z787" s="267"/>
      <c r="AA787" s="267"/>
      <c r="AB787" s="267"/>
      <c r="AC787" s="267"/>
      <c r="AD787" s="267"/>
      <c r="AE787" s="267"/>
      <c r="AF787" s="267"/>
      <c r="AG787" s="267"/>
      <c r="AH787" s="267"/>
      <c r="AI787" s="267"/>
      <c r="AJ787" s="267"/>
      <c r="AK787" s="267"/>
      <c r="AL787" s="267"/>
      <c r="AM787" s="267"/>
      <c r="AN787" s="267"/>
      <c r="AO787" s="267"/>
      <c r="AP787" s="267"/>
      <c r="AQ787" s="267"/>
      <c r="AR787" s="267"/>
      <c r="AS787" s="267"/>
      <c r="AT787" s="267"/>
      <c r="AU787" s="267"/>
      <c r="AV787" s="267"/>
      <c r="AW787" s="267"/>
      <c r="AX787" s="267"/>
      <c r="AY787" s="267"/>
      <c r="AZ787" s="267"/>
      <c r="BA787" s="267"/>
      <c r="BB787" s="267"/>
      <c r="BC787" s="267"/>
      <c r="BD787" s="267"/>
      <c r="BE787" s="267"/>
      <c r="BF787" s="267"/>
      <c r="BG787" s="267"/>
      <c r="BH787" s="267"/>
      <c r="BI787" s="267"/>
      <c r="BJ787" s="267"/>
      <c r="BK787" s="267"/>
      <c r="BL787" s="267"/>
      <c r="BM787" s="267"/>
      <c r="BN787" s="267"/>
      <c r="BO787" s="267"/>
      <c r="BP787" s="267"/>
      <c r="BQ787" s="267"/>
      <c r="BR787" s="267"/>
      <c r="BS787" s="267"/>
      <c r="BT787" s="267"/>
      <c r="BU787" s="267"/>
      <c r="BV787" s="267"/>
      <c r="BW787" s="267"/>
      <c r="BX787" s="267"/>
      <c r="BY787" s="267"/>
      <c r="BZ787" s="267"/>
      <c r="CA787" s="267"/>
      <c r="CB787" s="267"/>
      <c r="CC787" s="267"/>
      <c r="CD787" s="267"/>
      <c r="CE787" s="267"/>
      <c r="CF787" s="267"/>
      <c r="CG787" s="267"/>
      <c r="CH787" s="267"/>
      <c r="CI787" s="267"/>
      <c r="CJ787" s="267"/>
      <c r="CK787" s="267"/>
      <c r="CL787" s="267"/>
      <c r="CM787" s="267"/>
      <c r="CN787" s="267"/>
      <c r="CO787" s="267"/>
      <c r="CP787" s="267"/>
      <c r="CQ787" s="267"/>
      <c r="CR787" s="267"/>
      <c r="CS787" s="267"/>
      <c r="CT787" s="267"/>
      <c r="CU787" s="267"/>
      <c r="CV787" s="267"/>
      <c r="CW787" s="267"/>
      <c r="CX787" s="267"/>
      <c r="CY787" s="267"/>
      <c r="CZ787" s="267"/>
    </row>
    <row r="788" spans="2:104">
      <c r="B788" s="1235"/>
      <c r="C788" s="1235"/>
      <c r="D788" s="1235"/>
      <c r="E788" s="267"/>
      <c r="F788" s="267"/>
      <c r="G788" s="267"/>
      <c r="H788" s="267"/>
      <c r="I788" s="267"/>
      <c r="J788" s="267"/>
      <c r="K788" s="267"/>
      <c r="L788" s="267"/>
      <c r="M788" s="267"/>
      <c r="N788" s="267"/>
      <c r="O788" s="267"/>
      <c r="P788" s="267"/>
      <c r="Q788" s="267"/>
      <c r="R788" s="267"/>
      <c r="S788" s="267"/>
      <c r="T788" s="267"/>
      <c r="U788" s="267"/>
      <c r="V788" s="267"/>
      <c r="W788" s="267"/>
      <c r="X788" s="267"/>
      <c r="Y788" s="267"/>
      <c r="Z788" s="267"/>
      <c r="AA788" s="267"/>
      <c r="AB788" s="267"/>
      <c r="AC788" s="267"/>
      <c r="AD788" s="267"/>
      <c r="AE788" s="267"/>
      <c r="AF788" s="267"/>
      <c r="AG788" s="267"/>
      <c r="AH788" s="267"/>
      <c r="AI788" s="267"/>
      <c r="AJ788" s="267"/>
      <c r="AK788" s="267"/>
      <c r="AL788" s="267"/>
      <c r="AM788" s="267"/>
      <c r="AN788" s="267"/>
      <c r="AO788" s="267"/>
      <c r="AP788" s="267"/>
      <c r="AQ788" s="267"/>
      <c r="AR788" s="267"/>
      <c r="AS788" s="267"/>
      <c r="AT788" s="267"/>
      <c r="AU788" s="267"/>
      <c r="AV788" s="267"/>
      <c r="AW788" s="267"/>
      <c r="AX788" s="267"/>
      <c r="AY788" s="267"/>
      <c r="AZ788" s="267"/>
      <c r="BA788" s="267"/>
      <c r="BB788" s="267"/>
      <c r="BC788" s="267"/>
      <c r="BD788" s="267"/>
      <c r="BE788" s="267"/>
      <c r="BF788" s="267"/>
      <c r="BG788" s="267"/>
      <c r="BH788" s="267"/>
      <c r="BI788" s="267"/>
      <c r="BJ788" s="267"/>
      <c r="BK788" s="267"/>
      <c r="BL788" s="267"/>
      <c r="BM788" s="267"/>
      <c r="BN788" s="267"/>
      <c r="BO788" s="267"/>
      <c r="BP788" s="267"/>
      <c r="BQ788" s="267"/>
      <c r="BR788" s="267"/>
      <c r="BS788" s="267"/>
      <c r="BT788" s="267"/>
      <c r="BU788" s="267"/>
      <c r="BV788" s="267"/>
      <c r="BW788" s="267"/>
      <c r="BX788" s="267"/>
      <c r="BY788" s="267"/>
      <c r="BZ788" s="267"/>
      <c r="CA788" s="267"/>
      <c r="CB788" s="267"/>
      <c r="CC788" s="267"/>
      <c r="CD788" s="267"/>
      <c r="CE788" s="267"/>
      <c r="CF788" s="267"/>
      <c r="CG788" s="267"/>
      <c r="CH788" s="267"/>
      <c r="CI788" s="267"/>
      <c r="CJ788" s="267"/>
      <c r="CK788" s="267"/>
      <c r="CL788" s="267"/>
      <c r="CM788" s="267"/>
      <c r="CN788" s="267"/>
      <c r="CO788" s="267"/>
      <c r="CP788" s="267"/>
      <c r="CQ788" s="267"/>
      <c r="CR788" s="267"/>
      <c r="CS788" s="267"/>
      <c r="CT788" s="267"/>
      <c r="CU788" s="267"/>
      <c r="CV788" s="267"/>
      <c r="CW788" s="267"/>
      <c r="CX788" s="267"/>
      <c r="CY788" s="267"/>
      <c r="CZ788" s="267"/>
    </row>
    <row r="789" spans="2:104">
      <c r="B789" s="1235"/>
      <c r="C789" s="1235"/>
      <c r="D789" s="1235"/>
      <c r="E789" s="267"/>
      <c r="F789" s="267"/>
      <c r="G789" s="267"/>
      <c r="H789" s="267"/>
      <c r="I789" s="267"/>
      <c r="J789" s="267"/>
      <c r="K789" s="267"/>
      <c r="L789" s="267"/>
      <c r="M789" s="267"/>
      <c r="N789" s="267"/>
      <c r="O789" s="267"/>
      <c r="P789" s="267"/>
      <c r="Q789" s="267"/>
      <c r="R789" s="267"/>
      <c r="S789" s="267"/>
      <c r="T789" s="267"/>
      <c r="U789" s="267"/>
      <c r="V789" s="267"/>
      <c r="W789" s="267"/>
      <c r="X789" s="267"/>
      <c r="Y789" s="267"/>
      <c r="Z789" s="267"/>
      <c r="AA789" s="267"/>
      <c r="AB789" s="267"/>
      <c r="AC789" s="267"/>
      <c r="AD789" s="267"/>
      <c r="AE789" s="267"/>
      <c r="AF789" s="267"/>
      <c r="AG789" s="267"/>
      <c r="AH789" s="267"/>
      <c r="AI789" s="267"/>
      <c r="AJ789" s="267"/>
      <c r="AK789" s="267"/>
      <c r="AL789" s="267"/>
      <c r="AM789" s="267"/>
      <c r="AN789" s="267"/>
      <c r="AO789" s="267"/>
      <c r="AP789" s="267"/>
      <c r="AQ789" s="267"/>
      <c r="AR789" s="267"/>
      <c r="AS789" s="267"/>
      <c r="AT789" s="267"/>
      <c r="AU789" s="267"/>
      <c r="AV789" s="267"/>
      <c r="AW789" s="267"/>
      <c r="AX789" s="267"/>
      <c r="AY789" s="267"/>
      <c r="AZ789" s="267"/>
      <c r="BA789" s="267"/>
      <c r="BB789" s="267"/>
      <c r="BC789" s="267"/>
      <c r="BD789" s="267"/>
      <c r="BE789" s="267"/>
      <c r="BF789" s="267"/>
      <c r="BG789" s="267"/>
      <c r="BH789" s="267"/>
      <c r="BI789" s="267"/>
      <c r="BJ789" s="267"/>
      <c r="BK789" s="267"/>
      <c r="BL789" s="267"/>
      <c r="BM789" s="267"/>
      <c r="BN789" s="267"/>
      <c r="BO789" s="267"/>
      <c r="BP789" s="267"/>
      <c r="BQ789" s="267"/>
      <c r="BR789" s="267"/>
      <c r="BS789" s="267"/>
      <c r="BT789" s="267"/>
      <c r="BU789" s="267"/>
      <c r="BV789" s="267"/>
      <c r="BW789" s="267"/>
      <c r="BX789" s="267"/>
      <c r="BY789" s="267"/>
      <c r="BZ789" s="267"/>
      <c r="CA789" s="267"/>
      <c r="CB789" s="267"/>
      <c r="CC789" s="267"/>
      <c r="CD789" s="267"/>
      <c r="CE789" s="267"/>
      <c r="CF789" s="267"/>
      <c r="CG789" s="267"/>
      <c r="CH789" s="267"/>
      <c r="CI789" s="267"/>
      <c r="CJ789" s="267"/>
      <c r="CK789" s="267"/>
      <c r="CL789" s="267"/>
      <c r="CM789" s="267"/>
      <c r="CN789" s="267"/>
      <c r="CO789" s="267"/>
      <c r="CP789" s="267"/>
      <c r="CQ789" s="267"/>
      <c r="CR789" s="267"/>
      <c r="CS789" s="267"/>
      <c r="CT789" s="267"/>
      <c r="CU789" s="267"/>
      <c r="CV789" s="267"/>
      <c r="CW789" s="267"/>
      <c r="CX789" s="267"/>
      <c r="CY789" s="267"/>
      <c r="CZ789" s="267"/>
    </row>
    <row r="790" spans="2:104">
      <c r="B790" s="1235"/>
      <c r="C790" s="1235"/>
      <c r="D790" s="1235"/>
      <c r="E790" s="267"/>
      <c r="F790" s="267"/>
      <c r="G790" s="267"/>
      <c r="H790" s="267"/>
      <c r="I790" s="267"/>
      <c r="J790" s="267"/>
      <c r="K790" s="267"/>
      <c r="L790" s="267"/>
      <c r="M790" s="267"/>
      <c r="N790" s="267"/>
      <c r="O790" s="267"/>
      <c r="P790" s="267"/>
      <c r="Q790" s="267"/>
      <c r="R790" s="267"/>
      <c r="S790" s="267"/>
      <c r="T790" s="267"/>
      <c r="U790" s="267"/>
      <c r="V790" s="267"/>
      <c r="W790" s="267"/>
      <c r="X790" s="267"/>
      <c r="Y790" s="267"/>
      <c r="Z790" s="267"/>
      <c r="AA790" s="267"/>
      <c r="AB790" s="267"/>
      <c r="AC790" s="267"/>
      <c r="AD790" s="267"/>
      <c r="AE790" s="267"/>
      <c r="AF790" s="267"/>
      <c r="AG790" s="267"/>
      <c r="AH790" s="267"/>
      <c r="AI790" s="267"/>
      <c r="AJ790" s="267"/>
      <c r="AK790" s="267"/>
      <c r="AL790" s="267"/>
      <c r="AM790" s="267"/>
      <c r="AN790" s="267"/>
      <c r="AO790" s="267"/>
      <c r="AP790" s="267"/>
      <c r="AQ790" s="267"/>
      <c r="AR790" s="267"/>
      <c r="AS790" s="267"/>
      <c r="AT790" s="267"/>
      <c r="AU790" s="267"/>
      <c r="AV790" s="267"/>
      <c r="AW790" s="267"/>
      <c r="AX790" s="267"/>
      <c r="AY790" s="267"/>
      <c r="AZ790" s="267"/>
      <c r="BA790" s="267"/>
      <c r="BB790" s="267"/>
      <c r="BC790" s="267"/>
      <c r="BD790" s="267"/>
      <c r="BE790" s="267"/>
      <c r="BF790" s="267"/>
      <c r="BG790" s="267"/>
      <c r="BH790" s="267"/>
      <c r="BI790" s="267"/>
      <c r="BJ790" s="267"/>
      <c r="BK790" s="267"/>
      <c r="BL790" s="267"/>
      <c r="BM790" s="267"/>
      <c r="BN790" s="267"/>
      <c r="BO790" s="267"/>
      <c r="BP790" s="267"/>
      <c r="BQ790" s="267"/>
      <c r="BR790" s="267"/>
      <c r="BS790" s="267"/>
      <c r="BT790" s="267"/>
      <c r="BU790" s="267"/>
      <c r="BV790" s="267"/>
      <c r="BW790" s="267"/>
      <c r="BX790" s="267"/>
      <c r="BY790" s="267"/>
      <c r="BZ790" s="267"/>
      <c r="CA790" s="267"/>
      <c r="CB790" s="267"/>
      <c r="CC790" s="267"/>
      <c r="CD790" s="267"/>
      <c r="CE790" s="267"/>
      <c r="CF790" s="267"/>
      <c r="CG790" s="267"/>
      <c r="CH790" s="267"/>
      <c r="CI790" s="267"/>
      <c r="CJ790" s="267"/>
      <c r="CK790" s="267"/>
      <c r="CL790" s="267"/>
      <c r="CM790" s="267"/>
      <c r="CN790" s="267"/>
      <c r="CO790" s="267"/>
      <c r="CP790" s="267"/>
      <c r="CQ790" s="267"/>
      <c r="CR790" s="267"/>
      <c r="CS790" s="267"/>
      <c r="CT790" s="267"/>
      <c r="CU790" s="267"/>
      <c r="CV790" s="267"/>
      <c r="CW790" s="267"/>
      <c r="CX790" s="267"/>
      <c r="CY790" s="267"/>
      <c r="CZ790" s="267"/>
    </row>
    <row r="791" spans="2:104">
      <c r="B791" s="1235"/>
      <c r="C791" s="1235"/>
      <c r="D791" s="1235"/>
      <c r="E791" s="267"/>
      <c r="F791" s="267"/>
      <c r="G791" s="267"/>
      <c r="H791" s="267"/>
      <c r="I791" s="267"/>
      <c r="J791" s="267"/>
      <c r="K791" s="267"/>
      <c r="L791" s="267"/>
      <c r="M791" s="267"/>
      <c r="N791" s="267"/>
      <c r="O791" s="267"/>
      <c r="P791" s="267"/>
      <c r="Q791" s="267"/>
      <c r="R791" s="267"/>
      <c r="S791" s="267"/>
      <c r="T791" s="267"/>
      <c r="U791" s="267"/>
      <c r="V791" s="267"/>
      <c r="W791" s="267"/>
      <c r="X791" s="267"/>
      <c r="Y791" s="267"/>
      <c r="Z791" s="267"/>
      <c r="AA791" s="267"/>
      <c r="AB791" s="267"/>
      <c r="AC791" s="267"/>
      <c r="AD791" s="267"/>
      <c r="AE791" s="267"/>
      <c r="AF791" s="267"/>
      <c r="AG791" s="267"/>
      <c r="AH791" s="267"/>
      <c r="AI791" s="267"/>
      <c r="AJ791" s="267"/>
      <c r="AK791" s="267"/>
      <c r="AL791" s="267"/>
      <c r="AM791" s="267"/>
      <c r="AN791" s="267"/>
      <c r="AO791" s="267"/>
      <c r="AP791" s="267"/>
      <c r="AQ791" s="267"/>
      <c r="AR791" s="267"/>
      <c r="AS791" s="267"/>
      <c r="AT791" s="267"/>
      <c r="AU791" s="267"/>
      <c r="AV791" s="267"/>
      <c r="AW791" s="267"/>
      <c r="AX791" s="267"/>
      <c r="AY791" s="267"/>
      <c r="AZ791" s="267"/>
      <c r="BA791" s="267"/>
      <c r="BB791" s="267"/>
      <c r="BC791" s="267"/>
      <c r="BD791" s="267"/>
      <c r="BE791" s="267"/>
      <c r="BF791" s="267"/>
      <c r="BG791" s="267"/>
      <c r="BH791" s="267"/>
      <c r="BI791" s="267"/>
      <c r="BJ791" s="267"/>
      <c r="BK791" s="267"/>
      <c r="BL791" s="267"/>
      <c r="BM791" s="267"/>
      <c r="BN791" s="267"/>
      <c r="BO791" s="267"/>
      <c r="BP791" s="267"/>
      <c r="BQ791" s="267"/>
      <c r="BR791" s="267"/>
      <c r="BS791" s="267"/>
      <c r="BT791" s="267"/>
      <c r="BU791" s="267"/>
      <c r="BV791" s="267"/>
      <c r="BW791" s="267"/>
      <c r="BX791" s="267"/>
      <c r="BY791" s="267"/>
      <c r="BZ791" s="267"/>
      <c r="CA791" s="267"/>
      <c r="CB791" s="267"/>
      <c r="CC791" s="267"/>
      <c r="CD791" s="267"/>
      <c r="CE791" s="267"/>
      <c r="CF791" s="267"/>
      <c r="CG791" s="267"/>
      <c r="CH791" s="267"/>
      <c r="CI791" s="267"/>
      <c r="CJ791" s="267"/>
      <c r="CK791" s="267"/>
      <c r="CL791" s="267"/>
      <c r="CM791" s="267"/>
      <c r="CN791" s="267"/>
      <c r="CO791" s="267"/>
      <c r="CP791" s="267"/>
      <c r="CQ791" s="267"/>
      <c r="CR791" s="267"/>
      <c r="CS791" s="267"/>
      <c r="CT791" s="267"/>
      <c r="CU791" s="267"/>
      <c r="CV791" s="267"/>
      <c r="CW791" s="267"/>
      <c r="CX791" s="267"/>
      <c r="CY791" s="267"/>
      <c r="CZ791" s="267"/>
    </row>
    <row r="792" spans="2:104">
      <c r="B792" s="1235"/>
      <c r="C792" s="1235"/>
      <c r="D792" s="1235"/>
      <c r="E792" s="267"/>
      <c r="F792" s="267"/>
      <c r="G792" s="267"/>
      <c r="H792" s="267"/>
      <c r="I792" s="267"/>
      <c r="J792" s="267"/>
      <c r="K792" s="267"/>
      <c r="L792" s="267"/>
      <c r="M792" s="267"/>
      <c r="N792" s="267"/>
      <c r="O792" s="267"/>
      <c r="P792" s="267"/>
      <c r="Q792" s="267"/>
      <c r="R792" s="267"/>
      <c r="S792" s="267"/>
      <c r="T792" s="267"/>
      <c r="U792" s="267"/>
      <c r="V792" s="267"/>
      <c r="W792" s="267"/>
      <c r="X792" s="267"/>
      <c r="Y792" s="267"/>
      <c r="Z792" s="267"/>
      <c r="AA792" s="267"/>
      <c r="AB792" s="267"/>
      <c r="AC792" s="267"/>
      <c r="AD792" s="267"/>
      <c r="AE792" s="267"/>
      <c r="AF792" s="267"/>
      <c r="AG792" s="267"/>
      <c r="AH792" s="267"/>
      <c r="AI792" s="267"/>
      <c r="AJ792" s="267"/>
      <c r="AK792" s="267"/>
      <c r="AL792" s="267"/>
      <c r="AM792" s="267"/>
      <c r="AN792" s="267"/>
      <c r="AO792" s="267"/>
      <c r="AP792" s="267"/>
      <c r="AQ792" s="267"/>
      <c r="AR792" s="267"/>
      <c r="AS792" s="267"/>
      <c r="AT792" s="267"/>
      <c r="AU792" s="267"/>
      <c r="AV792" s="267"/>
      <c r="AW792" s="267"/>
      <c r="AX792" s="267"/>
      <c r="AY792" s="267"/>
      <c r="AZ792" s="267"/>
      <c r="BA792" s="267"/>
      <c r="BB792" s="267"/>
      <c r="BC792" s="267"/>
      <c r="BD792" s="267"/>
      <c r="BE792" s="267"/>
      <c r="BF792" s="267"/>
      <c r="BG792" s="267"/>
      <c r="BH792" s="267"/>
      <c r="BI792" s="267"/>
      <c r="BJ792" s="267"/>
      <c r="BK792" s="267"/>
      <c r="BL792" s="267"/>
      <c r="BM792" s="267"/>
      <c r="BN792" s="267"/>
      <c r="BO792" s="267"/>
      <c r="BP792" s="267"/>
      <c r="BQ792" s="267"/>
      <c r="BR792" s="267"/>
      <c r="BS792" s="267"/>
      <c r="BT792" s="267"/>
      <c r="BU792" s="267"/>
      <c r="BV792" s="267"/>
      <c r="BW792" s="267"/>
      <c r="BX792" s="267"/>
      <c r="BY792" s="267"/>
      <c r="BZ792" s="267"/>
      <c r="CA792" s="267"/>
      <c r="CB792" s="267"/>
      <c r="CC792" s="267"/>
      <c r="CD792" s="267"/>
      <c r="CE792" s="267"/>
      <c r="CF792" s="267"/>
      <c r="CG792" s="267"/>
      <c r="CH792" s="267"/>
      <c r="CI792" s="267"/>
      <c r="CJ792" s="267"/>
      <c r="CK792" s="267"/>
      <c r="CL792" s="267"/>
      <c r="CM792" s="267"/>
      <c r="CN792" s="267"/>
      <c r="CO792" s="267"/>
      <c r="CP792" s="267"/>
      <c r="CQ792" s="267"/>
      <c r="CR792" s="267"/>
      <c r="CS792" s="267"/>
      <c r="CT792" s="267"/>
      <c r="CU792" s="267"/>
      <c r="CV792" s="267"/>
      <c r="CW792" s="267"/>
      <c r="CX792" s="267"/>
      <c r="CY792" s="267"/>
      <c r="CZ792" s="267"/>
    </row>
    <row r="793" spans="2:104">
      <c r="B793" s="1235"/>
      <c r="C793" s="1235"/>
      <c r="D793" s="1235"/>
      <c r="E793" s="267"/>
      <c r="F793" s="267"/>
      <c r="G793" s="267"/>
      <c r="H793" s="267"/>
      <c r="I793" s="267"/>
      <c r="J793" s="267"/>
      <c r="K793" s="267"/>
      <c r="L793" s="267"/>
      <c r="M793" s="267"/>
      <c r="N793" s="267"/>
      <c r="O793" s="267"/>
      <c r="P793" s="267"/>
      <c r="Q793" s="267"/>
      <c r="R793" s="267"/>
      <c r="S793" s="267"/>
      <c r="T793" s="267"/>
      <c r="U793" s="267"/>
      <c r="V793" s="267"/>
      <c r="W793" s="267"/>
      <c r="X793" s="267"/>
      <c r="Y793" s="267"/>
      <c r="Z793" s="267"/>
      <c r="AA793" s="267"/>
      <c r="AB793" s="267"/>
      <c r="AC793" s="267"/>
      <c r="AD793" s="267"/>
      <c r="AE793" s="267"/>
      <c r="AF793" s="267"/>
      <c r="AG793" s="267"/>
      <c r="AH793" s="267"/>
      <c r="AI793" s="267"/>
      <c r="AJ793" s="267"/>
      <c r="AK793" s="267"/>
      <c r="AL793" s="267"/>
      <c r="AM793" s="267"/>
      <c r="AN793" s="267"/>
      <c r="AO793" s="267"/>
      <c r="AP793" s="267"/>
      <c r="AQ793" s="267"/>
      <c r="AR793" s="267"/>
      <c r="AS793" s="267"/>
      <c r="AT793" s="267"/>
      <c r="AU793" s="267"/>
      <c r="AV793" s="267"/>
      <c r="AW793" s="267"/>
      <c r="AX793" s="267"/>
      <c r="AY793" s="267"/>
      <c r="AZ793" s="267"/>
      <c r="BA793" s="267"/>
      <c r="BB793" s="267"/>
      <c r="BC793" s="267"/>
      <c r="BD793" s="267"/>
      <c r="BE793" s="267"/>
      <c r="BF793" s="267"/>
      <c r="BG793" s="267"/>
      <c r="BH793" s="267"/>
      <c r="BI793" s="267"/>
      <c r="BJ793" s="267"/>
      <c r="BK793" s="267"/>
      <c r="BL793" s="267"/>
      <c r="BM793" s="267"/>
      <c r="BN793" s="267"/>
      <c r="BO793" s="267"/>
      <c r="BP793" s="267"/>
      <c r="BQ793" s="267"/>
      <c r="BR793" s="267"/>
      <c r="BS793" s="267"/>
      <c r="BT793" s="267"/>
      <c r="BU793" s="267"/>
      <c r="BV793" s="267"/>
      <c r="BW793" s="267"/>
      <c r="BX793" s="267"/>
      <c r="BY793" s="267"/>
      <c r="BZ793" s="267"/>
      <c r="CA793" s="267"/>
      <c r="CB793" s="267"/>
      <c r="CC793" s="267"/>
      <c r="CD793" s="267"/>
      <c r="CE793" s="267"/>
      <c r="CF793" s="267"/>
      <c r="CG793" s="267"/>
      <c r="CH793" s="267"/>
      <c r="CI793" s="267"/>
      <c r="CJ793" s="267"/>
      <c r="CK793" s="267"/>
      <c r="CL793" s="267"/>
      <c r="CM793" s="267"/>
      <c r="CN793" s="267"/>
      <c r="CO793" s="267"/>
      <c r="CP793" s="267"/>
      <c r="CQ793" s="267"/>
      <c r="CR793" s="267"/>
      <c r="CS793" s="267"/>
      <c r="CT793" s="267"/>
      <c r="CU793" s="267"/>
      <c r="CV793" s="267"/>
      <c r="CW793" s="267"/>
      <c r="CX793" s="267"/>
      <c r="CY793" s="267"/>
      <c r="CZ793" s="267"/>
    </row>
    <row r="794" spans="2:104">
      <c r="B794" s="1235"/>
      <c r="C794" s="1235"/>
      <c r="D794" s="1235"/>
      <c r="E794" s="267"/>
      <c r="F794" s="267"/>
      <c r="G794" s="267"/>
      <c r="H794" s="267"/>
      <c r="I794" s="267"/>
      <c r="J794" s="267"/>
      <c r="K794" s="267"/>
      <c r="L794" s="267"/>
      <c r="M794" s="267"/>
      <c r="N794" s="267"/>
      <c r="O794" s="267"/>
      <c r="P794" s="267"/>
      <c r="Q794" s="267"/>
      <c r="R794" s="267"/>
      <c r="S794" s="267"/>
      <c r="T794" s="267"/>
      <c r="U794" s="267"/>
      <c r="V794" s="267"/>
      <c r="W794" s="267"/>
      <c r="X794" s="267"/>
      <c r="Y794" s="267"/>
      <c r="Z794" s="267"/>
      <c r="AA794" s="267"/>
      <c r="AB794" s="267"/>
      <c r="AC794" s="267"/>
      <c r="AD794" s="267"/>
      <c r="AE794" s="267"/>
      <c r="AF794" s="267"/>
      <c r="AG794" s="267"/>
      <c r="AH794" s="267"/>
      <c r="AI794" s="267"/>
      <c r="AJ794" s="267"/>
      <c r="AK794" s="267"/>
      <c r="AL794" s="267"/>
      <c r="AM794" s="267"/>
      <c r="AN794" s="267"/>
      <c r="AO794" s="267"/>
      <c r="AP794" s="267"/>
      <c r="AQ794" s="267"/>
      <c r="AR794" s="267"/>
      <c r="AS794" s="267"/>
      <c r="AT794" s="267"/>
      <c r="AU794" s="267"/>
      <c r="AV794" s="267"/>
      <c r="AW794" s="267"/>
      <c r="AX794" s="267"/>
      <c r="AY794" s="267"/>
      <c r="AZ794" s="267"/>
      <c r="BA794" s="267"/>
      <c r="BB794" s="267"/>
      <c r="BC794" s="267"/>
      <c r="BD794" s="267"/>
      <c r="BE794" s="267"/>
      <c r="BF794" s="267"/>
      <c r="BG794" s="267"/>
      <c r="BH794" s="267"/>
      <c r="BI794" s="267"/>
      <c r="BJ794" s="267"/>
      <c r="BK794" s="267"/>
      <c r="BL794" s="267"/>
      <c r="BM794" s="267"/>
      <c r="BN794" s="267"/>
      <c r="BO794" s="267"/>
      <c r="BP794" s="267"/>
      <c r="BQ794" s="267"/>
      <c r="BR794" s="267"/>
      <c r="BS794" s="267"/>
      <c r="BT794" s="267"/>
      <c r="BU794" s="267"/>
      <c r="BV794" s="267"/>
      <c r="BW794" s="267"/>
      <c r="BX794" s="267"/>
      <c r="BY794" s="267"/>
      <c r="BZ794" s="267"/>
      <c r="CA794" s="267"/>
      <c r="CB794" s="267"/>
      <c r="CC794" s="267"/>
      <c r="CD794" s="267"/>
      <c r="CE794" s="267"/>
      <c r="CF794" s="267"/>
      <c r="CG794" s="267"/>
      <c r="CH794" s="267"/>
      <c r="CI794" s="267"/>
      <c r="CJ794" s="267"/>
      <c r="CK794" s="267"/>
      <c r="CL794" s="267"/>
      <c r="CM794" s="267"/>
      <c r="CN794" s="267"/>
      <c r="CO794" s="267"/>
      <c r="CP794" s="267"/>
      <c r="CQ794" s="267"/>
      <c r="CR794" s="267"/>
      <c r="CS794" s="267"/>
      <c r="CT794" s="267"/>
      <c r="CU794" s="267"/>
      <c r="CV794" s="267"/>
      <c r="CW794" s="267"/>
      <c r="CX794" s="267"/>
      <c r="CY794" s="267"/>
      <c r="CZ794" s="267"/>
    </row>
    <row r="795" spans="2:104">
      <c r="B795" s="1235"/>
      <c r="C795" s="1235"/>
      <c r="D795" s="1235"/>
      <c r="E795" s="267"/>
      <c r="F795" s="267"/>
      <c r="G795" s="267"/>
      <c r="H795" s="267"/>
      <c r="I795" s="267"/>
      <c r="J795" s="267"/>
      <c r="K795" s="267"/>
      <c r="L795" s="267"/>
      <c r="M795" s="267"/>
      <c r="N795" s="267"/>
      <c r="O795" s="267"/>
      <c r="P795" s="267"/>
      <c r="Q795" s="267"/>
      <c r="R795" s="267"/>
      <c r="S795" s="267"/>
      <c r="T795" s="267"/>
      <c r="U795" s="267"/>
      <c r="V795" s="267"/>
      <c r="W795" s="267"/>
      <c r="X795" s="267"/>
      <c r="Y795" s="267"/>
      <c r="Z795" s="267"/>
      <c r="AA795" s="267"/>
      <c r="AB795" s="267"/>
      <c r="AC795" s="267"/>
      <c r="AD795" s="267"/>
      <c r="AE795" s="267"/>
      <c r="AF795" s="267"/>
      <c r="AG795" s="267"/>
      <c r="AH795" s="267"/>
      <c r="AI795" s="267"/>
      <c r="AJ795" s="267"/>
      <c r="AK795" s="267"/>
      <c r="AL795" s="267"/>
      <c r="AM795" s="267"/>
      <c r="AN795" s="267"/>
      <c r="AO795" s="267"/>
      <c r="AP795" s="267"/>
      <c r="AQ795" s="267"/>
      <c r="AR795" s="267"/>
      <c r="AS795" s="267"/>
      <c r="AT795" s="267"/>
      <c r="AU795" s="267"/>
      <c r="AV795" s="267"/>
      <c r="AW795" s="267"/>
      <c r="AX795" s="267"/>
      <c r="AY795" s="267"/>
      <c r="AZ795" s="267"/>
      <c r="BA795" s="267"/>
      <c r="BB795" s="267"/>
      <c r="BC795" s="267"/>
      <c r="BD795" s="267"/>
      <c r="BE795" s="267"/>
      <c r="BF795" s="267"/>
      <c r="BG795" s="267"/>
      <c r="BH795" s="267"/>
      <c r="BI795" s="267"/>
      <c r="BJ795" s="267"/>
      <c r="BK795" s="267"/>
      <c r="BL795" s="267"/>
      <c r="BM795" s="267"/>
      <c r="BN795" s="267"/>
      <c r="BO795" s="267"/>
      <c r="BP795" s="267"/>
      <c r="BQ795" s="267"/>
      <c r="BR795" s="267"/>
      <c r="BS795" s="267"/>
      <c r="BT795" s="267"/>
      <c r="BU795" s="267"/>
      <c r="BV795" s="267"/>
      <c r="BW795" s="267"/>
      <c r="BX795" s="267"/>
      <c r="BY795" s="267"/>
      <c r="BZ795" s="267"/>
      <c r="CA795" s="267"/>
      <c r="CB795" s="267"/>
      <c r="CC795" s="267"/>
      <c r="CD795" s="267"/>
      <c r="CE795" s="267"/>
      <c r="CF795" s="267"/>
      <c r="CG795" s="267"/>
      <c r="CH795" s="267"/>
      <c r="CI795" s="267"/>
      <c r="CJ795" s="267"/>
      <c r="CK795" s="267"/>
      <c r="CL795" s="267"/>
      <c r="CM795" s="267"/>
      <c r="CN795" s="267"/>
      <c r="CO795" s="267"/>
      <c r="CP795" s="267"/>
      <c r="CQ795" s="267"/>
      <c r="CR795" s="267"/>
      <c r="CS795" s="267"/>
      <c r="CT795" s="267"/>
      <c r="CU795" s="267"/>
      <c r="CV795" s="267"/>
      <c r="CW795" s="267"/>
      <c r="CX795" s="267"/>
      <c r="CY795" s="267"/>
      <c r="CZ795" s="267"/>
    </row>
    <row r="796" spans="2:104">
      <c r="B796" s="1235"/>
      <c r="C796" s="1235"/>
      <c r="D796" s="1235"/>
      <c r="E796" s="267"/>
      <c r="F796" s="267"/>
      <c r="G796" s="267"/>
      <c r="H796" s="267"/>
      <c r="I796" s="267"/>
      <c r="J796" s="267"/>
      <c r="K796" s="267"/>
      <c r="L796" s="267"/>
      <c r="M796" s="267"/>
      <c r="N796" s="267"/>
      <c r="O796" s="267"/>
      <c r="P796" s="267"/>
      <c r="Q796" s="267"/>
      <c r="R796" s="267"/>
      <c r="S796" s="267"/>
      <c r="T796" s="267"/>
      <c r="U796" s="267"/>
      <c r="V796" s="267"/>
      <c r="W796" s="267"/>
      <c r="X796" s="267"/>
      <c r="Y796" s="267"/>
      <c r="Z796" s="267"/>
      <c r="AA796" s="267"/>
      <c r="AB796" s="267"/>
      <c r="AC796" s="267"/>
      <c r="AD796" s="267"/>
      <c r="AE796" s="267"/>
      <c r="AF796" s="267"/>
      <c r="AG796" s="267"/>
      <c r="AH796" s="267"/>
      <c r="AI796" s="267"/>
      <c r="AJ796" s="267"/>
      <c r="AK796" s="267"/>
      <c r="AL796" s="267"/>
      <c r="AM796" s="267"/>
      <c r="AN796" s="267"/>
      <c r="AO796" s="267"/>
      <c r="AP796" s="267"/>
      <c r="AQ796" s="267"/>
      <c r="AR796" s="267"/>
      <c r="AS796" s="267"/>
      <c r="AT796" s="267"/>
      <c r="AU796" s="267"/>
      <c r="AV796" s="267"/>
      <c r="AW796" s="267"/>
      <c r="AX796" s="267"/>
      <c r="AY796" s="267"/>
      <c r="AZ796" s="267"/>
      <c r="BA796" s="267"/>
      <c r="BB796" s="267"/>
      <c r="BC796" s="267"/>
      <c r="BD796" s="267"/>
      <c r="BE796" s="267"/>
      <c r="BF796" s="267"/>
      <c r="BG796" s="267"/>
      <c r="BH796" s="267"/>
      <c r="BI796" s="267"/>
      <c r="BJ796" s="267"/>
      <c r="BK796" s="267"/>
      <c r="BL796" s="267"/>
      <c r="BM796" s="267"/>
      <c r="BN796" s="267"/>
      <c r="BO796" s="267"/>
      <c r="BP796" s="267"/>
      <c r="BQ796" s="267"/>
      <c r="BR796" s="267"/>
      <c r="BS796" s="267"/>
      <c r="BT796" s="267"/>
      <c r="BU796" s="267"/>
      <c r="BV796" s="267"/>
      <c r="BW796" s="267"/>
      <c r="BX796" s="267"/>
      <c r="BY796" s="267"/>
      <c r="BZ796" s="267"/>
      <c r="CA796" s="267"/>
      <c r="CB796" s="267"/>
      <c r="CC796" s="267"/>
      <c r="CD796" s="267"/>
      <c r="CE796" s="267"/>
      <c r="CF796" s="267"/>
      <c r="CG796" s="267"/>
      <c r="CH796" s="267"/>
      <c r="CI796" s="267"/>
      <c r="CJ796" s="267"/>
      <c r="CK796" s="267"/>
      <c r="CL796" s="267"/>
      <c r="CM796" s="267"/>
      <c r="CN796" s="267"/>
      <c r="CO796" s="267"/>
      <c r="CP796" s="267"/>
      <c r="CQ796" s="267"/>
      <c r="CR796" s="267"/>
      <c r="CS796" s="267"/>
      <c r="CT796" s="267"/>
      <c r="CU796" s="267"/>
      <c r="CV796" s="267"/>
      <c r="CW796" s="267"/>
      <c r="CX796" s="267"/>
      <c r="CY796" s="267"/>
      <c r="CZ796" s="267"/>
    </row>
    <row r="797" spans="2:104">
      <c r="B797" s="1235"/>
      <c r="C797" s="1235"/>
      <c r="D797" s="1235"/>
      <c r="E797" s="267"/>
      <c r="F797" s="267"/>
      <c r="G797" s="267"/>
      <c r="H797" s="267"/>
      <c r="I797" s="267"/>
      <c r="J797" s="267"/>
      <c r="K797" s="267"/>
      <c r="L797" s="267"/>
      <c r="M797" s="267"/>
      <c r="N797" s="267"/>
      <c r="O797" s="267"/>
      <c r="P797" s="267"/>
      <c r="Q797" s="267"/>
      <c r="R797" s="267"/>
      <c r="S797" s="267"/>
      <c r="T797" s="267"/>
      <c r="U797" s="267"/>
      <c r="V797" s="267"/>
      <c r="W797" s="267"/>
      <c r="X797" s="267"/>
      <c r="Y797" s="267"/>
      <c r="Z797" s="267"/>
      <c r="AA797" s="267"/>
      <c r="AB797" s="267"/>
      <c r="AC797" s="267"/>
      <c r="AD797" s="267"/>
      <c r="AE797" s="267"/>
      <c r="AF797" s="267"/>
      <c r="AG797" s="267"/>
      <c r="AH797" s="267"/>
      <c r="AI797" s="267"/>
      <c r="AJ797" s="267"/>
      <c r="AK797" s="267"/>
      <c r="AL797" s="267"/>
      <c r="AM797" s="267"/>
      <c r="AN797" s="267"/>
      <c r="AO797" s="267"/>
      <c r="AP797" s="267"/>
      <c r="AQ797" s="267"/>
      <c r="AR797" s="267"/>
      <c r="AS797" s="267"/>
      <c r="AT797" s="267"/>
      <c r="AU797" s="267"/>
      <c r="AV797" s="267"/>
      <c r="AW797" s="267"/>
      <c r="AX797" s="267"/>
      <c r="AY797" s="267"/>
      <c r="AZ797" s="267"/>
      <c r="BA797" s="267"/>
      <c r="BB797" s="267"/>
      <c r="BC797" s="267"/>
      <c r="BD797" s="267"/>
      <c r="BE797" s="267"/>
      <c r="BF797" s="267"/>
      <c r="BG797" s="267"/>
      <c r="BH797" s="267"/>
      <c r="BI797" s="267"/>
      <c r="BJ797" s="267"/>
      <c r="BK797" s="267"/>
      <c r="BL797" s="267"/>
      <c r="BM797" s="267"/>
      <c r="BN797" s="267"/>
      <c r="BO797" s="267"/>
      <c r="BP797" s="267"/>
      <c r="BQ797" s="267"/>
      <c r="BR797" s="267"/>
      <c r="BS797" s="267"/>
      <c r="BT797" s="267"/>
      <c r="BU797" s="267"/>
      <c r="BV797" s="267"/>
      <c r="BW797" s="267"/>
      <c r="BX797" s="267"/>
      <c r="BY797" s="267"/>
      <c r="BZ797" s="267"/>
      <c r="CA797" s="267"/>
      <c r="CB797" s="267"/>
      <c r="CC797" s="267"/>
      <c r="CD797" s="267"/>
      <c r="CE797" s="267"/>
      <c r="CF797" s="267"/>
      <c r="CG797" s="267"/>
      <c r="CH797" s="267"/>
      <c r="CI797" s="267"/>
      <c r="CJ797" s="267"/>
      <c r="CK797" s="267"/>
      <c r="CL797" s="267"/>
      <c r="CM797" s="267"/>
      <c r="CN797" s="267"/>
      <c r="CO797" s="267"/>
      <c r="CP797" s="267"/>
      <c r="CQ797" s="267"/>
      <c r="CR797" s="267"/>
      <c r="CS797" s="267"/>
      <c r="CT797" s="267"/>
      <c r="CU797" s="267"/>
      <c r="CV797" s="267"/>
      <c r="CW797" s="267"/>
      <c r="CX797" s="267"/>
      <c r="CY797" s="267"/>
      <c r="CZ797" s="267"/>
    </row>
    <row r="798" spans="2:104">
      <c r="B798" s="1235"/>
      <c r="C798" s="1235"/>
      <c r="D798" s="1235"/>
      <c r="E798" s="267"/>
      <c r="F798" s="267"/>
      <c r="G798" s="267"/>
      <c r="H798" s="267"/>
      <c r="I798" s="267"/>
      <c r="J798" s="267"/>
      <c r="K798" s="267"/>
      <c r="L798" s="267"/>
      <c r="M798" s="267"/>
      <c r="N798" s="267"/>
      <c r="O798" s="267"/>
      <c r="P798" s="267"/>
      <c r="Q798" s="267"/>
      <c r="R798" s="267"/>
      <c r="S798" s="267"/>
      <c r="T798" s="267"/>
      <c r="U798" s="267"/>
      <c r="V798" s="267"/>
      <c r="W798" s="267"/>
      <c r="X798" s="267"/>
      <c r="Y798" s="267"/>
      <c r="Z798" s="267"/>
      <c r="AA798" s="267"/>
      <c r="AB798" s="267"/>
      <c r="AC798" s="267"/>
      <c r="AD798" s="267"/>
      <c r="AE798" s="267"/>
      <c r="AF798" s="267"/>
      <c r="AG798" s="267"/>
      <c r="AH798" s="267"/>
      <c r="AI798" s="267"/>
      <c r="AJ798" s="267"/>
      <c r="AK798" s="267"/>
      <c r="AL798" s="267"/>
      <c r="AM798" s="267"/>
      <c r="AN798" s="267"/>
      <c r="AO798" s="267"/>
      <c r="AP798" s="267"/>
      <c r="AQ798" s="267"/>
      <c r="AR798" s="267"/>
      <c r="AS798" s="267"/>
      <c r="AT798" s="267"/>
      <c r="AU798" s="267"/>
      <c r="AV798" s="267"/>
      <c r="AW798" s="267"/>
      <c r="AX798" s="267"/>
      <c r="AY798" s="267"/>
      <c r="AZ798" s="267"/>
      <c r="BA798" s="267"/>
      <c r="BB798" s="267"/>
      <c r="BC798" s="267"/>
      <c r="BD798" s="267"/>
      <c r="BE798" s="267"/>
      <c r="BF798" s="267"/>
      <c r="BG798" s="267"/>
      <c r="BH798" s="267"/>
      <c r="BI798" s="267"/>
      <c r="BJ798" s="267"/>
      <c r="BK798" s="267"/>
      <c r="BL798" s="267"/>
      <c r="BM798" s="267"/>
      <c r="BN798" s="267"/>
      <c r="BO798" s="267"/>
      <c r="BP798" s="267"/>
      <c r="BQ798" s="267"/>
      <c r="BR798" s="267"/>
      <c r="BS798" s="267"/>
      <c r="BT798" s="267"/>
      <c r="BU798" s="267"/>
      <c r="BV798" s="267"/>
      <c r="BW798" s="267"/>
      <c r="BX798" s="267"/>
      <c r="BY798" s="267"/>
      <c r="BZ798" s="267"/>
      <c r="CA798" s="267"/>
      <c r="CB798" s="267"/>
      <c r="CC798" s="267"/>
      <c r="CD798" s="267"/>
      <c r="CE798" s="267"/>
      <c r="CF798" s="267"/>
      <c r="CG798" s="267"/>
      <c r="CH798" s="267"/>
      <c r="CI798" s="267"/>
      <c r="CJ798" s="267"/>
      <c r="CK798" s="267"/>
      <c r="CL798" s="267"/>
      <c r="CM798" s="267"/>
      <c r="CN798" s="267"/>
      <c r="CO798" s="267"/>
      <c r="CP798" s="267"/>
      <c r="CQ798" s="267"/>
      <c r="CR798" s="267"/>
      <c r="CS798" s="267"/>
      <c r="CT798" s="267"/>
      <c r="CU798" s="267"/>
      <c r="CV798" s="267"/>
      <c r="CW798" s="267"/>
      <c r="CX798" s="267"/>
      <c r="CY798" s="267"/>
      <c r="CZ798" s="267"/>
    </row>
    <row r="799" spans="2:104">
      <c r="B799" s="1235"/>
      <c r="C799" s="1235"/>
      <c r="D799" s="1235"/>
      <c r="E799" s="267"/>
      <c r="F799" s="267"/>
      <c r="G799" s="267"/>
      <c r="H799" s="267"/>
      <c r="I799" s="267"/>
      <c r="J799" s="267"/>
      <c r="K799" s="267"/>
      <c r="L799" s="267"/>
      <c r="M799" s="267"/>
      <c r="N799" s="267"/>
      <c r="O799" s="267"/>
      <c r="P799" s="267"/>
      <c r="Q799" s="267"/>
      <c r="R799" s="267"/>
      <c r="S799" s="267"/>
      <c r="T799" s="267"/>
      <c r="U799" s="267"/>
      <c r="V799" s="267"/>
      <c r="W799" s="267"/>
      <c r="X799" s="267"/>
      <c r="Y799" s="267"/>
      <c r="Z799" s="267"/>
      <c r="AA799" s="267"/>
      <c r="AB799" s="267"/>
      <c r="AC799" s="267"/>
      <c r="AD799" s="267"/>
      <c r="AE799" s="267"/>
      <c r="AF799" s="267"/>
      <c r="AG799" s="267"/>
      <c r="AH799" s="267"/>
      <c r="AI799" s="267"/>
      <c r="AJ799" s="267"/>
      <c r="AK799" s="267"/>
      <c r="AL799" s="267"/>
      <c r="AM799" s="267"/>
      <c r="AN799" s="267"/>
      <c r="AO799" s="267"/>
      <c r="AP799" s="267"/>
      <c r="AQ799" s="267"/>
      <c r="AR799" s="267"/>
      <c r="AS799" s="267"/>
      <c r="AT799" s="267"/>
      <c r="AU799" s="267"/>
      <c r="AV799" s="267"/>
      <c r="AW799" s="267"/>
      <c r="AX799" s="267"/>
      <c r="AY799" s="267"/>
      <c r="AZ799" s="267"/>
      <c r="BA799" s="267"/>
      <c r="BB799" s="267"/>
      <c r="BC799" s="267"/>
      <c r="BD799" s="267"/>
      <c r="BE799" s="267"/>
      <c r="BF799" s="267"/>
      <c r="BG799" s="267"/>
      <c r="BH799" s="267"/>
      <c r="BI799" s="267"/>
      <c r="BJ799" s="267"/>
      <c r="BK799" s="267"/>
      <c r="BL799" s="267"/>
      <c r="BM799" s="267"/>
      <c r="BN799" s="267"/>
      <c r="BO799" s="267"/>
      <c r="BP799" s="267"/>
      <c r="BQ799" s="267"/>
      <c r="BR799" s="267"/>
      <c r="BS799" s="267"/>
      <c r="BT799" s="267"/>
      <c r="BU799" s="267"/>
      <c r="BV799" s="267"/>
      <c r="BW799" s="267"/>
      <c r="BX799" s="267"/>
      <c r="BY799" s="267"/>
      <c r="BZ799" s="267"/>
      <c r="CA799" s="267"/>
      <c r="CB799" s="267"/>
      <c r="CC799" s="267"/>
      <c r="CD799" s="267"/>
      <c r="CE799" s="267"/>
      <c r="CF799" s="267"/>
      <c r="CG799" s="267"/>
      <c r="CH799" s="267"/>
      <c r="CI799" s="267"/>
      <c r="CJ799" s="267"/>
      <c r="CK799" s="267"/>
      <c r="CL799" s="267"/>
      <c r="CM799" s="267"/>
      <c r="CN799" s="267"/>
      <c r="CO799" s="267"/>
      <c r="CP799" s="267"/>
      <c r="CQ799" s="267"/>
      <c r="CR799" s="267"/>
      <c r="CS799" s="267"/>
      <c r="CT799" s="267"/>
      <c r="CU799" s="267"/>
      <c r="CV799" s="267"/>
      <c r="CW799" s="267"/>
      <c r="CX799" s="267"/>
      <c r="CY799" s="267"/>
      <c r="CZ799" s="267"/>
    </row>
    <row r="800" spans="2:104">
      <c r="B800" s="1235"/>
      <c r="C800" s="1235"/>
      <c r="D800" s="1235"/>
      <c r="E800" s="267"/>
      <c r="F800" s="267"/>
      <c r="G800" s="267"/>
      <c r="H800" s="267"/>
      <c r="I800" s="267"/>
      <c r="J800" s="267"/>
      <c r="K800" s="267"/>
      <c r="L800" s="267"/>
      <c r="M800" s="267"/>
      <c r="N800" s="267"/>
      <c r="O800" s="267"/>
      <c r="P800" s="267"/>
      <c r="Q800" s="267"/>
      <c r="R800" s="267"/>
      <c r="S800" s="267"/>
      <c r="T800" s="267"/>
      <c r="U800" s="267"/>
      <c r="V800" s="267"/>
      <c r="W800" s="267"/>
      <c r="X800" s="267"/>
      <c r="Y800" s="267"/>
      <c r="Z800" s="267"/>
      <c r="AA800" s="267"/>
      <c r="AB800" s="267"/>
      <c r="AC800" s="267"/>
      <c r="AD800" s="267"/>
      <c r="AE800" s="267"/>
      <c r="AF800" s="267"/>
      <c r="AG800" s="267"/>
      <c r="AH800" s="267"/>
      <c r="AI800" s="267"/>
      <c r="AJ800" s="267"/>
      <c r="AK800" s="267"/>
      <c r="AL800" s="267"/>
      <c r="AM800" s="267"/>
      <c r="AN800" s="267"/>
      <c r="AO800" s="267"/>
      <c r="AP800" s="267"/>
      <c r="AQ800" s="267"/>
      <c r="AR800" s="267"/>
      <c r="AS800" s="267"/>
      <c r="AT800" s="267"/>
      <c r="AU800" s="267"/>
      <c r="AV800" s="267"/>
      <c r="AW800" s="267"/>
      <c r="AX800" s="267"/>
      <c r="AY800" s="267"/>
      <c r="AZ800" s="267"/>
      <c r="BA800" s="267"/>
      <c r="BB800" s="267"/>
      <c r="BC800" s="267"/>
      <c r="BD800" s="267"/>
      <c r="BE800" s="267"/>
      <c r="BF800" s="267"/>
      <c r="BG800" s="267"/>
      <c r="BH800" s="267"/>
      <c r="BI800" s="267"/>
      <c r="BJ800" s="267"/>
      <c r="BK800" s="267"/>
      <c r="BL800" s="267"/>
      <c r="BM800" s="267"/>
      <c r="BN800" s="267"/>
      <c r="BO800" s="267"/>
      <c r="BP800" s="267"/>
      <c r="BQ800" s="267"/>
      <c r="BR800" s="267"/>
      <c r="BS800" s="267"/>
      <c r="BT800" s="267"/>
      <c r="BU800" s="267"/>
      <c r="BV800" s="267"/>
      <c r="BW800" s="267"/>
      <c r="BX800" s="267"/>
      <c r="BY800" s="267"/>
      <c r="BZ800" s="267"/>
      <c r="CA800" s="267"/>
      <c r="CB800" s="267"/>
      <c r="CC800" s="267"/>
      <c r="CD800" s="267"/>
      <c r="CE800" s="267"/>
      <c r="CF800" s="267"/>
      <c r="CG800" s="267"/>
      <c r="CH800" s="267"/>
      <c r="CI800" s="267"/>
      <c r="CJ800" s="267"/>
      <c r="CK800" s="267"/>
      <c r="CL800" s="267"/>
      <c r="CM800" s="267"/>
      <c r="CN800" s="267"/>
      <c r="CO800" s="267"/>
      <c r="CP800" s="267"/>
      <c r="CQ800" s="267"/>
      <c r="CR800" s="267"/>
      <c r="CS800" s="267"/>
      <c r="CT800" s="267"/>
      <c r="CU800" s="267"/>
      <c r="CV800" s="267"/>
      <c r="CW800" s="267"/>
      <c r="CX800" s="267"/>
      <c r="CY800" s="267"/>
      <c r="CZ800" s="267"/>
    </row>
    <row r="801" spans="2:104">
      <c r="B801" s="1235"/>
      <c r="C801" s="1235"/>
      <c r="D801" s="1235"/>
      <c r="E801" s="267"/>
      <c r="F801" s="267"/>
      <c r="G801" s="267"/>
      <c r="H801" s="267"/>
      <c r="I801" s="267"/>
      <c r="J801" s="267"/>
      <c r="K801" s="267"/>
      <c r="L801" s="267"/>
      <c r="M801" s="267"/>
      <c r="N801" s="267"/>
      <c r="O801" s="267"/>
      <c r="P801" s="267"/>
      <c r="Q801" s="267"/>
      <c r="R801" s="267"/>
      <c r="S801" s="267"/>
      <c r="T801" s="267"/>
      <c r="U801" s="267"/>
      <c r="V801" s="267"/>
      <c r="W801" s="267"/>
      <c r="X801" s="267"/>
      <c r="Y801" s="267"/>
      <c r="Z801" s="267"/>
      <c r="AA801" s="267"/>
      <c r="AB801" s="267"/>
      <c r="AC801" s="267"/>
      <c r="AD801" s="267"/>
      <c r="AE801" s="267"/>
      <c r="AF801" s="267"/>
      <c r="AG801" s="267"/>
      <c r="AH801" s="267"/>
      <c r="AI801" s="267"/>
      <c r="AJ801" s="267"/>
      <c r="AK801" s="267"/>
      <c r="AL801" s="267"/>
      <c r="AM801" s="267"/>
      <c r="AN801" s="267"/>
      <c r="AO801" s="267"/>
      <c r="AP801" s="267"/>
      <c r="AQ801" s="267"/>
      <c r="AR801" s="267"/>
      <c r="AS801" s="267"/>
      <c r="AT801" s="267"/>
      <c r="AU801" s="267"/>
      <c r="AV801" s="267"/>
      <c r="AW801" s="267"/>
      <c r="AX801" s="267"/>
      <c r="AY801" s="267"/>
      <c r="AZ801" s="267"/>
      <c r="BA801" s="267"/>
      <c r="BB801" s="267"/>
      <c r="BC801" s="267"/>
      <c r="BD801" s="267"/>
      <c r="BE801" s="267"/>
      <c r="BF801" s="267"/>
      <c r="BG801" s="267"/>
      <c r="BH801" s="267"/>
      <c r="BI801" s="267"/>
      <c r="BJ801" s="267"/>
      <c r="BK801" s="267"/>
      <c r="BL801" s="267"/>
      <c r="BM801" s="267"/>
      <c r="BN801" s="267"/>
      <c r="BO801" s="267"/>
      <c r="BP801" s="267"/>
      <c r="BQ801" s="267"/>
      <c r="BR801" s="267"/>
      <c r="BS801" s="267"/>
      <c r="BT801" s="267"/>
      <c r="BU801" s="267"/>
      <c r="BV801" s="267"/>
      <c r="BW801" s="267"/>
      <c r="BX801" s="267"/>
      <c r="BY801" s="267"/>
      <c r="BZ801" s="267"/>
      <c r="CA801" s="267"/>
      <c r="CB801" s="267"/>
      <c r="CC801" s="267"/>
      <c r="CD801" s="267"/>
      <c r="CE801" s="267"/>
      <c r="CF801" s="267"/>
      <c r="CG801" s="267"/>
      <c r="CH801" s="267"/>
      <c r="CI801" s="267"/>
      <c r="CJ801" s="267"/>
      <c r="CK801" s="267"/>
      <c r="CL801" s="267"/>
      <c r="CM801" s="267"/>
      <c r="CN801" s="267"/>
      <c r="CO801" s="267"/>
      <c r="CP801" s="267"/>
      <c r="CQ801" s="267"/>
      <c r="CR801" s="267"/>
      <c r="CS801" s="267"/>
      <c r="CT801" s="267"/>
      <c r="CU801" s="267"/>
      <c r="CV801" s="267"/>
      <c r="CW801" s="267"/>
      <c r="CX801" s="267"/>
      <c r="CY801" s="267"/>
      <c r="CZ801" s="267"/>
    </row>
    <row r="802" spans="2:104">
      <c r="B802" s="1235"/>
      <c r="C802" s="1235"/>
      <c r="D802" s="1235"/>
      <c r="E802" s="267"/>
      <c r="F802" s="267"/>
      <c r="G802" s="267"/>
      <c r="H802" s="267"/>
      <c r="I802" s="267"/>
      <c r="J802" s="267"/>
      <c r="K802" s="267"/>
      <c r="L802" s="267"/>
      <c r="M802" s="267"/>
      <c r="N802" s="267"/>
      <c r="O802" s="267"/>
      <c r="P802" s="267"/>
      <c r="Q802" s="267"/>
      <c r="R802" s="267"/>
      <c r="S802" s="267"/>
      <c r="T802" s="267"/>
      <c r="U802" s="267"/>
      <c r="V802" s="267"/>
      <c r="W802" s="267"/>
      <c r="X802" s="267"/>
      <c r="Y802" s="267"/>
      <c r="Z802" s="267"/>
      <c r="AA802" s="267"/>
      <c r="AB802" s="267"/>
      <c r="AC802" s="267"/>
      <c r="AD802" s="267"/>
      <c r="AE802" s="267"/>
      <c r="AF802" s="267"/>
      <c r="AG802" s="267"/>
      <c r="AH802" s="267"/>
      <c r="AI802" s="267"/>
      <c r="AJ802" s="267"/>
      <c r="AK802" s="267"/>
      <c r="AL802" s="267"/>
      <c r="AM802" s="267"/>
      <c r="AN802" s="267"/>
      <c r="AO802" s="267"/>
      <c r="AP802" s="267"/>
      <c r="AQ802" s="267"/>
      <c r="AR802" s="267"/>
      <c r="AS802" s="267"/>
      <c r="AT802" s="267"/>
      <c r="AU802" s="267"/>
      <c r="AV802" s="267"/>
      <c r="AW802" s="267"/>
      <c r="AX802" s="267"/>
      <c r="AY802" s="267"/>
      <c r="AZ802" s="267"/>
      <c r="BA802" s="267"/>
      <c r="BB802" s="267"/>
      <c r="BC802" s="267"/>
      <c r="BD802" s="267"/>
      <c r="BE802" s="267"/>
      <c r="BF802" s="267"/>
      <c r="BG802" s="267"/>
      <c r="BH802" s="267"/>
      <c r="BI802" s="267"/>
      <c r="BJ802" s="267"/>
      <c r="BK802" s="267"/>
      <c r="BL802" s="267"/>
      <c r="BM802" s="267"/>
      <c r="BN802" s="267"/>
      <c r="BO802" s="267"/>
      <c r="BP802" s="267"/>
      <c r="BQ802" s="267"/>
      <c r="BR802" s="267"/>
      <c r="BS802" s="267"/>
      <c r="BT802" s="267"/>
      <c r="BU802" s="267"/>
      <c r="BV802" s="267"/>
      <c r="BW802" s="267"/>
      <c r="BX802" s="267"/>
      <c r="BY802" s="267"/>
      <c r="BZ802" s="267"/>
      <c r="CA802" s="267"/>
      <c r="CB802" s="267"/>
      <c r="CC802" s="267"/>
      <c r="CD802" s="267"/>
      <c r="CE802" s="267"/>
      <c r="CF802" s="267"/>
      <c r="CG802" s="267"/>
      <c r="CH802" s="267"/>
      <c r="CI802" s="267"/>
      <c r="CJ802" s="267"/>
      <c r="CK802" s="267"/>
      <c r="CL802" s="267"/>
      <c r="CM802" s="267"/>
      <c r="CN802" s="267"/>
      <c r="CO802" s="267"/>
      <c r="CP802" s="267"/>
      <c r="CQ802" s="267"/>
      <c r="CR802" s="267"/>
      <c r="CS802" s="267"/>
      <c r="CT802" s="267"/>
      <c r="CU802" s="267"/>
      <c r="CV802" s="267"/>
      <c r="CW802" s="267"/>
      <c r="CX802" s="267"/>
      <c r="CY802" s="267"/>
      <c r="CZ802" s="267"/>
    </row>
    <row r="803" spans="2:104">
      <c r="B803" s="1235"/>
      <c r="C803" s="1235"/>
      <c r="D803" s="1235"/>
      <c r="E803" s="267"/>
      <c r="F803" s="267"/>
      <c r="G803" s="267"/>
      <c r="H803" s="267"/>
      <c r="I803" s="267"/>
      <c r="J803" s="267"/>
      <c r="K803" s="267"/>
      <c r="L803" s="267"/>
      <c r="M803" s="267"/>
      <c r="N803" s="267"/>
      <c r="O803" s="267"/>
      <c r="P803" s="267"/>
      <c r="Q803" s="267"/>
      <c r="R803" s="267"/>
      <c r="S803" s="267"/>
      <c r="T803" s="267"/>
      <c r="U803" s="267"/>
      <c r="V803" s="267"/>
      <c r="W803" s="267"/>
      <c r="X803" s="267"/>
      <c r="Y803" s="267"/>
      <c r="Z803" s="267"/>
      <c r="AA803" s="267"/>
      <c r="AB803" s="267"/>
      <c r="AC803" s="267"/>
      <c r="AD803" s="267"/>
      <c r="AE803" s="267"/>
      <c r="AF803" s="267"/>
      <c r="AG803" s="267"/>
      <c r="AH803" s="267"/>
      <c r="AI803" s="267"/>
      <c r="AJ803" s="267"/>
      <c r="AK803" s="267"/>
      <c r="AL803" s="267"/>
      <c r="AM803" s="267"/>
      <c r="AN803" s="267"/>
      <c r="AO803" s="267"/>
      <c r="AP803" s="267"/>
      <c r="AQ803" s="267"/>
      <c r="AR803" s="267"/>
      <c r="AS803" s="267"/>
      <c r="AT803" s="267"/>
      <c r="AU803" s="267"/>
      <c r="AV803" s="267"/>
      <c r="AW803" s="267"/>
      <c r="AX803" s="267"/>
      <c r="AY803" s="267"/>
      <c r="AZ803" s="267"/>
      <c r="BA803" s="267"/>
      <c r="BB803" s="267"/>
      <c r="BC803" s="267"/>
      <c r="BD803" s="267"/>
      <c r="BE803" s="267"/>
      <c r="BF803" s="267"/>
      <c r="BG803" s="267"/>
      <c r="BH803" s="267"/>
      <c r="BI803" s="267"/>
      <c r="BJ803" s="267"/>
      <c r="BK803" s="267"/>
      <c r="BL803" s="267"/>
      <c r="BM803" s="267"/>
      <c r="BN803" s="267"/>
      <c r="BO803" s="267"/>
      <c r="BP803" s="267"/>
      <c r="BQ803" s="267"/>
      <c r="BR803" s="267"/>
      <c r="BS803" s="267"/>
      <c r="BT803" s="267"/>
      <c r="BU803" s="267"/>
      <c r="BV803" s="267"/>
      <c r="BW803" s="267"/>
      <c r="BX803" s="267"/>
      <c r="BY803" s="267"/>
      <c r="BZ803" s="267"/>
      <c r="CA803" s="267"/>
      <c r="CB803" s="267"/>
      <c r="CC803" s="267"/>
      <c r="CD803" s="267"/>
      <c r="CE803" s="267"/>
      <c r="CF803" s="267"/>
      <c r="CG803" s="267"/>
      <c r="CH803" s="267"/>
      <c r="CI803" s="267"/>
      <c r="CJ803" s="267"/>
      <c r="CK803" s="267"/>
      <c r="CL803" s="267"/>
      <c r="CM803" s="267"/>
      <c r="CN803" s="267"/>
      <c r="CO803" s="267"/>
      <c r="CP803" s="267"/>
      <c r="CQ803" s="267"/>
      <c r="CR803" s="267"/>
      <c r="CS803" s="267"/>
      <c r="CT803" s="267"/>
      <c r="CU803" s="267"/>
      <c r="CV803" s="267"/>
      <c r="CW803" s="267"/>
      <c r="CX803" s="267"/>
      <c r="CY803" s="267"/>
      <c r="CZ803" s="267"/>
    </row>
    <row r="804" spans="2:104">
      <c r="B804" s="1235"/>
      <c r="C804" s="1235"/>
      <c r="D804" s="1235"/>
      <c r="E804" s="267"/>
      <c r="F804" s="267"/>
      <c r="G804" s="267"/>
      <c r="H804" s="267"/>
      <c r="I804" s="267"/>
      <c r="J804" s="267"/>
      <c r="K804" s="267"/>
      <c r="L804" s="267"/>
      <c r="M804" s="267"/>
      <c r="N804" s="267"/>
      <c r="O804" s="267"/>
      <c r="P804" s="267"/>
      <c r="Q804" s="267"/>
      <c r="R804" s="267"/>
      <c r="S804" s="267"/>
      <c r="T804" s="267"/>
      <c r="U804" s="267"/>
      <c r="V804" s="267"/>
      <c r="W804" s="267"/>
      <c r="X804" s="267"/>
      <c r="Y804" s="267"/>
      <c r="Z804" s="267"/>
      <c r="AA804" s="267"/>
      <c r="AB804" s="267"/>
      <c r="AC804" s="267"/>
      <c r="AD804" s="267"/>
      <c r="AE804" s="267"/>
      <c r="AF804" s="267"/>
      <c r="AG804" s="267"/>
      <c r="AH804" s="267"/>
      <c r="AI804" s="267"/>
      <c r="AJ804" s="267"/>
      <c r="AK804" s="267"/>
      <c r="AL804" s="267"/>
      <c r="AM804" s="267"/>
      <c r="AN804" s="267"/>
      <c r="AO804" s="267"/>
      <c r="AP804" s="267"/>
      <c r="AQ804" s="267"/>
      <c r="AR804" s="267"/>
      <c r="AS804" s="267"/>
      <c r="AT804" s="267"/>
      <c r="AU804" s="267"/>
      <c r="AV804" s="267"/>
      <c r="AW804" s="267"/>
      <c r="AX804" s="267"/>
      <c r="AY804" s="267"/>
      <c r="AZ804" s="267"/>
      <c r="BA804" s="267"/>
      <c r="BB804" s="267"/>
      <c r="BC804" s="267"/>
      <c r="BD804" s="267"/>
      <c r="BE804" s="267"/>
      <c r="BF804" s="267"/>
      <c r="BG804" s="267"/>
      <c r="BH804" s="267"/>
      <c r="BI804" s="267"/>
      <c r="BJ804" s="267"/>
      <c r="BK804" s="267"/>
      <c r="BL804" s="267"/>
      <c r="BM804" s="267"/>
      <c r="BN804" s="267"/>
      <c r="BO804" s="267"/>
      <c r="BP804" s="267"/>
      <c r="BQ804" s="267"/>
      <c r="BR804" s="267"/>
      <c r="BS804" s="267"/>
      <c r="BT804" s="267"/>
      <c r="BU804" s="267"/>
      <c r="BV804" s="267"/>
      <c r="BW804" s="267"/>
      <c r="BX804" s="267"/>
      <c r="BY804" s="267"/>
      <c r="BZ804" s="267"/>
      <c r="CA804" s="267"/>
      <c r="CB804" s="267"/>
      <c r="CC804" s="267"/>
      <c r="CD804" s="267"/>
      <c r="CE804" s="267"/>
      <c r="CF804" s="267"/>
      <c r="CG804" s="267"/>
      <c r="CH804" s="267"/>
      <c r="CI804" s="267"/>
      <c r="CJ804" s="267"/>
      <c r="CK804" s="267"/>
      <c r="CL804" s="267"/>
      <c r="CM804" s="267"/>
      <c r="CN804" s="267"/>
      <c r="CO804" s="267"/>
      <c r="CP804" s="267"/>
      <c r="CQ804" s="267"/>
      <c r="CR804" s="267"/>
      <c r="CS804" s="267"/>
      <c r="CT804" s="267"/>
      <c r="CU804" s="267"/>
      <c r="CV804" s="267"/>
      <c r="CW804" s="267"/>
      <c r="CX804" s="267"/>
      <c r="CY804" s="267"/>
      <c r="CZ804" s="267"/>
    </row>
    <row r="805" spans="2:104">
      <c r="B805" s="1235"/>
      <c r="C805" s="1235"/>
      <c r="D805" s="1235"/>
      <c r="E805" s="267"/>
      <c r="F805" s="267"/>
      <c r="G805" s="267"/>
      <c r="H805" s="267"/>
      <c r="I805" s="267"/>
      <c r="J805" s="267"/>
      <c r="K805" s="267"/>
      <c r="L805" s="267"/>
      <c r="M805" s="267"/>
      <c r="N805" s="267"/>
      <c r="O805" s="267"/>
      <c r="P805" s="267"/>
      <c r="Q805" s="267"/>
      <c r="R805" s="267"/>
      <c r="S805" s="267"/>
      <c r="T805" s="267"/>
      <c r="U805" s="267"/>
      <c r="V805" s="267"/>
      <c r="W805" s="267"/>
      <c r="X805" s="267"/>
      <c r="Y805" s="267"/>
      <c r="Z805" s="267"/>
      <c r="AA805" s="267"/>
      <c r="AB805" s="267"/>
      <c r="AC805" s="267"/>
      <c r="AD805" s="267"/>
      <c r="AE805" s="267"/>
      <c r="AF805" s="267"/>
      <c r="AG805" s="267"/>
      <c r="AH805" s="267"/>
      <c r="AI805" s="267"/>
      <c r="AJ805" s="267"/>
      <c r="AK805" s="267"/>
      <c r="AL805" s="267"/>
      <c r="AM805" s="267"/>
      <c r="AN805" s="267"/>
      <c r="AO805" s="267"/>
      <c r="AP805" s="267"/>
      <c r="AQ805" s="267"/>
      <c r="AR805" s="267"/>
      <c r="AS805" s="267"/>
      <c r="AT805" s="267"/>
      <c r="AU805" s="267"/>
      <c r="AV805" s="267"/>
      <c r="AW805" s="267"/>
      <c r="AX805" s="267"/>
      <c r="AY805" s="267"/>
      <c r="AZ805" s="267"/>
      <c r="BA805" s="267"/>
      <c r="BB805" s="267"/>
      <c r="BC805" s="267"/>
      <c r="BD805" s="267"/>
      <c r="BE805" s="267"/>
      <c r="BF805" s="267"/>
      <c r="BG805" s="267"/>
      <c r="BH805" s="267"/>
      <c r="BI805" s="267"/>
      <c r="BJ805" s="267"/>
      <c r="BK805" s="267"/>
      <c r="BL805" s="267"/>
      <c r="BM805" s="267"/>
      <c r="BN805" s="267"/>
      <c r="BO805" s="267"/>
      <c r="BP805" s="267"/>
      <c r="BQ805" s="267"/>
      <c r="BR805" s="267"/>
      <c r="BS805" s="267"/>
      <c r="BT805" s="267"/>
      <c r="BU805" s="267"/>
      <c r="BV805" s="267"/>
      <c r="BW805" s="267"/>
      <c r="BX805" s="267"/>
      <c r="BY805" s="267"/>
      <c r="BZ805" s="267"/>
      <c r="CA805" s="267"/>
      <c r="CB805" s="267"/>
      <c r="CC805" s="267"/>
      <c r="CD805" s="267"/>
      <c r="CE805" s="267"/>
      <c r="CF805" s="267"/>
      <c r="CG805" s="267"/>
      <c r="CH805" s="267"/>
      <c r="CI805" s="267"/>
      <c r="CJ805" s="267"/>
      <c r="CK805" s="267"/>
      <c r="CL805" s="267"/>
      <c r="CM805" s="267"/>
      <c r="CN805" s="267"/>
      <c r="CO805" s="267"/>
      <c r="CP805" s="267"/>
      <c r="CQ805" s="267"/>
      <c r="CR805" s="267"/>
      <c r="CS805" s="267"/>
      <c r="CT805" s="267"/>
      <c r="CU805" s="267"/>
      <c r="CV805" s="267"/>
      <c r="CW805" s="267"/>
      <c r="CX805" s="267"/>
      <c r="CY805" s="267"/>
      <c r="CZ805" s="267"/>
    </row>
    <row r="806" spans="2:104">
      <c r="B806" s="1235"/>
      <c r="C806" s="1235"/>
      <c r="D806" s="1235"/>
      <c r="E806" s="267"/>
      <c r="F806" s="267"/>
      <c r="G806" s="267"/>
      <c r="H806" s="267"/>
      <c r="I806" s="267"/>
      <c r="J806" s="267"/>
      <c r="K806" s="267"/>
      <c r="L806" s="267"/>
      <c r="M806" s="267"/>
      <c r="N806" s="267"/>
      <c r="O806" s="267"/>
      <c r="P806" s="267"/>
      <c r="Q806" s="267"/>
      <c r="R806" s="267"/>
      <c r="S806" s="267"/>
      <c r="T806" s="267"/>
      <c r="U806" s="267"/>
      <c r="V806" s="267"/>
      <c r="W806" s="267"/>
      <c r="X806" s="267"/>
      <c r="Y806" s="267"/>
      <c r="Z806" s="267"/>
      <c r="AA806" s="267"/>
      <c r="AB806" s="267"/>
      <c r="AC806" s="267"/>
      <c r="AD806" s="267"/>
      <c r="AE806" s="267"/>
      <c r="AF806" s="267"/>
      <c r="AG806" s="267"/>
      <c r="AH806" s="267"/>
      <c r="AI806" s="267"/>
      <c r="AJ806" s="267"/>
      <c r="AK806" s="267"/>
      <c r="AL806" s="267"/>
      <c r="AM806" s="267"/>
      <c r="AN806" s="267"/>
      <c r="AO806" s="267"/>
      <c r="AP806" s="267"/>
      <c r="AQ806" s="267"/>
      <c r="AR806" s="267"/>
      <c r="AS806" s="267"/>
      <c r="AT806" s="267"/>
      <c r="AU806" s="267"/>
      <c r="AV806" s="267"/>
      <c r="AW806" s="267"/>
      <c r="AX806" s="267"/>
      <c r="AY806" s="267"/>
      <c r="AZ806" s="267"/>
      <c r="BA806" s="267"/>
      <c r="BB806" s="267"/>
      <c r="BC806" s="267"/>
      <c r="BD806" s="267"/>
      <c r="BE806" s="267"/>
      <c r="BF806" s="267"/>
      <c r="BG806" s="267"/>
      <c r="BH806" s="267"/>
      <c r="BI806" s="267"/>
      <c r="BJ806" s="267"/>
      <c r="BK806" s="267"/>
      <c r="BL806" s="267"/>
      <c r="BM806" s="267"/>
      <c r="BN806" s="267"/>
      <c r="BO806" s="267"/>
      <c r="BP806" s="267"/>
      <c r="BQ806" s="267"/>
      <c r="BR806" s="267"/>
      <c r="BS806" s="267"/>
      <c r="BT806" s="267"/>
      <c r="BU806" s="267"/>
      <c r="BV806" s="267"/>
      <c r="BW806" s="267"/>
      <c r="BX806" s="267"/>
      <c r="BY806" s="267"/>
      <c r="BZ806" s="267"/>
      <c r="CA806" s="267"/>
      <c r="CB806" s="267"/>
      <c r="CC806" s="267"/>
      <c r="CD806" s="267"/>
      <c r="CE806" s="267"/>
      <c r="CF806" s="267"/>
      <c r="CG806" s="267"/>
      <c r="CH806" s="267"/>
      <c r="CI806" s="267"/>
      <c r="CJ806" s="267"/>
      <c r="CK806" s="267"/>
      <c r="CL806" s="267"/>
      <c r="CM806" s="267"/>
      <c r="CN806" s="267"/>
      <c r="CO806" s="267"/>
      <c r="CP806" s="267"/>
      <c r="CQ806" s="267"/>
      <c r="CR806" s="267"/>
      <c r="CS806" s="267"/>
      <c r="CT806" s="267"/>
      <c r="CU806" s="267"/>
      <c r="CV806" s="267"/>
      <c r="CW806" s="267"/>
      <c r="CX806" s="267"/>
      <c r="CY806" s="267"/>
      <c r="CZ806" s="267"/>
    </row>
    <row r="807" spans="2:104">
      <c r="B807" s="1235"/>
      <c r="C807" s="1235"/>
      <c r="D807" s="1235"/>
      <c r="E807" s="267"/>
      <c r="F807" s="267"/>
      <c r="G807" s="267"/>
      <c r="H807" s="267"/>
      <c r="I807" s="267"/>
      <c r="J807" s="267"/>
      <c r="K807" s="267"/>
      <c r="L807" s="267"/>
      <c r="M807" s="267"/>
      <c r="N807" s="267"/>
      <c r="O807" s="267"/>
      <c r="P807" s="267"/>
      <c r="Q807" s="267"/>
      <c r="R807" s="267"/>
      <c r="S807" s="267"/>
      <c r="T807" s="267"/>
      <c r="U807" s="267"/>
      <c r="V807" s="267"/>
      <c r="W807" s="267"/>
      <c r="X807" s="267"/>
      <c r="Y807" s="267"/>
      <c r="Z807" s="267"/>
      <c r="AA807" s="267"/>
      <c r="AB807" s="267"/>
      <c r="AC807" s="267"/>
      <c r="AD807" s="267"/>
      <c r="AE807" s="267"/>
      <c r="AF807" s="267"/>
      <c r="AG807" s="267"/>
      <c r="AH807" s="267"/>
      <c r="AI807" s="267"/>
      <c r="AJ807" s="267"/>
      <c r="AK807" s="267"/>
      <c r="AL807" s="267"/>
      <c r="AM807" s="267"/>
      <c r="AN807" s="267"/>
      <c r="AO807" s="267"/>
      <c r="AP807" s="267"/>
      <c r="AQ807" s="267"/>
      <c r="AR807" s="267"/>
      <c r="AS807" s="267"/>
      <c r="AT807" s="267"/>
      <c r="AU807" s="267"/>
      <c r="AV807" s="267"/>
      <c r="AW807" s="267"/>
      <c r="AX807" s="267"/>
      <c r="AY807" s="267"/>
      <c r="AZ807" s="267"/>
      <c r="BA807" s="267"/>
      <c r="BB807" s="267"/>
      <c r="BC807" s="267"/>
      <c r="BD807" s="267"/>
      <c r="BE807" s="267"/>
      <c r="BF807" s="267"/>
      <c r="BG807" s="267"/>
      <c r="BH807" s="267"/>
      <c r="BI807" s="267"/>
      <c r="BJ807" s="267"/>
      <c r="BK807" s="267"/>
      <c r="BL807" s="267"/>
      <c r="BM807" s="267"/>
      <c r="BN807" s="267"/>
      <c r="BO807" s="267"/>
      <c r="BP807" s="267"/>
      <c r="BQ807" s="267"/>
      <c r="BR807" s="267"/>
      <c r="BS807" s="267"/>
      <c r="BT807" s="267"/>
      <c r="BU807" s="267"/>
      <c r="BV807" s="267"/>
      <c r="BW807" s="267"/>
      <c r="BX807" s="267"/>
      <c r="BY807" s="267"/>
      <c r="BZ807" s="267"/>
      <c r="CA807" s="267"/>
      <c r="CB807" s="267"/>
      <c r="CC807" s="267"/>
      <c r="CD807" s="267"/>
      <c r="CE807" s="267"/>
      <c r="CF807" s="267"/>
      <c r="CG807" s="267"/>
      <c r="CH807" s="267"/>
      <c r="CI807" s="267"/>
      <c r="CJ807" s="267"/>
      <c r="CK807" s="267"/>
      <c r="CL807" s="267"/>
      <c r="CM807" s="267"/>
      <c r="CN807" s="267"/>
      <c r="CO807" s="267"/>
      <c r="CP807" s="267"/>
      <c r="CQ807" s="267"/>
      <c r="CR807" s="267"/>
      <c r="CS807" s="267"/>
      <c r="CT807" s="267"/>
      <c r="CU807" s="267"/>
      <c r="CV807" s="267"/>
      <c r="CW807" s="267"/>
      <c r="CX807" s="267"/>
      <c r="CY807" s="267"/>
      <c r="CZ807" s="267"/>
    </row>
    <row r="808" spans="2:104">
      <c r="B808" s="1235"/>
      <c r="C808" s="1235"/>
      <c r="D808" s="1235"/>
      <c r="E808" s="267"/>
      <c r="F808" s="267"/>
      <c r="G808" s="267"/>
      <c r="H808" s="267"/>
      <c r="I808" s="267"/>
      <c r="J808" s="267"/>
      <c r="K808" s="267"/>
      <c r="L808" s="267"/>
      <c r="M808" s="267"/>
      <c r="N808" s="267"/>
      <c r="O808" s="267"/>
      <c r="P808" s="267"/>
      <c r="Q808" s="267"/>
      <c r="R808" s="267"/>
      <c r="S808" s="267"/>
      <c r="T808" s="267"/>
      <c r="U808" s="267"/>
      <c r="V808" s="267"/>
      <c r="W808" s="267"/>
      <c r="X808" s="267"/>
      <c r="Y808" s="267"/>
      <c r="Z808" s="267"/>
      <c r="AA808" s="267"/>
      <c r="AB808" s="267"/>
      <c r="AC808" s="267"/>
      <c r="AD808" s="267"/>
      <c r="AE808" s="267"/>
      <c r="AF808" s="267"/>
      <c r="AG808" s="267"/>
      <c r="AH808" s="267"/>
      <c r="AI808" s="267"/>
      <c r="AJ808" s="267"/>
      <c r="AK808" s="267"/>
      <c r="AL808" s="267"/>
      <c r="AM808" s="267"/>
      <c r="AN808" s="267"/>
      <c r="AO808" s="267"/>
      <c r="AP808" s="267"/>
      <c r="AQ808" s="267"/>
      <c r="AR808" s="267"/>
      <c r="AS808" s="267"/>
      <c r="AT808" s="267"/>
      <c r="AU808" s="267"/>
      <c r="AV808" s="267"/>
      <c r="AW808" s="267"/>
      <c r="AX808" s="267"/>
      <c r="AY808" s="267"/>
      <c r="AZ808" s="267"/>
      <c r="BA808" s="267"/>
      <c r="BB808" s="267"/>
      <c r="BC808" s="267"/>
      <c r="BD808" s="267"/>
      <c r="BE808" s="267"/>
      <c r="BF808" s="267"/>
      <c r="BG808" s="267"/>
      <c r="BH808" s="267"/>
      <c r="BI808" s="267"/>
      <c r="BJ808" s="267"/>
      <c r="BK808" s="267"/>
      <c r="BL808" s="267"/>
      <c r="BM808" s="267"/>
      <c r="BN808" s="267"/>
      <c r="BO808" s="267"/>
      <c r="BP808" s="267"/>
      <c r="BQ808" s="267"/>
      <c r="BR808" s="267"/>
      <c r="BS808" s="267"/>
      <c r="BT808" s="267"/>
      <c r="BU808" s="267"/>
      <c r="BV808" s="267"/>
      <c r="BW808" s="267"/>
      <c r="BX808" s="267"/>
      <c r="BY808" s="267"/>
      <c r="BZ808" s="267"/>
      <c r="CA808" s="267"/>
      <c r="CB808" s="267"/>
      <c r="CC808" s="267"/>
      <c r="CD808" s="267"/>
      <c r="CE808" s="267"/>
      <c r="CF808" s="267"/>
      <c r="CG808" s="267"/>
      <c r="CH808" s="267"/>
      <c r="CI808" s="267"/>
      <c r="CJ808" s="267"/>
      <c r="CK808" s="267"/>
      <c r="CL808" s="267"/>
      <c r="CM808" s="267"/>
      <c r="CN808" s="267"/>
      <c r="CO808" s="267"/>
      <c r="CP808" s="267"/>
      <c r="CQ808" s="267"/>
      <c r="CR808" s="267"/>
      <c r="CS808" s="267"/>
      <c r="CT808" s="267"/>
      <c r="CU808" s="267"/>
      <c r="CV808" s="267"/>
      <c r="CW808" s="267"/>
      <c r="CX808" s="267"/>
      <c r="CY808" s="267"/>
      <c r="CZ808" s="267"/>
    </row>
    <row r="809" spans="2:104">
      <c r="B809" s="1235"/>
      <c r="C809" s="1235"/>
      <c r="D809" s="1235"/>
      <c r="E809" s="267"/>
      <c r="F809" s="267"/>
      <c r="G809" s="267"/>
      <c r="H809" s="267"/>
      <c r="I809" s="267"/>
      <c r="J809" s="267"/>
      <c r="K809" s="267"/>
      <c r="L809" s="267"/>
      <c r="M809" s="267"/>
      <c r="N809" s="267"/>
      <c r="O809" s="267"/>
      <c r="P809" s="267"/>
      <c r="Q809" s="267"/>
      <c r="R809" s="267"/>
      <c r="S809" s="267"/>
      <c r="T809" s="267"/>
      <c r="U809" s="267"/>
      <c r="V809" s="267"/>
      <c r="W809" s="267"/>
      <c r="X809" s="267"/>
      <c r="Y809" s="267"/>
      <c r="Z809" s="267"/>
      <c r="AA809" s="267"/>
      <c r="AB809" s="267"/>
      <c r="AC809" s="267"/>
      <c r="AD809" s="267"/>
      <c r="AE809" s="267"/>
      <c r="AF809" s="267"/>
      <c r="AG809" s="267"/>
      <c r="AH809" s="267"/>
      <c r="AI809" s="267"/>
      <c r="AJ809" s="267"/>
      <c r="AK809" s="267"/>
      <c r="AL809" s="267"/>
      <c r="AM809" s="267"/>
      <c r="AN809" s="267"/>
      <c r="AO809" s="267"/>
      <c r="AP809" s="267"/>
      <c r="AQ809" s="267"/>
      <c r="AR809" s="267"/>
      <c r="AS809" s="267"/>
      <c r="AT809" s="267"/>
      <c r="AU809" s="267"/>
      <c r="AV809" s="267"/>
      <c r="AW809" s="267"/>
      <c r="AX809" s="267"/>
      <c r="AY809" s="267"/>
      <c r="AZ809" s="267"/>
      <c r="BA809" s="267"/>
      <c r="BB809" s="267"/>
      <c r="BC809" s="267"/>
      <c r="BD809" s="267"/>
      <c r="BE809" s="267"/>
      <c r="BF809" s="267"/>
      <c r="BG809" s="267"/>
      <c r="BH809" s="267"/>
      <c r="BI809" s="267"/>
      <c r="BJ809" s="267"/>
      <c r="BK809" s="267"/>
      <c r="BL809" s="267"/>
      <c r="BM809" s="267"/>
      <c r="BN809" s="267"/>
      <c r="BO809" s="267"/>
      <c r="BP809" s="267"/>
      <c r="BQ809" s="267"/>
      <c r="BR809" s="267"/>
      <c r="BS809" s="267"/>
      <c r="BT809" s="267"/>
      <c r="BU809" s="267"/>
      <c r="BV809" s="267"/>
      <c r="BW809" s="267"/>
      <c r="BX809" s="267"/>
      <c r="BY809" s="267"/>
      <c r="BZ809" s="267"/>
      <c r="CA809" s="267"/>
      <c r="CB809" s="267"/>
      <c r="CC809" s="267"/>
      <c r="CD809" s="267"/>
      <c r="CE809" s="267"/>
      <c r="CF809" s="267"/>
      <c r="CG809" s="267"/>
      <c r="CH809" s="267"/>
      <c r="CI809" s="267"/>
      <c r="CJ809" s="267"/>
      <c r="CK809" s="267"/>
      <c r="CL809" s="267"/>
      <c r="CM809" s="267"/>
      <c r="CN809" s="267"/>
      <c r="CO809" s="267"/>
      <c r="CP809" s="267"/>
      <c r="CQ809" s="267"/>
      <c r="CR809" s="267"/>
      <c r="CS809" s="267"/>
      <c r="CT809" s="267"/>
      <c r="CU809" s="267"/>
      <c r="CV809" s="267"/>
      <c r="CW809" s="267"/>
      <c r="CX809" s="267"/>
      <c r="CY809" s="267"/>
      <c r="CZ809" s="267"/>
    </row>
    <row r="810" spans="2:104">
      <c r="B810" s="1235"/>
      <c r="C810" s="1235"/>
      <c r="D810" s="1235"/>
      <c r="E810" s="267"/>
      <c r="F810" s="267"/>
      <c r="G810" s="267"/>
      <c r="H810" s="267"/>
      <c r="I810" s="267"/>
      <c r="J810" s="267"/>
      <c r="K810" s="267"/>
      <c r="L810" s="267"/>
      <c r="M810" s="267"/>
      <c r="N810" s="267"/>
      <c r="O810" s="267"/>
      <c r="P810" s="267"/>
      <c r="Q810" s="267"/>
      <c r="R810" s="267"/>
      <c r="S810" s="267"/>
      <c r="T810" s="267"/>
      <c r="U810" s="267"/>
      <c r="V810" s="267"/>
      <c r="W810" s="267"/>
      <c r="X810" s="267"/>
      <c r="Y810" s="267"/>
      <c r="Z810" s="267"/>
      <c r="AA810" s="267"/>
      <c r="AB810" s="267"/>
      <c r="AC810" s="267"/>
      <c r="AD810" s="267"/>
      <c r="AE810" s="267"/>
      <c r="AF810" s="267"/>
      <c r="AG810" s="267"/>
      <c r="AH810" s="267"/>
      <c r="AI810" s="267"/>
      <c r="AJ810" s="267"/>
      <c r="AK810" s="267"/>
      <c r="AL810" s="267"/>
      <c r="AM810" s="267"/>
      <c r="AN810" s="267"/>
      <c r="AO810" s="267"/>
      <c r="AP810" s="267"/>
      <c r="AQ810" s="267"/>
      <c r="AR810" s="267"/>
      <c r="AS810" s="267"/>
      <c r="AT810" s="267"/>
      <c r="AU810" s="267"/>
      <c r="AV810" s="267"/>
      <c r="AW810" s="267"/>
      <c r="AX810" s="267"/>
      <c r="AY810" s="267"/>
      <c r="AZ810" s="267"/>
      <c r="BA810" s="267"/>
      <c r="BB810" s="267"/>
      <c r="BC810" s="267"/>
      <c r="BD810" s="267"/>
      <c r="BE810" s="267"/>
      <c r="BF810" s="267"/>
      <c r="BG810" s="267"/>
      <c r="BH810" s="267"/>
      <c r="BI810" s="267"/>
      <c r="BJ810" s="267"/>
      <c r="BK810" s="267"/>
      <c r="BL810" s="267"/>
      <c r="BM810" s="267"/>
      <c r="BN810" s="267"/>
      <c r="BO810" s="267"/>
      <c r="BP810" s="267"/>
      <c r="BQ810" s="267"/>
      <c r="BR810" s="267"/>
      <c r="BS810" s="267"/>
      <c r="BT810" s="267"/>
      <c r="BU810" s="267"/>
      <c r="BV810" s="267"/>
      <c r="BW810" s="267"/>
      <c r="BX810" s="267"/>
      <c r="BY810" s="267"/>
      <c r="BZ810" s="267"/>
      <c r="CA810" s="267"/>
      <c r="CB810" s="267"/>
      <c r="CC810" s="267"/>
      <c r="CD810" s="267"/>
      <c r="CE810" s="267"/>
      <c r="CF810" s="267"/>
      <c r="CG810" s="267"/>
      <c r="CH810" s="267"/>
      <c r="CI810" s="267"/>
      <c r="CJ810" s="267"/>
      <c r="CK810" s="267"/>
      <c r="CL810" s="267"/>
      <c r="CM810" s="267"/>
      <c r="CN810" s="267"/>
      <c r="CO810" s="267"/>
      <c r="CP810" s="267"/>
      <c r="CQ810" s="267"/>
      <c r="CR810" s="267"/>
      <c r="CS810" s="267"/>
      <c r="CT810" s="267"/>
      <c r="CU810" s="267"/>
      <c r="CV810" s="267"/>
      <c r="CW810" s="267"/>
      <c r="CX810" s="267"/>
      <c r="CY810" s="267"/>
      <c r="CZ810" s="267"/>
    </row>
    <row r="811" spans="2:104">
      <c r="B811" s="1235"/>
      <c r="C811" s="1235"/>
      <c r="D811" s="1235"/>
      <c r="E811" s="267"/>
      <c r="F811" s="267"/>
      <c r="G811" s="267"/>
      <c r="H811" s="267"/>
      <c r="I811" s="267"/>
      <c r="J811" s="267"/>
      <c r="K811" s="267"/>
      <c r="L811" s="267"/>
      <c r="M811" s="267"/>
      <c r="N811" s="267"/>
      <c r="O811" s="267"/>
      <c r="P811" s="267"/>
      <c r="Q811" s="267"/>
      <c r="R811" s="267"/>
      <c r="S811" s="267"/>
      <c r="T811" s="267"/>
      <c r="U811" s="267"/>
      <c r="V811" s="267"/>
      <c r="W811" s="267"/>
      <c r="X811" s="267"/>
      <c r="Y811" s="267"/>
      <c r="Z811" s="267"/>
      <c r="AA811" s="267"/>
      <c r="AB811" s="267"/>
      <c r="AC811" s="267"/>
      <c r="AD811" s="267"/>
      <c r="AE811" s="267"/>
      <c r="AF811" s="267"/>
      <c r="AG811" s="267"/>
      <c r="AH811" s="267"/>
      <c r="AI811" s="267"/>
      <c r="AJ811" s="267"/>
      <c r="AK811" s="267"/>
      <c r="AL811" s="267"/>
      <c r="AM811" s="267"/>
      <c r="AN811" s="267"/>
      <c r="AO811" s="267"/>
      <c r="AP811" s="267"/>
      <c r="AQ811" s="267"/>
      <c r="AR811" s="267"/>
      <c r="AS811" s="267"/>
      <c r="AT811" s="267"/>
      <c r="AU811" s="267"/>
      <c r="AV811" s="267"/>
      <c r="AW811" s="267"/>
      <c r="AX811" s="267"/>
      <c r="AY811" s="267"/>
      <c r="AZ811" s="267"/>
      <c r="BA811" s="267"/>
      <c r="BB811" s="267"/>
      <c r="BC811" s="267"/>
      <c r="BD811" s="267"/>
      <c r="BE811" s="267"/>
      <c r="BF811" s="267"/>
      <c r="BG811" s="267"/>
      <c r="BH811" s="267"/>
      <c r="BI811" s="267"/>
      <c r="BJ811" s="267"/>
      <c r="BK811" s="267"/>
      <c r="BL811" s="267"/>
      <c r="BM811" s="267"/>
      <c r="BN811" s="267"/>
      <c r="BO811" s="267"/>
      <c r="BP811" s="267"/>
      <c r="BQ811" s="267"/>
      <c r="BR811" s="267"/>
      <c r="BS811" s="267"/>
      <c r="BT811" s="267"/>
      <c r="BU811" s="267"/>
      <c r="BV811" s="267"/>
      <c r="BW811" s="267"/>
      <c r="BX811" s="267"/>
      <c r="BY811" s="267"/>
      <c r="BZ811" s="267"/>
      <c r="CA811" s="267"/>
      <c r="CB811" s="267"/>
      <c r="CC811" s="267"/>
      <c r="CD811" s="267"/>
      <c r="CE811" s="267"/>
      <c r="CF811" s="267"/>
      <c r="CG811" s="267"/>
      <c r="CH811" s="267"/>
      <c r="CI811" s="267"/>
      <c r="CJ811" s="267"/>
      <c r="CK811" s="267"/>
      <c r="CL811" s="267"/>
      <c r="CM811" s="267"/>
      <c r="CN811" s="267"/>
      <c r="CO811" s="267"/>
      <c r="CP811" s="267"/>
      <c r="CQ811" s="267"/>
      <c r="CR811" s="267"/>
      <c r="CS811" s="267"/>
      <c r="CT811" s="267"/>
      <c r="CU811" s="267"/>
      <c r="CV811" s="267"/>
      <c r="CW811" s="267"/>
      <c r="CX811" s="267"/>
      <c r="CY811" s="267"/>
      <c r="CZ811" s="267"/>
    </row>
    <row r="812" spans="2:104">
      <c r="B812" s="1235"/>
      <c r="C812" s="1235"/>
      <c r="D812" s="1235"/>
      <c r="E812" s="267"/>
      <c r="F812" s="267"/>
      <c r="G812" s="267"/>
      <c r="H812" s="267"/>
      <c r="I812" s="267"/>
      <c r="J812" s="267"/>
      <c r="K812" s="267"/>
      <c r="L812" s="267"/>
      <c r="M812" s="267"/>
      <c r="N812" s="267"/>
      <c r="O812" s="267"/>
      <c r="P812" s="267"/>
      <c r="Q812" s="267"/>
      <c r="R812" s="267"/>
      <c r="S812" s="267"/>
      <c r="T812" s="267"/>
      <c r="U812" s="267"/>
      <c r="V812" s="267"/>
      <c r="W812" s="267"/>
      <c r="X812" s="267"/>
      <c r="Y812" s="267"/>
      <c r="Z812" s="267"/>
      <c r="AA812" s="267"/>
      <c r="AB812" s="267"/>
      <c r="AC812" s="267"/>
      <c r="AD812" s="267"/>
      <c r="AE812" s="267"/>
      <c r="AF812" s="267"/>
      <c r="AG812" s="267"/>
      <c r="AH812" s="267"/>
      <c r="AI812" s="267"/>
      <c r="AJ812" s="267"/>
      <c r="AK812" s="267"/>
      <c r="AL812" s="267"/>
      <c r="AM812" s="267"/>
      <c r="AN812" s="267"/>
      <c r="AO812" s="267"/>
      <c r="AP812" s="267"/>
      <c r="AQ812" s="267"/>
      <c r="AR812" s="267"/>
      <c r="AS812" s="267"/>
      <c r="AT812" s="267"/>
      <c r="AU812" s="267"/>
      <c r="AV812" s="267"/>
      <c r="AW812" s="267"/>
      <c r="AX812" s="267"/>
      <c r="AY812" s="267"/>
      <c r="AZ812" s="267"/>
      <c r="BA812" s="267"/>
      <c r="BB812" s="267"/>
      <c r="BC812" s="267"/>
      <c r="BD812" s="267"/>
      <c r="BE812" s="267"/>
      <c r="BF812" s="267"/>
      <c r="BG812" s="267"/>
      <c r="BH812" s="267"/>
      <c r="BI812" s="267"/>
      <c r="BJ812" s="267"/>
      <c r="BK812" s="267"/>
      <c r="BL812" s="267"/>
      <c r="BM812" s="267"/>
      <c r="BN812" s="267"/>
      <c r="BO812" s="267"/>
      <c r="BP812" s="267"/>
      <c r="BQ812" s="267"/>
      <c r="BR812" s="267"/>
      <c r="BS812" s="267"/>
      <c r="BT812" s="267"/>
      <c r="BU812" s="267"/>
      <c r="BV812" s="267"/>
      <c r="BW812" s="267"/>
      <c r="BX812" s="267"/>
      <c r="BY812" s="267"/>
      <c r="BZ812" s="267"/>
      <c r="CA812" s="267"/>
      <c r="CB812" s="267"/>
      <c r="CC812" s="267"/>
      <c r="CD812" s="267"/>
      <c r="CE812" s="267"/>
      <c r="CF812" s="267"/>
      <c r="CG812" s="267"/>
      <c r="CH812" s="267"/>
      <c r="CI812" s="267"/>
      <c r="CJ812" s="267"/>
      <c r="CK812" s="267"/>
      <c r="CL812" s="267"/>
      <c r="CM812" s="267"/>
      <c r="CN812" s="267"/>
      <c r="CO812" s="267"/>
      <c r="CP812" s="267"/>
      <c r="CQ812" s="267"/>
      <c r="CR812" s="267"/>
      <c r="CS812" s="267"/>
      <c r="CT812" s="267"/>
      <c r="CU812" s="267"/>
      <c r="CV812" s="267"/>
      <c r="CW812" s="267"/>
      <c r="CX812" s="267"/>
      <c r="CY812" s="267"/>
      <c r="CZ812" s="267"/>
    </row>
    <row r="813" spans="2:104">
      <c r="B813" s="1235"/>
      <c r="C813" s="1235"/>
      <c r="D813" s="1235"/>
      <c r="E813" s="267"/>
      <c r="F813" s="267"/>
      <c r="G813" s="267"/>
      <c r="H813" s="267"/>
      <c r="I813" s="267"/>
      <c r="J813" s="267"/>
      <c r="K813" s="267"/>
      <c r="L813" s="267"/>
      <c r="M813" s="267"/>
      <c r="N813" s="267"/>
      <c r="O813" s="267"/>
      <c r="P813" s="267"/>
      <c r="Q813" s="267"/>
      <c r="R813" s="267"/>
      <c r="S813" s="267"/>
      <c r="T813" s="267"/>
      <c r="U813" s="267"/>
      <c r="V813" s="267"/>
      <c r="W813" s="267"/>
      <c r="X813" s="267"/>
      <c r="Y813" s="267"/>
      <c r="Z813" s="267"/>
      <c r="AA813" s="267"/>
      <c r="AB813" s="267"/>
      <c r="AC813" s="267"/>
      <c r="AD813" s="267"/>
      <c r="AE813" s="267"/>
      <c r="AF813" s="267"/>
      <c r="AG813" s="267"/>
      <c r="AH813" s="267"/>
      <c r="AI813" s="267"/>
      <c r="AJ813" s="267"/>
      <c r="AK813" s="267"/>
      <c r="AL813" s="267"/>
      <c r="AM813" s="267"/>
      <c r="AN813" s="267"/>
      <c r="AO813" s="267"/>
      <c r="AP813" s="267"/>
      <c r="AQ813" s="267"/>
      <c r="AR813" s="267"/>
      <c r="AS813" s="267"/>
      <c r="AT813" s="267"/>
      <c r="AU813" s="267"/>
      <c r="AV813" s="267"/>
      <c r="AW813" s="267"/>
      <c r="AX813" s="267"/>
      <c r="AY813" s="267"/>
      <c r="AZ813" s="267"/>
      <c r="BA813" s="267"/>
      <c r="BB813" s="267"/>
      <c r="BC813" s="267"/>
      <c r="BD813" s="267"/>
      <c r="BE813" s="267"/>
      <c r="BF813" s="267"/>
      <c r="BG813" s="267"/>
      <c r="BH813" s="267"/>
      <c r="BI813" s="267"/>
      <c r="BJ813" s="267"/>
      <c r="BK813" s="267"/>
      <c r="BL813" s="267"/>
      <c r="BM813" s="267"/>
      <c r="BN813" s="267"/>
      <c r="BO813" s="267"/>
      <c r="BP813" s="267"/>
      <c r="BQ813" s="267"/>
      <c r="BR813" s="267"/>
      <c r="BS813" s="267"/>
      <c r="BT813" s="267"/>
      <c r="BU813" s="267"/>
      <c r="BV813" s="267"/>
      <c r="BW813" s="267"/>
      <c r="BX813" s="267"/>
      <c r="BY813" s="267"/>
      <c r="BZ813" s="267"/>
      <c r="CA813" s="267"/>
      <c r="CB813" s="267"/>
      <c r="CC813" s="267"/>
      <c r="CD813" s="267"/>
      <c r="CE813" s="267"/>
      <c r="CF813" s="267"/>
      <c r="CG813" s="267"/>
      <c r="CH813" s="267"/>
      <c r="CI813" s="267"/>
      <c r="CJ813" s="267"/>
      <c r="CK813" s="267"/>
      <c r="CL813" s="267"/>
      <c r="CM813" s="267"/>
      <c r="CN813" s="267"/>
      <c r="CO813" s="267"/>
      <c r="CP813" s="267"/>
      <c r="CQ813" s="267"/>
      <c r="CR813" s="267"/>
      <c r="CS813" s="267"/>
      <c r="CT813" s="267"/>
      <c r="CU813" s="267"/>
      <c r="CV813" s="267"/>
      <c r="CW813" s="267"/>
      <c r="CX813" s="267"/>
      <c r="CY813" s="267"/>
      <c r="CZ813" s="267"/>
    </row>
    <row r="814" spans="2:104">
      <c r="B814" s="1235"/>
      <c r="C814" s="1235"/>
      <c r="D814" s="1235"/>
      <c r="E814" s="267"/>
      <c r="F814" s="267"/>
      <c r="G814" s="267"/>
      <c r="H814" s="267"/>
      <c r="I814" s="267"/>
      <c r="J814" s="267"/>
      <c r="K814" s="267"/>
      <c r="L814" s="267"/>
      <c r="M814" s="267"/>
      <c r="N814" s="267"/>
      <c r="O814" s="267"/>
      <c r="P814" s="267"/>
      <c r="Q814" s="267"/>
      <c r="R814" s="267"/>
      <c r="S814" s="267"/>
      <c r="T814" s="267"/>
      <c r="U814" s="267"/>
      <c r="V814" s="267"/>
      <c r="W814" s="267"/>
      <c r="X814" s="267"/>
      <c r="Y814" s="267"/>
      <c r="Z814" s="267"/>
      <c r="AA814" s="267"/>
      <c r="AB814" s="267"/>
      <c r="AC814" s="267"/>
      <c r="AD814" s="267"/>
      <c r="AE814" s="267"/>
      <c r="AF814" s="267"/>
      <c r="AG814" s="267"/>
      <c r="AH814" s="267"/>
      <c r="AI814" s="267"/>
      <c r="AJ814" s="267"/>
      <c r="AK814" s="267"/>
      <c r="AL814" s="267"/>
      <c r="AM814" s="267"/>
      <c r="AN814" s="267"/>
      <c r="AO814" s="267"/>
      <c r="AP814" s="267"/>
      <c r="AQ814" s="267"/>
      <c r="AR814" s="267"/>
      <c r="AS814" s="267"/>
      <c r="AT814" s="267"/>
      <c r="AU814" s="267"/>
      <c r="AV814" s="267"/>
      <c r="AW814" s="267"/>
      <c r="AX814" s="267"/>
      <c r="AY814" s="267"/>
      <c r="AZ814" s="267"/>
      <c r="BA814" s="267"/>
      <c r="BB814" s="267"/>
      <c r="BC814" s="267"/>
      <c r="BD814" s="267"/>
      <c r="BE814" s="267"/>
      <c r="BF814" s="267"/>
      <c r="BG814" s="267"/>
      <c r="BH814" s="267"/>
      <c r="BI814" s="267"/>
      <c r="BJ814" s="267"/>
      <c r="BK814" s="267"/>
      <c r="BL814" s="267"/>
      <c r="BM814" s="267"/>
      <c r="BN814" s="267"/>
      <c r="BO814" s="267"/>
      <c r="BP814" s="267"/>
      <c r="BQ814" s="267"/>
      <c r="BR814" s="267"/>
      <c r="BS814" s="267"/>
      <c r="BT814" s="267"/>
      <c r="BU814" s="267"/>
      <c r="BV814" s="267"/>
      <c r="BW814" s="267"/>
      <c r="BX814" s="267"/>
      <c r="BY814" s="267"/>
      <c r="BZ814" s="267"/>
      <c r="CA814" s="267"/>
      <c r="CB814" s="267"/>
      <c r="CC814" s="267"/>
      <c r="CD814" s="267"/>
      <c r="CE814" s="267"/>
      <c r="CF814" s="267"/>
      <c r="CG814" s="267"/>
      <c r="CH814" s="267"/>
      <c r="CI814" s="267"/>
      <c r="CJ814" s="267"/>
      <c r="CK814" s="267"/>
      <c r="CL814" s="267"/>
      <c r="CM814" s="267"/>
      <c r="CN814" s="267"/>
      <c r="CO814" s="267"/>
      <c r="CP814" s="267"/>
      <c r="CQ814" s="267"/>
      <c r="CR814" s="267"/>
      <c r="CS814" s="267"/>
      <c r="CT814" s="267"/>
      <c r="CU814" s="267"/>
      <c r="CV814" s="267"/>
      <c r="CW814" s="267"/>
      <c r="CX814" s="267"/>
      <c r="CY814" s="267"/>
      <c r="CZ814" s="267"/>
    </row>
    <row r="815" spans="2:104">
      <c r="B815" s="1235"/>
      <c r="C815" s="1235"/>
      <c r="D815" s="1235"/>
      <c r="E815" s="267"/>
      <c r="F815" s="267"/>
      <c r="G815" s="267"/>
      <c r="H815" s="267"/>
      <c r="I815" s="267"/>
      <c r="J815" s="267"/>
      <c r="K815" s="267"/>
      <c r="L815" s="267"/>
      <c r="M815" s="267"/>
      <c r="N815" s="267"/>
      <c r="O815" s="267"/>
      <c r="P815" s="267"/>
      <c r="Q815" s="267"/>
      <c r="R815" s="267"/>
      <c r="S815" s="267"/>
      <c r="T815" s="267"/>
      <c r="U815" s="267"/>
      <c r="V815" s="267"/>
      <c r="W815" s="267"/>
      <c r="X815" s="267"/>
      <c r="Y815" s="267"/>
      <c r="Z815" s="267"/>
      <c r="AA815" s="267"/>
      <c r="AB815" s="267"/>
      <c r="AC815" s="267"/>
      <c r="AD815" s="267"/>
      <c r="AE815" s="267"/>
      <c r="AF815" s="267"/>
      <c r="AG815" s="267"/>
      <c r="AH815" s="267"/>
      <c r="AI815" s="267"/>
      <c r="AJ815" s="267"/>
      <c r="AK815" s="267"/>
      <c r="AL815" s="267"/>
      <c r="AM815" s="267"/>
      <c r="AN815" s="267"/>
      <c r="AO815" s="267"/>
      <c r="AP815" s="267"/>
      <c r="AQ815" s="267"/>
      <c r="AR815" s="267"/>
      <c r="AS815" s="267"/>
      <c r="AT815" s="267"/>
      <c r="AU815" s="267"/>
      <c r="AV815" s="267"/>
      <c r="AW815" s="267"/>
      <c r="AX815" s="267"/>
      <c r="AY815" s="267"/>
      <c r="AZ815" s="267"/>
      <c r="BA815" s="267"/>
      <c r="BB815" s="267"/>
      <c r="BC815" s="267"/>
      <c r="BD815" s="267"/>
      <c r="BE815" s="267"/>
      <c r="BF815" s="267"/>
      <c r="BG815" s="267"/>
      <c r="BH815" s="267"/>
      <c r="BI815" s="267"/>
      <c r="BJ815" s="267"/>
      <c r="BK815" s="267"/>
      <c r="BL815" s="267"/>
      <c r="BM815" s="267"/>
      <c r="BN815" s="267"/>
      <c r="BO815" s="267"/>
      <c r="BP815" s="267"/>
      <c r="BQ815" s="267"/>
      <c r="BR815" s="267"/>
      <c r="BS815" s="267"/>
      <c r="BT815" s="267"/>
      <c r="BU815" s="267"/>
      <c r="BV815" s="267"/>
      <c r="BW815" s="267"/>
      <c r="BX815" s="267"/>
      <c r="BY815" s="267"/>
      <c r="BZ815" s="267"/>
      <c r="CA815" s="267"/>
      <c r="CB815" s="267"/>
      <c r="CC815" s="267"/>
      <c r="CD815" s="267"/>
      <c r="CE815" s="267"/>
      <c r="CF815" s="267"/>
      <c r="CG815" s="267"/>
      <c r="CH815" s="267"/>
      <c r="CI815" s="267"/>
      <c r="CJ815" s="267"/>
      <c r="CK815" s="267"/>
      <c r="CL815" s="267"/>
      <c r="CM815" s="267"/>
      <c r="CN815" s="267"/>
      <c r="CO815" s="267"/>
      <c r="CP815" s="267"/>
      <c r="CQ815" s="267"/>
      <c r="CR815" s="267"/>
      <c r="CS815" s="267"/>
      <c r="CT815" s="267"/>
      <c r="CU815" s="267"/>
      <c r="CV815" s="267"/>
      <c r="CW815" s="267"/>
      <c r="CX815" s="267"/>
      <c r="CY815" s="267"/>
      <c r="CZ815" s="267"/>
    </row>
    <row r="816" spans="2:104">
      <c r="B816" s="1235"/>
      <c r="C816" s="1235"/>
      <c r="D816" s="1235"/>
      <c r="E816" s="267"/>
      <c r="F816" s="267"/>
      <c r="G816" s="267"/>
      <c r="H816" s="267"/>
      <c r="I816" s="267"/>
      <c r="J816" s="267"/>
      <c r="K816" s="267"/>
      <c r="L816" s="267"/>
      <c r="M816" s="267"/>
      <c r="N816" s="267"/>
      <c r="O816" s="267"/>
      <c r="P816" s="267"/>
      <c r="Q816" s="267"/>
      <c r="R816" s="267"/>
      <c r="S816" s="267"/>
      <c r="T816" s="267"/>
      <c r="U816" s="267"/>
      <c r="V816" s="267"/>
      <c r="W816" s="267"/>
      <c r="X816" s="267"/>
      <c r="Y816" s="267"/>
      <c r="Z816" s="267"/>
      <c r="AA816" s="267"/>
      <c r="AB816" s="267"/>
      <c r="AC816" s="267"/>
      <c r="AD816" s="267"/>
      <c r="AE816" s="267"/>
      <c r="AF816" s="267"/>
      <c r="AG816" s="267"/>
      <c r="AH816" s="267"/>
      <c r="AI816" s="267"/>
      <c r="AJ816" s="267"/>
      <c r="AK816" s="267"/>
      <c r="AL816" s="267"/>
      <c r="AM816" s="267"/>
      <c r="AN816" s="267"/>
      <c r="AO816" s="267"/>
      <c r="AP816" s="267"/>
      <c r="AQ816" s="267"/>
      <c r="AR816" s="267"/>
      <c r="AS816" s="267"/>
      <c r="AT816" s="267"/>
      <c r="AU816" s="267"/>
      <c r="AV816" s="267"/>
      <c r="AW816" s="267"/>
      <c r="AX816" s="267"/>
      <c r="AY816" s="267"/>
      <c r="AZ816" s="267"/>
      <c r="BA816" s="267"/>
      <c r="BB816" s="267"/>
      <c r="BC816" s="267"/>
      <c r="BD816" s="267"/>
      <c r="BE816" s="267"/>
      <c r="BF816" s="267"/>
      <c r="BG816" s="267"/>
      <c r="BH816" s="267"/>
      <c r="BI816" s="267"/>
      <c r="BJ816" s="267"/>
      <c r="BK816" s="267"/>
      <c r="BL816" s="267"/>
      <c r="BM816" s="267"/>
      <c r="BN816" s="267"/>
      <c r="BO816" s="267"/>
      <c r="BP816" s="267"/>
      <c r="BQ816" s="267"/>
      <c r="BR816" s="267"/>
      <c r="BS816" s="267"/>
      <c r="BT816" s="267"/>
      <c r="BU816" s="267"/>
      <c r="BV816" s="267"/>
      <c r="BW816" s="267"/>
      <c r="BX816" s="267"/>
      <c r="BY816" s="267"/>
      <c r="BZ816" s="267"/>
      <c r="CA816" s="267"/>
      <c r="CB816" s="267"/>
      <c r="CC816" s="267"/>
      <c r="CD816" s="267"/>
      <c r="CE816" s="267"/>
      <c r="CF816" s="267"/>
      <c r="CG816" s="267"/>
      <c r="CH816" s="267"/>
      <c r="CI816" s="267"/>
      <c r="CJ816" s="267"/>
      <c r="CK816" s="267"/>
      <c r="CL816" s="267"/>
      <c r="CM816" s="267"/>
      <c r="CN816" s="267"/>
      <c r="CO816" s="267"/>
      <c r="CP816" s="267"/>
      <c r="CQ816" s="267"/>
      <c r="CR816" s="267"/>
      <c r="CS816" s="267"/>
      <c r="CT816" s="267"/>
      <c r="CU816" s="267"/>
      <c r="CV816" s="267"/>
      <c r="CW816" s="267"/>
      <c r="CX816" s="267"/>
      <c r="CY816" s="267"/>
      <c r="CZ816" s="267"/>
    </row>
    <row r="817" spans="2:104">
      <c r="B817" s="1235"/>
      <c r="C817" s="1235"/>
      <c r="D817" s="1235"/>
      <c r="E817" s="267"/>
      <c r="F817" s="267"/>
      <c r="G817" s="267"/>
      <c r="H817" s="267"/>
      <c r="I817" s="267"/>
      <c r="J817" s="267"/>
      <c r="K817" s="267"/>
      <c r="L817" s="267"/>
      <c r="M817" s="267"/>
      <c r="N817" s="267"/>
      <c r="O817" s="267"/>
      <c r="P817" s="267"/>
      <c r="Q817" s="267"/>
      <c r="R817" s="267"/>
      <c r="S817" s="267"/>
      <c r="T817" s="267"/>
      <c r="U817" s="267"/>
      <c r="V817" s="267"/>
      <c r="W817" s="267"/>
      <c r="X817" s="267"/>
      <c r="Y817" s="267"/>
      <c r="Z817" s="267"/>
      <c r="AA817" s="267"/>
      <c r="AB817" s="267"/>
      <c r="AC817" s="267"/>
      <c r="AD817" s="267"/>
      <c r="AE817" s="267"/>
      <c r="AF817" s="267"/>
      <c r="AG817" s="267"/>
      <c r="AH817" s="267"/>
      <c r="AI817" s="267"/>
      <c r="AJ817" s="267"/>
      <c r="AK817" s="267"/>
      <c r="AL817" s="267"/>
      <c r="AM817" s="267"/>
      <c r="AN817" s="267"/>
      <c r="AO817" s="267"/>
      <c r="AP817" s="267"/>
      <c r="AQ817" s="267"/>
      <c r="AR817" s="267"/>
      <c r="AS817" s="267"/>
      <c r="AT817" s="267"/>
      <c r="AU817" s="267"/>
      <c r="AV817" s="267"/>
      <c r="AW817" s="267"/>
      <c r="AX817" s="267"/>
      <c r="AY817" s="267"/>
      <c r="AZ817" s="267"/>
      <c r="BA817" s="267"/>
      <c r="BB817" s="267"/>
      <c r="BC817" s="267"/>
      <c r="BD817" s="267"/>
      <c r="BE817" s="267"/>
      <c r="BF817" s="267"/>
      <c r="BG817" s="267"/>
      <c r="BH817" s="267"/>
      <c r="BI817" s="267"/>
      <c r="BJ817" s="267"/>
      <c r="BK817" s="267"/>
      <c r="BL817" s="267"/>
      <c r="BM817" s="267"/>
      <c r="BN817" s="267"/>
      <c r="BO817" s="267"/>
      <c r="BP817" s="267"/>
      <c r="BQ817" s="267"/>
      <c r="BR817" s="267"/>
      <c r="BS817" s="267"/>
      <c r="BT817" s="267"/>
      <c r="BU817" s="267"/>
      <c r="BV817" s="267"/>
      <c r="BW817" s="267"/>
      <c r="BX817" s="267"/>
      <c r="BY817" s="267"/>
      <c r="BZ817" s="267"/>
      <c r="CA817" s="267"/>
      <c r="CB817" s="267"/>
      <c r="CC817" s="267"/>
      <c r="CD817" s="267"/>
      <c r="CE817" s="267"/>
      <c r="CF817" s="267"/>
      <c r="CG817" s="267"/>
      <c r="CH817" s="267"/>
      <c r="CI817" s="267"/>
      <c r="CJ817" s="267"/>
      <c r="CK817" s="267"/>
      <c r="CL817" s="267"/>
      <c r="CM817" s="267"/>
      <c r="CN817" s="267"/>
      <c r="CO817" s="267"/>
      <c r="CP817" s="267"/>
      <c r="CQ817" s="267"/>
      <c r="CR817" s="267"/>
      <c r="CS817" s="267"/>
      <c r="CT817" s="267"/>
      <c r="CU817" s="267"/>
      <c r="CV817" s="267"/>
      <c r="CW817" s="267"/>
      <c r="CX817" s="267"/>
      <c r="CY817" s="267"/>
      <c r="CZ817" s="267"/>
    </row>
    <row r="818" spans="2:104">
      <c r="B818" s="1235"/>
      <c r="C818" s="1235"/>
      <c r="D818" s="1235"/>
      <c r="E818" s="267"/>
      <c r="F818" s="267"/>
      <c r="G818" s="267"/>
      <c r="H818" s="267"/>
      <c r="I818" s="267"/>
      <c r="J818" s="267"/>
      <c r="K818" s="267"/>
      <c r="L818" s="267"/>
      <c r="M818" s="267"/>
      <c r="N818" s="267"/>
      <c r="O818" s="267"/>
      <c r="P818" s="267"/>
      <c r="Q818" s="267"/>
      <c r="R818" s="267"/>
      <c r="S818" s="267"/>
      <c r="T818" s="267"/>
      <c r="U818" s="267"/>
      <c r="V818" s="267"/>
      <c r="W818" s="267"/>
      <c r="X818" s="267"/>
      <c r="Y818" s="267"/>
      <c r="Z818" s="267"/>
      <c r="AA818" s="267"/>
      <c r="AB818" s="267"/>
      <c r="AC818" s="267"/>
      <c r="AD818" s="267"/>
      <c r="AE818" s="267"/>
      <c r="AF818" s="267"/>
      <c r="AG818" s="267"/>
      <c r="AH818" s="267"/>
      <c r="AI818" s="267"/>
      <c r="AJ818" s="267"/>
      <c r="AK818" s="267"/>
      <c r="AL818" s="267"/>
      <c r="AM818" s="267"/>
      <c r="AN818" s="267"/>
      <c r="AO818" s="267"/>
      <c r="AP818" s="267"/>
      <c r="AQ818" s="267"/>
      <c r="AR818" s="267"/>
      <c r="AS818" s="267"/>
      <c r="AT818" s="267"/>
      <c r="AU818" s="267"/>
      <c r="AV818" s="267"/>
      <c r="AW818" s="267"/>
      <c r="AX818" s="267"/>
      <c r="AY818" s="267"/>
      <c r="AZ818" s="267"/>
      <c r="BA818" s="267"/>
      <c r="BB818" s="267"/>
      <c r="BC818" s="267"/>
      <c r="BD818" s="267"/>
      <c r="BE818" s="267"/>
      <c r="BF818" s="267"/>
      <c r="BG818" s="267"/>
      <c r="BH818" s="267"/>
      <c r="BI818" s="267"/>
      <c r="BJ818" s="267"/>
      <c r="BK818" s="267"/>
      <c r="BL818" s="267"/>
      <c r="BM818" s="267"/>
      <c r="BN818" s="267"/>
      <c r="BO818" s="267"/>
      <c r="BP818" s="267"/>
      <c r="BQ818" s="267"/>
      <c r="BR818" s="267"/>
      <c r="BS818" s="267"/>
      <c r="BT818" s="267"/>
      <c r="BU818" s="267"/>
      <c r="BV818" s="267"/>
      <c r="BW818" s="267"/>
      <c r="BX818" s="267"/>
      <c r="BY818" s="267"/>
      <c r="BZ818" s="267"/>
      <c r="CA818" s="267"/>
      <c r="CB818" s="267"/>
      <c r="CC818" s="267"/>
      <c r="CD818" s="267"/>
      <c r="CE818" s="267"/>
      <c r="CF818" s="267"/>
      <c r="CG818" s="267"/>
      <c r="CH818" s="267"/>
      <c r="CI818" s="267"/>
      <c r="CJ818" s="267"/>
      <c r="CK818" s="267"/>
      <c r="CL818" s="267"/>
      <c r="CM818" s="267"/>
      <c r="CN818" s="267"/>
      <c r="CO818" s="267"/>
      <c r="CP818" s="267"/>
      <c r="CQ818" s="267"/>
      <c r="CR818" s="267"/>
      <c r="CS818" s="267"/>
      <c r="CT818" s="267"/>
      <c r="CU818" s="267"/>
      <c r="CV818" s="267"/>
      <c r="CW818" s="267"/>
      <c r="CX818" s="267"/>
      <c r="CY818" s="267"/>
      <c r="CZ818" s="267"/>
    </row>
    <row r="819" spans="2:104">
      <c r="B819" s="1235"/>
      <c r="C819" s="1235"/>
      <c r="D819" s="1235"/>
      <c r="E819" s="267"/>
      <c r="F819" s="267"/>
      <c r="G819" s="267"/>
      <c r="H819" s="267"/>
      <c r="I819" s="267"/>
      <c r="J819" s="267"/>
      <c r="K819" s="267"/>
      <c r="L819" s="267"/>
      <c r="M819" s="267"/>
      <c r="N819" s="267"/>
      <c r="O819" s="267"/>
      <c r="P819" s="267"/>
      <c r="Q819" s="267"/>
      <c r="R819" s="267"/>
      <c r="S819" s="267"/>
      <c r="T819" s="267"/>
      <c r="U819" s="267"/>
      <c r="V819" s="267"/>
      <c r="W819" s="267"/>
      <c r="X819" s="267"/>
      <c r="Y819" s="267"/>
      <c r="Z819" s="267"/>
      <c r="AA819" s="267"/>
      <c r="AB819" s="267"/>
      <c r="AC819" s="267"/>
      <c r="AD819" s="267"/>
      <c r="AE819" s="267"/>
      <c r="AF819" s="267"/>
      <c r="AG819" s="267"/>
      <c r="AH819" s="267"/>
      <c r="AI819" s="267"/>
      <c r="AJ819" s="267"/>
      <c r="AK819" s="267"/>
      <c r="AL819" s="267"/>
      <c r="AM819" s="267"/>
      <c r="AN819" s="267"/>
      <c r="AO819" s="267"/>
      <c r="AP819" s="267"/>
      <c r="AQ819" s="267"/>
      <c r="AR819" s="267"/>
      <c r="AS819" s="267"/>
      <c r="AT819" s="267"/>
      <c r="AU819" s="267"/>
      <c r="AV819" s="267"/>
      <c r="AW819" s="267"/>
      <c r="AX819" s="267"/>
      <c r="AY819" s="267"/>
      <c r="AZ819" s="267"/>
      <c r="BA819" s="267"/>
      <c r="BB819" s="267"/>
      <c r="BC819" s="267"/>
      <c r="BD819" s="267"/>
      <c r="BE819" s="267"/>
      <c r="BF819" s="267"/>
      <c r="BG819" s="267"/>
      <c r="BH819" s="267"/>
      <c r="BI819" s="267"/>
      <c r="BJ819" s="267"/>
      <c r="BK819" s="267"/>
      <c r="BL819" s="267"/>
      <c r="BM819" s="267"/>
      <c r="BN819" s="267"/>
      <c r="BO819" s="267"/>
      <c r="BP819" s="267"/>
      <c r="BQ819" s="267"/>
      <c r="BR819" s="267"/>
      <c r="BS819" s="267"/>
      <c r="BT819" s="267"/>
      <c r="BU819" s="267"/>
      <c r="BV819" s="267"/>
      <c r="BW819" s="267"/>
      <c r="BX819" s="267"/>
      <c r="BY819" s="267"/>
      <c r="BZ819" s="267"/>
      <c r="CA819" s="267"/>
      <c r="CB819" s="267"/>
      <c r="CC819" s="267"/>
      <c r="CD819" s="267"/>
      <c r="CE819" s="267"/>
      <c r="CF819" s="267"/>
      <c r="CG819" s="267"/>
      <c r="CH819" s="267"/>
      <c r="CI819" s="267"/>
      <c r="CJ819" s="267"/>
      <c r="CK819" s="267"/>
      <c r="CL819" s="267"/>
      <c r="CM819" s="267"/>
      <c r="CN819" s="267"/>
      <c r="CO819" s="267"/>
      <c r="CP819" s="267"/>
      <c r="CQ819" s="267"/>
      <c r="CR819" s="267"/>
      <c r="CS819" s="267"/>
      <c r="CT819" s="267"/>
      <c r="CU819" s="267"/>
      <c r="CV819" s="267"/>
      <c r="CW819" s="267"/>
      <c r="CX819" s="267"/>
      <c r="CY819" s="267"/>
      <c r="CZ819" s="267"/>
    </row>
    <row r="820" spans="2:104">
      <c r="B820" s="1235"/>
      <c r="C820" s="1235"/>
      <c r="D820" s="1235"/>
      <c r="E820" s="267"/>
      <c r="F820" s="267"/>
      <c r="G820" s="267"/>
      <c r="H820" s="267"/>
      <c r="I820" s="267"/>
      <c r="J820" s="267"/>
      <c r="K820" s="267"/>
      <c r="L820" s="267"/>
      <c r="M820" s="267"/>
      <c r="N820" s="267"/>
      <c r="O820" s="267"/>
      <c r="P820" s="267"/>
      <c r="Q820" s="267"/>
      <c r="R820" s="267"/>
      <c r="S820" s="267"/>
      <c r="T820" s="267"/>
      <c r="U820" s="267"/>
      <c r="V820" s="267"/>
      <c r="W820" s="267"/>
      <c r="X820" s="267"/>
      <c r="Y820" s="267"/>
      <c r="Z820" s="267"/>
      <c r="AA820" s="267"/>
      <c r="AB820" s="267"/>
      <c r="AC820" s="267"/>
      <c r="AD820" s="267"/>
      <c r="AE820" s="267"/>
      <c r="AF820" s="267"/>
      <c r="AG820" s="267"/>
      <c r="AH820" s="267"/>
      <c r="AI820" s="267"/>
      <c r="AJ820" s="267"/>
      <c r="AK820" s="267"/>
      <c r="AL820" s="267"/>
      <c r="AM820" s="267"/>
      <c r="AN820" s="267"/>
      <c r="AO820" s="267"/>
      <c r="AP820" s="267"/>
      <c r="AQ820" s="267"/>
      <c r="AR820" s="267"/>
      <c r="AS820" s="267"/>
      <c r="AT820" s="267"/>
      <c r="AU820" s="267"/>
      <c r="AV820" s="267"/>
      <c r="AW820" s="267"/>
      <c r="AX820" s="267"/>
      <c r="AY820" s="267"/>
      <c r="AZ820" s="267"/>
      <c r="BA820" s="267"/>
      <c r="BB820" s="267"/>
      <c r="BC820" s="267"/>
      <c r="BD820" s="267"/>
      <c r="BE820" s="267"/>
      <c r="BF820" s="267"/>
      <c r="BG820" s="267"/>
      <c r="BH820" s="267"/>
      <c r="BI820" s="267"/>
      <c r="BJ820" s="267"/>
      <c r="BK820" s="267"/>
      <c r="BL820" s="267"/>
      <c r="BM820" s="267"/>
      <c r="BN820" s="267"/>
      <c r="BO820" s="267"/>
      <c r="BP820" s="267"/>
      <c r="BQ820" s="267"/>
      <c r="BR820" s="267"/>
      <c r="BS820" s="267"/>
      <c r="BT820" s="267"/>
      <c r="BU820" s="267"/>
      <c r="BV820" s="267"/>
      <c r="BW820" s="267"/>
      <c r="BX820" s="267"/>
      <c r="BY820" s="267"/>
      <c r="BZ820" s="267"/>
      <c r="CA820" s="267"/>
      <c r="CB820" s="267"/>
      <c r="CC820" s="267"/>
      <c r="CD820" s="267"/>
      <c r="CE820" s="267"/>
      <c r="CF820" s="267"/>
      <c r="CG820" s="267"/>
      <c r="CH820" s="267"/>
      <c r="CI820" s="267"/>
      <c r="CJ820" s="267"/>
      <c r="CK820" s="267"/>
      <c r="CL820" s="267"/>
      <c r="CM820" s="267"/>
      <c r="CN820" s="267"/>
      <c r="CO820" s="267"/>
      <c r="CP820" s="267"/>
      <c r="CQ820" s="267"/>
      <c r="CR820" s="267"/>
      <c r="CS820" s="267"/>
      <c r="CT820" s="267"/>
      <c r="CU820" s="267"/>
      <c r="CV820" s="267"/>
      <c r="CW820" s="267"/>
      <c r="CX820" s="267"/>
      <c r="CY820" s="267"/>
      <c r="CZ820" s="267"/>
    </row>
    <row r="821" spans="2:104">
      <c r="B821" s="1235"/>
      <c r="C821" s="1235"/>
      <c r="D821" s="1235"/>
      <c r="E821" s="267"/>
      <c r="F821" s="267"/>
      <c r="G821" s="267"/>
      <c r="H821" s="267"/>
      <c r="I821" s="267"/>
      <c r="J821" s="267"/>
      <c r="K821" s="267"/>
      <c r="L821" s="267"/>
      <c r="M821" s="267"/>
      <c r="N821" s="267"/>
      <c r="O821" s="267"/>
      <c r="P821" s="267"/>
      <c r="Q821" s="267"/>
      <c r="R821" s="267"/>
      <c r="S821" s="267"/>
      <c r="T821" s="267"/>
      <c r="U821" s="267"/>
      <c r="V821" s="267"/>
      <c r="W821" s="267"/>
      <c r="X821" s="267"/>
      <c r="Y821" s="267"/>
      <c r="Z821" s="267"/>
      <c r="AA821" s="267"/>
      <c r="AB821" s="267"/>
      <c r="AC821" s="267"/>
      <c r="AD821" s="267"/>
      <c r="AE821" s="267"/>
      <c r="AF821" s="267"/>
      <c r="AG821" s="267"/>
      <c r="AH821" s="267"/>
      <c r="AI821" s="267"/>
      <c r="AJ821" s="267"/>
      <c r="AK821" s="267"/>
      <c r="AL821" s="267"/>
      <c r="AM821" s="267"/>
      <c r="AN821" s="267"/>
      <c r="AO821" s="267"/>
      <c r="AP821" s="267"/>
      <c r="AQ821" s="267"/>
      <c r="AR821" s="267"/>
      <c r="AS821" s="267"/>
      <c r="AT821" s="267"/>
      <c r="AU821" s="267"/>
      <c r="AV821" s="267"/>
      <c r="AW821" s="267"/>
      <c r="AX821" s="267"/>
      <c r="AY821" s="267"/>
      <c r="AZ821" s="267"/>
      <c r="BA821" s="267"/>
      <c r="BB821" s="267"/>
      <c r="BC821" s="267"/>
      <c r="BD821" s="267"/>
      <c r="BE821" s="267"/>
      <c r="BF821" s="267"/>
      <c r="BG821" s="267"/>
      <c r="BH821" s="267"/>
      <c r="BI821" s="267"/>
      <c r="BJ821" s="267"/>
      <c r="BK821" s="267"/>
      <c r="BL821" s="267"/>
      <c r="BM821" s="267"/>
      <c r="BN821" s="267"/>
      <c r="BO821" s="267"/>
      <c r="BP821" s="267"/>
      <c r="BQ821" s="267"/>
      <c r="BR821" s="267"/>
      <c r="BS821" s="267"/>
      <c r="BT821" s="267"/>
      <c r="BU821" s="267"/>
      <c r="BV821" s="267"/>
      <c r="BW821" s="267"/>
      <c r="BX821" s="267"/>
      <c r="BY821" s="267"/>
      <c r="BZ821" s="267"/>
      <c r="CA821" s="267"/>
      <c r="CB821" s="267"/>
      <c r="CC821" s="267"/>
      <c r="CD821" s="267"/>
      <c r="CE821" s="267"/>
      <c r="CF821" s="267"/>
      <c r="CG821" s="267"/>
      <c r="CH821" s="267"/>
      <c r="CI821" s="267"/>
      <c r="CJ821" s="267"/>
      <c r="CK821" s="267"/>
      <c r="CL821" s="267"/>
      <c r="CM821" s="267"/>
      <c r="CN821" s="267"/>
      <c r="CO821" s="267"/>
      <c r="CP821" s="267"/>
      <c r="CQ821" s="267"/>
      <c r="CR821" s="267"/>
      <c r="CS821" s="267"/>
      <c r="CT821" s="267"/>
      <c r="CU821" s="267"/>
      <c r="CV821" s="267"/>
      <c r="CW821" s="267"/>
      <c r="CX821" s="267"/>
      <c r="CY821" s="267"/>
      <c r="CZ821" s="267"/>
    </row>
    <row r="822" spans="2:104">
      <c r="B822" s="1235"/>
      <c r="C822" s="1235"/>
      <c r="D822" s="1235"/>
      <c r="E822" s="267"/>
      <c r="F822" s="267"/>
      <c r="G822" s="267"/>
      <c r="H822" s="267"/>
      <c r="I822" s="267"/>
      <c r="J822" s="267"/>
      <c r="K822" s="267"/>
      <c r="L822" s="267"/>
      <c r="M822" s="267"/>
      <c r="N822" s="267"/>
      <c r="O822" s="267"/>
      <c r="P822" s="267"/>
      <c r="Q822" s="267"/>
      <c r="R822" s="267"/>
      <c r="S822" s="267"/>
      <c r="T822" s="267"/>
      <c r="U822" s="267"/>
      <c r="V822" s="267"/>
      <c r="W822" s="267"/>
      <c r="X822" s="267"/>
      <c r="Y822" s="267"/>
      <c r="Z822" s="267"/>
      <c r="AA822" s="267"/>
      <c r="AB822" s="267"/>
      <c r="AC822" s="267"/>
      <c r="AD822" s="267"/>
      <c r="AE822" s="267"/>
      <c r="AF822" s="267"/>
      <c r="AG822" s="267"/>
      <c r="AH822" s="267"/>
      <c r="AI822" s="267"/>
      <c r="AJ822" s="267"/>
      <c r="AK822" s="267"/>
      <c r="AL822" s="267"/>
      <c r="AM822" s="267"/>
      <c r="AN822" s="267"/>
      <c r="AO822" s="267"/>
      <c r="AP822" s="267"/>
      <c r="AQ822" s="267"/>
      <c r="AR822" s="267"/>
      <c r="AS822" s="267"/>
      <c r="AT822" s="267"/>
      <c r="AU822" s="267"/>
      <c r="AV822" s="267"/>
      <c r="AW822" s="267"/>
      <c r="AX822" s="267"/>
      <c r="AY822" s="267"/>
      <c r="AZ822" s="267"/>
      <c r="BA822" s="267"/>
      <c r="BB822" s="267"/>
      <c r="BC822" s="267"/>
      <c r="BD822" s="267"/>
      <c r="BE822" s="267"/>
      <c r="BF822" s="267"/>
      <c r="BG822" s="267"/>
      <c r="BH822" s="267"/>
      <c r="BI822" s="267"/>
      <c r="BJ822" s="267"/>
      <c r="BK822" s="267"/>
      <c r="BL822" s="267"/>
      <c r="BM822" s="267"/>
      <c r="BN822" s="267"/>
      <c r="BO822" s="267"/>
      <c r="BP822" s="267"/>
      <c r="BQ822" s="267"/>
      <c r="BR822" s="267"/>
      <c r="BS822" s="267"/>
      <c r="BT822" s="267"/>
      <c r="BU822" s="267"/>
      <c r="BV822" s="267"/>
      <c r="BW822" s="267"/>
      <c r="BX822" s="267"/>
      <c r="BY822" s="267"/>
      <c r="BZ822" s="267"/>
      <c r="CA822" s="267"/>
      <c r="CB822" s="267"/>
      <c r="CC822" s="267"/>
      <c r="CD822" s="267"/>
      <c r="CE822" s="267"/>
      <c r="CF822" s="267"/>
      <c r="CG822" s="267"/>
      <c r="CH822" s="267"/>
      <c r="CI822" s="267"/>
      <c r="CJ822" s="267"/>
      <c r="CK822" s="267"/>
      <c r="CL822" s="267"/>
      <c r="CM822" s="267"/>
      <c r="CN822" s="267"/>
      <c r="CO822" s="267"/>
      <c r="CP822" s="267"/>
      <c r="CQ822" s="267"/>
      <c r="CR822" s="267"/>
      <c r="CS822" s="267"/>
      <c r="CT822" s="267"/>
      <c r="CU822" s="267"/>
      <c r="CV822" s="267"/>
      <c r="CW822" s="267"/>
      <c r="CX822" s="267"/>
      <c r="CY822" s="267"/>
      <c r="CZ822" s="267"/>
    </row>
    <row r="823" spans="2:104">
      <c r="B823" s="1235"/>
      <c r="C823" s="1235"/>
      <c r="D823" s="1235"/>
      <c r="E823" s="267"/>
      <c r="F823" s="267"/>
      <c r="G823" s="267"/>
      <c r="H823" s="267"/>
      <c r="I823" s="267"/>
      <c r="J823" s="267"/>
      <c r="K823" s="267"/>
      <c r="L823" s="267"/>
      <c r="M823" s="267"/>
      <c r="N823" s="267"/>
      <c r="O823" s="267"/>
      <c r="P823" s="267"/>
      <c r="Q823" s="267"/>
      <c r="R823" s="267"/>
      <c r="S823" s="267"/>
      <c r="T823" s="267"/>
      <c r="U823" s="267"/>
      <c r="V823" s="267"/>
      <c r="W823" s="267"/>
      <c r="X823" s="267"/>
      <c r="Y823" s="267"/>
      <c r="Z823" s="267"/>
      <c r="AA823" s="267"/>
      <c r="AB823" s="267"/>
      <c r="AC823" s="267"/>
      <c r="AD823" s="267"/>
      <c r="AE823" s="267"/>
      <c r="AF823" s="267"/>
      <c r="AG823" s="267"/>
      <c r="AH823" s="267"/>
      <c r="AI823" s="267"/>
      <c r="AJ823" s="267"/>
      <c r="AK823" s="267"/>
      <c r="AL823" s="267"/>
      <c r="AM823" s="267"/>
      <c r="AN823" s="267"/>
      <c r="AO823" s="267"/>
      <c r="AP823" s="267"/>
      <c r="AQ823" s="267"/>
      <c r="AR823" s="267"/>
      <c r="AS823" s="267"/>
      <c r="AT823" s="267"/>
      <c r="AU823" s="267"/>
      <c r="AV823" s="267"/>
      <c r="AW823" s="267"/>
      <c r="AX823" s="267"/>
      <c r="AY823" s="267"/>
      <c r="AZ823" s="267"/>
      <c r="BA823" s="267"/>
      <c r="BB823" s="267"/>
      <c r="BC823" s="267"/>
      <c r="BD823" s="267"/>
      <c r="BE823" s="267"/>
      <c r="BF823" s="267"/>
      <c r="BG823" s="267"/>
      <c r="BH823" s="267"/>
      <c r="BI823" s="267"/>
      <c r="BJ823" s="267"/>
      <c r="BK823" s="267"/>
      <c r="BL823" s="267"/>
      <c r="BM823" s="267"/>
      <c r="BN823" s="267"/>
      <c r="BO823" s="267"/>
      <c r="BP823" s="267"/>
      <c r="BQ823" s="267"/>
      <c r="BR823" s="267"/>
      <c r="BS823" s="267"/>
      <c r="BT823" s="267"/>
      <c r="BU823" s="267"/>
      <c r="BV823" s="267"/>
      <c r="BW823" s="267"/>
      <c r="BX823" s="267"/>
      <c r="BY823" s="267"/>
      <c r="BZ823" s="267"/>
      <c r="CA823" s="267"/>
      <c r="CB823" s="267"/>
      <c r="CC823" s="267"/>
      <c r="CD823" s="267"/>
      <c r="CE823" s="267"/>
      <c r="CF823" s="267"/>
      <c r="CG823" s="267"/>
      <c r="CH823" s="267"/>
      <c r="CI823" s="267"/>
      <c r="CJ823" s="267"/>
      <c r="CK823" s="267"/>
      <c r="CL823" s="267"/>
      <c r="CM823" s="267"/>
      <c r="CN823" s="267"/>
      <c r="CO823" s="267"/>
      <c r="CP823" s="267"/>
      <c r="CQ823" s="267"/>
      <c r="CR823" s="267"/>
      <c r="CS823" s="267"/>
      <c r="CT823" s="267"/>
      <c r="CU823" s="267"/>
      <c r="CV823" s="267"/>
      <c r="CW823" s="267"/>
      <c r="CX823" s="267"/>
      <c r="CY823" s="267"/>
      <c r="CZ823" s="267"/>
    </row>
    <row r="824" spans="2:104">
      <c r="B824" s="1235"/>
      <c r="C824" s="1235"/>
      <c r="D824" s="1235"/>
      <c r="E824" s="267"/>
      <c r="F824" s="267"/>
      <c r="G824" s="267"/>
      <c r="H824" s="267"/>
      <c r="I824" s="267"/>
      <c r="J824" s="267"/>
      <c r="K824" s="267"/>
      <c r="L824" s="267"/>
      <c r="M824" s="267"/>
      <c r="N824" s="267"/>
      <c r="O824" s="267"/>
      <c r="P824" s="267"/>
      <c r="Q824" s="267"/>
      <c r="R824" s="267"/>
      <c r="S824" s="267"/>
      <c r="T824" s="267"/>
      <c r="U824" s="267"/>
      <c r="V824" s="267"/>
      <c r="W824" s="267"/>
      <c r="X824" s="267"/>
      <c r="Y824" s="267"/>
      <c r="Z824" s="267"/>
      <c r="AA824" s="267"/>
      <c r="AB824" s="267"/>
      <c r="AC824" s="267"/>
      <c r="AD824" s="267"/>
      <c r="AE824" s="267"/>
      <c r="AF824" s="267"/>
      <c r="AG824" s="267"/>
      <c r="AH824" s="267"/>
      <c r="AI824" s="267"/>
      <c r="AJ824" s="267"/>
      <c r="AK824" s="267"/>
      <c r="AL824" s="267"/>
      <c r="AM824" s="267"/>
      <c r="AN824" s="267"/>
      <c r="AO824" s="267"/>
      <c r="AP824" s="267"/>
      <c r="AQ824" s="267"/>
      <c r="AR824" s="267"/>
      <c r="AS824" s="267"/>
      <c r="AT824" s="267"/>
      <c r="AU824" s="267"/>
      <c r="AV824" s="267"/>
      <c r="AW824" s="267"/>
      <c r="AX824" s="267"/>
      <c r="AY824" s="267"/>
      <c r="AZ824" s="267"/>
      <c r="BA824" s="267"/>
      <c r="BB824" s="267"/>
      <c r="BC824" s="267"/>
      <c r="BD824" s="267"/>
      <c r="BE824" s="267"/>
      <c r="BF824" s="267"/>
      <c r="BG824" s="267"/>
      <c r="BH824" s="267"/>
      <c r="BI824" s="267"/>
      <c r="BJ824" s="267"/>
      <c r="BK824" s="267"/>
      <c r="BL824" s="267"/>
      <c r="BM824" s="267"/>
      <c r="BN824" s="267"/>
      <c r="BO824" s="267"/>
      <c r="BP824" s="267"/>
      <c r="BQ824" s="267"/>
      <c r="BR824" s="267"/>
      <c r="BS824" s="267"/>
      <c r="BT824" s="267"/>
      <c r="BU824" s="267"/>
      <c r="BV824" s="267"/>
      <c r="BW824" s="267"/>
      <c r="BX824" s="267"/>
      <c r="BY824" s="267"/>
      <c r="BZ824" s="267"/>
      <c r="CA824" s="267"/>
      <c r="CB824" s="267"/>
      <c r="CC824" s="267"/>
      <c r="CD824" s="267"/>
      <c r="CE824" s="267"/>
      <c r="CF824" s="267"/>
      <c r="CG824" s="267"/>
      <c r="CH824" s="267"/>
      <c r="CI824" s="267"/>
      <c r="CJ824" s="267"/>
      <c r="CK824" s="267"/>
      <c r="CL824" s="267"/>
      <c r="CM824" s="267"/>
      <c r="CN824" s="267"/>
      <c r="CO824" s="267"/>
      <c r="CP824" s="267"/>
      <c r="CQ824" s="267"/>
      <c r="CR824" s="267"/>
      <c r="CS824" s="267"/>
      <c r="CT824" s="267"/>
      <c r="CU824" s="267"/>
      <c r="CV824" s="267"/>
      <c r="CW824" s="267"/>
      <c r="CX824" s="267"/>
      <c r="CY824" s="267"/>
      <c r="CZ824" s="267"/>
    </row>
    <row r="825" spans="2:104">
      <c r="B825" s="1235"/>
      <c r="C825" s="1235"/>
      <c r="D825" s="1235"/>
      <c r="E825" s="267"/>
      <c r="F825" s="267"/>
      <c r="G825" s="267"/>
      <c r="H825" s="267"/>
      <c r="I825" s="267"/>
      <c r="J825" s="267"/>
      <c r="K825" s="267"/>
      <c r="L825" s="267"/>
      <c r="M825" s="267"/>
      <c r="N825" s="267"/>
      <c r="O825" s="267"/>
      <c r="P825" s="267"/>
      <c r="Q825" s="267"/>
      <c r="R825" s="267"/>
      <c r="S825" s="267"/>
      <c r="T825" s="267"/>
      <c r="U825" s="267"/>
      <c r="V825" s="267"/>
      <c r="W825" s="267"/>
      <c r="X825" s="267"/>
      <c r="Y825" s="267"/>
      <c r="Z825" s="267"/>
      <c r="AA825" s="267"/>
      <c r="AB825" s="267"/>
      <c r="AC825" s="267"/>
      <c r="AD825" s="267"/>
      <c r="AE825" s="267"/>
      <c r="AF825" s="267"/>
      <c r="AG825" s="267"/>
      <c r="AH825" s="267"/>
      <c r="AI825" s="267"/>
      <c r="AJ825" s="267"/>
      <c r="AK825" s="267"/>
      <c r="AL825" s="267"/>
      <c r="AM825" s="267"/>
      <c r="AN825" s="267"/>
      <c r="AO825" s="267"/>
      <c r="AP825" s="267"/>
      <c r="AQ825" s="267"/>
      <c r="AR825" s="267"/>
      <c r="AS825" s="267"/>
      <c r="AT825" s="267"/>
      <c r="AU825" s="267"/>
      <c r="AV825" s="267"/>
      <c r="AW825" s="267"/>
      <c r="AX825" s="267"/>
      <c r="AY825" s="267"/>
      <c r="AZ825" s="267"/>
      <c r="BA825" s="267"/>
      <c r="BB825" s="267"/>
      <c r="BC825" s="267"/>
      <c r="BD825" s="267"/>
      <c r="BE825" s="267"/>
      <c r="BF825" s="267"/>
      <c r="BG825" s="267"/>
      <c r="BH825" s="267"/>
      <c r="BI825" s="267"/>
      <c r="BJ825" s="267"/>
      <c r="BK825" s="267"/>
      <c r="BL825" s="267"/>
      <c r="BM825" s="267"/>
      <c r="BN825" s="267"/>
      <c r="BO825" s="267"/>
      <c r="BP825" s="267"/>
      <c r="BQ825" s="267"/>
      <c r="BR825" s="267"/>
      <c r="BS825" s="267"/>
      <c r="BT825" s="267"/>
      <c r="BU825" s="267"/>
      <c r="BV825" s="267"/>
      <c r="BW825" s="267"/>
      <c r="BX825" s="267"/>
      <c r="BY825" s="267"/>
      <c r="BZ825" s="267"/>
      <c r="CA825" s="267"/>
      <c r="CB825" s="267"/>
      <c r="CC825" s="267"/>
      <c r="CD825" s="267"/>
      <c r="CE825" s="267"/>
      <c r="CF825" s="267"/>
      <c r="CG825" s="267"/>
      <c r="CH825" s="267"/>
      <c r="CI825" s="267"/>
      <c r="CJ825" s="267"/>
      <c r="CK825" s="267"/>
      <c r="CL825" s="267"/>
      <c r="CM825" s="267"/>
      <c r="CN825" s="267"/>
      <c r="CO825" s="267"/>
      <c r="CP825" s="267"/>
      <c r="CQ825" s="267"/>
      <c r="CR825" s="267"/>
      <c r="CS825" s="267"/>
      <c r="CT825" s="267"/>
      <c r="CU825" s="267"/>
      <c r="CV825" s="267"/>
      <c r="CW825" s="267"/>
      <c r="CX825" s="267"/>
      <c r="CY825" s="267"/>
      <c r="CZ825" s="267"/>
    </row>
    <row r="826" spans="2:104">
      <c r="B826" s="1235"/>
      <c r="C826" s="1235"/>
      <c r="D826" s="1235"/>
      <c r="E826" s="267"/>
      <c r="F826" s="267"/>
      <c r="G826" s="267"/>
      <c r="H826" s="267"/>
      <c r="I826" s="267"/>
      <c r="J826" s="267"/>
      <c r="K826" s="267"/>
      <c r="L826" s="267"/>
      <c r="M826" s="267"/>
      <c r="N826" s="267"/>
      <c r="O826" s="267"/>
      <c r="P826" s="267"/>
      <c r="Q826" s="267"/>
      <c r="R826" s="267"/>
      <c r="S826" s="267"/>
      <c r="T826" s="267"/>
      <c r="U826" s="267"/>
      <c r="V826" s="267"/>
      <c r="W826" s="267"/>
      <c r="X826" s="267"/>
      <c r="Y826" s="267"/>
      <c r="Z826" s="267"/>
      <c r="AA826" s="267"/>
      <c r="AB826" s="267"/>
      <c r="AC826" s="267"/>
      <c r="AD826" s="267"/>
      <c r="AE826" s="267"/>
      <c r="AF826" s="267"/>
      <c r="AG826" s="267"/>
      <c r="AH826" s="267"/>
      <c r="AI826" s="267"/>
      <c r="AJ826" s="267"/>
      <c r="AK826" s="267"/>
      <c r="AL826" s="267"/>
      <c r="AM826" s="267"/>
      <c r="AN826" s="267"/>
      <c r="AO826" s="267"/>
      <c r="AP826" s="267"/>
      <c r="AQ826" s="267"/>
      <c r="AR826" s="267"/>
      <c r="AS826" s="267"/>
      <c r="AT826" s="267"/>
      <c r="AU826" s="267"/>
      <c r="AV826" s="267"/>
      <c r="AW826" s="267"/>
      <c r="AX826" s="267"/>
      <c r="AY826" s="267"/>
      <c r="AZ826" s="267"/>
      <c r="BA826" s="267"/>
      <c r="BB826" s="267"/>
      <c r="BC826" s="267"/>
      <c r="BD826" s="267"/>
      <c r="BE826" s="267"/>
      <c r="BF826" s="267"/>
      <c r="BG826" s="267"/>
      <c r="BH826" s="267"/>
      <c r="BI826" s="267"/>
      <c r="BJ826" s="267"/>
      <c r="BK826" s="267"/>
      <c r="BL826" s="267"/>
      <c r="BM826" s="267"/>
      <c r="BN826" s="267"/>
      <c r="BO826" s="267"/>
      <c r="BP826" s="267"/>
      <c r="BQ826" s="267"/>
      <c r="BR826" s="267"/>
      <c r="BS826" s="267"/>
      <c r="BT826" s="267"/>
      <c r="BU826" s="267"/>
      <c r="BV826" s="267"/>
      <c r="BW826" s="267"/>
      <c r="BX826" s="267"/>
      <c r="BY826" s="267"/>
      <c r="BZ826" s="267"/>
      <c r="CA826" s="267"/>
      <c r="CB826" s="267"/>
      <c r="CC826" s="267"/>
      <c r="CD826" s="267"/>
      <c r="CE826" s="267"/>
      <c r="CF826" s="267"/>
      <c r="CG826" s="267"/>
      <c r="CH826" s="267"/>
      <c r="CI826" s="267"/>
      <c r="CJ826" s="267"/>
      <c r="CK826" s="267"/>
      <c r="CL826" s="267"/>
      <c r="CM826" s="267"/>
      <c r="CN826" s="267"/>
      <c r="CO826" s="267"/>
      <c r="CP826" s="267"/>
      <c r="CQ826" s="267"/>
      <c r="CR826" s="267"/>
      <c r="CS826" s="267"/>
      <c r="CT826" s="267"/>
      <c r="CU826" s="267"/>
      <c r="CV826" s="267"/>
      <c r="CW826" s="267"/>
      <c r="CX826" s="267"/>
      <c r="CY826" s="267"/>
      <c r="CZ826" s="267"/>
    </row>
    <row r="827" spans="2:104">
      <c r="B827" s="1235"/>
      <c r="C827" s="1235"/>
      <c r="D827" s="1235"/>
      <c r="E827" s="267"/>
      <c r="F827" s="267"/>
      <c r="G827" s="267"/>
      <c r="H827" s="267"/>
      <c r="I827" s="267"/>
      <c r="J827" s="267"/>
      <c r="K827" s="267"/>
      <c r="L827" s="267"/>
      <c r="M827" s="267"/>
      <c r="N827" s="267"/>
      <c r="O827" s="267"/>
      <c r="P827" s="267"/>
      <c r="Q827" s="267"/>
      <c r="R827" s="267"/>
      <c r="S827" s="267"/>
      <c r="T827" s="267"/>
      <c r="U827" s="267"/>
      <c r="V827" s="267"/>
      <c r="W827" s="267"/>
      <c r="X827" s="267"/>
      <c r="Y827" s="267"/>
      <c r="Z827" s="267"/>
      <c r="AA827" s="267"/>
      <c r="AB827" s="267"/>
      <c r="AC827" s="267"/>
      <c r="AD827" s="267"/>
      <c r="AE827" s="267"/>
      <c r="AF827" s="267"/>
      <c r="AG827" s="267"/>
      <c r="AH827" s="267"/>
      <c r="AI827" s="267"/>
      <c r="AJ827" s="267"/>
      <c r="AK827" s="267"/>
      <c r="AL827" s="267"/>
      <c r="AM827" s="267"/>
      <c r="AN827" s="267"/>
      <c r="AO827" s="267"/>
      <c r="AP827" s="267"/>
      <c r="AQ827" s="267"/>
      <c r="AR827" s="267"/>
      <c r="AS827" s="267"/>
      <c r="AT827" s="267"/>
      <c r="AU827" s="267"/>
      <c r="AV827" s="267"/>
      <c r="AW827" s="267"/>
      <c r="AX827" s="267"/>
      <c r="AY827" s="267"/>
      <c r="AZ827" s="267"/>
      <c r="BA827" s="267"/>
      <c r="BB827" s="267"/>
      <c r="BC827" s="267"/>
      <c r="BD827" s="267"/>
      <c r="BE827" s="267"/>
      <c r="BF827" s="267"/>
      <c r="BG827" s="267"/>
      <c r="BH827" s="267"/>
      <c r="BI827" s="267"/>
      <c r="BJ827" s="267"/>
      <c r="BK827" s="267"/>
      <c r="BL827" s="267"/>
      <c r="BM827" s="267"/>
      <c r="BN827" s="267"/>
      <c r="BO827" s="267"/>
      <c r="BP827" s="267"/>
      <c r="BQ827" s="267"/>
      <c r="BR827" s="267"/>
      <c r="BS827" s="267"/>
      <c r="BT827" s="267"/>
      <c r="BU827" s="267"/>
      <c r="BV827" s="267"/>
      <c r="BW827" s="267"/>
      <c r="BX827" s="267"/>
      <c r="BY827" s="267"/>
      <c r="BZ827" s="267"/>
      <c r="CA827" s="267"/>
      <c r="CB827" s="267"/>
      <c r="CC827" s="267"/>
      <c r="CD827" s="267"/>
      <c r="CE827" s="267"/>
      <c r="CF827" s="267"/>
      <c r="CG827" s="267"/>
      <c r="CH827" s="267"/>
      <c r="CI827" s="267"/>
      <c r="CJ827" s="267"/>
      <c r="CK827" s="267"/>
      <c r="CL827" s="267"/>
      <c r="CM827" s="267"/>
      <c r="CN827" s="267"/>
      <c r="CO827" s="267"/>
      <c r="CP827" s="267"/>
      <c r="CQ827" s="267"/>
      <c r="CR827" s="267"/>
      <c r="CS827" s="267"/>
      <c r="CT827" s="267"/>
      <c r="CU827" s="267"/>
      <c r="CV827" s="267"/>
      <c r="CW827" s="267"/>
      <c r="CX827" s="267"/>
      <c r="CY827" s="267"/>
      <c r="CZ827" s="267"/>
    </row>
    <row r="828" spans="2:104">
      <c r="B828" s="1235"/>
      <c r="C828" s="1235"/>
      <c r="D828" s="1235"/>
      <c r="E828" s="267"/>
      <c r="F828" s="267"/>
      <c r="G828" s="267"/>
      <c r="H828" s="267"/>
      <c r="I828" s="267"/>
      <c r="J828" s="267"/>
      <c r="K828" s="267"/>
      <c r="L828" s="267"/>
      <c r="M828" s="267"/>
      <c r="N828" s="267"/>
      <c r="O828" s="267"/>
      <c r="P828" s="267"/>
      <c r="Q828" s="267"/>
      <c r="R828" s="267"/>
      <c r="S828" s="267"/>
      <c r="T828" s="267"/>
      <c r="U828" s="267"/>
      <c r="V828" s="267"/>
      <c r="W828" s="267"/>
      <c r="X828" s="267"/>
      <c r="Y828" s="267"/>
      <c r="Z828" s="267"/>
      <c r="AA828" s="267"/>
      <c r="AB828" s="267"/>
      <c r="AC828" s="267"/>
      <c r="AD828" s="267"/>
      <c r="AE828" s="267"/>
      <c r="AF828" s="267"/>
      <c r="AG828" s="267"/>
      <c r="AH828" s="267"/>
      <c r="AI828" s="267"/>
      <c r="AJ828" s="267"/>
      <c r="AK828" s="267"/>
      <c r="AL828" s="267"/>
      <c r="AM828" s="267"/>
      <c r="AN828" s="267"/>
      <c r="AO828" s="267"/>
      <c r="AP828" s="267"/>
      <c r="AQ828" s="267"/>
      <c r="AR828" s="267"/>
      <c r="AS828" s="267"/>
      <c r="AT828" s="267"/>
      <c r="AU828" s="267"/>
      <c r="AV828" s="267"/>
      <c r="AW828" s="267"/>
      <c r="AX828" s="267"/>
      <c r="AY828" s="267"/>
      <c r="AZ828" s="267"/>
      <c r="BA828" s="267"/>
      <c r="BB828" s="267"/>
      <c r="BC828" s="267"/>
      <c r="BD828" s="267"/>
      <c r="BE828" s="267"/>
      <c r="BF828" s="267"/>
      <c r="BG828" s="267"/>
      <c r="BH828" s="267"/>
      <c r="BI828" s="267"/>
      <c r="BJ828" s="267"/>
      <c r="BK828" s="267"/>
      <c r="BL828" s="267"/>
      <c r="BM828" s="267"/>
      <c r="BN828" s="267"/>
      <c r="BO828" s="267"/>
      <c r="BP828" s="267"/>
      <c r="BQ828" s="267"/>
      <c r="BR828" s="267"/>
      <c r="BS828" s="267"/>
      <c r="BT828" s="267"/>
      <c r="BU828" s="267"/>
      <c r="BV828" s="267"/>
      <c r="BW828" s="267"/>
      <c r="BX828" s="267"/>
      <c r="BY828" s="267"/>
      <c r="BZ828" s="267"/>
      <c r="CA828" s="267"/>
      <c r="CB828" s="267"/>
      <c r="CC828" s="267"/>
      <c r="CD828" s="267"/>
      <c r="CE828" s="267"/>
      <c r="CF828" s="267"/>
      <c r="CG828" s="267"/>
      <c r="CH828" s="267"/>
      <c r="CI828" s="267"/>
      <c r="CJ828" s="267"/>
      <c r="CK828" s="267"/>
      <c r="CL828" s="267"/>
      <c r="CM828" s="267"/>
      <c r="CN828" s="267"/>
      <c r="CO828" s="267"/>
      <c r="CP828" s="267"/>
      <c r="CQ828" s="267"/>
      <c r="CR828" s="267"/>
      <c r="CS828" s="267"/>
      <c r="CT828" s="267"/>
      <c r="CU828" s="267"/>
      <c r="CV828" s="267"/>
      <c r="CW828" s="267"/>
      <c r="CX828" s="267"/>
      <c r="CY828" s="267"/>
      <c r="CZ828" s="267"/>
    </row>
    <row r="829" spans="2:104">
      <c r="B829" s="1235"/>
      <c r="C829" s="1235"/>
      <c r="D829" s="1235"/>
      <c r="E829" s="267"/>
      <c r="F829" s="267"/>
      <c r="G829" s="267"/>
      <c r="H829" s="267"/>
      <c r="I829" s="267"/>
      <c r="J829" s="267"/>
      <c r="K829" s="267"/>
      <c r="L829" s="267"/>
      <c r="M829" s="267"/>
      <c r="N829" s="267"/>
      <c r="O829" s="267"/>
      <c r="P829" s="267"/>
      <c r="Q829" s="267"/>
      <c r="R829" s="267"/>
      <c r="S829" s="267"/>
      <c r="T829" s="267"/>
      <c r="U829" s="267"/>
      <c r="V829" s="267"/>
      <c r="W829" s="267"/>
      <c r="X829" s="267"/>
      <c r="Y829" s="267"/>
      <c r="Z829" s="267"/>
      <c r="AA829" s="267"/>
      <c r="AB829" s="267"/>
      <c r="AC829" s="267"/>
      <c r="AD829" s="267"/>
      <c r="AE829" s="267"/>
      <c r="AF829" s="267"/>
      <c r="AG829" s="267"/>
      <c r="AH829" s="267"/>
      <c r="AI829" s="267"/>
      <c r="AJ829" s="267"/>
      <c r="AK829" s="267"/>
      <c r="AL829" s="267"/>
      <c r="AM829" s="267"/>
      <c r="AN829" s="267"/>
      <c r="AO829" s="267"/>
      <c r="AP829" s="267"/>
      <c r="AQ829" s="267"/>
      <c r="AR829" s="267"/>
      <c r="AS829" s="267"/>
      <c r="AT829" s="267"/>
      <c r="AU829" s="267"/>
      <c r="AV829" s="267"/>
      <c r="AW829" s="267"/>
      <c r="AX829" s="267"/>
      <c r="AY829" s="267"/>
      <c r="AZ829" s="267"/>
      <c r="BA829" s="267"/>
      <c r="BB829" s="267"/>
      <c r="BC829" s="267"/>
      <c r="BD829" s="267"/>
      <c r="BE829" s="267"/>
      <c r="BF829" s="267"/>
      <c r="BG829" s="267"/>
      <c r="BH829" s="267"/>
      <c r="BI829" s="267"/>
      <c r="BJ829" s="267"/>
      <c r="BK829" s="267"/>
      <c r="BL829" s="267"/>
      <c r="BM829" s="267"/>
      <c r="BN829" s="267"/>
      <c r="BO829" s="267"/>
      <c r="BP829" s="267"/>
      <c r="BQ829" s="267"/>
      <c r="BR829" s="267"/>
      <c r="BS829" s="267"/>
      <c r="BT829" s="267"/>
      <c r="BU829" s="267"/>
      <c r="BV829" s="267"/>
      <c r="BW829" s="267"/>
      <c r="BX829" s="267"/>
      <c r="BY829" s="267"/>
      <c r="BZ829" s="267"/>
      <c r="CA829" s="267"/>
      <c r="CB829" s="267"/>
      <c r="CC829" s="267"/>
      <c r="CD829" s="267"/>
      <c r="CE829" s="267"/>
      <c r="CF829" s="267"/>
      <c r="CG829" s="267"/>
      <c r="CH829" s="267"/>
      <c r="CI829" s="267"/>
      <c r="CJ829" s="267"/>
      <c r="CK829" s="267"/>
      <c r="CL829" s="267"/>
      <c r="CM829" s="267"/>
      <c r="CN829" s="267"/>
      <c r="CO829" s="267"/>
      <c r="CP829" s="267"/>
      <c r="CQ829" s="267"/>
      <c r="CR829" s="267"/>
      <c r="CS829" s="267"/>
      <c r="CT829" s="267"/>
      <c r="CU829" s="267"/>
      <c r="CV829" s="267"/>
      <c r="CW829" s="267"/>
      <c r="CX829" s="267"/>
      <c r="CY829" s="267"/>
      <c r="CZ829" s="267"/>
    </row>
    <row r="830" spans="2:104">
      <c r="B830" s="1235"/>
      <c r="C830" s="1235"/>
      <c r="D830" s="1235"/>
      <c r="E830" s="267"/>
      <c r="F830" s="267"/>
      <c r="G830" s="267"/>
      <c r="H830" s="267"/>
      <c r="I830" s="267"/>
      <c r="J830" s="267"/>
      <c r="K830" s="267"/>
      <c r="L830" s="267"/>
      <c r="M830" s="267"/>
      <c r="N830" s="267"/>
      <c r="O830" s="267"/>
      <c r="P830" s="267"/>
      <c r="Q830" s="267"/>
      <c r="R830" s="267"/>
      <c r="S830" s="267"/>
      <c r="T830" s="267"/>
      <c r="U830" s="267"/>
      <c r="V830" s="267"/>
      <c r="W830" s="267"/>
      <c r="X830" s="267"/>
      <c r="Y830" s="267"/>
      <c r="Z830" s="267"/>
      <c r="AA830" s="267"/>
      <c r="AB830" s="267"/>
      <c r="AC830" s="267"/>
      <c r="AD830" s="267"/>
      <c r="AE830" s="267"/>
      <c r="AF830" s="267"/>
      <c r="AG830" s="267"/>
      <c r="AH830" s="267"/>
      <c r="AI830" s="267"/>
      <c r="AJ830" s="267"/>
      <c r="AK830" s="267"/>
      <c r="AL830" s="267"/>
      <c r="AM830" s="267"/>
      <c r="AN830" s="267"/>
      <c r="AO830" s="267"/>
      <c r="AP830" s="267"/>
      <c r="AQ830" s="267"/>
      <c r="AR830" s="267"/>
      <c r="AS830" s="267"/>
      <c r="AT830" s="267"/>
      <c r="AU830" s="267"/>
      <c r="AV830" s="267"/>
      <c r="AW830" s="267"/>
      <c r="AX830" s="267"/>
      <c r="AY830" s="267"/>
      <c r="AZ830" s="267"/>
      <c r="BA830" s="267"/>
      <c r="BB830" s="267"/>
      <c r="BC830" s="267"/>
      <c r="BD830" s="267"/>
      <c r="BE830" s="267"/>
      <c r="BF830" s="267"/>
      <c r="BG830" s="267"/>
      <c r="BH830" s="267"/>
      <c r="BI830" s="267"/>
      <c r="BJ830" s="267"/>
      <c r="BK830" s="267"/>
      <c r="BL830" s="267"/>
      <c r="BM830" s="267"/>
      <c r="BN830" s="267"/>
      <c r="BO830" s="267"/>
      <c r="BP830" s="267"/>
      <c r="BQ830" s="267"/>
      <c r="BR830" s="267"/>
      <c r="BS830" s="267"/>
      <c r="BT830" s="267"/>
      <c r="BU830" s="267"/>
      <c r="BV830" s="267"/>
      <c r="BW830" s="267"/>
      <c r="BX830" s="267"/>
      <c r="BY830" s="267"/>
      <c r="BZ830" s="267"/>
      <c r="CA830" s="267"/>
      <c r="CB830" s="267"/>
      <c r="CC830" s="267"/>
      <c r="CD830" s="267"/>
      <c r="CE830" s="267"/>
      <c r="CF830" s="267"/>
      <c r="CG830" s="267"/>
      <c r="CH830" s="267"/>
      <c r="CI830" s="267"/>
      <c r="CJ830" s="267"/>
      <c r="CK830" s="267"/>
      <c r="CL830" s="267"/>
      <c r="CM830" s="267"/>
      <c r="CN830" s="267"/>
      <c r="CO830" s="267"/>
      <c r="CP830" s="267"/>
      <c r="CQ830" s="267"/>
      <c r="CR830" s="267"/>
      <c r="CS830" s="267"/>
      <c r="CT830" s="267"/>
      <c r="CU830" s="267"/>
      <c r="CV830" s="267"/>
      <c r="CW830" s="267"/>
      <c r="CX830" s="267"/>
      <c r="CY830" s="267"/>
      <c r="CZ830" s="267"/>
    </row>
    <row r="831" spans="2:104">
      <c r="B831" s="1235"/>
      <c r="C831" s="1235"/>
      <c r="D831" s="1235"/>
      <c r="E831" s="267"/>
      <c r="F831" s="267"/>
      <c r="G831" s="267"/>
      <c r="H831" s="267"/>
      <c r="I831" s="267"/>
      <c r="J831" s="267"/>
      <c r="K831" s="267"/>
      <c r="L831" s="267"/>
      <c r="M831" s="267"/>
      <c r="N831" s="267"/>
      <c r="O831" s="267"/>
      <c r="P831" s="267"/>
      <c r="Q831" s="267"/>
      <c r="R831" s="267"/>
      <c r="S831" s="267"/>
      <c r="T831" s="267"/>
      <c r="U831" s="267"/>
      <c r="V831" s="267"/>
      <c r="W831" s="267"/>
      <c r="X831" s="267"/>
      <c r="Y831" s="267"/>
      <c r="Z831" s="267"/>
      <c r="AA831" s="267"/>
      <c r="AB831" s="267"/>
      <c r="AC831" s="267"/>
      <c r="AD831" s="267"/>
      <c r="AE831" s="267"/>
      <c r="AF831" s="267"/>
      <c r="AG831" s="267"/>
      <c r="AH831" s="267"/>
      <c r="AI831" s="267"/>
      <c r="AJ831" s="267"/>
      <c r="AK831" s="267"/>
      <c r="AL831" s="267"/>
      <c r="AM831" s="267"/>
      <c r="AN831" s="267"/>
      <c r="AO831" s="267"/>
      <c r="AP831" s="267"/>
      <c r="AQ831" s="267"/>
      <c r="AR831" s="267"/>
      <c r="AS831" s="267"/>
      <c r="AT831" s="267"/>
      <c r="AU831" s="267"/>
      <c r="AV831" s="267"/>
      <c r="AW831" s="267"/>
      <c r="AX831" s="267"/>
      <c r="AY831" s="267"/>
      <c r="AZ831" s="267"/>
      <c r="BA831" s="267"/>
      <c r="BB831" s="267"/>
      <c r="BC831" s="267"/>
      <c r="BD831" s="267"/>
      <c r="BE831" s="267"/>
      <c r="BF831" s="267"/>
      <c r="BG831" s="267"/>
      <c r="BH831" s="267"/>
      <c r="BI831" s="267"/>
      <c r="BJ831" s="267"/>
      <c r="BK831" s="267"/>
      <c r="BL831" s="267"/>
      <c r="BM831" s="267"/>
      <c r="BN831" s="267"/>
      <c r="BO831" s="267"/>
      <c r="BP831" s="267"/>
      <c r="BQ831" s="267"/>
      <c r="BR831" s="267"/>
      <c r="BS831" s="267"/>
      <c r="BT831" s="267"/>
      <c r="BU831" s="267"/>
      <c r="BV831" s="267"/>
      <c r="BW831" s="267"/>
      <c r="BX831" s="267"/>
      <c r="BY831" s="267"/>
      <c r="BZ831" s="267"/>
      <c r="CA831" s="267"/>
      <c r="CB831" s="267"/>
      <c r="CC831" s="267"/>
      <c r="CD831" s="267"/>
      <c r="CE831" s="267"/>
      <c r="CF831" s="267"/>
      <c r="CG831" s="267"/>
      <c r="CH831" s="267"/>
      <c r="CI831" s="267"/>
      <c r="CJ831" s="267"/>
      <c r="CK831" s="267"/>
      <c r="CL831" s="267"/>
      <c r="CM831" s="267"/>
      <c r="CN831" s="267"/>
      <c r="CO831" s="267"/>
      <c r="CP831" s="267"/>
      <c r="CQ831" s="267"/>
      <c r="CR831" s="267"/>
      <c r="CS831" s="267"/>
      <c r="CT831" s="267"/>
      <c r="CU831" s="267"/>
      <c r="CV831" s="267"/>
      <c r="CW831" s="267"/>
      <c r="CX831" s="267"/>
      <c r="CY831" s="267"/>
      <c r="CZ831" s="267"/>
    </row>
    <row r="832" spans="2:104">
      <c r="B832" s="1235"/>
      <c r="C832" s="1235"/>
      <c r="D832" s="1235"/>
      <c r="E832" s="267"/>
      <c r="F832" s="267"/>
      <c r="G832" s="267"/>
      <c r="H832" s="267"/>
      <c r="I832" s="267"/>
      <c r="J832" s="267"/>
      <c r="K832" s="267"/>
      <c r="L832" s="267"/>
      <c r="M832" s="267"/>
      <c r="N832" s="267"/>
      <c r="O832" s="267"/>
      <c r="P832" s="267"/>
      <c r="Q832" s="267"/>
      <c r="R832" s="267"/>
      <c r="S832" s="267"/>
      <c r="T832" s="267"/>
      <c r="U832" s="267"/>
      <c r="V832" s="267"/>
      <c r="W832" s="267"/>
      <c r="X832" s="267"/>
      <c r="Y832" s="267"/>
      <c r="Z832" s="267"/>
      <c r="AA832" s="267"/>
      <c r="AB832" s="267"/>
      <c r="AC832" s="267"/>
      <c r="AD832" s="267"/>
      <c r="AE832" s="267"/>
      <c r="AF832" s="267"/>
      <c r="AG832" s="267"/>
      <c r="AH832" s="267"/>
      <c r="AI832" s="267"/>
      <c r="AJ832" s="267"/>
      <c r="AK832" s="267"/>
      <c r="AL832" s="267"/>
      <c r="AM832" s="267"/>
      <c r="AN832" s="267"/>
      <c r="AO832" s="267"/>
      <c r="AP832" s="267"/>
      <c r="AQ832" s="267"/>
      <c r="AR832" s="267"/>
      <c r="AS832" s="267"/>
      <c r="AT832" s="267"/>
      <c r="AU832" s="267"/>
      <c r="AV832" s="267"/>
      <c r="AW832" s="267"/>
      <c r="AX832" s="267"/>
      <c r="AY832" s="267"/>
      <c r="AZ832" s="267"/>
      <c r="BA832" s="267"/>
      <c r="BB832" s="267"/>
      <c r="BC832" s="267"/>
      <c r="BD832" s="267"/>
      <c r="BE832" s="267"/>
      <c r="BF832" s="267"/>
      <c r="BG832" s="267"/>
      <c r="BH832" s="267"/>
      <c r="BI832" s="267"/>
      <c r="BJ832" s="267"/>
      <c r="BK832" s="267"/>
      <c r="BL832" s="267"/>
      <c r="BM832" s="267"/>
      <c r="BN832" s="267"/>
      <c r="BO832" s="267"/>
      <c r="BP832" s="267"/>
      <c r="BQ832" s="267"/>
      <c r="BR832" s="267"/>
      <c r="BS832" s="267"/>
      <c r="BT832" s="267"/>
      <c r="BU832" s="267"/>
      <c r="BV832" s="267"/>
      <c r="BW832" s="267"/>
      <c r="BX832" s="267"/>
      <c r="BY832" s="267"/>
      <c r="BZ832" s="267"/>
      <c r="CA832" s="267"/>
      <c r="CB832" s="267"/>
      <c r="CC832" s="267"/>
      <c r="CD832" s="267"/>
      <c r="CE832" s="267"/>
      <c r="CF832" s="267"/>
      <c r="CG832" s="267"/>
      <c r="CH832" s="267"/>
      <c r="CI832" s="267"/>
      <c r="CJ832" s="267"/>
      <c r="CK832" s="267"/>
      <c r="CL832" s="267"/>
      <c r="CM832" s="267"/>
      <c r="CN832" s="267"/>
      <c r="CO832" s="267"/>
      <c r="CP832" s="267"/>
      <c r="CQ832" s="267"/>
      <c r="CR832" s="267"/>
      <c r="CS832" s="267"/>
      <c r="CT832" s="267"/>
      <c r="CU832" s="267"/>
      <c r="CV832" s="267"/>
      <c r="CW832" s="267"/>
      <c r="CX832" s="267"/>
      <c r="CY832" s="267"/>
      <c r="CZ832" s="267"/>
    </row>
    <row r="833" spans="2:104">
      <c r="B833" s="1235"/>
      <c r="C833" s="1235"/>
      <c r="D833" s="1235"/>
      <c r="E833" s="267"/>
      <c r="F833" s="267"/>
      <c r="G833" s="267"/>
      <c r="H833" s="267"/>
      <c r="I833" s="267"/>
      <c r="J833" s="267"/>
      <c r="K833" s="267"/>
      <c r="L833" s="267"/>
      <c r="M833" s="267"/>
      <c r="N833" s="267"/>
      <c r="O833" s="267"/>
      <c r="P833" s="267"/>
      <c r="Q833" s="267"/>
      <c r="R833" s="267"/>
      <c r="S833" s="267"/>
      <c r="T833" s="267"/>
      <c r="U833" s="267"/>
      <c r="V833" s="267"/>
      <c r="W833" s="267"/>
      <c r="X833" s="267"/>
      <c r="Y833" s="267"/>
      <c r="Z833" s="267"/>
      <c r="AA833" s="267"/>
      <c r="AB833" s="267"/>
      <c r="AC833" s="267"/>
      <c r="AD833" s="267"/>
      <c r="AE833" s="267"/>
      <c r="AF833" s="267"/>
      <c r="AG833" s="267"/>
      <c r="AH833" s="267"/>
      <c r="AI833" s="267"/>
      <c r="AJ833" s="267"/>
      <c r="AK833" s="267"/>
      <c r="AL833" s="267"/>
      <c r="AM833" s="267"/>
      <c r="AN833" s="267"/>
      <c r="AO833" s="267"/>
      <c r="AP833" s="267"/>
      <c r="AQ833" s="267"/>
      <c r="AR833" s="267"/>
      <c r="AS833" s="267"/>
      <c r="AT833" s="267"/>
      <c r="AU833" s="267"/>
      <c r="AV833" s="267"/>
      <c r="AW833" s="267"/>
      <c r="AX833" s="267"/>
      <c r="AY833" s="267"/>
      <c r="AZ833" s="267"/>
      <c r="BA833" s="267"/>
      <c r="BB833" s="267"/>
      <c r="BC833" s="267"/>
      <c r="BD833" s="267"/>
      <c r="BE833" s="267"/>
      <c r="BF833" s="267"/>
      <c r="BG833" s="267"/>
      <c r="BH833" s="267"/>
      <c r="BI833" s="267"/>
      <c r="BJ833" s="267"/>
      <c r="BK833" s="267"/>
      <c r="BL833" s="267"/>
      <c r="BM833" s="267"/>
      <c r="BN833" s="267"/>
      <c r="BO833" s="267"/>
      <c r="BP833" s="267"/>
      <c r="BQ833" s="267"/>
      <c r="BR833" s="267"/>
      <c r="BS833" s="267"/>
      <c r="BT833" s="267"/>
      <c r="BU833" s="267"/>
      <c r="BV833" s="267"/>
      <c r="BW833" s="267"/>
      <c r="BX833" s="267"/>
      <c r="BY833" s="267"/>
      <c r="BZ833" s="267"/>
      <c r="CA833" s="267"/>
      <c r="CB833" s="267"/>
      <c r="CC833" s="267"/>
      <c r="CD833" s="267"/>
      <c r="CE833" s="267"/>
      <c r="CF833" s="267"/>
      <c r="CG833" s="267"/>
      <c r="CH833" s="267"/>
      <c r="CI833" s="267"/>
      <c r="CJ833" s="267"/>
      <c r="CK833" s="267"/>
      <c r="CL833" s="267"/>
      <c r="CM833" s="267"/>
      <c r="CN833" s="267"/>
      <c r="CO833" s="267"/>
      <c r="CP833" s="267"/>
      <c r="CQ833" s="267"/>
      <c r="CR833" s="267"/>
      <c r="CS833" s="267"/>
      <c r="CT833" s="267"/>
      <c r="CU833" s="267"/>
      <c r="CV833" s="267"/>
      <c r="CW833" s="267"/>
      <c r="CX833" s="267"/>
      <c r="CY833" s="267"/>
      <c r="CZ833" s="267"/>
    </row>
    <row r="834" spans="2:104">
      <c r="B834" s="1235"/>
      <c r="C834" s="1235"/>
      <c r="D834" s="1235"/>
      <c r="E834" s="267"/>
      <c r="F834" s="267"/>
      <c r="G834" s="267"/>
      <c r="H834" s="267"/>
      <c r="I834" s="267"/>
      <c r="J834" s="267"/>
      <c r="K834" s="267"/>
      <c r="L834" s="267"/>
      <c r="M834" s="267"/>
      <c r="N834" s="267"/>
      <c r="O834" s="267"/>
      <c r="P834" s="267"/>
      <c r="Q834" s="267"/>
      <c r="R834" s="267"/>
      <c r="S834" s="267"/>
      <c r="T834" s="267"/>
      <c r="U834" s="267"/>
      <c r="V834" s="267"/>
      <c r="W834" s="267"/>
      <c r="X834" s="267"/>
      <c r="Y834" s="267"/>
      <c r="Z834" s="267"/>
      <c r="AA834" s="267"/>
      <c r="AB834" s="267"/>
      <c r="AC834" s="267"/>
      <c r="AD834" s="267"/>
      <c r="AE834" s="267"/>
      <c r="AF834" s="267"/>
      <c r="AG834" s="267"/>
      <c r="AH834" s="267"/>
      <c r="AI834" s="267"/>
      <c r="AJ834" s="267"/>
      <c r="AK834" s="267"/>
      <c r="AL834" s="267"/>
      <c r="AM834" s="267"/>
      <c r="AN834" s="267"/>
      <c r="AO834" s="267"/>
      <c r="AP834" s="267"/>
      <c r="AQ834" s="267"/>
      <c r="AR834" s="267"/>
      <c r="AS834" s="267"/>
      <c r="AT834" s="267"/>
      <c r="AU834" s="267"/>
      <c r="AV834" s="267"/>
      <c r="AW834" s="267"/>
      <c r="AX834" s="267"/>
      <c r="AY834" s="267"/>
      <c r="AZ834" s="267"/>
      <c r="BA834" s="267"/>
      <c r="BB834" s="267"/>
      <c r="BC834" s="267"/>
      <c r="BD834" s="267"/>
      <c r="BE834" s="267"/>
      <c r="BF834" s="267"/>
      <c r="BG834" s="267"/>
      <c r="BH834" s="267"/>
      <c r="BI834" s="267"/>
      <c r="BJ834" s="267"/>
      <c r="BK834" s="267"/>
      <c r="BL834" s="267"/>
      <c r="BM834" s="267"/>
      <c r="BN834" s="267"/>
      <c r="BO834" s="267"/>
      <c r="BP834" s="267"/>
      <c r="BQ834" s="267"/>
      <c r="BR834" s="267"/>
      <c r="BS834" s="267"/>
      <c r="BT834" s="267"/>
      <c r="BU834" s="267"/>
      <c r="BV834" s="267"/>
      <c r="BW834" s="267"/>
      <c r="BX834" s="267"/>
      <c r="BY834" s="267"/>
      <c r="BZ834" s="267"/>
      <c r="CA834" s="267"/>
      <c r="CB834" s="267"/>
      <c r="CC834" s="267"/>
      <c r="CD834" s="267"/>
      <c r="CE834" s="267"/>
      <c r="CF834" s="267"/>
      <c r="CG834" s="267"/>
      <c r="CH834" s="267"/>
      <c r="CI834" s="267"/>
      <c r="CJ834" s="267"/>
      <c r="CK834" s="267"/>
      <c r="CL834" s="267"/>
      <c r="CM834" s="267"/>
      <c r="CN834" s="267"/>
      <c r="CO834" s="267"/>
      <c r="CP834" s="267"/>
      <c r="CQ834" s="267"/>
      <c r="CR834" s="267"/>
      <c r="CS834" s="267"/>
      <c r="CT834" s="267"/>
      <c r="CU834" s="267"/>
      <c r="CV834" s="267"/>
      <c r="CW834" s="267"/>
      <c r="CX834" s="267"/>
      <c r="CY834" s="267"/>
      <c r="CZ834" s="267"/>
    </row>
    <row r="835" spans="2:104">
      <c r="B835" s="1235"/>
      <c r="C835" s="1235"/>
      <c r="D835" s="1235"/>
      <c r="E835" s="267"/>
      <c r="F835" s="267"/>
      <c r="G835" s="267"/>
      <c r="H835" s="267"/>
      <c r="I835" s="267"/>
      <c r="J835" s="267"/>
      <c r="K835" s="267"/>
      <c r="L835" s="267"/>
      <c r="M835" s="267"/>
      <c r="N835" s="267"/>
      <c r="O835" s="267"/>
      <c r="P835" s="267"/>
      <c r="Q835" s="267"/>
      <c r="R835" s="267"/>
      <c r="S835" s="267"/>
      <c r="T835" s="267"/>
      <c r="U835" s="267"/>
      <c r="V835" s="267"/>
      <c r="W835" s="267"/>
      <c r="X835" s="267"/>
      <c r="Y835" s="267"/>
      <c r="Z835" s="267"/>
      <c r="AA835" s="267"/>
      <c r="AB835" s="267"/>
      <c r="AC835" s="267"/>
      <c r="AD835" s="267"/>
      <c r="AE835" s="267"/>
      <c r="AF835" s="267"/>
      <c r="AG835" s="267"/>
      <c r="AH835" s="267"/>
      <c r="AI835" s="267"/>
      <c r="AJ835" s="267"/>
      <c r="AK835" s="267"/>
      <c r="AL835" s="267"/>
      <c r="AM835" s="267"/>
      <c r="AN835" s="267"/>
      <c r="AO835" s="267"/>
      <c r="AP835" s="267"/>
      <c r="AQ835" s="267"/>
      <c r="AR835" s="267"/>
      <c r="AS835" s="267"/>
      <c r="AT835" s="267"/>
      <c r="AU835" s="267"/>
      <c r="AV835" s="267"/>
      <c r="AW835" s="267"/>
      <c r="AX835" s="267"/>
      <c r="AY835" s="267"/>
      <c r="AZ835" s="267"/>
      <c r="BA835" s="267"/>
      <c r="BB835" s="267"/>
      <c r="BC835" s="267"/>
      <c r="BD835" s="267"/>
      <c r="BE835" s="267"/>
      <c r="BF835" s="267"/>
      <c r="BG835" s="267"/>
      <c r="BH835" s="267"/>
      <c r="BI835" s="267"/>
      <c r="BJ835" s="267"/>
      <c r="BK835" s="267"/>
      <c r="BL835" s="267"/>
      <c r="BM835" s="267"/>
      <c r="BN835" s="267"/>
      <c r="BO835" s="267"/>
      <c r="BP835" s="267"/>
      <c r="BQ835" s="267"/>
      <c r="BR835" s="267"/>
      <c r="BS835" s="267"/>
      <c r="BT835" s="267"/>
      <c r="BU835" s="267"/>
      <c r="BV835" s="267"/>
      <c r="BW835" s="267"/>
      <c r="BX835" s="267"/>
      <c r="BY835" s="267"/>
      <c r="BZ835" s="267"/>
      <c r="CA835" s="267"/>
      <c r="CB835" s="267"/>
      <c r="CC835" s="267"/>
      <c r="CD835" s="267"/>
      <c r="CE835" s="267"/>
      <c r="CF835" s="267"/>
      <c r="CG835" s="267"/>
      <c r="CH835" s="267"/>
      <c r="CI835" s="267"/>
      <c r="CJ835" s="267"/>
      <c r="CK835" s="267"/>
      <c r="CL835" s="267"/>
      <c r="CM835" s="267"/>
      <c r="CN835" s="267"/>
      <c r="CO835" s="267"/>
      <c r="CP835" s="267"/>
      <c r="CQ835" s="267"/>
      <c r="CR835" s="267"/>
      <c r="CS835" s="267"/>
      <c r="CT835" s="267"/>
      <c r="CU835" s="267"/>
      <c r="CV835" s="267"/>
      <c r="CW835" s="267"/>
      <c r="CX835" s="267"/>
      <c r="CY835" s="267"/>
      <c r="CZ835" s="267"/>
    </row>
    <row r="836" spans="2:104">
      <c r="B836" s="1235"/>
      <c r="C836" s="1235"/>
      <c r="D836" s="1235"/>
      <c r="E836" s="267"/>
      <c r="F836" s="267"/>
      <c r="G836" s="267"/>
      <c r="H836" s="267"/>
      <c r="I836" s="267"/>
      <c r="J836" s="267"/>
      <c r="K836" s="267"/>
      <c r="L836" s="267"/>
      <c r="M836" s="267"/>
      <c r="N836" s="267"/>
      <c r="O836" s="267"/>
      <c r="P836" s="267"/>
      <c r="Q836" s="267"/>
      <c r="R836" s="267"/>
      <c r="S836" s="267"/>
      <c r="T836" s="267"/>
      <c r="U836" s="267"/>
      <c r="V836" s="267"/>
      <c r="W836" s="267"/>
      <c r="X836" s="267"/>
      <c r="Y836" s="267"/>
      <c r="Z836" s="267"/>
      <c r="AA836" s="267"/>
      <c r="AB836" s="267"/>
      <c r="AC836" s="267"/>
      <c r="AD836" s="267"/>
      <c r="AE836" s="267"/>
      <c r="AF836" s="267"/>
      <c r="AG836" s="267"/>
      <c r="AH836" s="267"/>
      <c r="AI836" s="267"/>
      <c r="AJ836" s="267"/>
      <c r="AK836" s="267"/>
      <c r="AL836" s="267"/>
      <c r="AM836" s="267"/>
      <c r="AN836" s="267"/>
      <c r="AO836" s="267"/>
      <c r="AP836" s="267"/>
      <c r="AQ836" s="267"/>
      <c r="AR836" s="267"/>
      <c r="AS836" s="267"/>
      <c r="AT836" s="267"/>
      <c r="AU836" s="267"/>
      <c r="AV836" s="267"/>
      <c r="AW836" s="267"/>
      <c r="AX836" s="267"/>
      <c r="AY836" s="267"/>
      <c r="AZ836" s="267"/>
      <c r="BA836" s="267"/>
      <c r="BB836" s="267"/>
      <c r="BC836" s="267"/>
      <c r="BD836" s="267"/>
      <c r="BE836" s="267"/>
      <c r="BF836" s="267"/>
      <c r="BG836" s="267"/>
      <c r="BH836" s="267"/>
      <c r="BI836" s="267"/>
      <c r="BJ836" s="267"/>
      <c r="BK836" s="267"/>
      <c r="BL836" s="267"/>
      <c r="BM836" s="267"/>
      <c r="BN836" s="267"/>
      <c r="BO836" s="267"/>
      <c r="BP836" s="267"/>
      <c r="BQ836" s="267"/>
      <c r="BR836" s="267"/>
      <c r="BS836" s="267"/>
      <c r="BT836" s="267"/>
      <c r="BU836" s="267"/>
      <c r="BV836" s="267"/>
      <c r="BW836" s="267"/>
      <c r="BX836" s="267"/>
      <c r="BY836" s="267"/>
      <c r="BZ836" s="267"/>
      <c r="CA836" s="267"/>
      <c r="CB836" s="267"/>
      <c r="CC836" s="267"/>
      <c r="CD836" s="267"/>
      <c r="CE836" s="267"/>
      <c r="CF836" s="267"/>
      <c r="CG836" s="267"/>
      <c r="CH836" s="267"/>
      <c r="CI836" s="267"/>
      <c r="CJ836" s="267"/>
      <c r="CK836" s="267"/>
      <c r="CL836" s="267"/>
      <c r="CM836" s="267"/>
      <c r="CN836" s="267"/>
      <c r="CO836" s="267"/>
      <c r="CP836" s="267"/>
      <c r="CQ836" s="267"/>
      <c r="CR836" s="267"/>
      <c r="CS836" s="267"/>
      <c r="CT836" s="267"/>
      <c r="CU836" s="267"/>
      <c r="CV836" s="267"/>
      <c r="CW836" s="267"/>
      <c r="CX836" s="267"/>
      <c r="CY836" s="267"/>
      <c r="CZ836" s="267"/>
    </row>
    <row r="837" spans="2:104">
      <c r="B837" s="1235"/>
      <c r="C837" s="1235"/>
      <c r="D837" s="1235"/>
      <c r="E837" s="267"/>
      <c r="F837" s="267"/>
      <c r="G837" s="267"/>
      <c r="H837" s="267"/>
      <c r="I837" s="267"/>
      <c r="J837" s="267"/>
      <c r="K837" s="267"/>
      <c r="L837" s="267"/>
      <c r="M837" s="267"/>
      <c r="N837" s="267"/>
      <c r="O837" s="267"/>
      <c r="P837" s="267"/>
      <c r="Q837" s="267"/>
      <c r="R837" s="267"/>
      <c r="S837" s="267"/>
      <c r="T837" s="267"/>
      <c r="U837" s="267"/>
      <c r="V837" s="267"/>
      <c r="W837" s="267"/>
      <c r="X837" s="267"/>
      <c r="Y837" s="267"/>
      <c r="Z837" s="267"/>
      <c r="AA837" s="267"/>
      <c r="AB837" s="267"/>
      <c r="AC837" s="267"/>
      <c r="AD837" s="267"/>
      <c r="AE837" s="267"/>
      <c r="AF837" s="267"/>
      <c r="AG837" s="267"/>
      <c r="AH837" s="267"/>
      <c r="AI837" s="267"/>
      <c r="AJ837" s="267"/>
      <c r="AK837" s="267"/>
      <c r="AL837" s="267"/>
      <c r="AM837" s="267"/>
      <c r="AN837" s="267"/>
      <c r="AO837" s="267"/>
      <c r="AP837" s="267"/>
      <c r="AQ837" s="267"/>
      <c r="AR837" s="267"/>
      <c r="AS837" s="267"/>
      <c r="AT837" s="267"/>
      <c r="AU837" s="267"/>
      <c r="AV837" s="267"/>
      <c r="AW837" s="267"/>
      <c r="AX837" s="267"/>
      <c r="AY837" s="267"/>
      <c r="AZ837" s="267"/>
      <c r="BA837" s="267"/>
      <c r="BB837" s="267"/>
      <c r="BC837" s="267"/>
      <c r="BD837" s="267"/>
      <c r="BE837" s="267"/>
      <c r="BF837" s="267"/>
      <c r="BG837" s="267"/>
      <c r="BH837" s="267"/>
      <c r="BI837" s="267"/>
      <c r="BJ837" s="267"/>
      <c r="BK837" s="267"/>
      <c r="BL837" s="267"/>
      <c r="BM837" s="267"/>
      <c r="BN837" s="267"/>
      <c r="BO837" s="267"/>
      <c r="BP837" s="267"/>
      <c r="BQ837" s="267"/>
      <c r="BR837" s="267"/>
      <c r="BS837" s="267"/>
      <c r="BT837" s="267"/>
      <c r="BU837" s="267"/>
      <c r="BV837" s="267"/>
      <c r="BW837" s="267"/>
      <c r="BX837" s="267"/>
      <c r="BY837" s="267"/>
      <c r="BZ837" s="267"/>
      <c r="CA837" s="267"/>
      <c r="CB837" s="267"/>
      <c r="CC837" s="267"/>
      <c r="CD837" s="267"/>
      <c r="CE837" s="267"/>
      <c r="CF837" s="267"/>
      <c r="CG837" s="267"/>
      <c r="CH837" s="267"/>
      <c r="CI837" s="267"/>
      <c r="CJ837" s="267"/>
      <c r="CK837" s="267"/>
      <c r="CL837" s="267"/>
      <c r="CM837" s="267"/>
      <c r="CN837" s="267"/>
      <c r="CO837" s="267"/>
      <c r="CP837" s="267"/>
      <c r="CQ837" s="267"/>
      <c r="CR837" s="267"/>
      <c r="CS837" s="267"/>
      <c r="CT837" s="267"/>
      <c r="CU837" s="267"/>
      <c r="CV837" s="267"/>
      <c r="CW837" s="267"/>
      <c r="CX837" s="267"/>
      <c r="CY837" s="267"/>
      <c r="CZ837" s="267"/>
    </row>
    <row r="838" spans="2:104">
      <c r="B838" s="1235"/>
      <c r="C838" s="1235"/>
      <c r="D838" s="1235"/>
      <c r="E838" s="267"/>
      <c r="F838" s="267"/>
      <c r="G838" s="267"/>
      <c r="H838" s="267"/>
      <c r="I838" s="267"/>
      <c r="J838" s="267"/>
      <c r="K838" s="267"/>
      <c r="L838" s="267"/>
      <c r="M838" s="267"/>
      <c r="N838" s="267"/>
      <c r="O838" s="267"/>
      <c r="P838" s="267"/>
      <c r="Q838" s="267"/>
      <c r="R838" s="267"/>
      <c r="S838" s="267"/>
      <c r="T838" s="267"/>
      <c r="U838" s="267"/>
      <c r="V838" s="267"/>
      <c r="W838" s="267"/>
      <c r="X838" s="267"/>
      <c r="Y838" s="267"/>
      <c r="Z838" s="267"/>
      <c r="AA838" s="267"/>
      <c r="AB838" s="267"/>
      <c r="AC838" s="267"/>
      <c r="AD838" s="267"/>
      <c r="AE838" s="267"/>
      <c r="AF838" s="267"/>
      <c r="AG838" s="267"/>
      <c r="AH838" s="267"/>
      <c r="AI838" s="267"/>
      <c r="AJ838" s="267"/>
      <c r="AK838" s="267"/>
      <c r="AL838" s="267"/>
      <c r="AM838" s="267"/>
      <c r="AN838" s="267"/>
      <c r="AO838" s="267"/>
      <c r="AP838" s="267"/>
      <c r="AQ838" s="267"/>
      <c r="AR838" s="267"/>
      <c r="AS838" s="267"/>
      <c r="AT838" s="267"/>
      <c r="AU838" s="267"/>
      <c r="AV838" s="267"/>
      <c r="AW838" s="267"/>
      <c r="AX838" s="267"/>
      <c r="AY838" s="267"/>
      <c r="AZ838" s="267"/>
      <c r="BA838" s="267"/>
      <c r="BB838" s="267"/>
      <c r="BC838" s="267"/>
      <c r="BD838" s="267"/>
      <c r="BE838" s="267"/>
      <c r="BF838" s="267"/>
      <c r="BG838" s="267"/>
      <c r="BH838" s="267"/>
      <c r="BI838" s="267"/>
      <c r="BJ838" s="267"/>
      <c r="BK838" s="267"/>
      <c r="BL838" s="267"/>
      <c r="BM838" s="267"/>
      <c r="BN838" s="267"/>
      <c r="BO838" s="267"/>
      <c r="BP838" s="267"/>
      <c r="BQ838" s="267"/>
      <c r="BR838" s="267"/>
      <c r="BS838" s="267"/>
      <c r="BT838" s="267"/>
      <c r="BU838" s="267"/>
      <c r="BV838" s="267"/>
      <c r="BW838" s="267"/>
      <c r="BX838" s="267"/>
      <c r="BY838" s="267"/>
      <c r="BZ838" s="267"/>
      <c r="CA838" s="267"/>
      <c r="CB838" s="267"/>
      <c r="CC838" s="267"/>
      <c r="CD838" s="267"/>
      <c r="CE838" s="267"/>
      <c r="CF838" s="267"/>
      <c r="CG838" s="267"/>
      <c r="CH838" s="267"/>
      <c r="CI838" s="267"/>
      <c r="CJ838" s="267"/>
      <c r="CK838" s="267"/>
      <c r="CL838" s="267"/>
      <c r="CM838" s="267"/>
      <c r="CN838" s="267"/>
      <c r="CO838" s="267"/>
      <c r="CP838" s="267"/>
      <c r="CQ838" s="267"/>
      <c r="CR838" s="267"/>
      <c r="CS838" s="267"/>
      <c r="CT838" s="267"/>
      <c r="CU838" s="267"/>
      <c r="CV838" s="267"/>
      <c r="CW838" s="267"/>
      <c r="CX838" s="267"/>
      <c r="CY838" s="267"/>
      <c r="CZ838" s="267"/>
    </row>
    <row r="839" spans="2:104">
      <c r="B839" s="1235"/>
      <c r="C839" s="1235"/>
      <c r="D839" s="1235"/>
      <c r="E839" s="267"/>
      <c r="F839" s="267"/>
      <c r="G839" s="267"/>
      <c r="H839" s="267"/>
      <c r="I839" s="267"/>
      <c r="J839" s="267"/>
      <c r="K839" s="267"/>
      <c r="L839" s="267"/>
      <c r="M839" s="267"/>
      <c r="N839" s="267"/>
      <c r="O839" s="267"/>
      <c r="P839" s="267"/>
      <c r="Q839" s="267"/>
      <c r="R839" s="267"/>
      <c r="S839" s="267"/>
      <c r="T839" s="267"/>
      <c r="U839" s="267"/>
      <c r="V839" s="267"/>
      <c r="W839" s="267"/>
      <c r="X839" s="267"/>
      <c r="Y839" s="267"/>
      <c r="Z839" s="267"/>
      <c r="AA839" s="267"/>
      <c r="AB839" s="267"/>
      <c r="AC839" s="267"/>
      <c r="AD839" s="267"/>
      <c r="AE839" s="267"/>
      <c r="AF839" s="267"/>
      <c r="AG839" s="267"/>
      <c r="AH839" s="267"/>
      <c r="AI839" s="267"/>
      <c r="AJ839" s="267"/>
      <c r="AK839" s="267"/>
      <c r="AL839" s="267"/>
      <c r="AM839" s="267"/>
      <c r="AN839" s="267"/>
      <c r="AO839" s="267"/>
      <c r="AP839" s="267"/>
      <c r="AQ839" s="267"/>
      <c r="AR839" s="267"/>
      <c r="AS839" s="267"/>
      <c r="AT839" s="267"/>
      <c r="AU839" s="267"/>
      <c r="AV839" s="267"/>
      <c r="AW839" s="267"/>
      <c r="AX839" s="267"/>
      <c r="AY839" s="267"/>
      <c r="AZ839" s="267"/>
      <c r="BA839" s="267"/>
      <c r="BB839" s="267"/>
      <c r="BC839" s="267"/>
      <c r="BD839" s="267"/>
      <c r="BE839" s="267"/>
      <c r="BF839" s="267"/>
      <c r="BG839" s="267"/>
      <c r="BH839" s="267"/>
      <c r="BI839" s="267"/>
      <c r="BJ839" s="267"/>
      <c r="BK839" s="267"/>
      <c r="BL839" s="267"/>
      <c r="BM839" s="267"/>
      <c r="BN839" s="267"/>
      <c r="BO839" s="267"/>
      <c r="BP839" s="267"/>
      <c r="BQ839" s="267"/>
      <c r="BR839" s="267"/>
      <c r="BS839" s="267"/>
      <c r="BT839" s="267"/>
      <c r="BU839" s="267"/>
      <c r="BV839" s="267"/>
      <c r="BW839" s="267"/>
      <c r="BX839" s="267"/>
      <c r="BY839" s="267"/>
      <c r="BZ839" s="267"/>
      <c r="CA839" s="267"/>
      <c r="CB839" s="267"/>
      <c r="CC839" s="267"/>
      <c r="CD839" s="267"/>
      <c r="CE839" s="267"/>
      <c r="CF839" s="267"/>
      <c r="CG839" s="267"/>
      <c r="CH839" s="267"/>
      <c r="CI839" s="267"/>
      <c r="CJ839" s="267"/>
      <c r="CK839" s="267"/>
      <c r="CL839" s="267"/>
      <c r="CM839" s="267"/>
      <c r="CN839" s="267"/>
      <c r="CO839" s="267"/>
      <c r="CP839" s="267"/>
      <c r="CQ839" s="267"/>
      <c r="CR839" s="267"/>
      <c r="CS839" s="267"/>
      <c r="CT839" s="267"/>
      <c r="CU839" s="267"/>
      <c r="CV839" s="267"/>
      <c r="CW839" s="267"/>
      <c r="CX839" s="267"/>
      <c r="CY839" s="267"/>
      <c r="CZ839" s="267"/>
    </row>
    <row r="840" spans="2:104">
      <c r="B840" s="1235"/>
      <c r="C840" s="1235"/>
      <c r="D840" s="1235"/>
      <c r="E840" s="267"/>
      <c r="F840" s="267"/>
      <c r="G840" s="267"/>
      <c r="H840" s="267"/>
      <c r="I840" s="267"/>
      <c r="J840" s="267"/>
      <c r="K840" s="267"/>
      <c r="L840" s="267"/>
      <c r="M840" s="267"/>
      <c r="N840" s="267"/>
      <c r="O840" s="267"/>
      <c r="P840" s="267"/>
      <c r="Q840" s="267"/>
      <c r="R840" s="267"/>
      <c r="S840" s="267"/>
      <c r="T840" s="267"/>
      <c r="U840" s="267"/>
      <c r="V840" s="267"/>
      <c r="W840" s="267"/>
      <c r="X840" s="267"/>
      <c r="Y840" s="267"/>
      <c r="Z840" s="267"/>
      <c r="AA840" s="267"/>
      <c r="AB840" s="267"/>
      <c r="AC840" s="267"/>
      <c r="AD840" s="267"/>
      <c r="AE840" s="267"/>
      <c r="AF840" s="267"/>
      <c r="AG840" s="267"/>
      <c r="AH840" s="267"/>
      <c r="AI840" s="267"/>
      <c r="AJ840" s="267"/>
      <c r="AK840" s="267"/>
      <c r="AL840" s="267"/>
      <c r="AM840" s="267"/>
      <c r="AN840" s="267"/>
      <c r="AO840" s="267"/>
      <c r="AP840" s="267"/>
      <c r="AQ840" s="267"/>
      <c r="AR840" s="267"/>
      <c r="AS840" s="267"/>
      <c r="AT840" s="267"/>
      <c r="AU840" s="267"/>
      <c r="AV840" s="267"/>
      <c r="AW840" s="267"/>
      <c r="AX840" s="267"/>
      <c r="AY840" s="267"/>
      <c r="AZ840" s="267"/>
      <c r="BA840" s="267"/>
      <c r="BB840" s="267"/>
      <c r="BC840" s="267"/>
      <c r="BD840" s="267"/>
      <c r="BE840" s="267"/>
      <c r="BF840" s="267"/>
      <c r="BG840" s="267"/>
      <c r="BH840" s="267"/>
      <c r="BI840" s="267"/>
      <c r="BJ840" s="267"/>
      <c r="BK840" s="267"/>
      <c r="BL840" s="267"/>
      <c r="BM840" s="267"/>
      <c r="BN840" s="267"/>
      <c r="BO840" s="267"/>
      <c r="BP840" s="267"/>
      <c r="BQ840" s="267"/>
      <c r="BR840" s="267"/>
      <c r="BS840" s="267"/>
      <c r="BT840" s="267"/>
      <c r="BU840" s="267"/>
      <c r="BV840" s="267"/>
      <c r="BW840" s="267"/>
      <c r="BX840" s="267"/>
      <c r="BY840" s="267"/>
      <c r="BZ840" s="267"/>
      <c r="CA840" s="267"/>
      <c r="CB840" s="267"/>
      <c r="CC840" s="267"/>
      <c r="CD840" s="267"/>
      <c r="CE840" s="267"/>
      <c r="CF840" s="267"/>
      <c r="CG840" s="267"/>
      <c r="CH840" s="267"/>
      <c r="CI840" s="267"/>
      <c r="CJ840" s="267"/>
      <c r="CK840" s="267"/>
      <c r="CL840" s="267"/>
      <c r="CM840" s="267"/>
      <c r="CN840" s="267"/>
      <c r="CO840" s="267"/>
      <c r="CP840" s="267"/>
      <c r="CQ840" s="267"/>
      <c r="CR840" s="267"/>
      <c r="CS840" s="267"/>
      <c r="CT840" s="267"/>
      <c r="CU840" s="267"/>
      <c r="CV840" s="267"/>
      <c r="CW840" s="267"/>
      <c r="CX840" s="267"/>
      <c r="CY840" s="267"/>
      <c r="CZ840" s="267"/>
    </row>
    <row r="841" spans="2:104">
      <c r="B841" s="1235"/>
      <c r="C841" s="1235"/>
      <c r="D841" s="1235"/>
      <c r="E841" s="267"/>
      <c r="F841" s="267"/>
      <c r="G841" s="267"/>
      <c r="H841" s="267"/>
      <c r="I841" s="267"/>
      <c r="J841" s="267"/>
      <c r="K841" s="267"/>
      <c r="L841" s="267"/>
      <c r="M841" s="267"/>
      <c r="N841" s="267"/>
      <c r="O841" s="267"/>
      <c r="P841" s="267"/>
      <c r="Q841" s="267"/>
      <c r="R841" s="267"/>
      <c r="S841" s="267"/>
      <c r="T841" s="267"/>
      <c r="U841" s="267"/>
      <c r="V841" s="267"/>
      <c r="W841" s="267"/>
      <c r="X841" s="267"/>
      <c r="Y841" s="267"/>
      <c r="Z841" s="267"/>
      <c r="AA841" s="267"/>
      <c r="AB841" s="267"/>
      <c r="AC841" s="267"/>
      <c r="AD841" s="267"/>
      <c r="AE841" s="267"/>
      <c r="AF841" s="267"/>
      <c r="AG841" s="267"/>
      <c r="AH841" s="267"/>
      <c r="AI841" s="267"/>
      <c r="AJ841" s="267"/>
      <c r="AK841" s="267"/>
      <c r="AL841" s="267"/>
      <c r="AM841" s="267"/>
      <c r="AN841" s="267"/>
      <c r="AO841" s="267"/>
      <c r="AP841" s="267"/>
      <c r="AQ841" s="267"/>
      <c r="AR841" s="267"/>
      <c r="AS841" s="267"/>
      <c r="AT841" s="267"/>
      <c r="AU841" s="267"/>
      <c r="AV841" s="267"/>
      <c r="AW841" s="267"/>
      <c r="AX841" s="267"/>
      <c r="AY841" s="267"/>
      <c r="AZ841" s="267"/>
      <c r="BA841" s="267"/>
      <c r="BB841" s="267"/>
      <c r="BC841" s="267"/>
      <c r="BD841" s="267"/>
      <c r="BE841" s="267"/>
      <c r="BF841" s="267"/>
      <c r="BG841" s="267"/>
      <c r="BH841" s="267"/>
      <c r="BI841" s="267"/>
      <c r="BJ841" s="267"/>
      <c r="BK841" s="267"/>
      <c r="BL841" s="267"/>
      <c r="BM841" s="267"/>
      <c r="BN841" s="267"/>
      <c r="BO841" s="267"/>
      <c r="BP841" s="267"/>
      <c r="BQ841" s="267"/>
      <c r="BR841" s="267"/>
      <c r="BS841" s="267"/>
      <c r="BT841" s="267"/>
      <c r="BU841" s="267"/>
      <c r="BV841" s="267"/>
      <c r="BW841" s="267"/>
      <c r="BX841" s="267"/>
      <c r="BY841" s="267"/>
      <c r="BZ841" s="267"/>
      <c r="CA841" s="267"/>
      <c r="CB841" s="267"/>
      <c r="CC841" s="267"/>
      <c r="CD841" s="267"/>
      <c r="CE841" s="267"/>
      <c r="CF841" s="267"/>
      <c r="CG841" s="267"/>
      <c r="CH841" s="267"/>
      <c r="CI841" s="267"/>
      <c r="CJ841" s="267"/>
      <c r="CK841" s="267"/>
      <c r="CL841" s="267"/>
      <c r="CM841" s="267"/>
      <c r="CN841" s="267"/>
      <c r="CO841" s="267"/>
      <c r="CP841" s="267"/>
      <c r="CQ841" s="267"/>
      <c r="CR841" s="267"/>
      <c r="CS841" s="267"/>
      <c r="CT841" s="267"/>
      <c r="CU841" s="267"/>
      <c r="CV841" s="267"/>
      <c r="CW841" s="267"/>
      <c r="CX841" s="267"/>
      <c r="CY841" s="267"/>
      <c r="CZ841" s="267"/>
    </row>
    <row r="842" spans="2:104">
      <c r="B842" s="1235"/>
      <c r="C842" s="1235"/>
      <c r="D842" s="1235"/>
      <c r="E842" s="267"/>
      <c r="F842" s="267"/>
      <c r="G842" s="267"/>
      <c r="H842" s="267"/>
      <c r="I842" s="267"/>
      <c r="J842" s="267"/>
      <c r="K842" s="267"/>
      <c r="L842" s="267"/>
      <c r="M842" s="267"/>
      <c r="N842" s="267"/>
      <c r="O842" s="267"/>
      <c r="P842" s="267"/>
      <c r="Q842" s="267"/>
      <c r="R842" s="267"/>
      <c r="S842" s="267"/>
      <c r="T842" s="267"/>
      <c r="U842" s="267"/>
      <c r="V842" s="267"/>
      <c r="W842" s="267"/>
      <c r="X842" s="267"/>
      <c r="Y842" s="267"/>
      <c r="Z842" s="267"/>
      <c r="AA842" s="267"/>
      <c r="AB842" s="267"/>
      <c r="AC842" s="267"/>
      <c r="AD842" s="267"/>
      <c r="AE842" s="267"/>
      <c r="AF842" s="267"/>
      <c r="AG842" s="267"/>
      <c r="AH842" s="267"/>
      <c r="AI842" s="267"/>
      <c r="AJ842" s="267"/>
      <c r="AK842" s="267"/>
      <c r="AL842" s="267"/>
      <c r="AM842" s="267"/>
      <c r="AN842" s="267"/>
      <c r="AO842" s="267"/>
      <c r="AP842" s="267"/>
      <c r="AQ842" s="267"/>
      <c r="AR842" s="267"/>
      <c r="AS842" s="267"/>
      <c r="AT842" s="267"/>
      <c r="AU842" s="267"/>
      <c r="AV842" s="267"/>
      <c r="AW842" s="267"/>
      <c r="AX842" s="267"/>
      <c r="AY842" s="267"/>
      <c r="AZ842" s="267"/>
      <c r="BA842" s="267"/>
      <c r="BB842" s="267"/>
      <c r="BC842" s="267"/>
      <c r="BD842" s="267"/>
      <c r="BE842" s="267"/>
      <c r="BF842" s="267"/>
      <c r="BG842" s="267"/>
      <c r="BH842" s="267"/>
      <c r="BI842" s="267"/>
      <c r="BJ842" s="267"/>
      <c r="BK842" s="267"/>
      <c r="BL842" s="267"/>
      <c r="BM842" s="267"/>
      <c r="BN842" s="267"/>
      <c r="BO842" s="267"/>
      <c r="BP842" s="267"/>
      <c r="BQ842" s="267"/>
      <c r="BR842" s="267"/>
      <c r="BS842" s="267"/>
      <c r="BT842" s="267"/>
      <c r="BU842" s="267"/>
      <c r="BV842" s="267"/>
      <c r="BW842" s="267"/>
      <c r="BX842" s="267"/>
      <c r="BY842" s="267"/>
      <c r="BZ842" s="267"/>
      <c r="CA842" s="267"/>
      <c r="CB842" s="267"/>
      <c r="CC842" s="267"/>
      <c r="CD842" s="267"/>
      <c r="CE842" s="267"/>
      <c r="CF842" s="267"/>
      <c r="CG842" s="267"/>
      <c r="CH842" s="267"/>
      <c r="CI842" s="267"/>
      <c r="CJ842" s="267"/>
      <c r="CK842" s="267"/>
      <c r="CL842" s="267"/>
      <c r="CM842" s="267"/>
      <c r="CN842" s="267"/>
      <c r="CO842" s="267"/>
      <c r="CP842" s="267"/>
      <c r="CQ842" s="267"/>
      <c r="CR842" s="267"/>
      <c r="CS842" s="267"/>
      <c r="CT842" s="267"/>
      <c r="CU842" s="267"/>
      <c r="CV842" s="267"/>
      <c r="CW842" s="267"/>
      <c r="CX842" s="267"/>
      <c r="CY842" s="267"/>
      <c r="CZ842" s="267"/>
    </row>
    <row r="843" spans="2:104">
      <c r="B843" s="1235"/>
      <c r="C843" s="1235"/>
      <c r="D843" s="1235"/>
      <c r="E843" s="267"/>
      <c r="F843" s="267"/>
      <c r="G843" s="267"/>
      <c r="H843" s="267"/>
      <c r="I843" s="267"/>
      <c r="J843" s="267"/>
      <c r="K843" s="267"/>
      <c r="L843" s="267"/>
      <c r="M843" s="267"/>
      <c r="N843" s="267"/>
      <c r="O843" s="267"/>
      <c r="P843" s="267"/>
      <c r="Q843" s="267"/>
      <c r="R843" s="267"/>
      <c r="S843" s="267"/>
      <c r="T843" s="267"/>
      <c r="U843" s="267"/>
      <c r="V843" s="267"/>
      <c r="W843" s="267"/>
      <c r="X843" s="267"/>
      <c r="Y843" s="267"/>
      <c r="Z843" s="267"/>
      <c r="AA843" s="267"/>
      <c r="AB843" s="267"/>
      <c r="AC843" s="267"/>
      <c r="AD843" s="267"/>
      <c r="AE843" s="267"/>
      <c r="AF843" s="267"/>
      <c r="AG843" s="267"/>
      <c r="AH843" s="267"/>
      <c r="AI843" s="267"/>
      <c r="AJ843" s="267"/>
      <c r="AK843" s="267"/>
      <c r="AL843" s="267"/>
      <c r="AM843" s="267"/>
      <c r="AN843" s="267"/>
      <c r="AO843" s="267"/>
      <c r="AP843" s="267"/>
      <c r="AQ843" s="267"/>
      <c r="AR843" s="267"/>
      <c r="AS843" s="267"/>
      <c r="AT843" s="267"/>
      <c r="AU843" s="267"/>
      <c r="AV843" s="267"/>
      <c r="AW843" s="267"/>
      <c r="AX843" s="267"/>
      <c r="AY843" s="267"/>
      <c r="AZ843" s="267"/>
      <c r="BA843" s="267"/>
      <c r="BB843" s="267"/>
      <c r="BC843" s="267"/>
      <c r="BD843" s="267"/>
      <c r="BE843" s="267"/>
      <c r="BF843" s="267"/>
      <c r="BG843" s="267"/>
      <c r="BH843" s="267"/>
      <c r="BI843" s="267"/>
      <c r="BJ843" s="267"/>
      <c r="BK843" s="267"/>
      <c r="BL843" s="267"/>
      <c r="BM843" s="267"/>
      <c r="BN843" s="267"/>
      <c r="BO843" s="267"/>
      <c r="BP843" s="267"/>
      <c r="BQ843" s="267"/>
      <c r="BR843" s="267"/>
      <c r="BS843" s="267"/>
      <c r="BT843" s="267"/>
      <c r="BU843" s="267"/>
      <c r="BV843" s="267"/>
      <c r="BW843" s="267"/>
      <c r="BX843" s="267"/>
      <c r="BY843" s="267"/>
      <c r="BZ843" s="267"/>
      <c r="CA843" s="267"/>
      <c r="CB843" s="267"/>
      <c r="CC843" s="267"/>
      <c r="CD843" s="267"/>
      <c r="CE843" s="267"/>
      <c r="CF843" s="267"/>
      <c r="CG843" s="267"/>
      <c r="CH843" s="267"/>
      <c r="CI843" s="267"/>
      <c r="CJ843" s="267"/>
      <c r="CK843" s="267"/>
      <c r="CL843" s="267"/>
      <c r="CM843" s="267"/>
      <c r="CN843" s="267"/>
      <c r="CO843" s="267"/>
      <c r="CP843" s="267"/>
      <c r="CQ843" s="267"/>
      <c r="CR843" s="267"/>
      <c r="CS843" s="267"/>
      <c r="CT843" s="267"/>
      <c r="CU843" s="267"/>
      <c r="CV843" s="267"/>
      <c r="CW843" s="267"/>
      <c r="CX843" s="267"/>
      <c r="CY843" s="267"/>
      <c r="CZ843" s="267"/>
    </row>
    <row r="844" spans="2:104">
      <c r="B844" s="1235"/>
      <c r="C844" s="1235"/>
      <c r="D844" s="1235"/>
      <c r="E844" s="267"/>
      <c r="F844" s="267"/>
      <c r="G844" s="267"/>
      <c r="H844" s="267"/>
      <c r="I844" s="267"/>
      <c r="J844" s="267"/>
      <c r="K844" s="267"/>
      <c r="L844" s="267"/>
      <c r="M844" s="267"/>
      <c r="N844" s="267"/>
      <c r="O844" s="267"/>
      <c r="P844" s="267"/>
      <c r="Q844" s="267"/>
      <c r="R844" s="267"/>
      <c r="S844" s="267"/>
      <c r="T844" s="267"/>
      <c r="U844" s="267"/>
      <c r="V844" s="267"/>
      <c r="W844" s="267"/>
      <c r="X844" s="267"/>
      <c r="Y844" s="267"/>
      <c r="Z844" s="267"/>
      <c r="AA844" s="267"/>
      <c r="AB844" s="267"/>
      <c r="AC844" s="267"/>
      <c r="AD844" s="267"/>
      <c r="AE844" s="267"/>
      <c r="AF844" s="267"/>
      <c r="AG844" s="267"/>
      <c r="AH844" s="267"/>
      <c r="AI844" s="267"/>
      <c r="AJ844" s="267"/>
      <c r="AK844" s="267"/>
      <c r="AL844" s="267"/>
      <c r="AM844" s="267"/>
      <c r="AN844" s="267"/>
      <c r="AO844" s="267"/>
      <c r="AP844" s="267"/>
      <c r="AQ844" s="267"/>
      <c r="AR844" s="267"/>
      <c r="AS844" s="267"/>
      <c r="AT844" s="267"/>
      <c r="AU844" s="267"/>
      <c r="AV844" s="267"/>
      <c r="AW844" s="267"/>
      <c r="AX844" s="267"/>
      <c r="AY844" s="267"/>
      <c r="AZ844" s="267"/>
      <c r="BA844" s="267"/>
      <c r="BB844" s="267"/>
      <c r="BC844" s="267"/>
      <c r="BD844" s="267"/>
      <c r="BE844" s="267"/>
      <c r="BF844" s="267"/>
      <c r="BG844" s="267"/>
      <c r="BH844" s="267"/>
      <c r="BI844" s="267"/>
      <c r="BJ844" s="267"/>
      <c r="BK844" s="267"/>
      <c r="BL844" s="267"/>
      <c r="BM844" s="267"/>
      <c r="BN844" s="267"/>
      <c r="BO844" s="267"/>
      <c r="BP844" s="267"/>
      <c r="BQ844" s="267"/>
      <c r="BR844" s="267"/>
      <c r="BS844" s="267"/>
      <c r="BT844" s="267"/>
      <c r="BU844" s="267"/>
      <c r="BV844" s="267"/>
      <c r="BW844" s="267"/>
      <c r="BX844" s="267"/>
      <c r="BY844" s="267"/>
      <c r="BZ844" s="267"/>
      <c r="CA844" s="267"/>
      <c r="CB844" s="267"/>
      <c r="CC844" s="267"/>
      <c r="CD844" s="267"/>
      <c r="CE844" s="267"/>
      <c r="CF844" s="267"/>
      <c r="CG844" s="267"/>
      <c r="CH844" s="267"/>
      <c r="CI844" s="267"/>
      <c r="CJ844" s="267"/>
      <c r="CK844" s="267"/>
      <c r="CL844" s="267"/>
      <c r="CM844" s="267"/>
      <c r="CN844" s="267"/>
      <c r="CO844" s="267"/>
      <c r="CP844" s="267"/>
      <c r="CQ844" s="267"/>
      <c r="CR844" s="267"/>
      <c r="CS844" s="267"/>
      <c r="CT844" s="267"/>
      <c r="CU844" s="267"/>
      <c r="CV844" s="267"/>
      <c r="CW844" s="267"/>
      <c r="CX844" s="267"/>
      <c r="CY844" s="267"/>
      <c r="CZ844" s="267"/>
    </row>
    <row r="845" spans="2:104">
      <c r="B845" s="1235"/>
      <c r="C845" s="1235"/>
      <c r="D845" s="1235"/>
      <c r="E845" s="267"/>
      <c r="F845" s="267"/>
      <c r="G845" s="267"/>
      <c r="H845" s="267"/>
      <c r="I845" s="267"/>
      <c r="J845" s="267"/>
      <c r="K845" s="267"/>
      <c r="L845" s="267"/>
      <c r="M845" s="267"/>
      <c r="N845" s="267"/>
      <c r="O845" s="267"/>
      <c r="P845" s="267"/>
      <c r="Q845" s="267"/>
      <c r="R845" s="267"/>
      <c r="S845" s="267"/>
      <c r="T845" s="267"/>
      <c r="U845" s="267"/>
      <c r="V845" s="267"/>
      <c r="W845" s="267"/>
      <c r="X845" s="267"/>
      <c r="Y845" s="267"/>
      <c r="Z845" s="267"/>
      <c r="AA845" s="267"/>
      <c r="AB845" s="267"/>
      <c r="AC845" s="267"/>
      <c r="AD845" s="267"/>
      <c r="AE845" s="267"/>
      <c r="AF845" s="267"/>
      <c r="AG845" s="267"/>
      <c r="AH845" s="267"/>
      <c r="AI845" s="267"/>
      <c r="AJ845" s="267"/>
      <c r="AK845" s="267"/>
      <c r="AL845" s="267"/>
      <c r="AM845" s="267"/>
      <c r="AN845" s="267"/>
      <c r="AO845" s="267"/>
      <c r="AP845" s="267"/>
      <c r="AQ845" s="267"/>
      <c r="AR845" s="267"/>
      <c r="AS845" s="267"/>
      <c r="AT845" s="267"/>
      <c r="AU845" s="267"/>
      <c r="AV845" s="267"/>
      <c r="AW845" s="267"/>
      <c r="AX845" s="267"/>
      <c r="AY845" s="267"/>
      <c r="AZ845" s="267"/>
      <c r="BA845" s="267"/>
      <c r="BB845" s="267"/>
      <c r="BC845" s="267"/>
      <c r="BD845" s="267"/>
      <c r="BE845" s="267"/>
      <c r="BF845" s="267"/>
      <c r="BG845" s="267"/>
      <c r="BH845" s="267"/>
      <c r="BI845" s="267"/>
      <c r="BJ845" s="267"/>
      <c r="BK845" s="267"/>
      <c r="BL845" s="267"/>
      <c r="BM845" s="267"/>
      <c r="BN845" s="267"/>
      <c r="BO845" s="267"/>
      <c r="BP845" s="267"/>
      <c r="BQ845" s="267"/>
      <c r="BR845" s="267"/>
      <c r="BS845" s="267"/>
      <c r="BT845" s="267"/>
      <c r="BU845" s="267"/>
      <c r="BV845" s="267"/>
      <c r="BW845" s="267"/>
      <c r="BX845" s="267"/>
      <c r="BY845" s="267"/>
      <c r="BZ845" s="267"/>
      <c r="CA845" s="267"/>
      <c r="CB845" s="267"/>
      <c r="CC845" s="267"/>
      <c r="CD845" s="267"/>
      <c r="CE845" s="267"/>
      <c r="CF845" s="267"/>
      <c r="CG845" s="267"/>
      <c r="CH845" s="267"/>
      <c r="CI845" s="267"/>
      <c r="CJ845" s="267"/>
      <c r="CK845" s="267"/>
      <c r="CL845" s="267"/>
      <c r="CM845" s="267"/>
      <c r="CN845" s="267"/>
      <c r="CO845" s="267"/>
      <c r="CP845" s="267"/>
      <c r="CQ845" s="267"/>
      <c r="CR845" s="267"/>
      <c r="CS845" s="267"/>
      <c r="CT845" s="267"/>
      <c r="CU845" s="267"/>
      <c r="CV845" s="267"/>
      <c r="CW845" s="267"/>
      <c r="CX845" s="267"/>
      <c r="CY845" s="267"/>
      <c r="CZ845" s="267"/>
    </row>
    <row r="846" spans="2:104">
      <c r="B846" s="1235"/>
      <c r="C846" s="1235"/>
      <c r="D846" s="1235"/>
      <c r="E846" s="267"/>
      <c r="F846" s="267"/>
      <c r="G846" s="267"/>
      <c r="H846" s="267"/>
      <c r="I846" s="267"/>
      <c r="J846" s="267"/>
      <c r="K846" s="267"/>
      <c r="L846" s="267"/>
      <c r="M846" s="267"/>
      <c r="N846" s="267"/>
      <c r="O846" s="267"/>
      <c r="P846" s="267"/>
      <c r="Q846" s="267"/>
      <c r="R846" s="267"/>
      <c r="S846" s="267"/>
      <c r="T846" s="267"/>
      <c r="U846" s="267"/>
      <c r="V846" s="267"/>
      <c r="W846" s="267"/>
      <c r="X846" s="267"/>
      <c r="Y846" s="267"/>
      <c r="Z846" s="267"/>
      <c r="AA846" s="267"/>
      <c r="AB846" s="267"/>
      <c r="AC846" s="267"/>
      <c r="AD846" s="267"/>
      <c r="AE846" s="267"/>
      <c r="AF846" s="267"/>
      <c r="AG846" s="267"/>
      <c r="AH846" s="267"/>
      <c r="AI846" s="267"/>
      <c r="AJ846" s="267"/>
      <c r="AK846" s="267"/>
      <c r="AL846" s="267"/>
      <c r="AM846" s="267"/>
      <c r="AN846" s="267"/>
      <c r="AO846" s="267"/>
      <c r="AP846" s="267"/>
      <c r="AQ846" s="267"/>
      <c r="AR846" s="267"/>
      <c r="AS846" s="267"/>
      <c r="AT846" s="267"/>
      <c r="AU846" s="267"/>
      <c r="AV846" s="267"/>
      <c r="AW846" s="267"/>
      <c r="AX846" s="267"/>
      <c r="AY846" s="267"/>
      <c r="AZ846" s="267"/>
      <c r="BA846" s="267"/>
      <c r="BB846" s="267"/>
      <c r="BC846" s="267"/>
      <c r="BD846" s="267"/>
      <c r="BE846" s="267"/>
      <c r="BF846" s="267"/>
      <c r="BG846" s="267"/>
      <c r="BH846" s="267"/>
      <c r="BI846" s="267"/>
      <c r="BJ846" s="267"/>
      <c r="BK846" s="267"/>
      <c r="BL846" s="267"/>
      <c r="BM846" s="267"/>
      <c r="BN846" s="267"/>
      <c r="BO846" s="267"/>
      <c r="BP846" s="267"/>
      <c r="BQ846" s="267"/>
      <c r="BR846" s="267"/>
      <c r="BS846" s="267"/>
      <c r="BT846" s="267"/>
      <c r="BU846" s="267"/>
      <c r="BV846" s="267"/>
      <c r="BW846" s="267"/>
      <c r="BX846" s="267"/>
      <c r="BY846" s="267"/>
      <c r="BZ846" s="267"/>
      <c r="CA846" s="267"/>
      <c r="CB846" s="267"/>
      <c r="CC846" s="267"/>
      <c r="CD846" s="267"/>
      <c r="CE846" s="267"/>
      <c r="CF846" s="267"/>
      <c r="CG846" s="267"/>
      <c r="CH846" s="267"/>
      <c r="CI846" s="267"/>
      <c r="CJ846" s="267"/>
      <c r="CK846" s="267"/>
      <c r="CL846" s="267"/>
      <c r="CM846" s="267"/>
      <c r="CN846" s="267"/>
      <c r="CO846" s="267"/>
      <c r="CP846" s="267"/>
      <c r="CQ846" s="267"/>
      <c r="CR846" s="267"/>
      <c r="CS846" s="267"/>
      <c r="CT846" s="267"/>
      <c r="CU846" s="267"/>
      <c r="CV846" s="267"/>
      <c r="CW846" s="267"/>
      <c r="CX846" s="267"/>
      <c r="CY846" s="267"/>
      <c r="CZ846" s="267"/>
    </row>
    <row r="847" spans="2:104">
      <c r="B847" s="1235"/>
      <c r="C847" s="1235"/>
      <c r="D847" s="1235"/>
      <c r="E847" s="267"/>
      <c r="F847" s="267"/>
      <c r="G847" s="267"/>
      <c r="H847" s="267"/>
      <c r="I847" s="267"/>
      <c r="J847" s="267"/>
      <c r="K847" s="267"/>
      <c r="L847" s="267"/>
      <c r="M847" s="267"/>
      <c r="N847" s="267"/>
      <c r="O847" s="267"/>
      <c r="P847" s="267"/>
      <c r="Q847" s="267"/>
      <c r="R847" s="267"/>
      <c r="S847" s="267"/>
      <c r="T847" s="267"/>
      <c r="U847" s="267"/>
      <c r="V847" s="267"/>
      <c r="W847" s="267"/>
      <c r="X847" s="267"/>
      <c r="Y847" s="267"/>
      <c r="Z847" s="267"/>
      <c r="AA847" s="267"/>
      <c r="AB847" s="267"/>
      <c r="AC847" s="267"/>
      <c r="AD847" s="267"/>
      <c r="AE847" s="267"/>
      <c r="AF847" s="267"/>
      <c r="AG847" s="267"/>
      <c r="AH847" s="267"/>
      <c r="AI847" s="267"/>
      <c r="AJ847" s="267"/>
      <c r="AK847" s="267"/>
      <c r="AL847" s="267"/>
      <c r="AM847" s="267"/>
      <c r="AN847" s="267"/>
      <c r="AO847" s="267"/>
      <c r="AP847" s="267"/>
      <c r="AQ847" s="267"/>
      <c r="AR847" s="267"/>
      <c r="AS847" s="267"/>
      <c r="AT847" s="267"/>
      <c r="AU847" s="267"/>
      <c r="AV847" s="267"/>
      <c r="AW847" s="267"/>
      <c r="AX847" s="267"/>
      <c r="AY847" s="267"/>
      <c r="AZ847" s="267"/>
      <c r="BA847" s="267"/>
      <c r="BB847" s="267"/>
      <c r="BC847" s="267"/>
      <c r="BD847" s="267"/>
      <c r="BE847" s="267"/>
      <c r="BF847" s="267"/>
      <c r="BG847" s="267"/>
      <c r="BH847" s="267"/>
      <c r="BI847" s="267"/>
      <c r="BJ847" s="267"/>
      <c r="BK847" s="267"/>
      <c r="BL847" s="267"/>
      <c r="BM847" s="267"/>
      <c r="BN847" s="267"/>
      <c r="BO847" s="267"/>
      <c r="BP847" s="267"/>
      <c r="BQ847" s="267"/>
      <c r="BR847" s="267"/>
      <c r="BS847" s="267"/>
      <c r="BT847" s="267"/>
      <c r="BU847" s="267"/>
      <c r="BV847" s="267"/>
      <c r="BW847" s="267"/>
      <c r="BX847" s="267"/>
      <c r="BY847" s="267"/>
      <c r="BZ847" s="267"/>
      <c r="CA847" s="267"/>
      <c r="CB847" s="267"/>
      <c r="CC847" s="267"/>
      <c r="CD847" s="267"/>
      <c r="CE847" s="267"/>
      <c r="CF847" s="267"/>
      <c r="CG847" s="267"/>
      <c r="CH847" s="267"/>
      <c r="CI847" s="267"/>
      <c r="CJ847" s="267"/>
      <c r="CK847" s="267"/>
      <c r="CL847" s="267"/>
      <c r="CM847" s="267"/>
      <c r="CN847" s="267"/>
      <c r="CO847" s="267"/>
      <c r="CP847" s="267"/>
      <c r="CQ847" s="267"/>
      <c r="CR847" s="267"/>
      <c r="CS847" s="267"/>
      <c r="CT847" s="267"/>
      <c r="CU847" s="267"/>
      <c r="CV847" s="267"/>
      <c r="CW847" s="267"/>
      <c r="CX847" s="267"/>
      <c r="CY847" s="267"/>
      <c r="CZ847" s="267"/>
    </row>
    <row r="848" spans="2:104">
      <c r="B848" s="1235"/>
      <c r="C848" s="1235"/>
      <c r="D848" s="1235"/>
      <c r="E848" s="267"/>
      <c r="F848" s="267"/>
      <c r="G848" s="267"/>
      <c r="H848" s="267"/>
      <c r="I848" s="267"/>
      <c r="J848" s="267"/>
      <c r="K848" s="267"/>
      <c r="L848" s="267"/>
      <c r="M848" s="267"/>
      <c r="N848" s="267"/>
      <c r="O848" s="267"/>
      <c r="P848" s="267"/>
      <c r="Q848" s="267"/>
      <c r="R848" s="267"/>
      <c r="S848" s="267"/>
      <c r="T848" s="267"/>
      <c r="U848" s="267"/>
      <c r="V848" s="267"/>
      <c r="W848" s="267"/>
      <c r="X848" s="267"/>
      <c r="Y848" s="267"/>
      <c r="Z848" s="267"/>
      <c r="AA848" s="267"/>
      <c r="AB848" s="267"/>
      <c r="AC848" s="267"/>
      <c r="AD848" s="267"/>
      <c r="AE848" s="267"/>
      <c r="AF848" s="267"/>
      <c r="AG848" s="267"/>
      <c r="AH848" s="267"/>
      <c r="AI848" s="267"/>
      <c r="AJ848" s="267"/>
      <c r="AK848" s="267"/>
      <c r="AL848" s="267"/>
      <c r="AM848" s="267"/>
      <c r="AN848" s="267"/>
      <c r="AO848" s="267"/>
      <c r="AP848" s="267"/>
      <c r="AQ848" s="267"/>
      <c r="AR848" s="267"/>
      <c r="AS848" s="267"/>
      <c r="AT848" s="267"/>
      <c r="AU848" s="267"/>
      <c r="AV848" s="267"/>
      <c r="AW848" s="267"/>
      <c r="AX848" s="267"/>
      <c r="AY848" s="267"/>
      <c r="AZ848" s="267"/>
      <c r="BA848" s="267"/>
      <c r="BB848" s="267"/>
      <c r="BC848" s="267"/>
      <c r="BD848" s="267"/>
      <c r="BE848" s="267"/>
      <c r="BF848" s="267"/>
      <c r="BG848" s="267"/>
      <c r="BH848" s="267"/>
      <c r="BI848" s="267"/>
      <c r="BJ848" s="267"/>
      <c r="BK848" s="267"/>
      <c r="BL848" s="267"/>
      <c r="BM848" s="267"/>
      <c r="BN848" s="267"/>
      <c r="BO848" s="267"/>
      <c r="BP848" s="267"/>
      <c r="BQ848" s="267"/>
      <c r="BR848" s="267"/>
      <c r="BS848" s="267"/>
      <c r="BT848" s="267"/>
      <c r="BU848" s="267"/>
      <c r="BV848" s="267"/>
      <c r="BW848" s="267"/>
      <c r="BX848" s="267"/>
      <c r="BY848" s="267"/>
      <c r="BZ848" s="267"/>
      <c r="CA848" s="267"/>
      <c r="CB848" s="267"/>
      <c r="CC848" s="267"/>
      <c r="CD848" s="267"/>
      <c r="CE848" s="267"/>
      <c r="CF848" s="267"/>
      <c r="CG848" s="267"/>
      <c r="CH848" s="267"/>
      <c r="CI848" s="267"/>
      <c r="CJ848" s="267"/>
      <c r="CK848" s="267"/>
      <c r="CL848" s="267"/>
      <c r="CM848" s="267"/>
      <c r="CN848" s="267"/>
      <c r="CO848" s="267"/>
      <c r="CP848" s="267"/>
      <c r="CQ848" s="267"/>
      <c r="CR848" s="267"/>
      <c r="CS848" s="267"/>
      <c r="CT848" s="267"/>
      <c r="CU848" s="267"/>
      <c r="CV848" s="267"/>
      <c r="CW848" s="267"/>
      <c r="CX848" s="267"/>
      <c r="CY848" s="267"/>
      <c r="CZ848" s="267"/>
    </row>
    <row r="849" spans="2:104">
      <c r="B849" s="1235"/>
      <c r="C849" s="1235"/>
      <c r="D849" s="1235"/>
      <c r="E849" s="267"/>
      <c r="F849" s="267"/>
      <c r="G849" s="267"/>
      <c r="H849" s="267"/>
      <c r="I849" s="267"/>
      <c r="J849" s="267"/>
      <c r="K849" s="267"/>
      <c r="L849" s="267"/>
      <c r="M849" s="267"/>
      <c r="N849" s="267"/>
      <c r="O849" s="267"/>
      <c r="P849" s="267"/>
      <c r="Q849" s="267"/>
      <c r="R849" s="267"/>
      <c r="S849" s="267"/>
      <c r="T849" s="267"/>
      <c r="U849" s="267"/>
      <c r="V849" s="267"/>
      <c r="W849" s="267"/>
      <c r="X849" s="267"/>
      <c r="Y849" s="267"/>
      <c r="Z849" s="267"/>
      <c r="AA849" s="267"/>
      <c r="AB849" s="267"/>
      <c r="AC849" s="267"/>
      <c r="AD849" s="267"/>
      <c r="AE849" s="267"/>
      <c r="AF849" s="267"/>
      <c r="AG849" s="267"/>
      <c r="AH849" s="267"/>
      <c r="AI849" s="267"/>
      <c r="AJ849" s="267"/>
      <c r="AK849" s="267"/>
      <c r="AL849" s="267"/>
      <c r="AM849" s="267"/>
      <c r="AN849" s="267"/>
      <c r="AO849" s="267"/>
      <c r="AP849" s="267"/>
      <c r="AQ849" s="267"/>
      <c r="AR849" s="267"/>
      <c r="AS849" s="267"/>
      <c r="AT849" s="267"/>
      <c r="AU849" s="267"/>
      <c r="AV849" s="267"/>
      <c r="AW849" s="267"/>
      <c r="AX849" s="267"/>
      <c r="AY849" s="267"/>
      <c r="AZ849" s="267"/>
      <c r="BA849" s="267"/>
      <c r="BB849" s="267"/>
      <c r="BC849" s="267"/>
      <c r="BD849" s="267"/>
      <c r="BE849" s="267"/>
      <c r="BF849" s="267"/>
      <c r="BG849" s="267"/>
      <c r="BH849" s="267"/>
      <c r="BI849" s="267"/>
      <c r="BJ849" s="267"/>
      <c r="BK849" s="267"/>
      <c r="BL849" s="267"/>
      <c r="BM849" s="267"/>
      <c r="BN849" s="267"/>
      <c r="BO849" s="267"/>
      <c r="BP849" s="267"/>
      <c r="BQ849" s="267"/>
      <c r="BR849" s="267"/>
      <c r="BS849" s="267"/>
      <c r="BT849" s="267"/>
      <c r="BU849" s="267"/>
      <c r="BV849" s="267"/>
      <c r="BW849" s="267"/>
      <c r="BX849" s="267"/>
      <c r="BY849" s="267"/>
      <c r="BZ849" s="267"/>
      <c r="CA849" s="267"/>
      <c r="CB849" s="267"/>
      <c r="CC849" s="267"/>
      <c r="CD849" s="267"/>
      <c r="CE849" s="267"/>
      <c r="CF849" s="267"/>
      <c r="CG849" s="267"/>
      <c r="CH849" s="267"/>
      <c r="CI849" s="267"/>
      <c r="CJ849" s="267"/>
      <c r="CK849" s="267"/>
      <c r="CL849" s="267"/>
      <c r="CM849" s="267"/>
      <c r="CN849" s="267"/>
      <c r="CO849" s="267"/>
      <c r="CP849" s="267"/>
      <c r="CQ849" s="267"/>
      <c r="CR849" s="267"/>
      <c r="CS849" s="267"/>
      <c r="CT849" s="267"/>
      <c r="CU849" s="267"/>
      <c r="CV849" s="267"/>
      <c r="CW849" s="267"/>
      <c r="CX849" s="267"/>
      <c r="CY849" s="267"/>
      <c r="CZ849" s="267"/>
    </row>
    <row r="850" spans="2:104">
      <c r="B850" s="1235"/>
      <c r="C850" s="1235"/>
      <c r="D850" s="1235"/>
      <c r="E850" s="267"/>
      <c r="F850" s="267"/>
      <c r="G850" s="267"/>
      <c r="H850" s="267"/>
      <c r="I850" s="267"/>
      <c r="J850" s="267"/>
      <c r="K850" s="267"/>
      <c r="L850" s="267"/>
      <c r="M850" s="267"/>
      <c r="N850" s="267"/>
      <c r="O850" s="267"/>
      <c r="P850" s="267"/>
      <c r="Q850" s="267"/>
      <c r="R850" s="267"/>
      <c r="S850" s="267"/>
      <c r="T850" s="267"/>
      <c r="U850" s="267"/>
      <c r="V850" s="267"/>
      <c r="W850" s="267"/>
      <c r="X850" s="267"/>
      <c r="Y850" s="267"/>
      <c r="Z850" s="267"/>
      <c r="AA850" s="267"/>
      <c r="AB850" s="267"/>
      <c r="AC850" s="267"/>
      <c r="AD850" s="267"/>
      <c r="AE850" s="267"/>
      <c r="AF850" s="267"/>
      <c r="AG850" s="267"/>
      <c r="AH850" s="267"/>
      <c r="AI850" s="267"/>
      <c r="AJ850" s="267"/>
      <c r="AK850" s="267"/>
      <c r="AL850" s="267"/>
      <c r="AM850" s="267"/>
      <c r="AN850" s="267"/>
      <c r="AO850" s="267"/>
      <c r="AP850" s="267"/>
      <c r="AQ850" s="267"/>
      <c r="AR850" s="267"/>
      <c r="AS850" s="267"/>
      <c r="AT850" s="267"/>
      <c r="AU850" s="267"/>
      <c r="AV850" s="267"/>
      <c r="AW850" s="267"/>
      <c r="AX850" s="267"/>
      <c r="AY850" s="267"/>
      <c r="AZ850" s="267"/>
      <c r="BA850" s="267"/>
      <c r="BB850" s="267"/>
      <c r="BC850" s="267"/>
      <c r="BD850" s="267"/>
      <c r="BE850" s="267"/>
      <c r="BF850" s="267"/>
      <c r="BG850" s="267"/>
      <c r="BH850" s="267"/>
      <c r="BI850" s="267"/>
      <c r="BJ850" s="267"/>
      <c r="BK850" s="267"/>
      <c r="BL850" s="267"/>
      <c r="BM850" s="267"/>
      <c r="BN850" s="267"/>
      <c r="BO850" s="267"/>
      <c r="BP850" s="267"/>
      <c r="BQ850" s="267"/>
      <c r="BR850" s="267"/>
      <c r="BS850" s="267"/>
      <c r="BT850" s="267"/>
      <c r="BU850" s="267"/>
      <c r="BV850" s="267"/>
      <c r="BW850" s="267"/>
      <c r="BX850" s="267"/>
      <c r="BY850" s="267"/>
      <c r="BZ850" s="267"/>
      <c r="CA850" s="267"/>
      <c r="CB850" s="267"/>
      <c r="CC850" s="267"/>
      <c r="CD850" s="267"/>
      <c r="CE850" s="267"/>
      <c r="CF850" s="267"/>
      <c r="CG850" s="267"/>
      <c r="CH850" s="267"/>
      <c r="CI850" s="267"/>
      <c r="CJ850" s="267"/>
      <c r="CK850" s="267"/>
      <c r="CL850" s="267"/>
      <c r="CM850" s="267"/>
      <c r="CN850" s="267"/>
      <c r="CO850" s="267"/>
      <c r="CP850" s="267"/>
      <c r="CQ850" s="267"/>
      <c r="CR850" s="267"/>
      <c r="CS850" s="267"/>
      <c r="CT850" s="267"/>
      <c r="CU850" s="267"/>
      <c r="CV850" s="267"/>
      <c r="CW850" s="267"/>
      <c r="CX850" s="267"/>
      <c r="CY850" s="267"/>
      <c r="CZ850" s="267"/>
    </row>
    <row r="851" spans="2:104">
      <c r="B851" s="1235"/>
      <c r="C851" s="1235"/>
      <c r="D851" s="1235"/>
      <c r="E851" s="267"/>
      <c r="F851" s="267"/>
      <c r="G851" s="267"/>
      <c r="H851" s="267"/>
      <c r="I851" s="267"/>
      <c r="J851" s="267"/>
      <c r="K851" s="267"/>
      <c r="L851" s="267"/>
      <c r="M851" s="267"/>
      <c r="N851" s="267"/>
      <c r="O851" s="267"/>
      <c r="P851" s="267"/>
      <c r="Q851" s="267"/>
      <c r="R851" s="267"/>
      <c r="S851" s="267"/>
      <c r="T851" s="267"/>
      <c r="U851" s="267"/>
      <c r="V851" s="267"/>
      <c r="W851" s="267"/>
      <c r="X851" s="267"/>
      <c r="Y851" s="267"/>
      <c r="Z851" s="267"/>
      <c r="AA851" s="267"/>
      <c r="AB851" s="267"/>
      <c r="AC851" s="267"/>
      <c r="AD851" s="267"/>
      <c r="AE851" s="267"/>
      <c r="AF851" s="267"/>
      <c r="AG851" s="267"/>
      <c r="AH851" s="267"/>
      <c r="AI851" s="267"/>
      <c r="AJ851" s="267"/>
      <c r="AK851" s="267"/>
      <c r="AL851" s="267"/>
      <c r="AM851" s="267"/>
      <c r="AN851" s="267"/>
      <c r="AO851" s="267"/>
      <c r="AP851" s="267"/>
      <c r="AQ851" s="267"/>
      <c r="AR851" s="267"/>
      <c r="AS851" s="267"/>
      <c r="AT851" s="267"/>
      <c r="AU851" s="267"/>
      <c r="AV851" s="267"/>
      <c r="AW851" s="267"/>
      <c r="AX851" s="267"/>
      <c r="AY851" s="267"/>
      <c r="AZ851" s="267"/>
      <c r="BA851" s="267"/>
      <c r="BB851" s="267"/>
      <c r="BC851" s="267"/>
      <c r="BD851" s="267"/>
      <c r="BE851" s="267"/>
      <c r="BF851" s="267"/>
      <c r="BG851" s="267"/>
      <c r="BH851" s="267"/>
      <c r="BI851" s="267"/>
      <c r="BJ851" s="267"/>
      <c r="BK851" s="267"/>
      <c r="BL851" s="267"/>
      <c r="BM851" s="267"/>
      <c r="BN851" s="267"/>
      <c r="BO851" s="267"/>
      <c r="BP851" s="267"/>
      <c r="BQ851" s="267"/>
      <c r="BR851" s="267"/>
      <c r="BS851" s="267"/>
      <c r="BT851" s="267"/>
      <c r="BU851" s="267"/>
      <c r="BV851" s="267"/>
      <c r="BW851" s="267"/>
      <c r="BX851" s="267"/>
      <c r="BY851" s="267"/>
      <c r="BZ851" s="267"/>
      <c r="CA851" s="267"/>
      <c r="CB851" s="267"/>
      <c r="CC851" s="267"/>
      <c r="CD851" s="267"/>
      <c r="CE851" s="267"/>
      <c r="CF851" s="267"/>
      <c r="CG851" s="267"/>
      <c r="CH851" s="267"/>
      <c r="CI851" s="267"/>
      <c r="CJ851" s="267"/>
      <c r="CK851" s="267"/>
      <c r="CL851" s="267"/>
      <c r="CM851" s="267"/>
      <c r="CN851" s="267"/>
      <c r="CO851" s="267"/>
      <c r="CP851" s="267"/>
      <c r="CQ851" s="267"/>
      <c r="CR851" s="267"/>
      <c r="CS851" s="267"/>
      <c r="CT851" s="267"/>
      <c r="CU851" s="267"/>
      <c r="CV851" s="267"/>
      <c r="CW851" s="267"/>
      <c r="CX851" s="267"/>
      <c r="CY851" s="267"/>
      <c r="CZ851" s="267"/>
    </row>
    <row r="852" spans="2:104">
      <c r="B852" s="1235"/>
      <c r="C852" s="1235"/>
      <c r="D852" s="1235"/>
      <c r="E852" s="267"/>
      <c r="F852" s="267"/>
      <c r="G852" s="267"/>
      <c r="H852" s="267"/>
      <c r="I852" s="267"/>
      <c r="J852" s="267"/>
      <c r="K852" s="267"/>
      <c r="L852" s="267"/>
      <c r="M852" s="267"/>
      <c r="N852" s="267"/>
      <c r="O852" s="267"/>
      <c r="P852" s="267"/>
      <c r="Q852" s="267"/>
      <c r="R852" s="267"/>
      <c r="S852" s="267"/>
      <c r="T852" s="267"/>
      <c r="U852" s="267"/>
      <c r="V852" s="267"/>
      <c r="W852" s="267"/>
      <c r="X852" s="267"/>
      <c r="Y852" s="267"/>
      <c r="Z852" s="267"/>
      <c r="AA852" s="267"/>
      <c r="AB852" s="267"/>
      <c r="AC852" s="267"/>
      <c r="AD852" s="267"/>
      <c r="AE852" s="267"/>
      <c r="AF852" s="267"/>
      <c r="AG852" s="267"/>
      <c r="AH852" s="267"/>
      <c r="AI852" s="267"/>
      <c r="AJ852" s="267"/>
      <c r="AK852" s="267"/>
      <c r="AL852" s="267"/>
      <c r="AM852" s="267"/>
      <c r="AN852" s="267"/>
      <c r="AO852" s="267"/>
      <c r="AP852" s="267"/>
      <c r="AQ852" s="267"/>
      <c r="AR852" s="267"/>
      <c r="AS852" s="267"/>
      <c r="AT852" s="267"/>
      <c r="AU852" s="267"/>
      <c r="AV852" s="267"/>
      <c r="AW852" s="267"/>
      <c r="AX852" s="267"/>
      <c r="AY852" s="267"/>
      <c r="AZ852" s="267"/>
      <c r="BA852" s="267"/>
      <c r="BB852" s="267"/>
      <c r="BC852" s="267"/>
      <c r="BD852" s="267"/>
      <c r="BE852" s="267"/>
      <c r="BF852" s="267"/>
      <c r="BG852" s="267"/>
      <c r="BH852" s="267"/>
      <c r="BI852" s="267"/>
      <c r="BJ852" s="267"/>
      <c r="BK852" s="267"/>
      <c r="BL852" s="267"/>
      <c r="BM852" s="267"/>
      <c r="BN852" s="267"/>
      <c r="BO852" s="267"/>
      <c r="BP852" s="267"/>
      <c r="BQ852" s="267"/>
      <c r="BR852" s="267"/>
      <c r="BS852" s="267"/>
      <c r="BT852" s="267"/>
      <c r="BU852" s="267"/>
      <c r="BV852" s="267"/>
      <c r="BW852" s="267"/>
      <c r="BX852" s="267"/>
      <c r="BY852" s="267"/>
      <c r="BZ852" s="267"/>
      <c r="CA852" s="267"/>
      <c r="CB852" s="267"/>
      <c r="CC852" s="267"/>
      <c r="CD852" s="267"/>
      <c r="CE852" s="267"/>
      <c r="CF852" s="267"/>
      <c r="CG852" s="267"/>
      <c r="CH852" s="267"/>
      <c r="CI852" s="267"/>
      <c r="CJ852" s="267"/>
      <c r="CK852" s="267"/>
      <c r="CL852" s="267"/>
      <c r="CM852" s="267"/>
      <c r="CN852" s="267"/>
      <c r="CO852" s="267"/>
      <c r="CP852" s="267"/>
      <c r="CQ852" s="267"/>
      <c r="CR852" s="267"/>
      <c r="CS852" s="267"/>
      <c r="CT852" s="267"/>
      <c r="CU852" s="267"/>
      <c r="CV852" s="267"/>
      <c r="CW852" s="267"/>
      <c r="CX852" s="267"/>
      <c r="CY852" s="267"/>
      <c r="CZ852" s="267"/>
    </row>
    <row r="853" spans="2:104">
      <c r="B853" s="1235"/>
      <c r="C853" s="1235"/>
      <c r="D853" s="1235"/>
      <c r="E853" s="267"/>
      <c r="F853" s="267"/>
      <c r="G853" s="267"/>
      <c r="H853" s="267"/>
      <c r="I853" s="267"/>
      <c r="J853" s="267"/>
      <c r="K853" s="267"/>
      <c r="L853" s="267"/>
      <c r="M853" s="267"/>
      <c r="N853" s="267"/>
      <c r="O853" s="267"/>
      <c r="P853" s="267"/>
      <c r="Q853" s="267"/>
      <c r="R853" s="267"/>
      <c r="S853" s="267"/>
      <c r="T853" s="267"/>
      <c r="U853" s="267"/>
      <c r="V853" s="267"/>
      <c r="W853" s="267"/>
      <c r="X853" s="267"/>
      <c r="Y853" s="267"/>
      <c r="Z853" s="267"/>
      <c r="AA853" s="267"/>
      <c r="AB853" s="267"/>
      <c r="AC853" s="267"/>
      <c r="AD853" s="267"/>
      <c r="AE853" s="267"/>
      <c r="AF853" s="267"/>
      <c r="AG853" s="267"/>
      <c r="AH853" s="267"/>
      <c r="AI853" s="267"/>
      <c r="AJ853" s="267"/>
      <c r="AK853" s="267"/>
      <c r="AL853" s="267"/>
      <c r="AM853" s="267"/>
      <c r="AN853" s="267"/>
      <c r="AO853" s="267"/>
      <c r="AP853" s="267"/>
      <c r="AQ853" s="267"/>
      <c r="AR853" s="267"/>
      <c r="AS853" s="267"/>
      <c r="AT853" s="267"/>
      <c r="AU853" s="267"/>
      <c r="AV853" s="267"/>
      <c r="AW853" s="267"/>
      <c r="AX853" s="267"/>
      <c r="AY853" s="267"/>
      <c r="AZ853" s="267"/>
      <c r="BA853" s="267"/>
      <c r="BB853" s="267"/>
      <c r="BC853" s="267"/>
      <c r="BD853" s="267"/>
      <c r="BE853" s="267"/>
      <c r="BF853" s="267"/>
      <c r="BG853" s="267"/>
      <c r="BH853" s="267"/>
      <c r="BI853" s="267"/>
      <c r="BJ853" s="267"/>
      <c r="BK853" s="267"/>
      <c r="BL853" s="267"/>
      <c r="BM853" s="267"/>
      <c r="BN853" s="267"/>
      <c r="BO853" s="267"/>
      <c r="BP853" s="267"/>
      <c r="BQ853" s="267"/>
      <c r="BR853" s="267"/>
      <c r="BS853" s="267"/>
      <c r="BT853" s="267"/>
      <c r="BU853" s="267"/>
      <c r="BV853" s="267"/>
      <c r="BW853" s="267"/>
      <c r="BX853" s="267"/>
      <c r="BY853" s="267"/>
      <c r="BZ853" s="267"/>
      <c r="CA853" s="267"/>
      <c r="CB853" s="267"/>
      <c r="CC853" s="267"/>
      <c r="CD853" s="267"/>
      <c r="CE853" s="267"/>
      <c r="CF853" s="267"/>
      <c r="CG853" s="267"/>
      <c r="CH853" s="267"/>
      <c r="CI853" s="267"/>
      <c r="CJ853" s="267"/>
      <c r="CK853" s="267"/>
      <c r="CL853" s="267"/>
      <c r="CM853" s="267"/>
      <c r="CN853" s="267"/>
      <c r="CO853" s="267"/>
      <c r="CP853" s="267"/>
      <c r="CQ853" s="267"/>
      <c r="CR853" s="267"/>
      <c r="CS853" s="267"/>
      <c r="CT853" s="267"/>
      <c r="CU853" s="267"/>
      <c r="CV853" s="267"/>
      <c r="CW853" s="267"/>
      <c r="CX853" s="267"/>
      <c r="CY853" s="267"/>
      <c r="CZ853" s="267"/>
    </row>
    <row r="854" spans="2:104">
      <c r="B854" s="1235"/>
      <c r="C854" s="1235"/>
      <c r="D854" s="1235"/>
      <c r="E854" s="267"/>
      <c r="F854" s="267"/>
      <c r="G854" s="267"/>
      <c r="H854" s="267"/>
      <c r="I854" s="267"/>
      <c r="J854" s="267"/>
      <c r="K854" s="267"/>
      <c r="L854" s="267"/>
      <c r="M854" s="267"/>
      <c r="N854" s="267"/>
      <c r="O854" s="267"/>
      <c r="P854" s="267"/>
      <c r="Q854" s="267"/>
      <c r="R854" s="267"/>
      <c r="S854" s="267"/>
      <c r="T854" s="267"/>
      <c r="U854" s="267"/>
      <c r="V854" s="267"/>
      <c r="W854" s="267"/>
      <c r="X854" s="267"/>
      <c r="Y854" s="267"/>
      <c r="Z854" s="267"/>
      <c r="AA854" s="267"/>
      <c r="AB854" s="267"/>
      <c r="AC854" s="267"/>
      <c r="AD854" s="267"/>
      <c r="AE854" s="267"/>
      <c r="AF854" s="267"/>
      <c r="AG854" s="267"/>
      <c r="AH854" s="267"/>
      <c r="AI854" s="267"/>
      <c r="AJ854" s="267"/>
      <c r="AK854" s="267"/>
      <c r="AL854" s="267"/>
      <c r="AM854" s="267"/>
      <c r="AN854" s="267"/>
      <c r="AO854" s="267"/>
      <c r="AP854" s="267"/>
      <c r="AQ854" s="267"/>
      <c r="AR854" s="267"/>
      <c r="AS854" s="267"/>
      <c r="AT854" s="267"/>
      <c r="AU854" s="267"/>
      <c r="AV854" s="267"/>
      <c r="AW854" s="267"/>
      <c r="AX854" s="267"/>
      <c r="AY854" s="267"/>
      <c r="AZ854" s="267"/>
      <c r="BA854" s="267"/>
      <c r="BB854" s="267"/>
      <c r="BC854" s="267"/>
      <c r="BD854" s="267"/>
      <c r="BE854" s="267"/>
      <c r="BF854" s="267"/>
      <c r="BG854" s="267"/>
      <c r="BH854" s="267"/>
      <c r="BI854" s="267"/>
      <c r="BJ854" s="267"/>
      <c r="BK854" s="267"/>
      <c r="BL854" s="267"/>
      <c r="BM854" s="267"/>
      <c r="BN854" s="267"/>
      <c r="BO854" s="267"/>
      <c r="BP854" s="267"/>
      <c r="BQ854" s="267"/>
      <c r="BR854" s="267"/>
      <c r="BS854" s="267"/>
      <c r="BT854" s="267"/>
      <c r="BU854" s="267"/>
      <c r="BV854" s="267"/>
      <c r="BW854" s="267"/>
      <c r="BX854" s="267"/>
      <c r="BY854" s="267"/>
      <c r="BZ854" s="267"/>
      <c r="CA854" s="267"/>
      <c r="CB854" s="267"/>
      <c r="CC854" s="267"/>
      <c r="CD854" s="267"/>
      <c r="CE854" s="267"/>
      <c r="CF854" s="267"/>
      <c r="CG854" s="267"/>
      <c r="CH854" s="267"/>
      <c r="CI854" s="267"/>
      <c r="CJ854" s="267"/>
      <c r="CK854" s="267"/>
      <c r="CL854" s="267"/>
      <c r="CM854" s="267"/>
      <c r="CN854" s="267"/>
      <c r="CO854" s="267"/>
      <c r="CP854" s="267"/>
      <c r="CQ854" s="267"/>
      <c r="CR854" s="267"/>
      <c r="CS854" s="267"/>
      <c r="CT854" s="267"/>
      <c r="CU854" s="267"/>
      <c r="CV854" s="267"/>
      <c r="CW854" s="267"/>
      <c r="CX854" s="267"/>
      <c r="CY854" s="267"/>
      <c r="CZ854" s="267"/>
    </row>
    <row r="855" spans="2:104">
      <c r="B855" s="1235"/>
      <c r="C855" s="1235"/>
      <c r="D855" s="1235"/>
      <c r="E855" s="267"/>
      <c r="F855" s="267"/>
      <c r="G855" s="267"/>
      <c r="H855" s="267"/>
      <c r="I855" s="267"/>
      <c r="J855" s="267"/>
      <c r="K855" s="267"/>
      <c r="L855" s="267"/>
      <c r="M855" s="267"/>
      <c r="N855" s="267"/>
      <c r="O855" s="267"/>
      <c r="P855" s="267"/>
      <c r="Q855" s="267"/>
      <c r="R855" s="267"/>
      <c r="S855" s="267"/>
      <c r="T855" s="267"/>
      <c r="U855" s="267"/>
      <c r="V855" s="267"/>
      <c r="W855" s="267"/>
      <c r="X855" s="267"/>
      <c r="Y855" s="267"/>
      <c r="Z855" s="267"/>
      <c r="AA855" s="267"/>
      <c r="AB855" s="267"/>
      <c r="AC855" s="267"/>
      <c r="AD855" s="267"/>
      <c r="AE855" s="267"/>
      <c r="AF855" s="267"/>
      <c r="AG855" s="267"/>
      <c r="AH855" s="267"/>
      <c r="AI855" s="267"/>
      <c r="AJ855" s="267"/>
      <c r="AK855" s="267"/>
      <c r="AL855" s="267"/>
      <c r="AM855" s="267"/>
      <c r="AN855" s="267"/>
      <c r="AO855" s="267"/>
      <c r="AP855" s="267"/>
      <c r="AQ855" s="267"/>
      <c r="AR855" s="267"/>
      <c r="AS855" s="267"/>
      <c r="AT855" s="267"/>
      <c r="AU855" s="267"/>
      <c r="AV855" s="267"/>
      <c r="AW855" s="267"/>
      <c r="AX855" s="267"/>
      <c r="AY855" s="267"/>
      <c r="AZ855" s="267"/>
      <c r="BA855" s="267"/>
      <c r="BB855" s="267"/>
      <c r="BC855" s="267"/>
      <c r="BD855" s="267"/>
      <c r="BE855" s="267"/>
      <c r="BF855" s="267"/>
      <c r="BG855" s="267"/>
      <c r="BH855" s="267"/>
      <c r="BI855" s="267"/>
      <c r="BJ855" s="267"/>
      <c r="BK855" s="267"/>
      <c r="BL855" s="267"/>
      <c r="BM855" s="267"/>
      <c r="BN855" s="267"/>
      <c r="BO855" s="267"/>
      <c r="BP855" s="267"/>
      <c r="BQ855" s="267"/>
      <c r="BR855" s="267"/>
      <c r="BS855" s="267"/>
      <c r="BT855" s="267"/>
      <c r="BU855" s="267"/>
      <c r="BV855" s="267"/>
      <c r="BW855" s="267"/>
      <c r="BX855" s="267"/>
      <c r="BY855" s="267"/>
      <c r="BZ855" s="267"/>
      <c r="CA855" s="267"/>
      <c r="CB855" s="267"/>
      <c r="CC855" s="267"/>
      <c r="CD855" s="267"/>
      <c r="CE855" s="267"/>
      <c r="CF855" s="267"/>
      <c r="CG855" s="267"/>
      <c r="CH855" s="267"/>
      <c r="CI855" s="267"/>
      <c r="CJ855" s="267"/>
      <c r="CK855" s="267"/>
      <c r="CL855" s="267"/>
      <c r="CM855" s="267"/>
      <c r="CN855" s="267"/>
      <c r="CO855" s="267"/>
      <c r="CP855" s="267"/>
      <c r="CQ855" s="267"/>
      <c r="CR855" s="267"/>
      <c r="CS855" s="267"/>
      <c r="CT855" s="267"/>
      <c r="CU855" s="267"/>
      <c r="CV855" s="267"/>
      <c r="CW855" s="267"/>
      <c r="CX855" s="267"/>
      <c r="CY855" s="267"/>
      <c r="CZ855" s="267"/>
    </row>
    <row r="856" spans="2:104">
      <c r="B856" s="1235"/>
      <c r="C856" s="1235"/>
      <c r="D856" s="1235"/>
      <c r="E856" s="267"/>
      <c r="F856" s="267"/>
      <c r="G856" s="267"/>
      <c r="H856" s="267"/>
      <c r="I856" s="267"/>
      <c r="J856" s="267"/>
      <c r="K856" s="267"/>
      <c r="L856" s="267"/>
      <c r="M856" s="267"/>
      <c r="N856" s="267"/>
      <c r="O856" s="267"/>
      <c r="P856" s="267"/>
      <c r="Q856" s="267"/>
      <c r="R856" s="267"/>
      <c r="S856" s="267"/>
      <c r="T856" s="267"/>
      <c r="U856" s="267"/>
      <c r="V856" s="267"/>
      <c r="W856" s="267"/>
      <c r="X856" s="267"/>
      <c r="Y856" s="267"/>
      <c r="Z856" s="267"/>
      <c r="AA856" s="267"/>
      <c r="AB856" s="267"/>
      <c r="AC856" s="267"/>
      <c r="AD856" s="267"/>
      <c r="AE856" s="267"/>
      <c r="AF856" s="267"/>
      <c r="AG856" s="267"/>
      <c r="AH856" s="267"/>
      <c r="AI856" s="267"/>
      <c r="AJ856" s="267"/>
      <c r="AK856" s="267"/>
      <c r="AL856" s="267"/>
      <c r="AM856" s="267"/>
      <c r="AN856" s="267"/>
      <c r="AO856" s="267"/>
      <c r="AP856" s="267"/>
      <c r="AQ856" s="267"/>
      <c r="AR856" s="267"/>
      <c r="AS856" s="267"/>
      <c r="AT856" s="267"/>
      <c r="AU856" s="267"/>
      <c r="AV856" s="267"/>
      <c r="AW856" s="267"/>
      <c r="AX856" s="267"/>
      <c r="AY856" s="267"/>
      <c r="AZ856" s="267"/>
      <c r="BA856" s="267"/>
      <c r="BB856" s="267"/>
      <c r="BC856" s="267"/>
      <c r="BD856" s="267"/>
      <c r="BE856" s="267"/>
      <c r="BF856" s="267"/>
      <c r="BG856" s="267"/>
      <c r="BH856" s="267"/>
      <c r="BI856" s="267"/>
      <c r="BJ856" s="267"/>
      <c r="BK856" s="267"/>
      <c r="BL856" s="267"/>
      <c r="BM856" s="267"/>
      <c r="BN856" s="267"/>
      <c r="BO856" s="267"/>
      <c r="BP856" s="267"/>
      <c r="BQ856" s="267"/>
      <c r="BR856" s="267"/>
      <c r="BS856" s="267"/>
      <c r="BT856" s="267"/>
      <c r="BU856" s="267"/>
      <c r="BV856" s="267"/>
      <c r="BW856" s="267"/>
      <c r="BX856" s="267"/>
      <c r="BY856" s="267"/>
      <c r="BZ856" s="267"/>
      <c r="CA856" s="267"/>
      <c r="CB856" s="267"/>
      <c r="CC856" s="267"/>
      <c r="CD856" s="267"/>
      <c r="CE856" s="267"/>
      <c r="CF856" s="267"/>
      <c r="CG856" s="267"/>
      <c r="CH856" s="267"/>
      <c r="CI856" s="267"/>
      <c r="CJ856" s="267"/>
      <c r="CK856" s="267"/>
      <c r="CL856" s="267"/>
      <c r="CM856" s="267"/>
      <c r="CN856" s="267"/>
      <c r="CO856" s="267"/>
      <c r="CP856" s="267"/>
      <c r="CQ856" s="267"/>
      <c r="CR856" s="267"/>
      <c r="CS856" s="267"/>
      <c r="CT856" s="267"/>
      <c r="CU856" s="267"/>
      <c r="CV856" s="267"/>
      <c r="CW856" s="267"/>
      <c r="CX856" s="267"/>
      <c r="CY856" s="267"/>
      <c r="CZ856" s="267"/>
    </row>
    <row r="857" spans="2:104">
      <c r="B857" s="1235"/>
      <c r="C857" s="1235"/>
      <c r="D857" s="1235"/>
      <c r="E857" s="267"/>
      <c r="F857" s="267"/>
      <c r="G857" s="267"/>
      <c r="H857" s="267"/>
      <c r="I857" s="267"/>
      <c r="J857" s="267"/>
      <c r="K857" s="267"/>
      <c r="L857" s="267"/>
      <c r="M857" s="267"/>
      <c r="N857" s="267"/>
      <c r="O857" s="267"/>
      <c r="P857" s="267"/>
      <c r="Q857" s="267"/>
      <c r="R857" s="267"/>
      <c r="S857" s="267"/>
      <c r="T857" s="267"/>
      <c r="U857" s="267"/>
      <c r="V857" s="267"/>
      <c r="W857" s="267"/>
      <c r="X857" s="267"/>
      <c r="Y857" s="267"/>
      <c r="Z857" s="267"/>
      <c r="AA857" s="267"/>
      <c r="AB857" s="267"/>
      <c r="AC857" s="267"/>
      <c r="AD857" s="267"/>
      <c r="AE857" s="267"/>
      <c r="AF857" s="267"/>
      <c r="AG857" s="267"/>
      <c r="AH857" s="267"/>
      <c r="AI857" s="267"/>
      <c r="AJ857" s="267"/>
      <c r="AK857" s="267"/>
      <c r="AL857" s="267"/>
      <c r="AM857" s="267"/>
      <c r="AN857" s="267"/>
      <c r="AO857" s="267"/>
      <c r="AP857" s="267"/>
      <c r="AQ857" s="267"/>
      <c r="AR857" s="267"/>
      <c r="AS857" s="267"/>
      <c r="AT857" s="267"/>
      <c r="AU857" s="267"/>
      <c r="AV857" s="267"/>
      <c r="AW857" s="267"/>
      <c r="AX857" s="267"/>
      <c r="AY857" s="267"/>
      <c r="AZ857" s="267"/>
      <c r="BA857" s="267"/>
      <c r="BB857" s="267"/>
      <c r="BC857" s="267"/>
      <c r="BD857" s="267"/>
      <c r="BE857" s="267"/>
      <c r="BF857" s="267"/>
      <c r="BG857" s="267"/>
      <c r="BH857" s="267"/>
      <c r="BI857" s="267"/>
      <c r="BJ857" s="267"/>
      <c r="BK857" s="267"/>
      <c r="BL857" s="267"/>
      <c r="BM857" s="267"/>
      <c r="BN857" s="267"/>
      <c r="BO857" s="267"/>
      <c r="BP857" s="267"/>
      <c r="BQ857" s="267"/>
      <c r="BR857" s="267"/>
      <c r="BS857" s="267"/>
      <c r="BT857" s="267"/>
      <c r="BU857" s="267"/>
      <c r="BV857" s="267"/>
      <c r="BW857" s="267"/>
      <c r="BX857" s="267"/>
      <c r="BY857" s="267"/>
      <c r="BZ857" s="267"/>
      <c r="CA857" s="267"/>
      <c r="CB857" s="267"/>
      <c r="CC857" s="267"/>
      <c r="CD857" s="267"/>
      <c r="CE857" s="267"/>
      <c r="CF857" s="267"/>
      <c r="CG857" s="267"/>
      <c r="CH857" s="267"/>
      <c r="CI857" s="267"/>
      <c r="CJ857" s="267"/>
      <c r="CK857" s="267"/>
      <c r="CL857" s="267"/>
      <c r="CM857" s="267"/>
      <c r="CN857" s="267"/>
      <c r="CO857" s="267"/>
      <c r="CP857" s="267"/>
      <c r="CQ857" s="267"/>
      <c r="CR857" s="267"/>
      <c r="CS857" s="267"/>
      <c r="CT857" s="267"/>
      <c r="CU857" s="267"/>
      <c r="CV857" s="267"/>
      <c r="CW857" s="267"/>
      <c r="CX857" s="267"/>
      <c r="CY857" s="267"/>
      <c r="CZ857" s="267"/>
    </row>
    <row r="858" spans="2:104">
      <c r="B858" s="1235"/>
      <c r="C858" s="1235"/>
      <c r="D858" s="1235"/>
      <c r="E858" s="267"/>
      <c r="F858" s="267"/>
      <c r="G858" s="267"/>
      <c r="H858" s="267"/>
      <c r="I858" s="267"/>
      <c r="J858" s="267"/>
      <c r="K858" s="267"/>
      <c r="L858" s="267"/>
      <c r="M858" s="267"/>
      <c r="N858" s="267"/>
      <c r="O858" s="267"/>
      <c r="P858" s="267"/>
      <c r="Q858" s="267"/>
      <c r="R858" s="267"/>
      <c r="S858" s="267"/>
      <c r="T858" s="267"/>
      <c r="U858" s="267"/>
      <c r="V858" s="267"/>
      <c r="W858" s="267"/>
      <c r="X858" s="267"/>
      <c r="Y858" s="267"/>
      <c r="Z858" s="267"/>
      <c r="AA858" s="267"/>
      <c r="AB858" s="267"/>
      <c r="AC858" s="267"/>
      <c r="AD858" s="267"/>
      <c r="AE858" s="267"/>
      <c r="AF858" s="267"/>
      <c r="AG858" s="267"/>
      <c r="AH858" s="267"/>
      <c r="AI858" s="267"/>
      <c r="AJ858" s="267"/>
      <c r="AK858" s="267"/>
      <c r="AL858" s="267"/>
      <c r="AM858" s="267"/>
      <c r="AN858" s="267"/>
      <c r="AO858" s="267"/>
      <c r="AP858" s="267"/>
      <c r="AQ858" s="267"/>
      <c r="AR858" s="267"/>
      <c r="AS858" s="267"/>
      <c r="AT858" s="267"/>
      <c r="AU858" s="267"/>
      <c r="AV858" s="267"/>
      <c r="AW858" s="267"/>
      <c r="AX858" s="267"/>
      <c r="AY858" s="267"/>
      <c r="AZ858" s="267"/>
      <c r="BA858" s="267"/>
      <c r="BB858" s="267"/>
      <c r="BC858" s="267"/>
      <c r="BD858" s="267"/>
      <c r="BE858" s="267"/>
      <c r="BF858" s="267"/>
      <c r="BG858" s="267"/>
      <c r="BH858" s="267"/>
      <c r="BI858" s="267"/>
      <c r="BJ858" s="267"/>
      <c r="BK858" s="267"/>
      <c r="BL858" s="267"/>
      <c r="BM858" s="267"/>
      <c r="BN858" s="267"/>
      <c r="BO858" s="267"/>
      <c r="BP858" s="267"/>
      <c r="BQ858" s="267"/>
      <c r="BR858" s="267"/>
      <c r="BS858" s="267"/>
      <c r="BT858" s="267"/>
      <c r="BU858" s="267"/>
      <c r="BV858" s="267"/>
      <c r="BW858" s="267"/>
      <c r="BX858" s="267"/>
      <c r="BY858" s="267"/>
      <c r="BZ858" s="267"/>
      <c r="CA858" s="267"/>
      <c r="CB858" s="267"/>
      <c r="CC858" s="267"/>
      <c r="CD858" s="267"/>
      <c r="CE858" s="267"/>
      <c r="CF858" s="267"/>
      <c r="CG858" s="267"/>
      <c r="CH858" s="267"/>
      <c r="CI858" s="267"/>
      <c r="CJ858" s="267"/>
      <c r="CK858" s="267"/>
      <c r="CL858" s="267"/>
      <c r="CM858" s="267"/>
      <c r="CN858" s="267"/>
      <c r="CO858" s="267"/>
      <c r="CP858" s="267"/>
      <c r="CQ858" s="267"/>
      <c r="CR858" s="267"/>
      <c r="CS858" s="267"/>
      <c r="CT858" s="267"/>
      <c r="CU858" s="267"/>
      <c r="CV858" s="267"/>
      <c r="CW858" s="267"/>
      <c r="CX858" s="267"/>
      <c r="CY858" s="267"/>
      <c r="CZ858" s="267"/>
    </row>
    <row r="859" spans="2:104">
      <c r="B859" s="1235"/>
      <c r="C859" s="1235"/>
      <c r="D859" s="1235"/>
      <c r="E859" s="267"/>
      <c r="F859" s="267"/>
      <c r="G859" s="267"/>
      <c r="H859" s="267"/>
      <c r="I859" s="267"/>
      <c r="J859" s="267"/>
      <c r="K859" s="267"/>
      <c r="L859" s="267"/>
      <c r="M859" s="267"/>
      <c r="N859" s="267"/>
      <c r="O859" s="267"/>
      <c r="P859" s="267"/>
      <c r="Q859" s="267"/>
      <c r="R859" s="267"/>
      <c r="S859" s="267"/>
      <c r="T859" s="267"/>
      <c r="U859" s="267"/>
      <c r="V859" s="267"/>
      <c r="W859" s="267"/>
      <c r="X859" s="267"/>
      <c r="Y859" s="267"/>
      <c r="Z859" s="267"/>
      <c r="AA859" s="267"/>
      <c r="AB859" s="267"/>
      <c r="AC859" s="267"/>
      <c r="AD859" s="267"/>
      <c r="AE859" s="267"/>
      <c r="AF859" s="267"/>
      <c r="AG859" s="267"/>
      <c r="AH859" s="267"/>
      <c r="AI859" s="267"/>
      <c r="AJ859" s="267"/>
      <c r="AK859" s="267"/>
      <c r="AL859" s="267"/>
      <c r="AM859" s="267"/>
      <c r="AN859" s="267"/>
      <c r="AO859" s="267"/>
      <c r="AP859" s="267"/>
      <c r="AQ859" s="267"/>
      <c r="AR859" s="267"/>
      <c r="AS859" s="267"/>
      <c r="AT859" s="267"/>
      <c r="AU859" s="267"/>
      <c r="AV859" s="267"/>
      <c r="AW859" s="267"/>
      <c r="AX859" s="267"/>
      <c r="AY859" s="267"/>
      <c r="AZ859" s="267"/>
      <c r="BA859" s="267"/>
      <c r="BB859" s="267"/>
      <c r="BC859" s="267"/>
      <c r="BD859" s="267"/>
      <c r="BE859" s="267"/>
      <c r="BF859" s="267"/>
      <c r="BG859" s="267"/>
      <c r="BH859" s="267"/>
      <c r="BI859" s="267"/>
      <c r="BJ859" s="267"/>
      <c r="BK859" s="267"/>
      <c r="BL859" s="267"/>
      <c r="BM859" s="267"/>
      <c r="BN859" s="267"/>
      <c r="BO859" s="267"/>
      <c r="BP859" s="267"/>
      <c r="BQ859" s="267"/>
      <c r="BR859" s="267"/>
      <c r="BS859" s="267"/>
      <c r="BT859" s="267"/>
      <c r="BU859" s="267"/>
      <c r="BV859" s="267"/>
      <c r="BW859" s="267"/>
      <c r="BX859" s="267"/>
      <c r="BY859" s="267"/>
      <c r="BZ859" s="267"/>
      <c r="CA859" s="267"/>
      <c r="CB859" s="267"/>
      <c r="CC859" s="267"/>
      <c r="CD859" s="267"/>
      <c r="CE859" s="267"/>
      <c r="CF859" s="267"/>
      <c r="CG859" s="267"/>
      <c r="CH859" s="267"/>
      <c r="CI859" s="267"/>
      <c r="CJ859" s="267"/>
      <c r="CK859" s="267"/>
      <c r="CL859" s="267"/>
      <c r="CM859" s="267"/>
      <c r="CN859" s="267"/>
      <c r="CO859" s="267"/>
      <c r="CP859" s="267"/>
      <c r="CQ859" s="267"/>
      <c r="CR859" s="267"/>
      <c r="CS859" s="267"/>
      <c r="CT859" s="267"/>
      <c r="CU859" s="267"/>
      <c r="CV859" s="267"/>
      <c r="CW859" s="267"/>
      <c r="CX859" s="267"/>
      <c r="CY859" s="267"/>
      <c r="CZ859" s="267"/>
    </row>
    <row r="860" spans="2:104">
      <c r="B860" s="1235"/>
      <c r="C860" s="1235"/>
      <c r="D860" s="1235"/>
      <c r="E860" s="267"/>
      <c r="F860" s="267"/>
      <c r="G860" s="267"/>
      <c r="H860" s="267"/>
      <c r="I860" s="267"/>
      <c r="J860" s="267"/>
      <c r="K860" s="267"/>
      <c r="L860" s="267"/>
      <c r="M860" s="267"/>
      <c r="N860" s="267"/>
      <c r="O860" s="267"/>
      <c r="P860" s="267"/>
      <c r="Q860" s="267"/>
      <c r="R860" s="267"/>
      <c r="S860" s="267"/>
      <c r="T860" s="267"/>
      <c r="U860" s="267"/>
      <c r="V860" s="267"/>
      <c r="W860" s="267"/>
      <c r="X860" s="267"/>
      <c r="Y860" s="267"/>
      <c r="Z860" s="267"/>
      <c r="AA860" s="267"/>
      <c r="AB860" s="267"/>
      <c r="AC860" s="267"/>
      <c r="AD860" s="267"/>
      <c r="AE860" s="267"/>
      <c r="AF860" s="267"/>
      <c r="AG860" s="267"/>
      <c r="AH860" s="267"/>
      <c r="AI860" s="267"/>
      <c r="AJ860" s="267"/>
      <c r="AK860" s="267"/>
      <c r="AL860" s="267"/>
      <c r="AM860" s="267"/>
      <c r="AN860" s="267"/>
      <c r="AO860" s="267"/>
      <c r="AP860" s="267"/>
      <c r="AQ860" s="267"/>
      <c r="AR860" s="267"/>
      <c r="AS860" s="267"/>
      <c r="AT860" s="267"/>
      <c r="AU860" s="267"/>
      <c r="AV860" s="267"/>
      <c r="AW860" s="267"/>
      <c r="AX860" s="267"/>
      <c r="AY860" s="267"/>
      <c r="AZ860" s="267"/>
      <c r="BA860" s="267"/>
      <c r="BB860" s="267"/>
      <c r="BC860" s="267"/>
      <c r="BD860" s="267"/>
      <c r="BE860" s="267"/>
      <c r="BF860" s="267"/>
      <c r="BG860" s="267"/>
      <c r="BH860" s="267"/>
      <c r="BI860" s="267"/>
      <c r="BJ860" s="267"/>
      <c r="BK860" s="267"/>
      <c r="BL860" s="267"/>
      <c r="BM860" s="267"/>
      <c r="BN860" s="267"/>
      <c r="BO860" s="267"/>
      <c r="BP860" s="267"/>
      <c r="BQ860" s="267"/>
      <c r="BR860" s="267"/>
      <c r="BS860" s="267"/>
      <c r="BT860" s="267"/>
      <c r="BU860" s="267"/>
      <c r="BV860" s="267"/>
      <c r="BW860" s="267"/>
      <c r="BX860" s="267"/>
      <c r="BY860" s="267"/>
      <c r="BZ860" s="267"/>
      <c r="CA860" s="267"/>
      <c r="CB860" s="267"/>
      <c r="CC860" s="267"/>
      <c r="CD860" s="267"/>
      <c r="CE860" s="267"/>
      <c r="CF860" s="267"/>
      <c r="CG860" s="267"/>
      <c r="CH860" s="267"/>
      <c r="CI860" s="267"/>
      <c r="CJ860" s="267"/>
      <c r="CK860" s="267"/>
      <c r="CL860" s="267"/>
      <c r="CM860" s="267"/>
      <c r="CN860" s="267"/>
      <c r="CO860" s="267"/>
      <c r="CP860" s="267"/>
      <c r="CQ860" s="267"/>
      <c r="CR860" s="267"/>
      <c r="CS860" s="267"/>
      <c r="CT860" s="267"/>
      <c r="CU860" s="267"/>
      <c r="CV860" s="267"/>
      <c r="CW860" s="267"/>
      <c r="CX860" s="267"/>
      <c r="CY860" s="267"/>
      <c r="CZ860" s="267"/>
    </row>
    <row r="861" spans="2:104">
      <c r="B861" s="1235"/>
      <c r="C861" s="1235"/>
      <c r="D861" s="1235"/>
      <c r="E861" s="267"/>
      <c r="F861" s="267"/>
      <c r="G861" s="267"/>
      <c r="H861" s="267"/>
      <c r="I861" s="267"/>
      <c r="J861" s="267"/>
      <c r="K861" s="267"/>
      <c r="L861" s="267"/>
      <c r="M861" s="267"/>
      <c r="N861" s="267"/>
      <c r="O861" s="267"/>
      <c r="P861" s="267"/>
      <c r="Q861" s="267"/>
      <c r="R861" s="267"/>
      <c r="S861" s="267"/>
      <c r="T861" s="267"/>
      <c r="U861" s="267"/>
      <c r="V861" s="267"/>
      <c r="W861" s="267"/>
      <c r="X861" s="267"/>
      <c r="Y861" s="267"/>
      <c r="Z861" s="267"/>
      <c r="AA861" s="267"/>
      <c r="AB861" s="267"/>
      <c r="AC861" s="267"/>
      <c r="AD861" s="267"/>
      <c r="AE861" s="267"/>
      <c r="AF861" s="267"/>
      <c r="AG861" s="267"/>
      <c r="AH861" s="267"/>
      <c r="AI861" s="267"/>
      <c r="AJ861" s="267"/>
      <c r="AK861" s="267"/>
      <c r="AL861" s="267"/>
      <c r="AM861" s="267"/>
      <c r="AN861" s="267"/>
      <c r="AO861" s="267"/>
      <c r="AP861" s="267"/>
      <c r="AQ861" s="267"/>
      <c r="AR861" s="267"/>
      <c r="AS861" s="267"/>
      <c r="AT861" s="267"/>
      <c r="AU861" s="267"/>
      <c r="AV861" s="267"/>
      <c r="AW861" s="267"/>
      <c r="AX861" s="267"/>
      <c r="AY861" s="267"/>
      <c r="AZ861" s="267"/>
      <c r="BA861" s="267"/>
      <c r="BB861" s="267"/>
      <c r="BC861" s="267"/>
      <c r="BD861" s="267"/>
      <c r="BE861" s="267"/>
      <c r="BF861" s="267"/>
      <c r="BG861" s="267"/>
      <c r="BH861" s="267"/>
      <c r="BI861" s="267"/>
      <c r="BJ861" s="267"/>
      <c r="BK861" s="267"/>
      <c r="BL861" s="267"/>
      <c r="BM861" s="267"/>
      <c r="BN861" s="267"/>
      <c r="BO861" s="267"/>
      <c r="BP861" s="267"/>
      <c r="BQ861" s="267"/>
      <c r="BR861" s="267"/>
      <c r="BS861" s="267"/>
      <c r="BT861" s="267"/>
      <c r="BU861" s="267"/>
      <c r="BV861" s="267"/>
      <c r="BW861" s="267"/>
      <c r="BX861" s="267"/>
      <c r="BY861" s="267"/>
      <c r="BZ861" s="267"/>
      <c r="CA861" s="267"/>
      <c r="CB861" s="267"/>
      <c r="CC861" s="267"/>
      <c r="CD861" s="267"/>
      <c r="CE861" s="267"/>
      <c r="CF861" s="267"/>
      <c r="CG861" s="267"/>
      <c r="CH861" s="267"/>
      <c r="CI861" s="267"/>
      <c r="CJ861" s="267"/>
      <c r="CK861" s="267"/>
      <c r="CL861" s="267"/>
      <c r="CM861" s="267"/>
      <c r="CN861" s="267"/>
      <c r="CO861" s="267"/>
      <c r="CP861" s="267"/>
      <c r="CQ861" s="267"/>
      <c r="CR861" s="267"/>
      <c r="CS861" s="267"/>
      <c r="CT861" s="267"/>
      <c r="CU861" s="267"/>
      <c r="CV861" s="267"/>
      <c r="CW861" s="267"/>
      <c r="CX861" s="267"/>
      <c r="CY861" s="267"/>
      <c r="CZ861" s="267"/>
    </row>
  </sheetData>
  <autoFilter ref="A1:OQ431" xr:uid="{00000000-0001-0000-1500-000000000000}"/>
  <phoneticPr fontId="13" type="noConversion"/>
  <pageMargins left="0.75" right="0.75" top="1" bottom="1" header="0.5" footer="0.5"/>
  <pageSetup paperSize="9" orientation="portrait" r:id="rId1"/>
  <headerFooter alignWithMargins="0">
    <oddHeader>&amp;A</oddHeader>
    <oddFooter>&amp;C&amp;"Calibri"&amp;11&amp;K000000Page &amp;P_x000D_&amp;1#&amp;"Calibri"&amp;10&amp;K000000Internal</oddFoot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4">
    <tabColor rgb="FFFF00FF"/>
  </sheetPr>
  <dimension ref="A1:PT432"/>
  <sheetViews>
    <sheetView zoomScale="85" zoomScaleNormal="85" workbookViewId="0">
      <pane xSplit="4" ySplit="1" topLeftCell="E2" activePane="bottomRight" state="frozen"/>
      <selection activeCell="B11" sqref="B11:B13"/>
      <selection pane="topRight" activeCell="B11" sqref="B11:B13"/>
      <selection pane="bottomLeft" activeCell="B11" sqref="B11:B13"/>
      <selection pane="bottomRight" activeCell="E2" sqref="E2:BG42"/>
    </sheetView>
  </sheetViews>
  <sheetFormatPr defaultColWidth="9.09765625" defaultRowHeight="12.5"/>
  <cols>
    <col min="1" max="1" width="13.296875" style="267" bestFit="1" customWidth="1"/>
    <col min="2" max="2" width="13.09765625" style="1233" customWidth="1"/>
    <col min="3" max="4" width="9.09765625" style="1233"/>
    <col min="5" max="104" width="9.09765625" style="179"/>
    <col min="105" max="105" width="9.09765625" style="267"/>
    <col min="106" max="106" width="13.296875" style="1575" bestFit="1" customWidth="1"/>
    <col min="107" max="16384" width="9.09765625" style="267"/>
  </cols>
  <sheetData>
    <row r="1" spans="1:436">
      <c r="A1" s="1466" t="s">
        <v>1143</v>
      </c>
      <c r="B1" s="1234" t="s">
        <v>10</v>
      </c>
      <c r="C1" s="1234" t="s">
        <v>11</v>
      </c>
      <c r="D1" s="1234" t="s">
        <v>12</v>
      </c>
      <c r="E1" s="1234">
        <v>1</v>
      </c>
      <c r="F1" s="1234">
        <v>2</v>
      </c>
      <c r="G1" s="1234">
        <v>3</v>
      </c>
      <c r="H1" s="1234">
        <v>4</v>
      </c>
      <c r="I1" s="1234">
        <v>5</v>
      </c>
      <c r="J1" s="1234">
        <v>6</v>
      </c>
      <c r="K1" s="1234">
        <v>7</v>
      </c>
      <c r="L1" s="1234">
        <v>8</v>
      </c>
      <c r="M1" s="1234">
        <v>9</v>
      </c>
      <c r="N1" s="1234">
        <v>10</v>
      </c>
      <c r="O1" s="1234">
        <v>11</v>
      </c>
      <c r="P1" s="1234">
        <v>12</v>
      </c>
      <c r="Q1" s="1234">
        <v>13</v>
      </c>
      <c r="R1" s="1234">
        <v>14</v>
      </c>
      <c r="S1" s="1234">
        <v>15</v>
      </c>
      <c r="T1" s="1234">
        <v>16</v>
      </c>
      <c r="U1" s="1234">
        <v>17</v>
      </c>
      <c r="V1" s="1234">
        <v>18</v>
      </c>
      <c r="W1" s="1234">
        <v>19</v>
      </c>
      <c r="X1" s="1234">
        <v>20</v>
      </c>
      <c r="Y1" s="1234">
        <v>21</v>
      </c>
      <c r="Z1" s="1234">
        <v>22</v>
      </c>
      <c r="AA1" s="1234">
        <v>23</v>
      </c>
      <c r="AB1" s="1234">
        <v>24</v>
      </c>
      <c r="AC1" s="1234">
        <v>25</v>
      </c>
      <c r="AD1" s="1234">
        <v>26</v>
      </c>
      <c r="AE1" s="1234">
        <v>27</v>
      </c>
      <c r="AF1" s="1234">
        <v>28</v>
      </c>
      <c r="AG1" s="1234">
        <v>29</v>
      </c>
      <c r="AH1" s="1234">
        <v>30</v>
      </c>
      <c r="AI1" s="1234">
        <v>31</v>
      </c>
      <c r="AJ1" s="1234">
        <v>32</v>
      </c>
      <c r="AK1" s="1234">
        <v>33</v>
      </c>
      <c r="AL1" s="1234">
        <v>34</v>
      </c>
      <c r="AM1" s="1234">
        <v>35</v>
      </c>
      <c r="AN1" s="1234">
        <v>36</v>
      </c>
      <c r="AO1" s="1234">
        <v>37</v>
      </c>
      <c r="AP1" s="1234">
        <v>38</v>
      </c>
      <c r="AQ1" s="1234">
        <v>39</v>
      </c>
      <c r="AR1" s="1234">
        <v>40</v>
      </c>
      <c r="AS1" s="1234">
        <v>41</v>
      </c>
      <c r="AT1" s="1234">
        <v>42</v>
      </c>
      <c r="AU1" s="1234">
        <v>43</v>
      </c>
      <c r="AV1" s="1234">
        <v>44</v>
      </c>
      <c r="AW1" s="1234">
        <v>45</v>
      </c>
      <c r="AX1" s="1234">
        <v>46</v>
      </c>
      <c r="AY1" s="1234">
        <v>47</v>
      </c>
      <c r="AZ1" s="1234">
        <v>48</v>
      </c>
      <c r="BA1" s="1234">
        <v>49</v>
      </c>
      <c r="BB1" s="1234">
        <v>50</v>
      </c>
      <c r="BC1" s="1234">
        <v>51</v>
      </c>
      <c r="BD1" s="1234">
        <v>52</v>
      </c>
      <c r="BE1" s="1234">
        <v>53</v>
      </c>
      <c r="BF1" s="1234">
        <v>54</v>
      </c>
      <c r="BG1" s="1234">
        <v>55</v>
      </c>
      <c r="BH1" s="1234">
        <v>56</v>
      </c>
      <c r="BI1" s="1234">
        <v>57</v>
      </c>
      <c r="BJ1" s="1234">
        <v>58</v>
      </c>
      <c r="BK1" s="1234">
        <v>59</v>
      </c>
      <c r="BL1" s="1234">
        <v>60</v>
      </c>
      <c r="BM1" s="1234">
        <v>61</v>
      </c>
      <c r="BN1" s="1234">
        <v>62</v>
      </c>
      <c r="BO1" s="1234">
        <v>63</v>
      </c>
      <c r="BP1" s="1234">
        <v>64</v>
      </c>
      <c r="BQ1" s="1234">
        <v>65</v>
      </c>
      <c r="BR1" s="1234">
        <v>66</v>
      </c>
      <c r="BS1" s="1234">
        <v>67</v>
      </c>
      <c r="BT1" s="1234">
        <v>68</v>
      </c>
      <c r="BU1" s="1234">
        <v>69</v>
      </c>
      <c r="BV1" s="1234">
        <v>70</v>
      </c>
      <c r="BW1" s="1234">
        <v>71</v>
      </c>
      <c r="BX1" s="1234">
        <v>72</v>
      </c>
      <c r="BY1" s="1234">
        <v>73</v>
      </c>
      <c r="BZ1" s="1234">
        <v>74</v>
      </c>
      <c r="CA1" s="1234">
        <v>75</v>
      </c>
      <c r="CB1" s="1234">
        <v>76</v>
      </c>
      <c r="CC1" s="1234">
        <v>77</v>
      </c>
      <c r="CD1" s="1234">
        <v>78</v>
      </c>
      <c r="CE1" s="1234">
        <v>79</v>
      </c>
      <c r="CF1" s="1234">
        <v>80</v>
      </c>
      <c r="CG1" s="1234">
        <v>81</v>
      </c>
      <c r="CH1" s="1234">
        <v>82</v>
      </c>
      <c r="CI1" s="1234">
        <v>83</v>
      </c>
      <c r="CJ1" s="1234">
        <v>84</v>
      </c>
      <c r="CK1" s="1234">
        <v>85</v>
      </c>
      <c r="CL1" s="1234">
        <v>86</v>
      </c>
      <c r="CM1" s="1234">
        <v>87</v>
      </c>
      <c r="CN1" s="1234">
        <v>88</v>
      </c>
      <c r="CO1" s="1234">
        <v>89</v>
      </c>
      <c r="CP1" s="1234">
        <v>90</v>
      </c>
      <c r="CQ1" s="1234">
        <v>91</v>
      </c>
      <c r="CR1" s="1234">
        <v>92</v>
      </c>
      <c r="CS1" s="1234">
        <v>93</v>
      </c>
      <c r="CT1" s="1234">
        <v>94</v>
      </c>
      <c r="CU1" s="1234">
        <v>95</v>
      </c>
      <c r="CV1" s="1234">
        <v>96</v>
      </c>
      <c r="CW1" s="1234">
        <v>97</v>
      </c>
      <c r="CX1" s="1234">
        <v>98</v>
      </c>
      <c r="CY1" s="1234">
        <v>99</v>
      </c>
      <c r="CZ1" s="1234">
        <v>100</v>
      </c>
      <c r="DA1" s="1605" t="s">
        <v>1743</v>
      </c>
      <c r="DB1" s="1605" t="s">
        <v>1744</v>
      </c>
      <c r="DC1" s="1605" t="s">
        <v>1745</v>
      </c>
      <c r="DD1" s="1605" t="s">
        <v>1746</v>
      </c>
      <c r="DE1" s="1605" t="s">
        <v>1747</v>
      </c>
      <c r="DF1" s="1605" t="s">
        <v>1748</v>
      </c>
      <c r="DG1" s="1605" t="s">
        <v>1749</v>
      </c>
      <c r="DH1" s="1605" t="s">
        <v>1750</v>
      </c>
      <c r="DI1" s="1605" t="s">
        <v>1751</v>
      </c>
      <c r="DJ1" s="1605" t="s">
        <v>1752</v>
      </c>
      <c r="DK1" s="1605" t="s">
        <v>1753</v>
      </c>
      <c r="DL1" s="1605" t="s">
        <v>1754</v>
      </c>
      <c r="DM1" s="1605" t="s">
        <v>1755</v>
      </c>
      <c r="DN1" s="1605" t="s">
        <v>1756</v>
      </c>
      <c r="DO1" s="1605" t="s">
        <v>1757</v>
      </c>
      <c r="DP1" s="1605" t="s">
        <v>1758</v>
      </c>
      <c r="DQ1" s="1605" t="s">
        <v>1759</v>
      </c>
      <c r="DR1" s="1605" t="s">
        <v>1760</v>
      </c>
      <c r="DS1" s="1605" t="s">
        <v>1761</v>
      </c>
      <c r="DT1" s="1605" t="s">
        <v>1762</v>
      </c>
      <c r="DU1" s="1605" t="s">
        <v>1763</v>
      </c>
      <c r="DV1" s="1605" t="s">
        <v>1764</v>
      </c>
      <c r="DW1" s="1605" t="s">
        <v>1765</v>
      </c>
      <c r="DX1" s="1605" t="s">
        <v>1766</v>
      </c>
      <c r="DY1" s="1605" t="s">
        <v>1767</v>
      </c>
      <c r="DZ1" s="1605" t="s">
        <v>1768</v>
      </c>
      <c r="EA1" s="1605" t="s">
        <v>1769</v>
      </c>
      <c r="EB1" s="1605" t="s">
        <v>1770</v>
      </c>
      <c r="EC1" s="1605" t="s">
        <v>1771</v>
      </c>
      <c r="ED1" s="1605" t="s">
        <v>1772</v>
      </c>
      <c r="EE1" s="1605" t="s">
        <v>1773</v>
      </c>
      <c r="EF1" s="1605" t="s">
        <v>1774</v>
      </c>
      <c r="EG1" s="1605" t="s">
        <v>1775</v>
      </c>
      <c r="EH1" s="1605" t="s">
        <v>1776</v>
      </c>
      <c r="EI1" s="1605" t="s">
        <v>1777</v>
      </c>
      <c r="EJ1" s="1605" t="s">
        <v>1778</v>
      </c>
      <c r="EK1" s="1605" t="s">
        <v>1779</v>
      </c>
      <c r="EL1" s="1605" t="s">
        <v>1780</v>
      </c>
      <c r="EM1" s="1605" t="s">
        <v>1781</v>
      </c>
      <c r="EN1" s="1605" t="s">
        <v>1782</v>
      </c>
      <c r="EO1" s="1605" t="s">
        <v>1783</v>
      </c>
      <c r="EP1" s="1605" t="s">
        <v>1784</v>
      </c>
      <c r="EQ1" s="1605" t="s">
        <v>1785</v>
      </c>
      <c r="ER1" s="1605" t="s">
        <v>1786</v>
      </c>
      <c r="ES1" s="1605" t="s">
        <v>1787</v>
      </c>
      <c r="ET1" s="1605" t="s">
        <v>1788</v>
      </c>
      <c r="EU1" s="1605" t="s">
        <v>1789</v>
      </c>
      <c r="EV1" s="1605" t="s">
        <v>1790</v>
      </c>
      <c r="EW1" s="1605" t="s">
        <v>1791</v>
      </c>
      <c r="EX1" s="1605" t="s">
        <v>1792</v>
      </c>
      <c r="EY1" s="1605" t="s">
        <v>1793</v>
      </c>
      <c r="EZ1" s="1605" t="s">
        <v>1794</v>
      </c>
      <c r="FA1" s="1605" t="s">
        <v>1795</v>
      </c>
      <c r="FB1" s="1605" t="s">
        <v>1796</v>
      </c>
      <c r="FC1" s="1605" t="s">
        <v>1797</v>
      </c>
      <c r="FD1" s="1605" t="s">
        <v>1798</v>
      </c>
      <c r="FE1" s="1605" t="s">
        <v>1799</v>
      </c>
      <c r="FF1" s="1605" t="s">
        <v>1800</v>
      </c>
      <c r="FG1" s="1605" t="s">
        <v>1801</v>
      </c>
      <c r="FH1" s="1605" t="s">
        <v>1802</v>
      </c>
      <c r="FI1" s="1605" t="s">
        <v>1803</v>
      </c>
      <c r="FJ1" s="1605" t="s">
        <v>1804</v>
      </c>
      <c r="FK1" s="1605" t="s">
        <v>1805</v>
      </c>
      <c r="FL1" s="1605" t="s">
        <v>1806</v>
      </c>
      <c r="FM1" s="1605" t="s">
        <v>1807</v>
      </c>
      <c r="FN1" s="1605" t="s">
        <v>1808</v>
      </c>
      <c r="FO1" s="1605" t="s">
        <v>1809</v>
      </c>
      <c r="FP1" s="1605" t="s">
        <v>1810</v>
      </c>
      <c r="FQ1" s="1605" t="s">
        <v>1811</v>
      </c>
      <c r="FR1" s="1605" t="s">
        <v>1812</v>
      </c>
      <c r="FS1" s="1605" t="s">
        <v>1813</v>
      </c>
      <c r="FT1" s="1605" t="s">
        <v>1814</v>
      </c>
      <c r="FU1" s="1605" t="s">
        <v>1815</v>
      </c>
      <c r="FV1" s="1605" t="s">
        <v>1816</v>
      </c>
      <c r="FW1" s="1605" t="s">
        <v>1817</v>
      </c>
      <c r="FX1" s="1605" t="s">
        <v>1818</v>
      </c>
      <c r="FY1" s="1605" t="s">
        <v>1819</v>
      </c>
      <c r="FZ1" s="1605" t="s">
        <v>1820</v>
      </c>
      <c r="GA1" s="1605" t="s">
        <v>1821</v>
      </c>
      <c r="GB1" s="1605" t="s">
        <v>1822</v>
      </c>
      <c r="GC1" s="1605" t="s">
        <v>1823</v>
      </c>
      <c r="GD1" s="1605" t="s">
        <v>1824</v>
      </c>
      <c r="GE1" s="1605" t="s">
        <v>1825</v>
      </c>
      <c r="GF1" s="1605" t="s">
        <v>1826</v>
      </c>
      <c r="GG1" s="1605" t="s">
        <v>1827</v>
      </c>
      <c r="GH1" s="1605" t="s">
        <v>1828</v>
      </c>
      <c r="GI1" s="1605" t="s">
        <v>1829</v>
      </c>
      <c r="GJ1" s="1605" t="s">
        <v>1830</v>
      </c>
      <c r="GK1" s="1605" t="s">
        <v>1831</v>
      </c>
      <c r="GL1" s="1605" t="s">
        <v>1832</v>
      </c>
      <c r="GM1" s="1605" t="s">
        <v>1833</v>
      </c>
      <c r="GN1" s="1605" t="s">
        <v>1834</v>
      </c>
      <c r="GO1" s="1605" t="s">
        <v>1835</v>
      </c>
      <c r="GP1" s="1605" t="s">
        <v>1836</v>
      </c>
      <c r="GQ1" s="1605" t="s">
        <v>1837</v>
      </c>
      <c r="GR1" s="1605" t="s">
        <v>1838</v>
      </c>
      <c r="GS1" s="1605" t="s">
        <v>1839</v>
      </c>
      <c r="GT1" s="1605" t="s">
        <v>1840</v>
      </c>
      <c r="GU1" s="1605" t="s">
        <v>1841</v>
      </c>
      <c r="GV1" s="1605" t="s">
        <v>1842</v>
      </c>
      <c r="GW1" s="1605" t="s">
        <v>1843</v>
      </c>
      <c r="GX1" s="1605" t="s">
        <v>1844</v>
      </c>
      <c r="GY1" s="1605" t="s">
        <v>1845</v>
      </c>
      <c r="GZ1" s="1605" t="s">
        <v>1846</v>
      </c>
      <c r="HA1" s="1605" t="s">
        <v>1847</v>
      </c>
      <c r="HB1" s="1605" t="s">
        <v>1848</v>
      </c>
      <c r="HC1" s="1605" t="s">
        <v>1849</v>
      </c>
      <c r="HD1" s="1605" t="s">
        <v>1850</v>
      </c>
      <c r="HE1" s="1605" t="s">
        <v>1851</v>
      </c>
      <c r="HF1" s="1605" t="s">
        <v>1852</v>
      </c>
      <c r="HG1" s="1605" t="s">
        <v>1853</v>
      </c>
      <c r="HH1" s="1605" t="s">
        <v>1854</v>
      </c>
      <c r="HI1" s="1605" t="s">
        <v>1855</v>
      </c>
      <c r="HJ1" s="1605" t="s">
        <v>1856</v>
      </c>
      <c r="HK1" s="1605" t="s">
        <v>1857</v>
      </c>
      <c r="HL1" s="1605" t="s">
        <v>1858</v>
      </c>
      <c r="HM1" s="1605" t="s">
        <v>1859</v>
      </c>
      <c r="HN1" s="1605" t="s">
        <v>1860</v>
      </c>
      <c r="HO1" s="1605" t="s">
        <v>1861</v>
      </c>
      <c r="HP1" s="1605" t="s">
        <v>1862</v>
      </c>
      <c r="HQ1" s="1605" t="s">
        <v>1863</v>
      </c>
      <c r="HR1" s="1605" t="s">
        <v>1864</v>
      </c>
      <c r="HS1" s="1605" t="s">
        <v>1865</v>
      </c>
      <c r="HT1" s="1605" t="s">
        <v>1866</v>
      </c>
      <c r="HU1" s="1605" t="s">
        <v>1867</v>
      </c>
      <c r="HV1" s="1605" t="s">
        <v>1868</v>
      </c>
      <c r="HW1" s="1605" t="s">
        <v>1869</v>
      </c>
      <c r="HX1" s="1605" t="s">
        <v>1870</v>
      </c>
      <c r="HY1" s="1605" t="s">
        <v>1871</v>
      </c>
      <c r="HZ1" s="1605" t="s">
        <v>1872</v>
      </c>
      <c r="IA1" s="1605" t="s">
        <v>1873</v>
      </c>
      <c r="IB1" s="1605" t="s">
        <v>1874</v>
      </c>
      <c r="IC1" s="1605" t="s">
        <v>1875</v>
      </c>
      <c r="ID1" s="1605" t="s">
        <v>1876</v>
      </c>
      <c r="IE1" s="1605" t="s">
        <v>1877</v>
      </c>
      <c r="IF1" s="1605" t="s">
        <v>1878</v>
      </c>
      <c r="IG1" s="1605" t="s">
        <v>1879</v>
      </c>
      <c r="IH1" s="1605" t="s">
        <v>1880</v>
      </c>
      <c r="II1" s="1605" t="s">
        <v>1881</v>
      </c>
      <c r="IJ1" s="1605" t="s">
        <v>1882</v>
      </c>
      <c r="IK1" s="1605" t="s">
        <v>1883</v>
      </c>
      <c r="IL1" s="1605" t="s">
        <v>1884</v>
      </c>
      <c r="IM1" s="1605" t="s">
        <v>1885</v>
      </c>
      <c r="IN1" s="1605" t="s">
        <v>1886</v>
      </c>
      <c r="IO1" s="1605" t="s">
        <v>1887</v>
      </c>
      <c r="IP1" s="1605" t="s">
        <v>1888</v>
      </c>
      <c r="IQ1" s="1605" t="s">
        <v>1889</v>
      </c>
      <c r="IR1" s="1605" t="s">
        <v>1890</v>
      </c>
      <c r="IS1" s="1605" t="s">
        <v>1891</v>
      </c>
      <c r="IT1" s="1605" t="s">
        <v>1892</v>
      </c>
      <c r="IU1" s="1605" t="s">
        <v>1893</v>
      </c>
      <c r="IV1" s="1605" t="s">
        <v>1894</v>
      </c>
      <c r="IW1" s="1605" t="s">
        <v>1895</v>
      </c>
      <c r="IX1" s="1605" t="s">
        <v>1896</v>
      </c>
      <c r="IY1" s="1605" t="s">
        <v>1897</v>
      </c>
      <c r="IZ1" s="1605" t="s">
        <v>1898</v>
      </c>
      <c r="JA1" s="1605" t="s">
        <v>1899</v>
      </c>
      <c r="JB1" s="1605" t="s">
        <v>1900</v>
      </c>
      <c r="JC1" s="1605" t="s">
        <v>1901</v>
      </c>
      <c r="JD1" s="1605" t="s">
        <v>1902</v>
      </c>
      <c r="JE1" s="1605" t="s">
        <v>1903</v>
      </c>
      <c r="JF1" s="1605" t="s">
        <v>1904</v>
      </c>
      <c r="JG1" s="1605" t="s">
        <v>1905</v>
      </c>
      <c r="JH1" s="1605" t="s">
        <v>1906</v>
      </c>
      <c r="JI1" s="1605" t="s">
        <v>1907</v>
      </c>
      <c r="JJ1" s="1605" t="s">
        <v>1908</v>
      </c>
      <c r="JK1" s="1605" t="s">
        <v>1909</v>
      </c>
      <c r="JL1" s="1605" t="s">
        <v>1910</v>
      </c>
      <c r="JM1" s="1605" t="s">
        <v>1911</v>
      </c>
      <c r="JN1" s="1605" t="s">
        <v>1912</v>
      </c>
      <c r="JO1" s="1605" t="s">
        <v>1913</v>
      </c>
      <c r="JP1" s="1605" t="s">
        <v>1914</v>
      </c>
      <c r="JQ1" s="1605" t="s">
        <v>1915</v>
      </c>
      <c r="JR1" s="1605" t="s">
        <v>1916</v>
      </c>
      <c r="JS1" s="1605" t="s">
        <v>1917</v>
      </c>
      <c r="JT1" s="1605" t="s">
        <v>1918</v>
      </c>
      <c r="JU1" s="1605" t="s">
        <v>1919</v>
      </c>
      <c r="JV1" s="1605" t="s">
        <v>1920</v>
      </c>
      <c r="JW1" s="1605" t="s">
        <v>1921</v>
      </c>
      <c r="JX1" s="1605" t="s">
        <v>1922</v>
      </c>
      <c r="JY1" s="1605" t="s">
        <v>1923</v>
      </c>
      <c r="JZ1" s="1605" t="s">
        <v>1924</v>
      </c>
      <c r="KA1" s="1605" t="s">
        <v>1925</v>
      </c>
      <c r="KB1" s="1605" t="s">
        <v>1926</v>
      </c>
      <c r="KC1" s="1605" t="s">
        <v>1927</v>
      </c>
      <c r="KD1" s="1605" t="s">
        <v>1928</v>
      </c>
      <c r="KE1" s="1605" t="s">
        <v>1929</v>
      </c>
      <c r="KF1" s="1605" t="s">
        <v>1930</v>
      </c>
      <c r="KG1" s="1605" t="s">
        <v>1931</v>
      </c>
      <c r="KH1" s="1605" t="s">
        <v>1932</v>
      </c>
      <c r="KI1" s="1605" t="s">
        <v>1933</v>
      </c>
      <c r="KJ1" s="1605" t="s">
        <v>1934</v>
      </c>
      <c r="KK1" s="1605" t="s">
        <v>1935</v>
      </c>
      <c r="KL1" s="1605" t="s">
        <v>1936</v>
      </c>
      <c r="KM1" s="1605" t="s">
        <v>1937</v>
      </c>
      <c r="KN1" s="1605" t="s">
        <v>1938</v>
      </c>
      <c r="KO1" s="1605" t="s">
        <v>1939</v>
      </c>
      <c r="KP1" s="1605" t="s">
        <v>1940</v>
      </c>
      <c r="KQ1" s="1605" t="s">
        <v>1941</v>
      </c>
      <c r="KR1" s="1605" t="s">
        <v>1942</v>
      </c>
      <c r="KS1" s="1605" t="s">
        <v>1943</v>
      </c>
      <c r="KT1" s="1605" t="s">
        <v>1944</v>
      </c>
      <c r="KU1" s="1605" t="s">
        <v>1945</v>
      </c>
      <c r="KV1" s="1605" t="s">
        <v>1946</v>
      </c>
      <c r="KW1" s="1605" t="s">
        <v>1947</v>
      </c>
      <c r="KX1" s="1605" t="s">
        <v>1948</v>
      </c>
      <c r="KY1" s="1605" t="s">
        <v>1949</v>
      </c>
      <c r="KZ1" s="1605" t="s">
        <v>1950</v>
      </c>
      <c r="LA1" s="1605" t="s">
        <v>1951</v>
      </c>
      <c r="LB1" s="1605" t="s">
        <v>1952</v>
      </c>
      <c r="LC1" s="1605" t="s">
        <v>1953</v>
      </c>
      <c r="LD1" s="1605" t="s">
        <v>1954</v>
      </c>
      <c r="LE1" s="1605" t="s">
        <v>1955</v>
      </c>
      <c r="LF1" s="1605" t="s">
        <v>1956</v>
      </c>
      <c r="LG1" s="1605" t="s">
        <v>1957</v>
      </c>
      <c r="LH1" s="1605" t="s">
        <v>1958</v>
      </c>
      <c r="LI1" s="1605" t="s">
        <v>1959</v>
      </c>
      <c r="LJ1" s="1605" t="s">
        <v>1960</v>
      </c>
      <c r="LK1" s="1605" t="s">
        <v>1961</v>
      </c>
      <c r="LL1" s="1605" t="s">
        <v>1962</v>
      </c>
      <c r="LM1" s="1605" t="s">
        <v>1963</v>
      </c>
      <c r="LN1" s="1605" t="s">
        <v>1964</v>
      </c>
      <c r="LO1" s="1605" t="s">
        <v>1965</v>
      </c>
      <c r="LP1" s="1605" t="s">
        <v>1966</v>
      </c>
      <c r="LQ1" s="1605" t="s">
        <v>1967</v>
      </c>
      <c r="LR1" s="1605" t="s">
        <v>1968</v>
      </c>
      <c r="LS1" s="1605" t="s">
        <v>1969</v>
      </c>
      <c r="LT1" s="1605" t="s">
        <v>1970</v>
      </c>
      <c r="LU1" s="1605" t="s">
        <v>1971</v>
      </c>
      <c r="LV1" s="1605" t="s">
        <v>1972</v>
      </c>
      <c r="LW1" s="1605" t="s">
        <v>1973</v>
      </c>
      <c r="LX1" s="1605" t="s">
        <v>1974</v>
      </c>
      <c r="LY1" s="1605" t="s">
        <v>1975</v>
      </c>
      <c r="LZ1" s="1605" t="s">
        <v>1976</v>
      </c>
      <c r="MA1" s="1605" t="s">
        <v>1977</v>
      </c>
      <c r="MB1" s="1605" t="s">
        <v>1978</v>
      </c>
      <c r="MC1" s="1605" t="s">
        <v>1979</v>
      </c>
      <c r="MD1" s="1605" t="s">
        <v>1980</v>
      </c>
      <c r="ME1" s="1605" t="s">
        <v>1981</v>
      </c>
      <c r="MF1" s="1605" t="s">
        <v>1982</v>
      </c>
      <c r="MG1" s="1605" t="s">
        <v>1983</v>
      </c>
      <c r="MH1" s="1605" t="s">
        <v>1984</v>
      </c>
      <c r="MI1" s="1605" t="s">
        <v>1985</v>
      </c>
      <c r="MJ1" s="1605" t="s">
        <v>1986</v>
      </c>
      <c r="MK1" s="1605" t="s">
        <v>1987</v>
      </c>
      <c r="ML1" s="1605" t="s">
        <v>1988</v>
      </c>
      <c r="MM1" s="1605" t="s">
        <v>1989</v>
      </c>
      <c r="MN1" s="1605" t="s">
        <v>1990</v>
      </c>
      <c r="MO1" s="1605" t="s">
        <v>1991</v>
      </c>
      <c r="MP1" s="1605" t="s">
        <v>1992</v>
      </c>
      <c r="MQ1" s="1605" t="s">
        <v>1993</v>
      </c>
      <c r="MR1" s="1605" t="s">
        <v>1994</v>
      </c>
      <c r="MS1" s="1605" t="s">
        <v>1995</v>
      </c>
      <c r="MT1" s="1605" t="s">
        <v>1996</v>
      </c>
      <c r="MU1" s="1605" t="s">
        <v>1997</v>
      </c>
      <c r="MV1" s="1605" t="s">
        <v>1998</v>
      </c>
      <c r="MW1" s="1605" t="s">
        <v>1999</v>
      </c>
      <c r="MX1" s="1605" t="s">
        <v>2000</v>
      </c>
      <c r="MY1" s="1605" t="s">
        <v>2001</v>
      </c>
      <c r="MZ1" s="1605" t="s">
        <v>2002</v>
      </c>
      <c r="NA1" s="1605" t="s">
        <v>2003</v>
      </c>
      <c r="NB1" s="1605" t="s">
        <v>2004</v>
      </c>
      <c r="NC1" s="1605" t="s">
        <v>2005</v>
      </c>
      <c r="ND1" s="1605" t="s">
        <v>2006</v>
      </c>
      <c r="NE1" s="1605" t="s">
        <v>2007</v>
      </c>
      <c r="NF1" s="1605" t="s">
        <v>2008</v>
      </c>
      <c r="NG1" s="1605" t="s">
        <v>2009</v>
      </c>
      <c r="NH1" s="1605" t="s">
        <v>2010</v>
      </c>
      <c r="NI1" s="1605" t="s">
        <v>2011</v>
      </c>
      <c r="NJ1" s="1605" t="s">
        <v>2012</v>
      </c>
      <c r="NK1" s="1605" t="s">
        <v>2013</v>
      </c>
      <c r="NL1" s="1605" t="s">
        <v>2014</v>
      </c>
      <c r="NM1" s="1605" t="s">
        <v>2015</v>
      </c>
      <c r="NN1" s="1605" t="s">
        <v>2016</v>
      </c>
      <c r="NO1" s="1605" t="s">
        <v>2017</v>
      </c>
      <c r="NP1" s="1605" t="s">
        <v>2018</v>
      </c>
      <c r="NQ1" s="1605" t="s">
        <v>2019</v>
      </c>
      <c r="NR1" s="1605" t="s">
        <v>2020</v>
      </c>
      <c r="NS1" s="1605" t="s">
        <v>2021</v>
      </c>
      <c r="NT1" s="1605" t="s">
        <v>2022</v>
      </c>
      <c r="NU1" s="1605" t="s">
        <v>2023</v>
      </c>
      <c r="NV1" s="1605" t="s">
        <v>2024</v>
      </c>
      <c r="NW1" s="1605" t="s">
        <v>2025</v>
      </c>
      <c r="NX1" s="1605" t="s">
        <v>2026</v>
      </c>
      <c r="NY1" s="1605" t="s">
        <v>2027</v>
      </c>
      <c r="NZ1" s="1605" t="s">
        <v>2028</v>
      </c>
      <c r="OA1" s="1605" t="s">
        <v>2029</v>
      </c>
      <c r="OB1" s="1605" t="s">
        <v>2030</v>
      </c>
      <c r="OC1" s="1605" t="s">
        <v>2031</v>
      </c>
      <c r="OD1" s="1605" t="s">
        <v>2032</v>
      </c>
      <c r="OE1" s="1605" t="s">
        <v>2033</v>
      </c>
      <c r="OF1" s="1605" t="s">
        <v>2034</v>
      </c>
      <c r="OG1" s="1605" t="s">
        <v>2035</v>
      </c>
      <c r="OH1" s="1605" t="s">
        <v>2036</v>
      </c>
      <c r="OI1" s="1605" t="s">
        <v>2037</v>
      </c>
      <c r="OJ1" s="1605" t="s">
        <v>2038</v>
      </c>
      <c r="OK1" s="1605" t="s">
        <v>2039</v>
      </c>
      <c r="OL1" s="1605" t="s">
        <v>2040</v>
      </c>
      <c r="OM1" s="1605" t="s">
        <v>2041</v>
      </c>
      <c r="ON1" s="1605" t="s">
        <v>2042</v>
      </c>
      <c r="OO1" s="1605" t="s">
        <v>2043</v>
      </c>
      <c r="OP1" s="1605" t="s">
        <v>2044</v>
      </c>
      <c r="OQ1" s="1605" t="s">
        <v>2045</v>
      </c>
    </row>
    <row r="2" spans="1:436" ht="21.5">
      <c r="A2" s="1466" t="s">
        <v>1664</v>
      </c>
      <c r="B2" s="1576" t="s">
        <v>2358</v>
      </c>
      <c r="C2" s="1576" t="s">
        <v>13</v>
      </c>
      <c r="D2" s="1576">
        <v>25</v>
      </c>
      <c r="E2" s="504">
        <v>36</v>
      </c>
      <c r="F2" s="504">
        <v>150</v>
      </c>
      <c r="G2" s="504">
        <v>389</v>
      </c>
      <c r="H2" s="504">
        <v>610</v>
      </c>
      <c r="I2" s="504">
        <v>875</v>
      </c>
      <c r="J2" s="504">
        <v>1069</v>
      </c>
      <c r="K2" s="504">
        <v>1080</v>
      </c>
      <c r="L2" s="504">
        <v>1091</v>
      </c>
      <c r="M2" s="504">
        <v>1102</v>
      </c>
      <c r="N2" s="504">
        <v>1113</v>
      </c>
      <c r="O2" s="504">
        <v>1125</v>
      </c>
      <c r="P2" s="504">
        <v>1137</v>
      </c>
      <c r="Q2" s="504">
        <v>1149</v>
      </c>
      <c r="R2" s="504">
        <v>1161</v>
      </c>
      <c r="S2" s="504">
        <v>1174</v>
      </c>
      <c r="T2" s="504">
        <v>1187</v>
      </c>
      <c r="U2" s="504">
        <v>1201</v>
      </c>
      <c r="V2" s="504">
        <v>1214</v>
      </c>
      <c r="W2" s="504">
        <v>1228</v>
      </c>
      <c r="X2" s="504">
        <v>1242</v>
      </c>
      <c r="Y2" s="504">
        <v>1257</v>
      </c>
      <c r="Z2" s="504">
        <v>1272</v>
      </c>
      <c r="AA2" s="504">
        <v>1287</v>
      </c>
      <c r="AB2" s="504">
        <v>1303</v>
      </c>
      <c r="AC2" s="504">
        <v>1318</v>
      </c>
      <c r="AD2" s="504">
        <v>1335</v>
      </c>
      <c r="AE2" s="504">
        <v>1351</v>
      </c>
      <c r="AF2" s="504">
        <v>1368</v>
      </c>
      <c r="AG2" s="504">
        <v>1385</v>
      </c>
      <c r="AH2" s="504">
        <v>1402</v>
      </c>
      <c r="AI2" s="504">
        <v>1420</v>
      </c>
      <c r="AJ2" s="504">
        <v>1438</v>
      </c>
      <c r="AK2" s="504">
        <v>1457</v>
      </c>
      <c r="AL2" s="504">
        <v>1475</v>
      </c>
      <c r="AM2" s="504">
        <v>1494</v>
      </c>
      <c r="AN2" s="504">
        <v>1514</v>
      </c>
      <c r="AO2" s="504">
        <v>1533</v>
      </c>
      <c r="AP2" s="504">
        <v>1553</v>
      </c>
      <c r="AQ2" s="504">
        <v>1573</v>
      </c>
      <c r="AR2" s="504">
        <v>1594</v>
      </c>
      <c r="AS2" s="504">
        <v>1615</v>
      </c>
      <c r="AT2" s="504">
        <v>1636</v>
      </c>
      <c r="AU2" s="504">
        <v>1657</v>
      </c>
      <c r="AV2" s="504">
        <v>1679</v>
      </c>
      <c r="AW2" s="504">
        <v>1701</v>
      </c>
      <c r="AX2" s="504">
        <v>1724</v>
      </c>
      <c r="AY2" s="504">
        <v>1747</v>
      </c>
      <c r="AZ2" s="504">
        <v>1770</v>
      </c>
      <c r="BA2" s="504">
        <v>1795</v>
      </c>
      <c r="BB2" s="504">
        <v>1821</v>
      </c>
      <c r="BC2" s="504">
        <v>1848</v>
      </c>
      <c r="BD2" s="504">
        <v>1876</v>
      </c>
      <c r="BE2" s="504">
        <v>1908</v>
      </c>
      <c r="BF2" s="504">
        <v>1942</v>
      </c>
      <c r="BG2" s="504">
        <v>2000</v>
      </c>
      <c r="BH2" s="504">
        <v>0</v>
      </c>
      <c r="BI2" s="504">
        <v>0</v>
      </c>
      <c r="BJ2" s="504">
        <v>0</v>
      </c>
      <c r="BK2" s="504">
        <v>0</v>
      </c>
      <c r="BL2" s="504">
        <v>0</v>
      </c>
      <c r="BM2" s="504">
        <v>0</v>
      </c>
      <c r="BN2" s="504">
        <v>0</v>
      </c>
      <c r="BO2" s="504">
        <v>0</v>
      </c>
      <c r="BP2" s="504">
        <v>0</v>
      </c>
      <c r="BQ2" s="504">
        <v>0</v>
      </c>
      <c r="BR2" s="504">
        <v>0</v>
      </c>
      <c r="BS2" s="504">
        <v>0</v>
      </c>
      <c r="BT2" s="504">
        <v>0</v>
      </c>
      <c r="BU2" s="504">
        <v>0</v>
      </c>
      <c r="BV2" s="504">
        <v>0</v>
      </c>
      <c r="BW2" s="504">
        <v>0</v>
      </c>
      <c r="BX2" s="504">
        <v>0</v>
      </c>
      <c r="BY2" s="504">
        <v>0</v>
      </c>
      <c r="BZ2" s="504">
        <v>0</v>
      </c>
      <c r="CA2" s="504">
        <v>0</v>
      </c>
      <c r="CB2" s="504">
        <v>0</v>
      </c>
      <c r="CC2" s="504">
        <v>0</v>
      </c>
      <c r="CD2" s="504">
        <v>0</v>
      </c>
      <c r="CE2" s="504">
        <v>0</v>
      </c>
      <c r="CF2" s="504">
        <v>0</v>
      </c>
      <c r="CG2" s="504">
        <v>0</v>
      </c>
      <c r="CH2" s="504">
        <v>0</v>
      </c>
      <c r="CI2" s="504">
        <v>0</v>
      </c>
      <c r="CJ2" s="504">
        <v>0</v>
      </c>
      <c r="CK2" s="504">
        <v>0</v>
      </c>
      <c r="CL2" s="504">
        <v>0</v>
      </c>
      <c r="CM2" s="504">
        <v>0</v>
      </c>
      <c r="CN2" s="504">
        <v>0</v>
      </c>
      <c r="CO2" s="504">
        <v>0</v>
      </c>
      <c r="CP2" s="504">
        <v>0</v>
      </c>
      <c r="CQ2" s="504">
        <v>0</v>
      </c>
      <c r="CR2" s="504">
        <v>0</v>
      </c>
      <c r="CS2" s="504">
        <v>0</v>
      </c>
      <c r="CT2" s="504">
        <v>0</v>
      </c>
      <c r="CU2" s="504">
        <v>0</v>
      </c>
      <c r="CV2" s="504">
        <v>0</v>
      </c>
      <c r="CW2" s="504">
        <v>0</v>
      </c>
      <c r="CX2" s="504">
        <v>0</v>
      </c>
      <c r="CY2" s="504">
        <v>0</v>
      </c>
      <c r="CZ2" s="1654">
        <v>0</v>
      </c>
      <c r="DA2" s="504">
        <v>0</v>
      </c>
      <c r="DB2" s="504">
        <v>133</v>
      </c>
      <c r="DC2" s="504">
        <v>542</v>
      </c>
      <c r="DD2" s="504">
        <v>1105</v>
      </c>
      <c r="DE2" s="504">
        <v>1319</v>
      </c>
      <c r="DF2" s="504">
        <v>1576</v>
      </c>
      <c r="DG2" s="504">
        <v>0</v>
      </c>
      <c r="DH2" s="504">
        <v>0</v>
      </c>
      <c r="DI2" s="504">
        <v>0</v>
      </c>
      <c r="DJ2" s="504">
        <v>0</v>
      </c>
      <c r="DK2" s="504">
        <v>0</v>
      </c>
      <c r="DL2" s="504">
        <v>0</v>
      </c>
      <c r="DM2" s="504">
        <v>0</v>
      </c>
      <c r="DN2" s="504">
        <v>0</v>
      </c>
      <c r="DO2" s="504">
        <v>0</v>
      </c>
      <c r="DP2" s="504">
        <v>0</v>
      </c>
      <c r="DQ2" s="504">
        <v>0</v>
      </c>
      <c r="DR2" s="504">
        <v>0</v>
      </c>
      <c r="DS2" s="504">
        <v>0</v>
      </c>
      <c r="DT2" s="504">
        <v>0</v>
      </c>
      <c r="DU2" s="504">
        <v>0</v>
      </c>
      <c r="DV2" s="504">
        <v>0</v>
      </c>
      <c r="DW2" s="504">
        <v>0</v>
      </c>
      <c r="DX2" s="504">
        <v>0</v>
      </c>
      <c r="DY2" s="504">
        <v>0</v>
      </c>
      <c r="DZ2" s="504">
        <v>0</v>
      </c>
      <c r="EA2" s="504">
        <v>0</v>
      </c>
      <c r="EB2" s="504">
        <v>0</v>
      </c>
      <c r="EC2" s="504">
        <v>0</v>
      </c>
      <c r="ED2" s="504">
        <v>0</v>
      </c>
      <c r="EE2" s="504">
        <v>0</v>
      </c>
      <c r="EF2" s="504">
        <v>0</v>
      </c>
      <c r="EG2" s="504">
        <v>0</v>
      </c>
      <c r="EH2" s="504">
        <v>0</v>
      </c>
      <c r="EI2" s="504">
        <v>0</v>
      </c>
      <c r="EJ2" s="504">
        <v>0</v>
      </c>
      <c r="EK2" s="504">
        <v>0</v>
      </c>
      <c r="EL2" s="504">
        <v>0</v>
      </c>
      <c r="EM2" s="504">
        <v>0</v>
      </c>
      <c r="EN2" s="504">
        <v>0</v>
      </c>
      <c r="EO2" s="504">
        <v>0</v>
      </c>
      <c r="EP2" s="504">
        <v>0</v>
      </c>
      <c r="EQ2" s="504">
        <v>0</v>
      </c>
      <c r="ER2" s="504">
        <v>0</v>
      </c>
      <c r="ES2" s="504">
        <v>0</v>
      </c>
      <c r="ET2" s="504">
        <v>0</v>
      </c>
      <c r="EU2" s="504">
        <v>0</v>
      </c>
      <c r="EV2" s="504">
        <v>0</v>
      </c>
      <c r="EW2" s="504">
        <v>0</v>
      </c>
      <c r="EX2" s="504">
        <v>0</v>
      </c>
      <c r="EY2" s="504">
        <v>0</v>
      </c>
      <c r="EZ2" s="504">
        <v>0</v>
      </c>
      <c r="FA2" s="504">
        <v>0</v>
      </c>
      <c r="FB2" s="504">
        <v>0</v>
      </c>
      <c r="FC2" s="504">
        <v>0</v>
      </c>
      <c r="FD2" s="504">
        <v>0</v>
      </c>
      <c r="FE2" s="504">
        <v>0</v>
      </c>
      <c r="FF2" s="504">
        <v>0</v>
      </c>
      <c r="FG2" s="504">
        <v>0</v>
      </c>
      <c r="FH2" s="504">
        <v>0</v>
      </c>
      <c r="FI2" s="504">
        <v>0</v>
      </c>
      <c r="FJ2" s="504">
        <v>0</v>
      </c>
      <c r="FK2" s="504">
        <v>0</v>
      </c>
      <c r="FL2" s="504">
        <v>0</v>
      </c>
      <c r="FM2" s="504">
        <v>0</v>
      </c>
      <c r="FN2" s="504">
        <v>0</v>
      </c>
      <c r="FO2" s="504">
        <v>0</v>
      </c>
      <c r="FP2" s="504">
        <v>0</v>
      </c>
      <c r="FQ2" s="504">
        <v>0</v>
      </c>
      <c r="FR2" s="504">
        <v>0</v>
      </c>
      <c r="FS2" s="504">
        <v>0</v>
      </c>
      <c r="FT2" s="504">
        <v>0</v>
      </c>
      <c r="FU2" s="504">
        <v>0</v>
      </c>
      <c r="FV2" s="504">
        <v>0</v>
      </c>
      <c r="FW2" s="504">
        <v>0</v>
      </c>
      <c r="FX2" s="504">
        <v>0</v>
      </c>
      <c r="FY2" s="504">
        <v>0</v>
      </c>
      <c r="FZ2" s="504">
        <v>0</v>
      </c>
      <c r="GA2" s="504">
        <v>0</v>
      </c>
      <c r="GB2" s="504">
        <v>0</v>
      </c>
      <c r="GC2" s="504">
        <v>0</v>
      </c>
      <c r="GD2" s="504">
        <v>0</v>
      </c>
      <c r="GE2" s="504">
        <v>0</v>
      </c>
      <c r="GF2" s="504">
        <v>0</v>
      </c>
      <c r="GG2" s="504">
        <v>0</v>
      </c>
      <c r="GH2" s="504">
        <v>0</v>
      </c>
      <c r="GI2" s="504">
        <v>0</v>
      </c>
      <c r="GJ2" s="504">
        <v>0</v>
      </c>
      <c r="GK2" s="504">
        <v>0</v>
      </c>
      <c r="GL2" s="504">
        <v>0</v>
      </c>
      <c r="GM2" s="504">
        <v>0</v>
      </c>
      <c r="GN2" s="504">
        <v>0</v>
      </c>
      <c r="GO2" s="504">
        <v>0</v>
      </c>
      <c r="GP2" s="504">
        <v>0</v>
      </c>
      <c r="GQ2" s="504">
        <v>0</v>
      </c>
      <c r="GR2" s="504">
        <v>0</v>
      </c>
      <c r="GS2" s="504">
        <v>0</v>
      </c>
      <c r="GT2" s="504">
        <v>0</v>
      </c>
      <c r="GU2" s="504">
        <v>0</v>
      </c>
      <c r="GV2" s="504">
        <v>0</v>
      </c>
      <c r="GW2" s="1654">
        <v>0</v>
      </c>
      <c r="GX2" s="504">
        <v>0</v>
      </c>
      <c r="GY2" s="504">
        <v>17260</v>
      </c>
      <c r="GZ2" s="504">
        <v>43066</v>
      </c>
      <c r="HA2" s="504">
        <v>52000</v>
      </c>
      <c r="HB2" s="504">
        <v>51000</v>
      </c>
      <c r="HC2" s="504">
        <v>50000</v>
      </c>
      <c r="HD2" s="504">
        <v>0</v>
      </c>
      <c r="HE2" s="504">
        <v>0</v>
      </c>
      <c r="HF2" s="504">
        <v>0</v>
      </c>
      <c r="HG2" s="504">
        <v>0</v>
      </c>
      <c r="HH2" s="504">
        <v>0</v>
      </c>
      <c r="HI2" s="504">
        <v>0</v>
      </c>
      <c r="HJ2" s="504">
        <v>0</v>
      </c>
      <c r="HK2" s="504">
        <v>0</v>
      </c>
      <c r="HL2" s="504">
        <v>0</v>
      </c>
      <c r="HM2" s="504">
        <v>0</v>
      </c>
      <c r="HN2" s="504">
        <v>0</v>
      </c>
      <c r="HO2" s="504">
        <v>0</v>
      </c>
      <c r="HP2" s="504">
        <v>0</v>
      </c>
      <c r="HQ2" s="504">
        <v>0</v>
      </c>
      <c r="HR2" s="504">
        <v>0</v>
      </c>
      <c r="HS2" s="504">
        <v>0</v>
      </c>
      <c r="HT2" s="504">
        <v>0</v>
      </c>
      <c r="HU2" s="504">
        <v>0</v>
      </c>
      <c r="HV2" s="504">
        <v>0</v>
      </c>
      <c r="HW2" s="504">
        <v>0</v>
      </c>
      <c r="HX2" s="504">
        <v>0</v>
      </c>
      <c r="HY2" s="504">
        <v>0</v>
      </c>
      <c r="HZ2" s="504">
        <v>0</v>
      </c>
      <c r="IA2" s="504">
        <v>0</v>
      </c>
      <c r="IB2" s="504">
        <v>0</v>
      </c>
      <c r="IC2" s="504">
        <v>0</v>
      </c>
      <c r="ID2" s="504">
        <v>0</v>
      </c>
      <c r="IE2" s="504">
        <v>0</v>
      </c>
      <c r="IF2" s="504">
        <v>0</v>
      </c>
      <c r="IG2" s="504">
        <v>0</v>
      </c>
      <c r="IH2" s="504">
        <v>0</v>
      </c>
      <c r="II2" s="504">
        <v>0</v>
      </c>
      <c r="IJ2" s="504">
        <v>0</v>
      </c>
      <c r="IK2" s="504">
        <v>0</v>
      </c>
      <c r="IL2" s="504">
        <v>0</v>
      </c>
      <c r="IM2" s="504">
        <v>0</v>
      </c>
      <c r="IN2" s="504">
        <v>0</v>
      </c>
      <c r="IO2" s="504">
        <v>0</v>
      </c>
      <c r="IP2" s="504">
        <v>0</v>
      </c>
      <c r="IQ2" s="504">
        <v>0</v>
      </c>
      <c r="IR2" s="504">
        <v>0</v>
      </c>
      <c r="IS2" s="504">
        <v>0</v>
      </c>
      <c r="IT2" s="504">
        <v>0</v>
      </c>
      <c r="IU2" s="504">
        <v>0</v>
      </c>
      <c r="IV2" s="504">
        <v>0</v>
      </c>
      <c r="IW2" s="504">
        <v>0</v>
      </c>
      <c r="IX2" s="504">
        <v>0</v>
      </c>
      <c r="IY2" s="504">
        <v>0</v>
      </c>
      <c r="IZ2" s="504">
        <v>0</v>
      </c>
      <c r="JA2" s="504">
        <v>0</v>
      </c>
      <c r="JB2" s="504">
        <v>0</v>
      </c>
      <c r="JC2" s="504">
        <v>0</v>
      </c>
      <c r="JD2" s="504">
        <v>0</v>
      </c>
      <c r="JE2" s="504">
        <v>0</v>
      </c>
      <c r="JF2" s="504">
        <v>0</v>
      </c>
      <c r="JG2" s="504">
        <v>0</v>
      </c>
      <c r="JH2" s="504">
        <v>0</v>
      </c>
      <c r="JI2" s="504">
        <v>0</v>
      </c>
      <c r="JJ2" s="504">
        <v>0</v>
      </c>
      <c r="JK2" s="504">
        <v>0</v>
      </c>
      <c r="JL2" s="504">
        <v>0</v>
      </c>
      <c r="JM2" s="504">
        <v>0</v>
      </c>
      <c r="JN2" s="504">
        <v>0</v>
      </c>
      <c r="JO2" s="504">
        <v>0</v>
      </c>
      <c r="JP2" s="504">
        <v>0</v>
      </c>
      <c r="JQ2" s="504">
        <v>0</v>
      </c>
      <c r="JR2" s="504">
        <v>0</v>
      </c>
      <c r="JS2" s="504">
        <v>0</v>
      </c>
      <c r="JT2" s="504">
        <v>0</v>
      </c>
      <c r="JU2" s="504">
        <v>0</v>
      </c>
      <c r="JV2" s="504">
        <v>0</v>
      </c>
      <c r="JW2" s="504">
        <v>0</v>
      </c>
      <c r="JX2" s="504">
        <v>0</v>
      </c>
      <c r="JY2" s="504">
        <v>0</v>
      </c>
      <c r="JZ2" s="504">
        <v>0</v>
      </c>
      <c r="KA2" s="504">
        <v>0</v>
      </c>
      <c r="KB2" s="504">
        <v>0</v>
      </c>
      <c r="KC2" s="504">
        <v>0</v>
      </c>
      <c r="KD2" s="504">
        <v>0</v>
      </c>
      <c r="KE2" s="504">
        <v>0</v>
      </c>
      <c r="KF2" s="504">
        <v>0</v>
      </c>
      <c r="KG2" s="504">
        <v>0</v>
      </c>
      <c r="KH2" s="504">
        <v>0</v>
      </c>
      <c r="KI2" s="504">
        <v>0</v>
      </c>
      <c r="KJ2" s="504">
        <v>0</v>
      </c>
      <c r="KK2" s="504">
        <v>0</v>
      </c>
      <c r="KL2" s="504">
        <v>0</v>
      </c>
      <c r="KM2" s="504">
        <v>0</v>
      </c>
      <c r="KN2" s="504">
        <v>0</v>
      </c>
      <c r="KO2" s="504">
        <v>0</v>
      </c>
      <c r="KP2" s="504">
        <v>0</v>
      </c>
      <c r="KQ2" s="504">
        <v>0</v>
      </c>
      <c r="KR2" s="504">
        <v>0</v>
      </c>
      <c r="KS2" s="504">
        <v>0</v>
      </c>
      <c r="KT2" s="1654">
        <v>0</v>
      </c>
      <c r="KU2" s="504">
        <v>0</v>
      </c>
      <c r="KV2" s="504">
        <v>0</v>
      </c>
      <c r="KW2" s="504">
        <v>0</v>
      </c>
      <c r="KX2" s="504">
        <v>1088</v>
      </c>
      <c r="KY2" s="504">
        <v>1301</v>
      </c>
      <c r="KZ2" s="504">
        <v>1559</v>
      </c>
      <c r="LA2" s="504">
        <v>0</v>
      </c>
      <c r="LB2" s="504">
        <v>0</v>
      </c>
      <c r="LC2" s="504">
        <v>0</v>
      </c>
      <c r="LD2" s="504">
        <v>0</v>
      </c>
      <c r="LE2" s="504">
        <v>0</v>
      </c>
      <c r="LF2" s="504">
        <v>0</v>
      </c>
      <c r="LG2" s="504">
        <v>0</v>
      </c>
      <c r="LH2" s="504">
        <v>0</v>
      </c>
      <c r="LI2" s="504">
        <v>0</v>
      </c>
      <c r="LJ2" s="504">
        <v>0</v>
      </c>
      <c r="LK2" s="504">
        <v>0</v>
      </c>
      <c r="LL2" s="504">
        <v>0</v>
      </c>
      <c r="LM2" s="504">
        <v>0</v>
      </c>
      <c r="LN2" s="504">
        <v>0</v>
      </c>
      <c r="LO2" s="504">
        <v>0</v>
      </c>
      <c r="LP2" s="504">
        <v>0</v>
      </c>
      <c r="LQ2" s="504">
        <v>0</v>
      </c>
      <c r="LR2" s="504">
        <v>0</v>
      </c>
      <c r="LS2" s="504">
        <v>0</v>
      </c>
      <c r="LT2" s="504">
        <v>0</v>
      </c>
      <c r="LU2" s="504">
        <v>0</v>
      </c>
      <c r="LV2" s="504">
        <v>0</v>
      </c>
      <c r="LW2" s="504">
        <v>0</v>
      </c>
      <c r="LX2" s="504">
        <v>0</v>
      </c>
      <c r="LY2" s="504">
        <v>0</v>
      </c>
      <c r="LZ2" s="504">
        <v>0</v>
      </c>
      <c r="MA2" s="504">
        <v>0</v>
      </c>
      <c r="MB2" s="504">
        <v>0</v>
      </c>
      <c r="MC2" s="504">
        <v>0</v>
      </c>
      <c r="MD2" s="504">
        <v>0</v>
      </c>
      <c r="ME2" s="504">
        <v>0</v>
      </c>
      <c r="MF2" s="504">
        <v>0</v>
      </c>
      <c r="MG2" s="504">
        <v>0</v>
      </c>
      <c r="MH2" s="504">
        <v>0</v>
      </c>
      <c r="MI2" s="504">
        <v>0</v>
      </c>
      <c r="MJ2" s="504">
        <v>0</v>
      </c>
      <c r="MK2" s="504">
        <v>0</v>
      </c>
      <c r="ML2" s="504">
        <v>0</v>
      </c>
      <c r="MM2" s="504">
        <v>0</v>
      </c>
      <c r="MN2" s="504">
        <v>0</v>
      </c>
      <c r="MO2" s="504">
        <v>0</v>
      </c>
      <c r="MP2" s="504">
        <v>0</v>
      </c>
      <c r="MQ2" s="504">
        <v>0</v>
      </c>
      <c r="MR2" s="504">
        <v>0</v>
      </c>
      <c r="MS2" s="504">
        <v>0</v>
      </c>
      <c r="MT2" s="504">
        <v>0</v>
      </c>
      <c r="MU2" s="504">
        <v>0</v>
      </c>
      <c r="MV2" s="504">
        <v>0</v>
      </c>
      <c r="MW2" s="504">
        <v>0</v>
      </c>
      <c r="MX2" s="504">
        <v>0</v>
      </c>
      <c r="MY2" s="504">
        <v>0</v>
      </c>
      <c r="MZ2" s="504">
        <v>0</v>
      </c>
      <c r="NA2" s="504">
        <v>0</v>
      </c>
      <c r="NB2" s="504">
        <v>0</v>
      </c>
      <c r="NC2" s="504">
        <v>0</v>
      </c>
      <c r="ND2" s="504">
        <v>0</v>
      </c>
      <c r="NE2" s="504">
        <v>0</v>
      </c>
      <c r="NF2" s="504">
        <v>0</v>
      </c>
      <c r="NG2" s="504">
        <v>0</v>
      </c>
      <c r="NH2" s="504">
        <v>0</v>
      </c>
      <c r="NI2" s="504">
        <v>0</v>
      </c>
      <c r="NJ2" s="504">
        <v>0</v>
      </c>
      <c r="NK2" s="504">
        <v>0</v>
      </c>
      <c r="NL2" s="504">
        <v>0</v>
      </c>
      <c r="NM2" s="504">
        <v>0</v>
      </c>
      <c r="NN2" s="504">
        <v>0</v>
      </c>
      <c r="NO2" s="504">
        <v>0</v>
      </c>
      <c r="NP2" s="504">
        <v>0</v>
      </c>
      <c r="NQ2" s="504">
        <v>0</v>
      </c>
      <c r="NR2" s="504">
        <v>0</v>
      </c>
      <c r="NS2" s="504">
        <v>0</v>
      </c>
      <c r="NT2" s="504">
        <v>0</v>
      </c>
      <c r="NU2" s="504">
        <v>0</v>
      </c>
      <c r="NV2" s="504">
        <v>0</v>
      </c>
      <c r="NW2" s="504">
        <v>0</v>
      </c>
      <c r="NX2" s="504">
        <v>0</v>
      </c>
      <c r="NY2" s="504">
        <v>0</v>
      </c>
      <c r="NZ2" s="504">
        <v>0</v>
      </c>
      <c r="OA2" s="504">
        <v>0</v>
      </c>
      <c r="OB2" s="504">
        <v>0</v>
      </c>
      <c r="OC2" s="504">
        <v>0</v>
      </c>
      <c r="OD2" s="504">
        <v>0</v>
      </c>
      <c r="OE2" s="504">
        <v>0</v>
      </c>
      <c r="OF2" s="504">
        <v>0</v>
      </c>
      <c r="OG2" s="504">
        <v>0</v>
      </c>
      <c r="OH2" s="504">
        <v>0</v>
      </c>
      <c r="OI2" s="504">
        <v>0</v>
      </c>
      <c r="OJ2" s="504">
        <v>0</v>
      </c>
      <c r="OK2" s="504">
        <v>0</v>
      </c>
      <c r="OL2" s="504">
        <v>0</v>
      </c>
      <c r="OM2" s="504">
        <v>0</v>
      </c>
      <c r="ON2" s="504">
        <v>0</v>
      </c>
      <c r="OO2" s="504">
        <v>0</v>
      </c>
      <c r="OP2" s="504">
        <v>0</v>
      </c>
      <c r="OQ2" s="504">
        <v>0</v>
      </c>
      <c r="OR2"/>
      <c r="OS2"/>
      <c r="OT2"/>
      <c r="OU2"/>
      <c r="OV2"/>
      <c r="OW2"/>
      <c r="OX2"/>
      <c r="OY2"/>
      <c r="OZ2"/>
      <c r="PA2"/>
      <c r="PB2"/>
      <c r="PC2"/>
      <c r="PD2"/>
      <c r="PE2"/>
      <c r="PF2"/>
      <c r="PG2"/>
      <c r="PH2"/>
      <c r="PI2"/>
      <c r="PJ2"/>
      <c r="PK2"/>
      <c r="PL2"/>
      <c r="PM2"/>
      <c r="PN2"/>
      <c r="PO2"/>
      <c r="PP2"/>
      <c r="PQ2"/>
      <c r="PR2"/>
      <c r="PS2"/>
      <c r="PT2" s="1656"/>
    </row>
    <row r="3" spans="1:436" ht="21.5">
      <c r="A3" s="1466" t="s">
        <v>1665</v>
      </c>
      <c r="B3" s="1576" t="s">
        <v>2358</v>
      </c>
      <c r="C3" s="1576" t="s">
        <v>13</v>
      </c>
      <c r="D3" s="1576">
        <v>26</v>
      </c>
      <c r="E3" s="504">
        <v>36</v>
      </c>
      <c r="F3" s="504">
        <v>152</v>
      </c>
      <c r="G3" s="504">
        <v>393</v>
      </c>
      <c r="H3" s="504">
        <v>616</v>
      </c>
      <c r="I3" s="504">
        <v>884</v>
      </c>
      <c r="J3" s="504">
        <v>1080</v>
      </c>
      <c r="K3" s="504">
        <v>1091</v>
      </c>
      <c r="L3" s="504">
        <v>1102</v>
      </c>
      <c r="M3" s="504">
        <v>1113</v>
      </c>
      <c r="N3" s="504">
        <v>1125</v>
      </c>
      <c r="O3" s="504">
        <v>1137</v>
      </c>
      <c r="P3" s="504">
        <v>1149</v>
      </c>
      <c r="Q3" s="504">
        <v>1161</v>
      </c>
      <c r="R3" s="504">
        <v>1174</v>
      </c>
      <c r="S3" s="504">
        <v>1187</v>
      </c>
      <c r="T3" s="504">
        <v>1201</v>
      </c>
      <c r="U3" s="504">
        <v>1214</v>
      </c>
      <c r="V3" s="504">
        <v>1228</v>
      </c>
      <c r="W3" s="504">
        <v>1242</v>
      </c>
      <c r="X3" s="504">
        <v>1257</v>
      </c>
      <c r="Y3" s="504">
        <v>1272</v>
      </c>
      <c r="Z3" s="504">
        <v>1287</v>
      </c>
      <c r="AA3" s="504">
        <v>1303</v>
      </c>
      <c r="AB3" s="504">
        <v>1318</v>
      </c>
      <c r="AC3" s="504">
        <v>1335</v>
      </c>
      <c r="AD3" s="504">
        <v>1351</v>
      </c>
      <c r="AE3" s="504">
        <v>1368</v>
      </c>
      <c r="AF3" s="504">
        <v>1385</v>
      </c>
      <c r="AG3" s="504">
        <v>1402</v>
      </c>
      <c r="AH3" s="504">
        <v>1420</v>
      </c>
      <c r="AI3" s="504">
        <v>1438</v>
      </c>
      <c r="AJ3" s="504">
        <v>1457</v>
      </c>
      <c r="AK3" s="504">
        <v>1475</v>
      </c>
      <c r="AL3" s="504">
        <v>1494</v>
      </c>
      <c r="AM3" s="504">
        <v>1514</v>
      </c>
      <c r="AN3" s="504">
        <v>1533</v>
      </c>
      <c r="AO3" s="504">
        <v>1553</v>
      </c>
      <c r="AP3" s="504">
        <v>1573</v>
      </c>
      <c r="AQ3" s="504">
        <v>1594</v>
      </c>
      <c r="AR3" s="504">
        <v>1615</v>
      </c>
      <c r="AS3" s="504">
        <v>1636</v>
      </c>
      <c r="AT3" s="504">
        <v>1657</v>
      </c>
      <c r="AU3" s="504">
        <v>1679</v>
      </c>
      <c r="AV3" s="504">
        <v>1701</v>
      </c>
      <c r="AW3" s="504">
        <v>1724</v>
      </c>
      <c r="AX3" s="504">
        <v>1747</v>
      </c>
      <c r="AY3" s="504">
        <v>1770</v>
      </c>
      <c r="AZ3" s="504">
        <v>1795</v>
      </c>
      <c r="BA3" s="504">
        <v>1821</v>
      </c>
      <c r="BB3" s="504">
        <v>1848</v>
      </c>
      <c r="BC3" s="504">
        <v>1876</v>
      </c>
      <c r="BD3" s="504">
        <v>1908</v>
      </c>
      <c r="BE3" s="504">
        <v>1942</v>
      </c>
      <c r="BF3" s="504">
        <v>2000</v>
      </c>
      <c r="BG3" s="504">
        <v>0</v>
      </c>
      <c r="BH3" s="504">
        <v>0</v>
      </c>
      <c r="BI3" s="504">
        <v>0</v>
      </c>
      <c r="BJ3" s="504">
        <v>0</v>
      </c>
      <c r="BK3" s="504">
        <v>0</v>
      </c>
      <c r="BL3" s="504">
        <v>0</v>
      </c>
      <c r="BM3" s="504">
        <v>0</v>
      </c>
      <c r="BN3" s="504">
        <v>0</v>
      </c>
      <c r="BO3" s="504">
        <v>0</v>
      </c>
      <c r="BP3" s="504">
        <v>0</v>
      </c>
      <c r="BQ3" s="504">
        <v>0</v>
      </c>
      <c r="BR3" s="504">
        <v>0</v>
      </c>
      <c r="BS3" s="504">
        <v>0</v>
      </c>
      <c r="BT3" s="504">
        <v>0</v>
      </c>
      <c r="BU3" s="504">
        <v>0</v>
      </c>
      <c r="BV3" s="504">
        <v>0</v>
      </c>
      <c r="BW3" s="504">
        <v>0</v>
      </c>
      <c r="BX3" s="504">
        <v>0</v>
      </c>
      <c r="BY3" s="504">
        <v>0</v>
      </c>
      <c r="BZ3" s="504">
        <v>0</v>
      </c>
      <c r="CA3" s="504">
        <v>0</v>
      </c>
      <c r="CB3" s="504">
        <v>0</v>
      </c>
      <c r="CC3" s="504">
        <v>0</v>
      </c>
      <c r="CD3" s="504">
        <v>0</v>
      </c>
      <c r="CE3" s="504">
        <v>0</v>
      </c>
      <c r="CF3" s="504">
        <v>0</v>
      </c>
      <c r="CG3" s="504">
        <v>0</v>
      </c>
      <c r="CH3" s="504">
        <v>0</v>
      </c>
      <c r="CI3" s="504">
        <v>0</v>
      </c>
      <c r="CJ3" s="504">
        <v>0</v>
      </c>
      <c r="CK3" s="504">
        <v>0</v>
      </c>
      <c r="CL3" s="504">
        <v>0</v>
      </c>
      <c r="CM3" s="504">
        <v>0</v>
      </c>
      <c r="CN3" s="504">
        <v>0</v>
      </c>
      <c r="CO3" s="504">
        <v>0</v>
      </c>
      <c r="CP3" s="504">
        <v>0</v>
      </c>
      <c r="CQ3" s="504">
        <v>0</v>
      </c>
      <c r="CR3" s="504">
        <v>0</v>
      </c>
      <c r="CS3" s="504">
        <v>0</v>
      </c>
      <c r="CT3" s="504">
        <v>0</v>
      </c>
      <c r="CU3" s="504">
        <v>0</v>
      </c>
      <c r="CV3" s="504">
        <v>0</v>
      </c>
      <c r="CW3" s="504">
        <v>0</v>
      </c>
      <c r="CX3" s="504">
        <v>0</v>
      </c>
      <c r="CY3" s="504">
        <v>0</v>
      </c>
      <c r="CZ3" s="1654">
        <v>0</v>
      </c>
      <c r="DA3" s="504">
        <v>0</v>
      </c>
      <c r="DB3" s="504">
        <v>130</v>
      </c>
      <c r="DC3" s="504">
        <v>535</v>
      </c>
      <c r="DD3" s="504">
        <v>1102</v>
      </c>
      <c r="DE3" s="504">
        <v>1317</v>
      </c>
      <c r="DF3" s="504">
        <v>1577</v>
      </c>
      <c r="DG3" s="504">
        <v>0</v>
      </c>
      <c r="DH3" s="504">
        <v>0</v>
      </c>
      <c r="DI3" s="504">
        <v>0</v>
      </c>
      <c r="DJ3" s="504">
        <v>0</v>
      </c>
      <c r="DK3" s="504">
        <v>0</v>
      </c>
      <c r="DL3" s="504">
        <v>0</v>
      </c>
      <c r="DM3" s="504">
        <v>0</v>
      </c>
      <c r="DN3" s="504">
        <v>0</v>
      </c>
      <c r="DO3" s="504">
        <v>0</v>
      </c>
      <c r="DP3" s="504">
        <v>0</v>
      </c>
      <c r="DQ3" s="504">
        <v>0</v>
      </c>
      <c r="DR3" s="504">
        <v>0</v>
      </c>
      <c r="DS3" s="504">
        <v>0</v>
      </c>
      <c r="DT3" s="504">
        <v>0</v>
      </c>
      <c r="DU3" s="504">
        <v>0</v>
      </c>
      <c r="DV3" s="504">
        <v>0</v>
      </c>
      <c r="DW3" s="504">
        <v>0</v>
      </c>
      <c r="DX3" s="504">
        <v>0</v>
      </c>
      <c r="DY3" s="504">
        <v>0</v>
      </c>
      <c r="DZ3" s="504">
        <v>0</v>
      </c>
      <c r="EA3" s="504">
        <v>0</v>
      </c>
      <c r="EB3" s="504">
        <v>0</v>
      </c>
      <c r="EC3" s="504">
        <v>0</v>
      </c>
      <c r="ED3" s="504">
        <v>0</v>
      </c>
      <c r="EE3" s="504">
        <v>0</v>
      </c>
      <c r="EF3" s="504">
        <v>0</v>
      </c>
      <c r="EG3" s="504">
        <v>0</v>
      </c>
      <c r="EH3" s="504">
        <v>0</v>
      </c>
      <c r="EI3" s="504">
        <v>0</v>
      </c>
      <c r="EJ3" s="504">
        <v>0</v>
      </c>
      <c r="EK3" s="504">
        <v>0</v>
      </c>
      <c r="EL3" s="504">
        <v>0</v>
      </c>
      <c r="EM3" s="504">
        <v>0</v>
      </c>
      <c r="EN3" s="504">
        <v>0</v>
      </c>
      <c r="EO3" s="504">
        <v>0</v>
      </c>
      <c r="EP3" s="504">
        <v>0</v>
      </c>
      <c r="EQ3" s="504">
        <v>0</v>
      </c>
      <c r="ER3" s="504">
        <v>0</v>
      </c>
      <c r="ES3" s="504">
        <v>0</v>
      </c>
      <c r="ET3" s="504">
        <v>0</v>
      </c>
      <c r="EU3" s="504">
        <v>0</v>
      </c>
      <c r="EV3" s="504">
        <v>0</v>
      </c>
      <c r="EW3" s="504">
        <v>0</v>
      </c>
      <c r="EX3" s="504">
        <v>0</v>
      </c>
      <c r="EY3" s="504">
        <v>0</v>
      </c>
      <c r="EZ3" s="504">
        <v>0</v>
      </c>
      <c r="FA3" s="504">
        <v>0</v>
      </c>
      <c r="FB3" s="504">
        <v>0</v>
      </c>
      <c r="FC3" s="504">
        <v>0</v>
      </c>
      <c r="FD3" s="504">
        <v>0</v>
      </c>
      <c r="FE3" s="504">
        <v>0</v>
      </c>
      <c r="FF3" s="504">
        <v>0</v>
      </c>
      <c r="FG3" s="504">
        <v>0</v>
      </c>
      <c r="FH3" s="504">
        <v>0</v>
      </c>
      <c r="FI3" s="504">
        <v>0</v>
      </c>
      <c r="FJ3" s="504">
        <v>0</v>
      </c>
      <c r="FK3" s="504">
        <v>0</v>
      </c>
      <c r="FL3" s="504">
        <v>0</v>
      </c>
      <c r="FM3" s="504">
        <v>0</v>
      </c>
      <c r="FN3" s="504">
        <v>0</v>
      </c>
      <c r="FO3" s="504">
        <v>0</v>
      </c>
      <c r="FP3" s="504">
        <v>0</v>
      </c>
      <c r="FQ3" s="504">
        <v>0</v>
      </c>
      <c r="FR3" s="504">
        <v>0</v>
      </c>
      <c r="FS3" s="504">
        <v>0</v>
      </c>
      <c r="FT3" s="504">
        <v>0</v>
      </c>
      <c r="FU3" s="504">
        <v>0</v>
      </c>
      <c r="FV3" s="504">
        <v>0</v>
      </c>
      <c r="FW3" s="504">
        <v>0</v>
      </c>
      <c r="FX3" s="504">
        <v>0</v>
      </c>
      <c r="FY3" s="504">
        <v>0</v>
      </c>
      <c r="FZ3" s="504">
        <v>0</v>
      </c>
      <c r="GA3" s="504">
        <v>0</v>
      </c>
      <c r="GB3" s="504">
        <v>0</v>
      </c>
      <c r="GC3" s="504">
        <v>0</v>
      </c>
      <c r="GD3" s="504">
        <v>0</v>
      </c>
      <c r="GE3" s="504">
        <v>0</v>
      </c>
      <c r="GF3" s="504">
        <v>0</v>
      </c>
      <c r="GG3" s="504">
        <v>0</v>
      </c>
      <c r="GH3" s="504">
        <v>0</v>
      </c>
      <c r="GI3" s="504">
        <v>0</v>
      </c>
      <c r="GJ3" s="504">
        <v>0</v>
      </c>
      <c r="GK3" s="504">
        <v>0</v>
      </c>
      <c r="GL3" s="504">
        <v>0</v>
      </c>
      <c r="GM3" s="504">
        <v>0</v>
      </c>
      <c r="GN3" s="504">
        <v>0</v>
      </c>
      <c r="GO3" s="504">
        <v>0</v>
      </c>
      <c r="GP3" s="504">
        <v>0</v>
      </c>
      <c r="GQ3" s="504">
        <v>0</v>
      </c>
      <c r="GR3" s="504">
        <v>0</v>
      </c>
      <c r="GS3" s="504">
        <v>0</v>
      </c>
      <c r="GT3" s="504">
        <v>0</v>
      </c>
      <c r="GU3" s="504">
        <v>0</v>
      </c>
      <c r="GV3" s="504">
        <v>0</v>
      </c>
      <c r="GW3" s="1654">
        <v>0</v>
      </c>
      <c r="GX3" s="504">
        <v>0</v>
      </c>
      <c r="GY3" s="504">
        <v>17029</v>
      </c>
      <c r="GZ3" s="504">
        <v>42032</v>
      </c>
      <c r="HA3" s="504">
        <v>51000</v>
      </c>
      <c r="HB3" s="504">
        <v>50000</v>
      </c>
      <c r="HC3" s="504">
        <v>49000</v>
      </c>
      <c r="HD3" s="504">
        <v>0</v>
      </c>
      <c r="HE3" s="504">
        <v>0</v>
      </c>
      <c r="HF3" s="504">
        <v>0</v>
      </c>
      <c r="HG3" s="504">
        <v>0</v>
      </c>
      <c r="HH3" s="504">
        <v>0</v>
      </c>
      <c r="HI3" s="504">
        <v>0</v>
      </c>
      <c r="HJ3" s="504">
        <v>0</v>
      </c>
      <c r="HK3" s="504">
        <v>0</v>
      </c>
      <c r="HL3" s="504">
        <v>0</v>
      </c>
      <c r="HM3" s="504">
        <v>0</v>
      </c>
      <c r="HN3" s="504">
        <v>0</v>
      </c>
      <c r="HO3" s="504">
        <v>0</v>
      </c>
      <c r="HP3" s="504">
        <v>0</v>
      </c>
      <c r="HQ3" s="504">
        <v>0</v>
      </c>
      <c r="HR3" s="504">
        <v>0</v>
      </c>
      <c r="HS3" s="504">
        <v>0</v>
      </c>
      <c r="HT3" s="504">
        <v>0</v>
      </c>
      <c r="HU3" s="504">
        <v>0</v>
      </c>
      <c r="HV3" s="504">
        <v>0</v>
      </c>
      <c r="HW3" s="504">
        <v>0</v>
      </c>
      <c r="HX3" s="504">
        <v>0</v>
      </c>
      <c r="HY3" s="504">
        <v>0</v>
      </c>
      <c r="HZ3" s="504">
        <v>0</v>
      </c>
      <c r="IA3" s="504">
        <v>0</v>
      </c>
      <c r="IB3" s="504">
        <v>0</v>
      </c>
      <c r="IC3" s="504">
        <v>0</v>
      </c>
      <c r="ID3" s="504">
        <v>0</v>
      </c>
      <c r="IE3" s="504">
        <v>0</v>
      </c>
      <c r="IF3" s="504">
        <v>0</v>
      </c>
      <c r="IG3" s="504">
        <v>0</v>
      </c>
      <c r="IH3" s="504">
        <v>0</v>
      </c>
      <c r="II3" s="504">
        <v>0</v>
      </c>
      <c r="IJ3" s="504">
        <v>0</v>
      </c>
      <c r="IK3" s="504">
        <v>0</v>
      </c>
      <c r="IL3" s="504">
        <v>0</v>
      </c>
      <c r="IM3" s="504">
        <v>0</v>
      </c>
      <c r="IN3" s="504">
        <v>0</v>
      </c>
      <c r="IO3" s="504">
        <v>0</v>
      </c>
      <c r="IP3" s="504">
        <v>0</v>
      </c>
      <c r="IQ3" s="504">
        <v>0</v>
      </c>
      <c r="IR3" s="504">
        <v>0</v>
      </c>
      <c r="IS3" s="504">
        <v>0</v>
      </c>
      <c r="IT3" s="504">
        <v>0</v>
      </c>
      <c r="IU3" s="504">
        <v>0</v>
      </c>
      <c r="IV3" s="504">
        <v>0</v>
      </c>
      <c r="IW3" s="504">
        <v>0</v>
      </c>
      <c r="IX3" s="504">
        <v>0</v>
      </c>
      <c r="IY3" s="504">
        <v>0</v>
      </c>
      <c r="IZ3" s="504">
        <v>0</v>
      </c>
      <c r="JA3" s="504">
        <v>0</v>
      </c>
      <c r="JB3" s="504">
        <v>0</v>
      </c>
      <c r="JC3" s="504">
        <v>0</v>
      </c>
      <c r="JD3" s="504">
        <v>0</v>
      </c>
      <c r="JE3" s="504">
        <v>0</v>
      </c>
      <c r="JF3" s="504">
        <v>0</v>
      </c>
      <c r="JG3" s="504">
        <v>0</v>
      </c>
      <c r="JH3" s="504">
        <v>0</v>
      </c>
      <c r="JI3" s="504">
        <v>0</v>
      </c>
      <c r="JJ3" s="504">
        <v>0</v>
      </c>
      <c r="JK3" s="504">
        <v>0</v>
      </c>
      <c r="JL3" s="504">
        <v>0</v>
      </c>
      <c r="JM3" s="504">
        <v>0</v>
      </c>
      <c r="JN3" s="504">
        <v>0</v>
      </c>
      <c r="JO3" s="504">
        <v>0</v>
      </c>
      <c r="JP3" s="504">
        <v>0</v>
      </c>
      <c r="JQ3" s="504">
        <v>0</v>
      </c>
      <c r="JR3" s="504">
        <v>0</v>
      </c>
      <c r="JS3" s="504">
        <v>0</v>
      </c>
      <c r="JT3" s="504">
        <v>0</v>
      </c>
      <c r="JU3" s="504">
        <v>0</v>
      </c>
      <c r="JV3" s="504">
        <v>0</v>
      </c>
      <c r="JW3" s="504">
        <v>0</v>
      </c>
      <c r="JX3" s="504">
        <v>0</v>
      </c>
      <c r="JY3" s="504">
        <v>0</v>
      </c>
      <c r="JZ3" s="504">
        <v>0</v>
      </c>
      <c r="KA3" s="504">
        <v>0</v>
      </c>
      <c r="KB3" s="504">
        <v>0</v>
      </c>
      <c r="KC3" s="504">
        <v>0</v>
      </c>
      <c r="KD3" s="504">
        <v>0</v>
      </c>
      <c r="KE3" s="504">
        <v>0</v>
      </c>
      <c r="KF3" s="504">
        <v>0</v>
      </c>
      <c r="KG3" s="504">
        <v>0</v>
      </c>
      <c r="KH3" s="504">
        <v>0</v>
      </c>
      <c r="KI3" s="504">
        <v>0</v>
      </c>
      <c r="KJ3" s="504">
        <v>0</v>
      </c>
      <c r="KK3" s="504">
        <v>0</v>
      </c>
      <c r="KL3" s="504">
        <v>0</v>
      </c>
      <c r="KM3" s="504">
        <v>0</v>
      </c>
      <c r="KN3" s="504">
        <v>0</v>
      </c>
      <c r="KO3" s="504">
        <v>0</v>
      </c>
      <c r="KP3" s="504">
        <v>0</v>
      </c>
      <c r="KQ3" s="504">
        <v>0</v>
      </c>
      <c r="KR3" s="504">
        <v>0</v>
      </c>
      <c r="KS3" s="504">
        <v>0</v>
      </c>
      <c r="KT3" s="1654">
        <v>0</v>
      </c>
      <c r="KU3" s="504">
        <v>0</v>
      </c>
      <c r="KV3" s="504">
        <v>0</v>
      </c>
      <c r="KW3" s="504">
        <v>0</v>
      </c>
      <c r="KX3" s="504">
        <v>1084</v>
      </c>
      <c r="KY3" s="504">
        <v>1300</v>
      </c>
      <c r="KZ3" s="504">
        <v>1560</v>
      </c>
      <c r="LA3" s="504">
        <v>0</v>
      </c>
      <c r="LB3" s="504">
        <v>0</v>
      </c>
      <c r="LC3" s="504">
        <v>0</v>
      </c>
      <c r="LD3" s="504">
        <v>0</v>
      </c>
      <c r="LE3" s="504">
        <v>0</v>
      </c>
      <c r="LF3" s="504">
        <v>0</v>
      </c>
      <c r="LG3" s="504">
        <v>0</v>
      </c>
      <c r="LH3" s="504">
        <v>0</v>
      </c>
      <c r="LI3" s="504">
        <v>0</v>
      </c>
      <c r="LJ3" s="504">
        <v>0</v>
      </c>
      <c r="LK3" s="504">
        <v>0</v>
      </c>
      <c r="LL3" s="504">
        <v>0</v>
      </c>
      <c r="LM3" s="504">
        <v>0</v>
      </c>
      <c r="LN3" s="504">
        <v>0</v>
      </c>
      <c r="LO3" s="504">
        <v>0</v>
      </c>
      <c r="LP3" s="504">
        <v>0</v>
      </c>
      <c r="LQ3" s="504">
        <v>0</v>
      </c>
      <c r="LR3" s="504">
        <v>0</v>
      </c>
      <c r="LS3" s="504">
        <v>0</v>
      </c>
      <c r="LT3" s="504">
        <v>0</v>
      </c>
      <c r="LU3" s="504">
        <v>0</v>
      </c>
      <c r="LV3" s="504">
        <v>0</v>
      </c>
      <c r="LW3" s="504">
        <v>0</v>
      </c>
      <c r="LX3" s="504">
        <v>0</v>
      </c>
      <c r="LY3" s="504">
        <v>0</v>
      </c>
      <c r="LZ3" s="504">
        <v>0</v>
      </c>
      <c r="MA3" s="504">
        <v>0</v>
      </c>
      <c r="MB3" s="504">
        <v>0</v>
      </c>
      <c r="MC3" s="504">
        <v>0</v>
      </c>
      <c r="MD3" s="504">
        <v>0</v>
      </c>
      <c r="ME3" s="504">
        <v>0</v>
      </c>
      <c r="MF3" s="504">
        <v>0</v>
      </c>
      <c r="MG3" s="504">
        <v>0</v>
      </c>
      <c r="MH3" s="504">
        <v>0</v>
      </c>
      <c r="MI3" s="504">
        <v>0</v>
      </c>
      <c r="MJ3" s="504">
        <v>0</v>
      </c>
      <c r="MK3" s="504">
        <v>0</v>
      </c>
      <c r="ML3" s="504">
        <v>0</v>
      </c>
      <c r="MM3" s="504">
        <v>0</v>
      </c>
      <c r="MN3" s="504">
        <v>0</v>
      </c>
      <c r="MO3" s="504">
        <v>0</v>
      </c>
      <c r="MP3" s="504">
        <v>0</v>
      </c>
      <c r="MQ3" s="504">
        <v>0</v>
      </c>
      <c r="MR3" s="504">
        <v>0</v>
      </c>
      <c r="MS3" s="504">
        <v>0</v>
      </c>
      <c r="MT3" s="504">
        <v>0</v>
      </c>
      <c r="MU3" s="504">
        <v>0</v>
      </c>
      <c r="MV3" s="504">
        <v>0</v>
      </c>
      <c r="MW3" s="504">
        <v>0</v>
      </c>
      <c r="MX3" s="504">
        <v>0</v>
      </c>
      <c r="MY3" s="504">
        <v>0</v>
      </c>
      <c r="MZ3" s="504">
        <v>0</v>
      </c>
      <c r="NA3" s="504">
        <v>0</v>
      </c>
      <c r="NB3" s="504">
        <v>0</v>
      </c>
      <c r="NC3" s="504">
        <v>0</v>
      </c>
      <c r="ND3" s="504">
        <v>0</v>
      </c>
      <c r="NE3" s="504">
        <v>0</v>
      </c>
      <c r="NF3" s="504">
        <v>0</v>
      </c>
      <c r="NG3" s="504">
        <v>0</v>
      </c>
      <c r="NH3" s="504">
        <v>0</v>
      </c>
      <c r="NI3" s="504">
        <v>0</v>
      </c>
      <c r="NJ3" s="504">
        <v>0</v>
      </c>
      <c r="NK3" s="504">
        <v>0</v>
      </c>
      <c r="NL3" s="504">
        <v>0</v>
      </c>
      <c r="NM3" s="504">
        <v>0</v>
      </c>
      <c r="NN3" s="504">
        <v>0</v>
      </c>
      <c r="NO3" s="504">
        <v>0</v>
      </c>
      <c r="NP3" s="504">
        <v>0</v>
      </c>
      <c r="NQ3" s="504">
        <v>0</v>
      </c>
      <c r="NR3" s="504">
        <v>0</v>
      </c>
      <c r="NS3" s="504">
        <v>0</v>
      </c>
      <c r="NT3" s="504">
        <v>0</v>
      </c>
      <c r="NU3" s="504">
        <v>0</v>
      </c>
      <c r="NV3" s="504">
        <v>0</v>
      </c>
      <c r="NW3" s="504">
        <v>0</v>
      </c>
      <c r="NX3" s="504">
        <v>0</v>
      </c>
      <c r="NY3" s="504">
        <v>0</v>
      </c>
      <c r="NZ3" s="504">
        <v>0</v>
      </c>
      <c r="OA3" s="504">
        <v>0</v>
      </c>
      <c r="OB3" s="504">
        <v>0</v>
      </c>
      <c r="OC3" s="504">
        <v>0</v>
      </c>
      <c r="OD3" s="504">
        <v>0</v>
      </c>
      <c r="OE3" s="504">
        <v>0</v>
      </c>
      <c r="OF3" s="504">
        <v>0</v>
      </c>
      <c r="OG3" s="504">
        <v>0</v>
      </c>
      <c r="OH3" s="504">
        <v>0</v>
      </c>
      <c r="OI3" s="504">
        <v>0</v>
      </c>
      <c r="OJ3" s="504">
        <v>0</v>
      </c>
      <c r="OK3" s="504">
        <v>0</v>
      </c>
      <c r="OL3" s="504">
        <v>0</v>
      </c>
      <c r="OM3" s="504">
        <v>0</v>
      </c>
      <c r="ON3" s="504">
        <v>0</v>
      </c>
      <c r="OO3" s="504">
        <v>0</v>
      </c>
      <c r="OP3" s="504">
        <v>0</v>
      </c>
      <c r="OQ3" s="504">
        <v>0</v>
      </c>
      <c r="OR3"/>
      <c r="OS3"/>
      <c r="OT3"/>
      <c r="OU3"/>
      <c r="OV3"/>
      <c r="OW3"/>
      <c r="OX3"/>
      <c r="OY3"/>
      <c r="OZ3"/>
      <c r="PA3"/>
      <c r="PB3"/>
      <c r="PC3"/>
      <c r="PD3"/>
      <c r="PE3"/>
      <c r="PF3"/>
      <c r="PG3"/>
      <c r="PH3"/>
      <c r="PI3"/>
      <c r="PJ3"/>
      <c r="PK3"/>
      <c r="PL3"/>
      <c r="PM3"/>
      <c r="PN3"/>
      <c r="PO3"/>
      <c r="PP3"/>
      <c r="PQ3"/>
      <c r="PR3"/>
      <c r="PS3"/>
      <c r="PT3" s="1656"/>
    </row>
    <row r="4" spans="1:436" ht="21.5">
      <c r="A4" s="1466" t="s">
        <v>1666</v>
      </c>
      <c r="B4" s="1576" t="s">
        <v>2358</v>
      </c>
      <c r="C4" s="1576" t="s">
        <v>13</v>
      </c>
      <c r="D4" s="1576">
        <v>27</v>
      </c>
      <c r="E4" s="504">
        <v>37</v>
      </c>
      <c r="F4" s="504">
        <v>153</v>
      </c>
      <c r="G4" s="504">
        <v>397</v>
      </c>
      <c r="H4" s="504">
        <v>622</v>
      </c>
      <c r="I4" s="504">
        <v>893</v>
      </c>
      <c r="J4" s="504">
        <v>1091</v>
      </c>
      <c r="K4" s="504">
        <v>1102</v>
      </c>
      <c r="L4" s="504">
        <v>1113</v>
      </c>
      <c r="M4" s="504">
        <v>1125</v>
      </c>
      <c r="N4" s="504">
        <v>1137</v>
      </c>
      <c r="O4" s="504">
        <v>1149</v>
      </c>
      <c r="P4" s="504">
        <v>1161</v>
      </c>
      <c r="Q4" s="504">
        <v>1174</v>
      </c>
      <c r="R4" s="504">
        <v>1187</v>
      </c>
      <c r="S4" s="504">
        <v>1201</v>
      </c>
      <c r="T4" s="504">
        <v>1214</v>
      </c>
      <c r="U4" s="504">
        <v>1228</v>
      </c>
      <c r="V4" s="504">
        <v>1242</v>
      </c>
      <c r="W4" s="504">
        <v>1257</v>
      </c>
      <c r="X4" s="504">
        <v>1272</v>
      </c>
      <c r="Y4" s="504">
        <v>1287</v>
      </c>
      <c r="Z4" s="504">
        <v>1303</v>
      </c>
      <c r="AA4" s="504">
        <v>1318</v>
      </c>
      <c r="AB4" s="504">
        <v>1335</v>
      </c>
      <c r="AC4" s="504">
        <v>1351</v>
      </c>
      <c r="AD4" s="504">
        <v>1368</v>
      </c>
      <c r="AE4" s="504">
        <v>1385</v>
      </c>
      <c r="AF4" s="504">
        <v>1402</v>
      </c>
      <c r="AG4" s="504">
        <v>1420</v>
      </c>
      <c r="AH4" s="504">
        <v>1438</v>
      </c>
      <c r="AI4" s="504">
        <v>1457</v>
      </c>
      <c r="AJ4" s="504">
        <v>1475</v>
      </c>
      <c r="AK4" s="504">
        <v>1494</v>
      </c>
      <c r="AL4" s="504">
        <v>1514</v>
      </c>
      <c r="AM4" s="504">
        <v>1533</v>
      </c>
      <c r="AN4" s="504">
        <v>1553</v>
      </c>
      <c r="AO4" s="504">
        <v>1573</v>
      </c>
      <c r="AP4" s="504">
        <v>1594</v>
      </c>
      <c r="AQ4" s="504">
        <v>1615</v>
      </c>
      <c r="AR4" s="504">
        <v>1636</v>
      </c>
      <c r="AS4" s="504">
        <v>1657</v>
      </c>
      <c r="AT4" s="504">
        <v>1679</v>
      </c>
      <c r="AU4" s="504">
        <v>1701</v>
      </c>
      <c r="AV4" s="504">
        <v>1724</v>
      </c>
      <c r="AW4" s="504">
        <v>1747</v>
      </c>
      <c r="AX4" s="504">
        <v>1770</v>
      </c>
      <c r="AY4" s="504">
        <v>1795</v>
      </c>
      <c r="AZ4" s="504">
        <v>1821</v>
      </c>
      <c r="BA4" s="504">
        <v>1848</v>
      </c>
      <c r="BB4" s="504">
        <v>1876</v>
      </c>
      <c r="BC4" s="504">
        <v>1908</v>
      </c>
      <c r="BD4" s="504">
        <v>1942</v>
      </c>
      <c r="BE4" s="504">
        <v>2000</v>
      </c>
      <c r="BF4" s="504">
        <v>0</v>
      </c>
      <c r="BG4" s="504">
        <v>0</v>
      </c>
      <c r="BH4" s="504">
        <v>0</v>
      </c>
      <c r="BI4" s="504">
        <v>0</v>
      </c>
      <c r="BJ4" s="504">
        <v>0</v>
      </c>
      <c r="BK4" s="504">
        <v>0</v>
      </c>
      <c r="BL4" s="504">
        <v>0</v>
      </c>
      <c r="BM4" s="504">
        <v>0</v>
      </c>
      <c r="BN4" s="504">
        <v>0</v>
      </c>
      <c r="BO4" s="504">
        <v>0</v>
      </c>
      <c r="BP4" s="504">
        <v>0</v>
      </c>
      <c r="BQ4" s="504">
        <v>0</v>
      </c>
      <c r="BR4" s="504">
        <v>0</v>
      </c>
      <c r="BS4" s="504">
        <v>0</v>
      </c>
      <c r="BT4" s="504">
        <v>0</v>
      </c>
      <c r="BU4" s="504">
        <v>0</v>
      </c>
      <c r="BV4" s="504">
        <v>0</v>
      </c>
      <c r="BW4" s="504">
        <v>0</v>
      </c>
      <c r="BX4" s="504">
        <v>0</v>
      </c>
      <c r="BY4" s="504">
        <v>0</v>
      </c>
      <c r="BZ4" s="504">
        <v>0</v>
      </c>
      <c r="CA4" s="504">
        <v>0</v>
      </c>
      <c r="CB4" s="504">
        <v>0</v>
      </c>
      <c r="CC4" s="504">
        <v>0</v>
      </c>
      <c r="CD4" s="504">
        <v>0</v>
      </c>
      <c r="CE4" s="504">
        <v>0</v>
      </c>
      <c r="CF4" s="504">
        <v>0</v>
      </c>
      <c r="CG4" s="504">
        <v>0</v>
      </c>
      <c r="CH4" s="504">
        <v>0</v>
      </c>
      <c r="CI4" s="504">
        <v>0</v>
      </c>
      <c r="CJ4" s="504">
        <v>0</v>
      </c>
      <c r="CK4" s="504">
        <v>0</v>
      </c>
      <c r="CL4" s="504">
        <v>0</v>
      </c>
      <c r="CM4" s="504">
        <v>0</v>
      </c>
      <c r="CN4" s="504">
        <v>0</v>
      </c>
      <c r="CO4" s="504">
        <v>0</v>
      </c>
      <c r="CP4" s="504">
        <v>0</v>
      </c>
      <c r="CQ4" s="504">
        <v>0</v>
      </c>
      <c r="CR4" s="504">
        <v>0</v>
      </c>
      <c r="CS4" s="504">
        <v>0</v>
      </c>
      <c r="CT4" s="504">
        <v>0</v>
      </c>
      <c r="CU4" s="504">
        <v>0</v>
      </c>
      <c r="CV4" s="504">
        <v>0</v>
      </c>
      <c r="CW4" s="504">
        <v>0</v>
      </c>
      <c r="CX4" s="504">
        <v>0</v>
      </c>
      <c r="CY4" s="504">
        <v>0</v>
      </c>
      <c r="CZ4" s="1654">
        <v>0</v>
      </c>
      <c r="DA4" s="504">
        <v>0</v>
      </c>
      <c r="DB4" s="504">
        <v>130</v>
      </c>
      <c r="DC4" s="504">
        <v>525</v>
      </c>
      <c r="DD4" s="504">
        <v>1098</v>
      </c>
      <c r="DE4" s="504">
        <v>1315</v>
      </c>
      <c r="DF4" s="504">
        <v>1578</v>
      </c>
      <c r="DG4" s="504">
        <v>0</v>
      </c>
      <c r="DH4" s="504">
        <v>0</v>
      </c>
      <c r="DI4" s="504">
        <v>0</v>
      </c>
      <c r="DJ4" s="504">
        <v>0</v>
      </c>
      <c r="DK4" s="504">
        <v>0</v>
      </c>
      <c r="DL4" s="504">
        <v>0</v>
      </c>
      <c r="DM4" s="504">
        <v>0</v>
      </c>
      <c r="DN4" s="504">
        <v>0</v>
      </c>
      <c r="DO4" s="504">
        <v>0</v>
      </c>
      <c r="DP4" s="504">
        <v>0</v>
      </c>
      <c r="DQ4" s="504">
        <v>0</v>
      </c>
      <c r="DR4" s="504">
        <v>0</v>
      </c>
      <c r="DS4" s="504">
        <v>0</v>
      </c>
      <c r="DT4" s="504">
        <v>0</v>
      </c>
      <c r="DU4" s="504">
        <v>0</v>
      </c>
      <c r="DV4" s="504">
        <v>0</v>
      </c>
      <c r="DW4" s="504">
        <v>0</v>
      </c>
      <c r="DX4" s="504">
        <v>0</v>
      </c>
      <c r="DY4" s="504">
        <v>0</v>
      </c>
      <c r="DZ4" s="504">
        <v>0</v>
      </c>
      <c r="EA4" s="504">
        <v>0</v>
      </c>
      <c r="EB4" s="504">
        <v>0</v>
      </c>
      <c r="EC4" s="504">
        <v>0</v>
      </c>
      <c r="ED4" s="504">
        <v>0</v>
      </c>
      <c r="EE4" s="504">
        <v>0</v>
      </c>
      <c r="EF4" s="504">
        <v>0</v>
      </c>
      <c r="EG4" s="504">
        <v>0</v>
      </c>
      <c r="EH4" s="504">
        <v>0</v>
      </c>
      <c r="EI4" s="504">
        <v>0</v>
      </c>
      <c r="EJ4" s="504">
        <v>0</v>
      </c>
      <c r="EK4" s="504">
        <v>0</v>
      </c>
      <c r="EL4" s="504">
        <v>0</v>
      </c>
      <c r="EM4" s="504">
        <v>0</v>
      </c>
      <c r="EN4" s="504">
        <v>0</v>
      </c>
      <c r="EO4" s="504">
        <v>0</v>
      </c>
      <c r="EP4" s="504">
        <v>0</v>
      </c>
      <c r="EQ4" s="504">
        <v>0</v>
      </c>
      <c r="ER4" s="504">
        <v>0</v>
      </c>
      <c r="ES4" s="504">
        <v>0</v>
      </c>
      <c r="ET4" s="504">
        <v>0</v>
      </c>
      <c r="EU4" s="504">
        <v>0</v>
      </c>
      <c r="EV4" s="504">
        <v>0</v>
      </c>
      <c r="EW4" s="504">
        <v>0</v>
      </c>
      <c r="EX4" s="504">
        <v>0</v>
      </c>
      <c r="EY4" s="504">
        <v>0</v>
      </c>
      <c r="EZ4" s="504">
        <v>0</v>
      </c>
      <c r="FA4" s="504">
        <v>0</v>
      </c>
      <c r="FB4" s="504">
        <v>0</v>
      </c>
      <c r="FC4" s="504">
        <v>0</v>
      </c>
      <c r="FD4" s="504">
        <v>0</v>
      </c>
      <c r="FE4" s="504">
        <v>0</v>
      </c>
      <c r="FF4" s="504">
        <v>0</v>
      </c>
      <c r="FG4" s="504">
        <v>0</v>
      </c>
      <c r="FH4" s="504">
        <v>0</v>
      </c>
      <c r="FI4" s="504">
        <v>0</v>
      </c>
      <c r="FJ4" s="504">
        <v>0</v>
      </c>
      <c r="FK4" s="504">
        <v>0</v>
      </c>
      <c r="FL4" s="504">
        <v>0</v>
      </c>
      <c r="FM4" s="504">
        <v>0</v>
      </c>
      <c r="FN4" s="504">
        <v>0</v>
      </c>
      <c r="FO4" s="504">
        <v>0</v>
      </c>
      <c r="FP4" s="504">
        <v>0</v>
      </c>
      <c r="FQ4" s="504">
        <v>0</v>
      </c>
      <c r="FR4" s="504">
        <v>0</v>
      </c>
      <c r="FS4" s="504">
        <v>0</v>
      </c>
      <c r="FT4" s="504">
        <v>0</v>
      </c>
      <c r="FU4" s="504">
        <v>0</v>
      </c>
      <c r="FV4" s="504">
        <v>0</v>
      </c>
      <c r="FW4" s="504">
        <v>0</v>
      </c>
      <c r="FX4" s="504">
        <v>0</v>
      </c>
      <c r="FY4" s="504">
        <v>0</v>
      </c>
      <c r="FZ4" s="504">
        <v>0</v>
      </c>
      <c r="GA4" s="504">
        <v>0</v>
      </c>
      <c r="GB4" s="504">
        <v>0</v>
      </c>
      <c r="GC4" s="504">
        <v>0</v>
      </c>
      <c r="GD4" s="504">
        <v>0</v>
      </c>
      <c r="GE4" s="504">
        <v>0</v>
      </c>
      <c r="GF4" s="504">
        <v>0</v>
      </c>
      <c r="GG4" s="504">
        <v>0</v>
      </c>
      <c r="GH4" s="504">
        <v>0</v>
      </c>
      <c r="GI4" s="504">
        <v>0</v>
      </c>
      <c r="GJ4" s="504">
        <v>0</v>
      </c>
      <c r="GK4" s="504">
        <v>0</v>
      </c>
      <c r="GL4" s="504">
        <v>0</v>
      </c>
      <c r="GM4" s="504">
        <v>0</v>
      </c>
      <c r="GN4" s="504">
        <v>0</v>
      </c>
      <c r="GO4" s="504">
        <v>0</v>
      </c>
      <c r="GP4" s="504">
        <v>0</v>
      </c>
      <c r="GQ4" s="504">
        <v>0</v>
      </c>
      <c r="GR4" s="504">
        <v>0</v>
      </c>
      <c r="GS4" s="504">
        <v>0</v>
      </c>
      <c r="GT4" s="504">
        <v>0</v>
      </c>
      <c r="GU4" s="504">
        <v>0</v>
      </c>
      <c r="GV4" s="504">
        <v>0</v>
      </c>
      <c r="GW4" s="1654">
        <v>0</v>
      </c>
      <c r="GX4" s="504">
        <v>0</v>
      </c>
      <c r="GY4" s="504">
        <v>16298</v>
      </c>
      <c r="GZ4" s="504">
        <v>40314</v>
      </c>
      <c r="HA4" s="504">
        <v>50000</v>
      </c>
      <c r="HB4" s="504">
        <v>49000</v>
      </c>
      <c r="HC4" s="504">
        <v>48000</v>
      </c>
      <c r="HD4" s="504">
        <v>0</v>
      </c>
      <c r="HE4" s="504">
        <v>0</v>
      </c>
      <c r="HF4" s="504">
        <v>0</v>
      </c>
      <c r="HG4" s="504">
        <v>0</v>
      </c>
      <c r="HH4" s="504">
        <v>0</v>
      </c>
      <c r="HI4" s="504">
        <v>0</v>
      </c>
      <c r="HJ4" s="504">
        <v>0</v>
      </c>
      <c r="HK4" s="504">
        <v>0</v>
      </c>
      <c r="HL4" s="504">
        <v>0</v>
      </c>
      <c r="HM4" s="504">
        <v>0</v>
      </c>
      <c r="HN4" s="504">
        <v>0</v>
      </c>
      <c r="HO4" s="504">
        <v>0</v>
      </c>
      <c r="HP4" s="504">
        <v>0</v>
      </c>
      <c r="HQ4" s="504">
        <v>0</v>
      </c>
      <c r="HR4" s="504">
        <v>0</v>
      </c>
      <c r="HS4" s="504">
        <v>0</v>
      </c>
      <c r="HT4" s="504">
        <v>0</v>
      </c>
      <c r="HU4" s="504">
        <v>0</v>
      </c>
      <c r="HV4" s="504">
        <v>0</v>
      </c>
      <c r="HW4" s="504">
        <v>0</v>
      </c>
      <c r="HX4" s="504">
        <v>0</v>
      </c>
      <c r="HY4" s="504">
        <v>0</v>
      </c>
      <c r="HZ4" s="504">
        <v>0</v>
      </c>
      <c r="IA4" s="504">
        <v>0</v>
      </c>
      <c r="IB4" s="504">
        <v>0</v>
      </c>
      <c r="IC4" s="504">
        <v>0</v>
      </c>
      <c r="ID4" s="504">
        <v>0</v>
      </c>
      <c r="IE4" s="504">
        <v>0</v>
      </c>
      <c r="IF4" s="504">
        <v>0</v>
      </c>
      <c r="IG4" s="504">
        <v>0</v>
      </c>
      <c r="IH4" s="504">
        <v>0</v>
      </c>
      <c r="II4" s="504">
        <v>0</v>
      </c>
      <c r="IJ4" s="504">
        <v>0</v>
      </c>
      <c r="IK4" s="504">
        <v>0</v>
      </c>
      <c r="IL4" s="504">
        <v>0</v>
      </c>
      <c r="IM4" s="504">
        <v>0</v>
      </c>
      <c r="IN4" s="504">
        <v>0</v>
      </c>
      <c r="IO4" s="504">
        <v>0</v>
      </c>
      <c r="IP4" s="504">
        <v>0</v>
      </c>
      <c r="IQ4" s="504">
        <v>0</v>
      </c>
      <c r="IR4" s="504">
        <v>0</v>
      </c>
      <c r="IS4" s="504">
        <v>0</v>
      </c>
      <c r="IT4" s="504">
        <v>0</v>
      </c>
      <c r="IU4" s="504">
        <v>0</v>
      </c>
      <c r="IV4" s="504">
        <v>0</v>
      </c>
      <c r="IW4" s="504">
        <v>0</v>
      </c>
      <c r="IX4" s="504">
        <v>0</v>
      </c>
      <c r="IY4" s="504">
        <v>0</v>
      </c>
      <c r="IZ4" s="504">
        <v>0</v>
      </c>
      <c r="JA4" s="504">
        <v>0</v>
      </c>
      <c r="JB4" s="504">
        <v>0</v>
      </c>
      <c r="JC4" s="504">
        <v>0</v>
      </c>
      <c r="JD4" s="504">
        <v>0</v>
      </c>
      <c r="JE4" s="504">
        <v>0</v>
      </c>
      <c r="JF4" s="504">
        <v>0</v>
      </c>
      <c r="JG4" s="504">
        <v>0</v>
      </c>
      <c r="JH4" s="504">
        <v>0</v>
      </c>
      <c r="JI4" s="504">
        <v>0</v>
      </c>
      <c r="JJ4" s="504">
        <v>0</v>
      </c>
      <c r="JK4" s="504">
        <v>0</v>
      </c>
      <c r="JL4" s="504">
        <v>0</v>
      </c>
      <c r="JM4" s="504">
        <v>0</v>
      </c>
      <c r="JN4" s="504">
        <v>0</v>
      </c>
      <c r="JO4" s="504">
        <v>0</v>
      </c>
      <c r="JP4" s="504">
        <v>0</v>
      </c>
      <c r="JQ4" s="504">
        <v>0</v>
      </c>
      <c r="JR4" s="504">
        <v>0</v>
      </c>
      <c r="JS4" s="504">
        <v>0</v>
      </c>
      <c r="JT4" s="504">
        <v>0</v>
      </c>
      <c r="JU4" s="504">
        <v>0</v>
      </c>
      <c r="JV4" s="504">
        <v>0</v>
      </c>
      <c r="JW4" s="504">
        <v>0</v>
      </c>
      <c r="JX4" s="504">
        <v>0</v>
      </c>
      <c r="JY4" s="504">
        <v>0</v>
      </c>
      <c r="JZ4" s="504">
        <v>0</v>
      </c>
      <c r="KA4" s="504">
        <v>0</v>
      </c>
      <c r="KB4" s="504">
        <v>0</v>
      </c>
      <c r="KC4" s="504">
        <v>0</v>
      </c>
      <c r="KD4" s="504">
        <v>0</v>
      </c>
      <c r="KE4" s="504">
        <v>0</v>
      </c>
      <c r="KF4" s="504">
        <v>0</v>
      </c>
      <c r="KG4" s="504">
        <v>0</v>
      </c>
      <c r="KH4" s="504">
        <v>0</v>
      </c>
      <c r="KI4" s="504">
        <v>0</v>
      </c>
      <c r="KJ4" s="504">
        <v>0</v>
      </c>
      <c r="KK4" s="504">
        <v>0</v>
      </c>
      <c r="KL4" s="504">
        <v>0</v>
      </c>
      <c r="KM4" s="504">
        <v>0</v>
      </c>
      <c r="KN4" s="504">
        <v>0</v>
      </c>
      <c r="KO4" s="504">
        <v>0</v>
      </c>
      <c r="KP4" s="504">
        <v>0</v>
      </c>
      <c r="KQ4" s="504">
        <v>0</v>
      </c>
      <c r="KR4" s="504">
        <v>0</v>
      </c>
      <c r="KS4" s="504">
        <v>0</v>
      </c>
      <c r="KT4" s="1654">
        <v>0</v>
      </c>
      <c r="KU4" s="504">
        <v>0</v>
      </c>
      <c r="KV4" s="504">
        <v>0</v>
      </c>
      <c r="KW4" s="504">
        <v>0</v>
      </c>
      <c r="KX4" s="504">
        <v>1081</v>
      </c>
      <c r="KY4" s="504">
        <v>1298</v>
      </c>
      <c r="KZ4" s="504">
        <v>1560</v>
      </c>
      <c r="LA4" s="504">
        <v>0</v>
      </c>
      <c r="LB4" s="504">
        <v>0</v>
      </c>
      <c r="LC4" s="504">
        <v>0</v>
      </c>
      <c r="LD4" s="504">
        <v>0</v>
      </c>
      <c r="LE4" s="504">
        <v>0</v>
      </c>
      <c r="LF4" s="504">
        <v>0</v>
      </c>
      <c r="LG4" s="504">
        <v>0</v>
      </c>
      <c r="LH4" s="504">
        <v>0</v>
      </c>
      <c r="LI4" s="504">
        <v>0</v>
      </c>
      <c r="LJ4" s="504">
        <v>0</v>
      </c>
      <c r="LK4" s="504">
        <v>0</v>
      </c>
      <c r="LL4" s="504">
        <v>0</v>
      </c>
      <c r="LM4" s="504">
        <v>0</v>
      </c>
      <c r="LN4" s="504">
        <v>0</v>
      </c>
      <c r="LO4" s="504">
        <v>0</v>
      </c>
      <c r="LP4" s="504">
        <v>0</v>
      </c>
      <c r="LQ4" s="504">
        <v>0</v>
      </c>
      <c r="LR4" s="504">
        <v>0</v>
      </c>
      <c r="LS4" s="504">
        <v>0</v>
      </c>
      <c r="LT4" s="504">
        <v>0</v>
      </c>
      <c r="LU4" s="504">
        <v>0</v>
      </c>
      <c r="LV4" s="504">
        <v>0</v>
      </c>
      <c r="LW4" s="504">
        <v>0</v>
      </c>
      <c r="LX4" s="504">
        <v>0</v>
      </c>
      <c r="LY4" s="504">
        <v>0</v>
      </c>
      <c r="LZ4" s="504">
        <v>0</v>
      </c>
      <c r="MA4" s="504">
        <v>0</v>
      </c>
      <c r="MB4" s="504">
        <v>0</v>
      </c>
      <c r="MC4" s="504">
        <v>0</v>
      </c>
      <c r="MD4" s="504">
        <v>0</v>
      </c>
      <c r="ME4" s="504">
        <v>0</v>
      </c>
      <c r="MF4" s="504">
        <v>0</v>
      </c>
      <c r="MG4" s="504">
        <v>0</v>
      </c>
      <c r="MH4" s="504">
        <v>0</v>
      </c>
      <c r="MI4" s="504">
        <v>0</v>
      </c>
      <c r="MJ4" s="504">
        <v>0</v>
      </c>
      <c r="MK4" s="504">
        <v>0</v>
      </c>
      <c r="ML4" s="504">
        <v>0</v>
      </c>
      <c r="MM4" s="504">
        <v>0</v>
      </c>
      <c r="MN4" s="504">
        <v>0</v>
      </c>
      <c r="MO4" s="504">
        <v>0</v>
      </c>
      <c r="MP4" s="504">
        <v>0</v>
      </c>
      <c r="MQ4" s="504">
        <v>0</v>
      </c>
      <c r="MR4" s="504">
        <v>0</v>
      </c>
      <c r="MS4" s="504">
        <v>0</v>
      </c>
      <c r="MT4" s="504">
        <v>0</v>
      </c>
      <c r="MU4" s="504">
        <v>0</v>
      </c>
      <c r="MV4" s="504">
        <v>0</v>
      </c>
      <c r="MW4" s="504">
        <v>0</v>
      </c>
      <c r="MX4" s="504">
        <v>0</v>
      </c>
      <c r="MY4" s="504">
        <v>0</v>
      </c>
      <c r="MZ4" s="504">
        <v>0</v>
      </c>
      <c r="NA4" s="504">
        <v>0</v>
      </c>
      <c r="NB4" s="504">
        <v>0</v>
      </c>
      <c r="NC4" s="504">
        <v>0</v>
      </c>
      <c r="ND4" s="504">
        <v>0</v>
      </c>
      <c r="NE4" s="504">
        <v>0</v>
      </c>
      <c r="NF4" s="504">
        <v>0</v>
      </c>
      <c r="NG4" s="504">
        <v>0</v>
      </c>
      <c r="NH4" s="504">
        <v>0</v>
      </c>
      <c r="NI4" s="504">
        <v>0</v>
      </c>
      <c r="NJ4" s="504">
        <v>0</v>
      </c>
      <c r="NK4" s="504">
        <v>0</v>
      </c>
      <c r="NL4" s="504">
        <v>0</v>
      </c>
      <c r="NM4" s="504">
        <v>0</v>
      </c>
      <c r="NN4" s="504">
        <v>0</v>
      </c>
      <c r="NO4" s="504">
        <v>0</v>
      </c>
      <c r="NP4" s="504">
        <v>0</v>
      </c>
      <c r="NQ4" s="504">
        <v>0</v>
      </c>
      <c r="NR4" s="504">
        <v>0</v>
      </c>
      <c r="NS4" s="504">
        <v>0</v>
      </c>
      <c r="NT4" s="504">
        <v>0</v>
      </c>
      <c r="NU4" s="504">
        <v>0</v>
      </c>
      <c r="NV4" s="504">
        <v>0</v>
      </c>
      <c r="NW4" s="504">
        <v>0</v>
      </c>
      <c r="NX4" s="504">
        <v>0</v>
      </c>
      <c r="NY4" s="504">
        <v>0</v>
      </c>
      <c r="NZ4" s="504">
        <v>0</v>
      </c>
      <c r="OA4" s="504">
        <v>0</v>
      </c>
      <c r="OB4" s="504">
        <v>0</v>
      </c>
      <c r="OC4" s="504">
        <v>0</v>
      </c>
      <c r="OD4" s="504">
        <v>0</v>
      </c>
      <c r="OE4" s="504">
        <v>0</v>
      </c>
      <c r="OF4" s="504">
        <v>0</v>
      </c>
      <c r="OG4" s="504">
        <v>0</v>
      </c>
      <c r="OH4" s="504">
        <v>0</v>
      </c>
      <c r="OI4" s="504">
        <v>0</v>
      </c>
      <c r="OJ4" s="504">
        <v>0</v>
      </c>
      <c r="OK4" s="504">
        <v>0</v>
      </c>
      <c r="OL4" s="504">
        <v>0</v>
      </c>
      <c r="OM4" s="504">
        <v>0</v>
      </c>
      <c r="ON4" s="504">
        <v>0</v>
      </c>
      <c r="OO4" s="504">
        <v>0</v>
      </c>
      <c r="OP4" s="504">
        <v>0</v>
      </c>
      <c r="OQ4" s="504">
        <v>0</v>
      </c>
      <c r="OR4"/>
      <c r="OS4"/>
      <c r="OT4"/>
      <c r="OU4"/>
      <c r="OV4"/>
      <c r="OW4"/>
      <c r="OX4"/>
      <c r="OY4"/>
      <c r="OZ4"/>
      <c r="PA4"/>
      <c r="PB4"/>
      <c r="PC4"/>
      <c r="PD4"/>
      <c r="PE4"/>
      <c r="PF4"/>
      <c r="PG4"/>
      <c r="PH4"/>
      <c r="PI4"/>
      <c r="PJ4"/>
      <c r="PK4"/>
      <c r="PL4"/>
      <c r="PM4"/>
      <c r="PN4"/>
      <c r="PO4"/>
      <c r="PP4"/>
      <c r="PQ4"/>
      <c r="PR4"/>
      <c r="PS4"/>
      <c r="PT4" s="1656"/>
    </row>
    <row r="5" spans="1:436" ht="21.5">
      <c r="A5" s="1466" t="s">
        <v>1667</v>
      </c>
      <c r="B5" s="1576" t="s">
        <v>2358</v>
      </c>
      <c r="C5" s="1576" t="s">
        <v>13</v>
      </c>
      <c r="D5" s="1576">
        <v>28</v>
      </c>
      <c r="E5" s="504">
        <v>37</v>
      </c>
      <c r="F5" s="504">
        <v>155</v>
      </c>
      <c r="G5" s="504">
        <v>401</v>
      </c>
      <c r="H5" s="504">
        <v>629</v>
      </c>
      <c r="I5" s="504">
        <v>902</v>
      </c>
      <c r="J5" s="504">
        <v>1102</v>
      </c>
      <c r="K5" s="504">
        <v>1113</v>
      </c>
      <c r="L5" s="504">
        <v>1125</v>
      </c>
      <c r="M5" s="504">
        <v>1137</v>
      </c>
      <c r="N5" s="504">
        <v>1149</v>
      </c>
      <c r="O5" s="504">
        <v>1161</v>
      </c>
      <c r="P5" s="504">
        <v>1174</v>
      </c>
      <c r="Q5" s="504">
        <v>1187</v>
      </c>
      <c r="R5" s="504">
        <v>1201</v>
      </c>
      <c r="S5" s="504">
        <v>1214</v>
      </c>
      <c r="T5" s="504">
        <v>1228</v>
      </c>
      <c r="U5" s="504">
        <v>1242</v>
      </c>
      <c r="V5" s="504">
        <v>1257</v>
      </c>
      <c r="W5" s="504">
        <v>1272</v>
      </c>
      <c r="X5" s="504">
        <v>1287</v>
      </c>
      <c r="Y5" s="504">
        <v>1303</v>
      </c>
      <c r="Z5" s="504">
        <v>1318</v>
      </c>
      <c r="AA5" s="504">
        <v>1335</v>
      </c>
      <c r="AB5" s="504">
        <v>1351</v>
      </c>
      <c r="AC5" s="504">
        <v>1368</v>
      </c>
      <c r="AD5" s="504">
        <v>1385</v>
      </c>
      <c r="AE5" s="504">
        <v>1402</v>
      </c>
      <c r="AF5" s="504">
        <v>1420</v>
      </c>
      <c r="AG5" s="504">
        <v>1438</v>
      </c>
      <c r="AH5" s="504">
        <v>1457</v>
      </c>
      <c r="AI5" s="504">
        <v>1475</v>
      </c>
      <c r="AJ5" s="504">
        <v>1494</v>
      </c>
      <c r="AK5" s="504">
        <v>1514</v>
      </c>
      <c r="AL5" s="504">
        <v>1533</v>
      </c>
      <c r="AM5" s="504">
        <v>1553</v>
      </c>
      <c r="AN5" s="504">
        <v>1573</v>
      </c>
      <c r="AO5" s="504">
        <v>1594</v>
      </c>
      <c r="AP5" s="504">
        <v>1615</v>
      </c>
      <c r="AQ5" s="504">
        <v>1636</v>
      </c>
      <c r="AR5" s="504">
        <v>1657</v>
      </c>
      <c r="AS5" s="504">
        <v>1679</v>
      </c>
      <c r="AT5" s="504">
        <v>1701</v>
      </c>
      <c r="AU5" s="504">
        <v>1724</v>
      </c>
      <c r="AV5" s="504">
        <v>1747</v>
      </c>
      <c r="AW5" s="504">
        <v>1770</v>
      </c>
      <c r="AX5" s="504">
        <v>1795</v>
      </c>
      <c r="AY5" s="504">
        <v>1821</v>
      </c>
      <c r="AZ5" s="504">
        <v>1848</v>
      </c>
      <c r="BA5" s="504">
        <v>1876</v>
      </c>
      <c r="BB5" s="504">
        <v>1908</v>
      </c>
      <c r="BC5" s="504">
        <v>1942</v>
      </c>
      <c r="BD5" s="504">
        <v>2000</v>
      </c>
      <c r="BE5" s="504">
        <v>0</v>
      </c>
      <c r="BF5" s="504">
        <v>0</v>
      </c>
      <c r="BG5" s="504">
        <v>0</v>
      </c>
      <c r="BH5" s="504">
        <v>0</v>
      </c>
      <c r="BI5" s="504">
        <v>0</v>
      </c>
      <c r="BJ5" s="504">
        <v>0</v>
      </c>
      <c r="BK5" s="504">
        <v>0</v>
      </c>
      <c r="BL5" s="504">
        <v>0</v>
      </c>
      <c r="BM5" s="504">
        <v>0</v>
      </c>
      <c r="BN5" s="504">
        <v>0</v>
      </c>
      <c r="BO5" s="504">
        <v>0</v>
      </c>
      <c r="BP5" s="504">
        <v>0</v>
      </c>
      <c r="BQ5" s="504">
        <v>0</v>
      </c>
      <c r="BR5" s="504">
        <v>0</v>
      </c>
      <c r="BS5" s="504">
        <v>0</v>
      </c>
      <c r="BT5" s="504">
        <v>0</v>
      </c>
      <c r="BU5" s="504">
        <v>0</v>
      </c>
      <c r="BV5" s="504">
        <v>0</v>
      </c>
      <c r="BW5" s="504">
        <v>0</v>
      </c>
      <c r="BX5" s="504">
        <v>0</v>
      </c>
      <c r="BY5" s="504">
        <v>0</v>
      </c>
      <c r="BZ5" s="504">
        <v>0</v>
      </c>
      <c r="CA5" s="504">
        <v>0</v>
      </c>
      <c r="CB5" s="504">
        <v>0</v>
      </c>
      <c r="CC5" s="504">
        <v>0</v>
      </c>
      <c r="CD5" s="504">
        <v>0</v>
      </c>
      <c r="CE5" s="504">
        <v>0</v>
      </c>
      <c r="CF5" s="504">
        <v>0</v>
      </c>
      <c r="CG5" s="504">
        <v>0</v>
      </c>
      <c r="CH5" s="504">
        <v>0</v>
      </c>
      <c r="CI5" s="504">
        <v>0</v>
      </c>
      <c r="CJ5" s="504">
        <v>0</v>
      </c>
      <c r="CK5" s="504">
        <v>0</v>
      </c>
      <c r="CL5" s="504">
        <v>0</v>
      </c>
      <c r="CM5" s="504">
        <v>0</v>
      </c>
      <c r="CN5" s="504">
        <v>0</v>
      </c>
      <c r="CO5" s="504">
        <v>0</v>
      </c>
      <c r="CP5" s="504">
        <v>0</v>
      </c>
      <c r="CQ5" s="504">
        <v>0</v>
      </c>
      <c r="CR5" s="504">
        <v>0</v>
      </c>
      <c r="CS5" s="504">
        <v>0</v>
      </c>
      <c r="CT5" s="504">
        <v>0</v>
      </c>
      <c r="CU5" s="504">
        <v>0</v>
      </c>
      <c r="CV5" s="504">
        <v>0</v>
      </c>
      <c r="CW5" s="504">
        <v>0</v>
      </c>
      <c r="CX5" s="504">
        <v>0</v>
      </c>
      <c r="CY5" s="504">
        <v>0</v>
      </c>
      <c r="CZ5" s="1654">
        <v>0</v>
      </c>
      <c r="DA5" s="504">
        <v>0</v>
      </c>
      <c r="DB5" s="504">
        <v>127</v>
      </c>
      <c r="DC5" s="504">
        <v>519</v>
      </c>
      <c r="DD5" s="504">
        <v>1094</v>
      </c>
      <c r="DE5" s="504">
        <v>1314</v>
      </c>
      <c r="DF5" s="504">
        <v>1579</v>
      </c>
      <c r="DG5" s="504">
        <v>0</v>
      </c>
      <c r="DH5" s="504">
        <v>0</v>
      </c>
      <c r="DI5" s="504">
        <v>0</v>
      </c>
      <c r="DJ5" s="504">
        <v>0</v>
      </c>
      <c r="DK5" s="504">
        <v>0</v>
      </c>
      <c r="DL5" s="504">
        <v>0</v>
      </c>
      <c r="DM5" s="504">
        <v>0</v>
      </c>
      <c r="DN5" s="504">
        <v>0</v>
      </c>
      <c r="DO5" s="504">
        <v>0</v>
      </c>
      <c r="DP5" s="504">
        <v>0</v>
      </c>
      <c r="DQ5" s="504">
        <v>0</v>
      </c>
      <c r="DR5" s="504">
        <v>0</v>
      </c>
      <c r="DS5" s="504">
        <v>0</v>
      </c>
      <c r="DT5" s="504">
        <v>0</v>
      </c>
      <c r="DU5" s="504">
        <v>0</v>
      </c>
      <c r="DV5" s="504">
        <v>0</v>
      </c>
      <c r="DW5" s="504">
        <v>0</v>
      </c>
      <c r="DX5" s="504">
        <v>0</v>
      </c>
      <c r="DY5" s="504">
        <v>0</v>
      </c>
      <c r="DZ5" s="504">
        <v>0</v>
      </c>
      <c r="EA5" s="504">
        <v>0</v>
      </c>
      <c r="EB5" s="504">
        <v>0</v>
      </c>
      <c r="EC5" s="504">
        <v>0</v>
      </c>
      <c r="ED5" s="504">
        <v>0</v>
      </c>
      <c r="EE5" s="504">
        <v>0</v>
      </c>
      <c r="EF5" s="504">
        <v>0</v>
      </c>
      <c r="EG5" s="504">
        <v>0</v>
      </c>
      <c r="EH5" s="504">
        <v>0</v>
      </c>
      <c r="EI5" s="504">
        <v>0</v>
      </c>
      <c r="EJ5" s="504">
        <v>0</v>
      </c>
      <c r="EK5" s="504">
        <v>0</v>
      </c>
      <c r="EL5" s="504">
        <v>0</v>
      </c>
      <c r="EM5" s="504">
        <v>0</v>
      </c>
      <c r="EN5" s="504">
        <v>0</v>
      </c>
      <c r="EO5" s="504">
        <v>0</v>
      </c>
      <c r="EP5" s="504">
        <v>0</v>
      </c>
      <c r="EQ5" s="504">
        <v>0</v>
      </c>
      <c r="ER5" s="504">
        <v>0</v>
      </c>
      <c r="ES5" s="504">
        <v>0</v>
      </c>
      <c r="ET5" s="504">
        <v>0</v>
      </c>
      <c r="EU5" s="504">
        <v>0</v>
      </c>
      <c r="EV5" s="504">
        <v>0</v>
      </c>
      <c r="EW5" s="504">
        <v>0</v>
      </c>
      <c r="EX5" s="504">
        <v>0</v>
      </c>
      <c r="EY5" s="504">
        <v>0</v>
      </c>
      <c r="EZ5" s="504">
        <v>0</v>
      </c>
      <c r="FA5" s="504">
        <v>0</v>
      </c>
      <c r="FB5" s="504">
        <v>0</v>
      </c>
      <c r="FC5" s="504">
        <v>0</v>
      </c>
      <c r="FD5" s="504">
        <v>0</v>
      </c>
      <c r="FE5" s="504">
        <v>0</v>
      </c>
      <c r="FF5" s="504">
        <v>0</v>
      </c>
      <c r="FG5" s="504">
        <v>0</v>
      </c>
      <c r="FH5" s="504">
        <v>0</v>
      </c>
      <c r="FI5" s="504">
        <v>0</v>
      </c>
      <c r="FJ5" s="504">
        <v>0</v>
      </c>
      <c r="FK5" s="504">
        <v>0</v>
      </c>
      <c r="FL5" s="504">
        <v>0</v>
      </c>
      <c r="FM5" s="504">
        <v>0</v>
      </c>
      <c r="FN5" s="504">
        <v>0</v>
      </c>
      <c r="FO5" s="504">
        <v>0</v>
      </c>
      <c r="FP5" s="504">
        <v>0</v>
      </c>
      <c r="FQ5" s="504">
        <v>0</v>
      </c>
      <c r="FR5" s="504">
        <v>0</v>
      </c>
      <c r="FS5" s="504">
        <v>0</v>
      </c>
      <c r="FT5" s="504">
        <v>0</v>
      </c>
      <c r="FU5" s="504">
        <v>0</v>
      </c>
      <c r="FV5" s="504">
        <v>0</v>
      </c>
      <c r="FW5" s="504">
        <v>0</v>
      </c>
      <c r="FX5" s="504">
        <v>0</v>
      </c>
      <c r="FY5" s="504">
        <v>0</v>
      </c>
      <c r="FZ5" s="504">
        <v>0</v>
      </c>
      <c r="GA5" s="504">
        <v>0</v>
      </c>
      <c r="GB5" s="504">
        <v>0</v>
      </c>
      <c r="GC5" s="504">
        <v>0</v>
      </c>
      <c r="GD5" s="504">
        <v>0</v>
      </c>
      <c r="GE5" s="504">
        <v>0</v>
      </c>
      <c r="GF5" s="504">
        <v>0</v>
      </c>
      <c r="GG5" s="504">
        <v>0</v>
      </c>
      <c r="GH5" s="504">
        <v>0</v>
      </c>
      <c r="GI5" s="504">
        <v>0</v>
      </c>
      <c r="GJ5" s="504">
        <v>0</v>
      </c>
      <c r="GK5" s="504">
        <v>0</v>
      </c>
      <c r="GL5" s="504">
        <v>0</v>
      </c>
      <c r="GM5" s="504">
        <v>0</v>
      </c>
      <c r="GN5" s="504">
        <v>0</v>
      </c>
      <c r="GO5" s="504">
        <v>0</v>
      </c>
      <c r="GP5" s="504">
        <v>0</v>
      </c>
      <c r="GQ5" s="504">
        <v>0</v>
      </c>
      <c r="GR5" s="504">
        <v>0</v>
      </c>
      <c r="GS5" s="504">
        <v>0</v>
      </c>
      <c r="GT5" s="504">
        <v>0</v>
      </c>
      <c r="GU5" s="504">
        <v>0</v>
      </c>
      <c r="GV5" s="504">
        <v>0</v>
      </c>
      <c r="GW5" s="1654">
        <v>0</v>
      </c>
      <c r="GX5" s="504">
        <v>0</v>
      </c>
      <c r="GY5" s="504">
        <v>16056</v>
      </c>
      <c r="GZ5" s="504">
        <v>39279</v>
      </c>
      <c r="HA5" s="504">
        <v>49000</v>
      </c>
      <c r="HB5" s="504">
        <v>48000</v>
      </c>
      <c r="HC5" s="504">
        <v>47000</v>
      </c>
      <c r="HD5" s="504">
        <v>0</v>
      </c>
      <c r="HE5" s="504">
        <v>0</v>
      </c>
      <c r="HF5" s="504">
        <v>0</v>
      </c>
      <c r="HG5" s="504">
        <v>0</v>
      </c>
      <c r="HH5" s="504">
        <v>0</v>
      </c>
      <c r="HI5" s="504">
        <v>0</v>
      </c>
      <c r="HJ5" s="504">
        <v>0</v>
      </c>
      <c r="HK5" s="504">
        <v>0</v>
      </c>
      <c r="HL5" s="504">
        <v>0</v>
      </c>
      <c r="HM5" s="504">
        <v>0</v>
      </c>
      <c r="HN5" s="504">
        <v>0</v>
      </c>
      <c r="HO5" s="504">
        <v>0</v>
      </c>
      <c r="HP5" s="504">
        <v>0</v>
      </c>
      <c r="HQ5" s="504">
        <v>0</v>
      </c>
      <c r="HR5" s="504">
        <v>0</v>
      </c>
      <c r="HS5" s="504">
        <v>0</v>
      </c>
      <c r="HT5" s="504">
        <v>0</v>
      </c>
      <c r="HU5" s="504">
        <v>0</v>
      </c>
      <c r="HV5" s="504">
        <v>0</v>
      </c>
      <c r="HW5" s="504">
        <v>0</v>
      </c>
      <c r="HX5" s="504">
        <v>0</v>
      </c>
      <c r="HY5" s="504">
        <v>0</v>
      </c>
      <c r="HZ5" s="504">
        <v>0</v>
      </c>
      <c r="IA5" s="504">
        <v>0</v>
      </c>
      <c r="IB5" s="504">
        <v>0</v>
      </c>
      <c r="IC5" s="504">
        <v>0</v>
      </c>
      <c r="ID5" s="504">
        <v>0</v>
      </c>
      <c r="IE5" s="504">
        <v>0</v>
      </c>
      <c r="IF5" s="504">
        <v>0</v>
      </c>
      <c r="IG5" s="504">
        <v>0</v>
      </c>
      <c r="IH5" s="504">
        <v>0</v>
      </c>
      <c r="II5" s="504">
        <v>0</v>
      </c>
      <c r="IJ5" s="504">
        <v>0</v>
      </c>
      <c r="IK5" s="504">
        <v>0</v>
      </c>
      <c r="IL5" s="504">
        <v>0</v>
      </c>
      <c r="IM5" s="504">
        <v>0</v>
      </c>
      <c r="IN5" s="504">
        <v>0</v>
      </c>
      <c r="IO5" s="504">
        <v>0</v>
      </c>
      <c r="IP5" s="504">
        <v>0</v>
      </c>
      <c r="IQ5" s="504">
        <v>0</v>
      </c>
      <c r="IR5" s="504">
        <v>0</v>
      </c>
      <c r="IS5" s="504">
        <v>0</v>
      </c>
      <c r="IT5" s="504">
        <v>0</v>
      </c>
      <c r="IU5" s="504">
        <v>0</v>
      </c>
      <c r="IV5" s="504">
        <v>0</v>
      </c>
      <c r="IW5" s="504">
        <v>0</v>
      </c>
      <c r="IX5" s="504">
        <v>0</v>
      </c>
      <c r="IY5" s="504">
        <v>0</v>
      </c>
      <c r="IZ5" s="504">
        <v>0</v>
      </c>
      <c r="JA5" s="504">
        <v>0</v>
      </c>
      <c r="JB5" s="504">
        <v>0</v>
      </c>
      <c r="JC5" s="504">
        <v>0</v>
      </c>
      <c r="JD5" s="504">
        <v>0</v>
      </c>
      <c r="JE5" s="504">
        <v>0</v>
      </c>
      <c r="JF5" s="504">
        <v>0</v>
      </c>
      <c r="JG5" s="504">
        <v>0</v>
      </c>
      <c r="JH5" s="504">
        <v>0</v>
      </c>
      <c r="JI5" s="504">
        <v>0</v>
      </c>
      <c r="JJ5" s="504">
        <v>0</v>
      </c>
      <c r="JK5" s="504">
        <v>0</v>
      </c>
      <c r="JL5" s="504">
        <v>0</v>
      </c>
      <c r="JM5" s="504">
        <v>0</v>
      </c>
      <c r="JN5" s="504">
        <v>0</v>
      </c>
      <c r="JO5" s="504">
        <v>0</v>
      </c>
      <c r="JP5" s="504">
        <v>0</v>
      </c>
      <c r="JQ5" s="504">
        <v>0</v>
      </c>
      <c r="JR5" s="504">
        <v>0</v>
      </c>
      <c r="JS5" s="504">
        <v>0</v>
      </c>
      <c r="JT5" s="504">
        <v>0</v>
      </c>
      <c r="JU5" s="504">
        <v>0</v>
      </c>
      <c r="JV5" s="504">
        <v>0</v>
      </c>
      <c r="JW5" s="504">
        <v>0</v>
      </c>
      <c r="JX5" s="504">
        <v>0</v>
      </c>
      <c r="JY5" s="504">
        <v>0</v>
      </c>
      <c r="JZ5" s="504">
        <v>0</v>
      </c>
      <c r="KA5" s="504">
        <v>0</v>
      </c>
      <c r="KB5" s="504">
        <v>0</v>
      </c>
      <c r="KC5" s="504">
        <v>0</v>
      </c>
      <c r="KD5" s="504">
        <v>0</v>
      </c>
      <c r="KE5" s="504">
        <v>0</v>
      </c>
      <c r="KF5" s="504">
        <v>0</v>
      </c>
      <c r="KG5" s="504">
        <v>0</v>
      </c>
      <c r="KH5" s="504">
        <v>0</v>
      </c>
      <c r="KI5" s="504">
        <v>0</v>
      </c>
      <c r="KJ5" s="504">
        <v>0</v>
      </c>
      <c r="KK5" s="504">
        <v>0</v>
      </c>
      <c r="KL5" s="504">
        <v>0</v>
      </c>
      <c r="KM5" s="504">
        <v>0</v>
      </c>
      <c r="KN5" s="504">
        <v>0</v>
      </c>
      <c r="KO5" s="504">
        <v>0</v>
      </c>
      <c r="KP5" s="504">
        <v>0</v>
      </c>
      <c r="KQ5" s="504">
        <v>0</v>
      </c>
      <c r="KR5" s="504">
        <v>0</v>
      </c>
      <c r="KS5" s="504">
        <v>0</v>
      </c>
      <c r="KT5" s="1654">
        <v>0</v>
      </c>
      <c r="KU5" s="504">
        <v>0</v>
      </c>
      <c r="KV5" s="504">
        <v>0</v>
      </c>
      <c r="KW5" s="504">
        <v>0</v>
      </c>
      <c r="KX5" s="504">
        <v>1077</v>
      </c>
      <c r="KY5" s="504">
        <v>1296</v>
      </c>
      <c r="KZ5" s="504">
        <v>1561</v>
      </c>
      <c r="LA5" s="504">
        <v>0</v>
      </c>
      <c r="LB5" s="504">
        <v>0</v>
      </c>
      <c r="LC5" s="504">
        <v>0</v>
      </c>
      <c r="LD5" s="504">
        <v>0</v>
      </c>
      <c r="LE5" s="504">
        <v>0</v>
      </c>
      <c r="LF5" s="504">
        <v>0</v>
      </c>
      <c r="LG5" s="504">
        <v>0</v>
      </c>
      <c r="LH5" s="504">
        <v>0</v>
      </c>
      <c r="LI5" s="504">
        <v>0</v>
      </c>
      <c r="LJ5" s="504">
        <v>0</v>
      </c>
      <c r="LK5" s="504">
        <v>0</v>
      </c>
      <c r="LL5" s="504">
        <v>0</v>
      </c>
      <c r="LM5" s="504">
        <v>0</v>
      </c>
      <c r="LN5" s="504">
        <v>0</v>
      </c>
      <c r="LO5" s="504">
        <v>0</v>
      </c>
      <c r="LP5" s="504">
        <v>0</v>
      </c>
      <c r="LQ5" s="504">
        <v>0</v>
      </c>
      <c r="LR5" s="504">
        <v>0</v>
      </c>
      <c r="LS5" s="504">
        <v>0</v>
      </c>
      <c r="LT5" s="504">
        <v>0</v>
      </c>
      <c r="LU5" s="504">
        <v>0</v>
      </c>
      <c r="LV5" s="504">
        <v>0</v>
      </c>
      <c r="LW5" s="504">
        <v>0</v>
      </c>
      <c r="LX5" s="504">
        <v>0</v>
      </c>
      <c r="LY5" s="504">
        <v>0</v>
      </c>
      <c r="LZ5" s="504">
        <v>0</v>
      </c>
      <c r="MA5" s="504">
        <v>0</v>
      </c>
      <c r="MB5" s="504">
        <v>0</v>
      </c>
      <c r="MC5" s="504">
        <v>0</v>
      </c>
      <c r="MD5" s="504">
        <v>0</v>
      </c>
      <c r="ME5" s="504">
        <v>0</v>
      </c>
      <c r="MF5" s="504">
        <v>0</v>
      </c>
      <c r="MG5" s="504">
        <v>0</v>
      </c>
      <c r="MH5" s="504">
        <v>0</v>
      </c>
      <c r="MI5" s="504">
        <v>0</v>
      </c>
      <c r="MJ5" s="504">
        <v>0</v>
      </c>
      <c r="MK5" s="504">
        <v>0</v>
      </c>
      <c r="ML5" s="504">
        <v>0</v>
      </c>
      <c r="MM5" s="504">
        <v>0</v>
      </c>
      <c r="MN5" s="504">
        <v>0</v>
      </c>
      <c r="MO5" s="504">
        <v>0</v>
      </c>
      <c r="MP5" s="504">
        <v>0</v>
      </c>
      <c r="MQ5" s="504">
        <v>0</v>
      </c>
      <c r="MR5" s="504">
        <v>0</v>
      </c>
      <c r="MS5" s="504">
        <v>0</v>
      </c>
      <c r="MT5" s="504">
        <v>0</v>
      </c>
      <c r="MU5" s="504">
        <v>0</v>
      </c>
      <c r="MV5" s="504">
        <v>0</v>
      </c>
      <c r="MW5" s="504">
        <v>0</v>
      </c>
      <c r="MX5" s="504">
        <v>0</v>
      </c>
      <c r="MY5" s="504">
        <v>0</v>
      </c>
      <c r="MZ5" s="504">
        <v>0</v>
      </c>
      <c r="NA5" s="504">
        <v>0</v>
      </c>
      <c r="NB5" s="504">
        <v>0</v>
      </c>
      <c r="NC5" s="504">
        <v>0</v>
      </c>
      <c r="ND5" s="504">
        <v>0</v>
      </c>
      <c r="NE5" s="504">
        <v>0</v>
      </c>
      <c r="NF5" s="504">
        <v>0</v>
      </c>
      <c r="NG5" s="504">
        <v>0</v>
      </c>
      <c r="NH5" s="504">
        <v>0</v>
      </c>
      <c r="NI5" s="504">
        <v>0</v>
      </c>
      <c r="NJ5" s="504">
        <v>0</v>
      </c>
      <c r="NK5" s="504">
        <v>0</v>
      </c>
      <c r="NL5" s="504">
        <v>0</v>
      </c>
      <c r="NM5" s="504">
        <v>0</v>
      </c>
      <c r="NN5" s="504">
        <v>0</v>
      </c>
      <c r="NO5" s="504">
        <v>0</v>
      </c>
      <c r="NP5" s="504">
        <v>0</v>
      </c>
      <c r="NQ5" s="504">
        <v>0</v>
      </c>
      <c r="NR5" s="504">
        <v>0</v>
      </c>
      <c r="NS5" s="504">
        <v>0</v>
      </c>
      <c r="NT5" s="504">
        <v>0</v>
      </c>
      <c r="NU5" s="504">
        <v>0</v>
      </c>
      <c r="NV5" s="504">
        <v>0</v>
      </c>
      <c r="NW5" s="504">
        <v>0</v>
      </c>
      <c r="NX5" s="504">
        <v>0</v>
      </c>
      <c r="NY5" s="504">
        <v>0</v>
      </c>
      <c r="NZ5" s="504">
        <v>0</v>
      </c>
      <c r="OA5" s="504">
        <v>0</v>
      </c>
      <c r="OB5" s="504">
        <v>0</v>
      </c>
      <c r="OC5" s="504">
        <v>0</v>
      </c>
      <c r="OD5" s="504">
        <v>0</v>
      </c>
      <c r="OE5" s="504">
        <v>0</v>
      </c>
      <c r="OF5" s="504">
        <v>0</v>
      </c>
      <c r="OG5" s="504">
        <v>0</v>
      </c>
      <c r="OH5" s="504">
        <v>0</v>
      </c>
      <c r="OI5" s="504">
        <v>0</v>
      </c>
      <c r="OJ5" s="504">
        <v>0</v>
      </c>
      <c r="OK5" s="504">
        <v>0</v>
      </c>
      <c r="OL5" s="504">
        <v>0</v>
      </c>
      <c r="OM5" s="504">
        <v>0</v>
      </c>
      <c r="ON5" s="504">
        <v>0</v>
      </c>
      <c r="OO5" s="504">
        <v>0</v>
      </c>
      <c r="OP5" s="504">
        <v>0</v>
      </c>
      <c r="OQ5" s="504">
        <v>0</v>
      </c>
      <c r="OR5"/>
      <c r="OS5"/>
      <c r="OT5"/>
      <c r="OU5"/>
      <c r="OV5"/>
      <c r="OW5"/>
      <c r="OX5"/>
      <c r="OY5"/>
      <c r="OZ5"/>
      <c r="PA5"/>
      <c r="PB5"/>
      <c r="PC5"/>
      <c r="PD5"/>
      <c r="PE5"/>
      <c r="PF5"/>
      <c r="PG5"/>
      <c r="PH5"/>
      <c r="PI5"/>
      <c r="PJ5"/>
      <c r="PK5"/>
      <c r="PL5"/>
      <c r="PM5"/>
      <c r="PN5"/>
      <c r="PO5"/>
      <c r="PP5"/>
      <c r="PQ5"/>
      <c r="PR5"/>
      <c r="PS5"/>
      <c r="PT5" s="1656"/>
    </row>
    <row r="6" spans="1:436" ht="21.5">
      <c r="A6" s="1466" t="s">
        <v>1668</v>
      </c>
      <c r="B6" s="1576" t="s">
        <v>2358</v>
      </c>
      <c r="C6" s="1576" t="s">
        <v>13</v>
      </c>
      <c r="D6" s="1576">
        <v>29</v>
      </c>
      <c r="E6" s="504">
        <v>38</v>
      </c>
      <c r="F6" s="504">
        <v>157</v>
      </c>
      <c r="G6" s="504">
        <v>405</v>
      </c>
      <c r="H6" s="504">
        <v>635</v>
      </c>
      <c r="I6" s="504">
        <v>911</v>
      </c>
      <c r="J6" s="504">
        <v>1113</v>
      </c>
      <c r="K6" s="504">
        <v>1125</v>
      </c>
      <c r="L6" s="504">
        <v>1137</v>
      </c>
      <c r="M6" s="504">
        <v>1149</v>
      </c>
      <c r="N6" s="504">
        <v>1161</v>
      </c>
      <c r="O6" s="504">
        <v>1174</v>
      </c>
      <c r="P6" s="504">
        <v>1187</v>
      </c>
      <c r="Q6" s="504">
        <v>1201</v>
      </c>
      <c r="R6" s="504">
        <v>1214</v>
      </c>
      <c r="S6" s="504">
        <v>1228</v>
      </c>
      <c r="T6" s="504">
        <v>1242</v>
      </c>
      <c r="U6" s="504">
        <v>1257</v>
      </c>
      <c r="V6" s="504">
        <v>1272</v>
      </c>
      <c r="W6" s="504">
        <v>1287</v>
      </c>
      <c r="X6" s="504">
        <v>1303</v>
      </c>
      <c r="Y6" s="504">
        <v>1318</v>
      </c>
      <c r="Z6" s="504">
        <v>1335</v>
      </c>
      <c r="AA6" s="504">
        <v>1351</v>
      </c>
      <c r="AB6" s="504">
        <v>1368</v>
      </c>
      <c r="AC6" s="504">
        <v>1385</v>
      </c>
      <c r="AD6" s="504">
        <v>1402</v>
      </c>
      <c r="AE6" s="504">
        <v>1420</v>
      </c>
      <c r="AF6" s="504">
        <v>1438</v>
      </c>
      <c r="AG6" s="504">
        <v>1457</v>
      </c>
      <c r="AH6" s="504">
        <v>1475</v>
      </c>
      <c r="AI6" s="504">
        <v>1494</v>
      </c>
      <c r="AJ6" s="504">
        <v>1514</v>
      </c>
      <c r="AK6" s="504">
        <v>1533</v>
      </c>
      <c r="AL6" s="504">
        <v>1553</v>
      </c>
      <c r="AM6" s="504">
        <v>1573</v>
      </c>
      <c r="AN6" s="504">
        <v>1594</v>
      </c>
      <c r="AO6" s="504">
        <v>1615</v>
      </c>
      <c r="AP6" s="504">
        <v>1636</v>
      </c>
      <c r="AQ6" s="504">
        <v>1657</v>
      </c>
      <c r="AR6" s="504">
        <v>1679</v>
      </c>
      <c r="AS6" s="504">
        <v>1701</v>
      </c>
      <c r="AT6" s="504">
        <v>1724</v>
      </c>
      <c r="AU6" s="504">
        <v>1747</v>
      </c>
      <c r="AV6" s="504">
        <v>1770</v>
      </c>
      <c r="AW6" s="504">
        <v>1795</v>
      </c>
      <c r="AX6" s="504">
        <v>1821</v>
      </c>
      <c r="AY6" s="504">
        <v>1848</v>
      </c>
      <c r="AZ6" s="504">
        <v>1876</v>
      </c>
      <c r="BA6" s="504">
        <v>1908</v>
      </c>
      <c r="BB6" s="504">
        <v>1942</v>
      </c>
      <c r="BC6" s="504">
        <v>2000</v>
      </c>
      <c r="BD6" s="504">
        <v>0</v>
      </c>
      <c r="BE6" s="504">
        <v>0</v>
      </c>
      <c r="BF6" s="504">
        <v>0</v>
      </c>
      <c r="BG6" s="504">
        <v>0</v>
      </c>
      <c r="BH6" s="504">
        <v>0</v>
      </c>
      <c r="BI6" s="504">
        <v>0</v>
      </c>
      <c r="BJ6" s="504">
        <v>0</v>
      </c>
      <c r="BK6" s="504">
        <v>0</v>
      </c>
      <c r="BL6" s="504">
        <v>0</v>
      </c>
      <c r="BM6" s="504">
        <v>0</v>
      </c>
      <c r="BN6" s="504">
        <v>0</v>
      </c>
      <c r="BO6" s="504">
        <v>0</v>
      </c>
      <c r="BP6" s="504">
        <v>0</v>
      </c>
      <c r="BQ6" s="504">
        <v>0</v>
      </c>
      <c r="BR6" s="504">
        <v>0</v>
      </c>
      <c r="BS6" s="504">
        <v>0</v>
      </c>
      <c r="BT6" s="504">
        <v>0</v>
      </c>
      <c r="BU6" s="504">
        <v>0</v>
      </c>
      <c r="BV6" s="504">
        <v>0</v>
      </c>
      <c r="BW6" s="504">
        <v>0</v>
      </c>
      <c r="BX6" s="504">
        <v>0</v>
      </c>
      <c r="BY6" s="504">
        <v>0</v>
      </c>
      <c r="BZ6" s="504">
        <v>0</v>
      </c>
      <c r="CA6" s="504">
        <v>0</v>
      </c>
      <c r="CB6" s="504">
        <v>0</v>
      </c>
      <c r="CC6" s="504">
        <v>0</v>
      </c>
      <c r="CD6" s="504">
        <v>0</v>
      </c>
      <c r="CE6" s="504">
        <v>0</v>
      </c>
      <c r="CF6" s="504">
        <v>0</v>
      </c>
      <c r="CG6" s="504">
        <v>0</v>
      </c>
      <c r="CH6" s="504">
        <v>0</v>
      </c>
      <c r="CI6" s="504">
        <v>0</v>
      </c>
      <c r="CJ6" s="504">
        <v>0</v>
      </c>
      <c r="CK6" s="504">
        <v>0</v>
      </c>
      <c r="CL6" s="504">
        <v>0</v>
      </c>
      <c r="CM6" s="504">
        <v>0</v>
      </c>
      <c r="CN6" s="504">
        <v>0</v>
      </c>
      <c r="CO6" s="504">
        <v>0</v>
      </c>
      <c r="CP6" s="504">
        <v>0</v>
      </c>
      <c r="CQ6" s="504">
        <v>0</v>
      </c>
      <c r="CR6" s="504">
        <v>0</v>
      </c>
      <c r="CS6" s="504">
        <v>0</v>
      </c>
      <c r="CT6" s="504">
        <v>0</v>
      </c>
      <c r="CU6" s="504">
        <v>0</v>
      </c>
      <c r="CV6" s="504">
        <v>0</v>
      </c>
      <c r="CW6" s="504">
        <v>0</v>
      </c>
      <c r="CX6" s="504">
        <v>0</v>
      </c>
      <c r="CY6" s="504">
        <v>0</v>
      </c>
      <c r="CZ6" s="1654">
        <v>0</v>
      </c>
      <c r="DA6" s="504">
        <v>0</v>
      </c>
      <c r="DB6" s="504">
        <v>127</v>
      </c>
      <c r="DC6" s="504">
        <v>512</v>
      </c>
      <c r="DD6" s="504">
        <v>1090</v>
      </c>
      <c r="DE6" s="504">
        <v>1312</v>
      </c>
      <c r="DF6" s="504">
        <v>1580</v>
      </c>
      <c r="DG6" s="504">
        <v>0</v>
      </c>
      <c r="DH6" s="504">
        <v>0</v>
      </c>
      <c r="DI6" s="504">
        <v>0</v>
      </c>
      <c r="DJ6" s="504">
        <v>0</v>
      </c>
      <c r="DK6" s="504">
        <v>0</v>
      </c>
      <c r="DL6" s="504">
        <v>0</v>
      </c>
      <c r="DM6" s="504">
        <v>0</v>
      </c>
      <c r="DN6" s="504">
        <v>0</v>
      </c>
      <c r="DO6" s="504">
        <v>0</v>
      </c>
      <c r="DP6" s="504">
        <v>0</v>
      </c>
      <c r="DQ6" s="504">
        <v>0</v>
      </c>
      <c r="DR6" s="504">
        <v>0</v>
      </c>
      <c r="DS6" s="504">
        <v>0</v>
      </c>
      <c r="DT6" s="504">
        <v>0</v>
      </c>
      <c r="DU6" s="504">
        <v>0</v>
      </c>
      <c r="DV6" s="504">
        <v>0</v>
      </c>
      <c r="DW6" s="504">
        <v>0</v>
      </c>
      <c r="DX6" s="504">
        <v>0</v>
      </c>
      <c r="DY6" s="504">
        <v>0</v>
      </c>
      <c r="DZ6" s="504">
        <v>0</v>
      </c>
      <c r="EA6" s="504">
        <v>0</v>
      </c>
      <c r="EB6" s="504">
        <v>0</v>
      </c>
      <c r="EC6" s="504">
        <v>0</v>
      </c>
      <c r="ED6" s="504">
        <v>0</v>
      </c>
      <c r="EE6" s="504">
        <v>0</v>
      </c>
      <c r="EF6" s="504">
        <v>0</v>
      </c>
      <c r="EG6" s="504">
        <v>0</v>
      </c>
      <c r="EH6" s="504">
        <v>0</v>
      </c>
      <c r="EI6" s="504">
        <v>0</v>
      </c>
      <c r="EJ6" s="504">
        <v>0</v>
      </c>
      <c r="EK6" s="504">
        <v>0</v>
      </c>
      <c r="EL6" s="504">
        <v>0</v>
      </c>
      <c r="EM6" s="504">
        <v>0</v>
      </c>
      <c r="EN6" s="504">
        <v>0</v>
      </c>
      <c r="EO6" s="504">
        <v>0</v>
      </c>
      <c r="EP6" s="504">
        <v>0</v>
      </c>
      <c r="EQ6" s="504">
        <v>0</v>
      </c>
      <c r="ER6" s="504">
        <v>0</v>
      </c>
      <c r="ES6" s="504">
        <v>0</v>
      </c>
      <c r="ET6" s="504">
        <v>0</v>
      </c>
      <c r="EU6" s="504">
        <v>0</v>
      </c>
      <c r="EV6" s="504">
        <v>0</v>
      </c>
      <c r="EW6" s="504">
        <v>0</v>
      </c>
      <c r="EX6" s="504">
        <v>0</v>
      </c>
      <c r="EY6" s="504">
        <v>0</v>
      </c>
      <c r="EZ6" s="504">
        <v>0</v>
      </c>
      <c r="FA6" s="504">
        <v>0</v>
      </c>
      <c r="FB6" s="504">
        <v>0</v>
      </c>
      <c r="FC6" s="504">
        <v>0</v>
      </c>
      <c r="FD6" s="504">
        <v>0</v>
      </c>
      <c r="FE6" s="504">
        <v>0</v>
      </c>
      <c r="FF6" s="504">
        <v>0</v>
      </c>
      <c r="FG6" s="504">
        <v>0</v>
      </c>
      <c r="FH6" s="504">
        <v>0</v>
      </c>
      <c r="FI6" s="504">
        <v>0</v>
      </c>
      <c r="FJ6" s="504">
        <v>0</v>
      </c>
      <c r="FK6" s="504">
        <v>0</v>
      </c>
      <c r="FL6" s="504">
        <v>0</v>
      </c>
      <c r="FM6" s="504">
        <v>0</v>
      </c>
      <c r="FN6" s="504">
        <v>0</v>
      </c>
      <c r="FO6" s="504">
        <v>0</v>
      </c>
      <c r="FP6" s="504">
        <v>0</v>
      </c>
      <c r="FQ6" s="504">
        <v>0</v>
      </c>
      <c r="FR6" s="504">
        <v>0</v>
      </c>
      <c r="FS6" s="504">
        <v>0</v>
      </c>
      <c r="FT6" s="504">
        <v>0</v>
      </c>
      <c r="FU6" s="504">
        <v>0</v>
      </c>
      <c r="FV6" s="504">
        <v>0</v>
      </c>
      <c r="FW6" s="504">
        <v>0</v>
      </c>
      <c r="FX6" s="504">
        <v>0</v>
      </c>
      <c r="FY6" s="504">
        <v>0</v>
      </c>
      <c r="FZ6" s="504">
        <v>0</v>
      </c>
      <c r="GA6" s="504">
        <v>0</v>
      </c>
      <c r="GB6" s="504">
        <v>0</v>
      </c>
      <c r="GC6" s="504">
        <v>0</v>
      </c>
      <c r="GD6" s="504">
        <v>0</v>
      </c>
      <c r="GE6" s="504">
        <v>0</v>
      </c>
      <c r="GF6" s="504">
        <v>0</v>
      </c>
      <c r="GG6" s="504">
        <v>0</v>
      </c>
      <c r="GH6" s="504">
        <v>0</v>
      </c>
      <c r="GI6" s="504">
        <v>0</v>
      </c>
      <c r="GJ6" s="504">
        <v>0</v>
      </c>
      <c r="GK6" s="504">
        <v>0</v>
      </c>
      <c r="GL6" s="504">
        <v>0</v>
      </c>
      <c r="GM6" s="504">
        <v>0</v>
      </c>
      <c r="GN6" s="504">
        <v>0</v>
      </c>
      <c r="GO6" s="504">
        <v>0</v>
      </c>
      <c r="GP6" s="504">
        <v>0</v>
      </c>
      <c r="GQ6" s="504">
        <v>0</v>
      </c>
      <c r="GR6" s="504">
        <v>0</v>
      </c>
      <c r="GS6" s="504">
        <v>0</v>
      </c>
      <c r="GT6" s="504">
        <v>0</v>
      </c>
      <c r="GU6" s="504">
        <v>0</v>
      </c>
      <c r="GV6" s="504">
        <v>0</v>
      </c>
      <c r="GW6" s="1654">
        <v>0</v>
      </c>
      <c r="GX6" s="504">
        <v>0</v>
      </c>
      <c r="GY6" s="504">
        <v>15305</v>
      </c>
      <c r="GZ6" s="504">
        <v>38244</v>
      </c>
      <c r="HA6" s="504">
        <v>48000</v>
      </c>
      <c r="HB6" s="504">
        <v>47000</v>
      </c>
      <c r="HC6" s="504">
        <v>46000</v>
      </c>
      <c r="HD6" s="504">
        <v>0</v>
      </c>
      <c r="HE6" s="504">
        <v>0</v>
      </c>
      <c r="HF6" s="504">
        <v>0</v>
      </c>
      <c r="HG6" s="504">
        <v>0</v>
      </c>
      <c r="HH6" s="504">
        <v>0</v>
      </c>
      <c r="HI6" s="504">
        <v>0</v>
      </c>
      <c r="HJ6" s="504">
        <v>0</v>
      </c>
      <c r="HK6" s="504">
        <v>0</v>
      </c>
      <c r="HL6" s="504">
        <v>0</v>
      </c>
      <c r="HM6" s="504">
        <v>0</v>
      </c>
      <c r="HN6" s="504">
        <v>0</v>
      </c>
      <c r="HO6" s="504">
        <v>0</v>
      </c>
      <c r="HP6" s="504">
        <v>0</v>
      </c>
      <c r="HQ6" s="504">
        <v>0</v>
      </c>
      <c r="HR6" s="504">
        <v>0</v>
      </c>
      <c r="HS6" s="504">
        <v>0</v>
      </c>
      <c r="HT6" s="504">
        <v>0</v>
      </c>
      <c r="HU6" s="504">
        <v>0</v>
      </c>
      <c r="HV6" s="504">
        <v>0</v>
      </c>
      <c r="HW6" s="504">
        <v>0</v>
      </c>
      <c r="HX6" s="504">
        <v>0</v>
      </c>
      <c r="HY6" s="504">
        <v>0</v>
      </c>
      <c r="HZ6" s="504">
        <v>0</v>
      </c>
      <c r="IA6" s="504">
        <v>0</v>
      </c>
      <c r="IB6" s="504">
        <v>0</v>
      </c>
      <c r="IC6" s="504">
        <v>0</v>
      </c>
      <c r="ID6" s="504">
        <v>0</v>
      </c>
      <c r="IE6" s="504">
        <v>0</v>
      </c>
      <c r="IF6" s="504">
        <v>0</v>
      </c>
      <c r="IG6" s="504">
        <v>0</v>
      </c>
      <c r="IH6" s="504">
        <v>0</v>
      </c>
      <c r="II6" s="504">
        <v>0</v>
      </c>
      <c r="IJ6" s="504">
        <v>0</v>
      </c>
      <c r="IK6" s="504">
        <v>0</v>
      </c>
      <c r="IL6" s="504">
        <v>0</v>
      </c>
      <c r="IM6" s="504">
        <v>0</v>
      </c>
      <c r="IN6" s="504">
        <v>0</v>
      </c>
      <c r="IO6" s="504">
        <v>0</v>
      </c>
      <c r="IP6" s="504">
        <v>0</v>
      </c>
      <c r="IQ6" s="504">
        <v>0</v>
      </c>
      <c r="IR6" s="504">
        <v>0</v>
      </c>
      <c r="IS6" s="504">
        <v>0</v>
      </c>
      <c r="IT6" s="504">
        <v>0</v>
      </c>
      <c r="IU6" s="504">
        <v>0</v>
      </c>
      <c r="IV6" s="504">
        <v>0</v>
      </c>
      <c r="IW6" s="504">
        <v>0</v>
      </c>
      <c r="IX6" s="504">
        <v>0</v>
      </c>
      <c r="IY6" s="504">
        <v>0</v>
      </c>
      <c r="IZ6" s="504">
        <v>0</v>
      </c>
      <c r="JA6" s="504">
        <v>0</v>
      </c>
      <c r="JB6" s="504">
        <v>0</v>
      </c>
      <c r="JC6" s="504">
        <v>0</v>
      </c>
      <c r="JD6" s="504">
        <v>0</v>
      </c>
      <c r="JE6" s="504">
        <v>0</v>
      </c>
      <c r="JF6" s="504">
        <v>0</v>
      </c>
      <c r="JG6" s="504">
        <v>0</v>
      </c>
      <c r="JH6" s="504">
        <v>0</v>
      </c>
      <c r="JI6" s="504">
        <v>0</v>
      </c>
      <c r="JJ6" s="504">
        <v>0</v>
      </c>
      <c r="JK6" s="504">
        <v>0</v>
      </c>
      <c r="JL6" s="504">
        <v>0</v>
      </c>
      <c r="JM6" s="504">
        <v>0</v>
      </c>
      <c r="JN6" s="504">
        <v>0</v>
      </c>
      <c r="JO6" s="504">
        <v>0</v>
      </c>
      <c r="JP6" s="504">
        <v>0</v>
      </c>
      <c r="JQ6" s="504">
        <v>0</v>
      </c>
      <c r="JR6" s="504">
        <v>0</v>
      </c>
      <c r="JS6" s="504">
        <v>0</v>
      </c>
      <c r="JT6" s="504">
        <v>0</v>
      </c>
      <c r="JU6" s="504">
        <v>0</v>
      </c>
      <c r="JV6" s="504">
        <v>0</v>
      </c>
      <c r="JW6" s="504">
        <v>0</v>
      </c>
      <c r="JX6" s="504">
        <v>0</v>
      </c>
      <c r="JY6" s="504">
        <v>0</v>
      </c>
      <c r="JZ6" s="504">
        <v>0</v>
      </c>
      <c r="KA6" s="504">
        <v>0</v>
      </c>
      <c r="KB6" s="504">
        <v>0</v>
      </c>
      <c r="KC6" s="504">
        <v>0</v>
      </c>
      <c r="KD6" s="504">
        <v>0</v>
      </c>
      <c r="KE6" s="504">
        <v>0</v>
      </c>
      <c r="KF6" s="504">
        <v>0</v>
      </c>
      <c r="KG6" s="504">
        <v>0</v>
      </c>
      <c r="KH6" s="504">
        <v>0</v>
      </c>
      <c r="KI6" s="504">
        <v>0</v>
      </c>
      <c r="KJ6" s="504">
        <v>0</v>
      </c>
      <c r="KK6" s="504">
        <v>0</v>
      </c>
      <c r="KL6" s="504">
        <v>0</v>
      </c>
      <c r="KM6" s="504">
        <v>0</v>
      </c>
      <c r="KN6" s="504">
        <v>0</v>
      </c>
      <c r="KO6" s="504">
        <v>0</v>
      </c>
      <c r="KP6" s="504">
        <v>0</v>
      </c>
      <c r="KQ6" s="504">
        <v>0</v>
      </c>
      <c r="KR6" s="504">
        <v>0</v>
      </c>
      <c r="KS6" s="504">
        <v>0</v>
      </c>
      <c r="KT6" s="1654">
        <v>0</v>
      </c>
      <c r="KU6" s="504">
        <v>0</v>
      </c>
      <c r="KV6" s="504">
        <v>0</v>
      </c>
      <c r="KW6" s="504">
        <v>0</v>
      </c>
      <c r="KX6" s="504">
        <v>1072</v>
      </c>
      <c r="KY6" s="504">
        <v>1294</v>
      </c>
      <c r="KZ6" s="504">
        <v>1561</v>
      </c>
      <c r="LA6" s="504">
        <v>0</v>
      </c>
      <c r="LB6" s="504">
        <v>0</v>
      </c>
      <c r="LC6" s="504">
        <v>0</v>
      </c>
      <c r="LD6" s="504">
        <v>0</v>
      </c>
      <c r="LE6" s="504">
        <v>0</v>
      </c>
      <c r="LF6" s="504">
        <v>0</v>
      </c>
      <c r="LG6" s="504">
        <v>0</v>
      </c>
      <c r="LH6" s="504">
        <v>0</v>
      </c>
      <c r="LI6" s="504">
        <v>0</v>
      </c>
      <c r="LJ6" s="504">
        <v>0</v>
      </c>
      <c r="LK6" s="504">
        <v>0</v>
      </c>
      <c r="LL6" s="504">
        <v>0</v>
      </c>
      <c r="LM6" s="504">
        <v>0</v>
      </c>
      <c r="LN6" s="504">
        <v>0</v>
      </c>
      <c r="LO6" s="504">
        <v>0</v>
      </c>
      <c r="LP6" s="504">
        <v>0</v>
      </c>
      <c r="LQ6" s="504">
        <v>0</v>
      </c>
      <c r="LR6" s="504">
        <v>0</v>
      </c>
      <c r="LS6" s="504">
        <v>0</v>
      </c>
      <c r="LT6" s="504">
        <v>0</v>
      </c>
      <c r="LU6" s="504">
        <v>0</v>
      </c>
      <c r="LV6" s="504">
        <v>0</v>
      </c>
      <c r="LW6" s="504">
        <v>0</v>
      </c>
      <c r="LX6" s="504">
        <v>0</v>
      </c>
      <c r="LY6" s="504">
        <v>0</v>
      </c>
      <c r="LZ6" s="504">
        <v>0</v>
      </c>
      <c r="MA6" s="504">
        <v>0</v>
      </c>
      <c r="MB6" s="504">
        <v>0</v>
      </c>
      <c r="MC6" s="504">
        <v>0</v>
      </c>
      <c r="MD6" s="504">
        <v>0</v>
      </c>
      <c r="ME6" s="504">
        <v>0</v>
      </c>
      <c r="MF6" s="504">
        <v>0</v>
      </c>
      <c r="MG6" s="504">
        <v>0</v>
      </c>
      <c r="MH6" s="504">
        <v>0</v>
      </c>
      <c r="MI6" s="504">
        <v>0</v>
      </c>
      <c r="MJ6" s="504">
        <v>0</v>
      </c>
      <c r="MK6" s="504">
        <v>0</v>
      </c>
      <c r="ML6" s="504">
        <v>0</v>
      </c>
      <c r="MM6" s="504">
        <v>0</v>
      </c>
      <c r="MN6" s="504">
        <v>0</v>
      </c>
      <c r="MO6" s="504">
        <v>0</v>
      </c>
      <c r="MP6" s="504">
        <v>0</v>
      </c>
      <c r="MQ6" s="504">
        <v>0</v>
      </c>
      <c r="MR6" s="504">
        <v>0</v>
      </c>
      <c r="MS6" s="504">
        <v>0</v>
      </c>
      <c r="MT6" s="504">
        <v>0</v>
      </c>
      <c r="MU6" s="504">
        <v>0</v>
      </c>
      <c r="MV6" s="504">
        <v>0</v>
      </c>
      <c r="MW6" s="504">
        <v>0</v>
      </c>
      <c r="MX6" s="504">
        <v>0</v>
      </c>
      <c r="MY6" s="504">
        <v>0</v>
      </c>
      <c r="MZ6" s="504">
        <v>0</v>
      </c>
      <c r="NA6" s="504">
        <v>0</v>
      </c>
      <c r="NB6" s="504">
        <v>0</v>
      </c>
      <c r="NC6" s="504">
        <v>0</v>
      </c>
      <c r="ND6" s="504">
        <v>0</v>
      </c>
      <c r="NE6" s="504">
        <v>0</v>
      </c>
      <c r="NF6" s="504">
        <v>0</v>
      </c>
      <c r="NG6" s="504">
        <v>0</v>
      </c>
      <c r="NH6" s="504">
        <v>0</v>
      </c>
      <c r="NI6" s="504">
        <v>0</v>
      </c>
      <c r="NJ6" s="504">
        <v>0</v>
      </c>
      <c r="NK6" s="504">
        <v>0</v>
      </c>
      <c r="NL6" s="504">
        <v>0</v>
      </c>
      <c r="NM6" s="504">
        <v>0</v>
      </c>
      <c r="NN6" s="504">
        <v>0</v>
      </c>
      <c r="NO6" s="504">
        <v>0</v>
      </c>
      <c r="NP6" s="504">
        <v>0</v>
      </c>
      <c r="NQ6" s="504">
        <v>0</v>
      </c>
      <c r="NR6" s="504">
        <v>0</v>
      </c>
      <c r="NS6" s="504">
        <v>0</v>
      </c>
      <c r="NT6" s="504">
        <v>0</v>
      </c>
      <c r="NU6" s="504">
        <v>0</v>
      </c>
      <c r="NV6" s="504">
        <v>0</v>
      </c>
      <c r="NW6" s="504">
        <v>0</v>
      </c>
      <c r="NX6" s="504">
        <v>0</v>
      </c>
      <c r="NY6" s="504">
        <v>0</v>
      </c>
      <c r="NZ6" s="504">
        <v>0</v>
      </c>
      <c r="OA6" s="504">
        <v>0</v>
      </c>
      <c r="OB6" s="504">
        <v>0</v>
      </c>
      <c r="OC6" s="504">
        <v>0</v>
      </c>
      <c r="OD6" s="504">
        <v>0</v>
      </c>
      <c r="OE6" s="504">
        <v>0</v>
      </c>
      <c r="OF6" s="504">
        <v>0</v>
      </c>
      <c r="OG6" s="504">
        <v>0</v>
      </c>
      <c r="OH6" s="504">
        <v>0</v>
      </c>
      <c r="OI6" s="504">
        <v>0</v>
      </c>
      <c r="OJ6" s="504">
        <v>0</v>
      </c>
      <c r="OK6" s="504">
        <v>0</v>
      </c>
      <c r="OL6" s="504">
        <v>0</v>
      </c>
      <c r="OM6" s="504">
        <v>0</v>
      </c>
      <c r="ON6" s="504">
        <v>0</v>
      </c>
      <c r="OO6" s="504">
        <v>0</v>
      </c>
      <c r="OP6" s="504">
        <v>0</v>
      </c>
      <c r="OQ6" s="504">
        <v>0</v>
      </c>
      <c r="OR6"/>
      <c r="OS6"/>
      <c r="OT6"/>
      <c r="OU6"/>
      <c r="OV6"/>
      <c r="OW6"/>
      <c r="OX6"/>
      <c r="OY6"/>
      <c r="OZ6"/>
      <c r="PA6"/>
      <c r="PB6"/>
      <c r="PC6"/>
      <c r="PD6"/>
      <c r="PE6"/>
      <c r="PF6"/>
      <c r="PG6"/>
      <c r="PH6"/>
      <c r="PI6"/>
      <c r="PJ6"/>
      <c r="PK6"/>
      <c r="PL6"/>
      <c r="PM6"/>
      <c r="PN6"/>
      <c r="PO6"/>
      <c r="PP6"/>
      <c r="PQ6"/>
      <c r="PR6"/>
      <c r="PS6"/>
      <c r="PT6" s="1656"/>
    </row>
    <row r="7" spans="1:436" ht="21.5">
      <c r="A7" s="1466" t="s">
        <v>1669</v>
      </c>
      <c r="B7" s="1576" t="s">
        <v>2358</v>
      </c>
      <c r="C7" s="1576" t="s">
        <v>13</v>
      </c>
      <c r="D7" s="1576">
        <v>30</v>
      </c>
      <c r="E7" s="504">
        <v>38</v>
      </c>
      <c r="F7" s="504">
        <v>159</v>
      </c>
      <c r="G7" s="504">
        <v>410</v>
      </c>
      <c r="H7" s="504">
        <v>642</v>
      </c>
      <c r="I7" s="504">
        <v>921</v>
      </c>
      <c r="J7" s="504">
        <v>1125</v>
      </c>
      <c r="K7" s="504">
        <v>1137</v>
      </c>
      <c r="L7" s="504">
        <v>1149</v>
      </c>
      <c r="M7" s="504">
        <v>1161</v>
      </c>
      <c r="N7" s="504">
        <v>1174</v>
      </c>
      <c r="O7" s="504">
        <v>1187</v>
      </c>
      <c r="P7" s="504">
        <v>1201</v>
      </c>
      <c r="Q7" s="504">
        <v>1214</v>
      </c>
      <c r="R7" s="504">
        <v>1228</v>
      </c>
      <c r="S7" s="504">
        <v>1242</v>
      </c>
      <c r="T7" s="504">
        <v>1257</v>
      </c>
      <c r="U7" s="504">
        <v>1272</v>
      </c>
      <c r="V7" s="504">
        <v>1287</v>
      </c>
      <c r="W7" s="504">
        <v>1303</v>
      </c>
      <c r="X7" s="504">
        <v>1318</v>
      </c>
      <c r="Y7" s="504">
        <v>1335</v>
      </c>
      <c r="Z7" s="504">
        <v>1351</v>
      </c>
      <c r="AA7" s="504">
        <v>1368</v>
      </c>
      <c r="AB7" s="504">
        <v>1385</v>
      </c>
      <c r="AC7" s="504">
        <v>1402</v>
      </c>
      <c r="AD7" s="504">
        <v>1420</v>
      </c>
      <c r="AE7" s="504">
        <v>1438</v>
      </c>
      <c r="AF7" s="504">
        <v>1457</v>
      </c>
      <c r="AG7" s="504">
        <v>1475</v>
      </c>
      <c r="AH7" s="504">
        <v>1494</v>
      </c>
      <c r="AI7" s="504">
        <v>1514</v>
      </c>
      <c r="AJ7" s="504">
        <v>1533</v>
      </c>
      <c r="AK7" s="504">
        <v>1553</v>
      </c>
      <c r="AL7" s="504">
        <v>1573</v>
      </c>
      <c r="AM7" s="504">
        <v>1594</v>
      </c>
      <c r="AN7" s="504">
        <v>1615</v>
      </c>
      <c r="AO7" s="504">
        <v>1636</v>
      </c>
      <c r="AP7" s="504">
        <v>1657</v>
      </c>
      <c r="AQ7" s="504">
        <v>1679</v>
      </c>
      <c r="AR7" s="504">
        <v>1701</v>
      </c>
      <c r="AS7" s="504">
        <v>1724</v>
      </c>
      <c r="AT7" s="504">
        <v>1747</v>
      </c>
      <c r="AU7" s="504">
        <v>1770</v>
      </c>
      <c r="AV7" s="504">
        <v>1795</v>
      </c>
      <c r="AW7" s="504">
        <v>1821</v>
      </c>
      <c r="AX7" s="504">
        <v>1848</v>
      </c>
      <c r="AY7" s="504">
        <v>1876</v>
      </c>
      <c r="AZ7" s="504">
        <v>1908</v>
      </c>
      <c r="BA7" s="504">
        <v>1942</v>
      </c>
      <c r="BB7" s="504">
        <v>2000</v>
      </c>
      <c r="BC7" s="504">
        <v>0</v>
      </c>
      <c r="BD7" s="504">
        <v>0</v>
      </c>
      <c r="BE7" s="504">
        <v>0</v>
      </c>
      <c r="BF7" s="504">
        <v>0</v>
      </c>
      <c r="BG7" s="504">
        <v>0</v>
      </c>
      <c r="BH7" s="504">
        <v>0</v>
      </c>
      <c r="BI7" s="504">
        <v>0</v>
      </c>
      <c r="BJ7" s="504">
        <v>0</v>
      </c>
      <c r="BK7" s="504">
        <v>0</v>
      </c>
      <c r="BL7" s="504">
        <v>0</v>
      </c>
      <c r="BM7" s="504">
        <v>0</v>
      </c>
      <c r="BN7" s="504">
        <v>0</v>
      </c>
      <c r="BO7" s="504">
        <v>0</v>
      </c>
      <c r="BP7" s="504">
        <v>0</v>
      </c>
      <c r="BQ7" s="504">
        <v>0</v>
      </c>
      <c r="BR7" s="504">
        <v>0</v>
      </c>
      <c r="BS7" s="504">
        <v>0</v>
      </c>
      <c r="BT7" s="504">
        <v>0</v>
      </c>
      <c r="BU7" s="504">
        <v>0</v>
      </c>
      <c r="BV7" s="504">
        <v>0</v>
      </c>
      <c r="BW7" s="504">
        <v>0</v>
      </c>
      <c r="BX7" s="504">
        <v>0</v>
      </c>
      <c r="BY7" s="504">
        <v>0</v>
      </c>
      <c r="BZ7" s="504">
        <v>0</v>
      </c>
      <c r="CA7" s="504">
        <v>0</v>
      </c>
      <c r="CB7" s="504">
        <v>0</v>
      </c>
      <c r="CC7" s="504">
        <v>0</v>
      </c>
      <c r="CD7" s="504">
        <v>0</v>
      </c>
      <c r="CE7" s="504">
        <v>0</v>
      </c>
      <c r="CF7" s="504">
        <v>0</v>
      </c>
      <c r="CG7" s="504">
        <v>0</v>
      </c>
      <c r="CH7" s="504">
        <v>0</v>
      </c>
      <c r="CI7" s="504">
        <v>0</v>
      </c>
      <c r="CJ7" s="504">
        <v>0</v>
      </c>
      <c r="CK7" s="504">
        <v>0</v>
      </c>
      <c r="CL7" s="504">
        <v>0</v>
      </c>
      <c r="CM7" s="504">
        <v>0</v>
      </c>
      <c r="CN7" s="504">
        <v>0</v>
      </c>
      <c r="CO7" s="504">
        <v>0</v>
      </c>
      <c r="CP7" s="504">
        <v>0</v>
      </c>
      <c r="CQ7" s="504">
        <v>0</v>
      </c>
      <c r="CR7" s="504">
        <v>0</v>
      </c>
      <c r="CS7" s="504">
        <v>0</v>
      </c>
      <c r="CT7" s="504">
        <v>0</v>
      </c>
      <c r="CU7" s="504">
        <v>0</v>
      </c>
      <c r="CV7" s="504">
        <v>0</v>
      </c>
      <c r="CW7" s="504">
        <v>0</v>
      </c>
      <c r="CX7" s="504">
        <v>0</v>
      </c>
      <c r="CY7" s="504">
        <v>0</v>
      </c>
      <c r="CZ7" s="1654">
        <v>0</v>
      </c>
      <c r="DA7" s="504">
        <v>0</v>
      </c>
      <c r="DB7" s="504">
        <v>124</v>
      </c>
      <c r="DC7" s="504">
        <v>505</v>
      </c>
      <c r="DD7" s="504">
        <v>1087</v>
      </c>
      <c r="DE7" s="504">
        <v>1311</v>
      </c>
      <c r="DF7" s="504">
        <v>1581</v>
      </c>
      <c r="DG7" s="504">
        <v>0</v>
      </c>
      <c r="DH7" s="504">
        <v>0</v>
      </c>
      <c r="DI7" s="504">
        <v>0</v>
      </c>
      <c r="DJ7" s="504">
        <v>0</v>
      </c>
      <c r="DK7" s="504">
        <v>0</v>
      </c>
      <c r="DL7" s="504">
        <v>0</v>
      </c>
      <c r="DM7" s="504">
        <v>0</v>
      </c>
      <c r="DN7" s="504">
        <v>0</v>
      </c>
      <c r="DO7" s="504">
        <v>0</v>
      </c>
      <c r="DP7" s="504">
        <v>0</v>
      </c>
      <c r="DQ7" s="504">
        <v>0</v>
      </c>
      <c r="DR7" s="504">
        <v>0</v>
      </c>
      <c r="DS7" s="504">
        <v>0</v>
      </c>
      <c r="DT7" s="504">
        <v>0</v>
      </c>
      <c r="DU7" s="504">
        <v>0</v>
      </c>
      <c r="DV7" s="504">
        <v>0</v>
      </c>
      <c r="DW7" s="504">
        <v>0</v>
      </c>
      <c r="DX7" s="504">
        <v>0</v>
      </c>
      <c r="DY7" s="504">
        <v>0</v>
      </c>
      <c r="DZ7" s="504">
        <v>0</v>
      </c>
      <c r="EA7" s="504">
        <v>0</v>
      </c>
      <c r="EB7" s="504">
        <v>0</v>
      </c>
      <c r="EC7" s="504">
        <v>0</v>
      </c>
      <c r="ED7" s="504">
        <v>0</v>
      </c>
      <c r="EE7" s="504">
        <v>0</v>
      </c>
      <c r="EF7" s="504">
        <v>0</v>
      </c>
      <c r="EG7" s="504">
        <v>0</v>
      </c>
      <c r="EH7" s="504">
        <v>0</v>
      </c>
      <c r="EI7" s="504">
        <v>0</v>
      </c>
      <c r="EJ7" s="504">
        <v>0</v>
      </c>
      <c r="EK7" s="504">
        <v>0</v>
      </c>
      <c r="EL7" s="504">
        <v>0</v>
      </c>
      <c r="EM7" s="504">
        <v>0</v>
      </c>
      <c r="EN7" s="504">
        <v>0</v>
      </c>
      <c r="EO7" s="504">
        <v>0</v>
      </c>
      <c r="EP7" s="504">
        <v>0</v>
      </c>
      <c r="EQ7" s="504">
        <v>0</v>
      </c>
      <c r="ER7" s="504">
        <v>0</v>
      </c>
      <c r="ES7" s="504">
        <v>0</v>
      </c>
      <c r="ET7" s="504">
        <v>0</v>
      </c>
      <c r="EU7" s="504">
        <v>0</v>
      </c>
      <c r="EV7" s="504">
        <v>0</v>
      </c>
      <c r="EW7" s="504">
        <v>0</v>
      </c>
      <c r="EX7" s="504">
        <v>0</v>
      </c>
      <c r="EY7" s="504">
        <v>0</v>
      </c>
      <c r="EZ7" s="504">
        <v>0</v>
      </c>
      <c r="FA7" s="504">
        <v>0</v>
      </c>
      <c r="FB7" s="504">
        <v>0</v>
      </c>
      <c r="FC7" s="504">
        <v>0</v>
      </c>
      <c r="FD7" s="504">
        <v>0</v>
      </c>
      <c r="FE7" s="504">
        <v>0</v>
      </c>
      <c r="FF7" s="504">
        <v>0</v>
      </c>
      <c r="FG7" s="504">
        <v>0</v>
      </c>
      <c r="FH7" s="504">
        <v>0</v>
      </c>
      <c r="FI7" s="504">
        <v>0</v>
      </c>
      <c r="FJ7" s="504">
        <v>0</v>
      </c>
      <c r="FK7" s="504">
        <v>0</v>
      </c>
      <c r="FL7" s="504">
        <v>0</v>
      </c>
      <c r="FM7" s="504">
        <v>0</v>
      </c>
      <c r="FN7" s="504">
        <v>0</v>
      </c>
      <c r="FO7" s="504">
        <v>0</v>
      </c>
      <c r="FP7" s="504">
        <v>0</v>
      </c>
      <c r="FQ7" s="504">
        <v>0</v>
      </c>
      <c r="FR7" s="504">
        <v>0</v>
      </c>
      <c r="FS7" s="504">
        <v>0</v>
      </c>
      <c r="FT7" s="504">
        <v>0</v>
      </c>
      <c r="FU7" s="504">
        <v>0</v>
      </c>
      <c r="FV7" s="504">
        <v>0</v>
      </c>
      <c r="FW7" s="504">
        <v>0</v>
      </c>
      <c r="FX7" s="504">
        <v>0</v>
      </c>
      <c r="FY7" s="504">
        <v>0</v>
      </c>
      <c r="FZ7" s="504">
        <v>0</v>
      </c>
      <c r="GA7" s="504">
        <v>0</v>
      </c>
      <c r="GB7" s="504">
        <v>0</v>
      </c>
      <c r="GC7" s="504">
        <v>0</v>
      </c>
      <c r="GD7" s="504">
        <v>0</v>
      </c>
      <c r="GE7" s="504">
        <v>0</v>
      </c>
      <c r="GF7" s="504">
        <v>0</v>
      </c>
      <c r="GG7" s="504">
        <v>0</v>
      </c>
      <c r="GH7" s="504">
        <v>0</v>
      </c>
      <c r="GI7" s="504">
        <v>0</v>
      </c>
      <c r="GJ7" s="504">
        <v>0</v>
      </c>
      <c r="GK7" s="504">
        <v>0</v>
      </c>
      <c r="GL7" s="504">
        <v>0</v>
      </c>
      <c r="GM7" s="504">
        <v>0</v>
      </c>
      <c r="GN7" s="504">
        <v>0</v>
      </c>
      <c r="GO7" s="504">
        <v>0</v>
      </c>
      <c r="GP7" s="504">
        <v>0</v>
      </c>
      <c r="GQ7" s="504">
        <v>0</v>
      </c>
      <c r="GR7" s="504">
        <v>0</v>
      </c>
      <c r="GS7" s="504">
        <v>0</v>
      </c>
      <c r="GT7" s="504">
        <v>0</v>
      </c>
      <c r="GU7" s="504">
        <v>0</v>
      </c>
      <c r="GV7" s="504">
        <v>0</v>
      </c>
      <c r="GW7" s="1654">
        <v>0</v>
      </c>
      <c r="GX7" s="504">
        <v>0</v>
      </c>
      <c r="GY7" s="504">
        <v>15059</v>
      </c>
      <c r="GZ7" s="504">
        <v>37209</v>
      </c>
      <c r="HA7" s="504">
        <v>47000</v>
      </c>
      <c r="HB7" s="504">
        <v>46000</v>
      </c>
      <c r="HC7" s="504">
        <v>45000</v>
      </c>
      <c r="HD7" s="504">
        <v>0</v>
      </c>
      <c r="HE7" s="504">
        <v>0</v>
      </c>
      <c r="HF7" s="504">
        <v>0</v>
      </c>
      <c r="HG7" s="504">
        <v>0</v>
      </c>
      <c r="HH7" s="504">
        <v>0</v>
      </c>
      <c r="HI7" s="504">
        <v>0</v>
      </c>
      <c r="HJ7" s="504">
        <v>0</v>
      </c>
      <c r="HK7" s="504">
        <v>0</v>
      </c>
      <c r="HL7" s="504">
        <v>0</v>
      </c>
      <c r="HM7" s="504">
        <v>0</v>
      </c>
      <c r="HN7" s="504">
        <v>0</v>
      </c>
      <c r="HO7" s="504">
        <v>0</v>
      </c>
      <c r="HP7" s="504">
        <v>0</v>
      </c>
      <c r="HQ7" s="504">
        <v>0</v>
      </c>
      <c r="HR7" s="504">
        <v>0</v>
      </c>
      <c r="HS7" s="504">
        <v>0</v>
      </c>
      <c r="HT7" s="504">
        <v>0</v>
      </c>
      <c r="HU7" s="504">
        <v>0</v>
      </c>
      <c r="HV7" s="504">
        <v>0</v>
      </c>
      <c r="HW7" s="504">
        <v>0</v>
      </c>
      <c r="HX7" s="504">
        <v>0</v>
      </c>
      <c r="HY7" s="504">
        <v>0</v>
      </c>
      <c r="HZ7" s="504">
        <v>0</v>
      </c>
      <c r="IA7" s="504">
        <v>0</v>
      </c>
      <c r="IB7" s="504">
        <v>0</v>
      </c>
      <c r="IC7" s="504">
        <v>0</v>
      </c>
      <c r="ID7" s="504">
        <v>0</v>
      </c>
      <c r="IE7" s="504">
        <v>0</v>
      </c>
      <c r="IF7" s="504">
        <v>0</v>
      </c>
      <c r="IG7" s="504">
        <v>0</v>
      </c>
      <c r="IH7" s="504">
        <v>0</v>
      </c>
      <c r="II7" s="504">
        <v>0</v>
      </c>
      <c r="IJ7" s="504">
        <v>0</v>
      </c>
      <c r="IK7" s="504">
        <v>0</v>
      </c>
      <c r="IL7" s="504">
        <v>0</v>
      </c>
      <c r="IM7" s="504">
        <v>0</v>
      </c>
      <c r="IN7" s="504">
        <v>0</v>
      </c>
      <c r="IO7" s="504">
        <v>0</v>
      </c>
      <c r="IP7" s="504">
        <v>0</v>
      </c>
      <c r="IQ7" s="504">
        <v>0</v>
      </c>
      <c r="IR7" s="504">
        <v>0</v>
      </c>
      <c r="IS7" s="504">
        <v>0</v>
      </c>
      <c r="IT7" s="504">
        <v>0</v>
      </c>
      <c r="IU7" s="504">
        <v>0</v>
      </c>
      <c r="IV7" s="504">
        <v>0</v>
      </c>
      <c r="IW7" s="504">
        <v>0</v>
      </c>
      <c r="IX7" s="504">
        <v>0</v>
      </c>
      <c r="IY7" s="504">
        <v>0</v>
      </c>
      <c r="IZ7" s="504">
        <v>0</v>
      </c>
      <c r="JA7" s="504">
        <v>0</v>
      </c>
      <c r="JB7" s="504">
        <v>0</v>
      </c>
      <c r="JC7" s="504">
        <v>0</v>
      </c>
      <c r="JD7" s="504">
        <v>0</v>
      </c>
      <c r="JE7" s="504">
        <v>0</v>
      </c>
      <c r="JF7" s="504">
        <v>0</v>
      </c>
      <c r="JG7" s="504">
        <v>0</v>
      </c>
      <c r="JH7" s="504">
        <v>0</v>
      </c>
      <c r="JI7" s="504">
        <v>0</v>
      </c>
      <c r="JJ7" s="504">
        <v>0</v>
      </c>
      <c r="JK7" s="504">
        <v>0</v>
      </c>
      <c r="JL7" s="504">
        <v>0</v>
      </c>
      <c r="JM7" s="504">
        <v>0</v>
      </c>
      <c r="JN7" s="504">
        <v>0</v>
      </c>
      <c r="JO7" s="504">
        <v>0</v>
      </c>
      <c r="JP7" s="504">
        <v>0</v>
      </c>
      <c r="JQ7" s="504">
        <v>0</v>
      </c>
      <c r="JR7" s="504">
        <v>0</v>
      </c>
      <c r="JS7" s="504">
        <v>0</v>
      </c>
      <c r="JT7" s="504">
        <v>0</v>
      </c>
      <c r="JU7" s="504">
        <v>0</v>
      </c>
      <c r="JV7" s="504">
        <v>0</v>
      </c>
      <c r="JW7" s="504">
        <v>0</v>
      </c>
      <c r="JX7" s="504">
        <v>0</v>
      </c>
      <c r="JY7" s="504">
        <v>0</v>
      </c>
      <c r="JZ7" s="504">
        <v>0</v>
      </c>
      <c r="KA7" s="504">
        <v>0</v>
      </c>
      <c r="KB7" s="504">
        <v>0</v>
      </c>
      <c r="KC7" s="504">
        <v>0</v>
      </c>
      <c r="KD7" s="504">
        <v>0</v>
      </c>
      <c r="KE7" s="504">
        <v>0</v>
      </c>
      <c r="KF7" s="504">
        <v>0</v>
      </c>
      <c r="KG7" s="504">
        <v>0</v>
      </c>
      <c r="KH7" s="504">
        <v>0</v>
      </c>
      <c r="KI7" s="504">
        <v>0</v>
      </c>
      <c r="KJ7" s="504">
        <v>0</v>
      </c>
      <c r="KK7" s="504">
        <v>0</v>
      </c>
      <c r="KL7" s="504">
        <v>0</v>
      </c>
      <c r="KM7" s="504">
        <v>0</v>
      </c>
      <c r="KN7" s="504">
        <v>0</v>
      </c>
      <c r="KO7" s="504">
        <v>0</v>
      </c>
      <c r="KP7" s="504">
        <v>0</v>
      </c>
      <c r="KQ7" s="504">
        <v>0</v>
      </c>
      <c r="KR7" s="504">
        <v>0</v>
      </c>
      <c r="KS7" s="504">
        <v>0</v>
      </c>
      <c r="KT7" s="1654">
        <v>0</v>
      </c>
      <c r="KU7" s="504">
        <v>0</v>
      </c>
      <c r="KV7" s="504">
        <v>0</v>
      </c>
      <c r="KW7" s="504">
        <v>0</v>
      </c>
      <c r="KX7" s="504">
        <v>1069</v>
      </c>
      <c r="KY7" s="504">
        <v>1292</v>
      </c>
      <c r="KZ7" s="504">
        <v>1563</v>
      </c>
      <c r="LA7" s="504">
        <v>0</v>
      </c>
      <c r="LB7" s="504">
        <v>0</v>
      </c>
      <c r="LC7" s="504">
        <v>0</v>
      </c>
      <c r="LD7" s="504">
        <v>0</v>
      </c>
      <c r="LE7" s="504">
        <v>0</v>
      </c>
      <c r="LF7" s="504">
        <v>0</v>
      </c>
      <c r="LG7" s="504">
        <v>0</v>
      </c>
      <c r="LH7" s="504">
        <v>0</v>
      </c>
      <c r="LI7" s="504">
        <v>0</v>
      </c>
      <c r="LJ7" s="504">
        <v>0</v>
      </c>
      <c r="LK7" s="504">
        <v>0</v>
      </c>
      <c r="LL7" s="504">
        <v>0</v>
      </c>
      <c r="LM7" s="504">
        <v>0</v>
      </c>
      <c r="LN7" s="504">
        <v>0</v>
      </c>
      <c r="LO7" s="504">
        <v>0</v>
      </c>
      <c r="LP7" s="504">
        <v>0</v>
      </c>
      <c r="LQ7" s="504">
        <v>0</v>
      </c>
      <c r="LR7" s="504">
        <v>0</v>
      </c>
      <c r="LS7" s="504">
        <v>0</v>
      </c>
      <c r="LT7" s="504">
        <v>0</v>
      </c>
      <c r="LU7" s="504">
        <v>0</v>
      </c>
      <c r="LV7" s="504">
        <v>0</v>
      </c>
      <c r="LW7" s="504">
        <v>0</v>
      </c>
      <c r="LX7" s="504">
        <v>0</v>
      </c>
      <c r="LY7" s="504">
        <v>0</v>
      </c>
      <c r="LZ7" s="504">
        <v>0</v>
      </c>
      <c r="MA7" s="504">
        <v>0</v>
      </c>
      <c r="MB7" s="504">
        <v>0</v>
      </c>
      <c r="MC7" s="504">
        <v>0</v>
      </c>
      <c r="MD7" s="504">
        <v>0</v>
      </c>
      <c r="ME7" s="504">
        <v>0</v>
      </c>
      <c r="MF7" s="504">
        <v>0</v>
      </c>
      <c r="MG7" s="504">
        <v>0</v>
      </c>
      <c r="MH7" s="504">
        <v>0</v>
      </c>
      <c r="MI7" s="504">
        <v>0</v>
      </c>
      <c r="MJ7" s="504">
        <v>0</v>
      </c>
      <c r="MK7" s="504">
        <v>0</v>
      </c>
      <c r="ML7" s="504">
        <v>0</v>
      </c>
      <c r="MM7" s="504">
        <v>0</v>
      </c>
      <c r="MN7" s="504">
        <v>0</v>
      </c>
      <c r="MO7" s="504">
        <v>0</v>
      </c>
      <c r="MP7" s="504">
        <v>0</v>
      </c>
      <c r="MQ7" s="504">
        <v>0</v>
      </c>
      <c r="MR7" s="504">
        <v>0</v>
      </c>
      <c r="MS7" s="504">
        <v>0</v>
      </c>
      <c r="MT7" s="504">
        <v>0</v>
      </c>
      <c r="MU7" s="504">
        <v>0</v>
      </c>
      <c r="MV7" s="504">
        <v>0</v>
      </c>
      <c r="MW7" s="504">
        <v>0</v>
      </c>
      <c r="MX7" s="504">
        <v>0</v>
      </c>
      <c r="MY7" s="504">
        <v>0</v>
      </c>
      <c r="MZ7" s="504">
        <v>0</v>
      </c>
      <c r="NA7" s="504">
        <v>0</v>
      </c>
      <c r="NB7" s="504">
        <v>0</v>
      </c>
      <c r="NC7" s="504">
        <v>0</v>
      </c>
      <c r="ND7" s="504">
        <v>0</v>
      </c>
      <c r="NE7" s="504">
        <v>0</v>
      </c>
      <c r="NF7" s="504">
        <v>0</v>
      </c>
      <c r="NG7" s="504">
        <v>0</v>
      </c>
      <c r="NH7" s="504">
        <v>0</v>
      </c>
      <c r="NI7" s="504">
        <v>0</v>
      </c>
      <c r="NJ7" s="504">
        <v>0</v>
      </c>
      <c r="NK7" s="504">
        <v>0</v>
      </c>
      <c r="NL7" s="504">
        <v>0</v>
      </c>
      <c r="NM7" s="504">
        <v>0</v>
      </c>
      <c r="NN7" s="504">
        <v>0</v>
      </c>
      <c r="NO7" s="504">
        <v>0</v>
      </c>
      <c r="NP7" s="504">
        <v>0</v>
      </c>
      <c r="NQ7" s="504">
        <v>0</v>
      </c>
      <c r="NR7" s="504">
        <v>0</v>
      </c>
      <c r="NS7" s="504">
        <v>0</v>
      </c>
      <c r="NT7" s="504">
        <v>0</v>
      </c>
      <c r="NU7" s="504">
        <v>0</v>
      </c>
      <c r="NV7" s="504">
        <v>0</v>
      </c>
      <c r="NW7" s="504">
        <v>0</v>
      </c>
      <c r="NX7" s="504">
        <v>0</v>
      </c>
      <c r="NY7" s="504">
        <v>0</v>
      </c>
      <c r="NZ7" s="504">
        <v>0</v>
      </c>
      <c r="OA7" s="504">
        <v>0</v>
      </c>
      <c r="OB7" s="504">
        <v>0</v>
      </c>
      <c r="OC7" s="504">
        <v>0</v>
      </c>
      <c r="OD7" s="504">
        <v>0</v>
      </c>
      <c r="OE7" s="504">
        <v>0</v>
      </c>
      <c r="OF7" s="504">
        <v>0</v>
      </c>
      <c r="OG7" s="504">
        <v>0</v>
      </c>
      <c r="OH7" s="504">
        <v>0</v>
      </c>
      <c r="OI7" s="504">
        <v>0</v>
      </c>
      <c r="OJ7" s="504">
        <v>0</v>
      </c>
      <c r="OK7" s="504">
        <v>0</v>
      </c>
      <c r="OL7" s="504">
        <v>0</v>
      </c>
      <c r="OM7" s="504">
        <v>0</v>
      </c>
      <c r="ON7" s="504">
        <v>0</v>
      </c>
      <c r="OO7" s="504">
        <v>0</v>
      </c>
      <c r="OP7" s="504">
        <v>0</v>
      </c>
      <c r="OQ7" s="504">
        <v>0</v>
      </c>
      <c r="OR7"/>
      <c r="OS7"/>
      <c r="OT7"/>
      <c r="OU7"/>
      <c r="OV7"/>
      <c r="OW7"/>
      <c r="OX7"/>
      <c r="OY7"/>
      <c r="OZ7"/>
      <c r="PA7"/>
      <c r="PB7"/>
      <c r="PC7"/>
      <c r="PD7"/>
      <c r="PE7"/>
      <c r="PF7"/>
      <c r="PG7"/>
      <c r="PH7"/>
      <c r="PI7"/>
      <c r="PJ7"/>
      <c r="PK7"/>
      <c r="PL7"/>
      <c r="PM7"/>
      <c r="PN7"/>
      <c r="PO7"/>
      <c r="PP7"/>
      <c r="PQ7"/>
      <c r="PR7"/>
      <c r="PS7"/>
      <c r="PT7" s="1656"/>
    </row>
    <row r="8" spans="1:436" ht="21.5">
      <c r="A8" s="1466" t="s">
        <v>1670</v>
      </c>
      <c r="B8" s="1576" t="s">
        <v>2358</v>
      </c>
      <c r="C8" s="1576" t="s">
        <v>13</v>
      </c>
      <c r="D8" s="1576">
        <v>31</v>
      </c>
      <c r="E8" s="504">
        <v>39</v>
      </c>
      <c r="F8" s="504">
        <v>161</v>
      </c>
      <c r="G8" s="504">
        <v>414</v>
      </c>
      <c r="H8" s="504">
        <v>649</v>
      </c>
      <c r="I8" s="504">
        <v>931</v>
      </c>
      <c r="J8" s="504">
        <v>1137</v>
      </c>
      <c r="K8" s="504">
        <v>1149</v>
      </c>
      <c r="L8" s="504">
        <v>1161</v>
      </c>
      <c r="M8" s="504">
        <v>1174</v>
      </c>
      <c r="N8" s="504">
        <v>1187</v>
      </c>
      <c r="O8" s="504">
        <v>1201</v>
      </c>
      <c r="P8" s="504">
        <v>1214</v>
      </c>
      <c r="Q8" s="504">
        <v>1228</v>
      </c>
      <c r="R8" s="504">
        <v>1242</v>
      </c>
      <c r="S8" s="504">
        <v>1257</v>
      </c>
      <c r="T8" s="504">
        <v>1272</v>
      </c>
      <c r="U8" s="504">
        <v>1287</v>
      </c>
      <c r="V8" s="504">
        <v>1303</v>
      </c>
      <c r="W8" s="504">
        <v>1318</v>
      </c>
      <c r="X8" s="504">
        <v>1335</v>
      </c>
      <c r="Y8" s="504">
        <v>1351</v>
      </c>
      <c r="Z8" s="504">
        <v>1368</v>
      </c>
      <c r="AA8" s="504">
        <v>1385</v>
      </c>
      <c r="AB8" s="504">
        <v>1402</v>
      </c>
      <c r="AC8" s="504">
        <v>1420</v>
      </c>
      <c r="AD8" s="504">
        <v>1438</v>
      </c>
      <c r="AE8" s="504">
        <v>1457</v>
      </c>
      <c r="AF8" s="504">
        <v>1475</v>
      </c>
      <c r="AG8" s="504">
        <v>1494</v>
      </c>
      <c r="AH8" s="504">
        <v>1514</v>
      </c>
      <c r="AI8" s="504">
        <v>1533</v>
      </c>
      <c r="AJ8" s="504">
        <v>1553</v>
      </c>
      <c r="AK8" s="504">
        <v>1573</v>
      </c>
      <c r="AL8" s="504">
        <v>1594</v>
      </c>
      <c r="AM8" s="504">
        <v>1615</v>
      </c>
      <c r="AN8" s="504">
        <v>1636</v>
      </c>
      <c r="AO8" s="504">
        <v>1657</v>
      </c>
      <c r="AP8" s="504">
        <v>1679</v>
      </c>
      <c r="AQ8" s="504">
        <v>1701</v>
      </c>
      <c r="AR8" s="504">
        <v>1724</v>
      </c>
      <c r="AS8" s="504">
        <v>1747</v>
      </c>
      <c r="AT8" s="504">
        <v>1770</v>
      </c>
      <c r="AU8" s="504">
        <v>1795</v>
      </c>
      <c r="AV8" s="504">
        <v>1821</v>
      </c>
      <c r="AW8" s="504">
        <v>1848</v>
      </c>
      <c r="AX8" s="504">
        <v>1876</v>
      </c>
      <c r="AY8" s="504">
        <v>1908</v>
      </c>
      <c r="AZ8" s="504">
        <v>1942</v>
      </c>
      <c r="BA8" s="504">
        <v>2000</v>
      </c>
      <c r="BB8" s="504">
        <v>0</v>
      </c>
      <c r="BC8" s="504">
        <v>0</v>
      </c>
      <c r="BD8" s="504">
        <v>0</v>
      </c>
      <c r="BE8" s="504">
        <v>0</v>
      </c>
      <c r="BF8" s="504">
        <v>0</v>
      </c>
      <c r="BG8" s="504">
        <v>0</v>
      </c>
      <c r="BH8" s="504">
        <v>0</v>
      </c>
      <c r="BI8" s="504">
        <v>0</v>
      </c>
      <c r="BJ8" s="504">
        <v>0</v>
      </c>
      <c r="BK8" s="504">
        <v>0</v>
      </c>
      <c r="BL8" s="504">
        <v>0</v>
      </c>
      <c r="BM8" s="504">
        <v>0</v>
      </c>
      <c r="BN8" s="504">
        <v>0</v>
      </c>
      <c r="BO8" s="504">
        <v>0</v>
      </c>
      <c r="BP8" s="504">
        <v>0</v>
      </c>
      <c r="BQ8" s="504">
        <v>0</v>
      </c>
      <c r="BR8" s="504">
        <v>0</v>
      </c>
      <c r="BS8" s="504">
        <v>0</v>
      </c>
      <c r="BT8" s="504">
        <v>0</v>
      </c>
      <c r="BU8" s="504">
        <v>0</v>
      </c>
      <c r="BV8" s="504">
        <v>0</v>
      </c>
      <c r="BW8" s="504">
        <v>0</v>
      </c>
      <c r="BX8" s="504">
        <v>0</v>
      </c>
      <c r="BY8" s="504">
        <v>0</v>
      </c>
      <c r="BZ8" s="504">
        <v>0</v>
      </c>
      <c r="CA8" s="504">
        <v>0</v>
      </c>
      <c r="CB8" s="504">
        <v>0</v>
      </c>
      <c r="CC8" s="504">
        <v>0</v>
      </c>
      <c r="CD8" s="504">
        <v>0</v>
      </c>
      <c r="CE8" s="504">
        <v>0</v>
      </c>
      <c r="CF8" s="504">
        <v>0</v>
      </c>
      <c r="CG8" s="504">
        <v>0</v>
      </c>
      <c r="CH8" s="504">
        <v>0</v>
      </c>
      <c r="CI8" s="504">
        <v>0</v>
      </c>
      <c r="CJ8" s="504">
        <v>0</v>
      </c>
      <c r="CK8" s="504">
        <v>0</v>
      </c>
      <c r="CL8" s="504">
        <v>0</v>
      </c>
      <c r="CM8" s="504">
        <v>0</v>
      </c>
      <c r="CN8" s="504">
        <v>0</v>
      </c>
      <c r="CO8" s="504">
        <v>0</v>
      </c>
      <c r="CP8" s="504">
        <v>0</v>
      </c>
      <c r="CQ8" s="504">
        <v>0</v>
      </c>
      <c r="CR8" s="504">
        <v>0</v>
      </c>
      <c r="CS8" s="504">
        <v>0</v>
      </c>
      <c r="CT8" s="504">
        <v>0</v>
      </c>
      <c r="CU8" s="504">
        <v>0</v>
      </c>
      <c r="CV8" s="504">
        <v>0</v>
      </c>
      <c r="CW8" s="504">
        <v>0</v>
      </c>
      <c r="CX8" s="504">
        <v>0</v>
      </c>
      <c r="CY8" s="504">
        <v>0</v>
      </c>
      <c r="CZ8" s="1654">
        <v>0</v>
      </c>
      <c r="DA8" s="504">
        <v>0</v>
      </c>
      <c r="DB8" s="504">
        <v>124</v>
      </c>
      <c r="DC8" s="504">
        <v>499</v>
      </c>
      <c r="DD8" s="504">
        <v>1083</v>
      </c>
      <c r="DE8" s="504">
        <v>1309</v>
      </c>
      <c r="DF8" s="504">
        <v>1582</v>
      </c>
      <c r="DG8" s="504">
        <v>0</v>
      </c>
      <c r="DH8" s="504">
        <v>0</v>
      </c>
      <c r="DI8" s="504">
        <v>0</v>
      </c>
      <c r="DJ8" s="504">
        <v>0</v>
      </c>
      <c r="DK8" s="504">
        <v>0</v>
      </c>
      <c r="DL8" s="504">
        <v>0</v>
      </c>
      <c r="DM8" s="504">
        <v>0</v>
      </c>
      <c r="DN8" s="504">
        <v>0</v>
      </c>
      <c r="DO8" s="504">
        <v>0</v>
      </c>
      <c r="DP8" s="504">
        <v>0</v>
      </c>
      <c r="DQ8" s="504">
        <v>0</v>
      </c>
      <c r="DR8" s="504">
        <v>0</v>
      </c>
      <c r="DS8" s="504">
        <v>0</v>
      </c>
      <c r="DT8" s="504">
        <v>0</v>
      </c>
      <c r="DU8" s="504">
        <v>0</v>
      </c>
      <c r="DV8" s="504">
        <v>0</v>
      </c>
      <c r="DW8" s="504">
        <v>0</v>
      </c>
      <c r="DX8" s="504">
        <v>0</v>
      </c>
      <c r="DY8" s="504">
        <v>0</v>
      </c>
      <c r="DZ8" s="504">
        <v>0</v>
      </c>
      <c r="EA8" s="504">
        <v>0</v>
      </c>
      <c r="EB8" s="504">
        <v>0</v>
      </c>
      <c r="EC8" s="504">
        <v>0</v>
      </c>
      <c r="ED8" s="504">
        <v>0</v>
      </c>
      <c r="EE8" s="504">
        <v>0</v>
      </c>
      <c r="EF8" s="504">
        <v>0</v>
      </c>
      <c r="EG8" s="504">
        <v>0</v>
      </c>
      <c r="EH8" s="504">
        <v>0</v>
      </c>
      <c r="EI8" s="504">
        <v>0</v>
      </c>
      <c r="EJ8" s="504">
        <v>0</v>
      </c>
      <c r="EK8" s="504">
        <v>0</v>
      </c>
      <c r="EL8" s="504">
        <v>0</v>
      </c>
      <c r="EM8" s="504">
        <v>0</v>
      </c>
      <c r="EN8" s="504">
        <v>0</v>
      </c>
      <c r="EO8" s="504">
        <v>0</v>
      </c>
      <c r="EP8" s="504">
        <v>0</v>
      </c>
      <c r="EQ8" s="504">
        <v>0</v>
      </c>
      <c r="ER8" s="504">
        <v>0</v>
      </c>
      <c r="ES8" s="504">
        <v>0</v>
      </c>
      <c r="ET8" s="504">
        <v>0</v>
      </c>
      <c r="EU8" s="504">
        <v>0</v>
      </c>
      <c r="EV8" s="504">
        <v>0</v>
      </c>
      <c r="EW8" s="504">
        <v>0</v>
      </c>
      <c r="EX8" s="504">
        <v>0</v>
      </c>
      <c r="EY8" s="504">
        <v>0</v>
      </c>
      <c r="EZ8" s="504">
        <v>0</v>
      </c>
      <c r="FA8" s="504">
        <v>0</v>
      </c>
      <c r="FB8" s="504">
        <v>0</v>
      </c>
      <c r="FC8" s="504">
        <v>0</v>
      </c>
      <c r="FD8" s="504">
        <v>0</v>
      </c>
      <c r="FE8" s="504">
        <v>0</v>
      </c>
      <c r="FF8" s="504">
        <v>0</v>
      </c>
      <c r="FG8" s="504">
        <v>0</v>
      </c>
      <c r="FH8" s="504">
        <v>0</v>
      </c>
      <c r="FI8" s="504">
        <v>0</v>
      </c>
      <c r="FJ8" s="504">
        <v>0</v>
      </c>
      <c r="FK8" s="504">
        <v>0</v>
      </c>
      <c r="FL8" s="504">
        <v>0</v>
      </c>
      <c r="FM8" s="504">
        <v>0</v>
      </c>
      <c r="FN8" s="504">
        <v>0</v>
      </c>
      <c r="FO8" s="504">
        <v>0</v>
      </c>
      <c r="FP8" s="504">
        <v>0</v>
      </c>
      <c r="FQ8" s="504">
        <v>0</v>
      </c>
      <c r="FR8" s="504">
        <v>0</v>
      </c>
      <c r="FS8" s="504">
        <v>0</v>
      </c>
      <c r="FT8" s="504">
        <v>0</v>
      </c>
      <c r="FU8" s="504">
        <v>0</v>
      </c>
      <c r="FV8" s="504">
        <v>0</v>
      </c>
      <c r="FW8" s="504">
        <v>0</v>
      </c>
      <c r="FX8" s="504">
        <v>0</v>
      </c>
      <c r="FY8" s="504">
        <v>0</v>
      </c>
      <c r="FZ8" s="504">
        <v>0</v>
      </c>
      <c r="GA8" s="504">
        <v>0</v>
      </c>
      <c r="GB8" s="504">
        <v>0</v>
      </c>
      <c r="GC8" s="504">
        <v>0</v>
      </c>
      <c r="GD8" s="504">
        <v>0</v>
      </c>
      <c r="GE8" s="504">
        <v>0</v>
      </c>
      <c r="GF8" s="504">
        <v>0</v>
      </c>
      <c r="GG8" s="504">
        <v>0</v>
      </c>
      <c r="GH8" s="504">
        <v>0</v>
      </c>
      <c r="GI8" s="504">
        <v>0</v>
      </c>
      <c r="GJ8" s="504">
        <v>0</v>
      </c>
      <c r="GK8" s="504">
        <v>0</v>
      </c>
      <c r="GL8" s="504">
        <v>0</v>
      </c>
      <c r="GM8" s="504">
        <v>0</v>
      </c>
      <c r="GN8" s="504">
        <v>0</v>
      </c>
      <c r="GO8" s="504">
        <v>0</v>
      </c>
      <c r="GP8" s="504">
        <v>0</v>
      </c>
      <c r="GQ8" s="504">
        <v>0</v>
      </c>
      <c r="GR8" s="504">
        <v>0</v>
      </c>
      <c r="GS8" s="504">
        <v>0</v>
      </c>
      <c r="GT8" s="504">
        <v>0</v>
      </c>
      <c r="GU8" s="504">
        <v>0</v>
      </c>
      <c r="GV8" s="504">
        <v>0</v>
      </c>
      <c r="GW8" s="1654">
        <v>0</v>
      </c>
      <c r="GX8" s="504">
        <v>0</v>
      </c>
      <c r="GY8" s="504">
        <v>14295</v>
      </c>
      <c r="GZ8" s="504">
        <v>36176</v>
      </c>
      <c r="HA8" s="504">
        <v>46000</v>
      </c>
      <c r="HB8" s="504">
        <v>45000</v>
      </c>
      <c r="HC8" s="504">
        <v>44000</v>
      </c>
      <c r="HD8" s="504">
        <v>0</v>
      </c>
      <c r="HE8" s="504">
        <v>0</v>
      </c>
      <c r="HF8" s="504">
        <v>0</v>
      </c>
      <c r="HG8" s="504">
        <v>0</v>
      </c>
      <c r="HH8" s="504">
        <v>0</v>
      </c>
      <c r="HI8" s="504">
        <v>0</v>
      </c>
      <c r="HJ8" s="504">
        <v>0</v>
      </c>
      <c r="HK8" s="504">
        <v>0</v>
      </c>
      <c r="HL8" s="504">
        <v>0</v>
      </c>
      <c r="HM8" s="504">
        <v>0</v>
      </c>
      <c r="HN8" s="504">
        <v>0</v>
      </c>
      <c r="HO8" s="504">
        <v>0</v>
      </c>
      <c r="HP8" s="504">
        <v>0</v>
      </c>
      <c r="HQ8" s="504">
        <v>0</v>
      </c>
      <c r="HR8" s="504">
        <v>0</v>
      </c>
      <c r="HS8" s="504">
        <v>0</v>
      </c>
      <c r="HT8" s="504">
        <v>0</v>
      </c>
      <c r="HU8" s="504">
        <v>0</v>
      </c>
      <c r="HV8" s="504">
        <v>0</v>
      </c>
      <c r="HW8" s="504">
        <v>0</v>
      </c>
      <c r="HX8" s="504">
        <v>0</v>
      </c>
      <c r="HY8" s="504">
        <v>0</v>
      </c>
      <c r="HZ8" s="504">
        <v>0</v>
      </c>
      <c r="IA8" s="504">
        <v>0</v>
      </c>
      <c r="IB8" s="504">
        <v>0</v>
      </c>
      <c r="IC8" s="504">
        <v>0</v>
      </c>
      <c r="ID8" s="504">
        <v>0</v>
      </c>
      <c r="IE8" s="504">
        <v>0</v>
      </c>
      <c r="IF8" s="504">
        <v>0</v>
      </c>
      <c r="IG8" s="504">
        <v>0</v>
      </c>
      <c r="IH8" s="504">
        <v>0</v>
      </c>
      <c r="II8" s="504">
        <v>0</v>
      </c>
      <c r="IJ8" s="504">
        <v>0</v>
      </c>
      <c r="IK8" s="504">
        <v>0</v>
      </c>
      <c r="IL8" s="504">
        <v>0</v>
      </c>
      <c r="IM8" s="504">
        <v>0</v>
      </c>
      <c r="IN8" s="504">
        <v>0</v>
      </c>
      <c r="IO8" s="504">
        <v>0</v>
      </c>
      <c r="IP8" s="504">
        <v>0</v>
      </c>
      <c r="IQ8" s="504">
        <v>0</v>
      </c>
      <c r="IR8" s="504">
        <v>0</v>
      </c>
      <c r="IS8" s="504">
        <v>0</v>
      </c>
      <c r="IT8" s="504">
        <v>0</v>
      </c>
      <c r="IU8" s="504">
        <v>0</v>
      </c>
      <c r="IV8" s="504">
        <v>0</v>
      </c>
      <c r="IW8" s="504">
        <v>0</v>
      </c>
      <c r="IX8" s="504">
        <v>0</v>
      </c>
      <c r="IY8" s="504">
        <v>0</v>
      </c>
      <c r="IZ8" s="504">
        <v>0</v>
      </c>
      <c r="JA8" s="504">
        <v>0</v>
      </c>
      <c r="JB8" s="504">
        <v>0</v>
      </c>
      <c r="JC8" s="504">
        <v>0</v>
      </c>
      <c r="JD8" s="504">
        <v>0</v>
      </c>
      <c r="JE8" s="504">
        <v>0</v>
      </c>
      <c r="JF8" s="504">
        <v>0</v>
      </c>
      <c r="JG8" s="504">
        <v>0</v>
      </c>
      <c r="JH8" s="504">
        <v>0</v>
      </c>
      <c r="JI8" s="504">
        <v>0</v>
      </c>
      <c r="JJ8" s="504">
        <v>0</v>
      </c>
      <c r="JK8" s="504">
        <v>0</v>
      </c>
      <c r="JL8" s="504">
        <v>0</v>
      </c>
      <c r="JM8" s="504">
        <v>0</v>
      </c>
      <c r="JN8" s="504">
        <v>0</v>
      </c>
      <c r="JO8" s="504">
        <v>0</v>
      </c>
      <c r="JP8" s="504">
        <v>0</v>
      </c>
      <c r="JQ8" s="504">
        <v>0</v>
      </c>
      <c r="JR8" s="504">
        <v>0</v>
      </c>
      <c r="JS8" s="504">
        <v>0</v>
      </c>
      <c r="JT8" s="504">
        <v>0</v>
      </c>
      <c r="JU8" s="504">
        <v>0</v>
      </c>
      <c r="JV8" s="504">
        <v>0</v>
      </c>
      <c r="JW8" s="504">
        <v>0</v>
      </c>
      <c r="JX8" s="504">
        <v>0</v>
      </c>
      <c r="JY8" s="504">
        <v>0</v>
      </c>
      <c r="JZ8" s="504">
        <v>0</v>
      </c>
      <c r="KA8" s="504">
        <v>0</v>
      </c>
      <c r="KB8" s="504">
        <v>0</v>
      </c>
      <c r="KC8" s="504">
        <v>0</v>
      </c>
      <c r="KD8" s="504">
        <v>0</v>
      </c>
      <c r="KE8" s="504">
        <v>0</v>
      </c>
      <c r="KF8" s="504">
        <v>0</v>
      </c>
      <c r="KG8" s="504">
        <v>0</v>
      </c>
      <c r="KH8" s="504">
        <v>0</v>
      </c>
      <c r="KI8" s="504">
        <v>0</v>
      </c>
      <c r="KJ8" s="504">
        <v>0</v>
      </c>
      <c r="KK8" s="504">
        <v>0</v>
      </c>
      <c r="KL8" s="504">
        <v>0</v>
      </c>
      <c r="KM8" s="504">
        <v>0</v>
      </c>
      <c r="KN8" s="504">
        <v>0</v>
      </c>
      <c r="KO8" s="504">
        <v>0</v>
      </c>
      <c r="KP8" s="504">
        <v>0</v>
      </c>
      <c r="KQ8" s="504">
        <v>0</v>
      </c>
      <c r="KR8" s="504">
        <v>0</v>
      </c>
      <c r="KS8" s="504">
        <v>0</v>
      </c>
      <c r="KT8" s="1654">
        <v>0</v>
      </c>
      <c r="KU8" s="504">
        <v>0</v>
      </c>
      <c r="KV8" s="504">
        <v>0</v>
      </c>
      <c r="KW8" s="504">
        <v>0</v>
      </c>
      <c r="KX8" s="504">
        <v>1064</v>
      </c>
      <c r="KY8" s="504">
        <v>1291</v>
      </c>
      <c r="KZ8" s="504">
        <v>1564</v>
      </c>
      <c r="LA8" s="504">
        <v>0</v>
      </c>
      <c r="LB8" s="504">
        <v>0</v>
      </c>
      <c r="LC8" s="504">
        <v>0</v>
      </c>
      <c r="LD8" s="504">
        <v>0</v>
      </c>
      <c r="LE8" s="504">
        <v>0</v>
      </c>
      <c r="LF8" s="504">
        <v>0</v>
      </c>
      <c r="LG8" s="504">
        <v>0</v>
      </c>
      <c r="LH8" s="504">
        <v>0</v>
      </c>
      <c r="LI8" s="504">
        <v>0</v>
      </c>
      <c r="LJ8" s="504">
        <v>0</v>
      </c>
      <c r="LK8" s="504">
        <v>0</v>
      </c>
      <c r="LL8" s="504">
        <v>0</v>
      </c>
      <c r="LM8" s="504">
        <v>0</v>
      </c>
      <c r="LN8" s="504">
        <v>0</v>
      </c>
      <c r="LO8" s="504">
        <v>0</v>
      </c>
      <c r="LP8" s="504">
        <v>0</v>
      </c>
      <c r="LQ8" s="504">
        <v>0</v>
      </c>
      <c r="LR8" s="504">
        <v>0</v>
      </c>
      <c r="LS8" s="504">
        <v>0</v>
      </c>
      <c r="LT8" s="504">
        <v>0</v>
      </c>
      <c r="LU8" s="504">
        <v>0</v>
      </c>
      <c r="LV8" s="504">
        <v>0</v>
      </c>
      <c r="LW8" s="504">
        <v>0</v>
      </c>
      <c r="LX8" s="504">
        <v>0</v>
      </c>
      <c r="LY8" s="504">
        <v>0</v>
      </c>
      <c r="LZ8" s="504">
        <v>0</v>
      </c>
      <c r="MA8" s="504">
        <v>0</v>
      </c>
      <c r="MB8" s="504">
        <v>0</v>
      </c>
      <c r="MC8" s="504">
        <v>0</v>
      </c>
      <c r="MD8" s="504">
        <v>0</v>
      </c>
      <c r="ME8" s="504">
        <v>0</v>
      </c>
      <c r="MF8" s="504">
        <v>0</v>
      </c>
      <c r="MG8" s="504">
        <v>0</v>
      </c>
      <c r="MH8" s="504">
        <v>0</v>
      </c>
      <c r="MI8" s="504">
        <v>0</v>
      </c>
      <c r="MJ8" s="504">
        <v>0</v>
      </c>
      <c r="MK8" s="504">
        <v>0</v>
      </c>
      <c r="ML8" s="504">
        <v>0</v>
      </c>
      <c r="MM8" s="504">
        <v>0</v>
      </c>
      <c r="MN8" s="504">
        <v>0</v>
      </c>
      <c r="MO8" s="504">
        <v>0</v>
      </c>
      <c r="MP8" s="504">
        <v>0</v>
      </c>
      <c r="MQ8" s="504">
        <v>0</v>
      </c>
      <c r="MR8" s="504">
        <v>0</v>
      </c>
      <c r="MS8" s="504">
        <v>0</v>
      </c>
      <c r="MT8" s="504">
        <v>0</v>
      </c>
      <c r="MU8" s="504">
        <v>0</v>
      </c>
      <c r="MV8" s="504">
        <v>0</v>
      </c>
      <c r="MW8" s="504">
        <v>0</v>
      </c>
      <c r="MX8" s="504">
        <v>0</v>
      </c>
      <c r="MY8" s="504">
        <v>0</v>
      </c>
      <c r="MZ8" s="504">
        <v>0</v>
      </c>
      <c r="NA8" s="504">
        <v>0</v>
      </c>
      <c r="NB8" s="504">
        <v>0</v>
      </c>
      <c r="NC8" s="504">
        <v>0</v>
      </c>
      <c r="ND8" s="504">
        <v>0</v>
      </c>
      <c r="NE8" s="504">
        <v>0</v>
      </c>
      <c r="NF8" s="504">
        <v>0</v>
      </c>
      <c r="NG8" s="504">
        <v>0</v>
      </c>
      <c r="NH8" s="504">
        <v>0</v>
      </c>
      <c r="NI8" s="504">
        <v>0</v>
      </c>
      <c r="NJ8" s="504">
        <v>0</v>
      </c>
      <c r="NK8" s="504">
        <v>0</v>
      </c>
      <c r="NL8" s="504">
        <v>0</v>
      </c>
      <c r="NM8" s="504">
        <v>0</v>
      </c>
      <c r="NN8" s="504">
        <v>0</v>
      </c>
      <c r="NO8" s="504">
        <v>0</v>
      </c>
      <c r="NP8" s="504">
        <v>0</v>
      </c>
      <c r="NQ8" s="504">
        <v>0</v>
      </c>
      <c r="NR8" s="504">
        <v>0</v>
      </c>
      <c r="NS8" s="504">
        <v>0</v>
      </c>
      <c r="NT8" s="504">
        <v>0</v>
      </c>
      <c r="NU8" s="504">
        <v>0</v>
      </c>
      <c r="NV8" s="504">
        <v>0</v>
      </c>
      <c r="NW8" s="504">
        <v>0</v>
      </c>
      <c r="NX8" s="504">
        <v>0</v>
      </c>
      <c r="NY8" s="504">
        <v>0</v>
      </c>
      <c r="NZ8" s="504">
        <v>0</v>
      </c>
      <c r="OA8" s="504">
        <v>0</v>
      </c>
      <c r="OB8" s="504">
        <v>0</v>
      </c>
      <c r="OC8" s="504">
        <v>0</v>
      </c>
      <c r="OD8" s="504">
        <v>0</v>
      </c>
      <c r="OE8" s="504">
        <v>0</v>
      </c>
      <c r="OF8" s="504">
        <v>0</v>
      </c>
      <c r="OG8" s="504">
        <v>0</v>
      </c>
      <c r="OH8" s="504">
        <v>0</v>
      </c>
      <c r="OI8" s="504">
        <v>0</v>
      </c>
      <c r="OJ8" s="504">
        <v>0</v>
      </c>
      <c r="OK8" s="504">
        <v>0</v>
      </c>
      <c r="OL8" s="504">
        <v>0</v>
      </c>
      <c r="OM8" s="504">
        <v>0</v>
      </c>
      <c r="ON8" s="504">
        <v>0</v>
      </c>
      <c r="OO8" s="504">
        <v>0</v>
      </c>
      <c r="OP8" s="504">
        <v>0</v>
      </c>
      <c r="OQ8" s="504">
        <v>0</v>
      </c>
      <c r="OR8"/>
      <c r="OS8"/>
      <c r="OT8"/>
      <c r="OU8"/>
      <c r="OV8"/>
      <c r="OW8"/>
      <c r="OX8"/>
      <c r="OY8"/>
      <c r="OZ8"/>
      <c r="PA8"/>
      <c r="PB8"/>
      <c r="PC8"/>
      <c r="PD8"/>
      <c r="PE8"/>
      <c r="PF8"/>
      <c r="PG8"/>
      <c r="PH8"/>
      <c r="PI8"/>
      <c r="PJ8"/>
      <c r="PK8"/>
      <c r="PL8"/>
      <c r="PM8"/>
      <c r="PN8"/>
      <c r="PO8"/>
      <c r="PP8"/>
      <c r="PQ8"/>
      <c r="PR8"/>
      <c r="PS8"/>
      <c r="PT8" s="1656"/>
    </row>
    <row r="9" spans="1:436" ht="21.5">
      <c r="A9" s="1466" t="s">
        <v>1671</v>
      </c>
      <c r="B9" s="1576" t="s">
        <v>2358</v>
      </c>
      <c r="C9" s="1576" t="s">
        <v>13</v>
      </c>
      <c r="D9" s="1576">
        <v>32</v>
      </c>
      <c r="E9" s="504">
        <v>40</v>
      </c>
      <c r="F9" s="504">
        <v>162</v>
      </c>
      <c r="G9" s="504">
        <v>419</v>
      </c>
      <c r="H9" s="504">
        <v>656</v>
      </c>
      <c r="I9" s="504">
        <v>940</v>
      </c>
      <c r="J9" s="504">
        <v>1149</v>
      </c>
      <c r="K9" s="504">
        <v>1161</v>
      </c>
      <c r="L9" s="504">
        <v>1174</v>
      </c>
      <c r="M9" s="504">
        <v>1187</v>
      </c>
      <c r="N9" s="504">
        <v>1201</v>
      </c>
      <c r="O9" s="504">
        <v>1214</v>
      </c>
      <c r="P9" s="504">
        <v>1228</v>
      </c>
      <c r="Q9" s="504">
        <v>1242</v>
      </c>
      <c r="R9" s="504">
        <v>1257</v>
      </c>
      <c r="S9" s="504">
        <v>1272</v>
      </c>
      <c r="T9" s="504">
        <v>1287</v>
      </c>
      <c r="U9" s="504">
        <v>1303</v>
      </c>
      <c r="V9" s="504">
        <v>1318</v>
      </c>
      <c r="W9" s="504">
        <v>1335</v>
      </c>
      <c r="X9" s="504">
        <v>1351</v>
      </c>
      <c r="Y9" s="504">
        <v>1368</v>
      </c>
      <c r="Z9" s="504">
        <v>1385</v>
      </c>
      <c r="AA9" s="504">
        <v>1402</v>
      </c>
      <c r="AB9" s="504">
        <v>1420</v>
      </c>
      <c r="AC9" s="504">
        <v>1438</v>
      </c>
      <c r="AD9" s="504">
        <v>1457</v>
      </c>
      <c r="AE9" s="504">
        <v>1475</v>
      </c>
      <c r="AF9" s="504">
        <v>1494</v>
      </c>
      <c r="AG9" s="504">
        <v>1514</v>
      </c>
      <c r="AH9" s="504">
        <v>1533</v>
      </c>
      <c r="AI9" s="504">
        <v>1553</v>
      </c>
      <c r="AJ9" s="504">
        <v>1573</v>
      </c>
      <c r="AK9" s="504">
        <v>1594</v>
      </c>
      <c r="AL9" s="504">
        <v>1615</v>
      </c>
      <c r="AM9" s="504">
        <v>1636</v>
      </c>
      <c r="AN9" s="504">
        <v>1657</v>
      </c>
      <c r="AO9" s="504">
        <v>1679</v>
      </c>
      <c r="AP9" s="504">
        <v>1701</v>
      </c>
      <c r="AQ9" s="504">
        <v>1724</v>
      </c>
      <c r="AR9" s="504">
        <v>1747</v>
      </c>
      <c r="AS9" s="504">
        <v>1770</v>
      </c>
      <c r="AT9" s="504">
        <v>1795</v>
      </c>
      <c r="AU9" s="504">
        <v>1821</v>
      </c>
      <c r="AV9" s="504">
        <v>1848</v>
      </c>
      <c r="AW9" s="504">
        <v>1876</v>
      </c>
      <c r="AX9" s="504">
        <v>1908</v>
      </c>
      <c r="AY9" s="504">
        <v>1942</v>
      </c>
      <c r="AZ9" s="504">
        <v>2000</v>
      </c>
      <c r="BA9" s="504">
        <v>0</v>
      </c>
      <c r="BB9" s="504">
        <v>0</v>
      </c>
      <c r="BC9" s="504">
        <v>0</v>
      </c>
      <c r="BD9" s="504">
        <v>0</v>
      </c>
      <c r="BE9" s="504">
        <v>0</v>
      </c>
      <c r="BF9" s="504">
        <v>0</v>
      </c>
      <c r="BG9" s="504">
        <v>0</v>
      </c>
      <c r="BH9" s="504">
        <v>0</v>
      </c>
      <c r="BI9" s="504">
        <v>0</v>
      </c>
      <c r="BJ9" s="504">
        <v>0</v>
      </c>
      <c r="BK9" s="504">
        <v>0</v>
      </c>
      <c r="BL9" s="504">
        <v>0</v>
      </c>
      <c r="BM9" s="504">
        <v>0</v>
      </c>
      <c r="BN9" s="504">
        <v>0</v>
      </c>
      <c r="BO9" s="504">
        <v>0</v>
      </c>
      <c r="BP9" s="504">
        <v>0</v>
      </c>
      <c r="BQ9" s="504">
        <v>0</v>
      </c>
      <c r="BR9" s="504">
        <v>0</v>
      </c>
      <c r="BS9" s="504">
        <v>0</v>
      </c>
      <c r="BT9" s="504">
        <v>0</v>
      </c>
      <c r="BU9" s="504">
        <v>0</v>
      </c>
      <c r="BV9" s="504">
        <v>0</v>
      </c>
      <c r="BW9" s="504">
        <v>0</v>
      </c>
      <c r="BX9" s="504">
        <v>0</v>
      </c>
      <c r="BY9" s="504">
        <v>0</v>
      </c>
      <c r="BZ9" s="504">
        <v>0</v>
      </c>
      <c r="CA9" s="504">
        <v>0</v>
      </c>
      <c r="CB9" s="504">
        <v>0</v>
      </c>
      <c r="CC9" s="504">
        <v>0</v>
      </c>
      <c r="CD9" s="504">
        <v>0</v>
      </c>
      <c r="CE9" s="504">
        <v>0</v>
      </c>
      <c r="CF9" s="504">
        <v>0</v>
      </c>
      <c r="CG9" s="504">
        <v>0</v>
      </c>
      <c r="CH9" s="504">
        <v>0</v>
      </c>
      <c r="CI9" s="504">
        <v>0</v>
      </c>
      <c r="CJ9" s="504">
        <v>0</v>
      </c>
      <c r="CK9" s="504">
        <v>0</v>
      </c>
      <c r="CL9" s="504">
        <v>0</v>
      </c>
      <c r="CM9" s="504">
        <v>0</v>
      </c>
      <c r="CN9" s="504">
        <v>0</v>
      </c>
      <c r="CO9" s="504">
        <v>0</v>
      </c>
      <c r="CP9" s="504">
        <v>0</v>
      </c>
      <c r="CQ9" s="504">
        <v>0</v>
      </c>
      <c r="CR9" s="504">
        <v>0</v>
      </c>
      <c r="CS9" s="504">
        <v>0</v>
      </c>
      <c r="CT9" s="504">
        <v>0</v>
      </c>
      <c r="CU9" s="504">
        <v>0</v>
      </c>
      <c r="CV9" s="504">
        <v>0</v>
      </c>
      <c r="CW9" s="504">
        <v>0</v>
      </c>
      <c r="CX9" s="504">
        <v>0</v>
      </c>
      <c r="CY9" s="504">
        <v>0</v>
      </c>
      <c r="CZ9" s="1654">
        <v>0</v>
      </c>
      <c r="DA9" s="504">
        <v>0</v>
      </c>
      <c r="DB9" s="504">
        <v>124</v>
      </c>
      <c r="DC9" s="504">
        <v>489</v>
      </c>
      <c r="DD9" s="504">
        <v>1079</v>
      </c>
      <c r="DE9" s="504">
        <v>1307</v>
      </c>
      <c r="DF9" s="504">
        <v>1582</v>
      </c>
      <c r="DG9" s="504">
        <v>0</v>
      </c>
      <c r="DH9" s="504">
        <v>0</v>
      </c>
      <c r="DI9" s="504">
        <v>0</v>
      </c>
      <c r="DJ9" s="504">
        <v>0</v>
      </c>
      <c r="DK9" s="504">
        <v>0</v>
      </c>
      <c r="DL9" s="504">
        <v>0</v>
      </c>
      <c r="DM9" s="504">
        <v>0</v>
      </c>
      <c r="DN9" s="504">
        <v>0</v>
      </c>
      <c r="DO9" s="504">
        <v>0</v>
      </c>
      <c r="DP9" s="504">
        <v>0</v>
      </c>
      <c r="DQ9" s="504">
        <v>0</v>
      </c>
      <c r="DR9" s="504">
        <v>0</v>
      </c>
      <c r="DS9" s="504">
        <v>0</v>
      </c>
      <c r="DT9" s="504">
        <v>0</v>
      </c>
      <c r="DU9" s="504">
        <v>0</v>
      </c>
      <c r="DV9" s="504">
        <v>0</v>
      </c>
      <c r="DW9" s="504">
        <v>0</v>
      </c>
      <c r="DX9" s="504">
        <v>0</v>
      </c>
      <c r="DY9" s="504">
        <v>0</v>
      </c>
      <c r="DZ9" s="504">
        <v>0</v>
      </c>
      <c r="EA9" s="504">
        <v>0</v>
      </c>
      <c r="EB9" s="504">
        <v>0</v>
      </c>
      <c r="EC9" s="504">
        <v>0</v>
      </c>
      <c r="ED9" s="504">
        <v>0</v>
      </c>
      <c r="EE9" s="504">
        <v>0</v>
      </c>
      <c r="EF9" s="504">
        <v>0</v>
      </c>
      <c r="EG9" s="504">
        <v>0</v>
      </c>
      <c r="EH9" s="504">
        <v>0</v>
      </c>
      <c r="EI9" s="504">
        <v>0</v>
      </c>
      <c r="EJ9" s="504">
        <v>0</v>
      </c>
      <c r="EK9" s="504">
        <v>0</v>
      </c>
      <c r="EL9" s="504">
        <v>0</v>
      </c>
      <c r="EM9" s="504">
        <v>0</v>
      </c>
      <c r="EN9" s="504">
        <v>0</v>
      </c>
      <c r="EO9" s="504">
        <v>0</v>
      </c>
      <c r="EP9" s="504">
        <v>0</v>
      </c>
      <c r="EQ9" s="504">
        <v>0</v>
      </c>
      <c r="ER9" s="504">
        <v>0</v>
      </c>
      <c r="ES9" s="504">
        <v>0</v>
      </c>
      <c r="ET9" s="504">
        <v>0</v>
      </c>
      <c r="EU9" s="504">
        <v>0</v>
      </c>
      <c r="EV9" s="504">
        <v>0</v>
      </c>
      <c r="EW9" s="504">
        <v>0</v>
      </c>
      <c r="EX9" s="504">
        <v>0</v>
      </c>
      <c r="EY9" s="504">
        <v>0</v>
      </c>
      <c r="EZ9" s="504">
        <v>0</v>
      </c>
      <c r="FA9" s="504">
        <v>0</v>
      </c>
      <c r="FB9" s="504">
        <v>0</v>
      </c>
      <c r="FC9" s="504">
        <v>0</v>
      </c>
      <c r="FD9" s="504">
        <v>0</v>
      </c>
      <c r="FE9" s="504">
        <v>0</v>
      </c>
      <c r="FF9" s="504">
        <v>0</v>
      </c>
      <c r="FG9" s="504">
        <v>0</v>
      </c>
      <c r="FH9" s="504">
        <v>0</v>
      </c>
      <c r="FI9" s="504">
        <v>0</v>
      </c>
      <c r="FJ9" s="504">
        <v>0</v>
      </c>
      <c r="FK9" s="504">
        <v>0</v>
      </c>
      <c r="FL9" s="504">
        <v>0</v>
      </c>
      <c r="FM9" s="504">
        <v>0</v>
      </c>
      <c r="FN9" s="504">
        <v>0</v>
      </c>
      <c r="FO9" s="504">
        <v>0</v>
      </c>
      <c r="FP9" s="504">
        <v>0</v>
      </c>
      <c r="FQ9" s="504">
        <v>0</v>
      </c>
      <c r="FR9" s="504">
        <v>0</v>
      </c>
      <c r="FS9" s="504">
        <v>0</v>
      </c>
      <c r="FT9" s="504">
        <v>0</v>
      </c>
      <c r="FU9" s="504">
        <v>0</v>
      </c>
      <c r="FV9" s="504">
        <v>0</v>
      </c>
      <c r="FW9" s="504">
        <v>0</v>
      </c>
      <c r="FX9" s="504">
        <v>0</v>
      </c>
      <c r="FY9" s="504">
        <v>0</v>
      </c>
      <c r="FZ9" s="504">
        <v>0</v>
      </c>
      <c r="GA9" s="504">
        <v>0</v>
      </c>
      <c r="GB9" s="504">
        <v>0</v>
      </c>
      <c r="GC9" s="504">
        <v>0</v>
      </c>
      <c r="GD9" s="504">
        <v>0</v>
      </c>
      <c r="GE9" s="504">
        <v>0</v>
      </c>
      <c r="GF9" s="504">
        <v>0</v>
      </c>
      <c r="GG9" s="504">
        <v>0</v>
      </c>
      <c r="GH9" s="504">
        <v>0</v>
      </c>
      <c r="GI9" s="504">
        <v>0</v>
      </c>
      <c r="GJ9" s="504">
        <v>0</v>
      </c>
      <c r="GK9" s="504">
        <v>0</v>
      </c>
      <c r="GL9" s="504">
        <v>0</v>
      </c>
      <c r="GM9" s="504">
        <v>0</v>
      </c>
      <c r="GN9" s="504">
        <v>0</v>
      </c>
      <c r="GO9" s="504">
        <v>0</v>
      </c>
      <c r="GP9" s="504">
        <v>0</v>
      </c>
      <c r="GQ9" s="504">
        <v>0</v>
      </c>
      <c r="GR9" s="504">
        <v>0</v>
      </c>
      <c r="GS9" s="504">
        <v>0</v>
      </c>
      <c r="GT9" s="504">
        <v>0</v>
      </c>
      <c r="GU9" s="504">
        <v>0</v>
      </c>
      <c r="GV9" s="504">
        <v>0</v>
      </c>
      <c r="GW9" s="1654">
        <v>0</v>
      </c>
      <c r="GX9" s="504">
        <v>0</v>
      </c>
      <c r="GY9" s="504">
        <v>14159</v>
      </c>
      <c r="GZ9" s="504">
        <v>35105</v>
      </c>
      <c r="HA9" s="504">
        <v>45000</v>
      </c>
      <c r="HB9" s="504">
        <v>44000</v>
      </c>
      <c r="HC9" s="504">
        <v>43000</v>
      </c>
      <c r="HD9" s="504">
        <v>0</v>
      </c>
      <c r="HE9" s="504">
        <v>0</v>
      </c>
      <c r="HF9" s="504">
        <v>0</v>
      </c>
      <c r="HG9" s="504">
        <v>0</v>
      </c>
      <c r="HH9" s="504">
        <v>0</v>
      </c>
      <c r="HI9" s="504">
        <v>0</v>
      </c>
      <c r="HJ9" s="504">
        <v>0</v>
      </c>
      <c r="HK9" s="504">
        <v>0</v>
      </c>
      <c r="HL9" s="504">
        <v>0</v>
      </c>
      <c r="HM9" s="504">
        <v>0</v>
      </c>
      <c r="HN9" s="504">
        <v>0</v>
      </c>
      <c r="HO9" s="504">
        <v>0</v>
      </c>
      <c r="HP9" s="504">
        <v>0</v>
      </c>
      <c r="HQ9" s="504">
        <v>0</v>
      </c>
      <c r="HR9" s="504">
        <v>0</v>
      </c>
      <c r="HS9" s="504">
        <v>0</v>
      </c>
      <c r="HT9" s="504">
        <v>0</v>
      </c>
      <c r="HU9" s="504">
        <v>0</v>
      </c>
      <c r="HV9" s="504">
        <v>0</v>
      </c>
      <c r="HW9" s="504">
        <v>0</v>
      </c>
      <c r="HX9" s="504">
        <v>0</v>
      </c>
      <c r="HY9" s="504">
        <v>0</v>
      </c>
      <c r="HZ9" s="504">
        <v>0</v>
      </c>
      <c r="IA9" s="504">
        <v>0</v>
      </c>
      <c r="IB9" s="504">
        <v>0</v>
      </c>
      <c r="IC9" s="504">
        <v>0</v>
      </c>
      <c r="ID9" s="504">
        <v>0</v>
      </c>
      <c r="IE9" s="504">
        <v>0</v>
      </c>
      <c r="IF9" s="504">
        <v>0</v>
      </c>
      <c r="IG9" s="504">
        <v>0</v>
      </c>
      <c r="IH9" s="504">
        <v>0</v>
      </c>
      <c r="II9" s="504">
        <v>0</v>
      </c>
      <c r="IJ9" s="504">
        <v>0</v>
      </c>
      <c r="IK9" s="504">
        <v>0</v>
      </c>
      <c r="IL9" s="504">
        <v>0</v>
      </c>
      <c r="IM9" s="504">
        <v>0</v>
      </c>
      <c r="IN9" s="504">
        <v>0</v>
      </c>
      <c r="IO9" s="504">
        <v>0</v>
      </c>
      <c r="IP9" s="504">
        <v>0</v>
      </c>
      <c r="IQ9" s="504">
        <v>0</v>
      </c>
      <c r="IR9" s="504">
        <v>0</v>
      </c>
      <c r="IS9" s="504">
        <v>0</v>
      </c>
      <c r="IT9" s="504">
        <v>0</v>
      </c>
      <c r="IU9" s="504">
        <v>0</v>
      </c>
      <c r="IV9" s="504">
        <v>0</v>
      </c>
      <c r="IW9" s="504">
        <v>0</v>
      </c>
      <c r="IX9" s="504">
        <v>0</v>
      </c>
      <c r="IY9" s="504">
        <v>0</v>
      </c>
      <c r="IZ9" s="504">
        <v>0</v>
      </c>
      <c r="JA9" s="504">
        <v>0</v>
      </c>
      <c r="JB9" s="504">
        <v>0</v>
      </c>
      <c r="JC9" s="504">
        <v>0</v>
      </c>
      <c r="JD9" s="504">
        <v>0</v>
      </c>
      <c r="JE9" s="504">
        <v>0</v>
      </c>
      <c r="JF9" s="504">
        <v>0</v>
      </c>
      <c r="JG9" s="504">
        <v>0</v>
      </c>
      <c r="JH9" s="504">
        <v>0</v>
      </c>
      <c r="JI9" s="504">
        <v>0</v>
      </c>
      <c r="JJ9" s="504">
        <v>0</v>
      </c>
      <c r="JK9" s="504">
        <v>0</v>
      </c>
      <c r="JL9" s="504">
        <v>0</v>
      </c>
      <c r="JM9" s="504">
        <v>0</v>
      </c>
      <c r="JN9" s="504">
        <v>0</v>
      </c>
      <c r="JO9" s="504">
        <v>0</v>
      </c>
      <c r="JP9" s="504">
        <v>0</v>
      </c>
      <c r="JQ9" s="504">
        <v>0</v>
      </c>
      <c r="JR9" s="504">
        <v>0</v>
      </c>
      <c r="JS9" s="504">
        <v>0</v>
      </c>
      <c r="JT9" s="504">
        <v>0</v>
      </c>
      <c r="JU9" s="504">
        <v>0</v>
      </c>
      <c r="JV9" s="504">
        <v>0</v>
      </c>
      <c r="JW9" s="504">
        <v>0</v>
      </c>
      <c r="JX9" s="504">
        <v>0</v>
      </c>
      <c r="JY9" s="504">
        <v>0</v>
      </c>
      <c r="JZ9" s="504">
        <v>0</v>
      </c>
      <c r="KA9" s="504">
        <v>0</v>
      </c>
      <c r="KB9" s="504">
        <v>0</v>
      </c>
      <c r="KC9" s="504">
        <v>0</v>
      </c>
      <c r="KD9" s="504">
        <v>0</v>
      </c>
      <c r="KE9" s="504">
        <v>0</v>
      </c>
      <c r="KF9" s="504">
        <v>0</v>
      </c>
      <c r="KG9" s="504">
        <v>0</v>
      </c>
      <c r="KH9" s="504">
        <v>0</v>
      </c>
      <c r="KI9" s="504">
        <v>0</v>
      </c>
      <c r="KJ9" s="504">
        <v>0</v>
      </c>
      <c r="KK9" s="504">
        <v>0</v>
      </c>
      <c r="KL9" s="504">
        <v>0</v>
      </c>
      <c r="KM9" s="504">
        <v>0</v>
      </c>
      <c r="KN9" s="504">
        <v>0</v>
      </c>
      <c r="KO9" s="504">
        <v>0</v>
      </c>
      <c r="KP9" s="504">
        <v>0</v>
      </c>
      <c r="KQ9" s="504">
        <v>0</v>
      </c>
      <c r="KR9" s="504">
        <v>0</v>
      </c>
      <c r="KS9" s="504">
        <v>0</v>
      </c>
      <c r="KT9" s="1654">
        <v>0</v>
      </c>
      <c r="KU9" s="504">
        <v>0</v>
      </c>
      <c r="KV9" s="504">
        <v>0</v>
      </c>
      <c r="KW9" s="504">
        <v>0</v>
      </c>
      <c r="KX9" s="504">
        <v>1061</v>
      </c>
      <c r="KY9" s="504">
        <v>1289</v>
      </c>
      <c r="KZ9" s="504">
        <v>1563</v>
      </c>
      <c r="LA9" s="504">
        <v>0</v>
      </c>
      <c r="LB9" s="504">
        <v>0</v>
      </c>
      <c r="LC9" s="504">
        <v>0</v>
      </c>
      <c r="LD9" s="504">
        <v>0</v>
      </c>
      <c r="LE9" s="504">
        <v>0</v>
      </c>
      <c r="LF9" s="504">
        <v>0</v>
      </c>
      <c r="LG9" s="504">
        <v>0</v>
      </c>
      <c r="LH9" s="504">
        <v>0</v>
      </c>
      <c r="LI9" s="504">
        <v>0</v>
      </c>
      <c r="LJ9" s="504">
        <v>0</v>
      </c>
      <c r="LK9" s="504">
        <v>0</v>
      </c>
      <c r="LL9" s="504">
        <v>0</v>
      </c>
      <c r="LM9" s="504">
        <v>0</v>
      </c>
      <c r="LN9" s="504">
        <v>0</v>
      </c>
      <c r="LO9" s="504">
        <v>0</v>
      </c>
      <c r="LP9" s="504">
        <v>0</v>
      </c>
      <c r="LQ9" s="504">
        <v>0</v>
      </c>
      <c r="LR9" s="504">
        <v>0</v>
      </c>
      <c r="LS9" s="504">
        <v>0</v>
      </c>
      <c r="LT9" s="504">
        <v>0</v>
      </c>
      <c r="LU9" s="504">
        <v>0</v>
      </c>
      <c r="LV9" s="504">
        <v>0</v>
      </c>
      <c r="LW9" s="504">
        <v>0</v>
      </c>
      <c r="LX9" s="504">
        <v>0</v>
      </c>
      <c r="LY9" s="504">
        <v>0</v>
      </c>
      <c r="LZ9" s="504">
        <v>0</v>
      </c>
      <c r="MA9" s="504">
        <v>0</v>
      </c>
      <c r="MB9" s="504">
        <v>0</v>
      </c>
      <c r="MC9" s="504">
        <v>0</v>
      </c>
      <c r="MD9" s="504">
        <v>0</v>
      </c>
      <c r="ME9" s="504">
        <v>0</v>
      </c>
      <c r="MF9" s="504">
        <v>0</v>
      </c>
      <c r="MG9" s="504">
        <v>0</v>
      </c>
      <c r="MH9" s="504">
        <v>0</v>
      </c>
      <c r="MI9" s="504">
        <v>0</v>
      </c>
      <c r="MJ9" s="504">
        <v>0</v>
      </c>
      <c r="MK9" s="504">
        <v>0</v>
      </c>
      <c r="ML9" s="504">
        <v>0</v>
      </c>
      <c r="MM9" s="504">
        <v>0</v>
      </c>
      <c r="MN9" s="504">
        <v>0</v>
      </c>
      <c r="MO9" s="504">
        <v>0</v>
      </c>
      <c r="MP9" s="504">
        <v>0</v>
      </c>
      <c r="MQ9" s="504">
        <v>0</v>
      </c>
      <c r="MR9" s="504">
        <v>0</v>
      </c>
      <c r="MS9" s="504">
        <v>0</v>
      </c>
      <c r="MT9" s="504">
        <v>0</v>
      </c>
      <c r="MU9" s="504">
        <v>0</v>
      </c>
      <c r="MV9" s="504">
        <v>0</v>
      </c>
      <c r="MW9" s="504">
        <v>0</v>
      </c>
      <c r="MX9" s="504">
        <v>0</v>
      </c>
      <c r="MY9" s="504">
        <v>0</v>
      </c>
      <c r="MZ9" s="504">
        <v>0</v>
      </c>
      <c r="NA9" s="504">
        <v>0</v>
      </c>
      <c r="NB9" s="504">
        <v>0</v>
      </c>
      <c r="NC9" s="504">
        <v>0</v>
      </c>
      <c r="ND9" s="504">
        <v>0</v>
      </c>
      <c r="NE9" s="504">
        <v>0</v>
      </c>
      <c r="NF9" s="504">
        <v>0</v>
      </c>
      <c r="NG9" s="504">
        <v>0</v>
      </c>
      <c r="NH9" s="504">
        <v>0</v>
      </c>
      <c r="NI9" s="504">
        <v>0</v>
      </c>
      <c r="NJ9" s="504">
        <v>0</v>
      </c>
      <c r="NK9" s="504">
        <v>0</v>
      </c>
      <c r="NL9" s="504">
        <v>0</v>
      </c>
      <c r="NM9" s="504">
        <v>0</v>
      </c>
      <c r="NN9" s="504">
        <v>0</v>
      </c>
      <c r="NO9" s="504">
        <v>0</v>
      </c>
      <c r="NP9" s="504">
        <v>0</v>
      </c>
      <c r="NQ9" s="504">
        <v>0</v>
      </c>
      <c r="NR9" s="504">
        <v>0</v>
      </c>
      <c r="NS9" s="504">
        <v>0</v>
      </c>
      <c r="NT9" s="504">
        <v>0</v>
      </c>
      <c r="NU9" s="504">
        <v>0</v>
      </c>
      <c r="NV9" s="504">
        <v>0</v>
      </c>
      <c r="NW9" s="504">
        <v>0</v>
      </c>
      <c r="NX9" s="504">
        <v>0</v>
      </c>
      <c r="NY9" s="504">
        <v>0</v>
      </c>
      <c r="NZ9" s="504">
        <v>0</v>
      </c>
      <c r="OA9" s="504">
        <v>0</v>
      </c>
      <c r="OB9" s="504">
        <v>0</v>
      </c>
      <c r="OC9" s="504">
        <v>0</v>
      </c>
      <c r="OD9" s="504">
        <v>0</v>
      </c>
      <c r="OE9" s="504">
        <v>0</v>
      </c>
      <c r="OF9" s="504">
        <v>0</v>
      </c>
      <c r="OG9" s="504">
        <v>0</v>
      </c>
      <c r="OH9" s="504">
        <v>0</v>
      </c>
      <c r="OI9" s="504">
        <v>0</v>
      </c>
      <c r="OJ9" s="504">
        <v>0</v>
      </c>
      <c r="OK9" s="504">
        <v>0</v>
      </c>
      <c r="OL9" s="504">
        <v>0</v>
      </c>
      <c r="OM9" s="504">
        <v>0</v>
      </c>
      <c r="ON9" s="504">
        <v>0</v>
      </c>
      <c r="OO9" s="504">
        <v>0</v>
      </c>
      <c r="OP9" s="504">
        <v>0</v>
      </c>
      <c r="OQ9" s="504">
        <v>0</v>
      </c>
      <c r="OR9"/>
      <c r="OS9"/>
      <c r="OT9"/>
      <c r="OU9"/>
      <c r="OV9"/>
      <c r="OW9"/>
      <c r="OX9"/>
      <c r="OY9"/>
      <c r="OZ9"/>
      <c r="PA9"/>
      <c r="PB9"/>
      <c r="PC9"/>
      <c r="PD9"/>
      <c r="PE9"/>
      <c r="PF9"/>
      <c r="PG9"/>
      <c r="PH9"/>
      <c r="PI9"/>
      <c r="PJ9"/>
      <c r="PK9"/>
      <c r="PL9"/>
      <c r="PM9"/>
      <c r="PN9"/>
      <c r="PO9"/>
      <c r="PP9"/>
      <c r="PQ9"/>
      <c r="PR9"/>
      <c r="PS9"/>
      <c r="PT9" s="1656"/>
    </row>
    <row r="10" spans="1:436" ht="21.5">
      <c r="A10" s="1466" t="s">
        <v>1672</v>
      </c>
      <c r="B10" s="1576" t="s">
        <v>2358</v>
      </c>
      <c r="C10" s="1576" t="s">
        <v>13</v>
      </c>
      <c r="D10" s="1576">
        <v>33</v>
      </c>
      <c r="E10" s="504">
        <v>40</v>
      </c>
      <c r="F10" s="504">
        <v>164</v>
      </c>
      <c r="G10" s="504">
        <v>424</v>
      </c>
      <c r="H10" s="504">
        <v>663</v>
      </c>
      <c r="I10" s="504">
        <v>951</v>
      </c>
      <c r="J10" s="504">
        <v>1161</v>
      </c>
      <c r="K10" s="504">
        <v>1174</v>
      </c>
      <c r="L10" s="504">
        <v>1187</v>
      </c>
      <c r="M10" s="504">
        <v>1201</v>
      </c>
      <c r="N10" s="504">
        <v>1214</v>
      </c>
      <c r="O10" s="504">
        <v>1228</v>
      </c>
      <c r="P10" s="504">
        <v>1242</v>
      </c>
      <c r="Q10" s="504">
        <v>1257</v>
      </c>
      <c r="R10" s="504">
        <v>1272</v>
      </c>
      <c r="S10" s="504">
        <v>1287</v>
      </c>
      <c r="T10" s="504">
        <v>1303</v>
      </c>
      <c r="U10" s="504">
        <v>1318</v>
      </c>
      <c r="V10" s="504">
        <v>1335</v>
      </c>
      <c r="W10" s="504">
        <v>1351</v>
      </c>
      <c r="X10" s="504">
        <v>1368</v>
      </c>
      <c r="Y10" s="504">
        <v>1385</v>
      </c>
      <c r="Z10" s="504">
        <v>1402</v>
      </c>
      <c r="AA10" s="504">
        <v>1420</v>
      </c>
      <c r="AB10" s="504">
        <v>1438</v>
      </c>
      <c r="AC10" s="504">
        <v>1457</v>
      </c>
      <c r="AD10" s="504">
        <v>1475</v>
      </c>
      <c r="AE10" s="504">
        <v>1494</v>
      </c>
      <c r="AF10" s="504">
        <v>1514</v>
      </c>
      <c r="AG10" s="504">
        <v>1533</v>
      </c>
      <c r="AH10" s="504">
        <v>1553</v>
      </c>
      <c r="AI10" s="504">
        <v>1573</v>
      </c>
      <c r="AJ10" s="504">
        <v>1594</v>
      </c>
      <c r="AK10" s="504">
        <v>1615</v>
      </c>
      <c r="AL10" s="504">
        <v>1636</v>
      </c>
      <c r="AM10" s="504">
        <v>1657</v>
      </c>
      <c r="AN10" s="504">
        <v>1679</v>
      </c>
      <c r="AO10" s="504">
        <v>1701</v>
      </c>
      <c r="AP10" s="504">
        <v>1724</v>
      </c>
      <c r="AQ10" s="504">
        <v>1747</v>
      </c>
      <c r="AR10" s="504">
        <v>1770</v>
      </c>
      <c r="AS10" s="504">
        <v>1795</v>
      </c>
      <c r="AT10" s="504">
        <v>1821</v>
      </c>
      <c r="AU10" s="504">
        <v>1848</v>
      </c>
      <c r="AV10" s="504">
        <v>1876</v>
      </c>
      <c r="AW10" s="504">
        <v>1908</v>
      </c>
      <c r="AX10" s="504">
        <v>1942</v>
      </c>
      <c r="AY10" s="504">
        <v>2000</v>
      </c>
      <c r="AZ10" s="504">
        <v>0</v>
      </c>
      <c r="BA10" s="504">
        <v>0</v>
      </c>
      <c r="BB10" s="504">
        <v>0</v>
      </c>
      <c r="BC10" s="504">
        <v>0</v>
      </c>
      <c r="BD10" s="504">
        <v>0</v>
      </c>
      <c r="BE10" s="504">
        <v>0</v>
      </c>
      <c r="BF10" s="504">
        <v>0</v>
      </c>
      <c r="BG10" s="504">
        <v>0</v>
      </c>
      <c r="BH10" s="504">
        <v>0</v>
      </c>
      <c r="BI10" s="504">
        <v>0</v>
      </c>
      <c r="BJ10" s="504">
        <v>0</v>
      </c>
      <c r="BK10" s="504">
        <v>0</v>
      </c>
      <c r="BL10" s="504">
        <v>0</v>
      </c>
      <c r="BM10" s="504">
        <v>0</v>
      </c>
      <c r="BN10" s="504">
        <v>0</v>
      </c>
      <c r="BO10" s="504">
        <v>0</v>
      </c>
      <c r="BP10" s="504">
        <v>0</v>
      </c>
      <c r="BQ10" s="504">
        <v>0</v>
      </c>
      <c r="BR10" s="504">
        <v>0</v>
      </c>
      <c r="BS10" s="504">
        <v>0</v>
      </c>
      <c r="BT10" s="504">
        <v>0</v>
      </c>
      <c r="BU10" s="504">
        <v>0</v>
      </c>
      <c r="BV10" s="504">
        <v>0</v>
      </c>
      <c r="BW10" s="504">
        <v>0</v>
      </c>
      <c r="BX10" s="504">
        <v>0</v>
      </c>
      <c r="BY10" s="504">
        <v>0</v>
      </c>
      <c r="BZ10" s="504">
        <v>0</v>
      </c>
      <c r="CA10" s="504">
        <v>0</v>
      </c>
      <c r="CB10" s="504">
        <v>0</v>
      </c>
      <c r="CC10" s="504">
        <v>0</v>
      </c>
      <c r="CD10" s="504">
        <v>0</v>
      </c>
      <c r="CE10" s="504">
        <v>0</v>
      </c>
      <c r="CF10" s="504">
        <v>0</v>
      </c>
      <c r="CG10" s="504">
        <v>0</v>
      </c>
      <c r="CH10" s="504">
        <v>0</v>
      </c>
      <c r="CI10" s="504">
        <v>0</v>
      </c>
      <c r="CJ10" s="504">
        <v>0</v>
      </c>
      <c r="CK10" s="504">
        <v>0</v>
      </c>
      <c r="CL10" s="504">
        <v>0</v>
      </c>
      <c r="CM10" s="504">
        <v>0</v>
      </c>
      <c r="CN10" s="504">
        <v>0</v>
      </c>
      <c r="CO10" s="504">
        <v>0</v>
      </c>
      <c r="CP10" s="504">
        <v>0</v>
      </c>
      <c r="CQ10" s="504">
        <v>0</v>
      </c>
      <c r="CR10" s="504">
        <v>0</v>
      </c>
      <c r="CS10" s="504">
        <v>0</v>
      </c>
      <c r="CT10" s="504">
        <v>0</v>
      </c>
      <c r="CU10" s="504">
        <v>0</v>
      </c>
      <c r="CV10" s="504">
        <v>0</v>
      </c>
      <c r="CW10" s="504">
        <v>0</v>
      </c>
      <c r="CX10" s="504">
        <v>0</v>
      </c>
      <c r="CY10" s="504">
        <v>0</v>
      </c>
      <c r="CZ10" s="1654">
        <v>0</v>
      </c>
      <c r="DA10" s="504">
        <v>0</v>
      </c>
      <c r="DB10" s="504">
        <v>121</v>
      </c>
      <c r="DC10" s="504">
        <v>482</v>
      </c>
      <c r="DD10" s="504">
        <v>1075</v>
      </c>
      <c r="DE10" s="504">
        <v>1305</v>
      </c>
      <c r="DF10" s="504">
        <v>1584</v>
      </c>
      <c r="DG10" s="504">
        <v>0</v>
      </c>
      <c r="DH10" s="504">
        <v>0</v>
      </c>
      <c r="DI10" s="504">
        <v>0</v>
      </c>
      <c r="DJ10" s="504">
        <v>0</v>
      </c>
      <c r="DK10" s="504">
        <v>0</v>
      </c>
      <c r="DL10" s="504">
        <v>0</v>
      </c>
      <c r="DM10" s="504">
        <v>0</v>
      </c>
      <c r="DN10" s="504">
        <v>0</v>
      </c>
      <c r="DO10" s="504">
        <v>0</v>
      </c>
      <c r="DP10" s="504">
        <v>0</v>
      </c>
      <c r="DQ10" s="504">
        <v>0</v>
      </c>
      <c r="DR10" s="504">
        <v>0</v>
      </c>
      <c r="DS10" s="504">
        <v>0</v>
      </c>
      <c r="DT10" s="504">
        <v>0</v>
      </c>
      <c r="DU10" s="504">
        <v>0</v>
      </c>
      <c r="DV10" s="504">
        <v>0</v>
      </c>
      <c r="DW10" s="504">
        <v>0</v>
      </c>
      <c r="DX10" s="504">
        <v>0</v>
      </c>
      <c r="DY10" s="504">
        <v>0</v>
      </c>
      <c r="DZ10" s="504">
        <v>0</v>
      </c>
      <c r="EA10" s="504">
        <v>0</v>
      </c>
      <c r="EB10" s="504">
        <v>0</v>
      </c>
      <c r="EC10" s="504">
        <v>0</v>
      </c>
      <c r="ED10" s="504">
        <v>0</v>
      </c>
      <c r="EE10" s="504">
        <v>0</v>
      </c>
      <c r="EF10" s="504">
        <v>0</v>
      </c>
      <c r="EG10" s="504">
        <v>0</v>
      </c>
      <c r="EH10" s="504">
        <v>0</v>
      </c>
      <c r="EI10" s="504">
        <v>0</v>
      </c>
      <c r="EJ10" s="504">
        <v>0</v>
      </c>
      <c r="EK10" s="504">
        <v>0</v>
      </c>
      <c r="EL10" s="504">
        <v>0</v>
      </c>
      <c r="EM10" s="504">
        <v>0</v>
      </c>
      <c r="EN10" s="504">
        <v>0</v>
      </c>
      <c r="EO10" s="504">
        <v>0</v>
      </c>
      <c r="EP10" s="504">
        <v>0</v>
      </c>
      <c r="EQ10" s="504">
        <v>0</v>
      </c>
      <c r="ER10" s="504">
        <v>0</v>
      </c>
      <c r="ES10" s="504">
        <v>0</v>
      </c>
      <c r="ET10" s="504">
        <v>0</v>
      </c>
      <c r="EU10" s="504">
        <v>0</v>
      </c>
      <c r="EV10" s="504">
        <v>0</v>
      </c>
      <c r="EW10" s="504">
        <v>0</v>
      </c>
      <c r="EX10" s="504">
        <v>0</v>
      </c>
      <c r="EY10" s="504">
        <v>0</v>
      </c>
      <c r="EZ10" s="504">
        <v>0</v>
      </c>
      <c r="FA10" s="504">
        <v>0</v>
      </c>
      <c r="FB10" s="504">
        <v>0</v>
      </c>
      <c r="FC10" s="504">
        <v>0</v>
      </c>
      <c r="FD10" s="504">
        <v>0</v>
      </c>
      <c r="FE10" s="504">
        <v>0</v>
      </c>
      <c r="FF10" s="504">
        <v>0</v>
      </c>
      <c r="FG10" s="504">
        <v>0</v>
      </c>
      <c r="FH10" s="504">
        <v>0</v>
      </c>
      <c r="FI10" s="504">
        <v>0</v>
      </c>
      <c r="FJ10" s="504">
        <v>0</v>
      </c>
      <c r="FK10" s="504">
        <v>0</v>
      </c>
      <c r="FL10" s="504">
        <v>0</v>
      </c>
      <c r="FM10" s="504">
        <v>0</v>
      </c>
      <c r="FN10" s="504">
        <v>0</v>
      </c>
      <c r="FO10" s="504">
        <v>0</v>
      </c>
      <c r="FP10" s="504">
        <v>0</v>
      </c>
      <c r="FQ10" s="504">
        <v>0</v>
      </c>
      <c r="FR10" s="504">
        <v>0</v>
      </c>
      <c r="FS10" s="504">
        <v>0</v>
      </c>
      <c r="FT10" s="504">
        <v>0</v>
      </c>
      <c r="FU10" s="504">
        <v>0</v>
      </c>
      <c r="FV10" s="504">
        <v>0</v>
      </c>
      <c r="FW10" s="504">
        <v>0</v>
      </c>
      <c r="FX10" s="504">
        <v>0</v>
      </c>
      <c r="FY10" s="504">
        <v>0</v>
      </c>
      <c r="FZ10" s="504">
        <v>0</v>
      </c>
      <c r="GA10" s="504">
        <v>0</v>
      </c>
      <c r="GB10" s="504">
        <v>0</v>
      </c>
      <c r="GC10" s="504">
        <v>0</v>
      </c>
      <c r="GD10" s="504">
        <v>0</v>
      </c>
      <c r="GE10" s="504">
        <v>0</v>
      </c>
      <c r="GF10" s="504">
        <v>0</v>
      </c>
      <c r="GG10" s="504">
        <v>0</v>
      </c>
      <c r="GH10" s="504">
        <v>0</v>
      </c>
      <c r="GI10" s="504">
        <v>0</v>
      </c>
      <c r="GJ10" s="504">
        <v>0</v>
      </c>
      <c r="GK10" s="504">
        <v>0</v>
      </c>
      <c r="GL10" s="504">
        <v>0</v>
      </c>
      <c r="GM10" s="504">
        <v>0</v>
      </c>
      <c r="GN10" s="504">
        <v>0</v>
      </c>
      <c r="GO10" s="504">
        <v>0</v>
      </c>
      <c r="GP10" s="504">
        <v>0</v>
      </c>
      <c r="GQ10" s="504">
        <v>0</v>
      </c>
      <c r="GR10" s="504">
        <v>0</v>
      </c>
      <c r="GS10" s="504">
        <v>0</v>
      </c>
      <c r="GT10" s="504">
        <v>0</v>
      </c>
      <c r="GU10" s="504">
        <v>0</v>
      </c>
      <c r="GV10" s="504">
        <v>0</v>
      </c>
      <c r="GW10" s="1654">
        <v>0</v>
      </c>
      <c r="GX10" s="504">
        <v>0</v>
      </c>
      <c r="GY10" s="504">
        <v>13280</v>
      </c>
      <c r="GZ10" s="504">
        <v>34078</v>
      </c>
      <c r="HA10" s="504">
        <v>44000</v>
      </c>
      <c r="HB10" s="504">
        <v>43000</v>
      </c>
      <c r="HC10" s="504">
        <v>42000</v>
      </c>
      <c r="HD10" s="504">
        <v>0</v>
      </c>
      <c r="HE10" s="504">
        <v>0</v>
      </c>
      <c r="HF10" s="504">
        <v>0</v>
      </c>
      <c r="HG10" s="504">
        <v>0</v>
      </c>
      <c r="HH10" s="504">
        <v>0</v>
      </c>
      <c r="HI10" s="504">
        <v>0</v>
      </c>
      <c r="HJ10" s="504">
        <v>0</v>
      </c>
      <c r="HK10" s="504">
        <v>0</v>
      </c>
      <c r="HL10" s="504">
        <v>0</v>
      </c>
      <c r="HM10" s="504">
        <v>0</v>
      </c>
      <c r="HN10" s="504">
        <v>0</v>
      </c>
      <c r="HO10" s="504">
        <v>0</v>
      </c>
      <c r="HP10" s="504">
        <v>0</v>
      </c>
      <c r="HQ10" s="504">
        <v>0</v>
      </c>
      <c r="HR10" s="504">
        <v>0</v>
      </c>
      <c r="HS10" s="504">
        <v>0</v>
      </c>
      <c r="HT10" s="504">
        <v>0</v>
      </c>
      <c r="HU10" s="504">
        <v>0</v>
      </c>
      <c r="HV10" s="504">
        <v>0</v>
      </c>
      <c r="HW10" s="504">
        <v>0</v>
      </c>
      <c r="HX10" s="504">
        <v>0</v>
      </c>
      <c r="HY10" s="504">
        <v>0</v>
      </c>
      <c r="HZ10" s="504">
        <v>0</v>
      </c>
      <c r="IA10" s="504">
        <v>0</v>
      </c>
      <c r="IB10" s="504">
        <v>0</v>
      </c>
      <c r="IC10" s="504">
        <v>0</v>
      </c>
      <c r="ID10" s="504">
        <v>0</v>
      </c>
      <c r="IE10" s="504">
        <v>0</v>
      </c>
      <c r="IF10" s="504">
        <v>0</v>
      </c>
      <c r="IG10" s="504">
        <v>0</v>
      </c>
      <c r="IH10" s="504">
        <v>0</v>
      </c>
      <c r="II10" s="504">
        <v>0</v>
      </c>
      <c r="IJ10" s="504">
        <v>0</v>
      </c>
      <c r="IK10" s="504">
        <v>0</v>
      </c>
      <c r="IL10" s="504">
        <v>0</v>
      </c>
      <c r="IM10" s="504">
        <v>0</v>
      </c>
      <c r="IN10" s="504">
        <v>0</v>
      </c>
      <c r="IO10" s="504">
        <v>0</v>
      </c>
      <c r="IP10" s="504">
        <v>0</v>
      </c>
      <c r="IQ10" s="504">
        <v>0</v>
      </c>
      <c r="IR10" s="504">
        <v>0</v>
      </c>
      <c r="IS10" s="504">
        <v>0</v>
      </c>
      <c r="IT10" s="504">
        <v>0</v>
      </c>
      <c r="IU10" s="504">
        <v>0</v>
      </c>
      <c r="IV10" s="504">
        <v>0</v>
      </c>
      <c r="IW10" s="504">
        <v>0</v>
      </c>
      <c r="IX10" s="504">
        <v>0</v>
      </c>
      <c r="IY10" s="504">
        <v>0</v>
      </c>
      <c r="IZ10" s="504">
        <v>0</v>
      </c>
      <c r="JA10" s="504">
        <v>0</v>
      </c>
      <c r="JB10" s="504">
        <v>0</v>
      </c>
      <c r="JC10" s="504">
        <v>0</v>
      </c>
      <c r="JD10" s="504">
        <v>0</v>
      </c>
      <c r="JE10" s="504">
        <v>0</v>
      </c>
      <c r="JF10" s="504">
        <v>0</v>
      </c>
      <c r="JG10" s="504">
        <v>0</v>
      </c>
      <c r="JH10" s="504">
        <v>0</v>
      </c>
      <c r="JI10" s="504">
        <v>0</v>
      </c>
      <c r="JJ10" s="504">
        <v>0</v>
      </c>
      <c r="JK10" s="504">
        <v>0</v>
      </c>
      <c r="JL10" s="504">
        <v>0</v>
      </c>
      <c r="JM10" s="504">
        <v>0</v>
      </c>
      <c r="JN10" s="504">
        <v>0</v>
      </c>
      <c r="JO10" s="504">
        <v>0</v>
      </c>
      <c r="JP10" s="504">
        <v>0</v>
      </c>
      <c r="JQ10" s="504">
        <v>0</v>
      </c>
      <c r="JR10" s="504">
        <v>0</v>
      </c>
      <c r="JS10" s="504">
        <v>0</v>
      </c>
      <c r="JT10" s="504">
        <v>0</v>
      </c>
      <c r="JU10" s="504">
        <v>0</v>
      </c>
      <c r="JV10" s="504">
        <v>0</v>
      </c>
      <c r="JW10" s="504">
        <v>0</v>
      </c>
      <c r="JX10" s="504">
        <v>0</v>
      </c>
      <c r="JY10" s="504">
        <v>0</v>
      </c>
      <c r="JZ10" s="504">
        <v>0</v>
      </c>
      <c r="KA10" s="504">
        <v>0</v>
      </c>
      <c r="KB10" s="504">
        <v>0</v>
      </c>
      <c r="KC10" s="504">
        <v>0</v>
      </c>
      <c r="KD10" s="504">
        <v>0</v>
      </c>
      <c r="KE10" s="504">
        <v>0</v>
      </c>
      <c r="KF10" s="504">
        <v>0</v>
      </c>
      <c r="KG10" s="504">
        <v>0</v>
      </c>
      <c r="KH10" s="504">
        <v>0</v>
      </c>
      <c r="KI10" s="504">
        <v>0</v>
      </c>
      <c r="KJ10" s="504">
        <v>0</v>
      </c>
      <c r="KK10" s="504">
        <v>0</v>
      </c>
      <c r="KL10" s="504">
        <v>0</v>
      </c>
      <c r="KM10" s="504">
        <v>0</v>
      </c>
      <c r="KN10" s="504">
        <v>0</v>
      </c>
      <c r="KO10" s="504">
        <v>0</v>
      </c>
      <c r="KP10" s="504">
        <v>0</v>
      </c>
      <c r="KQ10" s="504">
        <v>0</v>
      </c>
      <c r="KR10" s="504">
        <v>0</v>
      </c>
      <c r="KS10" s="504">
        <v>0</v>
      </c>
      <c r="KT10" s="1654">
        <v>0</v>
      </c>
      <c r="KU10" s="504">
        <v>0</v>
      </c>
      <c r="KV10" s="504">
        <v>0</v>
      </c>
      <c r="KW10" s="504">
        <v>0</v>
      </c>
      <c r="KX10" s="504">
        <v>1057</v>
      </c>
      <c r="KY10" s="504">
        <v>1286</v>
      </c>
      <c r="KZ10" s="504">
        <v>1565</v>
      </c>
      <c r="LA10" s="504">
        <v>0</v>
      </c>
      <c r="LB10" s="504">
        <v>0</v>
      </c>
      <c r="LC10" s="504">
        <v>0</v>
      </c>
      <c r="LD10" s="504">
        <v>0</v>
      </c>
      <c r="LE10" s="504">
        <v>0</v>
      </c>
      <c r="LF10" s="504">
        <v>0</v>
      </c>
      <c r="LG10" s="504">
        <v>0</v>
      </c>
      <c r="LH10" s="504">
        <v>0</v>
      </c>
      <c r="LI10" s="504">
        <v>0</v>
      </c>
      <c r="LJ10" s="504">
        <v>0</v>
      </c>
      <c r="LK10" s="504">
        <v>0</v>
      </c>
      <c r="LL10" s="504">
        <v>0</v>
      </c>
      <c r="LM10" s="504">
        <v>0</v>
      </c>
      <c r="LN10" s="504">
        <v>0</v>
      </c>
      <c r="LO10" s="504">
        <v>0</v>
      </c>
      <c r="LP10" s="504">
        <v>0</v>
      </c>
      <c r="LQ10" s="504">
        <v>0</v>
      </c>
      <c r="LR10" s="504">
        <v>0</v>
      </c>
      <c r="LS10" s="504">
        <v>0</v>
      </c>
      <c r="LT10" s="504">
        <v>0</v>
      </c>
      <c r="LU10" s="504">
        <v>0</v>
      </c>
      <c r="LV10" s="504">
        <v>0</v>
      </c>
      <c r="LW10" s="504">
        <v>0</v>
      </c>
      <c r="LX10" s="504">
        <v>0</v>
      </c>
      <c r="LY10" s="504">
        <v>0</v>
      </c>
      <c r="LZ10" s="504">
        <v>0</v>
      </c>
      <c r="MA10" s="504">
        <v>0</v>
      </c>
      <c r="MB10" s="504">
        <v>0</v>
      </c>
      <c r="MC10" s="504">
        <v>0</v>
      </c>
      <c r="MD10" s="504">
        <v>0</v>
      </c>
      <c r="ME10" s="504">
        <v>0</v>
      </c>
      <c r="MF10" s="504">
        <v>0</v>
      </c>
      <c r="MG10" s="504">
        <v>0</v>
      </c>
      <c r="MH10" s="504">
        <v>0</v>
      </c>
      <c r="MI10" s="504">
        <v>0</v>
      </c>
      <c r="MJ10" s="504">
        <v>0</v>
      </c>
      <c r="MK10" s="504">
        <v>0</v>
      </c>
      <c r="ML10" s="504">
        <v>0</v>
      </c>
      <c r="MM10" s="504">
        <v>0</v>
      </c>
      <c r="MN10" s="504">
        <v>0</v>
      </c>
      <c r="MO10" s="504">
        <v>0</v>
      </c>
      <c r="MP10" s="504">
        <v>0</v>
      </c>
      <c r="MQ10" s="504">
        <v>0</v>
      </c>
      <c r="MR10" s="504">
        <v>0</v>
      </c>
      <c r="MS10" s="504">
        <v>0</v>
      </c>
      <c r="MT10" s="504">
        <v>0</v>
      </c>
      <c r="MU10" s="504">
        <v>0</v>
      </c>
      <c r="MV10" s="504">
        <v>0</v>
      </c>
      <c r="MW10" s="504">
        <v>0</v>
      </c>
      <c r="MX10" s="504">
        <v>0</v>
      </c>
      <c r="MY10" s="504">
        <v>0</v>
      </c>
      <c r="MZ10" s="504">
        <v>0</v>
      </c>
      <c r="NA10" s="504">
        <v>0</v>
      </c>
      <c r="NB10" s="504">
        <v>0</v>
      </c>
      <c r="NC10" s="504">
        <v>0</v>
      </c>
      <c r="ND10" s="504">
        <v>0</v>
      </c>
      <c r="NE10" s="504">
        <v>0</v>
      </c>
      <c r="NF10" s="504">
        <v>0</v>
      </c>
      <c r="NG10" s="504">
        <v>0</v>
      </c>
      <c r="NH10" s="504">
        <v>0</v>
      </c>
      <c r="NI10" s="504">
        <v>0</v>
      </c>
      <c r="NJ10" s="504">
        <v>0</v>
      </c>
      <c r="NK10" s="504">
        <v>0</v>
      </c>
      <c r="NL10" s="504">
        <v>0</v>
      </c>
      <c r="NM10" s="504">
        <v>0</v>
      </c>
      <c r="NN10" s="504">
        <v>0</v>
      </c>
      <c r="NO10" s="504">
        <v>0</v>
      </c>
      <c r="NP10" s="504">
        <v>0</v>
      </c>
      <c r="NQ10" s="504">
        <v>0</v>
      </c>
      <c r="NR10" s="504">
        <v>0</v>
      </c>
      <c r="NS10" s="504">
        <v>0</v>
      </c>
      <c r="NT10" s="504">
        <v>0</v>
      </c>
      <c r="NU10" s="504">
        <v>0</v>
      </c>
      <c r="NV10" s="504">
        <v>0</v>
      </c>
      <c r="NW10" s="504">
        <v>0</v>
      </c>
      <c r="NX10" s="504">
        <v>0</v>
      </c>
      <c r="NY10" s="504">
        <v>0</v>
      </c>
      <c r="NZ10" s="504">
        <v>0</v>
      </c>
      <c r="OA10" s="504">
        <v>0</v>
      </c>
      <c r="OB10" s="504">
        <v>0</v>
      </c>
      <c r="OC10" s="504">
        <v>0</v>
      </c>
      <c r="OD10" s="504">
        <v>0</v>
      </c>
      <c r="OE10" s="504">
        <v>0</v>
      </c>
      <c r="OF10" s="504">
        <v>0</v>
      </c>
      <c r="OG10" s="504">
        <v>0</v>
      </c>
      <c r="OH10" s="504">
        <v>0</v>
      </c>
      <c r="OI10" s="504">
        <v>0</v>
      </c>
      <c r="OJ10" s="504">
        <v>0</v>
      </c>
      <c r="OK10" s="504">
        <v>0</v>
      </c>
      <c r="OL10" s="504">
        <v>0</v>
      </c>
      <c r="OM10" s="504">
        <v>0</v>
      </c>
      <c r="ON10" s="504">
        <v>0</v>
      </c>
      <c r="OO10" s="504">
        <v>0</v>
      </c>
      <c r="OP10" s="504">
        <v>0</v>
      </c>
      <c r="OQ10" s="504">
        <v>0</v>
      </c>
      <c r="OR10"/>
      <c r="OS10"/>
      <c r="OT10"/>
      <c r="OU10"/>
      <c r="OV10"/>
      <c r="OW10"/>
      <c r="OX10"/>
      <c r="OY10"/>
      <c r="OZ10"/>
      <c r="PA10"/>
      <c r="PB10"/>
      <c r="PC10"/>
      <c r="PD10"/>
      <c r="PE10"/>
      <c r="PF10"/>
      <c r="PG10"/>
      <c r="PH10"/>
      <c r="PI10"/>
      <c r="PJ10"/>
      <c r="PK10"/>
      <c r="PL10"/>
      <c r="PM10"/>
      <c r="PN10"/>
      <c r="PO10"/>
      <c r="PP10"/>
      <c r="PQ10"/>
      <c r="PR10"/>
      <c r="PS10"/>
      <c r="PT10" s="1656"/>
    </row>
    <row r="11" spans="1:436" ht="21.5">
      <c r="A11" s="1466" t="s">
        <v>1673</v>
      </c>
      <c r="B11" s="1576" t="s">
        <v>2358</v>
      </c>
      <c r="C11" s="1576" t="s">
        <v>13</v>
      </c>
      <c r="D11" s="1576">
        <v>34</v>
      </c>
      <c r="E11" s="504">
        <v>41</v>
      </c>
      <c r="F11" s="504">
        <v>166</v>
      </c>
      <c r="G11" s="504">
        <v>429</v>
      </c>
      <c r="H11" s="504">
        <v>671</v>
      </c>
      <c r="I11" s="504">
        <v>961</v>
      </c>
      <c r="J11" s="504">
        <v>1174</v>
      </c>
      <c r="K11" s="504">
        <v>1187</v>
      </c>
      <c r="L11" s="504">
        <v>1201</v>
      </c>
      <c r="M11" s="504">
        <v>1214</v>
      </c>
      <c r="N11" s="504">
        <v>1228</v>
      </c>
      <c r="O11" s="504">
        <v>1242</v>
      </c>
      <c r="P11" s="504">
        <v>1257</v>
      </c>
      <c r="Q11" s="504">
        <v>1272</v>
      </c>
      <c r="R11" s="504">
        <v>1287</v>
      </c>
      <c r="S11" s="504">
        <v>1303</v>
      </c>
      <c r="T11" s="504">
        <v>1318</v>
      </c>
      <c r="U11" s="504">
        <v>1335</v>
      </c>
      <c r="V11" s="504">
        <v>1351</v>
      </c>
      <c r="W11" s="504">
        <v>1368</v>
      </c>
      <c r="X11" s="504">
        <v>1385</v>
      </c>
      <c r="Y11" s="504">
        <v>1402</v>
      </c>
      <c r="Z11" s="504">
        <v>1420</v>
      </c>
      <c r="AA11" s="504">
        <v>1438</v>
      </c>
      <c r="AB11" s="504">
        <v>1457</v>
      </c>
      <c r="AC11" s="504">
        <v>1475</v>
      </c>
      <c r="AD11" s="504">
        <v>1494</v>
      </c>
      <c r="AE11" s="504">
        <v>1514</v>
      </c>
      <c r="AF11" s="504">
        <v>1533</v>
      </c>
      <c r="AG11" s="504">
        <v>1553</v>
      </c>
      <c r="AH11" s="504">
        <v>1573</v>
      </c>
      <c r="AI11" s="504">
        <v>1594</v>
      </c>
      <c r="AJ11" s="504">
        <v>1615</v>
      </c>
      <c r="AK11" s="504">
        <v>1636</v>
      </c>
      <c r="AL11" s="504">
        <v>1657</v>
      </c>
      <c r="AM11" s="504">
        <v>1679</v>
      </c>
      <c r="AN11" s="504">
        <v>1701</v>
      </c>
      <c r="AO11" s="504">
        <v>1724</v>
      </c>
      <c r="AP11" s="504">
        <v>1747</v>
      </c>
      <c r="AQ11" s="504">
        <v>1770</v>
      </c>
      <c r="AR11" s="504">
        <v>1795</v>
      </c>
      <c r="AS11" s="504">
        <v>1821</v>
      </c>
      <c r="AT11" s="504">
        <v>1848</v>
      </c>
      <c r="AU11" s="504">
        <v>1876</v>
      </c>
      <c r="AV11" s="504">
        <v>1908</v>
      </c>
      <c r="AW11" s="504">
        <v>1942</v>
      </c>
      <c r="AX11" s="504">
        <v>2000</v>
      </c>
      <c r="AY11" s="504">
        <v>0</v>
      </c>
      <c r="AZ11" s="504">
        <v>0</v>
      </c>
      <c r="BA11" s="504">
        <v>0</v>
      </c>
      <c r="BB11" s="504">
        <v>0</v>
      </c>
      <c r="BC11" s="504">
        <v>0</v>
      </c>
      <c r="BD11" s="504">
        <v>0</v>
      </c>
      <c r="BE11" s="504">
        <v>0</v>
      </c>
      <c r="BF11" s="504">
        <v>0</v>
      </c>
      <c r="BG11" s="504">
        <v>0</v>
      </c>
      <c r="BH11" s="504">
        <v>0</v>
      </c>
      <c r="BI11" s="504">
        <v>0</v>
      </c>
      <c r="BJ11" s="504">
        <v>0</v>
      </c>
      <c r="BK11" s="504">
        <v>0</v>
      </c>
      <c r="BL11" s="504">
        <v>0</v>
      </c>
      <c r="BM11" s="504">
        <v>0</v>
      </c>
      <c r="BN11" s="504">
        <v>0</v>
      </c>
      <c r="BO11" s="504">
        <v>0</v>
      </c>
      <c r="BP11" s="504">
        <v>0</v>
      </c>
      <c r="BQ11" s="504">
        <v>0</v>
      </c>
      <c r="BR11" s="504">
        <v>0</v>
      </c>
      <c r="BS11" s="504">
        <v>0</v>
      </c>
      <c r="BT11" s="504">
        <v>0</v>
      </c>
      <c r="BU11" s="504">
        <v>0</v>
      </c>
      <c r="BV11" s="504">
        <v>0</v>
      </c>
      <c r="BW11" s="504">
        <v>0</v>
      </c>
      <c r="BX11" s="504">
        <v>0</v>
      </c>
      <c r="BY11" s="504">
        <v>0</v>
      </c>
      <c r="BZ11" s="504">
        <v>0</v>
      </c>
      <c r="CA11" s="504">
        <v>0</v>
      </c>
      <c r="CB11" s="504">
        <v>0</v>
      </c>
      <c r="CC11" s="504">
        <v>0</v>
      </c>
      <c r="CD11" s="504">
        <v>0</v>
      </c>
      <c r="CE11" s="504">
        <v>0</v>
      </c>
      <c r="CF11" s="504">
        <v>0</v>
      </c>
      <c r="CG11" s="504">
        <v>0</v>
      </c>
      <c r="CH11" s="504">
        <v>0</v>
      </c>
      <c r="CI11" s="504">
        <v>0</v>
      </c>
      <c r="CJ11" s="504">
        <v>0</v>
      </c>
      <c r="CK11" s="504">
        <v>0</v>
      </c>
      <c r="CL11" s="504">
        <v>0</v>
      </c>
      <c r="CM11" s="504">
        <v>0</v>
      </c>
      <c r="CN11" s="504">
        <v>0</v>
      </c>
      <c r="CO11" s="504">
        <v>0</v>
      </c>
      <c r="CP11" s="504">
        <v>0</v>
      </c>
      <c r="CQ11" s="504">
        <v>0</v>
      </c>
      <c r="CR11" s="504">
        <v>0</v>
      </c>
      <c r="CS11" s="504">
        <v>0</v>
      </c>
      <c r="CT11" s="504">
        <v>0</v>
      </c>
      <c r="CU11" s="504">
        <v>0</v>
      </c>
      <c r="CV11" s="504">
        <v>0</v>
      </c>
      <c r="CW11" s="504">
        <v>0</v>
      </c>
      <c r="CX11" s="504">
        <v>0</v>
      </c>
      <c r="CY11" s="504">
        <v>0</v>
      </c>
      <c r="CZ11" s="1654">
        <v>0</v>
      </c>
      <c r="DA11" s="504">
        <v>0</v>
      </c>
      <c r="DB11" s="504">
        <v>121</v>
      </c>
      <c r="DC11" s="504">
        <v>476</v>
      </c>
      <c r="DD11" s="504">
        <v>1071</v>
      </c>
      <c r="DE11" s="504">
        <v>1304</v>
      </c>
      <c r="DF11" s="504">
        <v>1584</v>
      </c>
      <c r="DG11" s="504">
        <v>0</v>
      </c>
      <c r="DH11" s="504">
        <v>0</v>
      </c>
      <c r="DI11" s="504">
        <v>0</v>
      </c>
      <c r="DJ11" s="504">
        <v>0</v>
      </c>
      <c r="DK11" s="504">
        <v>0</v>
      </c>
      <c r="DL11" s="504">
        <v>0</v>
      </c>
      <c r="DM11" s="504">
        <v>0</v>
      </c>
      <c r="DN11" s="504">
        <v>0</v>
      </c>
      <c r="DO11" s="504">
        <v>0</v>
      </c>
      <c r="DP11" s="504">
        <v>0</v>
      </c>
      <c r="DQ11" s="504">
        <v>0</v>
      </c>
      <c r="DR11" s="504">
        <v>0</v>
      </c>
      <c r="DS11" s="504">
        <v>0</v>
      </c>
      <c r="DT11" s="504">
        <v>0</v>
      </c>
      <c r="DU11" s="504">
        <v>0</v>
      </c>
      <c r="DV11" s="504">
        <v>0</v>
      </c>
      <c r="DW11" s="504">
        <v>0</v>
      </c>
      <c r="DX11" s="504">
        <v>0</v>
      </c>
      <c r="DY11" s="504">
        <v>0</v>
      </c>
      <c r="DZ11" s="504">
        <v>0</v>
      </c>
      <c r="EA11" s="504">
        <v>0</v>
      </c>
      <c r="EB11" s="504">
        <v>0</v>
      </c>
      <c r="EC11" s="504">
        <v>0</v>
      </c>
      <c r="ED11" s="504">
        <v>0</v>
      </c>
      <c r="EE11" s="504">
        <v>0</v>
      </c>
      <c r="EF11" s="504">
        <v>0</v>
      </c>
      <c r="EG11" s="504">
        <v>0</v>
      </c>
      <c r="EH11" s="504">
        <v>0</v>
      </c>
      <c r="EI11" s="504">
        <v>0</v>
      </c>
      <c r="EJ11" s="504">
        <v>0</v>
      </c>
      <c r="EK11" s="504">
        <v>0</v>
      </c>
      <c r="EL11" s="504">
        <v>0</v>
      </c>
      <c r="EM11" s="504">
        <v>0</v>
      </c>
      <c r="EN11" s="504">
        <v>0</v>
      </c>
      <c r="EO11" s="504">
        <v>0</v>
      </c>
      <c r="EP11" s="504">
        <v>0</v>
      </c>
      <c r="EQ11" s="504">
        <v>0</v>
      </c>
      <c r="ER11" s="504">
        <v>0</v>
      </c>
      <c r="ES11" s="504">
        <v>0</v>
      </c>
      <c r="ET11" s="504">
        <v>0</v>
      </c>
      <c r="EU11" s="504">
        <v>0</v>
      </c>
      <c r="EV11" s="504">
        <v>0</v>
      </c>
      <c r="EW11" s="504">
        <v>0</v>
      </c>
      <c r="EX11" s="504">
        <v>0</v>
      </c>
      <c r="EY11" s="504">
        <v>0</v>
      </c>
      <c r="EZ11" s="504">
        <v>0</v>
      </c>
      <c r="FA11" s="504">
        <v>0</v>
      </c>
      <c r="FB11" s="504">
        <v>0</v>
      </c>
      <c r="FC11" s="504">
        <v>0</v>
      </c>
      <c r="FD11" s="504">
        <v>0</v>
      </c>
      <c r="FE11" s="504">
        <v>0</v>
      </c>
      <c r="FF11" s="504">
        <v>0</v>
      </c>
      <c r="FG11" s="504">
        <v>0</v>
      </c>
      <c r="FH11" s="504">
        <v>0</v>
      </c>
      <c r="FI11" s="504">
        <v>0</v>
      </c>
      <c r="FJ11" s="504">
        <v>0</v>
      </c>
      <c r="FK11" s="504">
        <v>0</v>
      </c>
      <c r="FL11" s="504">
        <v>0</v>
      </c>
      <c r="FM11" s="504">
        <v>0</v>
      </c>
      <c r="FN11" s="504">
        <v>0</v>
      </c>
      <c r="FO11" s="504">
        <v>0</v>
      </c>
      <c r="FP11" s="504">
        <v>0</v>
      </c>
      <c r="FQ11" s="504">
        <v>0</v>
      </c>
      <c r="FR11" s="504">
        <v>0</v>
      </c>
      <c r="FS11" s="504">
        <v>0</v>
      </c>
      <c r="FT11" s="504">
        <v>0</v>
      </c>
      <c r="FU11" s="504">
        <v>0</v>
      </c>
      <c r="FV11" s="504">
        <v>0</v>
      </c>
      <c r="FW11" s="504">
        <v>0</v>
      </c>
      <c r="FX11" s="504">
        <v>0</v>
      </c>
      <c r="FY11" s="504">
        <v>0</v>
      </c>
      <c r="FZ11" s="504">
        <v>0</v>
      </c>
      <c r="GA11" s="504">
        <v>0</v>
      </c>
      <c r="GB11" s="504">
        <v>0</v>
      </c>
      <c r="GC11" s="504">
        <v>0</v>
      </c>
      <c r="GD11" s="504">
        <v>0</v>
      </c>
      <c r="GE11" s="504">
        <v>0</v>
      </c>
      <c r="GF11" s="504">
        <v>0</v>
      </c>
      <c r="GG11" s="504">
        <v>0</v>
      </c>
      <c r="GH11" s="504">
        <v>0</v>
      </c>
      <c r="GI11" s="504">
        <v>0</v>
      </c>
      <c r="GJ11" s="504">
        <v>0</v>
      </c>
      <c r="GK11" s="504">
        <v>0</v>
      </c>
      <c r="GL11" s="504">
        <v>0</v>
      </c>
      <c r="GM11" s="504">
        <v>0</v>
      </c>
      <c r="GN11" s="504">
        <v>0</v>
      </c>
      <c r="GO11" s="504">
        <v>0</v>
      </c>
      <c r="GP11" s="504">
        <v>0</v>
      </c>
      <c r="GQ11" s="504">
        <v>0</v>
      </c>
      <c r="GR11" s="504">
        <v>0</v>
      </c>
      <c r="GS11" s="504">
        <v>0</v>
      </c>
      <c r="GT11" s="504">
        <v>0</v>
      </c>
      <c r="GU11" s="504">
        <v>0</v>
      </c>
      <c r="GV11" s="504">
        <v>0</v>
      </c>
      <c r="GW11" s="1654">
        <v>0</v>
      </c>
      <c r="GX11" s="504">
        <v>0</v>
      </c>
      <c r="GY11" s="504">
        <v>13140</v>
      </c>
      <c r="GZ11" s="504">
        <v>33053</v>
      </c>
      <c r="HA11" s="504">
        <v>43000</v>
      </c>
      <c r="HB11" s="504">
        <v>42000</v>
      </c>
      <c r="HC11" s="504">
        <v>41000</v>
      </c>
      <c r="HD11" s="504">
        <v>0</v>
      </c>
      <c r="HE11" s="504">
        <v>0</v>
      </c>
      <c r="HF11" s="504">
        <v>0</v>
      </c>
      <c r="HG11" s="504">
        <v>0</v>
      </c>
      <c r="HH11" s="504">
        <v>0</v>
      </c>
      <c r="HI11" s="504">
        <v>0</v>
      </c>
      <c r="HJ11" s="504">
        <v>0</v>
      </c>
      <c r="HK11" s="504">
        <v>0</v>
      </c>
      <c r="HL11" s="504">
        <v>0</v>
      </c>
      <c r="HM11" s="504">
        <v>0</v>
      </c>
      <c r="HN11" s="504">
        <v>0</v>
      </c>
      <c r="HO11" s="504">
        <v>0</v>
      </c>
      <c r="HP11" s="504">
        <v>0</v>
      </c>
      <c r="HQ11" s="504">
        <v>0</v>
      </c>
      <c r="HR11" s="504">
        <v>0</v>
      </c>
      <c r="HS11" s="504">
        <v>0</v>
      </c>
      <c r="HT11" s="504">
        <v>0</v>
      </c>
      <c r="HU11" s="504">
        <v>0</v>
      </c>
      <c r="HV11" s="504">
        <v>0</v>
      </c>
      <c r="HW11" s="504">
        <v>0</v>
      </c>
      <c r="HX11" s="504">
        <v>0</v>
      </c>
      <c r="HY11" s="504">
        <v>0</v>
      </c>
      <c r="HZ11" s="504">
        <v>0</v>
      </c>
      <c r="IA11" s="504">
        <v>0</v>
      </c>
      <c r="IB11" s="504">
        <v>0</v>
      </c>
      <c r="IC11" s="504">
        <v>0</v>
      </c>
      <c r="ID11" s="504">
        <v>0</v>
      </c>
      <c r="IE11" s="504">
        <v>0</v>
      </c>
      <c r="IF11" s="504">
        <v>0</v>
      </c>
      <c r="IG11" s="504">
        <v>0</v>
      </c>
      <c r="IH11" s="504">
        <v>0</v>
      </c>
      <c r="II11" s="504">
        <v>0</v>
      </c>
      <c r="IJ11" s="504">
        <v>0</v>
      </c>
      <c r="IK11" s="504">
        <v>0</v>
      </c>
      <c r="IL11" s="504">
        <v>0</v>
      </c>
      <c r="IM11" s="504">
        <v>0</v>
      </c>
      <c r="IN11" s="504">
        <v>0</v>
      </c>
      <c r="IO11" s="504">
        <v>0</v>
      </c>
      <c r="IP11" s="504">
        <v>0</v>
      </c>
      <c r="IQ11" s="504">
        <v>0</v>
      </c>
      <c r="IR11" s="504">
        <v>0</v>
      </c>
      <c r="IS11" s="504">
        <v>0</v>
      </c>
      <c r="IT11" s="504">
        <v>0</v>
      </c>
      <c r="IU11" s="504">
        <v>0</v>
      </c>
      <c r="IV11" s="504">
        <v>0</v>
      </c>
      <c r="IW11" s="504">
        <v>0</v>
      </c>
      <c r="IX11" s="504">
        <v>0</v>
      </c>
      <c r="IY11" s="504">
        <v>0</v>
      </c>
      <c r="IZ11" s="504">
        <v>0</v>
      </c>
      <c r="JA11" s="504">
        <v>0</v>
      </c>
      <c r="JB11" s="504">
        <v>0</v>
      </c>
      <c r="JC11" s="504">
        <v>0</v>
      </c>
      <c r="JD11" s="504">
        <v>0</v>
      </c>
      <c r="JE11" s="504">
        <v>0</v>
      </c>
      <c r="JF11" s="504">
        <v>0</v>
      </c>
      <c r="JG11" s="504">
        <v>0</v>
      </c>
      <c r="JH11" s="504">
        <v>0</v>
      </c>
      <c r="JI11" s="504">
        <v>0</v>
      </c>
      <c r="JJ11" s="504">
        <v>0</v>
      </c>
      <c r="JK11" s="504">
        <v>0</v>
      </c>
      <c r="JL11" s="504">
        <v>0</v>
      </c>
      <c r="JM11" s="504">
        <v>0</v>
      </c>
      <c r="JN11" s="504">
        <v>0</v>
      </c>
      <c r="JO11" s="504">
        <v>0</v>
      </c>
      <c r="JP11" s="504">
        <v>0</v>
      </c>
      <c r="JQ11" s="504">
        <v>0</v>
      </c>
      <c r="JR11" s="504">
        <v>0</v>
      </c>
      <c r="JS11" s="504">
        <v>0</v>
      </c>
      <c r="JT11" s="504">
        <v>0</v>
      </c>
      <c r="JU11" s="504">
        <v>0</v>
      </c>
      <c r="JV11" s="504">
        <v>0</v>
      </c>
      <c r="JW11" s="504">
        <v>0</v>
      </c>
      <c r="JX11" s="504">
        <v>0</v>
      </c>
      <c r="JY11" s="504">
        <v>0</v>
      </c>
      <c r="JZ11" s="504">
        <v>0</v>
      </c>
      <c r="KA11" s="504">
        <v>0</v>
      </c>
      <c r="KB11" s="504">
        <v>0</v>
      </c>
      <c r="KC11" s="504">
        <v>0</v>
      </c>
      <c r="KD11" s="504">
        <v>0</v>
      </c>
      <c r="KE11" s="504">
        <v>0</v>
      </c>
      <c r="KF11" s="504">
        <v>0</v>
      </c>
      <c r="KG11" s="504">
        <v>0</v>
      </c>
      <c r="KH11" s="504">
        <v>0</v>
      </c>
      <c r="KI11" s="504">
        <v>0</v>
      </c>
      <c r="KJ11" s="504">
        <v>0</v>
      </c>
      <c r="KK11" s="504">
        <v>0</v>
      </c>
      <c r="KL11" s="504">
        <v>0</v>
      </c>
      <c r="KM11" s="504">
        <v>0</v>
      </c>
      <c r="KN11" s="504">
        <v>0</v>
      </c>
      <c r="KO11" s="504">
        <v>0</v>
      </c>
      <c r="KP11" s="504">
        <v>0</v>
      </c>
      <c r="KQ11" s="504">
        <v>0</v>
      </c>
      <c r="KR11" s="504">
        <v>0</v>
      </c>
      <c r="KS11" s="504">
        <v>0</v>
      </c>
      <c r="KT11" s="1654">
        <v>0</v>
      </c>
      <c r="KU11" s="504">
        <v>0</v>
      </c>
      <c r="KV11" s="504">
        <v>0</v>
      </c>
      <c r="KW11" s="504">
        <v>0</v>
      </c>
      <c r="KX11" s="504">
        <v>1052</v>
      </c>
      <c r="KY11" s="504">
        <v>1285</v>
      </c>
      <c r="KZ11" s="504">
        <v>1565</v>
      </c>
      <c r="LA11" s="504">
        <v>0</v>
      </c>
      <c r="LB11" s="504">
        <v>0</v>
      </c>
      <c r="LC11" s="504">
        <v>0</v>
      </c>
      <c r="LD11" s="504">
        <v>0</v>
      </c>
      <c r="LE11" s="504">
        <v>0</v>
      </c>
      <c r="LF11" s="504">
        <v>0</v>
      </c>
      <c r="LG11" s="504">
        <v>0</v>
      </c>
      <c r="LH11" s="504">
        <v>0</v>
      </c>
      <c r="LI11" s="504">
        <v>0</v>
      </c>
      <c r="LJ11" s="504">
        <v>0</v>
      </c>
      <c r="LK11" s="504">
        <v>0</v>
      </c>
      <c r="LL11" s="504">
        <v>0</v>
      </c>
      <c r="LM11" s="504">
        <v>0</v>
      </c>
      <c r="LN11" s="504">
        <v>0</v>
      </c>
      <c r="LO11" s="504">
        <v>0</v>
      </c>
      <c r="LP11" s="504">
        <v>0</v>
      </c>
      <c r="LQ11" s="504">
        <v>0</v>
      </c>
      <c r="LR11" s="504">
        <v>0</v>
      </c>
      <c r="LS11" s="504">
        <v>0</v>
      </c>
      <c r="LT11" s="504">
        <v>0</v>
      </c>
      <c r="LU11" s="504">
        <v>0</v>
      </c>
      <c r="LV11" s="504">
        <v>0</v>
      </c>
      <c r="LW11" s="504">
        <v>0</v>
      </c>
      <c r="LX11" s="504">
        <v>0</v>
      </c>
      <c r="LY11" s="504">
        <v>0</v>
      </c>
      <c r="LZ11" s="504">
        <v>0</v>
      </c>
      <c r="MA11" s="504">
        <v>0</v>
      </c>
      <c r="MB11" s="504">
        <v>0</v>
      </c>
      <c r="MC11" s="504">
        <v>0</v>
      </c>
      <c r="MD11" s="504">
        <v>0</v>
      </c>
      <c r="ME11" s="504">
        <v>0</v>
      </c>
      <c r="MF11" s="504">
        <v>0</v>
      </c>
      <c r="MG11" s="504">
        <v>0</v>
      </c>
      <c r="MH11" s="504">
        <v>0</v>
      </c>
      <c r="MI11" s="504">
        <v>0</v>
      </c>
      <c r="MJ11" s="504">
        <v>0</v>
      </c>
      <c r="MK11" s="504">
        <v>0</v>
      </c>
      <c r="ML11" s="504">
        <v>0</v>
      </c>
      <c r="MM11" s="504">
        <v>0</v>
      </c>
      <c r="MN11" s="504">
        <v>0</v>
      </c>
      <c r="MO11" s="504">
        <v>0</v>
      </c>
      <c r="MP11" s="504">
        <v>0</v>
      </c>
      <c r="MQ11" s="504">
        <v>0</v>
      </c>
      <c r="MR11" s="504">
        <v>0</v>
      </c>
      <c r="MS11" s="504">
        <v>0</v>
      </c>
      <c r="MT11" s="504">
        <v>0</v>
      </c>
      <c r="MU11" s="504">
        <v>0</v>
      </c>
      <c r="MV11" s="504">
        <v>0</v>
      </c>
      <c r="MW11" s="504">
        <v>0</v>
      </c>
      <c r="MX11" s="504">
        <v>0</v>
      </c>
      <c r="MY11" s="504">
        <v>0</v>
      </c>
      <c r="MZ11" s="504">
        <v>0</v>
      </c>
      <c r="NA11" s="504">
        <v>0</v>
      </c>
      <c r="NB11" s="504">
        <v>0</v>
      </c>
      <c r="NC11" s="504">
        <v>0</v>
      </c>
      <c r="ND11" s="504">
        <v>0</v>
      </c>
      <c r="NE11" s="504">
        <v>0</v>
      </c>
      <c r="NF11" s="504">
        <v>0</v>
      </c>
      <c r="NG11" s="504">
        <v>0</v>
      </c>
      <c r="NH11" s="504">
        <v>0</v>
      </c>
      <c r="NI11" s="504">
        <v>0</v>
      </c>
      <c r="NJ11" s="504">
        <v>0</v>
      </c>
      <c r="NK11" s="504">
        <v>0</v>
      </c>
      <c r="NL11" s="504">
        <v>0</v>
      </c>
      <c r="NM11" s="504">
        <v>0</v>
      </c>
      <c r="NN11" s="504">
        <v>0</v>
      </c>
      <c r="NO11" s="504">
        <v>0</v>
      </c>
      <c r="NP11" s="504">
        <v>0</v>
      </c>
      <c r="NQ11" s="504">
        <v>0</v>
      </c>
      <c r="NR11" s="504">
        <v>0</v>
      </c>
      <c r="NS11" s="504">
        <v>0</v>
      </c>
      <c r="NT11" s="504">
        <v>0</v>
      </c>
      <c r="NU11" s="504">
        <v>0</v>
      </c>
      <c r="NV11" s="504">
        <v>0</v>
      </c>
      <c r="NW11" s="504">
        <v>0</v>
      </c>
      <c r="NX11" s="504">
        <v>0</v>
      </c>
      <c r="NY11" s="504">
        <v>0</v>
      </c>
      <c r="NZ11" s="504">
        <v>0</v>
      </c>
      <c r="OA11" s="504">
        <v>0</v>
      </c>
      <c r="OB11" s="504">
        <v>0</v>
      </c>
      <c r="OC11" s="504">
        <v>0</v>
      </c>
      <c r="OD11" s="504">
        <v>0</v>
      </c>
      <c r="OE11" s="504">
        <v>0</v>
      </c>
      <c r="OF11" s="504">
        <v>0</v>
      </c>
      <c r="OG11" s="504">
        <v>0</v>
      </c>
      <c r="OH11" s="504">
        <v>0</v>
      </c>
      <c r="OI11" s="504">
        <v>0</v>
      </c>
      <c r="OJ11" s="504">
        <v>0</v>
      </c>
      <c r="OK11" s="504">
        <v>0</v>
      </c>
      <c r="OL11" s="504">
        <v>0</v>
      </c>
      <c r="OM11" s="504">
        <v>0</v>
      </c>
      <c r="ON11" s="504">
        <v>0</v>
      </c>
      <c r="OO11" s="504">
        <v>0</v>
      </c>
      <c r="OP11" s="504">
        <v>0</v>
      </c>
      <c r="OQ11" s="504">
        <v>0</v>
      </c>
      <c r="OR11"/>
      <c r="OS11"/>
      <c r="OT11"/>
      <c r="OU11"/>
      <c r="OV11"/>
      <c r="OW11"/>
      <c r="OX11"/>
      <c r="OY11"/>
      <c r="OZ11"/>
      <c r="PA11"/>
      <c r="PB11"/>
      <c r="PC11"/>
      <c r="PD11"/>
      <c r="PE11"/>
      <c r="PF11"/>
      <c r="PG11"/>
      <c r="PH11"/>
      <c r="PI11"/>
      <c r="PJ11"/>
      <c r="PK11"/>
      <c r="PL11"/>
      <c r="PM11"/>
      <c r="PN11"/>
      <c r="PO11"/>
      <c r="PP11"/>
      <c r="PQ11"/>
      <c r="PR11"/>
      <c r="PS11"/>
      <c r="PT11" s="1656"/>
    </row>
    <row r="12" spans="1:436" ht="21.5">
      <c r="A12" s="1466" t="s">
        <v>1674</v>
      </c>
      <c r="B12" s="1576" t="s">
        <v>2358</v>
      </c>
      <c r="C12" s="1576" t="s">
        <v>13</v>
      </c>
      <c r="D12" s="1576">
        <v>35</v>
      </c>
      <c r="E12" s="504">
        <v>41</v>
      </c>
      <c r="F12" s="504">
        <v>168</v>
      </c>
      <c r="G12" s="504">
        <v>433</v>
      </c>
      <c r="H12" s="504">
        <v>678</v>
      </c>
      <c r="I12" s="504">
        <v>972</v>
      </c>
      <c r="J12" s="504">
        <v>1187</v>
      </c>
      <c r="K12" s="504">
        <v>1201</v>
      </c>
      <c r="L12" s="504">
        <v>1214</v>
      </c>
      <c r="M12" s="504">
        <v>1228</v>
      </c>
      <c r="N12" s="504">
        <v>1242</v>
      </c>
      <c r="O12" s="504">
        <v>1257</v>
      </c>
      <c r="P12" s="504">
        <v>1272</v>
      </c>
      <c r="Q12" s="504">
        <v>1287</v>
      </c>
      <c r="R12" s="504">
        <v>1303</v>
      </c>
      <c r="S12" s="504">
        <v>1318</v>
      </c>
      <c r="T12" s="504">
        <v>1335</v>
      </c>
      <c r="U12" s="504">
        <v>1351</v>
      </c>
      <c r="V12" s="504">
        <v>1368</v>
      </c>
      <c r="W12" s="504">
        <v>1385</v>
      </c>
      <c r="X12" s="504">
        <v>1402</v>
      </c>
      <c r="Y12" s="504">
        <v>1420</v>
      </c>
      <c r="Z12" s="504">
        <v>1438</v>
      </c>
      <c r="AA12" s="504">
        <v>1457</v>
      </c>
      <c r="AB12" s="504">
        <v>1475</v>
      </c>
      <c r="AC12" s="504">
        <v>1494</v>
      </c>
      <c r="AD12" s="504">
        <v>1514</v>
      </c>
      <c r="AE12" s="504">
        <v>1533</v>
      </c>
      <c r="AF12" s="504">
        <v>1553</v>
      </c>
      <c r="AG12" s="504">
        <v>1573</v>
      </c>
      <c r="AH12" s="504">
        <v>1594</v>
      </c>
      <c r="AI12" s="504">
        <v>1615</v>
      </c>
      <c r="AJ12" s="504">
        <v>1636</v>
      </c>
      <c r="AK12" s="504">
        <v>1657</v>
      </c>
      <c r="AL12" s="504">
        <v>1679</v>
      </c>
      <c r="AM12" s="504">
        <v>1701</v>
      </c>
      <c r="AN12" s="504">
        <v>1724</v>
      </c>
      <c r="AO12" s="504">
        <v>1747</v>
      </c>
      <c r="AP12" s="504">
        <v>1770</v>
      </c>
      <c r="AQ12" s="504">
        <v>1795</v>
      </c>
      <c r="AR12" s="504">
        <v>1821</v>
      </c>
      <c r="AS12" s="504">
        <v>1848</v>
      </c>
      <c r="AT12" s="504">
        <v>1876</v>
      </c>
      <c r="AU12" s="504">
        <v>1908</v>
      </c>
      <c r="AV12" s="504">
        <v>1942</v>
      </c>
      <c r="AW12" s="504">
        <v>2000</v>
      </c>
      <c r="AX12" s="504">
        <v>0</v>
      </c>
      <c r="AY12" s="504">
        <v>0</v>
      </c>
      <c r="AZ12" s="504">
        <v>0</v>
      </c>
      <c r="BA12" s="504">
        <v>0</v>
      </c>
      <c r="BB12" s="504">
        <v>0</v>
      </c>
      <c r="BC12" s="504">
        <v>0</v>
      </c>
      <c r="BD12" s="504">
        <v>0</v>
      </c>
      <c r="BE12" s="504">
        <v>0</v>
      </c>
      <c r="BF12" s="504">
        <v>0</v>
      </c>
      <c r="BG12" s="504">
        <v>0</v>
      </c>
      <c r="BH12" s="504">
        <v>0</v>
      </c>
      <c r="BI12" s="504">
        <v>0</v>
      </c>
      <c r="BJ12" s="504">
        <v>0</v>
      </c>
      <c r="BK12" s="504">
        <v>0</v>
      </c>
      <c r="BL12" s="504">
        <v>0</v>
      </c>
      <c r="BM12" s="504">
        <v>0</v>
      </c>
      <c r="BN12" s="504">
        <v>0</v>
      </c>
      <c r="BO12" s="504">
        <v>0</v>
      </c>
      <c r="BP12" s="504">
        <v>0</v>
      </c>
      <c r="BQ12" s="504">
        <v>0</v>
      </c>
      <c r="BR12" s="504">
        <v>0</v>
      </c>
      <c r="BS12" s="504">
        <v>0</v>
      </c>
      <c r="BT12" s="504">
        <v>0</v>
      </c>
      <c r="BU12" s="504">
        <v>0</v>
      </c>
      <c r="BV12" s="504">
        <v>0</v>
      </c>
      <c r="BW12" s="504">
        <v>0</v>
      </c>
      <c r="BX12" s="504">
        <v>0</v>
      </c>
      <c r="BY12" s="504">
        <v>0</v>
      </c>
      <c r="BZ12" s="504">
        <v>0</v>
      </c>
      <c r="CA12" s="504">
        <v>0</v>
      </c>
      <c r="CB12" s="504">
        <v>0</v>
      </c>
      <c r="CC12" s="504">
        <v>0</v>
      </c>
      <c r="CD12" s="504">
        <v>0</v>
      </c>
      <c r="CE12" s="504">
        <v>0</v>
      </c>
      <c r="CF12" s="504">
        <v>0</v>
      </c>
      <c r="CG12" s="504">
        <v>0</v>
      </c>
      <c r="CH12" s="504">
        <v>0</v>
      </c>
      <c r="CI12" s="504">
        <v>0</v>
      </c>
      <c r="CJ12" s="504">
        <v>0</v>
      </c>
      <c r="CK12" s="504">
        <v>0</v>
      </c>
      <c r="CL12" s="504">
        <v>0</v>
      </c>
      <c r="CM12" s="504">
        <v>0</v>
      </c>
      <c r="CN12" s="504">
        <v>0</v>
      </c>
      <c r="CO12" s="504">
        <v>0</v>
      </c>
      <c r="CP12" s="504">
        <v>0</v>
      </c>
      <c r="CQ12" s="504">
        <v>0</v>
      </c>
      <c r="CR12" s="504">
        <v>0</v>
      </c>
      <c r="CS12" s="504">
        <v>0</v>
      </c>
      <c r="CT12" s="504">
        <v>0</v>
      </c>
      <c r="CU12" s="504">
        <v>0</v>
      </c>
      <c r="CV12" s="504">
        <v>0</v>
      </c>
      <c r="CW12" s="504">
        <v>0</v>
      </c>
      <c r="CX12" s="504">
        <v>0</v>
      </c>
      <c r="CY12" s="504">
        <v>0</v>
      </c>
      <c r="CZ12" s="1654">
        <v>0</v>
      </c>
      <c r="DA12" s="504">
        <v>0</v>
      </c>
      <c r="DB12" s="504">
        <v>118</v>
      </c>
      <c r="DC12" s="504">
        <v>469</v>
      </c>
      <c r="DD12" s="504">
        <v>1066</v>
      </c>
      <c r="DE12" s="504">
        <v>1301</v>
      </c>
      <c r="DF12" s="504">
        <v>1586</v>
      </c>
      <c r="DG12" s="504">
        <v>0</v>
      </c>
      <c r="DH12" s="504">
        <v>0</v>
      </c>
      <c r="DI12" s="504">
        <v>0</v>
      </c>
      <c r="DJ12" s="504">
        <v>0</v>
      </c>
      <c r="DK12" s="504">
        <v>0</v>
      </c>
      <c r="DL12" s="504">
        <v>0</v>
      </c>
      <c r="DM12" s="504">
        <v>0</v>
      </c>
      <c r="DN12" s="504">
        <v>0</v>
      </c>
      <c r="DO12" s="504">
        <v>0</v>
      </c>
      <c r="DP12" s="504">
        <v>0</v>
      </c>
      <c r="DQ12" s="504">
        <v>0</v>
      </c>
      <c r="DR12" s="504">
        <v>0</v>
      </c>
      <c r="DS12" s="504">
        <v>0</v>
      </c>
      <c r="DT12" s="504">
        <v>0</v>
      </c>
      <c r="DU12" s="504">
        <v>0</v>
      </c>
      <c r="DV12" s="504">
        <v>0</v>
      </c>
      <c r="DW12" s="504">
        <v>0</v>
      </c>
      <c r="DX12" s="504">
        <v>0</v>
      </c>
      <c r="DY12" s="504">
        <v>0</v>
      </c>
      <c r="DZ12" s="504">
        <v>0</v>
      </c>
      <c r="EA12" s="504">
        <v>0</v>
      </c>
      <c r="EB12" s="504">
        <v>0</v>
      </c>
      <c r="EC12" s="504">
        <v>0</v>
      </c>
      <c r="ED12" s="504">
        <v>0</v>
      </c>
      <c r="EE12" s="504">
        <v>0</v>
      </c>
      <c r="EF12" s="504">
        <v>0</v>
      </c>
      <c r="EG12" s="504">
        <v>0</v>
      </c>
      <c r="EH12" s="504">
        <v>0</v>
      </c>
      <c r="EI12" s="504">
        <v>0</v>
      </c>
      <c r="EJ12" s="504">
        <v>0</v>
      </c>
      <c r="EK12" s="504">
        <v>0</v>
      </c>
      <c r="EL12" s="504">
        <v>0</v>
      </c>
      <c r="EM12" s="504">
        <v>0</v>
      </c>
      <c r="EN12" s="504">
        <v>0</v>
      </c>
      <c r="EO12" s="504">
        <v>0</v>
      </c>
      <c r="EP12" s="504">
        <v>0</v>
      </c>
      <c r="EQ12" s="504">
        <v>0</v>
      </c>
      <c r="ER12" s="504">
        <v>0</v>
      </c>
      <c r="ES12" s="504">
        <v>0</v>
      </c>
      <c r="ET12" s="504">
        <v>0</v>
      </c>
      <c r="EU12" s="504">
        <v>0</v>
      </c>
      <c r="EV12" s="504">
        <v>0</v>
      </c>
      <c r="EW12" s="504">
        <v>0</v>
      </c>
      <c r="EX12" s="504">
        <v>0</v>
      </c>
      <c r="EY12" s="504">
        <v>0</v>
      </c>
      <c r="EZ12" s="504">
        <v>0</v>
      </c>
      <c r="FA12" s="504">
        <v>0</v>
      </c>
      <c r="FB12" s="504">
        <v>0</v>
      </c>
      <c r="FC12" s="504">
        <v>0</v>
      </c>
      <c r="FD12" s="504">
        <v>0</v>
      </c>
      <c r="FE12" s="504">
        <v>0</v>
      </c>
      <c r="FF12" s="504">
        <v>0</v>
      </c>
      <c r="FG12" s="504">
        <v>0</v>
      </c>
      <c r="FH12" s="504">
        <v>0</v>
      </c>
      <c r="FI12" s="504">
        <v>0</v>
      </c>
      <c r="FJ12" s="504">
        <v>0</v>
      </c>
      <c r="FK12" s="504">
        <v>0</v>
      </c>
      <c r="FL12" s="504">
        <v>0</v>
      </c>
      <c r="FM12" s="504">
        <v>0</v>
      </c>
      <c r="FN12" s="504">
        <v>0</v>
      </c>
      <c r="FO12" s="504">
        <v>0</v>
      </c>
      <c r="FP12" s="504">
        <v>0</v>
      </c>
      <c r="FQ12" s="504">
        <v>0</v>
      </c>
      <c r="FR12" s="504">
        <v>0</v>
      </c>
      <c r="FS12" s="504">
        <v>0</v>
      </c>
      <c r="FT12" s="504">
        <v>0</v>
      </c>
      <c r="FU12" s="504">
        <v>0</v>
      </c>
      <c r="FV12" s="504">
        <v>0</v>
      </c>
      <c r="FW12" s="504">
        <v>0</v>
      </c>
      <c r="FX12" s="504">
        <v>0</v>
      </c>
      <c r="FY12" s="504">
        <v>0</v>
      </c>
      <c r="FZ12" s="504">
        <v>0</v>
      </c>
      <c r="GA12" s="504">
        <v>0</v>
      </c>
      <c r="GB12" s="504">
        <v>0</v>
      </c>
      <c r="GC12" s="504">
        <v>0</v>
      </c>
      <c r="GD12" s="504">
        <v>0</v>
      </c>
      <c r="GE12" s="504">
        <v>0</v>
      </c>
      <c r="GF12" s="504">
        <v>0</v>
      </c>
      <c r="GG12" s="504">
        <v>0</v>
      </c>
      <c r="GH12" s="504">
        <v>0</v>
      </c>
      <c r="GI12" s="504">
        <v>0</v>
      </c>
      <c r="GJ12" s="504">
        <v>0</v>
      </c>
      <c r="GK12" s="504">
        <v>0</v>
      </c>
      <c r="GL12" s="504">
        <v>0</v>
      </c>
      <c r="GM12" s="504">
        <v>0</v>
      </c>
      <c r="GN12" s="504">
        <v>0</v>
      </c>
      <c r="GO12" s="504">
        <v>0</v>
      </c>
      <c r="GP12" s="504">
        <v>0</v>
      </c>
      <c r="GQ12" s="504">
        <v>0</v>
      </c>
      <c r="GR12" s="504">
        <v>0</v>
      </c>
      <c r="GS12" s="504">
        <v>0</v>
      </c>
      <c r="GT12" s="504">
        <v>0</v>
      </c>
      <c r="GU12" s="504">
        <v>0</v>
      </c>
      <c r="GV12" s="504">
        <v>0</v>
      </c>
      <c r="GW12" s="1654">
        <v>0</v>
      </c>
      <c r="GX12" s="504">
        <v>0</v>
      </c>
      <c r="GY12" s="504">
        <v>12269</v>
      </c>
      <c r="GZ12" s="504">
        <v>32030</v>
      </c>
      <c r="HA12" s="504">
        <v>42000</v>
      </c>
      <c r="HB12" s="504">
        <v>41000</v>
      </c>
      <c r="HC12" s="504">
        <v>40000</v>
      </c>
      <c r="HD12" s="504">
        <v>0</v>
      </c>
      <c r="HE12" s="504">
        <v>0</v>
      </c>
      <c r="HF12" s="504">
        <v>0</v>
      </c>
      <c r="HG12" s="504">
        <v>0</v>
      </c>
      <c r="HH12" s="504">
        <v>0</v>
      </c>
      <c r="HI12" s="504">
        <v>0</v>
      </c>
      <c r="HJ12" s="504">
        <v>0</v>
      </c>
      <c r="HK12" s="504">
        <v>0</v>
      </c>
      <c r="HL12" s="504">
        <v>0</v>
      </c>
      <c r="HM12" s="504">
        <v>0</v>
      </c>
      <c r="HN12" s="504">
        <v>0</v>
      </c>
      <c r="HO12" s="504">
        <v>0</v>
      </c>
      <c r="HP12" s="504">
        <v>0</v>
      </c>
      <c r="HQ12" s="504">
        <v>0</v>
      </c>
      <c r="HR12" s="504">
        <v>0</v>
      </c>
      <c r="HS12" s="504">
        <v>0</v>
      </c>
      <c r="HT12" s="504">
        <v>0</v>
      </c>
      <c r="HU12" s="504">
        <v>0</v>
      </c>
      <c r="HV12" s="504">
        <v>0</v>
      </c>
      <c r="HW12" s="504">
        <v>0</v>
      </c>
      <c r="HX12" s="504">
        <v>0</v>
      </c>
      <c r="HY12" s="504">
        <v>0</v>
      </c>
      <c r="HZ12" s="504">
        <v>0</v>
      </c>
      <c r="IA12" s="504">
        <v>0</v>
      </c>
      <c r="IB12" s="504">
        <v>0</v>
      </c>
      <c r="IC12" s="504">
        <v>0</v>
      </c>
      <c r="ID12" s="504">
        <v>0</v>
      </c>
      <c r="IE12" s="504">
        <v>0</v>
      </c>
      <c r="IF12" s="504">
        <v>0</v>
      </c>
      <c r="IG12" s="504">
        <v>0</v>
      </c>
      <c r="IH12" s="504">
        <v>0</v>
      </c>
      <c r="II12" s="504">
        <v>0</v>
      </c>
      <c r="IJ12" s="504">
        <v>0</v>
      </c>
      <c r="IK12" s="504">
        <v>0</v>
      </c>
      <c r="IL12" s="504">
        <v>0</v>
      </c>
      <c r="IM12" s="504">
        <v>0</v>
      </c>
      <c r="IN12" s="504">
        <v>0</v>
      </c>
      <c r="IO12" s="504">
        <v>0</v>
      </c>
      <c r="IP12" s="504">
        <v>0</v>
      </c>
      <c r="IQ12" s="504">
        <v>0</v>
      </c>
      <c r="IR12" s="504">
        <v>0</v>
      </c>
      <c r="IS12" s="504">
        <v>0</v>
      </c>
      <c r="IT12" s="504">
        <v>0</v>
      </c>
      <c r="IU12" s="504">
        <v>0</v>
      </c>
      <c r="IV12" s="504">
        <v>0</v>
      </c>
      <c r="IW12" s="504">
        <v>0</v>
      </c>
      <c r="IX12" s="504">
        <v>0</v>
      </c>
      <c r="IY12" s="504">
        <v>0</v>
      </c>
      <c r="IZ12" s="504">
        <v>0</v>
      </c>
      <c r="JA12" s="504">
        <v>0</v>
      </c>
      <c r="JB12" s="504">
        <v>0</v>
      </c>
      <c r="JC12" s="504">
        <v>0</v>
      </c>
      <c r="JD12" s="504">
        <v>0</v>
      </c>
      <c r="JE12" s="504">
        <v>0</v>
      </c>
      <c r="JF12" s="504">
        <v>0</v>
      </c>
      <c r="JG12" s="504">
        <v>0</v>
      </c>
      <c r="JH12" s="504">
        <v>0</v>
      </c>
      <c r="JI12" s="504">
        <v>0</v>
      </c>
      <c r="JJ12" s="504">
        <v>0</v>
      </c>
      <c r="JK12" s="504">
        <v>0</v>
      </c>
      <c r="JL12" s="504">
        <v>0</v>
      </c>
      <c r="JM12" s="504">
        <v>0</v>
      </c>
      <c r="JN12" s="504">
        <v>0</v>
      </c>
      <c r="JO12" s="504">
        <v>0</v>
      </c>
      <c r="JP12" s="504">
        <v>0</v>
      </c>
      <c r="JQ12" s="504">
        <v>0</v>
      </c>
      <c r="JR12" s="504">
        <v>0</v>
      </c>
      <c r="JS12" s="504">
        <v>0</v>
      </c>
      <c r="JT12" s="504">
        <v>0</v>
      </c>
      <c r="JU12" s="504">
        <v>0</v>
      </c>
      <c r="JV12" s="504">
        <v>0</v>
      </c>
      <c r="JW12" s="504">
        <v>0</v>
      </c>
      <c r="JX12" s="504">
        <v>0</v>
      </c>
      <c r="JY12" s="504">
        <v>0</v>
      </c>
      <c r="JZ12" s="504">
        <v>0</v>
      </c>
      <c r="KA12" s="504">
        <v>0</v>
      </c>
      <c r="KB12" s="504">
        <v>0</v>
      </c>
      <c r="KC12" s="504">
        <v>0</v>
      </c>
      <c r="KD12" s="504">
        <v>0</v>
      </c>
      <c r="KE12" s="504">
        <v>0</v>
      </c>
      <c r="KF12" s="504">
        <v>0</v>
      </c>
      <c r="KG12" s="504">
        <v>0</v>
      </c>
      <c r="KH12" s="504">
        <v>0</v>
      </c>
      <c r="KI12" s="504">
        <v>0</v>
      </c>
      <c r="KJ12" s="504">
        <v>0</v>
      </c>
      <c r="KK12" s="504">
        <v>0</v>
      </c>
      <c r="KL12" s="504">
        <v>0</v>
      </c>
      <c r="KM12" s="504">
        <v>0</v>
      </c>
      <c r="KN12" s="504">
        <v>0</v>
      </c>
      <c r="KO12" s="504">
        <v>0</v>
      </c>
      <c r="KP12" s="504">
        <v>0</v>
      </c>
      <c r="KQ12" s="504">
        <v>0</v>
      </c>
      <c r="KR12" s="504">
        <v>0</v>
      </c>
      <c r="KS12" s="504">
        <v>0</v>
      </c>
      <c r="KT12" s="1654">
        <v>0</v>
      </c>
      <c r="KU12" s="504">
        <v>0</v>
      </c>
      <c r="KV12" s="504">
        <v>0</v>
      </c>
      <c r="KW12" s="504">
        <v>0</v>
      </c>
      <c r="KX12" s="504">
        <v>1047</v>
      </c>
      <c r="KY12" s="504">
        <v>1282</v>
      </c>
      <c r="KZ12" s="504">
        <v>1566</v>
      </c>
      <c r="LA12" s="504">
        <v>0</v>
      </c>
      <c r="LB12" s="504">
        <v>0</v>
      </c>
      <c r="LC12" s="504">
        <v>0</v>
      </c>
      <c r="LD12" s="504">
        <v>0</v>
      </c>
      <c r="LE12" s="504">
        <v>0</v>
      </c>
      <c r="LF12" s="504">
        <v>0</v>
      </c>
      <c r="LG12" s="504">
        <v>0</v>
      </c>
      <c r="LH12" s="504">
        <v>0</v>
      </c>
      <c r="LI12" s="504">
        <v>0</v>
      </c>
      <c r="LJ12" s="504">
        <v>0</v>
      </c>
      <c r="LK12" s="504">
        <v>0</v>
      </c>
      <c r="LL12" s="504">
        <v>0</v>
      </c>
      <c r="LM12" s="504">
        <v>0</v>
      </c>
      <c r="LN12" s="504">
        <v>0</v>
      </c>
      <c r="LO12" s="504">
        <v>0</v>
      </c>
      <c r="LP12" s="504">
        <v>0</v>
      </c>
      <c r="LQ12" s="504">
        <v>0</v>
      </c>
      <c r="LR12" s="504">
        <v>0</v>
      </c>
      <c r="LS12" s="504">
        <v>0</v>
      </c>
      <c r="LT12" s="504">
        <v>0</v>
      </c>
      <c r="LU12" s="504">
        <v>0</v>
      </c>
      <c r="LV12" s="504">
        <v>0</v>
      </c>
      <c r="LW12" s="504">
        <v>0</v>
      </c>
      <c r="LX12" s="504">
        <v>0</v>
      </c>
      <c r="LY12" s="504">
        <v>0</v>
      </c>
      <c r="LZ12" s="504">
        <v>0</v>
      </c>
      <c r="MA12" s="504">
        <v>0</v>
      </c>
      <c r="MB12" s="504">
        <v>0</v>
      </c>
      <c r="MC12" s="504">
        <v>0</v>
      </c>
      <c r="MD12" s="504">
        <v>0</v>
      </c>
      <c r="ME12" s="504">
        <v>0</v>
      </c>
      <c r="MF12" s="504">
        <v>0</v>
      </c>
      <c r="MG12" s="504">
        <v>0</v>
      </c>
      <c r="MH12" s="504">
        <v>0</v>
      </c>
      <c r="MI12" s="504">
        <v>0</v>
      </c>
      <c r="MJ12" s="504">
        <v>0</v>
      </c>
      <c r="MK12" s="504">
        <v>0</v>
      </c>
      <c r="ML12" s="504">
        <v>0</v>
      </c>
      <c r="MM12" s="504">
        <v>0</v>
      </c>
      <c r="MN12" s="504">
        <v>0</v>
      </c>
      <c r="MO12" s="504">
        <v>0</v>
      </c>
      <c r="MP12" s="504">
        <v>0</v>
      </c>
      <c r="MQ12" s="504">
        <v>0</v>
      </c>
      <c r="MR12" s="504">
        <v>0</v>
      </c>
      <c r="MS12" s="504">
        <v>0</v>
      </c>
      <c r="MT12" s="504">
        <v>0</v>
      </c>
      <c r="MU12" s="504">
        <v>0</v>
      </c>
      <c r="MV12" s="504">
        <v>0</v>
      </c>
      <c r="MW12" s="504">
        <v>0</v>
      </c>
      <c r="MX12" s="504">
        <v>0</v>
      </c>
      <c r="MY12" s="504">
        <v>0</v>
      </c>
      <c r="MZ12" s="504">
        <v>0</v>
      </c>
      <c r="NA12" s="504">
        <v>0</v>
      </c>
      <c r="NB12" s="504">
        <v>0</v>
      </c>
      <c r="NC12" s="504">
        <v>0</v>
      </c>
      <c r="ND12" s="504">
        <v>0</v>
      </c>
      <c r="NE12" s="504">
        <v>0</v>
      </c>
      <c r="NF12" s="504">
        <v>0</v>
      </c>
      <c r="NG12" s="504">
        <v>0</v>
      </c>
      <c r="NH12" s="504">
        <v>0</v>
      </c>
      <c r="NI12" s="504">
        <v>0</v>
      </c>
      <c r="NJ12" s="504">
        <v>0</v>
      </c>
      <c r="NK12" s="504">
        <v>0</v>
      </c>
      <c r="NL12" s="504">
        <v>0</v>
      </c>
      <c r="NM12" s="504">
        <v>0</v>
      </c>
      <c r="NN12" s="504">
        <v>0</v>
      </c>
      <c r="NO12" s="504">
        <v>0</v>
      </c>
      <c r="NP12" s="504">
        <v>0</v>
      </c>
      <c r="NQ12" s="504">
        <v>0</v>
      </c>
      <c r="NR12" s="504">
        <v>0</v>
      </c>
      <c r="NS12" s="504">
        <v>0</v>
      </c>
      <c r="NT12" s="504">
        <v>0</v>
      </c>
      <c r="NU12" s="504">
        <v>0</v>
      </c>
      <c r="NV12" s="504">
        <v>0</v>
      </c>
      <c r="NW12" s="504">
        <v>0</v>
      </c>
      <c r="NX12" s="504">
        <v>0</v>
      </c>
      <c r="NY12" s="504">
        <v>0</v>
      </c>
      <c r="NZ12" s="504">
        <v>0</v>
      </c>
      <c r="OA12" s="504">
        <v>0</v>
      </c>
      <c r="OB12" s="504">
        <v>0</v>
      </c>
      <c r="OC12" s="504">
        <v>0</v>
      </c>
      <c r="OD12" s="504">
        <v>0</v>
      </c>
      <c r="OE12" s="504">
        <v>0</v>
      </c>
      <c r="OF12" s="504">
        <v>0</v>
      </c>
      <c r="OG12" s="504">
        <v>0</v>
      </c>
      <c r="OH12" s="504">
        <v>0</v>
      </c>
      <c r="OI12" s="504">
        <v>0</v>
      </c>
      <c r="OJ12" s="504">
        <v>0</v>
      </c>
      <c r="OK12" s="504">
        <v>0</v>
      </c>
      <c r="OL12" s="504">
        <v>0</v>
      </c>
      <c r="OM12" s="504">
        <v>0</v>
      </c>
      <c r="ON12" s="504">
        <v>0</v>
      </c>
      <c r="OO12" s="504">
        <v>0</v>
      </c>
      <c r="OP12" s="504">
        <v>0</v>
      </c>
      <c r="OQ12" s="504">
        <v>0</v>
      </c>
      <c r="OR12"/>
      <c r="OS12"/>
      <c r="OT12"/>
      <c r="OU12"/>
      <c r="OV12"/>
      <c r="OW12"/>
      <c r="OX12"/>
      <c r="OY12"/>
      <c r="OZ12"/>
      <c r="PA12"/>
      <c r="PB12"/>
      <c r="PC12"/>
      <c r="PD12"/>
      <c r="PE12"/>
      <c r="PF12"/>
      <c r="PG12"/>
      <c r="PH12"/>
      <c r="PI12"/>
      <c r="PJ12"/>
      <c r="PK12"/>
      <c r="PL12"/>
      <c r="PM12"/>
      <c r="PN12"/>
      <c r="PO12"/>
      <c r="PP12"/>
      <c r="PQ12"/>
      <c r="PR12"/>
      <c r="PS12"/>
      <c r="PT12" s="1656"/>
    </row>
    <row r="13" spans="1:436" ht="21.5">
      <c r="A13" s="1466" t="s">
        <v>1675</v>
      </c>
      <c r="B13" s="1576" t="s">
        <v>2358</v>
      </c>
      <c r="C13" s="1576" t="s">
        <v>13</v>
      </c>
      <c r="D13" s="1576">
        <v>36</v>
      </c>
      <c r="E13" s="504">
        <v>42</v>
      </c>
      <c r="F13" s="504">
        <v>170</v>
      </c>
      <c r="G13" s="504">
        <v>439</v>
      </c>
      <c r="H13" s="504">
        <v>686</v>
      </c>
      <c r="I13" s="504">
        <v>983</v>
      </c>
      <c r="J13" s="504">
        <v>1201</v>
      </c>
      <c r="K13" s="504">
        <v>1214</v>
      </c>
      <c r="L13" s="504">
        <v>1228</v>
      </c>
      <c r="M13" s="504">
        <v>1242</v>
      </c>
      <c r="N13" s="504">
        <v>1257</v>
      </c>
      <c r="O13" s="504">
        <v>1272</v>
      </c>
      <c r="P13" s="504">
        <v>1287</v>
      </c>
      <c r="Q13" s="504">
        <v>1303</v>
      </c>
      <c r="R13" s="504">
        <v>1318</v>
      </c>
      <c r="S13" s="504">
        <v>1335</v>
      </c>
      <c r="T13" s="504">
        <v>1351</v>
      </c>
      <c r="U13" s="504">
        <v>1368</v>
      </c>
      <c r="V13" s="504">
        <v>1385</v>
      </c>
      <c r="W13" s="504">
        <v>1402</v>
      </c>
      <c r="X13" s="504">
        <v>1420</v>
      </c>
      <c r="Y13" s="504">
        <v>1438</v>
      </c>
      <c r="Z13" s="504">
        <v>1457</v>
      </c>
      <c r="AA13" s="504">
        <v>1475</v>
      </c>
      <c r="AB13" s="504">
        <v>1494</v>
      </c>
      <c r="AC13" s="504">
        <v>1514</v>
      </c>
      <c r="AD13" s="504">
        <v>1533</v>
      </c>
      <c r="AE13" s="504">
        <v>1553</v>
      </c>
      <c r="AF13" s="504">
        <v>1573</v>
      </c>
      <c r="AG13" s="504">
        <v>1594</v>
      </c>
      <c r="AH13" s="504">
        <v>1615</v>
      </c>
      <c r="AI13" s="504">
        <v>1636</v>
      </c>
      <c r="AJ13" s="504">
        <v>1657</v>
      </c>
      <c r="AK13" s="504">
        <v>1679</v>
      </c>
      <c r="AL13" s="504">
        <v>1701</v>
      </c>
      <c r="AM13" s="504">
        <v>1724</v>
      </c>
      <c r="AN13" s="504">
        <v>1747</v>
      </c>
      <c r="AO13" s="504">
        <v>1770</v>
      </c>
      <c r="AP13" s="504">
        <v>1795</v>
      </c>
      <c r="AQ13" s="504">
        <v>1821</v>
      </c>
      <c r="AR13" s="504">
        <v>1848</v>
      </c>
      <c r="AS13" s="504">
        <v>1876</v>
      </c>
      <c r="AT13" s="504">
        <v>1908</v>
      </c>
      <c r="AU13" s="504">
        <v>1942</v>
      </c>
      <c r="AV13" s="504">
        <v>2000</v>
      </c>
      <c r="AW13" s="504">
        <v>0</v>
      </c>
      <c r="AX13" s="504">
        <v>0</v>
      </c>
      <c r="AY13" s="504">
        <v>0</v>
      </c>
      <c r="AZ13" s="504">
        <v>0</v>
      </c>
      <c r="BA13" s="504">
        <v>0</v>
      </c>
      <c r="BB13" s="504">
        <v>0</v>
      </c>
      <c r="BC13" s="504">
        <v>0</v>
      </c>
      <c r="BD13" s="504">
        <v>0</v>
      </c>
      <c r="BE13" s="504">
        <v>0</v>
      </c>
      <c r="BF13" s="504">
        <v>0</v>
      </c>
      <c r="BG13" s="504">
        <v>0</v>
      </c>
      <c r="BH13" s="504">
        <v>0</v>
      </c>
      <c r="BI13" s="504">
        <v>0</v>
      </c>
      <c r="BJ13" s="504">
        <v>0</v>
      </c>
      <c r="BK13" s="504">
        <v>0</v>
      </c>
      <c r="BL13" s="504">
        <v>0</v>
      </c>
      <c r="BM13" s="504">
        <v>0</v>
      </c>
      <c r="BN13" s="504">
        <v>0</v>
      </c>
      <c r="BO13" s="504">
        <v>0</v>
      </c>
      <c r="BP13" s="504">
        <v>0</v>
      </c>
      <c r="BQ13" s="504">
        <v>0</v>
      </c>
      <c r="BR13" s="504">
        <v>0</v>
      </c>
      <c r="BS13" s="504">
        <v>0</v>
      </c>
      <c r="BT13" s="504">
        <v>0</v>
      </c>
      <c r="BU13" s="504">
        <v>0</v>
      </c>
      <c r="BV13" s="504">
        <v>0</v>
      </c>
      <c r="BW13" s="504">
        <v>0</v>
      </c>
      <c r="BX13" s="504">
        <v>0</v>
      </c>
      <c r="BY13" s="504">
        <v>0</v>
      </c>
      <c r="BZ13" s="504">
        <v>0</v>
      </c>
      <c r="CA13" s="504">
        <v>0</v>
      </c>
      <c r="CB13" s="504">
        <v>0</v>
      </c>
      <c r="CC13" s="504">
        <v>0</v>
      </c>
      <c r="CD13" s="504">
        <v>0</v>
      </c>
      <c r="CE13" s="504">
        <v>0</v>
      </c>
      <c r="CF13" s="504">
        <v>0</v>
      </c>
      <c r="CG13" s="504">
        <v>0</v>
      </c>
      <c r="CH13" s="504">
        <v>0</v>
      </c>
      <c r="CI13" s="504">
        <v>0</v>
      </c>
      <c r="CJ13" s="504">
        <v>0</v>
      </c>
      <c r="CK13" s="504">
        <v>0</v>
      </c>
      <c r="CL13" s="504">
        <v>0</v>
      </c>
      <c r="CM13" s="504">
        <v>0</v>
      </c>
      <c r="CN13" s="504">
        <v>0</v>
      </c>
      <c r="CO13" s="504">
        <v>0</v>
      </c>
      <c r="CP13" s="504">
        <v>0</v>
      </c>
      <c r="CQ13" s="504">
        <v>0</v>
      </c>
      <c r="CR13" s="504">
        <v>0</v>
      </c>
      <c r="CS13" s="504">
        <v>0</v>
      </c>
      <c r="CT13" s="504">
        <v>0</v>
      </c>
      <c r="CU13" s="504">
        <v>0</v>
      </c>
      <c r="CV13" s="504">
        <v>0</v>
      </c>
      <c r="CW13" s="504">
        <v>0</v>
      </c>
      <c r="CX13" s="504">
        <v>0</v>
      </c>
      <c r="CY13" s="504">
        <v>0</v>
      </c>
      <c r="CZ13" s="1654">
        <v>0</v>
      </c>
      <c r="DA13" s="504">
        <v>0</v>
      </c>
      <c r="DB13" s="504">
        <v>117</v>
      </c>
      <c r="DC13" s="504">
        <v>463</v>
      </c>
      <c r="DD13" s="504">
        <v>1062</v>
      </c>
      <c r="DE13" s="504">
        <v>1300</v>
      </c>
      <c r="DF13" s="504">
        <v>1587</v>
      </c>
      <c r="DG13" s="504">
        <v>0</v>
      </c>
      <c r="DH13" s="504">
        <v>0</v>
      </c>
      <c r="DI13" s="504">
        <v>0</v>
      </c>
      <c r="DJ13" s="504">
        <v>0</v>
      </c>
      <c r="DK13" s="504">
        <v>0</v>
      </c>
      <c r="DL13" s="504">
        <v>0</v>
      </c>
      <c r="DM13" s="504">
        <v>0</v>
      </c>
      <c r="DN13" s="504">
        <v>0</v>
      </c>
      <c r="DO13" s="504">
        <v>0</v>
      </c>
      <c r="DP13" s="504">
        <v>0</v>
      </c>
      <c r="DQ13" s="504">
        <v>0</v>
      </c>
      <c r="DR13" s="504">
        <v>0</v>
      </c>
      <c r="DS13" s="504">
        <v>0</v>
      </c>
      <c r="DT13" s="504">
        <v>0</v>
      </c>
      <c r="DU13" s="504">
        <v>0</v>
      </c>
      <c r="DV13" s="504">
        <v>0</v>
      </c>
      <c r="DW13" s="504">
        <v>0</v>
      </c>
      <c r="DX13" s="504">
        <v>0</v>
      </c>
      <c r="DY13" s="504">
        <v>0</v>
      </c>
      <c r="DZ13" s="504">
        <v>0</v>
      </c>
      <c r="EA13" s="504">
        <v>0</v>
      </c>
      <c r="EB13" s="504">
        <v>0</v>
      </c>
      <c r="EC13" s="504">
        <v>0</v>
      </c>
      <c r="ED13" s="504">
        <v>0</v>
      </c>
      <c r="EE13" s="504">
        <v>0</v>
      </c>
      <c r="EF13" s="504">
        <v>0</v>
      </c>
      <c r="EG13" s="504">
        <v>0</v>
      </c>
      <c r="EH13" s="504">
        <v>0</v>
      </c>
      <c r="EI13" s="504">
        <v>0</v>
      </c>
      <c r="EJ13" s="504">
        <v>0</v>
      </c>
      <c r="EK13" s="504">
        <v>0</v>
      </c>
      <c r="EL13" s="504">
        <v>0</v>
      </c>
      <c r="EM13" s="504">
        <v>0</v>
      </c>
      <c r="EN13" s="504">
        <v>0</v>
      </c>
      <c r="EO13" s="504">
        <v>0</v>
      </c>
      <c r="EP13" s="504">
        <v>0</v>
      </c>
      <c r="EQ13" s="504">
        <v>0</v>
      </c>
      <c r="ER13" s="504">
        <v>0</v>
      </c>
      <c r="ES13" s="504">
        <v>0</v>
      </c>
      <c r="ET13" s="504">
        <v>0</v>
      </c>
      <c r="EU13" s="504">
        <v>0</v>
      </c>
      <c r="EV13" s="504">
        <v>0</v>
      </c>
      <c r="EW13" s="504">
        <v>0</v>
      </c>
      <c r="EX13" s="504">
        <v>0</v>
      </c>
      <c r="EY13" s="504">
        <v>0</v>
      </c>
      <c r="EZ13" s="504">
        <v>0</v>
      </c>
      <c r="FA13" s="504">
        <v>0</v>
      </c>
      <c r="FB13" s="504">
        <v>0</v>
      </c>
      <c r="FC13" s="504">
        <v>0</v>
      </c>
      <c r="FD13" s="504">
        <v>0</v>
      </c>
      <c r="FE13" s="504">
        <v>0</v>
      </c>
      <c r="FF13" s="504">
        <v>0</v>
      </c>
      <c r="FG13" s="504">
        <v>0</v>
      </c>
      <c r="FH13" s="504">
        <v>0</v>
      </c>
      <c r="FI13" s="504">
        <v>0</v>
      </c>
      <c r="FJ13" s="504">
        <v>0</v>
      </c>
      <c r="FK13" s="504">
        <v>0</v>
      </c>
      <c r="FL13" s="504">
        <v>0</v>
      </c>
      <c r="FM13" s="504">
        <v>0</v>
      </c>
      <c r="FN13" s="504">
        <v>0</v>
      </c>
      <c r="FO13" s="504">
        <v>0</v>
      </c>
      <c r="FP13" s="504">
        <v>0</v>
      </c>
      <c r="FQ13" s="504">
        <v>0</v>
      </c>
      <c r="FR13" s="504">
        <v>0</v>
      </c>
      <c r="FS13" s="504">
        <v>0</v>
      </c>
      <c r="FT13" s="504">
        <v>0</v>
      </c>
      <c r="FU13" s="504">
        <v>0</v>
      </c>
      <c r="FV13" s="504">
        <v>0</v>
      </c>
      <c r="FW13" s="504">
        <v>0</v>
      </c>
      <c r="FX13" s="504">
        <v>0</v>
      </c>
      <c r="FY13" s="504">
        <v>0</v>
      </c>
      <c r="FZ13" s="504">
        <v>0</v>
      </c>
      <c r="GA13" s="504">
        <v>0</v>
      </c>
      <c r="GB13" s="504">
        <v>0</v>
      </c>
      <c r="GC13" s="504">
        <v>0</v>
      </c>
      <c r="GD13" s="504">
        <v>0</v>
      </c>
      <c r="GE13" s="504">
        <v>0</v>
      </c>
      <c r="GF13" s="504">
        <v>0</v>
      </c>
      <c r="GG13" s="504">
        <v>0</v>
      </c>
      <c r="GH13" s="504">
        <v>0</v>
      </c>
      <c r="GI13" s="504">
        <v>0</v>
      </c>
      <c r="GJ13" s="504">
        <v>0</v>
      </c>
      <c r="GK13" s="504">
        <v>0</v>
      </c>
      <c r="GL13" s="504">
        <v>0</v>
      </c>
      <c r="GM13" s="504">
        <v>0</v>
      </c>
      <c r="GN13" s="504">
        <v>0</v>
      </c>
      <c r="GO13" s="504">
        <v>0</v>
      </c>
      <c r="GP13" s="504">
        <v>0</v>
      </c>
      <c r="GQ13" s="504">
        <v>0</v>
      </c>
      <c r="GR13" s="504">
        <v>0</v>
      </c>
      <c r="GS13" s="504">
        <v>0</v>
      </c>
      <c r="GT13" s="504">
        <v>0</v>
      </c>
      <c r="GU13" s="504">
        <v>0</v>
      </c>
      <c r="GV13" s="504">
        <v>0</v>
      </c>
      <c r="GW13" s="1654">
        <v>0</v>
      </c>
      <c r="GX13" s="504">
        <v>0</v>
      </c>
      <c r="GY13" s="504">
        <v>12128</v>
      </c>
      <c r="GZ13" s="504">
        <v>31011</v>
      </c>
      <c r="HA13" s="504">
        <v>41000</v>
      </c>
      <c r="HB13" s="504">
        <v>40000</v>
      </c>
      <c r="HC13" s="504">
        <v>39000</v>
      </c>
      <c r="HD13" s="504">
        <v>0</v>
      </c>
      <c r="HE13" s="504">
        <v>0</v>
      </c>
      <c r="HF13" s="504">
        <v>0</v>
      </c>
      <c r="HG13" s="504">
        <v>0</v>
      </c>
      <c r="HH13" s="504">
        <v>0</v>
      </c>
      <c r="HI13" s="504">
        <v>0</v>
      </c>
      <c r="HJ13" s="504">
        <v>0</v>
      </c>
      <c r="HK13" s="504">
        <v>0</v>
      </c>
      <c r="HL13" s="504">
        <v>0</v>
      </c>
      <c r="HM13" s="504">
        <v>0</v>
      </c>
      <c r="HN13" s="504">
        <v>0</v>
      </c>
      <c r="HO13" s="504">
        <v>0</v>
      </c>
      <c r="HP13" s="504">
        <v>0</v>
      </c>
      <c r="HQ13" s="504">
        <v>0</v>
      </c>
      <c r="HR13" s="504">
        <v>0</v>
      </c>
      <c r="HS13" s="504">
        <v>0</v>
      </c>
      <c r="HT13" s="504">
        <v>0</v>
      </c>
      <c r="HU13" s="504">
        <v>0</v>
      </c>
      <c r="HV13" s="504">
        <v>0</v>
      </c>
      <c r="HW13" s="504">
        <v>0</v>
      </c>
      <c r="HX13" s="504">
        <v>0</v>
      </c>
      <c r="HY13" s="504">
        <v>0</v>
      </c>
      <c r="HZ13" s="504">
        <v>0</v>
      </c>
      <c r="IA13" s="504">
        <v>0</v>
      </c>
      <c r="IB13" s="504">
        <v>0</v>
      </c>
      <c r="IC13" s="504">
        <v>0</v>
      </c>
      <c r="ID13" s="504">
        <v>0</v>
      </c>
      <c r="IE13" s="504">
        <v>0</v>
      </c>
      <c r="IF13" s="504">
        <v>0</v>
      </c>
      <c r="IG13" s="504">
        <v>0</v>
      </c>
      <c r="IH13" s="504">
        <v>0</v>
      </c>
      <c r="II13" s="504">
        <v>0</v>
      </c>
      <c r="IJ13" s="504">
        <v>0</v>
      </c>
      <c r="IK13" s="504">
        <v>0</v>
      </c>
      <c r="IL13" s="504">
        <v>0</v>
      </c>
      <c r="IM13" s="504">
        <v>0</v>
      </c>
      <c r="IN13" s="504">
        <v>0</v>
      </c>
      <c r="IO13" s="504">
        <v>0</v>
      </c>
      <c r="IP13" s="504">
        <v>0</v>
      </c>
      <c r="IQ13" s="504">
        <v>0</v>
      </c>
      <c r="IR13" s="504">
        <v>0</v>
      </c>
      <c r="IS13" s="504">
        <v>0</v>
      </c>
      <c r="IT13" s="504">
        <v>0</v>
      </c>
      <c r="IU13" s="504">
        <v>0</v>
      </c>
      <c r="IV13" s="504">
        <v>0</v>
      </c>
      <c r="IW13" s="504">
        <v>0</v>
      </c>
      <c r="IX13" s="504">
        <v>0</v>
      </c>
      <c r="IY13" s="504">
        <v>0</v>
      </c>
      <c r="IZ13" s="504">
        <v>0</v>
      </c>
      <c r="JA13" s="504">
        <v>0</v>
      </c>
      <c r="JB13" s="504">
        <v>0</v>
      </c>
      <c r="JC13" s="504">
        <v>0</v>
      </c>
      <c r="JD13" s="504">
        <v>0</v>
      </c>
      <c r="JE13" s="504">
        <v>0</v>
      </c>
      <c r="JF13" s="504">
        <v>0</v>
      </c>
      <c r="JG13" s="504">
        <v>0</v>
      </c>
      <c r="JH13" s="504">
        <v>0</v>
      </c>
      <c r="JI13" s="504">
        <v>0</v>
      </c>
      <c r="JJ13" s="504">
        <v>0</v>
      </c>
      <c r="JK13" s="504">
        <v>0</v>
      </c>
      <c r="JL13" s="504">
        <v>0</v>
      </c>
      <c r="JM13" s="504">
        <v>0</v>
      </c>
      <c r="JN13" s="504">
        <v>0</v>
      </c>
      <c r="JO13" s="504">
        <v>0</v>
      </c>
      <c r="JP13" s="504">
        <v>0</v>
      </c>
      <c r="JQ13" s="504">
        <v>0</v>
      </c>
      <c r="JR13" s="504">
        <v>0</v>
      </c>
      <c r="JS13" s="504">
        <v>0</v>
      </c>
      <c r="JT13" s="504">
        <v>0</v>
      </c>
      <c r="JU13" s="504">
        <v>0</v>
      </c>
      <c r="JV13" s="504">
        <v>0</v>
      </c>
      <c r="JW13" s="504">
        <v>0</v>
      </c>
      <c r="JX13" s="504">
        <v>0</v>
      </c>
      <c r="JY13" s="504">
        <v>0</v>
      </c>
      <c r="JZ13" s="504">
        <v>0</v>
      </c>
      <c r="KA13" s="504">
        <v>0</v>
      </c>
      <c r="KB13" s="504">
        <v>0</v>
      </c>
      <c r="KC13" s="504">
        <v>0</v>
      </c>
      <c r="KD13" s="504">
        <v>0</v>
      </c>
      <c r="KE13" s="504">
        <v>0</v>
      </c>
      <c r="KF13" s="504">
        <v>0</v>
      </c>
      <c r="KG13" s="504">
        <v>0</v>
      </c>
      <c r="KH13" s="504">
        <v>0</v>
      </c>
      <c r="KI13" s="504">
        <v>0</v>
      </c>
      <c r="KJ13" s="504">
        <v>0</v>
      </c>
      <c r="KK13" s="504">
        <v>0</v>
      </c>
      <c r="KL13" s="504">
        <v>0</v>
      </c>
      <c r="KM13" s="504">
        <v>0</v>
      </c>
      <c r="KN13" s="504">
        <v>0</v>
      </c>
      <c r="KO13" s="504">
        <v>0</v>
      </c>
      <c r="KP13" s="504">
        <v>0</v>
      </c>
      <c r="KQ13" s="504">
        <v>0</v>
      </c>
      <c r="KR13" s="504">
        <v>0</v>
      </c>
      <c r="KS13" s="504">
        <v>0</v>
      </c>
      <c r="KT13" s="1654">
        <v>0</v>
      </c>
      <c r="KU13" s="504">
        <v>0</v>
      </c>
      <c r="KV13" s="504">
        <v>0</v>
      </c>
      <c r="KW13" s="504">
        <v>0</v>
      </c>
      <c r="KX13" s="504">
        <v>1043</v>
      </c>
      <c r="KY13" s="504">
        <v>1280</v>
      </c>
      <c r="KZ13" s="504">
        <v>1567</v>
      </c>
      <c r="LA13" s="504">
        <v>0</v>
      </c>
      <c r="LB13" s="504">
        <v>0</v>
      </c>
      <c r="LC13" s="504">
        <v>0</v>
      </c>
      <c r="LD13" s="504">
        <v>0</v>
      </c>
      <c r="LE13" s="504">
        <v>0</v>
      </c>
      <c r="LF13" s="504">
        <v>0</v>
      </c>
      <c r="LG13" s="504">
        <v>0</v>
      </c>
      <c r="LH13" s="504">
        <v>0</v>
      </c>
      <c r="LI13" s="504">
        <v>0</v>
      </c>
      <c r="LJ13" s="504">
        <v>0</v>
      </c>
      <c r="LK13" s="504">
        <v>0</v>
      </c>
      <c r="LL13" s="504">
        <v>0</v>
      </c>
      <c r="LM13" s="504">
        <v>0</v>
      </c>
      <c r="LN13" s="504">
        <v>0</v>
      </c>
      <c r="LO13" s="504">
        <v>0</v>
      </c>
      <c r="LP13" s="504">
        <v>0</v>
      </c>
      <c r="LQ13" s="504">
        <v>0</v>
      </c>
      <c r="LR13" s="504">
        <v>0</v>
      </c>
      <c r="LS13" s="504">
        <v>0</v>
      </c>
      <c r="LT13" s="504">
        <v>0</v>
      </c>
      <c r="LU13" s="504">
        <v>0</v>
      </c>
      <c r="LV13" s="504">
        <v>0</v>
      </c>
      <c r="LW13" s="504">
        <v>0</v>
      </c>
      <c r="LX13" s="504">
        <v>0</v>
      </c>
      <c r="LY13" s="504">
        <v>0</v>
      </c>
      <c r="LZ13" s="504">
        <v>0</v>
      </c>
      <c r="MA13" s="504">
        <v>0</v>
      </c>
      <c r="MB13" s="504">
        <v>0</v>
      </c>
      <c r="MC13" s="504">
        <v>0</v>
      </c>
      <c r="MD13" s="504">
        <v>0</v>
      </c>
      <c r="ME13" s="504">
        <v>0</v>
      </c>
      <c r="MF13" s="504">
        <v>0</v>
      </c>
      <c r="MG13" s="504">
        <v>0</v>
      </c>
      <c r="MH13" s="504">
        <v>0</v>
      </c>
      <c r="MI13" s="504">
        <v>0</v>
      </c>
      <c r="MJ13" s="504">
        <v>0</v>
      </c>
      <c r="MK13" s="504">
        <v>0</v>
      </c>
      <c r="ML13" s="504">
        <v>0</v>
      </c>
      <c r="MM13" s="504">
        <v>0</v>
      </c>
      <c r="MN13" s="504">
        <v>0</v>
      </c>
      <c r="MO13" s="504">
        <v>0</v>
      </c>
      <c r="MP13" s="504">
        <v>0</v>
      </c>
      <c r="MQ13" s="504">
        <v>0</v>
      </c>
      <c r="MR13" s="504">
        <v>0</v>
      </c>
      <c r="MS13" s="504">
        <v>0</v>
      </c>
      <c r="MT13" s="504">
        <v>0</v>
      </c>
      <c r="MU13" s="504">
        <v>0</v>
      </c>
      <c r="MV13" s="504">
        <v>0</v>
      </c>
      <c r="MW13" s="504">
        <v>0</v>
      </c>
      <c r="MX13" s="504">
        <v>0</v>
      </c>
      <c r="MY13" s="504">
        <v>0</v>
      </c>
      <c r="MZ13" s="504">
        <v>0</v>
      </c>
      <c r="NA13" s="504">
        <v>0</v>
      </c>
      <c r="NB13" s="504">
        <v>0</v>
      </c>
      <c r="NC13" s="504">
        <v>0</v>
      </c>
      <c r="ND13" s="504">
        <v>0</v>
      </c>
      <c r="NE13" s="504">
        <v>0</v>
      </c>
      <c r="NF13" s="504">
        <v>0</v>
      </c>
      <c r="NG13" s="504">
        <v>0</v>
      </c>
      <c r="NH13" s="504">
        <v>0</v>
      </c>
      <c r="NI13" s="504">
        <v>0</v>
      </c>
      <c r="NJ13" s="504">
        <v>0</v>
      </c>
      <c r="NK13" s="504">
        <v>0</v>
      </c>
      <c r="NL13" s="504">
        <v>0</v>
      </c>
      <c r="NM13" s="504">
        <v>0</v>
      </c>
      <c r="NN13" s="504">
        <v>0</v>
      </c>
      <c r="NO13" s="504">
        <v>0</v>
      </c>
      <c r="NP13" s="504">
        <v>0</v>
      </c>
      <c r="NQ13" s="504">
        <v>0</v>
      </c>
      <c r="NR13" s="504">
        <v>0</v>
      </c>
      <c r="NS13" s="504">
        <v>0</v>
      </c>
      <c r="NT13" s="504">
        <v>0</v>
      </c>
      <c r="NU13" s="504">
        <v>0</v>
      </c>
      <c r="NV13" s="504">
        <v>0</v>
      </c>
      <c r="NW13" s="504">
        <v>0</v>
      </c>
      <c r="NX13" s="504">
        <v>0</v>
      </c>
      <c r="NY13" s="504">
        <v>0</v>
      </c>
      <c r="NZ13" s="504">
        <v>0</v>
      </c>
      <c r="OA13" s="504">
        <v>0</v>
      </c>
      <c r="OB13" s="504">
        <v>0</v>
      </c>
      <c r="OC13" s="504">
        <v>0</v>
      </c>
      <c r="OD13" s="504">
        <v>0</v>
      </c>
      <c r="OE13" s="504">
        <v>0</v>
      </c>
      <c r="OF13" s="504">
        <v>0</v>
      </c>
      <c r="OG13" s="504">
        <v>0</v>
      </c>
      <c r="OH13" s="504">
        <v>0</v>
      </c>
      <c r="OI13" s="504">
        <v>0</v>
      </c>
      <c r="OJ13" s="504">
        <v>0</v>
      </c>
      <c r="OK13" s="504">
        <v>0</v>
      </c>
      <c r="OL13" s="504">
        <v>0</v>
      </c>
      <c r="OM13" s="504">
        <v>0</v>
      </c>
      <c r="ON13" s="504">
        <v>0</v>
      </c>
      <c r="OO13" s="504">
        <v>0</v>
      </c>
      <c r="OP13" s="504">
        <v>0</v>
      </c>
      <c r="OQ13" s="504">
        <v>0</v>
      </c>
      <c r="OR13"/>
      <c r="OS13"/>
      <c r="OT13"/>
      <c r="OU13"/>
      <c r="OV13"/>
      <c r="OW13"/>
      <c r="OX13"/>
      <c r="OY13"/>
      <c r="OZ13"/>
      <c r="PA13"/>
      <c r="PB13"/>
      <c r="PC13"/>
      <c r="PD13"/>
      <c r="PE13"/>
      <c r="PF13"/>
      <c r="PG13"/>
      <c r="PH13"/>
      <c r="PI13"/>
      <c r="PJ13"/>
      <c r="PK13"/>
      <c r="PL13"/>
      <c r="PM13"/>
      <c r="PN13"/>
      <c r="PO13"/>
      <c r="PP13"/>
      <c r="PQ13"/>
      <c r="PR13"/>
      <c r="PS13"/>
      <c r="PT13" s="1656"/>
    </row>
    <row r="14" spans="1:436" ht="21.5">
      <c r="A14" s="1466" t="s">
        <v>1676</v>
      </c>
      <c r="B14" s="1576" t="s">
        <v>2358</v>
      </c>
      <c r="C14" s="1576" t="s">
        <v>13</v>
      </c>
      <c r="D14" s="1576">
        <v>37</v>
      </c>
      <c r="E14" s="504">
        <v>43</v>
      </c>
      <c r="F14" s="504">
        <v>173</v>
      </c>
      <c r="G14" s="504">
        <v>444</v>
      </c>
      <c r="H14" s="504">
        <v>694</v>
      </c>
      <c r="I14" s="504">
        <v>994</v>
      </c>
      <c r="J14" s="504">
        <v>1214</v>
      </c>
      <c r="K14" s="504">
        <v>1228</v>
      </c>
      <c r="L14" s="504">
        <v>1242</v>
      </c>
      <c r="M14" s="504">
        <v>1257</v>
      </c>
      <c r="N14" s="504">
        <v>1272</v>
      </c>
      <c r="O14" s="504">
        <v>1287</v>
      </c>
      <c r="P14" s="504">
        <v>1303</v>
      </c>
      <c r="Q14" s="504">
        <v>1318</v>
      </c>
      <c r="R14" s="504">
        <v>1335</v>
      </c>
      <c r="S14" s="504">
        <v>1351</v>
      </c>
      <c r="T14" s="504">
        <v>1368</v>
      </c>
      <c r="U14" s="504">
        <v>1385</v>
      </c>
      <c r="V14" s="504">
        <v>1402</v>
      </c>
      <c r="W14" s="504">
        <v>1420</v>
      </c>
      <c r="X14" s="504">
        <v>1438</v>
      </c>
      <c r="Y14" s="504">
        <v>1457</v>
      </c>
      <c r="Z14" s="504">
        <v>1475</v>
      </c>
      <c r="AA14" s="504">
        <v>1494</v>
      </c>
      <c r="AB14" s="504">
        <v>1514</v>
      </c>
      <c r="AC14" s="504">
        <v>1533</v>
      </c>
      <c r="AD14" s="504">
        <v>1553</v>
      </c>
      <c r="AE14" s="504">
        <v>1573</v>
      </c>
      <c r="AF14" s="504">
        <v>1594</v>
      </c>
      <c r="AG14" s="504">
        <v>1615</v>
      </c>
      <c r="AH14" s="504">
        <v>1636</v>
      </c>
      <c r="AI14" s="504">
        <v>1657</v>
      </c>
      <c r="AJ14" s="504">
        <v>1679</v>
      </c>
      <c r="AK14" s="504">
        <v>1701</v>
      </c>
      <c r="AL14" s="504">
        <v>1724</v>
      </c>
      <c r="AM14" s="504">
        <v>1747</v>
      </c>
      <c r="AN14" s="504">
        <v>1770</v>
      </c>
      <c r="AO14" s="504">
        <v>1795</v>
      </c>
      <c r="AP14" s="504">
        <v>1821</v>
      </c>
      <c r="AQ14" s="504">
        <v>1848</v>
      </c>
      <c r="AR14" s="504">
        <v>1876</v>
      </c>
      <c r="AS14" s="504">
        <v>1908</v>
      </c>
      <c r="AT14" s="504">
        <v>1942</v>
      </c>
      <c r="AU14" s="504">
        <v>2000</v>
      </c>
      <c r="AV14" s="504">
        <v>0</v>
      </c>
      <c r="AW14" s="504">
        <v>0</v>
      </c>
      <c r="AX14" s="504">
        <v>0</v>
      </c>
      <c r="AY14" s="504">
        <v>0</v>
      </c>
      <c r="AZ14" s="504">
        <v>0</v>
      </c>
      <c r="BA14" s="504">
        <v>0</v>
      </c>
      <c r="BB14" s="504">
        <v>0</v>
      </c>
      <c r="BC14" s="504">
        <v>0</v>
      </c>
      <c r="BD14" s="504">
        <v>0</v>
      </c>
      <c r="BE14" s="504">
        <v>0</v>
      </c>
      <c r="BF14" s="504">
        <v>0</v>
      </c>
      <c r="BG14" s="504">
        <v>0</v>
      </c>
      <c r="BH14" s="504">
        <v>0</v>
      </c>
      <c r="BI14" s="504">
        <v>0</v>
      </c>
      <c r="BJ14" s="504">
        <v>0</v>
      </c>
      <c r="BK14" s="504">
        <v>0</v>
      </c>
      <c r="BL14" s="504">
        <v>0</v>
      </c>
      <c r="BM14" s="504">
        <v>0</v>
      </c>
      <c r="BN14" s="504">
        <v>0</v>
      </c>
      <c r="BO14" s="504">
        <v>0</v>
      </c>
      <c r="BP14" s="504">
        <v>0</v>
      </c>
      <c r="BQ14" s="504">
        <v>0</v>
      </c>
      <c r="BR14" s="504">
        <v>0</v>
      </c>
      <c r="BS14" s="504">
        <v>0</v>
      </c>
      <c r="BT14" s="504">
        <v>0</v>
      </c>
      <c r="BU14" s="504">
        <v>0</v>
      </c>
      <c r="BV14" s="504">
        <v>0</v>
      </c>
      <c r="BW14" s="504">
        <v>0</v>
      </c>
      <c r="BX14" s="504">
        <v>0</v>
      </c>
      <c r="BY14" s="504">
        <v>0</v>
      </c>
      <c r="BZ14" s="504">
        <v>0</v>
      </c>
      <c r="CA14" s="504">
        <v>0</v>
      </c>
      <c r="CB14" s="504">
        <v>0</v>
      </c>
      <c r="CC14" s="504">
        <v>0</v>
      </c>
      <c r="CD14" s="504">
        <v>0</v>
      </c>
      <c r="CE14" s="504">
        <v>0</v>
      </c>
      <c r="CF14" s="504">
        <v>0</v>
      </c>
      <c r="CG14" s="504">
        <v>0</v>
      </c>
      <c r="CH14" s="504">
        <v>0</v>
      </c>
      <c r="CI14" s="504">
        <v>0</v>
      </c>
      <c r="CJ14" s="504">
        <v>0</v>
      </c>
      <c r="CK14" s="504">
        <v>0</v>
      </c>
      <c r="CL14" s="504">
        <v>0</v>
      </c>
      <c r="CM14" s="504">
        <v>0</v>
      </c>
      <c r="CN14" s="504">
        <v>0</v>
      </c>
      <c r="CO14" s="504">
        <v>0</v>
      </c>
      <c r="CP14" s="504">
        <v>0</v>
      </c>
      <c r="CQ14" s="504">
        <v>0</v>
      </c>
      <c r="CR14" s="504">
        <v>0</v>
      </c>
      <c r="CS14" s="504">
        <v>0</v>
      </c>
      <c r="CT14" s="504">
        <v>0</v>
      </c>
      <c r="CU14" s="504">
        <v>0</v>
      </c>
      <c r="CV14" s="504">
        <v>0</v>
      </c>
      <c r="CW14" s="504">
        <v>0</v>
      </c>
      <c r="CX14" s="504">
        <v>0</v>
      </c>
      <c r="CY14" s="504">
        <v>0</v>
      </c>
      <c r="CZ14" s="1654">
        <v>0</v>
      </c>
      <c r="DA14" s="504">
        <v>0</v>
      </c>
      <c r="DB14" s="504">
        <v>117</v>
      </c>
      <c r="DC14" s="504">
        <v>459</v>
      </c>
      <c r="DD14" s="504">
        <v>1058</v>
      </c>
      <c r="DE14" s="504">
        <v>1298</v>
      </c>
      <c r="DF14" s="504">
        <v>1588</v>
      </c>
      <c r="DG14" s="504">
        <v>0</v>
      </c>
      <c r="DH14" s="504">
        <v>0</v>
      </c>
      <c r="DI14" s="504">
        <v>0</v>
      </c>
      <c r="DJ14" s="504">
        <v>0</v>
      </c>
      <c r="DK14" s="504">
        <v>0</v>
      </c>
      <c r="DL14" s="504">
        <v>0</v>
      </c>
      <c r="DM14" s="504">
        <v>0</v>
      </c>
      <c r="DN14" s="504">
        <v>0</v>
      </c>
      <c r="DO14" s="504">
        <v>0</v>
      </c>
      <c r="DP14" s="504">
        <v>0</v>
      </c>
      <c r="DQ14" s="504">
        <v>0</v>
      </c>
      <c r="DR14" s="504">
        <v>0</v>
      </c>
      <c r="DS14" s="504">
        <v>0</v>
      </c>
      <c r="DT14" s="504">
        <v>0</v>
      </c>
      <c r="DU14" s="504">
        <v>0</v>
      </c>
      <c r="DV14" s="504">
        <v>0</v>
      </c>
      <c r="DW14" s="504">
        <v>0</v>
      </c>
      <c r="DX14" s="504">
        <v>0</v>
      </c>
      <c r="DY14" s="504">
        <v>0</v>
      </c>
      <c r="DZ14" s="504">
        <v>0</v>
      </c>
      <c r="EA14" s="504">
        <v>0</v>
      </c>
      <c r="EB14" s="504">
        <v>0</v>
      </c>
      <c r="EC14" s="504">
        <v>0</v>
      </c>
      <c r="ED14" s="504">
        <v>0</v>
      </c>
      <c r="EE14" s="504">
        <v>0</v>
      </c>
      <c r="EF14" s="504">
        <v>0</v>
      </c>
      <c r="EG14" s="504">
        <v>0</v>
      </c>
      <c r="EH14" s="504">
        <v>0</v>
      </c>
      <c r="EI14" s="504">
        <v>0</v>
      </c>
      <c r="EJ14" s="504">
        <v>0</v>
      </c>
      <c r="EK14" s="504">
        <v>0</v>
      </c>
      <c r="EL14" s="504">
        <v>0</v>
      </c>
      <c r="EM14" s="504">
        <v>0</v>
      </c>
      <c r="EN14" s="504">
        <v>0</v>
      </c>
      <c r="EO14" s="504">
        <v>0</v>
      </c>
      <c r="EP14" s="504">
        <v>0</v>
      </c>
      <c r="EQ14" s="504">
        <v>0</v>
      </c>
      <c r="ER14" s="504">
        <v>0</v>
      </c>
      <c r="ES14" s="504">
        <v>0</v>
      </c>
      <c r="ET14" s="504">
        <v>0</v>
      </c>
      <c r="EU14" s="504">
        <v>0</v>
      </c>
      <c r="EV14" s="504">
        <v>0</v>
      </c>
      <c r="EW14" s="504">
        <v>0</v>
      </c>
      <c r="EX14" s="504">
        <v>0</v>
      </c>
      <c r="EY14" s="504">
        <v>0</v>
      </c>
      <c r="EZ14" s="504">
        <v>0</v>
      </c>
      <c r="FA14" s="504">
        <v>0</v>
      </c>
      <c r="FB14" s="504">
        <v>0</v>
      </c>
      <c r="FC14" s="504">
        <v>0</v>
      </c>
      <c r="FD14" s="504">
        <v>0</v>
      </c>
      <c r="FE14" s="504">
        <v>0</v>
      </c>
      <c r="FF14" s="504">
        <v>0</v>
      </c>
      <c r="FG14" s="504">
        <v>0</v>
      </c>
      <c r="FH14" s="504">
        <v>0</v>
      </c>
      <c r="FI14" s="504">
        <v>0</v>
      </c>
      <c r="FJ14" s="504">
        <v>0</v>
      </c>
      <c r="FK14" s="504">
        <v>0</v>
      </c>
      <c r="FL14" s="504">
        <v>0</v>
      </c>
      <c r="FM14" s="504">
        <v>0</v>
      </c>
      <c r="FN14" s="504">
        <v>0</v>
      </c>
      <c r="FO14" s="504">
        <v>0</v>
      </c>
      <c r="FP14" s="504">
        <v>0</v>
      </c>
      <c r="FQ14" s="504">
        <v>0</v>
      </c>
      <c r="FR14" s="504">
        <v>0</v>
      </c>
      <c r="FS14" s="504">
        <v>0</v>
      </c>
      <c r="FT14" s="504">
        <v>0</v>
      </c>
      <c r="FU14" s="504">
        <v>0</v>
      </c>
      <c r="FV14" s="504">
        <v>0</v>
      </c>
      <c r="FW14" s="504">
        <v>0</v>
      </c>
      <c r="FX14" s="504">
        <v>0</v>
      </c>
      <c r="FY14" s="504">
        <v>0</v>
      </c>
      <c r="FZ14" s="504">
        <v>0</v>
      </c>
      <c r="GA14" s="504">
        <v>0</v>
      </c>
      <c r="GB14" s="504">
        <v>0</v>
      </c>
      <c r="GC14" s="504">
        <v>0</v>
      </c>
      <c r="GD14" s="504">
        <v>0</v>
      </c>
      <c r="GE14" s="504">
        <v>0</v>
      </c>
      <c r="GF14" s="504">
        <v>0</v>
      </c>
      <c r="GG14" s="504">
        <v>0</v>
      </c>
      <c r="GH14" s="504">
        <v>0</v>
      </c>
      <c r="GI14" s="504">
        <v>0</v>
      </c>
      <c r="GJ14" s="504">
        <v>0</v>
      </c>
      <c r="GK14" s="504">
        <v>0</v>
      </c>
      <c r="GL14" s="504">
        <v>0</v>
      </c>
      <c r="GM14" s="504">
        <v>0</v>
      </c>
      <c r="GN14" s="504">
        <v>0</v>
      </c>
      <c r="GO14" s="504">
        <v>0</v>
      </c>
      <c r="GP14" s="504">
        <v>0</v>
      </c>
      <c r="GQ14" s="504">
        <v>0</v>
      </c>
      <c r="GR14" s="504">
        <v>0</v>
      </c>
      <c r="GS14" s="504">
        <v>0</v>
      </c>
      <c r="GT14" s="504">
        <v>0</v>
      </c>
      <c r="GU14" s="504">
        <v>0</v>
      </c>
      <c r="GV14" s="504">
        <v>0</v>
      </c>
      <c r="GW14" s="1654">
        <v>0</v>
      </c>
      <c r="GX14" s="504">
        <v>0</v>
      </c>
      <c r="GY14" s="504">
        <v>11351</v>
      </c>
      <c r="GZ14" s="504">
        <v>30029</v>
      </c>
      <c r="HA14" s="504">
        <v>40000</v>
      </c>
      <c r="HB14" s="504">
        <v>39000</v>
      </c>
      <c r="HC14" s="504">
        <v>38000</v>
      </c>
      <c r="HD14" s="504">
        <v>0</v>
      </c>
      <c r="HE14" s="504">
        <v>0</v>
      </c>
      <c r="HF14" s="504">
        <v>0</v>
      </c>
      <c r="HG14" s="504">
        <v>0</v>
      </c>
      <c r="HH14" s="504">
        <v>0</v>
      </c>
      <c r="HI14" s="504">
        <v>0</v>
      </c>
      <c r="HJ14" s="504">
        <v>0</v>
      </c>
      <c r="HK14" s="504">
        <v>0</v>
      </c>
      <c r="HL14" s="504">
        <v>0</v>
      </c>
      <c r="HM14" s="504">
        <v>0</v>
      </c>
      <c r="HN14" s="504">
        <v>0</v>
      </c>
      <c r="HO14" s="504">
        <v>0</v>
      </c>
      <c r="HP14" s="504">
        <v>0</v>
      </c>
      <c r="HQ14" s="504">
        <v>0</v>
      </c>
      <c r="HR14" s="504">
        <v>0</v>
      </c>
      <c r="HS14" s="504">
        <v>0</v>
      </c>
      <c r="HT14" s="504">
        <v>0</v>
      </c>
      <c r="HU14" s="504">
        <v>0</v>
      </c>
      <c r="HV14" s="504">
        <v>0</v>
      </c>
      <c r="HW14" s="504">
        <v>0</v>
      </c>
      <c r="HX14" s="504">
        <v>0</v>
      </c>
      <c r="HY14" s="504">
        <v>0</v>
      </c>
      <c r="HZ14" s="504">
        <v>0</v>
      </c>
      <c r="IA14" s="504">
        <v>0</v>
      </c>
      <c r="IB14" s="504">
        <v>0</v>
      </c>
      <c r="IC14" s="504">
        <v>0</v>
      </c>
      <c r="ID14" s="504">
        <v>0</v>
      </c>
      <c r="IE14" s="504">
        <v>0</v>
      </c>
      <c r="IF14" s="504">
        <v>0</v>
      </c>
      <c r="IG14" s="504">
        <v>0</v>
      </c>
      <c r="IH14" s="504">
        <v>0</v>
      </c>
      <c r="II14" s="504">
        <v>0</v>
      </c>
      <c r="IJ14" s="504">
        <v>0</v>
      </c>
      <c r="IK14" s="504">
        <v>0</v>
      </c>
      <c r="IL14" s="504">
        <v>0</v>
      </c>
      <c r="IM14" s="504">
        <v>0</v>
      </c>
      <c r="IN14" s="504">
        <v>0</v>
      </c>
      <c r="IO14" s="504">
        <v>0</v>
      </c>
      <c r="IP14" s="504">
        <v>0</v>
      </c>
      <c r="IQ14" s="504">
        <v>0</v>
      </c>
      <c r="IR14" s="504">
        <v>0</v>
      </c>
      <c r="IS14" s="504">
        <v>0</v>
      </c>
      <c r="IT14" s="504">
        <v>0</v>
      </c>
      <c r="IU14" s="504">
        <v>0</v>
      </c>
      <c r="IV14" s="504">
        <v>0</v>
      </c>
      <c r="IW14" s="504">
        <v>0</v>
      </c>
      <c r="IX14" s="504">
        <v>0</v>
      </c>
      <c r="IY14" s="504">
        <v>0</v>
      </c>
      <c r="IZ14" s="504">
        <v>0</v>
      </c>
      <c r="JA14" s="504">
        <v>0</v>
      </c>
      <c r="JB14" s="504">
        <v>0</v>
      </c>
      <c r="JC14" s="504">
        <v>0</v>
      </c>
      <c r="JD14" s="504">
        <v>0</v>
      </c>
      <c r="JE14" s="504">
        <v>0</v>
      </c>
      <c r="JF14" s="504">
        <v>0</v>
      </c>
      <c r="JG14" s="504">
        <v>0</v>
      </c>
      <c r="JH14" s="504">
        <v>0</v>
      </c>
      <c r="JI14" s="504">
        <v>0</v>
      </c>
      <c r="JJ14" s="504">
        <v>0</v>
      </c>
      <c r="JK14" s="504">
        <v>0</v>
      </c>
      <c r="JL14" s="504">
        <v>0</v>
      </c>
      <c r="JM14" s="504">
        <v>0</v>
      </c>
      <c r="JN14" s="504">
        <v>0</v>
      </c>
      <c r="JO14" s="504">
        <v>0</v>
      </c>
      <c r="JP14" s="504">
        <v>0</v>
      </c>
      <c r="JQ14" s="504">
        <v>0</v>
      </c>
      <c r="JR14" s="504">
        <v>0</v>
      </c>
      <c r="JS14" s="504">
        <v>0</v>
      </c>
      <c r="JT14" s="504">
        <v>0</v>
      </c>
      <c r="JU14" s="504">
        <v>0</v>
      </c>
      <c r="JV14" s="504">
        <v>0</v>
      </c>
      <c r="JW14" s="504">
        <v>0</v>
      </c>
      <c r="JX14" s="504">
        <v>0</v>
      </c>
      <c r="JY14" s="504">
        <v>0</v>
      </c>
      <c r="JZ14" s="504">
        <v>0</v>
      </c>
      <c r="KA14" s="504">
        <v>0</v>
      </c>
      <c r="KB14" s="504">
        <v>0</v>
      </c>
      <c r="KC14" s="504">
        <v>0</v>
      </c>
      <c r="KD14" s="504">
        <v>0</v>
      </c>
      <c r="KE14" s="504">
        <v>0</v>
      </c>
      <c r="KF14" s="504">
        <v>0</v>
      </c>
      <c r="KG14" s="504">
        <v>0</v>
      </c>
      <c r="KH14" s="504">
        <v>0</v>
      </c>
      <c r="KI14" s="504">
        <v>0</v>
      </c>
      <c r="KJ14" s="504">
        <v>0</v>
      </c>
      <c r="KK14" s="504">
        <v>0</v>
      </c>
      <c r="KL14" s="504">
        <v>0</v>
      </c>
      <c r="KM14" s="504">
        <v>0</v>
      </c>
      <c r="KN14" s="504">
        <v>0</v>
      </c>
      <c r="KO14" s="504">
        <v>0</v>
      </c>
      <c r="KP14" s="504">
        <v>0</v>
      </c>
      <c r="KQ14" s="504">
        <v>0</v>
      </c>
      <c r="KR14" s="504">
        <v>0</v>
      </c>
      <c r="KS14" s="504">
        <v>0</v>
      </c>
      <c r="KT14" s="1654">
        <v>0</v>
      </c>
      <c r="KU14" s="504">
        <v>0</v>
      </c>
      <c r="KV14" s="504">
        <v>0</v>
      </c>
      <c r="KW14" s="504">
        <v>0</v>
      </c>
      <c r="KX14" s="504">
        <v>1038</v>
      </c>
      <c r="KY14" s="504">
        <v>1278</v>
      </c>
      <c r="KZ14" s="504">
        <v>1568</v>
      </c>
      <c r="LA14" s="504">
        <v>0</v>
      </c>
      <c r="LB14" s="504">
        <v>0</v>
      </c>
      <c r="LC14" s="504">
        <v>0</v>
      </c>
      <c r="LD14" s="504">
        <v>0</v>
      </c>
      <c r="LE14" s="504">
        <v>0</v>
      </c>
      <c r="LF14" s="504">
        <v>0</v>
      </c>
      <c r="LG14" s="504">
        <v>0</v>
      </c>
      <c r="LH14" s="504">
        <v>0</v>
      </c>
      <c r="LI14" s="504">
        <v>0</v>
      </c>
      <c r="LJ14" s="504">
        <v>0</v>
      </c>
      <c r="LK14" s="504">
        <v>0</v>
      </c>
      <c r="LL14" s="504">
        <v>0</v>
      </c>
      <c r="LM14" s="504">
        <v>0</v>
      </c>
      <c r="LN14" s="504">
        <v>0</v>
      </c>
      <c r="LO14" s="504">
        <v>0</v>
      </c>
      <c r="LP14" s="504">
        <v>0</v>
      </c>
      <c r="LQ14" s="504">
        <v>0</v>
      </c>
      <c r="LR14" s="504">
        <v>0</v>
      </c>
      <c r="LS14" s="504">
        <v>0</v>
      </c>
      <c r="LT14" s="504">
        <v>0</v>
      </c>
      <c r="LU14" s="504">
        <v>0</v>
      </c>
      <c r="LV14" s="504">
        <v>0</v>
      </c>
      <c r="LW14" s="504">
        <v>0</v>
      </c>
      <c r="LX14" s="504">
        <v>0</v>
      </c>
      <c r="LY14" s="504">
        <v>0</v>
      </c>
      <c r="LZ14" s="504">
        <v>0</v>
      </c>
      <c r="MA14" s="504">
        <v>0</v>
      </c>
      <c r="MB14" s="504">
        <v>0</v>
      </c>
      <c r="MC14" s="504">
        <v>0</v>
      </c>
      <c r="MD14" s="504">
        <v>0</v>
      </c>
      <c r="ME14" s="504">
        <v>0</v>
      </c>
      <c r="MF14" s="504">
        <v>0</v>
      </c>
      <c r="MG14" s="504">
        <v>0</v>
      </c>
      <c r="MH14" s="504">
        <v>0</v>
      </c>
      <c r="MI14" s="504">
        <v>0</v>
      </c>
      <c r="MJ14" s="504">
        <v>0</v>
      </c>
      <c r="MK14" s="504">
        <v>0</v>
      </c>
      <c r="ML14" s="504">
        <v>0</v>
      </c>
      <c r="MM14" s="504">
        <v>0</v>
      </c>
      <c r="MN14" s="504">
        <v>0</v>
      </c>
      <c r="MO14" s="504">
        <v>0</v>
      </c>
      <c r="MP14" s="504">
        <v>0</v>
      </c>
      <c r="MQ14" s="504">
        <v>0</v>
      </c>
      <c r="MR14" s="504">
        <v>0</v>
      </c>
      <c r="MS14" s="504">
        <v>0</v>
      </c>
      <c r="MT14" s="504">
        <v>0</v>
      </c>
      <c r="MU14" s="504">
        <v>0</v>
      </c>
      <c r="MV14" s="504">
        <v>0</v>
      </c>
      <c r="MW14" s="504">
        <v>0</v>
      </c>
      <c r="MX14" s="504">
        <v>0</v>
      </c>
      <c r="MY14" s="504">
        <v>0</v>
      </c>
      <c r="MZ14" s="504">
        <v>0</v>
      </c>
      <c r="NA14" s="504">
        <v>0</v>
      </c>
      <c r="NB14" s="504">
        <v>0</v>
      </c>
      <c r="NC14" s="504">
        <v>0</v>
      </c>
      <c r="ND14" s="504">
        <v>0</v>
      </c>
      <c r="NE14" s="504">
        <v>0</v>
      </c>
      <c r="NF14" s="504">
        <v>0</v>
      </c>
      <c r="NG14" s="504">
        <v>0</v>
      </c>
      <c r="NH14" s="504">
        <v>0</v>
      </c>
      <c r="NI14" s="504">
        <v>0</v>
      </c>
      <c r="NJ14" s="504">
        <v>0</v>
      </c>
      <c r="NK14" s="504">
        <v>0</v>
      </c>
      <c r="NL14" s="504">
        <v>0</v>
      </c>
      <c r="NM14" s="504">
        <v>0</v>
      </c>
      <c r="NN14" s="504">
        <v>0</v>
      </c>
      <c r="NO14" s="504">
        <v>0</v>
      </c>
      <c r="NP14" s="504">
        <v>0</v>
      </c>
      <c r="NQ14" s="504">
        <v>0</v>
      </c>
      <c r="NR14" s="504">
        <v>0</v>
      </c>
      <c r="NS14" s="504">
        <v>0</v>
      </c>
      <c r="NT14" s="504">
        <v>0</v>
      </c>
      <c r="NU14" s="504">
        <v>0</v>
      </c>
      <c r="NV14" s="504">
        <v>0</v>
      </c>
      <c r="NW14" s="504">
        <v>0</v>
      </c>
      <c r="NX14" s="504">
        <v>0</v>
      </c>
      <c r="NY14" s="504">
        <v>0</v>
      </c>
      <c r="NZ14" s="504">
        <v>0</v>
      </c>
      <c r="OA14" s="504">
        <v>0</v>
      </c>
      <c r="OB14" s="504">
        <v>0</v>
      </c>
      <c r="OC14" s="504">
        <v>0</v>
      </c>
      <c r="OD14" s="504">
        <v>0</v>
      </c>
      <c r="OE14" s="504">
        <v>0</v>
      </c>
      <c r="OF14" s="504">
        <v>0</v>
      </c>
      <c r="OG14" s="504">
        <v>0</v>
      </c>
      <c r="OH14" s="504">
        <v>0</v>
      </c>
      <c r="OI14" s="504">
        <v>0</v>
      </c>
      <c r="OJ14" s="504">
        <v>0</v>
      </c>
      <c r="OK14" s="504">
        <v>0</v>
      </c>
      <c r="OL14" s="504">
        <v>0</v>
      </c>
      <c r="OM14" s="504">
        <v>0</v>
      </c>
      <c r="ON14" s="504">
        <v>0</v>
      </c>
      <c r="OO14" s="504">
        <v>0</v>
      </c>
      <c r="OP14" s="504">
        <v>0</v>
      </c>
      <c r="OQ14" s="504">
        <v>0</v>
      </c>
      <c r="OR14"/>
      <c r="OS14"/>
      <c r="OT14"/>
      <c r="OU14"/>
      <c r="OV14"/>
      <c r="OW14"/>
      <c r="OX14"/>
      <c r="OY14"/>
      <c r="OZ14"/>
      <c r="PA14"/>
      <c r="PB14"/>
      <c r="PC14"/>
      <c r="PD14"/>
      <c r="PE14"/>
      <c r="PF14"/>
      <c r="PG14"/>
      <c r="PH14"/>
      <c r="PI14"/>
      <c r="PJ14"/>
      <c r="PK14"/>
      <c r="PL14"/>
      <c r="PM14"/>
      <c r="PN14"/>
      <c r="PO14"/>
      <c r="PP14"/>
      <c r="PQ14"/>
      <c r="PR14"/>
      <c r="PS14"/>
      <c r="PT14" s="1656"/>
    </row>
    <row r="15" spans="1:436" ht="21.5">
      <c r="A15" s="1466" t="s">
        <v>1677</v>
      </c>
      <c r="B15" s="1576" t="s">
        <v>2358</v>
      </c>
      <c r="C15" s="1576" t="s">
        <v>13</v>
      </c>
      <c r="D15" s="1576">
        <v>38</v>
      </c>
      <c r="E15" s="504">
        <v>43</v>
      </c>
      <c r="F15" s="504">
        <v>175</v>
      </c>
      <c r="G15" s="504">
        <v>449</v>
      </c>
      <c r="H15" s="504">
        <v>702</v>
      </c>
      <c r="I15" s="504">
        <v>1005</v>
      </c>
      <c r="J15" s="504">
        <v>1228</v>
      </c>
      <c r="K15" s="504">
        <v>1242</v>
      </c>
      <c r="L15" s="504">
        <v>1257</v>
      </c>
      <c r="M15" s="504">
        <v>1272</v>
      </c>
      <c r="N15" s="504">
        <v>1287</v>
      </c>
      <c r="O15" s="504">
        <v>1303</v>
      </c>
      <c r="P15" s="504">
        <v>1318</v>
      </c>
      <c r="Q15" s="504">
        <v>1335</v>
      </c>
      <c r="R15" s="504">
        <v>1351</v>
      </c>
      <c r="S15" s="504">
        <v>1368</v>
      </c>
      <c r="T15" s="504">
        <v>1385</v>
      </c>
      <c r="U15" s="504">
        <v>1402</v>
      </c>
      <c r="V15" s="504">
        <v>1420</v>
      </c>
      <c r="W15" s="504">
        <v>1438</v>
      </c>
      <c r="X15" s="504">
        <v>1457</v>
      </c>
      <c r="Y15" s="504">
        <v>1475</v>
      </c>
      <c r="Z15" s="504">
        <v>1494</v>
      </c>
      <c r="AA15" s="504">
        <v>1514</v>
      </c>
      <c r="AB15" s="504">
        <v>1533</v>
      </c>
      <c r="AC15" s="504">
        <v>1553</v>
      </c>
      <c r="AD15" s="504">
        <v>1573</v>
      </c>
      <c r="AE15" s="504">
        <v>1594</v>
      </c>
      <c r="AF15" s="504">
        <v>1615</v>
      </c>
      <c r="AG15" s="504">
        <v>1636</v>
      </c>
      <c r="AH15" s="504">
        <v>1657</v>
      </c>
      <c r="AI15" s="504">
        <v>1679</v>
      </c>
      <c r="AJ15" s="504">
        <v>1701</v>
      </c>
      <c r="AK15" s="504">
        <v>1724</v>
      </c>
      <c r="AL15" s="504">
        <v>1747</v>
      </c>
      <c r="AM15" s="504">
        <v>1770</v>
      </c>
      <c r="AN15" s="504">
        <v>1795</v>
      </c>
      <c r="AO15" s="504">
        <v>1821</v>
      </c>
      <c r="AP15" s="504">
        <v>1848</v>
      </c>
      <c r="AQ15" s="504">
        <v>1876</v>
      </c>
      <c r="AR15" s="504">
        <v>1908</v>
      </c>
      <c r="AS15" s="504">
        <v>1942</v>
      </c>
      <c r="AT15" s="504">
        <v>2000</v>
      </c>
      <c r="AU15" s="504">
        <v>0</v>
      </c>
      <c r="AV15" s="504">
        <v>0</v>
      </c>
      <c r="AW15" s="504">
        <v>0</v>
      </c>
      <c r="AX15" s="504">
        <v>0</v>
      </c>
      <c r="AY15" s="504">
        <v>0</v>
      </c>
      <c r="AZ15" s="504">
        <v>0</v>
      </c>
      <c r="BA15" s="504">
        <v>0</v>
      </c>
      <c r="BB15" s="504">
        <v>0</v>
      </c>
      <c r="BC15" s="504">
        <v>0</v>
      </c>
      <c r="BD15" s="504">
        <v>0</v>
      </c>
      <c r="BE15" s="504">
        <v>0</v>
      </c>
      <c r="BF15" s="504">
        <v>0</v>
      </c>
      <c r="BG15" s="504">
        <v>0</v>
      </c>
      <c r="BH15" s="504">
        <v>0</v>
      </c>
      <c r="BI15" s="504">
        <v>0</v>
      </c>
      <c r="BJ15" s="504">
        <v>0</v>
      </c>
      <c r="BK15" s="504">
        <v>0</v>
      </c>
      <c r="BL15" s="504">
        <v>0</v>
      </c>
      <c r="BM15" s="504">
        <v>0</v>
      </c>
      <c r="BN15" s="504">
        <v>0</v>
      </c>
      <c r="BO15" s="504">
        <v>0</v>
      </c>
      <c r="BP15" s="504">
        <v>0</v>
      </c>
      <c r="BQ15" s="504">
        <v>0</v>
      </c>
      <c r="BR15" s="504">
        <v>0</v>
      </c>
      <c r="BS15" s="504">
        <v>0</v>
      </c>
      <c r="BT15" s="504">
        <v>0</v>
      </c>
      <c r="BU15" s="504">
        <v>0</v>
      </c>
      <c r="BV15" s="504">
        <v>0</v>
      </c>
      <c r="BW15" s="504">
        <v>0</v>
      </c>
      <c r="BX15" s="504">
        <v>0</v>
      </c>
      <c r="BY15" s="504">
        <v>0</v>
      </c>
      <c r="BZ15" s="504">
        <v>0</v>
      </c>
      <c r="CA15" s="504">
        <v>0</v>
      </c>
      <c r="CB15" s="504">
        <v>0</v>
      </c>
      <c r="CC15" s="504">
        <v>0</v>
      </c>
      <c r="CD15" s="504">
        <v>0</v>
      </c>
      <c r="CE15" s="504">
        <v>0</v>
      </c>
      <c r="CF15" s="504">
        <v>0</v>
      </c>
      <c r="CG15" s="504">
        <v>0</v>
      </c>
      <c r="CH15" s="504">
        <v>0</v>
      </c>
      <c r="CI15" s="504">
        <v>0</v>
      </c>
      <c r="CJ15" s="504">
        <v>0</v>
      </c>
      <c r="CK15" s="504">
        <v>0</v>
      </c>
      <c r="CL15" s="504">
        <v>0</v>
      </c>
      <c r="CM15" s="504">
        <v>0</v>
      </c>
      <c r="CN15" s="504">
        <v>0</v>
      </c>
      <c r="CO15" s="504">
        <v>0</v>
      </c>
      <c r="CP15" s="504">
        <v>0</v>
      </c>
      <c r="CQ15" s="504">
        <v>0</v>
      </c>
      <c r="CR15" s="504">
        <v>0</v>
      </c>
      <c r="CS15" s="504">
        <v>0</v>
      </c>
      <c r="CT15" s="504">
        <v>0</v>
      </c>
      <c r="CU15" s="504">
        <v>0</v>
      </c>
      <c r="CV15" s="504">
        <v>0</v>
      </c>
      <c r="CW15" s="504">
        <v>0</v>
      </c>
      <c r="CX15" s="504">
        <v>0</v>
      </c>
      <c r="CY15" s="504">
        <v>0</v>
      </c>
      <c r="CZ15" s="1654">
        <v>0</v>
      </c>
      <c r="DA15" s="504">
        <v>0</v>
      </c>
      <c r="DB15" s="504">
        <v>114</v>
      </c>
      <c r="DC15" s="504">
        <v>453</v>
      </c>
      <c r="DD15" s="504">
        <v>1053</v>
      </c>
      <c r="DE15" s="504">
        <v>1296</v>
      </c>
      <c r="DF15" s="504">
        <v>1588</v>
      </c>
      <c r="DG15" s="504">
        <v>0</v>
      </c>
      <c r="DH15" s="504">
        <v>0</v>
      </c>
      <c r="DI15" s="504">
        <v>0</v>
      </c>
      <c r="DJ15" s="504">
        <v>0</v>
      </c>
      <c r="DK15" s="504">
        <v>0</v>
      </c>
      <c r="DL15" s="504">
        <v>0</v>
      </c>
      <c r="DM15" s="504">
        <v>0</v>
      </c>
      <c r="DN15" s="504">
        <v>0</v>
      </c>
      <c r="DO15" s="504">
        <v>0</v>
      </c>
      <c r="DP15" s="504">
        <v>0</v>
      </c>
      <c r="DQ15" s="504">
        <v>0</v>
      </c>
      <c r="DR15" s="504">
        <v>0</v>
      </c>
      <c r="DS15" s="504">
        <v>0</v>
      </c>
      <c r="DT15" s="504">
        <v>0</v>
      </c>
      <c r="DU15" s="504">
        <v>0</v>
      </c>
      <c r="DV15" s="504">
        <v>0</v>
      </c>
      <c r="DW15" s="504">
        <v>0</v>
      </c>
      <c r="DX15" s="504">
        <v>0</v>
      </c>
      <c r="DY15" s="504">
        <v>0</v>
      </c>
      <c r="DZ15" s="504">
        <v>0</v>
      </c>
      <c r="EA15" s="504">
        <v>0</v>
      </c>
      <c r="EB15" s="504">
        <v>0</v>
      </c>
      <c r="EC15" s="504">
        <v>0</v>
      </c>
      <c r="ED15" s="504">
        <v>0</v>
      </c>
      <c r="EE15" s="504">
        <v>0</v>
      </c>
      <c r="EF15" s="504">
        <v>0</v>
      </c>
      <c r="EG15" s="504">
        <v>0</v>
      </c>
      <c r="EH15" s="504">
        <v>0</v>
      </c>
      <c r="EI15" s="504">
        <v>0</v>
      </c>
      <c r="EJ15" s="504">
        <v>0</v>
      </c>
      <c r="EK15" s="504">
        <v>0</v>
      </c>
      <c r="EL15" s="504">
        <v>0</v>
      </c>
      <c r="EM15" s="504">
        <v>0</v>
      </c>
      <c r="EN15" s="504">
        <v>0</v>
      </c>
      <c r="EO15" s="504">
        <v>0</v>
      </c>
      <c r="EP15" s="504">
        <v>0</v>
      </c>
      <c r="EQ15" s="504">
        <v>0</v>
      </c>
      <c r="ER15" s="504">
        <v>0</v>
      </c>
      <c r="ES15" s="504">
        <v>0</v>
      </c>
      <c r="ET15" s="504">
        <v>0</v>
      </c>
      <c r="EU15" s="504">
        <v>0</v>
      </c>
      <c r="EV15" s="504">
        <v>0</v>
      </c>
      <c r="EW15" s="504">
        <v>0</v>
      </c>
      <c r="EX15" s="504">
        <v>0</v>
      </c>
      <c r="EY15" s="504">
        <v>0</v>
      </c>
      <c r="EZ15" s="504">
        <v>0</v>
      </c>
      <c r="FA15" s="504">
        <v>0</v>
      </c>
      <c r="FB15" s="504">
        <v>0</v>
      </c>
      <c r="FC15" s="504">
        <v>0</v>
      </c>
      <c r="FD15" s="504">
        <v>0</v>
      </c>
      <c r="FE15" s="504">
        <v>0</v>
      </c>
      <c r="FF15" s="504">
        <v>0</v>
      </c>
      <c r="FG15" s="504">
        <v>0</v>
      </c>
      <c r="FH15" s="504">
        <v>0</v>
      </c>
      <c r="FI15" s="504">
        <v>0</v>
      </c>
      <c r="FJ15" s="504">
        <v>0</v>
      </c>
      <c r="FK15" s="504">
        <v>0</v>
      </c>
      <c r="FL15" s="504">
        <v>0</v>
      </c>
      <c r="FM15" s="504">
        <v>0</v>
      </c>
      <c r="FN15" s="504">
        <v>0</v>
      </c>
      <c r="FO15" s="504">
        <v>0</v>
      </c>
      <c r="FP15" s="504">
        <v>0</v>
      </c>
      <c r="FQ15" s="504">
        <v>0</v>
      </c>
      <c r="FR15" s="504">
        <v>0</v>
      </c>
      <c r="FS15" s="504">
        <v>0</v>
      </c>
      <c r="FT15" s="504">
        <v>0</v>
      </c>
      <c r="FU15" s="504">
        <v>0</v>
      </c>
      <c r="FV15" s="504">
        <v>0</v>
      </c>
      <c r="FW15" s="504">
        <v>0</v>
      </c>
      <c r="FX15" s="504">
        <v>0</v>
      </c>
      <c r="FY15" s="504">
        <v>0</v>
      </c>
      <c r="FZ15" s="504">
        <v>0</v>
      </c>
      <c r="GA15" s="504">
        <v>0</v>
      </c>
      <c r="GB15" s="504">
        <v>0</v>
      </c>
      <c r="GC15" s="504">
        <v>0</v>
      </c>
      <c r="GD15" s="504">
        <v>0</v>
      </c>
      <c r="GE15" s="504">
        <v>0</v>
      </c>
      <c r="GF15" s="504">
        <v>0</v>
      </c>
      <c r="GG15" s="504">
        <v>0</v>
      </c>
      <c r="GH15" s="504">
        <v>0</v>
      </c>
      <c r="GI15" s="504">
        <v>0</v>
      </c>
      <c r="GJ15" s="504">
        <v>0</v>
      </c>
      <c r="GK15" s="504">
        <v>0</v>
      </c>
      <c r="GL15" s="504">
        <v>0</v>
      </c>
      <c r="GM15" s="504">
        <v>0</v>
      </c>
      <c r="GN15" s="504">
        <v>0</v>
      </c>
      <c r="GO15" s="504">
        <v>0</v>
      </c>
      <c r="GP15" s="504">
        <v>0</v>
      </c>
      <c r="GQ15" s="504">
        <v>0</v>
      </c>
      <c r="GR15" s="504">
        <v>0</v>
      </c>
      <c r="GS15" s="504">
        <v>0</v>
      </c>
      <c r="GT15" s="504">
        <v>0</v>
      </c>
      <c r="GU15" s="504">
        <v>0</v>
      </c>
      <c r="GV15" s="504">
        <v>0</v>
      </c>
      <c r="GW15" s="1654">
        <v>0</v>
      </c>
      <c r="GX15" s="504">
        <v>0</v>
      </c>
      <c r="GY15" s="504">
        <v>11125</v>
      </c>
      <c r="GZ15" s="504">
        <v>29014</v>
      </c>
      <c r="HA15" s="504">
        <v>39000</v>
      </c>
      <c r="HB15" s="504">
        <v>38000</v>
      </c>
      <c r="HC15" s="504">
        <v>37000</v>
      </c>
      <c r="HD15" s="504">
        <v>0</v>
      </c>
      <c r="HE15" s="504">
        <v>0</v>
      </c>
      <c r="HF15" s="504">
        <v>0</v>
      </c>
      <c r="HG15" s="504">
        <v>0</v>
      </c>
      <c r="HH15" s="504">
        <v>0</v>
      </c>
      <c r="HI15" s="504">
        <v>0</v>
      </c>
      <c r="HJ15" s="504">
        <v>0</v>
      </c>
      <c r="HK15" s="504">
        <v>0</v>
      </c>
      <c r="HL15" s="504">
        <v>0</v>
      </c>
      <c r="HM15" s="504">
        <v>0</v>
      </c>
      <c r="HN15" s="504">
        <v>0</v>
      </c>
      <c r="HO15" s="504">
        <v>0</v>
      </c>
      <c r="HP15" s="504">
        <v>0</v>
      </c>
      <c r="HQ15" s="504">
        <v>0</v>
      </c>
      <c r="HR15" s="504">
        <v>0</v>
      </c>
      <c r="HS15" s="504">
        <v>0</v>
      </c>
      <c r="HT15" s="504">
        <v>0</v>
      </c>
      <c r="HU15" s="504">
        <v>0</v>
      </c>
      <c r="HV15" s="504">
        <v>0</v>
      </c>
      <c r="HW15" s="504">
        <v>0</v>
      </c>
      <c r="HX15" s="504">
        <v>0</v>
      </c>
      <c r="HY15" s="504">
        <v>0</v>
      </c>
      <c r="HZ15" s="504">
        <v>0</v>
      </c>
      <c r="IA15" s="504">
        <v>0</v>
      </c>
      <c r="IB15" s="504">
        <v>0</v>
      </c>
      <c r="IC15" s="504">
        <v>0</v>
      </c>
      <c r="ID15" s="504">
        <v>0</v>
      </c>
      <c r="IE15" s="504">
        <v>0</v>
      </c>
      <c r="IF15" s="504">
        <v>0</v>
      </c>
      <c r="IG15" s="504">
        <v>0</v>
      </c>
      <c r="IH15" s="504">
        <v>0</v>
      </c>
      <c r="II15" s="504">
        <v>0</v>
      </c>
      <c r="IJ15" s="504">
        <v>0</v>
      </c>
      <c r="IK15" s="504">
        <v>0</v>
      </c>
      <c r="IL15" s="504">
        <v>0</v>
      </c>
      <c r="IM15" s="504">
        <v>0</v>
      </c>
      <c r="IN15" s="504">
        <v>0</v>
      </c>
      <c r="IO15" s="504">
        <v>0</v>
      </c>
      <c r="IP15" s="504">
        <v>0</v>
      </c>
      <c r="IQ15" s="504">
        <v>0</v>
      </c>
      <c r="IR15" s="504">
        <v>0</v>
      </c>
      <c r="IS15" s="504">
        <v>0</v>
      </c>
      <c r="IT15" s="504">
        <v>0</v>
      </c>
      <c r="IU15" s="504">
        <v>0</v>
      </c>
      <c r="IV15" s="504">
        <v>0</v>
      </c>
      <c r="IW15" s="504">
        <v>0</v>
      </c>
      <c r="IX15" s="504">
        <v>0</v>
      </c>
      <c r="IY15" s="504">
        <v>0</v>
      </c>
      <c r="IZ15" s="504">
        <v>0</v>
      </c>
      <c r="JA15" s="504">
        <v>0</v>
      </c>
      <c r="JB15" s="504">
        <v>0</v>
      </c>
      <c r="JC15" s="504">
        <v>0</v>
      </c>
      <c r="JD15" s="504">
        <v>0</v>
      </c>
      <c r="JE15" s="504">
        <v>0</v>
      </c>
      <c r="JF15" s="504">
        <v>0</v>
      </c>
      <c r="JG15" s="504">
        <v>0</v>
      </c>
      <c r="JH15" s="504">
        <v>0</v>
      </c>
      <c r="JI15" s="504">
        <v>0</v>
      </c>
      <c r="JJ15" s="504">
        <v>0</v>
      </c>
      <c r="JK15" s="504">
        <v>0</v>
      </c>
      <c r="JL15" s="504">
        <v>0</v>
      </c>
      <c r="JM15" s="504">
        <v>0</v>
      </c>
      <c r="JN15" s="504">
        <v>0</v>
      </c>
      <c r="JO15" s="504">
        <v>0</v>
      </c>
      <c r="JP15" s="504">
        <v>0</v>
      </c>
      <c r="JQ15" s="504">
        <v>0</v>
      </c>
      <c r="JR15" s="504">
        <v>0</v>
      </c>
      <c r="JS15" s="504">
        <v>0</v>
      </c>
      <c r="JT15" s="504">
        <v>0</v>
      </c>
      <c r="JU15" s="504">
        <v>0</v>
      </c>
      <c r="JV15" s="504">
        <v>0</v>
      </c>
      <c r="JW15" s="504">
        <v>0</v>
      </c>
      <c r="JX15" s="504">
        <v>0</v>
      </c>
      <c r="JY15" s="504">
        <v>0</v>
      </c>
      <c r="JZ15" s="504">
        <v>0</v>
      </c>
      <c r="KA15" s="504">
        <v>0</v>
      </c>
      <c r="KB15" s="504">
        <v>0</v>
      </c>
      <c r="KC15" s="504">
        <v>0</v>
      </c>
      <c r="KD15" s="504">
        <v>0</v>
      </c>
      <c r="KE15" s="504">
        <v>0</v>
      </c>
      <c r="KF15" s="504">
        <v>0</v>
      </c>
      <c r="KG15" s="504">
        <v>0</v>
      </c>
      <c r="KH15" s="504">
        <v>0</v>
      </c>
      <c r="KI15" s="504">
        <v>0</v>
      </c>
      <c r="KJ15" s="504">
        <v>0</v>
      </c>
      <c r="KK15" s="504">
        <v>0</v>
      </c>
      <c r="KL15" s="504">
        <v>0</v>
      </c>
      <c r="KM15" s="504">
        <v>0</v>
      </c>
      <c r="KN15" s="504">
        <v>0</v>
      </c>
      <c r="KO15" s="504">
        <v>0</v>
      </c>
      <c r="KP15" s="504">
        <v>0</v>
      </c>
      <c r="KQ15" s="504">
        <v>0</v>
      </c>
      <c r="KR15" s="504">
        <v>0</v>
      </c>
      <c r="KS15" s="504">
        <v>0</v>
      </c>
      <c r="KT15" s="1654">
        <v>0</v>
      </c>
      <c r="KU15" s="504">
        <v>0</v>
      </c>
      <c r="KV15" s="504">
        <v>0</v>
      </c>
      <c r="KW15" s="504">
        <v>0</v>
      </c>
      <c r="KX15" s="504">
        <v>1033</v>
      </c>
      <c r="KY15" s="504">
        <v>1276</v>
      </c>
      <c r="KZ15" s="504">
        <v>1568</v>
      </c>
      <c r="LA15" s="504">
        <v>0</v>
      </c>
      <c r="LB15" s="504">
        <v>0</v>
      </c>
      <c r="LC15" s="504">
        <v>0</v>
      </c>
      <c r="LD15" s="504">
        <v>0</v>
      </c>
      <c r="LE15" s="504">
        <v>0</v>
      </c>
      <c r="LF15" s="504">
        <v>0</v>
      </c>
      <c r="LG15" s="504">
        <v>0</v>
      </c>
      <c r="LH15" s="504">
        <v>0</v>
      </c>
      <c r="LI15" s="504">
        <v>0</v>
      </c>
      <c r="LJ15" s="504">
        <v>0</v>
      </c>
      <c r="LK15" s="504">
        <v>0</v>
      </c>
      <c r="LL15" s="504">
        <v>0</v>
      </c>
      <c r="LM15" s="504">
        <v>0</v>
      </c>
      <c r="LN15" s="504">
        <v>0</v>
      </c>
      <c r="LO15" s="504">
        <v>0</v>
      </c>
      <c r="LP15" s="504">
        <v>0</v>
      </c>
      <c r="LQ15" s="504">
        <v>0</v>
      </c>
      <c r="LR15" s="504">
        <v>0</v>
      </c>
      <c r="LS15" s="504">
        <v>0</v>
      </c>
      <c r="LT15" s="504">
        <v>0</v>
      </c>
      <c r="LU15" s="504">
        <v>0</v>
      </c>
      <c r="LV15" s="504">
        <v>0</v>
      </c>
      <c r="LW15" s="504">
        <v>0</v>
      </c>
      <c r="LX15" s="504">
        <v>0</v>
      </c>
      <c r="LY15" s="504">
        <v>0</v>
      </c>
      <c r="LZ15" s="504">
        <v>0</v>
      </c>
      <c r="MA15" s="504">
        <v>0</v>
      </c>
      <c r="MB15" s="504">
        <v>0</v>
      </c>
      <c r="MC15" s="504">
        <v>0</v>
      </c>
      <c r="MD15" s="504">
        <v>0</v>
      </c>
      <c r="ME15" s="504">
        <v>0</v>
      </c>
      <c r="MF15" s="504">
        <v>0</v>
      </c>
      <c r="MG15" s="504">
        <v>0</v>
      </c>
      <c r="MH15" s="504">
        <v>0</v>
      </c>
      <c r="MI15" s="504">
        <v>0</v>
      </c>
      <c r="MJ15" s="504">
        <v>0</v>
      </c>
      <c r="MK15" s="504">
        <v>0</v>
      </c>
      <c r="ML15" s="504">
        <v>0</v>
      </c>
      <c r="MM15" s="504">
        <v>0</v>
      </c>
      <c r="MN15" s="504">
        <v>0</v>
      </c>
      <c r="MO15" s="504">
        <v>0</v>
      </c>
      <c r="MP15" s="504">
        <v>0</v>
      </c>
      <c r="MQ15" s="504">
        <v>0</v>
      </c>
      <c r="MR15" s="504">
        <v>0</v>
      </c>
      <c r="MS15" s="504">
        <v>0</v>
      </c>
      <c r="MT15" s="504">
        <v>0</v>
      </c>
      <c r="MU15" s="504">
        <v>0</v>
      </c>
      <c r="MV15" s="504">
        <v>0</v>
      </c>
      <c r="MW15" s="504">
        <v>0</v>
      </c>
      <c r="MX15" s="504">
        <v>0</v>
      </c>
      <c r="MY15" s="504">
        <v>0</v>
      </c>
      <c r="MZ15" s="504">
        <v>0</v>
      </c>
      <c r="NA15" s="504">
        <v>0</v>
      </c>
      <c r="NB15" s="504">
        <v>0</v>
      </c>
      <c r="NC15" s="504">
        <v>0</v>
      </c>
      <c r="ND15" s="504">
        <v>0</v>
      </c>
      <c r="NE15" s="504">
        <v>0</v>
      </c>
      <c r="NF15" s="504">
        <v>0</v>
      </c>
      <c r="NG15" s="504">
        <v>0</v>
      </c>
      <c r="NH15" s="504">
        <v>0</v>
      </c>
      <c r="NI15" s="504">
        <v>0</v>
      </c>
      <c r="NJ15" s="504">
        <v>0</v>
      </c>
      <c r="NK15" s="504">
        <v>0</v>
      </c>
      <c r="NL15" s="504">
        <v>0</v>
      </c>
      <c r="NM15" s="504">
        <v>0</v>
      </c>
      <c r="NN15" s="504">
        <v>0</v>
      </c>
      <c r="NO15" s="504">
        <v>0</v>
      </c>
      <c r="NP15" s="504">
        <v>0</v>
      </c>
      <c r="NQ15" s="504">
        <v>0</v>
      </c>
      <c r="NR15" s="504">
        <v>0</v>
      </c>
      <c r="NS15" s="504">
        <v>0</v>
      </c>
      <c r="NT15" s="504">
        <v>0</v>
      </c>
      <c r="NU15" s="504">
        <v>0</v>
      </c>
      <c r="NV15" s="504">
        <v>0</v>
      </c>
      <c r="NW15" s="504">
        <v>0</v>
      </c>
      <c r="NX15" s="504">
        <v>0</v>
      </c>
      <c r="NY15" s="504">
        <v>0</v>
      </c>
      <c r="NZ15" s="504">
        <v>0</v>
      </c>
      <c r="OA15" s="504">
        <v>0</v>
      </c>
      <c r="OB15" s="504">
        <v>0</v>
      </c>
      <c r="OC15" s="504">
        <v>0</v>
      </c>
      <c r="OD15" s="504">
        <v>0</v>
      </c>
      <c r="OE15" s="504">
        <v>0</v>
      </c>
      <c r="OF15" s="504">
        <v>0</v>
      </c>
      <c r="OG15" s="504">
        <v>0</v>
      </c>
      <c r="OH15" s="504">
        <v>0</v>
      </c>
      <c r="OI15" s="504">
        <v>0</v>
      </c>
      <c r="OJ15" s="504">
        <v>0</v>
      </c>
      <c r="OK15" s="504">
        <v>0</v>
      </c>
      <c r="OL15" s="504">
        <v>0</v>
      </c>
      <c r="OM15" s="504">
        <v>0</v>
      </c>
      <c r="ON15" s="504">
        <v>0</v>
      </c>
      <c r="OO15" s="504">
        <v>0</v>
      </c>
      <c r="OP15" s="504">
        <v>0</v>
      </c>
      <c r="OQ15" s="504">
        <v>0</v>
      </c>
      <c r="OR15"/>
      <c r="OS15"/>
      <c r="OT15"/>
      <c r="OU15"/>
      <c r="OV15"/>
      <c r="OW15"/>
      <c r="OX15"/>
      <c r="OY15"/>
      <c r="OZ15"/>
      <c r="PA15"/>
      <c r="PB15"/>
      <c r="PC15"/>
      <c r="PD15"/>
      <c r="PE15"/>
      <c r="PF15"/>
      <c r="PG15"/>
      <c r="PH15"/>
      <c r="PI15"/>
      <c r="PJ15"/>
      <c r="PK15"/>
      <c r="PL15"/>
      <c r="PM15"/>
      <c r="PN15"/>
      <c r="PO15"/>
      <c r="PP15"/>
      <c r="PQ15"/>
      <c r="PR15"/>
      <c r="PS15"/>
      <c r="PT15" s="1656"/>
    </row>
    <row r="16" spans="1:436" ht="21.5">
      <c r="A16" s="1466" t="s">
        <v>1678</v>
      </c>
      <c r="B16" s="1576" t="s">
        <v>2358</v>
      </c>
      <c r="C16" s="1576" t="s">
        <v>13</v>
      </c>
      <c r="D16" s="1576">
        <v>39</v>
      </c>
      <c r="E16" s="504">
        <v>44</v>
      </c>
      <c r="F16" s="504">
        <v>177</v>
      </c>
      <c r="G16" s="504">
        <v>454</v>
      </c>
      <c r="H16" s="504">
        <v>710</v>
      </c>
      <c r="I16" s="504">
        <v>1017</v>
      </c>
      <c r="J16" s="504">
        <v>1242</v>
      </c>
      <c r="K16" s="504">
        <v>1257</v>
      </c>
      <c r="L16" s="504">
        <v>1272</v>
      </c>
      <c r="M16" s="504">
        <v>1287</v>
      </c>
      <c r="N16" s="504">
        <v>1303</v>
      </c>
      <c r="O16" s="504">
        <v>1318</v>
      </c>
      <c r="P16" s="504">
        <v>1335</v>
      </c>
      <c r="Q16" s="504">
        <v>1351</v>
      </c>
      <c r="R16" s="504">
        <v>1368</v>
      </c>
      <c r="S16" s="504">
        <v>1385</v>
      </c>
      <c r="T16" s="504">
        <v>1402</v>
      </c>
      <c r="U16" s="504">
        <v>1420</v>
      </c>
      <c r="V16" s="504">
        <v>1438</v>
      </c>
      <c r="W16" s="504">
        <v>1457</v>
      </c>
      <c r="X16" s="504">
        <v>1475</v>
      </c>
      <c r="Y16" s="504">
        <v>1494</v>
      </c>
      <c r="Z16" s="504">
        <v>1514</v>
      </c>
      <c r="AA16" s="504">
        <v>1533</v>
      </c>
      <c r="AB16" s="504">
        <v>1553</v>
      </c>
      <c r="AC16" s="504">
        <v>1573</v>
      </c>
      <c r="AD16" s="504">
        <v>1594</v>
      </c>
      <c r="AE16" s="504">
        <v>1615</v>
      </c>
      <c r="AF16" s="504">
        <v>1636</v>
      </c>
      <c r="AG16" s="504">
        <v>1657</v>
      </c>
      <c r="AH16" s="504">
        <v>1679</v>
      </c>
      <c r="AI16" s="504">
        <v>1701</v>
      </c>
      <c r="AJ16" s="504">
        <v>1724</v>
      </c>
      <c r="AK16" s="504">
        <v>1747</v>
      </c>
      <c r="AL16" s="504">
        <v>1770</v>
      </c>
      <c r="AM16" s="504">
        <v>1795</v>
      </c>
      <c r="AN16" s="504">
        <v>1821</v>
      </c>
      <c r="AO16" s="504">
        <v>1848</v>
      </c>
      <c r="AP16" s="504">
        <v>1876</v>
      </c>
      <c r="AQ16" s="504">
        <v>1908</v>
      </c>
      <c r="AR16" s="504">
        <v>1942</v>
      </c>
      <c r="AS16" s="504">
        <v>2000</v>
      </c>
      <c r="AT16" s="504">
        <v>0</v>
      </c>
      <c r="AU16" s="504">
        <v>0</v>
      </c>
      <c r="AV16" s="504">
        <v>0</v>
      </c>
      <c r="AW16" s="504">
        <v>0</v>
      </c>
      <c r="AX16" s="504">
        <v>0</v>
      </c>
      <c r="AY16" s="504">
        <v>0</v>
      </c>
      <c r="AZ16" s="504">
        <v>0</v>
      </c>
      <c r="BA16" s="504">
        <v>0</v>
      </c>
      <c r="BB16" s="504">
        <v>0</v>
      </c>
      <c r="BC16" s="504">
        <v>0</v>
      </c>
      <c r="BD16" s="504">
        <v>0</v>
      </c>
      <c r="BE16" s="504">
        <v>0</v>
      </c>
      <c r="BF16" s="504">
        <v>0</v>
      </c>
      <c r="BG16" s="504">
        <v>0</v>
      </c>
      <c r="BH16" s="504">
        <v>0</v>
      </c>
      <c r="BI16" s="504">
        <v>0</v>
      </c>
      <c r="BJ16" s="504">
        <v>0</v>
      </c>
      <c r="BK16" s="504">
        <v>0</v>
      </c>
      <c r="BL16" s="504">
        <v>0</v>
      </c>
      <c r="BM16" s="504">
        <v>0</v>
      </c>
      <c r="BN16" s="504">
        <v>0</v>
      </c>
      <c r="BO16" s="504">
        <v>0</v>
      </c>
      <c r="BP16" s="504">
        <v>0</v>
      </c>
      <c r="BQ16" s="504">
        <v>0</v>
      </c>
      <c r="BR16" s="504">
        <v>0</v>
      </c>
      <c r="BS16" s="504">
        <v>0</v>
      </c>
      <c r="BT16" s="504">
        <v>0</v>
      </c>
      <c r="BU16" s="504">
        <v>0</v>
      </c>
      <c r="BV16" s="504">
        <v>0</v>
      </c>
      <c r="BW16" s="504">
        <v>0</v>
      </c>
      <c r="BX16" s="504">
        <v>0</v>
      </c>
      <c r="BY16" s="504">
        <v>0</v>
      </c>
      <c r="BZ16" s="504">
        <v>0</v>
      </c>
      <c r="CA16" s="504">
        <v>0</v>
      </c>
      <c r="CB16" s="504">
        <v>0</v>
      </c>
      <c r="CC16" s="504">
        <v>0</v>
      </c>
      <c r="CD16" s="504">
        <v>0</v>
      </c>
      <c r="CE16" s="504">
        <v>0</v>
      </c>
      <c r="CF16" s="504">
        <v>0</v>
      </c>
      <c r="CG16" s="504">
        <v>0</v>
      </c>
      <c r="CH16" s="504">
        <v>0</v>
      </c>
      <c r="CI16" s="504">
        <v>0</v>
      </c>
      <c r="CJ16" s="504">
        <v>0</v>
      </c>
      <c r="CK16" s="504">
        <v>0</v>
      </c>
      <c r="CL16" s="504">
        <v>0</v>
      </c>
      <c r="CM16" s="504">
        <v>0</v>
      </c>
      <c r="CN16" s="504">
        <v>0</v>
      </c>
      <c r="CO16" s="504">
        <v>0</v>
      </c>
      <c r="CP16" s="504">
        <v>0</v>
      </c>
      <c r="CQ16" s="504">
        <v>0</v>
      </c>
      <c r="CR16" s="504">
        <v>0</v>
      </c>
      <c r="CS16" s="504">
        <v>0</v>
      </c>
      <c r="CT16" s="504">
        <v>0</v>
      </c>
      <c r="CU16" s="504">
        <v>0</v>
      </c>
      <c r="CV16" s="504">
        <v>0</v>
      </c>
      <c r="CW16" s="504">
        <v>0</v>
      </c>
      <c r="CX16" s="504">
        <v>0</v>
      </c>
      <c r="CY16" s="504">
        <v>0</v>
      </c>
      <c r="CZ16" s="1654">
        <v>0</v>
      </c>
      <c r="DA16" s="504">
        <v>0</v>
      </c>
      <c r="DB16" s="504">
        <v>114</v>
      </c>
      <c r="DC16" s="504">
        <v>447</v>
      </c>
      <c r="DD16" s="504">
        <v>1048</v>
      </c>
      <c r="DE16" s="504">
        <v>1293</v>
      </c>
      <c r="DF16" s="504">
        <v>1589</v>
      </c>
      <c r="DG16" s="504">
        <v>0</v>
      </c>
      <c r="DH16" s="504">
        <v>0</v>
      </c>
      <c r="DI16" s="504">
        <v>0</v>
      </c>
      <c r="DJ16" s="504">
        <v>0</v>
      </c>
      <c r="DK16" s="504">
        <v>0</v>
      </c>
      <c r="DL16" s="504">
        <v>0</v>
      </c>
      <c r="DM16" s="504">
        <v>0</v>
      </c>
      <c r="DN16" s="504">
        <v>0</v>
      </c>
      <c r="DO16" s="504">
        <v>0</v>
      </c>
      <c r="DP16" s="504">
        <v>0</v>
      </c>
      <c r="DQ16" s="504">
        <v>0</v>
      </c>
      <c r="DR16" s="504">
        <v>0</v>
      </c>
      <c r="DS16" s="504">
        <v>0</v>
      </c>
      <c r="DT16" s="504">
        <v>0</v>
      </c>
      <c r="DU16" s="504">
        <v>0</v>
      </c>
      <c r="DV16" s="504">
        <v>0</v>
      </c>
      <c r="DW16" s="504">
        <v>0</v>
      </c>
      <c r="DX16" s="504">
        <v>0</v>
      </c>
      <c r="DY16" s="504">
        <v>0</v>
      </c>
      <c r="DZ16" s="504">
        <v>0</v>
      </c>
      <c r="EA16" s="504">
        <v>0</v>
      </c>
      <c r="EB16" s="504">
        <v>0</v>
      </c>
      <c r="EC16" s="504">
        <v>0</v>
      </c>
      <c r="ED16" s="504">
        <v>0</v>
      </c>
      <c r="EE16" s="504">
        <v>0</v>
      </c>
      <c r="EF16" s="504">
        <v>0</v>
      </c>
      <c r="EG16" s="504">
        <v>0</v>
      </c>
      <c r="EH16" s="504">
        <v>0</v>
      </c>
      <c r="EI16" s="504">
        <v>0</v>
      </c>
      <c r="EJ16" s="504">
        <v>0</v>
      </c>
      <c r="EK16" s="504">
        <v>0</v>
      </c>
      <c r="EL16" s="504">
        <v>0</v>
      </c>
      <c r="EM16" s="504">
        <v>0</v>
      </c>
      <c r="EN16" s="504">
        <v>0</v>
      </c>
      <c r="EO16" s="504">
        <v>0</v>
      </c>
      <c r="EP16" s="504">
        <v>0</v>
      </c>
      <c r="EQ16" s="504">
        <v>0</v>
      </c>
      <c r="ER16" s="504">
        <v>0</v>
      </c>
      <c r="ES16" s="504">
        <v>0</v>
      </c>
      <c r="ET16" s="504">
        <v>0</v>
      </c>
      <c r="EU16" s="504">
        <v>0</v>
      </c>
      <c r="EV16" s="504">
        <v>0</v>
      </c>
      <c r="EW16" s="504">
        <v>0</v>
      </c>
      <c r="EX16" s="504">
        <v>0</v>
      </c>
      <c r="EY16" s="504">
        <v>0</v>
      </c>
      <c r="EZ16" s="504">
        <v>0</v>
      </c>
      <c r="FA16" s="504">
        <v>0</v>
      </c>
      <c r="FB16" s="504">
        <v>0</v>
      </c>
      <c r="FC16" s="504">
        <v>0</v>
      </c>
      <c r="FD16" s="504">
        <v>0</v>
      </c>
      <c r="FE16" s="504">
        <v>0</v>
      </c>
      <c r="FF16" s="504">
        <v>0</v>
      </c>
      <c r="FG16" s="504">
        <v>0</v>
      </c>
      <c r="FH16" s="504">
        <v>0</v>
      </c>
      <c r="FI16" s="504">
        <v>0</v>
      </c>
      <c r="FJ16" s="504">
        <v>0</v>
      </c>
      <c r="FK16" s="504">
        <v>0</v>
      </c>
      <c r="FL16" s="504">
        <v>0</v>
      </c>
      <c r="FM16" s="504">
        <v>0</v>
      </c>
      <c r="FN16" s="504">
        <v>0</v>
      </c>
      <c r="FO16" s="504">
        <v>0</v>
      </c>
      <c r="FP16" s="504">
        <v>0</v>
      </c>
      <c r="FQ16" s="504">
        <v>0</v>
      </c>
      <c r="FR16" s="504">
        <v>0</v>
      </c>
      <c r="FS16" s="504">
        <v>0</v>
      </c>
      <c r="FT16" s="504">
        <v>0</v>
      </c>
      <c r="FU16" s="504">
        <v>0</v>
      </c>
      <c r="FV16" s="504">
        <v>0</v>
      </c>
      <c r="FW16" s="504">
        <v>0</v>
      </c>
      <c r="FX16" s="504">
        <v>0</v>
      </c>
      <c r="FY16" s="504">
        <v>0</v>
      </c>
      <c r="FZ16" s="504">
        <v>0</v>
      </c>
      <c r="GA16" s="504">
        <v>0</v>
      </c>
      <c r="GB16" s="504">
        <v>0</v>
      </c>
      <c r="GC16" s="504">
        <v>0</v>
      </c>
      <c r="GD16" s="504">
        <v>0</v>
      </c>
      <c r="GE16" s="504">
        <v>0</v>
      </c>
      <c r="GF16" s="504">
        <v>0</v>
      </c>
      <c r="GG16" s="504">
        <v>0</v>
      </c>
      <c r="GH16" s="504">
        <v>0</v>
      </c>
      <c r="GI16" s="504">
        <v>0</v>
      </c>
      <c r="GJ16" s="504">
        <v>0</v>
      </c>
      <c r="GK16" s="504">
        <v>0</v>
      </c>
      <c r="GL16" s="504">
        <v>0</v>
      </c>
      <c r="GM16" s="504">
        <v>0</v>
      </c>
      <c r="GN16" s="504">
        <v>0</v>
      </c>
      <c r="GO16" s="504">
        <v>0</v>
      </c>
      <c r="GP16" s="504">
        <v>0</v>
      </c>
      <c r="GQ16" s="504">
        <v>0</v>
      </c>
      <c r="GR16" s="504">
        <v>0</v>
      </c>
      <c r="GS16" s="504">
        <v>0</v>
      </c>
      <c r="GT16" s="504">
        <v>0</v>
      </c>
      <c r="GU16" s="504">
        <v>0</v>
      </c>
      <c r="GV16" s="504">
        <v>0</v>
      </c>
      <c r="GW16" s="1654">
        <v>0</v>
      </c>
      <c r="GX16" s="504">
        <v>0</v>
      </c>
      <c r="GY16" s="504">
        <v>10349</v>
      </c>
      <c r="GZ16" s="504">
        <v>28003</v>
      </c>
      <c r="HA16" s="504">
        <v>38000</v>
      </c>
      <c r="HB16" s="504">
        <v>37000</v>
      </c>
      <c r="HC16" s="504">
        <v>36000</v>
      </c>
      <c r="HD16" s="504">
        <v>0</v>
      </c>
      <c r="HE16" s="504">
        <v>0</v>
      </c>
      <c r="HF16" s="504">
        <v>0</v>
      </c>
      <c r="HG16" s="504">
        <v>0</v>
      </c>
      <c r="HH16" s="504">
        <v>0</v>
      </c>
      <c r="HI16" s="504">
        <v>0</v>
      </c>
      <c r="HJ16" s="504">
        <v>0</v>
      </c>
      <c r="HK16" s="504">
        <v>0</v>
      </c>
      <c r="HL16" s="504">
        <v>0</v>
      </c>
      <c r="HM16" s="504">
        <v>0</v>
      </c>
      <c r="HN16" s="504">
        <v>0</v>
      </c>
      <c r="HO16" s="504">
        <v>0</v>
      </c>
      <c r="HP16" s="504">
        <v>0</v>
      </c>
      <c r="HQ16" s="504">
        <v>0</v>
      </c>
      <c r="HR16" s="504">
        <v>0</v>
      </c>
      <c r="HS16" s="504">
        <v>0</v>
      </c>
      <c r="HT16" s="504">
        <v>0</v>
      </c>
      <c r="HU16" s="504">
        <v>0</v>
      </c>
      <c r="HV16" s="504">
        <v>0</v>
      </c>
      <c r="HW16" s="504">
        <v>0</v>
      </c>
      <c r="HX16" s="504">
        <v>0</v>
      </c>
      <c r="HY16" s="504">
        <v>0</v>
      </c>
      <c r="HZ16" s="504">
        <v>0</v>
      </c>
      <c r="IA16" s="504">
        <v>0</v>
      </c>
      <c r="IB16" s="504">
        <v>0</v>
      </c>
      <c r="IC16" s="504">
        <v>0</v>
      </c>
      <c r="ID16" s="504">
        <v>0</v>
      </c>
      <c r="IE16" s="504">
        <v>0</v>
      </c>
      <c r="IF16" s="504">
        <v>0</v>
      </c>
      <c r="IG16" s="504">
        <v>0</v>
      </c>
      <c r="IH16" s="504">
        <v>0</v>
      </c>
      <c r="II16" s="504">
        <v>0</v>
      </c>
      <c r="IJ16" s="504">
        <v>0</v>
      </c>
      <c r="IK16" s="504">
        <v>0</v>
      </c>
      <c r="IL16" s="504">
        <v>0</v>
      </c>
      <c r="IM16" s="504">
        <v>0</v>
      </c>
      <c r="IN16" s="504">
        <v>0</v>
      </c>
      <c r="IO16" s="504">
        <v>0</v>
      </c>
      <c r="IP16" s="504">
        <v>0</v>
      </c>
      <c r="IQ16" s="504">
        <v>0</v>
      </c>
      <c r="IR16" s="504">
        <v>0</v>
      </c>
      <c r="IS16" s="504">
        <v>0</v>
      </c>
      <c r="IT16" s="504">
        <v>0</v>
      </c>
      <c r="IU16" s="504">
        <v>0</v>
      </c>
      <c r="IV16" s="504">
        <v>0</v>
      </c>
      <c r="IW16" s="504">
        <v>0</v>
      </c>
      <c r="IX16" s="504">
        <v>0</v>
      </c>
      <c r="IY16" s="504">
        <v>0</v>
      </c>
      <c r="IZ16" s="504">
        <v>0</v>
      </c>
      <c r="JA16" s="504">
        <v>0</v>
      </c>
      <c r="JB16" s="504">
        <v>0</v>
      </c>
      <c r="JC16" s="504">
        <v>0</v>
      </c>
      <c r="JD16" s="504">
        <v>0</v>
      </c>
      <c r="JE16" s="504">
        <v>0</v>
      </c>
      <c r="JF16" s="504">
        <v>0</v>
      </c>
      <c r="JG16" s="504">
        <v>0</v>
      </c>
      <c r="JH16" s="504">
        <v>0</v>
      </c>
      <c r="JI16" s="504">
        <v>0</v>
      </c>
      <c r="JJ16" s="504">
        <v>0</v>
      </c>
      <c r="JK16" s="504">
        <v>0</v>
      </c>
      <c r="JL16" s="504">
        <v>0</v>
      </c>
      <c r="JM16" s="504">
        <v>0</v>
      </c>
      <c r="JN16" s="504">
        <v>0</v>
      </c>
      <c r="JO16" s="504">
        <v>0</v>
      </c>
      <c r="JP16" s="504">
        <v>0</v>
      </c>
      <c r="JQ16" s="504">
        <v>0</v>
      </c>
      <c r="JR16" s="504">
        <v>0</v>
      </c>
      <c r="JS16" s="504">
        <v>0</v>
      </c>
      <c r="JT16" s="504">
        <v>0</v>
      </c>
      <c r="JU16" s="504">
        <v>0</v>
      </c>
      <c r="JV16" s="504">
        <v>0</v>
      </c>
      <c r="JW16" s="504">
        <v>0</v>
      </c>
      <c r="JX16" s="504">
        <v>0</v>
      </c>
      <c r="JY16" s="504">
        <v>0</v>
      </c>
      <c r="JZ16" s="504">
        <v>0</v>
      </c>
      <c r="KA16" s="504">
        <v>0</v>
      </c>
      <c r="KB16" s="504">
        <v>0</v>
      </c>
      <c r="KC16" s="504">
        <v>0</v>
      </c>
      <c r="KD16" s="504">
        <v>0</v>
      </c>
      <c r="KE16" s="504">
        <v>0</v>
      </c>
      <c r="KF16" s="504">
        <v>0</v>
      </c>
      <c r="KG16" s="504">
        <v>0</v>
      </c>
      <c r="KH16" s="504">
        <v>0</v>
      </c>
      <c r="KI16" s="504">
        <v>0</v>
      </c>
      <c r="KJ16" s="504">
        <v>0</v>
      </c>
      <c r="KK16" s="504">
        <v>0</v>
      </c>
      <c r="KL16" s="504">
        <v>0</v>
      </c>
      <c r="KM16" s="504">
        <v>0</v>
      </c>
      <c r="KN16" s="504">
        <v>0</v>
      </c>
      <c r="KO16" s="504">
        <v>0</v>
      </c>
      <c r="KP16" s="504">
        <v>0</v>
      </c>
      <c r="KQ16" s="504">
        <v>0</v>
      </c>
      <c r="KR16" s="504">
        <v>0</v>
      </c>
      <c r="KS16" s="504">
        <v>0</v>
      </c>
      <c r="KT16" s="1654">
        <v>0</v>
      </c>
      <c r="KU16" s="504">
        <v>0</v>
      </c>
      <c r="KV16" s="504">
        <v>0</v>
      </c>
      <c r="KW16" s="504">
        <v>0</v>
      </c>
      <c r="KX16" s="504">
        <v>1028</v>
      </c>
      <c r="KY16" s="504">
        <v>1273</v>
      </c>
      <c r="KZ16" s="504">
        <v>1569</v>
      </c>
      <c r="LA16" s="504">
        <v>0</v>
      </c>
      <c r="LB16" s="504">
        <v>0</v>
      </c>
      <c r="LC16" s="504">
        <v>0</v>
      </c>
      <c r="LD16" s="504">
        <v>0</v>
      </c>
      <c r="LE16" s="504">
        <v>0</v>
      </c>
      <c r="LF16" s="504">
        <v>0</v>
      </c>
      <c r="LG16" s="504">
        <v>0</v>
      </c>
      <c r="LH16" s="504">
        <v>0</v>
      </c>
      <c r="LI16" s="504">
        <v>0</v>
      </c>
      <c r="LJ16" s="504">
        <v>0</v>
      </c>
      <c r="LK16" s="504">
        <v>0</v>
      </c>
      <c r="LL16" s="504">
        <v>0</v>
      </c>
      <c r="LM16" s="504">
        <v>0</v>
      </c>
      <c r="LN16" s="504">
        <v>0</v>
      </c>
      <c r="LO16" s="504">
        <v>0</v>
      </c>
      <c r="LP16" s="504">
        <v>0</v>
      </c>
      <c r="LQ16" s="504">
        <v>0</v>
      </c>
      <c r="LR16" s="504">
        <v>0</v>
      </c>
      <c r="LS16" s="504">
        <v>0</v>
      </c>
      <c r="LT16" s="504">
        <v>0</v>
      </c>
      <c r="LU16" s="504">
        <v>0</v>
      </c>
      <c r="LV16" s="504">
        <v>0</v>
      </c>
      <c r="LW16" s="504">
        <v>0</v>
      </c>
      <c r="LX16" s="504">
        <v>0</v>
      </c>
      <c r="LY16" s="504">
        <v>0</v>
      </c>
      <c r="LZ16" s="504">
        <v>0</v>
      </c>
      <c r="MA16" s="504">
        <v>0</v>
      </c>
      <c r="MB16" s="504">
        <v>0</v>
      </c>
      <c r="MC16" s="504">
        <v>0</v>
      </c>
      <c r="MD16" s="504">
        <v>0</v>
      </c>
      <c r="ME16" s="504">
        <v>0</v>
      </c>
      <c r="MF16" s="504">
        <v>0</v>
      </c>
      <c r="MG16" s="504">
        <v>0</v>
      </c>
      <c r="MH16" s="504">
        <v>0</v>
      </c>
      <c r="MI16" s="504">
        <v>0</v>
      </c>
      <c r="MJ16" s="504">
        <v>0</v>
      </c>
      <c r="MK16" s="504">
        <v>0</v>
      </c>
      <c r="ML16" s="504">
        <v>0</v>
      </c>
      <c r="MM16" s="504">
        <v>0</v>
      </c>
      <c r="MN16" s="504">
        <v>0</v>
      </c>
      <c r="MO16" s="504">
        <v>0</v>
      </c>
      <c r="MP16" s="504">
        <v>0</v>
      </c>
      <c r="MQ16" s="504">
        <v>0</v>
      </c>
      <c r="MR16" s="504">
        <v>0</v>
      </c>
      <c r="MS16" s="504">
        <v>0</v>
      </c>
      <c r="MT16" s="504">
        <v>0</v>
      </c>
      <c r="MU16" s="504">
        <v>0</v>
      </c>
      <c r="MV16" s="504">
        <v>0</v>
      </c>
      <c r="MW16" s="504">
        <v>0</v>
      </c>
      <c r="MX16" s="504">
        <v>0</v>
      </c>
      <c r="MY16" s="504">
        <v>0</v>
      </c>
      <c r="MZ16" s="504">
        <v>0</v>
      </c>
      <c r="NA16" s="504">
        <v>0</v>
      </c>
      <c r="NB16" s="504">
        <v>0</v>
      </c>
      <c r="NC16" s="504">
        <v>0</v>
      </c>
      <c r="ND16" s="504">
        <v>0</v>
      </c>
      <c r="NE16" s="504">
        <v>0</v>
      </c>
      <c r="NF16" s="504">
        <v>0</v>
      </c>
      <c r="NG16" s="504">
        <v>0</v>
      </c>
      <c r="NH16" s="504">
        <v>0</v>
      </c>
      <c r="NI16" s="504">
        <v>0</v>
      </c>
      <c r="NJ16" s="504">
        <v>0</v>
      </c>
      <c r="NK16" s="504">
        <v>0</v>
      </c>
      <c r="NL16" s="504">
        <v>0</v>
      </c>
      <c r="NM16" s="504">
        <v>0</v>
      </c>
      <c r="NN16" s="504">
        <v>0</v>
      </c>
      <c r="NO16" s="504">
        <v>0</v>
      </c>
      <c r="NP16" s="504">
        <v>0</v>
      </c>
      <c r="NQ16" s="504">
        <v>0</v>
      </c>
      <c r="NR16" s="504">
        <v>0</v>
      </c>
      <c r="NS16" s="504">
        <v>0</v>
      </c>
      <c r="NT16" s="504">
        <v>0</v>
      </c>
      <c r="NU16" s="504">
        <v>0</v>
      </c>
      <c r="NV16" s="504">
        <v>0</v>
      </c>
      <c r="NW16" s="504">
        <v>0</v>
      </c>
      <c r="NX16" s="504">
        <v>0</v>
      </c>
      <c r="NY16" s="504">
        <v>0</v>
      </c>
      <c r="NZ16" s="504">
        <v>0</v>
      </c>
      <c r="OA16" s="504">
        <v>0</v>
      </c>
      <c r="OB16" s="504">
        <v>0</v>
      </c>
      <c r="OC16" s="504">
        <v>0</v>
      </c>
      <c r="OD16" s="504">
        <v>0</v>
      </c>
      <c r="OE16" s="504">
        <v>0</v>
      </c>
      <c r="OF16" s="504">
        <v>0</v>
      </c>
      <c r="OG16" s="504">
        <v>0</v>
      </c>
      <c r="OH16" s="504">
        <v>0</v>
      </c>
      <c r="OI16" s="504">
        <v>0</v>
      </c>
      <c r="OJ16" s="504">
        <v>0</v>
      </c>
      <c r="OK16" s="504">
        <v>0</v>
      </c>
      <c r="OL16" s="504">
        <v>0</v>
      </c>
      <c r="OM16" s="504">
        <v>0</v>
      </c>
      <c r="ON16" s="504">
        <v>0</v>
      </c>
      <c r="OO16" s="504">
        <v>0</v>
      </c>
      <c r="OP16" s="504">
        <v>0</v>
      </c>
      <c r="OQ16" s="504">
        <v>0</v>
      </c>
      <c r="OR16"/>
      <c r="OS16"/>
      <c r="OT16"/>
      <c r="OU16"/>
      <c r="OV16"/>
      <c r="OW16"/>
      <c r="OX16"/>
      <c r="OY16"/>
      <c r="OZ16"/>
      <c r="PA16"/>
      <c r="PB16"/>
      <c r="PC16"/>
      <c r="PD16"/>
      <c r="PE16"/>
      <c r="PF16"/>
      <c r="PG16"/>
      <c r="PH16"/>
      <c r="PI16"/>
      <c r="PJ16"/>
      <c r="PK16"/>
      <c r="PL16"/>
      <c r="PM16"/>
      <c r="PN16"/>
      <c r="PO16"/>
      <c r="PP16"/>
      <c r="PQ16"/>
      <c r="PR16"/>
      <c r="PS16"/>
      <c r="PT16" s="1656"/>
    </row>
    <row r="17" spans="1:436" ht="21.5">
      <c r="A17" s="1466" t="s">
        <v>1679</v>
      </c>
      <c r="B17" s="1576" t="s">
        <v>2358</v>
      </c>
      <c r="C17" s="1576" t="s">
        <v>13</v>
      </c>
      <c r="D17" s="1576">
        <v>40</v>
      </c>
      <c r="E17" s="504">
        <v>45</v>
      </c>
      <c r="F17" s="504">
        <v>179</v>
      </c>
      <c r="G17" s="504">
        <v>460</v>
      </c>
      <c r="H17" s="504">
        <v>718</v>
      </c>
      <c r="I17" s="504">
        <v>1029</v>
      </c>
      <c r="J17" s="504">
        <v>1257</v>
      </c>
      <c r="K17" s="504">
        <v>1272</v>
      </c>
      <c r="L17" s="504">
        <v>1287</v>
      </c>
      <c r="M17" s="504">
        <v>1303</v>
      </c>
      <c r="N17" s="504">
        <v>1318</v>
      </c>
      <c r="O17" s="504">
        <v>1335</v>
      </c>
      <c r="P17" s="504">
        <v>1351</v>
      </c>
      <c r="Q17" s="504">
        <v>1368</v>
      </c>
      <c r="R17" s="504">
        <v>1385</v>
      </c>
      <c r="S17" s="504">
        <v>1402</v>
      </c>
      <c r="T17" s="504">
        <v>1420</v>
      </c>
      <c r="U17" s="504">
        <v>1438</v>
      </c>
      <c r="V17" s="504">
        <v>1457</v>
      </c>
      <c r="W17" s="504">
        <v>1475</v>
      </c>
      <c r="X17" s="504">
        <v>1494</v>
      </c>
      <c r="Y17" s="504">
        <v>1514</v>
      </c>
      <c r="Z17" s="504">
        <v>1533</v>
      </c>
      <c r="AA17" s="504">
        <v>1553</v>
      </c>
      <c r="AB17" s="504">
        <v>1573</v>
      </c>
      <c r="AC17" s="504">
        <v>1594</v>
      </c>
      <c r="AD17" s="504">
        <v>1615</v>
      </c>
      <c r="AE17" s="504">
        <v>1636</v>
      </c>
      <c r="AF17" s="504">
        <v>1657</v>
      </c>
      <c r="AG17" s="504">
        <v>1679</v>
      </c>
      <c r="AH17" s="504">
        <v>1701</v>
      </c>
      <c r="AI17" s="504">
        <v>1724</v>
      </c>
      <c r="AJ17" s="504">
        <v>1747</v>
      </c>
      <c r="AK17" s="504">
        <v>1770</v>
      </c>
      <c r="AL17" s="504">
        <v>1795</v>
      </c>
      <c r="AM17" s="504">
        <v>1821</v>
      </c>
      <c r="AN17" s="504">
        <v>1848</v>
      </c>
      <c r="AO17" s="504">
        <v>1876</v>
      </c>
      <c r="AP17" s="504">
        <v>1908</v>
      </c>
      <c r="AQ17" s="504">
        <v>1942</v>
      </c>
      <c r="AR17" s="504">
        <v>2000</v>
      </c>
      <c r="AS17" s="504">
        <v>0</v>
      </c>
      <c r="AT17" s="504">
        <v>0</v>
      </c>
      <c r="AU17" s="504">
        <v>0</v>
      </c>
      <c r="AV17" s="504">
        <v>0</v>
      </c>
      <c r="AW17" s="504">
        <v>0</v>
      </c>
      <c r="AX17" s="504">
        <v>0</v>
      </c>
      <c r="AY17" s="504">
        <v>0</v>
      </c>
      <c r="AZ17" s="504">
        <v>0</v>
      </c>
      <c r="BA17" s="504">
        <v>0</v>
      </c>
      <c r="BB17" s="504">
        <v>0</v>
      </c>
      <c r="BC17" s="504">
        <v>0</v>
      </c>
      <c r="BD17" s="504">
        <v>0</v>
      </c>
      <c r="BE17" s="504">
        <v>0</v>
      </c>
      <c r="BF17" s="504">
        <v>0</v>
      </c>
      <c r="BG17" s="504">
        <v>0</v>
      </c>
      <c r="BH17" s="504">
        <v>0</v>
      </c>
      <c r="BI17" s="504">
        <v>0</v>
      </c>
      <c r="BJ17" s="504">
        <v>0</v>
      </c>
      <c r="BK17" s="504">
        <v>0</v>
      </c>
      <c r="BL17" s="504">
        <v>0</v>
      </c>
      <c r="BM17" s="504">
        <v>0</v>
      </c>
      <c r="BN17" s="504">
        <v>0</v>
      </c>
      <c r="BO17" s="504">
        <v>0</v>
      </c>
      <c r="BP17" s="504">
        <v>0</v>
      </c>
      <c r="BQ17" s="504">
        <v>0</v>
      </c>
      <c r="BR17" s="504">
        <v>0</v>
      </c>
      <c r="BS17" s="504">
        <v>0</v>
      </c>
      <c r="BT17" s="504">
        <v>0</v>
      </c>
      <c r="BU17" s="504">
        <v>0</v>
      </c>
      <c r="BV17" s="504">
        <v>0</v>
      </c>
      <c r="BW17" s="504">
        <v>0</v>
      </c>
      <c r="BX17" s="504">
        <v>0</v>
      </c>
      <c r="BY17" s="504">
        <v>0</v>
      </c>
      <c r="BZ17" s="504">
        <v>0</v>
      </c>
      <c r="CA17" s="504">
        <v>0</v>
      </c>
      <c r="CB17" s="504">
        <v>0</v>
      </c>
      <c r="CC17" s="504">
        <v>0</v>
      </c>
      <c r="CD17" s="504">
        <v>0</v>
      </c>
      <c r="CE17" s="504">
        <v>0</v>
      </c>
      <c r="CF17" s="504">
        <v>0</v>
      </c>
      <c r="CG17" s="504">
        <v>0</v>
      </c>
      <c r="CH17" s="504">
        <v>0</v>
      </c>
      <c r="CI17" s="504">
        <v>0</v>
      </c>
      <c r="CJ17" s="504">
        <v>0</v>
      </c>
      <c r="CK17" s="504">
        <v>0</v>
      </c>
      <c r="CL17" s="504">
        <v>0</v>
      </c>
      <c r="CM17" s="504">
        <v>0</v>
      </c>
      <c r="CN17" s="504">
        <v>0</v>
      </c>
      <c r="CO17" s="504">
        <v>0</v>
      </c>
      <c r="CP17" s="504">
        <v>0</v>
      </c>
      <c r="CQ17" s="504">
        <v>0</v>
      </c>
      <c r="CR17" s="504">
        <v>0</v>
      </c>
      <c r="CS17" s="504">
        <v>0</v>
      </c>
      <c r="CT17" s="504">
        <v>0</v>
      </c>
      <c r="CU17" s="504">
        <v>0</v>
      </c>
      <c r="CV17" s="504">
        <v>0</v>
      </c>
      <c r="CW17" s="504">
        <v>0</v>
      </c>
      <c r="CX17" s="504">
        <v>0</v>
      </c>
      <c r="CY17" s="504">
        <v>0</v>
      </c>
      <c r="CZ17" s="1654">
        <v>0</v>
      </c>
      <c r="DA17" s="504">
        <v>0</v>
      </c>
      <c r="DB17" s="504">
        <v>114</v>
      </c>
      <c r="DC17" s="504">
        <v>440</v>
      </c>
      <c r="DD17" s="504">
        <v>1043</v>
      </c>
      <c r="DE17" s="504">
        <v>1290</v>
      </c>
      <c r="DF17" s="504">
        <v>1591</v>
      </c>
      <c r="DG17" s="504">
        <v>0</v>
      </c>
      <c r="DH17" s="504">
        <v>0</v>
      </c>
      <c r="DI17" s="504">
        <v>0</v>
      </c>
      <c r="DJ17" s="504">
        <v>0</v>
      </c>
      <c r="DK17" s="504">
        <v>0</v>
      </c>
      <c r="DL17" s="504">
        <v>0</v>
      </c>
      <c r="DM17" s="504">
        <v>0</v>
      </c>
      <c r="DN17" s="504">
        <v>0</v>
      </c>
      <c r="DO17" s="504">
        <v>0</v>
      </c>
      <c r="DP17" s="504">
        <v>0</v>
      </c>
      <c r="DQ17" s="504">
        <v>0</v>
      </c>
      <c r="DR17" s="504">
        <v>0</v>
      </c>
      <c r="DS17" s="504">
        <v>0</v>
      </c>
      <c r="DT17" s="504">
        <v>0</v>
      </c>
      <c r="DU17" s="504">
        <v>0</v>
      </c>
      <c r="DV17" s="504">
        <v>0</v>
      </c>
      <c r="DW17" s="504">
        <v>0</v>
      </c>
      <c r="DX17" s="504">
        <v>0</v>
      </c>
      <c r="DY17" s="504">
        <v>0</v>
      </c>
      <c r="DZ17" s="504">
        <v>0</v>
      </c>
      <c r="EA17" s="504">
        <v>0</v>
      </c>
      <c r="EB17" s="504">
        <v>0</v>
      </c>
      <c r="EC17" s="504">
        <v>0</v>
      </c>
      <c r="ED17" s="504">
        <v>0</v>
      </c>
      <c r="EE17" s="504">
        <v>0</v>
      </c>
      <c r="EF17" s="504">
        <v>0</v>
      </c>
      <c r="EG17" s="504">
        <v>0</v>
      </c>
      <c r="EH17" s="504">
        <v>0</v>
      </c>
      <c r="EI17" s="504">
        <v>0</v>
      </c>
      <c r="EJ17" s="504">
        <v>0</v>
      </c>
      <c r="EK17" s="504">
        <v>0</v>
      </c>
      <c r="EL17" s="504">
        <v>0</v>
      </c>
      <c r="EM17" s="504">
        <v>0</v>
      </c>
      <c r="EN17" s="504">
        <v>0</v>
      </c>
      <c r="EO17" s="504">
        <v>0</v>
      </c>
      <c r="EP17" s="504">
        <v>0</v>
      </c>
      <c r="EQ17" s="504">
        <v>0</v>
      </c>
      <c r="ER17" s="504">
        <v>0</v>
      </c>
      <c r="ES17" s="504">
        <v>0</v>
      </c>
      <c r="ET17" s="504">
        <v>0</v>
      </c>
      <c r="EU17" s="504">
        <v>0</v>
      </c>
      <c r="EV17" s="504">
        <v>0</v>
      </c>
      <c r="EW17" s="504">
        <v>0</v>
      </c>
      <c r="EX17" s="504">
        <v>0</v>
      </c>
      <c r="EY17" s="504">
        <v>0</v>
      </c>
      <c r="EZ17" s="504">
        <v>0</v>
      </c>
      <c r="FA17" s="504">
        <v>0</v>
      </c>
      <c r="FB17" s="504">
        <v>0</v>
      </c>
      <c r="FC17" s="504">
        <v>0</v>
      </c>
      <c r="FD17" s="504">
        <v>0</v>
      </c>
      <c r="FE17" s="504">
        <v>0</v>
      </c>
      <c r="FF17" s="504">
        <v>0</v>
      </c>
      <c r="FG17" s="504">
        <v>0</v>
      </c>
      <c r="FH17" s="504">
        <v>0</v>
      </c>
      <c r="FI17" s="504">
        <v>0</v>
      </c>
      <c r="FJ17" s="504">
        <v>0</v>
      </c>
      <c r="FK17" s="504">
        <v>0</v>
      </c>
      <c r="FL17" s="504">
        <v>0</v>
      </c>
      <c r="FM17" s="504">
        <v>0</v>
      </c>
      <c r="FN17" s="504">
        <v>0</v>
      </c>
      <c r="FO17" s="504">
        <v>0</v>
      </c>
      <c r="FP17" s="504">
        <v>0</v>
      </c>
      <c r="FQ17" s="504">
        <v>0</v>
      </c>
      <c r="FR17" s="504">
        <v>0</v>
      </c>
      <c r="FS17" s="504">
        <v>0</v>
      </c>
      <c r="FT17" s="504">
        <v>0</v>
      </c>
      <c r="FU17" s="504">
        <v>0</v>
      </c>
      <c r="FV17" s="504">
        <v>0</v>
      </c>
      <c r="FW17" s="504">
        <v>0</v>
      </c>
      <c r="FX17" s="504">
        <v>0</v>
      </c>
      <c r="FY17" s="504">
        <v>0</v>
      </c>
      <c r="FZ17" s="504">
        <v>0</v>
      </c>
      <c r="GA17" s="504">
        <v>0</v>
      </c>
      <c r="GB17" s="504">
        <v>0</v>
      </c>
      <c r="GC17" s="504">
        <v>0</v>
      </c>
      <c r="GD17" s="504">
        <v>0</v>
      </c>
      <c r="GE17" s="504">
        <v>0</v>
      </c>
      <c r="GF17" s="504">
        <v>0</v>
      </c>
      <c r="GG17" s="504">
        <v>0</v>
      </c>
      <c r="GH17" s="504">
        <v>0</v>
      </c>
      <c r="GI17" s="504">
        <v>0</v>
      </c>
      <c r="GJ17" s="504">
        <v>0</v>
      </c>
      <c r="GK17" s="504">
        <v>0</v>
      </c>
      <c r="GL17" s="504">
        <v>0</v>
      </c>
      <c r="GM17" s="504">
        <v>0</v>
      </c>
      <c r="GN17" s="504">
        <v>0</v>
      </c>
      <c r="GO17" s="504">
        <v>0</v>
      </c>
      <c r="GP17" s="504">
        <v>0</v>
      </c>
      <c r="GQ17" s="504">
        <v>0</v>
      </c>
      <c r="GR17" s="504">
        <v>0</v>
      </c>
      <c r="GS17" s="504">
        <v>0</v>
      </c>
      <c r="GT17" s="504">
        <v>0</v>
      </c>
      <c r="GU17" s="504">
        <v>0</v>
      </c>
      <c r="GV17" s="504">
        <v>0</v>
      </c>
      <c r="GW17" s="1654">
        <v>0</v>
      </c>
      <c r="GX17" s="504">
        <v>0</v>
      </c>
      <c r="GY17" s="504">
        <v>10204</v>
      </c>
      <c r="GZ17" s="504">
        <v>26361</v>
      </c>
      <c r="HA17" s="504">
        <v>37000</v>
      </c>
      <c r="HB17" s="504">
        <v>36000</v>
      </c>
      <c r="HC17" s="504">
        <v>35000</v>
      </c>
      <c r="HD17" s="504">
        <v>0</v>
      </c>
      <c r="HE17" s="504">
        <v>0</v>
      </c>
      <c r="HF17" s="504">
        <v>0</v>
      </c>
      <c r="HG17" s="504">
        <v>0</v>
      </c>
      <c r="HH17" s="504">
        <v>0</v>
      </c>
      <c r="HI17" s="504">
        <v>0</v>
      </c>
      <c r="HJ17" s="504">
        <v>0</v>
      </c>
      <c r="HK17" s="504">
        <v>0</v>
      </c>
      <c r="HL17" s="504">
        <v>0</v>
      </c>
      <c r="HM17" s="504">
        <v>0</v>
      </c>
      <c r="HN17" s="504">
        <v>0</v>
      </c>
      <c r="HO17" s="504">
        <v>0</v>
      </c>
      <c r="HP17" s="504">
        <v>0</v>
      </c>
      <c r="HQ17" s="504">
        <v>0</v>
      </c>
      <c r="HR17" s="504">
        <v>0</v>
      </c>
      <c r="HS17" s="504">
        <v>0</v>
      </c>
      <c r="HT17" s="504">
        <v>0</v>
      </c>
      <c r="HU17" s="504">
        <v>0</v>
      </c>
      <c r="HV17" s="504">
        <v>0</v>
      </c>
      <c r="HW17" s="504">
        <v>0</v>
      </c>
      <c r="HX17" s="504">
        <v>0</v>
      </c>
      <c r="HY17" s="504">
        <v>0</v>
      </c>
      <c r="HZ17" s="504">
        <v>0</v>
      </c>
      <c r="IA17" s="504">
        <v>0</v>
      </c>
      <c r="IB17" s="504">
        <v>0</v>
      </c>
      <c r="IC17" s="504">
        <v>0</v>
      </c>
      <c r="ID17" s="504">
        <v>0</v>
      </c>
      <c r="IE17" s="504">
        <v>0</v>
      </c>
      <c r="IF17" s="504">
        <v>0</v>
      </c>
      <c r="IG17" s="504">
        <v>0</v>
      </c>
      <c r="IH17" s="504">
        <v>0</v>
      </c>
      <c r="II17" s="504">
        <v>0</v>
      </c>
      <c r="IJ17" s="504">
        <v>0</v>
      </c>
      <c r="IK17" s="504">
        <v>0</v>
      </c>
      <c r="IL17" s="504">
        <v>0</v>
      </c>
      <c r="IM17" s="504">
        <v>0</v>
      </c>
      <c r="IN17" s="504">
        <v>0</v>
      </c>
      <c r="IO17" s="504">
        <v>0</v>
      </c>
      <c r="IP17" s="504">
        <v>0</v>
      </c>
      <c r="IQ17" s="504">
        <v>0</v>
      </c>
      <c r="IR17" s="504">
        <v>0</v>
      </c>
      <c r="IS17" s="504">
        <v>0</v>
      </c>
      <c r="IT17" s="504">
        <v>0</v>
      </c>
      <c r="IU17" s="504">
        <v>0</v>
      </c>
      <c r="IV17" s="504">
        <v>0</v>
      </c>
      <c r="IW17" s="504">
        <v>0</v>
      </c>
      <c r="IX17" s="504">
        <v>0</v>
      </c>
      <c r="IY17" s="504">
        <v>0</v>
      </c>
      <c r="IZ17" s="504">
        <v>0</v>
      </c>
      <c r="JA17" s="504">
        <v>0</v>
      </c>
      <c r="JB17" s="504">
        <v>0</v>
      </c>
      <c r="JC17" s="504">
        <v>0</v>
      </c>
      <c r="JD17" s="504">
        <v>0</v>
      </c>
      <c r="JE17" s="504">
        <v>0</v>
      </c>
      <c r="JF17" s="504">
        <v>0</v>
      </c>
      <c r="JG17" s="504">
        <v>0</v>
      </c>
      <c r="JH17" s="504">
        <v>0</v>
      </c>
      <c r="JI17" s="504">
        <v>0</v>
      </c>
      <c r="JJ17" s="504">
        <v>0</v>
      </c>
      <c r="JK17" s="504">
        <v>0</v>
      </c>
      <c r="JL17" s="504">
        <v>0</v>
      </c>
      <c r="JM17" s="504">
        <v>0</v>
      </c>
      <c r="JN17" s="504">
        <v>0</v>
      </c>
      <c r="JO17" s="504">
        <v>0</v>
      </c>
      <c r="JP17" s="504">
        <v>0</v>
      </c>
      <c r="JQ17" s="504">
        <v>0</v>
      </c>
      <c r="JR17" s="504">
        <v>0</v>
      </c>
      <c r="JS17" s="504">
        <v>0</v>
      </c>
      <c r="JT17" s="504">
        <v>0</v>
      </c>
      <c r="JU17" s="504">
        <v>0</v>
      </c>
      <c r="JV17" s="504">
        <v>0</v>
      </c>
      <c r="JW17" s="504">
        <v>0</v>
      </c>
      <c r="JX17" s="504">
        <v>0</v>
      </c>
      <c r="JY17" s="504">
        <v>0</v>
      </c>
      <c r="JZ17" s="504">
        <v>0</v>
      </c>
      <c r="KA17" s="504">
        <v>0</v>
      </c>
      <c r="KB17" s="504">
        <v>0</v>
      </c>
      <c r="KC17" s="504">
        <v>0</v>
      </c>
      <c r="KD17" s="504">
        <v>0</v>
      </c>
      <c r="KE17" s="504">
        <v>0</v>
      </c>
      <c r="KF17" s="504">
        <v>0</v>
      </c>
      <c r="KG17" s="504">
        <v>0</v>
      </c>
      <c r="KH17" s="504">
        <v>0</v>
      </c>
      <c r="KI17" s="504">
        <v>0</v>
      </c>
      <c r="KJ17" s="504">
        <v>0</v>
      </c>
      <c r="KK17" s="504">
        <v>0</v>
      </c>
      <c r="KL17" s="504">
        <v>0</v>
      </c>
      <c r="KM17" s="504">
        <v>0</v>
      </c>
      <c r="KN17" s="504">
        <v>0</v>
      </c>
      <c r="KO17" s="504">
        <v>0</v>
      </c>
      <c r="KP17" s="504">
        <v>0</v>
      </c>
      <c r="KQ17" s="504">
        <v>0</v>
      </c>
      <c r="KR17" s="504">
        <v>0</v>
      </c>
      <c r="KS17" s="504">
        <v>0</v>
      </c>
      <c r="KT17" s="1654">
        <v>0</v>
      </c>
      <c r="KU17" s="504">
        <v>0</v>
      </c>
      <c r="KV17" s="504">
        <v>0</v>
      </c>
      <c r="KW17" s="504">
        <v>0</v>
      </c>
      <c r="KX17" s="504">
        <v>1023</v>
      </c>
      <c r="KY17" s="504">
        <v>1270</v>
      </c>
      <c r="KZ17" s="504">
        <v>1571</v>
      </c>
      <c r="LA17" s="504">
        <v>0</v>
      </c>
      <c r="LB17" s="504">
        <v>0</v>
      </c>
      <c r="LC17" s="504">
        <v>0</v>
      </c>
      <c r="LD17" s="504">
        <v>0</v>
      </c>
      <c r="LE17" s="504">
        <v>0</v>
      </c>
      <c r="LF17" s="504">
        <v>0</v>
      </c>
      <c r="LG17" s="504">
        <v>0</v>
      </c>
      <c r="LH17" s="504">
        <v>0</v>
      </c>
      <c r="LI17" s="504">
        <v>0</v>
      </c>
      <c r="LJ17" s="504">
        <v>0</v>
      </c>
      <c r="LK17" s="504">
        <v>0</v>
      </c>
      <c r="LL17" s="504">
        <v>0</v>
      </c>
      <c r="LM17" s="504">
        <v>0</v>
      </c>
      <c r="LN17" s="504">
        <v>0</v>
      </c>
      <c r="LO17" s="504">
        <v>0</v>
      </c>
      <c r="LP17" s="504">
        <v>0</v>
      </c>
      <c r="LQ17" s="504">
        <v>0</v>
      </c>
      <c r="LR17" s="504">
        <v>0</v>
      </c>
      <c r="LS17" s="504">
        <v>0</v>
      </c>
      <c r="LT17" s="504">
        <v>0</v>
      </c>
      <c r="LU17" s="504">
        <v>0</v>
      </c>
      <c r="LV17" s="504">
        <v>0</v>
      </c>
      <c r="LW17" s="504">
        <v>0</v>
      </c>
      <c r="LX17" s="504">
        <v>0</v>
      </c>
      <c r="LY17" s="504">
        <v>0</v>
      </c>
      <c r="LZ17" s="504">
        <v>0</v>
      </c>
      <c r="MA17" s="504">
        <v>0</v>
      </c>
      <c r="MB17" s="504">
        <v>0</v>
      </c>
      <c r="MC17" s="504">
        <v>0</v>
      </c>
      <c r="MD17" s="504">
        <v>0</v>
      </c>
      <c r="ME17" s="504">
        <v>0</v>
      </c>
      <c r="MF17" s="504">
        <v>0</v>
      </c>
      <c r="MG17" s="504">
        <v>0</v>
      </c>
      <c r="MH17" s="504">
        <v>0</v>
      </c>
      <c r="MI17" s="504">
        <v>0</v>
      </c>
      <c r="MJ17" s="504">
        <v>0</v>
      </c>
      <c r="MK17" s="504">
        <v>0</v>
      </c>
      <c r="ML17" s="504">
        <v>0</v>
      </c>
      <c r="MM17" s="504">
        <v>0</v>
      </c>
      <c r="MN17" s="504">
        <v>0</v>
      </c>
      <c r="MO17" s="504">
        <v>0</v>
      </c>
      <c r="MP17" s="504">
        <v>0</v>
      </c>
      <c r="MQ17" s="504">
        <v>0</v>
      </c>
      <c r="MR17" s="504">
        <v>0</v>
      </c>
      <c r="MS17" s="504">
        <v>0</v>
      </c>
      <c r="MT17" s="504">
        <v>0</v>
      </c>
      <c r="MU17" s="504">
        <v>0</v>
      </c>
      <c r="MV17" s="504">
        <v>0</v>
      </c>
      <c r="MW17" s="504">
        <v>0</v>
      </c>
      <c r="MX17" s="504">
        <v>0</v>
      </c>
      <c r="MY17" s="504">
        <v>0</v>
      </c>
      <c r="MZ17" s="504">
        <v>0</v>
      </c>
      <c r="NA17" s="504">
        <v>0</v>
      </c>
      <c r="NB17" s="504">
        <v>0</v>
      </c>
      <c r="NC17" s="504">
        <v>0</v>
      </c>
      <c r="ND17" s="504">
        <v>0</v>
      </c>
      <c r="NE17" s="504">
        <v>0</v>
      </c>
      <c r="NF17" s="504">
        <v>0</v>
      </c>
      <c r="NG17" s="504">
        <v>0</v>
      </c>
      <c r="NH17" s="504">
        <v>0</v>
      </c>
      <c r="NI17" s="504">
        <v>0</v>
      </c>
      <c r="NJ17" s="504">
        <v>0</v>
      </c>
      <c r="NK17" s="504">
        <v>0</v>
      </c>
      <c r="NL17" s="504">
        <v>0</v>
      </c>
      <c r="NM17" s="504">
        <v>0</v>
      </c>
      <c r="NN17" s="504">
        <v>0</v>
      </c>
      <c r="NO17" s="504">
        <v>0</v>
      </c>
      <c r="NP17" s="504">
        <v>0</v>
      </c>
      <c r="NQ17" s="504">
        <v>0</v>
      </c>
      <c r="NR17" s="504">
        <v>0</v>
      </c>
      <c r="NS17" s="504">
        <v>0</v>
      </c>
      <c r="NT17" s="504">
        <v>0</v>
      </c>
      <c r="NU17" s="504">
        <v>0</v>
      </c>
      <c r="NV17" s="504">
        <v>0</v>
      </c>
      <c r="NW17" s="504">
        <v>0</v>
      </c>
      <c r="NX17" s="504">
        <v>0</v>
      </c>
      <c r="NY17" s="504">
        <v>0</v>
      </c>
      <c r="NZ17" s="504">
        <v>0</v>
      </c>
      <c r="OA17" s="504">
        <v>0</v>
      </c>
      <c r="OB17" s="504">
        <v>0</v>
      </c>
      <c r="OC17" s="504">
        <v>0</v>
      </c>
      <c r="OD17" s="504">
        <v>0</v>
      </c>
      <c r="OE17" s="504">
        <v>0</v>
      </c>
      <c r="OF17" s="504">
        <v>0</v>
      </c>
      <c r="OG17" s="504">
        <v>0</v>
      </c>
      <c r="OH17" s="504">
        <v>0</v>
      </c>
      <c r="OI17" s="504">
        <v>0</v>
      </c>
      <c r="OJ17" s="504">
        <v>0</v>
      </c>
      <c r="OK17" s="504">
        <v>0</v>
      </c>
      <c r="OL17" s="504">
        <v>0</v>
      </c>
      <c r="OM17" s="504">
        <v>0</v>
      </c>
      <c r="ON17" s="504">
        <v>0</v>
      </c>
      <c r="OO17" s="504">
        <v>0</v>
      </c>
      <c r="OP17" s="504">
        <v>0</v>
      </c>
      <c r="OQ17" s="504">
        <v>0</v>
      </c>
      <c r="OR17"/>
      <c r="OS17"/>
      <c r="OT17"/>
      <c r="OU17"/>
      <c r="OV17"/>
      <c r="OW17"/>
      <c r="OX17"/>
      <c r="OY17"/>
      <c r="OZ17"/>
      <c r="PA17"/>
      <c r="PB17"/>
      <c r="PC17"/>
      <c r="PD17"/>
      <c r="PE17"/>
      <c r="PF17"/>
      <c r="PG17"/>
      <c r="PH17"/>
      <c r="PI17"/>
      <c r="PJ17"/>
      <c r="PK17"/>
      <c r="PL17"/>
      <c r="PM17"/>
      <c r="PN17"/>
      <c r="PO17"/>
      <c r="PP17"/>
      <c r="PQ17"/>
      <c r="PR17"/>
      <c r="PS17"/>
      <c r="PT17" s="1656"/>
    </row>
    <row r="18" spans="1:436" ht="21.5">
      <c r="A18" s="1466" t="s">
        <v>1680</v>
      </c>
      <c r="B18" s="1576" t="s">
        <v>2358</v>
      </c>
      <c r="C18" s="1576" t="s">
        <v>13</v>
      </c>
      <c r="D18" s="1576">
        <v>41</v>
      </c>
      <c r="E18" s="504">
        <v>45</v>
      </c>
      <c r="F18" s="504">
        <v>181</v>
      </c>
      <c r="G18" s="504">
        <v>465</v>
      </c>
      <c r="H18" s="504">
        <v>727</v>
      </c>
      <c r="I18" s="504">
        <v>1041</v>
      </c>
      <c r="J18" s="504">
        <v>1272</v>
      </c>
      <c r="K18" s="504">
        <v>1287</v>
      </c>
      <c r="L18" s="504">
        <v>1303</v>
      </c>
      <c r="M18" s="504">
        <v>1318</v>
      </c>
      <c r="N18" s="504">
        <v>1335</v>
      </c>
      <c r="O18" s="504">
        <v>1351</v>
      </c>
      <c r="P18" s="504">
        <v>1368</v>
      </c>
      <c r="Q18" s="504">
        <v>1385</v>
      </c>
      <c r="R18" s="504">
        <v>1402</v>
      </c>
      <c r="S18" s="504">
        <v>1420</v>
      </c>
      <c r="T18" s="504">
        <v>1438</v>
      </c>
      <c r="U18" s="504">
        <v>1457</v>
      </c>
      <c r="V18" s="504">
        <v>1475</v>
      </c>
      <c r="W18" s="504">
        <v>1494</v>
      </c>
      <c r="X18" s="504">
        <v>1514</v>
      </c>
      <c r="Y18" s="504">
        <v>1533</v>
      </c>
      <c r="Z18" s="504">
        <v>1553</v>
      </c>
      <c r="AA18" s="504">
        <v>1573</v>
      </c>
      <c r="AB18" s="504">
        <v>1594</v>
      </c>
      <c r="AC18" s="504">
        <v>1615</v>
      </c>
      <c r="AD18" s="504">
        <v>1636</v>
      </c>
      <c r="AE18" s="504">
        <v>1657</v>
      </c>
      <c r="AF18" s="504">
        <v>1679</v>
      </c>
      <c r="AG18" s="504">
        <v>1701</v>
      </c>
      <c r="AH18" s="504">
        <v>1724</v>
      </c>
      <c r="AI18" s="504">
        <v>1747</v>
      </c>
      <c r="AJ18" s="504">
        <v>1770</v>
      </c>
      <c r="AK18" s="504">
        <v>1795</v>
      </c>
      <c r="AL18" s="504">
        <v>1821</v>
      </c>
      <c r="AM18" s="504">
        <v>1848</v>
      </c>
      <c r="AN18" s="504">
        <v>1876</v>
      </c>
      <c r="AO18" s="504">
        <v>1908</v>
      </c>
      <c r="AP18" s="504">
        <v>1942</v>
      </c>
      <c r="AQ18" s="504">
        <v>2000</v>
      </c>
      <c r="AR18" s="504">
        <v>0</v>
      </c>
      <c r="AS18" s="504">
        <v>0</v>
      </c>
      <c r="AT18" s="504">
        <v>0</v>
      </c>
      <c r="AU18" s="504">
        <v>0</v>
      </c>
      <c r="AV18" s="504">
        <v>0</v>
      </c>
      <c r="AW18" s="504">
        <v>0</v>
      </c>
      <c r="AX18" s="504">
        <v>0</v>
      </c>
      <c r="AY18" s="504">
        <v>0</v>
      </c>
      <c r="AZ18" s="504">
        <v>0</v>
      </c>
      <c r="BA18" s="504">
        <v>0</v>
      </c>
      <c r="BB18" s="504">
        <v>0</v>
      </c>
      <c r="BC18" s="504">
        <v>0</v>
      </c>
      <c r="BD18" s="504">
        <v>0</v>
      </c>
      <c r="BE18" s="504">
        <v>0</v>
      </c>
      <c r="BF18" s="504">
        <v>0</v>
      </c>
      <c r="BG18" s="504">
        <v>0</v>
      </c>
      <c r="BH18" s="504">
        <v>0</v>
      </c>
      <c r="BI18" s="504">
        <v>0</v>
      </c>
      <c r="BJ18" s="504">
        <v>0</v>
      </c>
      <c r="BK18" s="504">
        <v>0</v>
      </c>
      <c r="BL18" s="504">
        <v>0</v>
      </c>
      <c r="BM18" s="504">
        <v>0</v>
      </c>
      <c r="BN18" s="504">
        <v>0</v>
      </c>
      <c r="BO18" s="504">
        <v>0</v>
      </c>
      <c r="BP18" s="504">
        <v>0</v>
      </c>
      <c r="BQ18" s="504">
        <v>0</v>
      </c>
      <c r="BR18" s="504">
        <v>0</v>
      </c>
      <c r="BS18" s="504">
        <v>0</v>
      </c>
      <c r="BT18" s="504">
        <v>0</v>
      </c>
      <c r="BU18" s="504">
        <v>0</v>
      </c>
      <c r="BV18" s="504">
        <v>0</v>
      </c>
      <c r="BW18" s="504">
        <v>0</v>
      </c>
      <c r="BX18" s="504">
        <v>0</v>
      </c>
      <c r="BY18" s="504">
        <v>0</v>
      </c>
      <c r="BZ18" s="504">
        <v>0</v>
      </c>
      <c r="CA18" s="504">
        <v>0</v>
      </c>
      <c r="CB18" s="504">
        <v>0</v>
      </c>
      <c r="CC18" s="504">
        <v>0</v>
      </c>
      <c r="CD18" s="504">
        <v>0</v>
      </c>
      <c r="CE18" s="504">
        <v>0</v>
      </c>
      <c r="CF18" s="504">
        <v>0</v>
      </c>
      <c r="CG18" s="504">
        <v>0</v>
      </c>
      <c r="CH18" s="504">
        <v>0</v>
      </c>
      <c r="CI18" s="504">
        <v>0</v>
      </c>
      <c r="CJ18" s="504">
        <v>0</v>
      </c>
      <c r="CK18" s="504">
        <v>0</v>
      </c>
      <c r="CL18" s="504">
        <v>0</v>
      </c>
      <c r="CM18" s="504">
        <v>0</v>
      </c>
      <c r="CN18" s="504">
        <v>0</v>
      </c>
      <c r="CO18" s="504">
        <v>0</v>
      </c>
      <c r="CP18" s="504">
        <v>0</v>
      </c>
      <c r="CQ18" s="504">
        <v>0</v>
      </c>
      <c r="CR18" s="504">
        <v>0</v>
      </c>
      <c r="CS18" s="504">
        <v>0</v>
      </c>
      <c r="CT18" s="504">
        <v>0</v>
      </c>
      <c r="CU18" s="504">
        <v>0</v>
      </c>
      <c r="CV18" s="504">
        <v>0</v>
      </c>
      <c r="CW18" s="504">
        <v>0</v>
      </c>
      <c r="CX18" s="504">
        <v>0</v>
      </c>
      <c r="CY18" s="504">
        <v>0</v>
      </c>
      <c r="CZ18" s="1654">
        <v>0</v>
      </c>
      <c r="DA18" s="504">
        <v>0</v>
      </c>
      <c r="DB18" s="504">
        <v>111</v>
      </c>
      <c r="DC18" s="504">
        <v>434</v>
      </c>
      <c r="DD18" s="504">
        <v>1037</v>
      </c>
      <c r="DE18" s="504">
        <v>1289</v>
      </c>
      <c r="DF18" s="504">
        <v>1591</v>
      </c>
      <c r="DG18" s="504">
        <v>0</v>
      </c>
      <c r="DH18" s="504">
        <v>0</v>
      </c>
      <c r="DI18" s="504">
        <v>0</v>
      </c>
      <c r="DJ18" s="504">
        <v>0</v>
      </c>
      <c r="DK18" s="504">
        <v>0</v>
      </c>
      <c r="DL18" s="504">
        <v>0</v>
      </c>
      <c r="DM18" s="504">
        <v>0</v>
      </c>
      <c r="DN18" s="504">
        <v>0</v>
      </c>
      <c r="DO18" s="504">
        <v>0</v>
      </c>
      <c r="DP18" s="504">
        <v>0</v>
      </c>
      <c r="DQ18" s="504">
        <v>0</v>
      </c>
      <c r="DR18" s="504">
        <v>0</v>
      </c>
      <c r="DS18" s="504">
        <v>0</v>
      </c>
      <c r="DT18" s="504">
        <v>0</v>
      </c>
      <c r="DU18" s="504">
        <v>0</v>
      </c>
      <c r="DV18" s="504">
        <v>0</v>
      </c>
      <c r="DW18" s="504">
        <v>0</v>
      </c>
      <c r="DX18" s="504">
        <v>0</v>
      </c>
      <c r="DY18" s="504">
        <v>0</v>
      </c>
      <c r="DZ18" s="504">
        <v>0</v>
      </c>
      <c r="EA18" s="504">
        <v>0</v>
      </c>
      <c r="EB18" s="504">
        <v>0</v>
      </c>
      <c r="EC18" s="504">
        <v>0</v>
      </c>
      <c r="ED18" s="504">
        <v>0</v>
      </c>
      <c r="EE18" s="504">
        <v>0</v>
      </c>
      <c r="EF18" s="504">
        <v>0</v>
      </c>
      <c r="EG18" s="504">
        <v>0</v>
      </c>
      <c r="EH18" s="504">
        <v>0</v>
      </c>
      <c r="EI18" s="504">
        <v>0</v>
      </c>
      <c r="EJ18" s="504">
        <v>0</v>
      </c>
      <c r="EK18" s="504">
        <v>0</v>
      </c>
      <c r="EL18" s="504">
        <v>0</v>
      </c>
      <c r="EM18" s="504">
        <v>0</v>
      </c>
      <c r="EN18" s="504">
        <v>0</v>
      </c>
      <c r="EO18" s="504">
        <v>0</v>
      </c>
      <c r="EP18" s="504">
        <v>0</v>
      </c>
      <c r="EQ18" s="504">
        <v>0</v>
      </c>
      <c r="ER18" s="504">
        <v>0</v>
      </c>
      <c r="ES18" s="504">
        <v>0</v>
      </c>
      <c r="ET18" s="504">
        <v>0</v>
      </c>
      <c r="EU18" s="504">
        <v>0</v>
      </c>
      <c r="EV18" s="504">
        <v>0</v>
      </c>
      <c r="EW18" s="504">
        <v>0</v>
      </c>
      <c r="EX18" s="504">
        <v>0</v>
      </c>
      <c r="EY18" s="504">
        <v>0</v>
      </c>
      <c r="EZ18" s="504">
        <v>0</v>
      </c>
      <c r="FA18" s="504">
        <v>0</v>
      </c>
      <c r="FB18" s="504">
        <v>0</v>
      </c>
      <c r="FC18" s="504">
        <v>0</v>
      </c>
      <c r="FD18" s="504">
        <v>0</v>
      </c>
      <c r="FE18" s="504">
        <v>0</v>
      </c>
      <c r="FF18" s="504">
        <v>0</v>
      </c>
      <c r="FG18" s="504">
        <v>0</v>
      </c>
      <c r="FH18" s="504">
        <v>0</v>
      </c>
      <c r="FI18" s="504">
        <v>0</v>
      </c>
      <c r="FJ18" s="504">
        <v>0</v>
      </c>
      <c r="FK18" s="504">
        <v>0</v>
      </c>
      <c r="FL18" s="504">
        <v>0</v>
      </c>
      <c r="FM18" s="504">
        <v>0</v>
      </c>
      <c r="FN18" s="504">
        <v>0</v>
      </c>
      <c r="FO18" s="504">
        <v>0</v>
      </c>
      <c r="FP18" s="504">
        <v>0</v>
      </c>
      <c r="FQ18" s="504">
        <v>0</v>
      </c>
      <c r="FR18" s="504">
        <v>0</v>
      </c>
      <c r="FS18" s="504">
        <v>0</v>
      </c>
      <c r="FT18" s="504">
        <v>0</v>
      </c>
      <c r="FU18" s="504">
        <v>0</v>
      </c>
      <c r="FV18" s="504">
        <v>0</v>
      </c>
      <c r="FW18" s="504">
        <v>0</v>
      </c>
      <c r="FX18" s="504">
        <v>0</v>
      </c>
      <c r="FY18" s="504">
        <v>0</v>
      </c>
      <c r="FZ18" s="504">
        <v>0</v>
      </c>
      <c r="GA18" s="504">
        <v>0</v>
      </c>
      <c r="GB18" s="504">
        <v>0</v>
      </c>
      <c r="GC18" s="504">
        <v>0</v>
      </c>
      <c r="GD18" s="504">
        <v>0</v>
      </c>
      <c r="GE18" s="504">
        <v>0</v>
      </c>
      <c r="GF18" s="504">
        <v>0</v>
      </c>
      <c r="GG18" s="504">
        <v>0</v>
      </c>
      <c r="GH18" s="504">
        <v>0</v>
      </c>
      <c r="GI18" s="504">
        <v>0</v>
      </c>
      <c r="GJ18" s="504">
        <v>0</v>
      </c>
      <c r="GK18" s="504">
        <v>0</v>
      </c>
      <c r="GL18" s="504">
        <v>0</v>
      </c>
      <c r="GM18" s="504">
        <v>0</v>
      </c>
      <c r="GN18" s="504">
        <v>0</v>
      </c>
      <c r="GO18" s="504">
        <v>0</v>
      </c>
      <c r="GP18" s="504">
        <v>0</v>
      </c>
      <c r="GQ18" s="504">
        <v>0</v>
      </c>
      <c r="GR18" s="504">
        <v>0</v>
      </c>
      <c r="GS18" s="504">
        <v>0</v>
      </c>
      <c r="GT18" s="504">
        <v>0</v>
      </c>
      <c r="GU18" s="504">
        <v>0</v>
      </c>
      <c r="GV18" s="504">
        <v>0</v>
      </c>
      <c r="GW18" s="1654">
        <v>0</v>
      </c>
      <c r="GX18" s="504">
        <v>0</v>
      </c>
      <c r="GY18" s="504">
        <v>9359</v>
      </c>
      <c r="GZ18" s="504">
        <v>25357</v>
      </c>
      <c r="HA18" s="504">
        <v>36000</v>
      </c>
      <c r="HB18" s="504">
        <v>35000</v>
      </c>
      <c r="HC18" s="504">
        <v>34000</v>
      </c>
      <c r="HD18" s="504">
        <v>0</v>
      </c>
      <c r="HE18" s="504">
        <v>0</v>
      </c>
      <c r="HF18" s="504">
        <v>0</v>
      </c>
      <c r="HG18" s="504">
        <v>0</v>
      </c>
      <c r="HH18" s="504">
        <v>0</v>
      </c>
      <c r="HI18" s="504">
        <v>0</v>
      </c>
      <c r="HJ18" s="504">
        <v>0</v>
      </c>
      <c r="HK18" s="504">
        <v>0</v>
      </c>
      <c r="HL18" s="504">
        <v>0</v>
      </c>
      <c r="HM18" s="504">
        <v>0</v>
      </c>
      <c r="HN18" s="504">
        <v>0</v>
      </c>
      <c r="HO18" s="504">
        <v>0</v>
      </c>
      <c r="HP18" s="504">
        <v>0</v>
      </c>
      <c r="HQ18" s="504">
        <v>0</v>
      </c>
      <c r="HR18" s="504">
        <v>0</v>
      </c>
      <c r="HS18" s="504">
        <v>0</v>
      </c>
      <c r="HT18" s="504">
        <v>0</v>
      </c>
      <c r="HU18" s="504">
        <v>0</v>
      </c>
      <c r="HV18" s="504">
        <v>0</v>
      </c>
      <c r="HW18" s="504">
        <v>0</v>
      </c>
      <c r="HX18" s="504">
        <v>0</v>
      </c>
      <c r="HY18" s="504">
        <v>0</v>
      </c>
      <c r="HZ18" s="504">
        <v>0</v>
      </c>
      <c r="IA18" s="504">
        <v>0</v>
      </c>
      <c r="IB18" s="504">
        <v>0</v>
      </c>
      <c r="IC18" s="504">
        <v>0</v>
      </c>
      <c r="ID18" s="504">
        <v>0</v>
      </c>
      <c r="IE18" s="504">
        <v>0</v>
      </c>
      <c r="IF18" s="504">
        <v>0</v>
      </c>
      <c r="IG18" s="504">
        <v>0</v>
      </c>
      <c r="IH18" s="504">
        <v>0</v>
      </c>
      <c r="II18" s="504">
        <v>0</v>
      </c>
      <c r="IJ18" s="504">
        <v>0</v>
      </c>
      <c r="IK18" s="504">
        <v>0</v>
      </c>
      <c r="IL18" s="504">
        <v>0</v>
      </c>
      <c r="IM18" s="504">
        <v>0</v>
      </c>
      <c r="IN18" s="504">
        <v>0</v>
      </c>
      <c r="IO18" s="504">
        <v>0</v>
      </c>
      <c r="IP18" s="504">
        <v>0</v>
      </c>
      <c r="IQ18" s="504">
        <v>0</v>
      </c>
      <c r="IR18" s="504">
        <v>0</v>
      </c>
      <c r="IS18" s="504">
        <v>0</v>
      </c>
      <c r="IT18" s="504">
        <v>0</v>
      </c>
      <c r="IU18" s="504">
        <v>0</v>
      </c>
      <c r="IV18" s="504">
        <v>0</v>
      </c>
      <c r="IW18" s="504">
        <v>0</v>
      </c>
      <c r="IX18" s="504">
        <v>0</v>
      </c>
      <c r="IY18" s="504">
        <v>0</v>
      </c>
      <c r="IZ18" s="504">
        <v>0</v>
      </c>
      <c r="JA18" s="504">
        <v>0</v>
      </c>
      <c r="JB18" s="504">
        <v>0</v>
      </c>
      <c r="JC18" s="504">
        <v>0</v>
      </c>
      <c r="JD18" s="504">
        <v>0</v>
      </c>
      <c r="JE18" s="504">
        <v>0</v>
      </c>
      <c r="JF18" s="504">
        <v>0</v>
      </c>
      <c r="JG18" s="504">
        <v>0</v>
      </c>
      <c r="JH18" s="504">
        <v>0</v>
      </c>
      <c r="JI18" s="504">
        <v>0</v>
      </c>
      <c r="JJ18" s="504">
        <v>0</v>
      </c>
      <c r="JK18" s="504">
        <v>0</v>
      </c>
      <c r="JL18" s="504">
        <v>0</v>
      </c>
      <c r="JM18" s="504">
        <v>0</v>
      </c>
      <c r="JN18" s="504">
        <v>0</v>
      </c>
      <c r="JO18" s="504">
        <v>0</v>
      </c>
      <c r="JP18" s="504">
        <v>0</v>
      </c>
      <c r="JQ18" s="504">
        <v>0</v>
      </c>
      <c r="JR18" s="504">
        <v>0</v>
      </c>
      <c r="JS18" s="504">
        <v>0</v>
      </c>
      <c r="JT18" s="504">
        <v>0</v>
      </c>
      <c r="JU18" s="504">
        <v>0</v>
      </c>
      <c r="JV18" s="504">
        <v>0</v>
      </c>
      <c r="JW18" s="504">
        <v>0</v>
      </c>
      <c r="JX18" s="504">
        <v>0</v>
      </c>
      <c r="JY18" s="504">
        <v>0</v>
      </c>
      <c r="JZ18" s="504">
        <v>0</v>
      </c>
      <c r="KA18" s="504">
        <v>0</v>
      </c>
      <c r="KB18" s="504">
        <v>0</v>
      </c>
      <c r="KC18" s="504">
        <v>0</v>
      </c>
      <c r="KD18" s="504">
        <v>0</v>
      </c>
      <c r="KE18" s="504">
        <v>0</v>
      </c>
      <c r="KF18" s="504">
        <v>0</v>
      </c>
      <c r="KG18" s="504">
        <v>0</v>
      </c>
      <c r="KH18" s="504">
        <v>0</v>
      </c>
      <c r="KI18" s="504">
        <v>0</v>
      </c>
      <c r="KJ18" s="504">
        <v>0</v>
      </c>
      <c r="KK18" s="504">
        <v>0</v>
      </c>
      <c r="KL18" s="504">
        <v>0</v>
      </c>
      <c r="KM18" s="504">
        <v>0</v>
      </c>
      <c r="KN18" s="504">
        <v>0</v>
      </c>
      <c r="KO18" s="504">
        <v>0</v>
      </c>
      <c r="KP18" s="504">
        <v>0</v>
      </c>
      <c r="KQ18" s="504">
        <v>0</v>
      </c>
      <c r="KR18" s="504">
        <v>0</v>
      </c>
      <c r="KS18" s="504">
        <v>0</v>
      </c>
      <c r="KT18" s="1654">
        <v>0</v>
      </c>
      <c r="KU18" s="504">
        <v>0</v>
      </c>
      <c r="KV18" s="504">
        <v>0</v>
      </c>
      <c r="KW18" s="504">
        <v>0</v>
      </c>
      <c r="KX18" s="504">
        <v>1017</v>
      </c>
      <c r="KY18" s="504">
        <v>1269</v>
      </c>
      <c r="KZ18" s="504">
        <v>1571</v>
      </c>
      <c r="LA18" s="504">
        <v>0</v>
      </c>
      <c r="LB18" s="504">
        <v>0</v>
      </c>
      <c r="LC18" s="504">
        <v>0</v>
      </c>
      <c r="LD18" s="504">
        <v>0</v>
      </c>
      <c r="LE18" s="504">
        <v>0</v>
      </c>
      <c r="LF18" s="504">
        <v>0</v>
      </c>
      <c r="LG18" s="504">
        <v>0</v>
      </c>
      <c r="LH18" s="504">
        <v>0</v>
      </c>
      <c r="LI18" s="504">
        <v>0</v>
      </c>
      <c r="LJ18" s="504">
        <v>0</v>
      </c>
      <c r="LK18" s="504">
        <v>0</v>
      </c>
      <c r="LL18" s="504">
        <v>0</v>
      </c>
      <c r="LM18" s="504">
        <v>0</v>
      </c>
      <c r="LN18" s="504">
        <v>0</v>
      </c>
      <c r="LO18" s="504">
        <v>0</v>
      </c>
      <c r="LP18" s="504">
        <v>0</v>
      </c>
      <c r="LQ18" s="504">
        <v>0</v>
      </c>
      <c r="LR18" s="504">
        <v>0</v>
      </c>
      <c r="LS18" s="504">
        <v>0</v>
      </c>
      <c r="LT18" s="504">
        <v>0</v>
      </c>
      <c r="LU18" s="504">
        <v>0</v>
      </c>
      <c r="LV18" s="504">
        <v>0</v>
      </c>
      <c r="LW18" s="504">
        <v>0</v>
      </c>
      <c r="LX18" s="504">
        <v>0</v>
      </c>
      <c r="LY18" s="504">
        <v>0</v>
      </c>
      <c r="LZ18" s="504">
        <v>0</v>
      </c>
      <c r="MA18" s="504">
        <v>0</v>
      </c>
      <c r="MB18" s="504">
        <v>0</v>
      </c>
      <c r="MC18" s="504">
        <v>0</v>
      </c>
      <c r="MD18" s="504">
        <v>0</v>
      </c>
      <c r="ME18" s="504">
        <v>0</v>
      </c>
      <c r="MF18" s="504">
        <v>0</v>
      </c>
      <c r="MG18" s="504">
        <v>0</v>
      </c>
      <c r="MH18" s="504">
        <v>0</v>
      </c>
      <c r="MI18" s="504">
        <v>0</v>
      </c>
      <c r="MJ18" s="504">
        <v>0</v>
      </c>
      <c r="MK18" s="504">
        <v>0</v>
      </c>
      <c r="ML18" s="504">
        <v>0</v>
      </c>
      <c r="MM18" s="504">
        <v>0</v>
      </c>
      <c r="MN18" s="504">
        <v>0</v>
      </c>
      <c r="MO18" s="504">
        <v>0</v>
      </c>
      <c r="MP18" s="504">
        <v>0</v>
      </c>
      <c r="MQ18" s="504">
        <v>0</v>
      </c>
      <c r="MR18" s="504">
        <v>0</v>
      </c>
      <c r="MS18" s="504">
        <v>0</v>
      </c>
      <c r="MT18" s="504">
        <v>0</v>
      </c>
      <c r="MU18" s="504">
        <v>0</v>
      </c>
      <c r="MV18" s="504">
        <v>0</v>
      </c>
      <c r="MW18" s="504">
        <v>0</v>
      </c>
      <c r="MX18" s="504">
        <v>0</v>
      </c>
      <c r="MY18" s="504">
        <v>0</v>
      </c>
      <c r="MZ18" s="504">
        <v>0</v>
      </c>
      <c r="NA18" s="504">
        <v>0</v>
      </c>
      <c r="NB18" s="504">
        <v>0</v>
      </c>
      <c r="NC18" s="504">
        <v>0</v>
      </c>
      <c r="ND18" s="504">
        <v>0</v>
      </c>
      <c r="NE18" s="504">
        <v>0</v>
      </c>
      <c r="NF18" s="504">
        <v>0</v>
      </c>
      <c r="NG18" s="504">
        <v>0</v>
      </c>
      <c r="NH18" s="504">
        <v>0</v>
      </c>
      <c r="NI18" s="504">
        <v>0</v>
      </c>
      <c r="NJ18" s="504">
        <v>0</v>
      </c>
      <c r="NK18" s="504">
        <v>0</v>
      </c>
      <c r="NL18" s="504">
        <v>0</v>
      </c>
      <c r="NM18" s="504">
        <v>0</v>
      </c>
      <c r="NN18" s="504">
        <v>0</v>
      </c>
      <c r="NO18" s="504">
        <v>0</v>
      </c>
      <c r="NP18" s="504">
        <v>0</v>
      </c>
      <c r="NQ18" s="504">
        <v>0</v>
      </c>
      <c r="NR18" s="504">
        <v>0</v>
      </c>
      <c r="NS18" s="504">
        <v>0</v>
      </c>
      <c r="NT18" s="504">
        <v>0</v>
      </c>
      <c r="NU18" s="504">
        <v>0</v>
      </c>
      <c r="NV18" s="504">
        <v>0</v>
      </c>
      <c r="NW18" s="504">
        <v>0</v>
      </c>
      <c r="NX18" s="504">
        <v>0</v>
      </c>
      <c r="NY18" s="504">
        <v>0</v>
      </c>
      <c r="NZ18" s="504">
        <v>0</v>
      </c>
      <c r="OA18" s="504">
        <v>0</v>
      </c>
      <c r="OB18" s="504">
        <v>0</v>
      </c>
      <c r="OC18" s="504">
        <v>0</v>
      </c>
      <c r="OD18" s="504">
        <v>0</v>
      </c>
      <c r="OE18" s="504">
        <v>0</v>
      </c>
      <c r="OF18" s="504">
        <v>0</v>
      </c>
      <c r="OG18" s="504">
        <v>0</v>
      </c>
      <c r="OH18" s="504">
        <v>0</v>
      </c>
      <c r="OI18" s="504">
        <v>0</v>
      </c>
      <c r="OJ18" s="504">
        <v>0</v>
      </c>
      <c r="OK18" s="504">
        <v>0</v>
      </c>
      <c r="OL18" s="504">
        <v>0</v>
      </c>
      <c r="OM18" s="504">
        <v>0</v>
      </c>
      <c r="ON18" s="504">
        <v>0</v>
      </c>
      <c r="OO18" s="504">
        <v>0</v>
      </c>
      <c r="OP18" s="504">
        <v>0</v>
      </c>
      <c r="OQ18" s="504">
        <v>0</v>
      </c>
      <c r="OR18"/>
      <c r="OS18"/>
      <c r="OT18"/>
      <c r="OU18"/>
      <c r="OV18"/>
      <c r="OW18"/>
      <c r="OX18"/>
      <c r="OY18"/>
      <c r="OZ18"/>
      <c r="PA18"/>
      <c r="PB18"/>
      <c r="PC18"/>
      <c r="PD18"/>
      <c r="PE18"/>
      <c r="PF18"/>
      <c r="PG18"/>
      <c r="PH18"/>
      <c r="PI18"/>
      <c r="PJ18"/>
      <c r="PK18"/>
      <c r="PL18"/>
      <c r="PM18"/>
      <c r="PN18"/>
      <c r="PO18"/>
      <c r="PP18"/>
      <c r="PQ18"/>
      <c r="PR18"/>
      <c r="PS18"/>
      <c r="PT18" s="1656"/>
    </row>
    <row r="19" spans="1:436" ht="21.5">
      <c r="A19" s="1466" t="s">
        <v>1681</v>
      </c>
      <c r="B19" s="1576" t="s">
        <v>2358</v>
      </c>
      <c r="C19" s="1576" t="s">
        <v>13</v>
      </c>
      <c r="D19" s="1576">
        <v>42</v>
      </c>
      <c r="E19" s="504">
        <v>46</v>
      </c>
      <c r="F19" s="504">
        <v>184</v>
      </c>
      <c r="G19" s="504">
        <v>471</v>
      </c>
      <c r="H19" s="504">
        <v>736</v>
      </c>
      <c r="I19" s="504">
        <v>1053</v>
      </c>
      <c r="J19" s="504">
        <v>1287</v>
      </c>
      <c r="K19" s="504">
        <v>1303</v>
      </c>
      <c r="L19" s="504">
        <v>1318</v>
      </c>
      <c r="M19" s="504">
        <v>1335</v>
      </c>
      <c r="N19" s="504">
        <v>1351</v>
      </c>
      <c r="O19" s="504">
        <v>1368</v>
      </c>
      <c r="P19" s="504">
        <v>1385</v>
      </c>
      <c r="Q19" s="504">
        <v>1402</v>
      </c>
      <c r="R19" s="504">
        <v>1420</v>
      </c>
      <c r="S19" s="504">
        <v>1438</v>
      </c>
      <c r="T19" s="504">
        <v>1457</v>
      </c>
      <c r="U19" s="504">
        <v>1475</v>
      </c>
      <c r="V19" s="504">
        <v>1494</v>
      </c>
      <c r="W19" s="504">
        <v>1514</v>
      </c>
      <c r="X19" s="504">
        <v>1533</v>
      </c>
      <c r="Y19" s="504">
        <v>1553</v>
      </c>
      <c r="Z19" s="504">
        <v>1573</v>
      </c>
      <c r="AA19" s="504">
        <v>1594</v>
      </c>
      <c r="AB19" s="504">
        <v>1615</v>
      </c>
      <c r="AC19" s="504">
        <v>1636</v>
      </c>
      <c r="AD19" s="504">
        <v>1657</v>
      </c>
      <c r="AE19" s="504">
        <v>1679</v>
      </c>
      <c r="AF19" s="504">
        <v>1701</v>
      </c>
      <c r="AG19" s="504">
        <v>1724</v>
      </c>
      <c r="AH19" s="504">
        <v>1747</v>
      </c>
      <c r="AI19" s="504">
        <v>1770</v>
      </c>
      <c r="AJ19" s="504">
        <v>1795</v>
      </c>
      <c r="AK19" s="504">
        <v>1821</v>
      </c>
      <c r="AL19" s="504">
        <v>1848</v>
      </c>
      <c r="AM19" s="504">
        <v>1876</v>
      </c>
      <c r="AN19" s="504">
        <v>1908</v>
      </c>
      <c r="AO19" s="504">
        <v>1942</v>
      </c>
      <c r="AP19" s="504">
        <v>2000</v>
      </c>
      <c r="AQ19" s="504">
        <v>0</v>
      </c>
      <c r="AR19" s="504">
        <v>0</v>
      </c>
      <c r="AS19" s="504">
        <v>0</v>
      </c>
      <c r="AT19" s="504">
        <v>0</v>
      </c>
      <c r="AU19" s="504">
        <v>0</v>
      </c>
      <c r="AV19" s="504">
        <v>0</v>
      </c>
      <c r="AW19" s="504">
        <v>0</v>
      </c>
      <c r="AX19" s="504">
        <v>0</v>
      </c>
      <c r="AY19" s="504">
        <v>0</v>
      </c>
      <c r="AZ19" s="504">
        <v>0</v>
      </c>
      <c r="BA19" s="504">
        <v>0</v>
      </c>
      <c r="BB19" s="504">
        <v>0</v>
      </c>
      <c r="BC19" s="504">
        <v>0</v>
      </c>
      <c r="BD19" s="504">
        <v>0</v>
      </c>
      <c r="BE19" s="504">
        <v>0</v>
      </c>
      <c r="BF19" s="504">
        <v>0</v>
      </c>
      <c r="BG19" s="504">
        <v>0</v>
      </c>
      <c r="BH19" s="504">
        <v>0</v>
      </c>
      <c r="BI19" s="504">
        <v>0</v>
      </c>
      <c r="BJ19" s="504">
        <v>0</v>
      </c>
      <c r="BK19" s="504">
        <v>0</v>
      </c>
      <c r="BL19" s="504">
        <v>0</v>
      </c>
      <c r="BM19" s="504">
        <v>0</v>
      </c>
      <c r="BN19" s="504">
        <v>0</v>
      </c>
      <c r="BO19" s="504">
        <v>0</v>
      </c>
      <c r="BP19" s="504">
        <v>0</v>
      </c>
      <c r="BQ19" s="504">
        <v>0</v>
      </c>
      <c r="BR19" s="504">
        <v>0</v>
      </c>
      <c r="BS19" s="504">
        <v>0</v>
      </c>
      <c r="BT19" s="504">
        <v>0</v>
      </c>
      <c r="BU19" s="504">
        <v>0</v>
      </c>
      <c r="BV19" s="504">
        <v>0</v>
      </c>
      <c r="BW19" s="504">
        <v>0</v>
      </c>
      <c r="BX19" s="504">
        <v>0</v>
      </c>
      <c r="BY19" s="504">
        <v>0</v>
      </c>
      <c r="BZ19" s="504">
        <v>0</v>
      </c>
      <c r="CA19" s="504">
        <v>0</v>
      </c>
      <c r="CB19" s="504">
        <v>0</v>
      </c>
      <c r="CC19" s="504">
        <v>0</v>
      </c>
      <c r="CD19" s="504">
        <v>0</v>
      </c>
      <c r="CE19" s="504">
        <v>0</v>
      </c>
      <c r="CF19" s="504">
        <v>0</v>
      </c>
      <c r="CG19" s="504">
        <v>0</v>
      </c>
      <c r="CH19" s="504">
        <v>0</v>
      </c>
      <c r="CI19" s="504">
        <v>0</v>
      </c>
      <c r="CJ19" s="504">
        <v>0</v>
      </c>
      <c r="CK19" s="504">
        <v>0</v>
      </c>
      <c r="CL19" s="504">
        <v>0</v>
      </c>
      <c r="CM19" s="504">
        <v>0</v>
      </c>
      <c r="CN19" s="504">
        <v>0</v>
      </c>
      <c r="CO19" s="504">
        <v>0</v>
      </c>
      <c r="CP19" s="504">
        <v>0</v>
      </c>
      <c r="CQ19" s="504">
        <v>0</v>
      </c>
      <c r="CR19" s="504">
        <v>0</v>
      </c>
      <c r="CS19" s="504">
        <v>0</v>
      </c>
      <c r="CT19" s="504">
        <v>0</v>
      </c>
      <c r="CU19" s="504">
        <v>0</v>
      </c>
      <c r="CV19" s="504">
        <v>0</v>
      </c>
      <c r="CW19" s="504">
        <v>0</v>
      </c>
      <c r="CX19" s="504">
        <v>0</v>
      </c>
      <c r="CY19" s="504">
        <v>0</v>
      </c>
      <c r="CZ19" s="1654">
        <v>0</v>
      </c>
      <c r="DA19" s="504">
        <v>0</v>
      </c>
      <c r="DB19" s="504">
        <v>110</v>
      </c>
      <c r="DC19" s="504">
        <v>430</v>
      </c>
      <c r="DD19" s="504">
        <v>1033</v>
      </c>
      <c r="DE19" s="504">
        <v>1286</v>
      </c>
      <c r="DF19" s="504">
        <v>1592</v>
      </c>
      <c r="DG19" s="504">
        <v>0</v>
      </c>
      <c r="DH19" s="504">
        <v>0</v>
      </c>
      <c r="DI19" s="504">
        <v>0</v>
      </c>
      <c r="DJ19" s="504">
        <v>0</v>
      </c>
      <c r="DK19" s="504">
        <v>0</v>
      </c>
      <c r="DL19" s="504">
        <v>0</v>
      </c>
      <c r="DM19" s="504">
        <v>0</v>
      </c>
      <c r="DN19" s="504">
        <v>0</v>
      </c>
      <c r="DO19" s="504">
        <v>0</v>
      </c>
      <c r="DP19" s="504">
        <v>0</v>
      </c>
      <c r="DQ19" s="504">
        <v>0</v>
      </c>
      <c r="DR19" s="504">
        <v>0</v>
      </c>
      <c r="DS19" s="504">
        <v>0</v>
      </c>
      <c r="DT19" s="504">
        <v>0</v>
      </c>
      <c r="DU19" s="504">
        <v>0</v>
      </c>
      <c r="DV19" s="504">
        <v>0</v>
      </c>
      <c r="DW19" s="504">
        <v>0</v>
      </c>
      <c r="DX19" s="504">
        <v>0</v>
      </c>
      <c r="DY19" s="504">
        <v>0</v>
      </c>
      <c r="DZ19" s="504">
        <v>0</v>
      </c>
      <c r="EA19" s="504">
        <v>0</v>
      </c>
      <c r="EB19" s="504">
        <v>0</v>
      </c>
      <c r="EC19" s="504">
        <v>0</v>
      </c>
      <c r="ED19" s="504">
        <v>0</v>
      </c>
      <c r="EE19" s="504">
        <v>0</v>
      </c>
      <c r="EF19" s="504">
        <v>0</v>
      </c>
      <c r="EG19" s="504">
        <v>0</v>
      </c>
      <c r="EH19" s="504">
        <v>0</v>
      </c>
      <c r="EI19" s="504">
        <v>0</v>
      </c>
      <c r="EJ19" s="504">
        <v>0</v>
      </c>
      <c r="EK19" s="504">
        <v>0</v>
      </c>
      <c r="EL19" s="504">
        <v>0</v>
      </c>
      <c r="EM19" s="504">
        <v>0</v>
      </c>
      <c r="EN19" s="504">
        <v>0</v>
      </c>
      <c r="EO19" s="504">
        <v>0</v>
      </c>
      <c r="EP19" s="504">
        <v>0</v>
      </c>
      <c r="EQ19" s="504">
        <v>0</v>
      </c>
      <c r="ER19" s="504">
        <v>0</v>
      </c>
      <c r="ES19" s="504">
        <v>0</v>
      </c>
      <c r="ET19" s="504">
        <v>0</v>
      </c>
      <c r="EU19" s="504">
        <v>0</v>
      </c>
      <c r="EV19" s="504">
        <v>0</v>
      </c>
      <c r="EW19" s="504">
        <v>0</v>
      </c>
      <c r="EX19" s="504">
        <v>0</v>
      </c>
      <c r="EY19" s="504">
        <v>0</v>
      </c>
      <c r="EZ19" s="504">
        <v>0</v>
      </c>
      <c r="FA19" s="504">
        <v>0</v>
      </c>
      <c r="FB19" s="504">
        <v>0</v>
      </c>
      <c r="FC19" s="504">
        <v>0</v>
      </c>
      <c r="FD19" s="504">
        <v>0</v>
      </c>
      <c r="FE19" s="504">
        <v>0</v>
      </c>
      <c r="FF19" s="504">
        <v>0</v>
      </c>
      <c r="FG19" s="504">
        <v>0</v>
      </c>
      <c r="FH19" s="504">
        <v>0</v>
      </c>
      <c r="FI19" s="504">
        <v>0</v>
      </c>
      <c r="FJ19" s="504">
        <v>0</v>
      </c>
      <c r="FK19" s="504">
        <v>0</v>
      </c>
      <c r="FL19" s="504">
        <v>0</v>
      </c>
      <c r="FM19" s="504">
        <v>0</v>
      </c>
      <c r="FN19" s="504">
        <v>0</v>
      </c>
      <c r="FO19" s="504">
        <v>0</v>
      </c>
      <c r="FP19" s="504">
        <v>0</v>
      </c>
      <c r="FQ19" s="504">
        <v>0</v>
      </c>
      <c r="FR19" s="504">
        <v>0</v>
      </c>
      <c r="FS19" s="504">
        <v>0</v>
      </c>
      <c r="FT19" s="504">
        <v>0</v>
      </c>
      <c r="FU19" s="504">
        <v>0</v>
      </c>
      <c r="FV19" s="504">
        <v>0</v>
      </c>
      <c r="FW19" s="504">
        <v>0</v>
      </c>
      <c r="FX19" s="504">
        <v>0</v>
      </c>
      <c r="FY19" s="504">
        <v>0</v>
      </c>
      <c r="FZ19" s="504">
        <v>0</v>
      </c>
      <c r="GA19" s="504">
        <v>0</v>
      </c>
      <c r="GB19" s="504">
        <v>0</v>
      </c>
      <c r="GC19" s="504">
        <v>0</v>
      </c>
      <c r="GD19" s="504">
        <v>0</v>
      </c>
      <c r="GE19" s="504">
        <v>0</v>
      </c>
      <c r="GF19" s="504">
        <v>0</v>
      </c>
      <c r="GG19" s="504">
        <v>0</v>
      </c>
      <c r="GH19" s="504">
        <v>0</v>
      </c>
      <c r="GI19" s="504">
        <v>0</v>
      </c>
      <c r="GJ19" s="504">
        <v>0</v>
      </c>
      <c r="GK19" s="504">
        <v>0</v>
      </c>
      <c r="GL19" s="504">
        <v>0</v>
      </c>
      <c r="GM19" s="504">
        <v>0</v>
      </c>
      <c r="GN19" s="504">
        <v>0</v>
      </c>
      <c r="GO19" s="504">
        <v>0</v>
      </c>
      <c r="GP19" s="504">
        <v>0</v>
      </c>
      <c r="GQ19" s="504">
        <v>0</v>
      </c>
      <c r="GR19" s="504">
        <v>0</v>
      </c>
      <c r="GS19" s="504">
        <v>0</v>
      </c>
      <c r="GT19" s="504">
        <v>0</v>
      </c>
      <c r="GU19" s="504">
        <v>0</v>
      </c>
      <c r="GV19" s="504">
        <v>0</v>
      </c>
      <c r="GW19" s="1654">
        <v>0</v>
      </c>
      <c r="GX19" s="504">
        <v>0</v>
      </c>
      <c r="GY19" s="504">
        <v>9217</v>
      </c>
      <c r="GZ19" s="504">
        <v>25023</v>
      </c>
      <c r="HA19" s="504">
        <v>35000</v>
      </c>
      <c r="HB19" s="504">
        <v>34000</v>
      </c>
      <c r="HC19" s="504">
        <v>33000</v>
      </c>
      <c r="HD19" s="504">
        <v>0</v>
      </c>
      <c r="HE19" s="504">
        <v>0</v>
      </c>
      <c r="HF19" s="504">
        <v>0</v>
      </c>
      <c r="HG19" s="504">
        <v>0</v>
      </c>
      <c r="HH19" s="504">
        <v>0</v>
      </c>
      <c r="HI19" s="504">
        <v>0</v>
      </c>
      <c r="HJ19" s="504">
        <v>0</v>
      </c>
      <c r="HK19" s="504">
        <v>0</v>
      </c>
      <c r="HL19" s="504">
        <v>0</v>
      </c>
      <c r="HM19" s="504">
        <v>0</v>
      </c>
      <c r="HN19" s="504">
        <v>0</v>
      </c>
      <c r="HO19" s="504">
        <v>0</v>
      </c>
      <c r="HP19" s="504">
        <v>0</v>
      </c>
      <c r="HQ19" s="504">
        <v>0</v>
      </c>
      <c r="HR19" s="504">
        <v>0</v>
      </c>
      <c r="HS19" s="504">
        <v>0</v>
      </c>
      <c r="HT19" s="504">
        <v>0</v>
      </c>
      <c r="HU19" s="504">
        <v>0</v>
      </c>
      <c r="HV19" s="504">
        <v>0</v>
      </c>
      <c r="HW19" s="504">
        <v>0</v>
      </c>
      <c r="HX19" s="504">
        <v>0</v>
      </c>
      <c r="HY19" s="504">
        <v>0</v>
      </c>
      <c r="HZ19" s="504">
        <v>0</v>
      </c>
      <c r="IA19" s="504">
        <v>0</v>
      </c>
      <c r="IB19" s="504">
        <v>0</v>
      </c>
      <c r="IC19" s="504">
        <v>0</v>
      </c>
      <c r="ID19" s="504">
        <v>0</v>
      </c>
      <c r="IE19" s="504">
        <v>0</v>
      </c>
      <c r="IF19" s="504">
        <v>0</v>
      </c>
      <c r="IG19" s="504">
        <v>0</v>
      </c>
      <c r="IH19" s="504">
        <v>0</v>
      </c>
      <c r="II19" s="504">
        <v>0</v>
      </c>
      <c r="IJ19" s="504">
        <v>0</v>
      </c>
      <c r="IK19" s="504">
        <v>0</v>
      </c>
      <c r="IL19" s="504">
        <v>0</v>
      </c>
      <c r="IM19" s="504">
        <v>0</v>
      </c>
      <c r="IN19" s="504">
        <v>0</v>
      </c>
      <c r="IO19" s="504">
        <v>0</v>
      </c>
      <c r="IP19" s="504">
        <v>0</v>
      </c>
      <c r="IQ19" s="504">
        <v>0</v>
      </c>
      <c r="IR19" s="504">
        <v>0</v>
      </c>
      <c r="IS19" s="504">
        <v>0</v>
      </c>
      <c r="IT19" s="504">
        <v>0</v>
      </c>
      <c r="IU19" s="504">
        <v>0</v>
      </c>
      <c r="IV19" s="504">
        <v>0</v>
      </c>
      <c r="IW19" s="504">
        <v>0</v>
      </c>
      <c r="IX19" s="504">
        <v>0</v>
      </c>
      <c r="IY19" s="504">
        <v>0</v>
      </c>
      <c r="IZ19" s="504">
        <v>0</v>
      </c>
      <c r="JA19" s="504">
        <v>0</v>
      </c>
      <c r="JB19" s="504">
        <v>0</v>
      </c>
      <c r="JC19" s="504">
        <v>0</v>
      </c>
      <c r="JD19" s="504">
        <v>0</v>
      </c>
      <c r="JE19" s="504">
        <v>0</v>
      </c>
      <c r="JF19" s="504">
        <v>0</v>
      </c>
      <c r="JG19" s="504">
        <v>0</v>
      </c>
      <c r="JH19" s="504">
        <v>0</v>
      </c>
      <c r="JI19" s="504">
        <v>0</v>
      </c>
      <c r="JJ19" s="504">
        <v>0</v>
      </c>
      <c r="JK19" s="504">
        <v>0</v>
      </c>
      <c r="JL19" s="504">
        <v>0</v>
      </c>
      <c r="JM19" s="504">
        <v>0</v>
      </c>
      <c r="JN19" s="504">
        <v>0</v>
      </c>
      <c r="JO19" s="504">
        <v>0</v>
      </c>
      <c r="JP19" s="504">
        <v>0</v>
      </c>
      <c r="JQ19" s="504">
        <v>0</v>
      </c>
      <c r="JR19" s="504">
        <v>0</v>
      </c>
      <c r="JS19" s="504">
        <v>0</v>
      </c>
      <c r="JT19" s="504">
        <v>0</v>
      </c>
      <c r="JU19" s="504">
        <v>0</v>
      </c>
      <c r="JV19" s="504">
        <v>0</v>
      </c>
      <c r="JW19" s="504">
        <v>0</v>
      </c>
      <c r="JX19" s="504">
        <v>0</v>
      </c>
      <c r="JY19" s="504">
        <v>0</v>
      </c>
      <c r="JZ19" s="504">
        <v>0</v>
      </c>
      <c r="KA19" s="504">
        <v>0</v>
      </c>
      <c r="KB19" s="504">
        <v>0</v>
      </c>
      <c r="KC19" s="504">
        <v>0</v>
      </c>
      <c r="KD19" s="504">
        <v>0</v>
      </c>
      <c r="KE19" s="504">
        <v>0</v>
      </c>
      <c r="KF19" s="504">
        <v>0</v>
      </c>
      <c r="KG19" s="504">
        <v>0</v>
      </c>
      <c r="KH19" s="504">
        <v>0</v>
      </c>
      <c r="KI19" s="504">
        <v>0</v>
      </c>
      <c r="KJ19" s="504">
        <v>0</v>
      </c>
      <c r="KK19" s="504">
        <v>0</v>
      </c>
      <c r="KL19" s="504">
        <v>0</v>
      </c>
      <c r="KM19" s="504">
        <v>0</v>
      </c>
      <c r="KN19" s="504">
        <v>0</v>
      </c>
      <c r="KO19" s="504">
        <v>0</v>
      </c>
      <c r="KP19" s="504">
        <v>0</v>
      </c>
      <c r="KQ19" s="504">
        <v>0</v>
      </c>
      <c r="KR19" s="504">
        <v>0</v>
      </c>
      <c r="KS19" s="504">
        <v>0</v>
      </c>
      <c r="KT19" s="1654">
        <v>0</v>
      </c>
      <c r="KU19" s="504">
        <v>0</v>
      </c>
      <c r="KV19" s="504">
        <v>0</v>
      </c>
      <c r="KW19" s="504">
        <v>0</v>
      </c>
      <c r="KX19" s="504">
        <v>1013</v>
      </c>
      <c r="KY19" s="504">
        <v>1266</v>
      </c>
      <c r="KZ19" s="504">
        <v>1572</v>
      </c>
      <c r="LA19" s="504">
        <v>0</v>
      </c>
      <c r="LB19" s="504">
        <v>0</v>
      </c>
      <c r="LC19" s="504">
        <v>0</v>
      </c>
      <c r="LD19" s="504">
        <v>0</v>
      </c>
      <c r="LE19" s="504">
        <v>0</v>
      </c>
      <c r="LF19" s="504">
        <v>0</v>
      </c>
      <c r="LG19" s="504">
        <v>0</v>
      </c>
      <c r="LH19" s="504">
        <v>0</v>
      </c>
      <c r="LI19" s="504">
        <v>0</v>
      </c>
      <c r="LJ19" s="504">
        <v>0</v>
      </c>
      <c r="LK19" s="504">
        <v>0</v>
      </c>
      <c r="LL19" s="504">
        <v>0</v>
      </c>
      <c r="LM19" s="504">
        <v>0</v>
      </c>
      <c r="LN19" s="504">
        <v>0</v>
      </c>
      <c r="LO19" s="504">
        <v>0</v>
      </c>
      <c r="LP19" s="504">
        <v>0</v>
      </c>
      <c r="LQ19" s="504">
        <v>0</v>
      </c>
      <c r="LR19" s="504">
        <v>0</v>
      </c>
      <c r="LS19" s="504">
        <v>0</v>
      </c>
      <c r="LT19" s="504">
        <v>0</v>
      </c>
      <c r="LU19" s="504">
        <v>0</v>
      </c>
      <c r="LV19" s="504">
        <v>0</v>
      </c>
      <c r="LW19" s="504">
        <v>0</v>
      </c>
      <c r="LX19" s="504">
        <v>0</v>
      </c>
      <c r="LY19" s="504">
        <v>0</v>
      </c>
      <c r="LZ19" s="504">
        <v>0</v>
      </c>
      <c r="MA19" s="504">
        <v>0</v>
      </c>
      <c r="MB19" s="504">
        <v>0</v>
      </c>
      <c r="MC19" s="504">
        <v>0</v>
      </c>
      <c r="MD19" s="504">
        <v>0</v>
      </c>
      <c r="ME19" s="504">
        <v>0</v>
      </c>
      <c r="MF19" s="504">
        <v>0</v>
      </c>
      <c r="MG19" s="504">
        <v>0</v>
      </c>
      <c r="MH19" s="504">
        <v>0</v>
      </c>
      <c r="MI19" s="504">
        <v>0</v>
      </c>
      <c r="MJ19" s="504">
        <v>0</v>
      </c>
      <c r="MK19" s="504">
        <v>0</v>
      </c>
      <c r="ML19" s="504">
        <v>0</v>
      </c>
      <c r="MM19" s="504">
        <v>0</v>
      </c>
      <c r="MN19" s="504">
        <v>0</v>
      </c>
      <c r="MO19" s="504">
        <v>0</v>
      </c>
      <c r="MP19" s="504">
        <v>0</v>
      </c>
      <c r="MQ19" s="504">
        <v>0</v>
      </c>
      <c r="MR19" s="504">
        <v>0</v>
      </c>
      <c r="MS19" s="504">
        <v>0</v>
      </c>
      <c r="MT19" s="504">
        <v>0</v>
      </c>
      <c r="MU19" s="504">
        <v>0</v>
      </c>
      <c r="MV19" s="504">
        <v>0</v>
      </c>
      <c r="MW19" s="504">
        <v>0</v>
      </c>
      <c r="MX19" s="504">
        <v>0</v>
      </c>
      <c r="MY19" s="504">
        <v>0</v>
      </c>
      <c r="MZ19" s="504">
        <v>0</v>
      </c>
      <c r="NA19" s="504">
        <v>0</v>
      </c>
      <c r="NB19" s="504">
        <v>0</v>
      </c>
      <c r="NC19" s="504">
        <v>0</v>
      </c>
      <c r="ND19" s="504">
        <v>0</v>
      </c>
      <c r="NE19" s="504">
        <v>0</v>
      </c>
      <c r="NF19" s="504">
        <v>0</v>
      </c>
      <c r="NG19" s="504">
        <v>0</v>
      </c>
      <c r="NH19" s="504">
        <v>0</v>
      </c>
      <c r="NI19" s="504">
        <v>0</v>
      </c>
      <c r="NJ19" s="504">
        <v>0</v>
      </c>
      <c r="NK19" s="504">
        <v>0</v>
      </c>
      <c r="NL19" s="504">
        <v>0</v>
      </c>
      <c r="NM19" s="504">
        <v>0</v>
      </c>
      <c r="NN19" s="504">
        <v>0</v>
      </c>
      <c r="NO19" s="504">
        <v>0</v>
      </c>
      <c r="NP19" s="504">
        <v>0</v>
      </c>
      <c r="NQ19" s="504">
        <v>0</v>
      </c>
      <c r="NR19" s="504">
        <v>0</v>
      </c>
      <c r="NS19" s="504">
        <v>0</v>
      </c>
      <c r="NT19" s="504">
        <v>0</v>
      </c>
      <c r="NU19" s="504">
        <v>0</v>
      </c>
      <c r="NV19" s="504">
        <v>0</v>
      </c>
      <c r="NW19" s="504">
        <v>0</v>
      </c>
      <c r="NX19" s="504">
        <v>0</v>
      </c>
      <c r="NY19" s="504">
        <v>0</v>
      </c>
      <c r="NZ19" s="504">
        <v>0</v>
      </c>
      <c r="OA19" s="504">
        <v>0</v>
      </c>
      <c r="OB19" s="504">
        <v>0</v>
      </c>
      <c r="OC19" s="504">
        <v>0</v>
      </c>
      <c r="OD19" s="504">
        <v>0</v>
      </c>
      <c r="OE19" s="504">
        <v>0</v>
      </c>
      <c r="OF19" s="504">
        <v>0</v>
      </c>
      <c r="OG19" s="504">
        <v>0</v>
      </c>
      <c r="OH19" s="504">
        <v>0</v>
      </c>
      <c r="OI19" s="504">
        <v>0</v>
      </c>
      <c r="OJ19" s="504">
        <v>0</v>
      </c>
      <c r="OK19" s="504">
        <v>0</v>
      </c>
      <c r="OL19" s="504">
        <v>0</v>
      </c>
      <c r="OM19" s="504">
        <v>0</v>
      </c>
      <c r="ON19" s="504">
        <v>0</v>
      </c>
      <c r="OO19" s="504">
        <v>0</v>
      </c>
      <c r="OP19" s="504">
        <v>0</v>
      </c>
      <c r="OQ19" s="504">
        <v>0</v>
      </c>
      <c r="OR19"/>
      <c r="OS19"/>
      <c r="OT19"/>
      <c r="OU19"/>
      <c r="OV19"/>
      <c r="OW19"/>
      <c r="OX19"/>
      <c r="OY19"/>
      <c r="OZ19"/>
      <c r="PA19"/>
      <c r="PB19"/>
      <c r="PC19"/>
      <c r="PD19"/>
      <c r="PE19"/>
      <c r="PF19"/>
      <c r="PG19"/>
      <c r="PH19"/>
      <c r="PI19"/>
      <c r="PJ19"/>
      <c r="PK19"/>
      <c r="PL19"/>
      <c r="PM19"/>
      <c r="PN19"/>
      <c r="PO19"/>
      <c r="PP19"/>
      <c r="PQ19"/>
      <c r="PR19"/>
      <c r="PS19"/>
      <c r="PT19" s="1656"/>
    </row>
    <row r="20" spans="1:436" ht="21.5">
      <c r="A20" s="1466" t="s">
        <v>1682</v>
      </c>
      <c r="B20" s="1576" t="s">
        <v>2358</v>
      </c>
      <c r="C20" s="1576" t="s">
        <v>13</v>
      </c>
      <c r="D20" s="1576">
        <v>43</v>
      </c>
      <c r="E20" s="504">
        <v>47</v>
      </c>
      <c r="F20" s="504">
        <v>186</v>
      </c>
      <c r="G20" s="504">
        <v>477</v>
      </c>
      <c r="H20" s="504">
        <v>744</v>
      </c>
      <c r="I20" s="504">
        <v>1066</v>
      </c>
      <c r="J20" s="504">
        <v>1303</v>
      </c>
      <c r="K20" s="504">
        <v>1318</v>
      </c>
      <c r="L20" s="504">
        <v>1335</v>
      </c>
      <c r="M20" s="504">
        <v>1351</v>
      </c>
      <c r="N20" s="504">
        <v>1368</v>
      </c>
      <c r="O20" s="504">
        <v>1385</v>
      </c>
      <c r="P20" s="504">
        <v>1402</v>
      </c>
      <c r="Q20" s="504">
        <v>1420</v>
      </c>
      <c r="R20" s="504">
        <v>1438</v>
      </c>
      <c r="S20" s="504">
        <v>1457</v>
      </c>
      <c r="T20" s="504">
        <v>1475</v>
      </c>
      <c r="U20" s="504">
        <v>1494</v>
      </c>
      <c r="V20" s="504">
        <v>1514</v>
      </c>
      <c r="W20" s="504">
        <v>1533</v>
      </c>
      <c r="X20" s="504">
        <v>1553</v>
      </c>
      <c r="Y20" s="504">
        <v>1573</v>
      </c>
      <c r="Z20" s="504">
        <v>1594</v>
      </c>
      <c r="AA20" s="504">
        <v>1615</v>
      </c>
      <c r="AB20" s="504">
        <v>1636</v>
      </c>
      <c r="AC20" s="504">
        <v>1657</v>
      </c>
      <c r="AD20" s="504">
        <v>1679</v>
      </c>
      <c r="AE20" s="504">
        <v>1701</v>
      </c>
      <c r="AF20" s="504">
        <v>1724</v>
      </c>
      <c r="AG20" s="504">
        <v>1747</v>
      </c>
      <c r="AH20" s="504">
        <v>1770</v>
      </c>
      <c r="AI20" s="504">
        <v>1795</v>
      </c>
      <c r="AJ20" s="504">
        <v>1821</v>
      </c>
      <c r="AK20" s="504">
        <v>1848</v>
      </c>
      <c r="AL20" s="504">
        <v>1876</v>
      </c>
      <c r="AM20" s="504">
        <v>1908</v>
      </c>
      <c r="AN20" s="504">
        <v>1942</v>
      </c>
      <c r="AO20" s="504">
        <v>2000</v>
      </c>
      <c r="AP20" s="504">
        <v>0</v>
      </c>
      <c r="AQ20" s="504">
        <v>0</v>
      </c>
      <c r="AR20" s="504">
        <v>0</v>
      </c>
      <c r="AS20" s="504">
        <v>0</v>
      </c>
      <c r="AT20" s="504">
        <v>0</v>
      </c>
      <c r="AU20" s="504">
        <v>0</v>
      </c>
      <c r="AV20" s="504">
        <v>0</v>
      </c>
      <c r="AW20" s="504">
        <v>0</v>
      </c>
      <c r="AX20" s="504">
        <v>0</v>
      </c>
      <c r="AY20" s="504">
        <v>0</v>
      </c>
      <c r="AZ20" s="504">
        <v>0</v>
      </c>
      <c r="BA20" s="504">
        <v>0</v>
      </c>
      <c r="BB20" s="504">
        <v>0</v>
      </c>
      <c r="BC20" s="504">
        <v>0</v>
      </c>
      <c r="BD20" s="504">
        <v>0</v>
      </c>
      <c r="BE20" s="504">
        <v>0</v>
      </c>
      <c r="BF20" s="504">
        <v>0</v>
      </c>
      <c r="BG20" s="504">
        <v>0</v>
      </c>
      <c r="BH20" s="504">
        <v>0</v>
      </c>
      <c r="BI20" s="504">
        <v>0</v>
      </c>
      <c r="BJ20" s="504">
        <v>0</v>
      </c>
      <c r="BK20" s="504">
        <v>0</v>
      </c>
      <c r="BL20" s="504">
        <v>0</v>
      </c>
      <c r="BM20" s="504">
        <v>0</v>
      </c>
      <c r="BN20" s="504">
        <v>0</v>
      </c>
      <c r="BO20" s="504">
        <v>0</v>
      </c>
      <c r="BP20" s="504">
        <v>0</v>
      </c>
      <c r="BQ20" s="504">
        <v>0</v>
      </c>
      <c r="BR20" s="504">
        <v>0</v>
      </c>
      <c r="BS20" s="504">
        <v>0</v>
      </c>
      <c r="BT20" s="504">
        <v>0</v>
      </c>
      <c r="BU20" s="504">
        <v>0</v>
      </c>
      <c r="BV20" s="504">
        <v>0</v>
      </c>
      <c r="BW20" s="504">
        <v>0</v>
      </c>
      <c r="BX20" s="504">
        <v>0</v>
      </c>
      <c r="BY20" s="504">
        <v>0</v>
      </c>
      <c r="BZ20" s="504">
        <v>0</v>
      </c>
      <c r="CA20" s="504">
        <v>0</v>
      </c>
      <c r="CB20" s="504">
        <v>0</v>
      </c>
      <c r="CC20" s="504">
        <v>0</v>
      </c>
      <c r="CD20" s="504">
        <v>0</v>
      </c>
      <c r="CE20" s="504">
        <v>0</v>
      </c>
      <c r="CF20" s="504">
        <v>0</v>
      </c>
      <c r="CG20" s="504">
        <v>0</v>
      </c>
      <c r="CH20" s="504">
        <v>0</v>
      </c>
      <c r="CI20" s="504">
        <v>0</v>
      </c>
      <c r="CJ20" s="504">
        <v>0</v>
      </c>
      <c r="CK20" s="504">
        <v>0</v>
      </c>
      <c r="CL20" s="504">
        <v>0</v>
      </c>
      <c r="CM20" s="504">
        <v>0</v>
      </c>
      <c r="CN20" s="504">
        <v>0</v>
      </c>
      <c r="CO20" s="504">
        <v>0</v>
      </c>
      <c r="CP20" s="504">
        <v>0</v>
      </c>
      <c r="CQ20" s="504">
        <v>0</v>
      </c>
      <c r="CR20" s="504">
        <v>0</v>
      </c>
      <c r="CS20" s="504">
        <v>0</v>
      </c>
      <c r="CT20" s="504">
        <v>0</v>
      </c>
      <c r="CU20" s="504">
        <v>0</v>
      </c>
      <c r="CV20" s="504">
        <v>0</v>
      </c>
      <c r="CW20" s="504">
        <v>0</v>
      </c>
      <c r="CX20" s="504">
        <v>0</v>
      </c>
      <c r="CY20" s="504">
        <v>0</v>
      </c>
      <c r="CZ20" s="1654">
        <v>0</v>
      </c>
      <c r="DA20" s="504">
        <v>0</v>
      </c>
      <c r="DB20" s="504">
        <v>110</v>
      </c>
      <c r="DC20" s="504">
        <v>424</v>
      </c>
      <c r="DD20" s="504">
        <v>1027</v>
      </c>
      <c r="DE20" s="504">
        <v>1283</v>
      </c>
      <c r="DF20" s="504">
        <v>1594</v>
      </c>
      <c r="DG20" s="504">
        <v>0</v>
      </c>
      <c r="DH20" s="504">
        <v>0</v>
      </c>
      <c r="DI20" s="504">
        <v>0</v>
      </c>
      <c r="DJ20" s="504">
        <v>0</v>
      </c>
      <c r="DK20" s="504">
        <v>0</v>
      </c>
      <c r="DL20" s="504">
        <v>0</v>
      </c>
      <c r="DM20" s="504">
        <v>0</v>
      </c>
      <c r="DN20" s="504">
        <v>0</v>
      </c>
      <c r="DO20" s="504">
        <v>0</v>
      </c>
      <c r="DP20" s="504">
        <v>0</v>
      </c>
      <c r="DQ20" s="504">
        <v>0</v>
      </c>
      <c r="DR20" s="504">
        <v>0</v>
      </c>
      <c r="DS20" s="504">
        <v>0</v>
      </c>
      <c r="DT20" s="504">
        <v>0</v>
      </c>
      <c r="DU20" s="504">
        <v>0</v>
      </c>
      <c r="DV20" s="504">
        <v>0</v>
      </c>
      <c r="DW20" s="504">
        <v>0</v>
      </c>
      <c r="DX20" s="504">
        <v>0</v>
      </c>
      <c r="DY20" s="504">
        <v>0</v>
      </c>
      <c r="DZ20" s="504">
        <v>0</v>
      </c>
      <c r="EA20" s="504">
        <v>0</v>
      </c>
      <c r="EB20" s="504">
        <v>0</v>
      </c>
      <c r="EC20" s="504">
        <v>0</v>
      </c>
      <c r="ED20" s="504">
        <v>0</v>
      </c>
      <c r="EE20" s="504">
        <v>0</v>
      </c>
      <c r="EF20" s="504">
        <v>0</v>
      </c>
      <c r="EG20" s="504">
        <v>0</v>
      </c>
      <c r="EH20" s="504">
        <v>0</v>
      </c>
      <c r="EI20" s="504">
        <v>0</v>
      </c>
      <c r="EJ20" s="504">
        <v>0</v>
      </c>
      <c r="EK20" s="504">
        <v>0</v>
      </c>
      <c r="EL20" s="504">
        <v>0</v>
      </c>
      <c r="EM20" s="504">
        <v>0</v>
      </c>
      <c r="EN20" s="504">
        <v>0</v>
      </c>
      <c r="EO20" s="504">
        <v>0</v>
      </c>
      <c r="EP20" s="504">
        <v>0</v>
      </c>
      <c r="EQ20" s="504">
        <v>0</v>
      </c>
      <c r="ER20" s="504">
        <v>0</v>
      </c>
      <c r="ES20" s="504">
        <v>0</v>
      </c>
      <c r="ET20" s="504">
        <v>0</v>
      </c>
      <c r="EU20" s="504">
        <v>0</v>
      </c>
      <c r="EV20" s="504">
        <v>0</v>
      </c>
      <c r="EW20" s="504">
        <v>0</v>
      </c>
      <c r="EX20" s="504">
        <v>0</v>
      </c>
      <c r="EY20" s="504">
        <v>0</v>
      </c>
      <c r="EZ20" s="504">
        <v>0</v>
      </c>
      <c r="FA20" s="504">
        <v>0</v>
      </c>
      <c r="FB20" s="504">
        <v>0</v>
      </c>
      <c r="FC20" s="504">
        <v>0</v>
      </c>
      <c r="FD20" s="504">
        <v>0</v>
      </c>
      <c r="FE20" s="504">
        <v>0</v>
      </c>
      <c r="FF20" s="504">
        <v>0</v>
      </c>
      <c r="FG20" s="504">
        <v>0</v>
      </c>
      <c r="FH20" s="504">
        <v>0</v>
      </c>
      <c r="FI20" s="504">
        <v>0</v>
      </c>
      <c r="FJ20" s="504">
        <v>0</v>
      </c>
      <c r="FK20" s="504">
        <v>0</v>
      </c>
      <c r="FL20" s="504">
        <v>0</v>
      </c>
      <c r="FM20" s="504">
        <v>0</v>
      </c>
      <c r="FN20" s="504">
        <v>0</v>
      </c>
      <c r="FO20" s="504">
        <v>0</v>
      </c>
      <c r="FP20" s="504">
        <v>0</v>
      </c>
      <c r="FQ20" s="504">
        <v>0</v>
      </c>
      <c r="FR20" s="504">
        <v>0</v>
      </c>
      <c r="FS20" s="504">
        <v>0</v>
      </c>
      <c r="FT20" s="504">
        <v>0</v>
      </c>
      <c r="FU20" s="504">
        <v>0</v>
      </c>
      <c r="FV20" s="504">
        <v>0</v>
      </c>
      <c r="FW20" s="504">
        <v>0</v>
      </c>
      <c r="FX20" s="504">
        <v>0</v>
      </c>
      <c r="FY20" s="504">
        <v>0</v>
      </c>
      <c r="FZ20" s="504">
        <v>0</v>
      </c>
      <c r="GA20" s="504">
        <v>0</v>
      </c>
      <c r="GB20" s="504">
        <v>0</v>
      </c>
      <c r="GC20" s="504">
        <v>0</v>
      </c>
      <c r="GD20" s="504">
        <v>0</v>
      </c>
      <c r="GE20" s="504">
        <v>0</v>
      </c>
      <c r="GF20" s="504">
        <v>0</v>
      </c>
      <c r="GG20" s="504">
        <v>0</v>
      </c>
      <c r="GH20" s="504">
        <v>0</v>
      </c>
      <c r="GI20" s="504">
        <v>0</v>
      </c>
      <c r="GJ20" s="504">
        <v>0</v>
      </c>
      <c r="GK20" s="504">
        <v>0</v>
      </c>
      <c r="GL20" s="504">
        <v>0</v>
      </c>
      <c r="GM20" s="504">
        <v>0</v>
      </c>
      <c r="GN20" s="504">
        <v>0</v>
      </c>
      <c r="GO20" s="504">
        <v>0</v>
      </c>
      <c r="GP20" s="504">
        <v>0</v>
      </c>
      <c r="GQ20" s="504">
        <v>0</v>
      </c>
      <c r="GR20" s="504">
        <v>0</v>
      </c>
      <c r="GS20" s="504">
        <v>0</v>
      </c>
      <c r="GT20" s="504">
        <v>0</v>
      </c>
      <c r="GU20" s="504">
        <v>0</v>
      </c>
      <c r="GV20" s="504">
        <v>0</v>
      </c>
      <c r="GW20" s="1654">
        <v>0</v>
      </c>
      <c r="GX20" s="504">
        <v>0</v>
      </c>
      <c r="GY20" s="504">
        <v>9078</v>
      </c>
      <c r="GZ20" s="504">
        <v>24027</v>
      </c>
      <c r="HA20" s="504">
        <v>34000</v>
      </c>
      <c r="HB20" s="504">
        <v>33000</v>
      </c>
      <c r="HC20" s="504">
        <v>32000</v>
      </c>
      <c r="HD20" s="504">
        <v>0</v>
      </c>
      <c r="HE20" s="504">
        <v>0</v>
      </c>
      <c r="HF20" s="504">
        <v>0</v>
      </c>
      <c r="HG20" s="504">
        <v>0</v>
      </c>
      <c r="HH20" s="504">
        <v>0</v>
      </c>
      <c r="HI20" s="504">
        <v>0</v>
      </c>
      <c r="HJ20" s="504">
        <v>0</v>
      </c>
      <c r="HK20" s="504">
        <v>0</v>
      </c>
      <c r="HL20" s="504">
        <v>0</v>
      </c>
      <c r="HM20" s="504">
        <v>0</v>
      </c>
      <c r="HN20" s="504">
        <v>0</v>
      </c>
      <c r="HO20" s="504">
        <v>0</v>
      </c>
      <c r="HP20" s="504">
        <v>0</v>
      </c>
      <c r="HQ20" s="504">
        <v>0</v>
      </c>
      <c r="HR20" s="504">
        <v>0</v>
      </c>
      <c r="HS20" s="504">
        <v>0</v>
      </c>
      <c r="HT20" s="504">
        <v>0</v>
      </c>
      <c r="HU20" s="504">
        <v>0</v>
      </c>
      <c r="HV20" s="504">
        <v>0</v>
      </c>
      <c r="HW20" s="504">
        <v>0</v>
      </c>
      <c r="HX20" s="504">
        <v>0</v>
      </c>
      <c r="HY20" s="504">
        <v>0</v>
      </c>
      <c r="HZ20" s="504">
        <v>0</v>
      </c>
      <c r="IA20" s="504">
        <v>0</v>
      </c>
      <c r="IB20" s="504">
        <v>0</v>
      </c>
      <c r="IC20" s="504">
        <v>0</v>
      </c>
      <c r="ID20" s="504">
        <v>0</v>
      </c>
      <c r="IE20" s="504">
        <v>0</v>
      </c>
      <c r="IF20" s="504">
        <v>0</v>
      </c>
      <c r="IG20" s="504">
        <v>0</v>
      </c>
      <c r="IH20" s="504">
        <v>0</v>
      </c>
      <c r="II20" s="504">
        <v>0</v>
      </c>
      <c r="IJ20" s="504">
        <v>0</v>
      </c>
      <c r="IK20" s="504">
        <v>0</v>
      </c>
      <c r="IL20" s="504">
        <v>0</v>
      </c>
      <c r="IM20" s="504">
        <v>0</v>
      </c>
      <c r="IN20" s="504">
        <v>0</v>
      </c>
      <c r="IO20" s="504">
        <v>0</v>
      </c>
      <c r="IP20" s="504">
        <v>0</v>
      </c>
      <c r="IQ20" s="504">
        <v>0</v>
      </c>
      <c r="IR20" s="504">
        <v>0</v>
      </c>
      <c r="IS20" s="504">
        <v>0</v>
      </c>
      <c r="IT20" s="504">
        <v>0</v>
      </c>
      <c r="IU20" s="504">
        <v>0</v>
      </c>
      <c r="IV20" s="504">
        <v>0</v>
      </c>
      <c r="IW20" s="504">
        <v>0</v>
      </c>
      <c r="IX20" s="504">
        <v>0</v>
      </c>
      <c r="IY20" s="504">
        <v>0</v>
      </c>
      <c r="IZ20" s="504">
        <v>0</v>
      </c>
      <c r="JA20" s="504">
        <v>0</v>
      </c>
      <c r="JB20" s="504">
        <v>0</v>
      </c>
      <c r="JC20" s="504">
        <v>0</v>
      </c>
      <c r="JD20" s="504">
        <v>0</v>
      </c>
      <c r="JE20" s="504">
        <v>0</v>
      </c>
      <c r="JF20" s="504">
        <v>0</v>
      </c>
      <c r="JG20" s="504">
        <v>0</v>
      </c>
      <c r="JH20" s="504">
        <v>0</v>
      </c>
      <c r="JI20" s="504">
        <v>0</v>
      </c>
      <c r="JJ20" s="504">
        <v>0</v>
      </c>
      <c r="JK20" s="504">
        <v>0</v>
      </c>
      <c r="JL20" s="504">
        <v>0</v>
      </c>
      <c r="JM20" s="504">
        <v>0</v>
      </c>
      <c r="JN20" s="504">
        <v>0</v>
      </c>
      <c r="JO20" s="504">
        <v>0</v>
      </c>
      <c r="JP20" s="504">
        <v>0</v>
      </c>
      <c r="JQ20" s="504">
        <v>0</v>
      </c>
      <c r="JR20" s="504">
        <v>0</v>
      </c>
      <c r="JS20" s="504">
        <v>0</v>
      </c>
      <c r="JT20" s="504">
        <v>0</v>
      </c>
      <c r="JU20" s="504">
        <v>0</v>
      </c>
      <c r="JV20" s="504">
        <v>0</v>
      </c>
      <c r="JW20" s="504">
        <v>0</v>
      </c>
      <c r="JX20" s="504">
        <v>0</v>
      </c>
      <c r="JY20" s="504">
        <v>0</v>
      </c>
      <c r="JZ20" s="504">
        <v>0</v>
      </c>
      <c r="KA20" s="504">
        <v>0</v>
      </c>
      <c r="KB20" s="504">
        <v>0</v>
      </c>
      <c r="KC20" s="504">
        <v>0</v>
      </c>
      <c r="KD20" s="504">
        <v>0</v>
      </c>
      <c r="KE20" s="504">
        <v>0</v>
      </c>
      <c r="KF20" s="504">
        <v>0</v>
      </c>
      <c r="KG20" s="504">
        <v>0</v>
      </c>
      <c r="KH20" s="504">
        <v>0</v>
      </c>
      <c r="KI20" s="504">
        <v>0</v>
      </c>
      <c r="KJ20" s="504">
        <v>0</v>
      </c>
      <c r="KK20" s="504">
        <v>0</v>
      </c>
      <c r="KL20" s="504">
        <v>0</v>
      </c>
      <c r="KM20" s="504">
        <v>0</v>
      </c>
      <c r="KN20" s="504">
        <v>0</v>
      </c>
      <c r="KO20" s="504">
        <v>0</v>
      </c>
      <c r="KP20" s="504">
        <v>0</v>
      </c>
      <c r="KQ20" s="504">
        <v>0</v>
      </c>
      <c r="KR20" s="504">
        <v>0</v>
      </c>
      <c r="KS20" s="504">
        <v>0</v>
      </c>
      <c r="KT20" s="1654">
        <v>0</v>
      </c>
      <c r="KU20" s="504">
        <v>0</v>
      </c>
      <c r="KV20" s="504">
        <v>0</v>
      </c>
      <c r="KW20" s="504">
        <v>0</v>
      </c>
      <c r="KX20" s="504">
        <v>1007</v>
      </c>
      <c r="KY20" s="504">
        <v>1263</v>
      </c>
      <c r="KZ20" s="504">
        <v>1573</v>
      </c>
      <c r="LA20" s="504">
        <v>0</v>
      </c>
      <c r="LB20" s="504">
        <v>0</v>
      </c>
      <c r="LC20" s="504">
        <v>0</v>
      </c>
      <c r="LD20" s="504">
        <v>0</v>
      </c>
      <c r="LE20" s="504">
        <v>0</v>
      </c>
      <c r="LF20" s="504">
        <v>0</v>
      </c>
      <c r="LG20" s="504">
        <v>0</v>
      </c>
      <c r="LH20" s="504">
        <v>0</v>
      </c>
      <c r="LI20" s="504">
        <v>0</v>
      </c>
      <c r="LJ20" s="504">
        <v>0</v>
      </c>
      <c r="LK20" s="504">
        <v>0</v>
      </c>
      <c r="LL20" s="504">
        <v>0</v>
      </c>
      <c r="LM20" s="504">
        <v>0</v>
      </c>
      <c r="LN20" s="504">
        <v>0</v>
      </c>
      <c r="LO20" s="504">
        <v>0</v>
      </c>
      <c r="LP20" s="504">
        <v>0</v>
      </c>
      <c r="LQ20" s="504">
        <v>0</v>
      </c>
      <c r="LR20" s="504">
        <v>0</v>
      </c>
      <c r="LS20" s="504">
        <v>0</v>
      </c>
      <c r="LT20" s="504">
        <v>0</v>
      </c>
      <c r="LU20" s="504">
        <v>0</v>
      </c>
      <c r="LV20" s="504">
        <v>0</v>
      </c>
      <c r="LW20" s="504">
        <v>0</v>
      </c>
      <c r="LX20" s="504">
        <v>0</v>
      </c>
      <c r="LY20" s="504">
        <v>0</v>
      </c>
      <c r="LZ20" s="504">
        <v>0</v>
      </c>
      <c r="MA20" s="504">
        <v>0</v>
      </c>
      <c r="MB20" s="504">
        <v>0</v>
      </c>
      <c r="MC20" s="504">
        <v>0</v>
      </c>
      <c r="MD20" s="504">
        <v>0</v>
      </c>
      <c r="ME20" s="504">
        <v>0</v>
      </c>
      <c r="MF20" s="504">
        <v>0</v>
      </c>
      <c r="MG20" s="504">
        <v>0</v>
      </c>
      <c r="MH20" s="504">
        <v>0</v>
      </c>
      <c r="MI20" s="504">
        <v>0</v>
      </c>
      <c r="MJ20" s="504">
        <v>0</v>
      </c>
      <c r="MK20" s="504">
        <v>0</v>
      </c>
      <c r="ML20" s="504">
        <v>0</v>
      </c>
      <c r="MM20" s="504">
        <v>0</v>
      </c>
      <c r="MN20" s="504">
        <v>0</v>
      </c>
      <c r="MO20" s="504">
        <v>0</v>
      </c>
      <c r="MP20" s="504">
        <v>0</v>
      </c>
      <c r="MQ20" s="504">
        <v>0</v>
      </c>
      <c r="MR20" s="504">
        <v>0</v>
      </c>
      <c r="MS20" s="504">
        <v>0</v>
      </c>
      <c r="MT20" s="504">
        <v>0</v>
      </c>
      <c r="MU20" s="504">
        <v>0</v>
      </c>
      <c r="MV20" s="504">
        <v>0</v>
      </c>
      <c r="MW20" s="504">
        <v>0</v>
      </c>
      <c r="MX20" s="504">
        <v>0</v>
      </c>
      <c r="MY20" s="504">
        <v>0</v>
      </c>
      <c r="MZ20" s="504">
        <v>0</v>
      </c>
      <c r="NA20" s="504">
        <v>0</v>
      </c>
      <c r="NB20" s="504">
        <v>0</v>
      </c>
      <c r="NC20" s="504">
        <v>0</v>
      </c>
      <c r="ND20" s="504">
        <v>0</v>
      </c>
      <c r="NE20" s="504">
        <v>0</v>
      </c>
      <c r="NF20" s="504">
        <v>0</v>
      </c>
      <c r="NG20" s="504">
        <v>0</v>
      </c>
      <c r="NH20" s="504">
        <v>0</v>
      </c>
      <c r="NI20" s="504">
        <v>0</v>
      </c>
      <c r="NJ20" s="504">
        <v>0</v>
      </c>
      <c r="NK20" s="504">
        <v>0</v>
      </c>
      <c r="NL20" s="504">
        <v>0</v>
      </c>
      <c r="NM20" s="504">
        <v>0</v>
      </c>
      <c r="NN20" s="504">
        <v>0</v>
      </c>
      <c r="NO20" s="504">
        <v>0</v>
      </c>
      <c r="NP20" s="504">
        <v>0</v>
      </c>
      <c r="NQ20" s="504">
        <v>0</v>
      </c>
      <c r="NR20" s="504">
        <v>0</v>
      </c>
      <c r="NS20" s="504">
        <v>0</v>
      </c>
      <c r="NT20" s="504">
        <v>0</v>
      </c>
      <c r="NU20" s="504">
        <v>0</v>
      </c>
      <c r="NV20" s="504">
        <v>0</v>
      </c>
      <c r="NW20" s="504">
        <v>0</v>
      </c>
      <c r="NX20" s="504">
        <v>0</v>
      </c>
      <c r="NY20" s="504">
        <v>0</v>
      </c>
      <c r="NZ20" s="504">
        <v>0</v>
      </c>
      <c r="OA20" s="504">
        <v>0</v>
      </c>
      <c r="OB20" s="504">
        <v>0</v>
      </c>
      <c r="OC20" s="504">
        <v>0</v>
      </c>
      <c r="OD20" s="504">
        <v>0</v>
      </c>
      <c r="OE20" s="504">
        <v>0</v>
      </c>
      <c r="OF20" s="504">
        <v>0</v>
      </c>
      <c r="OG20" s="504">
        <v>0</v>
      </c>
      <c r="OH20" s="504">
        <v>0</v>
      </c>
      <c r="OI20" s="504">
        <v>0</v>
      </c>
      <c r="OJ20" s="504">
        <v>0</v>
      </c>
      <c r="OK20" s="504">
        <v>0</v>
      </c>
      <c r="OL20" s="504">
        <v>0</v>
      </c>
      <c r="OM20" s="504">
        <v>0</v>
      </c>
      <c r="ON20" s="504">
        <v>0</v>
      </c>
      <c r="OO20" s="504">
        <v>0</v>
      </c>
      <c r="OP20" s="504">
        <v>0</v>
      </c>
      <c r="OQ20" s="504">
        <v>0</v>
      </c>
      <c r="OR20"/>
      <c r="OS20"/>
      <c r="OT20"/>
      <c r="OU20"/>
      <c r="OV20"/>
      <c r="OW20"/>
      <c r="OX20"/>
      <c r="OY20"/>
      <c r="OZ20"/>
      <c r="PA20"/>
      <c r="PB20"/>
      <c r="PC20"/>
      <c r="PD20"/>
      <c r="PE20"/>
      <c r="PF20"/>
      <c r="PG20"/>
      <c r="PH20"/>
      <c r="PI20"/>
      <c r="PJ20"/>
      <c r="PK20"/>
      <c r="PL20"/>
      <c r="PM20"/>
      <c r="PN20"/>
      <c r="PO20"/>
      <c r="PP20"/>
      <c r="PQ20"/>
      <c r="PR20"/>
      <c r="PS20"/>
      <c r="PT20" s="1656"/>
    </row>
    <row r="21" spans="1:436" ht="21.5">
      <c r="A21" s="1466" t="s">
        <v>1683</v>
      </c>
      <c r="B21" s="1576" t="s">
        <v>2358</v>
      </c>
      <c r="C21" s="1576" t="s">
        <v>13</v>
      </c>
      <c r="D21" s="1576">
        <v>44</v>
      </c>
      <c r="E21" s="504">
        <v>47</v>
      </c>
      <c r="F21" s="504">
        <v>188</v>
      </c>
      <c r="G21" s="504">
        <v>483</v>
      </c>
      <c r="H21" s="504">
        <v>753</v>
      </c>
      <c r="I21" s="504">
        <v>1079</v>
      </c>
      <c r="J21" s="504">
        <v>1318</v>
      </c>
      <c r="K21" s="504">
        <v>1335</v>
      </c>
      <c r="L21" s="504">
        <v>1351</v>
      </c>
      <c r="M21" s="504">
        <v>1368</v>
      </c>
      <c r="N21" s="504">
        <v>1385</v>
      </c>
      <c r="O21" s="504">
        <v>1402</v>
      </c>
      <c r="P21" s="504">
        <v>1420</v>
      </c>
      <c r="Q21" s="504">
        <v>1438</v>
      </c>
      <c r="R21" s="504">
        <v>1457</v>
      </c>
      <c r="S21" s="504">
        <v>1475</v>
      </c>
      <c r="T21" s="504">
        <v>1494</v>
      </c>
      <c r="U21" s="504">
        <v>1514</v>
      </c>
      <c r="V21" s="504">
        <v>1533</v>
      </c>
      <c r="W21" s="504">
        <v>1553</v>
      </c>
      <c r="X21" s="504">
        <v>1573</v>
      </c>
      <c r="Y21" s="504">
        <v>1594</v>
      </c>
      <c r="Z21" s="504">
        <v>1615</v>
      </c>
      <c r="AA21" s="504">
        <v>1636</v>
      </c>
      <c r="AB21" s="504">
        <v>1657</v>
      </c>
      <c r="AC21" s="504">
        <v>1679</v>
      </c>
      <c r="AD21" s="504">
        <v>1701</v>
      </c>
      <c r="AE21" s="504">
        <v>1724</v>
      </c>
      <c r="AF21" s="504">
        <v>1747</v>
      </c>
      <c r="AG21" s="504">
        <v>1770</v>
      </c>
      <c r="AH21" s="504">
        <v>1795</v>
      </c>
      <c r="AI21" s="504">
        <v>1821</v>
      </c>
      <c r="AJ21" s="504">
        <v>1848</v>
      </c>
      <c r="AK21" s="504">
        <v>1876</v>
      </c>
      <c r="AL21" s="504">
        <v>1908</v>
      </c>
      <c r="AM21" s="504">
        <v>1942</v>
      </c>
      <c r="AN21" s="504">
        <v>2000</v>
      </c>
      <c r="AO21" s="504">
        <v>0</v>
      </c>
      <c r="AP21" s="504">
        <v>0</v>
      </c>
      <c r="AQ21" s="504">
        <v>0</v>
      </c>
      <c r="AR21" s="504">
        <v>0</v>
      </c>
      <c r="AS21" s="504">
        <v>0</v>
      </c>
      <c r="AT21" s="504">
        <v>0</v>
      </c>
      <c r="AU21" s="504">
        <v>0</v>
      </c>
      <c r="AV21" s="504">
        <v>0</v>
      </c>
      <c r="AW21" s="504">
        <v>0</v>
      </c>
      <c r="AX21" s="504">
        <v>0</v>
      </c>
      <c r="AY21" s="504">
        <v>0</v>
      </c>
      <c r="AZ21" s="504">
        <v>0</v>
      </c>
      <c r="BA21" s="504">
        <v>0</v>
      </c>
      <c r="BB21" s="504">
        <v>0</v>
      </c>
      <c r="BC21" s="504">
        <v>0</v>
      </c>
      <c r="BD21" s="504">
        <v>0</v>
      </c>
      <c r="BE21" s="504">
        <v>0</v>
      </c>
      <c r="BF21" s="504">
        <v>0</v>
      </c>
      <c r="BG21" s="504">
        <v>0</v>
      </c>
      <c r="BH21" s="504">
        <v>0</v>
      </c>
      <c r="BI21" s="504">
        <v>0</v>
      </c>
      <c r="BJ21" s="504">
        <v>0</v>
      </c>
      <c r="BK21" s="504">
        <v>0</v>
      </c>
      <c r="BL21" s="504">
        <v>0</v>
      </c>
      <c r="BM21" s="504">
        <v>0</v>
      </c>
      <c r="BN21" s="504">
        <v>0</v>
      </c>
      <c r="BO21" s="504">
        <v>0</v>
      </c>
      <c r="BP21" s="504">
        <v>0</v>
      </c>
      <c r="BQ21" s="504">
        <v>0</v>
      </c>
      <c r="BR21" s="504">
        <v>0</v>
      </c>
      <c r="BS21" s="504">
        <v>0</v>
      </c>
      <c r="BT21" s="504">
        <v>0</v>
      </c>
      <c r="BU21" s="504">
        <v>0</v>
      </c>
      <c r="BV21" s="504">
        <v>0</v>
      </c>
      <c r="BW21" s="504">
        <v>0</v>
      </c>
      <c r="BX21" s="504">
        <v>0</v>
      </c>
      <c r="BY21" s="504">
        <v>0</v>
      </c>
      <c r="BZ21" s="504">
        <v>0</v>
      </c>
      <c r="CA21" s="504">
        <v>0</v>
      </c>
      <c r="CB21" s="504">
        <v>0</v>
      </c>
      <c r="CC21" s="504">
        <v>0</v>
      </c>
      <c r="CD21" s="504">
        <v>0</v>
      </c>
      <c r="CE21" s="504">
        <v>0</v>
      </c>
      <c r="CF21" s="504">
        <v>0</v>
      </c>
      <c r="CG21" s="504">
        <v>0</v>
      </c>
      <c r="CH21" s="504">
        <v>0</v>
      </c>
      <c r="CI21" s="504">
        <v>0</v>
      </c>
      <c r="CJ21" s="504">
        <v>0</v>
      </c>
      <c r="CK21" s="504">
        <v>0</v>
      </c>
      <c r="CL21" s="504">
        <v>0</v>
      </c>
      <c r="CM21" s="504">
        <v>0</v>
      </c>
      <c r="CN21" s="504">
        <v>0</v>
      </c>
      <c r="CO21" s="504">
        <v>0</v>
      </c>
      <c r="CP21" s="504">
        <v>0</v>
      </c>
      <c r="CQ21" s="504">
        <v>0</v>
      </c>
      <c r="CR21" s="504">
        <v>0</v>
      </c>
      <c r="CS21" s="504">
        <v>0</v>
      </c>
      <c r="CT21" s="504">
        <v>0</v>
      </c>
      <c r="CU21" s="504">
        <v>0</v>
      </c>
      <c r="CV21" s="504">
        <v>0</v>
      </c>
      <c r="CW21" s="504">
        <v>0</v>
      </c>
      <c r="CX21" s="504">
        <v>0</v>
      </c>
      <c r="CY21" s="504">
        <v>0</v>
      </c>
      <c r="CZ21" s="1654">
        <v>0</v>
      </c>
      <c r="DA21" s="504">
        <v>0</v>
      </c>
      <c r="DB21" s="504">
        <v>107</v>
      </c>
      <c r="DC21" s="504">
        <v>418</v>
      </c>
      <c r="DD21" s="504">
        <v>1022</v>
      </c>
      <c r="DE21" s="504">
        <v>1281</v>
      </c>
      <c r="DF21" s="504">
        <v>1595</v>
      </c>
      <c r="DG21" s="504">
        <v>0</v>
      </c>
      <c r="DH21" s="504">
        <v>0</v>
      </c>
      <c r="DI21" s="504">
        <v>0</v>
      </c>
      <c r="DJ21" s="504">
        <v>0</v>
      </c>
      <c r="DK21" s="504">
        <v>0</v>
      </c>
      <c r="DL21" s="504">
        <v>0</v>
      </c>
      <c r="DM21" s="504">
        <v>0</v>
      </c>
      <c r="DN21" s="504">
        <v>0</v>
      </c>
      <c r="DO21" s="504">
        <v>0</v>
      </c>
      <c r="DP21" s="504">
        <v>0</v>
      </c>
      <c r="DQ21" s="504">
        <v>0</v>
      </c>
      <c r="DR21" s="504">
        <v>0</v>
      </c>
      <c r="DS21" s="504">
        <v>0</v>
      </c>
      <c r="DT21" s="504">
        <v>0</v>
      </c>
      <c r="DU21" s="504">
        <v>0</v>
      </c>
      <c r="DV21" s="504">
        <v>0</v>
      </c>
      <c r="DW21" s="504">
        <v>0</v>
      </c>
      <c r="DX21" s="504">
        <v>0</v>
      </c>
      <c r="DY21" s="504">
        <v>0</v>
      </c>
      <c r="DZ21" s="504">
        <v>0</v>
      </c>
      <c r="EA21" s="504">
        <v>0</v>
      </c>
      <c r="EB21" s="504">
        <v>0</v>
      </c>
      <c r="EC21" s="504">
        <v>0</v>
      </c>
      <c r="ED21" s="504">
        <v>0</v>
      </c>
      <c r="EE21" s="504">
        <v>0</v>
      </c>
      <c r="EF21" s="504">
        <v>0</v>
      </c>
      <c r="EG21" s="504">
        <v>0</v>
      </c>
      <c r="EH21" s="504">
        <v>0</v>
      </c>
      <c r="EI21" s="504">
        <v>0</v>
      </c>
      <c r="EJ21" s="504">
        <v>0</v>
      </c>
      <c r="EK21" s="504">
        <v>0</v>
      </c>
      <c r="EL21" s="504">
        <v>0</v>
      </c>
      <c r="EM21" s="504">
        <v>0</v>
      </c>
      <c r="EN21" s="504">
        <v>0</v>
      </c>
      <c r="EO21" s="504">
        <v>0</v>
      </c>
      <c r="EP21" s="504">
        <v>0</v>
      </c>
      <c r="EQ21" s="504">
        <v>0</v>
      </c>
      <c r="ER21" s="504">
        <v>0</v>
      </c>
      <c r="ES21" s="504">
        <v>0</v>
      </c>
      <c r="ET21" s="504">
        <v>0</v>
      </c>
      <c r="EU21" s="504">
        <v>0</v>
      </c>
      <c r="EV21" s="504">
        <v>0</v>
      </c>
      <c r="EW21" s="504">
        <v>0</v>
      </c>
      <c r="EX21" s="504">
        <v>0</v>
      </c>
      <c r="EY21" s="504">
        <v>0</v>
      </c>
      <c r="EZ21" s="504">
        <v>0</v>
      </c>
      <c r="FA21" s="504">
        <v>0</v>
      </c>
      <c r="FB21" s="504">
        <v>0</v>
      </c>
      <c r="FC21" s="504">
        <v>0</v>
      </c>
      <c r="FD21" s="504">
        <v>0</v>
      </c>
      <c r="FE21" s="504">
        <v>0</v>
      </c>
      <c r="FF21" s="504">
        <v>0</v>
      </c>
      <c r="FG21" s="504">
        <v>0</v>
      </c>
      <c r="FH21" s="504">
        <v>0</v>
      </c>
      <c r="FI21" s="504">
        <v>0</v>
      </c>
      <c r="FJ21" s="504">
        <v>0</v>
      </c>
      <c r="FK21" s="504">
        <v>0</v>
      </c>
      <c r="FL21" s="504">
        <v>0</v>
      </c>
      <c r="FM21" s="504">
        <v>0</v>
      </c>
      <c r="FN21" s="504">
        <v>0</v>
      </c>
      <c r="FO21" s="504">
        <v>0</v>
      </c>
      <c r="FP21" s="504">
        <v>0</v>
      </c>
      <c r="FQ21" s="504">
        <v>0</v>
      </c>
      <c r="FR21" s="504">
        <v>0</v>
      </c>
      <c r="FS21" s="504">
        <v>0</v>
      </c>
      <c r="FT21" s="504">
        <v>0</v>
      </c>
      <c r="FU21" s="504">
        <v>0</v>
      </c>
      <c r="FV21" s="504">
        <v>0</v>
      </c>
      <c r="FW21" s="504">
        <v>0</v>
      </c>
      <c r="FX21" s="504">
        <v>0</v>
      </c>
      <c r="FY21" s="504">
        <v>0</v>
      </c>
      <c r="FZ21" s="504">
        <v>0</v>
      </c>
      <c r="GA21" s="504">
        <v>0</v>
      </c>
      <c r="GB21" s="504">
        <v>0</v>
      </c>
      <c r="GC21" s="504">
        <v>0</v>
      </c>
      <c r="GD21" s="504">
        <v>0</v>
      </c>
      <c r="GE21" s="504">
        <v>0</v>
      </c>
      <c r="GF21" s="504">
        <v>0</v>
      </c>
      <c r="GG21" s="504">
        <v>0</v>
      </c>
      <c r="GH21" s="504">
        <v>0</v>
      </c>
      <c r="GI21" s="504">
        <v>0</v>
      </c>
      <c r="GJ21" s="504">
        <v>0</v>
      </c>
      <c r="GK21" s="504">
        <v>0</v>
      </c>
      <c r="GL21" s="504">
        <v>0</v>
      </c>
      <c r="GM21" s="504">
        <v>0</v>
      </c>
      <c r="GN21" s="504">
        <v>0</v>
      </c>
      <c r="GO21" s="504">
        <v>0</v>
      </c>
      <c r="GP21" s="504">
        <v>0</v>
      </c>
      <c r="GQ21" s="504">
        <v>0</v>
      </c>
      <c r="GR21" s="504">
        <v>0</v>
      </c>
      <c r="GS21" s="504">
        <v>0</v>
      </c>
      <c r="GT21" s="504">
        <v>0</v>
      </c>
      <c r="GU21" s="504">
        <v>0</v>
      </c>
      <c r="GV21" s="504">
        <v>0</v>
      </c>
      <c r="GW21" s="1654">
        <v>0</v>
      </c>
      <c r="GX21" s="504">
        <v>0</v>
      </c>
      <c r="GY21" s="504">
        <v>8247</v>
      </c>
      <c r="GZ21" s="504">
        <v>23036</v>
      </c>
      <c r="HA21" s="504">
        <v>33000</v>
      </c>
      <c r="HB21" s="504">
        <v>32000</v>
      </c>
      <c r="HC21" s="504">
        <v>31000</v>
      </c>
      <c r="HD21" s="504">
        <v>0</v>
      </c>
      <c r="HE21" s="504">
        <v>0</v>
      </c>
      <c r="HF21" s="504">
        <v>0</v>
      </c>
      <c r="HG21" s="504">
        <v>0</v>
      </c>
      <c r="HH21" s="504">
        <v>0</v>
      </c>
      <c r="HI21" s="504">
        <v>0</v>
      </c>
      <c r="HJ21" s="504">
        <v>0</v>
      </c>
      <c r="HK21" s="504">
        <v>0</v>
      </c>
      <c r="HL21" s="504">
        <v>0</v>
      </c>
      <c r="HM21" s="504">
        <v>0</v>
      </c>
      <c r="HN21" s="504">
        <v>0</v>
      </c>
      <c r="HO21" s="504">
        <v>0</v>
      </c>
      <c r="HP21" s="504">
        <v>0</v>
      </c>
      <c r="HQ21" s="504">
        <v>0</v>
      </c>
      <c r="HR21" s="504">
        <v>0</v>
      </c>
      <c r="HS21" s="504">
        <v>0</v>
      </c>
      <c r="HT21" s="504">
        <v>0</v>
      </c>
      <c r="HU21" s="504">
        <v>0</v>
      </c>
      <c r="HV21" s="504">
        <v>0</v>
      </c>
      <c r="HW21" s="504">
        <v>0</v>
      </c>
      <c r="HX21" s="504">
        <v>0</v>
      </c>
      <c r="HY21" s="504">
        <v>0</v>
      </c>
      <c r="HZ21" s="504">
        <v>0</v>
      </c>
      <c r="IA21" s="504">
        <v>0</v>
      </c>
      <c r="IB21" s="504">
        <v>0</v>
      </c>
      <c r="IC21" s="504">
        <v>0</v>
      </c>
      <c r="ID21" s="504">
        <v>0</v>
      </c>
      <c r="IE21" s="504">
        <v>0</v>
      </c>
      <c r="IF21" s="504">
        <v>0</v>
      </c>
      <c r="IG21" s="504">
        <v>0</v>
      </c>
      <c r="IH21" s="504">
        <v>0</v>
      </c>
      <c r="II21" s="504">
        <v>0</v>
      </c>
      <c r="IJ21" s="504">
        <v>0</v>
      </c>
      <c r="IK21" s="504">
        <v>0</v>
      </c>
      <c r="IL21" s="504">
        <v>0</v>
      </c>
      <c r="IM21" s="504">
        <v>0</v>
      </c>
      <c r="IN21" s="504">
        <v>0</v>
      </c>
      <c r="IO21" s="504">
        <v>0</v>
      </c>
      <c r="IP21" s="504">
        <v>0</v>
      </c>
      <c r="IQ21" s="504">
        <v>0</v>
      </c>
      <c r="IR21" s="504">
        <v>0</v>
      </c>
      <c r="IS21" s="504">
        <v>0</v>
      </c>
      <c r="IT21" s="504">
        <v>0</v>
      </c>
      <c r="IU21" s="504">
        <v>0</v>
      </c>
      <c r="IV21" s="504">
        <v>0</v>
      </c>
      <c r="IW21" s="504">
        <v>0</v>
      </c>
      <c r="IX21" s="504">
        <v>0</v>
      </c>
      <c r="IY21" s="504">
        <v>0</v>
      </c>
      <c r="IZ21" s="504">
        <v>0</v>
      </c>
      <c r="JA21" s="504">
        <v>0</v>
      </c>
      <c r="JB21" s="504">
        <v>0</v>
      </c>
      <c r="JC21" s="504">
        <v>0</v>
      </c>
      <c r="JD21" s="504">
        <v>0</v>
      </c>
      <c r="JE21" s="504">
        <v>0</v>
      </c>
      <c r="JF21" s="504">
        <v>0</v>
      </c>
      <c r="JG21" s="504">
        <v>0</v>
      </c>
      <c r="JH21" s="504">
        <v>0</v>
      </c>
      <c r="JI21" s="504">
        <v>0</v>
      </c>
      <c r="JJ21" s="504">
        <v>0</v>
      </c>
      <c r="JK21" s="504">
        <v>0</v>
      </c>
      <c r="JL21" s="504">
        <v>0</v>
      </c>
      <c r="JM21" s="504">
        <v>0</v>
      </c>
      <c r="JN21" s="504">
        <v>0</v>
      </c>
      <c r="JO21" s="504">
        <v>0</v>
      </c>
      <c r="JP21" s="504">
        <v>0</v>
      </c>
      <c r="JQ21" s="504">
        <v>0</v>
      </c>
      <c r="JR21" s="504">
        <v>0</v>
      </c>
      <c r="JS21" s="504">
        <v>0</v>
      </c>
      <c r="JT21" s="504">
        <v>0</v>
      </c>
      <c r="JU21" s="504">
        <v>0</v>
      </c>
      <c r="JV21" s="504">
        <v>0</v>
      </c>
      <c r="JW21" s="504">
        <v>0</v>
      </c>
      <c r="JX21" s="504">
        <v>0</v>
      </c>
      <c r="JY21" s="504">
        <v>0</v>
      </c>
      <c r="JZ21" s="504">
        <v>0</v>
      </c>
      <c r="KA21" s="504">
        <v>0</v>
      </c>
      <c r="KB21" s="504">
        <v>0</v>
      </c>
      <c r="KC21" s="504">
        <v>0</v>
      </c>
      <c r="KD21" s="504">
        <v>0</v>
      </c>
      <c r="KE21" s="504">
        <v>0</v>
      </c>
      <c r="KF21" s="504">
        <v>0</v>
      </c>
      <c r="KG21" s="504">
        <v>0</v>
      </c>
      <c r="KH21" s="504">
        <v>0</v>
      </c>
      <c r="KI21" s="504">
        <v>0</v>
      </c>
      <c r="KJ21" s="504">
        <v>0</v>
      </c>
      <c r="KK21" s="504">
        <v>0</v>
      </c>
      <c r="KL21" s="504">
        <v>0</v>
      </c>
      <c r="KM21" s="504">
        <v>0</v>
      </c>
      <c r="KN21" s="504">
        <v>0</v>
      </c>
      <c r="KO21" s="504">
        <v>0</v>
      </c>
      <c r="KP21" s="504">
        <v>0</v>
      </c>
      <c r="KQ21" s="504">
        <v>0</v>
      </c>
      <c r="KR21" s="504">
        <v>0</v>
      </c>
      <c r="KS21" s="504">
        <v>0</v>
      </c>
      <c r="KT21" s="1654">
        <v>0</v>
      </c>
      <c r="KU21" s="504">
        <v>0</v>
      </c>
      <c r="KV21" s="504">
        <v>0</v>
      </c>
      <c r="KW21" s="504">
        <v>0</v>
      </c>
      <c r="KX21" s="504">
        <v>1002</v>
      </c>
      <c r="KY21" s="504">
        <v>1260</v>
      </c>
      <c r="KZ21" s="504">
        <v>1574</v>
      </c>
      <c r="LA21" s="504">
        <v>0</v>
      </c>
      <c r="LB21" s="504">
        <v>0</v>
      </c>
      <c r="LC21" s="504">
        <v>0</v>
      </c>
      <c r="LD21" s="504">
        <v>0</v>
      </c>
      <c r="LE21" s="504">
        <v>0</v>
      </c>
      <c r="LF21" s="504">
        <v>0</v>
      </c>
      <c r="LG21" s="504">
        <v>0</v>
      </c>
      <c r="LH21" s="504">
        <v>0</v>
      </c>
      <c r="LI21" s="504">
        <v>0</v>
      </c>
      <c r="LJ21" s="504">
        <v>0</v>
      </c>
      <c r="LK21" s="504">
        <v>0</v>
      </c>
      <c r="LL21" s="504">
        <v>0</v>
      </c>
      <c r="LM21" s="504">
        <v>0</v>
      </c>
      <c r="LN21" s="504">
        <v>0</v>
      </c>
      <c r="LO21" s="504">
        <v>0</v>
      </c>
      <c r="LP21" s="504">
        <v>0</v>
      </c>
      <c r="LQ21" s="504">
        <v>0</v>
      </c>
      <c r="LR21" s="504">
        <v>0</v>
      </c>
      <c r="LS21" s="504">
        <v>0</v>
      </c>
      <c r="LT21" s="504">
        <v>0</v>
      </c>
      <c r="LU21" s="504">
        <v>0</v>
      </c>
      <c r="LV21" s="504">
        <v>0</v>
      </c>
      <c r="LW21" s="504">
        <v>0</v>
      </c>
      <c r="LX21" s="504">
        <v>0</v>
      </c>
      <c r="LY21" s="504">
        <v>0</v>
      </c>
      <c r="LZ21" s="504">
        <v>0</v>
      </c>
      <c r="MA21" s="504">
        <v>0</v>
      </c>
      <c r="MB21" s="504">
        <v>0</v>
      </c>
      <c r="MC21" s="504">
        <v>0</v>
      </c>
      <c r="MD21" s="504">
        <v>0</v>
      </c>
      <c r="ME21" s="504">
        <v>0</v>
      </c>
      <c r="MF21" s="504">
        <v>0</v>
      </c>
      <c r="MG21" s="504">
        <v>0</v>
      </c>
      <c r="MH21" s="504">
        <v>0</v>
      </c>
      <c r="MI21" s="504">
        <v>0</v>
      </c>
      <c r="MJ21" s="504">
        <v>0</v>
      </c>
      <c r="MK21" s="504">
        <v>0</v>
      </c>
      <c r="ML21" s="504">
        <v>0</v>
      </c>
      <c r="MM21" s="504">
        <v>0</v>
      </c>
      <c r="MN21" s="504">
        <v>0</v>
      </c>
      <c r="MO21" s="504">
        <v>0</v>
      </c>
      <c r="MP21" s="504">
        <v>0</v>
      </c>
      <c r="MQ21" s="504">
        <v>0</v>
      </c>
      <c r="MR21" s="504">
        <v>0</v>
      </c>
      <c r="MS21" s="504">
        <v>0</v>
      </c>
      <c r="MT21" s="504">
        <v>0</v>
      </c>
      <c r="MU21" s="504">
        <v>0</v>
      </c>
      <c r="MV21" s="504">
        <v>0</v>
      </c>
      <c r="MW21" s="504">
        <v>0</v>
      </c>
      <c r="MX21" s="504">
        <v>0</v>
      </c>
      <c r="MY21" s="504">
        <v>0</v>
      </c>
      <c r="MZ21" s="504">
        <v>0</v>
      </c>
      <c r="NA21" s="504">
        <v>0</v>
      </c>
      <c r="NB21" s="504">
        <v>0</v>
      </c>
      <c r="NC21" s="504">
        <v>0</v>
      </c>
      <c r="ND21" s="504">
        <v>0</v>
      </c>
      <c r="NE21" s="504">
        <v>0</v>
      </c>
      <c r="NF21" s="504">
        <v>0</v>
      </c>
      <c r="NG21" s="504">
        <v>0</v>
      </c>
      <c r="NH21" s="504">
        <v>0</v>
      </c>
      <c r="NI21" s="504">
        <v>0</v>
      </c>
      <c r="NJ21" s="504">
        <v>0</v>
      </c>
      <c r="NK21" s="504">
        <v>0</v>
      </c>
      <c r="NL21" s="504">
        <v>0</v>
      </c>
      <c r="NM21" s="504">
        <v>0</v>
      </c>
      <c r="NN21" s="504">
        <v>0</v>
      </c>
      <c r="NO21" s="504">
        <v>0</v>
      </c>
      <c r="NP21" s="504">
        <v>0</v>
      </c>
      <c r="NQ21" s="504">
        <v>0</v>
      </c>
      <c r="NR21" s="504">
        <v>0</v>
      </c>
      <c r="NS21" s="504">
        <v>0</v>
      </c>
      <c r="NT21" s="504">
        <v>0</v>
      </c>
      <c r="NU21" s="504">
        <v>0</v>
      </c>
      <c r="NV21" s="504">
        <v>0</v>
      </c>
      <c r="NW21" s="504">
        <v>0</v>
      </c>
      <c r="NX21" s="504">
        <v>0</v>
      </c>
      <c r="NY21" s="504">
        <v>0</v>
      </c>
      <c r="NZ21" s="504">
        <v>0</v>
      </c>
      <c r="OA21" s="504">
        <v>0</v>
      </c>
      <c r="OB21" s="504">
        <v>0</v>
      </c>
      <c r="OC21" s="504">
        <v>0</v>
      </c>
      <c r="OD21" s="504">
        <v>0</v>
      </c>
      <c r="OE21" s="504">
        <v>0</v>
      </c>
      <c r="OF21" s="504">
        <v>0</v>
      </c>
      <c r="OG21" s="504">
        <v>0</v>
      </c>
      <c r="OH21" s="504">
        <v>0</v>
      </c>
      <c r="OI21" s="504">
        <v>0</v>
      </c>
      <c r="OJ21" s="504">
        <v>0</v>
      </c>
      <c r="OK21" s="504">
        <v>0</v>
      </c>
      <c r="OL21" s="504">
        <v>0</v>
      </c>
      <c r="OM21" s="504">
        <v>0</v>
      </c>
      <c r="ON21" s="504">
        <v>0</v>
      </c>
      <c r="OO21" s="504">
        <v>0</v>
      </c>
      <c r="OP21" s="504">
        <v>0</v>
      </c>
      <c r="OQ21" s="504">
        <v>0</v>
      </c>
      <c r="OR21"/>
      <c r="OS21"/>
      <c r="OT21"/>
      <c r="OU21"/>
      <c r="OV21"/>
      <c r="OW21"/>
      <c r="OX21"/>
      <c r="OY21"/>
      <c r="OZ21"/>
      <c r="PA21"/>
      <c r="PB21"/>
      <c r="PC21"/>
      <c r="PD21"/>
      <c r="PE21"/>
      <c r="PF21"/>
      <c r="PG21"/>
      <c r="PH21"/>
      <c r="PI21"/>
      <c r="PJ21"/>
      <c r="PK21"/>
      <c r="PL21"/>
      <c r="PM21"/>
      <c r="PN21"/>
      <c r="PO21"/>
      <c r="PP21"/>
      <c r="PQ21"/>
      <c r="PR21"/>
      <c r="PS21"/>
      <c r="PT21" s="1656"/>
    </row>
    <row r="22" spans="1:436" ht="21.5">
      <c r="A22" s="1466" t="s">
        <v>1684</v>
      </c>
      <c r="B22" s="1576" t="s">
        <v>2358</v>
      </c>
      <c r="C22" s="1576" t="s">
        <v>13</v>
      </c>
      <c r="D22" s="1576">
        <v>45</v>
      </c>
      <c r="E22" s="504">
        <v>48</v>
      </c>
      <c r="F22" s="504">
        <v>191</v>
      </c>
      <c r="G22" s="504">
        <v>489</v>
      </c>
      <c r="H22" s="504">
        <v>763</v>
      </c>
      <c r="I22" s="504">
        <v>1092</v>
      </c>
      <c r="J22" s="504">
        <v>1335</v>
      </c>
      <c r="K22" s="504">
        <v>1351</v>
      </c>
      <c r="L22" s="504">
        <v>1368</v>
      </c>
      <c r="M22" s="504">
        <v>1385</v>
      </c>
      <c r="N22" s="504">
        <v>1402</v>
      </c>
      <c r="O22" s="504">
        <v>1420</v>
      </c>
      <c r="P22" s="504">
        <v>1438</v>
      </c>
      <c r="Q22" s="504">
        <v>1457</v>
      </c>
      <c r="R22" s="504">
        <v>1475</v>
      </c>
      <c r="S22" s="504">
        <v>1494</v>
      </c>
      <c r="T22" s="504">
        <v>1514</v>
      </c>
      <c r="U22" s="504">
        <v>1533</v>
      </c>
      <c r="V22" s="504">
        <v>1553</v>
      </c>
      <c r="W22" s="504">
        <v>1573</v>
      </c>
      <c r="X22" s="504">
        <v>1594</v>
      </c>
      <c r="Y22" s="504">
        <v>1615</v>
      </c>
      <c r="Z22" s="504">
        <v>1636</v>
      </c>
      <c r="AA22" s="504">
        <v>1657</v>
      </c>
      <c r="AB22" s="504">
        <v>1679</v>
      </c>
      <c r="AC22" s="504">
        <v>1701</v>
      </c>
      <c r="AD22" s="504">
        <v>1724</v>
      </c>
      <c r="AE22" s="504">
        <v>1747</v>
      </c>
      <c r="AF22" s="504">
        <v>1770</v>
      </c>
      <c r="AG22" s="504">
        <v>1795</v>
      </c>
      <c r="AH22" s="504">
        <v>1821</v>
      </c>
      <c r="AI22" s="504">
        <v>1848</v>
      </c>
      <c r="AJ22" s="504">
        <v>1876</v>
      </c>
      <c r="AK22" s="504">
        <v>1908</v>
      </c>
      <c r="AL22" s="504">
        <v>1942</v>
      </c>
      <c r="AM22" s="504">
        <v>2000</v>
      </c>
      <c r="AN22" s="504">
        <v>0</v>
      </c>
      <c r="AO22" s="504">
        <v>0</v>
      </c>
      <c r="AP22" s="504">
        <v>0</v>
      </c>
      <c r="AQ22" s="504">
        <v>0</v>
      </c>
      <c r="AR22" s="504">
        <v>0</v>
      </c>
      <c r="AS22" s="504">
        <v>0</v>
      </c>
      <c r="AT22" s="504">
        <v>0</v>
      </c>
      <c r="AU22" s="504">
        <v>0</v>
      </c>
      <c r="AV22" s="504">
        <v>0</v>
      </c>
      <c r="AW22" s="504">
        <v>0</v>
      </c>
      <c r="AX22" s="504">
        <v>0</v>
      </c>
      <c r="AY22" s="504">
        <v>0</v>
      </c>
      <c r="AZ22" s="504">
        <v>0</v>
      </c>
      <c r="BA22" s="504">
        <v>0</v>
      </c>
      <c r="BB22" s="504">
        <v>0</v>
      </c>
      <c r="BC22" s="504">
        <v>0</v>
      </c>
      <c r="BD22" s="504">
        <v>0</v>
      </c>
      <c r="BE22" s="504">
        <v>0</v>
      </c>
      <c r="BF22" s="504">
        <v>0</v>
      </c>
      <c r="BG22" s="504">
        <v>0</v>
      </c>
      <c r="BH22" s="504">
        <v>0</v>
      </c>
      <c r="BI22" s="504">
        <v>0</v>
      </c>
      <c r="BJ22" s="504">
        <v>0</v>
      </c>
      <c r="BK22" s="504">
        <v>0</v>
      </c>
      <c r="BL22" s="504">
        <v>0</v>
      </c>
      <c r="BM22" s="504">
        <v>0</v>
      </c>
      <c r="BN22" s="504">
        <v>0</v>
      </c>
      <c r="BO22" s="504">
        <v>0</v>
      </c>
      <c r="BP22" s="504">
        <v>0</v>
      </c>
      <c r="BQ22" s="504">
        <v>0</v>
      </c>
      <c r="BR22" s="504">
        <v>0</v>
      </c>
      <c r="BS22" s="504">
        <v>0</v>
      </c>
      <c r="BT22" s="504">
        <v>0</v>
      </c>
      <c r="BU22" s="504">
        <v>0</v>
      </c>
      <c r="BV22" s="504">
        <v>0</v>
      </c>
      <c r="BW22" s="504">
        <v>0</v>
      </c>
      <c r="BX22" s="504">
        <v>0</v>
      </c>
      <c r="BY22" s="504">
        <v>0</v>
      </c>
      <c r="BZ22" s="504">
        <v>0</v>
      </c>
      <c r="CA22" s="504">
        <v>0</v>
      </c>
      <c r="CB22" s="504">
        <v>0</v>
      </c>
      <c r="CC22" s="504">
        <v>0</v>
      </c>
      <c r="CD22" s="504">
        <v>0</v>
      </c>
      <c r="CE22" s="504">
        <v>0</v>
      </c>
      <c r="CF22" s="504">
        <v>0</v>
      </c>
      <c r="CG22" s="504">
        <v>0</v>
      </c>
      <c r="CH22" s="504">
        <v>0</v>
      </c>
      <c r="CI22" s="504">
        <v>0</v>
      </c>
      <c r="CJ22" s="504">
        <v>0</v>
      </c>
      <c r="CK22" s="504">
        <v>0</v>
      </c>
      <c r="CL22" s="504">
        <v>0</v>
      </c>
      <c r="CM22" s="504">
        <v>0</v>
      </c>
      <c r="CN22" s="504">
        <v>0</v>
      </c>
      <c r="CO22" s="504">
        <v>0</v>
      </c>
      <c r="CP22" s="504">
        <v>0</v>
      </c>
      <c r="CQ22" s="504">
        <v>0</v>
      </c>
      <c r="CR22" s="504">
        <v>0</v>
      </c>
      <c r="CS22" s="504">
        <v>0</v>
      </c>
      <c r="CT22" s="504">
        <v>0</v>
      </c>
      <c r="CU22" s="504">
        <v>0</v>
      </c>
      <c r="CV22" s="504">
        <v>0</v>
      </c>
      <c r="CW22" s="504">
        <v>0</v>
      </c>
      <c r="CX22" s="504">
        <v>0</v>
      </c>
      <c r="CY22" s="504">
        <v>0</v>
      </c>
      <c r="CZ22" s="1654">
        <v>0</v>
      </c>
      <c r="DA22" s="504">
        <v>0</v>
      </c>
      <c r="DB22" s="504">
        <v>107</v>
      </c>
      <c r="DC22" s="504">
        <v>414</v>
      </c>
      <c r="DD22" s="504">
        <v>1017</v>
      </c>
      <c r="DE22" s="504">
        <v>1279</v>
      </c>
      <c r="DF22" s="504">
        <v>1596</v>
      </c>
      <c r="DG22" s="504">
        <v>0</v>
      </c>
      <c r="DH22" s="504">
        <v>0</v>
      </c>
      <c r="DI22" s="504">
        <v>0</v>
      </c>
      <c r="DJ22" s="504">
        <v>0</v>
      </c>
      <c r="DK22" s="504">
        <v>0</v>
      </c>
      <c r="DL22" s="504">
        <v>0</v>
      </c>
      <c r="DM22" s="504">
        <v>0</v>
      </c>
      <c r="DN22" s="504">
        <v>0</v>
      </c>
      <c r="DO22" s="504">
        <v>0</v>
      </c>
      <c r="DP22" s="504">
        <v>0</v>
      </c>
      <c r="DQ22" s="504">
        <v>0</v>
      </c>
      <c r="DR22" s="504">
        <v>0</v>
      </c>
      <c r="DS22" s="504">
        <v>0</v>
      </c>
      <c r="DT22" s="504">
        <v>0</v>
      </c>
      <c r="DU22" s="504">
        <v>0</v>
      </c>
      <c r="DV22" s="504">
        <v>0</v>
      </c>
      <c r="DW22" s="504">
        <v>0</v>
      </c>
      <c r="DX22" s="504">
        <v>0</v>
      </c>
      <c r="DY22" s="504">
        <v>0</v>
      </c>
      <c r="DZ22" s="504">
        <v>0</v>
      </c>
      <c r="EA22" s="504">
        <v>0</v>
      </c>
      <c r="EB22" s="504">
        <v>0</v>
      </c>
      <c r="EC22" s="504">
        <v>0</v>
      </c>
      <c r="ED22" s="504">
        <v>0</v>
      </c>
      <c r="EE22" s="504">
        <v>0</v>
      </c>
      <c r="EF22" s="504">
        <v>0</v>
      </c>
      <c r="EG22" s="504">
        <v>0</v>
      </c>
      <c r="EH22" s="504">
        <v>0</v>
      </c>
      <c r="EI22" s="504">
        <v>0</v>
      </c>
      <c r="EJ22" s="504">
        <v>0</v>
      </c>
      <c r="EK22" s="504">
        <v>0</v>
      </c>
      <c r="EL22" s="504">
        <v>0</v>
      </c>
      <c r="EM22" s="504">
        <v>0</v>
      </c>
      <c r="EN22" s="504">
        <v>0</v>
      </c>
      <c r="EO22" s="504">
        <v>0</v>
      </c>
      <c r="EP22" s="504">
        <v>0</v>
      </c>
      <c r="EQ22" s="504">
        <v>0</v>
      </c>
      <c r="ER22" s="504">
        <v>0</v>
      </c>
      <c r="ES22" s="504">
        <v>0</v>
      </c>
      <c r="ET22" s="504">
        <v>0</v>
      </c>
      <c r="EU22" s="504">
        <v>0</v>
      </c>
      <c r="EV22" s="504">
        <v>0</v>
      </c>
      <c r="EW22" s="504">
        <v>0</v>
      </c>
      <c r="EX22" s="504">
        <v>0</v>
      </c>
      <c r="EY22" s="504">
        <v>0</v>
      </c>
      <c r="EZ22" s="504">
        <v>0</v>
      </c>
      <c r="FA22" s="504">
        <v>0</v>
      </c>
      <c r="FB22" s="504">
        <v>0</v>
      </c>
      <c r="FC22" s="504">
        <v>0</v>
      </c>
      <c r="FD22" s="504">
        <v>0</v>
      </c>
      <c r="FE22" s="504">
        <v>0</v>
      </c>
      <c r="FF22" s="504">
        <v>0</v>
      </c>
      <c r="FG22" s="504">
        <v>0</v>
      </c>
      <c r="FH22" s="504">
        <v>0</v>
      </c>
      <c r="FI22" s="504">
        <v>0</v>
      </c>
      <c r="FJ22" s="504">
        <v>0</v>
      </c>
      <c r="FK22" s="504">
        <v>0</v>
      </c>
      <c r="FL22" s="504">
        <v>0</v>
      </c>
      <c r="FM22" s="504">
        <v>0</v>
      </c>
      <c r="FN22" s="504">
        <v>0</v>
      </c>
      <c r="FO22" s="504">
        <v>0</v>
      </c>
      <c r="FP22" s="504">
        <v>0</v>
      </c>
      <c r="FQ22" s="504">
        <v>0</v>
      </c>
      <c r="FR22" s="504">
        <v>0</v>
      </c>
      <c r="FS22" s="504">
        <v>0</v>
      </c>
      <c r="FT22" s="504">
        <v>0</v>
      </c>
      <c r="FU22" s="504">
        <v>0</v>
      </c>
      <c r="FV22" s="504">
        <v>0</v>
      </c>
      <c r="FW22" s="504">
        <v>0</v>
      </c>
      <c r="FX22" s="504">
        <v>0</v>
      </c>
      <c r="FY22" s="504">
        <v>0</v>
      </c>
      <c r="FZ22" s="504">
        <v>0</v>
      </c>
      <c r="GA22" s="504">
        <v>0</v>
      </c>
      <c r="GB22" s="504">
        <v>0</v>
      </c>
      <c r="GC22" s="504">
        <v>0</v>
      </c>
      <c r="GD22" s="504">
        <v>0</v>
      </c>
      <c r="GE22" s="504">
        <v>0</v>
      </c>
      <c r="GF22" s="504">
        <v>0</v>
      </c>
      <c r="GG22" s="504">
        <v>0</v>
      </c>
      <c r="GH22" s="504">
        <v>0</v>
      </c>
      <c r="GI22" s="504">
        <v>0</v>
      </c>
      <c r="GJ22" s="504">
        <v>0</v>
      </c>
      <c r="GK22" s="504">
        <v>0</v>
      </c>
      <c r="GL22" s="504">
        <v>0</v>
      </c>
      <c r="GM22" s="504">
        <v>0</v>
      </c>
      <c r="GN22" s="504">
        <v>0</v>
      </c>
      <c r="GO22" s="504">
        <v>0</v>
      </c>
      <c r="GP22" s="504">
        <v>0</v>
      </c>
      <c r="GQ22" s="504">
        <v>0</v>
      </c>
      <c r="GR22" s="504">
        <v>0</v>
      </c>
      <c r="GS22" s="504">
        <v>0</v>
      </c>
      <c r="GT22" s="504">
        <v>0</v>
      </c>
      <c r="GU22" s="504">
        <v>0</v>
      </c>
      <c r="GV22" s="504">
        <v>0</v>
      </c>
      <c r="GW22" s="1654">
        <v>0</v>
      </c>
      <c r="GX22" s="504">
        <v>0</v>
      </c>
      <c r="GY22" s="504">
        <v>8115</v>
      </c>
      <c r="GZ22" s="504">
        <v>22077</v>
      </c>
      <c r="HA22" s="504">
        <v>32000</v>
      </c>
      <c r="HB22" s="504">
        <v>31000</v>
      </c>
      <c r="HC22" s="504">
        <v>30000</v>
      </c>
      <c r="HD22" s="504">
        <v>0</v>
      </c>
      <c r="HE22" s="504">
        <v>0</v>
      </c>
      <c r="HF22" s="504">
        <v>0</v>
      </c>
      <c r="HG22" s="504">
        <v>0</v>
      </c>
      <c r="HH22" s="504">
        <v>0</v>
      </c>
      <c r="HI22" s="504">
        <v>0</v>
      </c>
      <c r="HJ22" s="504">
        <v>0</v>
      </c>
      <c r="HK22" s="504">
        <v>0</v>
      </c>
      <c r="HL22" s="504">
        <v>0</v>
      </c>
      <c r="HM22" s="504">
        <v>0</v>
      </c>
      <c r="HN22" s="504">
        <v>0</v>
      </c>
      <c r="HO22" s="504">
        <v>0</v>
      </c>
      <c r="HP22" s="504">
        <v>0</v>
      </c>
      <c r="HQ22" s="504">
        <v>0</v>
      </c>
      <c r="HR22" s="504">
        <v>0</v>
      </c>
      <c r="HS22" s="504">
        <v>0</v>
      </c>
      <c r="HT22" s="504">
        <v>0</v>
      </c>
      <c r="HU22" s="504">
        <v>0</v>
      </c>
      <c r="HV22" s="504">
        <v>0</v>
      </c>
      <c r="HW22" s="504">
        <v>0</v>
      </c>
      <c r="HX22" s="504">
        <v>0</v>
      </c>
      <c r="HY22" s="504">
        <v>0</v>
      </c>
      <c r="HZ22" s="504">
        <v>0</v>
      </c>
      <c r="IA22" s="504">
        <v>0</v>
      </c>
      <c r="IB22" s="504">
        <v>0</v>
      </c>
      <c r="IC22" s="504">
        <v>0</v>
      </c>
      <c r="ID22" s="504">
        <v>0</v>
      </c>
      <c r="IE22" s="504">
        <v>0</v>
      </c>
      <c r="IF22" s="504">
        <v>0</v>
      </c>
      <c r="IG22" s="504">
        <v>0</v>
      </c>
      <c r="IH22" s="504">
        <v>0</v>
      </c>
      <c r="II22" s="504">
        <v>0</v>
      </c>
      <c r="IJ22" s="504">
        <v>0</v>
      </c>
      <c r="IK22" s="504">
        <v>0</v>
      </c>
      <c r="IL22" s="504">
        <v>0</v>
      </c>
      <c r="IM22" s="504">
        <v>0</v>
      </c>
      <c r="IN22" s="504">
        <v>0</v>
      </c>
      <c r="IO22" s="504">
        <v>0</v>
      </c>
      <c r="IP22" s="504">
        <v>0</v>
      </c>
      <c r="IQ22" s="504">
        <v>0</v>
      </c>
      <c r="IR22" s="504">
        <v>0</v>
      </c>
      <c r="IS22" s="504">
        <v>0</v>
      </c>
      <c r="IT22" s="504">
        <v>0</v>
      </c>
      <c r="IU22" s="504">
        <v>0</v>
      </c>
      <c r="IV22" s="504">
        <v>0</v>
      </c>
      <c r="IW22" s="504">
        <v>0</v>
      </c>
      <c r="IX22" s="504">
        <v>0</v>
      </c>
      <c r="IY22" s="504">
        <v>0</v>
      </c>
      <c r="IZ22" s="504">
        <v>0</v>
      </c>
      <c r="JA22" s="504">
        <v>0</v>
      </c>
      <c r="JB22" s="504">
        <v>0</v>
      </c>
      <c r="JC22" s="504">
        <v>0</v>
      </c>
      <c r="JD22" s="504">
        <v>0</v>
      </c>
      <c r="JE22" s="504">
        <v>0</v>
      </c>
      <c r="JF22" s="504">
        <v>0</v>
      </c>
      <c r="JG22" s="504">
        <v>0</v>
      </c>
      <c r="JH22" s="504">
        <v>0</v>
      </c>
      <c r="JI22" s="504">
        <v>0</v>
      </c>
      <c r="JJ22" s="504">
        <v>0</v>
      </c>
      <c r="JK22" s="504">
        <v>0</v>
      </c>
      <c r="JL22" s="504">
        <v>0</v>
      </c>
      <c r="JM22" s="504">
        <v>0</v>
      </c>
      <c r="JN22" s="504">
        <v>0</v>
      </c>
      <c r="JO22" s="504">
        <v>0</v>
      </c>
      <c r="JP22" s="504">
        <v>0</v>
      </c>
      <c r="JQ22" s="504">
        <v>0</v>
      </c>
      <c r="JR22" s="504">
        <v>0</v>
      </c>
      <c r="JS22" s="504">
        <v>0</v>
      </c>
      <c r="JT22" s="504">
        <v>0</v>
      </c>
      <c r="JU22" s="504">
        <v>0</v>
      </c>
      <c r="JV22" s="504">
        <v>0</v>
      </c>
      <c r="JW22" s="504">
        <v>0</v>
      </c>
      <c r="JX22" s="504">
        <v>0</v>
      </c>
      <c r="JY22" s="504">
        <v>0</v>
      </c>
      <c r="JZ22" s="504">
        <v>0</v>
      </c>
      <c r="KA22" s="504">
        <v>0</v>
      </c>
      <c r="KB22" s="504">
        <v>0</v>
      </c>
      <c r="KC22" s="504">
        <v>0</v>
      </c>
      <c r="KD22" s="504">
        <v>0</v>
      </c>
      <c r="KE22" s="504">
        <v>0</v>
      </c>
      <c r="KF22" s="504">
        <v>0</v>
      </c>
      <c r="KG22" s="504">
        <v>0</v>
      </c>
      <c r="KH22" s="504">
        <v>0</v>
      </c>
      <c r="KI22" s="504">
        <v>0</v>
      </c>
      <c r="KJ22" s="504">
        <v>0</v>
      </c>
      <c r="KK22" s="504">
        <v>0</v>
      </c>
      <c r="KL22" s="504">
        <v>0</v>
      </c>
      <c r="KM22" s="504">
        <v>0</v>
      </c>
      <c r="KN22" s="504">
        <v>0</v>
      </c>
      <c r="KO22" s="504">
        <v>0</v>
      </c>
      <c r="KP22" s="504">
        <v>0</v>
      </c>
      <c r="KQ22" s="504">
        <v>0</v>
      </c>
      <c r="KR22" s="504">
        <v>0</v>
      </c>
      <c r="KS22" s="504">
        <v>0</v>
      </c>
      <c r="KT22" s="1654">
        <v>0</v>
      </c>
      <c r="KU22" s="504">
        <v>0</v>
      </c>
      <c r="KV22" s="504">
        <v>0</v>
      </c>
      <c r="KW22" s="504">
        <v>0</v>
      </c>
      <c r="KX22" s="504">
        <v>970</v>
      </c>
      <c r="KY22" s="504">
        <v>1258</v>
      </c>
      <c r="KZ22" s="504">
        <v>1575</v>
      </c>
      <c r="LA22" s="504">
        <v>0</v>
      </c>
      <c r="LB22" s="504">
        <v>0</v>
      </c>
      <c r="LC22" s="504">
        <v>0</v>
      </c>
      <c r="LD22" s="504">
        <v>0</v>
      </c>
      <c r="LE22" s="504">
        <v>0</v>
      </c>
      <c r="LF22" s="504">
        <v>0</v>
      </c>
      <c r="LG22" s="504">
        <v>0</v>
      </c>
      <c r="LH22" s="504">
        <v>0</v>
      </c>
      <c r="LI22" s="504">
        <v>0</v>
      </c>
      <c r="LJ22" s="504">
        <v>0</v>
      </c>
      <c r="LK22" s="504">
        <v>0</v>
      </c>
      <c r="LL22" s="504">
        <v>0</v>
      </c>
      <c r="LM22" s="504">
        <v>0</v>
      </c>
      <c r="LN22" s="504">
        <v>0</v>
      </c>
      <c r="LO22" s="504">
        <v>0</v>
      </c>
      <c r="LP22" s="504">
        <v>0</v>
      </c>
      <c r="LQ22" s="504">
        <v>0</v>
      </c>
      <c r="LR22" s="504">
        <v>0</v>
      </c>
      <c r="LS22" s="504">
        <v>0</v>
      </c>
      <c r="LT22" s="504">
        <v>0</v>
      </c>
      <c r="LU22" s="504">
        <v>0</v>
      </c>
      <c r="LV22" s="504">
        <v>0</v>
      </c>
      <c r="LW22" s="504">
        <v>0</v>
      </c>
      <c r="LX22" s="504">
        <v>0</v>
      </c>
      <c r="LY22" s="504">
        <v>0</v>
      </c>
      <c r="LZ22" s="504">
        <v>0</v>
      </c>
      <c r="MA22" s="504">
        <v>0</v>
      </c>
      <c r="MB22" s="504">
        <v>0</v>
      </c>
      <c r="MC22" s="504">
        <v>0</v>
      </c>
      <c r="MD22" s="504">
        <v>0</v>
      </c>
      <c r="ME22" s="504">
        <v>0</v>
      </c>
      <c r="MF22" s="504">
        <v>0</v>
      </c>
      <c r="MG22" s="504">
        <v>0</v>
      </c>
      <c r="MH22" s="504">
        <v>0</v>
      </c>
      <c r="MI22" s="504">
        <v>0</v>
      </c>
      <c r="MJ22" s="504">
        <v>0</v>
      </c>
      <c r="MK22" s="504">
        <v>0</v>
      </c>
      <c r="ML22" s="504">
        <v>0</v>
      </c>
      <c r="MM22" s="504">
        <v>0</v>
      </c>
      <c r="MN22" s="504">
        <v>0</v>
      </c>
      <c r="MO22" s="504">
        <v>0</v>
      </c>
      <c r="MP22" s="504">
        <v>0</v>
      </c>
      <c r="MQ22" s="504">
        <v>0</v>
      </c>
      <c r="MR22" s="504">
        <v>0</v>
      </c>
      <c r="MS22" s="504">
        <v>0</v>
      </c>
      <c r="MT22" s="504">
        <v>0</v>
      </c>
      <c r="MU22" s="504">
        <v>0</v>
      </c>
      <c r="MV22" s="504">
        <v>0</v>
      </c>
      <c r="MW22" s="504">
        <v>0</v>
      </c>
      <c r="MX22" s="504">
        <v>0</v>
      </c>
      <c r="MY22" s="504">
        <v>0</v>
      </c>
      <c r="MZ22" s="504">
        <v>0</v>
      </c>
      <c r="NA22" s="504">
        <v>0</v>
      </c>
      <c r="NB22" s="504">
        <v>0</v>
      </c>
      <c r="NC22" s="504">
        <v>0</v>
      </c>
      <c r="ND22" s="504">
        <v>0</v>
      </c>
      <c r="NE22" s="504">
        <v>0</v>
      </c>
      <c r="NF22" s="504">
        <v>0</v>
      </c>
      <c r="NG22" s="504">
        <v>0</v>
      </c>
      <c r="NH22" s="504">
        <v>0</v>
      </c>
      <c r="NI22" s="504">
        <v>0</v>
      </c>
      <c r="NJ22" s="504">
        <v>0</v>
      </c>
      <c r="NK22" s="504">
        <v>0</v>
      </c>
      <c r="NL22" s="504">
        <v>0</v>
      </c>
      <c r="NM22" s="504">
        <v>0</v>
      </c>
      <c r="NN22" s="504">
        <v>0</v>
      </c>
      <c r="NO22" s="504">
        <v>0</v>
      </c>
      <c r="NP22" s="504">
        <v>0</v>
      </c>
      <c r="NQ22" s="504">
        <v>0</v>
      </c>
      <c r="NR22" s="504">
        <v>0</v>
      </c>
      <c r="NS22" s="504">
        <v>0</v>
      </c>
      <c r="NT22" s="504">
        <v>0</v>
      </c>
      <c r="NU22" s="504">
        <v>0</v>
      </c>
      <c r="NV22" s="504">
        <v>0</v>
      </c>
      <c r="NW22" s="504">
        <v>0</v>
      </c>
      <c r="NX22" s="504">
        <v>0</v>
      </c>
      <c r="NY22" s="504">
        <v>0</v>
      </c>
      <c r="NZ22" s="504">
        <v>0</v>
      </c>
      <c r="OA22" s="504">
        <v>0</v>
      </c>
      <c r="OB22" s="504">
        <v>0</v>
      </c>
      <c r="OC22" s="504">
        <v>0</v>
      </c>
      <c r="OD22" s="504">
        <v>0</v>
      </c>
      <c r="OE22" s="504">
        <v>0</v>
      </c>
      <c r="OF22" s="504">
        <v>0</v>
      </c>
      <c r="OG22" s="504">
        <v>0</v>
      </c>
      <c r="OH22" s="504">
        <v>0</v>
      </c>
      <c r="OI22" s="504">
        <v>0</v>
      </c>
      <c r="OJ22" s="504">
        <v>0</v>
      </c>
      <c r="OK22" s="504">
        <v>0</v>
      </c>
      <c r="OL22" s="504">
        <v>0</v>
      </c>
      <c r="OM22" s="504">
        <v>0</v>
      </c>
      <c r="ON22" s="504">
        <v>0</v>
      </c>
      <c r="OO22" s="504">
        <v>0</v>
      </c>
      <c r="OP22" s="504">
        <v>0</v>
      </c>
      <c r="OQ22" s="504">
        <v>0</v>
      </c>
      <c r="OR22"/>
      <c r="OS22"/>
      <c r="OT22"/>
      <c r="OU22"/>
      <c r="OV22"/>
      <c r="OW22"/>
      <c r="OX22"/>
      <c r="OY22"/>
      <c r="OZ22"/>
      <c r="PA22"/>
      <c r="PB22"/>
      <c r="PC22"/>
      <c r="PD22"/>
      <c r="PE22"/>
      <c r="PF22"/>
      <c r="PG22"/>
      <c r="PH22"/>
      <c r="PI22"/>
      <c r="PJ22"/>
      <c r="PK22"/>
      <c r="PL22"/>
      <c r="PM22"/>
      <c r="PN22"/>
      <c r="PO22"/>
      <c r="PP22"/>
      <c r="PQ22"/>
      <c r="PR22"/>
      <c r="PS22"/>
      <c r="PT22" s="1656"/>
    </row>
    <row r="23" spans="1:436" ht="21.5">
      <c r="A23" s="1466" t="s">
        <v>1685</v>
      </c>
      <c r="B23" s="1576" t="s">
        <v>2358</v>
      </c>
      <c r="C23" s="1576" t="s">
        <v>13</v>
      </c>
      <c r="D23" s="1576">
        <v>46</v>
      </c>
      <c r="E23" s="504">
        <v>49</v>
      </c>
      <c r="F23" s="504">
        <v>193</v>
      </c>
      <c r="G23" s="504">
        <v>495</v>
      </c>
      <c r="H23" s="504">
        <v>772</v>
      </c>
      <c r="I23" s="504">
        <v>1105</v>
      </c>
      <c r="J23" s="504">
        <v>1351</v>
      </c>
      <c r="K23" s="504">
        <v>1368</v>
      </c>
      <c r="L23" s="504">
        <v>1385</v>
      </c>
      <c r="M23" s="504">
        <v>1402</v>
      </c>
      <c r="N23" s="504">
        <v>1420</v>
      </c>
      <c r="O23" s="504">
        <v>1438</v>
      </c>
      <c r="P23" s="504">
        <v>1457</v>
      </c>
      <c r="Q23" s="504">
        <v>1475</v>
      </c>
      <c r="R23" s="504">
        <v>1494</v>
      </c>
      <c r="S23" s="504">
        <v>1514</v>
      </c>
      <c r="T23" s="504">
        <v>1533</v>
      </c>
      <c r="U23" s="504">
        <v>1553</v>
      </c>
      <c r="V23" s="504">
        <v>1573</v>
      </c>
      <c r="W23" s="504">
        <v>1594</v>
      </c>
      <c r="X23" s="504">
        <v>1615</v>
      </c>
      <c r="Y23" s="504">
        <v>1636</v>
      </c>
      <c r="Z23" s="504">
        <v>1657</v>
      </c>
      <c r="AA23" s="504">
        <v>1679</v>
      </c>
      <c r="AB23" s="504">
        <v>1701</v>
      </c>
      <c r="AC23" s="504">
        <v>1724</v>
      </c>
      <c r="AD23" s="504">
        <v>1747</v>
      </c>
      <c r="AE23" s="504">
        <v>1770</v>
      </c>
      <c r="AF23" s="504">
        <v>1795</v>
      </c>
      <c r="AG23" s="504">
        <v>1821</v>
      </c>
      <c r="AH23" s="504">
        <v>1848</v>
      </c>
      <c r="AI23" s="504">
        <v>1876</v>
      </c>
      <c r="AJ23" s="504">
        <v>1908</v>
      </c>
      <c r="AK23" s="504">
        <v>1942</v>
      </c>
      <c r="AL23" s="504">
        <v>2000</v>
      </c>
      <c r="AM23" s="504">
        <v>0</v>
      </c>
      <c r="AN23" s="504">
        <v>0</v>
      </c>
      <c r="AO23" s="504">
        <v>0</v>
      </c>
      <c r="AP23" s="504">
        <v>0</v>
      </c>
      <c r="AQ23" s="504">
        <v>0</v>
      </c>
      <c r="AR23" s="504">
        <v>0</v>
      </c>
      <c r="AS23" s="504">
        <v>0</v>
      </c>
      <c r="AT23" s="504">
        <v>0</v>
      </c>
      <c r="AU23" s="504">
        <v>0</v>
      </c>
      <c r="AV23" s="504">
        <v>0</v>
      </c>
      <c r="AW23" s="504">
        <v>0</v>
      </c>
      <c r="AX23" s="504">
        <v>0</v>
      </c>
      <c r="AY23" s="504">
        <v>0</v>
      </c>
      <c r="AZ23" s="504">
        <v>0</v>
      </c>
      <c r="BA23" s="504">
        <v>0</v>
      </c>
      <c r="BB23" s="504">
        <v>0</v>
      </c>
      <c r="BC23" s="504">
        <v>0</v>
      </c>
      <c r="BD23" s="504">
        <v>0</v>
      </c>
      <c r="BE23" s="504">
        <v>0</v>
      </c>
      <c r="BF23" s="504">
        <v>0</v>
      </c>
      <c r="BG23" s="504">
        <v>0</v>
      </c>
      <c r="BH23" s="504">
        <v>0</v>
      </c>
      <c r="BI23" s="504">
        <v>0</v>
      </c>
      <c r="BJ23" s="504">
        <v>0</v>
      </c>
      <c r="BK23" s="504">
        <v>0</v>
      </c>
      <c r="BL23" s="504">
        <v>0</v>
      </c>
      <c r="BM23" s="504">
        <v>0</v>
      </c>
      <c r="BN23" s="504">
        <v>0</v>
      </c>
      <c r="BO23" s="504">
        <v>0</v>
      </c>
      <c r="BP23" s="504">
        <v>0</v>
      </c>
      <c r="BQ23" s="504">
        <v>0</v>
      </c>
      <c r="BR23" s="504">
        <v>0</v>
      </c>
      <c r="BS23" s="504">
        <v>0</v>
      </c>
      <c r="BT23" s="504">
        <v>0</v>
      </c>
      <c r="BU23" s="504">
        <v>0</v>
      </c>
      <c r="BV23" s="504">
        <v>0</v>
      </c>
      <c r="BW23" s="504">
        <v>0</v>
      </c>
      <c r="BX23" s="504">
        <v>0</v>
      </c>
      <c r="BY23" s="504">
        <v>0</v>
      </c>
      <c r="BZ23" s="504">
        <v>0</v>
      </c>
      <c r="CA23" s="504">
        <v>0</v>
      </c>
      <c r="CB23" s="504">
        <v>0</v>
      </c>
      <c r="CC23" s="504">
        <v>0</v>
      </c>
      <c r="CD23" s="504">
        <v>0</v>
      </c>
      <c r="CE23" s="504">
        <v>0</v>
      </c>
      <c r="CF23" s="504">
        <v>0</v>
      </c>
      <c r="CG23" s="504">
        <v>0</v>
      </c>
      <c r="CH23" s="504">
        <v>0</v>
      </c>
      <c r="CI23" s="504">
        <v>0</v>
      </c>
      <c r="CJ23" s="504">
        <v>0</v>
      </c>
      <c r="CK23" s="504">
        <v>0</v>
      </c>
      <c r="CL23" s="504">
        <v>0</v>
      </c>
      <c r="CM23" s="504">
        <v>0</v>
      </c>
      <c r="CN23" s="504">
        <v>0</v>
      </c>
      <c r="CO23" s="504">
        <v>0</v>
      </c>
      <c r="CP23" s="504">
        <v>0</v>
      </c>
      <c r="CQ23" s="504">
        <v>0</v>
      </c>
      <c r="CR23" s="504">
        <v>0</v>
      </c>
      <c r="CS23" s="504">
        <v>0</v>
      </c>
      <c r="CT23" s="504">
        <v>0</v>
      </c>
      <c r="CU23" s="504">
        <v>0</v>
      </c>
      <c r="CV23" s="504">
        <v>0</v>
      </c>
      <c r="CW23" s="504">
        <v>0</v>
      </c>
      <c r="CX23" s="504">
        <v>0</v>
      </c>
      <c r="CY23" s="504">
        <v>0</v>
      </c>
      <c r="CZ23" s="1654">
        <v>0</v>
      </c>
      <c r="DA23" s="504">
        <v>0</v>
      </c>
      <c r="DB23" s="504">
        <v>106</v>
      </c>
      <c r="DC23" s="504">
        <v>409</v>
      </c>
      <c r="DD23" s="504">
        <v>1011</v>
      </c>
      <c r="DE23" s="504">
        <v>1276</v>
      </c>
      <c r="DF23" s="504">
        <v>1596</v>
      </c>
      <c r="DG23" s="504">
        <v>0</v>
      </c>
      <c r="DH23" s="504">
        <v>0</v>
      </c>
      <c r="DI23" s="504">
        <v>0</v>
      </c>
      <c r="DJ23" s="504">
        <v>0</v>
      </c>
      <c r="DK23" s="504">
        <v>0</v>
      </c>
      <c r="DL23" s="504">
        <v>0</v>
      </c>
      <c r="DM23" s="504">
        <v>0</v>
      </c>
      <c r="DN23" s="504">
        <v>0</v>
      </c>
      <c r="DO23" s="504">
        <v>0</v>
      </c>
      <c r="DP23" s="504">
        <v>0</v>
      </c>
      <c r="DQ23" s="504">
        <v>0</v>
      </c>
      <c r="DR23" s="504">
        <v>0</v>
      </c>
      <c r="DS23" s="504">
        <v>0</v>
      </c>
      <c r="DT23" s="504">
        <v>0</v>
      </c>
      <c r="DU23" s="504">
        <v>0</v>
      </c>
      <c r="DV23" s="504">
        <v>0</v>
      </c>
      <c r="DW23" s="504">
        <v>0</v>
      </c>
      <c r="DX23" s="504">
        <v>0</v>
      </c>
      <c r="DY23" s="504">
        <v>0</v>
      </c>
      <c r="DZ23" s="504">
        <v>0</v>
      </c>
      <c r="EA23" s="504">
        <v>0</v>
      </c>
      <c r="EB23" s="504">
        <v>0</v>
      </c>
      <c r="EC23" s="504">
        <v>0</v>
      </c>
      <c r="ED23" s="504">
        <v>0</v>
      </c>
      <c r="EE23" s="504">
        <v>0</v>
      </c>
      <c r="EF23" s="504">
        <v>0</v>
      </c>
      <c r="EG23" s="504">
        <v>0</v>
      </c>
      <c r="EH23" s="504">
        <v>0</v>
      </c>
      <c r="EI23" s="504">
        <v>0</v>
      </c>
      <c r="EJ23" s="504">
        <v>0</v>
      </c>
      <c r="EK23" s="504">
        <v>0</v>
      </c>
      <c r="EL23" s="504">
        <v>0</v>
      </c>
      <c r="EM23" s="504">
        <v>0</v>
      </c>
      <c r="EN23" s="504">
        <v>0</v>
      </c>
      <c r="EO23" s="504">
        <v>0</v>
      </c>
      <c r="EP23" s="504">
        <v>0</v>
      </c>
      <c r="EQ23" s="504">
        <v>0</v>
      </c>
      <c r="ER23" s="504">
        <v>0</v>
      </c>
      <c r="ES23" s="504">
        <v>0</v>
      </c>
      <c r="ET23" s="504">
        <v>0</v>
      </c>
      <c r="EU23" s="504">
        <v>0</v>
      </c>
      <c r="EV23" s="504">
        <v>0</v>
      </c>
      <c r="EW23" s="504">
        <v>0</v>
      </c>
      <c r="EX23" s="504">
        <v>0</v>
      </c>
      <c r="EY23" s="504">
        <v>0</v>
      </c>
      <c r="EZ23" s="504">
        <v>0</v>
      </c>
      <c r="FA23" s="504">
        <v>0</v>
      </c>
      <c r="FB23" s="504">
        <v>0</v>
      </c>
      <c r="FC23" s="504">
        <v>0</v>
      </c>
      <c r="FD23" s="504">
        <v>0</v>
      </c>
      <c r="FE23" s="504">
        <v>0</v>
      </c>
      <c r="FF23" s="504">
        <v>0</v>
      </c>
      <c r="FG23" s="504">
        <v>0</v>
      </c>
      <c r="FH23" s="504">
        <v>0</v>
      </c>
      <c r="FI23" s="504">
        <v>0</v>
      </c>
      <c r="FJ23" s="504">
        <v>0</v>
      </c>
      <c r="FK23" s="504">
        <v>0</v>
      </c>
      <c r="FL23" s="504">
        <v>0</v>
      </c>
      <c r="FM23" s="504">
        <v>0</v>
      </c>
      <c r="FN23" s="504">
        <v>0</v>
      </c>
      <c r="FO23" s="504">
        <v>0</v>
      </c>
      <c r="FP23" s="504">
        <v>0</v>
      </c>
      <c r="FQ23" s="504">
        <v>0</v>
      </c>
      <c r="FR23" s="504">
        <v>0</v>
      </c>
      <c r="FS23" s="504">
        <v>0</v>
      </c>
      <c r="FT23" s="504">
        <v>0</v>
      </c>
      <c r="FU23" s="504">
        <v>0</v>
      </c>
      <c r="FV23" s="504">
        <v>0</v>
      </c>
      <c r="FW23" s="504">
        <v>0</v>
      </c>
      <c r="FX23" s="504">
        <v>0</v>
      </c>
      <c r="FY23" s="504">
        <v>0</v>
      </c>
      <c r="FZ23" s="504">
        <v>0</v>
      </c>
      <c r="GA23" s="504">
        <v>0</v>
      </c>
      <c r="GB23" s="504">
        <v>0</v>
      </c>
      <c r="GC23" s="504">
        <v>0</v>
      </c>
      <c r="GD23" s="504">
        <v>0</v>
      </c>
      <c r="GE23" s="504">
        <v>0</v>
      </c>
      <c r="GF23" s="504">
        <v>0</v>
      </c>
      <c r="GG23" s="504">
        <v>0</v>
      </c>
      <c r="GH23" s="504">
        <v>0</v>
      </c>
      <c r="GI23" s="504">
        <v>0</v>
      </c>
      <c r="GJ23" s="504">
        <v>0</v>
      </c>
      <c r="GK23" s="504">
        <v>0</v>
      </c>
      <c r="GL23" s="504">
        <v>0</v>
      </c>
      <c r="GM23" s="504">
        <v>0</v>
      </c>
      <c r="GN23" s="504">
        <v>0</v>
      </c>
      <c r="GO23" s="504">
        <v>0</v>
      </c>
      <c r="GP23" s="504">
        <v>0</v>
      </c>
      <c r="GQ23" s="504">
        <v>0</v>
      </c>
      <c r="GR23" s="504">
        <v>0</v>
      </c>
      <c r="GS23" s="504">
        <v>0</v>
      </c>
      <c r="GT23" s="504">
        <v>0</v>
      </c>
      <c r="GU23" s="504">
        <v>0</v>
      </c>
      <c r="GV23" s="504">
        <v>0</v>
      </c>
      <c r="GW23" s="1654">
        <v>0</v>
      </c>
      <c r="GX23" s="504">
        <v>0</v>
      </c>
      <c r="GY23" s="504">
        <v>7351</v>
      </c>
      <c r="GZ23" s="504">
        <v>21096</v>
      </c>
      <c r="HA23" s="504">
        <v>31000</v>
      </c>
      <c r="HB23" s="504">
        <v>30000</v>
      </c>
      <c r="HC23" s="504">
        <v>29000</v>
      </c>
      <c r="HD23" s="504">
        <v>0</v>
      </c>
      <c r="HE23" s="504">
        <v>0</v>
      </c>
      <c r="HF23" s="504">
        <v>0</v>
      </c>
      <c r="HG23" s="504">
        <v>0</v>
      </c>
      <c r="HH23" s="504">
        <v>0</v>
      </c>
      <c r="HI23" s="504">
        <v>0</v>
      </c>
      <c r="HJ23" s="504">
        <v>0</v>
      </c>
      <c r="HK23" s="504">
        <v>0</v>
      </c>
      <c r="HL23" s="504">
        <v>0</v>
      </c>
      <c r="HM23" s="504">
        <v>0</v>
      </c>
      <c r="HN23" s="504">
        <v>0</v>
      </c>
      <c r="HO23" s="504">
        <v>0</v>
      </c>
      <c r="HP23" s="504">
        <v>0</v>
      </c>
      <c r="HQ23" s="504">
        <v>0</v>
      </c>
      <c r="HR23" s="504">
        <v>0</v>
      </c>
      <c r="HS23" s="504">
        <v>0</v>
      </c>
      <c r="HT23" s="504">
        <v>0</v>
      </c>
      <c r="HU23" s="504">
        <v>0</v>
      </c>
      <c r="HV23" s="504">
        <v>0</v>
      </c>
      <c r="HW23" s="504">
        <v>0</v>
      </c>
      <c r="HX23" s="504">
        <v>0</v>
      </c>
      <c r="HY23" s="504">
        <v>0</v>
      </c>
      <c r="HZ23" s="504">
        <v>0</v>
      </c>
      <c r="IA23" s="504">
        <v>0</v>
      </c>
      <c r="IB23" s="504">
        <v>0</v>
      </c>
      <c r="IC23" s="504">
        <v>0</v>
      </c>
      <c r="ID23" s="504">
        <v>0</v>
      </c>
      <c r="IE23" s="504">
        <v>0</v>
      </c>
      <c r="IF23" s="504">
        <v>0</v>
      </c>
      <c r="IG23" s="504">
        <v>0</v>
      </c>
      <c r="IH23" s="504">
        <v>0</v>
      </c>
      <c r="II23" s="504">
        <v>0</v>
      </c>
      <c r="IJ23" s="504">
        <v>0</v>
      </c>
      <c r="IK23" s="504">
        <v>0</v>
      </c>
      <c r="IL23" s="504">
        <v>0</v>
      </c>
      <c r="IM23" s="504">
        <v>0</v>
      </c>
      <c r="IN23" s="504">
        <v>0</v>
      </c>
      <c r="IO23" s="504">
        <v>0</v>
      </c>
      <c r="IP23" s="504">
        <v>0</v>
      </c>
      <c r="IQ23" s="504">
        <v>0</v>
      </c>
      <c r="IR23" s="504">
        <v>0</v>
      </c>
      <c r="IS23" s="504">
        <v>0</v>
      </c>
      <c r="IT23" s="504">
        <v>0</v>
      </c>
      <c r="IU23" s="504">
        <v>0</v>
      </c>
      <c r="IV23" s="504">
        <v>0</v>
      </c>
      <c r="IW23" s="504">
        <v>0</v>
      </c>
      <c r="IX23" s="504">
        <v>0</v>
      </c>
      <c r="IY23" s="504">
        <v>0</v>
      </c>
      <c r="IZ23" s="504">
        <v>0</v>
      </c>
      <c r="JA23" s="504">
        <v>0</v>
      </c>
      <c r="JB23" s="504">
        <v>0</v>
      </c>
      <c r="JC23" s="504">
        <v>0</v>
      </c>
      <c r="JD23" s="504">
        <v>0</v>
      </c>
      <c r="JE23" s="504">
        <v>0</v>
      </c>
      <c r="JF23" s="504">
        <v>0</v>
      </c>
      <c r="JG23" s="504">
        <v>0</v>
      </c>
      <c r="JH23" s="504">
        <v>0</v>
      </c>
      <c r="JI23" s="504">
        <v>0</v>
      </c>
      <c r="JJ23" s="504">
        <v>0</v>
      </c>
      <c r="JK23" s="504">
        <v>0</v>
      </c>
      <c r="JL23" s="504">
        <v>0</v>
      </c>
      <c r="JM23" s="504">
        <v>0</v>
      </c>
      <c r="JN23" s="504">
        <v>0</v>
      </c>
      <c r="JO23" s="504">
        <v>0</v>
      </c>
      <c r="JP23" s="504">
        <v>0</v>
      </c>
      <c r="JQ23" s="504">
        <v>0</v>
      </c>
      <c r="JR23" s="504">
        <v>0</v>
      </c>
      <c r="JS23" s="504">
        <v>0</v>
      </c>
      <c r="JT23" s="504">
        <v>0</v>
      </c>
      <c r="JU23" s="504">
        <v>0</v>
      </c>
      <c r="JV23" s="504">
        <v>0</v>
      </c>
      <c r="JW23" s="504">
        <v>0</v>
      </c>
      <c r="JX23" s="504">
        <v>0</v>
      </c>
      <c r="JY23" s="504">
        <v>0</v>
      </c>
      <c r="JZ23" s="504">
        <v>0</v>
      </c>
      <c r="KA23" s="504">
        <v>0</v>
      </c>
      <c r="KB23" s="504">
        <v>0</v>
      </c>
      <c r="KC23" s="504">
        <v>0</v>
      </c>
      <c r="KD23" s="504">
        <v>0</v>
      </c>
      <c r="KE23" s="504">
        <v>0</v>
      </c>
      <c r="KF23" s="504">
        <v>0</v>
      </c>
      <c r="KG23" s="504">
        <v>0</v>
      </c>
      <c r="KH23" s="504">
        <v>0</v>
      </c>
      <c r="KI23" s="504">
        <v>0</v>
      </c>
      <c r="KJ23" s="504">
        <v>0</v>
      </c>
      <c r="KK23" s="504">
        <v>0</v>
      </c>
      <c r="KL23" s="504">
        <v>0</v>
      </c>
      <c r="KM23" s="504">
        <v>0</v>
      </c>
      <c r="KN23" s="504">
        <v>0</v>
      </c>
      <c r="KO23" s="504">
        <v>0</v>
      </c>
      <c r="KP23" s="504">
        <v>0</v>
      </c>
      <c r="KQ23" s="504">
        <v>0</v>
      </c>
      <c r="KR23" s="504">
        <v>0</v>
      </c>
      <c r="KS23" s="504">
        <v>0</v>
      </c>
      <c r="KT23" s="1654">
        <v>0</v>
      </c>
      <c r="KU23" s="504">
        <v>0</v>
      </c>
      <c r="KV23" s="504">
        <v>0</v>
      </c>
      <c r="KW23" s="504">
        <v>0</v>
      </c>
      <c r="KX23" s="504">
        <v>926</v>
      </c>
      <c r="KY23" s="504">
        <v>1255</v>
      </c>
      <c r="KZ23" s="504">
        <v>1576</v>
      </c>
      <c r="LA23" s="504">
        <v>0</v>
      </c>
      <c r="LB23" s="504">
        <v>0</v>
      </c>
      <c r="LC23" s="504">
        <v>0</v>
      </c>
      <c r="LD23" s="504">
        <v>0</v>
      </c>
      <c r="LE23" s="504">
        <v>0</v>
      </c>
      <c r="LF23" s="504">
        <v>0</v>
      </c>
      <c r="LG23" s="504">
        <v>0</v>
      </c>
      <c r="LH23" s="504">
        <v>0</v>
      </c>
      <c r="LI23" s="504">
        <v>0</v>
      </c>
      <c r="LJ23" s="504">
        <v>0</v>
      </c>
      <c r="LK23" s="504">
        <v>0</v>
      </c>
      <c r="LL23" s="504">
        <v>0</v>
      </c>
      <c r="LM23" s="504">
        <v>0</v>
      </c>
      <c r="LN23" s="504">
        <v>0</v>
      </c>
      <c r="LO23" s="504">
        <v>0</v>
      </c>
      <c r="LP23" s="504">
        <v>0</v>
      </c>
      <c r="LQ23" s="504">
        <v>0</v>
      </c>
      <c r="LR23" s="504">
        <v>0</v>
      </c>
      <c r="LS23" s="504">
        <v>0</v>
      </c>
      <c r="LT23" s="504">
        <v>0</v>
      </c>
      <c r="LU23" s="504">
        <v>0</v>
      </c>
      <c r="LV23" s="504">
        <v>0</v>
      </c>
      <c r="LW23" s="504">
        <v>0</v>
      </c>
      <c r="LX23" s="504">
        <v>0</v>
      </c>
      <c r="LY23" s="504">
        <v>0</v>
      </c>
      <c r="LZ23" s="504">
        <v>0</v>
      </c>
      <c r="MA23" s="504">
        <v>0</v>
      </c>
      <c r="MB23" s="504">
        <v>0</v>
      </c>
      <c r="MC23" s="504">
        <v>0</v>
      </c>
      <c r="MD23" s="504">
        <v>0</v>
      </c>
      <c r="ME23" s="504">
        <v>0</v>
      </c>
      <c r="MF23" s="504">
        <v>0</v>
      </c>
      <c r="MG23" s="504">
        <v>0</v>
      </c>
      <c r="MH23" s="504">
        <v>0</v>
      </c>
      <c r="MI23" s="504">
        <v>0</v>
      </c>
      <c r="MJ23" s="504">
        <v>0</v>
      </c>
      <c r="MK23" s="504">
        <v>0</v>
      </c>
      <c r="ML23" s="504">
        <v>0</v>
      </c>
      <c r="MM23" s="504">
        <v>0</v>
      </c>
      <c r="MN23" s="504">
        <v>0</v>
      </c>
      <c r="MO23" s="504">
        <v>0</v>
      </c>
      <c r="MP23" s="504">
        <v>0</v>
      </c>
      <c r="MQ23" s="504">
        <v>0</v>
      </c>
      <c r="MR23" s="504">
        <v>0</v>
      </c>
      <c r="MS23" s="504">
        <v>0</v>
      </c>
      <c r="MT23" s="504">
        <v>0</v>
      </c>
      <c r="MU23" s="504">
        <v>0</v>
      </c>
      <c r="MV23" s="504">
        <v>0</v>
      </c>
      <c r="MW23" s="504">
        <v>0</v>
      </c>
      <c r="MX23" s="504">
        <v>0</v>
      </c>
      <c r="MY23" s="504">
        <v>0</v>
      </c>
      <c r="MZ23" s="504">
        <v>0</v>
      </c>
      <c r="NA23" s="504">
        <v>0</v>
      </c>
      <c r="NB23" s="504">
        <v>0</v>
      </c>
      <c r="NC23" s="504">
        <v>0</v>
      </c>
      <c r="ND23" s="504">
        <v>0</v>
      </c>
      <c r="NE23" s="504">
        <v>0</v>
      </c>
      <c r="NF23" s="504">
        <v>0</v>
      </c>
      <c r="NG23" s="504">
        <v>0</v>
      </c>
      <c r="NH23" s="504">
        <v>0</v>
      </c>
      <c r="NI23" s="504">
        <v>0</v>
      </c>
      <c r="NJ23" s="504">
        <v>0</v>
      </c>
      <c r="NK23" s="504">
        <v>0</v>
      </c>
      <c r="NL23" s="504">
        <v>0</v>
      </c>
      <c r="NM23" s="504">
        <v>0</v>
      </c>
      <c r="NN23" s="504">
        <v>0</v>
      </c>
      <c r="NO23" s="504">
        <v>0</v>
      </c>
      <c r="NP23" s="504">
        <v>0</v>
      </c>
      <c r="NQ23" s="504">
        <v>0</v>
      </c>
      <c r="NR23" s="504">
        <v>0</v>
      </c>
      <c r="NS23" s="504">
        <v>0</v>
      </c>
      <c r="NT23" s="504">
        <v>0</v>
      </c>
      <c r="NU23" s="504">
        <v>0</v>
      </c>
      <c r="NV23" s="504">
        <v>0</v>
      </c>
      <c r="NW23" s="504">
        <v>0</v>
      </c>
      <c r="NX23" s="504">
        <v>0</v>
      </c>
      <c r="NY23" s="504">
        <v>0</v>
      </c>
      <c r="NZ23" s="504">
        <v>0</v>
      </c>
      <c r="OA23" s="504">
        <v>0</v>
      </c>
      <c r="OB23" s="504">
        <v>0</v>
      </c>
      <c r="OC23" s="504">
        <v>0</v>
      </c>
      <c r="OD23" s="504">
        <v>0</v>
      </c>
      <c r="OE23" s="504">
        <v>0</v>
      </c>
      <c r="OF23" s="504">
        <v>0</v>
      </c>
      <c r="OG23" s="504">
        <v>0</v>
      </c>
      <c r="OH23" s="504">
        <v>0</v>
      </c>
      <c r="OI23" s="504">
        <v>0</v>
      </c>
      <c r="OJ23" s="504">
        <v>0</v>
      </c>
      <c r="OK23" s="504">
        <v>0</v>
      </c>
      <c r="OL23" s="504">
        <v>0</v>
      </c>
      <c r="OM23" s="504">
        <v>0</v>
      </c>
      <c r="ON23" s="504">
        <v>0</v>
      </c>
      <c r="OO23" s="504">
        <v>0</v>
      </c>
      <c r="OP23" s="504">
        <v>0</v>
      </c>
      <c r="OQ23" s="504">
        <v>0</v>
      </c>
      <c r="OR23"/>
      <c r="OS23"/>
      <c r="OT23"/>
      <c r="OU23"/>
      <c r="OV23"/>
      <c r="OW23"/>
      <c r="OX23"/>
      <c r="OY23"/>
      <c r="OZ23"/>
      <c r="PA23"/>
      <c r="PB23"/>
      <c r="PC23"/>
      <c r="PD23"/>
      <c r="PE23"/>
      <c r="PF23"/>
      <c r="PG23"/>
      <c r="PH23"/>
      <c r="PI23"/>
      <c r="PJ23"/>
      <c r="PK23"/>
      <c r="PL23"/>
      <c r="PM23"/>
      <c r="PN23"/>
      <c r="PO23"/>
      <c r="PP23"/>
      <c r="PQ23"/>
      <c r="PR23"/>
      <c r="PS23"/>
      <c r="PT23" s="1656"/>
    </row>
    <row r="24" spans="1:436" ht="21.5">
      <c r="A24" s="1466" t="s">
        <v>1686</v>
      </c>
      <c r="B24" s="1576" t="s">
        <v>2358</v>
      </c>
      <c r="C24" s="1576" t="s">
        <v>13</v>
      </c>
      <c r="D24" s="1576">
        <v>47</v>
      </c>
      <c r="E24" s="504">
        <v>49</v>
      </c>
      <c r="F24" s="504">
        <v>196</v>
      </c>
      <c r="G24" s="504">
        <v>501</v>
      </c>
      <c r="H24" s="504">
        <v>781</v>
      </c>
      <c r="I24" s="504">
        <v>1119</v>
      </c>
      <c r="J24" s="504">
        <v>1368</v>
      </c>
      <c r="K24" s="504">
        <v>1385</v>
      </c>
      <c r="L24" s="504">
        <v>1402</v>
      </c>
      <c r="M24" s="504">
        <v>1420</v>
      </c>
      <c r="N24" s="504">
        <v>1438</v>
      </c>
      <c r="O24" s="504">
        <v>1457</v>
      </c>
      <c r="P24" s="504">
        <v>1475</v>
      </c>
      <c r="Q24" s="504">
        <v>1494</v>
      </c>
      <c r="R24" s="504">
        <v>1514</v>
      </c>
      <c r="S24" s="504">
        <v>1533</v>
      </c>
      <c r="T24" s="504">
        <v>1553</v>
      </c>
      <c r="U24" s="504">
        <v>1573</v>
      </c>
      <c r="V24" s="504">
        <v>1594</v>
      </c>
      <c r="W24" s="504">
        <v>1615</v>
      </c>
      <c r="X24" s="504">
        <v>1636</v>
      </c>
      <c r="Y24" s="504">
        <v>1657</v>
      </c>
      <c r="Z24" s="504">
        <v>1679</v>
      </c>
      <c r="AA24" s="504">
        <v>1701</v>
      </c>
      <c r="AB24" s="504">
        <v>1724</v>
      </c>
      <c r="AC24" s="504">
        <v>1747</v>
      </c>
      <c r="AD24" s="504">
        <v>1770</v>
      </c>
      <c r="AE24" s="504">
        <v>1795</v>
      </c>
      <c r="AF24" s="504">
        <v>1821</v>
      </c>
      <c r="AG24" s="504">
        <v>1848</v>
      </c>
      <c r="AH24" s="504">
        <v>1876</v>
      </c>
      <c r="AI24" s="504">
        <v>1908</v>
      </c>
      <c r="AJ24" s="504">
        <v>1942</v>
      </c>
      <c r="AK24" s="504">
        <v>2000</v>
      </c>
      <c r="AL24" s="504">
        <v>0</v>
      </c>
      <c r="AM24" s="504">
        <v>0</v>
      </c>
      <c r="AN24" s="504">
        <v>0</v>
      </c>
      <c r="AO24" s="504">
        <v>0</v>
      </c>
      <c r="AP24" s="504">
        <v>0</v>
      </c>
      <c r="AQ24" s="504">
        <v>0</v>
      </c>
      <c r="AR24" s="504">
        <v>0</v>
      </c>
      <c r="AS24" s="504">
        <v>0</v>
      </c>
      <c r="AT24" s="504">
        <v>0</v>
      </c>
      <c r="AU24" s="504">
        <v>0</v>
      </c>
      <c r="AV24" s="504">
        <v>0</v>
      </c>
      <c r="AW24" s="504">
        <v>0</v>
      </c>
      <c r="AX24" s="504">
        <v>0</v>
      </c>
      <c r="AY24" s="504">
        <v>0</v>
      </c>
      <c r="AZ24" s="504">
        <v>0</v>
      </c>
      <c r="BA24" s="504">
        <v>0</v>
      </c>
      <c r="BB24" s="504">
        <v>0</v>
      </c>
      <c r="BC24" s="504">
        <v>0</v>
      </c>
      <c r="BD24" s="504">
        <v>0</v>
      </c>
      <c r="BE24" s="504">
        <v>0</v>
      </c>
      <c r="BF24" s="504">
        <v>0</v>
      </c>
      <c r="BG24" s="504">
        <v>0</v>
      </c>
      <c r="BH24" s="504">
        <v>0</v>
      </c>
      <c r="BI24" s="504">
        <v>0</v>
      </c>
      <c r="BJ24" s="504">
        <v>0</v>
      </c>
      <c r="BK24" s="504">
        <v>0</v>
      </c>
      <c r="BL24" s="504">
        <v>0</v>
      </c>
      <c r="BM24" s="504">
        <v>0</v>
      </c>
      <c r="BN24" s="504">
        <v>0</v>
      </c>
      <c r="BO24" s="504">
        <v>0</v>
      </c>
      <c r="BP24" s="504">
        <v>0</v>
      </c>
      <c r="BQ24" s="504">
        <v>0</v>
      </c>
      <c r="BR24" s="504">
        <v>0</v>
      </c>
      <c r="BS24" s="504">
        <v>0</v>
      </c>
      <c r="BT24" s="504">
        <v>0</v>
      </c>
      <c r="BU24" s="504">
        <v>0</v>
      </c>
      <c r="BV24" s="504">
        <v>0</v>
      </c>
      <c r="BW24" s="504">
        <v>0</v>
      </c>
      <c r="BX24" s="504">
        <v>0</v>
      </c>
      <c r="BY24" s="504">
        <v>0</v>
      </c>
      <c r="BZ24" s="504">
        <v>0</v>
      </c>
      <c r="CA24" s="504">
        <v>0</v>
      </c>
      <c r="CB24" s="504">
        <v>0</v>
      </c>
      <c r="CC24" s="504">
        <v>0</v>
      </c>
      <c r="CD24" s="504">
        <v>0</v>
      </c>
      <c r="CE24" s="504">
        <v>0</v>
      </c>
      <c r="CF24" s="504">
        <v>0</v>
      </c>
      <c r="CG24" s="504">
        <v>0</v>
      </c>
      <c r="CH24" s="504">
        <v>0</v>
      </c>
      <c r="CI24" s="504">
        <v>0</v>
      </c>
      <c r="CJ24" s="504">
        <v>0</v>
      </c>
      <c r="CK24" s="504">
        <v>0</v>
      </c>
      <c r="CL24" s="504">
        <v>0</v>
      </c>
      <c r="CM24" s="504">
        <v>0</v>
      </c>
      <c r="CN24" s="504">
        <v>0</v>
      </c>
      <c r="CO24" s="504">
        <v>0</v>
      </c>
      <c r="CP24" s="504">
        <v>0</v>
      </c>
      <c r="CQ24" s="504">
        <v>0</v>
      </c>
      <c r="CR24" s="504">
        <v>0</v>
      </c>
      <c r="CS24" s="504">
        <v>0</v>
      </c>
      <c r="CT24" s="504">
        <v>0</v>
      </c>
      <c r="CU24" s="504">
        <v>0</v>
      </c>
      <c r="CV24" s="504">
        <v>0</v>
      </c>
      <c r="CW24" s="504">
        <v>0</v>
      </c>
      <c r="CX24" s="504">
        <v>0</v>
      </c>
      <c r="CY24" s="504">
        <v>0</v>
      </c>
      <c r="CZ24" s="1654">
        <v>0</v>
      </c>
      <c r="DA24" s="504">
        <v>0</v>
      </c>
      <c r="DB24" s="504">
        <v>104</v>
      </c>
      <c r="DC24" s="504">
        <v>405</v>
      </c>
      <c r="DD24" s="504">
        <v>1005</v>
      </c>
      <c r="DE24" s="504">
        <v>1272</v>
      </c>
      <c r="DF24" s="504">
        <v>1598</v>
      </c>
      <c r="DG24" s="504">
        <v>0</v>
      </c>
      <c r="DH24" s="504">
        <v>0</v>
      </c>
      <c r="DI24" s="504">
        <v>0</v>
      </c>
      <c r="DJ24" s="504">
        <v>0</v>
      </c>
      <c r="DK24" s="504">
        <v>0</v>
      </c>
      <c r="DL24" s="504">
        <v>0</v>
      </c>
      <c r="DM24" s="504">
        <v>0</v>
      </c>
      <c r="DN24" s="504">
        <v>0</v>
      </c>
      <c r="DO24" s="504">
        <v>0</v>
      </c>
      <c r="DP24" s="504">
        <v>0</v>
      </c>
      <c r="DQ24" s="504">
        <v>0</v>
      </c>
      <c r="DR24" s="504">
        <v>0</v>
      </c>
      <c r="DS24" s="504">
        <v>0</v>
      </c>
      <c r="DT24" s="504">
        <v>0</v>
      </c>
      <c r="DU24" s="504">
        <v>0</v>
      </c>
      <c r="DV24" s="504">
        <v>0</v>
      </c>
      <c r="DW24" s="504">
        <v>0</v>
      </c>
      <c r="DX24" s="504">
        <v>0</v>
      </c>
      <c r="DY24" s="504">
        <v>0</v>
      </c>
      <c r="DZ24" s="504">
        <v>0</v>
      </c>
      <c r="EA24" s="504">
        <v>0</v>
      </c>
      <c r="EB24" s="504">
        <v>0</v>
      </c>
      <c r="EC24" s="504">
        <v>0</v>
      </c>
      <c r="ED24" s="504">
        <v>0</v>
      </c>
      <c r="EE24" s="504">
        <v>0</v>
      </c>
      <c r="EF24" s="504">
        <v>0</v>
      </c>
      <c r="EG24" s="504">
        <v>0</v>
      </c>
      <c r="EH24" s="504">
        <v>0</v>
      </c>
      <c r="EI24" s="504">
        <v>0</v>
      </c>
      <c r="EJ24" s="504">
        <v>0</v>
      </c>
      <c r="EK24" s="504">
        <v>0</v>
      </c>
      <c r="EL24" s="504">
        <v>0</v>
      </c>
      <c r="EM24" s="504">
        <v>0</v>
      </c>
      <c r="EN24" s="504">
        <v>0</v>
      </c>
      <c r="EO24" s="504">
        <v>0</v>
      </c>
      <c r="EP24" s="504">
        <v>0</v>
      </c>
      <c r="EQ24" s="504">
        <v>0</v>
      </c>
      <c r="ER24" s="504">
        <v>0</v>
      </c>
      <c r="ES24" s="504">
        <v>0</v>
      </c>
      <c r="ET24" s="504">
        <v>0</v>
      </c>
      <c r="EU24" s="504">
        <v>0</v>
      </c>
      <c r="EV24" s="504">
        <v>0</v>
      </c>
      <c r="EW24" s="504">
        <v>0</v>
      </c>
      <c r="EX24" s="504">
        <v>0</v>
      </c>
      <c r="EY24" s="504">
        <v>0</v>
      </c>
      <c r="EZ24" s="504">
        <v>0</v>
      </c>
      <c r="FA24" s="504">
        <v>0</v>
      </c>
      <c r="FB24" s="504">
        <v>0</v>
      </c>
      <c r="FC24" s="504">
        <v>0</v>
      </c>
      <c r="FD24" s="504">
        <v>0</v>
      </c>
      <c r="FE24" s="504">
        <v>0</v>
      </c>
      <c r="FF24" s="504">
        <v>0</v>
      </c>
      <c r="FG24" s="504">
        <v>0</v>
      </c>
      <c r="FH24" s="504">
        <v>0</v>
      </c>
      <c r="FI24" s="504">
        <v>0</v>
      </c>
      <c r="FJ24" s="504">
        <v>0</v>
      </c>
      <c r="FK24" s="504">
        <v>0</v>
      </c>
      <c r="FL24" s="504">
        <v>0</v>
      </c>
      <c r="FM24" s="504">
        <v>0</v>
      </c>
      <c r="FN24" s="504">
        <v>0</v>
      </c>
      <c r="FO24" s="504">
        <v>0</v>
      </c>
      <c r="FP24" s="504">
        <v>0</v>
      </c>
      <c r="FQ24" s="504">
        <v>0</v>
      </c>
      <c r="FR24" s="504">
        <v>0</v>
      </c>
      <c r="FS24" s="504">
        <v>0</v>
      </c>
      <c r="FT24" s="504">
        <v>0</v>
      </c>
      <c r="FU24" s="504">
        <v>0</v>
      </c>
      <c r="FV24" s="504">
        <v>0</v>
      </c>
      <c r="FW24" s="504">
        <v>0</v>
      </c>
      <c r="FX24" s="504">
        <v>0</v>
      </c>
      <c r="FY24" s="504">
        <v>0</v>
      </c>
      <c r="FZ24" s="504">
        <v>0</v>
      </c>
      <c r="GA24" s="504">
        <v>0</v>
      </c>
      <c r="GB24" s="504">
        <v>0</v>
      </c>
      <c r="GC24" s="504">
        <v>0</v>
      </c>
      <c r="GD24" s="504">
        <v>0</v>
      </c>
      <c r="GE24" s="504">
        <v>0</v>
      </c>
      <c r="GF24" s="504">
        <v>0</v>
      </c>
      <c r="GG24" s="504">
        <v>0</v>
      </c>
      <c r="GH24" s="504">
        <v>0</v>
      </c>
      <c r="GI24" s="504">
        <v>0</v>
      </c>
      <c r="GJ24" s="504">
        <v>0</v>
      </c>
      <c r="GK24" s="504">
        <v>0</v>
      </c>
      <c r="GL24" s="504">
        <v>0</v>
      </c>
      <c r="GM24" s="504">
        <v>0</v>
      </c>
      <c r="GN24" s="504">
        <v>0</v>
      </c>
      <c r="GO24" s="504">
        <v>0</v>
      </c>
      <c r="GP24" s="504">
        <v>0</v>
      </c>
      <c r="GQ24" s="504">
        <v>0</v>
      </c>
      <c r="GR24" s="504">
        <v>0</v>
      </c>
      <c r="GS24" s="504">
        <v>0</v>
      </c>
      <c r="GT24" s="504">
        <v>0</v>
      </c>
      <c r="GU24" s="504">
        <v>0</v>
      </c>
      <c r="GV24" s="504">
        <v>0</v>
      </c>
      <c r="GW24" s="1654">
        <v>0</v>
      </c>
      <c r="GX24" s="504">
        <v>0</v>
      </c>
      <c r="GY24" s="504">
        <v>7174</v>
      </c>
      <c r="GZ24" s="504">
        <v>20146</v>
      </c>
      <c r="HA24" s="504">
        <v>30000</v>
      </c>
      <c r="HB24" s="504">
        <v>29000</v>
      </c>
      <c r="HC24" s="504">
        <v>28000</v>
      </c>
      <c r="HD24" s="504">
        <v>0</v>
      </c>
      <c r="HE24" s="504">
        <v>0</v>
      </c>
      <c r="HF24" s="504">
        <v>0</v>
      </c>
      <c r="HG24" s="504">
        <v>0</v>
      </c>
      <c r="HH24" s="504">
        <v>0</v>
      </c>
      <c r="HI24" s="504">
        <v>0</v>
      </c>
      <c r="HJ24" s="504">
        <v>0</v>
      </c>
      <c r="HK24" s="504">
        <v>0</v>
      </c>
      <c r="HL24" s="504">
        <v>0</v>
      </c>
      <c r="HM24" s="504">
        <v>0</v>
      </c>
      <c r="HN24" s="504">
        <v>0</v>
      </c>
      <c r="HO24" s="504">
        <v>0</v>
      </c>
      <c r="HP24" s="504">
        <v>0</v>
      </c>
      <c r="HQ24" s="504">
        <v>0</v>
      </c>
      <c r="HR24" s="504">
        <v>0</v>
      </c>
      <c r="HS24" s="504">
        <v>0</v>
      </c>
      <c r="HT24" s="504">
        <v>0</v>
      </c>
      <c r="HU24" s="504">
        <v>0</v>
      </c>
      <c r="HV24" s="504">
        <v>0</v>
      </c>
      <c r="HW24" s="504">
        <v>0</v>
      </c>
      <c r="HX24" s="504">
        <v>0</v>
      </c>
      <c r="HY24" s="504">
        <v>0</v>
      </c>
      <c r="HZ24" s="504">
        <v>0</v>
      </c>
      <c r="IA24" s="504">
        <v>0</v>
      </c>
      <c r="IB24" s="504">
        <v>0</v>
      </c>
      <c r="IC24" s="504">
        <v>0</v>
      </c>
      <c r="ID24" s="504">
        <v>0</v>
      </c>
      <c r="IE24" s="504">
        <v>0</v>
      </c>
      <c r="IF24" s="504">
        <v>0</v>
      </c>
      <c r="IG24" s="504">
        <v>0</v>
      </c>
      <c r="IH24" s="504">
        <v>0</v>
      </c>
      <c r="II24" s="504">
        <v>0</v>
      </c>
      <c r="IJ24" s="504">
        <v>0</v>
      </c>
      <c r="IK24" s="504">
        <v>0</v>
      </c>
      <c r="IL24" s="504">
        <v>0</v>
      </c>
      <c r="IM24" s="504">
        <v>0</v>
      </c>
      <c r="IN24" s="504">
        <v>0</v>
      </c>
      <c r="IO24" s="504">
        <v>0</v>
      </c>
      <c r="IP24" s="504">
        <v>0</v>
      </c>
      <c r="IQ24" s="504">
        <v>0</v>
      </c>
      <c r="IR24" s="504">
        <v>0</v>
      </c>
      <c r="IS24" s="504">
        <v>0</v>
      </c>
      <c r="IT24" s="504">
        <v>0</v>
      </c>
      <c r="IU24" s="504">
        <v>0</v>
      </c>
      <c r="IV24" s="504">
        <v>0</v>
      </c>
      <c r="IW24" s="504">
        <v>0</v>
      </c>
      <c r="IX24" s="504">
        <v>0</v>
      </c>
      <c r="IY24" s="504">
        <v>0</v>
      </c>
      <c r="IZ24" s="504">
        <v>0</v>
      </c>
      <c r="JA24" s="504">
        <v>0</v>
      </c>
      <c r="JB24" s="504">
        <v>0</v>
      </c>
      <c r="JC24" s="504">
        <v>0</v>
      </c>
      <c r="JD24" s="504">
        <v>0</v>
      </c>
      <c r="JE24" s="504">
        <v>0</v>
      </c>
      <c r="JF24" s="504">
        <v>0</v>
      </c>
      <c r="JG24" s="504">
        <v>0</v>
      </c>
      <c r="JH24" s="504">
        <v>0</v>
      </c>
      <c r="JI24" s="504">
        <v>0</v>
      </c>
      <c r="JJ24" s="504">
        <v>0</v>
      </c>
      <c r="JK24" s="504">
        <v>0</v>
      </c>
      <c r="JL24" s="504">
        <v>0</v>
      </c>
      <c r="JM24" s="504">
        <v>0</v>
      </c>
      <c r="JN24" s="504">
        <v>0</v>
      </c>
      <c r="JO24" s="504">
        <v>0</v>
      </c>
      <c r="JP24" s="504">
        <v>0</v>
      </c>
      <c r="JQ24" s="504">
        <v>0</v>
      </c>
      <c r="JR24" s="504">
        <v>0</v>
      </c>
      <c r="JS24" s="504">
        <v>0</v>
      </c>
      <c r="JT24" s="504">
        <v>0</v>
      </c>
      <c r="JU24" s="504">
        <v>0</v>
      </c>
      <c r="JV24" s="504">
        <v>0</v>
      </c>
      <c r="JW24" s="504">
        <v>0</v>
      </c>
      <c r="JX24" s="504">
        <v>0</v>
      </c>
      <c r="JY24" s="504">
        <v>0</v>
      </c>
      <c r="JZ24" s="504">
        <v>0</v>
      </c>
      <c r="KA24" s="504">
        <v>0</v>
      </c>
      <c r="KB24" s="504">
        <v>0</v>
      </c>
      <c r="KC24" s="504">
        <v>0</v>
      </c>
      <c r="KD24" s="504">
        <v>0</v>
      </c>
      <c r="KE24" s="504">
        <v>0</v>
      </c>
      <c r="KF24" s="504">
        <v>0</v>
      </c>
      <c r="KG24" s="504">
        <v>0</v>
      </c>
      <c r="KH24" s="504">
        <v>0</v>
      </c>
      <c r="KI24" s="504">
        <v>0</v>
      </c>
      <c r="KJ24" s="504">
        <v>0</v>
      </c>
      <c r="KK24" s="504">
        <v>0</v>
      </c>
      <c r="KL24" s="504">
        <v>0</v>
      </c>
      <c r="KM24" s="504">
        <v>0</v>
      </c>
      <c r="KN24" s="504">
        <v>0</v>
      </c>
      <c r="KO24" s="504">
        <v>0</v>
      </c>
      <c r="KP24" s="504">
        <v>0</v>
      </c>
      <c r="KQ24" s="504">
        <v>0</v>
      </c>
      <c r="KR24" s="504">
        <v>0</v>
      </c>
      <c r="KS24" s="504">
        <v>0</v>
      </c>
      <c r="KT24" s="1654">
        <v>0</v>
      </c>
      <c r="KU24" s="504">
        <v>0</v>
      </c>
      <c r="KV24" s="504">
        <v>0</v>
      </c>
      <c r="KW24" s="504">
        <v>0</v>
      </c>
      <c r="KX24" s="504">
        <v>884</v>
      </c>
      <c r="KY24" s="504">
        <v>1252</v>
      </c>
      <c r="KZ24" s="504">
        <v>1578</v>
      </c>
      <c r="LA24" s="504">
        <v>0</v>
      </c>
      <c r="LB24" s="504">
        <v>0</v>
      </c>
      <c r="LC24" s="504">
        <v>0</v>
      </c>
      <c r="LD24" s="504">
        <v>0</v>
      </c>
      <c r="LE24" s="504">
        <v>0</v>
      </c>
      <c r="LF24" s="504">
        <v>0</v>
      </c>
      <c r="LG24" s="504">
        <v>0</v>
      </c>
      <c r="LH24" s="504">
        <v>0</v>
      </c>
      <c r="LI24" s="504">
        <v>0</v>
      </c>
      <c r="LJ24" s="504">
        <v>0</v>
      </c>
      <c r="LK24" s="504">
        <v>0</v>
      </c>
      <c r="LL24" s="504">
        <v>0</v>
      </c>
      <c r="LM24" s="504">
        <v>0</v>
      </c>
      <c r="LN24" s="504">
        <v>0</v>
      </c>
      <c r="LO24" s="504">
        <v>0</v>
      </c>
      <c r="LP24" s="504">
        <v>0</v>
      </c>
      <c r="LQ24" s="504">
        <v>0</v>
      </c>
      <c r="LR24" s="504">
        <v>0</v>
      </c>
      <c r="LS24" s="504">
        <v>0</v>
      </c>
      <c r="LT24" s="504">
        <v>0</v>
      </c>
      <c r="LU24" s="504">
        <v>0</v>
      </c>
      <c r="LV24" s="504">
        <v>0</v>
      </c>
      <c r="LW24" s="504">
        <v>0</v>
      </c>
      <c r="LX24" s="504">
        <v>0</v>
      </c>
      <c r="LY24" s="504">
        <v>0</v>
      </c>
      <c r="LZ24" s="504">
        <v>0</v>
      </c>
      <c r="MA24" s="504">
        <v>0</v>
      </c>
      <c r="MB24" s="504">
        <v>0</v>
      </c>
      <c r="MC24" s="504">
        <v>0</v>
      </c>
      <c r="MD24" s="504">
        <v>0</v>
      </c>
      <c r="ME24" s="504">
        <v>0</v>
      </c>
      <c r="MF24" s="504">
        <v>0</v>
      </c>
      <c r="MG24" s="504">
        <v>0</v>
      </c>
      <c r="MH24" s="504">
        <v>0</v>
      </c>
      <c r="MI24" s="504">
        <v>0</v>
      </c>
      <c r="MJ24" s="504">
        <v>0</v>
      </c>
      <c r="MK24" s="504">
        <v>0</v>
      </c>
      <c r="ML24" s="504">
        <v>0</v>
      </c>
      <c r="MM24" s="504">
        <v>0</v>
      </c>
      <c r="MN24" s="504">
        <v>0</v>
      </c>
      <c r="MO24" s="504">
        <v>0</v>
      </c>
      <c r="MP24" s="504">
        <v>0</v>
      </c>
      <c r="MQ24" s="504">
        <v>0</v>
      </c>
      <c r="MR24" s="504">
        <v>0</v>
      </c>
      <c r="MS24" s="504">
        <v>0</v>
      </c>
      <c r="MT24" s="504">
        <v>0</v>
      </c>
      <c r="MU24" s="504">
        <v>0</v>
      </c>
      <c r="MV24" s="504">
        <v>0</v>
      </c>
      <c r="MW24" s="504">
        <v>0</v>
      </c>
      <c r="MX24" s="504">
        <v>0</v>
      </c>
      <c r="MY24" s="504">
        <v>0</v>
      </c>
      <c r="MZ24" s="504">
        <v>0</v>
      </c>
      <c r="NA24" s="504">
        <v>0</v>
      </c>
      <c r="NB24" s="504">
        <v>0</v>
      </c>
      <c r="NC24" s="504">
        <v>0</v>
      </c>
      <c r="ND24" s="504">
        <v>0</v>
      </c>
      <c r="NE24" s="504">
        <v>0</v>
      </c>
      <c r="NF24" s="504">
        <v>0</v>
      </c>
      <c r="NG24" s="504">
        <v>0</v>
      </c>
      <c r="NH24" s="504">
        <v>0</v>
      </c>
      <c r="NI24" s="504">
        <v>0</v>
      </c>
      <c r="NJ24" s="504">
        <v>0</v>
      </c>
      <c r="NK24" s="504">
        <v>0</v>
      </c>
      <c r="NL24" s="504">
        <v>0</v>
      </c>
      <c r="NM24" s="504">
        <v>0</v>
      </c>
      <c r="NN24" s="504">
        <v>0</v>
      </c>
      <c r="NO24" s="504">
        <v>0</v>
      </c>
      <c r="NP24" s="504">
        <v>0</v>
      </c>
      <c r="NQ24" s="504">
        <v>0</v>
      </c>
      <c r="NR24" s="504">
        <v>0</v>
      </c>
      <c r="NS24" s="504">
        <v>0</v>
      </c>
      <c r="NT24" s="504">
        <v>0</v>
      </c>
      <c r="NU24" s="504">
        <v>0</v>
      </c>
      <c r="NV24" s="504">
        <v>0</v>
      </c>
      <c r="NW24" s="504">
        <v>0</v>
      </c>
      <c r="NX24" s="504">
        <v>0</v>
      </c>
      <c r="NY24" s="504">
        <v>0</v>
      </c>
      <c r="NZ24" s="504">
        <v>0</v>
      </c>
      <c r="OA24" s="504">
        <v>0</v>
      </c>
      <c r="OB24" s="504">
        <v>0</v>
      </c>
      <c r="OC24" s="504">
        <v>0</v>
      </c>
      <c r="OD24" s="504">
        <v>0</v>
      </c>
      <c r="OE24" s="504">
        <v>0</v>
      </c>
      <c r="OF24" s="504">
        <v>0</v>
      </c>
      <c r="OG24" s="504">
        <v>0</v>
      </c>
      <c r="OH24" s="504">
        <v>0</v>
      </c>
      <c r="OI24" s="504">
        <v>0</v>
      </c>
      <c r="OJ24" s="504">
        <v>0</v>
      </c>
      <c r="OK24" s="504">
        <v>0</v>
      </c>
      <c r="OL24" s="504">
        <v>0</v>
      </c>
      <c r="OM24" s="504">
        <v>0</v>
      </c>
      <c r="ON24" s="504">
        <v>0</v>
      </c>
      <c r="OO24" s="504">
        <v>0</v>
      </c>
      <c r="OP24" s="504">
        <v>0</v>
      </c>
      <c r="OQ24" s="504">
        <v>0</v>
      </c>
      <c r="OR24"/>
      <c r="OS24"/>
      <c r="OT24"/>
      <c r="OU24"/>
      <c r="OV24"/>
      <c r="OW24"/>
      <c r="OX24"/>
      <c r="OY24"/>
      <c r="OZ24"/>
      <c r="PA24"/>
      <c r="PB24"/>
      <c r="PC24"/>
      <c r="PD24"/>
      <c r="PE24"/>
      <c r="PF24"/>
      <c r="PG24"/>
      <c r="PH24"/>
      <c r="PI24"/>
      <c r="PJ24"/>
      <c r="PK24"/>
      <c r="PL24"/>
      <c r="PM24"/>
      <c r="PN24"/>
      <c r="PO24"/>
      <c r="PP24"/>
      <c r="PQ24"/>
      <c r="PR24"/>
      <c r="PS24"/>
      <c r="PT24" s="1656"/>
    </row>
    <row r="25" spans="1:436" ht="21.5">
      <c r="A25" s="1466" t="s">
        <v>1687</v>
      </c>
      <c r="B25" s="1576" t="s">
        <v>2358</v>
      </c>
      <c r="C25" s="1576" t="s">
        <v>13</v>
      </c>
      <c r="D25" s="1576">
        <v>48</v>
      </c>
      <c r="E25" s="504">
        <v>50</v>
      </c>
      <c r="F25" s="504">
        <v>198</v>
      </c>
      <c r="G25" s="504">
        <v>507</v>
      </c>
      <c r="H25" s="504">
        <v>791</v>
      </c>
      <c r="I25" s="504">
        <v>1132</v>
      </c>
      <c r="J25" s="504">
        <v>1385</v>
      </c>
      <c r="K25" s="504">
        <v>1402</v>
      </c>
      <c r="L25" s="504">
        <v>1420</v>
      </c>
      <c r="M25" s="504">
        <v>1438</v>
      </c>
      <c r="N25" s="504">
        <v>1457</v>
      </c>
      <c r="O25" s="504">
        <v>1475</v>
      </c>
      <c r="P25" s="504">
        <v>1494</v>
      </c>
      <c r="Q25" s="504">
        <v>1514</v>
      </c>
      <c r="R25" s="504">
        <v>1533</v>
      </c>
      <c r="S25" s="504">
        <v>1553</v>
      </c>
      <c r="T25" s="504">
        <v>1573</v>
      </c>
      <c r="U25" s="504">
        <v>1594</v>
      </c>
      <c r="V25" s="504">
        <v>1615</v>
      </c>
      <c r="W25" s="504">
        <v>1636</v>
      </c>
      <c r="X25" s="504">
        <v>1657</v>
      </c>
      <c r="Y25" s="504">
        <v>1679</v>
      </c>
      <c r="Z25" s="504">
        <v>1701</v>
      </c>
      <c r="AA25" s="504">
        <v>1724</v>
      </c>
      <c r="AB25" s="504">
        <v>1747</v>
      </c>
      <c r="AC25" s="504">
        <v>1770</v>
      </c>
      <c r="AD25" s="504">
        <v>1795</v>
      </c>
      <c r="AE25" s="504">
        <v>1821</v>
      </c>
      <c r="AF25" s="504">
        <v>1848</v>
      </c>
      <c r="AG25" s="504">
        <v>1876</v>
      </c>
      <c r="AH25" s="504">
        <v>1908</v>
      </c>
      <c r="AI25" s="504">
        <v>1942</v>
      </c>
      <c r="AJ25" s="504">
        <v>2000</v>
      </c>
      <c r="AK25" s="504">
        <v>0</v>
      </c>
      <c r="AL25" s="504">
        <v>0</v>
      </c>
      <c r="AM25" s="504">
        <v>0</v>
      </c>
      <c r="AN25" s="504">
        <v>0</v>
      </c>
      <c r="AO25" s="504">
        <v>0</v>
      </c>
      <c r="AP25" s="504">
        <v>0</v>
      </c>
      <c r="AQ25" s="504">
        <v>0</v>
      </c>
      <c r="AR25" s="504">
        <v>0</v>
      </c>
      <c r="AS25" s="504">
        <v>0</v>
      </c>
      <c r="AT25" s="504">
        <v>0</v>
      </c>
      <c r="AU25" s="504">
        <v>0</v>
      </c>
      <c r="AV25" s="504">
        <v>0</v>
      </c>
      <c r="AW25" s="504">
        <v>0</v>
      </c>
      <c r="AX25" s="504">
        <v>0</v>
      </c>
      <c r="AY25" s="504">
        <v>0</v>
      </c>
      <c r="AZ25" s="504">
        <v>0</v>
      </c>
      <c r="BA25" s="504">
        <v>0</v>
      </c>
      <c r="BB25" s="504">
        <v>0</v>
      </c>
      <c r="BC25" s="504">
        <v>0</v>
      </c>
      <c r="BD25" s="504">
        <v>0</v>
      </c>
      <c r="BE25" s="504">
        <v>0</v>
      </c>
      <c r="BF25" s="504">
        <v>0</v>
      </c>
      <c r="BG25" s="504">
        <v>0</v>
      </c>
      <c r="BH25" s="504">
        <v>0</v>
      </c>
      <c r="BI25" s="504">
        <v>0</v>
      </c>
      <c r="BJ25" s="504">
        <v>0</v>
      </c>
      <c r="BK25" s="504">
        <v>0</v>
      </c>
      <c r="BL25" s="504">
        <v>0</v>
      </c>
      <c r="BM25" s="504">
        <v>0</v>
      </c>
      <c r="BN25" s="504">
        <v>0</v>
      </c>
      <c r="BO25" s="504">
        <v>0</v>
      </c>
      <c r="BP25" s="504">
        <v>0</v>
      </c>
      <c r="BQ25" s="504">
        <v>0</v>
      </c>
      <c r="BR25" s="504">
        <v>0</v>
      </c>
      <c r="BS25" s="504">
        <v>0</v>
      </c>
      <c r="BT25" s="504">
        <v>0</v>
      </c>
      <c r="BU25" s="504">
        <v>0</v>
      </c>
      <c r="BV25" s="504">
        <v>0</v>
      </c>
      <c r="BW25" s="504">
        <v>0</v>
      </c>
      <c r="BX25" s="504">
        <v>0</v>
      </c>
      <c r="BY25" s="504">
        <v>0</v>
      </c>
      <c r="BZ25" s="504">
        <v>0</v>
      </c>
      <c r="CA25" s="504">
        <v>0</v>
      </c>
      <c r="CB25" s="504">
        <v>0</v>
      </c>
      <c r="CC25" s="504">
        <v>0</v>
      </c>
      <c r="CD25" s="504">
        <v>0</v>
      </c>
      <c r="CE25" s="504">
        <v>0</v>
      </c>
      <c r="CF25" s="504">
        <v>0</v>
      </c>
      <c r="CG25" s="504">
        <v>0</v>
      </c>
      <c r="CH25" s="504">
        <v>0</v>
      </c>
      <c r="CI25" s="504">
        <v>0</v>
      </c>
      <c r="CJ25" s="504">
        <v>0</v>
      </c>
      <c r="CK25" s="504">
        <v>0</v>
      </c>
      <c r="CL25" s="504">
        <v>0</v>
      </c>
      <c r="CM25" s="504">
        <v>0</v>
      </c>
      <c r="CN25" s="504">
        <v>0</v>
      </c>
      <c r="CO25" s="504">
        <v>0</v>
      </c>
      <c r="CP25" s="504">
        <v>0</v>
      </c>
      <c r="CQ25" s="504">
        <v>0</v>
      </c>
      <c r="CR25" s="504">
        <v>0</v>
      </c>
      <c r="CS25" s="504">
        <v>0</v>
      </c>
      <c r="CT25" s="504">
        <v>0</v>
      </c>
      <c r="CU25" s="504">
        <v>0</v>
      </c>
      <c r="CV25" s="504">
        <v>0</v>
      </c>
      <c r="CW25" s="504">
        <v>0</v>
      </c>
      <c r="CX25" s="504">
        <v>0</v>
      </c>
      <c r="CY25" s="504">
        <v>0</v>
      </c>
      <c r="CZ25" s="1654">
        <v>0</v>
      </c>
      <c r="DA25" s="504">
        <v>0</v>
      </c>
      <c r="DB25" s="504">
        <v>103</v>
      </c>
      <c r="DC25" s="504">
        <v>399</v>
      </c>
      <c r="DD25" s="504">
        <v>997</v>
      </c>
      <c r="DE25" s="504">
        <v>1270</v>
      </c>
      <c r="DF25" s="504">
        <v>1598</v>
      </c>
      <c r="DG25" s="504">
        <v>0</v>
      </c>
      <c r="DH25" s="504">
        <v>0</v>
      </c>
      <c r="DI25" s="504">
        <v>0</v>
      </c>
      <c r="DJ25" s="504">
        <v>0</v>
      </c>
      <c r="DK25" s="504">
        <v>0</v>
      </c>
      <c r="DL25" s="504">
        <v>0</v>
      </c>
      <c r="DM25" s="504">
        <v>0</v>
      </c>
      <c r="DN25" s="504">
        <v>0</v>
      </c>
      <c r="DO25" s="504">
        <v>0</v>
      </c>
      <c r="DP25" s="504">
        <v>0</v>
      </c>
      <c r="DQ25" s="504">
        <v>0</v>
      </c>
      <c r="DR25" s="504">
        <v>0</v>
      </c>
      <c r="DS25" s="504">
        <v>0</v>
      </c>
      <c r="DT25" s="504">
        <v>0</v>
      </c>
      <c r="DU25" s="504">
        <v>0</v>
      </c>
      <c r="DV25" s="504">
        <v>0</v>
      </c>
      <c r="DW25" s="504">
        <v>0</v>
      </c>
      <c r="DX25" s="504">
        <v>0</v>
      </c>
      <c r="DY25" s="504">
        <v>0</v>
      </c>
      <c r="DZ25" s="504">
        <v>0</v>
      </c>
      <c r="EA25" s="504">
        <v>0</v>
      </c>
      <c r="EB25" s="504">
        <v>0</v>
      </c>
      <c r="EC25" s="504">
        <v>0</v>
      </c>
      <c r="ED25" s="504">
        <v>0</v>
      </c>
      <c r="EE25" s="504">
        <v>0</v>
      </c>
      <c r="EF25" s="504">
        <v>0</v>
      </c>
      <c r="EG25" s="504">
        <v>0</v>
      </c>
      <c r="EH25" s="504">
        <v>0</v>
      </c>
      <c r="EI25" s="504">
        <v>0</v>
      </c>
      <c r="EJ25" s="504">
        <v>0</v>
      </c>
      <c r="EK25" s="504">
        <v>0</v>
      </c>
      <c r="EL25" s="504">
        <v>0</v>
      </c>
      <c r="EM25" s="504">
        <v>0</v>
      </c>
      <c r="EN25" s="504">
        <v>0</v>
      </c>
      <c r="EO25" s="504">
        <v>0</v>
      </c>
      <c r="EP25" s="504">
        <v>0</v>
      </c>
      <c r="EQ25" s="504">
        <v>0</v>
      </c>
      <c r="ER25" s="504">
        <v>0</v>
      </c>
      <c r="ES25" s="504">
        <v>0</v>
      </c>
      <c r="ET25" s="504">
        <v>0</v>
      </c>
      <c r="EU25" s="504">
        <v>0</v>
      </c>
      <c r="EV25" s="504">
        <v>0</v>
      </c>
      <c r="EW25" s="504">
        <v>0</v>
      </c>
      <c r="EX25" s="504">
        <v>0</v>
      </c>
      <c r="EY25" s="504">
        <v>0</v>
      </c>
      <c r="EZ25" s="504">
        <v>0</v>
      </c>
      <c r="FA25" s="504">
        <v>0</v>
      </c>
      <c r="FB25" s="504">
        <v>0</v>
      </c>
      <c r="FC25" s="504">
        <v>0</v>
      </c>
      <c r="FD25" s="504">
        <v>0</v>
      </c>
      <c r="FE25" s="504">
        <v>0</v>
      </c>
      <c r="FF25" s="504">
        <v>0</v>
      </c>
      <c r="FG25" s="504">
        <v>0</v>
      </c>
      <c r="FH25" s="504">
        <v>0</v>
      </c>
      <c r="FI25" s="504">
        <v>0</v>
      </c>
      <c r="FJ25" s="504">
        <v>0</v>
      </c>
      <c r="FK25" s="504">
        <v>0</v>
      </c>
      <c r="FL25" s="504">
        <v>0</v>
      </c>
      <c r="FM25" s="504">
        <v>0</v>
      </c>
      <c r="FN25" s="504">
        <v>0</v>
      </c>
      <c r="FO25" s="504">
        <v>0</v>
      </c>
      <c r="FP25" s="504">
        <v>0</v>
      </c>
      <c r="FQ25" s="504">
        <v>0</v>
      </c>
      <c r="FR25" s="504">
        <v>0</v>
      </c>
      <c r="FS25" s="504">
        <v>0</v>
      </c>
      <c r="FT25" s="504">
        <v>0</v>
      </c>
      <c r="FU25" s="504">
        <v>0</v>
      </c>
      <c r="FV25" s="504">
        <v>0</v>
      </c>
      <c r="FW25" s="504">
        <v>0</v>
      </c>
      <c r="FX25" s="504">
        <v>0</v>
      </c>
      <c r="FY25" s="504">
        <v>0</v>
      </c>
      <c r="FZ25" s="504">
        <v>0</v>
      </c>
      <c r="GA25" s="504">
        <v>0</v>
      </c>
      <c r="GB25" s="504">
        <v>0</v>
      </c>
      <c r="GC25" s="504">
        <v>0</v>
      </c>
      <c r="GD25" s="504">
        <v>0</v>
      </c>
      <c r="GE25" s="504">
        <v>0</v>
      </c>
      <c r="GF25" s="504">
        <v>0</v>
      </c>
      <c r="GG25" s="504">
        <v>0</v>
      </c>
      <c r="GH25" s="504">
        <v>0</v>
      </c>
      <c r="GI25" s="504">
        <v>0</v>
      </c>
      <c r="GJ25" s="504">
        <v>0</v>
      </c>
      <c r="GK25" s="504">
        <v>0</v>
      </c>
      <c r="GL25" s="504">
        <v>0</v>
      </c>
      <c r="GM25" s="504">
        <v>0</v>
      </c>
      <c r="GN25" s="504">
        <v>0</v>
      </c>
      <c r="GO25" s="504">
        <v>0</v>
      </c>
      <c r="GP25" s="504">
        <v>0</v>
      </c>
      <c r="GQ25" s="504">
        <v>0</v>
      </c>
      <c r="GR25" s="504">
        <v>0</v>
      </c>
      <c r="GS25" s="504">
        <v>0</v>
      </c>
      <c r="GT25" s="504">
        <v>0</v>
      </c>
      <c r="GU25" s="504">
        <v>0</v>
      </c>
      <c r="GV25" s="504">
        <v>0</v>
      </c>
      <c r="GW25" s="1654">
        <v>0</v>
      </c>
      <c r="GX25" s="504">
        <v>0</v>
      </c>
      <c r="GY25" s="504">
        <v>7053</v>
      </c>
      <c r="GZ25" s="504">
        <v>19176</v>
      </c>
      <c r="HA25" s="504">
        <v>29000</v>
      </c>
      <c r="HB25" s="504">
        <v>28000</v>
      </c>
      <c r="HC25" s="504">
        <v>27000</v>
      </c>
      <c r="HD25" s="504">
        <v>0</v>
      </c>
      <c r="HE25" s="504">
        <v>0</v>
      </c>
      <c r="HF25" s="504">
        <v>0</v>
      </c>
      <c r="HG25" s="504">
        <v>0</v>
      </c>
      <c r="HH25" s="504">
        <v>0</v>
      </c>
      <c r="HI25" s="504">
        <v>0</v>
      </c>
      <c r="HJ25" s="504">
        <v>0</v>
      </c>
      <c r="HK25" s="504">
        <v>0</v>
      </c>
      <c r="HL25" s="504">
        <v>0</v>
      </c>
      <c r="HM25" s="504">
        <v>0</v>
      </c>
      <c r="HN25" s="504">
        <v>0</v>
      </c>
      <c r="HO25" s="504">
        <v>0</v>
      </c>
      <c r="HP25" s="504">
        <v>0</v>
      </c>
      <c r="HQ25" s="504">
        <v>0</v>
      </c>
      <c r="HR25" s="504">
        <v>0</v>
      </c>
      <c r="HS25" s="504">
        <v>0</v>
      </c>
      <c r="HT25" s="504">
        <v>0</v>
      </c>
      <c r="HU25" s="504">
        <v>0</v>
      </c>
      <c r="HV25" s="504">
        <v>0</v>
      </c>
      <c r="HW25" s="504">
        <v>0</v>
      </c>
      <c r="HX25" s="504">
        <v>0</v>
      </c>
      <c r="HY25" s="504">
        <v>0</v>
      </c>
      <c r="HZ25" s="504">
        <v>0</v>
      </c>
      <c r="IA25" s="504">
        <v>0</v>
      </c>
      <c r="IB25" s="504">
        <v>0</v>
      </c>
      <c r="IC25" s="504">
        <v>0</v>
      </c>
      <c r="ID25" s="504">
        <v>0</v>
      </c>
      <c r="IE25" s="504">
        <v>0</v>
      </c>
      <c r="IF25" s="504">
        <v>0</v>
      </c>
      <c r="IG25" s="504">
        <v>0</v>
      </c>
      <c r="IH25" s="504">
        <v>0</v>
      </c>
      <c r="II25" s="504">
        <v>0</v>
      </c>
      <c r="IJ25" s="504">
        <v>0</v>
      </c>
      <c r="IK25" s="504">
        <v>0</v>
      </c>
      <c r="IL25" s="504">
        <v>0</v>
      </c>
      <c r="IM25" s="504">
        <v>0</v>
      </c>
      <c r="IN25" s="504">
        <v>0</v>
      </c>
      <c r="IO25" s="504">
        <v>0</v>
      </c>
      <c r="IP25" s="504">
        <v>0</v>
      </c>
      <c r="IQ25" s="504">
        <v>0</v>
      </c>
      <c r="IR25" s="504">
        <v>0</v>
      </c>
      <c r="IS25" s="504">
        <v>0</v>
      </c>
      <c r="IT25" s="504">
        <v>0</v>
      </c>
      <c r="IU25" s="504">
        <v>0</v>
      </c>
      <c r="IV25" s="504">
        <v>0</v>
      </c>
      <c r="IW25" s="504">
        <v>0</v>
      </c>
      <c r="IX25" s="504">
        <v>0</v>
      </c>
      <c r="IY25" s="504">
        <v>0</v>
      </c>
      <c r="IZ25" s="504">
        <v>0</v>
      </c>
      <c r="JA25" s="504">
        <v>0</v>
      </c>
      <c r="JB25" s="504">
        <v>0</v>
      </c>
      <c r="JC25" s="504">
        <v>0</v>
      </c>
      <c r="JD25" s="504">
        <v>0</v>
      </c>
      <c r="JE25" s="504">
        <v>0</v>
      </c>
      <c r="JF25" s="504">
        <v>0</v>
      </c>
      <c r="JG25" s="504">
        <v>0</v>
      </c>
      <c r="JH25" s="504">
        <v>0</v>
      </c>
      <c r="JI25" s="504">
        <v>0</v>
      </c>
      <c r="JJ25" s="504">
        <v>0</v>
      </c>
      <c r="JK25" s="504">
        <v>0</v>
      </c>
      <c r="JL25" s="504">
        <v>0</v>
      </c>
      <c r="JM25" s="504">
        <v>0</v>
      </c>
      <c r="JN25" s="504">
        <v>0</v>
      </c>
      <c r="JO25" s="504">
        <v>0</v>
      </c>
      <c r="JP25" s="504">
        <v>0</v>
      </c>
      <c r="JQ25" s="504">
        <v>0</v>
      </c>
      <c r="JR25" s="504">
        <v>0</v>
      </c>
      <c r="JS25" s="504">
        <v>0</v>
      </c>
      <c r="JT25" s="504">
        <v>0</v>
      </c>
      <c r="JU25" s="504">
        <v>0</v>
      </c>
      <c r="JV25" s="504">
        <v>0</v>
      </c>
      <c r="JW25" s="504">
        <v>0</v>
      </c>
      <c r="JX25" s="504">
        <v>0</v>
      </c>
      <c r="JY25" s="504">
        <v>0</v>
      </c>
      <c r="JZ25" s="504">
        <v>0</v>
      </c>
      <c r="KA25" s="504">
        <v>0</v>
      </c>
      <c r="KB25" s="504">
        <v>0</v>
      </c>
      <c r="KC25" s="504">
        <v>0</v>
      </c>
      <c r="KD25" s="504">
        <v>0</v>
      </c>
      <c r="KE25" s="504">
        <v>0</v>
      </c>
      <c r="KF25" s="504">
        <v>0</v>
      </c>
      <c r="KG25" s="504">
        <v>0</v>
      </c>
      <c r="KH25" s="504">
        <v>0</v>
      </c>
      <c r="KI25" s="504">
        <v>0</v>
      </c>
      <c r="KJ25" s="504">
        <v>0</v>
      </c>
      <c r="KK25" s="504">
        <v>0</v>
      </c>
      <c r="KL25" s="504">
        <v>0</v>
      </c>
      <c r="KM25" s="504">
        <v>0</v>
      </c>
      <c r="KN25" s="504">
        <v>0</v>
      </c>
      <c r="KO25" s="504">
        <v>0</v>
      </c>
      <c r="KP25" s="504">
        <v>0</v>
      </c>
      <c r="KQ25" s="504">
        <v>0</v>
      </c>
      <c r="KR25" s="504">
        <v>0</v>
      </c>
      <c r="KS25" s="504">
        <v>0</v>
      </c>
      <c r="KT25" s="1654">
        <v>0</v>
      </c>
      <c r="KU25" s="504">
        <v>0</v>
      </c>
      <c r="KV25" s="504">
        <v>0</v>
      </c>
      <c r="KW25" s="504">
        <v>0</v>
      </c>
      <c r="KX25" s="504">
        <v>843</v>
      </c>
      <c r="KY25" s="504">
        <v>1250</v>
      </c>
      <c r="KZ25" s="504">
        <v>1578</v>
      </c>
      <c r="LA25" s="504">
        <v>0</v>
      </c>
      <c r="LB25" s="504">
        <v>0</v>
      </c>
      <c r="LC25" s="504">
        <v>0</v>
      </c>
      <c r="LD25" s="504">
        <v>0</v>
      </c>
      <c r="LE25" s="504">
        <v>0</v>
      </c>
      <c r="LF25" s="504">
        <v>0</v>
      </c>
      <c r="LG25" s="504">
        <v>0</v>
      </c>
      <c r="LH25" s="504">
        <v>0</v>
      </c>
      <c r="LI25" s="504">
        <v>0</v>
      </c>
      <c r="LJ25" s="504">
        <v>0</v>
      </c>
      <c r="LK25" s="504">
        <v>0</v>
      </c>
      <c r="LL25" s="504">
        <v>0</v>
      </c>
      <c r="LM25" s="504">
        <v>0</v>
      </c>
      <c r="LN25" s="504">
        <v>0</v>
      </c>
      <c r="LO25" s="504">
        <v>0</v>
      </c>
      <c r="LP25" s="504">
        <v>0</v>
      </c>
      <c r="LQ25" s="504">
        <v>0</v>
      </c>
      <c r="LR25" s="504">
        <v>0</v>
      </c>
      <c r="LS25" s="504">
        <v>0</v>
      </c>
      <c r="LT25" s="504">
        <v>0</v>
      </c>
      <c r="LU25" s="504">
        <v>0</v>
      </c>
      <c r="LV25" s="504">
        <v>0</v>
      </c>
      <c r="LW25" s="504">
        <v>0</v>
      </c>
      <c r="LX25" s="504">
        <v>0</v>
      </c>
      <c r="LY25" s="504">
        <v>0</v>
      </c>
      <c r="LZ25" s="504">
        <v>0</v>
      </c>
      <c r="MA25" s="504">
        <v>0</v>
      </c>
      <c r="MB25" s="504">
        <v>0</v>
      </c>
      <c r="MC25" s="504">
        <v>0</v>
      </c>
      <c r="MD25" s="504">
        <v>0</v>
      </c>
      <c r="ME25" s="504">
        <v>0</v>
      </c>
      <c r="MF25" s="504">
        <v>0</v>
      </c>
      <c r="MG25" s="504">
        <v>0</v>
      </c>
      <c r="MH25" s="504">
        <v>0</v>
      </c>
      <c r="MI25" s="504">
        <v>0</v>
      </c>
      <c r="MJ25" s="504">
        <v>0</v>
      </c>
      <c r="MK25" s="504">
        <v>0</v>
      </c>
      <c r="ML25" s="504">
        <v>0</v>
      </c>
      <c r="MM25" s="504">
        <v>0</v>
      </c>
      <c r="MN25" s="504">
        <v>0</v>
      </c>
      <c r="MO25" s="504">
        <v>0</v>
      </c>
      <c r="MP25" s="504">
        <v>0</v>
      </c>
      <c r="MQ25" s="504">
        <v>0</v>
      </c>
      <c r="MR25" s="504">
        <v>0</v>
      </c>
      <c r="MS25" s="504">
        <v>0</v>
      </c>
      <c r="MT25" s="504">
        <v>0</v>
      </c>
      <c r="MU25" s="504">
        <v>0</v>
      </c>
      <c r="MV25" s="504">
        <v>0</v>
      </c>
      <c r="MW25" s="504">
        <v>0</v>
      </c>
      <c r="MX25" s="504">
        <v>0</v>
      </c>
      <c r="MY25" s="504">
        <v>0</v>
      </c>
      <c r="MZ25" s="504">
        <v>0</v>
      </c>
      <c r="NA25" s="504">
        <v>0</v>
      </c>
      <c r="NB25" s="504">
        <v>0</v>
      </c>
      <c r="NC25" s="504">
        <v>0</v>
      </c>
      <c r="ND25" s="504">
        <v>0</v>
      </c>
      <c r="NE25" s="504">
        <v>0</v>
      </c>
      <c r="NF25" s="504">
        <v>0</v>
      </c>
      <c r="NG25" s="504">
        <v>0</v>
      </c>
      <c r="NH25" s="504">
        <v>0</v>
      </c>
      <c r="NI25" s="504">
        <v>0</v>
      </c>
      <c r="NJ25" s="504">
        <v>0</v>
      </c>
      <c r="NK25" s="504">
        <v>0</v>
      </c>
      <c r="NL25" s="504">
        <v>0</v>
      </c>
      <c r="NM25" s="504">
        <v>0</v>
      </c>
      <c r="NN25" s="504">
        <v>0</v>
      </c>
      <c r="NO25" s="504">
        <v>0</v>
      </c>
      <c r="NP25" s="504">
        <v>0</v>
      </c>
      <c r="NQ25" s="504">
        <v>0</v>
      </c>
      <c r="NR25" s="504">
        <v>0</v>
      </c>
      <c r="NS25" s="504">
        <v>0</v>
      </c>
      <c r="NT25" s="504">
        <v>0</v>
      </c>
      <c r="NU25" s="504">
        <v>0</v>
      </c>
      <c r="NV25" s="504">
        <v>0</v>
      </c>
      <c r="NW25" s="504">
        <v>0</v>
      </c>
      <c r="NX25" s="504">
        <v>0</v>
      </c>
      <c r="NY25" s="504">
        <v>0</v>
      </c>
      <c r="NZ25" s="504">
        <v>0</v>
      </c>
      <c r="OA25" s="504">
        <v>0</v>
      </c>
      <c r="OB25" s="504">
        <v>0</v>
      </c>
      <c r="OC25" s="504">
        <v>0</v>
      </c>
      <c r="OD25" s="504">
        <v>0</v>
      </c>
      <c r="OE25" s="504">
        <v>0</v>
      </c>
      <c r="OF25" s="504">
        <v>0</v>
      </c>
      <c r="OG25" s="504">
        <v>0</v>
      </c>
      <c r="OH25" s="504">
        <v>0</v>
      </c>
      <c r="OI25" s="504">
        <v>0</v>
      </c>
      <c r="OJ25" s="504">
        <v>0</v>
      </c>
      <c r="OK25" s="504">
        <v>0</v>
      </c>
      <c r="OL25" s="504">
        <v>0</v>
      </c>
      <c r="OM25" s="504">
        <v>0</v>
      </c>
      <c r="ON25" s="504">
        <v>0</v>
      </c>
      <c r="OO25" s="504">
        <v>0</v>
      </c>
      <c r="OP25" s="504">
        <v>0</v>
      </c>
      <c r="OQ25" s="504">
        <v>0</v>
      </c>
      <c r="OR25"/>
      <c r="OS25"/>
      <c r="OT25"/>
      <c r="OU25"/>
      <c r="OV25"/>
      <c r="OW25"/>
      <c r="OX25"/>
      <c r="OY25"/>
      <c r="OZ25"/>
      <c r="PA25"/>
      <c r="PB25"/>
      <c r="PC25"/>
      <c r="PD25"/>
      <c r="PE25"/>
      <c r="PF25"/>
      <c r="PG25"/>
      <c r="PH25"/>
      <c r="PI25"/>
      <c r="PJ25"/>
      <c r="PK25"/>
      <c r="PL25"/>
      <c r="PM25"/>
      <c r="PN25"/>
      <c r="PO25"/>
      <c r="PP25"/>
      <c r="PQ25"/>
      <c r="PR25"/>
      <c r="PS25"/>
      <c r="PT25" s="1656"/>
    </row>
    <row r="26" spans="1:436" ht="21.5">
      <c r="A26" s="1466" t="s">
        <v>1688</v>
      </c>
      <c r="B26" s="1576" t="s">
        <v>2358</v>
      </c>
      <c r="C26" s="1576" t="s">
        <v>13</v>
      </c>
      <c r="D26" s="1576">
        <v>49</v>
      </c>
      <c r="E26" s="504">
        <v>51</v>
      </c>
      <c r="F26" s="504">
        <v>201</v>
      </c>
      <c r="G26" s="504">
        <v>514</v>
      </c>
      <c r="H26" s="504">
        <v>801</v>
      </c>
      <c r="I26" s="504">
        <v>1146</v>
      </c>
      <c r="J26" s="504">
        <v>1402</v>
      </c>
      <c r="K26" s="504">
        <v>1420</v>
      </c>
      <c r="L26" s="504">
        <v>1438</v>
      </c>
      <c r="M26" s="504">
        <v>1457</v>
      </c>
      <c r="N26" s="504">
        <v>1475</v>
      </c>
      <c r="O26" s="504">
        <v>1494</v>
      </c>
      <c r="P26" s="504">
        <v>1514</v>
      </c>
      <c r="Q26" s="504">
        <v>1533</v>
      </c>
      <c r="R26" s="504">
        <v>1553</v>
      </c>
      <c r="S26" s="504">
        <v>1573</v>
      </c>
      <c r="T26" s="504">
        <v>1594</v>
      </c>
      <c r="U26" s="504">
        <v>1615</v>
      </c>
      <c r="V26" s="504">
        <v>1636</v>
      </c>
      <c r="W26" s="504">
        <v>1657</v>
      </c>
      <c r="X26" s="504">
        <v>1679</v>
      </c>
      <c r="Y26" s="504">
        <v>1701</v>
      </c>
      <c r="Z26" s="504">
        <v>1724</v>
      </c>
      <c r="AA26" s="504">
        <v>1747</v>
      </c>
      <c r="AB26" s="504">
        <v>1770</v>
      </c>
      <c r="AC26" s="504">
        <v>1795</v>
      </c>
      <c r="AD26" s="504">
        <v>1821</v>
      </c>
      <c r="AE26" s="504">
        <v>1848</v>
      </c>
      <c r="AF26" s="504">
        <v>1876</v>
      </c>
      <c r="AG26" s="504">
        <v>1908</v>
      </c>
      <c r="AH26" s="504">
        <v>1942</v>
      </c>
      <c r="AI26" s="504">
        <v>2000</v>
      </c>
      <c r="AJ26" s="504">
        <v>0</v>
      </c>
      <c r="AK26" s="504">
        <v>0</v>
      </c>
      <c r="AL26" s="504">
        <v>0</v>
      </c>
      <c r="AM26" s="504">
        <v>0</v>
      </c>
      <c r="AN26" s="504">
        <v>0</v>
      </c>
      <c r="AO26" s="504">
        <v>0</v>
      </c>
      <c r="AP26" s="504">
        <v>0</v>
      </c>
      <c r="AQ26" s="504">
        <v>0</v>
      </c>
      <c r="AR26" s="504">
        <v>0</v>
      </c>
      <c r="AS26" s="504">
        <v>0</v>
      </c>
      <c r="AT26" s="504">
        <v>0</v>
      </c>
      <c r="AU26" s="504">
        <v>0</v>
      </c>
      <c r="AV26" s="504">
        <v>0</v>
      </c>
      <c r="AW26" s="504">
        <v>0</v>
      </c>
      <c r="AX26" s="504">
        <v>0</v>
      </c>
      <c r="AY26" s="504">
        <v>0</v>
      </c>
      <c r="AZ26" s="504">
        <v>0</v>
      </c>
      <c r="BA26" s="504">
        <v>0</v>
      </c>
      <c r="BB26" s="504">
        <v>0</v>
      </c>
      <c r="BC26" s="504">
        <v>0</v>
      </c>
      <c r="BD26" s="504">
        <v>0</v>
      </c>
      <c r="BE26" s="504">
        <v>0</v>
      </c>
      <c r="BF26" s="504">
        <v>0</v>
      </c>
      <c r="BG26" s="504">
        <v>0</v>
      </c>
      <c r="BH26" s="504">
        <v>0</v>
      </c>
      <c r="BI26" s="504">
        <v>0</v>
      </c>
      <c r="BJ26" s="504">
        <v>0</v>
      </c>
      <c r="BK26" s="504">
        <v>0</v>
      </c>
      <c r="BL26" s="504">
        <v>0</v>
      </c>
      <c r="BM26" s="504">
        <v>0</v>
      </c>
      <c r="BN26" s="504">
        <v>0</v>
      </c>
      <c r="BO26" s="504">
        <v>0</v>
      </c>
      <c r="BP26" s="504">
        <v>0</v>
      </c>
      <c r="BQ26" s="504">
        <v>0</v>
      </c>
      <c r="BR26" s="504">
        <v>0</v>
      </c>
      <c r="BS26" s="504">
        <v>0</v>
      </c>
      <c r="BT26" s="504">
        <v>0</v>
      </c>
      <c r="BU26" s="504">
        <v>0</v>
      </c>
      <c r="BV26" s="504">
        <v>0</v>
      </c>
      <c r="BW26" s="504">
        <v>0</v>
      </c>
      <c r="BX26" s="504">
        <v>0</v>
      </c>
      <c r="BY26" s="504">
        <v>0</v>
      </c>
      <c r="BZ26" s="504">
        <v>0</v>
      </c>
      <c r="CA26" s="504">
        <v>0</v>
      </c>
      <c r="CB26" s="504">
        <v>0</v>
      </c>
      <c r="CC26" s="504">
        <v>0</v>
      </c>
      <c r="CD26" s="504">
        <v>0</v>
      </c>
      <c r="CE26" s="504">
        <v>0</v>
      </c>
      <c r="CF26" s="504">
        <v>0</v>
      </c>
      <c r="CG26" s="504">
        <v>0</v>
      </c>
      <c r="CH26" s="504">
        <v>0</v>
      </c>
      <c r="CI26" s="504">
        <v>0</v>
      </c>
      <c r="CJ26" s="504">
        <v>0</v>
      </c>
      <c r="CK26" s="504">
        <v>0</v>
      </c>
      <c r="CL26" s="504">
        <v>0</v>
      </c>
      <c r="CM26" s="504">
        <v>0</v>
      </c>
      <c r="CN26" s="504">
        <v>0</v>
      </c>
      <c r="CO26" s="504">
        <v>0</v>
      </c>
      <c r="CP26" s="504">
        <v>0</v>
      </c>
      <c r="CQ26" s="504">
        <v>0</v>
      </c>
      <c r="CR26" s="504">
        <v>0</v>
      </c>
      <c r="CS26" s="504">
        <v>0</v>
      </c>
      <c r="CT26" s="504">
        <v>0</v>
      </c>
      <c r="CU26" s="504">
        <v>0</v>
      </c>
      <c r="CV26" s="504">
        <v>0</v>
      </c>
      <c r="CW26" s="504">
        <v>0</v>
      </c>
      <c r="CX26" s="504">
        <v>0</v>
      </c>
      <c r="CY26" s="504">
        <v>0</v>
      </c>
      <c r="CZ26" s="1654">
        <v>0</v>
      </c>
      <c r="DA26" s="504">
        <v>0</v>
      </c>
      <c r="DB26" s="504">
        <v>103</v>
      </c>
      <c r="DC26" s="504">
        <v>395</v>
      </c>
      <c r="DD26" s="504">
        <v>986</v>
      </c>
      <c r="DE26" s="504">
        <v>1267</v>
      </c>
      <c r="DF26" s="504">
        <v>1599</v>
      </c>
      <c r="DG26" s="504">
        <v>0</v>
      </c>
      <c r="DH26" s="504">
        <v>0</v>
      </c>
      <c r="DI26" s="504">
        <v>0</v>
      </c>
      <c r="DJ26" s="504">
        <v>0</v>
      </c>
      <c r="DK26" s="504">
        <v>0</v>
      </c>
      <c r="DL26" s="504">
        <v>0</v>
      </c>
      <c r="DM26" s="504">
        <v>0</v>
      </c>
      <c r="DN26" s="504">
        <v>0</v>
      </c>
      <c r="DO26" s="504">
        <v>0</v>
      </c>
      <c r="DP26" s="504">
        <v>0</v>
      </c>
      <c r="DQ26" s="504">
        <v>0</v>
      </c>
      <c r="DR26" s="504">
        <v>0</v>
      </c>
      <c r="DS26" s="504">
        <v>0</v>
      </c>
      <c r="DT26" s="504">
        <v>0</v>
      </c>
      <c r="DU26" s="504">
        <v>0</v>
      </c>
      <c r="DV26" s="504">
        <v>0</v>
      </c>
      <c r="DW26" s="504">
        <v>0</v>
      </c>
      <c r="DX26" s="504">
        <v>0</v>
      </c>
      <c r="DY26" s="504">
        <v>0</v>
      </c>
      <c r="DZ26" s="504">
        <v>0</v>
      </c>
      <c r="EA26" s="504">
        <v>0</v>
      </c>
      <c r="EB26" s="504">
        <v>0</v>
      </c>
      <c r="EC26" s="504">
        <v>0</v>
      </c>
      <c r="ED26" s="504">
        <v>0</v>
      </c>
      <c r="EE26" s="504">
        <v>0</v>
      </c>
      <c r="EF26" s="504">
        <v>0</v>
      </c>
      <c r="EG26" s="504">
        <v>0</v>
      </c>
      <c r="EH26" s="504">
        <v>0</v>
      </c>
      <c r="EI26" s="504">
        <v>0</v>
      </c>
      <c r="EJ26" s="504">
        <v>0</v>
      </c>
      <c r="EK26" s="504">
        <v>0</v>
      </c>
      <c r="EL26" s="504">
        <v>0</v>
      </c>
      <c r="EM26" s="504">
        <v>0</v>
      </c>
      <c r="EN26" s="504">
        <v>0</v>
      </c>
      <c r="EO26" s="504">
        <v>0</v>
      </c>
      <c r="EP26" s="504">
        <v>0</v>
      </c>
      <c r="EQ26" s="504">
        <v>0</v>
      </c>
      <c r="ER26" s="504">
        <v>0</v>
      </c>
      <c r="ES26" s="504">
        <v>0</v>
      </c>
      <c r="ET26" s="504">
        <v>0</v>
      </c>
      <c r="EU26" s="504">
        <v>0</v>
      </c>
      <c r="EV26" s="504">
        <v>0</v>
      </c>
      <c r="EW26" s="504">
        <v>0</v>
      </c>
      <c r="EX26" s="504">
        <v>0</v>
      </c>
      <c r="EY26" s="504">
        <v>0</v>
      </c>
      <c r="EZ26" s="504">
        <v>0</v>
      </c>
      <c r="FA26" s="504">
        <v>0</v>
      </c>
      <c r="FB26" s="504">
        <v>0</v>
      </c>
      <c r="FC26" s="504">
        <v>0</v>
      </c>
      <c r="FD26" s="504">
        <v>0</v>
      </c>
      <c r="FE26" s="504">
        <v>0</v>
      </c>
      <c r="FF26" s="504">
        <v>0</v>
      </c>
      <c r="FG26" s="504">
        <v>0</v>
      </c>
      <c r="FH26" s="504">
        <v>0</v>
      </c>
      <c r="FI26" s="504">
        <v>0</v>
      </c>
      <c r="FJ26" s="504">
        <v>0</v>
      </c>
      <c r="FK26" s="504">
        <v>0</v>
      </c>
      <c r="FL26" s="504">
        <v>0</v>
      </c>
      <c r="FM26" s="504">
        <v>0</v>
      </c>
      <c r="FN26" s="504">
        <v>0</v>
      </c>
      <c r="FO26" s="504">
        <v>0</v>
      </c>
      <c r="FP26" s="504">
        <v>0</v>
      </c>
      <c r="FQ26" s="504">
        <v>0</v>
      </c>
      <c r="FR26" s="504">
        <v>0</v>
      </c>
      <c r="FS26" s="504">
        <v>0</v>
      </c>
      <c r="FT26" s="504">
        <v>0</v>
      </c>
      <c r="FU26" s="504">
        <v>0</v>
      </c>
      <c r="FV26" s="504">
        <v>0</v>
      </c>
      <c r="FW26" s="504">
        <v>0</v>
      </c>
      <c r="FX26" s="504">
        <v>0</v>
      </c>
      <c r="FY26" s="504">
        <v>0</v>
      </c>
      <c r="FZ26" s="504">
        <v>0</v>
      </c>
      <c r="GA26" s="504">
        <v>0</v>
      </c>
      <c r="GB26" s="504">
        <v>0</v>
      </c>
      <c r="GC26" s="504">
        <v>0</v>
      </c>
      <c r="GD26" s="504">
        <v>0</v>
      </c>
      <c r="GE26" s="504">
        <v>0</v>
      </c>
      <c r="GF26" s="504">
        <v>0</v>
      </c>
      <c r="GG26" s="504">
        <v>0</v>
      </c>
      <c r="GH26" s="504">
        <v>0</v>
      </c>
      <c r="GI26" s="504">
        <v>0</v>
      </c>
      <c r="GJ26" s="504">
        <v>0</v>
      </c>
      <c r="GK26" s="504">
        <v>0</v>
      </c>
      <c r="GL26" s="504">
        <v>0</v>
      </c>
      <c r="GM26" s="504">
        <v>0</v>
      </c>
      <c r="GN26" s="504">
        <v>0</v>
      </c>
      <c r="GO26" s="504">
        <v>0</v>
      </c>
      <c r="GP26" s="504">
        <v>0</v>
      </c>
      <c r="GQ26" s="504">
        <v>0</v>
      </c>
      <c r="GR26" s="504">
        <v>0</v>
      </c>
      <c r="GS26" s="504">
        <v>0</v>
      </c>
      <c r="GT26" s="504">
        <v>0</v>
      </c>
      <c r="GU26" s="504">
        <v>0</v>
      </c>
      <c r="GV26" s="504">
        <v>0</v>
      </c>
      <c r="GW26" s="1654">
        <v>0</v>
      </c>
      <c r="GX26" s="504">
        <v>0</v>
      </c>
      <c r="GY26" s="504">
        <v>6298</v>
      </c>
      <c r="GZ26" s="504">
        <v>18235</v>
      </c>
      <c r="HA26" s="504">
        <v>28000</v>
      </c>
      <c r="HB26" s="504">
        <v>27000</v>
      </c>
      <c r="HC26" s="504">
        <v>26000</v>
      </c>
      <c r="HD26" s="504">
        <v>0</v>
      </c>
      <c r="HE26" s="504">
        <v>0</v>
      </c>
      <c r="HF26" s="504">
        <v>0</v>
      </c>
      <c r="HG26" s="504">
        <v>0</v>
      </c>
      <c r="HH26" s="504">
        <v>0</v>
      </c>
      <c r="HI26" s="504">
        <v>0</v>
      </c>
      <c r="HJ26" s="504">
        <v>0</v>
      </c>
      <c r="HK26" s="504">
        <v>0</v>
      </c>
      <c r="HL26" s="504">
        <v>0</v>
      </c>
      <c r="HM26" s="504">
        <v>0</v>
      </c>
      <c r="HN26" s="504">
        <v>0</v>
      </c>
      <c r="HO26" s="504">
        <v>0</v>
      </c>
      <c r="HP26" s="504">
        <v>0</v>
      </c>
      <c r="HQ26" s="504">
        <v>0</v>
      </c>
      <c r="HR26" s="504">
        <v>0</v>
      </c>
      <c r="HS26" s="504">
        <v>0</v>
      </c>
      <c r="HT26" s="504">
        <v>0</v>
      </c>
      <c r="HU26" s="504">
        <v>0</v>
      </c>
      <c r="HV26" s="504">
        <v>0</v>
      </c>
      <c r="HW26" s="504">
        <v>0</v>
      </c>
      <c r="HX26" s="504">
        <v>0</v>
      </c>
      <c r="HY26" s="504">
        <v>0</v>
      </c>
      <c r="HZ26" s="504">
        <v>0</v>
      </c>
      <c r="IA26" s="504">
        <v>0</v>
      </c>
      <c r="IB26" s="504">
        <v>0</v>
      </c>
      <c r="IC26" s="504">
        <v>0</v>
      </c>
      <c r="ID26" s="504">
        <v>0</v>
      </c>
      <c r="IE26" s="504">
        <v>0</v>
      </c>
      <c r="IF26" s="504">
        <v>0</v>
      </c>
      <c r="IG26" s="504">
        <v>0</v>
      </c>
      <c r="IH26" s="504">
        <v>0</v>
      </c>
      <c r="II26" s="504">
        <v>0</v>
      </c>
      <c r="IJ26" s="504">
        <v>0</v>
      </c>
      <c r="IK26" s="504">
        <v>0</v>
      </c>
      <c r="IL26" s="504">
        <v>0</v>
      </c>
      <c r="IM26" s="504">
        <v>0</v>
      </c>
      <c r="IN26" s="504">
        <v>0</v>
      </c>
      <c r="IO26" s="504">
        <v>0</v>
      </c>
      <c r="IP26" s="504">
        <v>0</v>
      </c>
      <c r="IQ26" s="504">
        <v>0</v>
      </c>
      <c r="IR26" s="504">
        <v>0</v>
      </c>
      <c r="IS26" s="504">
        <v>0</v>
      </c>
      <c r="IT26" s="504">
        <v>0</v>
      </c>
      <c r="IU26" s="504">
        <v>0</v>
      </c>
      <c r="IV26" s="504">
        <v>0</v>
      </c>
      <c r="IW26" s="504">
        <v>0</v>
      </c>
      <c r="IX26" s="504">
        <v>0</v>
      </c>
      <c r="IY26" s="504">
        <v>0</v>
      </c>
      <c r="IZ26" s="504">
        <v>0</v>
      </c>
      <c r="JA26" s="504">
        <v>0</v>
      </c>
      <c r="JB26" s="504">
        <v>0</v>
      </c>
      <c r="JC26" s="504">
        <v>0</v>
      </c>
      <c r="JD26" s="504">
        <v>0</v>
      </c>
      <c r="JE26" s="504">
        <v>0</v>
      </c>
      <c r="JF26" s="504">
        <v>0</v>
      </c>
      <c r="JG26" s="504">
        <v>0</v>
      </c>
      <c r="JH26" s="504">
        <v>0</v>
      </c>
      <c r="JI26" s="504">
        <v>0</v>
      </c>
      <c r="JJ26" s="504">
        <v>0</v>
      </c>
      <c r="JK26" s="504">
        <v>0</v>
      </c>
      <c r="JL26" s="504">
        <v>0</v>
      </c>
      <c r="JM26" s="504">
        <v>0</v>
      </c>
      <c r="JN26" s="504">
        <v>0</v>
      </c>
      <c r="JO26" s="504">
        <v>0</v>
      </c>
      <c r="JP26" s="504">
        <v>0</v>
      </c>
      <c r="JQ26" s="504">
        <v>0</v>
      </c>
      <c r="JR26" s="504">
        <v>0</v>
      </c>
      <c r="JS26" s="504">
        <v>0</v>
      </c>
      <c r="JT26" s="504">
        <v>0</v>
      </c>
      <c r="JU26" s="504">
        <v>0</v>
      </c>
      <c r="JV26" s="504">
        <v>0</v>
      </c>
      <c r="JW26" s="504">
        <v>0</v>
      </c>
      <c r="JX26" s="504">
        <v>0</v>
      </c>
      <c r="JY26" s="504">
        <v>0</v>
      </c>
      <c r="JZ26" s="504">
        <v>0</v>
      </c>
      <c r="KA26" s="504">
        <v>0</v>
      </c>
      <c r="KB26" s="504">
        <v>0</v>
      </c>
      <c r="KC26" s="504">
        <v>0</v>
      </c>
      <c r="KD26" s="504">
        <v>0</v>
      </c>
      <c r="KE26" s="504">
        <v>0</v>
      </c>
      <c r="KF26" s="504">
        <v>0</v>
      </c>
      <c r="KG26" s="504">
        <v>0</v>
      </c>
      <c r="KH26" s="504">
        <v>0</v>
      </c>
      <c r="KI26" s="504">
        <v>0</v>
      </c>
      <c r="KJ26" s="504">
        <v>0</v>
      </c>
      <c r="KK26" s="504">
        <v>0</v>
      </c>
      <c r="KL26" s="504">
        <v>0</v>
      </c>
      <c r="KM26" s="504">
        <v>0</v>
      </c>
      <c r="KN26" s="504">
        <v>0</v>
      </c>
      <c r="KO26" s="504">
        <v>0</v>
      </c>
      <c r="KP26" s="504">
        <v>0</v>
      </c>
      <c r="KQ26" s="504">
        <v>0</v>
      </c>
      <c r="KR26" s="504">
        <v>0</v>
      </c>
      <c r="KS26" s="504">
        <v>0</v>
      </c>
      <c r="KT26" s="1654">
        <v>0</v>
      </c>
      <c r="KU26" s="504">
        <v>0</v>
      </c>
      <c r="KV26" s="504">
        <v>0</v>
      </c>
      <c r="KW26" s="504">
        <v>0</v>
      </c>
      <c r="KX26" s="504">
        <v>811</v>
      </c>
      <c r="KY26" s="504">
        <v>1247</v>
      </c>
      <c r="KZ26" s="504">
        <v>1579</v>
      </c>
      <c r="LA26" s="504">
        <v>0</v>
      </c>
      <c r="LB26" s="504">
        <v>0</v>
      </c>
      <c r="LC26" s="504">
        <v>0</v>
      </c>
      <c r="LD26" s="504">
        <v>0</v>
      </c>
      <c r="LE26" s="504">
        <v>0</v>
      </c>
      <c r="LF26" s="504">
        <v>0</v>
      </c>
      <c r="LG26" s="504">
        <v>0</v>
      </c>
      <c r="LH26" s="504">
        <v>0</v>
      </c>
      <c r="LI26" s="504">
        <v>0</v>
      </c>
      <c r="LJ26" s="504">
        <v>0</v>
      </c>
      <c r="LK26" s="504">
        <v>0</v>
      </c>
      <c r="LL26" s="504">
        <v>0</v>
      </c>
      <c r="LM26" s="504">
        <v>0</v>
      </c>
      <c r="LN26" s="504">
        <v>0</v>
      </c>
      <c r="LO26" s="504">
        <v>0</v>
      </c>
      <c r="LP26" s="504">
        <v>0</v>
      </c>
      <c r="LQ26" s="504">
        <v>0</v>
      </c>
      <c r="LR26" s="504">
        <v>0</v>
      </c>
      <c r="LS26" s="504">
        <v>0</v>
      </c>
      <c r="LT26" s="504">
        <v>0</v>
      </c>
      <c r="LU26" s="504">
        <v>0</v>
      </c>
      <c r="LV26" s="504">
        <v>0</v>
      </c>
      <c r="LW26" s="504">
        <v>0</v>
      </c>
      <c r="LX26" s="504">
        <v>0</v>
      </c>
      <c r="LY26" s="504">
        <v>0</v>
      </c>
      <c r="LZ26" s="504">
        <v>0</v>
      </c>
      <c r="MA26" s="504">
        <v>0</v>
      </c>
      <c r="MB26" s="504">
        <v>0</v>
      </c>
      <c r="MC26" s="504">
        <v>0</v>
      </c>
      <c r="MD26" s="504">
        <v>0</v>
      </c>
      <c r="ME26" s="504">
        <v>0</v>
      </c>
      <c r="MF26" s="504">
        <v>0</v>
      </c>
      <c r="MG26" s="504">
        <v>0</v>
      </c>
      <c r="MH26" s="504">
        <v>0</v>
      </c>
      <c r="MI26" s="504">
        <v>0</v>
      </c>
      <c r="MJ26" s="504">
        <v>0</v>
      </c>
      <c r="MK26" s="504">
        <v>0</v>
      </c>
      <c r="ML26" s="504">
        <v>0</v>
      </c>
      <c r="MM26" s="504">
        <v>0</v>
      </c>
      <c r="MN26" s="504">
        <v>0</v>
      </c>
      <c r="MO26" s="504">
        <v>0</v>
      </c>
      <c r="MP26" s="504">
        <v>0</v>
      </c>
      <c r="MQ26" s="504">
        <v>0</v>
      </c>
      <c r="MR26" s="504">
        <v>0</v>
      </c>
      <c r="MS26" s="504">
        <v>0</v>
      </c>
      <c r="MT26" s="504">
        <v>0</v>
      </c>
      <c r="MU26" s="504">
        <v>0</v>
      </c>
      <c r="MV26" s="504">
        <v>0</v>
      </c>
      <c r="MW26" s="504">
        <v>0</v>
      </c>
      <c r="MX26" s="504">
        <v>0</v>
      </c>
      <c r="MY26" s="504">
        <v>0</v>
      </c>
      <c r="MZ26" s="504">
        <v>0</v>
      </c>
      <c r="NA26" s="504">
        <v>0</v>
      </c>
      <c r="NB26" s="504">
        <v>0</v>
      </c>
      <c r="NC26" s="504">
        <v>0</v>
      </c>
      <c r="ND26" s="504">
        <v>0</v>
      </c>
      <c r="NE26" s="504">
        <v>0</v>
      </c>
      <c r="NF26" s="504">
        <v>0</v>
      </c>
      <c r="NG26" s="504">
        <v>0</v>
      </c>
      <c r="NH26" s="504">
        <v>0</v>
      </c>
      <c r="NI26" s="504">
        <v>0</v>
      </c>
      <c r="NJ26" s="504">
        <v>0</v>
      </c>
      <c r="NK26" s="504">
        <v>0</v>
      </c>
      <c r="NL26" s="504">
        <v>0</v>
      </c>
      <c r="NM26" s="504">
        <v>0</v>
      </c>
      <c r="NN26" s="504">
        <v>0</v>
      </c>
      <c r="NO26" s="504">
        <v>0</v>
      </c>
      <c r="NP26" s="504">
        <v>0</v>
      </c>
      <c r="NQ26" s="504">
        <v>0</v>
      </c>
      <c r="NR26" s="504">
        <v>0</v>
      </c>
      <c r="NS26" s="504">
        <v>0</v>
      </c>
      <c r="NT26" s="504">
        <v>0</v>
      </c>
      <c r="NU26" s="504">
        <v>0</v>
      </c>
      <c r="NV26" s="504">
        <v>0</v>
      </c>
      <c r="NW26" s="504">
        <v>0</v>
      </c>
      <c r="NX26" s="504">
        <v>0</v>
      </c>
      <c r="NY26" s="504">
        <v>0</v>
      </c>
      <c r="NZ26" s="504">
        <v>0</v>
      </c>
      <c r="OA26" s="504">
        <v>0</v>
      </c>
      <c r="OB26" s="504">
        <v>0</v>
      </c>
      <c r="OC26" s="504">
        <v>0</v>
      </c>
      <c r="OD26" s="504">
        <v>0</v>
      </c>
      <c r="OE26" s="504">
        <v>0</v>
      </c>
      <c r="OF26" s="504">
        <v>0</v>
      </c>
      <c r="OG26" s="504">
        <v>0</v>
      </c>
      <c r="OH26" s="504">
        <v>0</v>
      </c>
      <c r="OI26" s="504">
        <v>0</v>
      </c>
      <c r="OJ26" s="504">
        <v>0</v>
      </c>
      <c r="OK26" s="504">
        <v>0</v>
      </c>
      <c r="OL26" s="504">
        <v>0</v>
      </c>
      <c r="OM26" s="504">
        <v>0</v>
      </c>
      <c r="ON26" s="504">
        <v>0</v>
      </c>
      <c r="OO26" s="504">
        <v>0</v>
      </c>
      <c r="OP26" s="504">
        <v>0</v>
      </c>
      <c r="OQ26" s="504">
        <v>0</v>
      </c>
      <c r="OR26"/>
      <c r="OS26"/>
      <c r="OT26"/>
      <c r="OU26"/>
      <c r="OV26"/>
      <c r="OW26"/>
      <c r="OX26"/>
      <c r="OY26"/>
      <c r="OZ26"/>
      <c r="PA26"/>
      <c r="PB26"/>
      <c r="PC26"/>
      <c r="PD26"/>
      <c r="PE26"/>
      <c r="PF26"/>
      <c r="PG26"/>
      <c r="PH26"/>
      <c r="PI26"/>
      <c r="PJ26"/>
      <c r="PK26"/>
      <c r="PL26"/>
      <c r="PM26"/>
      <c r="PN26"/>
      <c r="PO26"/>
      <c r="PP26"/>
      <c r="PQ26"/>
      <c r="PR26"/>
      <c r="PS26"/>
      <c r="PT26" s="1656"/>
    </row>
    <row r="27" spans="1:436" ht="21.5">
      <c r="A27" s="1466" t="s">
        <v>1689</v>
      </c>
      <c r="B27" s="1576" t="s">
        <v>2358</v>
      </c>
      <c r="C27" s="1576" t="s">
        <v>13</v>
      </c>
      <c r="D27" s="1576">
        <v>50</v>
      </c>
      <c r="E27" s="504">
        <v>52</v>
      </c>
      <c r="F27" s="504">
        <v>204</v>
      </c>
      <c r="G27" s="504">
        <v>520</v>
      </c>
      <c r="H27" s="504">
        <v>811</v>
      </c>
      <c r="I27" s="504">
        <v>1161</v>
      </c>
      <c r="J27" s="504">
        <v>1420</v>
      </c>
      <c r="K27" s="504">
        <v>1438</v>
      </c>
      <c r="L27" s="504">
        <v>1457</v>
      </c>
      <c r="M27" s="504">
        <v>1475</v>
      </c>
      <c r="N27" s="504">
        <v>1494</v>
      </c>
      <c r="O27" s="504">
        <v>1514</v>
      </c>
      <c r="P27" s="504">
        <v>1533</v>
      </c>
      <c r="Q27" s="504">
        <v>1553</v>
      </c>
      <c r="R27" s="504">
        <v>1573</v>
      </c>
      <c r="S27" s="504">
        <v>1594</v>
      </c>
      <c r="T27" s="504">
        <v>1615</v>
      </c>
      <c r="U27" s="504">
        <v>1636</v>
      </c>
      <c r="V27" s="504">
        <v>1657</v>
      </c>
      <c r="W27" s="504">
        <v>1679</v>
      </c>
      <c r="X27" s="504">
        <v>1701</v>
      </c>
      <c r="Y27" s="504">
        <v>1724</v>
      </c>
      <c r="Z27" s="504">
        <v>1747</v>
      </c>
      <c r="AA27" s="504">
        <v>1770</v>
      </c>
      <c r="AB27" s="504">
        <v>1795</v>
      </c>
      <c r="AC27" s="504">
        <v>1821</v>
      </c>
      <c r="AD27" s="504">
        <v>1848</v>
      </c>
      <c r="AE27" s="504">
        <v>1876</v>
      </c>
      <c r="AF27" s="504">
        <v>1908</v>
      </c>
      <c r="AG27" s="504">
        <v>1942</v>
      </c>
      <c r="AH27" s="504">
        <v>2000</v>
      </c>
      <c r="AI27" s="504">
        <v>0</v>
      </c>
      <c r="AJ27" s="504">
        <v>0</v>
      </c>
      <c r="AK27" s="504">
        <v>0</v>
      </c>
      <c r="AL27" s="504">
        <v>0</v>
      </c>
      <c r="AM27" s="504">
        <v>0</v>
      </c>
      <c r="AN27" s="504">
        <v>0</v>
      </c>
      <c r="AO27" s="504">
        <v>0</v>
      </c>
      <c r="AP27" s="504">
        <v>0</v>
      </c>
      <c r="AQ27" s="504">
        <v>0</v>
      </c>
      <c r="AR27" s="504">
        <v>0</v>
      </c>
      <c r="AS27" s="504">
        <v>0</v>
      </c>
      <c r="AT27" s="504">
        <v>0</v>
      </c>
      <c r="AU27" s="504">
        <v>0</v>
      </c>
      <c r="AV27" s="504">
        <v>0</v>
      </c>
      <c r="AW27" s="504">
        <v>0</v>
      </c>
      <c r="AX27" s="504">
        <v>0</v>
      </c>
      <c r="AY27" s="504">
        <v>0</v>
      </c>
      <c r="AZ27" s="504">
        <v>0</v>
      </c>
      <c r="BA27" s="504">
        <v>0</v>
      </c>
      <c r="BB27" s="504">
        <v>0</v>
      </c>
      <c r="BC27" s="504">
        <v>0</v>
      </c>
      <c r="BD27" s="504">
        <v>0</v>
      </c>
      <c r="BE27" s="504">
        <v>0</v>
      </c>
      <c r="BF27" s="504">
        <v>0</v>
      </c>
      <c r="BG27" s="504">
        <v>0</v>
      </c>
      <c r="BH27" s="504">
        <v>0</v>
      </c>
      <c r="BI27" s="504">
        <v>0</v>
      </c>
      <c r="BJ27" s="504">
        <v>0</v>
      </c>
      <c r="BK27" s="504">
        <v>0</v>
      </c>
      <c r="BL27" s="504">
        <v>0</v>
      </c>
      <c r="BM27" s="504">
        <v>0</v>
      </c>
      <c r="BN27" s="504">
        <v>0</v>
      </c>
      <c r="BO27" s="504">
        <v>0</v>
      </c>
      <c r="BP27" s="504">
        <v>0</v>
      </c>
      <c r="BQ27" s="504">
        <v>0</v>
      </c>
      <c r="BR27" s="504">
        <v>0</v>
      </c>
      <c r="BS27" s="504">
        <v>0</v>
      </c>
      <c r="BT27" s="504">
        <v>0</v>
      </c>
      <c r="BU27" s="504">
        <v>0</v>
      </c>
      <c r="BV27" s="504">
        <v>0</v>
      </c>
      <c r="BW27" s="504">
        <v>0</v>
      </c>
      <c r="BX27" s="504">
        <v>0</v>
      </c>
      <c r="BY27" s="504">
        <v>0</v>
      </c>
      <c r="BZ27" s="504">
        <v>0</v>
      </c>
      <c r="CA27" s="504">
        <v>0</v>
      </c>
      <c r="CB27" s="504">
        <v>0</v>
      </c>
      <c r="CC27" s="504">
        <v>0</v>
      </c>
      <c r="CD27" s="504">
        <v>0</v>
      </c>
      <c r="CE27" s="504">
        <v>0</v>
      </c>
      <c r="CF27" s="504">
        <v>0</v>
      </c>
      <c r="CG27" s="504">
        <v>0</v>
      </c>
      <c r="CH27" s="504">
        <v>0</v>
      </c>
      <c r="CI27" s="504">
        <v>0</v>
      </c>
      <c r="CJ27" s="504">
        <v>0</v>
      </c>
      <c r="CK27" s="504">
        <v>0</v>
      </c>
      <c r="CL27" s="504">
        <v>0</v>
      </c>
      <c r="CM27" s="504">
        <v>0</v>
      </c>
      <c r="CN27" s="504">
        <v>0</v>
      </c>
      <c r="CO27" s="504">
        <v>0</v>
      </c>
      <c r="CP27" s="504">
        <v>0</v>
      </c>
      <c r="CQ27" s="504">
        <v>0</v>
      </c>
      <c r="CR27" s="504">
        <v>0</v>
      </c>
      <c r="CS27" s="504">
        <v>0</v>
      </c>
      <c r="CT27" s="504">
        <v>0</v>
      </c>
      <c r="CU27" s="504">
        <v>0</v>
      </c>
      <c r="CV27" s="504">
        <v>0</v>
      </c>
      <c r="CW27" s="504">
        <v>0</v>
      </c>
      <c r="CX27" s="504">
        <v>0</v>
      </c>
      <c r="CY27" s="504">
        <v>0</v>
      </c>
      <c r="CZ27" s="1654">
        <v>0</v>
      </c>
      <c r="DA27" s="504">
        <v>0</v>
      </c>
      <c r="DB27" s="504">
        <v>102</v>
      </c>
      <c r="DC27" s="504">
        <v>392</v>
      </c>
      <c r="DD27" s="504">
        <v>974</v>
      </c>
      <c r="DE27" s="504">
        <v>1264</v>
      </c>
      <c r="DF27" s="504">
        <v>1601</v>
      </c>
      <c r="DG27" s="504">
        <v>0</v>
      </c>
      <c r="DH27" s="504">
        <v>0</v>
      </c>
      <c r="DI27" s="504">
        <v>0</v>
      </c>
      <c r="DJ27" s="504">
        <v>0</v>
      </c>
      <c r="DK27" s="504">
        <v>0</v>
      </c>
      <c r="DL27" s="504">
        <v>0</v>
      </c>
      <c r="DM27" s="504">
        <v>0</v>
      </c>
      <c r="DN27" s="504">
        <v>0</v>
      </c>
      <c r="DO27" s="504">
        <v>0</v>
      </c>
      <c r="DP27" s="504">
        <v>0</v>
      </c>
      <c r="DQ27" s="504">
        <v>0</v>
      </c>
      <c r="DR27" s="504">
        <v>0</v>
      </c>
      <c r="DS27" s="504">
        <v>0</v>
      </c>
      <c r="DT27" s="504">
        <v>0</v>
      </c>
      <c r="DU27" s="504">
        <v>0</v>
      </c>
      <c r="DV27" s="504">
        <v>0</v>
      </c>
      <c r="DW27" s="504">
        <v>0</v>
      </c>
      <c r="DX27" s="504">
        <v>0</v>
      </c>
      <c r="DY27" s="504">
        <v>0</v>
      </c>
      <c r="DZ27" s="504">
        <v>0</v>
      </c>
      <c r="EA27" s="504">
        <v>0</v>
      </c>
      <c r="EB27" s="504">
        <v>0</v>
      </c>
      <c r="EC27" s="504">
        <v>0</v>
      </c>
      <c r="ED27" s="504">
        <v>0</v>
      </c>
      <c r="EE27" s="504">
        <v>0</v>
      </c>
      <c r="EF27" s="504">
        <v>0</v>
      </c>
      <c r="EG27" s="504">
        <v>0</v>
      </c>
      <c r="EH27" s="504">
        <v>0</v>
      </c>
      <c r="EI27" s="504">
        <v>0</v>
      </c>
      <c r="EJ27" s="504">
        <v>0</v>
      </c>
      <c r="EK27" s="504">
        <v>0</v>
      </c>
      <c r="EL27" s="504">
        <v>0</v>
      </c>
      <c r="EM27" s="504">
        <v>0</v>
      </c>
      <c r="EN27" s="504">
        <v>0</v>
      </c>
      <c r="EO27" s="504">
        <v>0</v>
      </c>
      <c r="EP27" s="504">
        <v>0</v>
      </c>
      <c r="EQ27" s="504">
        <v>0</v>
      </c>
      <c r="ER27" s="504">
        <v>0</v>
      </c>
      <c r="ES27" s="504">
        <v>0</v>
      </c>
      <c r="ET27" s="504">
        <v>0</v>
      </c>
      <c r="EU27" s="504">
        <v>0</v>
      </c>
      <c r="EV27" s="504">
        <v>0</v>
      </c>
      <c r="EW27" s="504">
        <v>0</v>
      </c>
      <c r="EX27" s="504">
        <v>0</v>
      </c>
      <c r="EY27" s="504">
        <v>0</v>
      </c>
      <c r="EZ27" s="504">
        <v>0</v>
      </c>
      <c r="FA27" s="504">
        <v>0</v>
      </c>
      <c r="FB27" s="504">
        <v>0</v>
      </c>
      <c r="FC27" s="504">
        <v>0</v>
      </c>
      <c r="FD27" s="504">
        <v>0</v>
      </c>
      <c r="FE27" s="504">
        <v>0</v>
      </c>
      <c r="FF27" s="504">
        <v>0</v>
      </c>
      <c r="FG27" s="504">
        <v>0</v>
      </c>
      <c r="FH27" s="504">
        <v>0</v>
      </c>
      <c r="FI27" s="504">
        <v>0</v>
      </c>
      <c r="FJ27" s="504">
        <v>0</v>
      </c>
      <c r="FK27" s="504">
        <v>0</v>
      </c>
      <c r="FL27" s="504">
        <v>0</v>
      </c>
      <c r="FM27" s="504">
        <v>0</v>
      </c>
      <c r="FN27" s="504">
        <v>0</v>
      </c>
      <c r="FO27" s="504">
        <v>0</v>
      </c>
      <c r="FP27" s="504">
        <v>0</v>
      </c>
      <c r="FQ27" s="504">
        <v>0</v>
      </c>
      <c r="FR27" s="504">
        <v>0</v>
      </c>
      <c r="FS27" s="504">
        <v>0</v>
      </c>
      <c r="FT27" s="504">
        <v>0</v>
      </c>
      <c r="FU27" s="504">
        <v>0</v>
      </c>
      <c r="FV27" s="504">
        <v>0</v>
      </c>
      <c r="FW27" s="504">
        <v>0</v>
      </c>
      <c r="FX27" s="504">
        <v>0</v>
      </c>
      <c r="FY27" s="504">
        <v>0</v>
      </c>
      <c r="FZ27" s="504">
        <v>0</v>
      </c>
      <c r="GA27" s="504">
        <v>0</v>
      </c>
      <c r="GB27" s="504">
        <v>0</v>
      </c>
      <c r="GC27" s="504">
        <v>0</v>
      </c>
      <c r="GD27" s="504">
        <v>0</v>
      </c>
      <c r="GE27" s="504">
        <v>0</v>
      </c>
      <c r="GF27" s="504">
        <v>0</v>
      </c>
      <c r="GG27" s="504">
        <v>0</v>
      </c>
      <c r="GH27" s="504">
        <v>0</v>
      </c>
      <c r="GI27" s="504">
        <v>0</v>
      </c>
      <c r="GJ27" s="504">
        <v>0</v>
      </c>
      <c r="GK27" s="504">
        <v>0</v>
      </c>
      <c r="GL27" s="504">
        <v>0</v>
      </c>
      <c r="GM27" s="504">
        <v>0</v>
      </c>
      <c r="GN27" s="504">
        <v>0</v>
      </c>
      <c r="GO27" s="504">
        <v>0</v>
      </c>
      <c r="GP27" s="504">
        <v>0</v>
      </c>
      <c r="GQ27" s="504">
        <v>0</v>
      </c>
      <c r="GR27" s="504">
        <v>0</v>
      </c>
      <c r="GS27" s="504">
        <v>0</v>
      </c>
      <c r="GT27" s="504">
        <v>0</v>
      </c>
      <c r="GU27" s="504">
        <v>0</v>
      </c>
      <c r="GV27" s="504">
        <v>0</v>
      </c>
      <c r="GW27" s="1654">
        <v>0</v>
      </c>
      <c r="GX27" s="504">
        <v>0</v>
      </c>
      <c r="GY27" s="504">
        <v>6181</v>
      </c>
      <c r="GZ27" s="504">
        <v>17298</v>
      </c>
      <c r="HA27" s="504">
        <v>27000</v>
      </c>
      <c r="HB27" s="504">
        <v>26000</v>
      </c>
      <c r="HC27" s="504">
        <v>25000</v>
      </c>
      <c r="HD27" s="504">
        <v>0</v>
      </c>
      <c r="HE27" s="504">
        <v>0</v>
      </c>
      <c r="HF27" s="504">
        <v>0</v>
      </c>
      <c r="HG27" s="504">
        <v>0</v>
      </c>
      <c r="HH27" s="504">
        <v>0</v>
      </c>
      <c r="HI27" s="504">
        <v>0</v>
      </c>
      <c r="HJ27" s="504">
        <v>0</v>
      </c>
      <c r="HK27" s="504">
        <v>0</v>
      </c>
      <c r="HL27" s="504">
        <v>0</v>
      </c>
      <c r="HM27" s="504">
        <v>0</v>
      </c>
      <c r="HN27" s="504">
        <v>0</v>
      </c>
      <c r="HO27" s="504">
        <v>0</v>
      </c>
      <c r="HP27" s="504">
        <v>0</v>
      </c>
      <c r="HQ27" s="504">
        <v>0</v>
      </c>
      <c r="HR27" s="504">
        <v>0</v>
      </c>
      <c r="HS27" s="504">
        <v>0</v>
      </c>
      <c r="HT27" s="504">
        <v>0</v>
      </c>
      <c r="HU27" s="504">
        <v>0</v>
      </c>
      <c r="HV27" s="504">
        <v>0</v>
      </c>
      <c r="HW27" s="504">
        <v>0</v>
      </c>
      <c r="HX27" s="504">
        <v>0</v>
      </c>
      <c r="HY27" s="504">
        <v>0</v>
      </c>
      <c r="HZ27" s="504">
        <v>0</v>
      </c>
      <c r="IA27" s="504">
        <v>0</v>
      </c>
      <c r="IB27" s="504">
        <v>0</v>
      </c>
      <c r="IC27" s="504">
        <v>0</v>
      </c>
      <c r="ID27" s="504">
        <v>0</v>
      </c>
      <c r="IE27" s="504">
        <v>0</v>
      </c>
      <c r="IF27" s="504">
        <v>0</v>
      </c>
      <c r="IG27" s="504">
        <v>0</v>
      </c>
      <c r="IH27" s="504">
        <v>0</v>
      </c>
      <c r="II27" s="504">
        <v>0</v>
      </c>
      <c r="IJ27" s="504">
        <v>0</v>
      </c>
      <c r="IK27" s="504">
        <v>0</v>
      </c>
      <c r="IL27" s="504">
        <v>0</v>
      </c>
      <c r="IM27" s="504">
        <v>0</v>
      </c>
      <c r="IN27" s="504">
        <v>0</v>
      </c>
      <c r="IO27" s="504">
        <v>0</v>
      </c>
      <c r="IP27" s="504">
        <v>0</v>
      </c>
      <c r="IQ27" s="504">
        <v>0</v>
      </c>
      <c r="IR27" s="504">
        <v>0</v>
      </c>
      <c r="IS27" s="504">
        <v>0</v>
      </c>
      <c r="IT27" s="504">
        <v>0</v>
      </c>
      <c r="IU27" s="504">
        <v>0</v>
      </c>
      <c r="IV27" s="504">
        <v>0</v>
      </c>
      <c r="IW27" s="504">
        <v>0</v>
      </c>
      <c r="IX27" s="504">
        <v>0</v>
      </c>
      <c r="IY27" s="504">
        <v>0</v>
      </c>
      <c r="IZ27" s="504">
        <v>0</v>
      </c>
      <c r="JA27" s="504">
        <v>0</v>
      </c>
      <c r="JB27" s="504">
        <v>0</v>
      </c>
      <c r="JC27" s="504">
        <v>0</v>
      </c>
      <c r="JD27" s="504">
        <v>0</v>
      </c>
      <c r="JE27" s="504">
        <v>0</v>
      </c>
      <c r="JF27" s="504">
        <v>0</v>
      </c>
      <c r="JG27" s="504">
        <v>0</v>
      </c>
      <c r="JH27" s="504">
        <v>0</v>
      </c>
      <c r="JI27" s="504">
        <v>0</v>
      </c>
      <c r="JJ27" s="504">
        <v>0</v>
      </c>
      <c r="JK27" s="504">
        <v>0</v>
      </c>
      <c r="JL27" s="504">
        <v>0</v>
      </c>
      <c r="JM27" s="504">
        <v>0</v>
      </c>
      <c r="JN27" s="504">
        <v>0</v>
      </c>
      <c r="JO27" s="504">
        <v>0</v>
      </c>
      <c r="JP27" s="504">
        <v>0</v>
      </c>
      <c r="JQ27" s="504">
        <v>0</v>
      </c>
      <c r="JR27" s="504">
        <v>0</v>
      </c>
      <c r="JS27" s="504">
        <v>0</v>
      </c>
      <c r="JT27" s="504">
        <v>0</v>
      </c>
      <c r="JU27" s="504">
        <v>0</v>
      </c>
      <c r="JV27" s="504">
        <v>0</v>
      </c>
      <c r="JW27" s="504">
        <v>0</v>
      </c>
      <c r="JX27" s="504">
        <v>0</v>
      </c>
      <c r="JY27" s="504">
        <v>0</v>
      </c>
      <c r="JZ27" s="504">
        <v>0</v>
      </c>
      <c r="KA27" s="504">
        <v>0</v>
      </c>
      <c r="KB27" s="504">
        <v>0</v>
      </c>
      <c r="KC27" s="504">
        <v>0</v>
      </c>
      <c r="KD27" s="504">
        <v>0</v>
      </c>
      <c r="KE27" s="504">
        <v>0</v>
      </c>
      <c r="KF27" s="504">
        <v>0</v>
      </c>
      <c r="KG27" s="504">
        <v>0</v>
      </c>
      <c r="KH27" s="504">
        <v>0</v>
      </c>
      <c r="KI27" s="504">
        <v>0</v>
      </c>
      <c r="KJ27" s="504">
        <v>0</v>
      </c>
      <c r="KK27" s="504">
        <v>0</v>
      </c>
      <c r="KL27" s="504">
        <v>0</v>
      </c>
      <c r="KM27" s="504">
        <v>0</v>
      </c>
      <c r="KN27" s="504">
        <v>0</v>
      </c>
      <c r="KO27" s="504">
        <v>0</v>
      </c>
      <c r="KP27" s="504">
        <v>0</v>
      </c>
      <c r="KQ27" s="504">
        <v>0</v>
      </c>
      <c r="KR27" s="504">
        <v>0</v>
      </c>
      <c r="KS27" s="504">
        <v>0</v>
      </c>
      <c r="KT27" s="1654">
        <v>0</v>
      </c>
      <c r="KU27" s="504">
        <v>0</v>
      </c>
      <c r="KV27" s="504">
        <v>0</v>
      </c>
      <c r="KW27" s="504">
        <v>0</v>
      </c>
      <c r="KX27" s="504">
        <v>774</v>
      </c>
      <c r="KY27" s="504">
        <v>1244</v>
      </c>
      <c r="KZ27" s="504">
        <v>1581</v>
      </c>
      <c r="LA27" s="504">
        <v>0</v>
      </c>
      <c r="LB27" s="504">
        <v>0</v>
      </c>
      <c r="LC27" s="504">
        <v>0</v>
      </c>
      <c r="LD27" s="504">
        <v>0</v>
      </c>
      <c r="LE27" s="504">
        <v>0</v>
      </c>
      <c r="LF27" s="504">
        <v>0</v>
      </c>
      <c r="LG27" s="504">
        <v>0</v>
      </c>
      <c r="LH27" s="504">
        <v>0</v>
      </c>
      <c r="LI27" s="504">
        <v>0</v>
      </c>
      <c r="LJ27" s="504">
        <v>0</v>
      </c>
      <c r="LK27" s="504">
        <v>0</v>
      </c>
      <c r="LL27" s="504">
        <v>0</v>
      </c>
      <c r="LM27" s="504">
        <v>0</v>
      </c>
      <c r="LN27" s="504">
        <v>0</v>
      </c>
      <c r="LO27" s="504">
        <v>0</v>
      </c>
      <c r="LP27" s="504">
        <v>0</v>
      </c>
      <c r="LQ27" s="504">
        <v>0</v>
      </c>
      <c r="LR27" s="504">
        <v>0</v>
      </c>
      <c r="LS27" s="504">
        <v>0</v>
      </c>
      <c r="LT27" s="504">
        <v>0</v>
      </c>
      <c r="LU27" s="504">
        <v>0</v>
      </c>
      <c r="LV27" s="504">
        <v>0</v>
      </c>
      <c r="LW27" s="504">
        <v>0</v>
      </c>
      <c r="LX27" s="504">
        <v>0</v>
      </c>
      <c r="LY27" s="504">
        <v>0</v>
      </c>
      <c r="LZ27" s="504">
        <v>0</v>
      </c>
      <c r="MA27" s="504">
        <v>0</v>
      </c>
      <c r="MB27" s="504">
        <v>0</v>
      </c>
      <c r="MC27" s="504">
        <v>0</v>
      </c>
      <c r="MD27" s="504">
        <v>0</v>
      </c>
      <c r="ME27" s="504">
        <v>0</v>
      </c>
      <c r="MF27" s="504">
        <v>0</v>
      </c>
      <c r="MG27" s="504">
        <v>0</v>
      </c>
      <c r="MH27" s="504">
        <v>0</v>
      </c>
      <c r="MI27" s="504">
        <v>0</v>
      </c>
      <c r="MJ27" s="504">
        <v>0</v>
      </c>
      <c r="MK27" s="504">
        <v>0</v>
      </c>
      <c r="ML27" s="504">
        <v>0</v>
      </c>
      <c r="MM27" s="504">
        <v>0</v>
      </c>
      <c r="MN27" s="504">
        <v>0</v>
      </c>
      <c r="MO27" s="504">
        <v>0</v>
      </c>
      <c r="MP27" s="504">
        <v>0</v>
      </c>
      <c r="MQ27" s="504">
        <v>0</v>
      </c>
      <c r="MR27" s="504">
        <v>0</v>
      </c>
      <c r="MS27" s="504">
        <v>0</v>
      </c>
      <c r="MT27" s="504">
        <v>0</v>
      </c>
      <c r="MU27" s="504">
        <v>0</v>
      </c>
      <c r="MV27" s="504">
        <v>0</v>
      </c>
      <c r="MW27" s="504">
        <v>0</v>
      </c>
      <c r="MX27" s="504">
        <v>0</v>
      </c>
      <c r="MY27" s="504">
        <v>0</v>
      </c>
      <c r="MZ27" s="504">
        <v>0</v>
      </c>
      <c r="NA27" s="504">
        <v>0</v>
      </c>
      <c r="NB27" s="504">
        <v>0</v>
      </c>
      <c r="NC27" s="504">
        <v>0</v>
      </c>
      <c r="ND27" s="504">
        <v>0</v>
      </c>
      <c r="NE27" s="504">
        <v>0</v>
      </c>
      <c r="NF27" s="504">
        <v>0</v>
      </c>
      <c r="NG27" s="504">
        <v>0</v>
      </c>
      <c r="NH27" s="504">
        <v>0</v>
      </c>
      <c r="NI27" s="504">
        <v>0</v>
      </c>
      <c r="NJ27" s="504">
        <v>0</v>
      </c>
      <c r="NK27" s="504">
        <v>0</v>
      </c>
      <c r="NL27" s="504">
        <v>0</v>
      </c>
      <c r="NM27" s="504">
        <v>0</v>
      </c>
      <c r="NN27" s="504">
        <v>0</v>
      </c>
      <c r="NO27" s="504">
        <v>0</v>
      </c>
      <c r="NP27" s="504">
        <v>0</v>
      </c>
      <c r="NQ27" s="504">
        <v>0</v>
      </c>
      <c r="NR27" s="504">
        <v>0</v>
      </c>
      <c r="NS27" s="504">
        <v>0</v>
      </c>
      <c r="NT27" s="504">
        <v>0</v>
      </c>
      <c r="NU27" s="504">
        <v>0</v>
      </c>
      <c r="NV27" s="504">
        <v>0</v>
      </c>
      <c r="NW27" s="504">
        <v>0</v>
      </c>
      <c r="NX27" s="504">
        <v>0</v>
      </c>
      <c r="NY27" s="504">
        <v>0</v>
      </c>
      <c r="NZ27" s="504">
        <v>0</v>
      </c>
      <c r="OA27" s="504">
        <v>0</v>
      </c>
      <c r="OB27" s="504">
        <v>0</v>
      </c>
      <c r="OC27" s="504">
        <v>0</v>
      </c>
      <c r="OD27" s="504">
        <v>0</v>
      </c>
      <c r="OE27" s="504">
        <v>0</v>
      </c>
      <c r="OF27" s="504">
        <v>0</v>
      </c>
      <c r="OG27" s="504">
        <v>0</v>
      </c>
      <c r="OH27" s="504">
        <v>0</v>
      </c>
      <c r="OI27" s="504">
        <v>0</v>
      </c>
      <c r="OJ27" s="504">
        <v>0</v>
      </c>
      <c r="OK27" s="504">
        <v>0</v>
      </c>
      <c r="OL27" s="504">
        <v>0</v>
      </c>
      <c r="OM27" s="504">
        <v>0</v>
      </c>
      <c r="ON27" s="504">
        <v>0</v>
      </c>
      <c r="OO27" s="504">
        <v>0</v>
      </c>
      <c r="OP27" s="504">
        <v>0</v>
      </c>
      <c r="OQ27" s="504">
        <v>0</v>
      </c>
      <c r="OR27"/>
      <c r="OS27"/>
      <c r="OT27"/>
      <c r="OU27"/>
      <c r="OV27"/>
      <c r="OW27"/>
      <c r="OX27"/>
      <c r="OY27"/>
      <c r="OZ27"/>
      <c r="PA27"/>
      <c r="PB27"/>
      <c r="PC27"/>
      <c r="PD27"/>
      <c r="PE27"/>
      <c r="PF27"/>
      <c r="PG27"/>
      <c r="PH27"/>
      <c r="PI27"/>
      <c r="PJ27"/>
      <c r="PK27"/>
      <c r="PL27"/>
      <c r="PM27"/>
      <c r="PN27"/>
      <c r="PO27"/>
      <c r="PP27"/>
      <c r="PQ27"/>
      <c r="PR27"/>
      <c r="PS27"/>
      <c r="PT27" s="1656"/>
    </row>
    <row r="28" spans="1:436" ht="21.5">
      <c r="A28" s="1466" t="s">
        <v>1690</v>
      </c>
      <c r="B28" s="1576" t="s">
        <v>2358</v>
      </c>
      <c r="C28" s="1576" t="s">
        <v>13</v>
      </c>
      <c r="D28" s="1576">
        <v>51</v>
      </c>
      <c r="E28" s="504">
        <v>52</v>
      </c>
      <c r="F28" s="504">
        <v>206</v>
      </c>
      <c r="G28" s="504">
        <v>527</v>
      </c>
      <c r="H28" s="504">
        <v>821</v>
      </c>
      <c r="I28" s="504">
        <v>1175</v>
      </c>
      <c r="J28" s="504">
        <v>1438</v>
      </c>
      <c r="K28" s="504">
        <v>1457</v>
      </c>
      <c r="L28" s="504">
        <v>1475</v>
      </c>
      <c r="M28" s="504">
        <v>1494</v>
      </c>
      <c r="N28" s="504">
        <v>1514</v>
      </c>
      <c r="O28" s="504">
        <v>1533</v>
      </c>
      <c r="P28" s="504">
        <v>1553</v>
      </c>
      <c r="Q28" s="504">
        <v>1573</v>
      </c>
      <c r="R28" s="504">
        <v>1594</v>
      </c>
      <c r="S28" s="504">
        <v>1615</v>
      </c>
      <c r="T28" s="504">
        <v>1636</v>
      </c>
      <c r="U28" s="504">
        <v>1657</v>
      </c>
      <c r="V28" s="504">
        <v>1679</v>
      </c>
      <c r="W28" s="504">
        <v>1701</v>
      </c>
      <c r="X28" s="504">
        <v>1724</v>
      </c>
      <c r="Y28" s="504">
        <v>1747</v>
      </c>
      <c r="Z28" s="504">
        <v>1770</v>
      </c>
      <c r="AA28" s="504">
        <v>1795</v>
      </c>
      <c r="AB28" s="504">
        <v>1821</v>
      </c>
      <c r="AC28" s="504">
        <v>1848</v>
      </c>
      <c r="AD28" s="504">
        <v>1876</v>
      </c>
      <c r="AE28" s="504">
        <v>1908</v>
      </c>
      <c r="AF28" s="504">
        <v>1942</v>
      </c>
      <c r="AG28" s="504">
        <v>2000</v>
      </c>
      <c r="AH28" s="504">
        <v>0</v>
      </c>
      <c r="AI28" s="504">
        <v>0</v>
      </c>
      <c r="AJ28" s="504">
        <v>0</v>
      </c>
      <c r="AK28" s="504">
        <v>0</v>
      </c>
      <c r="AL28" s="504">
        <v>0</v>
      </c>
      <c r="AM28" s="504">
        <v>0</v>
      </c>
      <c r="AN28" s="504">
        <v>0</v>
      </c>
      <c r="AO28" s="504">
        <v>0</v>
      </c>
      <c r="AP28" s="504">
        <v>0</v>
      </c>
      <c r="AQ28" s="504">
        <v>0</v>
      </c>
      <c r="AR28" s="504">
        <v>0</v>
      </c>
      <c r="AS28" s="504">
        <v>0</v>
      </c>
      <c r="AT28" s="504">
        <v>0</v>
      </c>
      <c r="AU28" s="504">
        <v>0</v>
      </c>
      <c r="AV28" s="504">
        <v>0</v>
      </c>
      <c r="AW28" s="504">
        <v>0</v>
      </c>
      <c r="AX28" s="504">
        <v>0</v>
      </c>
      <c r="AY28" s="504">
        <v>0</v>
      </c>
      <c r="AZ28" s="504">
        <v>0</v>
      </c>
      <c r="BA28" s="504">
        <v>0</v>
      </c>
      <c r="BB28" s="504">
        <v>0</v>
      </c>
      <c r="BC28" s="504">
        <v>0</v>
      </c>
      <c r="BD28" s="504">
        <v>0</v>
      </c>
      <c r="BE28" s="504">
        <v>0</v>
      </c>
      <c r="BF28" s="504">
        <v>0</v>
      </c>
      <c r="BG28" s="504">
        <v>0</v>
      </c>
      <c r="BH28" s="504">
        <v>0</v>
      </c>
      <c r="BI28" s="504">
        <v>0</v>
      </c>
      <c r="BJ28" s="504">
        <v>0</v>
      </c>
      <c r="BK28" s="504">
        <v>0</v>
      </c>
      <c r="BL28" s="504">
        <v>0</v>
      </c>
      <c r="BM28" s="504">
        <v>0</v>
      </c>
      <c r="BN28" s="504">
        <v>0</v>
      </c>
      <c r="BO28" s="504">
        <v>0</v>
      </c>
      <c r="BP28" s="504">
        <v>0</v>
      </c>
      <c r="BQ28" s="504">
        <v>0</v>
      </c>
      <c r="BR28" s="504">
        <v>0</v>
      </c>
      <c r="BS28" s="504">
        <v>0</v>
      </c>
      <c r="BT28" s="504">
        <v>0</v>
      </c>
      <c r="BU28" s="504">
        <v>0</v>
      </c>
      <c r="BV28" s="504">
        <v>0</v>
      </c>
      <c r="BW28" s="504">
        <v>0</v>
      </c>
      <c r="BX28" s="504">
        <v>0</v>
      </c>
      <c r="BY28" s="504">
        <v>0</v>
      </c>
      <c r="BZ28" s="504">
        <v>0</v>
      </c>
      <c r="CA28" s="504">
        <v>0</v>
      </c>
      <c r="CB28" s="504">
        <v>0</v>
      </c>
      <c r="CC28" s="504">
        <v>0</v>
      </c>
      <c r="CD28" s="504">
        <v>0</v>
      </c>
      <c r="CE28" s="504">
        <v>0</v>
      </c>
      <c r="CF28" s="504">
        <v>0</v>
      </c>
      <c r="CG28" s="504">
        <v>0</v>
      </c>
      <c r="CH28" s="504">
        <v>0</v>
      </c>
      <c r="CI28" s="504">
        <v>0</v>
      </c>
      <c r="CJ28" s="504">
        <v>0</v>
      </c>
      <c r="CK28" s="504">
        <v>0</v>
      </c>
      <c r="CL28" s="504">
        <v>0</v>
      </c>
      <c r="CM28" s="504">
        <v>0</v>
      </c>
      <c r="CN28" s="504">
        <v>0</v>
      </c>
      <c r="CO28" s="504">
        <v>0</v>
      </c>
      <c r="CP28" s="504">
        <v>0</v>
      </c>
      <c r="CQ28" s="504">
        <v>0</v>
      </c>
      <c r="CR28" s="504">
        <v>0</v>
      </c>
      <c r="CS28" s="504">
        <v>0</v>
      </c>
      <c r="CT28" s="504">
        <v>0</v>
      </c>
      <c r="CU28" s="504">
        <v>0</v>
      </c>
      <c r="CV28" s="504">
        <v>0</v>
      </c>
      <c r="CW28" s="504">
        <v>0</v>
      </c>
      <c r="CX28" s="504">
        <v>0</v>
      </c>
      <c r="CY28" s="504">
        <v>0</v>
      </c>
      <c r="CZ28" s="1654">
        <v>0</v>
      </c>
      <c r="DA28" s="504">
        <v>0</v>
      </c>
      <c r="DB28" s="504">
        <v>100</v>
      </c>
      <c r="DC28" s="504">
        <v>386</v>
      </c>
      <c r="DD28" s="504">
        <v>964</v>
      </c>
      <c r="DE28" s="504">
        <v>1261</v>
      </c>
      <c r="DF28" s="504">
        <v>1601</v>
      </c>
      <c r="DG28" s="504">
        <v>0</v>
      </c>
      <c r="DH28" s="504">
        <v>0</v>
      </c>
      <c r="DI28" s="504">
        <v>0</v>
      </c>
      <c r="DJ28" s="504">
        <v>0</v>
      </c>
      <c r="DK28" s="504">
        <v>0</v>
      </c>
      <c r="DL28" s="504">
        <v>0</v>
      </c>
      <c r="DM28" s="504">
        <v>0</v>
      </c>
      <c r="DN28" s="504">
        <v>0</v>
      </c>
      <c r="DO28" s="504">
        <v>0</v>
      </c>
      <c r="DP28" s="504">
        <v>0</v>
      </c>
      <c r="DQ28" s="504">
        <v>0</v>
      </c>
      <c r="DR28" s="504">
        <v>0</v>
      </c>
      <c r="DS28" s="504">
        <v>0</v>
      </c>
      <c r="DT28" s="504">
        <v>0</v>
      </c>
      <c r="DU28" s="504">
        <v>0</v>
      </c>
      <c r="DV28" s="504">
        <v>0</v>
      </c>
      <c r="DW28" s="504">
        <v>0</v>
      </c>
      <c r="DX28" s="504">
        <v>0</v>
      </c>
      <c r="DY28" s="504">
        <v>0</v>
      </c>
      <c r="DZ28" s="504">
        <v>0</v>
      </c>
      <c r="EA28" s="504">
        <v>0</v>
      </c>
      <c r="EB28" s="504">
        <v>0</v>
      </c>
      <c r="EC28" s="504">
        <v>0</v>
      </c>
      <c r="ED28" s="504">
        <v>0</v>
      </c>
      <c r="EE28" s="504">
        <v>0</v>
      </c>
      <c r="EF28" s="504">
        <v>0</v>
      </c>
      <c r="EG28" s="504">
        <v>0</v>
      </c>
      <c r="EH28" s="504">
        <v>0</v>
      </c>
      <c r="EI28" s="504">
        <v>0</v>
      </c>
      <c r="EJ28" s="504">
        <v>0</v>
      </c>
      <c r="EK28" s="504">
        <v>0</v>
      </c>
      <c r="EL28" s="504">
        <v>0</v>
      </c>
      <c r="EM28" s="504">
        <v>0</v>
      </c>
      <c r="EN28" s="504">
        <v>0</v>
      </c>
      <c r="EO28" s="504">
        <v>0</v>
      </c>
      <c r="EP28" s="504">
        <v>0</v>
      </c>
      <c r="EQ28" s="504">
        <v>0</v>
      </c>
      <c r="ER28" s="504">
        <v>0</v>
      </c>
      <c r="ES28" s="504">
        <v>0</v>
      </c>
      <c r="ET28" s="504">
        <v>0</v>
      </c>
      <c r="EU28" s="504">
        <v>0</v>
      </c>
      <c r="EV28" s="504">
        <v>0</v>
      </c>
      <c r="EW28" s="504">
        <v>0</v>
      </c>
      <c r="EX28" s="504">
        <v>0</v>
      </c>
      <c r="EY28" s="504">
        <v>0</v>
      </c>
      <c r="EZ28" s="504">
        <v>0</v>
      </c>
      <c r="FA28" s="504">
        <v>0</v>
      </c>
      <c r="FB28" s="504">
        <v>0</v>
      </c>
      <c r="FC28" s="504">
        <v>0</v>
      </c>
      <c r="FD28" s="504">
        <v>0</v>
      </c>
      <c r="FE28" s="504">
        <v>0</v>
      </c>
      <c r="FF28" s="504">
        <v>0</v>
      </c>
      <c r="FG28" s="504">
        <v>0</v>
      </c>
      <c r="FH28" s="504">
        <v>0</v>
      </c>
      <c r="FI28" s="504">
        <v>0</v>
      </c>
      <c r="FJ28" s="504">
        <v>0</v>
      </c>
      <c r="FK28" s="504">
        <v>0</v>
      </c>
      <c r="FL28" s="504">
        <v>0</v>
      </c>
      <c r="FM28" s="504">
        <v>0</v>
      </c>
      <c r="FN28" s="504">
        <v>0</v>
      </c>
      <c r="FO28" s="504">
        <v>0</v>
      </c>
      <c r="FP28" s="504">
        <v>0</v>
      </c>
      <c r="FQ28" s="504">
        <v>0</v>
      </c>
      <c r="FR28" s="504">
        <v>0</v>
      </c>
      <c r="FS28" s="504">
        <v>0</v>
      </c>
      <c r="FT28" s="504">
        <v>0</v>
      </c>
      <c r="FU28" s="504">
        <v>0</v>
      </c>
      <c r="FV28" s="504">
        <v>0</v>
      </c>
      <c r="FW28" s="504">
        <v>0</v>
      </c>
      <c r="FX28" s="504">
        <v>0</v>
      </c>
      <c r="FY28" s="504">
        <v>0</v>
      </c>
      <c r="FZ28" s="504">
        <v>0</v>
      </c>
      <c r="GA28" s="504">
        <v>0</v>
      </c>
      <c r="GB28" s="504">
        <v>0</v>
      </c>
      <c r="GC28" s="504">
        <v>0</v>
      </c>
      <c r="GD28" s="504">
        <v>0</v>
      </c>
      <c r="GE28" s="504">
        <v>0</v>
      </c>
      <c r="GF28" s="504">
        <v>0</v>
      </c>
      <c r="GG28" s="504">
        <v>0</v>
      </c>
      <c r="GH28" s="504">
        <v>0</v>
      </c>
      <c r="GI28" s="504">
        <v>0</v>
      </c>
      <c r="GJ28" s="504">
        <v>0</v>
      </c>
      <c r="GK28" s="504">
        <v>0</v>
      </c>
      <c r="GL28" s="504">
        <v>0</v>
      </c>
      <c r="GM28" s="504">
        <v>0</v>
      </c>
      <c r="GN28" s="504">
        <v>0</v>
      </c>
      <c r="GO28" s="504">
        <v>0</v>
      </c>
      <c r="GP28" s="504">
        <v>0</v>
      </c>
      <c r="GQ28" s="504">
        <v>0</v>
      </c>
      <c r="GR28" s="504">
        <v>0</v>
      </c>
      <c r="GS28" s="504">
        <v>0</v>
      </c>
      <c r="GT28" s="504">
        <v>0</v>
      </c>
      <c r="GU28" s="504">
        <v>0</v>
      </c>
      <c r="GV28" s="504">
        <v>0</v>
      </c>
      <c r="GW28" s="1654">
        <v>0</v>
      </c>
      <c r="GX28" s="504">
        <v>0</v>
      </c>
      <c r="GY28" s="504">
        <v>6030</v>
      </c>
      <c r="GZ28" s="504">
        <v>16345</v>
      </c>
      <c r="HA28" s="504">
        <v>26000</v>
      </c>
      <c r="HB28" s="504">
        <v>25000</v>
      </c>
      <c r="HC28" s="504">
        <v>24000</v>
      </c>
      <c r="HD28" s="504">
        <v>0</v>
      </c>
      <c r="HE28" s="504">
        <v>0</v>
      </c>
      <c r="HF28" s="504">
        <v>0</v>
      </c>
      <c r="HG28" s="504">
        <v>0</v>
      </c>
      <c r="HH28" s="504">
        <v>0</v>
      </c>
      <c r="HI28" s="504">
        <v>0</v>
      </c>
      <c r="HJ28" s="504">
        <v>0</v>
      </c>
      <c r="HK28" s="504">
        <v>0</v>
      </c>
      <c r="HL28" s="504">
        <v>0</v>
      </c>
      <c r="HM28" s="504">
        <v>0</v>
      </c>
      <c r="HN28" s="504">
        <v>0</v>
      </c>
      <c r="HO28" s="504">
        <v>0</v>
      </c>
      <c r="HP28" s="504">
        <v>0</v>
      </c>
      <c r="HQ28" s="504">
        <v>0</v>
      </c>
      <c r="HR28" s="504">
        <v>0</v>
      </c>
      <c r="HS28" s="504">
        <v>0</v>
      </c>
      <c r="HT28" s="504">
        <v>0</v>
      </c>
      <c r="HU28" s="504">
        <v>0</v>
      </c>
      <c r="HV28" s="504">
        <v>0</v>
      </c>
      <c r="HW28" s="504">
        <v>0</v>
      </c>
      <c r="HX28" s="504">
        <v>0</v>
      </c>
      <c r="HY28" s="504">
        <v>0</v>
      </c>
      <c r="HZ28" s="504">
        <v>0</v>
      </c>
      <c r="IA28" s="504">
        <v>0</v>
      </c>
      <c r="IB28" s="504">
        <v>0</v>
      </c>
      <c r="IC28" s="504">
        <v>0</v>
      </c>
      <c r="ID28" s="504">
        <v>0</v>
      </c>
      <c r="IE28" s="504">
        <v>0</v>
      </c>
      <c r="IF28" s="504">
        <v>0</v>
      </c>
      <c r="IG28" s="504">
        <v>0</v>
      </c>
      <c r="IH28" s="504">
        <v>0</v>
      </c>
      <c r="II28" s="504">
        <v>0</v>
      </c>
      <c r="IJ28" s="504">
        <v>0</v>
      </c>
      <c r="IK28" s="504">
        <v>0</v>
      </c>
      <c r="IL28" s="504">
        <v>0</v>
      </c>
      <c r="IM28" s="504">
        <v>0</v>
      </c>
      <c r="IN28" s="504">
        <v>0</v>
      </c>
      <c r="IO28" s="504">
        <v>0</v>
      </c>
      <c r="IP28" s="504">
        <v>0</v>
      </c>
      <c r="IQ28" s="504">
        <v>0</v>
      </c>
      <c r="IR28" s="504">
        <v>0</v>
      </c>
      <c r="IS28" s="504">
        <v>0</v>
      </c>
      <c r="IT28" s="504">
        <v>0</v>
      </c>
      <c r="IU28" s="504">
        <v>0</v>
      </c>
      <c r="IV28" s="504">
        <v>0</v>
      </c>
      <c r="IW28" s="504">
        <v>0</v>
      </c>
      <c r="IX28" s="504">
        <v>0</v>
      </c>
      <c r="IY28" s="504">
        <v>0</v>
      </c>
      <c r="IZ28" s="504">
        <v>0</v>
      </c>
      <c r="JA28" s="504">
        <v>0</v>
      </c>
      <c r="JB28" s="504">
        <v>0</v>
      </c>
      <c r="JC28" s="504">
        <v>0</v>
      </c>
      <c r="JD28" s="504">
        <v>0</v>
      </c>
      <c r="JE28" s="504">
        <v>0</v>
      </c>
      <c r="JF28" s="504">
        <v>0</v>
      </c>
      <c r="JG28" s="504">
        <v>0</v>
      </c>
      <c r="JH28" s="504">
        <v>0</v>
      </c>
      <c r="JI28" s="504">
        <v>0</v>
      </c>
      <c r="JJ28" s="504">
        <v>0</v>
      </c>
      <c r="JK28" s="504">
        <v>0</v>
      </c>
      <c r="JL28" s="504">
        <v>0</v>
      </c>
      <c r="JM28" s="504">
        <v>0</v>
      </c>
      <c r="JN28" s="504">
        <v>0</v>
      </c>
      <c r="JO28" s="504">
        <v>0</v>
      </c>
      <c r="JP28" s="504">
        <v>0</v>
      </c>
      <c r="JQ28" s="504">
        <v>0</v>
      </c>
      <c r="JR28" s="504">
        <v>0</v>
      </c>
      <c r="JS28" s="504">
        <v>0</v>
      </c>
      <c r="JT28" s="504">
        <v>0</v>
      </c>
      <c r="JU28" s="504">
        <v>0</v>
      </c>
      <c r="JV28" s="504">
        <v>0</v>
      </c>
      <c r="JW28" s="504">
        <v>0</v>
      </c>
      <c r="JX28" s="504">
        <v>0</v>
      </c>
      <c r="JY28" s="504">
        <v>0</v>
      </c>
      <c r="JZ28" s="504">
        <v>0</v>
      </c>
      <c r="KA28" s="504">
        <v>0</v>
      </c>
      <c r="KB28" s="504">
        <v>0</v>
      </c>
      <c r="KC28" s="504">
        <v>0</v>
      </c>
      <c r="KD28" s="504">
        <v>0</v>
      </c>
      <c r="KE28" s="504">
        <v>0</v>
      </c>
      <c r="KF28" s="504">
        <v>0</v>
      </c>
      <c r="KG28" s="504">
        <v>0</v>
      </c>
      <c r="KH28" s="504">
        <v>0</v>
      </c>
      <c r="KI28" s="504">
        <v>0</v>
      </c>
      <c r="KJ28" s="504">
        <v>0</v>
      </c>
      <c r="KK28" s="504">
        <v>0</v>
      </c>
      <c r="KL28" s="504">
        <v>0</v>
      </c>
      <c r="KM28" s="504">
        <v>0</v>
      </c>
      <c r="KN28" s="504">
        <v>0</v>
      </c>
      <c r="KO28" s="504">
        <v>0</v>
      </c>
      <c r="KP28" s="504">
        <v>0</v>
      </c>
      <c r="KQ28" s="504">
        <v>0</v>
      </c>
      <c r="KR28" s="504">
        <v>0</v>
      </c>
      <c r="KS28" s="504">
        <v>0</v>
      </c>
      <c r="KT28" s="1654">
        <v>0</v>
      </c>
      <c r="KU28" s="504">
        <v>0</v>
      </c>
      <c r="KV28" s="504">
        <v>0</v>
      </c>
      <c r="KW28" s="504">
        <v>0</v>
      </c>
      <c r="KX28" s="504">
        <v>744</v>
      </c>
      <c r="KY28" s="504">
        <v>1241</v>
      </c>
      <c r="KZ28" s="504">
        <v>1582</v>
      </c>
      <c r="LA28" s="504">
        <v>0</v>
      </c>
      <c r="LB28" s="504">
        <v>0</v>
      </c>
      <c r="LC28" s="504">
        <v>0</v>
      </c>
      <c r="LD28" s="504">
        <v>0</v>
      </c>
      <c r="LE28" s="504">
        <v>0</v>
      </c>
      <c r="LF28" s="504">
        <v>0</v>
      </c>
      <c r="LG28" s="504">
        <v>0</v>
      </c>
      <c r="LH28" s="504">
        <v>0</v>
      </c>
      <c r="LI28" s="504">
        <v>0</v>
      </c>
      <c r="LJ28" s="504">
        <v>0</v>
      </c>
      <c r="LK28" s="504">
        <v>0</v>
      </c>
      <c r="LL28" s="504">
        <v>0</v>
      </c>
      <c r="LM28" s="504">
        <v>0</v>
      </c>
      <c r="LN28" s="504">
        <v>0</v>
      </c>
      <c r="LO28" s="504">
        <v>0</v>
      </c>
      <c r="LP28" s="504">
        <v>0</v>
      </c>
      <c r="LQ28" s="504">
        <v>0</v>
      </c>
      <c r="LR28" s="504">
        <v>0</v>
      </c>
      <c r="LS28" s="504">
        <v>0</v>
      </c>
      <c r="LT28" s="504">
        <v>0</v>
      </c>
      <c r="LU28" s="504">
        <v>0</v>
      </c>
      <c r="LV28" s="504">
        <v>0</v>
      </c>
      <c r="LW28" s="504">
        <v>0</v>
      </c>
      <c r="LX28" s="504">
        <v>0</v>
      </c>
      <c r="LY28" s="504">
        <v>0</v>
      </c>
      <c r="LZ28" s="504">
        <v>0</v>
      </c>
      <c r="MA28" s="504">
        <v>0</v>
      </c>
      <c r="MB28" s="504">
        <v>0</v>
      </c>
      <c r="MC28" s="504">
        <v>0</v>
      </c>
      <c r="MD28" s="504">
        <v>0</v>
      </c>
      <c r="ME28" s="504">
        <v>0</v>
      </c>
      <c r="MF28" s="504">
        <v>0</v>
      </c>
      <c r="MG28" s="504">
        <v>0</v>
      </c>
      <c r="MH28" s="504">
        <v>0</v>
      </c>
      <c r="MI28" s="504">
        <v>0</v>
      </c>
      <c r="MJ28" s="504">
        <v>0</v>
      </c>
      <c r="MK28" s="504">
        <v>0</v>
      </c>
      <c r="ML28" s="504">
        <v>0</v>
      </c>
      <c r="MM28" s="504">
        <v>0</v>
      </c>
      <c r="MN28" s="504">
        <v>0</v>
      </c>
      <c r="MO28" s="504">
        <v>0</v>
      </c>
      <c r="MP28" s="504">
        <v>0</v>
      </c>
      <c r="MQ28" s="504">
        <v>0</v>
      </c>
      <c r="MR28" s="504">
        <v>0</v>
      </c>
      <c r="MS28" s="504">
        <v>0</v>
      </c>
      <c r="MT28" s="504">
        <v>0</v>
      </c>
      <c r="MU28" s="504">
        <v>0</v>
      </c>
      <c r="MV28" s="504">
        <v>0</v>
      </c>
      <c r="MW28" s="504">
        <v>0</v>
      </c>
      <c r="MX28" s="504">
        <v>0</v>
      </c>
      <c r="MY28" s="504">
        <v>0</v>
      </c>
      <c r="MZ28" s="504">
        <v>0</v>
      </c>
      <c r="NA28" s="504">
        <v>0</v>
      </c>
      <c r="NB28" s="504">
        <v>0</v>
      </c>
      <c r="NC28" s="504">
        <v>0</v>
      </c>
      <c r="ND28" s="504">
        <v>0</v>
      </c>
      <c r="NE28" s="504">
        <v>0</v>
      </c>
      <c r="NF28" s="504">
        <v>0</v>
      </c>
      <c r="NG28" s="504">
        <v>0</v>
      </c>
      <c r="NH28" s="504">
        <v>0</v>
      </c>
      <c r="NI28" s="504">
        <v>0</v>
      </c>
      <c r="NJ28" s="504">
        <v>0</v>
      </c>
      <c r="NK28" s="504">
        <v>0</v>
      </c>
      <c r="NL28" s="504">
        <v>0</v>
      </c>
      <c r="NM28" s="504">
        <v>0</v>
      </c>
      <c r="NN28" s="504">
        <v>0</v>
      </c>
      <c r="NO28" s="504">
        <v>0</v>
      </c>
      <c r="NP28" s="504">
        <v>0</v>
      </c>
      <c r="NQ28" s="504">
        <v>0</v>
      </c>
      <c r="NR28" s="504">
        <v>0</v>
      </c>
      <c r="NS28" s="504">
        <v>0</v>
      </c>
      <c r="NT28" s="504">
        <v>0</v>
      </c>
      <c r="NU28" s="504">
        <v>0</v>
      </c>
      <c r="NV28" s="504">
        <v>0</v>
      </c>
      <c r="NW28" s="504">
        <v>0</v>
      </c>
      <c r="NX28" s="504">
        <v>0</v>
      </c>
      <c r="NY28" s="504">
        <v>0</v>
      </c>
      <c r="NZ28" s="504">
        <v>0</v>
      </c>
      <c r="OA28" s="504">
        <v>0</v>
      </c>
      <c r="OB28" s="504">
        <v>0</v>
      </c>
      <c r="OC28" s="504">
        <v>0</v>
      </c>
      <c r="OD28" s="504">
        <v>0</v>
      </c>
      <c r="OE28" s="504">
        <v>0</v>
      </c>
      <c r="OF28" s="504">
        <v>0</v>
      </c>
      <c r="OG28" s="504">
        <v>0</v>
      </c>
      <c r="OH28" s="504">
        <v>0</v>
      </c>
      <c r="OI28" s="504">
        <v>0</v>
      </c>
      <c r="OJ28" s="504">
        <v>0</v>
      </c>
      <c r="OK28" s="504">
        <v>0</v>
      </c>
      <c r="OL28" s="504">
        <v>0</v>
      </c>
      <c r="OM28" s="504">
        <v>0</v>
      </c>
      <c r="ON28" s="504">
        <v>0</v>
      </c>
      <c r="OO28" s="504">
        <v>0</v>
      </c>
      <c r="OP28" s="504">
        <v>0</v>
      </c>
      <c r="OQ28" s="504">
        <v>0</v>
      </c>
      <c r="OR28"/>
      <c r="OS28"/>
      <c r="OT28"/>
      <c r="OU28"/>
      <c r="OV28"/>
      <c r="OW28"/>
      <c r="OX28"/>
      <c r="OY28"/>
      <c r="OZ28"/>
      <c r="PA28"/>
      <c r="PB28"/>
      <c r="PC28"/>
      <c r="PD28"/>
      <c r="PE28"/>
      <c r="PF28"/>
      <c r="PG28"/>
      <c r="PH28"/>
      <c r="PI28"/>
      <c r="PJ28"/>
      <c r="PK28"/>
      <c r="PL28"/>
      <c r="PM28"/>
      <c r="PN28"/>
      <c r="PO28"/>
      <c r="PP28"/>
      <c r="PQ28"/>
      <c r="PR28"/>
      <c r="PS28"/>
      <c r="PT28" s="1656"/>
    </row>
    <row r="29" spans="1:436" ht="21.5">
      <c r="A29" s="1466" t="s">
        <v>1691</v>
      </c>
      <c r="B29" s="1576" t="s">
        <v>2358</v>
      </c>
      <c r="C29" s="1576" t="s">
        <v>13</v>
      </c>
      <c r="D29" s="1576">
        <v>52</v>
      </c>
      <c r="E29" s="504">
        <v>53</v>
      </c>
      <c r="F29" s="504">
        <v>209</v>
      </c>
      <c r="G29" s="504">
        <v>533</v>
      </c>
      <c r="H29" s="504">
        <v>831</v>
      </c>
      <c r="I29" s="504">
        <v>1190</v>
      </c>
      <c r="J29" s="504">
        <v>1457</v>
      </c>
      <c r="K29" s="504">
        <v>1475</v>
      </c>
      <c r="L29" s="504">
        <v>1494</v>
      </c>
      <c r="M29" s="504">
        <v>1514</v>
      </c>
      <c r="N29" s="504">
        <v>1533</v>
      </c>
      <c r="O29" s="504">
        <v>1553</v>
      </c>
      <c r="P29" s="504">
        <v>1573</v>
      </c>
      <c r="Q29" s="504">
        <v>1594</v>
      </c>
      <c r="R29" s="504">
        <v>1615</v>
      </c>
      <c r="S29" s="504">
        <v>1636</v>
      </c>
      <c r="T29" s="504">
        <v>1657</v>
      </c>
      <c r="U29" s="504">
        <v>1679</v>
      </c>
      <c r="V29" s="504">
        <v>1701</v>
      </c>
      <c r="W29" s="504">
        <v>1724</v>
      </c>
      <c r="X29" s="504">
        <v>1747</v>
      </c>
      <c r="Y29" s="504">
        <v>1770</v>
      </c>
      <c r="Z29" s="504">
        <v>1795</v>
      </c>
      <c r="AA29" s="504">
        <v>1821</v>
      </c>
      <c r="AB29" s="504">
        <v>1848</v>
      </c>
      <c r="AC29" s="504">
        <v>1876</v>
      </c>
      <c r="AD29" s="504">
        <v>1908</v>
      </c>
      <c r="AE29" s="504">
        <v>1942</v>
      </c>
      <c r="AF29" s="504">
        <v>2000</v>
      </c>
      <c r="AG29" s="504">
        <v>0</v>
      </c>
      <c r="AH29" s="504">
        <v>0</v>
      </c>
      <c r="AI29" s="504">
        <v>0</v>
      </c>
      <c r="AJ29" s="504">
        <v>0</v>
      </c>
      <c r="AK29" s="504">
        <v>0</v>
      </c>
      <c r="AL29" s="504">
        <v>0</v>
      </c>
      <c r="AM29" s="504">
        <v>0</v>
      </c>
      <c r="AN29" s="504">
        <v>0</v>
      </c>
      <c r="AO29" s="504">
        <v>0</v>
      </c>
      <c r="AP29" s="504">
        <v>0</v>
      </c>
      <c r="AQ29" s="504">
        <v>0</v>
      </c>
      <c r="AR29" s="504">
        <v>0</v>
      </c>
      <c r="AS29" s="504">
        <v>0</v>
      </c>
      <c r="AT29" s="504">
        <v>0</v>
      </c>
      <c r="AU29" s="504">
        <v>0</v>
      </c>
      <c r="AV29" s="504">
        <v>0</v>
      </c>
      <c r="AW29" s="504">
        <v>0</v>
      </c>
      <c r="AX29" s="504">
        <v>0</v>
      </c>
      <c r="AY29" s="504">
        <v>0</v>
      </c>
      <c r="AZ29" s="504">
        <v>0</v>
      </c>
      <c r="BA29" s="504">
        <v>0</v>
      </c>
      <c r="BB29" s="504">
        <v>0</v>
      </c>
      <c r="BC29" s="504">
        <v>0</v>
      </c>
      <c r="BD29" s="504">
        <v>0</v>
      </c>
      <c r="BE29" s="504">
        <v>0</v>
      </c>
      <c r="BF29" s="504">
        <v>0</v>
      </c>
      <c r="BG29" s="504">
        <v>0</v>
      </c>
      <c r="BH29" s="504">
        <v>0</v>
      </c>
      <c r="BI29" s="504">
        <v>0</v>
      </c>
      <c r="BJ29" s="504">
        <v>0</v>
      </c>
      <c r="BK29" s="504">
        <v>0</v>
      </c>
      <c r="BL29" s="504">
        <v>0</v>
      </c>
      <c r="BM29" s="504">
        <v>0</v>
      </c>
      <c r="BN29" s="504">
        <v>0</v>
      </c>
      <c r="BO29" s="504">
        <v>0</v>
      </c>
      <c r="BP29" s="504">
        <v>0</v>
      </c>
      <c r="BQ29" s="504">
        <v>0</v>
      </c>
      <c r="BR29" s="504">
        <v>0</v>
      </c>
      <c r="BS29" s="504">
        <v>0</v>
      </c>
      <c r="BT29" s="504">
        <v>0</v>
      </c>
      <c r="BU29" s="504">
        <v>0</v>
      </c>
      <c r="BV29" s="504">
        <v>0</v>
      </c>
      <c r="BW29" s="504">
        <v>0</v>
      </c>
      <c r="BX29" s="504">
        <v>0</v>
      </c>
      <c r="BY29" s="504">
        <v>0</v>
      </c>
      <c r="BZ29" s="504">
        <v>0</v>
      </c>
      <c r="CA29" s="504">
        <v>0</v>
      </c>
      <c r="CB29" s="504">
        <v>0</v>
      </c>
      <c r="CC29" s="504">
        <v>0</v>
      </c>
      <c r="CD29" s="504">
        <v>0</v>
      </c>
      <c r="CE29" s="504">
        <v>0</v>
      </c>
      <c r="CF29" s="504">
        <v>0</v>
      </c>
      <c r="CG29" s="504">
        <v>0</v>
      </c>
      <c r="CH29" s="504">
        <v>0</v>
      </c>
      <c r="CI29" s="504">
        <v>0</v>
      </c>
      <c r="CJ29" s="504">
        <v>0</v>
      </c>
      <c r="CK29" s="504">
        <v>0</v>
      </c>
      <c r="CL29" s="504">
        <v>0</v>
      </c>
      <c r="CM29" s="504">
        <v>0</v>
      </c>
      <c r="CN29" s="504">
        <v>0</v>
      </c>
      <c r="CO29" s="504">
        <v>0</v>
      </c>
      <c r="CP29" s="504">
        <v>0</v>
      </c>
      <c r="CQ29" s="504">
        <v>0</v>
      </c>
      <c r="CR29" s="504">
        <v>0</v>
      </c>
      <c r="CS29" s="504">
        <v>0</v>
      </c>
      <c r="CT29" s="504">
        <v>0</v>
      </c>
      <c r="CU29" s="504">
        <v>0</v>
      </c>
      <c r="CV29" s="504">
        <v>0</v>
      </c>
      <c r="CW29" s="504">
        <v>0</v>
      </c>
      <c r="CX29" s="504">
        <v>0</v>
      </c>
      <c r="CY29" s="504">
        <v>0</v>
      </c>
      <c r="CZ29" s="1654">
        <v>0</v>
      </c>
      <c r="DA29" s="504">
        <v>0</v>
      </c>
      <c r="DB29" s="504">
        <v>99</v>
      </c>
      <c r="DC29" s="504">
        <v>382</v>
      </c>
      <c r="DD29" s="504">
        <v>952</v>
      </c>
      <c r="DE29" s="504">
        <v>1257</v>
      </c>
      <c r="DF29" s="504">
        <v>1603</v>
      </c>
      <c r="DG29" s="504">
        <v>0</v>
      </c>
      <c r="DH29" s="504">
        <v>0</v>
      </c>
      <c r="DI29" s="504">
        <v>0</v>
      </c>
      <c r="DJ29" s="504">
        <v>0</v>
      </c>
      <c r="DK29" s="504">
        <v>0</v>
      </c>
      <c r="DL29" s="504">
        <v>0</v>
      </c>
      <c r="DM29" s="504">
        <v>0</v>
      </c>
      <c r="DN29" s="504">
        <v>0</v>
      </c>
      <c r="DO29" s="504">
        <v>0</v>
      </c>
      <c r="DP29" s="504">
        <v>0</v>
      </c>
      <c r="DQ29" s="504">
        <v>0</v>
      </c>
      <c r="DR29" s="504">
        <v>0</v>
      </c>
      <c r="DS29" s="504">
        <v>0</v>
      </c>
      <c r="DT29" s="504">
        <v>0</v>
      </c>
      <c r="DU29" s="504">
        <v>0</v>
      </c>
      <c r="DV29" s="504">
        <v>0</v>
      </c>
      <c r="DW29" s="504">
        <v>0</v>
      </c>
      <c r="DX29" s="504">
        <v>0</v>
      </c>
      <c r="DY29" s="504">
        <v>0</v>
      </c>
      <c r="DZ29" s="504">
        <v>0</v>
      </c>
      <c r="EA29" s="504">
        <v>0</v>
      </c>
      <c r="EB29" s="504">
        <v>0</v>
      </c>
      <c r="EC29" s="504">
        <v>0</v>
      </c>
      <c r="ED29" s="504">
        <v>0</v>
      </c>
      <c r="EE29" s="504">
        <v>0</v>
      </c>
      <c r="EF29" s="504">
        <v>0</v>
      </c>
      <c r="EG29" s="504">
        <v>0</v>
      </c>
      <c r="EH29" s="504">
        <v>0</v>
      </c>
      <c r="EI29" s="504">
        <v>0</v>
      </c>
      <c r="EJ29" s="504">
        <v>0</v>
      </c>
      <c r="EK29" s="504">
        <v>0</v>
      </c>
      <c r="EL29" s="504">
        <v>0</v>
      </c>
      <c r="EM29" s="504">
        <v>0</v>
      </c>
      <c r="EN29" s="504">
        <v>0</v>
      </c>
      <c r="EO29" s="504">
        <v>0</v>
      </c>
      <c r="EP29" s="504">
        <v>0</v>
      </c>
      <c r="EQ29" s="504">
        <v>0</v>
      </c>
      <c r="ER29" s="504">
        <v>0</v>
      </c>
      <c r="ES29" s="504">
        <v>0</v>
      </c>
      <c r="ET29" s="504">
        <v>0</v>
      </c>
      <c r="EU29" s="504">
        <v>0</v>
      </c>
      <c r="EV29" s="504">
        <v>0</v>
      </c>
      <c r="EW29" s="504">
        <v>0</v>
      </c>
      <c r="EX29" s="504">
        <v>0</v>
      </c>
      <c r="EY29" s="504">
        <v>0</v>
      </c>
      <c r="EZ29" s="504">
        <v>0</v>
      </c>
      <c r="FA29" s="504">
        <v>0</v>
      </c>
      <c r="FB29" s="504">
        <v>0</v>
      </c>
      <c r="FC29" s="504">
        <v>0</v>
      </c>
      <c r="FD29" s="504">
        <v>0</v>
      </c>
      <c r="FE29" s="504">
        <v>0</v>
      </c>
      <c r="FF29" s="504">
        <v>0</v>
      </c>
      <c r="FG29" s="504">
        <v>0</v>
      </c>
      <c r="FH29" s="504">
        <v>0</v>
      </c>
      <c r="FI29" s="504">
        <v>0</v>
      </c>
      <c r="FJ29" s="504">
        <v>0</v>
      </c>
      <c r="FK29" s="504">
        <v>0</v>
      </c>
      <c r="FL29" s="504">
        <v>0</v>
      </c>
      <c r="FM29" s="504">
        <v>0</v>
      </c>
      <c r="FN29" s="504">
        <v>0</v>
      </c>
      <c r="FO29" s="504">
        <v>0</v>
      </c>
      <c r="FP29" s="504">
        <v>0</v>
      </c>
      <c r="FQ29" s="504">
        <v>0</v>
      </c>
      <c r="FR29" s="504">
        <v>0</v>
      </c>
      <c r="FS29" s="504">
        <v>0</v>
      </c>
      <c r="FT29" s="504">
        <v>0</v>
      </c>
      <c r="FU29" s="504">
        <v>0</v>
      </c>
      <c r="FV29" s="504">
        <v>0</v>
      </c>
      <c r="FW29" s="504">
        <v>0</v>
      </c>
      <c r="FX29" s="504">
        <v>0</v>
      </c>
      <c r="FY29" s="504">
        <v>0</v>
      </c>
      <c r="FZ29" s="504">
        <v>0</v>
      </c>
      <c r="GA29" s="504">
        <v>0</v>
      </c>
      <c r="GB29" s="504">
        <v>0</v>
      </c>
      <c r="GC29" s="504">
        <v>0</v>
      </c>
      <c r="GD29" s="504">
        <v>0</v>
      </c>
      <c r="GE29" s="504">
        <v>0</v>
      </c>
      <c r="GF29" s="504">
        <v>0</v>
      </c>
      <c r="GG29" s="504">
        <v>0</v>
      </c>
      <c r="GH29" s="504">
        <v>0</v>
      </c>
      <c r="GI29" s="504">
        <v>0</v>
      </c>
      <c r="GJ29" s="504">
        <v>0</v>
      </c>
      <c r="GK29" s="504">
        <v>0</v>
      </c>
      <c r="GL29" s="504">
        <v>0</v>
      </c>
      <c r="GM29" s="504">
        <v>0</v>
      </c>
      <c r="GN29" s="504">
        <v>0</v>
      </c>
      <c r="GO29" s="504">
        <v>0</v>
      </c>
      <c r="GP29" s="504">
        <v>0</v>
      </c>
      <c r="GQ29" s="504">
        <v>0</v>
      </c>
      <c r="GR29" s="504">
        <v>0</v>
      </c>
      <c r="GS29" s="504">
        <v>0</v>
      </c>
      <c r="GT29" s="504">
        <v>0</v>
      </c>
      <c r="GU29" s="504">
        <v>0</v>
      </c>
      <c r="GV29" s="504">
        <v>0</v>
      </c>
      <c r="GW29" s="1654">
        <v>0</v>
      </c>
      <c r="GX29" s="504">
        <v>0</v>
      </c>
      <c r="GY29" s="504">
        <v>5284</v>
      </c>
      <c r="GZ29" s="504">
        <v>16052</v>
      </c>
      <c r="HA29" s="504">
        <v>25000</v>
      </c>
      <c r="HB29" s="504">
        <v>24000</v>
      </c>
      <c r="HC29" s="504">
        <v>23000</v>
      </c>
      <c r="HD29" s="504">
        <v>0</v>
      </c>
      <c r="HE29" s="504">
        <v>0</v>
      </c>
      <c r="HF29" s="504">
        <v>0</v>
      </c>
      <c r="HG29" s="504">
        <v>0</v>
      </c>
      <c r="HH29" s="504">
        <v>0</v>
      </c>
      <c r="HI29" s="504">
        <v>0</v>
      </c>
      <c r="HJ29" s="504">
        <v>0</v>
      </c>
      <c r="HK29" s="504">
        <v>0</v>
      </c>
      <c r="HL29" s="504">
        <v>0</v>
      </c>
      <c r="HM29" s="504">
        <v>0</v>
      </c>
      <c r="HN29" s="504">
        <v>0</v>
      </c>
      <c r="HO29" s="504">
        <v>0</v>
      </c>
      <c r="HP29" s="504">
        <v>0</v>
      </c>
      <c r="HQ29" s="504">
        <v>0</v>
      </c>
      <c r="HR29" s="504">
        <v>0</v>
      </c>
      <c r="HS29" s="504">
        <v>0</v>
      </c>
      <c r="HT29" s="504">
        <v>0</v>
      </c>
      <c r="HU29" s="504">
        <v>0</v>
      </c>
      <c r="HV29" s="504">
        <v>0</v>
      </c>
      <c r="HW29" s="504">
        <v>0</v>
      </c>
      <c r="HX29" s="504">
        <v>0</v>
      </c>
      <c r="HY29" s="504">
        <v>0</v>
      </c>
      <c r="HZ29" s="504">
        <v>0</v>
      </c>
      <c r="IA29" s="504">
        <v>0</v>
      </c>
      <c r="IB29" s="504">
        <v>0</v>
      </c>
      <c r="IC29" s="504">
        <v>0</v>
      </c>
      <c r="ID29" s="504">
        <v>0</v>
      </c>
      <c r="IE29" s="504">
        <v>0</v>
      </c>
      <c r="IF29" s="504">
        <v>0</v>
      </c>
      <c r="IG29" s="504">
        <v>0</v>
      </c>
      <c r="IH29" s="504">
        <v>0</v>
      </c>
      <c r="II29" s="504">
        <v>0</v>
      </c>
      <c r="IJ29" s="504">
        <v>0</v>
      </c>
      <c r="IK29" s="504">
        <v>0</v>
      </c>
      <c r="IL29" s="504">
        <v>0</v>
      </c>
      <c r="IM29" s="504">
        <v>0</v>
      </c>
      <c r="IN29" s="504">
        <v>0</v>
      </c>
      <c r="IO29" s="504">
        <v>0</v>
      </c>
      <c r="IP29" s="504">
        <v>0</v>
      </c>
      <c r="IQ29" s="504">
        <v>0</v>
      </c>
      <c r="IR29" s="504">
        <v>0</v>
      </c>
      <c r="IS29" s="504">
        <v>0</v>
      </c>
      <c r="IT29" s="504">
        <v>0</v>
      </c>
      <c r="IU29" s="504">
        <v>0</v>
      </c>
      <c r="IV29" s="504">
        <v>0</v>
      </c>
      <c r="IW29" s="504">
        <v>0</v>
      </c>
      <c r="IX29" s="504">
        <v>0</v>
      </c>
      <c r="IY29" s="504">
        <v>0</v>
      </c>
      <c r="IZ29" s="504">
        <v>0</v>
      </c>
      <c r="JA29" s="504">
        <v>0</v>
      </c>
      <c r="JB29" s="504">
        <v>0</v>
      </c>
      <c r="JC29" s="504">
        <v>0</v>
      </c>
      <c r="JD29" s="504">
        <v>0</v>
      </c>
      <c r="JE29" s="504">
        <v>0</v>
      </c>
      <c r="JF29" s="504">
        <v>0</v>
      </c>
      <c r="JG29" s="504">
        <v>0</v>
      </c>
      <c r="JH29" s="504">
        <v>0</v>
      </c>
      <c r="JI29" s="504">
        <v>0</v>
      </c>
      <c r="JJ29" s="504">
        <v>0</v>
      </c>
      <c r="JK29" s="504">
        <v>0</v>
      </c>
      <c r="JL29" s="504">
        <v>0</v>
      </c>
      <c r="JM29" s="504">
        <v>0</v>
      </c>
      <c r="JN29" s="504">
        <v>0</v>
      </c>
      <c r="JO29" s="504">
        <v>0</v>
      </c>
      <c r="JP29" s="504">
        <v>0</v>
      </c>
      <c r="JQ29" s="504">
        <v>0</v>
      </c>
      <c r="JR29" s="504">
        <v>0</v>
      </c>
      <c r="JS29" s="504">
        <v>0</v>
      </c>
      <c r="JT29" s="504">
        <v>0</v>
      </c>
      <c r="JU29" s="504">
        <v>0</v>
      </c>
      <c r="JV29" s="504">
        <v>0</v>
      </c>
      <c r="JW29" s="504">
        <v>0</v>
      </c>
      <c r="JX29" s="504">
        <v>0</v>
      </c>
      <c r="JY29" s="504">
        <v>0</v>
      </c>
      <c r="JZ29" s="504">
        <v>0</v>
      </c>
      <c r="KA29" s="504">
        <v>0</v>
      </c>
      <c r="KB29" s="504">
        <v>0</v>
      </c>
      <c r="KC29" s="504">
        <v>0</v>
      </c>
      <c r="KD29" s="504">
        <v>0</v>
      </c>
      <c r="KE29" s="504">
        <v>0</v>
      </c>
      <c r="KF29" s="504">
        <v>0</v>
      </c>
      <c r="KG29" s="504">
        <v>0</v>
      </c>
      <c r="KH29" s="504">
        <v>0</v>
      </c>
      <c r="KI29" s="504">
        <v>0</v>
      </c>
      <c r="KJ29" s="504">
        <v>0</v>
      </c>
      <c r="KK29" s="504">
        <v>0</v>
      </c>
      <c r="KL29" s="504">
        <v>0</v>
      </c>
      <c r="KM29" s="504">
        <v>0</v>
      </c>
      <c r="KN29" s="504">
        <v>0</v>
      </c>
      <c r="KO29" s="504">
        <v>0</v>
      </c>
      <c r="KP29" s="504">
        <v>0</v>
      </c>
      <c r="KQ29" s="504">
        <v>0</v>
      </c>
      <c r="KR29" s="504">
        <v>0</v>
      </c>
      <c r="KS29" s="504">
        <v>0</v>
      </c>
      <c r="KT29" s="1654">
        <v>0</v>
      </c>
      <c r="KU29" s="504">
        <v>0</v>
      </c>
      <c r="KV29" s="504">
        <v>0</v>
      </c>
      <c r="KW29" s="504">
        <v>0</v>
      </c>
      <c r="KX29" s="504">
        <v>710</v>
      </c>
      <c r="KY29" s="504">
        <v>1238</v>
      </c>
      <c r="KZ29" s="504">
        <v>1583</v>
      </c>
      <c r="LA29" s="504">
        <v>0</v>
      </c>
      <c r="LB29" s="504">
        <v>0</v>
      </c>
      <c r="LC29" s="504">
        <v>0</v>
      </c>
      <c r="LD29" s="504">
        <v>0</v>
      </c>
      <c r="LE29" s="504">
        <v>0</v>
      </c>
      <c r="LF29" s="504">
        <v>0</v>
      </c>
      <c r="LG29" s="504">
        <v>0</v>
      </c>
      <c r="LH29" s="504">
        <v>0</v>
      </c>
      <c r="LI29" s="504">
        <v>0</v>
      </c>
      <c r="LJ29" s="504">
        <v>0</v>
      </c>
      <c r="LK29" s="504">
        <v>0</v>
      </c>
      <c r="LL29" s="504">
        <v>0</v>
      </c>
      <c r="LM29" s="504">
        <v>0</v>
      </c>
      <c r="LN29" s="504">
        <v>0</v>
      </c>
      <c r="LO29" s="504">
        <v>0</v>
      </c>
      <c r="LP29" s="504">
        <v>0</v>
      </c>
      <c r="LQ29" s="504">
        <v>0</v>
      </c>
      <c r="LR29" s="504">
        <v>0</v>
      </c>
      <c r="LS29" s="504">
        <v>0</v>
      </c>
      <c r="LT29" s="504">
        <v>0</v>
      </c>
      <c r="LU29" s="504">
        <v>0</v>
      </c>
      <c r="LV29" s="504">
        <v>0</v>
      </c>
      <c r="LW29" s="504">
        <v>0</v>
      </c>
      <c r="LX29" s="504">
        <v>0</v>
      </c>
      <c r="LY29" s="504">
        <v>0</v>
      </c>
      <c r="LZ29" s="504">
        <v>0</v>
      </c>
      <c r="MA29" s="504">
        <v>0</v>
      </c>
      <c r="MB29" s="504">
        <v>0</v>
      </c>
      <c r="MC29" s="504">
        <v>0</v>
      </c>
      <c r="MD29" s="504">
        <v>0</v>
      </c>
      <c r="ME29" s="504">
        <v>0</v>
      </c>
      <c r="MF29" s="504">
        <v>0</v>
      </c>
      <c r="MG29" s="504">
        <v>0</v>
      </c>
      <c r="MH29" s="504">
        <v>0</v>
      </c>
      <c r="MI29" s="504">
        <v>0</v>
      </c>
      <c r="MJ29" s="504">
        <v>0</v>
      </c>
      <c r="MK29" s="504">
        <v>0</v>
      </c>
      <c r="ML29" s="504">
        <v>0</v>
      </c>
      <c r="MM29" s="504">
        <v>0</v>
      </c>
      <c r="MN29" s="504">
        <v>0</v>
      </c>
      <c r="MO29" s="504">
        <v>0</v>
      </c>
      <c r="MP29" s="504">
        <v>0</v>
      </c>
      <c r="MQ29" s="504">
        <v>0</v>
      </c>
      <c r="MR29" s="504">
        <v>0</v>
      </c>
      <c r="MS29" s="504">
        <v>0</v>
      </c>
      <c r="MT29" s="504">
        <v>0</v>
      </c>
      <c r="MU29" s="504">
        <v>0</v>
      </c>
      <c r="MV29" s="504">
        <v>0</v>
      </c>
      <c r="MW29" s="504">
        <v>0</v>
      </c>
      <c r="MX29" s="504">
        <v>0</v>
      </c>
      <c r="MY29" s="504">
        <v>0</v>
      </c>
      <c r="MZ29" s="504">
        <v>0</v>
      </c>
      <c r="NA29" s="504">
        <v>0</v>
      </c>
      <c r="NB29" s="504">
        <v>0</v>
      </c>
      <c r="NC29" s="504">
        <v>0</v>
      </c>
      <c r="ND29" s="504">
        <v>0</v>
      </c>
      <c r="NE29" s="504">
        <v>0</v>
      </c>
      <c r="NF29" s="504">
        <v>0</v>
      </c>
      <c r="NG29" s="504">
        <v>0</v>
      </c>
      <c r="NH29" s="504">
        <v>0</v>
      </c>
      <c r="NI29" s="504">
        <v>0</v>
      </c>
      <c r="NJ29" s="504">
        <v>0</v>
      </c>
      <c r="NK29" s="504">
        <v>0</v>
      </c>
      <c r="NL29" s="504">
        <v>0</v>
      </c>
      <c r="NM29" s="504">
        <v>0</v>
      </c>
      <c r="NN29" s="504">
        <v>0</v>
      </c>
      <c r="NO29" s="504">
        <v>0</v>
      </c>
      <c r="NP29" s="504">
        <v>0</v>
      </c>
      <c r="NQ29" s="504">
        <v>0</v>
      </c>
      <c r="NR29" s="504">
        <v>0</v>
      </c>
      <c r="NS29" s="504">
        <v>0</v>
      </c>
      <c r="NT29" s="504">
        <v>0</v>
      </c>
      <c r="NU29" s="504">
        <v>0</v>
      </c>
      <c r="NV29" s="504">
        <v>0</v>
      </c>
      <c r="NW29" s="504">
        <v>0</v>
      </c>
      <c r="NX29" s="504">
        <v>0</v>
      </c>
      <c r="NY29" s="504">
        <v>0</v>
      </c>
      <c r="NZ29" s="504">
        <v>0</v>
      </c>
      <c r="OA29" s="504">
        <v>0</v>
      </c>
      <c r="OB29" s="504">
        <v>0</v>
      </c>
      <c r="OC29" s="504">
        <v>0</v>
      </c>
      <c r="OD29" s="504">
        <v>0</v>
      </c>
      <c r="OE29" s="504">
        <v>0</v>
      </c>
      <c r="OF29" s="504">
        <v>0</v>
      </c>
      <c r="OG29" s="504">
        <v>0</v>
      </c>
      <c r="OH29" s="504">
        <v>0</v>
      </c>
      <c r="OI29" s="504">
        <v>0</v>
      </c>
      <c r="OJ29" s="504">
        <v>0</v>
      </c>
      <c r="OK29" s="504">
        <v>0</v>
      </c>
      <c r="OL29" s="504">
        <v>0</v>
      </c>
      <c r="OM29" s="504">
        <v>0</v>
      </c>
      <c r="ON29" s="504">
        <v>0</v>
      </c>
      <c r="OO29" s="504">
        <v>0</v>
      </c>
      <c r="OP29" s="504">
        <v>0</v>
      </c>
      <c r="OQ29" s="504">
        <v>0</v>
      </c>
      <c r="OR29"/>
      <c r="OS29"/>
      <c r="OT29"/>
      <c r="OU29"/>
      <c r="OV29"/>
      <c r="OW29"/>
      <c r="OX29"/>
      <c r="OY29"/>
      <c r="OZ29"/>
      <c r="PA29"/>
      <c r="PB29"/>
      <c r="PC29"/>
      <c r="PD29"/>
      <c r="PE29"/>
      <c r="PF29"/>
      <c r="PG29"/>
      <c r="PH29"/>
      <c r="PI29"/>
      <c r="PJ29"/>
      <c r="PK29"/>
      <c r="PL29"/>
      <c r="PM29"/>
      <c r="PN29"/>
      <c r="PO29"/>
      <c r="PP29"/>
      <c r="PQ29"/>
      <c r="PR29"/>
      <c r="PS29"/>
      <c r="PT29" s="1656"/>
    </row>
    <row r="30" spans="1:436" ht="21.5">
      <c r="A30" s="1466" t="s">
        <v>1692</v>
      </c>
      <c r="B30" s="1576" t="s">
        <v>2358</v>
      </c>
      <c r="C30" s="1576" t="s">
        <v>13</v>
      </c>
      <c r="D30" s="1576">
        <v>53</v>
      </c>
      <c r="E30" s="504">
        <v>55</v>
      </c>
      <c r="F30" s="504">
        <v>214</v>
      </c>
      <c r="G30" s="504">
        <v>546</v>
      </c>
      <c r="H30" s="504">
        <v>850</v>
      </c>
      <c r="I30" s="504">
        <v>1217</v>
      </c>
      <c r="J30" s="504">
        <v>1490</v>
      </c>
      <c r="K30" s="504">
        <v>1509</v>
      </c>
      <c r="L30" s="504">
        <v>1529</v>
      </c>
      <c r="M30" s="504">
        <v>1549</v>
      </c>
      <c r="N30" s="504">
        <v>1569</v>
      </c>
      <c r="O30" s="504">
        <v>1590</v>
      </c>
      <c r="P30" s="504">
        <v>1611</v>
      </c>
      <c r="Q30" s="504">
        <v>1632</v>
      </c>
      <c r="R30" s="504">
        <v>1654</v>
      </c>
      <c r="S30" s="504">
        <v>1675</v>
      </c>
      <c r="T30" s="504">
        <v>1698</v>
      </c>
      <c r="U30" s="504">
        <v>1720</v>
      </c>
      <c r="V30" s="504">
        <v>1743</v>
      </c>
      <c r="W30" s="504">
        <v>1767</v>
      </c>
      <c r="X30" s="504">
        <v>1791</v>
      </c>
      <c r="Y30" s="504">
        <v>1816</v>
      </c>
      <c r="Z30" s="504">
        <v>1842</v>
      </c>
      <c r="AA30" s="504">
        <v>1869</v>
      </c>
      <c r="AB30" s="504">
        <v>1899</v>
      </c>
      <c r="AC30" s="504">
        <v>1930</v>
      </c>
      <c r="AD30" s="504">
        <v>1965</v>
      </c>
      <c r="AE30" s="504">
        <v>2024</v>
      </c>
      <c r="AF30" s="504">
        <v>0</v>
      </c>
      <c r="AG30" s="504">
        <v>0</v>
      </c>
      <c r="AH30" s="504">
        <v>0</v>
      </c>
      <c r="AI30" s="504">
        <v>0</v>
      </c>
      <c r="AJ30" s="504">
        <v>0</v>
      </c>
      <c r="AK30" s="504">
        <v>0</v>
      </c>
      <c r="AL30" s="504">
        <v>0</v>
      </c>
      <c r="AM30" s="504">
        <v>0</v>
      </c>
      <c r="AN30" s="504">
        <v>0</v>
      </c>
      <c r="AO30" s="504">
        <v>0</v>
      </c>
      <c r="AP30" s="504">
        <v>0</v>
      </c>
      <c r="AQ30" s="504">
        <v>0</v>
      </c>
      <c r="AR30" s="504">
        <v>0</v>
      </c>
      <c r="AS30" s="504">
        <v>0</v>
      </c>
      <c r="AT30" s="504">
        <v>0</v>
      </c>
      <c r="AU30" s="504">
        <v>0</v>
      </c>
      <c r="AV30" s="504">
        <v>0</v>
      </c>
      <c r="AW30" s="504">
        <v>0</v>
      </c>
      <c r="AX30" s="504">
        <v>0</v>
      </c>
      <c r="AY30" s="504">
        <v>0</v>
      </c>
      <c r="AZ30" s="504">
        <v>0</v>
      </c>
      <c r="BA30" s="504">
        <v>0</v>
      </c>
      <c r="BB30" s="504">
        <v>0</v>
      </c>
      <c r="BC30" s="504">
        <v>0</v>
      </c>
      <c r="BD30" s="504">
        <v>0</v>
      </c>
      <c r="BE30" s="504">
        <v>0</v>
      </c>
      <c r="BF30" s="504">
        <v>0</v>
      </c>
      <c r="BG30" s="504">
        <v>0</v>
      </c>
      <c r="BH30" s="504">
        <v>0</v>
      </c>
      <c r="BI30" s="504">
        <v>0</v>
      </c>
      <c r="BJ30" s="504">
        <v>0</v>
      </c>
      <c r="BK30" s="504">
        <v>0</v>
      </c>
      <c r="BL30" s="504">
        <v>0</v>
      </c>
      <c r="BM30" s="504">
        <v>0</v>
      </c>
      <c r="BN30" s="504">
        <v>0</v>
      </c>
      <c r="BO30" s="504">
        <v>0</v>
      </c>
      <c r="BP30" s="504">
        <v>0</v>
      </c>
      <c r="BQ30" s="504">
        <v>0</v>
      </c>
      <c r="BR30" s="504">
        <v>0</v>
      </c>
      <c r="BS30" s="504">
        <v>0</v>
      </c>
      <c r="BT30" s="504">
        <v>0</v>
      </c>
      <c r="BU30" s="504">
        <v>0</v>
      </c>
      <c r="BV30" s="504">
        <v>0</v>
      </c>
      <c r="BW30" s="504">
        <v>0</v>
      </c>
      <c r="BX30" s="504">
        <v>0</v>
      </c>
      <c r="BY30" s="504">
        <v>0</v>
      </c>
      <c r="BZ30" s="504">
        <v>0</v>
      </c>
      <c r="CA30" s="504">
        <v>0</v>
      </c>
      <c r="CB30" s="504">
        <v>0</v>
      </c>
      <c r="CC30" s="504">
        <v>0</v>
      </c>
      <c r="CD30" s="504">
        <v>0</v>
      </c>
      <c r="CE30" s="504">
        <v>0</v>
      </c>
      <c r="CF30" s="504">
        <v>0</v>
      </c>
      <c r="CG30" s="504">
        <v>0</v>
      </c>
      <c r="CH30" s="504">
        <v>0</v>
      </c>
      <c r="CI30" s="504">
        <v>0</v>
      </c>
      <c r="CJ30" s="504">
        <v>0</v>
      </c>
      <c r="CK30" s="504">
        <v>0</v>
      </c>
      <c r="CL30" s="504">
        <v>0</v>
      </c>
      <c r="CM30" s="504">
        <v>0</v>
      </c>
      <c r="CN30" s="504">
        <v>0</v>
      </c>
      <c r="CO30" s="504">
        <v>0</v>
      </c>
      <c r="CP30" s="504">
        <v>0</v>
      </c>
      <c r="CQ30" s="504">
        <v>0</v>
      </c>
      <c r="CR30" s="504">
        <v>0</v>
      </c>
      <c r="CS30" s="504">
        <v>0</v>
      </c>
      <c r="CT30" s="504">
        <v>0</v>
      </c>
      <c r="CU30" s="504">
        <v>0</v>
      </c>
      <c r="CV30" s="504">
        <v>0</v>
      </c>
      <c r="CW30" s="504">
        <v>0</v>
      </c>
      <c r="CX30" s="504">
        <v>0</v>
      </c>
      <c r="CY30" s="504">
        <v>0</v>
      </c>
      <c r="CZ30" s="1654">
        <v>0</v>
      </c>
      <c r="DA30" s="504">
        <v>0</v>
      </c>
      <c r="DB30" s="504">
        <v>101</v>
      </c>
      <c r="DC30" s="504">
        <v>382</v>
      </c>
      <c r="DD30" s="504">
        <v>952</v>
      </c>
      <c r="DE30" s="504">
        <v>1263</v>
      </c>
      <c r="DF30" s="504">
        <v>1616</v>
      </c>
      <c r="DG30" s="504">
        <v>0</v>
      </c>
      <c r="DH30" s="504">
        <v>0</v>
      </c>
      <c r="DI30" s="504">
        <v>0</v>
      </c>
      <c r="DJ30" s="504">
        <v>0</v>
      </c>
      <c r="DK30" s="504">
        <v>0</v>
      </c>
      <c r="DL30" s="504">
        <v>0</v>
      </c>
      <c r="DM30" s="504">
        <v>0</v>
      </c>
      <c r="DN30" s="504">
        <v>0</v>
      </c>
      <c r="DO30" s="504">
        <v>0</v>
      </c>
      <c r="DP30" s="504">
        <v>0</v>
      </c>
      <c r="DQ30" s="504">
        <v>0</v>
      </c>
      <c r="DR30" s="504">
        <v>0</v>
      </c>
      <c r="DS30" s="504">
        <v>0</v>
      </c>
      <c r="DT30" s="504">
        <v>0</v>
      </c>
      <c r="DU30" s="504">
        <v>0</v>
      </c>
      <c r="DV30" s="504">
        <v>0</v>
      </c>
      <c r="DW30" s="504">
        <v>0</v>
      </c>
      <c r="DX30" s="504">
        <v>0</v>
      </c>
      <c r="DY30" s="504">
        <v>0</v>
      </c>
      <c r="DZ30" s="504">
        <v>0</v>
      </c>
      <c r="EA30" s="504">
        <v>0</v>
      </c>
      <c r="EB30" s="504">
        <v>0</v>
      </c>
      <c r="EC30" s="504">
        <v>0</v>
      </c>
      <c r="ED30" s="504">
        <v>0</v>
      </c>
      <c r="EE30" s="504">
        <v>0</v>
      </c>
      <c r="EF30" s="504">
        <v>0</v>
      </c>
      <c r="EG30" s="504">
        <v>0</v>
      </c>
      <c r="EH30" s="504">
        <v>0</v>
      </c>
      <c r="EI30" s="504">
        <v>0</v>
      </c>
      <c r="EJ30" s="504">
        <v>0</v>
      </c>
      <c r="EK30" s="504">
        <v>0</v>
      </c>
      <c r="EL30" s="504">
        <v>0</v>
      </c>
      <c r="EM30" s="504">
        <v>0</v>
      </c>
      <c r="EN30" s="504">
        <v>0</v>
      </c>
      <c r="EO30" s="504">
        <v>0</v>
      </c>
      <c r="EP30" s="504">
        <v>0</v>
      </c>
      <c r="EQ30" s="504">
        <v>0</v>
      </c>
      <c r="ER30" s="504">
        <v>0</v>
      </c>
      <c r="ES30" s="504">
        <v>0</v>
      </c>
      <c r="ET30" s="504">
        <v>0</v>
      </c>
      <c r="EU30" s="504">
        <v>0</v>
      </c>
      <c r="EV30" s="504">
        <v>0</v>
      </c>
      <c r="EW30" s="504">
        <v>0</v>
      </c>
      <c r="EX30" s="504">
        <v>0</v>
      </c>
      <c r="EY30" s="504">
        <v>0</v>
      </c>
      <c r="EZ30" s="504">
        <v>0</v>
      </c>
      <c r="FA30" s="504">
        <v>0</v>
      </c>
      <c r="FB30" s="504">
        <v>0</v>
      </c>
      <c r="FC30" s="504">
        <v>0</v>
      </c>
      <c r="FD30" s="504">
        <v>0</v>
      </c>
      <c r="FE30" s="504">
        <v>0</v>
      </c>
      <c r="FF30" s="504">
        <v>0</v>
      </c>
      <c r="FG30" s="504">
        <v>0</v>
      </c>
      <c r="FH30" s="504">
        <v>0</v>
      </c>
      <c r="FI30" s="504">
        <v>0</v>
      </c>
      <c r="FJ30" s="504">
        <v>0</v>
      </c>
      <c r="FK30" s="504">
        <v>0</v>
      </c>
      <c r="FL30" s="504">
        <v>0</v>
      </c>
      <c r="FM30" s="504">
        <v>0</v>
      </c>
      <c r="FN30" s="504">
        <v>0</v>
      </c>
      <c r="FO30" s="504">
        <v>0</v>
      </c>
      <c r="FP30" s="504">
        <v>0</v>
      </c>
      <c r="FQ30" s="504">
        <v>0</v>
      </c>
      <c r="FR30" s="504">
        <v>0</v>
      </c>
      <c r="FS30" s="504">
        <v>0</v>
      </c>
      <c r="FT30" s="504">
        <v>0</v>
      </c>
      <c r="FU30" s="504">
        <v>0</v>
      </c>
      <c r="FV30" s="504">
        <v>0</v>
      </c>
      <c r="FW30" s="504">
        <v>0</v>
      </c>
      <c r="FX30" s="504">
        <v>0</v>
      </c>
      <c r="FY30" s="504">
        <v>0</v>
      </c>
      <c r="FZ30" s="504">
        <v>0</v>
      </c>
      <c r="GA30" s="504">
        <v>0</v>
      </c>
      <c r="GB30" s="504">
        <v>0</v>
      </c>
      <c r="GC30" s="504">
        <v>0</v>
      </c>
      <c r="GD30" s="504">
        <v>0</v>
      </c>
      <c r="GE30" s="504">
        <v>0</v>
      </c>
      <c r="GF30" s="504">
        <v>0</v>
      </c>
      <c r="GG30" s="504">
        <v>0</v>
      </c>
      <c r="GH30" s="504">
        <v>0</v>
      </c>
      <c r="GI30" s="504">
        <v>0</v>
      </c>
      <c r="GJ30" s="504">
        <v>0</v>
      </c>
      <c r="GK30" s="504">
        <v>0</v>
      </c>
      <c r="GL30" s="504">
        <v>0</v>
      </c>
      <c r="GM30" s="504">
        <v>0</v>
      </c>
      <c r="GN30" s="504">
        <v>0</v>
      </c>
      <c r="GO30" s="504">
        <v>0</v>
      </c>
      <c r="GP30" s="504">
        <v>0</v>
      </c>
      <c r="GQ30" s="504">
        <v>0</v>
      </c>
      <c r="GR30" s="504">
        <v>0</v>
      </c>
      <c r="GS30" s="504">
        <v>0</v>
      </c>
      <c r="GT30" s="504">
        <v>0</v>
      </c>
      <c r="GU30" s="504">
        <v>0</v>
      </c>
      <c r="GV30" s="504">
        <v>0</v>
      </c>
      <c r="GW30" s="1654">
        <v>0</v>
      </c>
      <c r="GX30" s="504">
        <v>0</v>
      </c>
      <c r="GY30" s="504">
        <v>5207</v>
      </c>
      <c r="GZ30" s="504">
        <v>15165</v>
      </c>
      <c r="HA30" s="504">
        <v>24000</v>
      </c>
      <c r="HB30" s="504">
        <v>23000</v>
      </c>
      <c r="HC30" s="504">
        <v>22000</v>
      </c>
      <c r="HD30" s="504">
        <v>0</v>
      </c>
      <c r="HE30" s="504">
        <v>0</v>
      </c>
      <c r="HF30" s="504">
        <v>0</v>
      </c>
      <c r="HG30" s="504">
        <v>0</v>
      </c>
      <c r="HH30" s="504">
        <v>0</v>
      </c>
      <c r="HI30" s="504">
        <v>0</v>
      </c>
      <c r="HJ30" s="504">
        <v>0</v>
      </c>
      <c r="HK30" s="504">
        <v>0</v>
      </c>
      <c r="HL30" s="504">
        <v>0</v>
      </c>
      <c r="HM30" s="504">
        <v>0</v>
      </c>
      <c r="HN30" s="504">
        <v>0</v>
      </c>
      <c r="HO30" s="504">
        <v>0</v>
      </c>
      <c r="HP30" s="504">
        <v>0</v>
      </c>
      <c r="HQ30" s="504">
        <v>0</v>
      </c>
      <c r="HR30" s="504">
        <v>0</v>
      </c>
      <c r="HS30" s="504">
        <v>0</v>
      </c>
      <c r="HT30" s="504">
        <v>0</v>
      </c>
      <c r="HU30" s="504">
        <v>0</v>
      </c>
      <c r="HV30" s="504">
        <v>0</v>
      </c>
      <c r="HW30" s="504">
        <v>0</v>
      </c>
      <c r="HX30" s="504">
        <v>0</v>
      </c>
      <c r="HY30" s="504">
        <v>0</v>
      </c>
      <c r="HZ30" s="504">
        <v>0</v>
      </c>
      <c r="IA30" s="504">
        <v>0</v>
      </c>
      <c r="IB30" s="504">
        <v>0</v>
      </c>
      <c r="IC30" s="504">
        <v>0</v>
      </c>
      <c r="ID30" s="504">
        <v>0</v>
      </c>
      <c r="IE30" s="504">
        <v>0</v>
      </c>
      <c r="IF30" s="504">
        <v>0</v>
      </c>
      <c r="IG30" s="504">
        <v>0</v>
      </c>
      <c r="IH30" s="504">
        <v>0</v>
      </c>
      <c r="II30" s="504">
        <v>0</v>
      </c>
      <c r="IJ30" s="504">
        <v>0</v>
      </c>
      <c r="IK30" s="504">
        <v>0</v>
      </c>
      <c r="IL30" s="504">
        <v>0</v>
      </c>
      <c r="IM30" s="504">
        <v>0</v>
      </c>
      <c r="IN30" s="504">
        <v>0</v>
      </c>
      <c r="IO30" s="504">
        <v>0</v>
      </c>
      <c r="IP30" s="504">
        <v>0</v>
      </c>
      <c r="IQ30" s="504">
        <v>0</v>
      </c>
      <c r="IR30" s="504">
        <v>0</v>
      </c>
      <c r="IS30" s="504">
        <v>0</v>
      </c>
      <c r="IT30" s="504">
        <v>0</v>
      </c>
      <c r="IU30" s="504">
        <v>0</v>
      </c>
      <c r="IV30" s="504">
        <v>0</v>
      </c>
      <c r="IW30" s="504">
        <v>0</v>
      </c>
      <c r="IX30" s="504">
        <v>0</v>
      </c>
      <c r="IY30" s="504">
        <v>0</v>
      </c>
      <c r="IZ30" s="504">
        <v>0</v>
      </c>
      <c r="JA30" s="504">
        <v>0</v>
      </c>
      <c r="JB30" s="504">
        <v>0</v>
      </c>
      <c r="JC30" s="504">
        <v>0</v>
      </c>
      <c r="JD30" s="504">
        <v>0</v>
      </c>
      <c r="JE30" s="504">
        <v>0</v>
      </c>
      <c r="JF30" s="504">
        <v>0</v>
      </c>
      <c r="JG30" s="504">
        <v>0</v>
      </c>
      <c r="JH30" s="504">
        <v>0</v>
      </c>
      <c r="JI30" s="504">
        <v>0</v>
      </c>
      <c r="JJ30" s="504">
        <v>0</v>
      </c>
      <c r="JK30" s="504">
        <v>0</v>
      </c>
      <c r="JL30" s="504">
        <v>0</v>
      </c>
      <c r="JM30" s="504">
        <v>0</v>
      </c>
      <c r="JN30" s="504">
        <v>0</v>
      </c>
      <c r="JO30" s="504">
        <v>0</v>
      </c>
      <c r="JP30" s="504">
        <v>0</v>
      </c>
      <c r="JQ30" s="504">
        <v>0</v>
      </c>
      <c r="JR30" s="504">
        <v>0</v>
      </c>
      <c r="JS30" s="504">
        <v>0</v>
      </c>
      <c r="JT30" s="504">
        <v>0</v>
      </c>
      <c r="JU30" s="504">
        <v>0</v>
      </c>
      <c r="JV30" s="504">
        <v>0</v>
      </c>
      <c r="JW30" s="504">
        <v>0</v>
      </c>
      <c r="JX30" s="504">
        <v>0</v>
      </c>
      <c r="JY30" s="504">
        <v>0</v>
      </c>
      <c r="JZ30" s="504">
        <v>0</v>
      </c>
      <c r="KA30" s="504">
        <v>0</v>
      </c>
      <c r="KB30" s="504">
        <v>0</v>
      </c>
      <c r="KC30" s="504">
        <v>0</v>
      </c>
      <c r="KD30" s="504">
        <v>0</v>
      </c>
      <c r="KE30" s="504">
        <v>0</v>
      </c>
      <c r="KF30" s="504">
        <v>0</v>
      </c>
      <c r="KG30" s="504">
        <v>0</v>
      </c>
      <c r="KH30" s="504">
        <v>0</v>
      </c>
      <c r="KI30" s="504">
        <v>0</v>
      </c>
      <c r="KJ30" s="504">
        <v>0</v>
      </c>
      <c r="KK30" s="504">
        <v>0</v>
      </c>
      <c r="KL30" s="504">
        <v>0</v>
      </c>
      <c r="KM30" s="504">
        <v>0</v>
      </c>
      <c r="KN30" s="504">
        <v>0</v>
      </c>
      <c r="KO30" s="504">
        <v>0</v>
      </c>
      <c r="KP30" s="504">
        <v>0</v>
      </c>
      <c r="KQ30" s="504">
        <v>0</v>
      </c>
      <c r="KR30" s="504">
        <v>0</v>
      </c>
      <c r="KS30" s="504">
        <v>0</v>
      </c>
      <c r="KT30" s="1654">
        <v>0</v>
      </c>
      <c r="KU30" s="504">
        <v>0</v>
      </c>
      <c r="KV30" s="504">
        <v>0</v>
      </c>
      <c r="KW30" s="504">
        <v>0</v>
      </c>
      <c r="KX30" s="504">
        <v>720</v>
      </c>
      <c r="KY30" s="504">
        <v>1243</v>
      </c>
      <c r="KZ30" s="504">
        <v>1596</v>
      </c>
      <c r="LA30" s="504">
        <v>0</v>
      </c>
      <c r="LB30" s="504">
        <v>0</v>
      </c>
      <c r="LC30" s="504">
        <v>0</v>
      </c>
      <c r="LD30" s="504">
        <v>0</v>
      </c>
      <c r="LE30" s="504">
        <v>0</v>
      </c>
      <c r="LF30" s="504">
        <v>0</v>
      </c>
      <c r="LG30" s="504">
        <v>0</v>
      </c>
      <c r="LH30" s="504">
        <v>0</v>
      </c>
      <c r="LI30" s="504">
        <v>0</v>
      </c>
      <c r="LJ30" s="504">
        <v>0</v>
      </c>
      <c r="LK30" s="504">
        <v>0</v>
      </c>
      <c r="LL30" s="504">
        <v>0</v>
      </c>
      <c r="LM30" s="504">
        <v>0</v>
      </c>
      <c r="LN30" s="504">
        <v>0</v>
      </c>
      <c r="LO30" s="504">
        <v>0</v>
      </c>
      <c r="LP30" s="504">
        <v>0</v>
      </c>
      <c r="LQ30" s="504">
        <v>0</v>
      </c>
      <c r="LR30" s="504">
        <v>0</v>
      </c>
      <c r="LS30" s="504">
        <v>0</v>
      </c>
      <c r="LT30" s="504">
        <v>0</v>
      </c>
      <c r="LU30" s="504">
        <v>0</v>
      </c>
      <c r="LV30" s="504">
        <v>0</v>
      </c>
      <c r="LW30" s="504">
        <v>0</v>
      </c>
      <c r="LX30" s="504">
        <v>0</v>
      </c>
      <c r="LY30" s="504">
        <v>0</v>
      </c>
      <c r="LZ30" s="504">
        <v>0</v>
      </c>
      <c r="MA30" s="504">
        <v>0</v>
      </c>
      <c r="MB30" s="504">
        <v>0</v>
      </c>
      <c r="MC30" s="504">
        <v>0</v>
      </c>
      <c r="MD30" s="504">
        <v>0</v>
      </c>
      <c r="ME30" s="504">
        <v>0</v>
      </c>
      <c r="MF30" s="504">
        <v>0</v>
      </c>
      <c r="MG30" s="504">
        <v>0</v>
      </c>
      <c r="MH30" s="504">
        <v>0</v>
      </c>
      <c r="MI30" s="504">
        <v>0</v>
      </c>
      <c r="MJ30" s="504">
        <v>0</v>
      </c>
      <c r="MK30" s="504">
        <v>0</v>
      </c>
      <c r="ML30" s="504">
        <v>0</v>
      </c>
      <c r="MM30" s="504">
        <v>0</v>
      </c>
      <c r="MN30" s="504">
        <v>0</v>
      </c>
      <c r="MO30" s="504">
        <v>0</v>
      </c>
      <c r="MP30" s="504">
        <v>0</v>
      </c>
      <c r="MQ30" s="504">
        <v>0</v>
      </c>
      <c r="MR30" s="504">
        <v>0</v>
      </c>
      <c r="MS30" s="504">
        <v>0</v>
      </c>
      <c r="MT30" s="504">
        <v>0</v>
      </c>
      <c r="MU30" s="504">
        <v>0</v>
      </c>
      <c r="MV30" s="504">
        <v>0</v>
      </c>
      <c r="MW30" s="504">
        <v>0</v>
      </c>
      <c r="MX30" s="504">
        <v>0</v>
      </c>
      <c r="MY30" s="504">
        <v>0</v>
      </c>
      <c r="MZ30" s="504">
        <v>0</v>
      </c>
      <c r="NA30" s="504">
        <v>0</v>
      </c>
      <c r="NB30" s="504">
        <v>0</v>
      </c>
      <c r="NC30" s="504">
        <v>0</v>
      </c>
      <c r="ND30" s="504">
        <v>0</v>
      </c>
      <c r="NE30" s="504">
        <v>0</v>
      </c>
      <c r="NF30" s="504">
        <v>0</v>
      </c>
      <c r="NG30" s="504">
        <v>0</v>
      </c>
      <c r="NH30" s="504">
        <v>0</v>
      </c>
      <c r="NI30" s="504">
        <v>0</v>
      </c>
      <c r="NJ30" s="504">
        <v>0</v>
      </c>
      <c r="NK30" s="504">
        <v>0</v>
      </c>
      <c r="NL30" s="504">
        <v>0</v>
      </c>
      <c r="NM30" s="504">
        <v>0</v>
      </c>
      <c r="NN30" s="504">
        <v>0</v>
      </c>
      <c r="NO30" s="504">
        <v>0</v>
      </c>
      <c r="NP30" s="504">
        <v>0</v>
      </c>
      <c r="NQ30" s="504">
        <v>0</v>
      </c>
      <c r="NR30" s="504">
        <v>0</v>
      </c>
      <c r="NS30" s="504">
        <v>0</v>
      </c>
      <c r="NT30" s="504">
        <v>0</v>
      </c>
      <c r="NU30" s="504">
        <v>0</v>
      </c>
      <c r="NV30" s="504">
        <v>0</v>
      </c>
      <c r="NW30" s="504">
        <v>0</v>
      </c>
      <c r="NX30" s="504">
        <v>0</v>
      </c>
      <c r="NY30" s="504">
        <v>0</v>
      </c>
      <c r="NZ30" s="504">
        <v>0</v>
      </c>
      <c r="OA30" s="504">
        <v>0</v>
      </c>
      <c r="OB30" s="504">
        <v>0</v>
      </c>
      <c r="OC30" s="504">
        <v>0</v>
      </c>
      <c r="OD30" s="504">
        <v>0</v>
      </c>
      <c r="OE30" s="504">
        <v>0</v>
      </c>
      <c r="OF30" s="504">
        <v>0</v>
      </c>
      <c r="OG30" s="504">
        <v>0</v>
      </c>
      <c r="OH30" s="504">
        <v>0</v>
      </c>
      <c r="OI30" s="504">
        <v>0</v>
      </c>
      <c r="OJ30" s="504">
        <v>0</v>
      </c>
      <c r="OK30" s="504">
        <v>0</v>
      </c>
      <c r="OL30" s="504">
        <v>0</v>
      </c>
      <c r="OM30" s="504">
        <v>0</v>
      </c>
      <c r="ON30" s="504">
        <v>0</v>
      </c>
      <c r="OO30" s="504">
        <v>0</v>
      </c>
      <c r="OP30" s="504">
        <v>0</v>
      </c>
      <c r="OQ30" s="504">
        <v>0</v>
      </c>
      <c r="OR30"/>
      <c r="OS30"/>
      <c r="OT30"/>
      <c r="OU30"/>
      <c r="OV30"/>
      <c r="OW30"/>
      <c r="OX30"/>
      <c r="OY30"/>
      <c r="OZ30"/>
      <c r="PA30"/>
      <c r="PB30"/>
      <c r="PC30"/>
      <c r="PD30"/>
      <c r="PE30"/>
      <c r="PF30"/>
      <c r="PG30"/>
      <c r="PH30"/>
      <c r="PI30"/>
      <c r="PJ30"/>
      <c r="PK30"/>
      <c r="PL30"/>
      <c r="PM30"/>
      <c r="PN30"/>
      <c r="PO30"/>
      <c r="PP30"/>
      <c r="PQ30"/>
      <c r="PR30"/>
      <c r="PS30"/>
      <c r="PT30" s="1656"/>
    </row>
    <row r="31" spans="1:436" ht="21.5">
      <c r="A31" s="1466" t="s">
        <v>1693</v>
      </c>
      <c r="B31" s="1576" t="s">
        <v>2358</v>
      </c>
      <c r="C31" s="1576" t="s">
        <v>13</v>
      </c>
      <c r="D31" s="1576">
        <v>54</v>
      </c>
      <c r="E31" s="504">
        <v>56</v>
      </c>
      <c r="F31" s="504">
        <v>219</v>
      </c>
      <c r="G31" s="504">
        <v>558</v>
      </c>
      <c r="H31" s="504">
        <v>870</v>
      </c>
      <c r="I31" s="504">
        <v>1246</v>
      </c>
      <c r="J31" s="504">
        <v>1525</v>
      </c>
      <c r="K31" s="504">
        <v>1545</v>
      </c>
      <c r="L31" s="504">
        <v>1565</v>
      </c>
      <c r="M31" s="504">
        <v>1586</v>
      </c>
      <c r="N31" s="504">
        <v>1607</v>
      </c>
      <c r="O31" s="504">
        <v>1628</v>
      </c>
      <c r="P31" s="504">
        <v>1650</v>
      </c>
      <c r="Q31" s="504">
        <v>1671</v>
      </c>
      <c r="R31" s="504">
        <v>1694</v>
      </c>
      <c r="S31" s="504">
        <v>1716</v>
      </c>
      <c r="T31" s="504">
        <v>1739</v>
      </c>
      <c r="U31" s="504">
        <v>1763</v>
      </c>
      <c r="V31" s="504">
        <v>1786</v>
      </c>
      <c r="W31" s="504">
        <v>1811</v>
      </c>
      <c r="X31" s="504">
        <v>1837</v>
      </c>
      <c r="Y31" s="504">
        <v>1863</v>
      </c>
      <c r="Z31" s="504">
        <v>1891</v>
      </c>
      <c r="AA31" s="504">
        <v>1921</v>
      </c>
      <c r="AB31" s="504">
        <v>1953</v>
      </c>
      <c r="AC31" s="504">
        <v>1989</v>
      </c>
      <c r="AD31" s="504">
        <v>2048</v>
      </c>
      <c r="AE31" s="504">
        <v>0</v>
      </c>
      <c r="AF31" s="504">
        <v>0</v>
      </c>
      <c r="AG31" s="504">
        <v>0</v>
      </c>
      <c r="AH31" s="504">
        <v>0</v>
      </c>
      <c r="AI31" s="504">
        <v>0</v>
      </c>
      <c r="AJ31" s="504">
        <v>0</v>
      </c>
      <c r="AK31" s="504">
        <v>0</v>
      </c>
      <c r="AL31" s="504">
        <v>0</v>
      </c>
      <c r="AM31" s="504">
        <v>0</v>
      </c>
      <c r="AN31" s="504">
        <v>0</v>
      </c>
      <c r="AO31" s="504">
        <v>0</v>
      </c>
      <c r="AP31" s="504">
        <v>0</v>
      </c>
      <c r="AQ31" s="504">
        <v>0</v>
      </c>
      <c r="AR31" s="504">
        <v>0</v>
      </c>
      <c r="AS31" s="504">
        <v>0</v>
      </c>
      <c r="AT31" s="504">
        <v>0</v>
      </c>
      <c r="AU31" s="504">
        <v>0</v>
      </c>
      <c r="AV31" s="504">
        <v>0</v>
      </c>
      <c r="AW31" s="504">
        <v>0</v>
      </c>
      <c r="AX31" s="504">
        <v>0</v>
      </c>
      <c r="AY31" s="504">
        <v>0</v>
      </c>
      <c r="AZ31" s="504">
        <v>0</v>
      </c>
      <c r="BA31" s="504">
        <v>0</v>
      </c>
      <c r="BB31" s="504">
        <v>0</v>
      </c>
      <c r="BC31" s="504">
        <v>0</v>
      </c>
      <c r="BD31" s="504">
        <v>0</v>
      </c>
      <c r="BE31" s="504">
        <v>0</v>
      </c>
      <c r="BF31" s="504">
        <v>0</v>
      </c>
      <c r="BG31" s="504">
        <v>0</v>
      </c>
      <c r="BH31" s="504">
        <v>0</v>
      </c>
      <c r="BI31" s="504">
        <v>0</v>
      </c>
      <c r="BJ31" s="504">
        <v>0</v>
      </c>
      <c r="BK31" s="504">
        <v>0</v>
      </c>
      <c r="BL31" s="504">
        <v>0</v>
      </c>
      <c r="BM31" s="504">
        <v>0</v>
      </c>
      <c r="BN31" s="504">
        <v>0</v>
      </c>
      <c r="BO31" s="504">
        <v>0</v>
      </c>
      <c r="BP31" s="504">
        <v>0</v>
      </c>
      <c r="BQ31" s="504">
        <v>0</v>
      </c>
      <c r="BR31" s="504">
        <v>0</v>
      </c>
      <c r="BS31" s="504">
        <v>0</v>
      </c>
      <c r="BT31" s="504">
        <v>0</v>
      </c>
      <c r="BU31" s="504">
        <v>0</v>
      </c>
      <c r="BV31" s="504">
        <v>0</v>
      </c>
      <c r="BW31" s="504">
        <v>0</v>
      </c>
      <c r="BX31" s="504">
        <v>0</v>
      </c>
      <c r="BY31" s="504">
        <v>0</v>
      </c>
      <c r="BZ31" s="504">
        <v>0</v>
      </c>
      <c r="CA31" s="504">
        <v>0</v>
      </c>
      <c r="CB31" s="504">
        <v>0</v>
      </c>
      <c r="CC31" s="504">
        <v>0</v>
      </c>
      <c r="CD31" s="504">
        <v>0</v>
      </c>
      <c r="CE31" s="504">
        <v>0</v>
      </c>
      <c r="CF31" s="504">
        <v>0</v>
      </c>
      <c r="CG31" s="504">
        <v>0</v>
      </c>
      <c r="CH31" s="504">
        <v>0</v>
      </c>
      <c r="CI31" s="504">
        <v>0</v>
      </c>
      <c r="CJ31" s="504">
        <v>0</v>
      </c>
      <c r="CK31" s="504">
        <v>0</v>
      </c>
      <c r="CL31" s="504">
        <v>0</v>
      </c>
      <c r="CM31" s="504">
        <v>0</v>
      </c>
      <c r="CN31" s="504">
        <v>0</v>
      </c>
      <c r="CO31" s="504">
        <v>0</v>
      </c>
      <c r="CP31" s="504">
        <v>0</v>
      </c>
      <c r="CQ31" s="504">
        <v>0</v>
      </c>
      <c r="CR31" s="504">
        <v>0</v>
      </c>
      <c r="CS31" s="504">
        <v>0</v>
      </c>
      <c r="CT31" s="504">
        <v>0</v>
      </c>
      <c r="CU31" s="504">
        <v>0</v>
      </c>
      <c r="CV31" s="504">
        <v>0</v>
      </c>
      <c r="CW31" s="504">
        <v>0</v>
      </c>
      <c r="CX31" s="504">
        <v>0</v>
      </c>
      <c r="CY31" s="504">
        <v>0</v>
      </c>
      <c r="CZ31" s="1654">
        <v>0</v>
      </c>
      <c r="DA31" s="504">
        <v>0</v>
      </c>
      <c r="DB31" s="504">
        <v>100</v>
      </c>
      <c r="DC31" s="504">
        <v>382</v>
      </c>
      <c r="DD31" s="504">
        <v>950</v>
      </c>
      <c r="DE31" s="504">
        <v>1269</v>
      </c>
      <c r="DF31" s="504">
        <v>1630</v>
      </c>
      <c r="DG31" s="504">
        <v>0</v>
      </c>
      <c r="DH31" s="504">
        <v>0</v>
      </c>
      <c r="DI31" s="504">
        <v>0</v>
      </c>
      <c r="DJ31" s="504">
        <v>0</v>
      </c>
      <c r="DK31" s="504">
        <v>0</v>
      </c>
      <c r="DL31" s="504">
        <v>0</v>
      </c>
      <c r="DM31" s="504">
        <v>0</v>
      </c>
      <c r="DN31" s="504">
        <v>0</v>
      </c>
      <c r="DO31" s="504">
        <v>0</v>
      </c>
      <c r="DP31" s="504">
        <v>0</v>
      </c>
      <c r="DQ31" s="504">
        <v>0</v>
      </c>
      <c r="DR31" s="504">
        <v>0</v>
      </c>
      <c r="DS31" s="504">
        <v>0</v>
      </c>
      <c r="DT31" s="504">
        <v>0</v>
      </c>
      <c r="DU31" s="504">
        <v>0</v>
      </c>
      <c r="DV31" s="504">
        <v>0</v>
      </c>
      <c r="DW31" s="504">
        <v>0</v>
      </c>
      <c r="DX31" s="504">
        <v>0</v>
      </c>
      <c r="DY31" s="504">
        <v>0</v>
      </c>
      <c r="DZ31" s="504">
        <v>0</v>
      </c>
      <c r="EA31" s="504">
        <v>0</v>
      </c>
      <c r="EB31" s="504">
        <v>0</v>
      </c>
      <c r="EC31" s="504">
        <v>0</v>
      </c>
      <c r="ED31" s="504">
        <v>0</v>
      </c>
      <c r="EE31" s="504">
        <v>0</v>
      </c>
      <c r="EF31" s="504">
        <v>0</v>
      </c>
      <c r="EG31" s="504">
        <v>0</v>
      </c>
      <c r="EH31" s="504">
        <v>0</v>
      </c>
      <c r="EI31" s="504">
        <v>0</v>
      </c>
      <c r="EJ31" s="504">
        <v>0</v>
      </c>
      <c r="EK31" s="504">
        <v>0</v>
      </c>
      <c r="EL31" s="504">
        <v>0</v>
      </c>
      <c r="EM31" s="504">
        <v>0</v>
      </c>
      <c r="EN31" s="504">
        <v>0</v>
      </c>
      <c r="EO31" s="504">
        <v>0</v>
      </c>
      <c r="EP31" s="504">
        <v>0</v>
      </c>
      <c r="EQ31" s="504">
        <v>0</v>
      </c>
      <c r="ER31" s="504">
        <v>0</v>
      </c>
      <c r="ES31" s="504">
        <v>0</v>
      </c>
      <c r="ET31" s="504">
        <v>0</v>
      </c>
      <c r="EU31" s="504">
        <v>0</v>
      </c>
      <c r="EV31" s="504">
        <v>0</v>
      </c>
      <c r="EW31" s="504">
        <v>0</v>
      </c>
      <c r="EX31" s="504">
        <v>0</v>
      </c>
      <c r="EY31" s="504">
        <v>0</v>
      </c>
      <c r="EZ31" s="504">
        <v>0</v>
      </c>
      <c r="FA31" s="504">
        <v>0</v>
      </c>
      <c r="FB31" s="504">
        <v>0</v>
      </c>
      <c r="FC31" s="504">
        <v>0</v>
      </c>
      <c r="FD31" s="504">
        <v>0</v>
      </c>
      <c r="FE31" s="504">
        <v>0</v>
      </c>
      <c r="FF31" s="504">
        <v>0</v>
      </c>
      <c r="FG31" s="504">
        <v>0</v>
      </c>
      <c r="FH31" s="504">
        <v>0</v>
      </c>
      <c r="FI31" s="504">
        <v>0</v>
      </c>
      <c r="FJ31" s="504">
        <v>0</v>
      </c>
      <c r="FK31" s="504">
        <v>0</v>
      </c>
      <c r="FL31" s="504">
        <v>0</v>
      </c>
      <c r="FM31" s="504">
        <v>0</v>
      </c>
      <c r="FN31" s="504">
        <v>0</v>
      </c>
      <c r="FO31" s="504">
        <v>0</v>
      </c>
      <c r="FP31" s="504">
        <v>0</v>
      </c>
      <c r="FQ31" s="504">
        <v>0</v>
      </c>
      <c r="FR31" s="504">
        <v>0</v>
      </c>
      <c r="FS31" s="504">
        <v>0</v>
      </c>
      <c r="FT31" s="504">
        <v>0</v>
      </c>
      <c r="FU31" s="504">
        <v>0</v>
      </c>
      <c r="FV31" s="504">
        <v>0</v>
      </c>
      <c r="FW31" s="504">
        <v>0</v>
      </c>
      <c r="FX31" s="504">
        <v>0</v>
      </c>
      <c r="FY31" s="504">
        <v>0</v>
      </c>
      <c r="FZ31" s="504">
        <v>0</v>
      </c>
      <c r="GA31" s="504">
        <v>0</v>
      </c>
      <c r="GB31" s="504">
        <v>0</v>
      </c>
      <c r="GC31" s="504">
        <v>0</v>
      </c>
      <c r="GD31" s="504">
        <v>0</v>
      </c>
      <c r="GE31" s="504">
        <v>0</v>
      </c>
      <c r="GF31" s="504">
        <v>0</v>
      </c>
      <c r="GG31" s="504">
        <v>0</v>
      </c>
      <c r="GH31" s="504">
        <v>0</v>
      </c>
      <c r="GI31" s="504">
        <v>0</v>
      </c>
      <c r="GJ31" s="504">
        <v>0</v>
      </c>
      <c r="GK31" s="504">
        <v>0</v>
      </c>
      <c r="GL31" s="504">
        <v>0</v>
      </c>
      <c r="GM31" s="504">
        <v>0</v>
      </c>
      <c r="GN31" s="504">
        <v>0</v>
      </c>
      <c r="GO31" s="504">
        <v>0</v>
      </c>
      <c r="GP31" s="504">
        <v>0</v>
      </c>
      <c r="GQ31" s="504">
        <v>0</v>
      </c>
      <c r="GR31" s="504">
        <v>0</v>
      </c>
      <c r="GS31" s="504">
        <v>0</v>
      </c>
      <c r="GT31" s="504">
        <v>0</v>
      </c>
      <c r="GU31" s="504">
        <v>0</v>
      </c>
      <c r="GV31" s="504">
        <v>0</v>
      </c>
      <c r="GW31" s="1654">
        <v>0</v>
      </c>
      <c r="GX31" s="504">
        <v>0</v>
      </c>
      <c r="GY31" s="504">
        <v>5097</v>
      </c>
      <c r="GZ31" s="504">
        <v>14281</v>
      </c>
      <c r="HA31" s="504">
        <v>23000</v>
      </c>
      <c r="HB31" s="504">
        <v>22000</v>
      </c>
      <c r="HC31" s="504">
        <v>21000</v>
      </c>
      <c r="HD31" s="504">
        <v>0</v>
      </c>
      <c r="HE31" s="504">
        <v>0</v>
      </c>
      <c r="HF31" s="504">
        <v>0</v>
      </c>
      <c r="HG31" s="504">
        <v>0</v>
      </c>
      <c r="HH31" s="504">
        <v>0</v>
      </c>
      <c r="HI31" s="504">
        <v>0</v>
      </c>
      <c r="HJ31" s="504">
        <v>0</v>
      </c>
      <c r="HK31" s="504">
        <v>0</v>
      </c>
      <c r="HL31" s="504">
        <v>0</v>
      </c>
      <c r="HM31" s="504">
        <v>0</v>
      </c>
      <c r="HN31" s="504">
        <v>0</v>
      </c>
      <c r="HO31" s="504">
        <v>0</v>
      </c>
      <c r="HP31" s="504">
        <v>0</v>
      </c>
      <c r="HQ31" s="504">
        <v>0</v>
      </c>
      <c r="HR31" s="504">
        <v>0</v>
      </c>
      <c r="HS31" s="504">
        <v>0</v>
      </c>
      <c r="HT31" s="504">
        <v>0</v>
      </c>
      <c r="HU31" s="504">
        <v>0</v>
      </c>
      <c r="HV31" s="504">
        <v>0</v>
      </c>
      <c r="HW31" s="504">
        <v>0</v>
      </c>
      <c r="HX31" s="504">
        <v>0</v>
      </c>
      <c r="HY31" s="504">
        <v>0</v>
      </c>
      <c r="HZ31" s="504">
        <v>0</v>
      </c>
      <c r="IA31" s="504">
        <v>0</v>
      </c>
      <c r="IB31" s="504">
        <v>0</v>
      </c>
      <c r="IC31" s="504">
        <v>0</v>
      </c>
      <c r="ID31" s="504">
        <v>0</v>
      </c>
      <c r="IE31" s="504">
        <v>0</v>
      </c>
      <c r="IF31" s="504">
        <v>0</v>
      </c>
      <c r="IG31" s="504">
        <v>0</v>
      </c>
      <c r="IH31" s="504">
        <v>0</v>
      </c>
      <c r="II31" s="504">
        <v>0</v>
      </c>
      <c r="IJ31" s="504">
        <v>0</v>
      </c>
      <c r="IK31" s="504">
        <v>0</v>
      </c>
      <c r="IL31" s="504">
        <v>0</v>
      </c>
      <c r="IM31" s="504">
        <v>0</v>
      </c>
      <c r="IN31" s="504">
        <v>0</v>
      </c>
      <c r="IO31" s="504">
        <v>0</v>
      </c>
      <c r="IP31" s="504">
        <v>0</v>
      </c>
      <c r="IQ31" s="504">
        <v>0</v>
      </c>
      <c r="IR31" s="504">
        <v>0</v>
      </c>
      <c r="IS31" s="504">
        <v>0</v>
      </c>
      <c r="IT31" s="504">
        <v>0</v>
      </c>
      <c r="IU31" s="504">
        <v>0</v>
      </c>
      <c r="IV31" s="504">
        <v>0</v>
      </c>
      <c r="IW31" s="504">
        <v>0</v>
      </c>
      <c r="IX31" s="504">
        <v>0</v>
      </c>
      <c r="IY31" s="504">
        <v>0</v>
      </c>
      <c r="IZ31" s="504">
        <v>0</v>
      </c>
      <c r="JA31" s="504">
        <v>0</v>
      </c>
      <c r="JB31" s="504">
        <v>0</v>
      </c>
      <c r="JC31" s="504">
        <v>0</v>
      </c>
      <c r="JD31" s="504">
        <v>0</v>
      </c>
      <c r="JE31" s="504">
        <v>0</v>
      </c>
      <c r="JF31" s="504">
        <v>0</v>
      </c>
      <c r="JG31" s="504">
        <v>0</v>
      </c>
      <c r="JH31" s="504">
        <v>0</v>
      </c>
      <c r="JI31" s="504">
        <v>0</v>
      </c>
      <c r="JJ31" s="504">
        <v>0</v>
      </c>
      <c r="JK31" s="504">
        <v>0</v>
      </c>
      <c r="JL31" s="504">
        <v>0</v>
      </c>
      <c r="JM31" s="504">
        <v>0</v>
      </c>
      <c r="JN31" s="504">
        <v>0</v>
      </c>
      <c r="JO31" s="504">
        <v>0</v>
      </c>
      <c r="JP31" s="504">
        <v>0</v>
      </c>
      <c r="JQ31" s="504">
        <v>0</v>
      </c>
      <c r="JR31" s="504">
        <v>0</v>
      </c>
      <c r="JS31" s="504">
        <v>0</v>
      </c>
      <c r="JT31" s="504">
        <v>0</v>
      </c>
      <c r="JU31" s="504">
        <v>0</v>
      </c>
      <c r="JV31" s="504">
        <v>0</v>
      </c>
      <c r="JW31" s="504">
        <v>0</v>
      </c>
      <c r="JX31" s="504">
        <v>0</v>
      </c>
      <c r="JY31" s="504">
        <v>0</v>
      </c>
      <c r="JZ31" s="504">
        <v>0</v>
      </c>
      <c r="KA31" s="504">
        <v>0</v>
      </c>
      <c r="KB31" s="504">
        <v>0</v>
      </c>
      <c r="KC31" s="504">
        <v>0</v>
      </c>
      <c r="KD31" s="504">
        <v>0</v>
      </c>
      <c r="KE31" s="504">
        <v>0</v>
      </c>
      <c r="KF31" s="504">
        <v>0</v>
      </c>
      <c r="KG31" s="504">
        <v>0</v>
      </c>
      <c r="KH31" s="504">
        <v>0</v>
      </c>
      <c r="KI31" s="504">
        <v>0</v>
      </c>
      <c r="KJ31" s="504">
        <v>0</v>
      </c>
      <c r="KK31" s="504">
        <v>0</v>
      </c>
      <c r="KL31" s="504">
        <v>0</v>
      </c>
      <c r="KM31" s="504">
        <v>0</v>
      </c>
      <c r="KN31" s="504">
        <v>0</v>
      </c>
      <c r="KO31" s="504">
        <v>0</v>
      </c>
      <c r="KP31" s="504">
        <v>0</v>
      </c>
      <c r="KQ31" s="504">
        <v>0</v>
      </c>
      <c r="KR31" s="504">
        <v>0</v>
      </c>
      <c r="KS31" s="504">
        <v>0</v>
      </c>
      <c r="KT31" s="1654">
        <v>0</v>
      </c>
      <c r="KU31" s="504">
        <v>0</v>
      </c>
      <c r="KV31" s="504">
        <v>0</v>
      </c>
      <c r="KW31" s="504">
        <v>0</v>
      </c>
      <c r="KX31" s="504">
        <v>722</v>
      </c>
      <c r="KY31" s="504">
        <v>1249</v>
      </c>
      <c r="KZ31" s="504">
        <v>1612</v>
      </c>
      <c r="LA31" s="504">
        <v>0</v>
      </c>
      <c r="LB31" s="504">
        <v>0</v>
      </c>
      <c r="LC31" s="504">
        <v>0</v>
      </c>
      <c r="LD31" s="504">
        <v>0</v>
      </c>
      <c r="LE31" s="504">
        <v>0</v>
      </c>
      <c r="LF31" s="504">
        <v>0</v>
      </c>
      <c r="LG31" s="504">
        <v>0</v>
      </c>
      <c r="LH31" s="504">
        <v>0</v>
      </c>
      <c r="LI31" s="504">
        <v>0</v>
      </c>
      <c r="LJ31" s="504">
        <v>0</v>
      </c>
      <c r="LK31" s="504">
        <v>0</v>
      </c>
      <c r="LL31" s="504">
        <v>0</v>
      </c>
      <c r="LM31" s="504">
        <v>0</v>
      </c>
      <c r="LN31" s="504">
        <v>0</v>
      </c>
      <c r="LO31" s="504">
        <v>0</v>
      </c>
      <c r="LP31" s="504">
        <v>0</v>
      </c>
      <c r="LQ31" s="504">
        <v>0</v>
      </c>
      <c r="LR31" s="504">
        <v>0</v>
      </c>
      <c r="LS31" s="504">
        <v>0</v>
      </c>
      <c r="LT31" s="504">
        <v>0</v>
      </c>
      <c r="LU31" s="504">
        <v>0</v>
      </c>
      <c r="LV31" s="504">
        <v>0</v>
      </c>
      <c r="LW31" s="504">
        <v>0</v>
      </c>
      <c r="LX31" s="504">
        <v>0</v>
      </c>
      <c r="LY31" s="504">
        <v>0</v>
      </c>
      <c r="LZ31" s="504">
        <v>0</v>
      </c>
      <c r="MA31" s="504">
        <v>0</v>
      </c>
      <c r="MB31" s="504">
        <v>0</v>
      </c>
      <c r="MC31" s="504">
        <v>0</v>
      </c>
      <c r="MD31" s="504">
        <v>0</v>
      </c>
      <c r="ME31" s="504">
        <v>0</v>
      </c>
      <c r="MF31" s="504">
        <v>0</v>
      </c>
      <c r="MG31" s="504">
        <v>0</v>
      </c>
      <c r="MH31" s="504">
        <v>0</v>
      </c>
      <c r="MI31" s="504">
        <v>0</v>
      </c>
      <c r="MJ31" s="504">
        <v>0</v>
      </c>
      <c r="MK31" s="504">
        <v>0</v>
      </c>
      <c r="ML31" s="504">
        <v>0</v>
      </c>
      <c r="MM31" s="504">
        <v>0</v>
      </c>
      <c r="MN31" s="504">
        <v>0</v>
      </c>
      <c r="MO31" s="504">
        <v>0</v>
      </c>
      <c r="MP31" s="504">
        <v>0</v>
      </c>
      <c r="MQ31" s="504">
        <v>0</v>
      </c>
      <c r="MR31" s="504">
        <v>0</v>
      </c>
      <c r="MS31" s="504">
        <v>0</v>
      </c>
      <c r="MT31" s="504">
        <v>0</v>
      </c>
      <c r="MU31" s="504">
        <v>0</v>
      </c>
      <c r="MV31" s="504">
        <v>0</v>
      </c>
      <c r="MW31" s="504">
        <v>0</v>
      </c>
      <c r="MX31" s="504">
        <v>0</v>
      </c>
      <c r="MY31" s="504">
        <v>0</v>
      </c>
      <c r="MZ31" s="504">
        <v>0</v>
      </c>
      <c r="NA31" s="504">
        <v>0</v>
      </c>
      <c r="NB31" s="504">
        <v>0</v>
      </c>
      <c r="NC31" s="504">
        <v>0</v>
      </c>
      <c r="ND31" s="504">
        <v>0</v>
      </c>
      <c r="NE31" s="504">
        <v>0</v>
      </c>
      <c r="NF31" s="504">
        <v>0</v>
      </c>
      <c r="NG31" s="504">
        <v>0</v>
      </c>
      <c r="NH31" s="504">
        <v>0</v>
      </c>
      <c r="NI31" s="504">
        <v>0</v>
      </c>
      <c r="NJ31" s="504">
        <v>0</v>
      </c>
      <c r="NK31" s="504">
        <v>0</v>
      </c>
      <c r="NL31" s="504">
        <v>0</v>
      </c>
      <c r="NM31" s="504">
        <v>0</v>
      </c>
      <c r="NN31" s="504">
        <v>0</v>
      </c>
      <c r="NO31" s="504">
        <v>0</v>
      </c>
      <c r="NP31" s="504">
        <v>0</v>
      </c>
      <c r="NQ31" s="504">
        <v>0</v>
      </c>
      <c r="NR31" s="504">
        <v>0</v>
      </c>
      <c r="NS31" s="504">
        <v>0</v>
      </c>
      <c r="NT31" s="504">
        <v>0</v>
      </c>
      <c r="NU31" s="504">
        <v>0</v>
      </c>
      <c r="NV31" s="504">
        <v>0</v>
      </c>
      <c r="NW31" s="504">
        <v>0</v>
      </c>
      <c r="NX31" s="504">
        <v>0</v>
      </c>
      <c r="NY31" s="504">
        <v>0</v>
      </c>
      <c r="NZ31" s="504">
        <v>0</v>
      </c>
      <c r="OA31" s="504">
        <v>0</v>
      </c>
      <c r="OB31" s="504">
        <v>0</v>
      </c>
      <c r="OC31" s="504">
        <v>0</v>
      </c>
      <c r="OD31" s="504">
        <v>0</v>
      </c>
      <c r="OE31" s="504">
        <v>0</v>
      </c>
      <c r="OF31" s="504">
        <v>0</v>
      </c>
      <c r="OG31" s="504">
        <v>0</v>
      </c>
      <c r="OH31" s="504">
        <v>0</v>
      </c>
      <c r="OI31" s="504">
        <v>0</v>
      </c>
      <c r="OJ31" s="504">
        <v>0</v>
      </c>
      <c r="OK31" s="504">
        <v>0</v>
      </c>
      <c r="OL31" s="504">
        <v>0</v>
      </c>
      <c r="OM31" s="504">
        <v>0</v>
      </c>
      <c r="ON31" s="504">
        <v>0</v>
      </c>
      <c r="OO31" s="504">
        <v>0</v>
      </c>
      <c r="OP31" s="504">
        <v>0</v>
      </c>
      <c r="OQ31" s="504">
        <v>0</v>
      </c>
      <c r="OR31"/>
      <c r="OS31"/>
      <c r="OT31"/>
      <c r="OU31"/>
      <c r="OV31"/>
      <c r="OW31"/>
      <c r="OX31"/>
      <c r="OY31"/>
      <c r="OZ31"/>
      <c r="PA31"/>
      <c r="PB31"/>
      <c r="PC31"/>
      <c r="PD31"/>
      <c r="PE31"/>
      <c r="PF31"/>
      <c r="PG31"/>
      <c r="PH31"/>
      <c r="PI31"/>
      <c r="PJ31"/>
      <c r="PK31"/>
      <c r="PL31"/>
      <c r="PM31"/>
      <c r="PN31"/>
      <c r="PO31"/>
      <c r="PP31"/>
      <c r="PQ31"/>
      <c r="PR31"/>
      <c r="PS31"/>
      <c r="PT31" s="1656"/>
    </row>
    <row r="32" spans="1:436" ht="21.5">
      <c r="A32" s="1466" t="s">
        <v>1694</v>
      </c>
      <c r="B32" s="1576" t="s">
        <v>2358</v>
      </c>
      <c r="C32" s="1576" t="s">
        <v>13</v>
      </c>
      <c r="D32" s="1576">
        <v>55</v>
      </c>
      <c r="E32" s="504">
        <v>59</v>
      </c>
      <c r="F32" s="504">
        <v>228</v>
      </c>
      <c r="G32" s="504">
        <v>579</v>
      </c>
      <c r="H32" s="504">
        <v>902</v>
      </c>
      <c r="I32" s="504">
        <v>1291</v>
      </c>
      <c r="J32" s="504">
        <v>1580</v>
      </c>
      <c r="K32" s="504">
        <v>1601</v>
      </c>
      <c r="L32" s="504">
        <v>1623</v>
      </c>
      <c r="M32" s="504">
        <v>1644</v>
      </c>
      <c r="N32" s="504">
        <v>1667</v>
      </c>
      <c r="O32" s="504">
        <v>1689</v>
      </c>
      <c r="P32" s="504">
        <v>1712</v>
      </c>
      <c r="Q32" s="504">
        <v>1735</v>
      </c>
      <c r="R32" s="504">
        <v>1758</v>
      </c>
      <c r="S32" s="504">
        <v>1782</v>
      </c>
      <c r="T32" s="504">
        <v>1806</v>
      </c>
      <c r="U32" s="504">
        <v>1831</v>
      </c>
      <c r="V32" s="504">
        <v>1857</v>
      </c>
      <c r="W32" s="504">
        <v>1883</v>
      </c>
      <c r="X32" s="504">
        <v>1911</v>
      </c>
      <c r="Y32" s="504">
        <v>1940</v>
      </c>
      <c r="Z32" s="504">
        <v>1971</v>
      </c>
      <c r="AA32" s="504">
        <v>2005</v>
      </c>
      <c r="AB32" s="504">
        <v>2042</v>
      </c>
      <c r="AC32" s="504">
        <v>2103</v>
      </c>
      <c r="AD32" s="504">
        <v>0</v>
      </c>
      <c r="AE32" s="504">
        <v>0</v>
      </c>
      <c r="AF32" s="504">
        <v>0</v>
      </c>
      <c r="AG32" s="504">
        <v>0</v>
      </c>
      <c r="AH32" s="504">
        <v>0</v>
      </c>
      <c r="AI32" s="504">
        <v>0</v>
      </c>
      <c r="AJ32" s="504">
        <v>0</v>
      </c>
      <c r="AK32" s="504">
        <v>0</v>
      </c>
      <c r="AL32" s="504">
        <v>0</v>
      </c>
      <c r="AM32" s="504">
        <v>0</v>
      </c>
      <c r="AN32" s="504">
        <v>0</v>
      </c>
      <c r="AO32" s="504">
        <v>0</v>
      </c>
      <c r="AP32" s="504">
        <v>0</v>
      </c>
      <c r="AQ32" s="504">
        <v>0</v>
      </c>
      <c r="AR32" s="504">
        <v>0</v>
      </c>
      <c r="AS32" s="504">
        <v>0</v>
      </c>
      <c r="AT32" s="504">
        <v>0</v>
      </c>
      <c r="AU32" s="504">
        <v>0</v>
      </c>
      <c r="AV32" s="504">
        <v>0</v>
      </c>
      <c r="AW32" s="504">
        <v>0</v>
      </c>
      <c r="AX32" s="504">
        <v>0</v>
      </c>
      <c r="AY32" s="504">
        <v>0</v>
      </c>
      <c r="AZ32" s="504">
        <v>0</v>
      </c>
      <c r="BA32" s="504">
        <v>0</v>
      </c>
      <c r="BB32" s="504">
        <v>0</v>
      </c>
      <c r="BC32" s="504">
        <v>0</v>
      </c>
      <c r="BD32" s="504">
        <v>0</v>
      </c>
      <c r="BE32" s="504">
        <v>0</v>
      </c>
      <c r="BF32" s="504">
        <v>0</v>
      </c>
      <c r="BG32" s="504">
        <v>0</v>
      </c>
      <c r="BH32" s="504">
        <v>0</v>
      </c>
      <c r="BI32" s="504">
        <v>0</v>
      </c>
      <c r="BJ32" s="504">
        <v>0</v>
      </c>
      <c r="BK32" s="504">
        <v>0</v>
      </c>
      <c r="BL32" s="504">
        <v>0</v>
      </c>
      <c r="BM32" s="504">
        <v>0</v>
      </c>
      <c r="BN32" s="504">
        <v>0</v>
      </c>
      <c r="BO32" s="504">
        <v>0</v>
      </c>
      <c r="BP32" s="504">
        <v>0</v>
      </c>
      <c r="BQ32" s="504">
        <v>0</v>
      </c>
      <c r="BR32" s="504">
        <v>0</v>
      </c>
      <c r="BS32" s="504">
        <v>0</v>
      </c>
      <c r="BT32" s="504">
        <v>0</v>
      </c>
      <c r="BU32" s="504">
        <v>0</v>
      </c>
      <c r="BV32" s="504">
        <v>0</v>
      </c>
      <c r="BW32" s="504">
        <v>0</v>
      </c>
      <c r="BX32" s="504">
        <v>0</v>
      </c>
      <c r="BY32" s="504">
        <v>0</v>
      </c>
      <c r="BZ32" s="504">
        <v>0</v>
      </c>
      <c r="CA32" s="504">
        <v>0</v>
      </c>
      <c r="CB32" s="504">
        <v>0</v>
      </c>
      <c r="CC32" s="504">
        <v>0</v>
      </c>
      <c r="CD32" s="504">
        <v>0</v>
      </c>
      <c r="CE32" s="504">
        <v>0</v>
      </c>
      <c r="CF32" s="504">
        <v>0</v>
      </c>
      <c r="CG32" s="504">
        <v>0</v>
      </c>
      <c r="CH32" s="504">
        <v>0</v>
      </c>
      <c r="CI32" s="504">
        <v>0</v>
      </c>
      <c r="CJ32" s="504">
        <v>0</v>
      </c>
      <c r="CK32" s="504">
        <v>0</v>
      </c>
      <c r="CL32" s="504">
        <v>0</v>
      </c>
      <c r="CM32" s="504">
        <v>0</v>
      </c>
      <c r="CN32" s="504">
        <v>0</v>
      </c>
      <c r="CO32" s="504">
        <v>0</v>
      </c>
      <c r="CP32" s="504">
        <v>0</v>
      </c>
      <c r="CQ32" s="504">
        <v>0</v>
      </c>
      <c r="CR32" s="504">
        <v>0</v>
      </c>
      <c r="CS32" s="504">
        <v>0</v>
      </c>
      <c r="CT32" s="504">
        <v>0</v>
      </c>
      <c r="CU32" s="504">
        <v>0</v>
      </c>
      <c r="CV32" s="504">
        <v>0</v>
      </c>
      <c r="CW32" s="504">
        <v>0</v>
      </c>
      <c r="CX32" s="504">
        <v>0</v>
      </c>
      <c r="CY32" s="504">
        <v>0</v>
      </c>
      <c r="CZ32" s="1654">
        <v>0</v>
      </c>
      <c r="DA32" s="504">
        <v>0</v>
      </c>
      <c r="DB32" s="504">
        <v>103</v>
      </c>
      <c r="DC32" s="504">
        <v>388</v>
      </c>
      <c r="DD32" s="504">
        <v>963</v>
      </c>
      <c r="DE32" s="504">
        <v>1286</v>
      </c>
      <c r="DF32" s="504">
        <v>1661</v>
      </c>
      <c r="DG32" s="504">
        <v>0</v>
      </c>
      <c r="DH32" s="504">
        <v>0</v>
      </c>
      <c r="DI32" s="504">
        <v>0</v>
      </c>
      <c r="DJ32" s="504">
        <v>0</v>
      </c>
      <c r="DK32" s="504">
        <v>0</v>
      </c>
      <c r="DL32" s="504">
        <v>0</v>
      </c>
      <c r="DM32" s="504">
        <v>0</v>
      </c>
      <c r="DN32" s="504">
        <v>0</v>
      </c>
      <c r="DO32" s="504">
        <v>0</v>
      </c>
      <c r="DP32" s="504">
        <v>0</v>
      </c>
      <c r="DQ32" s="504">
        <v>0</v>
      </c>
      <c r="DR32" s="504">
        <v>0</v>
      </c>
      <c r="DS32" s="504">
        <v>0</v>
      </c>
      <c r="DT32" s="504">
        <v>0</v>
      </c>
      <c r="DU32" s="504">
        <v>0</v>
      </c>
      <c r="DV32" s="504">
        <v>0</v>
      </c>
      <c r="DW32" s="504">
        <v>0</v>
      </c>
      <c r="DX32" s="504">
        <v>0</v>
      </c>
      <c r="DY32" s="504">
        <v>0</v>
      </c>
      <c r="DZ32" s="504">
        <v>0</v>
      </c>
      <c r="EA32" s="504">
        <v>0</v>
      </c>
      <c r="EB32" s="504">
        <v>0</v>
      </c>
      <c r="EC32" s="504">
        <v>0</v>
      </c>
      <c r="ED32" s="504">
        <v>0</v>
      </c>
      <c r="EE32" s="504">
        <v>0</v>
      </c>
      <c r="EF32" s="504">
        <v>0</v>
      </c>
      <c r="EG32" s="504">
        <v>0</v>
      </c>
      <c r="EH32" s="504">
        <v>0</v>
      </c>
      <c r="EI32" s="504">
        <v>0</v>
      </c>
      <c r="EJ32" s="504">
        <v>0</v>
      </c>
      <c r="EK32" s="504">
        <v>0</v>
      </c>
      <c r="EL32" s="504">
        <v>0</v>
      </c>
      <c r="EM32" s="504">
        <v>0</v>
      </c>
      <c r="EN32" s="504">
        <v>0</v>
      </c>
      <c r="EO32" s="504">
        <v>0</v>
      </c>
      <c r="EP32" s="504">
        <v>0</v>
      </c>
      <c r="EQ32" s="504">
        <v>0</v>
      </c>
      <c r="ER32" s="504">
        <v>0</v>
      </c>
      <c r="ES32" s="504">
        <v>0</v>
      </c>
      <c r="ET32" s="504">
        <v>0</v>
      </c>
      <c r="EU32" s="504">
        <v>0</v>
      </c>
      <c r="EV32" s="504">
        <v>0</v>
      </c>
      <c r="EW32" s="504">
        <v>0</v>
      </c>
      <c r="EX32" s="504">
        <v>0</v>
      </c>
      <c r="EY32" s="504">
        <v>0</v>
      </c>
      <c r="EZ32" s="504">
        <v>0</v>
      </c>
      <c r="FA32" s="504">
        <v>0</v>
      </c>
      <c r="FB32" s="504">
        <v>0</v>
      </c>
      <c r="FC32" s="504">
        <v>0</v>
      </c>
      <c r="FD32" s="504">
        <v>0</v>
      </c>
      <c r="FE32" s="504">
        <v>0</v>
      </c>
      <c r="FF32" s="504">
        <v>0</v>
      </c>
      <c r="FG32" s="504">
        <v>0</v>
      </c>
      <c r="FH32" s="504">
        <v>0</v>
      </c>
      <c r="FI32" s="504">
        <v>0</v>
      </c>
      <c r="FJ32" s="504">
        <v>0</v>
      </c>
      <c r="FK32" s="504">
        <v>0</v>
      </c>
      <c r="FL32" s="504">
        <v>0</v>
      </c>
      <c r="FM32" s="504">
        <v>0</v>
      </c>
      <c r="FN32" s="504">
        <v>0</v>
      </c>
      <c r="FO32" s="504">
        <v>0</v>
      </c>
      <c r="FP32" s="504">
        <v>0</v>
      </c>
      <c r="FQ32" s="504">
        <v>0</v>
      </c>
      <c r="FR32" s="504">
        <v>0</v>
      </c>
      <c r="FS32" s="504">
        <v>0</v>
      </c>
      <c r="FT32" s="504">
        <v>0</v>
      </c>
      <c r="FU32" s="504">
        <v>0</v>
      </c>
      <c r="FV32" s="504">
        <v>0</v>
      </c>
      <c r="FW32" s="504">
        <v>0</v>
      </c>
      <c r="FX32" s="504">
        <v>0</v>
      </c>
      <c r="FY32" s="504">
        <v>0</v>
      </c>
      <c r="FZ32" s="504">
        <v>0</v>
      </c>
      <c r="GA32" s="504">
        <v>0</v>
      </c>
      <c r="GB32" s="504">
        <v>0</v>
      </c>
      <c r="GC32" s="504">
        <v>0</v>
      </c>
      <c r="GD32" s="504">
        <v>0</v>
      </c>
      <c r="GE32" s="504">
        <v>0</v>
      </c>
      <c r="GF32" s="504">
        <v>0</v>
      </c>
      <c r="GG32" s="504">
        <v>0</v>
      </c>
      <c r="GH32" s="504">
        <v>0</v>
      </c>
      <c r="GI32" s="504">
        <v>0</v>
      </c>
      <c r="GJ32" s="504">
        <v>0</v>
      </c>
      <c r="GK32" s="504">
        <v>0</v>
      </c>
      <c r="GL32" s="504">
        <v>0</v>
      </c>
      <c r="GM32" s="504">
        <v>0</v>
      </c>
      <c r="GN32" s="504">
        <v>0</v>
      </c>
      <c r="GO32" s="504">
        <v>0</v>
      </c>
      <c r="GP32" s="504">
        <v>0</v>
      </c>
      <c r="GQ32" s="504">
        <v>0</v>
      </c>
      <c r="GR32" s="504">
        <v>0</v>
      </c>
      <c r="GS32" s="504">
        <v>0</v>
      </c>
      <c r="GT32" s="504">
        <v>0</v>
      </c>
      <c r="GU32" s="504">
        <v>0</v>
      </c>
      <c r="GV32" s="504">
        <v>0</v>
      </c>
      <c r="GW32" s="1654">
        <v>0</v>
      </c>
      <c r="GX32" s="504">
        <v>0</v>
      </c>
      <c r="GY32" s="504">
        <v>5045</v>
      </c>
      <c r="GZ32" s="504">
        <v>14100</v>
      </c>
      <c r="HA32" s="504">
        <v>22000</v>
      </c>
      <c r="HB32" s="504">
        <v>21000</v>
      </c>
      <c r="HC32" s="504">
        <v>20000</v>
      </c>
      <c r="HD32" s="504">
        <v>0</v>
      </c>
      <c r="HE32" s="504">
        <v>0</v>
      </c>
      <c r="HF32" s="504">
        <v>0</v>
      </c>
      <c r="HG32" s="504">
        <v>0</v>
      </c>
      <c r="HH32" s="504">
        <v>0</v>
      </c>
      <c r="HI32" s="504">
        <v>0</v>
      </c>
      <c r="HJ32" s="504">
        <v>0</v>
      </c>
      <c r="HK32" s="504">
        <v>0</v>
      </c>
      <c r="HL32" s="504">
        <v>0</v>
      </c>
      <c r="HM32" s="504">
        <v>0</v>
      </c>
      <c r="HN32" s="504">
        <v>0</v>
      </c>
      <c r="HO32" s="504">
        <v>0</v>
      </c>
      <c r="HP32" s="504">
        <v>0</v>
      </c>
      <c r="HQ32" s="504">
        <v>0</v>
      </c>
      <c r="HR32" s="504">
        <v>0</v>
      </c>
      <c r="HS32" s="504">
        <v>0</v>
      </c>
      <c r="HT32" s="504">
        <v>0</v>
      </c>
      <c r="HU32" s="504">
        <v>0</v>
      </c>
      <c r="HV32" s="504">
        <v>0</v>
      </c>
      <c r="HW32" s="504">
        <v>0</v>
      </c>
      <c r="HX32" s="504">
        <v>0</v>
      </c>
      <c r="HY32" s="504">
        <v>0</v>
      </c>
      <c r="HZ32" s="504">
        <v>0</v>
      </c>
      <c r="IA32" s="504">
        <v>0</v>
      </c>
      <c r="IB32" s="504">
        <v>0</v>
      </c>
      <c r="IC32" s="504">
        <v>0</v>
      </c>
      <c r="ID32" s="504">
        <v>0</v>
      </c>
      <c r="IE32" s="504">
        <v>0</v>
      </c>
      <c r="IF32" s="504">
        <v>0</v>
      </c>
      <c r="IG32" s="504">
        <v>0</v>
      </c>
      <c r="IH32" s="504">
        <v>0</v>
      </c>
      <c r="II32" s="504">
        <v>0</v>
      </c>
      <c r="IJ32" s="504">
        <v>0</v>
      </c>
      <c r="IK32" s="504">
        <v>0</v>
      </c>
      <c r="IL32" s="504">
        <v>0</v>
      </c>
      <c r="IM32" s="504">
        <v>0</v>
      </c>
      <c r="IN32" s="504">
        <v>0</v>
      </c>
      <c r="IO32" s="504">
        <v>0</v>
      </c>
      <c r="IP32" s="504">
        <v>0</v>
      </c>
      <c r="IQ32" s="504">
        <v>0</v>
      </c>
      <c r="IR32" s="504">
        <v>0</v>
      </c>
      <c r="IS32" s="504">
        <v>0</v>
      </c>
      <c r="IT32" s="504">
        <v>0</v>
      </c>
      <c r="IU32" s="504">
        <v>0</v>
      </c>
      <c r="IV32" s="504">
        <v>0</v>
      </c>
      <c r="IW32" s="504">
        <v>0</v>
      </c>
      <c r="IX32" s="504">
        <v>0</v>
      </c>
      <c r="IY32" s="504">
        <v>0</v>
      </c>
      <c r="IZ32" s="504">
        <v>0</v>
      </c>
      <c r="JA32" s="504">
        <v>0</v>
      </c>
      <c r="JB32" s="504">
        <v>0</v>
      </c>
      <c r="JC32" s="504">
        <v>0</v>
      </c>
      <c r="JD32" s="504">
        <v>0</v>
      </c>
      <c r="JE32" s="504">
        <v>0</v>
      </c>
      <c r="JF32" s="504">
        <v>0</v>
      </c>
      <c r="JG32" s="504">
        <v>0</v>
      </c>
      <c r="JH32" s="504">
        <v>0</v>
      </c>
      <c r="JI32" s="504">
        <v>0</v>
      </c>
      <c r="JJ32" s="504">
        <v>0</v>
      </c>
      <c r="JK32" s="504">
        <v>0</v>
      </c>
      <c r="JL32" s="504">
        <v>0</v>
      </c>
      <c r="JM32" s="504">
        <v>0</v>
      </c>
      <c r="JN32" s="504">
        <v>0</v>
      </c>
      <c r="JO32" s="504">
        <v>0</v>
      </c>
      <c r="JP32" s="504">
        <v>0</v>
      </c>
      <c r="JQ32" s="504">
        <v>0</v>
      </c>
      <c r="JR32" s="504">
        <v>0</v>
      </c>
      <c r="JS32" s="504">
        <v>0</v>
      </c>
      <c r="JT32" s="504">
        <v>0</v>
      </c>
      <c r="JU32" s="504">
        <v>0</v>
      </c>
      <c r="JV32" s="504">
        <v>0</v>
      </c>
      <c r="JW32" s="504">
        <v>0</v>
      </c>
      <c r="JX32" s="504">
        <v>0</v>
      </c>
      <c r="JY32" s="504">
        <v>0</v>
      </c>
      <c r="JZ32" s="504">
        <v>0</v>
      </c>
      <c r="KA32" s="504">
        <v>0</v>
      </c>
      <c r="KB32" s="504">
        <v>0</v>
      </c>
      <c r="KC32" s="504">
        <v>0</v>
      </c>
      <c r="KD32" s="504">
        <v>0</v>
      </c>
      <c r="KE32" s="504">
        <v>0</v>
      </c>
      <c r="KF32" s="504">
        <v>0</v>
      </c>
      <c r="KG32" s="504">
        <v>0</v>
      </c>
      <c r="KH32" s="504">
        <v>0</v>
      </c>
      <c r="KI32" s="504">
        <v>0</v>
      </c>
      <c r="KJ32" s="504">
        <v>0</v>
      </c>
      <c r="KK32" s="504">
        <v>0</v>
      </c>
      <c r="KL32" s="504">
        <v>0</v>
      </c>
      <c r="KM32" s="504">
        <v>0</v>
      </c>
      <c r="KN32" s="504">
        <v>0</v>
      </c>
      <c r="KO32" s="504">
        <v>0</v>
      </c>
      <c r="KP32" s="504">
        <v>0</v>
      </c>
      <c r="KQ32" s="504">
        <v>0</v>
      </c>
      <c r="KR32" s="504">
        <v>0</v>
      </c>
      <c r="KS32" s="504">
        <v>0</v>
      </c>
      <c r="KT32" s="1654">
        <v>0</v>
      </c>
      <c r="KU32" s="504">
        <v>0</v>
      </c>
      <c r="KV32" s="504">
        <v>0</v>
      </c>
      <c r="KW32" s="504">
        <v>0</v>
      </c>
      <c r="KX32" s="504">
        <v>773</v>
      </c>
      <c r="KY32" s="504">
        <v>1268</v>
      </c>
      <c r="KZ32" s="504">
        <v>1642</v>
      </c>
      <c r="LA32" s="504">
        <v>0</v>
      </c>
      <c r="LB32" s="504">
        <v>0</v>
      </c>
      <c r="LC32" s="504">
        <v>0</v>
      </c>
      <c r="LD32" s="504">
        <v>0</v>
      </c>
      <c r="LE32" s="504">
        <v>0</v>
      </c>
      <c r="LF32" s="504">
        <v>0</v>
      </c>
      <c r="LG32" s="504">
        <v>0</v>
      </c>
      <c r="LH32" s="504">
        <v>0</v>
      </c>
      <c r="LI32" s="504">
        <v>0</v>
      </c>
      <c r="LJ32" s="504">
        <v>0</v>
      </c>
      <c r="LK32" s="504">
        <v>0</v>
      </c>
      <c r="LL32" s="504">
        <v>0</v>
      </c>
      <c r="LM32" s="504">
        <v>0</v>
      </c>
      <c r="LN32" s="504">
        <v>0</v>
      </c>
      <c r="LO32" s="504">
        <v>0</v>
      </c>
      <c r="LP32" s="504">
        <v>0</v>
      </c>
      <c r="LQ32" s="504">
        <v>0</v>
      </c>
      <c r="LR32" s="504">
        <v>0</v>
      </c>
      <c r="LS32" s="504">
        <v>0</v>
      </c>
      <c r="LT32" s="504">
        <v>0</v>
      </c>
      <c r="LU32" s="504">
        <v>0</v>
      </c>
      <c r="LV32" s="504">
        <v>0</v>
      </c>
      <c r="LW32" s="504">
        <v>0</v>
      </c>
      <c r="LX32" s="504">
        <v>0</v>
      </c>
      <c r="LY32" s="504">
        <v>0</v>
      </c>
      <c r="LZ32" s="504">
        <v>0</v>
      </c>
      <c r="MA32" s="504">
        <v>0</v>
      </c>
      <c r="MB32" s="504">
        <v>0</v>
      </c>
      <c r="MC32" s="504">
        <v>0</v>
      </c>
      <c r="MD32" s="504">
        <v>0</v>
      </c>
      <c r="ME32" s="504">
        <v>0</v>
      </c>
      <c r="MF32" s="504">
        <v>0</v>
      </c>
      <c r="MG32" s="504">
        <v>0</v>
      </c>
      <c r="MH32" s="504">
        <v>0</v>
      </c>
      <c r="MI32" s="504">
        <v>0</v>
      </c>
      <c r="MJ32" s="504">
        <v>0</v>
      </c>
      <c r="MK32" s="504">
        <v>0</v>
      </c>
      <c r="ML32" s="504">
        <v>0</v>
      </c>
      <c r="MM32" s="504">
        <v>0</v>
      </c>
      <c r="MN32" s="504">
        <v>0</v>
      </c>
      <c r="MO32" s="504">
        <v>0</v>
      </c>
      <c r="MP32" s="504">
        <v>0</v>
      </c>
      <c r="MQ32" s="504">
        <v>0</v>
      </c>
      <c r="MR32" s="504">
        <v>0</v>
      </c>
      <c r="MS32" s="504">
        <v>0</v>
      </c>
      <c r="MT32" s="504">
        <v>0</v>
      </c>
      <c r="MU32" s="504">
        <v>0</v>
      </c>
      <c r="MV32" s="504">
        <v>0</v>
      </c>
      <c r="MW32" s="504">
        <v>0</v>
      </c>
      <c r="MX32" s="504">
        <v>0</v>
      </c>
      <c r="MY32" s="504">
        <v>0</v>
      </c>
      <c r="MZ32" s="504">
        <v>0</v>
      </c>
      <c r="NA32" s="504">
        <v>0</v>
      </c>
      <c r="NB32" s="504">
        <v>0</v>
      </c>
      <c r="NC32" s="504">
        <v>0</v>
      </c>
      <c r="ND32" s="504">
        <v>0</v>
      </c>
      <c r="NE32" s="504">
        <v>0</v>
      </c>
      <c r="NF32" s="504">
        <v>0</v>
      </c>
      <c r="NG32" s="504">
        <v>0</v>
      </c>
      <c r="NH32" s="504">
        <v>0</v>
      </c>
      <c r="NI32" s="504">
        <v>0</v>
      </c>
      <c r="NJ32" s="504">
        <v>0</v>
      </c>
      <c r="NK32" s="504">
        <v>0</v>
      </c>
      <c r="NL32" s="504">
        <v>0</v>
      </c>
      <c r="NM32" s="504">
        <v>0</v>
      </c>
      <c r="NN32" s="504">
        <v>0</v>
      </c>
      <c r="NO32" s="504">
        <v>0</v>
      </c>
      <c r="NP32" s="504">
        <v>0</v>
      </c>
      <c r="NQ32" s="504">
        <v>0</v>
      </c>
      <c r="NR32" s="504">
        <v>0</v>
      </c>
      <c r="NS32" s="504">
        <v>0</v>
      </c>
      <c r="NT32" s="504">
        <v>0</v>
      </c>
      <c r="NU32" s="504">
        <v>0</v>
      </c>
      <c r="NV32" s="504">
        <v>0</v>
      </c>
      <c r="NW32" s="504">
        <v>0</v>
      </c>
      <c r="NX32" s="504">
        <v>0</v>
      </c>
      <c r="NY32" s="504">
        <v>0</v>
      </c>
      <c r="NZ32" s="504">
        <v>0</v>
      </c>
      <c r="OA32" s="504">
        <v>0</v>
      </c>
      <c r="OB32" s="504">
        <v>0</v>
      </c>
      <c r="OC32" s="504">
        <v>0</v>
      </c>
      <c r="OD32" s="504">
        <v>0</v>
      </c>
      <c r="OE32" s="504">
        <v>0</v>
      </c>
      <c r="OF32" s="504">
        <v>0</v>
      </c>
      <c r="OG32" s="504">
        <v>0</v>
      </c>
      <c r="OH32" s="504">
        <v>0</v>
      </c>
      <c r="OI32" s="504">
        <v>0</v>
      </c>
      <c r="OJ32" s="504">
        <v>0</v>
      </c>
      <c r="OK32" s="504">
        <v>0</v>
      </c>
      <c r="OL32" s="504">
        <v>0</v>
      </c>
      <c r="OM32" s="504">
        <v>0</v>
      </c>
      <c r="ON32" s="504">
        <v>0</v>
      </c>
      <c r="OO32" s="504">
        <v>0</v>
      </c>
      <c r="OP32" s="504">
        <v>0</v>
      </c>
      <c r="OQ32" s="504">
        <v>0</v>
      </c>
      <c r="OR32"/>
      <c r="OS32"/>
      <c r="OT32"/>
      <c r="OU32"/>
      <c r="OV32"/>
      <c r="OW32"/>
      <c r="OX32"/>
      <c r="OY32"/>
      <c r="OZ32"/>
      <c r="PA32"/>
      <c r="PB32"/>
      <c r="PC32"/>
      <c r="PD32"/>
      <c r="PE32"/>
      <c r="PF32"/>
      <c r="PG32"/>
      <c r="PH32"/>
      <c r="PI32"/>
      <c r="PJ32"/>
      <c r="PK32"/>
      <c r="PL32"/>
      <c r="PM32"/>
      <c r="PN32"/>
      <c r="PO32"/>
      <c r="PP32"/>
      <c r="PQ32"/>
      <c r="PR32"/>
      <c r="PS32"/>
      <c r="PT32" s="1656"/>
    </row>
    <row r="33" spans="1:436" ht="21.5">
      <c r="A33" s="1466" t="s">
        <v>1695</v>
      </c>
      <c r="B33" s="1576" t="s">
        <v>2358</v>
      </c>
      <c r="C33" s="1576" t="s">
        <v>13</v>
      </c>
      <c r="D33" s="1576">
        <v>56</v>
      </c>
      <c r="E33" s="504">
        <v>63</v>
      </c>
      <c r="F33" s="504">
        <v>242</v>
      </c>
      <c r="G33" s="504">
        <v>614</v>
      </c>
      <c r="H33" s="504">
        <v>956</v>
      </c>
      <c r="I33" s="504">
        <v>1368</v>
      </c>
      <c r="J33" s="504">
        <v>1673</v>
      </c>
      <c r="K33" s="504">
        <v>1696</v>
      </c>
      <c r="L33" s="504">
        <v>1720</v>
      </c>
      <c r="M33" s="504">
        <v>1744</v>
      </c>
      <c r="N33" s="504">
        <v>1768</v>
      </c>
      <c r="O33" s="504">
        <v>1792</v>
      </c>
      <c r="P33" s="504">
        <v>1817</v>
      </c>
      <c r="Q33" s="504">
        <v>1842</v>
      </c>
      <c r="R33" s="504">
        <v>1868</v>
      </c>
      <c r="S33" s="504">
        <v>1894</v>
      </c>
      <c r="T33" s="504">
        <v>1921</v>
      </c>
      <c r="U33" s="504">
        <v>1949</v>
      </c>
      <c r="V33" s="504">
        <v>1977</v>
      </c>
      <c r="W33" s="504">
        <v>2007</v>
      </c>
      <c r="X33" s="504">
        <v>2038</v>
      </c>
      <c r="Y33" s="504">
        <v>2072</v>
      </c>
      <c r="Z33" s="504">
        <v>2108</v>
      </c>
      <c r="AA33" s="504">
        <v>2147</v>
      </c>
      <c r="AB33" s="504">
        <v>2212</v>
      </c>
      <c r="AC33" s="504">
        <v>0</v>
      </c>
      <c r="AD33" s="504">
        <v>0</v>
      </c>
      <c r="AE33" s="504">
        <v>0</v>
      </c>
      <c r="AF33" s="504">
        <v>0</v>
      </c>
      <c r="AG33" s="504">
        <v>0</v>
      </c>
      <c r="AH33" s="504">
        <v>0</v>
      </c>
      <c r="AI33" s="504">
        <v>0</v>
      </c>
      <c r="AJ33" s="504">
        <v>0</v>
      </c>
      <c r="AK33" s="504">
        <v>0</v>
      </c>
      <c r="AL33" s="504">
        <v>0</v>
      </c>
      <c r="AM33" s="504">
        <v>0</v>
      </c>
      <c r="AN33" s="504">
        <v>0</v>
      </c>
      <c r="AO33" s="504">
        <v>0</v>
      </c>
      <c r="AP33" s="504">
        <v>0</v>
      </c>
      <c r="AQ33" s="504">
        <v>0</v>
      </c>
      <c r="AR33" s="504">
        <v>0</v>
      </c>
      <c r="AS33" s="504">
        <v>0</v>
      </c>
      <c r="AT33" s="504">
        <v>0</v>
      </c>
      <c r="AU33" s="504">
        <v>0</v>
      </c>
      <c r="AV33" s="504">
        <v>0</v>
      </c>
      <c r="AW33" s="504">
        <v>0</v>
      </c>
      <c r="AX33" s="504">
        <v>0</v>
      </c>
      <c r="AY33" s="504">
        <v>0</v>
      </c>
      <c r="AZ33" s="504">
        <v>0</v>
      </c>
      <c r="BA33" s="504">
        <v>0</v>
      </c>
      <c r="BB33" s="504">
        <v>0</v>
      </c>
      <c r="BC33" s="504">
        <v>0</v>
      </c>
      <c r="BD33" s="504">
        <v>0</v>
      </c>
      <c r="BE33" s="504">
        <v>0</v>
      </c>
      <c r="BF33" s="504">
        <v>0</v>
      </c>
      <c r="BG33" s="504">
        <v>0</v>
      </c>
      <c r="BH33" s="504">
        <v>0</v>
      </c>
      <c r="BI33" s="504">
        <v>0</v>
      </c>
      <c r="BJ33" s="504">
        <v>0</v>
      </c>
      <c r="BK33" s="504">
        <v>0</v>
      </c>
      <c r="BL33" s="504">
        <v>0</v>
      </c>
      <c r="BM33" s="504">
        <v>0</v>
      </c>
      <c r="BN33" s="504">
        <v>0</v>
      </c>
      <c r="BO33" s="504">
        <v>0</v>
      </c>
      <c r="BP33" s="504">
        <v>0</v>
      </c>
      <c r="BQ33" s="504">
        <v>0</v>
      </c>
      <c r="BR33" s="504">
        <v>0</v>
      </c>
      <c r="BS33" s="504">
        <v>0</v>
      </c>
      <c r="BT33" s="504">
        <v>0</v>
      </c>
      <c r="BU33" s="504">
        <v>0</v>
      </c>
      <c r="BV33" s="504">
        <v>0</v>
      </c>
      <c r="BW33" s="504">
        <v>0</v>
      </c>
      <c r="BX33" s="504">
        <v>0</v>
      </c>
      <c r="BY33" s="504">
        <v>0</v>
      </c>
      <c r="BZ33" s="504">
        <v>0</v>
      </c>
      <c r="CA33" s="504">
        <v>0</v>
      </c>
      <c r="CB33" s="504">
        <v>0</v>
      </c>
      <c r="CC33" s="504">
        <v>0</v>
      </c>
      <c r="CD33" s="504">
        <v>0</v>
      </c>
      <c r="CE33" s="504">
        <v>0</v>
      </c>
      <c r="CF33" s="504">
        <v>0</v>
      </c>
      <c r="CG33" s="504">
        <v>0</v>
      </c>
      <c r="CH33" s="504">
        <v>0</v>
      </c>
      <c r="CI33" s="504">
        <v>0</v>
      </c>
      <c r="CJ33" s="504">
        <v>0</v>
      </c>
      <c r="CK33" s="504">
        <v>0</v>
      </c>
      <c r="CL33" s="504">
        <v>0</v>
      </c>
      <c r="CM33" s="504">
        <v>0</v>
      </c>
      <c r="CN33" s="504">
        <v>0</v>
      </c>
      <c r="CO33" s="504">
        <v>0</v>
      </c>
      <c r="CP33" s="504">
        <v>0</v>
      </c>
      <c r="CQ33" s="504">
        <v>0</v>
      </c>
      <c r="CR33" s="504">
        <v>0</v>
      </c>
      <c r="CS33" s="504">
        <v>0</v>
      </c>
      <c r="CT33" s="504">
        <v>0</v>
      </c>
      <c r="CU33" s="504">
        <v>0</v>
      </c>
      <c r="CV33" s="504">
        <v>0</v>
      </c>
      <c r="CW33" s="504">
        <v>0</v>
      </c>
      <c r="CX33" s="504">
        <v>0</v>
      </c>
      <c r="CY33" s="504">
        <v>0</v>
      </c>
      <c r="CZ33" s="1654">
        <v>0</v>
      </c>
      <c r="DA33" s="504">
        <v>0</v>
      </c>
      <c r="DB33" s="504">
        <v>107</v>
      </c>
      <c r="DC33" s="504">
        <v>402</v>
      </c>
      <c r="DD33" s="504">
        <v>997</v>
      </c>
      <c r="DE33" s="504">
        <v>1326</v>
      </c>
      <c r="DF33" s="504">
        <v>1723</v>
      </c>
      <c r="DG33" s="504">
        <v>0</v>
      </c>
      <c r="DH33" s="504">
        <v>0</v>
      </c>
      <c r="DI33" s="504">
        <v>0</v>
      </c>
      <c r="DJ33" s="504">
        <v>0</v>
      </c>
      <c r="DK33" s="504">
        <v>0</v>
      </c>
      <c r="DL33" s="504">
        <v>0</v>
      </c>
      <c r="DM33" s="504">
        <v>0</v>
      </c>
      <c r="DN33" s="504">
        <v>0</v>
      </c>
      <c r="DO33" s="504">
        <v>0</v>
      </c>
      <c r="DP33" s="504">
        <v>0</v>
      </c>
      <c r="DQ33" s="504">
        <v>0</v>
      </c>
      <c r="DR33" s="504">
        <v>0</v>
      </c>
      <c r="DS33" s="504">
        <v>0</v>
      </c>
      <c r="DT33" s="504">
        <v>0</v>
      </c>
      <c r="DU33" s="504">
        <v>0</v>
      </c>
      <c r="DV33" s="504">
        <v>0</v>
      </c>
      <c r="DW33" s="504">
        <v>0</v>
      </c>
      <c r="DX33" s="504">
        <v>0</v>
      </c>
      <c r="DY33" s="504">
        <v>0</v>
      </c>
      <c r="DZ33" s="504">
        <v>0</v>
      </c>
      <c r="EA33" s="504">
        <v>0</v>
      </c>
      <c r="EB33" s="504">
        <v>0</v>
      </c>
      <c r="EC33" s="504">
        <v>0</v>
      </c>
      <c r="ED33" s="504">
        <v>0</v>
      </c>
      <c r="EE33" s="504">
        <v>0</v>
      </c>
      <c r="EF33" s="504">
        <v>0</v>
      </c>
      <c r="EG33" s="504">
        <v>0</v>
      </c>
      <c r="EH33" s="504">
        <v>0</v>
      </c>
      <c r="EI33" s="504">
        <v>0</v>
      </c>
      <c r="EJ33" s="504">
        <v>0</v>
      </c>
      <c r="EK33" s="504">
        <v>0</v>
      </c>
      <c r="EL33" s="504">
        <v>0</v>
      </c>
      <c r="EM33" s="504">
        <v>0</v>
      </c>
      <c r="EN33" s="504">
        <v>0</v>
      </c>
      <c r="EO33" s="504">
        <v>0</v>
      </c>
      <c r="EP33" s="504">
        <v>0</v>
      </c>
      <c r="EQ33" s="504">
        <v>0</v>
      </c>
      <c r="ER33" s="504">
        <v>0</v>
      </c>
      <c r="ES33" s="504">
        <v>0</v>
      </c>
      <c r="ET33" s="504">
        <v>0</v>
      </c>
      <c r="EU33" s="504">
        <v>0</v>
      </c>
      <c r="EV33" s="504">
        <v>0</v>
      </c>
      <c r="EW33" s="504">
        <v>0</v>
      </c>
      <c r="EX33" s="504">
        <v>0</v>
      </c>
      <c r="EY33" s="504">
        <v>0</v>
      </c>
      <c r="EZ33" s="504">
        <v>0</v>
      </c>
      <c r="FA33" s="504">
        <v>0</v>
      </c>
      <c r="FB33" s="504">
        <v>0</v>
      </c>
      <c r="FC33" s="504">
        <v>0</v>
      </c>
      <c r="FD33" s="504">
        <v>0</v>
      </c>
      <c r="FE33" s="504">
        <v>0</v>
      </c>
      <c r="FF33" s="504">
        <v>0</v>
      </c>
      <c r="FG33" s="504">
        <v>0</v>
      </c>
      <c r="FH33" s="504">
        <v>0</v>
      </c>
      <c r="FI33" s="504">
        <v>0</v>
      </c>
      <c r="FJ33" s="504">
        <v>0</v>
      </c>
      <c r="FK33" s="504">
        <v>0</v>
      </c>
      <c r="FL33" s="504">
        <v>0</v>
      </c>
      <c r="FM33" s="504">
        <v>0</v>
      </c>
      <c r="FN33" s="504">
        <v>0</v>
      </c>
      <c r="FO33" s="504">
        <v>0</v>
      </c>
      <c r="FP33" s="504">
        <v>0</v>
      </c>
      <c r="FQ33" s="504">
        <v>0</v>
      </c>
      <c r="FR33" s="504">
        <v>0</v>
      </c>
      <c r="FS33" s="504">
        <v>0</v>
      </c>
      <c r="FT33" s="504">
        <v>0</v>
      </c>
      <c r="FU33" s="504">
        <v>0</v>
      </c>
      <c r="FV33" s="504">
        <v>0</v>
      </c>
      <c r="FW33" s="504">
        <v>0</v>
      </c>
      <c r="FX33" s="504">
        <v>0</v>
      </c>
      <c r="FY33" s="504">
        <v>0</v>
      </c>
      <c r="FZ33" s="504">
        <v>0</v>
      </c>
      <c r="GA33" s="504">
        <v>0</v>
      </c>
      <c r="GB33" s="504">
        <v>0</v>
      </c>
      <c r="GC33" s="504">
        <v>0</v>
      </c>
      <c r="GD33" s="504">
        <v>0</v>
      </c>
      <c r="GE33" s="504">
        <v>0</v>
      </c>
      <c r="GF33" s="504">
        <v>0</v>
      </c>
      <c r="GG33" s="504">
        <v>0</v>
      </c>
      <c r="GH33" s="504">
        <v>0</v>
      </c>
      <c r="GI33" s="504">
        <v>0</v>
      </c>
      <c r="GJ33" s="504">
        <v>0</v>
      </c>
      <c r="GK33" s="504">
        <v>0</v>
      </c>
      <c r="GL33" s="504">
        <v>0</v>
      </c>
      <c r="GM33" s="504">
        <v>0</v>
      </c>
      <c r="GN33" s="504">
        <v>0</v>
      </c>
      <c r="GO33" s="504">
        <v>0</v>
      </c>
      <c r="GP33" s="504">
        <v>0</v>
      </c>
      <c r="GQ33" s="504">
        <v>0</v>
      </c>
      <c r="GR33" s="504">
        <v>0</v>
      </c>
      <c r="GS33" s="504">
        <v>0</v>
      </c>
      <c r="GT33" s="504">
        <v>0</v>
      </c>
      <c r="GU33" s="504">
        <v>0</v>
      </c>
      <c r="GV33" s="504">
        <v>0</v>
      </c>
      <c r="GW33" s="1654">
        <v>0</v>
      </c>
      <c r="GX33" s="504">
        <v>0</v>
      </c>
      <c r="GY33" s="504">
        <v>5012</v>
      </c>
      <c r="GZ33" s="504">
        <v>13358</v>
      </c>
      <c r="HA33" s="504">
        <v>21000</v>
      </c>
      <c r="HB33" s="504">
        <v>20000</v>
      </c>
      <c r="HC33" s="504">
        <v>19000</v>
      </c>
      <c r="HD33" s="504">
        <v>0</v>
      </c>
      <c r="HE33" s="504">
        <v>0</v>
      </c>
      <c r="HF33" s="504">
        <v>0</v>
      </c>
      <c r="HG33" s="504">
        <v>0</v>
      </c>
      <c r="HH33" s="504">
        <v>0</v>
      </c>
      <c r="HI33" s="504">
        <v>0</v>
      </c>
      <c r="HJ33" s="504">
        <v>0</v>
      </c>
      <c r="HK33" s="504">
        <v>0</v>
      </c>
      <c r="HL33" s="504">
        <v>0</v>
      </c>
      <c r="HM33" s="504">
        <v>0</v>
      </c>
      <c r="HN33" s="504">
        <v>0</v>
      </c>
      <c r="HO33" s="504">
        <v>0</v>
      </c>
      <c r="HP33" s="504">
        <v>0</v>
      </c>
      <c r="HQ33" s="504">
        <v>0</v>
      </c>
      <c r="HR33" s="504">
        <v>0</v>
      </c>
      <c r="HS33" s="504">
        <v>0</v>
      </c>
      <c r="HT33" s="504">
        <v>0</v>
      </c>
      <c r="HU33" s="504">
        <v>0</v>
      </c>
      <c r="HV33" s="504">
        <v>0</v>
      </c>
      <c r="HW33" s="504">
        <v>0</v>
      </c>
      <c r="HX33" s="504">
        <v>0</v>
      </c>
      <c r="HY33" s="504">
        <v>0</v>
      </c>
      <c r="HZ33" s="504">
        <v>0</v>
      </c>
      <c r="IA33" s="504">
        <v>0</v>
      </c>
      <c r="IB33" s="504">
        <v>0</v>
      </c>
      <c r="IC33" s="504">
        <v>0</v>
      </c>
      <c r="ID33" s="504">
        <v>0</v>
      </c>
      <c r="IE33" s="504">
        <v>0</v>
      </c>
      <c r="IF33" s="504">
        <v>0</v>
      </c>
      <c r="IG33" s="504">
        <v>0</v>
      </c>
      <c r="IH33" s="504">
        <v>0</v>
      </c>
      <c r="II33" s="504">
        <v>0</v>
      </c>
      <c r="IJ33" s="504">
        <v>0</v>
      </c>
      <c r="IK33" s="504">
        <v>0</v>
      </c>
      <c r="IL33" s="504">
        <v>0</v>
      </c>
      <c r="IM33" s="504">
        <v>0</v>
      </c>
      <c r="IN33" s="504">
        <v>0</v>
      </c>
      <c r="IO33" s="504">
        <v>0</v>
      </c>
      <c r="IP33" s="504">
        <v>0</v>
      </c>
      <c r="IQ33" s="504">
        <v>0</v>
      </c>
      <c r="IR33" s="504">
        <v>0</v>
      </c>
      <c r="IS33" s="504">
        <v>0</v>
      </c>
      <c r="IT33" s="504">
        <v>0</v>
      </c>
      <c r="IU33" s="504">
        <v>0</v>
      </c>
      <c r="IV33" s="504">
        <v>0</v>
      </c>
      <c r="IW33" s="504">
        <v>0</v>
      </c>
      <c r="IX33" s="504">
        <v>0</v>
      </c>
      <c r="IY33" s="504">
        <v>0</v>
      </c>
      <c r="IZ33" s="504">
        <v>0</v>
      </c>
      <c r="JA33" s="504">
        <v>0</v>
      </c>
      <c r="JB33" s="504">
        <v>0</v>
      </c>
      <c r="JC33" s="504">
        <v>0</v>
      </c>
      <c r="JD33" s="504">
        <v>0</v>
      </c>
      <c r="JE33" s="504">
        <v>0</v>
      </c>
      <c r="JF33" s="504">
        <v>0</v>
      </c>
      <c r="JG33" s="504">
        <v>0</v>
      </c>
      <c r="JH33" s="504">
        <v>0</v>
      </c>
      <c r="JI33" s="504">
        <v>0</v>
      </c>
      <c r="JJ33" s="504">
        <v>0</v>
      </c>
      <c r="JK33" s="504">
        <v>0</v>
      </c>
      <c r="JL33" s="504">
        <v>0</v>
      </c>
      <c r="JM33" s="504">
        <v>0</v>
      </c>
      <c r="JN33" s="504">
        <v>0</v>
      </c>
      <c r="JO33" s="504">
        <v>0</v>
      </c>
      <c r="JP33" s="504">
        <v>0</v>
      </c>
      <c r="JQ33" s="504">
        <v>0</v>
      </c>
      <c r="JR33" s="504">
        <v>0</v>
      </c>
      <c r="JS33" s="504">
        <v>0</v>
      </c>
      <c r="JT33" s="504">
        <v>0</v>
      </c>
      <c r="JU33" s="504">
        <v>0</v>
      </c>
      <c r="JV33" s="504">
        <v>0</v>
      </c>
      <c r="JW33" s="504">
        <v>0</v>
      </c>
      <c r="JX33" s="504">
        <v>0</v>
      </c>
      <c r="JY33" s="504">
        <v>0</v>
      </c>
      <c r="JZ33" s="504">
        <v>0</v>
      </c>
      <c r="KA33" s="504">
        <v>0</v>
      </c>
      <c r="KB33" s="504">
        <v>0</v>
      </c>
      <c r="KC33" s="504">
        <v>0</v>
      </c>
      <c r="KD33" s="504">
        <v>0</v>
      </c>
      <c r="KE33" s="504">
        <v>0</v>
      </c>
      <c r="KF33" s="504">
        <v>0</v>
      </c>
      <c r="KG33" s="504">
        <v>0</v>
      </c>
      <c r="KH33" s="504">
        <v>0</v>
      </c>
      <c r="KI33" s="504">
        <v>0</v>
      </c>
      <c r="KJ33" s="504">
        <v>0</v>
      </c>
      <c r="KK33" s="504">
        <v>0</v>
      </c>
      <c r="KL33" s="504">
        <v>0</v>
      </c>
      <c r="KM33" s="504">
        <v>0</v>
      </c>
      <c r="KN33" s="504">
        <v>0</v>
      </c>
      <c r="KO33" s="504">
        <v>0</v>
      </c>
      <c r="KP33" s="504">
        <v>0</v>
      </c>
      <c r="KQ33" s="504">
        <v>0</v>
      </c>
      <c r="KR33" s="504">
        <v>0</v>
      </c>
      <c r="KS33" s="504">
        <v>0</v>
      </c>
      <c r="KT33" s="1654">
        <v>0</v>
      </c>
      <c r="KU33" s="504">
        <v>0</v>
      </c>
      <c r="KV33" s="504">
        <v>0</v>
      </c>
      <c r="KW33" s="504">
        <v>0</v>
      </c>
      <c r="KX33" s="504">
        <v>893</v>
      </c>
      <c r="KY33" s="504">
        <v>1307</v>
      </c>
      <c r="KZ33" s="504">
        <v>1705</v>
      </c>
      <c r="LA33" s="504">
        <v>0</v>
      </c>
      <c r="LB33" s="504">
        <v>0</v>
      </c>
      <c r="LC33" s="504">
        <v>0</v>
      </c>
      <c r="LD33" s="504">
        <v>0</v>
      </c>
      <c r="LE33" s="504">
        <v>0</v>
      </c>
      <c r="LF33" s="504">
        <v>0</v>
      </c>
      <c r="LG33" s="504">
        <v>0</v>
      </c>
      <c r="LH33" s="504">
        <v>0</v>
      </c>
      <c r="LI33" s="504">
        <v>0</v>
      </c>
      <c r="LJ33" s="504">
        <v>0</v>
      </c>
      <c r="LK33" s="504">
        <v>0</v>
      </c>
      <c r="LL33" s="504">
        <v>0</v>
      </c>
      <c r="LM33" s="504">
        <v>0</v>
      </c>
      <c r="LN33" s="504">
        <v>0</v>
      </c>
      <c r="LO33" s="504">
        <v>0</v>
      </c>
      <c r="LP33" s="504">
        <v>0</v>
      </c>
      <c r="LQ33" s="504">
        <v>0</v>
      </c>
      <c r="LR33" s="504">
        <v>0</v>
      </c>
      <c r="LS33" s="504">
        <v>0</v>
      </c>
      <c r="LT33" s="504">
        <v>0</v>
      </c>
      <c r="LU33" s="504">
        <v>0</v>
      </c>
      <c r="LV33" s="504">
        <v>0</v>
      </c>
      <c r="LW33" s="504">
        <v>0</v>
      </c>
      <c r="LX33" s="504">
        <v>0</v>
      </c>
      <c r="LY33" s="504">
        <v>0</v>
      </c>
      <c r="LZ33" s="504">
        <v>0</v>
      </c>
      <c r="MA33" s="504">
        <v>0</v>
      </c>
      <c r="MB33" s="504">
        <v>0</v>
      </c>
      <c r="MC33" s="504">
        <v>0</v>
      </c>
      <c r="MD33" s="504">
        <v>0</v>
      </c>
      <c r="ME33" s="504">
        <v>0</v>
      </c>
      <c r="MF33" s="504">
        <v>0</v>
      </c>
      <c r="MG33" s="504">
        <v>0</v>
      </c>
      <c r="MH33" s="504">
        <v>0</v>
      </c>
      <c r="MI33" s="504">
        <v>0</v>
      </c>
      <c r="MJ33" s="504">
        <v>0</v>
      </c>
      <c r="MK33" s="504">
        <v>0</v>
      </c>
      <c r="ML33" s="504">
        <v>0</v>
      </c>
      <c r="MM33" s="504">
        <v>0</v>
      </c>
      <c r="MN33" s="504">
        <v>0</v>
      </c>
      <c r="MO33" s="504">
        <v>0</v>
      </c>
      <c r="MP33" s="504">
        <v>0</v>
      </c>
      <c r="MQ33" s="504">
        <v>0</v>
      </c>
      <c r="MR33" s="504">
        <v>0</v>
      </c>
      <c r="MS33" s="504">
        <v>0</v>
      </c>
      <c r="MT33" s="504">
        <v>0</v>
      </c>
      <c r="MU33" s="504">
        <v>0</v>
      </c>
      <c r="MV33" s="504">
        <v>0</v>
      </c>
      <c r="MW33" s="504">
        <v>0</v>
      </c>
      <c r="MX33" s="504">
        <v>0</v>
      </c>
      <c r="MY33" s="504">
        <v>0</v>
      </c>
      <c r="MZ33" s="504">
        <v>0</v>
      </c>
      <c r="NA33" s="504">
        <v>0</v>
      </c>
      <c r="NB33" s="504">
        <v>0</v>
      </c>
      <c r="NC33" s="504">
        <v>0</v>
      </c>
      <c r="ND33" s="504">
        <v>0</v>
      </c>
      <c r="NE33" s="504">
        <v>0</v>
      </c>
      <c r="NF33" s="504">
        <v>0</v>
      </c>
      <c r="NG33" s="504">
        <v>0</v>
      </c>
      <c r="NH33" s="504">
        <v>0</v>
      </c>
      <c r="NI33" s="504">
        <v>0</v>
      </c>
      <c r="NJ33" s="504">
        <v>0</v>
      </c>
      <c r="NK33" s="504">
        <v>0</v>
      </c>
      <c r="NL33" s="504">
        <v>0</v>
      </c>
      <c r="NM33" s="504">
        <v>0</v>
      </c>
      <c r="NN33" s="504">
        <v>0</v>
      </c>
      <c r="NO33" s="504">
        <v>0</v>
      </c>
      <c r="NP33" s="504">
        <v>0</v>
      </c>
      <c r="NQ33" s="504">
        <v>0</v>
      </c>
      <c r="NR33" s="504">
        <v>0</v>
      </c>
      <c r="NS33" s="504">
        <v>0</v>
      </c>
      <c r="NT33" s="504">
        <v>0</v>
      </c>
      <c r="NU33" s="504">
        <v>0</v>
      </c>
      <c r="NV33" s="504">
        <v>0</v>
      </c>
      <c r="NW33" s="504">
        <v>0</v>
      </c>
      <c r="NX33" s="504">
        <v>0</v>
      </c>
      <c r="NY33" s="504">
        <v>0</v>
      </c>
      <c r="NZ33" s="504">
        <v>0</v>
      </c>
      <c r="OA33" s="504">
        <v>0</v>
      </c>
      <c r="OB33" s="504">
        <v>0</v>
      </c>
      <c r="OC33" s="504">
        <v>0</v>
      </c>
      <c r="OD33" s="504">
        <v>0</v>
      </c>
      <c r="OE33" s="504">
        <v>0</v>
      </c>
      <c r="OF33" s="504">
        <v>0</v>
      </c>
      <c r="OG33" s="504">
        <v>0</v>
      </c>
      <c r="OH33" s="504">
        <v>0</v>
      </c>
      <c r="OI33" s="504">
        <v>0</v>
      </c>
      <c r="OJ33" s="504">
        <v>0</v>
      </c>
      <c r="OK33" s="504">
        <v>0</v>
      </c>
      <c r="OL33" s="504">
        <v>0</v>
      </c>
      <c r="OM33" s="504">
        <v>0</v>
      </c>
      <c r="ON33" s="504">
        <v>0</v>
      </c>
      <c r="OO33" s="504">
        <v>0</v>
      </c>
      <c r="OP33" s="504">
        <v>0</v>
      </c>
      <c r="OQ33" s="504">
        <v>0</v>
      </c>
      <c r="OR33"/>
      <c r="OS33"/>
      <c r="OT33"/>
      <c r="OU33"/>
      <c r="OV33"/>
      <c r="OW33"/>
      <c r="OX33"/>
      <c r="OY33"/>
      <c r="OZ33"/>
      <c r="PA33"/>
      <c r="PB33"/>
      <c r="PC33"/>
      <c r="PD33"/>
      <c r="PE33"/>
      <c r="PF33"/>
      <c r="PG33"/>
      <c r="PH33"/>
      <c r="PI33"/>
      <c r="PJ33"/>
      <c r="PK33"/>
      <c r="PL33"/>
      <c r="PM33"/>
      <c r="PN33"/>
      <c r="PO33"/>
      <c r="PP33"/>
      <c r="PQ33"/>
      <c r="PR33"/>
      <c r="PS33"/>
      <c r="PT33" s="1656"/>
    </row>
    <row r="34" spans="1:436" ht="21.5">
      <c r="A34" s="1466" t="s">
        <v>1696</v>
      </c>
      <c r="B34" s="1576" t="s">
        <v>2358</v>
      </c>
      <c r="C34" s="1576" t="s">
        <v>13</v>
      </c>
      <c r="D34" s="1576">
        <v>57</v>
      </c>
      <c r="E34" s="504">
        <v>68</v>
      </c>
      <c r="F34" s="504">
        <v>260</v>
      </c>
      <c r="G34" s="504">
        <v>660</v>
      </c>
      <c r="H34" s="504">
        <v>1026</v>
      </c>
      <c r="I34" s="504">
        <v>1468</v>
      </c>
      <c r="J34" s="504">
        <v>1794</v>
      </c>
      <c r="K34" s="504">
        <v>1820</v>
      </c>
      <c r="L34" s="504">
        <v>1846</v>
      </c>
      <c r="M34" s="504">
        <v>1873</v>
      </c>
      <c r="N34" s="504">
        <v>1900</v>
      </c>
      <c r="O34" s="504">
        <v>1927</v>
      </c>
      <c r="P34" s="504">
        <v>1954</v>
      </c>
      <c r="Q34" s="504">
        <v>1983</v>
      </c>
      <c r="R34" s="504">
        <v>2011</v>
      </c>
      <c r="S34" s="504">
        <v>2041</v>
      </c>
      <c r="T34" s="504">
        <v>2071</v>
      </c>
      <c r="U34" s="504">
        <v>2102</v>
      </c>
      <c r="V34" s="504">
        <v>2135</v>
      </c>
      <c r="W34" s="504">
        <v>2169</v>
      </c>
      <c r="X34" s="504">
        <v>2206</v>
      </c>
      <c r="Y34" s="504">
        <v>2245</v>
      </c>
      <c r="Z34" s="504">
        <v>2289</v>
      </c>
      <c r="AA34" s="504">
        <v>2357</v>
      </c>
      <c r="AB34" s="504">
        <v>0</v>
      </c>
      <c r="AC34" s="504">
        <v>0</v>
      </c>
      <c r="AD34" s="504">
        <v>0</v>
      </c>
      <c r="AE34" s="504">
        <v>0</v>
      </c>
      <c r="AF34" s="504">
        <v>0</v>
      </c>
      <c r="AG34" s="504">
        <v>0</v>
      </c>
      <c r="AH34" s="504">
        <v>0</v>
      </c>
      <c r="AI34" s="504">
        <v>0</v>
      </c>
      <c r="AJ34" s="504">
        <v>0</v>
      </c>
      <c r="AK34" s="504">
        <v>0</v>
      </c>
      <c r="AL34" s="504">
        <v>0</v>
      </c>
      <c r="AM34" s="504">
        <v>0</v>
      </c>
      <c r="AN34" s="504">
        <v>0</v>
      </c>
      <c r="AO34" s="504">
        <v>0</v>
      </c>
      <c r="AP34" s="504">
        <v>0</v>
      </c>
      <c r="AQ34" s="504">
        <v>0</v>
      </c>
      <c r="AR34" s="504">
        <v>0</v>
      </c>
      <c r="AS34" s="504">
        <v>0</v>
      </c>
      <c r="AT34" s="504">
        <v>0</v>
      </c>
      <c r="AU34" s="504">
        <v>0</v>
      </c>
      <c r="AV34" s="504">
        <v>0</v>
      </c>
      <c r="AW34" s="504">
        <v>0</v>
      </c>
      <c r="AX34" s="504">
        <v>0</v>
      </c>
      <c r="AY34" s="504">
        <v>0</v>
      </c>
      <c r="AZ34" s="504">
        <v>0</v>
      </c>
      <c r="BA34" s="504">
        <v>0</v>
      </c>
      <c r="BB34" s="504">
        <v>0</v>
      </c>
      <c r="BC34" s="504">
        <v>0</v>
      </c>
      <c r="BD34" s="504">
        <v>0</v>
      </c>
      <c r="BE34" s="504">
        <v>0</v>
      </c>
      <c r="BF34" s="504">
        <v>0</v>
      </c>
      <c r="BG34" s="504">
        <v>0</v>
      </c>
      <c r="BH34" s="504">
        <v>0</v>
      </c>
      <c r="BI34" s="504">
        <v>0</v>
      </c>
      <c r="BJ34" s="504">
        <v>0</v>
      </c>
      <c r="BK34" s="504">
        <v>0</v>
      </c>
      <c r="BL34" s="504">
        <v>0</v>
      </c>
      <c r="BM34" s="504">
        <v>0</v>
      </c>
      <c r="BN34" s="504">
        <v>0</v>
      </c>
      <c r="BO34" s="504">
        <v>0</v>
      </c>
      <c r="BP34" s="504">
        <v>0</v>
      </c>
      <c r="BQ34" s="504">
        <v>0</v>
      </c>
      <c r="BR34" s="504">
        <v>0</v>
      </c>
      <c r="BS34" s="504">
        <v>0</v>
      </c>
      <c r="BT34" s="504">
        <v>0</v>
      </c>
      <c r="BU34" s="504">
        <v>0</v>
      </c>
      <c r="BV34" s="504">
        <v>0</v>
      </c>
      <c r="BW34" s="504">
        <v>0</v>
      </c>
      <c r="BX34" s="504">
        <v>0</v>
      </c>
      <c r="BY34" s="504">
        <v>0</v>
      </c>
      <c r="BZ34" s="504">
        <v>0</v>
      </c>
      <c r="CA34" s="504">
        <v>0</v>
      </c>
      <c r="CB34" s="504">
        <v>0</v>
      </c>
      <c r="CC34" s="504">
        <v>0</v>
      </c>
      <c r="CD34" s="504">
        <v>0</v>
      </c>
      <c r="CE34" s="504">
        <v>0</v>
      </c>
      <c r="CF34" s="504">
        <v>0</v>
      </c>
      <c r="CG34" s="504">
        <v>0</v>
      </c>
      <c r="CH34" s="504">
        <v>0</v>
      </c>
      <c r="CI34" s="504">
        <v>0</v>
      </c>
      <c r="CJ34" s="504">
        <v>0</v>
      </c>
      <c r="CK34" s="504">
        <v>0</v>
      </c>
      <c r="CL34" s="504">
        <v>0</v>
      </c>
      <c r="CM34" s="504">
        <v>0</v>
      </c>
      <c r="CN34" s="504">
        <v>0</v>
      </c>
      <c r="CO34" s="504">
        <v>0</v>
      </c>
      <c r="CP34" s="504">
        <v>0</v>
      </c>
      <c r="CQ34" s="504">
        <v>0</v>
      </c>
      <c r="CR34" s="504">
        <v>0</v>
      </c>
      <c r="CS34" s="504">
        <v>0</v>
      </c>
      <c r="CT34" s="504">
        <v>0</v>
      </c>
      <c r="CU34" s="504">
        <v>0</v>
      </c>
      <c r="CV34" s="504">
        <v>0</v>
      </c>
      <c r="CW34" s="504">
        <v>0</v>
      </c>
      <c r="CX34" s="504">
        <v>0</v>
      </c>
      <c r="CY34" s="504">
        <v>0</v>
      </c>
      <c r="CZ34" s="1654">
        <v>0</v>
      </c>
      <c r="DA34" s="504">
        <v>0</v>
      </c>
      <c r="DB34" s="504">
        <v>113</v>
      </c>
      <c r="DC34" s="504">
        <v>422</v>
      </c>
      <c r="DD34" s="504">
        <v>1030</v>
      </c>
      <c r="DE34" s="504">
        <v>1381</v>
      </c>
      <c r="DF34" s="504">
        <v>1808</v>
      </c>
      <c r="DG34" s="504">
        <v>0</v>
      </c>
      <c r="DH34" s="504">
        <v>0</v>
      </c>
      <c r="DI34" s="504">
        <v>0</v>
      </c>
      <c r="DJ34" s="504">
        <v>0</v>
      </c>
      <c r="DK34" s="504">
        <v>0</v>
      </c>
      <c r="DL34" s="504">
        <v>0</v>
      </c>
      <c r="DM34" s="504">
        <v>0</v>
      </c>
      <c r="DN34" s="504">
        <v>0</v>
      </c>
      <c r="DO34" s="504">
        <v>0</v>
      </c>
      <c r="DP34" s="504">
        <v>0</v>
      </c>
      <c r="DQ34" s="504">
        <v>0</v>
      </c>
      <c r="DR34" s="504">
        <v>0</v>
      </c>
      <c r="DS34" s="504">
        <v>0</v>
      </c>
      <c r="DT34" s="504">
        <v>0</v>
      </c>
      <c r="DU34" s="504">
        <v>0</v>
      </c>
      <c r="DV34" s="504">
        <v>0</v>
      </c>
      <c r="DW34" s="504">
        <v>0</v>
      </c>
      <c r="DX34" s="504">
        <v>0</v>
      </c>
      <c r="DY34" s="504">
        <v>0</v>
      </c>
      <c r="DZ34" s="504">
        <v>0</v>
      </c>
      <c r="EA34" s="504">
        <v>0</v>
      </c>
      <c r="EB34" s="504">
        <v>0</v>
      </c>
      <c r="EC34" s="504">
        <v>0</v>
      </c>
      <c r="ED34" s="504">
        <v>0</v>
      </c>
      <c r="EE34" s="504">
        <v>0</v>
      </c>
      <c r="EF34" s="504">
        <v>0</v>
      </c>
      <c r="EG34" s="504">
        <v>0</v>
      </c>
      <c r="EH34" s="504">
        <v>0</v>
      </c>
      <c r="EI34" s="504">
        <v>0</v>
      </c>
      <c r="EJ34" s="504">
        <v>0</v>
      </c>
      <c r="EK34" s="504">
        <v>0</v>
      </c>
      <c r="EL34" s="504">
        <v>0</v>
      </c>
      <c r="EM34" s="504">
        <v>0</v>
      </c>
      <c r="EN34" s="504">
        <v>0</v>
      </c>
      <c r="EO34" s="504">
        <v>0</v>
      </c>
      <c r="EP34" s="504">
        <v>0</v>
      </c>
      <c r="EQ34" s="504">
        <v>0</v>
      </c>
      <c r="ER34" s="504">
        <v>0</v>
      </c>
      <c r="ES34" s="504">
        <v>0</v>
      </c>
      <c r="ET34" s="504">
        <v>0</v>
      </c>
      <c r="EU34" s="504">
        <v>0</v>
      </c>
      <c r="EV34" s="504">
        <v>0</v>
      </c>
      <c r="EW34" s="504">
        <v>0</v>
      </c>
      <c r="EX34" s="504">
        <v>0</v>
      </c>
      <c r="EY34" s="504">
        <v>0</v>
      </c>
      <c r="EZ34" s="504">
        <v>0</v>
      </c>
      <c r="FA34" s="504">
        <v>0</v>
      </c>
      <c r="FB34" s="504">
        <v>0</v>
      </c>
      <c r="FC34" s="504">
        <v>0</v>
      </c>
      <c r="FD34" s="504">
        <v>0</v>
      </c>
      <c r="FE34" s="504">
        <v>0</v>
      </c>
      <c r="FF34" s="504">
        <v>0</v>
      </c>
      <c r="FG34" s="504">
        <v>0</v>
      </c>
      <c r="FH34" s="504">
        <v>0</v>
      </c>
      <c r="FI34" s="504">
        <v>0</v>
      </c>
      <c r="FJ34" s="504">
        <v>0</v>
      </c>
      <c r="FK34" s="504">
        <v>0</v>
      </c>
      <c r="FL34" s="504">
        <v>0</v>
      </c>
      <c r="FM34" s="504">
        <v>0</v>
      </c>
      <c r="FN34" s="504">
        <v>0</v>
      </c>
      <c r="FO34" s="504">
        <v>0</v>
      </c>
      <c r="FP34" s="504">
        <v>0</v>
      </c>
      <c r="FQ34" s="504">
        <v>0</v>
      </c>
      <c r="FR34" s="504">
        <v>0</v>
      </c>
      <c r="FS34" s="504">
        <v>0</v>
      </c>
      <c r="FT34" s="504">
        <v>0</v>
      </c>
      <c r="FU34" s="504">
        <v>0</v>
      </c>
      <c r="FV34" s="504">
        <v>0</v>
      </c>
      <c r="FW34" s="504">
        <v>0</v>
      </c>
      <c r="FX34" s="504">
        <v>0</v>
      </c>
      <c r="FY34" s="504">
        <v>0</v>
      </c>
      <c r="FZ34" s="504">
        <v>0</v>
      </c>
      <c r="GA34" s="504">
        <v>0</v>
      </c>
      <c r="GB34" s="504">
        <v>0</v>
      </c>
      <c r="GC34" s="504">
        <v>0</v>
      </c>
      <c r="GD34" s="504">
        <v>0</v>
      </c>
      <c r="GE34" s="504">
        <v>0</v>
      </c>
      <c r="GF34" s="504">
        <v>0</v>
      </c>
      <c r="GG34" s="504">
        <v>0</v>
      </c>
      <c r="GH34" s="504">
        <v>0</v>
      </c>
      <c r="GI34" s="504">
        <v>0</v>
      </c>
      <c r="GJ34" s="504">
        <v>0</v>
      </c>
      <c r="GK34" s="504">
        <v>0</v>
      </c>
      <c r="GL34" s="504">
        <v>0</v>
      </c>
      <c r="GM34" s="504">
        <v>0</v>
      </c>
      <c r="GN34" s="504">
        <v>0</v>
      </c>
      <c r="GO34" s="504">
        <v>0</v>
      </c>
      <c r="GP34" s="504">
        <v>0</v>
      </c>
      <c r="GQ34" s="504">
        <v>0</v>
      </c>
      <c r="GR34" s="504">
        <v>0</v>
      </c>
      <c r="GS34" s="504">
        <v>0</v>
      </c>
      <c r="GT34" s="504">
        <v>0</v>
      </c>
      <c r="GU34" s="504">
        <v>0</v>
      </c>
      <c r="GV34" s="504">
        <v>0</v>
      </c>
      <c r="GW34" s="1654">
        <v>0</v>
      </c>
      <c r="GX34" s="504">
        <v>0</v>
      </c>
      <c r="GY34" s="504">
        <v>4357</v>
      </c>
      <c r="GZ34" s="504">
        <v>13294</v>
      </c>
      <c r="HA34" s="504">
        <v>20000</v>
      </c>
      <c r="HB34" s="504">
        <v>19000</v>
      </c>
      <c r="HC34" s="504">
        <v>18000</v>
      </c>
      <c r="HD34" s="504">
        <v>0</v>
      </c>
      <c r="HE34" s="504">
        <v>0</v>
      </c>
      <c r="HF34" s="504">
        <v>0</v>
      </c>
      <c r="HG34" s="504">
        <v>0</v>
      </c>
      <c r="HH34" s="504">
        <v>0</v>
      </c>
      <c r="HI34" s="504">
        <v>0</v>
      </c>
      <c r="HJ34" s="504">
        <v>0</v>
      </c>
      <c r="HK34" s="504">
        <v>0</v>
      </c>
      <c r="HL34" s="504">
        <v>0</v>
      </c>
      <c r="HM34" s="504">
        <v>0</v>
      </c>
      <c r="HN34" s="504">
        <v>0</v>
      </c>
      <c r="HO34" s="504">
        <v>0</v>
      </c>
      <c r="HP34" s="504">
        <v>0</v>
      </c>
      <c r="HQ34" s="504">
        <v>0</v>
      </c>
      <c r="HR34" s="504">
        <v>0</v>
      </c>
      <c r="HS34" s="504">
        <v>0</v>
      </c>
      <c r="HT34" s="504">
        <v>0</v>
      </c>
      <c r="HU34" s="504">
        <v>0</v>
      </c>
      <c r="HV34" s="504">
        <v>0</v>
      </c>
      <c r="HW34" s="504">
        <v>0</v>
      </c>
      <c r="HX34" s="504">
        <v>0</v>
      </c>
      <c r="HY34" s="504">
        <v>0</v>
      </c>
      <c r="HZ34" s="504">
        <v>0</v>
      </c>
      <c r="IA34" s="504">
        <v>0</v>
      </c>
      <c r="IB34" s="504">
        <v>0</v>
      </c>
      <c r="IC34" s="504">
        <v>0</v>
      </c>
      <c r="ID34" s="504">
        <v>0</v>
      </c>
      <c r="IE34" s="504">
        <v>0</v>
      </c>
      <c r="IF34" s="504">
        <v>0</v>
      </c>
      <c r="IG34" s="504">
        <v>0</v>
      </c>
      <c r="IH34" s="504">
        <v>0</v>
      </c>
      <c r="II34" s="504">
        <v>0</v>
      </c>
      <c r="IJ34" s="504">
        <v>0</v>
      </c>
      <c r="IK34" s="504">
        <v>0</v>
      </c>
      <c r="IL34" s="504">
        <v>0</v>
      </c>
      <c r="IM34" s="504">
        <v>0</v>
      </c>
      <c r="IN34" s="504">
        <v>0</v>
      </c>
      <c r="IO34" s="504">
        <v>0</v>
      </c>
      <c r="IP34" s="504">
        <v>0</v>
      </c>
      <c r="IQ34" s="504">
        <v>0</v>
      </c>
      <c r="IR34" s="504">
        <v>0</v>
      </c>
      <c r="IS34" s="504">
        <v>0</v>
      </c>
      <c r="IT34" s="504">
        <v>0</v>
      </c>
      <c r="IU34" s="504">
        <v>0</v>
      </c>
      <c r="IV34" s="504">
        <v>0</v>
      </c>
      <c r="IW34" s="504">
        <v>0</v>
      </c>
      <c r="IX34" s="504">
        <v>0</v>
      </c>
      <c r="IY34" s="504">
        <v>0</v>
      </c>
      <c r="IZ34" s="504">
        <v>0</v>
      </c>
      <c r="JA34" s="504">
        <v>0</v>
      </c>
      <c r="JB34" s="504">
        <v>0</v>
      </c>
      <c r="JC34" s="504">
        <v>0</v>
      </c>
      <c r="JD34" s="504">
        <v>0</v>
      </c>
      <c r="JE34" s="504">
        <v>0</v>
      </c>
      <c r="JF34" s="504">
        <v>0</v>
      </c>
      <c r="JG34" s="504">
        <v>0</v>
      </c>
      <c r="JH34" s="504">
        <v>0</v>
      </c>
      <c r="JI34" s="504">
        <v>0</v>
      </c>
      <c r="JJ34" s="504">
        <v>0</v>
      </c>
      <c r="JK34" s="504">
        <v>0</v>
      </c>
      <c r="JL34" s="504">
        <v>0</v>
      </c>
      <c r="JM34" s="504">
        <v>0</v>
      </c>
      <c r="JN34" s="504">
        <v>0</v>
      </c>
      <c r="JO34" s="504">
        <v>0</v>
      </c>
      <c r="JP34" s="504">
        <v>0</v>
      </c>
      <c r="JQ34" s="504">
        <v>0</v>
      </c>
      <c r="JR34" s="504">
        <v>0</v>
      </c>
      <c r="JS34" s="504">
        <v>0</v>
      </c>
      <c r="JT34" s="504">
        <v>0</v>
      </c>
      <c r="JU34" s="504">
        <v>0</v>
      </c>
      <c r="JV34" s="504">
        <v>0</v>
      </c>
      <c r="JW34" s="504">
        <v>0</v>
      </c>
      <c r="JX34" s="504">
        <v>0</v>
      </c>
      <c r="JY34" s="504">
        <v>0</v>
      </c>
      <c r="JZ34" s="504">
        <v>0</v>
      </c>
      <c r="KA34" s="504">
        <v>0</v>
      </c>
      <c r="KB34" s="504">
        <v>0</v>
      </c>
      <c r="KC34" s="504">
        <v>0</v>
      </c>
      <c r="KD34" s="504">
        <v>0</v>
      </c>
      <c r="KE34" s="504">
        <v>0</v>
      </c>
      <c r="KF34" s="504">
        <v>0</v>
      </c>
      <c r="KG34" s="504">
        <v>0</v>
      </c>
      <c r="KH34" s="504">
        <v>0</v>
      </c>
      <c r="KI34" s="504">
        <v>0</v>
      </c>
      <c r="KJ34" s="504">
        <v>0</v>
      </c>
      <c r="KK34" s="504">
        <v>0</v>
      </c>
      <c r="KL34" s="504">
        <v>0</v>
      </c>
      <c r="KM34" s="504">
        <v>0</v>
      </c>
      <c r="KN34" s="504">
        <v>0</v>
      </c>
      <c r="KO34" s="504">
        <v>0</v>
      </c>
      <c r="KP34" s="504">
        <v>0</v>
      </c>
      <c r="KQ34" s="504">
        <v>0</v>
      </c>
      <c r="KR34" s="504">
        <v>0</v>
      </c>
      <c r="KS34" s="504">
        <v>0</v>
      </c>
      <c r="KT34" s="1654">
        <v>0</v>
      </c>
      <c r="KU34" s="504">
        <v>0</v>
      </c>
      <c r="KV34" s="504">
        <v>0</v>
      </c>
      <c r="KW34" s="504">
        <v>0</v>
      </c>
      <c r="KX34" s="504">
        <v>1011</v>
      </c>
      <c r="KY34" s="504">
        <v>1363</v>
      </c>
      <c r="KZ34" s="504">
        <v>1791</v>
      </c>
      <c r="LA34" s="504">
        <v>0</v>
      </c>
      <c r="LB34" s="504">
        <v>0</v>
      </c>
      <c r="LC34" s="504">
        <v>0</v>
      </c>
      <c r="LD34" s="504">
        <v>0</v>
      </c>
      <c r="LE34" s="504">
        <v>0</v>
      </c>
      <c r="LF34" s="504">
        <v>0</v>
      </c>
      <c r="LG34" s="504">
        <v>0</v>
      </c>
      <c r="LH34" s="504">
        <v>0</v>
      </c>
      <c r="LI34" s="504">
        <v>0</v>
      </c>
      <c r="LJ34" s="504">
        <v>0</v>
      </c>
      <c r="LK34" s="504">
        <v>0</v>
      </c>
      <c r="LL34" s="504">
        <v>0</v>
      </c>
      <c r="LM34" s="504">
        <v>0</v>
      </c>
      <c r="LN34" s="504">
        <v>0</v>
      </c>
      <c r="LO34" s="504">
        <v>0</v>
      </c>
      <c r="LP34" s="504">
        <v>0</v>
      </c>
      <c r="LQ34" s="504">
        <v>0</v>
      </c>
      <c r="LR34" s="504">
        <v>0</v>
      </c>
      <c r="LS34" s="504">
        <v>0</v>
      </c>
      <c r="LT34" s="504">
        <v>0</v>
      </c>
      <c r="LU34" s="504">
        <v>0</v>
      </c>
      <c r="LV34" s="504">
        <v>0</v>
      </c>
      <c r="LW34" s="504">
        <v>0</v>
      </c>
      <c r="LX34" s="504">
        <v>0</v>
      </c>
      <c r="LY34" s="504">
        <v>0</v>
      </c>
      <c r="LZ34" s="504">
        <v>0</v>
      </c>
      <c r="MA34" s="504">
        <v>0</v>
      </c>
      <c r="MB34" s="504">
        <v>0</v>
      </c>
      <c r="MC34" s="504">
        <v>0</v>
      </c>
      <c r="MD34" s="504">
        <v>0</v>
      </c>
      <c r="ME34" s="504">
        <v>0</v>
      </c>
      <c r="MF34" s="504">
        <v>0</v>
      </c>
      <c r="MG34" s="504">
        <v>0</v>
      </c>
      <c r="MH34" s="504">
        <v>0</v>
      </c>
      <c r="MI34" s="504">
        <v>0</v>
      </c>
      <c r="MJ34" s="504">
        <v>0</v>
      </c>
      <c r="MK34" s="504">
        <v>0</v>
      </c>
      <c r="ML34" s="504">
        <v>0</v>
      </c>
      <c r="MM34" s="504">
        <v>0</v>
      </c>
      <c r="MN34" s="504">
        <v>0</v>
      </c>
      <c r="MO34" s="504">
        <v>0</v>
      </c>
      <c r="MP34" s="504">
        <v>0</v>
      </c>
      <c r="MQ34" s="504">
        <v>0</v>
      </c>
      <c r="MR34" s="504">
        <v>0</v>
      </c>
      <c r="MS34" s="504">
        <v>0</v>
      </c>
      <c r="MT34" s="504">
        <v>0</v>
      </c>
      <c r="MU34" s="504">
        <v>0</v>
      </c>
      <c r="MV34" s="504">
        <v>0</v>
      </c>
      <c r="MW34" s="504">
        <v>0</v>
      </c>
      <c r="MX34" s="504">
        <v>0</v>
      </c>
      <c r="MY34" s="504">
        <v>0</v>
      </c>
      <c r="MZ34" s="504">
        <v>0</v>
      </c>
      <c r="NA34" s="504">
        <v>0</v>
      </c>
      <c r="NB34" s="504">
        <v>0</v>
      </c>
      <c r="NC34" s="504">
        <v>0</v>
      </c>
      <c r="ND34" s="504">
        <v>0</v>
      </c>
      <c r="NE34" s="504">
        <v>0</v>
      </c>
      <c r="NF34" s="504">
        <v>0</v>
      </c>
      <c r="NG34" s="504">
        <v>0</v>
      </c>
      <c r="NH34" s="504">
        <v>0</v>
      </c>
      <c r="NI34" s="504">
        <v>0</v>
      </c>
      <c r="NJ34" s="504">
        <v>0</v>
      </c>
      <c r="NK34" s="504">
        <v>0</v>
      </c>
      <c r="NL34" s="504">
        <v>0</v>
      </c>
      <c r="NM34" s="504">
        <v>0</v>
      </c>
      <c r="NN34" s="504">
        <v>0</v>
      </c>
      <c r="NO34" s="504">
        <v>0</v>
      </c>
      <c r="NP34" s="504">
        <v>0</v>
      </c>
      <c r="NQ34" s="504">
        <v>0</v>
      </c>
      <c r="NR34" s="504">
        <v>0</v>
      </c>
      <c r="NS34" s="504">
        <v>0</v>
      </c>
      <c r="NT34" s="504">
        <v>0</v>
      </c>
      <c r="NU34" s="504">
        <v>0</v>
      </c>
      <c r="NV34" s="504">
        <v>0</v>
      </c>
      <c r="NW34" s="504">
        <v>0</v>
      </c>
      <c r="NX34" s="504">
        <v>0</v>
      </c>
      <c r="NY34" s="504">
        <v>0</v>
      </c>
      <c r="NZ34" s="504">
        <v>0</v>
      </c>
      <c r="OA34" s="504">
        <v>0</v>
      </c>
      <c r="OB34" s="504">
        <v>0</v>
      </c>
      <c r="OC34" s="504">
        <v>0</v>
      </c>
      <c r="OD34" s="504">
        <v>0</v>
      </c>
      <c r="OE34" s="504">
        <v>0</v>
      </c>
      <c r="OF34" s="504">
        <v>0</v>
      </c>
      <c r="OG34" s="504">
        <v>0</v>
      </c>
      <c r="OH34" s="504">
        <v>0</v>
      </c>
      <c r="OI34" s="504">
        <v>0</v>
      </c>
      <c r="OJ34" s="504">
        <v>0</v>
      </c>
      <c r="OK34" s="504">
        <v>0</v>
      </c>
      <c r="OL34" s="504">
        <v>0</v>
      </c>
      <c r="OM34" s="504">
        <v>0</v>
      </c>
      <c r="ON34" s="504">
        <v>0</v>
      </c>
      <c r="OO34" s="504">
        <v>0</v>
      </c>
      <c r="OP34" s="504">
        <v>0</v>
      </c>
      <c r="OQ34" s="504">
        <v>0</v>
      </c>
      <c r="OR34"/>
      <c r="OS34"/>
      <c r="OT34"/>
      <c r="OU34"/>
      <c r="OV34"/>
      <c r="OW34"/>
      <c r="OX34"/>
      <c r="OY34"/>
      <c r="OZ34"/>
      <c r="PA34"/>
      <c r="PB34"/>
      <c r="PC34"/>
      <c r="PD34"/>
      <c r="PE34"/>
      <c r="PF34"/>
      <c r="PG34"/>
      <c r="PH34"/>
      <c r="PI34"/>
      <c r="PJ34"/>
      <c r="PK34"/>
      <c r="PL34"/>
      <c r="PM34"/>
      <c r="PN34"/>
      <c r="PO34"/>
      <c r="PP34"/>
      <c r="PQ34"/>
      <c r="PR34"/>
      <c r="PS34"/>
      <c r="PT34" s="1656"/>
    </row>
    <row r="35" spans="1:436" ht="21.5">
      <c r="A35" s="1466" t="s">
        <v>1697</v>
      </c>
      <c r="B35" s="1576" t="s">
        <v>2358</v>
      </c>
      <c r="C35" s="1576" t="s">
        <v>13</v>
      </c>
      <c r="D35" s="1576">
        <v>58</v>
      </c>
      <c r="E35" s="504">
        <v>74</v>
      </c>
      <c r="F35" s="504">
        <v>280</v>
      </c>
      <c r="G35" s="504">
        <v>709</v>
      </c>
      <c r="H35" s="504">
        <v>1102</v>
      </c>
      <c r="I35" s="504">
        <v>1575</v>
      </c>
      <c r="J35" s="504">
        <v>1925</v>
      </c>
      <c r="K35" s="504">
        <v>1953</v>
      </c>
      <c r="L35" s="504">
        <v>1982</v>
      </c>
      <c r="M35" s="504">
        <v>2011</v>
      </c>
      <c r="N35" s="504">
        <v>2041</v>
      </c>
      <c r="O35" s="504">
        <v>2071</v>
      </c>
      <c r="P35" s="504">
        <v>2102</v>
      </c>
      <c r="Q35" s="504">
        <v>2133</v>
      </c>
      <c r="R35" s="504">
        <v>2165</v>
      </c>
      <c r="S35" s="504">
        <v>2198</v>
      </c>
      <c r="T35" s="504">
        <v>2232</v>
      </c>
      <c r="U35" s="504">
        <v>2268</v>
      </c>
      <c r="V35" s="504">
        <v>2305</v>
      </c>
      <c r="W35" s="504">
        <v>2345</v>
      </c>
      <c r="X35" s="504">
        <v>2388</v>
      </c>
      <c r="Y35" s="504">
        <v>2436</v>
      </c>
      <c r="Z35" s="504">
        <v>2509</v>
      </c>
      <c r="AA35" s="504">
        <v>0</v>
      </c>
      <c r="AB35" s="504">
        <v>0</v>
      </c>
      <c r="AC35" s="504">
        <v>0</v>
      </c>
      <c r="AD35" s="504">
        <v>0</v>
      </c>
      <c r="AE35" s="504">
        <v>0</v>
      </c>
      <c r="AF35" s="504">
        <v>0</v>
      </c>
      <c r="AG35" s="504">
        <v>0</v>
      </c>
      <c r="AH35" s="504">
        <v>0</v>
      </c>
      <c r="AI35" s="504">
        <v>0</v>
      </c>
      <c r="AJ35" s="504">
        <v>0</v>
      </c>
      <c r="AK35" s="504">
        <v>0</v>
      </c>
      <c r="AL35" s="504">
        <v>0</v>
      </c>
      <c r="AM35" s="504">
        <v>0</v>
      </c>
      <c r="AN35" s="504">
        <v>0</v>
      </c>
      <c r="AO35" s="504">
        <v>0</v>
      </c>
      <c r="AP35" s="504">
        <v>0</v>
      </c>
      <c r="AQ35" s="504">
        <v>0</v>
      </c>
      <c r="AR35" s="504">
        <v>0</v>
      </c>
      <c r="AS35" s="504">
        <v>0</v>
      </c>
      <c r="AT35" s="504">
        <v>0</v>
      </c>
      <c r="AU35" s="504">
        <v>0</v>
      </c>
      <c r="AV35" s="504">
        <v>0</v>
      </c>
      <c r="AW35" s="504">
        <v>0</v>
      </c>
      <c r="AX35" s="504">
        <v>0</v>
      </c>
      <c r="AY35" s="504">
        <v>0</v>
      </c>
      <c r="AZ35" s="504">
        <v>0</v>
      </c>
      <c r="BA35" s="504">
        <v>0</v>
      </c>
      <c r="BB35" s="504">
        <v>0</v>
      </c>
      <c r="BC35" s="504">
        <v>0</v>
      </c>
      <c r="BD35" s="504">
        <v>0</v>
      </c>
      <c r="BE35" s="504">
        <v>0</v>
      </c>
      <c r="BF35" s="504">
        <v>0</v>
      </c>
      <c r="BG35" s="504">
        <v>0</v>
      </c>
      <c r="BH35" s="504">
        <v>0</v>
      </c>
      <c r="BI35" s="504">
        <v>0</v>
      </c>
      <c r="BJ35" s="504">
        <v>0</v>
      </c>
      <c r="BK35" s="504">
        <v>0</v>
      </c>
      <c r="BL35" s="504">
        <v>0</v>
      </c>
      <c r="BM35" s="504">
        <v>0</v>
      </c>
      <c r="BN35" s="504">
        <v>0</v>
      </c>
      <c r="BO35" s="504">
        <v>0</v>
      </c>
      <c r="BP35" s="504">
        <v>0</v>
      </c>
      <c r="BQ35" s="504">
        <v>0</v>
      </c>
      <c r="BR35" s="504">
        <v>0</v>
      </c>
      <c r="BS35" s="504">
        <v>0</v>
      </c>
      <c r="BT35" s="504">
        <v>0</v>
      </c>
      <c r="BU35" s="504">
        <v>0</v>
      </c>
      <c r="BV35" s="504">
        <v>0</v>
      </c>
      <c r="BW35" s="504">
        <v>0</v>
      </c>
      <c r="BX35" s="504">
        <v>0</v>
      </c>
      <c r="BY35" s="504">
        <v>0</v>
      </c>
      <c r="BZ35" s="504">
        <v>0</v>
      </c>
      <c r="CA35" s="504">
        <v>0</v>
      </c>
      <c r="CB35" s="504">
        <v>0</v>
      </c>
      <c r="CC35" s="504">
        <v>0</v>
      </c>
      <c r="CD35" s="504">
        <v>0</v>
      </c>
      <c r="CE35" s="504">
        <v>0</v>
      </c>
      <c r="CF35" s="504">
        <v>0</v>
      </c>
      <c r="CG35" s="504">
        <v>0</v>
      </c>
      <c r="CH35" s="504">
        <v>0</v>
      </c>
      <c r="CI35" s="504">
        <v>0</v>
      </c>
      <c r="CJ35" s="504">
        <v>0</v>
      </c>
      <c r="CK35" s="504">
        <v>0</v>
      </c>
      <c r="CL35" s="504">
        <v>0</v>
      </c>
      <c r="CM35" s="504">
        <v>0</v>
      </c>
      <c r="CN35" s="504">
        <v>0</v>
      </c>
      <c r="CO35" s="504">
        <v>0</v>
      </c>
      <c r="CP35" s="504">
        <v>0</v>
      </c>
      <c r="CQ35" s="504">
        <v>0</v>
      </c>
      <c r="CR35" s="504">
        <v>0</v>
      </c>
      <c r="CS35" s="504">
        <v>0</v>
      </c>
      <c r="CT35" s="504">
        <v>0</v>
      </c>
      <c r="CU35" s="504">
        <v>0</v>
      </c>
      <c r="CV35" s="504">
        <v>0</v>
      </c>
      <c r="CW35" s="504">
        <v>0</v>
      </c>
      <c r="CX35" s="504">
        <v>0</v>
      </c>
      <c r="CY35" s="504">
        <v>0</v>
      </c>
      <c r="CZ35" s="1654">
        <v>0</v>
      </c>
      <c r="DA35" s="504">
        <v>0</v>
      </c>
      <c r="DB35" s="504">
        <v>120</v>
      </c>
      <c r="DC35" s="504">
        <v>444</v>
      </c>
      <c r="DD35" s="504">
        <v>1064</v>
      </c>
      <c r="DE35" s="504">
        <v>1442</v>
      </c>
      <c r="DF35" s="504">
        <v>1900</v>
      </c>
      <c r="DG35" s="504">
        <v>0</v>
      </c>
      <c r="DH35" s="504">
        <v>0</v>
      </c>
      <c r="DI35" s="504">
        <v>0</v>
      </c>
      <c r="DJ35" s="504">
        <v>0</v>
      </c>
      <c r="DK35" s="504">
        <v>0</v>
      </c>
      <c r="DL35" s="504">
        <v>0</v>
      </c>
      <c r="DM35" s="504">
        <v>0</v>
      </c>
      <c r="DN35" s="504">
        <v>0</v>
      </c>
      <c r="DO35" s="504">
        <v>0</v>
      </c>
      <c r="DP35" s="504">
        <v>0</v>
      </c>
      <c r="DQ35" s="504">
        <v>0</v>
      </c>
      <c r="DR35" s="504">
        <v>0</v>
      </c>
      <c r="DS35" s="504">
        <v>0</v>
      </c>
      <c r="DT35" s="504">
        <v>0</v>
      </c>
      <c r="DU35" s="504">
        <v>0</v>
      </c>
      <c r="DV35" s="504">
        <v>0</v>
      </c>
      <c r="DW35" s="504">
        <v>0</v>
      </c>
      <c r="DX35" s="504">
        <v>0</v>
      </c>
      <c r="DY35" s="504">
        <v>0</v>
      </c>
      <c r="DZ35" s="504">
        <v>0</v>
      </c>
      <c r="EA35" s="504">
        <v>0</v>
      </c>
      <c r="EB35" s="504">
        <v>0</v>
      </c>
      <c r="EC35" s="504">
        <v>0</v>
      </c>
      <c r="ED35" s="504">
        <v>0</v>
      </c>
      <c r="EE35" s="504">
        <v>0</v>
      </c>
      <c r="EF35" s="504">
        <v>0</v>
      </c>
      <c r="EG35" s="504">
        <v>0</v>
      </c>
      <c r="EH35" s="504">
        <v>0</v>
      </c>
      <c r="EI35" s="504">
        <v>0</v>
      </c>
      <c r="EJ35" s="504">
        <v>0</v>
      </c>
      <c r="EK35" s="504">
        <v>0</v>
      </c>
      <c r="EL35" s="504">
        <v>0</v>
      </c>
      <c r="EM35" s="504">
        <v>0</v>
      </c>
      <c r="EN35" s="504">
        <v>0</v>
      </c>
      <c r="EO35" s="504">
        <v>0</v>
      </c>
      <c r="EP35" s="504">
        <v>0</v>
      </c>
      <c r="EQ35" s="504">
        <v>0</v>
      </c>
      <c r="ER35" s="504">
        <v>0</v>
      </c>
      <c r="ES35" s="504">
        <v>0</v>
      </c>
      <c r="ET35" s="504">
        <v>0</v>
      </c>
      <c r="EU35" s="504">
        <v>0</v>
      </c>
      <c r="EV35" s="504">
        <v>0</v>
      </c>
      <c r="EW35" s="504">
        <v>0</v>
      </c>
      <c r="EX35" s="504">
        <v>0</v>
      </c>
      <c r="EY35" s="504">
        <v>0</v>
      </c>
      <c r="EZ35" s="504">
        <v>0</v>
      </c>
      <c r="FA35" s="504">
        <v>0</v>
      </c>
      <c r="FB35" s="504">
        <v>0</v>
      </c>
      <c r="FC35" s="504">
        <v>0</v>
      </c>
      <c r="FD35" s="504">
        <v>0</v>
      </c>
      <c r="FE35" s="504">
        <v>0</v>
      </c>
      <c r="FF35" s="504">
        <v>0</v>
      </c>
      <c r="FG35" s="504">
        <v>0</v>
      </c>
      <c r="FH35" s="504">
        <v>0</v>
      </c>
      <c r="FI35" s="504">
        <v>0</v>
      </c>
      <c r="FJ35" s="504">
        <v>0</v>
      </c>
      <c r="FK35" s="504">
        <v>0</v>
      </c>
      <c r="FL35" s="504">
        <v>0</v>
      </c>
      <c r="FM35" s="504">
        <v>0</v>
      </c>
      <c r="FN35" s="504">
        <v>0</v>
      </c>
      <c r="FO35" s="504">
        <v>0</v>
      </c>
      <c r="FP35" s="504">
        <v>0</v>
      </c>
      <c r="FQ35" s="504">
        <v>0</v>
      </c>
      <c r="FR35" s="504">
        <v>0</v>
      </c>
      <c r="FS35" s="504">
        <v>0</v>
      </c>
      <c r="FT35" s="504">
        <v>0</v>
      </c>
      <c r="FU35" s="504">
        <v>0</v>
      </c>
      <c r="FV35" s="504">
        <v>0</v>
      </c>
      <c r="FW35" s="504">
        <v>0</v>
      </c>
      <c r="FX35" s="504">
        <v>0</v>
      </c>
      <c r="FY35" s="504">
        <v>0</v>
      </c>
      <c r="FZ35" s="504">
        <v>0</v>
      </c>
      <c r="GA35" s="504">
        <v>0</v>
      </c>
      <c r="GB35" s="504">
        <v>0</v>
      </c>
      <c r="GC35" s="504">
        <v>0</v>
      </c>
      <c r="GD35" s="504">
        <v>0</v>
      </c>
      <c r="GE35" s="504">
        <v>0</v>
      </c>
      <c r="GF35" s="504">
        <v>0</v>
      </c>
      <c r="GG35" s="504">
        <v>0</v>
      </c>
      <c r="GH35" s="504">
        <v>0</v>
      </c>
      <c r="GI35" s="504">
        <v>0</v>
      </c>
      <c r="GJ35" s="504">
        <v>0</v>
      </c>
      <c r="GK35" s="504">
        <v>0</v>
      </c>
      <c r="GL35" s="504">
        <v>0</v>
      </c>
      <c r="GM35" s="504">
        <v>0</v>
      </c>
      <c r="GN35" s="504">
        <v>0</v>
      </c>
      <c r="GO35" s="504">
        <v>0</v>
      </c>
      <c r="GP35" s="504">
        <v>0</v>
      </c>
      <c r="GQ35" s="504">
        <v>0</v>
      </c>
      <c r="GR35" s="504">
        <v>0</v>
      </c>
      <c r="GS35" s="504">
        <v>0</v>
      </c>
      <c r="GT35" s="504">
        <v>0</v>
      </c>
      <c r="GU35" s="504">
        <v>0</v>
      </c>
      <c r="GV35" s="504">
        <v>0</v>
      </c>
      <c r="GW35" s="1654">
        <v>0</v>
      </c>
      <c r="GX35" s="504">
        <v>0</v>
      </c>
      <c r="GY35" s="504">
        <v>4346</v>
      </c>
      <c r="GZ35" s="504">
        <v>13240</v>
      </c>
      <c r="HA35" s="504">
        <v>19000</v>
      </c>
      <c r="HB35" s="504">
        <v>18000</v>
      </c>
      <c r="HC35" s="504">
        <v>17000</v>
      </c>
      <c r="HD35" s="504">
        <v>0</v>
      </c>
      <c r="HE35" s="504">
        <v>0</v>
      </c>
      <c r="HF35" s="504">
        <v>0</v>
      </c>
      <c r="HG35" s="504">
        <v>0</v>
      </c>
      <c r="HH35" s="504">
        <v>0</v>
      </c>
      <c r="HI35" s="504">
        <v>0</v>
      </c>
      <c r="HJ35" s="504">
        <v>0</v>
      </c>
      <c r="HK35" s="504">
        <v>0</v>
      </c>
      <c r="HL35" s="504">
        <v>0</v>
      </c>
      <c r="HM35" s="504">
        <v>0</v>
      </c>
      <c r="HN35" s="504">
        <v>0</v>
      </c>
      <c r="HO35" s="504">
        <v>0</v>
      </c>
      <c r="HP35" s="504">
        <v>0</v>
      </c>
      <c r="HQ35" s="504">
        <v>0</v>
      </c>
      <c r="HR35" s="504">
        <v>0</v>
      </c>
      <c r="HS35" s="504">
        <v>0</v>
      </c>
      <c r="HT35" s="504">
        <v>0</v>
      </c>
      <c r="HU35" s="504">
        <v>0</v>
      </c>
      <c r="HV35" s="504">
        <v>0</v>
      </c>
      <c r="HW35" s="504">
        <v>0</v>
      </c>
      <c r="HX35" s="504">
        <v>0</v>
      </c>
      <c r="HY35" s="504">
        <v>0</v>
      </c>
      <c r="HZ35" s="504">
        <v>0</v>
      </c>
      <c r="IA35" s="504">
        <v>0</v>
      </c>
      <c r="IB35" s="504">
        <v>0</v>
      </c>
      <c r="IC35" s="504">
        <v>0</v>
      </c>
      <c r="ID35" s="504">
        <v>0</v>
      </c>
      <c r="IE35" s="504">
        <v>0</v>
      </c>
      <c r="IF35" s="504">
        <v>0</v>
      </c>
      <c r="IG35" s="504">
        <v>0</v>
      </c>
      <c r="IH35" s="504">
        <v>0</v>
      </c>
      <c r="II35" s="504">
        <v>0</v>
      </c>
      <c r="IJ35" s="504">
        <v>0</v>
      </c>
      <c r="IK35" s="504">
        <v>0</v>
      </c>
      <c r="IL35" s="504">
        <v>0</v>
      </c>
      <c r="IM35" s="504">
        <v>0</v>
      </c>
      <c r="IN35" s="504">
        <v>0</v>
      </c>
      <c r="IO35" s="504">
        <v>0</v>
      </c>
      <c r="IP35" s="504">
        <v>0</v>
      </c>
      <c r="IQ35" s="504">
        <v>0</v>
      </c>
      <c r="IR35" s="504">
        <v>0</v>
      </c>
      <c r="IS35" s="504">
        <v>0</v>
      </c>
      <c r="IT35" s="504">
        <v>0</v>
      </c>
      <c r="IU35" s="504">
        <v>0</v>
      </c>
      <c r="IV35" s="504">
        <v>0</v>
      </c>
      <c r="IW35" s="504">
        <v>0</v>
      </c>
      <c r="IX35" s="504">
        <v>0</v>
      </c>
      <c r="IY35" s="504">
        <v>0</v>
      </c>
      <c r="IZ35" s="504">
        <v>0</v>
      </c>
      <c r="JA35" s="504">
        <v>0</v>
      </c>
      <c r="JB35" s="504">
        <v>0</v>
      </c>
      <c r="JC35" s="504">
        <v>0</v>
      </c>
      <c r="JD35" s="504">
        <v>0</v>
      </c>
      <c r="JE35" s="504">
        <v>0</v>
      </c>
      <c r="JF35" s="504">
        <v>0</v>
      </c>
      <c r="JG35" s="504">
        <v>0</v>
      </c>
      <c r="JH35" s="504">
        <v>0</v>
      </c>
      <c r="JI35" s="504">
        <v>0</v>
      </c>
      <c r="JJ35" s="504">
        <v>0</v>
      </c>
      <c r="JK35" s="504">
        <v>0</v>
      </c>
      <c r="JL35" s="504">
        <v>0</v>
      </c>
      <c r="JM35" s="504">
        <v>0</v>
      </c>
      <c r="JN35" s="504">
        <v>0</v>
      </c>
      <c r="JO35" s="504">
        <v>0</v>
      </c>
      <c r="JP35" s="504">
        <v>0</v>
      </c>
      <c r="JQ35" s="504">
        <v>0</v>
      </c>
      <c r="JR35" s="504">
        <v>0</v>
      </c>
      <c r="JS35" s="504">
        <v>0</v>
      </c>
      <c r="JT35" s="504">
        <v>0</v>
      </c>
      <c r="JU35" s="504">
        <v>0</v>
      </c>
      <c r="JV35" s="504">
        <v>0</v>
      </c>
      <c r="JW35" s="504">
        <v>0</v>
      </c>
      <c r="JX35" s="504">
        <v>0</v>
      </c>
      <c r="JY35" s="504">
        <v>0</v>
      </c>
      <c r="JZ35" s="504">
        <v>0</v>
      </c>
      <c r="KA35" s="504">
        <v>0</v>
      </c>
      <c r="KB35" s="504">
        <v>0</v>
      </c>
      <c r="KC35" s="504">
        <v>0</v>
      </c>
      <c r="KD35" s="504">
        <v>0</v>
      </c>
      <c r="KE35" s="504">
        <v>0</v>
      </c>
      <c r="KF35" s="504">
        <v>0</v>
      </c>
      <c r="KG35" s="504">
        <v>0</v>
      </c>
      <c r="KH35" s="504">
        <v>0</v>
      </c>
      <c r="KI35" s="504">
        <v>0</v>
      </c>
      <c r="KJ35" s="504">
        <v>0</v>
      </c>
      <c r="KK35" s="504">
        <v>0</v>
      </c>
      <c r="KL35" s="504">
        <v>0</v>
      </c>
      <c r="KM35" s="504">
        <v>0</v>
      </c>
      <c r="KN35" s="504">
        <v>0</v>
      </c>
      <c r="KO35" s="504">
        <v>0</v>
      </c>
      <c r="KP35" s="504">
        <v>0</v>
      </c>
      <c r="KQ35" s="504">
        <v>0</v>
      </c>
      <c r="KR35" s="504">
        <v>0</v>
      </c>
      <c r="KS35" s="504">
        <v>0</v>
      </c>
      <c r="KT35" s="1654">
        <v>0</v>
      </c>
      <c r="KU35" s="504">
        <v>0</v>
      </c>
      <c r="KV35" s="504">
        <v>0</v>
      </c>
      <c r="KW35" s="504">
        <v>0</v>
      </c>
      <c r="KX35" s="504">
        <v>1046</v>
      </c>
      <c r="KY35" s="504">
        <v>1425</v>
      </c>
      <c r="KZ35" s="504">
        <v>1883</v>
      </c>
      <c r="LA35" s="504">
        <v>0</v>
      </c>
      <c r="LB35" s="504">
        <v>0</v>
      </c>
      <c r="LC35" s="504">
        <v>0</v>
      </c>
      <c r="LD35" s="504">
        <v>0</v>
      </c>
      <c r="LE35" s="504">
        <v>0</v>
      </c>
      <c r="LF35" s="504">
        <v>0</v>
      </c>
      <c r="LG35" s="504">
        <v>0</v>
      </c>
      <c r="LH35" s="504">
        <v>0</v>
      </c>
      <c r="LI35" s="504">
        <v>0</v>
      </c>
      <c r="LJ35" s="504">
        <v>0</v>
      </c>
      <c r="LK35" s="504">
        <v>0</v>
      </c>
      <c r="LL35" s="504">
        <v>0</v>
      </c>
      <c r="LM35" s="504">
        <v>0</v>
      </c>
      <c r="LN35" s="504">
        <v>0</v>
      </c>
      <c r="LO35" s="504">
        <v>0</v>
      </c>
      <c r="LP35" s="504">
        <v>0</v>
      </c>
      <c r="LQ35" s="504">
        <v>0</v>
      </c>
      <c r="LR35" s="504">
        <v>0</v>
      </c>
      <c r="LS35" s="504">
        <v>0</v>
      </c>
      <c r="LT35" s="504">
        <v>0</v>
      </c>
      <c r="LU35" s="504">
        <v>0</v>
      </c>
      <c r="LV35" s="504">
        <v>0</v>
      </c>
      <c r="LW35" s="504">
        <v>0</v>
      </c>
      <c r="LX35" s="504">
        <v>0</v>
      </c>
      <c r="LY35" s="504">
        <v>0</v>
      </c>
      <c r="LZ35" s="504">
        <v>0</v>
      </c>
      <c r="MA35" s="504">
        <v>0</v>
      </c>
      <c r="MB35" s="504">
        <v>0</v>
      </c>
      <c r="MC35" s="504">
        <v>0</v>
      </c>
      <c r="MD35" s="504">
        <v>0</v>
      </c>
      <c r="ME35" s="504">
        <v>0</v>
      </c>
      <c r="MF35" s="504">
        <v>0</v>
      </c>
      <c r="MG35" s="504">
        <v>0</v>
      </c>
      <c r="MH35" s="504">
        <v>0</v>
      </c>
      <c r="MI35" s="504">
        <v>0</v>
      </c>
      <c r="MJ35" s="504">
        <v>0</v>
      </c>
      <c r="MK35" s="504">
        <v>0</v>
      </c>
      <c r="ML35" s="504">
        <v>0</v>
      </c>
      <c r="MM35" s="504">
        <v>0</v>
      </c>
      <c r="MN35" s="504">
        <v>0</v>
      </c>
      <c r="MO35" s="504">
        <v>0</v>
      </c>
      <c r="MP35" s="504">
        <v>0</v>
      </c>
      <c r="MQ35" s="504">
        <v>0</v>
      </c>
      <c r="MR35" s="504">
        <v>0</v>
      </c>
      <c r="MS35" s="504">
        <v>0</v>
      </c>
      <c r="MT35" s="504">
        <v>0</v>
      </c>
      <c r="MU35" s="504">
        <v>0</v>
      </c>
      <c r="MV35" s="504">
        <v>0</v>
      </c>
      <c r="MW35" s="504">
        <v>0</v>
      </c>
      <c r="MX35" s="504">
        <v>0</v>
      </c>
      <c r="MY35" s="504">
        <v>0</v>
      </c>
      <c r="MZ35" s="504">
        <v>0</v>
      </c>
      <c r="NA35" s="504">
        <v>0</v>
      </c>
      <c r="NB35" s="504">
        <v>0</v>
      </c>
      <c r="NC35" s="504">
        <v>0</v>
      </c>
      <c r="ND35" s="504">
        <v>0</v>
      </c>
      <c r="NE35" s="504">
        <v>0</v>
      </c>
      <c r="NF35" s="504">
        <v>0</v>
      </c>
      <c r="NG35" s="504">
        <v>0</v>
      </c>
      <c r="NH35" s="504">
        <v>0</v>
      </c>
      <c r="NI35" s="504">
        <v>0</v>
      </c>
      <c r="NJ35" s="504">
        <v>0</v>
      </c>
      <c r="NK35" s="504">
        <v>0</v>
      </c>
      <c r="NL35" s="504">
        <v>0</v>
      </c>
      <c r="NM35" s="504">
        <v>0</v>
      </c>
      <c r="NN35" s="504">
        <v>0</v>
      </c>
      <c r="NO35" s="504">
        <v>0</v>
      </c>
      <c r="NP35" s="504">
        <v>0</v>
      </c>
      <c r="NQ35" s="504">
        <v>0</v>
      </c>
      <c r="NR35" s="504">
        <v>0</v>
      </c>
      <c r="NS35" s="504">
        <v>0</v>
      </c>
      <c r="NT35" s="504">
        <v>0</v>
      </c>
      <c r="NU35" s="504">
        <v>0</v>
      </c>
      <c r="NV35" s="504">
        <v>0</v>
      </c>
      <c r="NW35" s="504">
        <v>0</v>
      </c>
      <c r="NX35" s="504">
        <v>0</v>
      </c>
      <c r="NY35" s="504">
        <v>0</v>
      </c>
      <c r="NZ35" s="504">
        <v>0</v>
      </c>
      <c r="OA35" s="504">
        <v>0</v>
      </c>
      <c r="OB35" s="504">
        <v>0</v>
      </c>
      <c r="OC35" s="504">
        <v>0</v>
      </c>
      <c r="OD35" s="504">
        <v>0</v>
      </c>
      <c r="OE35" s="504">
        <v>0</v>
      </c>
      <c r="OF35" s="504">
        <v>0</v>
      </c>
      <c r="OG35" s="504">
        <v>0</v>
      </c>
      <c r="OH35" s="504">
        <v>0</v>
      </c>
      <c r="OI35" s="504">
        <v>0</v>
      </c>
      <c r="OJ35" s="504">
        <v>0</v>
      </c>
      <c r="OK35" s="504">
        <v>0</v>
      </c>
      <c r="OL35" s="504">
        <v>0</v>
      </c>
      <c r="OM35" s="504">
        <v>0</v>
      </c>
      <c r="ON35" s="504">
        <v>0</v>
      </c>
      <c r="OO35" s="504">
        <v>0</v>
      </c>
      <c r="OP35" s="504">
        <v>0</v>
      </c>
      <c r="OQ35" s="504">
        <v>0</v>
      </c>
      <c r="OR35"/>
      <c r="OS35"/>
      <c r="OT35"/>
      <c r="OU35"/>
      <c r="OV35"/>
      <c r="OW35"/>
      <c r="OX35"/>
      <c r="OY35"/>
      <c r="OZ35"/>
      <c r="PA35"/>
      <c r="PB35"/>
      <c r="PC35"/>
      <c r="PD35"/>
      <c r="PE35"/>
      <c r="PF35"/>
      <c r="PG35"/>
      <c r="PH35"/>
      <c r="PI35"/>
      <c r="PJ35"/>
      <c r="PK35"/>
      <c r="PL35"/>
      <c r="PM35"/>
      <c r="PN35"/>
      <c r="PO35"/>
      <c r="PP35"/>
      <c r="PQ35"/>
      <c r="PR35"/>
      <c r="PS35"/>
      <c r="PT35" s="1656"/>
    </row>
    <row r="36" spans="1:436" ht="21.5">
      <c r="A36" s="1466" t="s">
        <v>1698</v>
      </c>
      <c r="B36" s="1576" t="s">
        <v>2358</v>
      </c>
      <c r="C36" s="1576" t="s">
        <v>13</v>
      </c>
      <c r="D36" s="1576">
        <v>59</v>
      </c>
      <c r="E36" s="504">
        <v>80</v>
      </c>
      <c r="F36" s="504">
        <v>301</v>
      </c>
      <c r="G36" s="504">
        <v>760</v>
      </c>
      <c r="H36" s="504">
        <v>1181</v>
      </c>
      <c r="I36" s="504">
        <v>1687</v>
      </c>
      <c r="J36" s="504">
        <v>2060</v>
      </c>
      <c r="K36" s="504">
        <v>2091</v>
      </c>
      <c r="L36" s="504">
        <v>2123</v>
      </c>
      <c r="M36" s="504">
        <v>2155</v>
      </c>
      <c r="N36" s="504">
        <v>2188</v>
      </c>
      <c r="O36" s="504">
        <v>2221</v>
      </c>
      <c r="P36" s="504">
        <v>2255</v>
      </c>
      <c r="Q36" s="504">
        <v>2290</v>
      </c>
      <c r="R36" s="504">
        <v>2325</v>
      </c>
      <c r="S36" s="504">
        <v>2362</v>
      </c>
      <c r="T36" s="504">
        <v>2401</v>
      </c>
      <c r="U36" s="504">
        <v>2441</v>
      </c>
      <c r="V36" s="504">
        <v>2485</v>
      </c>
      <c r="W36" s="504">
        <v>2531</v>
      </c>
      <c r="X36" s="504">
        <v>2583</v>
      </c>
      <c r="Y36" s="504">
        <v>2660</v>
      </c>
      <c r="Z36" s="504">
        <v>0</v>
      </c>
      <c r="AA36" s="504">
        <v>0</v>
      </c>
      <c r="AB36" s="504">
        <v>0</v>
      </c>
      <c r="AC36" s="504">
        <v>0</v>
      </c>
      <c r="AD36" s="504">
        <v>0</v>
      </c>
      <c r="AE36" s="504">
        <v>0</v>
      </c>
      <c r="AF36" s="504">
        <v>0</v>
      </c>
      <c r="AG36" s="504">
        <v>0</v>
      </c>
      <c r="AH36" s="504">
        <v>0</v>
      </c>
      <c r="AI36" s="504">
        <v>0</v>
      </c>
      <c r="AJ36" s="504">
        <v>0</v>
      </c>
      <c r="AK36" s="504">
        <v>0</v>
      </c>
      <c r="AL36" s="504">
        <v>0</v>
      </c>
      <c r="AM36" s="504">
        <v>0</v>
      </c>
      <c r="AN36" s="504">
        <v>0</v>
      </c>
      <c r="AO36" s="504">
        <v>0</v>
      </c>
      <c r="AP36" s="504">
        <v>0</v>
      </c>
      <c r="AQ36" s="504">
        <v>0</v>
      </c>
      <c r="AR36" s="504">
        <v>0</v>
      </c>
      <c r="AS36" s="504">
        <v>0</v>
      </c>
      <c r="AT36" s="504">
        <v>0</v>
      </c>
      <c r="AU36" s="504">
        <v>0</v>
      </c>
      <c r="AV36" s="504">
        <v>0</v>
      </c>
      <c r="AW36" s="504">
        <v>0</v>
      </c>
      <c r="AX36" s="504">
        <v>0</v>
      </c>
      <c r="AY36" s="504">
        <v>0</v>
      </c>
      <c r="AZ36" s="504">
        <v>0</v>
      </c>
      <c r="BA36" s="504">
        <v>0</v>
      </c>
      <c r="BB36" s="504">
        <v>0</v>
      </c>
      <c r="BC36" s="504">
        <v>0</v>
      </c>
      <c r="BD36" s="504">
        <v>0</v>
      </c>
      <c r="BE36" s="504">
        <v>0</v>
      </c>
      <c r="BF36" s="504">
        <v>0</v>
      </c>
      <c r="BG36" s="504">
        <v>0</v>
      </c>
      <c r="BH36" s="504">
        <v>0</v>
      </c>
      <c r="BI36" s="504">
        <v>0</v>
      </c>
      <c r="BJ36" s="504">
        <v>0</v>
      </c>
      <c r="BK36" s="504">
        <v>0</v>
      </c>
      <c r="BL36" s="504">
        <v>0</v>
      </c>
      <c r="BM36" s="504">
        <v>0</v>
      </c>
      <c r="BN36" s="504">
        <v>0</v>
      </c>
      <c r="BO36" s="504">
        <v>0</v>
      </c>
      <c r="BP36" s="504">
        <v>0</v>
      </c>
      <c r="BQ36" s="504">
        <v>0</v>
      </c>
      <c r="BR36" s="504">
        <v>0</v>
      </c>
      <c r="BS36" s="504">
        <v>0</v>
      </c>
      <c r="BT36" s="504">
        <v>0</v>
      </c>
      <c r="BU36" s="504">
        <v>0</v>
      </c>
      <c r="BV36" s="504">
        <v>0</v>
      </c>
      <c r="BW36" s="504">
        <v>0</v>
      </c>
      <c r="BX36" s="504">
        <v>0</v>
      </c>
      <c r="BY36" s="504">
        <v>0</v>
      </c>
      <c r="BZ36" s="504">
        <v>0</v>
      </c>
      <c r="CA36" s="504">
        <v>0</v>
      </c>
      <c r="CB36" s="504">
        <v>0</v>
      </c>
      <c r="CC36" s="504">
        <v>0</v>
      </c>
      <c r="CD36" s="504">
        <v>0</v>
      </c>
      <c r="CE36" s="504">
        <v>0</v>
      </c>
      <c r="CF36" s="504">
        <v>0</v>
      </c>
      <c r="CG36" s="504">
        <v>0</v>
      </c>
      <c r="CH36" s="504">
        <v>0</v>
      </c>
      <c r="CI36" s="504">
        <v>0</v>
      </c>
      <c r="CJ36" s="504">
        <v>0</v>
      </c>
      <c r="CK36" s="504">
        <v>0</v>
      </c>
      <c r="CL36" s="504">
        <v>0</v>
      </c>
      <c r="CM36" s="504">
        <v>0</v>
      </c>
      <c r="CN36" s="504">
        <v>0</v>
      </c>
      <c r="CO36" s="504">
        <v>0</v>
      </c>
      <c r="CP36" s="504">
        <v>0</v>
      </c>
      <c r="CQ36" s="504">
        <v>0</v>
      </c>
      <c r="CR36" s="504">
        <v>0</v>
      </c>
      <c r="CS36" s="504">
        <v>0</v>
      </c>
      <c r="CT36" s="504">
        <v>0</v>
      </c>
      <c r="CU36" s="504">
        <v>0</v>
      </c>
      <c r="CV36" s="504">
        <v>0</v>
      </c>
      <c r="CW36" s="504">
        <v>0</v>
      </c>
      <c r="CX36" s="504">
        <v>0</v>
      </c>
      <c r="CY36" s="504">
        <v>0</v>
      </c>
      <c r="CZ36" s="1654">
        <v>0</v>
      </c>
      <c r="DA36" s="504">
        <v>0</v>
      </c>
      <c r="DB36" s="504">
        <v>127</v>
      </c>
      <c r="DC36" s="504">
        <v>467</v>
      </c>
      <c r="DD36" s="504">
        <v>1100</v>
      </c>
      <c r="DE36" s="504">
        <v>1506</v>
      </c>
      <c r="DF36" s="504">
        <v>1997</v>
      </c>
      <c r="DG36" s="504">
        <v>0</v>
      </c>
      <c r="DH36" s="504">
        <v>0</v>
      </c>
      <c r="DI36" s="504">
        <v>0</v>
      </c>
      <c r="DJ36" s="504">
        <v>0</v>
      </c>
      <c r="DK36" s="504">
        <v>0</v>
      </c>
      <c r="DL36" s="504">
        <v>0</v>
      </c>
      <c r="DM36" s="504">
        <v>0</v>
      </c>
      <c r="DN36" s="504">
        <v>0</v>
      </c>
      <c r="DO36" s="504">
        <v>0</v>
      </c>
      <c r="DP36" s="504">
        <v>0</v>
      </c>
      <c r="DQ36" s="504">
        <v>0</v>
      </c>
      <c r="DR36" s="504">
        <v>0</v>
      </c>
      <c r="DS36" s="504">
        <v>0</v>
      </c>
      <c r="DT36" s="504">
        <v>0</v>
      </c>
      <c r="DU36" s="504">
        <v>0</v>
      </c>
      <c r="DV36" s="504">
        <v>0</v>
      </c>
      <c r="DW36" s="504">
        <v>0</v>
      </c>
      <c r="DX36" s="504">
        <v>0</v>
      </c>
      <c r="DY36" s="504">
        <v>0</v>
      </c>
      <c r="DZ36" s="504">
        <v>0</v>
      </c>
      <c r="EA36" s="504">
        <v>0</v>
      </c>
      <c r="EB36" s="504">
        <v>0</v>
      </c>
      <c r="EC36" s="504">
        <v>0</v>
      </c>
      <c r="ED36" s="504">
        <v>0</v>
      </c>
      <c r="EE36" s="504">
        <v>0</v>
      </c>
      <c r="EF36" s="504">
        <v>0</v>
      </c>
      <c r="EG36" s="504">
        <v>0</v>
      </c>
      <c r="EH36" s="504">
        <v>0</v>
      </c>
      <c r="EI36" s="504">
        <v>0</v>
      </c>
      <c r="EJ36" s="504">
        <v>0</v>
      </c>
      <c r="EK36" s="504">
        <v>0</v>
      </c>
      <c r="EL36" s="504">
        <v>0</v>
      </c>
      <c r="EM36" s="504">
        <v>0</v>
      </c>
      <c r="EN36" s="504">
        <v>0</v>
      </c>
      <c r="EO36" s="504">
        <v>0</v>
      </c>
      <c r="EP36" s="504">
        <v>0</v>
      </c>
      <c r="EQ36" s="504">
        <v>0</v>
      </c>
      <c r="ER36" s="504">
        <v>0</v>
      </c>
      <c r="ES36" s="504">
        <v>0</v>
      </c>
      <c r="ET36" s="504">
        <v>0</v>
      </c>
      <c r="EU36" s="504">
        <v>0</v>
      </c>
      <c r="EV36" s="504">
        <v>0</v>
      </c>
      <c r="EW36" s="504">
        <v>0</v>
      </c>
      <c r="EX36" s="504">
        <v>0</v>
      </c>
      <c r="EY36" s="504">
        <v>0</v>
      </c>
      <c r="EZ36" s="504">
        <v>0</v>
      </c>
      <c r="FA36" s="504">
        <v>0</v>
      </c>
      <c r="FB36" s="504">
        <v>0</v>
      </c>
      <c r="FC36" s="504">
        <v>0</v>
      </c>
      <c r="FD36" s="504">
        <v>0</v>
      </c>
      <c r="FE36" s="504">
        <v>0</v>
      </c>
      <c r="FF36" s="504">
        <v>0</v>
      </c>
      <c r="FG36" s="504">
        <v>0</v>
      </c>
      <c r="FH36" s="504">
        <v>0</v>
      </c>
      <c r="FI36" s="504">
        <v>0</v>
      </c>
      <c r="FJ36" s="504">
        <v>0</v>
      </c>
      <c r="FK36" s="504">
        <v>0</v>
      </c>
      <c r="FL36" s="504">
        <v>0</v>
      </c>
      <c r="FM36" s="504">
        <v>0</v>
      </c>
      <c r="FN36" s="504">
        <v>0</v>
      </c>
      <c r="FO36" s="504">
        <v>0</v>
      </c>
      <c r="FP36" s="504">
        <v>0</v>
      </c>
      <c r="FQ36" s="504">
        <v>0</v>
      </c>
      <c r="FR36" s="504">
        <v>0</v>
      </c>
      <c r="FS36" s="504">
        <v>0</v>
      </c>
      <c r="FT36" s="504">
        <v>0</v>
      </c>
      <c r="FU36" s="504">
        <v>0</v>
      </c>
      <c r="FV36" s="504">
        <v>0</v>
      </c>
      <c r="FW36" s="504">
        <v>0</v>
      </c>
      <c r="FX36" s="504">
        <v>0</v>
      </c>
      <c r="FY36" s="504">
        <v>0</v>
      </c>
      <c r="FZ36" s="504">
        <v>0</v>
      </c>
      <c r="GA36" s="504">
        <v>0</v>
      </c>
      <c r="GB36" s="504">
        <v>0</v>
      </c>
      <c r="GC36" s="504">
        <v>0</v>
      </c>
      <c r="GD36" s="504">
        <v>0</v>
      </c>
      <c r="GE36" s="504">
        <v>0</v>
      </c>
      <c r="GF36" s="504">
        <v>0</v>
      </c>
      <c r="GG36" s="504">
        <v>0</v>
      </c>
      <c r="GH36" s="504">
        <v>0</v>
      </c>
      <c r="GI36" s="504">
        <v>0</v>
      </c>
      <c r="GJ36" s="504">
        <v>0</v>
      </c>
      <c r="GK36" s="504">
        <v>0</v>
      </c>
      <c r="GL36" s="504">
        <v>0</v>
      </c>
      <c r="GM36" s="504">
        <v>0</v>
      </c>
      <c r="GN36" s="504">
        <v>0</v>
      </c>
      <c r="GO36" s="504">
        <v>0</v>
      </c>
      <c r="GP36" s="504">
        <v>0</v>
      </c>
      <c r="GQ36" s="504">
        <v>0</v>
      </c>
      <c r="GR36" s="504">
        <v>0</v>
      </c>
      <c r="GS36" s="504">
        <v>0</v>
      </c>
      <c r="GT36" s="504">
        <v>0</v>
      </c>
      <c r="GU36" s="504">
        <v>0</v>
      </c>
      <c r="GV36" s="504">
        <v>0</v>
      </c>
      <c r="GW36" s="1654">
        <v>0</v>
      </c>
      <c r="GX36" s="504">
        <v>0</v>
      </c>
      <c r="GY36" s="504">
        <v>4321</v>
      </c>
      <c r="GZ36" s="504">
        <v>13182</v>
      </c>
      <c r="HA36" s="504">
        <v>18000</v>
      </c>
      <c r="HB36" s="504">
        <v>17000</v>
      </c>
      <c r="HC36" s="504">
        <v>16000</v>
      </c>
      <c r="HD36" s="504">
        <v>0</v>
      </c>
      <c r="HE36" s="504">
        <v>0</v>
      </c>
      <c r="HF36" s="504">
        <v>0</v>
      </c>
      <c r="HG36" s="504">
        <v>0</v>
      </c>
      <c r="HH36" s="504">
        <v>0</v>
      </c>
      <c r="HI36" s="504">
        <v>0</v>
      </c>
      <c r="HJ36" s="504">
        <v>0</v>
      </c>
      <c r="HK36" s="504">
        <v>0</v>
      </c>
      <c r="HL36" s="504">
        <v>0</v>
      </c>
      <c r="HM36" s="504">
        <v>0</v>
      </c>
      <c r="HN36" s="504">
        <v>0</v>
      </c>
      <c r="HO36" s="504">
        <v>0</v>
      </c>
      <c r="HP36" s="504">
        <v>0</v>
      </c>
      <c r="HQ36" s="504">
        <v>0</v>
      </c>
      <c r="HR36" s="504">
        <v>0</v>
      </c>
      <c r="HS36" s="504">
        <v>0</v>
      </c>
      <c r="HT36" s="504">
        <v>0</v>
      </c>
      <c r="HU36" s="504">
        <v>0</v>
      </c>
      <c r="HV36" s="504">
        <v>0</v>
      </c>
      <c r="HW36" s="504">
        <v>0</v>
      </c>
      <c r="HX36" s="504">
        <v>0</v>
      </c>
      <c r="HY36" s="504">
        <v>0</v>
      </c>
      <c r="HZ36" s="504">
        <v>0</v>
      </c>
      <c r="IA36" s="504">
        <v>0</v>
      </c>
      <c r="IB36" s="504">
        <v>0</v>
      </c>
      <c r="IC36" s="504">
        <v>0</v>
      </c>
      <c r="ID36" s="504">
        <v>0</v>
      </c>
      <c r="IE36" s="504">
        <v>0</v>
      </c>
      <c r="IF36" s="504">
        <v>0</v>
      </c>
      <c r="IG36" s="504">
        <v>0</v>
      </c>
      <c r="IH36" s="504">
        <v>0</v>
      </c>
      <c r="II36" s="504">
        <v>0</v>
      </c>
      <c r="IJ36" s="504">
        <v>0</v>
      </c>
      <c r="IK36" s="504">
        <v>0</v>
      </c>
      <c r="IL36" s="504">
        <v>0</v>
      </c>
      <c r="IM36" s="504">
        <v>0</v>
      </c>
      <c r="IN36" s="504">
        <v>0</v>
      </c>
      <c r="IO36" s="504">
        <v>0</v>
      </c>
      <c r="IP36" s="504">
        <v>0</v>
      </c>
      <c r="IQ36" s="504">
        <v>0</v>
      </c>
      <c r="IR36" s="504">
        <v>0</v>
      </c>
      <c r="IS36" s="504">
        <v>0</v>
      </c>
      <c r="IT36" s="504">
        <v>0</v>
      </c>
      <c r="IU36" s="504">
        <v>0</v>
      </c>
      <c r="IV36" s="504">
        <v>0</v>
      </c>
      <c r="IW36" s="504">
        <v>0</v>
      </c>
      <c r="IX36" s="504">
        <v>0</v>
      </c>
      <c r="IY36" s="504">
        <v>0</v>
      </c>
      <c r="IZ36" s="504">
        <v>0</v>
      </c>
      <c r="JA36" s="504">
        <v>0</v>
      </c>
      <c r="JB36" s="504">
        <v>0</v>
      </c>
      <c r="JC36" s="504">
        <v>0</v>
      </c>
      <c r="JD36" s="504">
        <v>0</v>
      </c>
      <c r="JE36" s="504">
        <v>0</v>
      </c>
      <c r="JF36" s="504">
        <v>0</v>
      </c>
      <c r="JG36" s="504">
        <v>0</v>
      </c>
      <c r="JH36" s="504">
        <v>0</v>
      </c>
      <c r="JI36" s="504">
        <v>0</v>
      </c>
      <c r="JJ36" s="504">
        <v>0</v>
      </c>
      <c r="JK36" s="504">
        <v>0</v>
      </c>
      <c r="JL36" s="504">
        <v>0</v>
      </c>
      <c r="JM36" s="504">
        <v>0</v>
      </c>
      <c r="JN36" s="504">
        <v>0</v>
      </c>
      <c r="JO36" s="504">
        <v>0</v>
      </c>
      <c r="JP36" s="504">
        <v>0</v>
      </c>
      <c r="JQ36" s="504">
        <v>0</v>
      </c>
      <c r="JR36" s="504">
        <v>0</v>
      </c>
      <c r="JS36" s="504">
        <v>0</v>
      </c>
      <c r="JT36" s="504">
        <v>0</v>
      </c>
      <c r="JU36" s="504">
        <v>0</v>
      </c>
      <c r="JV36" s="504">
        <v>0</v>
      </c>
      <c r="JW36" s="504">
        <v>0</v>
      </c>
      <c r="JX36" s="504">
        <v>0</v>
      </c>
      <c r="JY36" s="504">
        <v>0</v>
      </c>
      <c r="JZ36" s="504">
        <v>0</v>
      </c>
      <c r="KA36" s="504">
        <v>0</v>
      </c>
      <c r="KB36" s="504">
        <v>0</v>
      </c>
      <c r="KC36" s="504">
        <v>0</v>
      </c>
      <c r="KD36" s="504">
        <v>0</v>
      </c>
      <c r="KE36" s="504">
        <v>0</v>
      </c>
      <c r="KF36" s="504">
        <v>0</v>
      </c>
      <c r="KG36" s="504">
        <v>0</v>
      </c>
      <c r="KH36" s="504">
        <v>0</v>
      </c>
      <c r="KI36" s="504">
        <v>0</v>
      </c>
      <c r="KJ36" s="504">
        <v>0</v>
      </c>
      <c r="KK36" s="504">
        <v>0</v>
      </c>
      <c r="KL36" s="504">
        <v>0</v>
      </c>
      <c r="KM36" s="504">
        <v>0</v>
      </c>
      <c r="KN36" s="504">
        <v>0</v>
      </c>
      <c r="KO36" s="504">
        <v>0</v>
      </c>
      <c r="KP36" s="504">
        <v>0</v>
      </c>
      <c r="KQ36" s="504">
        <v>0</v>
      </c>
      <c r="KR36" s="504">
        <v>0</v>
      </c>
      <c r="KS36" s="504">
        <v>0</v>
      </c>
      <c r="KT36" s="1654">
        <v>0</v>
      </c>
      <c r="KU36" s="504">
        <v>0</v>
      </c>
      <c r="KV36" s="504">
        <v>0</v>
      </c>
      <c r="KW36" s="504">
        <v>0</v>
      </c>
      <c r="KX36" s="504">
        <v>1083</v>
      </c>
      <c r="KY36" s="504">
        <v>1489</v>
      </c>
      <c r="KZ36" s="504">
        <v>1980</v>
      </c>
      <c r="LA36" s="504">
        <v>0</v>
      </c>
      <c r="LB36" s="504">
        <v>0</v>
      </c>
      <c r="LC36" s="504">
        <v>0</v>
      </c>
      <c r="LD36" s="504">
        <v>0</v>
      </c>
      <c r="LE36" s="504">
        <v>0</v>
      </c>
      <c r="LF36" s="504">
        <v>0</v>
      </c>
      <c r="LG36" s="504">
        <v>0</v>
      </c>
      <c r="LH36" s="504">
        <v>0</v>
      </c>
      <c r="LI36" s="504">
        <v>0</v>
      </c>
      <c r="LJ36" s="504">
        <v>0</v>
      </c>
      <c r="LK36" s="504">
        <v>0</v>
      </c>
      <c r="LL36" s="504">
        <v>0</v>
      </c>
      <c r="LM36" s="504">
        <v>0</v>
      </c>
      <c r="LN36" s="504">
        <v>0</v>
      </c>
      <c r="LO36" s="504">
        <v>0</v>
      </c>
      <c r="LP36" s="504">
        <v>0</v>
      </c>
      <c r="LQ36" s="504">
        <v>0</v>
      </c>
      <c r="LR36" s="504">
        <v>0</v>
      </c>
      <c r="LS36" s="504">
        <v>0</v>
      </c>
      <c r="LT36" s="504">
        <v>0</v>
      </c>
      <c r="LU36" s="504">
        <v>0</v>
      </c>
      <c r="LV36" s="504">
        <v>0</v>
      </c>
      <c r="LW36" s="504">
        <v>0</v>
      </c>
      <c r="LX36" s="504">
        <v>0</v>
      </c>
      <c r="LY36" s="504">
        <v>0</v>
      </c>
      <c r="LZ36" s="504">
        <v>0</v>
      </c>
      <c r="MA36" s="504">
        <v>0</v>
      </c>
      <c r="MB36" s="504">
        <v>0</v>
      </c>
      <c r="MC36" s="504">
        <v>0</v>
      </c>
      <c r="MD36" s="504">
        <v>0</v>
      </c>
      <c r="ME36" s="504">
        <v>0</v>
      </c>
      <c r="MF36" s="504">
        <v>0</v>
      </c>
      <c r="MG36" s="504">
        <v>0</v>
      </c>
      <c r="MH36" s="504">
        <v>0</v>
      </c>
      <c r="MI36" s="504">
        <v>0</v>
      </c>
      <c r="MJ36" s="504">
        <v>0</v>
      </c>
      <c r="MK36" s="504">
        <v>0</v>
      </c>
      <c r="ML36" s="504">
        <v>0</v>
      </c>
      <c r="MM36" s="504">
        <v>0</v>
      </c>
      <c r="MN36" s="504">
        <v>0</v>
      </c>
      <c r="MO36" s="504">
        <v>0</v>
      </c>
      <c r="MP36" s="504">
        <v>0</v>
      </c>
      <c r="MQ36" s="504">
        <v>0</v>
      </c>
      <c r="MR36" s="504">
        <v>0</v>
      </c>
      <c r="MS36" s="504">
        <v>0</v>
      </c>
      <c r="MT36" s="504">
        <v>0</v>
      </c>
      <c r="MU36" s="504">
        <v>0</v>
      </c>
      <c r="MV36" s="504">
        <v>0</v>
      </c>
      <c r="MW36" s="504">
        <v>0</v>
      </c>
      <c r="MX36" s="504">
        <v>0</v>
      </c>
      <c r="MY36" s="504">
        <v>0</v>
      </c>
      <c r="MZ36" s="504">
        <v>0</v>
      </c>
      <c r="NA36" s="504">
        <v>0</v>
      </c>
      <c r="NB36" s="504">
        <v>0</v>
      </c>
      <c r="NC36" s="504">
        <v>0</v>
      </c>
      <c r="ND36" s="504">
        <v>0</v>
      </c>
      <c r="NE36" s="504">
        <v>0</v>
      </c>
      <c r="NF36" s="504">
        <v>0</v>
      </c>
      <c r="NG36" s="504">
        <v>0</v>
      </c>
      <c r="NH36" s="504">
        <v>0</v>
      </c>
      <c r="NI36" s="504">
        <v>0</v>
      </c>
      <c r="NJ36" s="504">
        <v>0</v>
      </c>
      <c r="NK36" s="504">
        <v>0</v>
      </c>
      <c r="NL36" s="504">
        <v>0</v>
      </c>
      <c r="NM36" s="504">
        <v>0</v>
      </c>
      <c r="NN36" s="504">
        <v>0</v>
      </c>
      <c r="NO36" s="504">
        <v>0</v>
      </c>
      <c r="NP36" s="504">
        <v>0</v>
      </c>
      <c r="NQ36" s="504">
        <v>0</v>
      </c>
      <c r="NR36" s="504">
        <v>0</v>
      </c>
      <c r="NS36" s="504">
        <v>0</v>
      </c>
      <c r="NT36" s="504">
        <v>0</v>
      </c>
      <c r="NU36" s="504">
        <v>0</v>
      </c>
      <c r="NV36" s="504">
        <v>0</v>
      </c>
      <c r="NW36" s="504">
        <v>0</v>
      </c>
      <c r="NX36" s="504">
        <v>0</v>
      </c>
      <c r="NY36" s="504">
        <v>0</v>
      </c>
      <c r="NZ36" s="504">
        <v>0</v>
      </c>
      <c r="OA36" s="504">
        <v>0</v>
      </c>
      <c r="OB36" s="504">
        <v>0</v>
      </c>
      <c r="OC36" s="504">
        <v>0</v>
      </c>
      <c r="OD36" s="504">
        <v>0</v>
      </c>
      <c r="OE36" s="504">
        <v>0</v>
      </c>
      <c r="OF36" s="504">
        <v>0</v>
      </c>
      <c r="OG36" s="504">
        <v>0</v>
      </c>
      <c r="OH36" s="504">
        <v>0</v>
      </c>
      <c r="OI36" s="504">
        <v>0</v>
      </c>
      <c r="OJ36" s="504">
        <v>0</v>
      </c>
      <c r="OK36" s="504">
        <v>0</v>
      </c>
      <c r="OL36" s="504">
        <v>0</v>
      </c>
      <c r="OM36" s="504">
        <v>0</v>
      </c>
      <c r="ON36" s="504">
        <v>0</v>
      </c>
      <c r="OO36" s="504">
        <v>0</v>
      </c>
      <c r="OP36" s="504">
        <v>0</v>
      </c>
      <c r="OQ36" s="504">
        <v>0</v>
      </c>
      <c r="OR36"/>
      <c r="OS36"/>
      <c r="OT36"/>
      <c r="OU36"/>
      <c r="OV36"/>
      <c r="OW36"/>
      <c r="OX36"/>
      <c r="OY36"/>
      <c r="OZ36"/>
      <c r="PA36"/>
      <c r="PB36"/>
      <c r="PC36"/>
      <c r="PD36"/>
      <c r="PE36"/>
      <c r="PF36"/>
      <c r="PG36"/>
      <c r="PH36"/>
      <c r="PI36"/>
      <c r="PJ36"/>
      <c r="PK36"/>
      <c r="PL36"/>
      <c r="PM36"/>
      <c r="PN36"/>
      <c r="PO36"/>
      <c r="PP36"/>
      <c r="PQ36"/>
      <c r="PR36"/>
      <c r="PS36"/>
      <c r="PT36" s="1656"/>
    </row>
    <row r="37" spans="1:436" ht="21.5">
      <c r="A37" s="1466" t="s">
        <v>1699</v>
      </c>
      <c r="B37" s="1576" t="s">
        <v>2358</v>
      </c>
      <c r="C37" s="1576" t="s">
        <v>13</v>
      </c>
      <c r="D37" s="1576">
        <v>60</v>
      </c>
      <c r="E37" s="504">
        <v>88</v>
      </c>
      <c r="F37" s="504">
        <v>326</v>
      </c>
      <c r="G37" s="504">
        <v>822</v>
      </c>
      <c r="H37" s="504">
        <v>1277</v>
      </c>
      <c r="I37" s="504">
        <v>1821</v>
      </c>
      <c r="J37" s="504">
        <v>2223</v>
      </c>
      <c r="K37" s="504">
        <v>2257</v>
      </c>
      <c r="L37" s="504">
        <v>2292</v>
      </c>
      <c r="M37" s="504">
        <v>2328</v>
      </c>
      <c r="N37" s="504">
        <v>2364</v>
      </c>
      <c r="O37" s="504">
        <v>2401</v>
      </c>
      <c r="P37" s="504">
        <v>2439</v>
      </c>
      <c r="Q37" s="504">
        <v>2478</v>
      </c>
      <c r="R37" s="504">
        <v>2519</v>
      </c>
      <c r="S37" s="504">
        <v>2561</v>
      </c>
      <c r="T37" s="504">
        <v>2605</v>
      </c>
      <c r="U37" s="504">
        <v>2652</v>
      </c>
      <c r="V37" s="504">
        <v>2703</v>
      </c>
      <c r="W37" s="504">
        <v>2759</v>
      </c>
      <c r="X37" s="504">
        <v>2842</v>
      </c>
      <c r="Y37" s="504">
        <v>0</v>
      </c>
      <c r="Z37" s="504">
        <v>0</v>
      </c>
      <c r="AA37" s="504">
        <v>0</v>
      </c>
      <c r="AB37" s="504">
        <v>0</v>
      </c>
      <c r="AC37" s="504">
        <v>0</v>
      </c>
      <c r="AD37" s="504">
        <v>0</v>
      </c>
      <c r="AE37" s="504">
        <v>0</v>
      </c>
      <c r="AF37" s="504">
        <v>0</v>
      </c>
      <c r="AG37" s="504">
        <v>0</v>
      </c>
      <c r="AH37" s="504">
        <v>0</v>
      </c>
      <c r="AI37" s="504">
        <v>0</v>
      </c>
      <c r="AJ37" s="504">
        <v>0</v>
      </c>
      <c r="AK37" s="504">
        <v>0</v>
      </c>
      <c r="AL37" s="504">
        <v>0</v>
      </c>
      <c r="AM37" s="504">
        <v>0</v>
      </c>
      <c r="AN37" s="504">
        <v>0</v>
      </c>
      <c r="AO37" s="504">
        <v>0</v>
      </c>
      <c r="AP37" s="504">
        <v>0</v>
      </c>
      <c r="AQ37" s="504">
        <v>0</v>
      </c>
      <c r="AR37" s="504">
        <v>0</v>
      </c>
      <c r="AS37" s="504">
        <v>0</v>
      </c>
      <c r="AT37" s="504">
        <v>0</v>
      </c>
      <c r="AU37" s="504">
        <v>0</v>
      </c>
      <c r="AV37" s="504">
        <v>0</v>
      </c>
      <c r="AW37" s="504">
        <v>0</v>
      </c>
      <c r="AX37" s="504">
        <v>0</v>
      </c>
      <c r="AY37" s="504">
        <v>0</v>
      </c>
      <c r="AZ37" s="504">
        <v>0</v>
      </c>
      <c r="BA37" s="504">
        <v>0</v>
      </c>
      <c r="BB37" s="504">
        <v>0</v>
      </c>
      <c r="BC37" s="504">
        <v>0</v>
      </c>
      <c r="BD37" s="504">
        <v>0</v>
      </c>
      <c r="BE37" s="504">
        <v>0</v>
      </c>
      <c r="BF37" s="504">
        <v>0</v>
      </c>
      <c r="BG37" s="504">
        <v>0</v>
      </c>
      <c r="BH37" s="504">
        <v>0</v>
      </c>
      <c r="BI37" s="504">
        <v>0</v>
      </c>
      <c r="BJ37" s="504">
        <v>0</v>
      </c>
      <c r="BK37" s="504">
        <v>0</v>
      </c>
      <c r="BL37" s="504">
        <v>0</v>
      </c>
      <c r="BM37" s="504">
        <v>0</v>
      </c>
      <c r="BN37" s="504">
        <v>0</v>
      </c>
      <c r="BO37" s="504">
        <v>0</v>
      </c>
      <c r="BP37" s="504">
        <v>0</v>
      </c>
      <c r="BQ37" s="504">
        <v>0</v>
      </c>
      <c r="BR37" s="504">
        <v>0</v>
      </c>
      <c r="BS37" s="504">
        <v>0</v>
      </c>
      <c r="BT37" s="504">
        <v>0</v>
      </c>
      <c r="BU37" s="504">
        <v>0</v>
      </c>
      <c r="BV37" s="504">
        <v>0</v>
      </c>
      <c r="BW37" s="504">
        <v>0</v>
      </c>
      <c r="BX37" s="504">
        <v>0</v>
      </c>
      <c r="BY37" s="504">
        <v>0</v>
      </c>
      <c r="BZ37" s="504">
        <v>0</v>
      </c>
      <c r="CA37" s="504">
        <v>0</v>
      </c>
      <c r="CB37" s="504">
        <v>0</v>
      </c>
      <c r="CC37" s="504">
        <v>0</v>
      </c>
      <c r="CD37" s="504">
        <v>0</v>
      </c>
      <c r="CE37" s="504">
        <v>0</v>
      </c>
      <c r="CF37" s="504">
        <v>0</v>
      </c>
      <c r="CG37" s="504">
        <v>0</v>
      </c>
      <c r="CH37" s="504">
        <v>0</v>
      </c>
      <c r="CI37" s="504">
        <v>0</v>
      </c>
      <c r="CJ37" s="504">
        <v>0</v>
      </c>
      <c r="CK37" s="504">
        <v>0</v>
      </c>
      <c r="CL37" s="504">
        <v>0</v>
      </c>
      <c r="CM37" s="504">
        <v>0</v>
      </c>
      <c r="CN37" s="504">
        <v>0</v>
      </c>
      <c r="CO37" s="504">
        <v>0</v>
      </c>
      <c r="CP37" s="504">
        <v>0</v>
      </c>
      <c r="CQ37" s="504">
        <v>0</v>
      </c>
      <c r="CR37" s="504">
        <v>0</v>
      </c>
      <c r="CS37" s="504">
        <v>0</v>
      </c>
      <c r="CT37" s="504">
        <v>0</v>
      </c>
      <c r="CU37" s="504">
        <v>0</v>
      </c>
      <c r="CV37" s="504">
        <v>0</v>
      </c>
      <c r="CW37" s="504">
        <v>0</v>
      </c>
      <c r="CX37" s="504">
        <v>0</v>
      </c>
      <c r="CY37" s="504">
        <v>0</v>
      </c>
      <c r="CZ37" s="1654">
        <v>0</v>
      </c>
      <c r="DA37" s="504">
        <v>0</v>
      </c>
      <c r="DB37" s="504">
        <v>136</v>
      </c>
      <c r="DC37" s="504">
        <v>494</v>
      </c>
      <c r="DD37" s="504">
        <v>1147</v>
      </c>
      <c r="DE37" s="504">
        <v>1587</v>
      </c>
      <c r="DF37" s="504">
        <v>2115</v>
      </c>
      <c r="DG37" s="504">
        <v>0</v>
      </c>
      <c r="DH37" s="504">
        <v>0</v>
      </c>
      <c r="DI37" s="504">
        <v>0</v>
      </c>
      <c r="DJ37" s="504">
        <v>0</v>
      </c>
      <c r="DK37" s="504">
        <v>0</v>
      </c>
      <c r="DL37" s="504">
        <v>0</v>
      </c>
      <c r="DM37" s="504">
        <v>0</v>
      </c>
      <c r="DN37" s="504">
        <v>0</v>
      </c>
      <c r="DO37" s="504">
        <v>0</v>
      </c>
      <c r="DP37" s="504">
        <v>0</v>
      </c>
      <c r="DQ37" s="504">
        <v>0</v>
      </c>
      <c r="DR37" s="504">
        <v>0</v>
      </c>
      <c r="DS37" s="504">
        <v>0</v>
      </c>
      <c r="DT37" s="504">
        <v>0</v>
      </c>
      <c r="DU37" s="504">
        <v>0</v>
      </c>
      <c r="DV37" s="504">
        <v>0</v>
      </c>
      <c r="DW37" s="504">
        <v>0</v>
      </c>
      <c r="DX37" s="504">
        <v>0</v>
      </c>
      <c r="DY37" s="504">
        <v>0</v>
      </c>
      <c r="DZ37" s="504">
        <v>0</v>
      </c>
      <c r="EA37" s="504">
        <v>0</v>
      </c>
      <c r="EB37" s="504">
        <v>0</v>
      </c>
      <c r="EC37" s="504">
        <v>0</v>
      </c>
      <c r="ED37" s="504">
        <v>0</v>
      </c>
      <c r="EE37" s="504">
        <v>0</v>
      </c>
      <c r="EF37" s="504">
        <v>0</v>
      </c>
      <c r="EG37" s="504">
        <v>0</v>
      </c>
      <c r="EH37" s="504">
        <v>0</v>
      </c>
      <c r="EI37" s="504">
        <v>0</v>
      </c>
      <c r="EJ37" s="504">
        <v>0</v>
      </c>
      <c r="EK37" s="504">
        <v>0</v>
      </c>
      <c r="EL37" s="504">
        <v>0</v>
      </c>
      <c r="EM37" s="504">
        <v>0</v>
      </c>
      <c r="EN37" s="504">
        <v>0</v>
      </c>
      <c r="EO37" s="504">
        <v>0</v>
      </c>
      <c r="EP37" s="504">
        <v>0</v>
      </c>
      <c r="EQ37" s="504">
        <v>0</v>
      </c>
      <c r="ER37" s="504">
        <v>0</v>
      </c>
      <c r="ES37" s="504">
        <v>0</v>
      </c>
      <c r="ET37" s="504">
        <v>0</v>
      </c>
      <c r="EU37" s="504">
        <v>0</v>
      </c>
      <c r="EV37" s="504">
        <v>0</v>
      </c>
      <c r="EW37" s="504">
        <v>0</v>
      </c>
      <c r="EX37" s="504">
        <v>0</v>
      </c>
      <c r="EY37" s="504">
        <v>0</v>
      </c>
      <c r="EZ37" s="504">
        <v>0</v>
      </c>
      <c r="FA37" s="504">
        <v>0</v>
      </c>
      <c r="FB37" s="504">
        <v>0</v>
      </c>
      <c r="FC37" s="504">
        <v>0</v>
      </c>
      <c r="FD37" s="504">
        <v>0</v>
      </c>
      <c r="FE37" s="504">
        <v>0</v>
      </c>
      <c r="FF37" s="504">
        <v>0</v>
      </c>
      <c r="FG37" s="504">
        <v>0</v>
      </c>
      <c r="FH37" s="504">
        <v>0</v>
      </c>
      <c r="FI37" s="504">
        <v>0</v>
      </c>
      <c r="FJ37" s="504">
        <v>0</v>
      </c>
      <c r="FK37" s="504">
        <v>0</v>
      </c>
      <c r="FL37" s="504">
        <v>0</v>
      </c>
      <c r="FM37" s="504">
        <v>0</v>
      </c>
      <c r="FN37" s="504">
        <v>0</v>
      </c>
      <c r="FO37" s="504">
        <v>0</v>
      </c>
      <c r="FP37" s="504">
        <v>0</v>
      </c>
      <c r="FQ37" s="504">
        <v>0</v>
      </c>
      <c r="FR37" s="504">
        <v>0</v>
      </c>
      <c r="FS37" s="504">
        <v>0</v>
      </c>
      <c r="FT37" s="504">
        <v>0</v>
      </c>
      <c r="FU37" s="504">
        <v>0</v>
      </c>
      <c r="FV37" s="504">
        <v>0</v>
      </c>
      <c r="FW37" s="504">
        <v>0</v>
      </c>
      <c r="FX37" s="504">
        <v>0</v>
      </c>
      <c r="FY37" s="504">
        <v>0</v>
      </c>
      <c r="FZ37" s="504">
        <v>0</v>
      </c>
      <c r="GA37" s="504">
        <v>0</v>
      </c>
      <c r="GB37" s="504">
        <v>0</v>
      </c>
      <c r="GC37" s="504">
        <v>0</v>
      </c>
      <c r="GD37" s="504">
        <v>0</v>
      </c>
      <c r="GE37" s="504">
        <v>0</v>
      </c>
      <c r="GF37" s="504">
        <v>0</v>
      </c>
      <c r="GG37" s="504">
        <v>0</v>
      </c>
      <c r="GH37" s="504">
        <v>0</v>
      </c>
      <c r="GI37" s="504">
        <v>0</v>
      </c>
      <c r="GJ37" s="504">
        <v>0</v>
      </c>
      <c r="GK37" s="504">
        <v>0</v>
      </c>
      <c r="GL37" s="504">
        <v>0</v>
      </c>
      <c r="GM37" s="504">
        <v>0</v>
      </c>
      <c r="GN37" s="504">
        <v>0</v>
      </c>
      <c r="GO37" s="504">
        <v>0</v>
      </c>
      <c r="GP37" s="504">
        <v>0</v>
      </c>
      <c r="GQ37" s="504">
        <v>0</v>
      </c>
      <c r="GR37" s="504">
        <v>0</v>
      </c>
      <c r="GS37" s="504">
        <v>0</v>
      </c>
      <c r="GT37" s="504">
        <v>0</v>
      </c>
      <c r="GU37" s="504">
        <v>0</v>
      </c>
      <c r="GV37" s="504">
        <v>0</v>
      </c>
      <c r="GW37" s="1654">
        <v>0</v>
      </c>
      <c r="GX37" s="504">
        <v>0</v>
      </c>
      <c r="GY37" s="504">
        <v>4321</v>
      </c>
      <c r="GZ37" s="504">
        <v>13156</v>
      </c>
      <c r="HA37" s="504">
        <v>17000</v>
      </c>
      <c r="HB37" s="504">
        <v>16000</v>
      </c>
      <c r="HC37" s="504">
        <v>15000</v>
      </c>
      <c r="HD37" s="504">
        <v>0</v>
      </c>
      <c r="HE37" s="504">
        <v>0</v>
      </c>
      <c r="HF37" s="504">
        <v>0</v>
      </c>
      <c r="HG37" s="504">
        <v>0</v>
      </c>
      <c r="HH37" s="504">
        <v>0</v>
      </c>
      <c r="HI37" s="504">
        <v>0</v>
      </c>
      <c r="HJ37" s="504">
        <v>0</v>
      </c>
      <c r="HK37" s="504">
        <v>0</v>
      </c>
      <c r="HL37" s="504">
        <v>0</v>
      </c>
      <c r="HM37" s="504">
        <v>0</v>
      </c>
      <c r="HN37" s="504">
        <v>0</v>
      </c>
      <c r="HO37" s="504">
        <v>0</v>
      </c>
      <c r="HP37" s="504">
        <v>0</v>
      </c>
      <c r="HQ37" s="504">
        <v>0</v>
      </c>
      <c r="HR37" s="504">
        <v>0</v>
      </c>
      <c r="HS37" s="504">
        <v>0</v>
      </c>
      <c r="HT37" s="504">
        <v>0</v>
      </c>
      <c r="HU37" s="504">
        <v>0</v>
      </c>
      <c r="HV37" s="504">
        <v>0</v>
      </c>
      <c r="HW37" s="504">
        <v>0</v>
      </c>
      <c r="HX37" s="504">
        <v>0</v>
      </c>
      <c r="HY37" s="504">
        <v>0</v>
      </c>
      <c r="HZ37" s="504">
        <v>0</v>
      </c>
      <c r="IA37" s="504">
        <v>0</v>
      </c>
      <c r="IB37" s="504">
        <v>0</v>
      </c>
      <c r="IC37" s="504">
        <v>0</v>
      </c>
      <c r="ID37" s="504">
        <v>0</v>
      </c>
      <c r="IE37" s="504">
        <v>0</v>
      </c>
      <c r="IF37" s="504">
        <v>0</v>
      </c>
      <c r="IG37" s="504">
        <v>0</v>
      </c>
      <c r="IH37" s="504">
        <v>0</v>
      </c>
      <c r="II37" s="504">
        <v>0</v>
      </c>
      <c r="IJ37" s="504">
        <v>0</v>
      </c>
      <c r="IK37" s="504">
        <v>0</v>
      </c>
      <c r="IL37" s="504">
        <v>0</v>
      </c>
      <c r="IM37" s="504">
        <v>0</v>
      </c>
      <c r="IN37" s="504">
        <v>0</v>
      </c>
      <c r="IO37" s="504">
        <v>0</v>
      </c>
      <c r="IP37" s="504">
        <v>0</v>
      </c>
      <c r="IQ37" s="504">
        <v>0</v>
      </c>
      <c r="IR37" s="504">
        <v>0</v>
      </c>
      <c r="IS37" s="504">
        <v>0</v>
      </c>
      <c r="IT37" s="504">
        <v>0</v>
      </c>
      <c r="IU37" s="504">
        <v>0</v>
      </c>
      <c r="IV37" s="504">
        <v>0</v>
      </c>
      <c r="IW37" s="504">
        <v>0</v>
      </c>
      <c r="IX37" s="504">
        <v>0</v>
      </c>
      <c r="IY37" s="504">
        <v>0</v>
      </c>
      <c r="IZ37" s="504">
        <v>0</v>
      </c>
      <c r="JA37" s="504">
        <v>0</v>
      </c>
      <c r="JB37" s="504">
        <v>0</v>
      </c>
      <c r="JC37" s="504">
        <v>0</v>
      </c>
      <c r="JD37" s="504">
        <v>0</v>
      </c>
      <c r="JE37" s="504">
        <v>0</v>
      </c>
      <c r="JF37" s="504">
        <v>0</v>
      </c>
      <c r="JG37" s="504">
        <v>0</v>
      </c>
      <c r="JH37" s="504">
        <v>0</v>
      </c>
      <c r="JI37" s="504">
        <v>0</v>
      </c>
      <c r="JJ37" s="504">
        <v>0</v>
      </c>
      <c r="JK37" s="504">
        <v>0</v>
      </c>
      <c r="JL37" s="504">
        <v>0</v>
      </c>
      <c r="JM37" s="504">
        <v>0</v>
      </c>
      <c r="JN37" s="504">
        <v>0</v>
      </c>
      <c r="JO37" s="504">
        <v>0</v>
      </c>
      <c r="JP37" s="504">
        <v>0</v>
      </c>
      <c r="JQ37" s="504">
        <v>0</v>
      </c>
      <c r="JR37" s="504">
        <v>0</v>
      </c>
      <c r="JS37" s="504">
        <v>0</v>
      </c>
      <c r="JT37" s="504">
        <v>0</v>
      </c>
      <c r="JU37" s="504">
        <v>0</v>
      </c>
      <c r="JV37" s="504">
        <v>0</v>
      </c>
      <c r="JW37" s="504">
        <v>0</v>
      </c>
      <c r="JX37" s="504">
        <v>0</v>
      </c>
      <c r="JY37" s="504">
        <v>0</v>
      </c>
      <c r="JZ37" s="504">
        <v>0</v>
      </c>
      <c r="KA37" s="504">
        <v>0</v>
      </c>
      <c r="KB37" s="504">
        <v>0</v>
      </c>
      <c r="KC37" s="504">
        <v>0</v>
      </c>
      <c r="KD37" s="504">
        <v>0</v>
      </c>
      <c r="KE37" s="504">
        <v>0</v>
      </c>
      <c r="KF37" s="504">
        <v>0</v>
      </c>
      <c r="KG37" s="504">
        <v>0</v>
      </c>
      <c r="KH37" s="504">
        <v>0</v>
      </c>
      <c r="KI37" s="504">
        <v>0</v>
      </c>
      <c r="KJ37" s="504">
        <v>0</v>
      </c>
      <c r="KK37" s="504">
        <v>0</v>
      </c>
      <c r="KL37" s="504">
        <v>0</v>
      </c>
      <c r="KM37" s="504">
        <v>0</v>
      </c>
      <c r="KN37" s="504">
        <v>0</v>
      </c>
      <c r="KO37" s="504">
        <v>0</v>
      </c>
      <c r="KP37" s="504">
        <v>0</v>
      </c>
      <c r="KQ37" s="504">
        <v>0</v>
      </c>
      <c r="KR37" s="504">
        <v>0</v>
      </c>
      <c r="KS37" s="504">
        <v>0</v>
      </c>
      <c r="KT37" s="1654">
        <v>0</v>
      </c>
      <c r="KU37" s="504">
        <v>0</v>
      </c>
      <c r="KV37" s="504">
        <v>0</v>
      </c>
      <c r="KW37" s="504">
        <v>0</v>
      </c>
      <c r="KX37" s="504">
        <v>1130</v>
      </c>
      <c r="KY37" s="504">
        <v>1570</v>
      </c>
      <c r="KZ37" s="504">
        <v>2099</v>
      </c>
      <c r="LA37" s="504">
        <v>0</v>
      </c>
      <c r="LB37" s="504">
        <v>0</v>
      </c>
      <c r="LC37" s="504">
        <v>0</v>
      </c>
      <c r="LD37" s="504">
        <v>0</v>
      </c>
      <c r="LE37" s="504">
        <v>0</v>
      </c>
      <c r="LF37" s="504">
        <v>0</v>
      </c>
      <c r="LG37" s="504">
        <v>0</v>
      </c>
      <c r="LH37" s="504">
        <v>0</v>
      </c>
      <c r="LI37" s="504">
        <v>0</v>
      </c>
      <c r="LJ37" s="504">
        <v>0</v>
      </c>
      <c r="LK37" s="504">
        <v>0</v>
      </c>
      <c r="LL37" s="504">
        <v>0</v>
      </c>
      <c r="LM37" s="504">
        <v>0</v>
      </c>
      <c r="LN37" s="504">
        <v>0</v>
      </c>
      <c r="LO37" s="504">
        <v>0</v>
      </c>
      <c r="LP37" s="504">
        <v>0</v>
      </c>
      <c r="LQ37" s="504">
        <v>0</v>
      </c>
      <c r="LR37" s="504">
        <v>0</v>
      </c>
      <c r="LS37" s="504">
        <v>0</v>
      </c>
      <c r="LT37" s="504">
        <v>0</v>
      </c>
      <c r="LU37" s="504">
        <v>0</v>
      </c>
      <c r="LV37" s="504">
        <v>0</v>
      </c>
      <c r="LW37" s="504">
        <v>0</v>
      </c>
      <c r="LX37" s="504">
        <v>0</v>
      </c>
      <c r="LY37" s="504">
        <v>0</v>
      </c>
      <c r="LZ37" s="504">
        <v>0</v>
      </c>
      <c r="MA37" s="504">
        <v>0</v>
      </c>
      <c r="MB37" s="504">
        <v>0</v>
      </c>
      <c r="MC37" s="504">
        <v>0</v>
      </c>
      <c r="MD37" s="504">
        <v>0</v>
      </c>
      <c r="ME37" s="504">
        <v>0</v>
      </c>
      <c r="MF37" s="504">
        <v>0</v>
      </c>
      <c r="MG37" s="504">
        <v>0</v>
      </c>
      <c r="MH37" s="504">
        <v>0</v>
      </c>
      <c r="MI37" s="504">
        <v>0</v>
      </c>
      <c r="MJ37" s="504">
        <v>0</v>
      </c>
      <c r="MK37" s="504">
        <v>0</v>
      </c>
      <c r="ML37" s="504">
        <v>0</v>
      </c>
      <c r="MM37" s="504">
        <v>0</v>
      </c>
      <c r="MN37" s="504">
        <v>0</v>
      </c>
      <c r="MO37" s="504">
        <v>0</v>
      </c>
      <c r="MP37" s="504">
        <v>0</v>
      </c>
      <c r="MQ37" s="504">
        <v>0</v>
      </c>
      <c r="MR37" s="504">
        <v>0</v>
      </c>
      <c r="MS37" s="504">
        <v>0</v>
      </c>
      <c r="MT37" s="504">
        <v>0</v>
      </c>
      <c r="MU37" s="504">
        <v>0</v>
      </c>
      <c r="MV37" s="504">
        <v>0</v>
      </c>
      <c r="MW37" s="504">
        <v>0</v>
      </c>
      <c r="MX37" s="504">
        <v>0</v>
      </c>
      <c r="MY37" s="504">
        <v>0</v>
      </c>
      <c r="MZ37" s="504">
        <v>0</v>
      </c>
      <c r="NA37" s="504">
        <v>0</v>
      </c>
      <c r="NB37" s="504">
        <v>0</v>
      </c>
      <c r="NC37" s="504">
        <v>0</v>
      </c>
      <c r="ND37" s="504">
        <v>0</v>
      </c>
      <c r="NE37" s="504">
        <v>0</v>
      </c>
      <c r="NF37" s="504">
        <v>0</v>
      </c>
      <c r="NG37" s="504">
        <v>0</v>
      </c>
      <c r="NH37" s="504">
        <v>0</v>
      </c>
      <c r="NI37" s="504">
        <v>0</v>
      </c>
      <c r="NJ37" s="504">
        <v>0</v>
      </c>
      <c r="NK37" s="504">
        <v>0</v>
      </c>
      <c r="NL37" s="504">
        <v>0</v>
      </c>
      <c r="NM37" s="504">
        <v>0</v>
      </c>
      <c r="NN37" s="504">
        <v>0</v>
      </c>
      <c r="NO37" s="504">
        <v>0</v>
      </c>
      <c r="NP37" s="504">
        <v>0</v>
      </c>
      <c r="NQ37" s="504">
        <v>0</v>
      </c>
      <c r="NR37" s="504">
        <v>0</v>
      </c>
      <c r="NS37" s="504">
        <v>0</v>
      </c>
      <c r="NT37" s="504">
        <v>0</v>
      </c>
      <c r="NU37" s="504">
        <v>0</v>
      </c>
      <c r="NV37" s="504">
        <v>0</v>
      </c>
      <c r="NW37" s="504">
        <v>0</v>
      </c>
      <c r="NX37" s="504">
        <v>0</v>
      </c>
      <c r="NY37" s="504">
        <v>0</v>
      </c>
      <c r="NZ37" s="504">
        <v>0</v>
      </c>
      <c r="OA37" s="504">
        <v>0</v>
      </c>
      <c r="OB37" s="504">
        <v>0</v>
      </c>
      <c r="OC37" s="504">
        <v>0</v>
      </c>
      <c r="OD37" s="504">
        <v>0</v>
      </c>
      <c r="OE37" s="504">
        <v>0</v>
      </c>
      <c r="OF37" s="504">
        <v>0</v>
      </c>
      <c r="OG37" s="504">
        <v>0</v>
      </c>
      <c r="OH37" s="504">
        <v>0</v>
      </c>
      <c r="OI37" s="504">
        <v>0</v>
      </c>
      <c r="OJ37" s="504">
        <v>0</v>
      </c>
      <c r="OK37" s="504">
        <v>0</v>
      </c>
      <c r="OL37" s="504">
        <v>0</v>
      </c>
      <c r="OM37" s="504">
        <v>0</v>
      </c>
      <c r="ON37" s="504">
        <v>0</v>
      </c>
      <c r="OO37" s="504">
        <v>0</v>
      </c>
      <c r="OP37" s="504">
        <v>0</v>
      </c>
      <c r="OQ37" s="504">
        <v>0</v>
      </c>
      <c r="OR37"/>
      <c r="OS37"/>
      <c r="OT37"/>
      <c r="OU37"/>
      <c r="OV37"/>
      <c r="OW37"/>
      <c r="OX37"/>
      <c r="OY37"/>
      <c r="OZ37"/>
      <c r="PA37"/>
      <c r="PB37"/>
      <c r="PC37"/>
      <c r="PD37"/>
      <c r="PE37"/>
      <c r="PF37"/>
      <c r="PG37"/>
      <c r="PH37"/>
      <c r="PI37"/>
      <c r="PJ37"/>
      <c r="PK37"/>
      <c r="PL37"/>
      <c r="PM37"/>
      <c r="PN37"/>
      <c r="PO37"/>
      <c r="PP37"/>
      <c r="PQ37"/>
      <c r="PR37"/>
      <c r="PS37"/>
      <c r="PT37" s="1656"/>
    </row>
    <row r="38" spans="1:436" ht="21.5">
      <c r="A38" s="1466" t="s">
        <v>1700</v>
      </c>
      <c r="B38" s="1576" t="s">
        <v>2358</v>
      </c>
      <c r="C38" s="1576" t="s">
        <v>13</v>
      </c>
      <c r="D38" s="1576">
        <v>61</v>
      </c>
      <c r="E38" s="504">
        <v>96</v>
      </c>
      <c r="F38" s="504">
        <v>356</v>
      </c>
      <c r="G38" s="504">
        <v>895</v>
      </c>
      <c r="H38" s="504">
        <v>1389</v>
      </c>
      <c r="I38" s="504">
        <v>1978</v>
      </c>
      <c r="J38" s="504">
        <v>2414</v>
      </c>
      <c r="K38" s="504">
        <v>2452</v>
      </c>
      <c r="L38" s="504">
        <v>2492</v>
      </c>
      <c r="M38" s="504">
        <v>2531</v>
      </c>
      <c r="N38" s="504">
        <v>2572</v>
      </c>
      <c r="O38" s="504">
        <v>2614</v>
      </c>
      <c r="P38" s="504">
        <v>2657</v>
      </c>
      <c r="Q38" s="504">
        <v>2701</v>
      </c>
      <c r="R38" s="504">
        <v>2747</v>
      </c>
      <c r="S38" s="504">
        <v>2796</v>
      </c>
      <c r="T38" s="504">
        <v>2847</v>
      </c>
      <c r="U38" s="504">
        <v>2904</v>
      </c>
      <c r="V38" s="504">
        <v>2965</v>
      </c>
      <c r="W38" s="504">
        <v>3054</v>
      </c>
      <c r="X38" s="504">
        <v>0</v>
      </c>
      <c r="Y38" s="504">
        <v>0</v>
      </c>
      <c r="Z38" s="504">
        <v>0</v>
      </c>
      <c r="AA38" s="504">
        <v>0</v>
      </c>
      <c r="AB38" s="504">
        <v>0</v>
      </c>
      <c r="AC38" s="504">
        <v>0</v>
      </c>
      <c r="AD38" s="504">
        <v>0</v>
      </c>
      <c r="AE38" s="504">
        <v>0</v>
      </c>
      <c r="AF38" s="504">
        <v>0</v>
      </c>
      <c r="AG38" s="504">
        <v>0</v>
      </c>
      <c r="AH38" s="504">
        <v>0</v>
      </c>
      <c r="AI38" s="504">
        <v>0</v>
      </c>
      <c r="AJ38" s="504">
        <v>0</v>
      </c>
      <c r="AK38" s="504">
        <v>0</v>
      </c>
      <c r="AL38" s="504">
        <v>0</v>
      </c>
      <c r="AM38" s="504">
        <v>0</v>
      </c>
      <c r="AN38" s="504">
        <v>0</v>
      </c>
      <c r="AO38" s="504">
        <v>0</v>
      </c>
      <c r="AP38" s="504">
        <v>0</v>
      </c>
      <c r="AQ38" s="504">
        <v>0</v>
      </c>
      <c r="AR38" s="504">
        <v>0</v>
      </c>
      <c r="AS38" s="504">
        <v>0</v>
      </c>
      <c r="AT38" s="504">
        <v>0</v>
      </c>
      <c r="AU38" s="504">
        <v>0</v>
      </c>
      <c r="AV38" s="504">
        <v>0</v>
      </c>
      <c r="AW38" s="504">
        <v>0</v>
      </c>
      <c r="AX38" s="504">
        <v>0</v>
      </c>
      <c r="AY38" s="504">
        <v>0</v>
      </c>
      <c r="AZ38" s="504">
        <v>0</v>
      </c>
      <c r="BA38" s="504">
        <v>0</v>
      </c>
      <c r="BB38" s="504">
        <v>0</v>
      </c>
      <c r="BC38" s="504">
        <v>0</v>
      </c>
      <c r="BD38" s="504">
        <v>0</v>
      </c>
      <c r="BE38" s="504">
        <v>0</v>
      </c>
      <c r="BF38" s="504">
        <v>0</v>
      </c>
      <c r="BG38" s="504">
        <v>0</v>
      </c>
      <c r="BH38" s="504">
        <v>0</v>
      </c>
      <c r="BI38" s="504">
        <v>0</v>
      </c>
      <c r="BJ38" s="504">
        <v>0</v>
      </c>
      <c r="BK38" s="504">
        <v>0</v>
      </c>
      <c r="BL38" s="504">
        <v>0</v>
      </c>
      <c r="BM38" s="504">
        <v>0</v>
      </c>
      <c r="BN38" s="504">
        <v>0</v>
      </c>
      <c r="BO38" s="504">
        <v>0</v>
      </c>
      <c r="BP38" s="504">
        <v>0</v>
      </c>
      <c r="BQ38" s="504">
        <v>0</v>
      </c>
      <c r="BR38" s="504">
        <v>0</v>
      </c>
      <c r="BS38" s="504">
        <v>0</v>
      </c>
      <c r="BT38" s="504">
        <v>0</v>
      </c>
      <c r="BU38" s="504">
        <v>0</v>
      </c>
      <c r="BV38" s="504">
        <v>0</v>
      </c>
      <c r="BW38" s="504">
        <v>0</v>
      </c>
      <c r="BX38" s="504">
        <v>0</v>
      </c>
      <c r="BY38" s="504">
        <v>0</v>
      </c>
      <c r="BZ38" s="504">
        <v>0</v>
      </c>
      <c r="CA38" s="504">
        <v>0</v>
      </c>
      <c r="CB38" s="504">
        <v>0</v>
      </c>
      <c r="CC38" s="504">
        <v>0</v>
      </c>
      <c r="CD38" s="504">
        <v>0</v>
      </c>
      <c r="CE38" s="504">
        <v>0</v>
      </c>
      <c r="CF38" s="504">
        <v>0</v>
      </c>
      <c r="CG38" s="504">
        <v>0</v>
      </c>
      <c r="CH38" s="504">
        <v>0</v>
      </c>
      <c r="CI38" s="504">
        <v>0</v>
      </c>
      <c r="CJ38" s="504">
        <v>0</v>
      </c>
      <c r="CK38" s="504">
        <v>0</v>
      </c>
      <c r="CL38" s="504">
        <v>0</v>
      </c>
      <c r="CM38" s="504">
        <v>0</v>
      </c>
      <c r="CN38" s="504">
        <v>0</v>
      </c>
      <c r="CO38" s="504">
        <v>0</v>
      </c>
      <c r="CP38" s="504">
        <v>0</v>
      </c>
      <c r="CQ38" s="504">
        <v>0</v>
      </c>
      <c r="CR38" s="504">
        <v>0</v>
      </c>
      <c r="CS38" s="504">
        <v>0</v>
      </c>
      <c r="CT38" s="504">
        <v>0</v>
      </c>
      <c r="CU38" s="504">
        <v>0</v>
      </c>
      <c r="CV38" s="504">
        <v>0</v>
      </c>
      <c r="CW38" s="504">
        <v>0</v>
      </c>
      <c r="CX38" s="504">
        <v>0</v>
      </c>
      <c r="CY38" s="504">
        <v>0</v>
      </c>
      <c r="CZ38" s="1654">
        <v>0</v>
      </c>
      <c r="DA38" s="504">
        <v>0</v>
      </c>
      <c r="DB38" s="504">
        <v>145</v>
      </c>
      <c r="DC38" s="504">
        <v>527</v>
      </c>
      <c r="DD38" s="504">
        <v>1205</v>
      </c>
      <c r="DE38" s="504">
        <v>1683</v>
      </c>
      <c r="DF38" s="504">
        <v>2256</v>
      </c>
      <c r="DG38" s="504">
        <v>0</v>
      </c>
      <c r="DH38" s="504">
        <v>0</v>
      </c>
      <c r="DI38" s="504">
        <v>0</v>
      </c>
      <c r="DJ38" s="504">
        <v>0</v>
      </c>
      <c r="DK38" s="504">
        <v>0</v>
      </c>
      <c r="DL38" s="504">
        <v>0</v>
      </c>
      <c r="DM38" s="504">
        <v>0</v>
      </c>
      <c r="DN38" s="504">
        <v>0</v>
      </c>
      <c r="DO38" s="504">
        <v>0</v>
      </c>
      <c r="DP38" s="504">
        <v>0</v>
      </c>
      <c r="DQ38" s="504">
        <v>0</v>
      </c>
      <c r="DR38" s="504">
        <v>0</v>
      </c>
      <c r="DS38" s="504">
        <v>0</v>
      </c>
      <c r="DT38" s="504">
        <v>0</v>
      </c>
      <c r="DU38" s="504">
        <v>0</v>
      </c>
      <c r="DV38" s="504">
        <v>0</v>
      </c>
      <c r="DW38" s="504">
        <v>0</v>
      </c>
      <c r="DX38" s="504">
        <v>0</v>
      </c>
      <c r="DY38" s="504">
        <v>0</v>
      </c>
      <c r="DZ38" s="504">
        <v>0</v>
      </c>
      <c r="EA38" s="504">
        <v>0</v>
      </c>
      <c r="EB38" s="504">
        <v>0</v>
      </c>
      <c r="EC38" s="504">
        <v>0</v>
      </c>
      <c r="ED38" s="504">
        <v>0</v>
      </c>
      <c r="EE38" s="504">
        <v>0</v>
      </c>
      <c r="EF38" s="504">
        <v>0</v>
      </c>
      <c r="EG38" s="504">
        <v>0</v>
      </c>
      <c r="EH38" s="504">
        <v>0</v>
      </c>
      <c r="EI38" s="504">
        <v>0</v>
      </c>
      <c r="EJ38" s="504">
        <v>0</v>
      </c>
      <c r="EK38" s="504">
        <v>0</v>
      </c>
      <c r="EL38" s="504">
        <v>0</v>
      </c>
      <c r="EM38" s="504">
        <v>0</v>
      </c>
      <c r="EN38" s="504">
        <v>0</v>
      </c>
      <c r="EO38" s="504">
        <v>0</v>
      </c>
      <c r="EP38" s="504">
        <v>0</v>
      </c>
      <c r="EQ38" s="504">
        <v>0</v>
      </c>
      <c r="ER38" s="504">
        <v>0</v>
      </c>
      <c r="ES38" s="504">
        <v>0</v>
      </c>
      <c r="ET38" s="504">
        <v>0</v>
      </c>
      <c r="EU38" s="504">
        <v>0</v>
      </c>
      <c r="EV38" s="504">
        <v>0</v>
      </c>
      <c r="EW38" s="504">
        <v>0</v>
      </c>
      <c r="EX38" s="504">
        <v>0</v>
      </c>
      <c r="EY38" s="504">
        <v>0</v>
      </c>
      <c r="EZ38" s="504">
        <v>0</v>
      </c>
      <c r="FA38" s="504">
        <v>0</v>
      </c>
      <c r="FB38" s="504">
        <v>0</v>
      </c>
      <c r="FC38" s="504">
        <v>0</v>
      </c>
      <c r="FD38" s="504">
        <v>0</v>
      </c>
      <c r="FE38" s="504">
        <v>0</v>
      </c>
      <c r="FF38" s="504">
        <v>0</v>
      </c>
      <c r="FG38" s="504">
        <v>0</v>
      </c>
      <c r="FH38" s="504">
        <v>0</v>
      </c>
      <c r="FI38" s="504">
        <v>0</v>
      </c>
      <c r="FJ38" s="504">
        <v>0</v>
      </c>
      <c r="FK38" s="504">
        <v>0</v>
      </c>
      <c r="FL38" s="504">
        <v>0</v>
      </c>
      <c r="FM38" s="504">
        <v>0</v>
      </c>
      <c r="FN38" s="504">
        <v>0</v>
      </c>
      <c r="FO38" s="504">
        <v>0</v>
      </c>
      <c r="FP38" s="504">
        <v>0</v>
      </c>
      <c r="FQ38" s="504">
        <v>0</v>
      </c>
      <c r="FR38" s="504">
        <v>0</v>
      </c>
      <c r="FS38" s="504">
        <v>0</v>
      </c>
      <c r="FT38" s="504">
        <v>0</v>
      </c>
      <c r="FU38" s="504">
        <v>0</v>
      </c>
      <c r="FV38" s="504">
        <v>0</v>
      </c>
      <c r="FW38" s="504">
        <v>0</v>
      </c>
      <c r="FX38" s="504">
        <v>0</v>
      </c>
      <c r="FY38" s="504">
        <v>0</v>
      </c>
      <c r="FZ38" s="504">
        <v>0</v>
      </c>
      <c r="GA38" s="504">
        <v>0</v>
      </c>
      <c r="GB38" s="504">
        <v>0</v>
      </c>
      <c r="GC38" s="504">
        <v>0</v>
      </c>
      <c r="GD38" s="504">
        <v>0</v>
      </c>
      <c r="GE38" s="504">
        <v>0</v>
      </c>
      <c r="GF38" s="504">
        <v>0</v>
      </c>
      <c r="GG38" s="504">
        <v>0</v>
      </c>
      <c r="GH38" s="504">
        <v>0</v>
      </c>
      <c r="GI38" s="504">
        <v>0</v>
      </c>
      <c r="GJ38" s="504">
        <v>0</v>
      </c>
      <c r="GK38" s="504">
        <v>0</v>
      </c>
      <c r="GL38" s="504">
        <v>0</v>
      </c>
      <c r="GM38" s="504">
        <v>0</v>
      </c>
      <c r="GN38" s="504">
        <v>0</v>
      </c>
      <c r="GO38" s="504">
        <v>0</v>
      </c>
      <c r="GP38" s="504">
        <v>0</v>
      </c>
      <c r="GQ38" s="504">
        <v>0</v>
      </c>
      <c r="GR38" s="504">
        <v>0</v>
      </c>
      <c r="GS38" s="504">
        <v>0</v>
      </c>
      <c r="GT38" s="504">
        <v>0</v>
      </c>
      <c r="GU38" s="504">
        <v>0</v>
      </c>
      <c r="GV38" s="504">
        <v>0</v>
      </c>
      <c r="GW38" s="1654">
        <v>0</v>
      </c>
      <c r="GX38" s="504">
        <v>0</v>
      </c>
      <c r="GY38" s="504">
        <v>4306</v>
      </c>
      <c r="GZ38" s="504">
        <v>13170</v>
      </c>
      <c r="HA38" s="504">
        <v>16000</v>
      </c>
      <c r="HB38" s="504">
        <v>15000</v>
      </c>
      <c r="HC38" s="504">
        <v>14000</v>
      </c>
      <c r="HD38" s="504">
        <v>0</v>
      </c>
      <c r="HE38" s="504">
        <v>0</v>
      </c>
      <c r="HF38" s="504">
        <v>0</v>
      </c>
      <c r="HG38" s="504">
        <v>0</v>
      </c>
      <c r="HH38" s="504">
        <v>0</v>
      </c>
      <c r="HI38" s="504">
        <v>0</v>
      </c>
      <c r="HJ38" s="504">
        <v>0</v>
      </c>
      <c r="HK38" s="504">
        <v>0</v>
      </c>
      <c r="HL38" s="504">
        <v>0</v>
      </c>
      <c r="HM38" s="504">
        <v>0</v>
      </c>
      <c r="HN38" s="504">
        <v>0</v>
      </c>
      <c r="HO38" s="504">
        <v>0</v>
      </c>
      <c r="HP38" s="504">
        <v>0</v>
      </c>
      <c r="HQ38" s="504">
        <v>0</v>
      </c>
      <c r="HR38" s="504">
        <v>0</v>
      </c>
      <c r="HS38" s="504">
        <v>0</v>
      </c>
      <c r="HT38" s="504">
        <v>0</v>
      </c>
      <c r="HU38" s="504">
        <v>0</v>
      </c>
      <c r="HV38" s="504">
        <v>0</v>
      </c>
      <c r="HW38" s="504">
        <v>0</v>
      </c>
      <c r="HX38" s="504">
        <v>0</v>
      </c>
      <c r="HY38" s="504">
        <v>0</v>
      </c>
      <c r="HZ38" s="504">
        <v>0</v>
      </c>
      <c r="IA38" s="504">
        <v>0</v>
      </c>
      <c r="IB38" s="504">
        <v>0</v>
      </c>
      <c r="IC38" s="504">
        <v>0</v>
      </c>
      <c r="ID38" s="504">
        <v>0</v>
      </c>
      <c r="IE38" s="504">
        <v>0</v>
      </c>
      <c r="IF38" s="504">
        <v>0</v>
      </c>
      <c r="IG38" s="504">
        <v>0</v>
      </c>
      <c r="IH38" s="504">
        <v>0</v>
      </c>
      <c r="II38" s="504">
        <v>0</v>
      </c>
      <c r="IJ38" s="504">
        <v>0</v>
      </c>
      <c r="IK38" s="504">
        <v>0</v>
      </c>
      <c r="IL38" s="504">
        <v>0</v>
      </c>
      <c r="IM38" s="504">
        <v>0</v>
      </c>
      <c r="IN38" s="504">
        <v>0</v>
      </c>
      <c r="IO38" s="504">
        <v>0</v>
      </c>
      <c r="IP38" s="504">
        <v>0</v>
      </c>
      <c r="IQ38" s="504">
        <v>0</v>
      </c>
      <c r="IR38" s="504">
        <v>0</v>
      </c>
      <c r="IS38" s="504">
        <v>0</v>
      </c>
      <c r="IT38" s="504">
        <v>0</v>
      </c>
      <c r="IU38" s="504">
        <v>0</v>
      </c>
      <c r="IV38" s="504">
        <v>0</v>
      </c>
      <c r="IW38" s="504">
        <v>0</v>
      </c>
      <c r="IX38" s="504">
        <v>0</v>
      </c>
      <c r="IY38" s="504">
        <v>0</v>
      </c>
      <c r="IZ38" s="504">
        <v>0</v>
      </c>
      <c r="JA38" s="504">
        <v>0</v>
      </c>
      <c r="JB38" s="504">
        <v>0</v>
      </c>
      <c r="JC38" s="504">
        <v>0</v>
      </c>
      <c r="JD38" s="504">
        <v>0</v>
      </c>
      <c r="JE38" s="504">
        <v>0</v>
      </c>
      <c r="JF38" s="504">
        <v>0</v>
      </c>
      <c r="JG38" s="504">
        <v>0</v>
      </c>
      <c r="JH38" s="504">
        <v>0</v>
      </c>
      <c r="JI38" s="504">
        <v>0</v>
      </c>
      <c r="JJ38" s="504">
        <v>0</v>
      </c>
      <c r="JK38" s="504">
        <v>0</v>
      </c>
      <c r="JL38" s="504">
        <v>0</v>
      </c>
      <c r="JM38" s="504">
        <v>0</v>
      </c>
      <c r="JN38" s="504">
        <v>0</v>
      </c>
      <c r="JO38" s="504">
        <v>0</v>
      </c>
      <c r="JP38" s="504">
        <v>0</v>
      </c>
      <c r="JQ38" s="504">
        <v>0</v>
      </c>
      <c r="JR38" s="504">
        <v>0</v>
      </c>
      <c r="JS38" s="504">
        <v>0</v>
      </c>
      <c r="JT38" s="504">
        <v>0</v>
      </c>
      <c r="JU38" s="504">
        <v>0</v>
      </c>
      <c r="JV38" s="504">
        <v>0</v>
      </c>
      <c r="JW38" s="504">
        <v>0</v>
      </c>
      <c r="JX38" s="504">
        <v>0</v>
      </c>
      <c r="JY38" s="504">
        <v>0</v>
      </c>
      <c r="JZ38" s="504">
        <v>0</v>
      </c>
      <c r="KA38" s="504">
        <v>0</v>
      </c>
      <c r="KB38" s="504">
        <v>0</v>
      </c>
      <c r="KC38" s="504">
        <v>0</v>
      </c>
      <c r="KD38" s="504">
        <v>0</v>
      </c>
      <c r="KE38" s="504">
        <v>0</v>
      </c>
      <c r="KF38" s="504">
        <v>0</v>
      </c>
      <c r="KG38" s="504">
        <v>0</v>
      </c>
      <c r="KH38" s="504">
        <v>0</v>
      </c>
      <c r="KI38" s="504">
        <v>0</v>
      </c>
      <c r="KJ38" s="504">
        <v>0</v>
      </c>
      <c r="KK38" s="504">
        <v>0</v>
      </c>
      <c r="KL38" s="504">
        <v>0</v>
      </c>
      <c r="KM38" s="504">
        <v>0</v>
      </c>
      <c r="KN38" s="504">
        <v>0</v>
      </c>
      <c r="KO38" s="504">
        <v>0</v>
      </c>
      <c r="KP38" s="504">
        <v>0</v>
      </c>
      <c r="KQ38" s="504">
        <v>0</v>
      </c>
      <c r="KR38" s="504">
        <v>0</v>
      </c>
      <c r="KS38" s="504">
        <v>0</v>
      </c>
      <c r="KT38" s="1654">
        <v>0</v>
      </c>
      <c r="KU38" s="504">
        <v>0</v>
      </c>
      <c r="KV38" s="504">
        <v>0</v>
      </c>
      <c r="KW38" s="504">
        <v>0</v>
      </c>
      <c r="KX38" s="504">
        <v>1188</v>
      </c>
      <c r="KY38" s="504">
        <v>1667</v>
      </c>
      <c r="KZ38" s="504">
        <v>2241</v>
      </c>
      <c r="LA38" s="504">
        <v>0</v>
      </c>
      <c r="LB38" s="504">
        <v>0</v>
      </c>
      <c r="LC38" s="504">
        <v>0</v>
      </c>
      <c r="LD38" s="504">
        <v>0</v>
      </c>
      <c r="LE38" s="504">
        <v>0</v>
      </c>
      <c r="LF38" s="504">
        <v>0</v>
      </c>
      <c r="LG38" s="504">
        <v>0</v>
      </c>
      <c r="LH38" s="504">
        <v>0</v>
      </c>
      <c r="LI38" s="504">
        <v>0</v>
      </c>
      <c r="LJ38" s="504">
        <v>0</v>
      </c>
      <c r="LK38" s="504">
        <v>0</v>
      </c>
      <c r="LL38" s="504">
        <v>0</v>
      </c>
      <c r="LM38" s="504">
        <v>0</v>
      </c>
      <c r="LN38" s="504">
        <v>0</v>
      </c>
      <c r="LO38" s="504">
        <v>0</v>
      </c>
      <c r="LP38" s="504">
        <v>0</v>
      </c>
      <c r="LQ38" s="504">
        <v>0</v>
      </c>
      <c r="LR38" s="504">
        <v>0</v>
      </c>
      <c r="LS38" s="504">
        <v>0</v>
      </c>
      <c r="LT38" s="504">
        <v>0</v>
      </c>
      <c r="LU38" s="504">
        <v>0</v>
      </c>
      <c r="LV38" s="504">
        <v>0</v>
      </c>
      <c r="LW38" s="504">
        <v>0</v>
      </c>
      <c r="LX38" s="504">
        <v>0</v>
      </c>
      <c r="LY38" s="504">
        <v>0</v>
      </c>
      <c r="LZ38" s="504">
        <v>0</v>
      </c>
      <c r="MA38" s="504">
        <v>0</v>
      </c>
      <c r="MB38" s="504">
        <v>0</v>
      </c>
      <c r="MC38" s="504">
        <v>0</v>
      </c>
      <c r="MD38" s="504">
        <v>0</v>
      </c>
      <c r="ME38" s="504">
        <v>0</v>
      </c>
      <c r="MF38" s="504">
        <v>0</v>
      </c>
      <c r="MG38" s="504">
        <v>0</v>
      </c>
      <c r="MH38" s="504">
        <v>0</v>
      </c>
      <c r="MI38" s="504">
        <v>0</v>
      </c>
      <c r="MJ38" s="504">
        <v>0</v>
      </c>
      <c r="MK38" s="504">
        <v>0</v>
      </c>
      <c r="ML38" s="504">
        <v>0</v>
      </c>
      <c r="MM38" s="504">
        <v>0</v>
      </c>
      <c r="MN38" s="504">
        <v>0</v>
      </c>
      <c r="MO38" s="504">
        <v>0</v>
      </c>
      <c r="MP38" s="504">
        <v>0</v>
      </c>
      <c r="MQ38" s="504">
        <v>0</v>
      </c>
      <c r="MR38" s="504">
        <v>0</v>
      </c>
      <c r="MS38" s="504">
        <v>0</v>
      </c>
      <c r="MT38" s="504">
        <v>0</v>
      </c>
      <c r="MU38" s="504">
        <v>0</v>
      </c>
      <c r="MV38" s="504">
        <v>0</v>
      </c>
      <c r="MW38" s="504">
        <v>0</v>
      </c>
      <c r="MX38" s="504">
        <v>0</v>
      </c>
      <c r="MY38" s="504">
        <v>0</v>
      </c>
      <c r="MZ38" s="504">
        <v>0</v>
      </c>
      <c r="NA38" s="504">
        <v>0</v>
      </c>
      <c r="NB38" s="504">
        <v>0</v>
      </c>
      <c r="NC38" s="504">
        <v>0</v>
      </c>
      <c r="ND38" s="504">
        <v>0</v>
      </c>
      <c r="NE38" s="504">
        <v>0</v>
      </c>
      <c r="NF38" s="504">
        <v>0</v>
      </c>
      <c r="NG38" s="504">
        <v>0</v>
      </c>
      <c r="NH38" s="504">
        <v>0</v>
      </c>
      <c r="NI38" s="504">
        <v>0</v>
      </c>
      <c r="NJ38" s="504">
        <v>0</v>
      </c>
      <c r="NK38" s="504">
        <v>0</v>
      </c>
      <c r="NL38" s="504">
        <v>0</v>
      </c>
      <c r="NM38" s="504">
        <v>0</v>
      </c>
      <c r="NN38" s="504">
        <v>0</v>
      </c>
      <c r="NO38" s="504">
        <v>0</v>
      </c>
      <c r="NP38" s="504">
        <v>0</v>
      </c>
      <c r="NQ38" s="504">
        <v>0</v>
      </c>
      <c r="NR38" s="504">
        <v>0</v>
      </c>
      <c r="NS38" s="504">
        <v>0</v>
      </c>
      <c r="NT38" s="504">
        <v>0</v>
      </c>
      <c r="NU38" s="504">
        <v>0</v>
      </c>
      <c r="NV38" s="504">
        <v>0</v>
      </c>
      <c r="NW38" s="504">
        <v>0</v>
      </c>
      <c r="NX38" s="504">
        <v>0</v>
      </c>
      <c r="NY38" s="504">
        <v>0</v>
      </c>
      <c r="NZ38" s="504">
        <v>0</v>
      </c>
      <c r="OA38" s="504">
        <v>0</v>
      </c>
      <c r="OB38" s="504">
        <v>0</v>
      </c>
      <c r="OC38" s="504">
        <v>0</v>
      </c>
      <c r="OD38" s="504">
        <v>0</v>
      </c>
      <c r="OE38" s="504">
        <v>0</v>
      </c>
      <c r="OF38" s="504">
        <v>0</v>
      </c>
      <c r="OG38" s="504">
        <v>0</v>
      </c>
      <c r="OH38" s="504">
        <v>0</v>
      </c>
      <c r="OI38" s="504">
        <v>0</v>
      </c>
      <c r="OJ38" s="504">
        <v>0</v>
      </c>
      <c r="OK38" s="504">
        <v>0</v>
      </c>
      <c r="OL38" s="504">
        <v>0</v>
      </c>
      <c r="OM38" s="504">
        <v>0</v>
      </c>
      <c r="ON38" s="504">
        <v>0</v>
      </c>
      <c r="OO38" s="504">
        <v>0</v>
      </c>
      <c r="OP38" s="504">
        <v>0</v>
      </c>
      <c r="OQ38" s="504">
        <v>0</v>
      </c>
      <c r="OR38"/>
      <c r="OS38"/>
      <c r="OT38"/>
      <c r="OU38"/>
      <c r="OV38"/>
      <c r="OW38"/>
      <c r="OX38"/>
      <c r="OY38"/>
      <c r="OZ38"/>
      <c r="PA38"/>
      <c r="PB38"/>
      <c r="PC38"/>
      <c r="PD38"/>
      <c r="PE38"/>
      <c r="PF38"/>
      <c r="PG38"/>
      <c r="PH38"/>
      <c r="PI38"/>
      <c r="PJ38"/>
      <c r="PK38"/>
      <c r="PL38"/>
      <c r="PM38"/>
      <c r="PN38"/>
      <c r="PO38"/>
      <c r="PP38"/>
      <c r="PQ38"/>
      <c r="PR38"/>
      <c r="PS38"/>
      <c r="PT38" s="1656"/>
    </row>
    <row r="39" spans="1:436" ht="21.5">
      <c r="A39" s="1466" t="s">
        <v>1701</v>
      </c>
      <c r="B39" s="1576" t="s">
        <v>2358</v>
      </c>
      <c r="C39" s="1576" t="s">
        <v>13</v>
      </c>
      <c r="D39" s="1576">
        <v>62</v>
      </c>
      <c r="E39" s="504">
        <v>105</v>
      </c>
      <c r="F39" s="504">
        <v>387</v>
      </c>
      <c r="G39" s="504">
        <v>972</v>
      </c>
      <c r="H39" s="504">
        <v>1506</v>
      </c>
      <c r="I39" s="504">
        <v>2142</v>
      </c>
      <c r="J39" s="504">
        <v>2612</v>
      </c>
      <c r="K39" s="504">
        <v>2655</v>
      </c>
      <c r="L39" s="504">
        <v>2699</v>
      </c>
      <c r="M39" s="504">
        <v>2743</v>
      </c>
      <c r="N39" s="504">
        <v>2788</v>
      </c>
      <c r="O39" s="504">
        <v>2835</v>
      </c>
      <c r="P39" s="504">
        <v>2883</v>
      </c>
      <c r="Q39" s="504">
        <v>2933</v>
      </c>
      <c r="R39" s="504">
        <v>2986</v>
      </c>
      <c r="S39" s="504">
        <v>3043</v>
      </c>
      <c r="T39" s="504">
        <v>3104</v>
      </c>
      <c r="U39" s="504">
        <v>3171</v>
      </c>
      <c r="V39" s="504">
        <v>3266</v>
      </c>
      <c r="W39" s="504">
        <v>0</v>
      </c>
      <c r="X39" s="504">
        <v>0</v>
      </c>
      <c r="Y39" s="504">
        <v>0</v>
      </c>
      <c r="Z39" s="504">
        <v>0</v>
      </c>
      <c r="AA39" s="504">
        <v>0</v>
      </c>
      <c r="AB39" s="504">
        <v>0</v>
      </c>
      <c r="AC39" s="504">
        <v>0</v>
      </c>
      <c r="AD39" s="504">
        <v>0</v>
      </c>
      <c r="AE39" s="504">
        <v>0</v>
      </c>
      <c r="AF39" s="504">
        <v>0</v>
      </c>
      <c r="AG39" s="504">
        <v>0</v>
      </c>
      <c r="AH39" s="504">
        <v>0</v>
      </c>
      <c r="AI39" s="504">
        <v>0</v>
      </c>
      <c r="AJ39" s="504">
        <v>0</v>
      </c>
      <c r="AK39" s="504">
        <v>0</v>
      </c>
      <c r="AL39" s="504">
        <v>0</v>
      </c>
      <c r="AM39" s="504">
        <v>0</v>
      </c>
      <c r="AN39" s="504">
        <v>0</v>
      </c>
      <c r="AO39" s="504">
        <v>0</v>
      </c>
      <c r="AP39" s="504">
        <v>0</v>
      </c>
      <c r="AQ39" s="504">
        <v>0</v>
      </c>
      <c r="AR39" s="504">
        <v>0</v>
      </c>
      <c r="AS39" s="504">
        <v>0</v>
      </c>
      <c r="AT39" s="504">
        <v>0</v>
      </c>
      <c r="AU39" s="504">
        <v>0</v>
      </c>
      <c r="AV39" s="504">
        <v>0</v>
      </c>
      <c r="AW39" s="504">
        <v>0</v>
      </c>
      <c r="AX39" s="504">
        <v>0</v>
      </c>
      <c r="AY39" s="504">
        <v>0</v>
      </c>
      <c r="AZ39" s="504">
        <v>0</v>
      </c>
      <c r="BA39" s="504">
        <v>0</v>
      </c>
      <c r="BB39" s="504">
        <v>0</v>
      </c>
      <c r="BC39" s="504">
        <v>0</v>
      </c>
      <c r="BD39" s="504">
        <v>0</v>
      </c>
      <c r="BE39" s="504">
        <v>0</v>
      </c>
      <c r="BF39" s="504">
        <v>0</v>
      </c>
      <c r="BG39" s="504">
        <v>0</v>
      </c>
      <c r="BH39" s="504">
        <v>0</v>
      </c>
      <c r="BI39" s="504">
        <v>0</v>
      </c>
      <c r="BJ39" s="504">
        <v>0</v>
      </c>
      <c r="BK39" s="504">
        <v>0</v>
      </c>
      <c r="BL39" s="504">
        <v>0</v>
      </c>
      <c r="BM39" s="504">
        <v>0</v>
      </c>
      <c r="BN39" s="504">
        <v>0</v>
      </c>
      <c r="BO39" s="504">
        <v>0</v>
      </c>
      <c r="BP39" s="504">
        <v>0</v>
      </c>
      <c r="BQ39" s="504">
        <v>0</v>
      </c>
      <c r="BR39" s="504">
        <v>0</v>
      </c>
      <c r="BS39" s="504">
        <v>0</v>
      </c>
      <c r="BT39" s="504">
        <v>0</v>
      </c>
      <c r="BU39" s="504">
        <v>0</v>
      </c>
      <c r="BV39" s="504">
        <v>0</v>
      </c>
      <c r="BW39" s="504">
        <v>0</v>
      </c>
      <c r="BX39" s="504">
        <v>0</v>
      </c>
      <c r="BY39" s="504">
        <v>0</v>
      </c>
      <c r="BZ39" s="504">
        <v>0</v>
      </c>
      <c r="CA39" s="504">
        <v>0</v>
      </c>
      <c r="CB39" s="504">
        <v>0</v>
      </c>
      <c r="CC39" s="504">
        <v>0</v>
      </c>
      <c r="CD39" s="504">
        <v>0</v>
      </c>
      <c r="CE39" s="504">
        <v>0</v>
      </c>
      <c r="CF39" s="504">
        <v>0</v>
      </c>
      <c r="CG39" s="504">
        <v>0</v>
      </c>
      <c r="CH39" s="504">
        <v>0</v>
      </c>
      <c r="CI39" s="504">
        <v>0</v>
      </c>
      <c r="CJ39" s="504">
        <v>0</v>
      </c>
      <c r="CK39" s="504">
        <v>0</v>
      </c>
      <c r="CL39" s="504">
        <v>0</v>
      </c>
      <c r="CM39" s="504">
        <v>0</v>
      </c>
      <c r="CN39" s="504">
        <v>0</v>
      </c>
      <c r="CO39" s="504">
        <v>0</v>
      </c>
      <c r="CP39" s="504">
        <v>0</v>
      </c>
      <c r="CQ39" s="504">
        <v>0</v>
      </c>
      <c r="CR39" s="504">
        <v>0</v>
      </c>
      <c r="CS39" s="504">
        <v>0</v>
      </c>
      <c r="CT39" s="504">
        <v>0</v>
      </c>
      <c r="CU39" s="504">
        <v>0</v>
      </c>
      <c r="CV39" s="504">
        <v>0</v>
      </c>
      <c r="CW39" s="504">
        <v>0</v>
      </c>
      <c r="CX39" s="504">
        <v>0</v>
      </c>
      <c r="CY39" s="504">
        <v>0</v>
      </c>
      <c r="CZ39" s="1654">
        <v>0</v>
      </c>
      <c r="DA39" s="504">
        <v>0</v>
      </c>
      <c r="DB39" s="504">
        <v>156</v>
      </c>
      <c r="DC39" s="504">
        <v>561</v>
      </c>
      <c r="DD39" s="504">
        <v>1266</v>
      </c>
      <c r="DE39" s="504">
        <v>1784</v>
      </c>
      <c r="DF39" s="504">
        <v>2404</v>
      </c>
      <c r="DG39" s="504">
        <v>0</v>
      </c>
      <c r="DH39" s="504">
        <v>0</v>
      </c>
      <c r="DI39" s="504">
        <v>0</v>
      </c>
      <c r="DJ39" s="504">
        <v>0</v>
      </c>
      <c r="DK39" s="504">
        <v>0</v>
      </c>
      <c r="DL39" s="504">
        <v>0</v>
      </c>
      <c r="DM39" s="504">
        <v>0</v>
      </c>
      <c r="DN39" s="504">
        <v>0</v>
      </c>
      <c r="DO39" s="504">
        <v>0</v>
      </c>
      <c r="DP39" s="504">
        <v>0</v>
      </c>
      <c r="DQ39" s="504">
        <v>0</v>
      </c>
      <c r="DR39" s="504">
        <v>0</v>
      </c>
      <c r="DS39" s="504">
        <v>0</v>
      </c>
      <c r="DT39" s="504">
        <v>0</v>
      </c>
      <c r="DU39" s="504">
        <v>0</v>
      </c>
      <c r="DV39" s="504">
        <v>0</v>
      </c>
      <c r="DW39" s="504">
        <v>0</v>
      </c>
      <c r="DX39" s="504">
        <v>0</v>
      </c>
      <c r="DY39" s="504">
        <v>0</v>
      </c>
      <c r="DZ39" s="504">
        <v>0</v>
      </c>
      <c r="EA39" s="504">
        <v>0</v>
      </c>
      <c r="EB39" s="504">
        <v>0</v>
      </c>
      <c r="EC39" s="504">
        <v>0</v>
      </c>
      <c r="ED39" s="504">
        <v>0</v>
      </c>
      <c r="EE39" s="504">
        <v>0</v>
      </c>
      <c r="EF39" s="504">
        <v>0</v>
      </c>
      <c r="EG39" s="504">
        <v>0</v>
      </c>
      <c r="EH39" s="504">
        <v>0</v>
      </c>
      <c r="EI39" s="504">
        <v>0</v>
      </c>
      <c r="EJ39" s="504">
        <v>0</v>
      </c>
      <c r="EK39" s="504">
        <v>0</v>
      </c>
      <c r="EL39" s="504">
        <v>0</v>
      </c>
      <c r="EM39" s="504">
        <v>0</v>
      </c>
      <c r="EN39" s="504">
        <v>0</v>
      </c>
      <c r="EO39" s="504">
        <v>0</v>
      </c>
      <c r="EP39" s="504">
        <v>0</v>
      </c>
      <c r="EQ39" s="504">
        <v>0</v>
      </c>
      <c r="ER39" s="504">
        <v>0</v>
      </c>
      <c r="ES39" s="504">
        <v>0</v>
      </c>
      <c r="ET39" s="504">
        <v>0</v>
      </c>
      <c r="EU39" s="504">
        <v>0</v>
      </c>
      <c r="EV39" s="504">
        <v>0</v>
      </c>
      <c r="EW39" s="504">
        <v>0</v>
      </c>
      <c r="EX39" s="504">
        <v>0</v>
      </c>
      <c r="EY39" s="504">
        <v>0</v>
      </c>
      <c r="EZ39" s="504">
        <v>0</v>
      </c>
      <c r="FA39" s="504">
        <v>0</v>
      </c>
      <c r="FB39" s="504">
        <v>0</v>
      </c>
      <c r="FC39" s="504">
        <v>0</v>
      </c>
      <c r="FD39" s="504">
        <v>0</v>
      </c>
      <c r="FE39" s="504">
        <v>0</v>
      </c>
      <c r="FF39" s="504">
        <v>0</v>
      </c>
      <c r="FG39" s="504">
        <v>0</v>
      </c>
      <c r="FH39" s="504">
        <v>0</v>
      </c>
      <c r="FI39" s="504">
        <v>0</v>
      </c>
      <c r="FJ39" s="504">
        <v>0</v>
      </c>
      <c r="FK39" s="504">
        <v>0</v>
      </c>
      <c r="FL39" s="504">
        <v>0</v>
      </c>
      <c r="FM39" s="504">
        <v>0</v>
      </c>
      <c r="FN39" s="504">
        <v>0</v>
      </c>
      <c r="FO39" s="504">
        <v>0</v>
      </c>
      <c r="FP39" s="504">
        <v>0</v>
      </c>
      <c r="FQ39" s="504">
        <v>0</v>
      </c>
      <c r="FR39" s="504">
        <v>0</v>
      </c>
      <c r="FS39" s="504">
        <v>0</v>
      </c>
      <c r="FT39" s="504">
        <v>0</v>
      </c>
      <c r="FU39" s="504">
        <v>0</v>
      </c>
      <c r="FV39" s="504">
        <v>0</v>
      </c>
      <c r="FW39" s="504">
        <v>0</v>
      </c>
      <c r="FX39" s="504">
        <v>0</v>
      </c>
      <c r="FY39" s="504">
        <v>0</v>
      </c>
      <c r="FZ39" s="504">
        <v>0</v>
      </c>
      <c r="GA39" s="504">
        <v>0</v>
      </c>
      <c r="GB39" s="504">
        <v>0</v>
      </c>
      <c r="GC39" s="504">
        <v>0</v>
      </c>
      <c r="GD39" s="504">
        <v>0</v>
      </c>
      <c r="GE39" s="504">
        <v>0</v>
      </c>
      <c r="GF39" s="504">
        <v>0</v>
      </c>
      <c r="GG39" s="504">
        <v>0</v>
      </c>
      <c r="GH39" s="504">
        <v>0</v>
      </c>
      <c r="GI39" s="504">
        <v>0</v>
      </c>
      <c r="GJ39" s="504">
        <v>0</v>
      </c>
      <c r="GK39" s="504">
        <v>0</v>
      </c>
      <c r="GL39" s="504">
        <v>0</v>
      </c>
      <c r="GM39" s="504">
        <v>0</v>
      </c>
      <c r="GN39" s="504">
        <v>0</v>
      </c>
      <c r="GO39" s="504">
        <v>0</v>
      </c>
      <c r="GP39" s="504">
        <v>0</v>
      </c>
      <c r="GQ39" s="504">
        <v>0</v>
      </c>
      <c r="GR39" s="504">
        <v>0</v>
      </c>
      <c r="GS39" s="504">
        <v>0</v>
      </c>
      <c r="GT39" s="504">
        <v>0</v>
      </c>
      <c r="GU39" s="504">
        <v>0</v>
      </c>
      <c r="GV39" s="504">
        <v>0</v>
      </c>
      <c r="GW39" s="1654">
        <v>0</v>
      </c>
      <c r="GX39" s="504">
        <v>0</v>
      </c>
      <c r="GY39" s="504">
        <v>4292</v>
      </c>
      <c r="GZ39" s="504">
        <v>13177</v>
      </c>
      <c r="HA39" s="504">
        <v>15000</v>
      </c>
      <c r="HB39" s="504">
        <v>14000</v>
      </c>
      <c r="HC39" s="504">
        <v>13000</v>
      </c>
      <c r="HD39" s="504">
        <v>0</v>
      </c>
      <c r="HE39" s="504">
        <v>0</v>
      </c>
      <c r="HF39" s="504">
        <v>0</v>
      </c>
      <c r="HG39" s="504">
        <v>0</v>
      </c>
      <c r="HH39" s="504">
        <v>0</v>
      </c>
      <c r="HI39" s="504">
        <v>0</v>
      </c>
      <c r="HJ39" s="504">
        <v>0</v>
      </c>
      <c r="HK39" s="504">
        <v>0</v>
      </c>
      <c r="HL39" s="504">
        <v>0</v>
      </c>
      <c r="HM39" s="504">
        <v>0</v>
      </c>
      <c r="HN39" s="504">
        <v>0</v>
      </c>
      <c r="HO39" s="504">
        <v>0</v>
      </c>
      <c r="HP39" s="504">
        <v>0</v>
      </c>
      <c r="HQ39" s="504">
        <v>0</v>
      </c>
      <c r="HR39" s="504">
        <v>0</v>
      </c>
      <c r="HS39" s="504">
        <v>0</v>
      </c>
      <c r="HT39" s="504">
        <v>0</v>
      </c>
      <c r="HU39" s="504">
        <v>0</v>
      </c>
      <c r="HV39" s="504">
        <v>0</v>
      </c>
      <c r="HW39" s="504">
        <v>0</v>
      </c>
      <c r="HX39" s="504">
        <v>0</v>
      </c>
      <c r="HY39" s="504">
        <v>0</v>
      </c>
      <c r="HZ39" s="504">
        <v>0</v>
      </c>
      <c r="IA39" s="504">
        <v>0</v>
      </c>
      <c r="IB39" s="504">
        <v>0</v>
      </c>
      <c r="IC39" s="504">
        <v>0</v>
      </c>
      <c r="ID39" s="504">
        <v>0</v>
      </c>
      <c r="IE39" s="504">
        <v>0</v>
      </c>
      <c r="IF39" s="504">
        <v>0</v>
      </c>
      <c r="IG39" s="504">
        <v>0</v>
      </c>
      <c r="IH39" s="504">
        <v>0</v>
      </c>
      <c r="II39" s="504">
        <v>0</v>
      </c>
      <c r="IJ39" s="504">
        <v>0</v>
      </c>
      <c r="IK39" s="504">
        <v>0</v>
      </c>
      <c r="IL39" s="504">
        <v>0</v>
      </c>
      <c r="IM39" s="504">
        <v>0</v>
      </c>
      <c r="IN39" s="504">
        <v>0</v>
      </c>
      <c r="IO39" s="504">
        <v>0</v>
      </c>
      <c r="IP39" s="504">
        <v>0</v>
      </c>
      <c r="IQ39" s="504">
        <v>0</v>
      </c>
      <c r="IR39" s="504">
        <v>0</v>
      </c>
      <c r="IS39" s="504">
        <v>0</v>
      </c>
      <c r="IT39" s="504">
        <v>0</v>
      </c>
      <c r="IU39" s="504">
        <v>0</v>
      </c>
      <c r="IV39" s="504">
        <v>0</v>
      </c>
      <c r="IW39" s="504">
        <v>0</v>
      </c>
      <c r="IX39" s="504">
        <v>0</v>
      </c>
      <c r="IY39" s="504">
        <v>0</v>
      </c>
      <c r="IZ39" s="504">
        <v>0</v>
      </c>
      <c r="JA39" s="504">
        <v>0</v>
      </c>
      <c r="JB39" s="504">
        <v>0</v>
      </c>
      <c r="JC39" s="504">
        <v>0</v>
      </c>
      <c r="JD39" s="504">
        <v>0</v>
      </c>
      <c r="JE39" s="504">
        <v>0</v>
      </c>
      <c r="JF39" s="504">
        <v>0</v>
      </c>
      <c r="JG39" s="504">
        <v>0</v>
      </c>
      <c r="JH39" s="504">
        <v>0</v>
      </c>
      <c r="JI39" s="504">
        <v>0</v>
      </c>
      <c r="JJ39" s="504">
        <v>0</v>
      </c>
      <c r="JK39" s="504">
        <v>0</v>
      </c>
      <c r="JL39" s="504">
        <v>0</v>
      </c>
      <c r="JM39" s="504">
        <v>0</v>
      </c>
      <c r="JN39" s="504">
        <v>0</v>
      </c>
      <c r="JO39" s="504">
        <v>0</v>
      </c>
      <c r="JP39" s="504">
        <v>0</v>
      </c>
      <c r="JQ39" s="504">
        <v>0</v>
      </c>
      <c r="JR39" s="504">
        <v>0</v>
      </c>
      <c r="JS39" s="504">
        <v>0</v>
      </c>
      <c r="JT39" s="504">
        <v>0</v>
      </c>
      <c r="JU39" s="504">
        <v>0</v>
      </c>
      <c r="JV39" s="504">
        <v>0</v>
      </c>
      <c r="JW39" s="504">
        <v>0</v>
      </c>
      <c r="JX39" s="504">
        <v>0</v>
      </c>
      <c r="JY39" s="504">
        <v>0</v>
      </c>
      <c r="JZ39" s="504">
        <v>0</v>
      </c>
      <c r="KA39" s="504">
        <v>0</v>
      </c>
      <c r="KB39" s="504">
        <v>0</v>
      </c>
      <c r="KC39" s="504">
        <v>0</v>
      </c>
      <c r="KD39" s="504">
        <v>0</v>
      </c>
      <c r="KE39" s="504">
        <v>0</v>
      </c>
      <c r="KF39" s="504">
        <v>0</v>
      </c>
      <c r="KG39" s="504">
        <v>0</v>
      </c>
      <c r="KH39" s="504">
        <v>0</v>
      </c>
      <c r="KI39" s="504">
        <v>0</v>
      </c>
      <c r="KJ39" s="504">
        <v>0</v>
      </c>
      <c r="KK39" s="504">
        <v>0</v>
      </c>
      <c r="KL39" s="504">
        <v>0</v>
      </c>
      <c r="KM39" s="504">
        <v>0</v>
      </c>
      <c r="KN39" s="504">
        <v>0</v>
      </c>
      <c r="KO39" s="504">
        <v>0</v>
      </c>
      <c r="KP39" s="504">
        <v>0</v>
      </c>
      <c r="KQ39" s="504">
        <v>0</v>
      </c>
      <c r="KR39" s="504">
        <v>0</v>
      </c>
      <c r="KS39" s="504">
        <v>0</v>
      </c>
      <c r="KT39" s="1654">
        <v>0</v>
      </c>
      <c r="KU39" s="504">
        <v>0</v>
      </c>
      <c r="KV39" s="504">
        <v>0</v>
      </c>
      <c r="KW39" s="504">
        <v>0</v>
      </c>
      <c r="KX39" s="504">
        <v>1250</v>
      </c>
      <c r="KY39" s="504">
        <v>1769</v>
      </c>
      <c r="KZ39" s="504">
        <v>2390</v>
      </c>
      <c r="LA39" s="504">
        <v>0</v>
      </c>
      <c r="LB39" s="504">
        <v>0</v>
      </c>
      <c r="LC39" s="504">
        <v>0</v>
      </c>
      <c r="LD39" s="504">
        <v>0</v>
      </c>
      <c r="LE39" s="504">
        <v>0</v>
      </c>
      <c r="LF39" s="504">
        <v>0</v>
      </c>
      <c r="LG39" s="504">
        <v>0</v>
      </c>
      <c r="LH39" s="504">
        <v>0</v>
      </c>
      <c r="LI39" s="504">
        <v>0</v>
      </c>
      <c r="LJ39" s="504">
        <v>0</v>
      </c>
      <c r="LK39" s="504">
        <v>0</v>
      </c>
      <c r="LL39" s="504">
        <v>0</v>
      </c>
      <c r="LM39" s="504">
        <v>0</v>
      </c>
      <c r="LN39" s="504">
        <v>0</v>
      </c>
      <c r="LO39" s="504">
        <v>0</v>
      </c>
      <c r="LP39" s="504">
        <v>0</v>
      </c>
      <c r="LQ39" s="504">
        <v>0</v>
      </c>
      <c r="LR39" s="504">
        <v>0</v>
      </c>
      <c r="LS39" s="504">
        <v>0</v>
      </c>
      <c r="LT39" s="504">
        <v>0</v>
      </c>
      <c r="LU39" s="504">
        <v>0</v>
      </c>
      <c r="LV39" s="504">
        <v>0</v>
      </c>
      <c r="LW39" s="504">
        <v>0</v>
      </c>
      <c r="LX39" s="504">
        <v>0</v>
      </c>
      <c r="LY39" s="504">
        <v>0</v>
      </c>
      <c r="LZ39" s="504">
        <v>0</v>
      </c>
      <c r="MA39" s="504">
        <v>0</v>
      </c>
      <c r="MB39" s="504">
        <v>0</v>
      </c>
      <c r="MC39" s="504">
        <v>0</v>
      </c>
      <c r="MD39" s="504">
        <v>0</v>
      </c>
      <c r="ME39" s="504">
        <v>0</v>
      </c>
      <c r="MF39" s="504">
        <v>0</v>
      </c>
      <c r="MG39" s="504">
        <v>0</v>
      </c>
      <c r="MH39" s="504">
        <v>0</v>
      </c>
      <c r="MI39" s="504">
        <v>0</v>
      </c>
      <c r="MJ39" s="504">
        <v>0</v>
      </c>
      <c r="MK39" s="504">
        <v>0</v>
      </c>
      <c r="ML39" s="504">
        <v>0</v>
      </c>
      <c r="MM39" s="504">
        <v>0</v>
      </c>
      <c r="MN39" s="504">
        <v>0</v>
      </c>
      <c r="MO39" s="504">
        <v>0</v>
      </c>
      <c r="MP39" s="504">
        <v>0</v>
      </c>
      <c r="MQ39" s="504">
        <v>0</v>
      </c>
      <c r="MR39" s="504">
        <v>0</v>
      </c>
      <c r="MS39" s="504">
        <v>0</v>
      </c>
      <c r="MT39" s="504">
        <v>0</v>
      </c>
      <c r="MU39" s="504">
        <v>0</v>
      </c>
      <c r="MV39" s="504">
        <v>0</v>
      </c>
      <c r="MW39" s="504">
        <v>0</v>
      </c>
      <c r="MX39" s="504">
        <v>0</v>
      </c>
      <c r="MY39" s="504">
        <v>0</v>
      </c>
      <c r="MZ39" s="504">
        <v>0</v>
      </c>
      <c r="NA39" s="504">
        <v>0</v>
      </c>
      <c r="NB39" s="504">
        <v>0</v>
      </c>
      <c r="NC39" s="504">
        <v>0</v>
      </c>
      <c r="ND39" s="504">
        <v>0</v>
      </c>
      <c r="NE39" s="504">
        <v>0</v>
      </c>
      <c r="NF39" s="504">
        <v>0</v>
      </c>
      <c r="NG39" s="504">
        <v>0</v>
      </c>
      <c r="NH39" s="504">
        <v>0</v>
      </c>
      <c r="NI39" s="504">
        <v>0</v>
      </c>
      <c r="NJ39" s="504">
        <v>0</v>
      </c>
      <c r="NK39" s="504">
        <v>0</v>
      </c>
      <c r="NL39" s="504">
        <v>0</v>
      </c>
      <c r="NM39" s="504">
        <v>0</v>
      </c>
      <c r="NN39" s="504">
        <v>0</v>
      </c>
      <c r="NO39" s="504">
        <v>0</v>
      </c>
      <c r="NP39" s="504">
        <v>0</v>
      </c>
      <c r="NQ39" s="504">
        <v>0</v>
      </c>
      <c r="NR39" s="504">
        <v>0</v>
      </c>
      <c r="NS39" s="504">
        <v>0</v>
      </c>
      <c r="NT39" s="504">
        <v>0</v>
      </c>
      <c r="NU39" s="504">
        <v>0</v>
      </c>
      <c r="NV39" s="504">
        <v>0</v>
      </c>
      <c r="NW39" s="504">
        <v>0</v>
      </c>
      <c r="NX39" s="504">
        <v>0</v>
      </c>
      <c r="NY39" s="504">
        <v>0</v>
      </c>
      <c r="NZ39" s="504">
        <v>0</v>
      </c>
      <c r="OA39" s="504">
        <v>0</v>
      </c>
      <c r="OB39" s="504">
        <v>0</v>
      </c>
      <c r="OC39" s="504">
        <v>0</v>
      </c>
      <c r="OD39" s="504">
        <v>0</v>
      </c>
      <c r="OE39" s="504">
        <v>0</v>
      </c>
      <c r="OF39" s="504">
        <v>0</v>
      </c>
      <c r="OG39" s="504">
        <v>0</v>
      </c>
      <c r="OH39" s="504">
        <v>0</v>
      </c>
      <c r="OI39" s="504">
        <v>0</v>
      </c>
      <c r="OJ39" s="504">
        <v>0</v>
      </c>
      <c r="OK39" s="504">
        <v>0</v>
      </c>
      <c r="OL39" s="504">
        <v>0</v>
      </c>
      <c r="OM39" s="504">
        <v>0</v>
      </c>
      <c r="ON39" s="504">
        <v>0</v>
      </c>
      <c r="OO39" s="504">
        <v>0</v>
      </c>
      <c r="OP39" s="504">
        <v>0</v>
      </c>
      <c r="OQ39" s="504">
        <v>0</v>
      </c>
      <c r="OR39"/>
      <c r="OS39"/>
      <c r="OT39"/>
      <c r="OU39"/>
      <c r="OV39"/>
      <c r="OW39"/>
      <c r="OX39"/>
      <c r="OY39"/>
      <c r="OZ39"/>
      <c r="PA39"/>
      <c r="PB39"/>
      <c r="PC39"/>
      <c r="PD39"/>
      <c r="PE39"/>
      <c r="PF39"/>
      <c r="PG39"/>
      <c r="PH39"/>
      <c r="PI39"/>
      <c r="PJ39"/>
      <c r="PK39"/>
      <c r="PL39"/>
      <c r="PM39"/>
      <c r="PN39"/>
      <c r="PO39"/>
      <c r="PP39"/>
      <c r="PQ39"/>
      <c r="PR39"/>
      <c r="PS39"/>
      <c r="PT39" s="1656"/>
    </row>
    <row r="40" spans="1:436" ht="21.5">
      <c r="A40" s="1466" t="s">
        <v>1702</v>
      </c>
      <c r="B40" s="1576" t="s">
        <v>2358</v>
      </c>
      <c r="C40" s="1576" t="s">
        <v>13</v>
      </c>
      <c r="D40" s="1576">
        <v>63</v>
      </c>
      <c r="E40" s="504">
        <v>115</v>
      </c>
      <c r="F40" s="504">
        <v>419</v>
      </c>
      <c r="G40" s="504">
        <v>1051</v>
      </c>
      <c r="H40" s="504">
        <v>1626</v>
      </c>
      <c r="I40" s="504">
        <v>2312</v>
      </c>
      <c r="J40" s="504">
        <v>2819</v>
      </c>
      <c r="K40" s="504">
        <v>2866</v>
      </c>
      <c r="L40" s="504">
        <v>2914</v>
      </c>
      <c r="M40" s="504">
        <v>2963</v>
      </c>
      <c r="N40" s="504">
        <v>3013</v>
      </c>
      <c r="O40" s="504">
        <v>3065</v>
      </c>
      <c r="P40" s="504">
        <v>3120</v>
      </c>
      <c r="Q40" s="504">
        <v>3177</v>
      </c>
      <c r="R40" s="504">
        <v>3238</v>
      </c>
      <c r="S40" s="504">
        <v>3304</v>
      </c>
      <c r="T40" s="504">
        <v>3377</v>
      </c>
      <c r="U40" s="504">
        <v>3478</v>
      </c>
      <c r="V40" s="504">
        <v>0</v>
      </c>
      <c r="W40" s="504">
        <v>0</v>
      </c>
      <c r="X40" s="504">
        <v>0</v>
      </c>
      <c r="Y40" s="504">
        <v>0</v>
      </c>
      <c r="Z40" s="504">
        <v>0</v>
      </c>
      <c r="AA40" s="504">
        <v>0</v>
      </c>
      <c r="AB40" s="504">
        <v>0</v>
      </c>
      <c r="AC40" s="504">
        <v>0</v>
      </c>
      <c r="AD40" s="504">
        <v>0</v>
      </c>
      <c r="AE40" s="504">
        <v>0</v>
      </c>
      <c r="AF40" s="504">
        <v>0</v>
      </c>
      <c r="AG40" s="504">
        <v>0</v>
      </c>
      <c r="AH40" s="504">
        <v>0</v>
      </c>
      <c r="AI40" s="504">
        <v>0</v>
      </c>
      <c r="AJ40" s="504">
        <v>0</v>
      </c>
      <c r="AK40" s="504">
        <v>0</v>
      </c>
      <c r="AL40" s="504">
        <v>0</v>
      </c>
      <c r="AM40" s="504">
        <v>0</v>
      </c>
      <c r="AN40" s="504">
        <v>0</v>
      </c>
      <c r="AO40" s="504">
        <v>0</v>
      </c>
      <c r="AP40" s="504">
        <v>0</v>
      </c>
      <c r="AQ40" s="504">
        <v>0</v>
      </c>
      <c r="AR40" s="504">
        <v>0</v>
      </c>
      <c r="AS40" s="504">
        <v>0</v>
      </c>
      <c r="AT40" s="504">
        <v>0</v>
      </c>
      <c r="AU40" s="504">
        <v>0</v>
      </c>
      <c r="AV40" s="504">
        <v>0</v>
      </c>
      <c r="AW40" s="504">
        <v>0</v>
      </c>
      <c r="AX40" s="504">
        <v>0</v>
      </c>
      <c r="AY40" s="504">
        <v>0</v>
      </c>
      <c r="AZ40" s="504">
        <v>0</v>
      </c>
      <c r="BA40" s="504">
        <v>0</v>
      </c>
      <c r="BB40" s="504">
        <v>0</v>
      </c>
      <c r="BC40" s="504">
        <v>0</v>
      </c>
      <c r="BD40" s="504">
        <v>0</v>
      </c>
      <c r="BE40" s="504">
        <v>0</v>
      </c>
      <c r="BF40" s="504">
        <v>0</v>
      </c>
      <c r="BG40" s="504">
        <v>0</v>
      </c>
      <c r="BH40" s="504">
        <v>0</v>
      </c>
      <c r="BI40" s="504">
        <v>0</v>
      </c>
      <c r="BJ40" s="504">
        <v>0</v>
      </c>
      <c r="BK40" s="504">
        <v>0</v>
      </c>
      <c r="BL40" s="504">
        <v>0</v>
      </c>
      <c r="BM40" s="504">
        <v>0</v>
      </c>
      <c r="BN40" s="504">
        <v>0</v>
      </c>
      <c r="BO40" s="504">
        <v>0</v>
      </c>
      <c r="BP40" s="504">
        <v>0</v>
      </c>
      <c r="BQ40" s="504">
        <v>0</v>
      </c>
      <c r="BR40" s="504">
        <v>0</v>
      </c>
      <c r="BS40" s="504">
        <v>0</v>
      </c>
      <c r="BT40" s="504">
        <v>0</v>
      </c>
      <c r="BU40" s="504">
        <v>0</v>
      </c>
      <c r="BV40" s="504">
        <v>0</v>
      </c>
      <c r="BW40" s="504">
        <v>0</v>
      </c>
      <c r="BX40" s="504">
        <v>0</v>
      </c>
      <c r="BY40" s="504">
        <v>0</v>
      </c>
      <c r="BZ40" s="504">
        <v>0</v>
      </c>
      <c r="CA40" s="504">
        <v>0</v>
      </c>
      <c r="CB40" s="504">
        <v>0</v>
      </c>
      <c r="CC40" s="504">
        <v>0</v>
      </c>
      <c r="CD40" s="504">
        <v>0</v>
      </c>
      <c r="CE40" s="504">
        <v>0</v>
      </c>
      <c r="CF40" s="504">
        <v>0</v>
      </c>
      <c r="CG40" s="504">
        <v>0</v>
      </c>
      <c r="CH40" s="504">
        <v>0</v>
      </c>
      <c r="CI40" s="504">
        <v>0</v>
      </c>
      <c r="CJ40" s="504">
        <v>0</v>
      </c>
      <c r="CK40" s="504">
        <v>0</v>
      </c>
      <c r="CL40" s="504">
        <v>0</v>
      </c>
      <c r="CM40" s="504">
        <v>0</v>
      </c>
      <c r="CN40" s="504">
        <v>0</v>
      </c>
      <c r="CO40" s="504">
        <v>0</v>
      </c>
      <c r="CP40" s="504">
        <v>0</v>
      </c>
      <c r="CQ40" s="504">
        <v>0</v>
      </c>
      <c r="CR40" s="504">
        <v>0</v>
      </c>
      <c r="CS40" s="504">
        <v>0</v>
      </c>
      <c r="CT40" s="504">
        <v>0</v>
      </c>
      <c r="CU40" s="504">
        <v>0</v>
      </c>
      <c r="CV40" s="504">
        <v>0</v>
      </c>
      <c r="CW40" s="504">
        <v>0</v>
      </c>
      <c r="CX40" s="504">
        <v>0</v>
      </c>
      <c r="CY40" s="504">
        <v>0</v>
      </c>
      <c r="CZ40" s="1654">
        <v>0</v>
      </c>
      <c r="DA40" s="504">
        <v>0</v>
      </c>
      <c r="DB40" s="504">
        <v>167</v>
      </c>
      <c r="DC40" s="504">
        <v>593</v>
      </c>
      <c r="DD40" s="504">
        <v>1329</v>
      </c>
      <c r="DE40" s="504">
        <v>1888</v>
      </c>
      <c r="DF40" s="504">
        <v>2558</v>
      </c>
      <c r="DG40" s="504">
        <v>0</v>
      </c>
      <c r="DH40" s="504">
        <v>0</v>
      </c>
      <c r="DI40" s="504">
        <v>0</v>
      </c>
      <c r="DJ40" s="504">
        <v>0</v>
      </c>
      <c r="DK40" s="504">
        <v>0</v>
      </c>
      <c r="DL40" s="504">
        <v>0</v>
      </c>
      <c r="DM40" s="504">
        <v>0</v>
      </c>
      <c r="DN40" s="504">
        <v>0</v>
      </c>
      <c r="DO40" s="504">
        <v>0</v>
      </c>
      <c r="DP40" s="504">
        <v>0</v>
      </c>
      <c r="DQ40" s="504">
        <v>0</v>
      </c>
      <c r="DR40" s="504">
        <v>0</v>
      </c>
      <c r="DS40" s="504">
        <v>0</v>
      </c>
      <c r="DT40" s="504">
        <v>0</v>
      </c>
      <c r="DU40" s="504">
        <v>0</v>
      </c>
      <c r="DV40" s="504">
        <v>0</v>
      </c>
      <c r="DW40" s="504">
        <v>0</v>
      </c>
      <c r="DX40" s="504">
        <v>0</v>
      </c>
      <c r="DY40" s="504">
        <v>0</v>
      </c>
      <c r="DZ40" s="504">
        <v>0</v>
      </c>
      <c r="EA40" s="504">
        <v>0</v>
      </c>
      <c r="EB40" s="504">
        <v>0</v>
      </c>
      <c r="EC40" s="504">
        <v>0</v>
      </c>
      <c r="ED40" s="504">
        <v>0</v>
      </c>
      <c r="EE40" s="504">
        <v>0</v>
      </c>
      <c r="EF40" s="504">
        <v>0</v>
      </c>
      <c r="EG40" s="504">
        <v>0</v>
      </c>
      <c r="EH40" s="504">
        <v>0</v>
      </c>
      <c r="EI40" s="504">
        <v>0</v>
      </c>
      <c r="EJ40" s="504">
        <v>0</v>
      </c>
      <c r="EK40" s="504">
        <v>0</v>
      </c>
      <c r="EL40" s="504">
        <v>0</v>
      </c>
      <c r="EM40" s="504">
        <v>0</v>
      </c>
      <c r="EN40" s="504">
        <v>0</v>
      </c>
      <c r="EO40" s="504">
        <v>0</v>
      </c>
      <c r="EP40" s="504">
        <v>0</v>
      </c>
      <c r="EQ40" s="504">
        <v>0</v>
      </c>
      <c r="ER40" s="504">
        <v>0</v>
      </c>
      <c r="ES40" s="504">
        <v>0</v>
      </c>
      <c r="ET40" s="504">
        <v>0</v>
      </c>
      <c r="EU40" s="504">
        <v>0</v>
      </c>
      <c r="EV40" s="504">
        <v>0</v>
      </c>
      <c r="EW40" s="504">
        <v>0</v>
      </c>
      <c r="EX40" s="504">
        <v>0</v>
      </c>
      <c r="EY40" s="504">
        <v>0</v>
      </c>
      <c r="EZ40" s="504">
        <v>0</v>
      </c>
      <c r="FA40" s="504">
        <v>0</v>
      </c>
      <c r="FB40" s="504">
        <v>0</v>
      </c>
      <c r="FC40" s="504">
        <v>0</v>
      </c>
      <c r="FD40" s="504">
        <v>0</v>
      </c>
      <c r="FE40" s="504">
        <v>0</v>
      </c>
      <c r="FF40" s="504">
        <v>0</v>
      </c>
      <c r="FG40" s="504">
        <v>0</v>
      </c>
      <c r="FH40" s="504">
        <v>0</v>
      </c>
      <c r="FI40" s="504">
        <v>0</v>
      </c>
      <c r="FJ40" s="504">
        <v>0</v>
      </c>
      <c r="FK40" s="504">
        <v>0</v>
      </c>
      <c r="FL40" s="504">
        <v>0</v>
      </c>
      <c r="FM40" s="504">
        <v>0</v>
      </c>
      <c r="FN40" s="504">
        <v>0</v>
      </c>
      <c r="FO40" s="504">
        <v>0</v>
      </c>
      <c r="FP40" s="504">
        <v>0</v>
      </c>
      <c r="FQ40" s="504">
        <v>0</v>
      </c>
      <c r="FR40" s="504">
        <v>0</v>
      </c>
      <c r="FS40" s="504">
        <v>0</v>
      </c>
      <c r="FT40" s="504">
        <v>0</v>
      </c>
      <c r="FU40" s="504">
        <v>0</v>
      </c>
      <c r="FV40" s="504">
        <v>0</v>
      </c>
      <c r="FW40" s="504">
        <v>0</v>
      </c>
      <c r="FX40" s="504">
        <v>0</v>
      </c>
      <c r="FY40" s="504">
        <v>0</v>
      </c>
      <c r="FZ40" s="504">
        <v>0</v>
      </c>
      <c r="GA40" s="504">
        <v>0</v>
      </c>
      <c r="GB40" s="504">
        <v>0</v>
      </c>
      <c r="GC40" s="504">
        <v>0</v>
      </c>
      <c r="GD40" s="504">
        <v>0</v>
      </c>
      <c r="GE40" s="504">
        <v>0</v>
      </c>
      <c r="GF40" s="504">
        <v>0</v>
      </c>
      <c r="GG40" s="504">
        <v>0</v>
      </c>
      <c r="GH40" s="504">
        <v>0</v>
      </c>
      <c r="GI40" s="504">
        <v>0</v>
      </c>
      <c r="GJ40" s="504">
        <v>0</v>
      </c>
      <c r="GK40" s="504">
        <v>0</v>
      </c>
      <c r="GL40" s="504">
        <v>0</v>
      </c>
      <c r="GM40" s="504">
        <v>0</v>
      </c>
      <c r="GN40" s="504">
        <v>0</v>
      </c>
      <c r="GO40" s="504">
        <v>0</v>
      </c>
      <c r="GP40" s="504">
        <v>0</v>
      </c>
      <c r="GQ40" s="504">
        <v>0</v>
      </c>
      <c r="GR40" s="504">
        <v>0</v>
      </c>
      <c r="GS40" s="504">
        <v>0</v>
      </c>
      <c r="GT40" s="504">
        <v>0</v>
      </c>
      <c r="GU40" s="504">
        <v>0</v>
      </c>
      <c r="GV40" s="504">
        <v>0</v>
      </c>
      <c r="GW40" s="1654">
        <v>0</v>
      </c>
      <c r="GX40" s="504">
        <v>0</v>
      </c>
      <c r="GY40" s="504">
        <v>4279</v>
      </c>
      <c r="GZ40" s="504">
        <v>13181</v>
      </c>
      <c r="HA40" s="504">
        <v>14000</v>
      </c>
      <c r="HB40" s="504">
        <v>13000</v>
      </c>
      <c r="HC40" s="504">
        <v>12000</v>
      </c>
      <c r="HD40" s="504">
        <v>0</v>
      </c>
      <c r="HE40" s="504">
        <v>0</v>
      </c>
      <c r="HF40" s="504">
        <v>0</v>
      </c>
      <c r="HG40" s="504">
        <v>0</v>
      </c>
      <c r="HH40" s="504">
        <v>0</v>
      </c>
      <c r="HI40" s="504">
        <v>0</v>
      </c>
      <c r="HJ40" s="504">
        <v>0</v>
      </c>
      <c r="HK40" s="504">
        <v>0</v>
      </c>
      <c r="HL40" s="504">
        <v>0</v>
      </c>
      <c r="HM40" s="504">
        <v>0</v>
      </c>
      <c r="HN40" s="504">
        <v>0</v>
      </c>
      <c r="HO40" s="504">
        <v>0</v>
      </c>
      <c r="HP40" s="504">
        <v>0</v>
      </c>
      <c r="HQ40" s="504">
        <v>0</v>
      </c>
      <c r="HR40" s="504">
        <v>0</v>
      </c>
      <c r="HS40" s="504">
        <v>0</v>
      </c>
      <c r="HT40" s="504">
        <v>0</v>
      </c>
      <c r="HU40" s="504">
        <v>0</v>
      </c>
      <c r="HV40" s="504">
        <v>0</v>
      </c>
      <c r="HW40" s="504">
        <v>0</v>
      </c>
      <c r="HX40" s="504">
        <v>0</v>
      </c>
      <c r="HY40" s="504">
        <v>0</v>
      </c>
      <c r="HZ40" s="504">
        <v>0</v>
      </c>
      <c r="IA40" s="504">
        <v>0</v>
      </c>
      <c r="IB40" s="504">
        <v>0</v>
      </c>
      <c r="IC40" s="504">
        <v>0</v>
      </c>
      <c r="ID40" s="504">
        <v>0</v>
      </c>
      <c r="IE40" s="504">
        <v>0</v>
      </c>
      <c r="IF40" s="504">
        <v>0</v>
      </c>
      <c r="IG40" s="504">
        <v>0</v>
      </c>
      <c r="IH40" s="504">
        <v>0</v>
      </c>
      <c r="II40" s="504">
        <v>0</v>
      </c>
      <c r="IJ40" s="504">
        <v>0</v>
      </c>
      <c r="IK40" s="504">
        <v>0</v>
      </c>
      <c r="IL40" s="504">
        <v>0</v>
      </c>
      <c r="IM40" s="504">
        <v>0</v>
      </c>
      <c r="IN40" s="504">
        <v>0</v>
      </c>
      <c r="IO40" s="504">
        <v>0</v>
      </c>
      <c r="IP40" s="504">
        <v>0</v>
      </c>
      <c r="IQ40" s="504">
        <v>0</v>
      </c>
      <c r="IR40" s="504">
        <v>0</v>
      </c>
      <c r="IS40" s="504">
        <v>0</v>
      </c>
      <c r="IT40" s="504">
        <v>0</v>
      </c>
      <c r="IU40" s="504">
        <v>0</v>
      </c>
      <c r="IV40" s="504">
        <v>0</v>
      </c>
      <c r="IW40" s="504">
        <v>0</v>
      </c>
      <c r="IX40" s="504">
        <v>0</v>
      </c>
      <c r="IY40" s="504">
        <v>0</v>
      </c>
      <c r="IZ40" s="504">
        <v>0</v>
      </c>
      <c r="JA40" s="504">
        <v>0</v>
      </c>
      <c r="JB40" s="504">
        <v>0</v>
      </c>
      <c r="JC40" s="504">
        <v>0</v>
      </c>
      <c r="JD40" s="504">
        <v>0</v>
      </c>
      <c r="JE40" s="504">
        <v>0</v>
      </c>
      <c r="JF40" s="504">
        <v>0</v>
      </c>
      <c r="JG40" s="504">
        <v>0</v>
      </c>
      <c r="JH40" s="504">
        <v>0</v>
      </c>
      <c r="JI40" s="504">
        <v>0</v>
      </c>
      <c r="JJ40" s="504">
        <v>0</v>
      </c>
      <c r="JK40" s="504">
        <v>0</v>
      </c>
      <c r="JL40" s="504">
        <v>0</v>
      </c>
      <c r="JM40" s="504">
        <v>0</v>
      </c>
      <c r="JN40" s="504">
        <v>0</v>
      </c>
      <c r="JO40" s="504">
        <v>0</v>
      </c>
      <c r="JP40" s="504">
        <v>0</v>
      </c>
      <c r="JQ40" s="504">
        <v>0</v>
      </c>
      <c r="JR40" s="504">
        <v>0</v>
      </c>
      <c r="JS40" s="504">
        <v>0</v>
      </c>
      <c r="JT40" s="504">
        <v>0</v>
      </c>
      <c r="JU40" s="504">
        <v>0</v>
      </c>
      <c r="JV40" s="504">
        <v>0</v>
      </c>
      <c r="JW40" s="504">
        <v>0</v>
      </c>
      <c r="JX40" s="504">
        <v>0</v>
      </c>
      <c r="JY40" s="504">
        <v>0</v>
      </c>
      <c r="JZ40" s="504">
        <v>0</v>
      </c>
      <c r="KA40" s="504">
        <v>0</v>
      </c>
      <c r="KB40" s="504">
        <v>0</v>
      </c>
      <c r="KC40" s="504">
        <v>0</v>
      </c>
      <c r="KD40" s="504">
        <v>0</v>
      </c>
      <c r="KE40" s="504">
        <v>0</v>
      </c>
      <c r="KF40" s="504">
        <v>0</v>
      </c>
      <c r="KG40" s="504">
        <v>0</v>
      </c>
      <c r="KH40" s="504">
        <v>0</v>
      </c>
      <c r="KI40" s="504">
        <v>0</v>
      </c>
      <c r="KJ40" s="504">
        <v>0</v>
      </c>
      <c r="KK40" s="504">
        <v>0</v>
      </c>
      <c r="KL40" s="504">
        <v>0</v>
      </c>
      <c r="KM40" s="504">
        <v>0</v>
      </c>
      <c r="KN40" s="504">
        <v>0</v>
      </c>
      <c r="KO40" s="504">
        <v>0</v>
      </c>
      <c r="KP40" s="504">
        <v>0</v>
      </c>
      <c r="KQ40" s="504">
        <v>0</v>
      </c>
      <c r="KR40" s="504">
        <v>0</v>
      </c>
      <c r="KS40" s="504">
        <v>0</v>
      </c>
      <c r="KT40" s="1654">
        <v>0</v>
      </c>
      <c r="KU40" s="504">
        <v>0</v>
      </c>
      <c r="KV40" s="504">
        <v>0</v>
      </c>
      <c r="KW40" s="504">
        <v>0</v>
      </c>
      <c r="KX40" s="504">
        <v>1314</v>
      </c>
      <c r="KY40" s="504">
        <v>1874</v>
      </c>
      <c r="KZ40" s="504">
        <v>2545</v>
      </c>
      <c r="LA40" s="504">
        <v>0</v>
      </c>
      <c r="LB40" s="504">
        <v>0</v>
      </c>
      <c r="LC40" s="504">
        <v>0</v>
      </c>
      <c r="LD40" s="504">
        <v>0</v>
      </c>
      <c r="LE40" s="504">
        <v>0</v>
      </c>
      <c r="LF40" s="504">
        <v>0</v>
      </c>
      <c r="LG40" s="504">
        <v>0</v>
      </c>
      <c r="LH40" s="504">
        <v>0</v>
      </c>
      <c r="LI40" s="504">
        <v>0</v>
      </c>
      <c r="LJ40" s="504">
        <v>0</v>
      </c>
      <c r="LK40" s="504">
        <v>0</v>
      </c>
      <c r="LL40" s="504">
        <v>0</v>
      </c>
      <c r="LM40" s="504">
        <v>0</v>
      </c>
      <c r="LN40" s="504">
        <v>0</v>
      </c>
      <c r="LO40" s="504">
        <v>0</v>
      </c>
      <c r="LP40" s="504">
        <v>0</v>
      </c>
      <c r="LQ40" s="504">
        <v>0</v>
      </c>
      <c r="LR40" s="504">
        <v>0</v>
      </c>
      <c r="LS40" s="504">
        <v>0</v>
      </c>
      <c r="LT40" s="504">
        <v>0</v>
      </c>
      <c r="LU40" s="504">
        <v>0</v>
      </c>
      <c r="LV40" s="504">
        <v>0</v>
      </c>
      <c r="LW40" s="504">
        <v>0</v>
      </c>
      <c r="LX40" s="504">
        <v>0</v>
      </c>
      <c r="LY40" s="504">
        <v>0</v>
      </c>
      <c r="LZ40" s="504">
        <v>0</v>
      </c>
      <c r="MA40" s="504">
        <v>0</v>
      </c>
      <c r="MB40" s="504">
        <v>0</v>
      </c>
      <c r="MC40" s="504">
        <v>0</v>
      </c>
      <c r="MD40" s="504">
        <v>0</v>
      </c>
      <c r="ME40" s="504">
        <v>0</v>
      </c>
      <c r="MF40" s="504">
        <v>0</v>
      </c>
      <c r="MG40" s="504">
        <v>0</v>
      </c>
      <c r="MH40" s="504">
        <v>0</v>
      </c>
      <c r="MI40" s="504">
        <v>0</v>
      </c>
      <c r="MJ40" s="504">
        <v>0</v>
      </c>
      <c r="MK40" s="504">
        <v>0</v>
      </c>
      <c r="ML40" s="504">
        <v>0</v>
      </c>
      <c r="MM40" s="504">
        <v>0</v>
      </c>
      <c r="MN40" s="504">
        <v>0</v>
      </c>
      <c r="MO40" s="504">
        <v>0</v>
      </c>
      <c r="MP40" s="504">
        <v>0</v>
      </c>
      <c r="MQ40" s="504">
        <v>0</v>
      </c>
      <c r="MR40" s="504">
        <v>0</v>
      </c>
      <c r="MS40" s="504">
        <v>0</v>
      </c>
      <c r="MT40" s="504">
        <v>0</v>
      </c>
      <c r="MU40" s="504">
        <v>0</v>
      </c>
      <c r="MV40" s="504">
        <v>0</v>
      </c>
      <c r="MW40" s="504">
        <v>0</v>
      </c>
      <c r="MX40" s="504">
        <v>0</v>
      </c>
      <c r="MY40" s="504">
        <v>0</v>
      </c>
      <c r="MZ40" s="504">
        <v>0</v>
      </c>
      <c r="NA40" s="504">
        <v>0</v>
      </c>
      <c r="NB40" s="504">
        <v>0</v>
      </c>
      <c r="NC40" s="504">
        <v>0</v>
      </c>
      <c r="ND40" s="504">
        <v>0</v>
      </c>
      <c r="NE40" s="504">
        <v>0</v>
      </c>
      <c r="NF40" s="504">
        <v>0</v>
      </c>
      <c r="NG40" s="504">
        <v>0</v>
      </c>
      <c r="NH40" s="504">
        <v>0</v>
      </c>
      <c r="NI40" s="504">
        <v>0</v>
      </c>
      <c r="NJ40" s="504">
        <v>0</v>
      </c>
      <c r="NK40" s="504">
        <v>0</v>
      </c>
      <c r="NL40" s="504">
        <v>0</v>
      </c>
      <c r="NM40" s="504">
        <v>0</v>
      </c>
      <c r="NN40" s="504">
        <v>0</v>
      </c>
      <c r="NO40" s="504">
        <v>0</v>
      </c>
      <c r="NP40" s="504">
        <v>0</v>
      </c>
      <c r="NQ40" s="504">
        <v>0</v>
      </c>
      <c r="NR40" s="504">
        <v>0</v>
      </c>
      <c r="NS40" s="504">
        <v>0</v>
      </c>
      <c r="NT40" s="504">
        <v>0</v>
      </c>
      <c r="NU40" s="504">
        <v>0</v>
      </c>
      <c r="NV40" s="504">
        <v>0</v>
      </c>
      <c r="NW40" s="504">
        <v>0</v>
      </c>
      <c r="NX40" s="504">
        <v>0</v>
      </c>
      <c r="NY40" s="504">
        <v>0</v>
      </c>
      <c r="NZ40" s="504">
        <v>0</v>
      </c>
      <c r="OA40" s="504">
        <v>0</v>
      </c>
      <c r="OB40" s="504">
        <v>0</v>
      </c>
      <c r="OC40" s="504">
        <v>0</v>
      </c>
      <c r="OD40" s="504">
        <v>0</v>
      </c>
      <c r="OE40" s="504">
        <v>0</v>
      </c>
      <c r="OF40" s="504">
        <v>0</v>
      </c>
      <c r="OG40" s="504">
        <v>0</v>
      </c>
      <c r="OH40" s="504">
        <v>0</v>
      </c>
      <c r="OI40" s="504">
        <v>0</v>
      </c>
      <c r="OJ40" s="504">
        <v>0</v>
      </c>
      <c r="OK40" s="504">
        <v>0</v>
      </c>
      <c r="OL40" s="504">
        <v>0</v>
      </c>
      <c r="OM40" s="504">
        <v>0</v>
      </c>
      <c r="ON40" s="504">
        <v>0</v>
      </c>
      <c r="OO40" s="504">
        <v>0</v>
      </c>
      <c r="OP40" s="504">
        <v>0</v>
      </c>
      <c r="OQ40" s="504">
        <v>0</v>
      </c>
      <c r="OR40"/>
      <c r="OS40"/>
      <c r="OT40"/>
      <c r="OU40"/>
      <c r="OV40"/>
      <c r="OW40"/>
      <c r="OX40"/>
      <c r="OY40"/>
      <c r="OZ40"/>
      <c r="PA40"/>
      <c r="PB40"/>
      <c r="PC40"/>
      <c r="PD40"/>
      <c r="PE40"/>
      <c r="PF40"/>
      <c r="PG40"/>
      <c r="PH40"/>
      <c r="PI40"/>
      <c r="PJ40"/>
      <c r="PK40"/>
      <c r="PL40"/>
      <c r="PM40"/>
      <c r="PN40"/>
      <c r="PO40"/>
      <c r="PP40"/>
      <c r="PQ40"/>
      <c r="PR40"/>
      <c r="PS40"/>
      <c r="PT40" s="1656"/>
    </row>
    <row r="41" spans="1:436" ht="21.5">
      <c r="A41" s="1466" t="s">
        <v>1703</v>
      </c>
      <c r="B41" s="1576" t="s">
        <v>2358</v>
      </c>
      <c r="C41" s="1576" t="s">
        <v>13</v>
      </c>
      <c r="D41" s="1576">
        <v>64</v>
      </c>
      <c r="E41" s="504">
        <v>124</v>
      </c>
      <c r="F41" s="504">
        <v>452</v>
      </c>
      <c r="G41" s="504">
        <v>1134</v>
      </c>
      <c r="H41" s="504">
        <v>1752</v>
      </c>
      <c r="I41" s="504">
        <v>2488</v>
      </c>
      <c r="J41" s="504">
        <v>3033</v>
      </c>
      <c r="K41" s="504">
        <v>3084</v>
      </c>
      <c r="L41" s="504">
        <v>3137</v>
      </c>
      <c r="M41" s="504">
        <v>3191</v>
      </c>
      <c r="N41" s="504">
        <v>3247</v>
      </c>
      <c r="O41" s="504">
        <v>3306</v>
      </c>
      <c r="P41" s="504">
        <v>3368</v>
      </c>
      <c r="Q41" s="504">
        <v>3434</v>
      </c>
      <c r="R41" s="504">
        <v>3505</v>
      </c>
      <c r="S41" s="504">
        <v>3583</v>
      </c>
      <c r="T41" s="504">
        <v>3691</v>
      </c>
      <c r="U41" s="504">
        <v>0</v>
      </c>
      <c r="V41" s="504">
        <v>0</v>
      </c>
      <c r="W41" s="504">
        <v>0</v>
      </c>
      <c r="X41" s="504">
        <v>0</v>
      </c>
      <c r="Y41" s="504">
        <v>0</v>
      </c>
      <c r="Z41" s="504">
        <v>0</v>
      </c>
      <c r="AA41" s="504">
        <v>0</v>
      </c>
      <c r="AB41" s="504">
        <v>0</v>
      </c>
      <c r="AC41" s="504">
        <v>0</v>
      </c>
      <c r="AD41" s="504">
        <v>0</v>
      </c>
      <c r="AE41" s="504">
        <v>0</v>
      </c>
      <c r="AF41" s="504">
        <v>0</v>
      </c>
      <c r="AG41" s="504">
        <v>0</v>
      </c>
      <c r="AH41" s="504">
        <v>0</v>
      </c>
      <c r="AI41" s="504">
        <v>0</v>
      </c>
      <c r="AJ41" s="504">
        <v>0</v>
      </c>
      <c r="AK41" s="504">
        <v>0</v>
      </c>
      <c r="AL41" s="504">
        <v>0</v>
      </c>
      <c r="AM41" s="504">
        <v>0</v>
      </c>
      <c r="AN41" s="504">
        <v>0</v>
      </c>
      <c r="AO41" s="504">
        <v>0</v>
      </c>
      <c r="AP41" s="504">
        <v>0</v>
      </c>
      <c r="AQ41" s="504">
        <v>0</v>
      </c>
      <c r="AR41" s="504">
        <v>0</v>
      </c>
      <c r="AS41" s="504">
        <v>0</v>
      </c>
      <c r="AT41" s="504">
        <v>0</v>
      </c>
      <c r="AU41" s="504">
        <v>0</v>
      </c>
      <c r="AV41" s="504">
        <v>0</v>
      </c>
      <c r="AW41" s="504">
        <v>0</v>
      </c>
      <c r="AX41" s="504">
        <v>0</v>
      </c>
      <c r="AY41" s="504">
        <v>0</v>
      </c>
      <c r="AZ41" s="504">
        <v>0</v>
      </c>
      <c r="BA41" s="504">
        <v>0</v>
      </c>
      <c r="BB41" s="504">
        <v>0</v>
      </c>
      <c r="BC41" s="504">
        <v>0</v>
      </c>
      <c r="BD41" s="504">
        <v>0</v>
      </c>
      <c r="BE41" s="504">
        <v>0</v>
      </c>
      <c r="BF41" s="504">
        <v>0</v>
      </c>
      <c r="BG41" s="504">
        <v>0</v>
      </c>
      <c r="BH41" s="504">
        <v>0</v>
      </c>
      <c r="BI41" s="504">
        <v>0</v>
      </c>
      <c r="BJ41" s="504">
        <v>0</v>
      </c>
      <c r="BK41" s="504">
        <v>0</v>
      </c>
      <c r="BL41" s="504">
        <v>0</v>
      </c>
      <c r="BM41" s="504">
        <v>0</v>
      </c>
      <c r="BN41" s="504">
        <v>0</v>
      </c>
      <c r="BO41" s="504">
        <v>0</v>
      </c>
      <c r="BP41" s="504">
        <v>0</v>
      </c>
      <c r="BQ41" s="504">
        <v>0</v>
      </c>
      <c r="BR41" s="504">
        <v>0</v>
      </c>
      <c r="BS41" s="504">
        <v>0</v>
      </c>
      <c r="BT41" s="504">
        <v>0</v>
      </c>
      <c r="BU41" s="504">
        <v>0</v>
      </c>
      <c r="BV41" s="504">
        <v>0</v>
      </c>
      <c r="BW41" s="504">
        <v>0</v>
      </c>
      <c r="BX41" s="504">
        <v>0</v>
      </c>
      <c r="BY41" s="504">
        <v>0</v>
      </c>
      <c r="BZ41" s="504">
        <v>0</v>
      </c>
      <c r="CA41" s="504">
        <v>0</v>
      </c>
      <c r="CB41" s="504">
        <v>0</v>
      </c>
      <c r="CC41" s="504">
        <v>0</v>
      </c>
      <c r="CD41" s="504">
        <v>0</v>
      </c>
      <c r="CE41" s="504">
        <v>0</v>
      </c>
      <c r="CF41" s="504">
        <v>0</v>
      </c>
      <c r="CG41" s="504">
        <v>0</v>
      </c>
      <c r="CH41" s="504">
        <v>0</v>
      </c>
      <c r="CI41" s="504">
        <v>0</v>
      </c>
      <c r="CJ41" s="504">
        <v>0</v>
      </c>
      <c r="CK41" s="504">
        <v>0</v>
      </c>
      <c r="CL41" s="504">
        <v>0</v>
      </c>
      <c r="CM41" s="504">
        <v>0</v>
      </c>
      <c r="CN41" s="504">
        <v>0</v>
      </c>
      <c r="CO41" s="504">
        <v>0</v>
      </c>
      <c r="CP41" s="504">
        <v>0</v>
      </c>
      <c r="CQ41" s="504">
        <v>0</v>
      </c>
      <c r="CR41" s="504">
        <v>0</v>
      </c>
      <c r="CS41" s="504">
        <v>0</v>
      </c>
      <c r="CT41" s="504">
        <v>0</v>
      </c>
      <c r="CU41" s="504">
        <v>0</v>
      </c>
      <c r="CV41" s="504">
        <v>0</v>
      </c>
      <c r="CW41" s="504">
        <v>0</v>
      </c>
      <c r="CX41" s="504">
        <v>0</v>
      </c>
      <c r="CY41" s="504">
        <v>0</v>
      </c>
      <c r="CZ41" s="1654">
        <v>0</v>
      </c>
      <c r="DA41" s="504">
        <v>0</v>
      </c>
      <c r="DB41" s="504">
        <v>176</v>
      </c>
      <c r="DC41" s="504">
        <v>626</v>
      </c>
      <c r="DD41" s="504">
        <v>1396</v>
      </c>
      <c r="DE41" s="504">
        <v>1998</v>
      </c>
      <c r="DF41" s="504">
        <v>2717</v>
      </c>
      <c r="DG41" s="504">
        <v>0</v>
      </c>
      <c r="DH41" s="504">
        <v>0</v>
      </c>
      <c r="DI41" s="504">
        <v>0</v>
      </c>
      <c r="DJ41" s="504">
        <v>0</v>
      </c>
      <c r="DK41" s="504">
        <v>0</v>
      </c>
      <c r="DL41" s="504">
        <v>0</v>
      </c>
      <c r="DM41" s="504">
        <v>0</v>
      </c>
      <c r="DN41" s="504">
        <v>0</v>
      </c>
      <c r="DO41" s="504">
        <v>0</v>
      </c>
      <c r="DP41" s="504">
        <v>0</v>
      </c>
      <c r="DQ41" s="504">
        <v>0</v>
      </c>
      <c r="DR41" s="504">
        <v>0</v>
      </c>
      <c r="DS41" s="504">
        <v>0</v>
      </c>
      <c r="DT41" s="504">
        <v>0</v>
      </c>
      <c r="DU41" s="504">
        <v>0</v>
      </c>
      <c r="DV41" s="504">
        <v>0</v>
      </c>
      <c r="DW41" s="504">
        <v>0</v>
      </c>
      <c r="DX41" s="504">
        <v>0</v>
      </c>
      <c r="DY41" s="504">
        <v>0</v>
      </c>
      <c r="DZ41" s="504">
        <v>0</v>
      </c>
      <c r="EA41" s="504">
        <v>0</v>
      </c>
      <c r="EB41" s="504">
        <v>0</v>
      </c>
      <c r="EC41" s="504">
        <v>0</v>
      </c>
      <c r="ED41" s="504">
        <v>0</v>
      </c>
      <c r="EE41" s="504">
        <v>0</v>
      </c>
      <c r="EF41" s="504">
        <v>0</v>
      </c>
      <c r="EG41" s="504">
        <v>0</v>
      </c>
      <c r="EH41" s="504">
        <v>0</v>
      </c>
      <c r="EI41" s="504">
        <v>0</v>
      </c>
      <c r="EJ41" s="504">
        <v>0</v>
      </c>
      <c r="EK41" s="504">
        <v>0</v>
      </c>
      <c r="EL41" s="504">
        <v>0</v>
      </c>
      <c r="EM41" s="504">
        <v>0</v>
      </c>
      <c r="EN41" s="504">
        <v>0</v>
      </c>
      <c r="EO41" s="504">
        <v>0</v>
      </c>
      <c r="EP41" s="504">
        <v>0</v>
      </c>
      <c r="EQ41" s="504">
        <v>0</v>
      </c>
      <c r="ER41" s="504">
        <v>0</v>
      </c>
      <c r="ES41" s="504">
        <v>0</v>
      </c>
      <c r="ET41" s="504">
        <v>0</v>
      </c>
      <c r="EU41" s="504">
        <v>0</v>
      </c>
      <c r="EV41" s="504">
        <v>0</v>
      </c>
      <c r="EW41" s="504">
        <v>0</v>
      </c>
      <c r="EX41" s="504">
        <v>0</v>
      </c>
      <c r="EY41" s="504">
        <v>0</v>
      </c>
      <c r="EZ41" s="504">
        <v>0</v>
      </c>
      <c r="FA41" s="504">
        <v>0</v>
      </c>
      <c r="FB41" s="504">
        <v>0</v>
      </c>
      <c r="FC41" s="504">
        <v>0</v>
      </c>
      <c r="FD41" s="504">
        <v>0</v>
      </c>
      <c r="FE41" s="504">
        <v>0</v>
      </c>
      <c r="FF41" s="504">
        <v>0</v>
      </c>
      <c r="FG41" s="504">
        <v>0</v>
      </c>
      <c r="FH41" s="504">
        <v>0</v>
      </c>
      <c r="FI41" s="504">
        <v>0</v>
      </c>
      <c r="FJ41" s="504">
        <v>0</v>
      </c>
      <c r="FK41" s="504">
        <v>0</v>
      </c>
      <c r="FL41" s="504">
        <v>0</v>
      </c>
      <c r="FM41" s="504">
        <v>0</v>
      </c>
      <c r="FN41" s="504">
        <v>0</v>
      </c>
      <c r="FO41" s="504">
        <v>0</v>
      </c>
      <c r="FP41" s="504">
        <v>0</v>
      </c>
      <c r="FQ41" s="504">
        <v>0</v>
      </c>
      <c r="FR41" s="504">
        <v>0</v>
      </c>
      <c r="FS41" s="504">
        <v>0</v>
      </c>
      <c r="FT41" s="504">
        <v>0</v>
      </c>
      <c r="FU41" s="504">
        <v>0</v>
      </c>
      <c r="FV41" s="504">
        <v>0</v>
      </c>
      <c r="FW41" s="504">
        <v>0</v>
      </c>
      <c r="FX41" s="504">
        <v>0</v>
      </c>
      <c r="FY41" s="504">
        <v>0</v>
      </c>
      <c r="FZ41" s="504">
        <v>0</v>
      </c>
      <c r="GA41" s="504">
        <v>0</v>
      </c>
      <c r="GB41" s="504">
        <v>0</v>
      </c>
      <c r="GC41" s="504">
        <v>0</v>
      </c>
      <c r="GD41" s="504">
        <v>0</v>
      </c>
      <c r="GE41" s="504">
        <v>0</v>
      </c>
      <c r="GF41" s="504">
        <v>0</v>
      </c>
      <c r="GG41" s="504">
        <v>0</v>
      </c>
      <c r="GH41" s="504">
        <v>0</v>
      </c>
      <c r="GI41" s="504">
        <v>0</v>
      </c>
      <c r="GJ41" s="504">
        <v>0</v>
      </c>
      <c r="GK41" s="504">
        <v>0</v>
      </c>
      <c r="GL41" s="504">
        <v>0</v>
      </c>
      <c r="GM41" s="504">
        <v>0</v>
      </c>
      <c r="GN41" s="504">
        <v>0</v>
      </c>
      <c r="GO41" s="504">
        <v>0</v>
      </c>
      <c r="GP41" s="504">
        <v>0</v>
      </c>
      <c r="GQ41" s="504">
        <v>0</v>
      </c>
      <c r="GR41" s="504">
        <v>0</v>
      </c>
      <c r="GS41" s="504">
        <v>0</v>
      </c>
      <c r="GT41" s="504">
        <v>0</v>
      </c>
      <c r="GU41" s="504">
        <v>0</v>
      </c>
      <c r="GV41" s="504">
        <v>0</v>
      </c>
      <c r="GW41" s="1654">
        <v>0</v>
      </c>
      <c r="GX41" s="504">
        <v>0</v>
      </c>
      <c r="GY41" s="504">
        <v>4239</v>
      </c>
      <c r="GZ41" s="504">
        <v>13185</v>
      </c>
      <c r="HA41" s="504">
        <v>13000</v>
      </c>
      <c r="HB41" s="504">
        <v>12000</v>
      </c>
      <c r="HC41" s="504">
        <v>11000</v>
      </c>
      <c r="HD41" s="504">
        <v>0</v>
      </c>
      <c r="HE41" s="504">
        <v>0</v>
      </c>
      <c r="HF41" s="504">
        <v>0</v>
      </c>
      <c r="HG41" s="504">
        <v>0</v>
      </c>
      <c r="HH41" s="504">
        <v>0</v>
      </c>
      <c r="HI41" s="504">
        <v>0</v>
      </c>
      <c r="HJ41" s="504">
        <v>0</v>
      </c>
      <c r="HK41" s="504">
        <v>0</v>
      </c>
      <c r="HL41" s="504">
        <v>0</v>
      </c>
      <c r="HM41" s="504">
        <v>0</v>
      </c>
      <c r="HN41" s="504">
        <v>0</v>
      </c>
      <c r="HO41" s="504">
        <v>0</v>
      </c>
      <c r="HP41" s="504">
        <v>0</v>
      </c>
      <c r="HQ41" s="504">
        <v>0</v>
      </c>
      <c r="HR41" s="504">
        <v>0</v>
      </c>
      <c r="HS41" s="504">
        <v>0</v>
      </c>
      <c r="HT41" s="504">
        <v>0</v>
      </c>
      <c r="HU41" s="504">
        <v>0</v>
      </c>
      <c r="HV41" s="504">
        <v>0</v>
      </c>
      <c r="HW41" s="504">
        <v>0</v>
      </c>
      <c r="HX41" s="504">
        <v>0</v>
      </c>
      <c r="HY41" s="504">
        <v>0</v>
      </c>
      <c r="HZ41" s="504">
        <v>0</v>
      </c>
      <c r="IA41" s="504">
        <v>0</v>
      </c>
      <c r="IB41" s="504">
        <v>0</v>
      </c>
      <c r="IC41" s="504">
        <v>0</v>
      </c>
      <c r="ID41" s="504">
        <v>0</v>
      </c>
      <c r="IE41" s="504">
        <v>0</v>
      </c>
      <c r="IF41" s="504">
        <v>0</v>
      </c>
      <c r="IG41" s="504">
        <v>0</v>
      </c>
      <c r="IH41" s="504">
        <v>0</v>
      </c>
      <c r="II41" s="504">
        <v>0</v>
      </c>
      <c r="IJ41" s="504">
        <v>0</v>
      </c>
      <c r="IK41" s="504">
        <v>0</v>
      </c>
      <c r="IL41" s="504">
        <v>0</v>
      </c>
      <c r="IM41" s="504">
        <v>0</v>
      </c>
      <c r="IN41" s="504">
        <v>0</v>
      </c>
      <c r="IO41" s="504">
        <v>0</v>
      </c>
      <c r="IP41" s="504">
        <v>0</v>
      </c>
      <c r="IQ41" s="504">
        <v>0</v>
      </c>
      <c r="IR41" s="504">
        <v>0</v>
      </c>
      <c r="IS41" s="504">
        <v>0</v>
      </c>
      <c r="IT41" s="504">
        <v>0</v>
      </c>
      <c r="IU41" s="504">
        <v>0</v>
      </c>
      <c r="IV41" s="504">
        <v>0</v>
      </c>
      <c r="IW41" s="504">
        <v>0</v>
      </c>
      <c r="IX41" s="504">
        <v>0</v>
      </c>
      <c r="IY41" s="504">
        <v>0</v>
      </c>
      <c r="IZ41" s="504">
        <v>0</v>
      </c>
      <c r="JA41" s="504">
        <v>0</v>
      </c>
      <c r="JB41" s="504">
        <v>0</v>
      </c>
      <c r="JC41" s="504">
        <v>0</v>
      </c>
      <c r="JD41" s="504">
        <v>0</v>
      </c>
      <c r="JE41" s="504">
        <v>0</v>
      </c>
      <c r="JF41" s="504">
        <v>0</v>
      </c>
      <c r="JG41" s="504">
        <v>0</v>
      </c>
      <c r="JH41" s="504">
        <v>0</v>
      </c>
      <c r="JI41" s="504">
        <v>0</v>
      </c>
      <c r="JJ41" s="504">
        <v>0</v>
      </c>
      <c r="JK41" s="504">
        <v>0</v>
      </c>
      <c r="JL41" s="504">
        <v>0</v>
      </c>
      <c r="JM41" s="504">
        <v>0</v>
      </c>
      <c r="JN41" s="504">
        <v>0</v>
      </c>
      <c r="JO41" s="504">
        <v>0</v>
      </c>
      <c r="JP41" s="504">
        <v>0</v>
      </c>
      <c r="JQ41" s="504">
        <v>0</v>
      </c>
      <c r="JR41" s="504">
        <v>0</v>
      </c>
      <c r="JS41" s="504">
        <v>0</v>
      </c>
      <c r="JT41" s="504">
        <v>0</v>
      </c>
      <c r="JU41" s="504">
        <v>0</v>
      </c>
      <c r="JV41" s="504">
        <v>0</v>
      </c>
      <c r="JW41" s="504">
        <v>0</v>
      </c>
      <c r="JX41" s="504">
        <v>0</v>
      </c>
      <c r="JY41" s="504">
        <v>0</v>
      </c>
      <c r="JZ41" s="504">
        <v>0</v>
      </c>
      <c r="KA41" s="504">
        <v>0</v>
      </c>
      <c r="KB41" s="504">
        <v>0</v>
      </c>
      <c r="KC41" s="504">
        <v>0</v>
      </c>
      <c r="KD41" s="504">
        <v>0</v>
      </c>
      <c r="KE41" s="504">
        <v>0</v>
      </c>
      <c r="KF41" s="504">
        <v>0</v>
      </c>
      <c r="KG41" s="504">
        <v>0</v>
      </c>
      <c r="KH41" s="504">
        <v>0</v>
      </c>
      <c r="KI41" s="504">
        <v>0</v>
      </c>
      <c r="KJ41" s="504">
        <v>0</v>
      </c>
      <c r="KK41" s="504">
        <v>0</v>
      </c>
      <c r="KL41" s="504">
        <v>0</v>
      </c>
      <c r="KM41" s="504">
        <v>0</v>
      </c>
      <c r="KN41" s="504">
        <v>0</v>
      </c>
      <c r="KO41" s="504">
        <v>0</v>
      </c>
      <c r="KP41" s="504">
        <v>0</v>
      </c>
      <c r="KQ41" s="504">
        <v>0</v>
      </c>
      <c r="KR41" s="504">
        <v>0</v>
      </c>
      <c r="KS41" s="504">
        <v>0</v>
      </c>
      <c r="KT41" s="1654">
        <v>0</v>
      </c>
      <c r="KU41" s="504">
        <v>0</v>
      </c>
      <c r="KV41" s="504">
        <v>0</v>
      </c>
      <c r="KW41" s="504">
        <v>0</v>
      </c>
      <c r="KX41" s="504">
        <v>1382</v>
      </c>
      <c r="KY41" s="504">
        <v>1985</v>
      </c>
      <c r="KZ41" s="504">
        <v>2705</v>
      </c>
      <c r="LA41" s="504">
        <v>0</v>
      </c>
      <c r="LB41" s="504">
        <v>0</v>
      </c>
      <c r="LC41" s="504">
        <v>0</v>
      </c>
      <c r="LD41" s="504">
        <v>0</v>
      </c>
      <c r="LE41" s="504">
        <v>0</v>
      </c>
      <c r="LF41" s="504">
        <v>0</v>
      </c>
      <c r="LG41" s="504">
        <v>0</v>
      </c>
      <c r="LH41" s="504">
        <v>0</v>
      </c>
      <c r="LI41" s="504">
        <v>0</v>
      </c>
      <c r="LJ41" s="504">
        <v>0</v>
      </c>
      <c r="LK41" s="504">
        <v>0</v>
      </c>
      <c r="LL41" s="504">
        <v>0</v>
      </c>
      <c r="LM41" s="504">
        <v>0</v>
      </c>
      <c r="LN41" s="504">
        <v>0</v>
      </c>
      <c r="LO41" s="504">
        <v>0</v>
      </c>
      <c r="LP41" s="504">
        <v>0</v>
      </c>
      <c r="LQ41" s="504">
        <v>0</v>
      </c>
      <c r="LR41" s="504">
        <v>0</v>
      </c>
      <c r="LS41" s="504">
        <v>0</v>
      </c>
      <c r="LT41" s="504">
        <v>0</v>
      </c>
      <c r="LU41" s="504">
        <v>0</v>
      </c>
      <c r="LV41" s="504">
        <v>0</v>
      </c>
      <c r="LW41" s="504">
        <v>0</v>
      </c>
      <c r="LX41" s="504">
        <v>0</v>
      </c>
      <c r="LY41" s="504">
        <v>0</v>
      </c>
      <c r="LZ41" s="504">
        <v>0</v>
      </c>
      <c r="MA41" s="504">
        <v>0</v>
      </c>
      <c r="MB41" s="504">
        <v>0</v>
      </c>
      <c r="MC41" s="504">
        <v>0</v>
      </c>
      <c r="MD41" s="504">
        <v>0</v>
      </c>
      <c r="ME41" s="504">
        <v>0</v>
      </c>
      <c r="MF41" s="504">
        <v>0</v>
      </c>
      <c r="MG41" s="504">
        <v>0</v>
      </c>
      <c r="MH41" s="504">
        <v>0</v>
      </c>
      <c r="MI41" s="504">
        <v>0</v>
      </c>
      <c r="MJ41" s="504">
        <v>0</v>
      </c>
      <c r="MK41" s="504">
        <v>0</v>
      </c>
      <c r="ML41" s="504">
        <v>0</v>
      </c>
      <c r="MM41" s="504">
        <v>0</v>
      </c>
      <c r="MN41" s="504">
        <v>0</v>
      </c>
      <c r="MO41" s="504">
        <v>0</v>
      </c>
      <c r="MP41" s="504">
        <v>0</v>
      </c>
      <c r="MQ41" s="504">
        <v>0</v>
      </c>
      <c r="MR41" s="504">
        <v>0</v>
      </c>
      <c r="MS41" s="504">
        <v>0</v>
      </c>
      <c r="MT41" s="504">
        <v>0</v>
      </c>
      <c r="MU41" s="504">
        <v>0</v>
      </c>
      <c r="MV41" s="504">
        <v>0</v>
      </c>
      <c r="MW41" s="504">
        <v>0</v>
      </c>
      <c r="MX41" s="504">
        <v>0</v>
      </c>
      <c r="MY41" s="504">
        <v>0</v>
      </c>
      <c r="MZ41" s="504">
        <v>0</v>
      </c>
      <c r="NA41" s="504">
        <v>0</v>
      </c>
      <c r="NB41" s="504">
        <v>0</v>
      </c>
      <c r="NC41" s="504">
        <v>0</v>
      </c>
      <c r="ND41" s="504">
        <v>0</v>
      </c>
      <c r="NE41" s="504">
        <v>0</v>
      </c>
      <c r="NF41" s="504">
        <v>0</v>
      </c>
      <c r="NG41" s="504">
        <v>0</v>
      </c>
      <c r="NH41" s="504">
        <v>0</v>
      </c>
      <c r="NI41" s="504">
        <v>0</v>
      </c>
      <c r="NJ41" s="504">
        <v>0</v>
      </c>
      <c r="NK41" s="504">
        <v>0</v>
      </c>
      <c r="NL41" s="504">
        <v>0</v>
      </c>
      <c r="NM41" s="504">
        <v>0</v>
      </c>
      <c r="NN41" s="504">
        <v>0</v>
      </c>
      <c r="NO41" s="504">
        <v>0</v>
      </c>
      <c r="NP41" s="504">
        <v>0</v>
      </c>
      <c r="NQ41" s="504">
        <v>0</v>
      </c>
      <c r="NR41" s="504">
        <v>0</v>
      </c>
      <c r="NS41" s="504">
        <v>0</v>
      </c>
      <c r="NT41" s="504">
        <v>0</v>
      </c>
      <c r="NU41" s="504">
        <v>0</v>
      </c>
      <c r="NV41" s="504">
        <v>0</v>
      </c>
      <c r="NW41" s="504">
        <v>0</v>
      </c>
      <c r="NX41" s="504">
        <v>0</v>
      </c>
      <c r="NY41" s="504">
        <v>0</v>
      </c>
      <c r="NZ41" s="504">
        <v>0</v>
      </c>
      <c r="OA41" s="504">
        <v>0</v>
      </c>
      <c r="OB41" s="504">
        <v>0</v>
      </c>
      <c r="OC41" s="504">
        <v>0</v>
      </c>
      <c r="OD41" s="504">
        <v>0</v>
      </c>
      <c r="OE41" s="504">
        <v>0</v>
      </c>
      <c r="OF41" s="504">
        <v>0</v>
      </c>
      <c r="OG41" s="504">
        <v>0</v>
      </c>
      <c r="OH41" s="504">
        <v>0</v>
      </c>
      <c r="OI41" s="504">
        <v>0</v>
      </c>
      <c r="OJ41" s="504">
        <v>0</v>
      </c>
      <c r="OK41" s="504">
        <v>0</v>
      </c>
      <c r="OL41" s="504">
        <v>0</v>
      </c>
      <c r="OM41" s="504">
        <v>0</v>
      </c>
      <c r="ON41" s="504">
        <v>0</v>
      </c>
      <c r="OO41" s="504">
        <v>0</v>
      </c>
      <c r="OP41" s="504">
        <v>0</v>
      </c>
      <c r="OQ41" s="504">
        <v>0</v>
      </c>
      <c r="OR41"/>
      <c r="OS41"/>
      <c r="OT41"/>
      <c r="OU41"/>
      <c r="OV41"/>
      <c r="OW41"/>
      <c r="OX41"/>
      <c r="OY41"/>
      <c r="OZ41"/>
      <c r="PA41"/>
      <c r="PB41"/>
      <c r="PC41"/>
      <c r="PD41"/>
      <c r="PE41"/>
      <c r="PF41"/>
      <c r="PG41"/>
      <c r="PH41"/>
      <c r="PI41"/>
      <c r="PJ41"/>
      <c r="PK41"/>
      <c r="PL41"/>
      <c r="PM41"/>
      <c r="PN41"/>
      <c r="PO41"/>
      <c r="PP41"/>
      <c r="PQ41"/>
      <c r="PR41"/>
      <c r="PS41"/>
      <c r="PT41" s="1656"/>
    </row>
    <row r="42" spans="1:436" ht="21.5">
      <c r="A42" s="1466" t="s">
        <v>1704</v>
      </c>
      <c r="B42" s="1576" t="s">
        <v>2358</v>
      </c>
      <c r="C42" s="1576" t="s">
        <v>13</v>
      </c>
      <c r="D42" s="1576">
        <v>65</v>
      </c>
      <c r="E42" s="504">
        <v>134</v>
      </c>
      <c r="F42" s="504">
        <v>487</v>
      </c>
      <c r="G42" s="504">
        <v>1220</v>
      </c>
      <c r="H42" s="504">
        <v>1883</v>
      </c>
      <c r="I42" s="504">
        <v>2672</v>
      </c>
      <c r="J42" s="504">
        <v>3255</v>
      </c>
      <c r="K42" s="504">
        <v>3311</v>
      </c>
      <c r="L42" s="504">
        <v>3370</v>
      </c>
      <c r="M42" s="504">
        <v>3430</v>
      </c>
      <c r="N42" s="504">
        <v>3492</v>
      </c>
      <c r="O42" s="504">
        <v>3558</v>
      </c>
      <c r="P42" s="504">
        <v>3629</v>
      </c>
      <c r="Q42" s="504">
        <v>3705</v>
      </c>
      <c r="R42" s="504">
        <v>3789</v>
      </c>
      <c r="S42" s="504">
        <v>3903</v>
      </c>
      <c r="T42" s="504">
        <v>0</v>
      </c>
      <c r="U42" s="504">
        <v>0</v>
      </c>
      <c r="V42" s="504">
        <v>0</v>
      </c>
      <c r="W42" s="504">
        <v>0</v>
      </c>
      <c r="X42" s="504">
        <v>0</v>
      </c>
      <c r="Y42" s="504">
        <v>0</v>
      </c>
      <c r="Z42" s="504">
        <v>0</v>
      </c>
      <c r="AA42" s="504">
        <v>0</v>
      </c>
      <c r="AB42" s="504">
        <v>0</v>
      </c>
      <c r="AC42" s="504">
        <v>0</v>
      </c>
      <c r="AD42" s="504">
        <v>0</v>
      </c>
      <c r="AE42" s="504">
        <v>0</v>
      </c>
      <c r="AF42" s="504">
        <v>0</v>
      </c>
      <c r="AG42" s="504">
        <v>0</v>
      </c>
      <c r="AH42" s="504">
        <v>0</v>
      </c>
      <c r="AI42" s="504">
        <v>0</v>
      </c>
      <c r="AJ42" s="504">
        <v>0</v>
      </c>
      <c r="AK42" s="504">
        <v>0</v>
      </c>
      <c r="AL42" s="504">
        <v>0</v>
      </c>
      <c r="AM42" s="504">
        <v>0</v>
      </c>
      <c r="AN42" s="504">
        <v>0</v>
      </c>
      <c r="AO42" s="504">
        <v>0</v>
      </c>
      <c r="AP42" s="504">
        <v>0</v>
      </c>
      <c r="AQ42" s="504">
        <v>0</v>
      </c>
      <c r="AR42" s="504">
        <v>0</v>
      </c>
      <c r="AS42" s="504">
        <v>0</v>
      </c>
      <c r="AT42" s="504">
        <v>0</v>
      </c>
      <c r="AU42" s="504">
        <v>0</v>
      </c>
      <c r="AV42" s="504">
        <v>0</v>
      </c>
      <c r="AW42" s="504">
        <v>0</v>
      </c>
      <c r="AX42" s="504">
        <v>0</v>
      </c>
      <c r="AY42" s="504">
        <v>0</v>
      </c>
      <c r="AZ42" s="504">
        <v>0</v>
      </c>
      <c r="BA42" s="504">
        <v>0</v>
      </c>
      <c r="BB42" s="504">
        <v>0</v>
      </c>
      <c r="BC42" s="504">
        <v>0</v>
      </c>
      <c r="BD42" s="504">
        <v>0</v>
      </c>
      <c r="BE42" s="504">
        <v>0</v>
      </c>
      <c r="BF42" s="504">
        <v>0</v>
      </c>
      <c r="BG42" s="504">
        <v>0</v>
      </c>
      <c r="BH42" s="504">
        <v>0</v>
      </c>
      <c r="BI42" s="504">
        <v>0</v>
      </c>
      <c r="BJ42" s="504">
        <v>0</v>
      </c>
      <c r="BK42" s="504">
        <v>0</v>
      </c>
      <c r="BL42" s="504">
        <v>0</v>
      </c>
      <c r="BM42" s="504">
        <v>0</v>
      </c>
      <c r="BN42" s="504">
        <v>0</v>
      </c>
      <c r="BO42" s="504">
        <v>0</v>
      </c>
      <c r="BP42" s="504">
        <v>0</v>
      </c>
      <c r="BQ42" s="504">
        <v>0</v>
      </c>
      <c r="BR42" s="504">
        <v>0</v>
      </c>
      <c r="BS42" s="504">
        <v>0</v>
      </c>
      <c r="BT42" s="504">
        <v>0</v>
      </c>
      <c r="BU42" s="504">
        <v>0</v>
      </c>
      <c r="BV42" s="504">
        <v>0</v>
      </c>
      <c r="BW42" s="504">
        <v>0</v>
      </c>
      <c r="BX42" s="504">
        <v>0</v>
      </c>
      <c r="BY42" s="504">
        <v>0</v>
      </c>
      <c r="BZ42" s="504">
        <v>0</v>
      </c>
      <c r="CA42" s="504">
        <v>0</v>
      </c>
      <c r="CB42" s="504">
        <v>0</v>
      </c>
      <c r="CC42" s="504">
        <v>0</v>
      </c>
      <c r="CD42" s="504">
        <v>0</v>
      </c>
      <c r="CE42" s="504">
        <v>0</v>
      </c>
      <c r="CF42" s="504">
        <v>0</v>
      </c>
      <c r="CG42" s="504">
        <v>0</v>
      </c>
      <c r="CH42" s="504">
        <v>0</v>
      </c>
      <c r="CI42" s="504">
        <v>0</v>
      </c>
      <c r="CJ42" s="504">
        <v>0</v>
      </c>
      <c r="CK42" s="504">
        <v>0</v>
      </c>
      <c r="CL42" s="504">
        <v>0</v>
      </c>
      <c r="CM42" s="504">
        <v>0</v>
      </c>
      <c r="CN42" s="504">
        <v>0</v>
      </c>
      <c r="CO42" s="504">
        <v>0</v>
      </c>
      <c r="CP42" s="504">
        <v>0</v>
      </c>
      <c r="CQ42" s="504">
        <v>0</v>
      </c>
      <c r="CR42" s="504">
        <v>0</v>
      </c>
      <c r="CS42" s="504">
        <v>0</v>
      </c>
      <c r="CT42" s="504">
        <v>0</v>
      </c>
      <c r="CU42" s="504">
        <v>0</v>
      </c>
      <c r="CV42" s="504">
        <v>0</v>
      </c>
      <c r="CW42" s="504">
        <v>0</v>
      </c>
      <c r="CX42" s="504">
        <v>0</v>
      </c>
      <c r="CY42" s="504">
        <v>0</v>
      </c>
      <c r="CZ42" s="1654">
        <v>0</v>
      </c>
      <c r="DA42" s="504">
        <v>0</v>
      </c>
      <c r="DB42" s="504">
        <v>186</v>
      </c>
      <c r="DC42" s="504">
        <v>660</v>
      </c>
      <c r="DD42" s="504">
        <v>1466</v>
      </c>
      <c r="DE42" s="504">
        <v>2112</v>
      </c>
      <c r="DF42" s="504">
        <v>2884</v>
      </c>
      <c r="DG42" s="504">
        <v>0</v>
      </c>
      <c r="DH42" s="504">
        <v>0</v>
      </c>
      <c r="DI42" s="504">
        <v>0</v>
      </c>
      <c r="DJ42" s="504">
        <v>0</v>
      </c>
      <c r="DK42" s="504">
        <v>0</v>
      </c>
      <c r="DL42" s="504">
        <v>0</v>
      </c>
      <c r="DM42" s="504">
        <v>0</v>
      </c>
      <c r="DN42" s="504">
        <v>0</v>
      </c>
      <c r="DO42" s="504">
        <v>0</v>
      </c>
      <c r="DP42" s="504">
        <v>0</v>
      </c>
      <c r="DQ42" s="504">
        <v>0</v>
      </c>
      <c r="DR42" s="504">
        <v>0</v>
      </c>
      <c r="DS42" s="504">
        <v>0</v>
      </c>
      <c r="DT42" s="504">
        <v>0</v>
      </c>
      <c r="DU42" s="504">
        <v>0</v>
      </c>
      <c r="DV42" s="504">
        <v>0</v>
      </c>
      <c r="DW42" s="504">
        <v>0</v>
      </c>
      <c r="DX42" s="504">
        <v>0</v>
      </c>
      <c r="DY42" s="504">
        <v>0</v>
      </c>
      <c r="DZ42" s="504">
        <v>0</v>
      </c>
      <c r="EA42" s="504">
        <v>0</v>
      </c>
      <c r="EB42" s="504">
        <v>0</v>
      </c>
      <c r="EC42" s="504">
        <v>0</v>
      </c>
      <c r="ED42" s="504">
        <v>0</v>
      </c>
      <c r="EE42" s="504">
        <v>0</v>
      </c>
      <c r="EF42" s="504">
        <v>0</v>
      </c>
      <c r="EG42" s="504">
        <v>0</v>
      </c>
      <c r="EH42" s="504">
        <v>0</v>
      </c>
      <c r="EI42" s="504">
        <v>0</v>
      </c>
      <c r="EJ42" s="504">
        <v>0</v>
      </c>
      <c r="EK42" s="504">
        <v>0</v>
      </c>
      <c r="EL42" s="504">
        <v>0</v>
      </c>
      <c r="EM42" s="504">
        <v>0</v>
      </c>
      <c r="EN42" s="504">
        <v>0</v>
      </c>
      <c r="EO42" s="504">
        <v>0</v>
      </c>
      <c r="EP42" s="504">
        <v>0</v>
      </c>
      <c r="EQ42" s="504">
        <v>0</v>
      </c>
      <c r="ER42" s="504">
        <v>0</v>
      </c>
      <c r="ES42" s="504">
        <v>0</v>
      </c>
      <c r="ET42" s="504">
        <v>0</v>
      </c>
      <c r="EU42" s="504">
        <v>0</v>
      </c>
      <c r="EV42" s="504">
        <v>0</v>
      </c>
      <c r="EW42" s="504">
        <v>0</v>
      </c>
      <c r="EX42" s="504">
        <v>0</v>
      </c>
      <c r="EY42" s="504">
        <v>0</v>
      </c>
      <c r="EZ42" s="504">
        <v>0</v>
      </c>
      <c r="FA42" s="504">
        <v>0</v>
      </c>
      <c r="FB42" s="504">
        <v>0</v>
      </c>
      <c r="FC42" s="504">
        <v>0</v>
      </c>
      <c r="FD42" s="504">
        <v>0</v>
      </c>
      <c r="FE42" s="504">
        <v>0</v>
      </c>
      <c r="FF42" s="504">
        <v>0</v>
      </c>
      <c r="FG42" s="504">
        <v>0</v>
      </c>
      <c r="FH42" s="504">
        <v>0</v>
      </c>
      <c r="FI42" s="504">
        <v>0</v>
      </c>
      <c r="FJ42" s="504">
        <v>0</v>
      </c>
      <c r="FK42" s="504">
        <v>0</v>
      </c>
      <c r="FL42" s="504">
        <v>0</v>
      </c>
      <c r="FM42" s="504">
        <v>0</v>
      </c>
      <c r="FN42" s="504">
        <v>0</v>
      </c>
      <c r="FO42" s="504">
        <v>0</v>
      </c>
      <c r="FP42" s="504">
        <v>0</v>
      </c>
      <c r="FQ42" s="504">
        <v>0</v>
      </c>
      <c r="FR42" s="504">
        <v>0</v>
      </c>
      <c r="FS42" s="504">
        <v>0</v>
      </c>
      <c r="FT42" s="504">
        <v>0</v>
      </c>
      <c r="FU42" s="504">
        <v>0</v>
      </c>
      <c r="FV42" s="504">
        <v>0</v>
      </c>
      <c r="FW42" s="504">
        <v>0</v>
      </c>
      <c r="FX42" s="504">
        <v>0</v>
      </c>
      <c r="FY42" s="504">
        <v>0</v>
      </c>
      <c r="FZ42" s="504">
        <v>0</v>
      </c>
      <c r="GA42" s="504">
        <v>0</v>
      </c>
      <c r="GB42" s="504">
        <v>0</v>
      </c>
      <c r="GC42" s="504">
        <v>0</v>
      </c>
      <c r="GD42" s="504">
        <v>0</v>
      </c>
      <c r="GE42" s="504">
        <v>0</v>
      </c>
      <c r="GF42" s="504">
        <v>0</v>
      </c>
      <c r="GG42" s="504">
        <v>0</v>
      </c>
      <c r="GH42" s="504">
        <v>0</v>
      </c>
      <c r="GI42" s="504">
        <v>0</v>
      </c>
      <c r="GJ42" s="504">
        <v>0</v>
      </c>
      <c r="GK42" s="504">
        <v>0</v>
      </c>
      <c r="GL42" s="504">
        <v>0</v>
      </c>
      <c r="GM42" s="504">
        <v>0</v>
      </c>
      <c r="GN42" s="504">
        <v>0</v>
      </c>
      <c r="GO42" s="504">
        <v>0</v>
      </c>
      <c r="GP42" s="504">
        <v>0</v>
      </c>
      <c r="GQ42" s="504">
        <v>0</v>
      </c>
      <c r="GR42" s="504">
        <v>0</v>
      </c>
      <c r="GS42" s="504">
        <v>0</v>
      </c>
      <c r="GT42" s="504">
        <v>0</v>
      </c>
      <c r="GU42" s="504">
        <v>0</v>
      </c>
      <c r="GV42" s="504">
        <v>0</v>
      </c>
      <c r="GW42" s="1654">
        <v>0</v>
      </c>
      <c r="GX42" s="504">
        <v>0</v>
      </c>
      <c r="GY42" s="504">
        <v>4202</v>
      </c>
      <c r="GZ42" s="504">
        <v>13000</v>
      </c>
      <c r="HA42" s="504">
        <v>12000</v>
      </c>
      <c r="HB42" s="504">
        <v>11000</v>
      </c>
      <c r="HC42" s="504">
        <v>10000</v>
      </c>
      <c r="HD42" s="504">
        <v>0</v>
      </c>
      <c r="HE42" s="504">
        <v>0</v>
      </c>
      <c r="HF42" s="504">
        <v>0</v>
      </c>
      <c r="HG42" s="504">
        <v>0</v>
      </c>
      <c r="HH42" s="504">
        <v>0</v>
      </c>
      <c r="HI42" s="504">
        <v>0</v>
      </c>
      <c r="HJ42" s="504">
        <v>0</v>
      </c>
      <c r="HK42" s="504">
        <v>0</v>
      </c>
      <c r="HL42" s="504">
        <v>0</v>
      </c>
      <c r="HM42" s="504">
        <v>0</v>
      </c>
      <c r="HN42" s="504">
        <v>0</v>
      </c>
      <c r="HO42" s="504">
        <v>0</v>
      </c>
      <c r="HP42" s="504">
        <v>0</v>
      </c>
      <c r="HQ42" s="504">
        <v>0</v>
      </c>
      <c r="HR42" s="504">
        <v>0</v>
      </c>
      <c r="HS42" s="504">
        <v>0</v>
      </c>
      <c r="HT42" s="504">
        <v>0</v>
      </c>
      <c r="HU42" s="504">
        <v>0</v>
      </c>
      <c r="HV42" s="504">
        <v>0</v>
      </c>
      <c r="HW42" s="504">
        <v>0</v>
      </c>
      <c r="HX42" s="504">
        <v>0</v>
      </c>
      <c r="HY42" s="504">
        <v>0</v>
      </c>
      <c r="HZ42" s="504">
        <v>0</v>
      </c>
      <c r="IA42" s="504">
        <v>0</v>
      </c>
      <c r="IB42" s="504">
        <v>0</v>
      </c>
      <c r="IC42" s="504">
        <v>0</v>
      </c>
      <c r="ID42" s="504">
        <v>0</v>
      </c>
      <c r="IE42" s="504">
        <v>0</v>
      </c>
      <c r="IF42" s="504">
        <v>0</v>
      </c>
      <c r="IG42" s="504">
        <v>0</v>
      </c>
      <c r="IH42" s="504">
        <v>0</v>
      </c>
      <c r="II42" s="504">
        <v>0</v>
      </c>
      <c r="IJ42" s="504">
        <v>0</v>
      </c>
      <c r="IK42" s="504">
        <v>0</v>
      </c>
      <c r="IL42" s="504">
        <v>0</v>
      </c>
      <c r="IM42" s="504">
        <v>0</v>
      </c>
      <c r="IN42" s="504">
        <v>0</v>
      </c>
      <c r="IO42" s="504">
        <v>0</v>
      </c>
      <c r="IP42" s="504">
        <v>0</v>
      </c>
      <c r="IQ42" s="504">
        <v>0</v>
      </c>
      <c r="IR42" s="504">
        <v>0</v>
      </c>
      <c r="IS42" s="504">
        <v>0</v>
      </c>
      <c r="IT42" s="504">
        <v>0</v>
      </c>
      <c r="IU42" s="504">
        <v>0</v>
      </c>
      <c r="IV42" s="504">
        <v>0</v>
      </c>
      <c r="IW42" s="504">
        <v>0</v>
      </c>
      <c r="IX42" s="504">
        <v>0</v>
      </c>
      <c r="IY42" s="504">
        <v>0</v>
      </c>
      <c r="IZ42" s="504">
        <v>0</v>
      </c>
      <c r="JA42" s="504">
        <v>0</v>
      </c>
      <c r="JB42" s="504">
        <v>0</v>
      </c>
      <c r="JC42" s="504">
        <v>0</v>
      </c>
      <c r="JD42" s="504">
        <v>0</v>
      </c>
      <c r="JE42" s="504">
        <v>0</v>
      </c>
      <c r="JF42" s="504">
        <v>0</v>
      </c>
      <c r="JG42" s="504">
        <v>0</v>
      </c>
      <c r="JH42" s="504">
        <v>0</v>
      </c>
      <c r="JI42" s="504">
        <v>0</v>
      </c>
      <c r="JJ42" s="504">
        <v>0</v>
      </c>
      <c r="JK42" s="504">
        <v>0</v>
      </c>
      <c r="JL42" s="504">
        <v>0</v>
      </c>
      <c r="JM42" s="504">
        <v>0</v>
      </c>
      <c r="JN42" s="504">
        <v>0</v>
      </c>
      <c r="JO42" s="504">
        <v>0</v>
      </c>
      <c r="JP42" s="504">
        <v>0</v>
      </c>
      <c r="JQ42" s="504">
        <v>0</v>
      </c>
      <c r="JR42" s="504">
        <v>0</v>
      </c>
      <c r="JS42" s="504">
        <v>0</v>
      </c>
      <c r="JT42" s="504">
        <v>0</v>
      </c>
      <c r="JU42" s="504">
        <v>0</v>
      </c>
      <c r="JV42" s="504">
        <v>0</v>
      </c>
      <c r="JW42" s="504">
        <v>0</v>
      </c>
      <c r="JX42" s="504">
        <v>0</v>
      </c>
      <c r="JY42" s="504">
        <v>0</v>
      </c>
      <c r="JZ42" s="504">
        <v>0</v>
      </c>
      <c r="KA42" s="504">
        <v>0</v>
      </c>
      <c r="KB42" s="504">
        <v>0</v>
      </c>
      <c r="KC42" s="504">
        <v>0</v>
      </c>
      <c r="KD42" s="504">
        <v>0</v>
      </c>
      <c r="KE42" s="504">
        <v>0</v>
      </c>
      <c r="KF42" s="504">
        <v>0</v>
      </c>
      <c r="KG42" s="504">
        <v>0</v>
      </c>
      <c r="KH42" s="504">
        <v>0</v>
      </c>
      <c r="KI42" s="504">
        <v>0</v>
      </c>
      <c r="KJ42" s="504">
        <v>0</v>
      </c>
      <c r="KK42" s="504">
        <v>0</v>
      </c>
      <c r="KL42" s="504">
        <v>0</v>
      </c>
      <c r="KM42" s="504">
        <v>0</v>
      </c>
      <c r="KN42" s="504">
        <v>0</v>
      </c>
      <c r="KO42" s="504">
        <v>0</v>
      </c>
      <c r="KP42" s="504">
        <v>0</v>
      </c>
      <c r="KQ42" s="504">
        <v>0</v>
      </c>
      <c r="KR42" s="504">
        <v>0</v>
      </c>
      <c r="KS42" s="504">
        <v>0</v>
      </c>
      <c r="KT42" s="1654">
        <v>0</v>
      </c>
      <c r="KU42" s="504">
        <v>0</v>
      </c>
      <c r="KV42" s="504">
        <v>0</v>
      </c>
      <c r="KW42" s="504">
        <v>67</v>
      </c>
      <c r="KX42" s="504">
        <v>1453</v>
      </c>
      <c r="KY42" s="504">
        <v>2100</v>
      </c>
      <c r="KZ42" s="504">
        <v>2873</v>
      </c>
      <c r="LA42" s="504">
        <v>0</v>
      </c>
      <c r="LB42" s="504">
        <v>0</v>
      </c>
      <c r="LC42" s="504">
        <v>0</v>
      </c>
      <c r="LD42" s="504">
        <v>0</v>
      </c>
      <c r="LE42" s="504">
        <v>0</v>
      </c>
      <c r="LF42" s="504">
        <v>0</v>
      </c>
      <c r="LG42" s="504">
        <v>0</v>
      </c>
      <c r="LH42" s="504">
        <v>0</v>
      </c>
      <c r="LI42" s="504">
        <v>0</v>
      </c>
      <c r="LJ42" s="504">
        <v>0</v>
      </c>
      <c r="LK42" s="504">
        <v>0</v>
      </c>
      <c r="LL42" s="504">
        <v>0</v>
      </c>
      <c r="LM42" s="504">
        <v>0</v>
      </c>
      <c r="LN42" s="504">
        <v>0</v>
      </c>
      <c r="LO42" s="504">
        <v>0</v>
      </c>
      <c r="LP42" s="504">
        <v>0</v>
      </c>
      <c r="LQ42" s="504">
        <v>0</v>
      </c>
      <c r="LR42" s="504">
        <v>0</v>
      </c>
      <c r="LS42" s="504">
        <v>0</v>
      </c>
      <c r="LT42" s="504">
        <v>0</v>
      </c>
      <c r="LU42" s="504">
        <v>0</v>
      </c>
      <c r="LV42" s="504">
        <v>0</v>
      </c>
      <c r="LW42" s="504">
        <v>0</v>
      </c>
      <c r="LX42" s="504">
        <v>0</v>
      </c>
      <c r="LY42" s="504">
        <v>0</v>
      </c>
      <c r="LZ42" s="504">
        <v>0</v>
      </c>
      <c r="MA42" s="504">
        <v>0</v>
      </c>
      <c r="MB42" s="504">
        <v>0</v>
      </c>
      <c r="MC42" s="504">
        <v>0</v>
      </c>
      <c r="MD42" s="504">
        <v>0</v>
      </c>
      <c r="ME42" s="504">
        <v>0</v>
      </c>
      <c r="MF42" s="504">
        <v>0</v>
      </c>
      <c r="MG42" s="504">
        <v>0</v>
      </c>
      <c r="MH42" s="504">
        <v>0</v>
      </c>
      <c r="MI42" s="504">
        <v>0</v>
      </c>
      <c r="MJ42" s="504">
        <v>0</v>
      </c>
      <c r="MK42" s="504">
        <v>0</v>
      </c>
      <c r="ML42" s="504">
        <v>0</v>
      </c>
      <c r="MM42" s="504">
        <v>0</v>
      </c>
      <c r="MN42" s="504">
        <v>0</v>
      </c>
      <c r="MO42" s="504">
        <v>0</v>
      </c>
      <c r="MP42" s="504">
        <v>0</v>
      </c>
      <c r="MQ42" s="504">
        <v>0</v>
      </c>
      <c r="MR42" s="504">
        <v>0</v>
      </c>
      <c r="MS42" s="504">
        <v>0</v>
      </c>
      <c r="MT42" s="504">
        <v>0</v>
      </c>
      <c r="MU42" s="504">
        <v>0</v>
      </c>
      <c r="MV42" s="504">
        <v>0</v>
      </c>
      <c r="MW42" s="504">
        <v>0</v>
      </c>
      <c r="MX42" s="504">
        <v>0</v>
      </c>
      <c r="MY42" s="504">
        <v>0</v>
      </c>
      <c r="MZ42" s="504">
        <v>0</v>
      </c>
      <c r="NA42" s="504">
        <v>0</v>
      </c>
      <c r="NB42" s="504">
        <v>0</v>
      </c>
      <c r="NC42" s="504">
        <v>0</v>
      </c>
      <c r="ND42" s="504">
        <v>0</v>
      </c>
      <c r="NE42" s="504">
        <v>0</v>
      </c>
      <c r="NF42" s="504">
        <v>0</v>
      </c>
      <c r="NG42" s="504">
        <v>0</v>
      </c>
      <c r="NH42" s="504">
        <v>0</v>
      </c>
      <c r="NI42" s="504">
        <v>0</v>
      </c>
      <c r="NJ42" s="504">
        <v>0</v>
      </c>
      <c r="NK42" s="504">
        <v>0</v>
      </c>
      <c r="NL42" s="504">
        <v>0</v>
      </c>
      <c r="NM42" s="504">
        <v>0</v>
      </c>
      <c r="NN42" s="504">
        <v>0</v>
      </c>
      <c r="NO42" s="504">
        <v>0</v>
      </c>
      <c r="NP42" s="504">
        <v>0</v>
      </c>
      <c r="NQ42" s="504">
        <v>0</v>
      </c>
      <c r="NR42" s="504">
        <v>0</v>
      </c>
      <c r="NS42" s="504">
        <v>0</v>
      </c>
      <c r="NT42" s="504">
        <v>0</v>
      </c>
      <c r="NU42" s="504">
        <v>0</v>
      </c>
      <c r="NV42" s="504">
        <v>0</v>
      </c>
      <c r="NW42" s="504">
        <v>0</v>
      </c>
      <c r="NX42" s="504">
        <v>0</v>
      </c>
      <c r="NY42" s="504">
        <v>0</v>
      </c>
      <c r="NZ42" s="504">
        <v>0</v>
      </c>
      <c r="OA42" s="504">
        <v>0</v>
      </c>
      <c r="OB42" s="504">
        <v>0</v>
      </c>
      <c r="OC42" s="504">
        <v>0</v>
      </c>
      <c r="OD42" s="504">
        <v>0</v>
      </c>
      <c r="OE42" s="504">
        <v>0</v>
      </c>
      <c r="OF42" s="504">
        <v>0</v>
      </c>
      <c r="OG42" s="504">
        <v>0</v>
      </c>
      <c r="OH42" s="504">
        <v>0</v>
      </c>
      <c r="OI42" s="504">
        <v>0</v>
      </c>
      <c r="OJ42" s="504">
        <v>0</v>
      </c>
      <c r="OK42" s="504">
        <v>0</v>
      </c>
      <c r="OL42" s="504">
        <v>0</v>
      </c>
      <c r="OM42" s="504">
        <v>0</v>
      </c>
      <c r="ON42" s="504">
        <v>0</v>
      </c>
      <c r="OO42" s="504">
        <v>0</v>
      </c>
      <c r="OP42" s="504">
        <v>0</v>
      </c>
      <c r="OQ42" s="504">
        <v>0</v>
      </c>
      <c r="OR42"/>
      <c r="OS42"/>
      <c r="OT42"/>
      <c r="OU42"/>
      <c r="OV42"/>
      <c r="OW42"/>
      <c r="OX42"/>
      <c r="OY42"/>
      <c r="OZ42"/>
      <c r="PA42"/>
      <c r="PB42"/>
      <c r="PC42"/>
      <c r="PD42"/>
      <c r="PE42"/>
      <c r="PF42"/>
      <c r="PG42"/>
      <c r="PH42"/>
      <c r="PI42"/>
      <c r="PJ42"/>
      <c r="PK42"/>
      <c r="PL42"/>
      <c r="PM42"/>
      <c r="PN42"/>
      <c r="PO42"/>
      <c r="PP42"/>
      <c r="PQ42"/>
      <c r="PR42"/>
      <c r="PS42"/>
      <c r="PT42" s="1656"/>
    </row>
    <row r="43" spans="1:436" ht="21.5">
      <c r="A43" s="1466"/>
      <c r="B43" s="1576"/>
      <c r="C43" s="1576"/>
      <c r="D43" s="1576"/>
      <c r="E43" s="1577"/>
      <c r="F43" s="1577"/>
      <c r="G43" s="1577"/>
      <c r="H43" s="1577"/>
      <c r="I43" s="1577"/>
      <c r="J43" s="1577"/>
      <c r="K43" s="1577"/>
      <c r="L43" s="1577"/>
      <c r="M43" s="1577"/>
      <c r="N43" s="1577"/>
      <c r="O43" s="1577"/>
      <c r="P43" s="1577"/>
      <c r="Q43" s="1577"/>
      <c r="R43" s="1577"/>
      <c r="S43" s="1577"/>
      <c r="T43" s="1577"/>
      <c r="U43" s="1577"/>
      <c r="V43" s="1577"/>
      <c r="W43" s="1577"/>
      <c r="X43" s="1577"/>
      <c r="Y43" s="1577"/>
      <c r="Z43" s="1577"/>
      <c r="AA43" s="1577"/>
      <c r="AB43" s="1577"/>
      <c r="AC43" s="1577"/>
      <c r="AD43" s="1577"/>
      <c r="AE43" s="1577"/>
      <c r="AF43" s="1577"/>
      <c r="AG43" s="1577"/>
      <c r="AH43" s="1577"/>
      <c r="AI43" s="1577"/>
      <c r="AJ43" s="1577"/>
      <c r="AK43" s="1577"/>
      <c r="AL43" s="1577"/>
      <c r="AM43" s="1577"/>
      <c r="AN43" s="1577"/>
      <c r="AO43" s="1577"/>
      <c r="AP43" s="1577"/>
      <c r="AQ43" s="1577"/>
      <c r="AR43" s="1577"/>
      <c r="AS43" s="1577"/>
      <c r="AT43" s="1577"/>
      <c r="AU43" s="1577"/>
      <c r="AV43" s="1577"/>
      <c r="AW43" s="1577"/>
      <c r="AX43" s="1577"/>
      <c r="AY43" s="1577"/>
      <c r="AZ43" s="1577"/>
      <c r="BA43" s="1577"/>
      <c r="BB43" s="1577"/>
      <c r="BC43" s="1577"/>
      <c r="BD43" s="1577"/>
      <c r="BE43" s="1577"/>
      <c r="BF43" s="1577"/>
      <c r="BG43" s="1577"/>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s="1655">
        <v>0</v>
      </c>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c r="GL43"/>
      <c r="GM43"/>
      <c r="GN43"/>
      <c r="GO43"/>
      <c r="GP43"/>
      <c r="GQ43"/>
      <c r="GR43"/>
      <c r="GS43"/>
      <c r="GT43"/>
      <c r="GU43"/>
      <c r="GV43"/>
      <c r="GW43" s="1655"/>
      <c r="GX43"/>
      <c r="GY43"/>
      <c r="GZ43"/>
      <c r="HA43"/>
      <c r="HB43"/>
      <c r="HC43"/>
      <c r="HD43"/>
      <c r="HE43"/>
      <c r="HF43"/>
      <c r="HG43"/>
      <c r="HH43"/>
      <c r="HI43"/>
      <c r="HJ43"/>
      <c r="HK43"/>
      <c r="HL43"/>
      <c r="HM43"/>
      <c r="HN43"/>
      <c r="HO43"/>
      <c r="HP43"/>
      <c r="HQ43"/>
      <c r="HR43"/>
      <c r="HS43"/>
      <c r="HT43"/>
      <c r="HU43"/>
      <c r="HV43"/>
      <c r="HW43"/>
      <c r="HX43"/>
      <c r="HY43"/>
      <c r="HZ43"/>
      <c r="IA43"/>
      <c r="IB43"/>
      <c r="IC43"/>
      <c r="ID43"/>
      <c r="IE43"/>
      <c r="IF43"/>
      <c r="IG43"/>
      <c r="IH43"/>
      <c r="II43"/>
      <c r="IJ43"/>
      <c r="IK43"/>
      <c r="IL43"/>
      <c r="IM43"/>
      <c r="IN43"/>
      <c r="IO43"/>
      <c r="IP43"/>
      <c r="IQ43"/>
      <c r="IR43"/>
      <c r="IS43"/>
      <c r="IT43"/>
      <c r="IU43"/>
      <c r="IV43"/>
      <c r="IW43"/>
      <c r="IX43"/>
      <c r="IY43"/>
      <c r="IZ43"/>
      <c r="JA43"/>
      <c r="JB43"/>
      <c r="JC43"/>
      <c r="JD43"/>
      <c r="JE43"/>
      <c r="JF43"/>
      <c r="JG43"/>
      <c r="JH43"/>
      <c r="JI43"/>
      <c r="JJ43"/>
      <c r="JK43"/>
      <c r="JL43"/>
      <c r="JM43"/>
      <c r="JN43"/>
      <c r="JO43"/>
      <c r="JP43"/>
      <c r="JQ43"/>
      <c r="JR43"/>
      <c r="JS43"/>
      <c r="JT43"/>
      <c r="JU43"/>
      <c r="JV43"/>
      <c r="JW43"/>
      <c r="JX43"/>
      <c r="JY43"/>
      <c r="JZ43"/>
      <c r="KA43"/>
      <c r="KB43"/>
      <c r="KC43"/>
      <c r="KD43"/>
      <c r="KE43"/>
      <c r="KF43"/>
      <c r="KG43"/>
      <c r="KH43"/>
      <c r="KI43"/>
      <c r="KJ43"/>
      <c r="KK43"/>
      <c r="KL43"/>
      <c r="KM43"/>
      <c r="KN43"/>
      <c r="KO43"/>
      <c r="KP43"/>
      <c r="KQ43"/>
      <c r="KR43"/>
      <c r="KS43"/>
      <c r="KT43" s="1655"/>
      <c r="KU43"/>
      <c r="KV43"/>
      <c r="KW43"/>
      <c r="KX43"/>
      <c r="KY43"/>
      <c r="KZ43"/>
      <c r="LA43"/>
      <c r="LB43"/>
      <c r="LC43"/>
      <c r="LD43"/>
      <c r="LE43"/>
      <c r="LF43"/>
      <c r="LG43"/>
      <c r="LH43"/>
      <c r="LI43"/>
      <c r="LJ43"/>
      <c r="LK43"/>
      <c r="LL43"/>
      <c r="LM43"/>
      <c r="LN43"/>
      <c r="LO43"/>
      <c r="LP43"/>
      <c r="LQ43"/>
      <c r="LR43"/>
      <c r="LS43"/>
      <c r="LT43"/>
      <c r="LU43"/>
      <c r="LV43"/>
      <c r="LW43"/>
      <c r="LX43"/>
      <c r="LY43"/>
      <c r="LZ43"/>
      <c r="MA43"/>
      <c r="MB43"/>
      <c r="MC43"/>
      <c r="MD43"/>
      <c r="ME43"/>
      <c r="MF43"/>
      <c r="MG43"/>
      <c r="MH43"/>
      <c r="MI43"/>
      <c r="MJ43"/>
      <c r="MK43"/>
      <c r="ML43"/>
      <c r="MM43"/>
      <c r="MN43"/>
      <c r="MO43"/>
      <c r="MP43"/>
      <c r="MQ43"/>
      <c r="MR43"/>
      <c r="MS43"/>
      <c r="MT43"/>
      <c r="MU43"/>
      <c r="MV43"/>
      <c r="MW43"/>
      <c r="MX43"/>
      <c r="MY43"/>
      <c r="MZ43"/>
      <c r="NA43"/>
      <c r="NB43"/>
      <c r="NC43"/>
      <c r="ND43"/>
      <c r="NE43"/>
      <c r="NF43"/>
      <c r="NG43"/>
      <c r="NH43"/>
      <c r="NI43"/>
      <c r="NJ43"/>
      <c r="NK43"/>
      <c r="NL43"/>
      <c r="NM43"/>
      <c r="NN43"/>
      <c r="NO43"/>
      <c r="NP43"/>
      <c r="NQ43"/>
      <c r="NR43"/>
      <c r="NS43"/>
      <c r="NT43"/>
      <c r="NU43"/>
      <c r="NV43"/>
      <c r="NW43"/>
      <c r="NX43"/>
      <c r="NY43"/>
      <c r="NZ43"/>
      <c r="OA43"/>
      <c r="OB43"/>
      <c r="OC43"/>
      <c r="OD43"/>
      <c r="OE43"/>
      <c r="OF43"/>
      <c r="OG43"/>
      <c r="OH43"/>
      <c r="OI43"/>
      <c r="OJ43"/>
      <c r="OK43"/>
      <c r="OL43"/>
      <c r="OM43"/>
      <c r="ON43"/>
      <c r="OO43"/>
      <c r="OP43"/>
      <c r="OQ43" s="1656"/>
      <c r="OR43"/>
      <c r="OS43"/>
      <c r="OT43"/>
      <c r="OU43"/>
      <c r="OV43"/>
      <c r="OW43"/>
      <c r="OX43"/>
      <c r="OY43"/>
      <c r="OZ43"/>
      <c r="PA43"/>
      <c r="PB43"/>
      <c r="PC43"/>
      <c r="PD43"/>
      <c r="PE43"/>
      <c r="PF43"/>
      <c r="PG43"/>
      <c r="PH43"/>
      <c r="PI43"/>
      <c r="PJ43"/>
      <c r="PK43"/>
      <c r="PL43"/>
      <c r="PM43"/>
      <c r="PN43"/>
      <c r="PO43"/>
      <c r="PP43"/>
      <c r="PQ43"/>
      <c r="PR43"/>
      <c r="PS43"/>
      <c r="PT43" s="1656"/>
    </row>
    <row r="44" spans="1:436" ht="21.5">
      <c r="A44" s="1466"/>
      <c r="B44" s="1576"/>
      <c r="C44" s="1576"/>
      <c r="D44" s="1576"/>
      <c r="E44" s="1577"/>
      <c r="F44" s="1577"/>
      <c r="G44" s="1577"/>
      <c r="H44" s="1577"/>
      <c r="I44" s="1577"/>
      <c r="J44" s="1577"/>
      <c r="K44" s="1577"/>
      <c r="L44" s="1577"/>
      <c r="M44" s="1577"/>
      <c r="N44" s="1577"/>
      <c r="O44" s="1577"/>
      <c r="P44" s="1577"/>
      <c r="Q44" s="1577"/>
      <c r="R44" s="1577"/>
      <c r="S44" s="1577"/>
      <c r="T44" s="1577"/>
      <c r="U44" s="1577"/>
      <c r="V44" s="1577"/>
      <c r="W44" s="1577"/>
      <c r="X44" s="1577"/>
      <c r="Y44" s="1577"/>
      <c r="Z44" s="1577"/>
      <c r="AA44" s="1577"/>
      <c r="AB44" s="1577"/>
      <c r="AC44" s="1577"/>
      <c r="AD44" s="1577"/>
      <c r="AE44" s="1577"/>
      <c r="AF44" s="1577"/>
      <c r="AG44" s="1577"/>
      <c r="AH44" s="1577"/>
      <c r="AI44" s="1577"/>
      <c r="AJ44" s="1577"/>
      <c r="AK44" s="1577"/>
      <c r="AL44" s="1577"/>
      <c r="AM44" s="1577"/>
      <c r="AN44" s="1577"/>
      <c r="AO44" s="1577"/>
      <c r="AP44" s="1577"/>
      <c r="AQ44" s="1577"/>
      <c r="AR44" s="1577"/>
      <c r="AS44" s="1577"/>
      <c r="AT44" s="1577"/>
      <c r="AU44" s="1577"/>
      <c r="AV44" s="1577"/>
      <c r="AW44" s="1577"/>
      <c r="AX44" s="1577"/>
      <c r="AY44" s="1577"/>
      <c r="AZ44" s="1577"/>
      <c r="BA44" s="1577"/>
      <c r="BB44" s="1577"/>
      <c r="BC44" s="1577"/>
      <c r="BD44" s="1577"/>
      <c r="BE44" s="1577"/>
      <c r="BF44" s="1577"/>
      <c r="BG44" s="1577"/>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s="1655">
        <v>0</v>
      </c>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c r="GL44"/>
      <c r="GM44"/>
      <c r="GN44"/>
      <c r="GO44"/>
      <c r="GP44"/>
      <c r="GQ44"/>
      <c r="GR44"/>
      <c r="GS44"/>
      <c r="GT44"/>
      <c r="GU44"/>
      <c r="GV44"/>
      <c r="GW44" s="1655"/>
      <c r="GX44"/>
      <c r="GY44"/>
      <c r="GZ44"/>
      <c r="HA44"/>
      <c r="HB44"/>
      <c r="HC44"/>
      <c r="HD44"/>
      <c r="HE44"/>
      <c r="HF44"/>
      <c r="HG44"/>
      <c r="HH44"/>
      <c r="HI44"/>
      <c r="HJ44"/>
      <c r="HK44"/>
      <c r="HL44"/>
      <c r="HM44"/>
      <c r="HN44"/>
      <c r="HO44"/>
      <c r="HP44"/>
      <c r="HQ44"/>
      <c r="HR44"/>
      <c r="HS44"/>
      <c r="HT44"/>
      <c r="HU44"/>
      <c r="HV44"/>
      <c r="HW44"/>
      <c r="HX44"/>
      <c r="HY44"/>
      <c r="HZ44"/>
      <c r="IA44"/>
      <c r="IB44"/>
      <c r="IC44"/>
      <c r="ID44"/>
      <c r="IE44"/>
      <c r="IF44"/>
      <c r="IG44"/>
      <c r="IH44"/>
      <c r="II44"/>
      <c r="IJ44"/>
      <c r="IK44"/>
      <c r="IL44"/>
      <c r="IM44"/>
      <c r="IN44"/>
      <c r="IO44"/>
      <c r="IP44"/>
      <c r="IQ44"/>
      <c r="IR44"/>
      <c r="IS44"/>
      <c r="IT44"/>
      <c r="IU44"/>
      <c r="IV44"/>
      <c r="IW44"/>
      <c r="IX44"/>
      <c r="IY44"/>
      <c r="IZ44"/>
      <c r="JA44"/>
      <c r="JB44"/>
      <c r="JC44"/>
      <c r="JD44"/>
      <c r="JE44"/>
      <c r="JF44"/>
      <c r="JG44"/>
      <c r="JH44"/>
      <c r="JI44"/>
      <c r="JJ44"/>
      <c r="JK44"/>
      <c r="JL44"/>
      <c r="JM44"/>
      <c r="JN44"/>
      <c r="JO44"/>
      <c r="JP44"/>
      <c r="JQ44"/>
      <c r="JR44"/>
      <c r="JS44"/>
      <c r="JT44"/>
      <c r="JU44"/>
      <c r="JV44"/>
      <c r="JW44"/>
      <c r="JX44"/>
      <c r="JY44"/>
      <c r="JZ44"/>
      <c r="KA44"/>
      <c r="KB44"/>
      <c r="KC44"/>
      <c r="KD44"/>
      <c r="KE44"/>
      <c r="KF44"/>
      <c r="KG44"/>
      <c r="KH44"/>
      <c r="KI44"/>
      <c r="KJ44"/>
      <c r="KK44"/>
      <c r="KL44"/>
      <c r="KM44"/>
      <c r="KN44"/>
      <c r="KO44"/>
      <c r="KP44"/>
      <c r="KQ44"/>
      <c r="KR44"/>
      <c r="KS44"/>
      <c r="KT44" s="1655"/>
      <c r="KU44"/>
      <c r="KV44"/>
      <c r="KW44"/>
      <c r="KX44"/>
      <c r="KY44"/>
      <c r="KZ44"/>
      <c r="LA44"/>
      <c r="LB44"/>
      <c r="LC44"/>
      <c r="LD44"/>
      <c r="LE44"/>
      <c r="LF44"/>
      <c r="LG44"/>
      <c r="LH44"/>
      <c r="LI44"/>
      <c r="LJ44"/>
      <c r="LK44"/>
      <c r="LL44"/>
      <c r="LM44"/>
      <c r="LN44"/>
      <c r="LO44"/>
      <c r="LP44"/>
      <c r="LQ44"/>
      <c r="LR44"/>
      <c r="LS44"/>
      <c r="LT44"/>
      <c r="LU44"/>
      <c r="LV44"/>
      <c r="LW44"/>
      <c r="LX44"/>
      <c r="LY44"/>
      <c r="LZ44"/>
      <c r="MA44"/>
      <c r="MB44"/>
      <c r="MC44"/>
      <c r="MD44"/>
      <c r="ME44"/>
      <c r="MF44"/>
      <c r="MG44"/>
      <c r="MH44"/>
      <c r="MI44"/>
      <c r="MJ44"/>
      <c r="MK44"/>
      <c r="ML44"/>
      <c r="MM44"/>
      <c r="MN44"/>
      <c r="MO44"/>
      <c r="MP44"/>
      <c r="MQ44"/>
      <c r="MR44"/>
      <c r="MS44"/>
      <c r="MT44"/>
      <c r="MU44"/>
      <c r="MV44"/>
      <c r="MW44"/>
      <c r="MX44"/>
      <c r="MY44"/>
      <c r="MZ44"/>
      <c r="NA44"/>
      <c r="NB44"/>
      <c r="NC44"/>
      <c r="ND44"/>
      <c r="NE44"/>
      <c r="NF44"/>
      <c r="NG44"/>
      <c r="NH44"/>
      <c r="NI44"/>
      <c r="NJ44"/>
      <c r="NK44"/>
      <c r="NL44"/>
      <c r="NM44"/>
      <c r="NN44"/>
      <c r="NO44"/>
      <c r="NP44"/>
      <c r="NQ44"/>
      <c r="NR44"/>
      <c r="NS44"/>
      <c r="NT44"/>
      <c r="NU44"/>
      <c r="NV44"/>
      <c r="NW44"/>
      <c r="NX44"/>
      <c r="NY44"/>
      <c r="NZ44"/>
      <c r="OA44"/>
      <c r="OB44"/>
      <c r="OC44"/>
      <c r="OD44"/>
      <c r="OE44"/>
      <c r="OF44"/>
      <c r="OG44"/>
      <c r="OH44"/>
      <c r="OI44"/>
      <c r="OJ44"/>
      <c r="OK44"/>
      <c r="OL44"/>
      <c r="OM44"/>
      <c r="ON44"/>
      <c r="OO44"/>
      <c r="OP44"/>
      <c r="OQ44" s="1656"/>
      <c r="OR44"/>
      <c r="OS44"/>
      <c r="OT44"/>
      <c r="OU44"/>
      <c r="OV44"/>
      <c r="OW44"/>
      <c r="OX44"/>
      <c r="OY44"/>
      <c r="OZ44"/>
      <c r="PA44"/>
      <c r="PB44"/>
      <c r="PC44"/>
      <c r="PD44"/>
      <c r="PE44"/>
      <c r="PF44"/>
      <c r="PG44"/>
      <c r="PH44"/>
      <c r="PI44"/>
      <c r="PJ44"/>
      <c r="PK44"/>
      <c r="PL44"/>
      <c r="PM44"/>
      <c r="PN44"/>
      <c r="PO44"/>
      <c r="PP44"/>
      <c r="PQ44"/>
      <c r="PR44"/>
      <c r="PS44"/>
      <c r="PT44" s="1656"/>
    </row>
    <row r="45" spans="1:436" ht="21.5">
      <c r="A45" s="1466"/>
      <c r="B45" s="1576"/>
      <c r="C45" s="1576"/>
      <c r="D45" s="1576"/>
      <c r="E45" s="1577"/>
      <c r="F45" s="1577"/>
      <c r="G45" s="1577"/>
      <c r="H45" s="1577"/>
      <c r="I45" s="1577"/>
      <c r="J45" s="1577"/>
      <c r="K45" s="1577"/>
      <c r="L45" s="1577"/>
      <c r="M45" s="1577"/>
      <c r="N45" s="1577"/>
      <c r="O45" s="1577"/>
      <c r="P45" s="1577"/>
      <c r="Q45" s="1577"/>
      <c r="R45" s="1577"/>
      <c r="S45" s="1577"/>
      <c r="T45" s="1577"/>
      <c r="U45" s="1577"/>
      <c r="V45" s="1577"/>
      <c r="W45" s="1577"/>
      <c r="X45" s="1577"/>
      <c r="Y45" s="1577"/>
      <c r="Z45" s="1577"/>
      <c r="AA45" s="1577"/>
      <c r="AB45" s="1577"/>
      <c r="AC45" s="1577"/>
      <c r="AD45" s="1577"/>
      <c r="AE45" s="1577"/>
      <c r="AF45" s="1577"/>
      <c r="AG45" s="1577"/>
      <c r="AH45" s="1577"/>
      <c r="AI45" s="1577"/>
      <c r="AJ45" s="1577"/>
      <c r="AK45" s="1577"/>
      <c r="AL45" s="1577"/>
      <c r="AM45" s="1577"/>
      <c r="AN45" s="1577"/>
      <c r="AO45" s="1577"/>
      <c r="AP45" s="1577"/>
      <c r="AQ45" s="1577"/>
      <c r="AR45" s="1577"/>
      <c r="AS45" s="1577"/>
      <c r="AT45" s="1577"/>
      <c r="AU45" s="1577"/>
      <c r="AV45" s="1577"/>
      <c r="AW45" s="1577"/>
      <c r="AX45" s="1577"/>
      <c r="AY45" s="1577"/>
      <c r="AZ45" s="1577"/>
      <c r="BA45" s="1577"/>
      <c r="BB45" s="1577"/>
      <c r="BC45" s="1577"/>
      <c r="BD45" s="1577"/>
      <c r="BE45" s="1577"/>
      <c r="BF45" s="1577"/>
      <c r="BG45" s="1577"/>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s="1655">
        <v>0</v>
      </c>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c r="GL45"/>
      <c r="GM45"/>
      <c r="GN45"/>
      <c r="GO45"/>
      <c r="GP45"/>
      <c r="GQ45"/>
      <c r="GR45"/>
      <c r="GS45"/>
      <c r="GT45"/>
      <c r="GU45"/>
      <c r="GV45"/>
      <c r="GW45" s="1655"/>
      <c r="GX45"/>
      <c r="GY45"/>
      <c r="GZ45"/>
      <c r="HA45"/>
      <c r="HB45"/>
      <c r="HC45"/>
      <c r="HD45"/>
      <c r="HE45"/>
      <c r="HF45"/>
      <c r="HG45"/>
      <c r="HH45"/>
      <c r="HI45"/>
      <c r="HJ45"/>
      <c r="HK45"/>
      <c r="HL45"/>
      <c r="HM45"/>
      <c r="HN45"/>
      <c r="HO45"/>
      <c r="HP45"/>
      <c r="HQ45"/>
      <c r="HR45"/>
      <c r="HS45"/>
      <c r="HT45"/>
      <c r="HU45"/>
      <c r="HV45"/>
      <c r="HW45"/>
      <c r="HX45"/>
      <c r="HY45"/>
      <c r="HZ45"/>
      <c r="IA45"/>
      <c r="IB45"/>
      <c r="IC45"/>
      <c r="ID45"/>
      <c r="IE45"/>
      <c r="IF45"/>
      <c r="IG45"/>
      <c r="IH45"/>
      <c r="II45"/>
      <c r="IJ45"/>
      <c r="IK45"/>
      <c r="IL45"/>
      <c r="IM45"/>
      <c r="IN45"/>
      <c r="IO45"/>
      <c r="IP45"/>
      <c r="IQ45"/>
      <c r="IR45"/>
      <c r="IS45"/>
      <c r="IT45"/>
      <c r="IU45"/>
      <c r="IV45"/>
      <c r="IW45"/>
      <c r="IX45"/>
      <c r="IY45"/>
      <c r="IZ45"/>
      <c r="JA45"/>
      <c r="JB45"/>
      <c r="JC45"/>
      <c r="JD45"/>
      <c r="JE45"/>
      <c r="JF45"/>
      <c r="JG45"/>
      <c r="JH45"/>
      <c r="JI45"/>
      <c r="JJ45"/>
      <c r="JK45"/>
      <c r="JL45"/>
      <c r="JM45"/>
      <c r="JN45"/>
      <c r="JO45"/>
      <c r="JP45"/>
      <c r="JQ45"/>
      <c r="JR45"/>
      <c r="JS45"/>
      <c r="JT45"/>
      <c r="JU45"/>
      <c r="JV45"/>
      <c r="JW45"/>
      <c r="JX45"/>
      <c r="JY45"/>
      <c r="JZ45"/>
      <c r="KA45"/>
      <c r="KB45"/>
      <c r="KC45"/>
      <c r="KD45"/>
      <c r="KE45"/>
      <c r="KF45"/>
      <c r="KG45"/>
      <c r="KH45"/>
      <c r="KI45"/>
      <c r="KJ45"/>
      <c r="KK45"/>
      <c r="KL45"/>
      <c r="KM45"/>
      <c r="KN45"/>
      <c r="KO45"/>
      <c r="KP45"/>
      <c r="KQ45"/>
      <c r="KR45"/>
      <c r="KS45"/>
      <c r="KT45" s="1655"/>
      <c r="KU45"/>
      <c r="KV45"/>
      <c r="KW45"/>
      <c r="KX45"/>
      <c r="KY45"/>
      <c r="KZ45"/>
      <c r="LA45"/>
      <c r="LB45"/>
      <c r="LC45"/>
      <c r="LD45"/>
      <c r="LE45"/>
      <c r="LF45"/>
      <c r="LG45"/>
      <c r="LH45"/>
      <c r="LI45"/>
      <c r="LJ45"/>
      <c r="LK45"/>
      <c r="LL45"/>
      <c r="LM45"/>
      <c r="LN45"/>
      <c r="LO45"/>
      <c r="LP45"/>
      <c r="LQ45"/>
      <c r="LR45"/>
      <c r="LS45"/>
      <c r="LT45"/>
      <c r="LU45"/>
      <c r="LV45"/>
      <c r="LW45"/>
      <c r="LX45"/>
      <c r="LY45"/>
      <c r="LZ45"/>
      <c r="MA45"/>
      <c r="MB45"/>
      <c r="MC45"/>
      <c r="MD45"/>
      <c r="ME45"/>
      <c r="MF45"/>
      <c r="MG45"/>
      <c r="MH45"/>
      <c r="MI45"/>
      <c r="MJ45"/>
      <c r="MK45"/>
      <c r="ML45"/>
      <c r="MM45"/>
      <c r="MN45"/>
      <c r="MO45"/>
      <c r="MP45"/>
      <c r="MQ45"/>
      <c r="MR45"/>
      <c r="MS45"/>
      <c r="MT45"/>
      <c r="MU45"/>
      <c r="MV45"/>
      <c r="MW45"/>
      <c r="MX45"/>
      <c r="MY45"/>
      <c r="MZ45"/>
      <c r="NA45"/>
      <c r="NB45"/>
      <c r="NC45"/>
      <c r="ND45"/>
      <c r="NE45"/>
      <c r="NF45"/>
      <c r="NG45"/>
      <c r="NH45"/>
      <c r="NI45"/>
      <c r="NJ45"/>
      <c r="NK45"/>
      <c r="NL45"/>
      <c r="NM45"/>
      <c r="NN45"/>
      <c r="NO45"/>
      <c r="NP45"/>
      <c r="NQ45"/>
      <c r="NR45"/>
      <c r="NS45"/>
      <c r="NT45"/>
      <c r="NU45"/>
      <c r="NV45"/>
      <c r="NW45"/>
      <c r="NX45"/>
      <c r="NY45"/>
      <c r="NZ45"/>
      <c r="OA45"/>
      <c r="OB45"/>
      <c r="OC45"/>
      <c r="OD45"/>
      <c r="OE45"/>
      <c r="OF45"/>
      <c r="OG45"/>
      <c r="OH45"/>
      <c r="OI45"/>
      <c r="OJ45"/>
      <c r="OK45"/>
      <c r="OL45"/>
      <c r="OM45"/>
      <c r="ON45"/>
      <c r="OO45"/>
      <c r="OP45"/>
      <c r="OQ45" s="1656"/>
      <c r="OR45"/>
      <c r="OS45"/>
      <c r="OT45"/>
      <c r="OU45"/>
      <c r="OV45"/>
      <c r="OW45"/>
      <c r="OX45"/>
      <c r="OY45"/>
      <c r="OZ45"/>
      <c r="PA45"/>
      <c r="PB45"/>
      <c r="PC45"/>
      <c r="PD45"/>
      <c r="PE45"/>
      <c r="PF45"/>
      <c r="PG45"/>
      <c r="PH45"/>
      <c r="PI45"/>
      <c r="PJ45"/>
      <c r="PK45"/>
      <c r="PL45"/>
      <c r="PM45"/>
      <c r="PN45"/>
      <c r="PO45"/>
      <c r="PP45"/>
      <c r="PQ45"/>
      <c r="PR45"/>
      <c r="PS45"/>
      <c r="PT45" s="1656"/>
    </row>
    <row r="46" spans="1:436" ht="21.5">
      <c r="A46" s="1466"/>
      <c r="B46" s="1576"/>
      <c r="C46" s="1576"/>
      <c r="D46" s="1576"/>
      <c r="E46" s="1577"/>
      <c r="F46" s="1577"/>
      <c r="G46" s="1577"/>
      <c r="H46" s="1577"/>
      <c r="I46" s="1577"/>
      <c r="J46" s="1577"/>
      <c r="K46" s="1577"/>
      <c r="L46" s="1577"/>
      <c r="M46" s="1577"/>
      <c r="N46" s="1577"/>
      <c r="O46" s="1577"/>
      <c r="P46" s="1577"/>
      <c r="Q46" s="1577"/>
      <c r="R46" s="1577"/>
      <c r="S46" s="1577"/>
      <c r="T46" s="1577"/>
      <c r="U46" s="1577"/>
      <c r="V46" s="1577"/>
      <c r="W46" s="1577"/>
      <c r="X46" s="1577"/>
      <c r="Y46" s="1577"/>
      <c r="Z46" s="1577"/>
      <c r="AA46" s="1577"/>
      <c r="AB46" s="1577"/>
      <c r="AC46" s="1577"/>
      <c r="AD46" s="1577"/>
      <c r="AE46" s="1577"/>
      <c r="AF46" s="1577"/>
      <c r="AG46" s="1577"/>
      <c r="AH46" s="1577"/>
      <c r="AI46" s="1577"/>
      <c r="AJ46" s="1577"/>
      <c r="AK46" s="1577"/>
      <c r="AL46" s="1577"/>
      <c r="AM46" s="1577"/>
      <c r="AN46" s="1577"/>
      <c r="AO46" s="1577"/>
      <c r="AP46" s="1577"/>
      <c r="AQ46" s="1577"/>
      <c r="AR46" s="1577"/>
      <c r="AS46" s="1577"/>
      <c r="AT46" s="1577"/>
      <c r="AU46" s="1577"/>
      <c r="AV46" s="1577"/>
      <c r="AW46" s="1577"/>
      <c r="AX46" s="1577"/>
      <c r="AY46" s="1577"/>
      <c r="AZ46" s="1577"/>
      <c r="BA46" s="1577"/>
      <c r="BB46" s="1577"/>
      <c r="BC46" s="1577"/>
      <c r="BD46" s="1577"/>
      <c r="BE46" s="1577"/>
      <c r="BF46" s="1577"/>
      <c r="BG46" s="1577"/>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s="1655">
        <v>0</v>
      </c>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c r="GL46"/>
      <c r="GM46"/>
      <c r="GN46"/>
      <c r="GO46"/>
      <c r="GP46"/>
      <c r="GQ46"/>
      <c r="GR46"/>
      <c r="GS46"/>
      <c r="GT46"/>
      <c r="GU46"/>
      <c r="GV46"/>
      <c r="GW46" s="1655"/>
      <c r="GX46"/>
      <c r="GY46"/>
      <c r="GZ46"/>
      <c r="HA46"/>
      <c r="HB46"/>
      <c r="HC46"/>
      <c r="HD46"/>
      <c r="HE46"/>
      <c r="HF46"/>
      <c r="HG46"/>
      <c r="HH46"/>
      <c r="HI46"/>
      <c r="HJ46"/>
      <c r="HK46"/>
      <c r="HL46"/>
      <c r="HM46"/>
      <c r="HN46"/>
      <c r="HO46"/>
      <c r="HP46"/>
      <c r="HQ46"/>
      <c r="HR46"/>
      <c r="HS46"/>
      <c r="HT46"/>
      <c r="HU46"/>
      <c r="HV46"/>
      <c r="HW46"/>
      <c r="HX46"/>
      <c r="HY46"/>
      <c r="HZ46"/>
      <c r="IA46"/>
      <c r="IB46"/>
      <c r="IC46"/>
      <c r="ID46"/>
      <c r="IE46"/>
      <c r="IF46"/>
      <c r="IG46"/>
      <c r="IH46"/>
      <c r="II46"/>
      <c r="IJ46"/>
      <c r="IK46"/>
      <c r="IL46"/>
      <c r="IM46"/>
      <c r="IN46"/>
      <c r="IO46"/>
      <c r="IP46"/>
      <c r="IQ46"/>
      <c r="IR46"/>
      <c r="IS46"/>
      <c r="IT46"/>
      <c r="IU46"/>
      <c r="IV46"/>
      <c r="IW46"/>
      <c r="IX46"/>
      <c r="IY46"/>
      <c r="IZ46"/>
      <c r="JA46"/>
      <c r="JB46"/>
      <c r="JC46"/>
      <c r="JD46"/>
      <c r="JE46"/>
      <c r="JF46"/>
      <c r="JG46"/>
      <c r="JH46"/>
      <c r="JI46"/>
      <c r="JJ46"/>
      <c r="JK46"/>
      <c r="JL46"/>
      <c r="JM46"/>
      <c r="JN46"/>
      <c r="JO46"/>
      <c r="JP46"/>
      <c r="JQ46"/>
      <c r="JR46"/>
      <c r="JS46"/>
      <c r="JT46"/>
      <c r="JU46"/>
      <c r="JV46"/>
      <c r="JW46"/>
      <c r="JX46"/>
      <c r="JY46"/>
      <c r="JZ46"/>
      <c r="KA46"/>
      <c r="KB46"/>
      <c r="KC46"/>
      <c r="KD46"/>
      <c r="KE46"/>
      <c r="KF46"/>
      <c r="KG46"/>
      <c r="KH46"/>
      <c r="KI46"/>
      <c r="KJ46"/>
      <c r="KK46"/>
      <c r="KL46"/>
      <c r="KM46"/>
      <c r="KN46"/>
      <c r="KO46"/>
      <c r="KP46"/>
      <c r="KQ46"/>
      <c r="KR46"/>
      <c r="KS46"/>
      <c r="KT46" s="1655"/>
      <c r="KU46"/>
      <c r="KV46"/>
      <c r="KW46"/>
      <c r="KX46"/>
      <c r="KY46"/>
      <c r="KZ46"/>
      <c r="LA46"/>
      <c r="LB46"/>
      <c r="LC46"/>
      <c r="LD46"/>
      <c r="LE46"/>
      <c r="LF46"/>
      <c r="LG46"/>
      <c r="LH46"/>
      <c r="LI46"/>
      <c r="LJ46"/>
      <c r="LK46"/>
      <c r="LL46"/>
      <c r="LM46"/>
      <c r="LN46"/>
      <c r="LO46"/>
      <c r="LP46"/>
      <c r="LQ46"/>
      <c r="LR46"/>
      <c r="LS46"/>
      <c r="LT46"/>
      <c r="LU46"/>
      <c r="LV46"/>
      <c r="LW46"/>
      <c r="LX46"/>
      <c r="LY46"/>
      <c r="LZ46"/>
      <c r="MA46"/>
      <c r="MB46"/>
      <c r="MC46"/>
      <c r="MD46"/>
      <c r="ME46"/>
      <c r="MF46"/>
      <c r="MG46"/>
      <c r="MH46"/>
      <c r="MI46"/>
      <c r="MJ46"/>
      <c r="MK46"/>
      <c r="ML46"/>
      <c r="MM46"/>
      <c r="MN46"/>
      <c r="MO46"/>
      <c r="MP46"/>
      <c r="MQ46"/>
      <c r="MR46"/>
      <c r="MS46"/>
      <c r="MT46"/>
      <c r="MU46"/>
      <c r="MV46"/>
      <c r="MW46"/>
      <c r="MX46"/>
      <c r="MY46"/>
      <c r="MZ46"/>
      <c r="NA46"/>
      <c r="NB46"/>
      <c r="NC46"/>
      <c r="ND46"/>
      <c r="NE46"/>
      <c r="NF46"/>
      <c r="NG46"/>
      <c r="NH46"/>
      <c r="NI46"/>
      <c r="NJ46"/>
      <c r="NK46"/>
      <c r="NL46"/>
      <c r="NM46"/>
      <c r="NN46"/>
      <c r="NO46"/>
      <c r="NP46"/>
      <c r="NQ46"/>
      <c r="NR46"/>
      <c r="NS46"/>
      <c r="NT46"/>
      <c r="NU46"/>
      <c r="NV46"/>
      <c r="NW46"/>
      <c r="NX46"/>
      <c r="NY46"/>
      <c r="NZ46"/>
      <c r="OA46"/>
      <c r="OB46"/>
      <c r="OC46"/>
      <c r="OD46"/>
      <c r="OE46"/>
      <c r="OF46"/>
      <c r="OG46"/>
      <c r="OH46"/>
      <c r="OI46"/>
      <c r="OJ46"/>
      <c r="OK46"/>
      <c r="OL46"/>
      <c r="OM46"/>
      <c r="ON46"/>
      <c r="OO46"/>
      <c r="OP46"/>
      <c r="OQ46" s="1656"/>
      <c r="OR46"/>
      <c r="OS46"/>
      <c r="OT46"/>
      <c r="OU46"/>
      <c r="OV46"/>
      <c r="OW46"/>
      <c r="OX46"/>
      <c r="OY46"/>
      <c r="OZ46"/>
      <c r="PA46"/>
      <c r="PB46"/>
      <c r="PC46"/>
      <c r="PD46"/>
      <c r="PE46"/>
      <c r="PF46"/>
      <c r="PG46"/>
      <c r="PH46"/>
      <c r="PI46"/>
      <c r="PJ46"/>
      <c r="PK46"/>
      <c r="PL46"/>
      <c r="PM46"/>
      <c r="PN46"/>
      <c r="PO46"/>
      <c r="PP46"/>
      <c r="PQ46"/>
      <c r="PR46"/>
      <c r="PS46"/>
      <c r="PT46" s="1656"/>
    </row>
    <row r="47" spans="1:436" ht="21.5">
      <c r="A47" s="1466"/>
      <c r="B47" s="1576"/>
      <c r="C47" s="1576"/>
      <c r="D47" s="1576"/>
      <c r="E47" s="1577"/>
      <c r="F47" s="1577"/>
      <c r="G47" s="1577"/>
      <c r="H47" s="1577"/>
      <c r="I47" s="1577"/>
      <c r="J47" s="1577"/>
      <c r="K47" s="1577"/>
      <c r="L47" s="1577"/>
      <c r="M47" s="1577"/>
      <c r="N47" s="1577"/>
      <c r="O47" s="1577"/>
      <c r="P47" s="1577"/>
      <c r="Q47" s="1577"/>
      <c r="R47" s="1577"/>
      <c r="S47" s="1577"/>
      <c r="T47" s="1577"/>
      <c r="U47" s="1577"/>
      <c r="V47" s="1577"/>
      <c r="W47" s="1577"/>
      <c r="X47" s="1577"/>
      <c r="Y47" s="1577"/>
      <c r="Z47" s="1577"/>
      <c r="AA47" s="1577"/>
      <c r="AB47" s="1577"/>
      <c r="AC47" s="1577"/>
      <c r="AD47" s="1577"/>
      <c r="AE47" s="1577"/>
      <c r="AF47" s="1577"/>
      <c r="AG47" s="1577"/>
      <c r="AH47" s="1577"/>
      <c r="AI47" s="1577"/>
      <c r="AJ47" s="1577"/>
      <c r="AK47" s="1577"/>
      <c r="AL47" s="1577"/>
      <c r="AM47" s="1577"/>
      <c r="AN47" s="1577"/>
      <c r="AO47" s="1577"/>
      <c r="AP47" s="1577"/>
      <c r="AQ47" s="1577"/>
      <c r="AR47" s="1577"/>
      <c r="AS47" s="1577"/>
      <c r="AT47" s="1577"/>
      <c r="AU47" s="1577"/>
      <c r="AV47" s="1577"/>
      <c r="AW47" s="1577"/>
      <c r="AX47" s="1577"/>
      <c r="AY47" s="1577"/>
      <c r="AZ47" s="1577"/>
      <c r="BA47" s="1577"/>
      <c r="BB47" s="1577"/>
      <c r="BC47" s="1577"/>
      <c r="BD47" s="1577"/>
      <c r="BE47" s="1577"/>
      <c r="BF47" s="1577"/>
      <c r="BG47" s="1577"/>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s="1655">
        <v>0</v>
      </c>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c r="GL47"/>
      <c r="GM47"/>
      <c r="GN47"/>
      <c r="GO47"/>
      <c r="GP47"/>
      <c r="GQ47"/>
      <c r="GR47"/>
      <c r="GS47"/>
      <c r="GT47"/>
      <c r="GU47"/>
      <c r="GV47"/>
      <c r="GW47" s="1655"/>
      <c r="GX47"/>
      <c r="GY47"/>
      <c r="GZ47"/>
      <c r="HA47"/>
      <c r="HB47"/>
      <c r="HC47"/>
      <c r="HD47"/>
      <c r="HE47"/>
      <c r="HF47"/>
      <c r="HG47"/>
      <c r="HH47"/>
      <c r="HI47"/>
      <c r="HJ47"/>
      <c r="HK47"/>
      <c r="HL47"/>
      <c r="HM47"/>
      <c r="HN47"/>
      <c r="HO47"/>
      <c r="HP47"/>
      <c r="HQ47"/>
      <c r="HR47"/>
      <c r="HS47"/>
      <c r="HT47"/>
      <c r="HU47"/>
      <c r="HV47"/>
      <c r="HW47"/>
      <c r="HX47"/>
      <c r="HY47"/>
      <c r="HZ47"/>
      <c r="IA47"/>
      <c r="IB47"/>
      <c r="IC47"/>
      <c r="ID47"/>
      <c r="IE47"/>
      <c r="IF47"/>
      <c r="IG47"/>
      <c r="IH47"/>
      <c r="II47"/>
      <c r="IJ47"/>
      <c r="IK47"/>
      <c r="IL47"/>
      <c r="IM47"/>
      <c r="IN47"/>
      <c r="IO47"/>
      <c r="IP47"/>
      <c r="IQ47"/>
      <c r="IR47"/>
      <c r="IS47"/>
      <c r="IT47"/>
      <c r="IU47"/>
      <c r="IV47"/>
      <c r="IW47"/>
      <c r="IX47"/>
      <c r="IY47"/>
      <c r="IZ47"/>
      <c r="JA47"/>
      <c r="JB47"/>
      <c r="JC47"/>
      <c r="JD47"/>
      <c r="JE47"/>
      <c r="JF47"/>
      <c r="JG47"/>
      <c r="JH47"/>
      <c r="JI47"/>
      <c r="JJ47"/>
      <c r="JK47"/>
      <c r="JL47"/>
      <c r="JM47"/>
      <c r="JN47"/>
      <c r="JO47"/>
      <c r="JP47"/>
      <c r="JQ47"/>
      <c r="JR47"/>
      <c r="JS47"/>
      <c r="JT47"/>
      <c r="JU47"/>
      <c r="JV47"/>
      <c r="JW47"/>
      <c r="JX47"/>
      <c r="JY47"/>
      <c r="JZ47"/>
      <c r="KA47"/>
      <c r="KB47"/>
      <c r="KC47"/>
      <c r="KD47"/>
      <c r="KE47"/>
      <c r="KF47"/>
      <c r="KG47"/>
      <c r="KH47"/>
      <c r="KI47"/>
      <c r="KJ47"/>
      <c r="KK47"/>
      <c r="KL47"/>
      <c r="KM47"/>
      <c r="KN47"/>
      <c r="KO47"/>
      <c r="KP47"/>
      <c r="KQ47"/>
      <c r="KR47"/>
      <c r="KS47"/>
      <c r="KT47" s="1655"/>
      <c r="KU47"/>
      <c r="KV47"/>
      <c r="KW47"/>
      <c r="KX47"/>
      <c r="KY47"/>
      <c r="KZ47"/>
      <c r="LA47"/>
      <c r="LB47"/>
      <c r="LC47"/>
      <c r="LD47"/>
      <c r="LE47"/>
      <c r="LF47"/>
      <c r="LG47"/>
      <c r="LH47"/>
      <c r="LI47"/>
      <c r="LJ47"/>
      <c r="LK47"/>
      <c r="LL47"/>
      <c r="LM47"/>
      <c r="LN47"/>
      <c r="LO47"/>
      <c r="LP47"/>
      <c r="LQ47"/>
      <c r="LR47"/>
      <c r="LS47"/>
      <c r="LT47"/>
      <c r="LU47"/>
      <c r="LV47"/>
      <c r="LW47"/>
      <c r="LX47"/>
      <c r="LY47"/>
      <c r="LZ47"/>
      <c r="MA47"/>
      <c r="MB47"/>
      <c r="MC47"/>
      <c r="MD47"/>
      <c r="ME47"/>
      <c r="MF47"/>
      <c r="MG47"/>
      <c r="MH47"/>
      <c r="MI47"/>
      <c r="MJ47"/>
      <c r="MK47"/>
      <c r="ML47"/>
      <c r="MM47"/>
      <c r="MN47"/>
      <c r="MO47"/>
      <c r="MP47"/>
      <c r="MQ47"/>
      <c r="MR47"/>
      <c r="MS47"/>
      <c r="MT47"/>
      <c r="MU47"/>
      <c r="MV47"/>
      <c r="MW47"/>
      <c r="MX47"/>
      <c r="MY47"/>
      <c r="MZ47"/>
      <c r="NA47"/>
      <c r="NB47"/>
      <c r="NC47"/>
      <c r="ND47"/>
      <c r="NE47"/>
      <c r="NF47"/>
      <c r="NG47"/>
      <c r="NH47"/>
      <c r="NI47"/>
      <c r="NJ47"/>
      <c r="NK47"/>
      <c r="NL47"/>
      <c r="NM47"/>
      <c r="NN47"/>
      <c r="NO47"/>
      <c r="NP47"/>
      <c r="NQ47"/>
      <c r="NR47"/>
      <c r="NS47"/>
      <c r="NT47"/>
      <c r="NU47"/>
      <c r="NV47"/>
      <c r="NW47"/>
      <c r="NX47"/>
      <c r="NY47"/>
      <c r="NZ47"/>
      <c r="OA47"/>
      <c r="OB47"/>
      <c r="OC47"/>
      <c r="OD47"/>
      <c r="OE47"/>
      <c r="OF47"/>
      <c r="OG47"/>
      <c r="OH47"/>
      <c r="OI47"/>
      <c r="OJ47"/>
      <c r="OK47"/>
      <c r="OL47"/>
      <c r="OM47"/>
      <c r="ON47"/>
      <c r="OO47"/>
      <c r="OP47"/>
      <c r="OQ47" s="1656"/>
      <c r="OR47"/>
      <c r="OS47"/>
      <c r="OT47"/>
      <c r="OU47"/>
      <c r="OV47"/>
      <c r="OW47"/>
      <c r="OX47"/>
      <c r="OY47"/>
      <c r="OZ47"/>
      <c r="PA47"/>
      <c r="PB47"/>
      <c r="PC47"/>
      <c r="PD47"/>
      <c r="PE47"/>
      <c r="PF47"/>
      <c r="PG47"/>
      <c r="PH47"/>
      <c r="PI47"/>
      <c r="PJ47"/>
      <c r="PK47"/>
      <c r="PL47"/>
      <c r="PM47"/>
      <c r="PN47"/>
      <c r="PO47"/>
      <c r="PP47"/>
      <c r="PQ47"/>
      <c r="PR47"/>
      <c r="PS47"/>
      <c r="PT47" s="1656"/>
    </row>
    <row r="48" spans="1:436" ht="21.5">
      <c r="A48" s="1466"/>
      <c r="B48" s="1576"/>
      <c r="C48" s="1576"/>
      <c r="D48" s="1576"/>
      <c r="E48" s="1577"/>
      <c r="F48" s="1577"/>
      <c r="G48" s="1577"/>
      <c r="H48" s="1577"/>
      <c r="I48" s="1577"/>
      <c r="J48" s="1577"/>
      <c r="K48" s="1577"/>
      <c r="L48" s="1577"/>
      <c r="M48" s="1577"/>
      <c r="N48" s="1577"/>
      <c r="O48" s="1577"/>
      <c r="P48" s="1577"/>
      <c r="Q48" s="1577"/>
      <c r="R48" s="1577"/>
      <c r="S48" s="1577"/>
      <c r="T48" s="1577"/>
      <c r="U48" s="1577"/>
      <c r="V48" s="1577"/>
      <c r="W48" s="1577"/>
      <c r="X48" s="1577"/>
      <c r="Y48" s="1577"/>
      <c r="Z48" s="1577"/>
      <c r="AA48" s="1577"/>
      <c r="AB48" s="1577"/>
      <c r="AC48" s="1577"/>
      <c r="AD48" s="1577"/>
      <c r="AE48" s="1577"/>
      <c r="AF48" s="1577"/>
      <c r="AG48" s="1577"/>
      <c r="AH48" s="1577"/>
      <c r="AI48" s="1577"/>
      <c r="AJ48" s="1577"/>
      <c r="AK48" s="1577"/>
      <c r="AL48" s="1577"/>
      <c r="AM48" s="1577"/>
      <c r="AN48" s="1577"/>
      <c r="AO48" s="1577"/>
      <c r="AP48" s="1577"/>
      <c r="AQ48" s="1577"/>
      <c r="AR48" s="1577"/>
      <c r="AS48" s="1577"/>
      <c r="AT48" s="1577"/>
      <c r="AU48" s="1577"/>
      <c r="AV48" s="1577"/>
      <c r="AW48" s="1577"/>
      <c r="AX48" s="1577"/>
      <c r="AY48" s="1577"/>
      <c r="AZ48" s="1577"/>
      <c r="BA48" s="1577"/>
      <c r="BB48" s="1577"/>
      <c r="BC48" s="1577"/>
      <c r="BD48" s="1577"/>
      <c r="BE48" s="1577"/>
      <c r="BF48" s="1577"/>
      <c r="BG48" s="1577"/>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s="1655">
        <v>0</v>
      </c>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c r="GL48"/>
      <c r="GM48"/>
      <c r="GN48"/>
      <c r="GO48"/>
      <c r="GP48"/>
      <c r="GQ48"/>
      <c r="GR48"/>
      <c r="GS48"/>
      <c r="GT48"/>
      <c r="GU48"/>
      <c r="GV48"/>
      <c r="GW48" s="1655"/>
      <c r="GX48"/>
      <c r="GY48"/>
      <c r="GZ48"/>
      <c r="HA48"/>
      <c r="HB48"/>
      <c r="HC48"/>
      <c r="HD48"/>
      <c r="HE48"/>
      <c r="HF48"/>
      <c r="HG48"/>
      <c r="HH48"/>
      <c r="HI48"/>
      <c r="HJ48"/>
      <c r="HK48"/>
      <c r="HL48"/>
      <c r="HM48"/>
      <c r="HN48"/>
      <c r="HO48"/>
      <c r="HP48"/>
      <c r="HQ48"/>
      <c r="HR48"/>
      <c r="HS48"/>
      <c r="HT48"/>
      <c r="HU48"/>
      <c r="HV48"/>
      <c r="HW48"/>
      <c r="HX48"/>
      <c r="HY48"/>
      <c r="HZ48"/>
      <c r="IA48"/>
      <c r="IB48"/>
      <c r="IC48"/>
      <c r="ID48"/>
      <c r="IE48"/>
      <c r="IF48"/>
      <c r="IG48"/>
      <c r="IH48"/>
      <c r="II48"/>
      <c r="IJ48"/>
      <c r="IK48"/>
      <c r="IL48"/>
      <c r="IM48"/>
      <c r="IN48"/>
      <c r="IO48"/>
      <c r="IP48"/>
      <c r="IQ48"/>
      <c r="IR48"/>
      <c r="IS48"/>
      <c r="IT48"/>
      <c r="IU48"/>
      <c r="IV48"/>
      <c r="IW48"/>
      <c r="IX48"/>
      <c r="IY48"/>
      <c r="IZ48"/>
      <c r="JA48"/>
      <c r="JB48"/>
      <c r="JC48"/>
      <c r="JD48"/>
      <c r="JE48"/>
      <c r="JF48"/>
      <c r="JG48"/>
      <c r="JH48"/>
      <c r="JI48"/>
      <c r="JJ48"/>
      <c r="JK48"/>
      <c r="JL48"/>
      <c r="JM48"/>
      <c r="JN48"/>
      <c r="JO48"/>
      <c r="JP48"/>
      <c r="JQ48"/>
      <c r="JR48"/>
      <c r="JS48"/>
      <c r="JT48"/>
      <c r="JU48"/>
      <c r="JV48"/>
      <c r="JW48"/>
      <c r="JX48"/>
      <c r="JY48"/>
      <c r="JZ48"/>
      <c r="KA48"/>
      <c r="KB48"/>
      <c r="KC48"/>
      <c r="KD48"/>
      <c r="KE48"/>
      <c r="KF48"/>
      <c r="KG48"/>
      <c r="KH48"/>
      <c r="KI48"/>
      <c r="KJ48"/>
      <c r="KK48"/>
      <c r="KL48"/>
      <c r="KM48"/>
      <c r="KN48"/>
      <c r="KO48"/>
      <c r="KP48"/>
      <c r="KQ48"/>
      <c r="KR48"/>
      <c r="KS48"/>
      <c r="KT48" s="1655"/>
      <c r="KU48"/>
      <c r="KV48"/>
      <c r="KW48"/>
      <c r="KX48"/>
      <c r="KY48"/>
      <c r="KZ48"/>
      <c r="LA48"/>
      <c r="LB48"/>
      <c r="LC48"/>
      <c r="LD48"/>
      <c r="LE48"/>
      <c r="LF48"/>
      <c r="LG48"/>
      <c r="LH48"/>
      <c r="LI48"/>
      <c r="LJ48"/>
      <c r="LK48"/>
      <c r="LL48"/>
      <c r="LM48"/>
      <c r="LN48"/>
      <c r="LO48"/>
      <c r="LP48"/>
      <c r="LQ48"/>
      <c r="LR48"/>
      <c r="LS48"/>
      <c r="LT48"/>
      <c r="LU48"/>
      <c r="LV48"/>
      <c r="LW48"/>
      <c r="LX48"/>
      <c r="LY48"/>
      <c r="LZ48"/>
      <c r="MA48"/>
      <c r="MB48"/>
      <c r="MC48"/>
      <c r="MD48"/>
      <c r="ME48"/>
      <c r="MF48"/>
      <c r="MG48"/>
      <c r="MH48"/>
      <c r="MI48"/>
      <c r="MJ48"/>
      <c r="MK48"/>
      <c r="ML48"/>
      <c r="MM48"/>
      <c r="MN48"/>
      <c r="MO48"/>
      <c r="MP48"/>
      <c r="MQ48"/>
      <c r="MR48"/>
      <c r="MS48"/>
      <c r="MT48"/>
      <c r="MU48"/>
      <c r="MV48"/>
      <c r="MW48"/>
      <c r="MX48"/>
      <c r="MY48"/>
      <c r="MZ48"/>
      <c r="NA48"/>
      <c r="NB48"/>
      <c r="NC48"/>
      <c r="ND48"/>
      <c r="NE48"/>
      <c r="NF48"/>
      <c r="NG48"/>
      <c r="NH48"/>
      <c r="NI48"/>
      <c r="NJ48"/>
      <c r="NK48"/>
      <c r="NL48"/>
      <c r="NM48"/>
      <c r="NN48"/>
      <c r="NO48"/>
      <c r="NP48"/>
      <c r="NQ48"/>
      <c r="NR48"/>
      <c r="NS48"/>
      <c r="NT48"/>
      <c r="NU48"/>
      <c r="NV48"/>
      <c r="NW48"/>
      <c r="NX48"/>
      <c r="NY48"/>
      <c r="NZ48"/>
      <c r="OA48"/>
      <c r="OB48"/>
      <c r="OC48"/>
      <c r="OD48"/>
      <c r="OE48"/>
      <c r="OF48"/>
      <c r="OG48"/>
      <c r="OH48"/>
      <c r="OI48"/>
      <c r="OJ48"/>
      <c r="OK48"/>
      <c r="OL48"/>
      <c r="OM48"/>
      <c r="ON48"/>
      <c r="OO48"/>
      <c r="OP48"/>
      <c r="OQ48" s="1656"/>
      <c r="OR48"/>
      <c r="OS48"/>
      <c r="OT48"/>
      <c r="OU48"/>
      <c r="OV48"/>
      <c r="OW48"/>
      <c r="OX48"/>
      <c r="OY48"/>
      <c r="OZ48"/>
      <c r="PA48"/>
      <c r="PB48"/>
      <c r="PC48"/>
      <c r="PD48"/>
      <c r="PE48"/>
      <c r="PF48"/>
      <c r="PG48"/>
      <c r="PH48"/>
      <c r="PI48"/>
      <c r="PJ48"/>
      <c r="PK48"/>
      <c r="PL48"/>
      <c r="PM48"/>
      <c r="PN48"/>
      <c r="PO48"/>
      <c r="PP48"/>
      <c r="PQ48"/>
      <c r="PR48"/>
      <c r="PS48"/>
      <c r="PT48" s="1656"/>
    </row>
    <row r="49" spans="1:436" ht="21.5">
      <c r="A49" s="1466"/>
      <c r="B49" s="1576"/>
      <c r="C49" s="1576"/>
      <c r="D49" s="1576"/>
      <c r="E49" s="1577"/>
      <c r="F49" s="1577"/>
      <c r="G49" s="1577"/>
      <c r="H49" s="1577"/>
      <c r="I49" s="1577"/>
      <c r="J49" s="1577"/>
      <c r="K49" s="1577"/>
      <c r="L49" s="1577"/>
      <c r="M49" s="1577"/>
      <c r="N49" s="1577"/>
      <c r="O49" s="1577"/>
      <c r="P49" s="1577"/>
      <c r="Q49" s="1577"/>
      <c r="R49" s="1577"/>
      <c r="S49" s="1577"/>
      <c r="T49" s="1577"/>
      <c r="U49" s="1577"/>
      <c r="V49" s="1577"/>
      <c r="W49" s="1577"/>
      <c r="X49" s="1577"/>
      <c r="Y49" s="1577"/>
      <c r="Z49" s="1577"/>
      <c r="AA49" s="1577"/>
      <c r="AB49" s="1577"/>
      <c r="AC49" s="1577"/>
      <c r="AD49" s="1577"/>
      <c r="AE49" s="1577"/>
      <c r="AF49" s="1577"/>
      <c r="AG49" s="1577"/>
      <c r="AH49" s="1577"/>
      <c r="AI49" s="1577"/>
      <c r="AJ49" s="1577"/>
      <c r="AK49" s="1577"/>
      <c r="AL49" s="1577"/>
      <c r="AM49" s="1577"/>
      <c r="AN49" s="1577"/>
      <c r="AO49" s="1577"/>
      <c r="AP49" s="1577"/>
      <c r="AQ49" s="1577"/>
      <c r="AR49" s="1577"/>
      <c r="AS49" s="1577"/>
      <c r="AT49" s="1577"/>
      <c r="AU49" s="1577"/>
      <c r="AV49" s="1577"/>
      <c r="AW49" s="1577"/>
      <c r="AX49" s="1577"/>
      <c r="AY49" s="1577"/>
      <c r="AZ49" s="1577"/>
      <c r="BA49" s="1577"/>
      <c r="BB49" s="1577"/>
      <c r="BC49" s="1577"/>
      <c r="BD49" s="1577"/>
      <c r="BE49" s="1577"/>
      <c r="BF49" s="1577"/>
      <c r="BG49" s="1577"/>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s="1655">
        <v>0</v>
      </c>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c r="GL49"/>
      <c r="GM49"/>
      <c r="GN49"/>
      <c r="GO49"/>
      <c r="GP49"/>
      <c r="GQ49"/>
      <c r="GR49"/>
      <c r="GS49"/>
      <c r="GT49"/>
      <c r="GU49"/>
      <c r="GV49"/>
      <c r="GW49" s="1655"/>
      <c r="GX49"/>
      <c r="GY49"/>
      <c r="GZ49"/>
      <c r="HA49"/>
      <c r="HB49"/>
      <c r="HC49"/>
      <c r="HD49"/>
      <c r="HE49"/>
      <c r="HF49"/>
      <c r="HG49"/>
      <c r="HH49"/>
      <c r="HI49"/>
      <c r="HJ49"/>
      <c r="HK49"/>
      <c r="HL49"/>
      <c r="HM49"/>
      <c r="HN49"/>
      <c r="HO49"/>
      <c r="HP49"/>
      <c r="HQ49"/>
      <c r="HR49"/>
      <c r="HS49"/>
      <c r="HT49"/>
      <c r="HU49"/>
      <c r="HV49"/>
      <c r="HW49"/>
      <c r="HX49"/>
      <c r="HY49"/>
      <c r="HZ49"/>
      <c r="IA49"/>
      <c r="IB49"/>
      <c r="IC49"/>
      <c r="ID49"/>
      <c r="IE49"/>
      <c r="IF49"/>
      <c r="IG49"/>
      <c r="IH49"/>
      <c r="II49"/>
      <c r="IJ49"/>
      <c r="IK49"/>
      <c r="IL49"/>
      <c r="IM49"/>
      <c r="IN49"/>
      <c r="IO49"/>
      <c r="IP49"/>
      <c r="IQ49"/>
      <c r="IR49"/>
      <c r="IS49"/>
      <c r="IT49"/>
      <c r="IU49"/>
      <c r="IV49"/>
      <c r="IW49"/>
      <c r="IX49"/>
      <c r="IY49"/>
      <c r="IZ49"/>
      <c r="JA49"/>
      <c r="JB49"/>
      <c r="JC49"/>
      <c r="JD49"/>
      <c r="JE49"/>
      <c r="JF49"/>
      <c r="JG49"/>
      <c r="JH49"/>
      <c r="JI49"/>
      <c r="JJ49"/>
      <c r="JK49"/>
      <c r="JL49"/>
      <c r="JM49"/>
      <c r="JN49"/>
      <c r="JO49"/>
      <c r="JP49"/>
      <c r="JQ49"/>
      <c r="JR49"/>
      <c r="JS49"/>
      <c r="JT49"/>
      <c r="JU49"/>
      <c r="JV49"/>
      <c r="JW49"/>
      <c r="JX49"/>
      <c r="JY49"/>
      <c r="JZ49"/>
      <c r="KA49"/>
      <c r="KB49"/>
      <c r="KC49"/>
      <c r="KD49"/>
      <c r="KE49"/>
      <c r="KF49"/>
      <c r="KG49"/>
      <c r="KH49"/>
      <c r="KI49"/>
      <c r="KJ49"/>
      <c r="KK49"/>
      <c r="KL49"/>
      <c r="KM49"/>
      <c r="KN49"/>
      <c r="KO49"/>
      <c r="KP49"/>
      <c r="KQ49"/>
      <c r="KR49"/>
      <c r="KS49"/>
      <c r="KT49" s="1655"/>
      <c r="KU49"/>
      <c r="KV49"/>
      <c r="KW49"/>
      <c r="KX49"/>
      <c r="KY49"/>
      <c r="KZ49"/>
      <c r="LA49"/>
      <c r="LB49"/>
      <c r="LC49"/>
      <c r="LD49"/>
      <c r="LE49"/>
      <c r="LF49"/>
      <c r="LG49"/>
      <c r="LH49"/>
      <c r="LI49"/>
      <c r="LJ49"/>
      <c r="LK49"/>
      <c r="LL49"/>
      <c r="LM49"/>
      <c r="LN49"/>
      <c r="LO49"/>
      <c r="LP49"/>
      <c r="LQ49"/>
      <c r="LR49"/>
      <c r="LS49"/>
      <c r="LT49"/>
      <c r="LU49"/>
      <c r="LV49"/>
      <c r="LW49"/>
      <c r="LX49"/>
      <c r="LY49"/>
      <c r="LZ49"/>
      <c r="MA49"/>
      <c r="MB49"/>
      <c r="MC49"/>
      <c r="MD49"/>
      <c r="ME49"/>
      <c r="MF49"/>
      <c r="MG49"/>
      <c r="MH49"/>
      <c r="MI49"/>
      <c r="MJ49"/>
      <c r="MK49"/>
      <c r="ML49"/>
      <c r="MM49"/>
      <c r="MN49"/>
      <c r="MO49"/>
      <c r="MP49"/>
      <c r="MQ49"/>
      <c r="MR49"/>
      <c r="MS49"/>
      <c r="MT49"/>
      <c r="MU49"/>
      <c r="MV49"/>
      <c r="MW49"/>
      <c r="MX49"/>
      <c r="MY49"/>
      <c r="MZ49"/>
      <c r="NA49"/>
      <c r="NB49"/>
      <c r="NC49"/>
      <c r="ND49"/>
      <c r="NE49"/>
      <c r="NF49"/>
      <c r="NG49"/>
      <c r="NH49"/>
      <c r="NI49"/>
      <c r="NJ49"/>
      <c r="NK49"/>
      <c r="NL49"/>
      <c r="NM49"/>
      <c r="NN49"/>
      <c r="NO49"/>
      <c r="NP49"/>
      <c r="NQ49"/>
      <c r="NR49"/>
      <c r="NS49"/>
      <c r="NT49"/>
      <c r="NU49"/>
      <c r="NV49"/>
      <c r="NW49"/>
      <c r="NX49"/>
      <c r="NY49"/>
      <c r="NZ49"/>
      <c r="OA49"/>
      <c r="OB49"/>
      <c r="OC49"/>
      <c r="OD49"/>
      <c r="OE49"/>
      <c r="OF49"/>
      <c r="OG49"/>
      <c r="OH49"/>
      <c r="OI49"/>
      <c r="OJ49"/>
      <c r="OK49"/>
      <c r="OL49"/>
      <c r="OM49"/>
      <c r="ON49"/>
      <c r="OO49"/>
      <c r="OP49"/>
      <c r="OQ49" s="1656"/>
      <c r="OR49"/>
      <c r="OS49"/>
      <c r="OT49"/>
      <c r="OU49"/>
      <c r="OV49"/>
      <c r="OW49"/>
      <c r="OX49"/>
      <c r="OY49"/>
      <c r="OZ49"/>
      <c r="PA49"/>
      <c r="PB49"/>
      <c r="PC49"/>
      <c r="PD49"/>
      <c r="PE49"/>
      <c r="PF49"/>
      <c r="PG49"/>
      <c r="PH49"/>
      <c r="PI49"/>
      <c r="PJ49"/>
      <c r="PK49"/>
      <c r="PL49"/>
      <c r="PM49"/>
      <c r="PN49"/>
      <c r="PO49"/>
      <c r="PP49"/>
      <c r="PQ49"/>
      <c r="PR49"/>
      <c r="PS49"/>
      <c r="PT49" s="1656"/>
    </row>
    <row r="50" spans="1:436" ht="21.5">
      <c r="A50" s="1466"/>
      <c r="B50" s="1576"/>
      <c r="C50" s="1576"/>
      <c r="D50" s="1576"/>
      <c r="E50" s="1577"/>
      <c r="F50" s="1577"/>
      <c r="G50" s="1577"/>
      <c r="H50" s="1577"/>
      <c r="I50" s="1577"/>
      <c r="J50" s="1577"/>
      <c r="K50" s="1577"/>
      <c r="L50" s="1577"/>
      <c r="M50" s="1577"/>
      <c r="N50" s="1577"/>
      <c r="O50" s="1577"/>
      <c r="P50" s="1577"/>
      <c r="Q50" s="1577"/>
      <c r="R50" s="1577"/>
      <c r="S50" s="1577"/>
      <c r="T50" s="1577"/>
      <c r="U50" s="1577"/>
      <c r="V50" s="1577"/>
      <c r="W50" s="1577"/>
      <c r="X50" s="1577"/>
      <c r="Y50" s="1577"/>
      <c r="Z50" s="1577"/>
      <c r="AA50" s="1577"/>
      <c r="AB50" s="1577"/>
      <c r="AC50" s="1577"/>
      <c r="AD50" s="1577"/>
      <c r="AE50" s="1577"/>
      <c r="AF50" s="1577"/>
      <c r="AG50" s="1577"/>
      <c r="AH50" s="1577"/>
      <c r="AI50" s="1577"/>
      <c r="AJ50" s="1577"/>
      <c r="AK50" s="1577"/>
      <c r="AL50" s="1577"/>
      <c r="AM50" s="1577"/>
      <c r="AN50" s="1577"/>
      <c r="AO50" s="1577"/>
      <c r="AP50" s="1577"/>
      <c r="AQ50" s="1577"/>
      <c r="AR50" s="1577"/>
      <c r="AS50" s="1577"/>
      <c r="AT50" s="1577"/>
      <c r="AU50" s="1577"/>
      <c r="AV50" s="1577"/>
      <c r="AW50" s="1577"/>
      <c r="AX50" s="1577"/>
      <c r="AY50" s="1577"/>
      <c r="AZ50" s="1577"/>
      <c r="BA50" s="1577"/>
      <c r="BB50" s="1577"/>
      <c r="BC50" s="1577"/>
      <c r="BD50" s="1577"/>
      <c r="BE50" s="1577"/>
      <c r="BF50" s="1577"/>
      <c r="BG50" s="1577"/>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s="1655">
        <v>0</v>
      </c>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s="1655"/>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s="1655"/>
      <c r="KU50"/>
      <c r="KV50"/>
      <c r="KW50"/>
      <c r="KX50"/>
      <c r="KY50"/>
      <c r="KZ50"/>
      <c r="LA50"/>
      <c r="LB50"/>
      <c r="LC50"/>
      <c r="LD50"/>
      <c r="LE50"/>
      <c r="LF50"/>
      <c r="LG50"/>
      <c r="LH50"/>
      <c r="LI50"/>
      <c r="LJ50"/>
      <c r="LK50"/>
      <c r="LL50"/>
      <c r="LM50"/>
      <c r="LN50"/>
      <c r="LO50"/>
      <c r="LP50"/>
      <c r="LQ50"/>
      <c r="LR50"/>
      <c r="LS50"/>
      <c r="LT50"/>
      <c r="LU50"/>
      <c r="LV50"/>
      <c r="LW50"/>
      <c r="LX50"/>
      <c r="LY50"/>
      <c r="LZ50"/>
      <c r="MA50"/>
      <c r="MB50"/>
      <c r="MC50"/>
      <c r="MD50"/>
      <c r="ME50"/>
      <c r="MF50"/>
      <c r="MG50"/>
      <c r="MH50"/>
      <c r="MI50"/>
      <c r="MJ50"/>
      <c r="MK50"/>
      <c r="ML50"/>
      <c r="MM50"/>
      <c r="MN50"/>
      <c r="MO50"/>
      <c r="MP50"/>
      <c r="MQ50"/>
      <c r="MR50"/>
      <c r="MS50"/>
      <c r="MT50"/>
      <c r="MU50"/>
      <c r="MV50"/>
      <c r="MW50"/>
      <c r="MX50"/>
      <c r="MY50"/>
      <c r="MZ50"/>
      <c r="NA50"/>
      <c r="NB50"/>
      <c r="NC50"/>
      <c r="ND50"/>
      <c r="NE50"/>
      <c r="NF50"/>
      <c r="NG50"/>
      <c r="NH50"/>
      <c r="NI50"/>
      <c r="NJ50"/>
      <c r="NK50"/>
      <c r="NL50"/>
      <c r="NM50"/>
      <c r="NN50"/>
      <c r="NO50"/>
      <c r="NP50"/>
      <c r="NQ50"/>
      <c r="NR50"/>
      <c r="NS50"/>
      <c r="NT50"/>
      <c r="NU50"/>
      <c r="NV50"/>
      <c r="NW50"/>
      <c r="NX50"/>
      <c r="NY50"/>
      <c r="NZ50"/>
      <c r="OA50"/>
      <c r="OB50"/>
      <c r="OC50"/>
      <c r="OD50"/>
      <c r="OE50"/>
      <c r="OF50"/>
      <c r="OG50"/>
      <c r="OH50"/>
      <c r="OI50"/>
      <c r="OJ50"/>
      <c r="OK50"/>
      <c r="OL50"/>
      <c r="OM50"/>
      <c r="ON50"/>
      <c r="OO50"/>
      <c r="OP50"/>
      <c r="OQ50" s="1656"/>
      <c r="OR50"/>
      <c r="OS50"/>
      <c r="OT50"/>
      <c r="OU50"/>
      <c r="OV50"/>
      <c r="OW50"/>
      <c r="OX50"/>
      <c r="OY50"/>
      <c r="OZ50"/>
      <c r="PA50"/>
      <c r="PB50"/>
      <c r="PC50"/>
      <c r="PD50"/>
      <c r="PE50"/>
      <c r="PF50"/>
      <c r="PG50"/>
      <c r="PH50"/>
      <c r="PI50"/>
      <c r="PJ50"/>
      <c r="PK50"/>
      <c r="PL50"/>
      <c r="PM50"/>
      <c r="PN50"/>
      <c r="PO50"/>
      <c r="PP50"/>
      <c r="PQ50"/>
      <c r="PR50"/>
      <c r="PS50"/>
      <c r="PT50" s="1656"/>
    </row>
    <row r="51" spans="1:436" ht="21.5">
      <c r="A51" s="1466"/>
      <c r="B51" s="1576"/>
      <c r="C51" s="1576"/>
      <c r="D51" s="1576"/>
      <c r="E51" s="1577"/>
      <c r="F51" s="1577"/>
      <c r="G51" s="1577"/>
      <c r="H51" s="1577"/>
      <c r="I51" s="1577"/>
      <c r="J51" s="1577"/>
      <c r="K51" s="1577"/>
      <c r="L51" s="1577"/>
      <c r="M51" s="1577"/>
      <c r="N51" s="1577"/>
      <c r="O51" s="1577"/>
      <c r="P51" s="1577"/>
      <c r="Q51" s="1577"/>
      <c r="R51" s="1577"/>
      <c r="S51" s="1577"/>
      <c r="T51" s="1577"/>
      <c r="U51" s="1577"/>
      <c r="V51" s="1577"/>
      <c r="W51" s="1577"/>
      <c r="X51" s="1577"/>
      <c r="Y51" s="1577"/>
      <c r="Z51" s="1577"/>
      <c r="AA51" s="1577"/>
      <c r="AB51" s="1577"/>
      <c r="AC51" s="1577"/>
      <c r="AD51" s="1577"/>
      <c r="AE51" s="1577"/>
      <c r="AF51" s="1577"/>
      <c r="AG51" s="1577"/>
      <c r="AH51" s="1577"/>
      <c r="AI51" s="1577"/>
      <c r="AJ51" s="1577"/>
      <c r="AK51" s="1577"/>
      <c r="AL51" s="1577"/>
      <c r="AM51" s="1577"/>
      <c r="AN51" s="1577"/>
      <c r="AO51" s="1577"/>
      <c r="AP51" s="1577"/>
      <c r="AQ51" s="1577"/>
      <c r="AR51" s="1577"/>
      <c r="AS51" s="1577"/>
      <c r="AT51" s="1577"/>
      <c r="AU51" s="1577"/>
      <c r="AV51" s="1577"/>
      <c r="AW51" s="1577"/>
      <c r="AX51" s="1577"/>
      <c r="AY51" s="1577"/>
      <c r="AZ51" s="1577"/>
      <c r="BA51" s="1577"/>
      <c r="BB51" s="1577"/>
      <c r="BC51" s="1577"/>
      <c r="BD51" s="1577"/>
      <c r="BE51" s="1577"/>
      <c r="BF51" s="1577"/>
      <c r="BG51" s="1577"/>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s="1655">
        <v>0</v>
      </c>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c r="GL51"/>
      <c r="GM51"/>
      <c r="GN51"/>
      <c r="GO51"/>
      <c r="GP51"/>
      <c r="GQ51"/>
      <c r="GR51"/>
      <c r="GS51"/>
      <c r="GT51"/>
      <c r="GU51"/>
      <c r="GV51"/>
      <c r="GW51" s="1655"/>
      <c r="GX51"/>
      <c r="GY51"/>
      <c r="GZ51"/>
      <c r="HA51"/>
      <c r="HB51"/>
      <c r="HC51"/>
      <c r="HD51"/>
      <c r="HE51"/>
      <c r="HF51"/>
      <c r="HG51"/>
      <c r="HH51"/>
      <c r="HI51"/>
      <c r="HJ51"/>
      <c r="HK51"/>
      <c r="HL51"/>
      <c r="HM51"/>
      <c r="HN51"/>
      <c r="HO51"/>
      <c r="HP51"/>
      <c r="HQ51"/>
      <c r="HR51"/>
      <c r="HS51"/>
      <c r="HT51"/>
      <c r="HU51"/>
      <c r="HV51"/>
      <c r="HW51"/>
      <c r="HX51"/>
      <c r="HY51"/>
      <c r="HZ51"/>
      <c r="IA51"/>
      <c r="IB51"/>
      <c r="IC51"/>
      <c r="ID51"/>
      <c r="IE51"/>
      <c r="IF51"/>
      <c r="IG51"/>
      <c r="IH51"/>
      <c r="II51"/>
      <c r="IJ51"/>
      <c r="IK51"/>
      <c r="IL51"/>
      <c r="IM51"/>
      <c r="IN51"/>
      <c r="IO51"/>
      <c r="IP51"/>
      <c r="IQ51"/>
      <c r="IR51"/>
      <c r="IS51"/>
      <c r="IT51"/>
      <c r="IU51"/>
      <c r="IV51"/>
      <c r="IW51"/>
      <c r="IX51"/>
      <c r="IY51"/>
      <c r="IZ51"/>
      <c r="JA51"/>
      <c r="JB51"/>
      <c r="JC51"/>
      <c r="JD51"/>
      <c r="JE51"/>
      <c r="JF51"/>
      <c r="JG51"/>
      <c r="JH51"/>
      <c r="JI51"/>
      <c r="JJ51"/>
      <c r="JK51"/>
      <c r="JL51"/>
      <c r="JM51"/>
      <c r="JN51"/>
      <c r="JO51"/>
      <c r="JP51"/>
      <c r="JQ51"/>
      <c r="JR51"/>
      <c r="JS51"/>
      <c r="JT51"/>
      <c r="JU51"/>
      <c r="JV51"/>
      <c r="JW51"/>
      <c r="JX51"/>
      <c r="JY51"/>
      <c r="JZ51"/>
      <c r="KA51"/>
      <c r="KB51"/>
      <c r="KC51"/>
      <c r="KD51"/>
      <c r="KE51"/>
      <c r="KF51"/>
      <c r="KG51"/>
      <c r="KH51"/>
      <c r="KI51"/>
      <c r="KJ51"/>
      <c r="KK51"/>
      <c r="KL51"/>
      <c r="KM51"/>
      <c r="KN51"/>
      <c r="KO51"/>
      <c r="KP51"/>
      <c r="KQ51"/>
      <c r="KR51"/>
      <c r="KS51"/>
      <c r="KT51" s="1655"/>
      <c r="KU51"/>
      <c r="KV51"/>
      <c r="KW51"/>
      <c r="KX51"/>
      <c r="KY51"/>
      <c r="KZ51"/>
      <c r="LA51"/>
      <c r="LB51"/>
      <c r="LC51"/>
      <c r="LD51"/>
      <c r="LE51"/>
      <c r="LF51"/>
      <c r="LG51"/>
      <c r="LH51"/>
      <c r="LI51"/>
      <c r="LJ51"/>
      <c r="LK51"/>
      <c r="LL51"/>
      <c r="LM51"/>
      <c r="LN51"/>
      <c r="LO51"/>
      <c r="LP51"/>
      <c r="LQ51"/>
      <c r="LR51"/>
      <c r="LS51"/>
      <c r="LT51"/>
      <c r="LU51"/>
      <c r="LV51"/>
      <c r="LW51"/>
      <c r="LX51"/>
      <c r="LY51"/>
      <c r="LZ51"/>
      <c r="MA51"/>
      <c r="MB51"/>
      <c r="MC51"/>
      <c r="MD51"/>
      <c r="ME51"/>
      <c r="MF51"/>
      <c r="MG51"/>
      <c r="MH51"/>
      <c r="MI51"/>
      <c r="MJ51"/>
      <c r="MK51"/>
      <c r="ML51"/>
      <c r="MM51"/>
      <c r="MN51"/>
      <c r="MO51"/>
      <c r="MP51"/>
      <c r="MQ51"/>
      <c r="MR51"/>
      <c r="MS51"/>
      <c r="MT51"/>
      <c r="MU51"/>
      <c r="MV51"/>
      <c r="MW51"/>
      <c r="MX51"/>
      <c r="MY51"/>
      <c r="MZ51"/>
      <c r="NA51"/>
      <c r="NB51"/>
      <c r="NC51"/>
      <c r="ND51"/>
      <c r="NE51"/>
      <c r="NF51"/>
      <c r="NG51"/>
      <c r="NH51"/>
      <c r="NI51"/>
      <c r="NJ51"/>
      <c r="NK51"/>
      <c r="NL51"/>
      <c r="NM51"/>
      <c r="NN51"/>
      <c r="NO51"/>
      <c r="NP51"/>
      <c r="NQ51"/>
      <c r="NR51"/>
      <c r="NS51"/>
      <c r="NT51"/>
      <c r="NU51"/>
      <c r="NV51"/>
      <c r="NW51"/>
      <c r="NX51"/>
      <c r="NY51"/>
      <c r="NZ51"/>
      <c r="OA51"/>
      <c r="OB51"/>
      <c r="OC51"/>
      <c r="OD51"/>
      <c r="OE51"/>
      <c r="OF51"/>
      <c r="OG51"/>
      <c r="OH51"/>
      <c r="OI51"/>
      <c r="OJ51"/>
      <c r="OK51"/>
      <c r="OL51"/>
      <c r="OM51"/>
      <c r="ON51"/>
      <c r="OO51"/>
      <c r="OP51"/>
      <c r="OQ51" s="1656"/>
      <c r="OR51"/>
      <c r="OS51"/>
      <c r="OT51"/>
      <c r="OU51"/>
      <c r="OV51"/>
      <c r="OW51"/>
      <c r="OX51"/>
      <c r="OY51"/>
      <c r="OZ51"/>
      <c r="PA51"/>
      <c r="PB51"/>
      <c r="PC51"/>
      <c r="PD51"/>
      <c r="PE51"/>
      <c r="PF51"/>
      <c r="PG51"/>
      <c r="PH51"/>
      <c r="PI51"/>
      <c r="PJ51"/>
      <c r="PK51"/>
      <c r="PL51"/>
      <c r="PM51"/>
      <c r="PN51"/>
      <c r="PO51"/>
      <c r="PP51"/>
      <c r="PQ51"/>
      <c r="PR51"/>
      <c r="PS51"/>
      <c r="PT51" s="1656"/>
    </row>
    <row r="52" spans="1:436" ht="21.5">
      <c r="A52" s="1466"/>
      <c r="B52" s="1576"/>
      <c r="C52" s="1576"/>
      <c r="D52" s="1576"/>
      <c r="E52" s="1577"/>
      <c r="F52" s="1577"/>
      <c r="G52" s="1577"/>
      <c r="H52" s="1577"/>
      <c r="I52" s="1577"/>
      <c r="J52" s="1577"/>
      <c r="K52" s="1577"/>
      <c r="L52" s="1577"/>
      <c r="M52" s="1577"/>
      <c r="N52" s="1577"/>
      <c r="O52" s="1577"/>
      <c r="P52" s="1577"/>
      <c r="Q52" s="1577"/>
      <c r="R52" s="1577"/>
      <c r="S52" s="1577"/>
      <c r="T52" s="1577"/>
      <c r="U52" s="1577"/>
      <c r="V52" s="1577"/>
      <c r="W52" s="1577"/>
      <c r="X52" s="1577"/>
      <c r="Y52" s="1577"/>
      <c r="Z52" s="1577"/>
      <c r="AA52" s="1577"/>
      <c r="AB52" s="1577"/>
      <c r="AC52" s="1577"/>
      <c r="AD52" s="1577"/>
      <c r="AE52" s="1577"/>
      <c r="AF52" s="1577"/>
      <c r="AG52" s="1577"/>
      <c r="AH52" s="1577"/>
      <c r="AI52" s="1577"/>
      <c r="AJ52" s="1577"/>
      <c r="AK52" s="1577"/>
      <c r="AL52" s="1577"/>
      <c r="AM52" s="1577"/>
      <c r="AN52" s="1577"/>
      <c r="AO52" s="1577"/>
      <c r="AP52" s="1577"/>
      <c r="AQ52" s="1577"/>
      <c r="AR52" s="1577"/>
      <c r="AS52" s="1577"/>
      <c r="AT52" s="1577"/>
      <c r="AU52" s="1577"/>
      <c r="AV52" s="1577"/>
      <c r="AW52" s="1577"/>
      <c r="AX52" s="1577"/>
      <c r="AY52" s="1577"/>
      <c r="AZ52" s="1577"/>
      <c r="BA52" s="1577"/>
      <c r="BB52" s="1577"/>
      <c r="BC52" s="1577"/>
      <c r="BD52" s="1577"/>
      <c r="BE52" s="1577"/>
      <c r="BF52" s="1577"/>
      <c r="BG52" s="1577"/>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s="1655">
        <v>0</v>
      </c>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c r="GL52"/>
      <c r="GM52"/>
      <c r="GN52"/>
      <c r="GO52"/>
      <c r="GP52"/>
      <c r="GQ52"/>
      <c r="GR52"/>
      <c r="GS52"/>
      <c r="GT52"/>
      <c r="GU52"/>
      <c r="GV52"/>
      <c r="GW52" s="1655"/>
      <c r="GX52"/>
      <c r="GY52"/>
      <c r="GZ52"/>
      <c r="HA52"/>
      <c r="HB52"/>
      <c r="HC52"/>
      <c r="HD52"/>
      <c r="HE52"/>
      <c r="HF52"/>
      <c r="HG52"/>
      <c r="HH52"/>
      <c r="HI52"/>
      <c r="HJ52"/>
      <c r="HK52"/>
      <c r="HL52"/>
      <c r="HM52"/>
      <c r="HN52"/>
      <c r="HO52"/>
      <c r="HP52"/>
      <c r="HQ52"/>
      <c r="HR52"/>
      <c r="HS52"/>
      <c r="HT52"/>
      <c r="HU52"/>
      <c r="HV52"/>
      <c r="HW52"/>
      <c r="HX52"/>
      <c r="HY52"/>
      <c r="HZ52"/>
      <c r="IA52"/>
      <c r="IB52"/>
      <c r="IC52"/>
      <c r="ID52"/>
      <c r="IE52"/>
      <c r="IF52"/>
      <c r="IG52"/>
      <c r="IH52"/>
      <c r="II52"/>
      <c r="IJ52"/>
      <c r="IK52"/>
      <c r="IL52"/>
      <c r="IM52"/>
      <c r="IN52"/>
      <c r="IO52"/>
      <c r="IP52"/>
      <c r="IQ52"/>
      <c r="IR52"/>
      <c r="IS52"/>
      <c r="IT52"/>
      <c r="IU52"/>
      <c r="IV52"/>
      <c r="IW52"/>
      <c r="IX52"/>
      <c r="IY52"/>
      <c r="IZ52"/>
      <c r="JA52"/>
      <c r="JB52"/>
      <c r="JC52"/>
      <c r="JD52"/>
      <c r="JE52"/>
      <c r="JF52"/>
      <c r="JG52"/>
      <c r="JH52"/>
      <c r="JI52"/>
      <c r="JJ52"/>
      <c r="JK52"/>
      <c r="JL52"/>
      <c r="JM52"/>
      <c r="JN52"/>
      <c r="JO52"/>
      <c r="JP52"/>
      <c r="JQ52"/>
      <c r="JR52"/>
      <c r="JS52"/>
      <c r="JT52"/>
      <c r="JU52"/>
      <c r="JV52"/>
      <c r="JW52"/>
      <c r="JX52"/>
      <c r="JY52"/>
      <c r="JZ52"/>
      <c r="KA52"/>
      <c r="KB52"/>
      <c r="KC52"/>
      <c r="KD52"/>
      <c r="KE52"/>
      <c r="KF52"/>
      <c r="KG52"/>
      <c r="KH52"/>
      <c r="KI52"/>
      <c r="KJ52"/>
      <c r="KK52"/>
      <c r="KL52"/>
      <c r="KM52"/>
      <c r="KN52"/>
      <c r="KO52"/>
      <c r="KP52"/>
      <c r="KQ52"/>
      <c r="KR52"/>
      <c r="KS52"/>
      <c r="KT52" s="1655"/>
      <c r="KU52"/>
      <c r="KV52"/>
      <c r="KW52"/>
      <c r="KX52"/>
      <c r="KY52"/>
      <c r="KZ52"/>
      <c r="LA52"/>
      <c r="LB52"/>
      <c r="LC52"/>
      <c r="LD52"/>
      <c r="LE52"/>
      <c r="LF52"/>
      <c r="LG52"/>
      <c r="LH52"/>
      <c r="LI52"/>
      <c r="LJ52"/>
      <c r="LK52"/>
      <c r="LL52"/>
      <c r="LM52"/>
      <c r="LN52"/>
      <c r="LO52"/>
      <c r="LP52"/>
      <c r="LQ52"/>
      <c r="LR52"/>
      <c r="LS52"/>
      <c r="LT52"/>
      <c r="LU52"/>
      <c r="LV52"/>
      <c r="LW52"/>
      <c r="LX52"/>
      <c r="LY52"/>
      <c r="LZ52"/>
      <c r="MA52"/>
      <c r="MB52"/>
      <c r="MC52"/>
      <c r="MD52"/>
      <c r="ME52"/>
      <c r="MF52"/>
      <c r="MG52"/>
      <c r="MH52"/>
      <c r="MI52"/>
      <c r="MJ52"/>
      <c r="MK52"/>
      <c r="ML52"/>
      <c r="MM52"/>
      <c r="MN52"/>
      <c r="MO52"/>
      <c r="MP52"/>
      <c r="MQ52"/>
      <c r="MR52"/>
      <c r="MS52"/>
      <c r="MT52"/>
      <c r="MU52"/>
      <c r="MV52"/>
      <c r="MW52"/>
      <c r="MX52"/>
      <c r="MY52"/>
      <c r="MZ52"/>
      <c r="NA52"/>
      <c r="NB52"/>
      <c r="NC52"/>
      <c r="ND52"/>
      <c r="NE52"/>
      <c r="NF52"/>
      <c r="NG52"/>
      <c r="NH52"/>
      <c r="NI52"/>
      <c r="NJ52"/>
      <c r="NK52"/>
      <c r="NL52"/>
      <c r="NM52"/>
      <c r="NN52"/>
      <c r="NO52"/>
      <c r="NP52"/>
      <c r="NQ52"/>
      <c r="NR52"/>
      <c r="NS52"/>
      <c r="NT52"/>
      <c r="NU52"/>
      <c r="NV52"/>
      <c r="NW52"/>
      <c r="NX52"/>
      <c r="NY52"/>
      <c r="NZ52"/>
      <c r="OA52"/>
      <c r="OB52"/>
      <c r="OC52"/>
      <c r="OD52"/>
      <c r="OE52"/>
      <c r="OF52"/>
      <c r="OG52"/>
      <c r="OH52"/>
      <c r="OI52"/>
      <c r="OJ52"/>
      <c r="OK52"/>
      <c r="OL52"/>
      <c r="OM52"/>
      <c r="ON52"/>
      <c r="OO52"/>
      <c r="OP52"/>
      <c r="OQ52" s="1656"/>
      <c r="OR52"/>
      <c r="OS52"/>
      <c r="OT52"/>
      <c r="OU52"/>
      <c r="OV52"/>
      <c r="OW52"/>
      <c r="OX52"/>
      <c r="OY52"/>
      <c r="OZ52"/>
      <c r="PA52"/>
      <c r="PB52"/>
      <c r="PC52"/>
      <c r="PD52"/>
      <c r="PE52"/>
      <c r="PF52"/>
      <c r="PG52"/>
      <c r="PH52"/>
      <c r="PI52"/>
      <c r="PJ52"/>
      <c r="PK52"/>
      <c r="PL52"/>
      <c r="PM52"/>
      <c r="PN52"/>
      <c r="PO52"/>
      <c r="PP52"/>
      <c r="PQ52"/>
      <c r="PR52"/>
      <c r="PS52"/>
      <c r="PT52" s="1656"/>
    </row>
    <row r="53" spans="1:436" ht="21.5">
      <c r="A53" s="1466"/>
      <c r="B53" s="1576"/>
      <c r="C53" s="1576"/>
      <c r="D53" s="1576"/>
      <c r="E53" s="1577"/>
      <c r="F53" s="1577"/>
      <c r="G53" s="1577"/>
      <c r="H53" s="1577"/>
      <c r="I53" s="1577"/>
      <c r="J53" s="1577"/>
      <c r="K53" s="1577"/>
      <c r="L53" s="1577"/>
      <c r="M53" s="1577"/>
      <c r="N53" s="1577"/>
      <c r="O53" s="1577"/>
      <c r="P53" s="1577"/>
      <c r="Q53" s="1577"/>
      <c r="R53" s="1577"/>
      <c r="S53" s="1577"/>
      <c r="T53" s="1577"/>
      <c r="U53" s="1577"/>
      <c r="V53" s="1577"/>
      <c r="W53" s="1577"/>
      <c r="X53" s="1577"/>
      <c r="Y53" s="1577"/>
      <c r="Z53" s="1577"/>
      <c r="AA53" s="1577"/>
      <c r="AB53" s="1577"/>
      <c r="AC53" s="1577"/>
      <c r="AD53" s="1577"/>
      <c r="AE53" s="1577"/>
      <c r="AF53" s="1577"/>
      <c r="AG53" s="1577"/>
      <c r="AH53" s="1577"/>
      <c r="AI53" s="1577"/>
      <c r="AJ53" s="1577"/>
      <c r="AK53" s="1577"/>
      <c r="AL53" s="1577"/>
      <c r="AM53" s="1577"/>
      <c r="AN53" s="1577"/>
      <c r="AO53" s="1577"/>
      <c r="AP53" s="1577"/>
      <c r="AQ53" s="1577"/>
      <c r="AR53" s="1577"/>
      <c r="AS53" s="1577"/>
      <c r="AT53" s="1577"/>
      <c r="AU53" s="1577"/>
      <c r="AV53" s="1577"/>
      <c r="AW53" s="1577"/>
      <c r="AX53" s="1577"/>
      <c r="AY53" s="1577"/>
      <c r="AZ53" s="1577"/>
      <c r="BA53" s="1577"/>
      <c r="BB53" s="1577"/>
      <c r="BC53" s="1577"/>
      <c r="BD53" s="1577"/>
      <c r="BE53" s="1577"/>
      <c r="BF53" s="1577"/>
      <c r="BG53" s="1577"/>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s="1655">
        <v>0</v>
      </c>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c r="GL53"/>
      <c r="GM53"/>
      <c r="GN53"/>
      <c r="GO53"/>
      <c r="GP53"/>
      <c r="GQ53"/>
      <c r="GR53"/>
      <c r="GS53"/>
      <c r="GT53"/>
      <c r="GU53"/>
      <c r="GV53"/>
      <c r="GW53" s="1655"/>
      <c r="GX53"/>
      <c r="GY53"/>
      <c r="GZ53"/>
      <c r="HA53"/>
      <c r="HB53"/>
      <c r="HC53"/>
      <c r="HD53"/>
      <c r="HE53"/>
      <c r="HF53"/>
      <c r="HG53"/>
      <c r="HH53"/>
      <c r="HI53"/>
      <c r="HJ53"/>
      <c r="HK53"/>
      <c r="HL53"/>
      <c r="HM53"/>
      <c r="HN53"/>
      <c r="HO53"/>
      <c r="HP53"/>
      <c r="HQ53"/>
      <c r="HR53"/>
      <c r="HS53"/>
      <c r="HT53"/>
      <c r="HU53"/>
      <c r="HV53"/>
      <c r="HW53"/>
      <c r="HX53"/>
      <c r="HY53"/>
      <c r="HZ53"/>
      <c r="IA53"/>
      <c r="IB53"/>
      <c r="IC53"/>
      <c r="ID53"/>
      <c r="IE53"/>
      <c r="IF53"/>
      <c r="IG53"/>
      <c r="IH53"/>
      <c r="II53"/>
      <c r="IJ53"/>
      <c r="IK53"/>
      <c r="IL53"/>
      <c r="IM53"/>
      <c r="IN53"/>
      <c r="IO53"/>
      <c r="IP53"/>
      <c r="IQ53"/>
      <c r="IR53"/>
      <c r="IS53"/>
      <c r="IT53"/>
      <c r="IU53"/>
      <c r="IV53"/>
      <c r="IW53"/>
      <c r="IX53"/>
      <c r="IY53"/>
      <c r="IZ53"/>
      <c r="JA53"/>
      <c r="JB53"/>
      <c r="JC53"/>
      <c r="JD53"/>
      <c r="JE53"/>
      <c r="JF53"/>
      <c r="JG53"/>
      <c r="JH53"/>
      <c r="JI53"/>
      <c r="JJ53"/>
      <c r="JK53"/>
      <c r="JL53"/>
      <c r="JM53"/>
      <c r="JN53"/>
      <c r="JO53"/>
      <c r="JP53"/>
      <c r="JQ53"/>
      <c r="JR53"/>
      <c r="JS53"/>
      <c r="JT53"/>
      <c r="JU53"/>
      <c r="JV53"/>
      <c r="JW53"/>
      <c r="JX53"/>
      <c r="JY53"/>
      <c r="JZ53"/>
      <c r="KA53"/>
      <c r="KB53"/>
      <c r="KC53"/>
      <c r="KD53"/>
      <c r="KE53"/>
      <c r="KF53"/>
      <c r="KG53"/>
      <c r="KH53"/>
      <c r="KI53"/>
      <c r="KJ53"/>
      <c r="KK53"/>
      <c r="KL53"/>
      <c r="KM53"/>
      <c r="KN53"/>
      <c r="KO53"/>
      <c r="KP53"/>
      <c r="KQ53"/>
      <c r="KR53"/>
      <c r="KS53"/>
      <c r="KT53" s="1655"/>
      <c r="KU53"/>
      <c r="KV53"/>
      <c r="KW53"/>
      <c r="KX53"/>
      <c r="KY53"/>
      <c r="KZ53"/>
      <c r="LA53"/>
      <c r="LB53"/>
      <c r="LC53"/>
      <c r="LD53"/>
      <c r="LE53"/>
      <c r="LF53"/>
      <c r="LG53"/>
      <c r="LH53"/>
      <c r="LI53"/>
      <c r="LJ53"/>
      <c r="LK53"/>
      <c r="LL53"/>
      <c r="LM53"/>
      <c r="LN53"/>
      <c r="LO53"/>
      <c r="LP53"/>
      <c r="LQ53"/>
      <c r="LR53"/>
      <c r="LS53"/>
      <c r="LT53"/>
      <c r="LU53"/>
      <c r="LV53"/>
      <c r="LW53"/>
      <c r="LX53"/>
      <c r="LY53"/>
      <c r="LZ53"/>
      <c r="MA53"/>
      <c r="MB53"/>
      <c r="MC53"/>
      <c r="MD53"/>
      <c r="ME53"/>
      <c r="MF53"/>
      <c r="MG53"/>
      <c r="MH53"/>
      <c r="MI53"/>
      <c r="MJ53"/>
      <c r="MK53"/>
      <c r="ML53"/>
      <c r="MM53"/>
      <c r="MN53"/>
      <c r="MO53"/>
      <c r="MP53"/>
      <c r="MQ53"/>
      <c r="MR53"/>
      <c r="MS53"/>
      <c r="MT53"/>
      <c r="MU53"/>
      <c r="MV53"/>
      <c r="MW53"/>
      <c r="MX53"/>
      <c r="MY53"/>
      <c r="MZ53"/>
      <c r="NA53"/>
      <c r="NB53"/>
      <c r="NC53"/>
      <c r="ND53"/>
      <c r="NE53"/>
      <c r="NF53"/>
      <c r="NG53"/>
      <c r="NH53"/>
      <c r="NI53"/>
      <c r="NJ53"/>
      <c r="NK53"/>
      <c r="NL53"/>
      <c r="NM53"/>
      <c r="NN53"/>
      <c r="NO53"/>
      <c r="NP53"/>
      <c r="NQ53"/>
      <c r="NR53"/>
      <c r="NS53"/>
      <c r="NT53"/>
      <c r="NU53"/>
      <c r="NV53"/>
      <c r="NW53"/>
      <c r="NX53"/>
      <c r="NY53"/>
      <c r="NZ53"/>
      <c r="OA53"/>
      <c r="OB53"/>
      <c r="OC53"/>
      <c r="OD53"/>
      <c r="OE53"/>
      <c r="OF53"/>
      <c r="OG53"/>
      <c r="OH53"/>
      <c r="OI53"/>
      <c r="OJ53"/>
      <c r="OK53"/>
      <c r="OL53"/>
      <c r="OM53"/>
      <c r="ON53"/>
      <c r="OO53"/>
      <c r="OP53"/>
      <c r="OQ53" s="1656"/>
      <c r="OR53"/>
      <c r="OS53"/>
      <c r="OT53"/>
      <c r="OU53"/>
      <c r="OV53"/>
      <c r="OW53"/>
      <c r="OX53"/>
      <c r="OY53"/>
      <c r="OZ53"/>
      <c r="PA53"/>
      <c r="PB53"/>
      <c r="PC53"/>
      <c r="PD53"/>
      <c r="PE53"/>
      <c r="PF53"/>
      <c r="PG53"/>
      <c r="PH53"/>
      <c r="PI53"/>
      <c r="PJ53"/>
      <c r="PK53"/>
      <c r="PL53"/>
      <c r="PM53"/>
      <c r="PN53"/>
      <c r="PO53"/>
      <c r="PP53"/>
      <c r="PQ53"/>
      <c r="PR53"/>
      <c r="PS53"/>
      <c r="PT53" s="1656"/>
    </row>
    <row r="54" spans="1:436" ht="21.5">
      <c r="A54" s="1466"/>
      <c r="B54" s="1576"/>
      <c r="C54" s="1576"/>
      <c r="D54" s="1576"/>
      <c r="E54" s="1577"/>
      <c r="F54" s="1577"/>
      <c r="G54" s="1577"/>
      <c r="H54" s="1577"/>
      <c r="I54" s="1577"/>
      <c r="J54" s="1577"/>
      <c r="K54" s="1577"/>
      <c r="L54" s="1577"/>
      <c r="M54" s="1577"/>
      <c r="N54" s="1577"/>
      <c r="O54" s="1577"/>
      <c r="P54" s="1577"/>
      <c r="Q54" s="1577"/>
      <c r="R54" s="1577"/>
      <c r="S54" s="1577"/>
      <c r="T54" s="1577"/>
      <c r="U54" s="1577"/>
      <c r="V54" s="1577"/>
      <c r="W54" s="1577"/>
      <c r="X54" s="1577"/>
      <c r="Y54" s="1577"/>
      <c r="Z54" s="1577"/>
      <c r="AA54" s="1577"/>
      <c r="AB54" s="1577"/>
      <c r="AC54" s="1577"/>
      <c r="AD54" s="1577"/>
      <c r="AE54" s="1577"/>
      <c r="AF54" s="1577"/>
      <c r="AG54" s="1577"/>
      <c r="AH54" s="1577"/>
      <c r="AI54" s="1577"/>
      <c r="AJ54" s="1577"/>
      <c r="AK54" s="1577"/>
      <c r="AL54" s="1577"/>
      <c r="AM54" s="1577"/>
      <c r="AN54" s="1577"/>
      <c r="AO54" s="1577"/>
      <c r="AP54" s="1577"/>
      <c r="AQ54" s="1577"/>
      <c r="AR54" s="1577"/>
      <c r="AS54" s="1577"/>
      <c r="AT54" s="1577"/>
      <c r="AU54" s="1577"/>
      <c r="AV54" s="1577"/>
      <c r="AW54" s="1577"/>
      <c r="AX54" s="1577"/>
      <c r="AY54" s="1577"/>
      <c r="AZ54" s="1577"/>
      <c r="BA54" s="1577"/>
      <c r="BB54" s="1577"/>
      <c r="BC54" s="1577"/>
      <c r="BD54" s="1577"/>
      <c r="BE54" s="1577"/>
      <c r="BF54" s="1577"/>
      <c r="BG54" s="1577"/>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s="1655">
        <v>0</v>
      </c>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c r="GL54"/>
      <c r="GM54"/>
      <c r="GN54"/>
      <c r="GO54"/>
      <c r="GP54"/>
      <c r="GQ54"/>
      <c r="GR54"/>
      <c r="GS54"/>
      <c r="GT54"/>
      <c r="GU54"/>
      <c r="GV54"/>
      <c r="GW54" s="1655"/>
      <c r="GX54"/>
      <c r="GY54"/>
      <c r="GZ54"/>
      <c r="HA54"/>
      <c r="HB54"/>
      <c r="HC54"/>
      <c r="HD54"/>
      <c r="HE54"/>
      <c r="HF54"/>
      <c r="HG54"/>
      <c r="HH54"/>
      <c r="HI54"/>
      <c r="HJ54"/>
      <c r="HK54"/>
      <c r="HL54"/>
      <c r="HM54"/>
      <c r="HN54"/>
      <c r="HO54"/>
      <c r="HP54"/>
      <c r="HQ54"/>
      <c r="HR54"/>
      <c r="HS54"/>
      <c r="HT54"/>
      <c r="HU54"/>
      <c r="HV54"/>
      <c r="HW54"/>
      <c r="HX54"/>
      <c r="HY54"/>
      <c r="HZ54"/>
      <c r="IA54"/>
      <c r="IB54"/>
      <c r="IC54"/>
      <c r="ID54"/>
      <c r="IE54"/>
      <c r="IF54"/>
      <c r="IG54"/>
      <c r="IH54"/>
      <c r="II54"/>
      <c r="IJ54"/>
      <c r="IK54"/>
      <c r="IL54"/>
      <c r="IM54"/>
      <c r="IN54"/>
      <c r="IO54"/>
      <c r="IP54"/>
      <c r="IQ54"/>
      <c r="IR54"/>
      <c r="IS54"/>
      <c r="IT54"/>
      <c r="IU54"/>
      <c r="IV54"/>
      <c r="IW54"/>
      <c r="IX54"/>
      <c r="IY54"/>
      <c r="IZ54"/>
      <c r="JA54"/>
      <c r="JB54"/>
      <c r="JC54"/>
      <c r="JD54"/>
      <c r="JE54"/>
      <c r="JF54"/>
      <c r="JG54"/>
      <c r="JH54"/>
      <c r="JI54"/>
      <c r="JJ54"/>
      <c r="JK54"/>
      <c r="JL54"/>
      <c r="JM54"/>
      <c r="JN54"/>
      <c r="JO54"/>
      <c r="JP54"/>
      <c r="JQ54"/>
      <c r="JR54"/>
      <c r="JS54"/>
      <c r="JT54"/>
      <c r="JU54"/>
      <c r="JV54"/>
      <c r="JW54"/>
      <c r="JX54"/>
      <c r="JY54"/>
      <c r="JZ54"/>
      <c r="KA54"/>
      <c r="KB54"/>
      <c r="KC54"/>
      <c r="KD54"/>
      <c r="KE54"/>
      <c r="KF54"/>
      <c r="KG54"/>
      <c r="KH54"/>
      <c r="KI54"/>
      <c r="KJ54"/>
      <c r="KK54"/>
      <c r="KL54"/>
      <c r="KM54"/>
      <c r="KN54"/>
      <c r="KO54"/>
      <c r="KP54"/>
      <c r="KQ54"/>
      <c r="KR54"/>
      <c r="KS54"/>
      <c r="KT54" s="1655"/>
      <c r="KU54"/>
      <c r="KV54"/>
      <c r="KW54"/>
      <c r="KX54"/>
      <c r="KY54"/>
      <c r="KZ54"/>
      <c r="LA54"/>
      <c r="LB54"/>
      <c r="LC54"/>
      <c r="LD54"/>
      <c r="LE54"/>
      <c r="LF54"/>
      <c r="LG54"/>
      <c r="LH54"/>
      <c r="LI54"/>
      <c r="LJ54"/>
      <c r="LK54"/>
      <c r="LL54"/>
      <c r="LM54"/>
      <c r="LN54"/>
      <c r="LO54"/>
      <c r="LP54"/>
      <c r="LQ54"/>
      <c r="LR54"/>
      <c r="LS54"/>
      <c r="LT54"/>
      <c r="LU54"/>
      <c r="LV54"/>
      <c r="LW54"/>
      <c r="LX54"/>
      <c r="LY54"/>
      <c r="LZ54"/>
      <c r="MA54"/>
      <c r="MB54"/>
      <c r="MC54"/>
      <c r="MD54"/>
      <c r="ME54"/>
      <c r="MF54"/>
      <c r="MG54"/>
      <c r="MH54"/>
      <c r="MI54"/>
      <c r="MJ54"/>
      <c r="MK54"/>
      <c r="ML54"/>
      <c r="MM54"/>
      <c r="MN54"/>
      <c r="MO54"/>
      <c r="MP54"/>
      <c r="MQ54"/>
      <c r="MR54"/>
      <c r="MS54"/>
      <c r="MT54"/>
      <c r="MU54"/>
      <c r="MV54"/>
      <c r="MW54"/>
      <c r="MX54"/>
      <c r="MY54"/>
      <c r="MZ54"/>
      <c r="NA54"/>
      <c r="NB54"/>
      <c r="NC54"/>
      <c r="ND54"/>
      <c r="NE54"/>
      <c r="NF54"/>
      <c r="NG54"/>
      <c r="NH54"/>
      <c r="NI54"/>
      <c r="NJ54"/>
      <c r="NK54"/>
      <c r="NL54"/>
      <c r="NM54"/>
      <c r="NN54"/>
      <c r="NO54"/>
      <c r="NP54"/>
      <c r="NQ54"/>
      <c r="NR54"/>
      <c r="NS54"/>
      <c r="NT54"/>
      <c r="NU54"/>
      <c r="NV54"/>
      <c r="NW54"/>
      <c r="NX54"/>
      <c r="NY54"/>
      <c r="NZ54"/>
      <c r="OA54"/>
      <c r="OB54"/>
      <c r="OC54"/>
      <c r="OD54"/>
      <c r="OE54"/>
      <c r="OF54"/>
      <c r="OG54"/>
      <c r="OH54"/>
      <c r="OI54"/>
      <c r="OJ54"/>
      <c r="OK54"/>
      <c r="OL54"/>
      <c r="OM54"/>
      <c r="ON54"/>
      <c r="OO54"/>
      <c r="OP54"/>
      <c r="OQ54" s="1656"/>
      <c r="OR54"/>
      <c r="OS54"/>
      <c r="OT54"/>
      <c r="OU54"/>
      <c r="OV54"/>
      <c r="OW54"/>
      <c r="OX54"/>
      <c r="OY54"/>
      <c r="OZ54"/>
      <c r="PA54"/>
      <c r="PB54"/>
      <c r="PC54"/>
      <c r="PD54"/>
      <c r="PE54"/>
      <c r="PF54"/>
      <c r="PG54"/>
      <c r="PH54"/>
      <c r="PI54"/>
      <c r="PJ54"/>
      <c r="PK54"/>
      <c r="PL54"/>
      <c r="PM54"/>
      <c r="PN54"/>
      <c r="PO54"/>
      <c r="PP54"/>
      <c r="PQ54"/>
      <c r="PR54"/>
      <c r="PS54"/>
      <c r="PT54" s="1656"/>
    </row>
    <row r="55" spans="1:436" ht="21.5">
      <c r="A55" s="1466"/>
      <c r="B55" s="1576"/>
      <c r="C55" s="1576"/>
      <c r="D55" s="1576"/>
      <c r="E55" s="1577"/>
      <c r="F55" s="1577"/>
      <c r="G55" s="1577"/>
      <c r="H55" s="1577"/>
      <c r="I55" s="1577"/>
      <c r="J55" s="1577"/>
      <c r="K55" s="1577"/>
      <c r="L55" s="1577"/>
      <c r="M55" s="1577"/>
      <c r="N55" s="1577"/>
      <c r="O55" s="1577"/>
      <c r="P55" s="1577"/>
      <c r="Q55" s="1577"/>
      <c r="R55" s="1577"/>
      <c r="S55" s="1577"/>
      <c r="T55" s="1577"/>
      <c r="U55" s="1577"/>
      <c r="V55" s="1577"/>
      <c r="W55" s="1577"/>
      <c r="X55" s="1577"/>
      <c r="Y55" s="1577"/>
      <c r="Z55" s="1577"/>
      <c r="AA55" s="1577"/>
      <c r="AB55" s="1577"/>
      <c r="AC55" s="1577"/>
      <c r="AD55" s="1577"/>
      <c r="AE55" s="1577"/>
      <c r="AF55" s="1577"/>
      <c r="AG55" s="1577"/>
      <c r="AH55" s="1577"/>
      <c r="AI55" s="1577"/>
      <c r="AJ55" s="1577"/>
      <c r="AK55" s="1577"/>
      <c r="AL55" s="1577"/>
      <c r="AM55" s="1577"/>
      <c r="AN55" s="1577"/>
      <c r="AO55" s="1577"/>
      <c r="AP55" s="1577"/>
      <c r="AQ55" s="1577"/>
      <c r="AR55" s="1577"/>
      <c r="AS55" s="1577"/>
      <c r="AT55" s="1577"/>
      <c r="AU55" s="1577"/>
      <c r="AV55" s="1577"/>
      <c r="AW55" s="1577"/>
      <c r="AX55" s="1577"/>
      <c r="AY55" s="1577"/>
      <c r="AZ55" s="1577"/>
      <c r="BA55" s="1577"/>
      <c r="BB55" s="1577"/>
      <c r="BC55" s="1577"/>
      <c r="BD55" s="1577"/>
      <c r="BE55" s="1577"/>
      <c r="BF55" s="1577"/>
      <c r="BG55" s="1577"/>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s="1655">
        <v>0</v>
      </c>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c r="GL55"/>
      <c r="GM55"/>
      <c r="GN55"/>
      <c r="GO55"/>
      <c r="GP55"/>
      <c r="GQ55"/>
      <c r="GR55"/>
      <c r="GS55"/>
      <c r="GT55"/>
      <c r="GU55"/>
      <c r="GV55"/>
      <c r="GW55" s="1655"/>
      <c r="GX55"/>
      <c r="GY55"/>
      <c r="GZ55"/>
      <c r="HA55"/>
      <c r="HB55"/>
      <c r="HC55"/>
      <c r="HD55"/>
      <c r="HE55"/>
      <c r="HF55"/>
      <c r="HG55"/>
      <c r="HH55"/>
      <c r="HI55"/>
      <c r="HJ55"/>
      <c r="HK55"/>
      <c r="HL55"/>
      <c r="HM55"/>
      <c r="HN55"/>
      <c r="HO55"/>
      <c r="HP55"/>
      <c r="HQ55"/>
      <c r="HR55"/>
      <c r="HS55"/>
      <c r="HT55"/>
      <c r="HU55"/>
      <c r="HV55"/>
      <c r="HW55"/>
      <c r="HX55"/>
      <c r="HY55"/>
      <c r="HZ55"/>
      <c r="IA55"/>
      <c r="IB55"/>
      <c r="IC55"/>
      <c r="ID55"/>
      <c r="IE55"/>
      <c r="IF55"/>
      <c r="IG55"/>
      <c r="IH55"/>
      <c r="II55"/>
      <c r="IJ55"/>
      <c r="IK55"/>
      <c r="IL55"/>
      <c r="IM55"/>
      <c r="IN55"/>
      <c r="IO55"/>
      <c r="IP55"/>
      <c r="IQ55"/>
      <c r="IR55"/>
      <c r="IS55"/>
      <c r="IT55"/>
      <c r="IU55"/>
      <c r="IV55"/>
      <c r="IW55"/>
      <c r="IX55"/>
      <c r="IY55"/>
      <c r="IZ55"/>
      <c r="JA55"/>
      <c r="JB55"/>
      <c r="JC55"/>
      <c r="JD55"/>
      <c r="JE55"/>
      <c r="JF55"/>
      <c r="JG55"/>
      <c r="JH55"/>
      <c r="JI55"/>
      <c r="JJ55"/>
      <c r="JK55"/>
      <c r="JL55"/>
      <c r="JM55"/>
      <c r="JN55"/>
      <c r="JO55"/>
      <c r="JP55"/>
      <c r="JQ55"/>
      <c r="JR55"/>
      <c r="JS55"/>
      <c r="JT55"/>
      <c r="JU55"/>
      <c r="JV55"/>
      <c r="JW55"/>
      <c r="JX55"/>
      <c r="JY55"/>
      <c r="JZ55"/>
      <c r="KA55"/>
      <c r="KB55"/>
      <c r="KC55"/>
      <c r="KD55"/>
      <c r="KE55"/>
      <c r="KF55"/>
      <c r="KG55"/>
      <c r="KH55"/>
      <c r="KI55"/>
      <c r="KJ55"/>
      <c r="KK55"/>
      <c r="KL55"/>
      <c r="KM55"/>
      <c r="KN55"/>
      <c r="KO55"/>
      <c r="KP55"/>
      <c r="KQ55"/>
      <c r="KR55"/>
      <c r="KS55"/>
      <c r="KT55" s="1655"/>
      <c r="KU55"/>
      <c r="KV55"/>
      <c r="KW55"/>
      <c r="KX55"/>
      <c r="KY55"/>
      <c r="KZ55"/>
      <c r="LA55"/>
      <c r="LB55"/>
      <c r="LC55"/>
      <c r="LD55"/>
      <c r="LE55"/>
      <c r="LF55"/>
      <c r="LG55"/>
      <c r="LH55"/>
      <c r="LI55"/>
      <c r="LJ55"/>
      <c r="LK55"/>
      <c r="LL55"/>
      <c r="LM55"/>
      <c r="LN55"/>
      <c r="LO55"/>
      <c r="LP55"/>
      <c r="LQ55"/>
      <c r="LR55"/>
      <c r="LS55"/>
      <c r="LT55"/>
      <c r="LU55"/>
      <c r="LV55"/>
      <c r="LW55"/>
      <c r="LX55"/>
      <c r="LY55"/>
      <c r="LZ55"/>
      <c r="MA55"/>
      <c r="MB55"/>
      <c r="MC55"/>
      <c r="MD55"/>
      <c r="ME55"/>
      <c r="MF55"/>
      <c r="MG55"/>
      <c r="MH55"/>
      <c r="MI55"/>
      <c r="MJ55"/>
      <c r="MK55"/>
      <c r="ML55"/>
      <c r="MM55"/>
      <c r="MN55"/>
      <c r="MO55"/>
      <c r="MP55"/>
      <c r="MQ55"/>
      <c r="MR55"/>
      <c r="MS55"/>
      <c r="MT55"/>
      <c r="MU55"/>
      <c r="MV55"/>
      <c r="MW55"/>
      <c r="MX55"/>
      <c r="MY55"/>
      <c r="MZ55"/>
      <c r="NA55"/>
      <c r="NB55"/>
      <c r="NC55"/>
      <c r="ND55"/>
      <c r="NE55"/>
      <c r="NF55"/>
      <c r="NG55"/>
      <c r="NH55"/>
      <c r="NI55"/>
      <c r="NJ55"/>
      <c r="NK55"/>
      <c r="NL55"/>
      <c r="NM55"/>
      <c r="NN55"/>
      <c r="NO55"/>
      <c r="NP55"/>
      <c r="NQ55"/>
      <c r="NR55"/>
      <c r="NS55"/>
      <c r="NT55"/>
      <c r="NU55"/>
      <c r="NV55"/>
      <c r="NW55"/>
      <c r="NX55"/>
      <c r="NY55"/>
      <c r="NZ55"/>
      <c r="OA55"/>
      <c r="OB55"/>
      <c r="OC55"/>
      <c r="OD55"/>
      <c r="OE55"/>
      <c r="OF55"/>
      <c r="OG55"/>
      <c r="OH55"/>
      <c r="OI55"/>
      <c r="OJ55"/>
      <c r="OK55"/>
      <c r="OL55"/>
      <c r="OM55"/>
      <c r="ON55"/>
      <c r="OO55"/>
      <c r="OP55"/>
      <c r="OQ55" s="1656"/>
      <c r="OR55"/>
      <c r="OS55"/>
      <c r="OT55"/>
      <c r="OU55"/>
      <c r="OV55"/>
      <c r="OW55"/>
      <c r="OX55"/>
      <c r="OY55"/>
      <c r="OZ55"/>
      <c r="PA55"/>
      <c r="PB55"/>
      <c r="PC55"/>
      <c r="PD55"/>
      <c r="PE55"/>
      <c r="PF55"/>
      <c r="PG55"/>
      <c r="PH55"/>
      <c r="PI55"/>
      <c r="PJ55"/>
      <c r="PK55"/>
      <c r="PL55"/>
      <c r="PM55"/>
      <c r="PN55"/>
      <c r="PO55"/>
      <c r="PP55"/>
      <c r="PQ55"/>
      <c r="PR55"/>
      <c r="PS55"/>
      <c r="PT55" s="1656"/>
    </row>
    <row r="56" spans="1:436" ht="21.5">
      <c r="A56" s="1466"/>
      <c r="B56" s="1576"/>
      <c r="C56" s="1576"/>
      <c r="D56" s="1576"/>
      <c r="E56" s="1577"/>
      <c r="F56" s="1577"/>
      <c r="G56" s="1577"/>
      <c r="H56" s="1577"/>
      <c r="I56" s="1577"/>
      <c r="J56" s="1577"/>
      <c r="K56" s="1577"/>
      <c r="L56" s="1577"/>
      <c r="M56" s="1577"/>
      <c r="N56" s="1577"/>
      <c r="O56" s="1577"/>
      <c r="P56" s="1577"/>
      <c r="Q56" s="1577"/>
      <c r="R56" s="1577"/>
      <c r="S56" s="1577"/>
      <c r="T56" s="1577"/>
      <c r="U56" s="1577"/>
      <c r="V56" s="1577"/>
      <c r="W56" s="1577"/>
      <c r="X56" s="1577"/>
      <c r="Y56" s="1577"/>
      <c r="Z56" s="1577"/>
      <c r="AA56" s="1577"/>
      <c r="AB56" s="1577"/>
      <c r="AC56" s="1577"/>
      <c r="AD56" s="1577"/>
      <c r="AE56" s="1577"/>
      <c r="AF56" s="1577"/>
      <c r="AG56" s="1577"/>
      <c r="AH56" s="1577"/>
      <c r="AI56" s="1577"/>
      <c r="AJ56" s="1577"/>
      <c r="AK56" s="1577"/>
      <c r="AL56" s="1577"/>
      <c r="AM56" s="1577"/>
      <c r="AN56" s="1577"/>
      <c r="AO56" s="1577"/>
      <c r="AP56" s="1577"/>
      <c r="AQ56" s="1577"/>
      <c r="AR56" s="1577"/>
      <c r="AS56" s="1577"/>
      <c r="AT56" s="1577"/>
      <c r="AU56" s="1577"/>
      <c r="AV56" s="1577"/>
      <c r="AW56" s="1577"/>
      <c r="AX56" s="1577"/>
      <c r="AY56" s="1577"/>
      <c r="AZ56" s="1577"/>
      <c r="BA56" s="1577"/>
      <c r="BB56" s="1577"/>
      <c r="BC56" s="1577"/>
      <c r="BD56" s="1577"/>
      <c r="BE56" s="1577"/>
      <c r="BF56" s="1577"/>
      <c r="BG56" s="1577"/>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s="1655">
        <v>0</v>
      </c>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c r="GL56"/>
      <c r="GM56"/>
      <c r="GN56"/>
      <c r="GO56"/>
      <c r="GP56"/>
      <c r="GQ56"/>
      <c r="GR56"/>
      <c r="GS56"/>
      <c r="GT56"/>
      <c r="GU56"/>
      <c r="GV56"/>
      <c r="GW56" s="1655"/>
      <c r="GX56"/>
      <c r="GY56"/>
      <c r="GZ56"/>
      <c r="HA56"/>
      <c r="HB56"/>
      <c r="HC56"/>
      <c r="HD56"/>
      <c r="HE56"/>
      <c r="HF56"/>
      <c r="HG56"/>
      <c r="HH56"/>
      <c r="HI56"/>
      <c r="HJ56"/>
      <c r="HK56"/>
      <c r="HL56"/>
      <c r="HM56"/>
      <c r="HN56"/>
      <c r="HO56"/>
      <c r="HP56"/>
      <c r="HQ56"/>
      <c r="HR56"/>
      <c r="HS56"/>
      <c r="HT56"/>
      <c r="HU56"/>
      <c r="HV56"/>
      <c r="HW56"/>
      <c r="HX56"/>
      <c r="HY56"/>
      <c r="HZ56"/>
      <c r="IA56"/>
      <c r="IB56"/>
      <c r="IC56"/>
      <c r="ID56"/>
      <c r="IE56"/>
      <c r="IF56"/>
      <c r="IG56"/>
      <c r="IH56"/>
      <c r="II56"/>
      <c r="IJ56"/>
      <c r="IK56"/>
      <c r="IL56"/>
      <c r="IM56"/>
      <c r="IN56"/>
      <c r="IO56"/>
      <c r="IP56"/>
      <c r="IQ56"/>
      <c r="IR56"/>
      <c r="IS56"/>
      <c r="IT56"/>
      <c r="IU56"/>
      <c r="IV56"/>
      <c r="IW56"/>
      <c r="IX56"/>
      <c r="IY56"/>
      <c r="IZ56"/>
      <c r="JA56"/>
      <c r="JB56"/>
      <c r="JC56"/>
      <c r="JD56"/>
      <c r="JE56"/>
      <c r="JF56"/>
      <c r="JG56"/>
      <c r="JH56"/>
      <c r="JI56"/>
      <c r="JJ56"/>
      <c r="JK56"/>
      <c r="JL56"/>
      <c r="JM56"/>
      <c r="JN56"/>
      <c r="JO56"/>
      <c r="JP56"/>
      <c r="JQ56"/>
      <c r="JR56"/>
      <c r="JS56"/>
      <c r="JT56"/>
      <c r="JU56"/>
      <c r="JV56"/>
      <c r="JW56"/>
      <c r="JX56"/>
      <c r="JY56"/>
      <c r="JZ56"/>
      <c r="KA56"/>
      <c r="KB56"/>
      <c r="KC56"/>
      <c r="KD56"/>
      <c r="KE56"/>
      <c r="KF56"/>
      <c r="KG56"/>
      <c r="KH56"/>
      <c r="KI56"/>
      <c r="KJ56"/>
      <c r="KK56"/>
      <c r="KL56"/>
      <c r="KM56"/>
      <c r="KN56"/>
      <c r="KO56"/>
      <c r="KP56"/>
      <c r="KQ56"/>
      <c r="KR56"/>
      <c r="KS56"/>
      <c r="KT56" s="1655"/>
      <c r="KU56"/>
      <c r="KV56"/>
      <c r="KW56"/>
      <c r="KX56"/>
      <c r="KY56"/>
      <c r="KZ56"/>
      <c r="LA56"/>
      <c r="LB56"/>
      <c r="LC56"/>
      <c r="LD56"/>
      <c r="LE56"/>
      <c r="LF56"/>
      <c r="LG56"/>
      <c r="LH56"/>
      <c r="LI56"/>
      <c r="LJ56"/>
      <c r="LK56"/>
      <c r="LL56"/>
      <c r="LM56"/>
      <c r="LN56"/>
      <c r="LO56"/>
      <c r="LP56"/>
      <c r="LQ56"/>
      <c r="LR56"/>
      <c r="LS56"/>
      <c r="LT56"/>
      <c r="LU56"/>
      <c r="LV56"/>
      <c r="LW56"/>
      <c r="LX56"/>
      <c r="LY56"/>
      <c r="LZ56"/>
      <c r="MA56"/>
      <c r="MB56"/>
      <c r="MC56"/>
      <c r="MD56"/>
      <c r="ME56"/>
      <c r="MF56"/>
      <c r="MG56"/>
      <c r="MH56"/>
      <c r="MI56"/>
      <c r="MJ56"/>
      <c r="MK56"/>
      <c r="ML56"/>
      <c r="MM56"/>
      <c r="MN56"/>
      <c r="MO56"/>
      <c r="MP56"/>
      <c r="MQ56"/>
      <c r="MR56"/>
      <c r="MS56"/>
      <c r="MT56"/>
      <c r="MU56"/>
      <c r="MV56"/>
      <c r="MW56"/>
      <c r="MX56"/>
      <c r="MY56"/>
      <c r="MZ56"/>
      <c r="NA56"/>
      <c r="NB56"/>
      <c r="NC56"/>
      <c r="ND56"/>
      <c r="NE56"/>
      <c r="NF56"/>
      <c r="NG56"/>
      <c r="NH56"/>
      <c r="NI56"/>
      <c r="NJ56"/>
      <c r="NK56"/>
      <c r="NL56"/>
      <c r="NM56"/>
      <c r="NN56"/>
      <c r="NO56"/>
      <c r="NP56"/>
      <c r="NQ56"/>
      <c r="NR56"/>
      <c r="NS56"/>
      <c r="NT56"/>
      <c r="NU56"/>
      <c r="NV56"/>
      <c r="NW56"/>
      <c r="NX56"/>
      <c r="NY56"/>
      <c r="NZ56"/>
      <c r="OA56"/>
      <c r="OB56"/>
      <c r="OC56"/>
      <c r="OD56"/>
      <c r="OE56"/>
      <c r="OF56"/>
      <c r="OG56"/>
      <c r="OH56"/>
      <c r="OI56"/>
      <c r="OJ56"/>
      <c r="OK56"/>
      <c r="OL56"/>
      <c r="OM56"/>
      <c r="ON56"/>
      <c r="OO56"/>
      <c r="OP56"/>
      <c r="OQ56" s="1656"/>
      <c r="OR56"/>
      <c r="OS56"/>
      <c r="OT56"/>
      <c r="OU56"/>
      <c r="OV56"/>
      <c r="OW56"/>
      <c r="OX56"/>
      <c r="OY56"/>
      <c r="OZ56"/>
      <c r="PA56"/>
      <c r="PB56"/>
      <c r="PC56"/>
      <c r="PD56"/>
      <c r="PE56"/>
      <c r="PF56"/>
      <c r="PG56"/>
      <c r="PH56"/>
      <c r="PI56"/>
      <c r="PJ56"/>
      <c r="PK56"/>
      <c r="PL56"/>
      <c r="PM56"/>
      <c r="PN56"/>
      <c r="PO56"/>
      <c r="PP56"/>
      <c r="PQ56"/>
      <c r="PR56"/>
      <c r="PS56"/>
      <c r="PT56" s="1656"/>
    </row>
    <row r="57" spans="1:436" ht="21.5">
      <c r="A57" s="1466"/>
      <c r="B57" s="1576"/>
      <c r="C57" s="1576"/>
      <c r="D57" s="1576"/>
      <c r="E57" s="1577"/>
      <c r="F57" s="1577"/>
      <c r="G57" s="1577"/>
      <c r="H57" s="1577"/>
      <c r="I57" s="1577"/>
      <c r="J57" s="1577"/>
      <c r="K57" s="1577"/>
      <c r="L57" s="1577"/>
      <c r="M57" s="1577"/>
      <c r="N57" s="1577"/>
      <c r="O57" s="1577"/>
      <c r="P57" s="1577"/>
      <c r="Q57" s="1577"/>
      <c r="R57" s="1577"/>
      <c r="S57" s="1577"/>
      <c r="T57" s="1577"/>
      <c r="U57" s="1577"/>
      <c r="V57" s="1577"/>
      <c r="W57" s="1577"/>
      <c r="X57" s="1577"/>
      <c r="Y57" s="1577"/>
      <c r="Z57" s="1577"/>
      <c r="AA57" s="1577"/>
      <c r="AB57" s="1577"/>
      <c r="AC57" s="1577"/>
      <c r="AD57" s="1577"/>
      <c r="AE57" s="1577"/>
      <c r="AF57" s="1577"/>
      <c r="AG57" s="1577"/>
      <c r="AH57" s="1577"/>
      <c r="AI57" s="1577"/>
      <c r="AJ57" s="1577"/>
      <c r="AK57" s="1577"/>
      <c r="AL57" s="1577"/>
      <c r="AM57" s="1577"/>
      <c r="AN57" s="1577"/>
      <c r="AO57" s="1577"/>
      <c r="AP57" s="1577"/>
      <c r="AQ57" s="1577"/>
      <c r="AR57" s="1577"/>
      <c r="AS57" s="1577"/>
      <c r="AT57" s="1577"/>
      <c r="AU57" s="1577"/>
      <c r="AV57" s="1577"/>
      <c r="AW57" s="1577"/>
      <c r="AX57" s="1577"/>
      <c r="AY57" s="1577"/>
      <c r="AZ57" s="1577"/>
      <c r="BA57" s="1577"/>
      <c r="BB57" s="1577"/>
      <c r="BC57" s="1577"/>
      <c r="BD57" s="1577"/>
      <c r="BE57" s="1577"/>
      <c r="BF57" s="1577"/>
      <c r="BG57" s="1577"/>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s="1655">
        <v>0</v>
      </c>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c r="GL57"/>
      <c r="GM57"/>
      <c r="GN57"/>
      <c r="GO57"/>
      <c r="GP57"/>
      <c r="GQ57"/>
      <c r="GR57"/>
      <c r="GS57"/>
      <c r="GT57"/>
      <c r="GU57"/>
      <c r="GV57"/>
      <c r="GW57" s="1655"/>
      <c r="GX57"/>
      <c r="GY57"/>
      <c r="GZ57"/>
      <c r="HA57"/>
      <c r="HB57"/>
      <c r="HC57"/>
      <c r="HD57"/>
      <c r="HE57"/>
      <c r="HF57"/>
      <c r="HG57"/>
      <c r="HH57"/>
      <c r="HI57"/>
      <c r="HJ57"/>
      <c r="HK57"/>
      <c r="HL57"/>
      <c r="HM57"/>
      <c r="HN57"/>
      <c r="HO57"/>
      <c r="HP57"/>
      <c r="HQ57"/>
      <c r="HR57"/>
      <c r="HS57"/>
      <c r="HT57"/>
      <c r="HU57"/>
      <c r="HV57"/>
      <c r="HW57"/>
      <c r="HX57"/>
      <c r="HY57"/>
      <c r="HZ57"/>
      <c r="IA57"/>
      <c r="IB57"/>
      <c r="IC57"/>
      <c r="ID57"/>
      <c r="IE57"/>
      <c r="IF57"/>
      <c r="IG57"/>
      <c r="IH57"/>
      <c r="II57"/>
      <c r="IJ57"/>
      <c r="IK57"/>
      <c r="IL57"/>
      <c r="IM57"/>
      <c r="IN57"/>
      <c r="IO57"/>
      <c r="IP57"/>
      <c r="IQ57"/>
      <c r="IR57"/>
      <c r="IS57"/>
      <c r="IT57"/>
      <c r="IU57"/>
      <c r="IV57"/>
      <c r="IW57"/>
      <c r="IX57"/>
      <c r="IY57"/>
      <c r="IZ57"/>
      <c r="JA57"/>
      <c r="JB57"/>
      <c r="JC57"/>
      <c r="JD57"/>
      <c r="JE57"/>
      <c r="JF57"/>
      <c r="JG57"/>
      <c r="JH57"/>
      <c r="JI57"/>
      <c r="JJ57"/>
      <c r="JK57"/>
      <c r="JL57"/>
      <c r="JM57"/>
      <c r="JN57"/>
      <c r="JO57"/>
      <c r="JP57"/>
      <c r="JQ57"/>
      <c r="JR57"/>
      <c r="JS57"/>
      <c r="JT57"/>
      <c r="JU57"/>
      <c r="JV57"/>
      <c r="JW57"/>
      <c r="JX57"/>
      <c r="JY57"/>
      <c r="JZ57"/>
      <c r="KA57"/>
      <c r="KB57"/>
      <c r="KC57"/>
      <c r="KD57"/>
      <c r="KE57"/>
      <c r="KF57"/>
      <c r="KG57"/>
      <c r="KH57"/>
      <c r="KI57"/>
      <c r="KJ57"/>
      <c r="KK57"/>
      <c r="KL57"/>
      <c r="KM57"/>
      <c r="KN57"/>
      <c r="KO57"/>
      <c r="KP57"/>
      <c r="KQ57"/>
      <c r="KR57"/>
      <c r="KS57"/>
      <c r="KT57" s="1655"/>
      <c r="KU57"/>
      <c r="KV57"/>
      <c r="KW57"/>
      <c r="KX57"/>
      <c r="KY57"/>
      <c r="KZ57"/>
      <c r="LA57"/>
      <c r="LB57"/>
      <c r="LC57"/>
      <c r="LD57"/>
      <c r="LE57"/>
      <c r="LF57"/>
      <c r="LG57"/>
      <c r="LH57"/>
      <c r="LI57"/>
      <c r="LJ57"/>
      <c r="LK57"/>
      <c r="LL57"/>
      <c r="LM57"/>
      <c r="LN57"/>
      <c r="LO57"/>
      <c r="LP57"/>
      <c r="LQ57"/>
      <c r="LR57"/>
      <c r="LS57"/>
      <c r="LT57"/>
      <c r="LU57"/>
      <c r="LV57"/>
      <c r="LW57"/>
      <c r="LX57"/>
      <c r="LY57"/>
      <c r="LZ57"/>
      <c r="MA57"/>
      <c r="MB57"/>
      <c r="MC57"/>
      <c r="MD57"/>
      <c r="ME57"/>
      <c r="MF57"/>
      <c r="MG57"/>
      <c r="MH57"/>
      <c r="MI57"/>
      <c r="MJ57"/>
      <c r="MK57"/>
      <c r="ML57"/>
      <c r="MM57"/>
      <c r="MN57"/>
      <c r="MO57"/>
      <c r="MP57"/>
      <c r="MQ57"/>
      <c r="MR57"/>
      <c r="MS57"/>
      <c r="MT57"/>
      <c r="MU57"/>
      <c r="MV57"/>
      <c r="MW57"/>
      <c r="MX57"/>
      <c r="MY57"/>
      <c r="MZ57"/>
      <c r="NA57"/>
      <c r="NB57"/>
      <c r="NC57"/>
      <c r="ND57"/>
      <c r="NE57"/>
      <c r="NF57"/>
      <c r="NG57"/>
      <c r="NH57"/>
      <c r="NI57"/>
      <c r="NJ57"/>
      <c r="NK57"/>
      <c r="NL57"/>
      <c r="NM57"/>
      <c r="NN57"/>
      <c r="NO57"/>
      <c r="NP57"/>
      <c r="NQ57"/>
      <c r="NR57"/>
      <c r="NS57"/>
      <c r="NT57"/>
      <c r="NU57"/>
      <c r="NV57"/>
      <c r="NW57"/>
      <c r="NX57"/>
      <c r="NY57"/>
      <c r="NZ57"/>
      <c r="OA57"/>
      <c r="OB57"/>
      <c r="OC57"/>
      <c r="OD57"/>
      <c r="OE57"/>
      <c r="OF57"/>
      <c r="OG57"/>
      <c r="OH57"/>
      <c r="OI57"/>
      <c r="OJ57"/>
      <c r="OK57"/>
      <c r="OL57"/>
      <c r="OM57"/>
      <c r="ON57"/>
      <c r="OO57"/>
      <c r="OP57"/>
      <c r="OQ57" s="1656"/>
      <c r="OR57"/>
      <c r="OS57"/>
      <c r="OT57"/>
      <c r="OU57"/>
      <c r="OV57"/>
      <c r="OW57"/>
      <c r="OX57"/>
      <c r="OY57"/>
      <c r="OZ57"/>
      <c r="PA57"/>
      <c r="PB57"/>
      <c r="PC57"/>
      <c r="PD57"/>
      <c r="PE57"/>
      <c r="PF57"/>
      <c r="PG57"/>
      <c r="PH57"/>
      <c r="PI57"/>
      <c r="PJ57"/>
      <c r="PK57"/>
      <c r="PL57"/>
      <c r="PM57"/>
      <c r="PN57"/>
      <c r="PO57"/>
      <c r="PP57"/>
      <c r="PQ57"/>
      <c r="PR57"/>
      <c r="PS57"/>
      <c r="PT57" s="1656"/>
    </row>
    <row r="58" spans="1:436" ht="21.5">
      <c r="A58" s="1466"/>
      <c r="B58" s="1576"/>
      <c r="C58" s="1576"/>
      <c r="D58" s="1576"/>
      <c r="E58" s="1577"/>
      <c r="F58" s="1577"/>
      <c r="G58" s="1577"/>
      <c r="H58" s="1577"/>
      <c r="I58" s="1577"/>
      <c r="J58" s="1577"/>
      <c r="K58" s="1577"/>
      <c r="L58" s="1577"/>
      <c r="M58" s="1577"/>
      <c r="N58" s="1577"/>
      <c r="O58" s="1577"/>
      <c r="P58" s="1577"/>
      <c r="Q58" s="1577"/>
      <c r="R58" s="1577"/>
      <c r="S58" s="1577"/>
      <c r="T58" s="1577"/>
      <c r="U58" s="1577"/>
      <c r="V58" s="1577"/>
      <c r="W58" s="1577"/>
      <c r="X58" s="1577"/>
      <c r="Y58" s="1577"/>
      <c r="Z58" s="1577"/>
      <c r="AA58" s="1577"/>
      <c r="AB58" s="1577"/>
      <c r="AC58" s="1577"/>
      <c r="AD58" s="1577"/>
      <c r="AE58" s="1577"/>
      <c r="AF58" s="1577"/>
      <c r="AG58" s="1577"/>
      <c r="AH58" s="1577"/>
      <c r="AI58" s="1577"/>
      <c r="AJ58" s="1577"/>
      <c r="AK58" s="1577"/>
      <c r="AL58" s="1577"/>
      <c r="AM58" s="1577"/>
      <c r="AN58" s="1577"/>
      <c r="AO58" s="1577"/>
      <c r="AP58" s="1577"/>
      <c r="AQ58" s="1577"/>
      <c r="AR58" s="1577"/>
      <c r="AS58" s="1577"/>
      <c r="AT58" s="1577"/>
      <c r="AU58" s="1577"/>
      <c r="AV58" s="1577"/>
      <c r="AW58" s="1577"/>
      <c r="AX58" s="1577"/>
      <c r="AY58" s="1577"/>
      <c r="AZ58" s="1577"/>
      <c r="BA58" s="1577"/>
      <c r="BB58" s="1577"/>
      <c r="BC58" s="1577"/>
      <c r="BD58" s="1577"/>
      <c r="BE58" s="1577"/>
      <c r="BF58" s="1577"/>
      <c r="BG58" s="1577"/>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s="1655">
        <v>0</v>
      </c>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c r="GL58"/>
      <c r="GM58"/>
      <c r="GN58"/>
      <c r="GO58"/>
      <c r="GP58"/>
      <c r="GQ58"/>
      <c r="GR58"/>
      <c r="GS58"/>
      <c r="GT58"/>
      <c r="GU58"/>
      <c r="GV58"/>
      <c r="GW58" s="1655"/>
      <c r="GX58"/>
      <c r="GY58"/>
      <c r="GZ58"/>
      <c r="HA58"/>
      <c r="HB58"/>
      <c r="HC58"/>
      <c r="HD58"/>
      <c r="HE58"/>
      <c r="HF58"/>
      <c r="HG58"/>
      <c r="HH58"/>
      <c r="HI58"/>
      <c r="HJ58"/>
      <c r="HK58"/>
      <c r="HL58"/>
      <c r="HM58"/>
      <c r="HN58"/>
      <c r="HO58"/>
      <c r="HP58"/>
      <c r="HQ58"/>
      <c r="HR58"/>
      <c r="HS58"/>
      <c r="HT58"/>
      <c r="HU58"/>
      <c r="HV58"/>
      <c r="HW58"/>
      <c r="HX58"/>
      <c r="HY58"/>
      <c r="HZ58"/>
      <c r="IA58"/>
      <c r="IB58"/>
      <c r="IC58"/>
      <c r="ID58"/>
      <c r="IE58"/>
      <c r="IF58"/>
      <c r="IG58"/>
      <c r="IH58"/>
      <c r="II58"/>
      <c r="IJ58"/>
      <c r="IK58"/>
      <c r="IL58"/>
      <c r="IM58"/>
      <c r="IN58"/>
      <c r="IO58"/>
      <c r="IP58"/>
      <c r="IQ58"/>
      <c r="IR58"/>
      <c r="IS58"/>
      <c r="IT58"/>
      <c r="IU58"/>
      <c r="IV58"/>
      <c r="IW58"/>
      <c r="IX58"/>
      <c r="IY58"/>
      <c r="IZ58"/>
      <c r="JA58"/>
      <c r="JB58"/>
      <c r="JC58"/>
      <c r="JD58"/>
      <c r="JE58"/>
      <c r="JF58"/>
      <c r="JG58"/>
      <c r="JH58"/>
      <c r="JI58"/>
      <c r="JJ58"/>
      <c r="JK58"/>
      <c r="JL58"/>
      <c r="JM58"/>
      <c r="JN58"/>
      <c r="JO58"/>
      <c r="JP58"/>
      <c r="JQ58"/>
      <c r="JR58"/>
      <c r="JS58"/>
      <c r="JT58"/>
      <c r="JU58"/>
      <c r="JV58"/>
      <c r="JW58"/>
      <c r="JX58"/>
      <c r="JY58"/>
      <c r="JZ58"/>
      <c r="KA58"/>
      <c r="KB58"/>
      <c r="KC58"/>
      <c r="KD58"/>
      <c r="KE58"/>
      <c r="KF58"/>
      <c r="KG58"/>
      <c r="KH58"/>
      <c r="KI58"/>
      <c r="KJ58"/>
      <c r="KK58"/>
      <c r="KL58"/>
      <c r="KM58"/>
      <c r="KN58"/>
      <c r="KO58"/>
      <c r="KP58"/>
      <c r="KQ58"/>
      <c r="KR58"/>
      <c r="KS58"/>
      <c r="KT58" s="1655"/>
      <c r="KU58"/>
      <c r="KV58"/>
      <c r="KW58"/>
      <c r="KX58"/>
      <c r="KY58"/>
      <c r="KZ58"/>
      <c r="LA58"/>
      <c r="LB58"/>
      <c r="LC58"/>
      <c r="LD58"/>
      <c r="LE58"/>
      <c r="LF58"/>
      <c r="LG58"/>
      <c r="LH58"/>
      <c r="LI58"/>
      <c r="LJ58"/>
      <c r="LK58"/>
      <c r="LL58"/>
      <c r="LM58"/>
      <c r="LN58"/>
      <c r="LO58"/>
      <c r="LP58"/>
      <c r="LQ58"/>
      <c r="LR58"/>
      <c r="LS58"/>
      <c r="LT58"/>
      <c r="LU58"/>
      <c r="LV58"/>
      <c r="LW58"/>
      <c r="LX58"/>
      <c r="LY58"/>
      <c r="LZ58"/>
      <c r="MA58"/>
      <c r="MB58"/>
      <c r="MC58"/>
      <c r="MD58"/>
      <c r="ME58"/>
      <c r="MF58"/>
      <c r="MG58"/>
      <c r="MH58"/>
      <c r="MI58"/>
      <c r="MJ58"/>
      <c r="MK58"/>
      <c r="ML58"/>
      <c r="MM58"/>
      <c r="MN58"/>
      <c r="MO58"/>
      <c r="MP58"/>
      <c r="MQ58"/>
      <c r="MR58"/>
      <c r="MS58"/>
      <c r="MT58"/>
      <c r="MU58"/>
      <c r="MV58"/>
      <c r="MW58"/>
      <c r="MX58"/>
      <c r="MY58"/>
      <c r="MZ58"/>
      <c r="NA58"/>
      <c r="NB58"/>
      <c r="NC58"/>
      <c r="ND58"/>
      <c r="NE58"/>
      <c r="NF58"/>
      <c r="NG58"/>
      <c r="NH58"/>
      <c r="NI58"/>
      <c r="NJ58"/>
      <c r="NK58"/>
      <c r="NL58"/>
      <c r="NM58"/>
      <c r="NN58"/>
      <c r="NO58"/>
      <c r="NP58"/>
      <c r="NQ58"/>
      <c r="NR58"/>
      <c r="NS58"/>
      <c r="NT58"/>
      <c r="NU58"/>
      <c r="NV58"/>
      <c r="NW58"/>
      <c r="NX58"/>
      <c r="NY58"/>
      <c r="NZ58"/>
      <c r="OA58"/>
      <c r="OB58"/>
      <c r="OC58"/>
      <c r="OD58"/>
      <c r="OE58"/>
      <c r="OF58"/>
      <c r="OG58"/>
      <c r="OH58"/>
      <c r="OI58"/>
      <c r="OJ58"/>
      <c r="OK58"/>
      <c r="OL58"/>
      <c r="OM58"/>
      <c r="ON58"/>
      <c r="OO58"/>
      <c r="OP58"/>
      <c r="OQ58" s="1656"/>
      <c r="OR58"/>
      <c r="OS58"/>
      <c r="OT58"/>
      <c r="OU58"/>
      <c r="OV58"/>
      <c r="OW58"/>
      <c r="OX58"/>
      <c r="OY58"/>
      <c r="OZ58"/>
      <c r="PA58"/>
      <c r="PB58"/>
      <c r="PC58"/>
      <c r="PD58"/>
      <c r="PE58"/>
      <c r="PF58"/>
      <c r="PG58"/>
      <c r="PH58"/>
      <c r="PI58"/>
      <c r="PJ58"/>
      <c r="PK58"/>
      <c r="PL58"/>
      <c r="PM58"/>
      <c r="PN58"/>
      <c r="PO58"/>
      <c r="PP58"/>
      <c r="PQ58"/>
      <c r="PR58"/>
      <c r="PS58"/>
      <c r="PT58" s="1656"/>
    </row>
    <row r="59" spans="1:436" ht="21.5">
      <c r="A59" s="1466"/>
      <c r="B59" s="1576"/>
      <c r="C59" s="1576"/>
      <c r="D59" s="1576"/>
      <c r="E59" s="1577"/>
      <c r="F59" s="1577"/>
      <c r="G59" s="1577"/>
      <c r="H59" s="1577"/>
      <c r="I59" s="1577"/>
      <c r="J59" s="1577"/>
      <c r="K59" s="1577"/>
      <c r="L59" s="1577"/>
      <c r="M59" s="1577"/>
      <c r="N59" s="1577"/>
      <c r="O59" s="1577"/>
      <c r="P59" s="1577"/>
      <c r="Q59" s="1577"/>
      <c r="R59" s="1577"/>
      <c r="S59" s="1577"/>
      <c r="T59" s="1577"/>
      <c r="U59" s="1577"/>
      <c r="V59" s="1577"/>
      <c r="W59" s="1577"/>
      <c r="X59" s="1577"/>
      <c r="Y59" s="1577"/>
      <c r="Z59" s="1577"/>
      <c r="AA59" s="1577"/>
      <c r="AB59" s="1577"/>
      <c r="AC59" s="1577"/>
      <c r="AD59" s="1577"/>
      <c r="AE59" s="1577"/>
      <c r="AF59" s="1577"/>
      <c r="AG59" s="1577"/>
      <c r="AH59" s="1577"/>
      <c r="AI59" s="1577"/>
      <c r="AJ59" s="1577"/>
      <c r="AK59" s="1577"/>
      <c r="AL59" s="1577"/>
      <c r="AM59" s="1577"/>
      <c r="AN59" s="1577"/>
      <c r="AO59" s="1577"/>
      <c r="AP59" s="1577"/>
      <c r="AQ59" s="1577"/>
      <c r="AR59" s="1577"/>
      <c r="AS59" s="1577"/>
      <c r="AT59" s="1577"/>
      <c r="AU59" s="1577"/>
      <c r="AV59" s="1577"/>
      <c r="AW59" s="1577"/>
      <c r="AX59" s="1577"/>
      <c r="AY59" s="1577"/>
      <c r="AZ59" s="1577"/>
      <c r="BA59" s="1577"/>
      <c r="BB59" s="1577"/>
      <c r="BC59" s="1577"/>
      <c r="BD59" s="1577"/>
      <c r="BE59" s="1577"/>
      <c r="BF59" s="1577"/>
      <c r="BG59" s="1577"/>
      <c r="BH59">
        <v>0</v>
      </c>
      <c r="BI59">
        <v>0</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s="1655">
        <v>0</v>
      </c>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c r="GL59"/>
      <c r="GM59"/>
      <c r="GN59"/>
      <c r="GO59"/>
      <c r="GP59"/>
      <c r="GQ59"/>
      <c r="GR59"/>
      <c r="GS59"/>
      <c r="GT59"/>
      <c r="GU59"/>
      <c r="GV59"/>
      <c r="GW59" s="1655"/>
      <c r="GX59"/>
      <c r="GY59"/>
      <c r="GZ59"/>
      <c r="HA59"/>
      <c r="HB59"/>
      <c r="HC59"/>
      <c r="HD59"/>
      <c r="HE59"/>
      <c r="HF59"/>
      <c r="HG59"/>
      <c r="HH59"/>
      <c r="HI59"/>
      <c r="HJ59"/>
      <c r="HK59"/>
      <c r="HL59"/>
      <c r="HM59"/>
      <c r="HN59"/>
      <c r="HO59"/>
      <c r="HP59"/>
      <c r="HQ59"/>
      <c r="HR59"/>
      <c r="HS59"/>
      <c r="HT59"/>
      <c r="HU59"/>
      <c r="HV59"/>
      <c r="HW59"/>
      <c r="HX59"/>
      <c r="HY59"/>
      <c r="HZ59"/>
      <c r="IA59"/>
      <c r="IB59"/>
      <c r="IC59"/>
      <c r="ID59"/>
      <c r="IE59"/>
      <c r="IF59"/>
      <c r="IG59"/>
      <c r="IH59"/>
      <c r="II59"/>
      <c r="IJ59"/>
      <c r="IK59"/>
      <c r="IL59"/>
      <c r="IM59"/>
      <c r="IN59"/>
      <c r="IO59"/>
      <c r="IP59"/>
      <c r="IQ59"/>
      <c r="IR59"/>
      <c r="IS59"/>
      <c r="IT59"/>
      <c r="IU59"/>
      <c r="IV59"/>
      <c r="IW59"/>
      <c r="IX59"/>
      <c r="IY59"/>
      <c r="IZ59"/>
      <c r="JA59"/>
      <c r="JB59"/>
      <c r="JC59"/>
      <c r="JD59"/>
      <c r="JE59"/>
      <c r="JF59"/>
      <c r="JG59"/>
      <c r="JH59"/>
      <c r="JI59"/>
      <c r="JJ59"/>
      <c r="JK59"/>
      <c r="JL59"/>
      <c r="JM59"/>
      <c r="JN59"/>
      <c r="JO59"/>
      <c r="JP59"/>
      <c r="JQ59"/>
      <c r="JR59"/>
      <c r="JS59"/>
      <c r="JT59"/>
      <c r="JU59"/>
      <c r="JV59"/>
      <c r="JW59"/>
      <c r="JX59"/>
      <c r="JY59"/>
      <c r="JZ59"/>
      <c r="KA59"/>
      <c r="KB59"/>
      <c r="KC59"/>
      <c r="KD59"/>
      <c r="KE59"/>
      <c r="KF59"/>
      <c r="KG59"/>
      <c r="KH59"/>
      <c r="KI59"/>
      <c r="KJ59"/>
      <c r="KK59"/>
      <c r="KL59"/>
      <c r="KM59"/>
      <c r="KN59"/>
      <c r="KO59"/>
      <c r="KP59"/>
      <c r="KQ59"/>
      <c r="KR59"/>
      <c r="KS59"/>
      <c r="KT59" s="1655"/>
      <c r="KU59"/>
      <c r="KV59"/>
      <c r="KW59"/>
      <c r="KX59"/>
      <c r="KY59"/>
      <c r="KZ59"/>
      <c r="LA59"/>
      <c r="LB59"/>
      <c r="LC59"/>
      <c r="LD59"/>
      <c r="LE59"/>
      <c r="LF59"/>
      <c r="LG59"/>
      <c r="LH59"/>
      <c r="LI59"/>
      <c r="LJ59"/>
      <c r="LK59"/>
      <c r="LL59"/>
      <c r="LM59"/>
      <c r="LN59"/>
      <c r="LO59"/>
      <c r="LP59"/>
      <c r="LQ59"/>
      <c r="LR59"/>
      <c r="LS59"/>
      <c r="LT59"/>
      <c r="LU59"/>
      <c r="LV59"/>
      <c r="LW59"/>
      <c r="LX59"/>
      <c r="LY59"/>
      <c r="LZ59"/>
      <c r="MA59"/>
      <c r="MB59"/>
      <c r="MC59"/>
      <c r="MD59"/>
      <c r="ME59"/>
      <c r="MF59"/>
      <c r="MG59"/>
      <c r="MH59"/>
      <c r="MI59"/>
      <c r="MJ59"/>
      <c r="MK59"/>
      <c r="ML59"/>
      <c r="MM59"/>
      <c r="MN59"/>
      <c r="MO59"/>
      <c r="MP59"/>
      <c r="MQ59"/>
      <c r="MR59"/>
      <c r="MS59"/>
      <c r="MT59"/>
      <c r="MU59"/>
      <c r="MV59"/>
      <c r="MW59"/>
      <c r="MX59"/>
      <c r="MY59"/>
      <c r="MZ59"/>
      <c r="NA59"/>
      <c r="NB59"/>
      <c r="NC59"/>
      <c r="ND59"/>
      <c r="NE59"/>
      <c r="NF59"/>
      <c r="NG59"/>
      <c r="NH59"/>
      <c r="NI59"/>
      <c r="NJ59"/>
      <c r="NK59"/>
      <c r="NL59"/>
      <c r="NM59"/>
      <c r="NN59"/>
      <c r="NO59"/>
      <c r="NP59"/>
      <c r="NQ59"/>
      <c r="NR59"/>
      <c r="NS59"/>
      <c r="NT59"/>
      <c r="NU59"/>
      <c r="NV59"/>
      <c r="NW59"/>
      <c r="NX59"/>
      <c r="NY59"/>
      <c r="NZ59"/>
      <c r="OA59"/>
      <c r="OB59"/>
      <c r="OC59"/>
      <c r="OD59"/>
      <c r="OE59"/>
      <c r="OF59"/>
      <c r="OG59"/>
      <c r="OH59"/>
      <c r="OI59"/>
      <c r="OJ59"/>
      <c r="OK59"/>
      <c r="OL59"/>
      <c r="OM59"/>
      <c r="ON59"/>
      <c r="OO59"/>
      <c r="OP59"/>
      <c r="OQ59" s="1656"/>
      <c r="OR59"/>
      <c r="OS59"/>
      <c r="OT59"/>
      <c r="OU59"/>
      <c r="OV59"/>
      <c r="OW59"/>
      <c r="OX59"/>
      <c r="OY59"/>
      <c r="OZ59"/>
      <c r="PA59"/>
      <c r="PB59"/>
      <c r="PC59"/>
      <c r="PD59"/>
      <c r="PE59"/>
      <c r="PF59"/>
      <c r="PG59"/>
      <c r="PH59"/>
      <c r="PI59"/>
      <c r="PJ59"/>
      <c r="PK59"/>
      <c r="PL59"/>
      <c r="PM59"/>
      <c r="PN59"/>
      <c r="PO59"/>
      <c r="PP59"/>
      <c r="PQ59"/>
      <c r="PR59"/>
      <c r="PS59"/>
      <c r="PT59" s="1656"/>
    </row>
    <row r="60" spans="1:436" ht="21.5">
      <c r="A60" s="1466"/>
      <c r="B60" s="1576"/>
      <c r="C60" s="1576"/>
      <c r="D60" s="1576"/>
      <c r="E60" s="1577"/>
      <c r="F60" s="1577"/>
      <c r="G60" s="1577"/>
      <c r="H60" s="1577"/>
      <c r="I60" s="1577"/>
      <c r="J60" s="1577"/>
      <c r="K60" s="1577"/>
      <c r="L60" s="1577"/>
      <c r="M60" s="1577"/>
      <c r="N60" s="1577"/>
      <c r="O60" s="1577"/>
      <c r="P60" s="1577"/>
      <c r="Q60" s="1577"/>
      <c r="R60" s="1577"/>
      <c r="S60" s="1577"/>
      <c r="T60" s="1577"/>
      <c r="U60" s="1577"/>
      <c r="V60" s="1577"/>
      <c r="W60" s="1577"/>
      <c r="X60" s="1577"/>
      <c r="Y60" s="1577"/>
      <c r="Z60" s="1577"/>
      <c r="AA60" s="1577"/>
      <c r="AB60" s="1577"/>
      <c r="AC60" s="1577"/>
      <c r="AD60" s="1577"/>
      <c r="AE60" s="1577"/>
      <c r="AF60" s="1577"/>
      <c r="AG60" s="1577"/>
      <c r="AH60" s="1577"/>
      <c r="AI60" s="1577"/>
      <c r="AJ60" s="1577"/>
      <c r="AK60" s="1577"/>
      <c r="AL60" s="1577"/>
      <c r="AM60" s="1577"/>
      <c r="AN60" s="1577"/>
      <c r="AO60" s="1577"/>
      <c r="AP60" s="1577"/>
      <c r="AQ60" s="1577"/>
      <c r="AR60" s="1577"/>
      <c r="AS60" s="1577"/>
      <c r="AT60" s="1577"/>
      <c r="AU60" s="1577"/>
      <c r="AV60" s="1577"/>
      <c r="AW60" s="1577"/>
      <c r="AX60" s="1577"/>
      <c r="AY60" s="1577"/>
      <c r="AZ60" s="1577"/>
      <c r="BA60" s="1577"/>
      <c r="BB60" s="1577"/>
      <c r="BC60" s="1577"/>
      <c r="BD60" s="1577"/>
      <c r="BE60" s="1577"/>
      <c r="BF60" s="1577"/>
      <c r="BG60" s="1577"/>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s="1655">
        <v>0</v>
      </c>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c r="GL60"/>
      <c r="GM60"/>
      <c r="GN60"/>
      <c r="GO60"/>
      <c r="GP60"/>
      <c r="GQ60"/>
      <c r="GR60"/>
      <c r="GS60"/>
      <c r="GT60"/>
      <c r="GU60"/>
      <c r="GV60"/>
      <c r="GW60" s="1655"/>
      <c r="GX60"/>
      <c r="GY60"/>
      <c r="GZ60"/>
      <c r="HA60"/>
      <c r="HB60"/>
      <c r="HC60"/>
      <c r="HD60"/>
      <c r="HE60"/>
      <c r="HF60"/>
      <c r="HG60"/>
      <c r="HH60"/>
      <c r="HI60"/>
      <c r="HJ60"/>
      <c r="HK60"/>
      <c r="HL60"/>
      <c r="HM60"/>
      <c r="HN60"/>
      <c r="HO60"/>
      <c r="HP60"/>
      <c r="HQ60"/>
      <c r="HR60"/>
      <c r="HS60"/>
      <c r="HT60"/>
      <c r="HU60"/>
      <c r="HV60"/>
      <c r="HW60"/>
      <c r="HX60"/>
      <c r="HY60"/>
      <c r="HZ60"/>
      <c r="IA60"/>
      <c r="IB60"/>
      <c r="IC60"/>
      <c r="ID60"/>
      <c r="IE60"/>
      <c r="IF60"/>
      <c r="IG60"/>
      <c r="IH60"/>
      <c r="II60"/>
      <c r="IJ60"/>
      <c r="IK60"/>
      <c r="IL60"/>
      <c r="IM60"/>
      <c r="IN60"/>
      <c r="IO60"/>
      <c r="IP60"/>
      <c r="IQ60"/>
      <c r="IR60"/>
      <c r="IS60"/>
      <c r="IT60"/>
      <c r="IU60"/>
      <c r="IV60"/>
      <c r="IW60"/>
      <c r="IX60"/>
      <c r="IY60"/>
      <c r="IZ60"/>
      <c r="JA60"/>
      <c r="JB60"/>
      <c r="JC60"/>
      <c r="JD60"/>
      <c r="JE60"/>
      <c r="JF60"/>
      <c r="JG60"/>
      <c r="JH60"/>
      <c r="JI60"/>
      <c r="JJ60"/>
      <c r="JK60"/>
      <c r="JL60"/>
      <c r="JM60"/>
      <c r="JN60"/>
      <c r="JO60"/>
      <c r="JP60"/>
      <c r="JQ60"/>
      <c r="JR60"/>
      <c r="JS60"/>
      <c r="JT60"/>
      <c r="JU60"/>
      <c r="JV60"/>
      <c r="JW60"/>
      <c r="JX60"/>
      <c r="JY60"/>
      <c r="JZ60"/>
      <c r="KA60"/>
      <c r="KB60"/>
      <c r="KC60"/>
      <c r="KD60"/>
      <c r="KE60"/>
      <c r="KF60"/>
      <c r="KG60"/>
      <c r="KH60"/>
      <c r="KI60"/>
      <c r="KJ60"/>
      <c r="KK60"/>
      <c r="KL60"/>
      <c r="KM60"/>
      <c r="KN60"/>
      <c r="KO60"/>
      <c r="KP60"/>
      <c r="KQ60"/>
      <c r="KR60"/>
      <c r="KS60"/>
      <c r="KT60" s="1655"/>
      <c r="KU60"/>
      <c r="KV60"/>
      <c r="KW60"/>
      <c r="KX60"/>
      <c r="KY60"/>
      <c r="KZ60"/>
      <c r="LA60"/>
      <c r="LB60"/>
      <c r="LC60"/>
      <c r="LD60"/>
      <c r="LE60"/>
      <c r="LF60"/>
      <c r="LG60"/>
      <c r="LH60"/>
      <c r="LI60"/>
      <c r="LJ60"/>
      <c r="LK60"/>
      <c r="LL60"/>
      <c r="LM60"/>
      <c r="LN60"/>
      <c r="LO60"/>
      <c r="LP60"/>
      <c r="LQ60"/>
      <c r="LR60"/>
      <c r="LS60"/>
      <c r="LT60"/>
      <c r="LU60"/>
      <c r="LV60"/>
      <c r="LW60"/>
      <c r="LX60"/>
      <c r="LY60"/>
      <c r="LZ60"/>
      <c r="MA60"/>
      <c r="MB60"/>
      <c r="MC60"/>
      <c r="MD60"/>
      <c r="ME60"/>
      <c r="MF60"/>
      <c r="MG60"/>
      <c r="MH60"/>
      <c r="MI60"/>
      <c r="MJ60"/>
      <c r="MK60"/>
      <c r="ML60"/>
      <c r="MM60"/>
      <c r="MN60"/>
      <c r="MO60"/>
      <c r="MP60"/>
      <c r="MQ60"/>
      <c r="MR60"/>
      <c r="MS60"/>
      <c r="MT60"/>
      <c r="MU60"/>
      <c r="MV60"/>
      <c r="MW60"/>
      <c r="MX60"/>
      <c r="MY60"/>
      <c r="MZ60"/>
      <c r="NA60"/>
      <c r="NB60"/>
      <c r="NC60"/>
      <c r="ND60"/>
      <c r="NE60"/>
      <c r="NF60"/>
      <c r="NG60"/>
      <c r="NH60"/>
      <c r="NI60"/>
      <c r="NJ60"/>
      <c r="NK60"/>
      <c r="NL60"/>
      <c r="NM60"/>
      <c r="NN60"/>
      <c r="NO60"/>
      <c r="NP60"/>
      <c r="NQ60"/>
      <c r="NR60"/>
      <c r="NS60"/>
      <c r="NT60"/>
      <c r="NU60"/>
      <c r="NV60"/>
      <c r="NW60"/>
      <c r="NX60"/>
      <c r="NY60"/>
      <c r="NZ60"/>
      <c r="OA60"/>
      <c r="OB60"/>
      <c r="OC60"/>
      <c r="OD60"/>
      <c r="OE60"/>
      <c r="OF60"/>
      <c r="OG60"/>
      <c r="OH60"/>
      <c r="OI60"/>
      <c r="OJ60"/>
      <c r="OK60"/>
      <c r="OL60"/>
      <c r="OM60"/>
      <c r="ON60"/>
      <c r="OO60"/>
      <c r="OP60"/>
      <c r="OQ60" s="1656"/>
      <c r="OR60"/>
      <c r="OS60"/>
      <c r="OT60"/>
      <c r="OU60"/>
      <c r="OV60"/>
      <c r="OW60"/>
      <c r="OX60"/>
      <c r="OY60"/>
      <c r="OZ60"/>
      <c r="PA60"/>
      <c r="PB60"/>
      <c r="PC60"/>
      <c r="PD60"/>
      <c r="PE60"/>
      <c r="PF60"/>
      <c r="PG60"/>
      <c r="PH60"/>
      <c r="PI60"/>
      <c r="PJ60"/>
      <c r="PK60"/>
      <c r="PL60"/>
      <c r="PM60"/>
      <c r="PN60"/>
      <c r="PO60"/>
      <c r="PP60"/>
      <c r="PQ60"/>
      <c r="PR60"/>
      <c r="PS60"/>
      <c r="PT60" s="1656"/>
    </row>
    <row r="61" spans="1:436" ht="21.5">
      <c r="A61" s="1466"/>
      <c r="B61" s="1576"/>
      <c r="C61" s="1576"/>
      <c r="D61" s="1576"/>
      <c r="E61" s="1577"/>
      <c r="F61" s="1577"/>
      <c r="G61" s="1577"/>
      <c r="H61" s="1577"/>
      <c r="I61" s="1577"/>
      <c r="J61" s="1577"/>
      <c r="K61" s="1577"/>
      <c r="L61" s="1577"/>
      <c r="M61" s="1577"/>
      <c r="N61" s="1577"/>
      <c r="O61" s="1577"/>
      <c r="P61" s="1577"/>
      <c r="Q61" s="1577"/>
      <c r="R61" s="1577"/>
      <c r="S61" s="1577"/>
      <c r="T61" s="1577"/>
      <c r="U61" s="1577"/>
      <c r="V61" s="1577"/>
      <c r="W61" s="1577"/>
      <c r="X61" s="1577"/>
      <c r="Y61" s="1577"/>
      <c r="Z61" s="1577"/>
      <c r="AA61" s="1577"/>
      <c r="AB61" s="1577"/>
      <c r="AC61" s="1577"/>
      <c r="AD61" s="1577"/>
      <c r="AE61" s="1577"/>
      <c r="AF61" s="1577"/>
      <c r="AG61" s="1577"/>
      <c r="AH61" s="1577"/>
      <c r="AI61" s="1577"/>
      <c r="AJ61" s="1577"/>
      <c r="AK61" s="1577"/>
      <c r="AL61" s="1577"/>
      <c r="AM61" s="1577"/>
      <c r="AN61" s="1577"/>
      <c r="AO61" s="1577"/>
      <c r="AP61" s="1577"/>
      <c r="AQ61" s="1577"/>
      <c r="AR61" s="1577"/>
      <c r="AS61" s="1577"/>
      <c r="AT61" s="1577"/>
      <c r="AU61" s="1577"/>
      <c r="AV61" s="1577"/>
      <c r="AW61" s="1577"/>
      <c r="AX61" s="1577"/>
      <c r="AY61" s="1577"/>
      <c r="AZ61" s="1577"/>
      <c r="BA61" s="1577"/>
      <c r="BB61" s="1577"/>
      <c r="BC61" s="1577"/>
      <c r="BD61" s="1577"/>
      <c r="BE61" s="1577"/>
      <c r="BF61" s="1577"/>
      <c r="BG61" s="1577"/>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s="1655">
        <v>0</v>
      </c>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c r="GL61"/>
      <c r="GM61"/>
      <c r="GN61"/>
      <c r="GO61"/>
      <c r="GP61"/>
      <c r="GQ61"/>
      <c r="GR61"/>
      <c r="GS61"/>
      <c r="GT61"/>
      <c r="GU61"/>
      <c r="GV61"/>
      <c r="GW61" s="1655"/>
      <c r="GX61"/>
      <c r="GY61"/>
      <c r="GZ61"/>
      <c r="HA61"/>
      <c r="HB61"/>
      <c r="HC61"/>
      <c r="HD61"/>
      <c r="HE61"/>
      <c r="HF61"/>
      <c r="HG61"/>
      <c r="HH61"/>
      <c r="HI61"/>
      <c r="HJ61"/>
      <c r="HK61"/>
      <c r="HL61"/>
      <c r="HM61"/>
      <c r="HN61"/>
      <c r="HO61"/>
      <c r="HP61"/>
      <c r="HQ61"/>
      <c r="HR61"/>
      <c r="HS61"/>
      <c r="HT61"/>
      <c r="HU61"/>
      <c r="HV61"/>
      <c r="HW61"/>
      <c r="HX61"/>
      <c r="HY61"/>
      <c r="HZ61"/>
      <c r="IA61"/>
      <c r="IB61"/>
      <c r="IC61"/>
      <c r="ID61"/>
      <c r="IE61"/>
      <c r="IF61"/>
      <c r="IG61"/>
      <c r="IH61"/>
      <c r="II61"/>
      <c r="IJ61"/>
      <c r="IK61"/>
      <c r="IL61"/>
      <c r="IM61"/>
      <c r="IN61"/>
      <c r="IO61"/>
      <c r="IP61"/>
      <c r="IQ61"/>
      <c r="IR61"/>
      <c r="IS61"/>
      <c r="IT61"/>
      <c r="IU61"/>
      <c r="IV61"/>
      <c r="IW61"/>
      <c r="IX61"/>
      <c r="IY61"/>
      <c r="IZ61"/>
      <c r="JA61"/>
      <c r="JB61"/>
      <c r="JC61"/>
      <c r="JD61"/>
      <c r="JE61"/>
      <c r="JF61"/>
      <c r="JG61"/>
      <c r="JH61"/>
      <c r="JI61"/>
      <c r="JJ61"/>
      <c r="JK61"/>
      <c r="JL61"/>
      <c r="JM61"/>
      <c r="JN61"/>
      <c r="JO61"/>
      <c r="JP61"/>
      <c r="JQ61"/>
      <c r="JR61"/>
      <c r="JS61"/>
      <c r="JT61"/>
      <c r="JU61"/>
      <c r="JV61"/>
      <c r="JW61"/>
      <c r="JX61"/>
      <c r="JY61"/>
      <c r="JZ61"/>
      <c r="KA61"/>
      <c r="KB61"/>
      <c r="KC61"/>
      <c r="KD61"/>
      <c r="KE61"/>
      <c r="KF61"/>
      <c r="KG61"/>
      <c r="KH61"/>
      <c r="KI61"/>
      <c r="KJ61"/>
      <c r="KK61"/>
      <c r="KL61"/>
      <c r="KM61"/>
      <c r="KN61"/>
      <c r="KO61"/>
      <c r="KP61"/>
      <c r="KQ61"/>
      <c r="KR61"/>
      <c r="KS61"/>
      <c r="KT61" s="1655"/>
      <c r="KU61"/>
      <c r="KV61"/>
      <c r="KW61"/>
      <c r="KX61"/>
      <c r="KY61"/>
      <c r="KZ61"/>
      <c r="LA61"/>
      <c r="LB61"/>
      <c r="LC61"/>
      <c r="LD61"/>
      <c r="LE61"/>
      <c r="LF61"/>
      <c r="LG61"/>
      <c r="LH61"/>
      <c r="LI61"/>
      <c r="LJ61"/>
      <c r="LK61"/>
      <c r="LL61"/>
      <c r="LM61"/>
      <c r="LN61"/>
      <c r="LO61"/>
      <c r="LP61"/>
      <c r="LQ61"/>
      <c r="LR61"/>
      <c r="LS61"/>
      <c r="LT61"/>
      <c r="LU61"/>
      <c r="LV61"/>
      <c r="LW61"/>
      <c r="LX61"/>
      <c r="LY61"/>
      <c r="LZ61"/>
      <c r="MA61"/>
      <c r="MB61"/>
      <c r="MC61"/>
      <c r="MD61"/>
      <c r="ME61"/>
      <c r="MF61"/>
      <c r="MG61"/>
      <c r="MH61"/>
      <c r="MI61"/>
      <c r="MJ61"/>
      <c r="MK61"/>
      <c r="ML61"/>
      <c r="MM61"/>
      <c r="MN61"/>
      <c r="MO61"/>
      <c r="MP61"/>
      <c r="MQ61"/>
      <c r="MR61"/>
      <c r="MS61"/>
      <c r="MT61"/>
      <c r="MU61"/>
      <c r="MV61"/>
      <c r="MW61"/>
      <c r="MX61"/>
      <c r="MY61"/>
      <c r="MZ61"/>
      <c r="NA61"/>
      <c r="NB61"/>
      <c r="NC61"/>
      <c r="ND61"/>
      <c r="NE61"/>
      <c r="NF61"/>
      <c r="NG61"/>
      <c r="NH61"/>
      <c r="NI61"/>
      <c r="NJ61"/>
      <c r="NK61"/>
      <c r="NL61"/>
      <c r="NM61"/>
      <c r="NN61"/>
      <c r="NO61"/>
      <c r="NP61"/>
      <c r="NQ61"/>
      <c r="NR61"/>
      <c r="NS61"/>
      <c r="NT61"/>
      <c r="NU61"/>
      <c r="NV61"/>
      <c r="NW61"/>
      <c r="NX61"/>
      <c r="NY61"/>
      <c r="NZ61"/>
      <c r="OA61"/>
      <c r="OB61"/>
      <c r="OC61"/>
      <c r="OD61"/>
      <c r="OE61"/>
      <c r="OF61"/>
      <c r="OG61"/>
      <c r="OH61"/>
      <c r="OI61"/>
      <c r="OJ61"/>
      <c r="OK61"/>
      <c r="OL61"/>
      <c r="OM61"/>
      <c r="ON61"/>
      <c r="OO61"/>
      <c r="OP61"/>
      <c r="OQ61" s="1656"/>
      <c r="OR61"/>
      <c r="OS61"/>
      <c r="OT61"/>
      <c r="OU61"/>
      <c r="OV61"/>
      <c r="OW61"/>
      <c r="OX61"/>
      <c r="OY61"/>
      <c r="OZ61"/>
      <c r="PA61"/>
      <c r="PB61"/>
      <c r="PC61"/>
      <c r="PD61"/>
      <c r="PE61"/>
      <c r="PF61"/>
      <c r="PG61"/>
      <c r="PH61"/>
      <c r="PI61"/>
      <c r="PJ61"/>
      <c r="PK61"/>
      <c r="PL61"/>
      <c r="PM61"/>
      <c r="PN61"/>
      <c r="PO61"/>
      <c r="PP61"/>
      <c r="PQ61"/>
      <c r="PR61"/>
      <c r="PS61"/>
      <c r="PT61" s="1656"/>
    </row>
    <row r="62" spans="1:436" ht="21.5">
      <c r="A62" s="1466"/>
      <c r="B62" s="1576"/>
      <c r="C62" s="1576"/>
      <c r="D62" s="1576"/>
      <c r="E62" s="1577"/>
      <c r="F62" s="1577"/>
      <c r="G62" s="1577"/>
      <c r="H62" s="1577"/>
      <c r="I62" s="1577"/>
      <c r="J62" s="1577"/>
      <c r="K62" s="1577"/>
      <c r="L62" s="1577"/>
      <c r="M62" s="1577"/>
      <c r="N62" s="1577"/>
      <c r="O62" s="1577"/>
      <c r="P62" s="1577"/>
      <c r="Q62" s="1577"/>
      <c r="R62" s="1577"/>
      <c r="S62" s="1577"/>
      <c r="T62" s="1577"/>
      <c r="U62" s="1577"/>
      <c r="V62" s="1577"/>
      <c r="W62" s="1577"/>
      <c r="X62" s="1577"/>
      <c r="Y62" s="1577"/>
      <c r="Z62" s="1577"/>
      <c r="AA62" s="1577"/>
      <c r="AB62" s="1577"/>
      <c r="AC62" s="1577"/>
      <c r="AD62" s="1577"/>
      <c r="AE62" s="1577"/>
      <c r="AF62" s="1577"/>
      <c r="AG62" s="1577"/>
      <c r="AH62" s="1577"/>
      <c r="AI62" s="1577"/>
      <c r="AJ62" s="1577"/>
      <c r="AK62" s="1577"/>
      <c r="AL62" s="1577"/>
      <c r="AM62" s="1577"/>
      <c r="AN62" s="1577"/>
      <c r="AO62" s="1577"/>
      <c r="AP62" s="1577"/>
      <c r="AQ62" s="1577"/>
      <c r="AR62" s="1577"/>
      <c r="AS62" s="1577"/>
      <c r="AT62" s="1577"/>
      <c r="AU62" s="1577"/>
      <c r="AV62" s="1577"/>
      <c r="AW62" s="1577"/>
      <c r="AX62" s="1577"/>
      <c r="AY62" s="1577"/>
      <c r="AZ62" s="1577"/>
      <c r="BA62" s="1577"/>
      <c r="BB62" s="1577"/>
      <c r="BC62" s="1577"/>
      <c r="BD62" s="1577"/>
      <c r="BE62" s="1577"/>
      <c r="BF62" s="1577"/>
      <c r="BG62" s="1577"/>
      <c r="BH62">
        <v>0</v>
      </c>
      <c r="BI62">
        <v>0</v>
      </c>
      <c r="BJ62">
        <v>0</v>
      </c>
      <c r="BK62">
        <v>0</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s="1655">
        <v>0</v>
      </c>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c r="GL62"/>
      <c r="GM62"/>
      <c r="GN62"/>
      <c r="GO62"/>
      <c r="GP62"/>
      <c r="GQ62"/>
      <c r="GR62"/>
      <c r="GS62"/>
      <c r="GT62"/>
      <c r="GU62"/>
      <c r="GV62"/>
      <c r="GW62" s="1655"/>
      <c r="GX62"/>
      <c r="GY62"/>
      <c r="GZ62"/>
      <c r="HA62"/>
      <c r="HB62"/>
      <c r="HC62"/>
      <c r="HD62"/>
      <c r="HE62"/>
      <c r="HF62"/>
      <c r="HG62"/>
      <c r="HH62"/>
      <c r="HI62"/>
      <c r="HJ62"/>
      <c r="HK62"/>
      <c r="HL62"/>
      <c r="HM62"/>
      <c r="HN62"/>
      <c r="HO62"/>
      <c r="HP62"/>
      <c r="HQ62"/>
      <c r="HR62"/>
      <c r="HS62"/>
      <c r="HT62"/>
      <c r="HU62"/>
      <c r="HV62"/>
      <c r="HW62"/>
      <c r="HX62"/>
      <c r="HY62"/>
      <c r="HZ62"/>
      <c r="IA62"/>
      <c r="IB62"/>
      <c r="IC62"/>
      <c r="ID62"/>
      <c r="IE62"/>
      <c r="IF62"/>
      <c r="IG62"/>
      <c r="IH62"/>
      <c r="II62"/>
      <c r="IJ62"/>
      <c r="IK62"/>
      <c r="IL62"/>
      <c r="IM62"/>
      <c r="IN62"/>
      <c r="IO62"/>
      <c r="IP62"/>
      <c r="IQ62"/>
      <c r="IR62"/>
      <c r="IS62"/>
      <c r="IT62"/>
      <c r="IU62"/>
      <c r="IV62"/>
      <c r="IW62"/>
      <c r="IX62"/>
      <c r="IY62"/>
      <c r="IZ62"/>
      <c r="JA62"/>
      <c r="JB62"/>
      <c r="JC62"/>
      <c r="JD62"/>
      <c r="JE62"/>
      <c r="JF62"/>
      <c r="JG62"/>
      <c r="JH62"/>
      <c r="JI62"/>
      <c r="JJ62"/>
      <c r="JK62"/>
      <c r="JL62"/>
      <c r="JM62"/>
      <c r="JN62"/>
      <c r="JO62"/>
      <c r="JP62"/>
      <c r="JQ62"/>
      <c r="JR62"/>
      <c r="JS62"/>
      <c r="JT62"/>
      <c r="JU62"/>
      <c r="JV62"/>
      <c r="JW62"/>
      <c r="JX62"/>
      <c r="JY62"/>
      <c r="JZ62"/>
      <c r="KA62"/>
      <c r="KB62"/>
      <c r="KC62"/>
      <c r="KD62"/>
      <c r="KE62"/>
      <c r="KF62"/>
      <c r="KG62"/>
      <c r="KH62"/>
      <c r="KI62"/>
      <c r="KJ62"/>
      <c r="KK62"/>
      <c r="KL62"/>
      <c r="KM62"/>
      <c r="KN62"/>
      <c r="KO62"/>
      <c r="KP62"/>
      <c r="KQ62"/>
      <c r="KR62"/>
      <c r="KS62"/>
      <c r="KT62" s="1655"/>
      <c r="KU62"/>
      <c r="KV62"/>
      <c r="KW62"/>
      <c r="KX62"/>
      <c r="KY62"/>
      <c r="KZ62"/>
      <c r="LA62"/>
      <c r="LB62"/>
      <c r="LC62"/>
      <c r="LD62"/>
      <c r="LE62"/>
      <c r="LF62"/>
      <c r="LG62"/>
      <c r="LH62"/>
      <c r="LI62"/>
      <c r="LJ62"/>
      <c r="LK62"/>
      <c r="LL62"/>
      <c r="LM62"/>
      <c r="LN62"/>
      <c r="LO62"/>
      <c r="LP62"/>
      <c r="LQ62"/>
      <c r="LR62"/>
      <c r="LS62"/>
      <c r="LT62"/>
      <c r="LU62"/>
      <c r="LV62"/>
      <c r="LW62"/>
      <c r="LX62"/>
      <c r="LY62"/>
      <c r="LZ62"/>
      <c r="MA62"/>
      <c r="MB62"/>
      <c r="MC62"/>
      <c r="MD62"/>
      <c r="ME62"/>
      <c r="MF62"/>
      <c r="MG62"/>
      <c r="MH62"/>
      <c r="MI62"/>
      <c r="MJ62"/>
      <c r="MK62"/>
      <c r="ML62"/>
      <c r="MM62"/>
      <c r="MN62"/>
      <c r="MO62"/>
      <c r="MP62"/>
      <c r="MQ62"/>
      <c r="MR62"/>
      <c r="MS62"/>
      <c r="MT62"/>
      <c r="MU62"/>
      <c r="MV62"/>
      <c r="MW62"/>
      <c r="MX62"/>
      <c r="MY62"/>
      <c r="MZ62"/>
      <c r="NA62"/>
      <c r="NB62"/>
      <c r="NC62"/>
      <c r="ND62"/>
      <c r="NE62"/>
      <c r="NF62"/>
      <c r="NG62"/>
      <c r="NH62"/>
      <c r="NI62"/>
      <c r="NJ62"/>
      <c r="NK62"/>
      <c r="NL62"/>
      <c r="NM62"/>
      <c r="NN62"/>
      <c r="NO62"/>
      <c r="NP62"/>
      <c r="NQ62"/>
      <c r="NR62"/>
      <c r="NS62"/>
      <c r="NT62"/>
      <c r="NU62"/>
      <c r="NV62"/>
      <c r="NW62"/>
      <c r="NX62"/>
      <c r="NY62"/>
      <c r="NZ62"/>
      <c r="OA62"/>
      <c r="OB62"/>
      <c r="OC62"/>
      <c r="OD62"/>
      <c r="OE62"/>
      <c r="OF62"/>
      <c r="OG62"/>
      <c r="OH62"/>
      <c r="OI62"/>
      <c r="OJ62"/>
      <c r="OK62"/>
      <c r="OL62"/>
      <c r="OM62"/>
      <c r="ON62"/>
      <c r="OO62"/>
      <c r="OP62"/>
      <c r="OQ62" s="1656"/>
      <c r="OR62"/>
      <c r="OS62"/>
      <c r="OT62"/>
      <c r="OU62"/>
      <c r="OV62"/>
      <c r="OW62"/>
      <c r="OX62"/>
      <c r="OY62"/>
      <c r="OZ62"/>
      <c r="PA62"/>
      <c r="PB62"/>
      <c r="PC62"/>
      <c r="PD62"/>
      <c r="PE62"/>
      <c r="PF62"/>
      <c r="PG62"/>
      <c r="PH62"/>
      <c r="PI62"/>
      <c r="PJ62"/>
      <c r="PK62"/>
      <c r="PL62"/>
      <c r="PM62"/>
      <c r="PN62"/>
      <c r="PO62"/>
      <c r="PP62"/>
      <c r="PQ62"/>
      <c r="PR62"/>
      <c r="PS62"/>
      <c r="PT62" s="1656"/>
    </row>
    <row r="63" spans="1:436" ht="21.5">
      <c r="A63" s="1466"/>
      <c r="B63" s="1576"/>
      <c r="C63" s="1576"/>
      <c r="D63" s="1576"/>
      <c r="E63" s="1577"/>
      <c r="F63" s="1577"/>
      <c r="G63" s="1577"/>
      <c r="H63" s="1577"/>
      <c r="I63" s="1577"/>
      <c r="J63" s="1577"/>
      <c r="K63" s="1577"/>
      <c r="L63" s="1577"/>
      <c r="M63" s="1577"/>
      <c r="N63" s="1577"/>
      <c r="O63" s="1577"/>
      <c r="P63" s="1577"/>
      <c r="Q63" s="1577"/>
      <c r="R63" s="1577"/>
      <c r="S63" s="1577"/>
      <c r="T63" s="1577"/>
      <c r="U63" s="1577"/>
      <c r="V63" s="1577"/>
      <c r="W63" s="1577"/>
      <c r="X63" s="1577"/>
      <c r="Y63" s="1577"/>
      <c r="Z63" s="1577"/>
      <c r="AA63" s="1577"/>
      <c r="AB63" s="1577"/>
      <c r="AC63" s="1577"/>
      <c r="AD63" s="1577"/>
      <c r="AE63" s="1577"/>
      <c r="AF63" s="1577"/>
      <c r="AG63" s="1577"/>
      <c r="AH63" s="1577"/>
      <c r="AI63" s="1577"/>
      <c r="AJ63" s="1577"/>
      <c r="AK63" s="1577"/>
      <c r="AL63" s="1577"/>
      <c r="AM63" s="1577"/>
      <c r="AN63" s="1577"/>
      <c r="AO63" s="1577"/>
      <c r="AP63" s="1577"/>
      <c r="AQ63" s="1577"/>
      <c r="AR63" s="1577"/>
      <c r="AS63" s="1577"/>
      <c r="AT63" s="1577"/>
      <c r="AU63" s="1577"/>
      <c r="AV63" s="1577"/>
      <c r="AW63" s="1577"/>
      <c r="AX63" s="1577"/>
      <c r="AY63" s="1577"/>
      <c r="AZ63" s="1577"/>
      <c r="BA63" s="1577"/>
      <c r="BB63" s="1577"/>
      <c r="BC63" s="1577"/>
      <c r="BD63" s="1577"/>
      <c r="BE63" s="1577"/>
      <c r="BF63" s="1577"/>
      <c r="BG63" s="1577"/>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s="1655">
        <v>0</v>
      </c>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c r="GL63"/>
      <c r="GM63"/>
      <c r="GN63"/>
      <c r="GO63"/>
      <c r="GP63"/>
      <c r="GQ63"/>
      <c r="GR63"/>
      <c r="GS63"/>
      <c r="GT63"/>
      <c r="GU63"/>
      <c r="GV63"/>
      <c r="GW63" s="1655"/>
      <c r="GX63"/>
      <c r="GY63"/>
      <c r="GZ63"/>
      <c r="HA63"/>
      <c r="HB63"/>
      <c r="HC63"/>
      <c r="HD63"/>
      <c r="HE63"/>
      <c r="HF63"/>
      <c r="HG63"/>
      <c r="HH63"/>
      <c r="HI63"/>
      <c r="HJ63"/>
      <c r="HK63"/>
      <c r="HL63"/>
      <c r="HM63"/>
      <c r="HN63"/>
      <c r="HO63"/>
      <c r="HP63"/>
      <c r="HQ63"/>
      <c r="HR63"/>
      <c r="HS63"/>
      <c r="HT63"/>
      <c r="HU63"/>
      <c r="HV63"/>
      <c r="HW63"/>
      <c r="HX63"/>
      <c r="HY63"/>
      <c r="HZ63"/>
      <c r="IA63"/>
      <c r="IB63"/>
      <c r="IC63"/>
      <c r="ID63"/>
      <c r="IE63"/>
      <c r="IF63"/>
      <c r="IG63"/>
      <c r="IH63"/>
      <c r="II63"/>
      <c r="IJ63"/>
      <c r="IK63"/>
      <c r="IL63"/>
      <c r="IM63"/>
      <c r="IN63"/>
      <c r="IO63"/>
      <c r="IP63"/>
      <c r="IQ63"/>
      <c r="IR63"/>
      <c r="IS63"/>
      <c r="IT63"/>
      <c r="IU63"/>
      <c r="IV63"/>
      <c r="IW63"/>
      <c r="IX63"/>
      <c r="IY63"/>
      <c r="IZ63"/>
      <c r="JA63"/>
      <c r="JB63"/>
      <c r="JC63"/>
      <c r="JD63"/>
      <c r="JE63"/>
      <c r="JF63"/>
      <c r="JG63"/>
      <c r="JH63"/>
      <c r="JI63"/>
      <c r="JJ63"/>
      <c r="JK63"/>
      <c r="JL63"/>
      <c r="JM63"/>
      <c r="JN63"/>
      <c r="JO63"/>
      <c r="JP63"/>
      <c r="JQ63"/>
      <c r="JR63"/>
      <c r="JS63"/>
      <c r="JT63"/>
      <c r="JU63"/>
      <c r="JV63"/>
      <c r="JW63"/>
      <c r="JX63"/>
      <c r="JY63"/>
      <c r="JZ63"/>
      <c r="KA63"/>
      <c r="KB63"/>
      <c r="KC63"/>
      <c r="KD63"/>
      <c r="KE63"/>
      <c r="KF63"/>
      <c r="KG63"/>
      <c r="KH63"/>
      <c r="KI63"/>
      <c r="KJ63"/>
      <c r="KK63"/>
      <c r="KL63"/>
      <c r="KM63"/>
      <c r="KN63"/>
      <c r="KO63"/>
      <c r="KP63"/>
      <c r="KQ63"/>
      <c r="KR63"/>
      <c r="KS63"/>
      <c r="KT63" s="1655"/>
      <c r="KU63"/>
      <c r="KV63"/>
      <c r="KW63"/>
      <c r="KX63"/>
      <c r="KY63"/>
      <c r="KZ63"/>
      <c r="LA63"/>
      <c r="LB63"/>
      <c r="LC63"/>
      <c r="LD63"/>
      <c r="LE63"/>
      <c r="LF63"/>
      <c r="LG63"/>
      <c r="LH63"/>
      <c r="LI63"/>
      <c r="LJ63"/>
      <c r="LK63"/>
      <c r="LL63"/>
      <c r="LM63"/>
      <c r="LN63"/>
      <c r="LO63"/>
      <c r="LP63"/>
      <c r="LQ63"/>
      <c r="LR63"/>
      <c r="LS63"/>
      <c r="LT63"/>
      <c r="LU63"/>
      <c r="LV63"/>
      <c r="LW63"/>
      <c r="LX63"/>
      <c r="LY63"/>
      <c r="LZ63"/>
      <c r="MA63"/>
      <c r="MB63"/>
      <c r="MC63"/>
      <c r="MD63"/>
      <c r="ME63"/>
      <c r="MF63"/>
      <c r="MG63"/>
      <c r="MH63"/>
      <c r="MI63"/>
      <c r="MJ63"/>
      <c r="MK63"/>
      <c r="ML63"/>
      <c r="MM63"/>
      <c r="MN63"/>
      <c r="MO63"/>
      <c r="MP63"/>
      <c r="MQ63"/>
      <c r="MR63"/>
      <c r="MS63"/>
      <c r="MT63"/>
      <c r="MU63"/>
      <c r="MV63"/>
      <c r="MW63"/>
      <c r="MX63"/>
      <c r="MY63"/>
      <c r="MZ63"/>
      <c r="NA63"/>
      <c r="NB63"/>
      <c r="NC63"/>
      <c r="ND63"/>
      <c r="NE63"/>
      <c r="NF63"/>
      <c r="NG63"/>
      <c r="NH63"/>
      <c r="NI63"/>
      <c r="NJ63"/>
      <c r="NK63"/>
      <c r="NL63"/>
      <c r="NM63"/>
      <c r="NN63"/>
      <c r="NO63"/>
      <c r="NP63"/>
      <c r="NQ63"/>
      <c r="NR63"/>
      <c r="NS63"/>
      <c r="NT63"/>
      <c r="NU63"/>
      <c r="NV63"/>
      <c r="NW63"/>
      <c r="NX63"/>
      <c r="NY63"/>
      <c r="NZ63"/>
      <c r="OA63"/>
      <c r="OB63"/>
      <c r="OC63"/>
      <c r="OD63"/>
      <c r="OE63"/>
      <c r="OF63"/>
      <c r="OG63"/>
      <c r="OH63"/>
      <c r="OI63"/>
      <c r="OJ63"/>
      <c r="OK63"/>
      <c r="OL63"/>
      <c r="OM63"/>
      <c r="ON63"/>
      <c r="OO63"/>
      <c r="OP63"/>
      <c r="OQ63" s="1656"/>
      <c r="OR63"/>
      <c r="OS63"/>
      <c r="OT63"/>
      <c r="OU63"/>
      <c r="OV63"/>
      <c r="OW63"/>
      <c r="OX63"/>
      <c r="OY63"/>
      <c r="OZ63"/>
      <c r="PA63"/>
      <c r="PB63"/>
      <c r="PC63"/>
      <c r="PD63"/>
      <c r="PE63"/>
      <c r="PF63"/>
      <c r="PG63"/>
      <c r="PH63"/>
      <c r="PI63"/>
      <c r="PJ63"/>
      <c r="PK63"/>
      <c r="PL63"/>
      <c r="PM63"/>
      <c r="PN63"/>
      <c r="PO63"/>
      <c r="PP63"/>
      <c r="PQ63"/>
      <c r="PR63"/>
      <c r="PS63"/>
      <c r="PT63" s="1656"/>
    </row>
    <row r="64" spans="1:436" ht="21.5">
      <c r="A64" s="1466"/>
      <c r="B64" s="1576"/>
      <c r="C64" s="1576"/>
      <c r="D64" s="1576"/>
      <c r="E64" s="1577"/>
      <c r="F64" s="1577"/>
      <c r="G64" s="1577"/>
      <c r="H64" s="1577"/>
      <c r="I64" s="1577"/>
      <c r="J64" s="1577"/>
      <c r="K64" s="1577"/>
      <c r="L64" s="1577"/>
      <c r="M64" s="1577"/>
      <c r="N64" s="1577"/>
      <c r="O64" s="1577"/>
      <c r="P64" s="1577"/>
      <c r="Q64" s="1577"/>
      <c r="R64" s="1577"/>
      <c r="S64" s="1577"/>
      <c r="T64" s="1577"/>
      <c r="U64" s="1577"/>
      <c r="V64" s="1577"/>
      <c r="W64" s="1577"/>
      <c r="X64" s="1577"/>
      <c r="Y64" s="1577"/>
      <c r="Z64" s="1577"/>
      <c r="AA64" s="1577"/>
      <c r="AB64" s="1577"/>
      <c r="AC64" s="1577"/>
      <c r="AD64" s="1577"/>
      <c r="AE64" s="1577"/>
      <c r="AF64" s="1577"/>
      <c r="AG64" s="1577"/>
      <c r="AH64" s="1577"/>
      <c r="AI64" s="1577"/>
      <c r="AJ64" s="1577"/>
      <c r="AK64" s="1577"/>
      <c r="AL64" s="1577"/>
      <c r="AM64" s="1577"/>
      <c r="AN64" s="1577"/>
      <c r="AO64" s="1577"/>
      <c r="AP64" s="1577"/>
      <c r="AQ64" s="1577"/>
      <c r="AR64" s="1577"/>
      <c r="AS64" s="1577"/>
      <c r="AT64" s="1577"/>
      <c r="AU64" s="1577"/>
      <c r="AV64" s="1577"/>
      <c r="AW64" s="1577"/>
      <c r="AX64" s="1577"/>
      <c r="AY64" s="1577"/>
      <c r="AZ64" s="1577"/>
      <c r="BA64" s="1577"/>
      <c r="BB64" s="1577"/>
      <c r="BC64" s="1577"/>
      <c r="BD64" s="1577"/>
      <c r="BE64" s="1577"/>
      <c r="BF64" s="1577"/>
      <c r="BG64" s="1577"/>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s="1655">
        <v>0</v>
      </c>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c r="GL64"/>
      <c r="GM64"/>
      <c r="GN64"/>
      <c r="GO64"/>
      <c r="GP64"/>
      <c r="GQ64"/>
      <c r="GR64"/>
      <c r="GS64"/>
      <c r="GT64"/>
      <c r="GU64"/>
      <c r="GV64"/>
      <c r="GW64" s="1655"/>
      <c r="GX64"/>
      <c r="GY64"/>
      <c r="GZ64"/>
      <c r="HA64"/>
      <c r="HB64"/>
      <c r="HC64"/>
      <c r="HD64"/>
      <c r="HE64"/>
      <c r="HF64"/>
      <c r="HG64"/>
      <c r="HH64"/>
      <c r="HI64"/>
      <c r="HJ64"/>
      <c r="HK64"/>
      <c r="HL64"/>
      <c r="HM64"/>
      <c r="HN64"/>
      <c r="HO64"/>
      <c r="HP64"/>
      <c r="HQ64"/>
      <c r="HR64"/>
      <c r="HS64"/>
      <c r="HT64"/>
      <c r="HU64"/>
      <c r="HV64"/>
      <c r="HW64"/>
      <c r="HX64"/>
      <c r="HY64"/>
      <c r="HZ64"/>
      <c r="IA64"/>
      <c r="IB64"/>
      <c r="IC64"/>
      <c r="ID64"/>
      <c r="IE64"/>
      <c r="IF64"/>
      <c r="IG64"/>
      <c r="IH64"/>
      <c r="II64"/>
      <c r="IJ64"/>
      <c r="IK64"/>
      <c r="IL64"/>
      <c r="IM64"/>
      <c r="IN64"/>
      <c r="IO64"/>
      <c r="IP64"/>
      <c r="IQ64"/>
      <c r="IR64"/>
      <c r="IS64"/>
      <c r="IT64"/>
      <c r="IU64"/>
      <c r="IV64"/>
      <c r="IW64"/>
      <c r="IX64"/>
      <c r="IY64"/>
      <c r="IZ64"/>
      <c r="JA64"/>
      <c r="JB64"/>
      <c r="JC64"/>
      <c r="JD64"/>
      <c r="JE64"/>
      <c r="JF64"/>
      <c r="JG64"/>
      <c r="JH64"/>
      <c r="JI64"/>
      <c r="JJ64"/>
      <c r="JK64"/>
      <c r="JL64"/>
      <c r="JM64"/>
      <c r="JN64"/>
      <c r="JO64"/>
      <c r="JP64"/>
      <c r="JQ64"/>
      <c r="JR64"/>
      <c r="JS64"/>
      <c r="JT64"/>
      <c r="JU64"/>
      <c r="JV64"/>
      <c r="JW64"/>
      <c r="JX64"/>
      <c r="JY64"/>
      <c r="JZ64"/>
      <c r="KA64"/>
      <c r="KB64"/>
      <c r="KC64"/>
      <c r="KD64"/>
      <c r="KE64"/>
      <c r="KF64"/>
      <c r="KG64"/>
      <c r="KH64"/>
      <c r="KI64"/>
      <c r="KJ64"/>
      <c r="KK64"/>
      <c r="KL64"/>
      <c r="KM64"/>
      <c r="KN64"/>
      <c r="KO64"/>
      <c r="KP64"/>
      <c r="KQ64"/>
      <c r="KR64"/>
      <c r="KS64"/>
      <c r="KT64" s="1655"/>
      <c r="KU64"/>
      <c r="KV64"/>
      <c r="KW64"/>
      <c r="KX64"/>
      <c r="KY64"/>
      <c r="KZ64"/>
      <c r="LA64"/>
      <c r="LB64"/>
      <c r="LC64"/>
      <c r="LD64"/>
      <c r="LE64"/>
      <c r="LF64"/>
      <c r="LG64"/>
      <c r="LH64"/>
      <c r="LI64"/>
      <c r="LJ64"/>
      <c r="LK64"/>
      <c r="LL64"/>
      <c r="LM64"/>
      <c r="LN64"/>
      <c r="LO64"/>
      <c r="LP64"/>
      <c r="LQ64"/>
      <c r="LR64"/>
      <c r="LS64"/>
      <c r="LT64"/>
      <c r="LU64"/>
      <c r="LV64"/>
      <c r="LW64"/>
      <c r="LX64"/>
      <c r="LY64"/>
      <c r="LZ64"/>
      <c r="MA64"/>
      <c r="MB64"/>
      <c r="MC64"/>
      <c r="MD64"/>
      <c r="ME64"/>
      <c r="MF64"/>
      <c r="MG64"/>
      <c r="MH64"/>
      <c r="MI64"/>
      <c r="MJ64"/>
      <c r="MK64"/>
      <c r="ML64"/>
      <c r="MM64"/>
      <c r="MN64"/>
      <c r="MO64"/>
      <c r="MP64"/>
      <c r="MQ64"/>
      <c r="MR64"/>
      <c r="MS64"/>
      <c r="MT64"/>
      <c r="MU64"/>
      <c r="MV64"/>
      <c r="MW64"/>
      <c r="MX64"/>
      <c r="MY64"/>
      <c r="MZ64"/>
      <c r="NA64"/>
      <c r="NB64"/>
      <c r="NC64"/>
      <c r="ND64"/>
      <c r="NE64"/>
      <c r="NF64"/>
      <c r="NG64"/>
      <c r="NH64"/>
      <c r="NI64"/>
      <c r="NJ64"/>
      <c r="NK64"/>
      <c r="NL64"/>
      <c r="NM64"/>
      <c r="NN64"/>
      <c r="NO64"/>
      <c r="NP64"/>
      <c r="NQ64"/>
      <c r="NR64"/>
      <c r="NS64"/>
      <c r="NT64"/>
      <c r="NU64"/>
      <c r="NV64"/>
      <c r="NW64"/>
      <c r="NX64"/>
      <c r="NY64"/>
      <c r="NZ64"/>
      <c r="OA64"/>
      <c r="OB64"/>
      <c r="OC64"/>
      <c r="OD64"/>
      <c r="OE64"/>
      <c r="OF64"/>
      <c r="OG64"/>
      <c r="OH64"/>
      <c r="OI64"/>
      <c r="OJ64"/>
      <c r="OK64"/>
      <c r="OL64"/>
      <c r="OM64"/>
      <c r="ON64"/>
      <c r="OO64"/>
      <c r="OP64"/>
      <c r="OQ64" s="1656"/>
      <c r="OR64"/>
      <c r="OS64"/>
      <c r="OT64"/>
      <c r="OU64"/>
      <c r="OV64"/>
      <c r="OW64"/>
      <c r="OX64"/>
      <c r="OY64"/>
      <c r="OZ64"/>
      <c r="PA64"/>
      <c r="PB64"/>
      <c r="PC64"/>
      <c r="PD64"/>
      <c r="PE64"/>
      <c r="PF64"/>
      <c r="PG64"/>
      <c r="PH64"/>
      <c r="PI64"/>
      <c r="PJ64"/>
      <c r="PK64"/>
      <c r="PL64"/>
      <c r="PM64"/>
      <c r="PN64"/>
      <c r="PO64"/>
      <c r="PP64"/>
      <c r="PQ64"/>
      <c r="PR64"/>
      <c r="PS64"/>
      <c r="PT64" s="1656"/>
    </row>
    <row r="65" spans="1:436" ht="21.5">
      <c r="A65" s="1466"/>
      <c r="B65" s="1576"/>
      <c r="C65" s="1576"/>
      <c r="D65" s="1576"/>
      <c r="E65" s="1577"/>
      <c r="F65" s="1577"/>
      <c r="G65" s="1577"/>
      <c r="H65" s="1577"/>
      <c r="I65" s="1577"/>
      <c r="J65" s="1577"/>
      <c r="K65" s="1577"/>
      <c r="L65" s="1577"/>
      <c r="M65" s="1577"/>
      <c r="N65" s="1577"/>
      <c r="O65" s="1577"/>
      <c r="P65" s="1577"/>
      <c r="Q65" s="1577"/>
      <c r="R65" s="1577"/>
      <c r="S65" s="1577"/>
      <c r="T65" s="1577"/>
      <c r="U65" s="1577"/>
      <c r="V65" s="1577"/>
      <c r="W65" s="1577"/>
      <c r="X65" s="1577"/>
      <c r="Y65" s="1577"/>
      <c r="Z65" s="1577"/>
      <c r="AA65" s="1577"/>
      <c r="AB65" s="1577"/>
      <c r="AC65" s="1577"/>
      <c r="AD65" s="1577"/>
      <c r="AE65" s="1577"/>
      <c r="AF65" s="1577"/>
      <c r="AG65" s="1577"/>
      <c r="AH65" s="1577"/>
      <c r="AI65" s="1577"/>
      <c r="AJ65" s="1577"/>
      <c r="AK65" s="1577"/>
      <c r="AL65" s="1577"/>
      <c r="AM65" s="1577"/>
      <c r="AN65" s="1577"/>
      <c r="AO65" s="1577"/>
      <c r="AP65" s="1577"/>
      <c r="AQ65" s="1577"/>
      <c r="AR65" s="1577"/>
      <c r="AS65" s="1577"/>
      <c r="AT65" s="1577"/>
      <c r="AU65" s="1577"/>
      <c r="AV65" s="1577"/>
      <c r="AW65" s="1577"/>
      <c r="AX65" s="1577"/>
      <c r="AY65" s="1577"/>
      <c r="AZ65" s="1577"/>
      <c r="BA65" s="1577"/>
      <c r="BB65" s="1577"/>
      <c r="BC65" s="1577"/>
      <c r="BD65" s="1577"/>
      <c r="BE65" s="1577"/>
      <c r="BF65" s="1577"/>
      <c r="BG65" s="1577"/>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s="1655">
        <v>0</v>
      </c>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c r="GL65"/>
      <c r="GM65"/>
      <c r="GN65"/>
      <c r="GO65"/>
      <c r="GP65"/>
      <c r="GQ65"/>
      <c r="GR65"/>
      <c r="GS65"/>
      <c r="GT65"/>
      <c r="GU65"/>
      <c r="GV65"/>
      <c r="GW65" s="1655"/>
      <c r="GX65"/>
      <c r="GY65"/>
      <c r="GZ65"/>
      <c r="HA65"/>
      <c r="HB65"/>
      <c r="HC65"/>
      <c r="HD65"/>
      <c r="HE65"/>
      <c r="HF65"/>
      <c r="HG65"/>
      <c r="HH65"/>
      <c r="HI65"/>
      <c r="HJ65"/>
      <c r="HK65"/>
      <c r="HL65"/>
      <c r="HM65"/>
      <c r="HN65"/>
      <c r="HO65"/>
      <c r="HP65"/>
      <c r="HQ65"/>
      <c r="HR65"/>
      <c r="HS65"/>
      <c r="HT65"/>
      <c r="HU65"/>
      <c r="HV65"/>
      <c r="HW65"/>
      <c r="HX65"/>
      <c r="HY65"/>
      <c r="HZ65"/>
      <c r="IA65"/>
      <c r="IB65"/>
      <c r="IC65"/>
      <c r="ID65"/>
      <c r="IE65"/>
      <c r="IF65"/>
      <c r="IG65"/>
      <c r="IH65"/>
      <c r="II65"/>
      <c r="IJ65"/>
      <c r="IK65"/>
      <c r="IL65"/>
      <c r="IM65"/>
      <c r="IN65"/>
      <c r="IO65"/>
      <c r="IP65"/>
      <c r="IQ65"/>
      <c r="IR65"/>
      <c r="IS65"/>
      <c r="IT65"/>
      <c r="IU65"/>
      <c r="IV65"/>
      <c r="IW65"/>
      <c r="IX65"/>
      <c r="IY65"/>
      <c r="IZ65"/>
      <c r="JA65"/>
      <c r="JB65"/>
      <c r="JC65"/>
      <c r="JD65"/>
      <c r="JE65"/>
      <c r="JF65"/>
      <c r="JG65"/>
      <c r="JH65"/>
      <c r="JI65"/>
      <c r="JJ65"/>
      <c r="JK65"/>
      <c r="JL65"/>
      <c r="JM65"/>
      <c r="JN65"/>
      <c r="JO65"/>
      <c r="JP65"/>
      <c r="JQ65"/>
      <c r="JR65"/>
      <c r="JS65"/>
      <c r="JT65"/>
      <c r="JU65"/>
      <c r="JV65"/>
      <c r="JW65"/>
      <c r="JX65"/>
      <c r="JY65"/>
      <c r="JZ65"/>
      <c r="KA65"/>
      <c r="KB65"/>
      <c r="KC65"/>
      <c r="KD65"/>
      <c r="KE65"/>
      <c r="KF65"/>
      <c r="KG65"/>
      <c r="KH65"/>
      <c r="KI65"/>
      <c r="KJ65"/>
      <c r="KK65"/>
      <c r="KL65"/>
      <c r="KM65"/>
      <c r="KN65"/>
      <c r="KO65"/>
      <c r="KP65"/>
      <c r="KQ65"/>
      <c r="KR65"/>
      <c r="KS65"/>
      <c r="KT65" s="1655"/>
      <c r="KU65"/>
      <c r="KV65"/>
      <c r="KW65"/>
      <c r="KX65"/>
      <c r="KY65"/>
      <c r="KZ65"/>
      <c r="LA65"/>
      <c r="LB65"/>
      <c r="LC65"/>
      <c r="LD65"/>
      <c r="LE65"/>
      <c r="LF65"/>
      <c r="LG65"/>
      <c r="LH65"/>
      <c r="LI65"/>
      <c r="LJ65"/>
      <c r="LK65"/>
      <c r="LL65"/>
      <c r="LM65"/>
      <c r="LN65"/>
      <c r="LO65"/>
      <c r="LP65"/>
      <c r="LQ65"/>
      <c r="LR65"/>
      <c r="LS65"/>
      <c r="LT65"/>
      <c r="LU65"/>
      <c r="LV65"/>
      <c r="LW65"/>
      <c r="LX65"/>
      <c r="LY65"/>
      <c r="LZ65"/>
      <c r="MA65"/>
      <c r="MB65"/>
      <c r="MC65"/>
      <c r="MD65"/>
      <c r="ME65"/>
      <c r="MF65"/>
      <c r="MG65"/>
      <c r="MH65"/>
      <c r="MI65"/>
      <c r="MJ65"/>
      <c r="MK65"/>
      <c r="ML65"/>
      <c r="MM65"/>
      <c r="MN65"/>
      <c r="MO65"/>
      <c r="MP65"/>
      <c r="MQ65"/>
      <c r="MR65"/>
      <c r="MS65"/>
      <c r="MT65"/>
      <c r="MU65"/>
      <c r="MV65"/>
      <c r="MW65"/>
      <c r="MX65"/>
      <c r="MY65"/>
      <c r="MZ65"/>
      <c r="NA65"/>
      <c r="NB65"/>
      <c r="NC65"/>
      <c r="ND65"/>
      <c r="NE65"/>
      <c r="NF65"/>
      <c r="NG65"/>
      <c r="NH65"/>
      <c r="NI65"/>
      <c r="NJ65"/>
      <c r="NK65"/>
      <c r="NL65"/>
      <c r="NM65"/>
      <c r="NN65"/>
      <c r="NO65"/>
      <c r="NP65"/>
      <c r="NQ65"/>
      <c r="NR65"/>
      <c r="NS65"/>
      <c r="NT65"/>
      <c r="NU65"/>
      <c r="NV65"/>
      <c r="NW65"/>
      <c r="NX65"/>
      <c r="NY65"/>
      <c r="NZ65"/>
      <c r="OA65"/>
      <c r="OB65"/>
      <c r="OC65"/>
      <c r="OD65"/>
      <c r="OE65"/>
      <c r="OF65"/>
      <c r="OG65"/>
      <c r="OH65"/>
      <c r="OI65"/>
      <c r="OJ65"/>
      <c r="OK65"/>
      <c r="OL65"/>
      <c r="OM65"/>
      <c r="ON65"/>
      <c r="OO65"/>
      <c r="OP65"/>
      <c r="OQ65" s="1656"/>
      <c r="OR65"/>
      <c r="OS65"/>
      <c r="OT65"/>
      <c r="OU65"/>
      <c r="OV65"/>
      <c r="OW65"/>
      <c r="OX65"/>
      <c r="OY65"/>
      <c r="OZ65"/>
      <c r="PA65"/>
      <c r="PB65"/>
      <c r="PC65"/>
      <c r="PD65"/>
      <c r="PE65"/>
      <c r="PF65"/>
      <c r="PG65"/>
      <c r="PH65"/>
      <c r="PI65"/>
      <c r="PJ65"/>
      <c r="PK65"/>
      <c r="PL65"/>
      <c r="PM65"/>
      <c r="PN65"/>
      <c r="PO65"/>
      <c r="PP65"/>
      <c r="PQ65"/>
      <c r="PR65"/>
      <c r="PS65"/>
      <c r="PT65" s="1656"/>
    </row>
    <row r="66" spans="1:436" ht="21.5">
      <c r="A66" s="1466"/>
      <c r="B66" s="1576"/>
      <c r="C66" s="1576"/>
      <c r="D66" s="1576"/>
      <c r="E66" s="1577"/>
      <c r="F66" s="1577"/>
      <c r="G66" s="1577"/>
      <c r="H66" s="1577"/>
      <c r="I66" s="1577"/>
      <c r="J66" s="1577"/>
      <c r="K66" s="1577"/>
      <c r="L66" s="1577"/>
      <c r="M66" s="1577"/>
      <c r="N66" s="1577"/>
      <c r="O66" s="1577"/>
      <c r="P66" s="1577"/>
      <c r="Q66" s="1577"/>
      <c r="R66" s="1577"/>
      <c r="S66" s="1577"/>
      <c r="T66" s="1577"/>
      <c r="U66" s="1577"/>
      <c r="V66" s="1577"/>
      <c r="W66" s="1577"/>
      <c r="X66" s="1577"/>
      <c r="Y66" s="1577"/>
      <c r="Z66" s="1577"/>
      <c r="AA66" s="1577"/>
      <c r="AB66" s="1577"/>
      <c r="AC66" s="1577"/>
      <c r="AD66" s="1577"/>
      <c r="AE66" s="1577"/>
      <c r="AF66" s="1577"/>
      <c r="AG66" s="1577"/>
      <c r="AH66" s="1577"/>
      <c r="AI66" s="1577"/>
      <c r="AJ66" s="1577"/>
      <c r="AK66" s="1577"/>
      <c r="AL66" s="1577"/>
      <c r="AM66" s="1577"/>
      <c r="AN66" s="1577"/>
      <c r="AO66" s="1577"/>
      <c r="AP66" s="1577"/>
      <c r="AQ66" s="1577"/>
      <c r="AR66" s="1577"/>
      <c r="AS66" s="1577"/>
      <c r="AT66" s="1577"/>
      <c r="AU66" s="1577"/>
      <c r="AV66" s="1577"/>
      <c r="AW66" s="1577"/>
      <c r="AX66" s="1577"/>
      <c r="AY66" s="1577"/>
      <c r="AZ66" s="1577"/>
      <c r="BA66" s="1577"/>
      <c r="BB66" s="1577"/>
      <c r="BC66" s="1577"/>
      <c r="BD66" s="1577"/>
      <c r="BE66" s="1577"/>
      <c r="BF66" s="1577"/>
      <c r="BG66" s="1577"/>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s="1655">
        <v>0</v>
      </c>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c r="GL66"/>
      <c r="GM66"/>
      <c r="GN66"/>
      <c r="GO66"/>
      <c r="GP66"/>
      <c r="GQ66"/>
      <c r="GR66"/>
      <c r="GS66"/>
      <c r="GT66"/>
      <c r="GU66"/>
      <c r="GV66"/>
      <c r="GW66" s="1655"/>
      <c r="GX66"/>
      <c r="GY66"/>
      <c r="GZ66"/>
      <c r="HA66"/>
      <c r="HB66"/>
      <c r="HC66"/>
      <c r="HD66"/>
      <c r="HE66"/>
      <c r="HF66"/>
      <c r="HG66"/>
      <c r="HH66"/>
      <c r="HI66"/>
      <c r="HJ66"/>
      <c r="HK66"/>
      <c r="HL66"/>
      <c r="HM66"/>
      <c r="HN66"/>
      <c r="HO66"/>
      <c r="HP66"/>
      <c r="HQ66"/>
      <c r="HR66"/>
      <c r="HS66"/>
      <c r="HT66"/>
      <c r="HU66"/>
      <c r="HV66"/>
      <c r="HW66"/>
      <c r="HX66"/>
      <c r="HY66"/>
      <c r="HZ66"/>
      <c r="IA66"/>
      <c r="IB66"/>
      <c r="IC66"/>
      <c r="ID66"/>
      <c r="IE66"/>
      <c r="IF66"/>
      <c r="IG66"/>
      <c r="IH66"/>
      <c r="II66"/>
      <c r="IJ66"/>
      <c r="IK66"/>
      <c r="IL66"/>
      <c r="IM66"/>
      <c r="IN66"/>
      <c r="IO66"/>
      <c r="IP66"/>
      <c r="IQ66"/>
      <c r="IR66"/>
      <c r="IS66"/>
      <c r="IT66"/>
      <c r="IU66"/>
      <c r="IV66"/>
      <c r="IW66"/>
      <c r="IX66"/>
      <c r="IY66"/>
      <c r="IZ66"/>
      <c r="JA66"/>
      <c r="JB66"/>
      <c r="JC66"/>
      <c r="JD66"/>
      <c r="JE66"/>
      <c r="JF66"/>
      <c r="JG66"/>
      <c r="JH66"/>
      <c r="JI66"/>
      <c r="JJ66"/>
      <c r="JK66"/>
      <c r="JL66"/>
      <c r="JM66"/>
      <c r="JN66"/>
      <c r="JO66"/>
      <c r="JP66"/>
      <c r="JQ66"/>
      <c r="JR66"/>
      <c r="JS66"/>
      <c r="JT66"/>
      <c r="JU66"/>
      <c r="JV66"/>
      <c r="JW66"/>
      <c r="JX66"/>
      <c r="JY66"/>
      <c r="JZ66"/>
      <c r="KA66"/>
      <c r="KB66"/>
      <c r="KC66"/>
      <c r="KD66"/>
      <c r="KE66"/>
      <c r="KF66"/>
      <c r="KG66"/>
      <c r="KH66"/>
      <c r="KI66"/>
      <c r="KJ66"/>
      <c r="KK66"/>
      <c r="KL66"/>
      <c r="KM66"/>
      <c r="KN66"/>
      <c r="KO66"/>
      <c r="KP66"/>
      <c r="KQ66"/>
      <c r="KR66"/>
      <c r="KS66"/>
      <c r="KT66" s="1655"/>
      <c r="KU66"/>
      <c r="KV66"/>
      <c r="KW66"/>
      <c r="KX66"/>
      <c r="KY66"/>
      <c r="KZ66"/>
      <c r="LA66"/>
      <c r="LB66"/>
      <c r="LC66"/>
      <c r="LD66"/>
      <c r="LE66"/>
      <c r="LF66"/>
      <c r="LG66"/>
      <c r="LH66"/>
      <c r="LI66"/>
      <c r="LJ66"/>
      <c r="LK66"/>
      <c r="LL66"/>
      <c r="LM66"/>
      <c r="LN66"/>
      <c r="LO66"/>
      <c r="LP66"/>
      <c r="LQ66"/>
      <c r="LR66"/>
      <c r="LS66"/>
      <c r="LT66"/>
      <c r="LU66"/>
      <c r="LV66"/>
      <c r="LW66"/>
      <c r="LX66"/>
      <c r="LY66"/>
      <c r="LZ66"/>
      <c r="MA66"/>
      <c r="MB66"/>
      <c r="MC66"/>
      <c r="MD66"/>
      <c r="ME66"/>
      <c r="MF66"/>
      <c r="MG66"/>
      <c r="MH66"/>
      <c r="MI66"/>
      <c r="MJ66"/>
      <c r="MK66"/>
      <c r="ML66"/>
      <c r="MM66"/>
      <c r="MN66"/>
      <c r="MO66"/>
      <c r="MP66"/>
      <c r="MQ66"/>
      <c r="MR66"/>
      <c r="MS66"/>
      <c r="MT66"/>
      <c r="MU66"/>
      <c r="MV66"/>
      <c r="MW66"/>
      <c r="MX66"/>
      <c r="MY66"/>
      <c r="MZ66"/>
      <c r="NA66"/>
      <c r="NB66"/>
      <c r="NC66"/>
      <c r="ND66"/>
      <c r="NE66"/>
      <c r="NF66"/>
      <c r="NG66"/>
      <c r="NH66"/>
      <c r="NI66"/>
      <c r="NJ66"/>
      <c r="NK66"/>
      <c r="NL66"/>
      <c r="NM66"/>
      <c r="NN66"/>
      <c r="NO66"/>
      <c r="NP66"/>
      <c r="NQ66"/>
      <c r="NR66"/>
      <c r="NS66"/>
      <c r="NT66"/>
      <c r="NU66"/>
      <c r="NV66"/>
      <c r="NW66"/>
      <c r="NX66"/>
      <c r="NY66"/>
      <c r="NZ66"/>
      <c r="OA66"/>
      <c r="OB66"/>
      <c r="OC66"/>
      <c r="OD66"/>
      <c r="OE66"/>
      <c r="OF66"/>
      <c r="OG66"/>
      <c r="OH66"/>
      <c r="OI66"/>
      <c r="OJ66"/>
      <c r="OK66"/>
      <c r="OL66"/>
      <c r="OM66"/>
      <c r="ON66"/>
      <c r="OO66"/>
      <c r="OP66"/>
      <c r="OQ66" s="1656"/>
      <c r="OR66"/>
      <c r="OS66"/>
      <c r="OT66"/>
      <c r="OU66"/>
      <c r="OV66"/>
      <c r="OW66"/>
      <c r="OX66"/>
      <c r="OY66"/>
      <c r="OZ66"/>
      <c r="PA66"/>
      <c r="PB66"/>
      <c r="PC66"/>
      <c r="PD66"/>
      <c r="PE66"/>
      <c r="PF66"/>
      <c r="PG66"/>
      <c r="PH66"/>
      <c r="PI66"/>
      <c r="PJ66"/>
      <c r="PK66"/>
      <c r="PL66"/>
      <c r="PM66"/>
      <c r="PN66"/>
      <c r="PO66"/>
      <c r="PP66"/>
      <c r="PQ66"/>
      <c r="PR66"/>
      <c r="PS66"/>
      <c r="PT66" s="1656"/>
    </row>
    <row r="67" spans="1:436" ht="21.5">
      <c r="A67" s="1466"/>
      <c r="B67" s="1576"/>
      <c r="C67" s="1576"/>
      <c r="D67" s="1576"/>
      <c r="E67" s="1577"/>
      <c r="F67" s="1577"/>
      <c r="G67" s="1577"/>
      <c r="H67" s="1577"/>
      <c r="I67" s="1577"/>
      <c r="J67" s="1577"/>
      <c r="K67" s="1577"/>
      <c r="L67" s="1577"/>
      <c r="M67" s="1577"/>
      <c r="N67" s="1577"/>
      <c r="O67" s="1577"/>
      <c r="P67" s="1577"/>
      <c r="Q67" s="1577"/>
      <c r="R67" s="1577"/>
      <c r="S67" s="1577"/>
      <c r="T67" s="1577"/>
      <c r="U67" s="1577"/>
      <c r="V67" s="1577"/>
      <c r="W67" s="1577"/>
      <c r="X67" s="1577"/>
      <c r="Y67" s="1577"/>
      <c r="Z67" s="1577"/>
      <c r="AA67" s="1577"/>
      <c r="AB67" s="1577"/>
      <c r="AC67" s="1577"/>
      <c r="AD67" s="1577"/>
      <c r="AE67" s="1577"/>
      <c r="AF67" s="1577"/>
      <c r="AG67" s="1577"/>
      <c r="AH67" s="1577"/>
      <c r="AI67" s="1577"/>
      <c r="AJ67" s="1577"/>
      <c r="AK67" s="1577"/>
      <c r="AL67" s="1577"/>
      <c r="AM67" s="1577"/>
      <c r="AN67" s="1577"/>
      <c r="AO67" s="1577"/>
      <c r="AP67" s="1577"/>
      <c r="AQ67" s="1577"/>
      <c r="AR67" s="1577"/>
      <c r="AS67" s="1577"/>
      <c r="AT67" s="1577"/>
      <c r="AU67" s="1577"/>
      <c r="AV67" s="1577"/>
      <c r="AW67" s="1577"/>
      <c r="AX67" s="1577"/>
      <c r="AY67" s="1577"/>
      <c r="AZ67" s="1577"/>
      <c r="BA67" s="1577"/>
      <c r="BB67" s="1577"/>
      <c r="BC67" s="1577"/>
      <c r="BD67" s="1577"/>
      <c r="BE67" s="1577"/>
      <c r="BF67" s="1577"/>
      <c r="BG67" s="1577"/>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s="1655">
        <v>0</v>
      </c>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c r="GL67"/>
      <c r="GM67"/>
      <c r="GN67"/>
      <c r="GO67"/>
      <c r="GP67"/>
      <c r="GQ67"/>
      <c r="GR67"/>
      <c r="GS67"/>
      <c r="GT67"/>
      <c r="GU67"/>
      <c r="GV67"/>
      <c r="GW67" s="1655"/>
      <c r="GX67"/>
      <c r="GY67"/>
      <c r="GZ67"/>
      <c r="HA67"/>
      <c r="HB67"/>
      <c r="HC67"/>
      <c r="HD67"/>
      <c r="HE67"/>
      <c r="HF67"/>
      <c r="HG67"/>
      <c r="HH67"/>
      <c r="HI67"/>
      <c r="HJ67"/>
      <c r="HK67"/>
      <c r="HL67"/>
      <c r="HM67"/>
      <c r="HN67"/>
      <c r="HO67"/>
      <c r="HP67"/>
      <c r="HQ67"/>
      <c r="HR67"/>
      <c r="HS67"/>
      <c r="HT67"/>
      <c r="HU67"/>
      <c r="HV67"/>
      <c r="HW67"/>
      <c r="HX67"/>
      <c r="HY67"/>
      <c r="HZ67"/>
      <c r="IA67"/>
      <c r="IB67"/>
      <c r="IC67"/>
      <c r="ID67"/>
      <c r="IE67"/>
      <c r="IF67"/>
      <c r="IG67"/>
      <c r="IH67"/>
      <c r="II67"/>
      <c r="IJ67"/>
      <c r="IK67"/>
      <c r="IL67"/>
      <c r="IM67"/>
      <c r="IN67"/>
      <c r="IO67"/>
      <c r="IP67"/>
      <c r="IQ67"/>
      <c r="IR67"/>
      <c r="IS67"/>
      <c r="IT67"/>
      <c r="IU67"/>
      <c r="IV67"/>
      <c r="IW67"/>
      <c r="IX67"/>
      <c r="IY67"/>
      <c r="IZ67"/>
      <c r="JA67"/>
      <c r="JB67"/>
      <c r="JC67"/>
      <c r="JD67"/>
      <c r="JE67"/>
      <c r="JF67"/>
      <c r="JG67"/>
      <c r="JH67"/>
      <c r="JI67"/>
      <c r="JJ67"/>
      <c r="JK67"/>
      <c r="JL67"/>
      <c r="JM67"/>
      <c r="JN67"/>
      <c r="JO67"/>
      <c r="JP67"/>
      <c r="JQ67"/>
      <c r="JR67"/>
      <c r="JS67"/>
      <c r="JT67"/>
      <c r="JU67"/>
      <c r="JV67"/>
      <c r="JW67"/>
      <c r="JX67"/>
      <c r="JY67"/>
      <c r="JZ67"/>
      <c r="KA67"/>
      <c r="KB67"/>
      <c r="KC67"/>
      <c r="KD67"/>
      <c r="KE67"/>
      <c r="KF67"/>
      <c r="KG67"/>
      <c r="KH67"/>
      <c r="KI67"/>
      <c r="KJ67"/>
      <c r="KK67"/>
      <c r="KL67"/>
      <c r="KM67"/>
      <c r="KN67"/>
      <c r="KO67"/>
      <c r="KP67"/>
      <c r="KQ67"/>
      <c r="KR67"/>
      <c r="KS67"/>
      <c r="KT67" s="1655"/>
      <c r="KU67"/>
      <c r="KV67"/>
      <c r="KW67"/>
      <c r="KX67"/>
      <c r="KY67"/>
      <c r="KZ67"/>
      <c r="LA67"/>
      <c r="LB67"/>
      <c r="LC67"/>
      <c r="LD67"/>
      <c r="LE67"/>
      <c r="LF67"/>
      <c r="LG67"/>
      <c r="LH67"/>
      <c r="LI67"/>
      <c r="LJ67"/>
      <c r="LK67"/>
      <c r="LL67"/>
      <c r="LM67"/>
      <c r="LN67"/>
      <c r="LO67"/>
      <c r="LP67"/>
      <c r="LQ67"/>
      <c r="LR67"/>
      <c r="LS67"/>
      <c r="LT67"/>
      <c r="LU67"/>
      <c r="LV67"/>
      <c r="LW67"/>
      <c r="LX67"/>
      <c r="LY67"/>
      <c r="LZ67"/>
      <c r="MA67"/>
      <c r="MB67"/>
      <c r="MC67"/>
      <c r="MD67"/>
      <c r="ME67"/>
      <c r="MF67"/>
      <c r="MG67"/>
      <c r="MH67"/>
      <c r="MI67"/>
      <c r="MJ67"/>
      <c r="MK67"/>
      <c r="ML67"/>
      <c r="MM67"/>
      <c r="MN67"/>
      <c r="MO67"/>
      <c r="MP67"/>
      <c r="MQ67"/>
      <c r="MR67"/>
      <c r="MS67"/>
      <c r="MT67"/>
      <c r="MU67"/>
      <c r="MV67"/>
      <c r="MW67"/>
      <c r="MX67"/>
      <c r="MY67"/>
      <c r="MZ67"/>
      <c r="NA67"/>
      <c r="NB67"/>
      <c r="NC67"/>
      <c r="ND67"/>
      <c r="NE67"/>
      <c r="NF67"/>
      <c r="NG67"/>
      <c r="NH67"/>
      <c r="NI67"/>
      <c r="NJ67"/>
      <c r="NK67"/>
      <c r="NL67"/>
      <c r="NM67"/>
      <c r="NN67"/>
      <c r="NO67"/>
      <c r="NP67"/>
      <c r="NQ67"/>
      <c r="NR67"/>
      <c r="NS67"/>
      <c r="NT67"/>
      <c r="NU67"/>
      <c r="NV67"/>
      <c r="NW67"/>
      <c r="NX67"/>
      <c r="NY67"/>
      <c r="NZ67"/>
      <c r="OA67"/>
      <c r="OB67"/>
      <c r="OC67"/>
      <c r="OD67"/>
      <c r="OE67"/>
      <c r="OF67"/>
      <c r="OG67"/>
      <c r="OH67"/>
      <c r="OI67"/>
      <c r="OJ67"/>
      <c r="OK67"/>
      <c r="OL67"/>
      <c r="OM67"/>
      <c r="ON67"/>
      <c r="OO67"/>
      <c r="OP67"/>
      <c r="OQ67" s="1656"/>
      <c r="OR67"/>
      <c r="OS67"/>
      <c r="OT67"/>
      <c r="OU67"/>
      <c r="OV67"/>
      <c r="OW67"/>
      <c r="OX67"/>
      <c r="OY67"/>
      <c r="OZ67"/>
      <c r="PA67"/>
      <c r="PB67"/>
      <c r="PC67"/>
      <c r="PD67"/>
      <c r="PE67"/>
      <c r="PF67"/>
      <c r="PG67"/>
      <c r="PH67"/>
      <c r="PI67"/>
      <c r="PJ67"/>
      <c r="PK67"/>
      <c r="PL67"/>
      <c r="PM67"/>
      <c r="PN67"/>
      <c r="PO67"/>
      <c r="PP67"/>
      <c r="PQ67"/>
      <c r="PR67"/>
      <c r="PS67"/>
      <c r="PT67" s="1656"/>
    </row>
    <row r="68" spans="1:436" ht="21.5">
      <c r="A68" s="1466"/>
      <c r="B68" s="1576"/>
      <c r="C68" s="1576"/>
      <c r="D68" s="1576"/>
      <c r="E68" s="1578"/>
      <c r="F68" s="1578"/>
      <c r="G68" s="1578"/>
      <c r="H68" s="1578"/>
      <c r="I68" s="1578"/>
      <c r="J68" s="1578"/>
      <c r="K68" s="1578"/>
      <c r="L68" s="1578"/>
      <c r="M68" s="1578"/>
      <c r="N68" s="1578"/>
      <c r="O68" s="1578"/>
      <c r="P68" s="1578"/>
      <c r="Q68" s="1578"/>
      <c r="R68" s="1578"/>
      <c r="S68" s="1578"/>
      <c r="T68" s="1578"/>
      <c r="U68" s="1578"/>
      <c r="V68" s="1578"/>
      <c r="W68" s="1578"/>
      <c r="X68" s="1578"/>
      <c r="Y68" s="1578"/>
      <c r="Z68" s="1578"/>
      <c r="AA68" s="1578"/>
      <c r="AB68" s="1578"/>
      <c r="AC68" s="1578"/>
      <c r="AD68" s="1578"/>
      <c r="AE68" s="1578"/>
      <c r="AF68" s="1578"/>
      <c r="AG68" s="1578"/>
      <c r="AH68" s="1578"/>
      <c r="AI68" s="1578"/>
      <c r="AJ68" s="1578"/>
      <c r="AK68" s="1578"/>
      <c r="AL68" s="1578"/>
      <c r="AM68" s="1578"/>
      <c r="AN68" s="1578"/>
      <c r="AO68" s="1578"/>
      <c r="AP68" s="1578"/>
      <c r="AQ68" s="1578"/>
      <c r="AR68" s="1578"/>
      <c r="AS68" s="1578"/>
      <c r="AT68" s="1578"/>
      <c r="AU68" s="1578"/>
      <c r="AV68" s="1578"/>
      <c r="AW68" s="1578"/>
      <c r="AX68" s="1578"/>
      <c r="AY68" s="1578"/>
      <c r="AZ68" s="1578"/>
      <c r="BA68" s="1578"/>
      <c r="BB68" s="1578"/>
      <c r="BC68" s="1578"/>
      <c r="BD68" s="1578"/>
      <c r="BE68" s="1578"/>
      <c r="BF68" s="1578"/>
      <c r="BG68" s="1578"/>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0</v>
      </c>
      <c r="CY68">
        <v>0</v>
      </c>
      <c r="CZ68" s="1655">
        <v>0</v>
      </c>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c r="GL68"/>
      <c r="GM68"/>
      <c r="GN68"/>
      <c r="GO68"/>
      <c r="GP68"/>
      <c r="GQ68"/>
      <c r="GR68"/>
      <c r="GS68"/>
      <c r="GT68"/>
      <c r="GU68"/>
      <c r="GV68"/>
      <c r="GW68" s="1655"/>
      <c r="GX68"/>
      <c r="GY68"/>
      <c r="GZ68"/>
      <c r="HA68"/>
      <c r="HB68"/>
      <c r="HC68"/>
      <c r="HD68"/>
      <c r="HE68"/>
      <c r="HF68"/>
      <c r="HG68"/>
      <c r="HH68"/>
      <c r="HI68"/>
      <c r="HJ68"/>
      <c r="HK68"/>
      <c r="HL68"/>
      <c r="HM68"/>
      <c r="HN68"/>
      <c r="HO68"/>
      <c r="HP68"/>
      <c r="HQ68"/>
      <c r="HR68"/>
      <c r="HS68"/>
      <c r="HT68"/>
      <c r="HU68"/>
      <c r="HV68"/>
      <c r="HW68"/>
      <c r="HX68"/>
      <c r="HY68"/>
      <c r="HZ68"/>
      <c r="IA68"/>
      <c r="IB68"/>
      <c r="IC68"/>
      <c r="ID68"/>
      <c r="IE68"/>
      <c r="IF68"/>
      <c r="IG68"/>
      <c r="IH68"/>
      <c r="II68"/>
      <c r="IJ68"/>
      <c r="IK68"/>
      <c r="IL68"/>
      <c r="IM68"/>
      <c r="IN68"/>
      <c r="IO68"/>
      <c r="IP68"/>
      <c r="IQ68"/>
      <c r="IR68"/>
      <c r="IS68"/>
      <c r="IT68"/>
      <c r="IU68"/>
      <c r="IV68"/>
      <c r="IW68"/>
      <c r="IX68"/>
      <c r="IY68"/>
      <c r="IZ68"/>
      <c r="JA68"/>
      <c r="JB68"/>
      <c r="JC68"/>
      <c r="JD68"/>
      <c r="JE68"/>
      <c r="JF68"/>
      <c r="JG68"/>
      <c r="JH68"/>
      <c r="JI68"/>
      <c r="JJ68"/>
      <c r="JK68"/>
      <c r="JL68"/>
      <c r="JM68"/>
      <c r="JN68"/>
      <c r="JO68"/>
      <c r="JP68"/>
      <c r="JQ68"/>
      <c r="JR68"/>
      <c r="JS68"/>
      <c r="JT68"/>
      <c r="JU68"/>
      <c r="JV68"/>
      <c r="JW68"/>
      <c r="JX68"/>
      <c r="JY68"/>
      <c r="JZ68"/>
      <c r="KA68"/>
      <c r="KB68"/>
      <c r="KC68"/>
      <c r="KD68"/>
      <c r="KE68"/>
      <c r="KF68"/>
      <c r="KG68"/>
      <c r="KH68"/>
      <c r="KI68"/>
      <c r="KJ68"/>
      <c r="KK68"/>
      <c r="KL68"/>
      <c r="KM68"/>
      <c r="KN68"/>
      <c r="KO68"/>
      <c r="KP68"/>
      <c r="KQ68"/>
      <c r="KR68"/>
      <c r="KS68"/>
      <c r="KT68" s="1655"/>
      <c r="KU68"/>
      <c r="KV68"/>
      <c r="KW68"/>
      <c r="KX68"/>
      <c r="KY68"/>
      <c r="KZ68"/>
      <c r="LA68"/>
      <c r="LB68"/>
      <c r="LC68"/>
      <c r="LD68"/>
      <c r="LE68"/>
      <c r="LF68"/>
      <c r="LG68"/>
      <c r="LH68"/>
      <c r="LI68"/>
      <c r="LJ68"/>
      <c r="LK68"/>
      <c r="LL68"/>
      <c r="LM68"/>
      <c r="LN68"/>
      <c r="LO68"/>
      <c r="LP68"/>
      <c r="LQ68"/>
      <c r="LR68"/>
      <c r="LS68"/>
      <c r="LT68"/>
      <c r="LU68"/>
      <c r="LV68"/>
      <c r="LW68"/>
      <c r="LX68"/>
      <c r="LY68"/>
      <c r="LZ68"/>
      <c r="MA68"/>
      <c r="MB68"/>
      <c r="MC68"/>
      <c r="MD68"/>
      <c r="ME68"/>
      <c r="MF68"/>
      <c r="MG68"/>
      <c r="MH68"/>
      <c r="MI68"/>
      <c r="MJ68"/>
      <c r="MK68"/>
      <c r="ML68"/>
      <c r="MM68"/>
      <c r="MN68"/>
      <c r="MO68"/>
      <c r="MP68"/>
      <c r="MQ68"/>
      <c r="MR68"/>
      <c r="MS68"/>
      <c r="MT68"/>
      <c r="MU68"/>
      <c r="MV68"/>
      <c r="MW68"/>
      <c r="MX68"/>
      <c r="MY68"/>
      <c r="MZ68"/>
      <c r="NA68"/>
      <c r="NB68"/>
      <c r="NC68"/>
      <c r="ND68"/>
      <c r="NE68"/>
      <c r="NF68"/>
      <c r="NG68"/>
      <c r="NH68"/>
      <c r="NI68"/>
      <c r="NJ68"/>
      <c r="NK68"/>
      <c r="NL68"/>
      <c r="NM68"/>
      <c r="NN68"/>
      <c r="NO68"/>
      <c r="NP68"/>
      <c r="NQ68"/>
      <c r="NR68"/>
      <c r="NS68"/>
      <c r="NT68"/>
      <c r="NU68"/>
      <c r="NV68"/>
      <c r="NW68"/>
      <c r="NX68"/>
      <c r="NY68"/>
      <c r="NZ68"/>
      <c r="OA68"/>
      <c r="OB68"/>
      <c r="OC68"/>
      <c r="OD68"/>
      <c r="OE68"/>
      <c r="OF68"/>
      <c r="OG68"/>
      <c r="OH68"/>
      <c r="OI68"/>
      <c r="OJ68"/>
      <c r="OK68"/>
      <c r="OL68"/>
      <c r="OM68"/>
      <c r="ON68"/>
      <c r="OO68"/>
      <c r="OP68"/>
      <c r="OQ68" s="1656"/>
      <c r="OR68"/>
      <c r="OS68"/>
      <c r="OT68"/>
      <c r="OU68"/>
      <c r="OV68"/>
      <c r="OW68"/>
      <c r="OX68"/>
      <c r="OY68"/>
      <c r="OZ68"/>
      <c r="PA68"/>
      <c r="PB68"/>
      <c r="PC68"/>
      <c r="PD68"/>
      <c r="PE68"/>
      <c r="PF68"/>
      <c r="PG68"/>
      <c r="PH68"/>
      <c r="PI68"/>
      <c r="PJ68"/>
      <c r="PK68"/>
      <c r="PL68"/>
      <c r="PM68"/>
      <c r="PN68"/>
      <c r="PO68"/>
      <c r="PP68"/>
      <c r="PQ68"/>
      <c r="PR68"/>
      <c r="PS68"/>
      <c r="PT68" s="1656"/>
    </row>
    <row r="69" spans="1:436" ht="21.5">
      <c r="A69" s="1466"/>
      <c r="B69" s="1576"/>
      <c r="C69" s="1576"/>
      <c r="D69" s="1576"/>
      <c r="E69" s="1578"/>
      <c r="F69" s="1578"/>
      <c r="G69" s="1578"/>
      <c r="H69" s="1578"/>
      <c r="I69" s="1578"/>
      <c r="J69" s="1578"/>
      <c r="K69" s="1578"/>
      <c r="L69" s="1578"/>
      <c r="M69" s="1578"/>
      <c r="N69" s="1578"/>
      <c r="O69" s="1578"/>
      <c r="P69" s="1578"/>
      <c r="Q69" s="1578"/>
      <c r="R69" s="1578"/>
      <c r="S69" s="1578"/>
      <c r="T69" s="1578"/>
      <c r="U69" s="1578"/>
      <c r="V69" s="1578"/>
      <c r="W69" s="1578"/>
      <c r="X69" s="1578"/>
      <c r="Y69" s="1578"/>
      <c r="Z69" s="1578"/>
      <c r="AA69" s="1578"/>
      <c r="AB69" s="1578"/>
      <c r="AC69" s="1578"/>
      <c r="AD69" s="1578"/>
      <c r="AE69" s="1578"/>
      <c r="AF69" s="1578"/>
      <c r="AG69" s="1578"/>
      <c r="AH69" s="1578"/>
      <c r="AI69" s="1578"/>
      <c r="AJ69" s="1578"/>
      <c r="AK69" s="1578"/>
      <c r="AL69" s="1578"/>
      <c r="AM69" s="1578"/>
      <c r="AN69" s="1578"/>
      <c r="AO69" s="1578"/>
      <c r="AP69" s="1578"/>
      <c r="AQ69" s="1578"/>
      <c r="AR69" s="1578"/>
      <c r="AS69" s="1578"/>
      <c r="AT69" s="1578"/>
      <c r="AU69" s="1578"/>
      <c r="AV69" s="1578"/>
      <c r="AW69" s="1578"/>
      <c r="AX69" s="1578"/>
      <c r="AY69" s="1578"/>
      <c r="AZ69" s="1578"/>
      <c r="BA69" s="1578"/>
      <c r="BB69" s="1578"/>
      <c r="BC69" s="1578"/>
      <c r="BD69" s="1578"/>
      <c r="BE69" s="1578"/>
      <c r="BF69" s="1578"/>
      <c r="BG69" s="1578"/>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s="1655">
        <v>0</v>
      </c>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c r="GL69"/>
      <c r="GM69"/>
      <c r="GN69"/>
      <c r="GO69"/>
      <c r="GP69"/>
      <c r="GQ69"/>
      <c r="GR69"/>
      <c r="GS69"/>
      <c r="GT69"/>
      <c r="GU69"/>
      <c r="GV69"/>
      <c r="GW69" s="1655"/>
      <c r="GX69"/>
      <c r="GY69"/>
      <c r="GZ69"/>
      <c r="HA69"/>
      <c r="HB69"/>
      <c r="HC69"/>
      <c r="HD69"/>
      <c r="HE69"/>
      <c r="HF69"/>
      <c r="HG69"/>
      <c r="HH69"/>
      <c r="HI69"/>
      <c r="HJ69"/>
      <c r="HK69"/>
      <c r="HL69"/>
      <c r="HM69"/>
      <c r="HN69"/>
      <c r="HO69"/>
      <c r="HP69"/>
      <c r="HQ69"/>
      <c r="HR69"/>
      <c r="HS69"/>
      <c r="HT69"/>
      <c r="HU69"/>
      <c r="HV69"/>
      <c r="HW69"/>
      <c r="HX69"/>
      <c r="HY69"/>
      <c r="HZ69"/>
      <c r="IA69"/>
      <c r="IB69"/>
      <c r="IC69"/>
      <c r="ID69"/>
      <c r="IE69"/>
      <c r="IF69"/>
      <c r="IG69"/>
      <c r="IH69"/>
      <c r="II69"/>
      <c r="IJ69"/>
      <c r="IK69"/>
      <c r="IL69"/>
      <c r="IM69"/>
      <c r="IN69"/>
      <c r="IO69"/>
      <c r="IP69"/>
      <c r="IQ69"/>
      <c r="IR69"/>
      <c r="IS69"/>
      <c r="IT69"/>
      <c r="IU69"/>
      <c r="IV69"/>
      <c r="IW69"/>
      <c r="IX69"/>
      <c r="IY69"/>
      <c r="IZ69"/>
      <c r="JA69"/>
      <c r="JB69"/>
      <c r="JC69"/>
      <c r="JD69"/>
      <c r="JE69"/>
      <c r="JF69"/>
      <c r="JG69"/>
      <c r="JH69"/>
      <c r="JI69"/>
      <c r="JJ69"/>
      <c r="JK69"/>
      <c r="JL69"/>
      <c r="JM69"/>
      <c r="JN69"/>
      <c r="JO69"/>
      <c r="JP69"/>
      <c r="JQ69"/>
      <c r="JR69"/>
      <c r="JS69"/>
      <c r="JT69"/>
      <c r="JU69"/>
      <c r="JV69"/>
      <c r="JW69"/>
      <c r="JX69"/>
      <c r="JY69"/>
      <c r="JZ69"/>
      <c r="KA69"/>
      <c r="KB69"/>
      <c r="KC69"/>
      <c r="KD69"/>
      <c r="KE69"/>
      <c r="KF69"/>
      <c r="KG69"/>
      <c r="KH69"/>
      <c r="KI69"/>
      <c r="KJ69"/>
      <c r="KK69"/>
      <c r="KL69"/>
      <c r="KM69"/>
      <c r="KN69"/>
      <c r="KO69"/>
      <c r="KP69"/>
      <c r="KQ69"/>
      <c r="KR69"/>
      <c r="KS69"/>
      <c r="KT69" s="1655"/>
      <c r="KU69"/>
      <c r="KV69"/>
      <c r="KW69"/>
      <c r="KX69"/>
      <c r="KY69"/>
      <c r="KZ69"/>
      <c r="LA69"/>
      <c r="LB69"/>
      <c r="LC69"/>
      <c r="LD69"/>
      <c r="LE69"/>
      <c r="LF69"/>
      <c r="LG69"/>
      <c r="LH69"/>
      <c r="LI69"/>
      <c r="LJ69"/>
      <c r="LK69"/>
      <c r="LL69"/>
      <c r="LM69"/>
      <c r="LN69"/>
      <c r="LO69"/>
      <c r="LP69"/>
      <c r="LQ69"/>
      <c r="LR69"/>
      <c r="LS69"/>
      <c r="LT69"/>
      <c r="LU69"/>
      <c r="LV69"/>
      <c r="LW69"/>
      <c r="LX69"/>
      <c r="LY69"/>
      <c r="LZ69"/>
      <c r="MA69"/>
      <c r="MB69"/>
      <c r="MC69"/>
      <c r="MD69"/>
      <c r="ME69"/>
      <c r="MF69"/>
      <c r="MG69"/>
      <c r="MH69"/>
      <c r="MI69"/>
      <c r="MJ69"/>
      <c r="MK69"/>
      <c r="ML69"/>
      <c r="MM69"/>
      <c r="MN69"/>
      <c r="MO69"/>
      <c r="MP69"/>
      <c r="MQ69"/>
      <c r="MR69"/>
      <c r="MS69"/>
      <c r="MT69"/>
      <c r="MU69"/>
      <c r="MV69"/>
      <c r="MW69"/>
      <c r="MX69"/>
      <c r="MY69"/>
      <c r="MZ69"/>
      <c r="NA69"/>
      <c r="NB69"/>
      <c r="NC69"/>
      <c r="ND69"/>
      <c r="NE69"/>
      <c r="NF69"/>
      <c r="NG69"/>
      <c r="NH69"/>
      <c r="NI69"/>
      <c r="NJ69"/>
      <c r="NK69"/>
      <c r="NL69"/>
      <c r="NM69"/>
      <c r="NN69"/>
      <c r="NO69"/>
      <c r="NP69"/>
      <c r="NQ69"/>
      <c r="NR69"/>
      <c r="NS69"/>
      <c r="NT69"/>
      <c r="NU69"/>
      <c r="NV69"/>
      <c r="NW69"/>
      <c r="NX69"/>
      <c r="NY69"/>
      <c r="NZ69"/>
      <c r="OA69"/>
      <c r="OB69"/>
      <c r="OC69"/>
      <c r="OD69"/>
      <c r="OE69"/>
      <c r="OF69"/>
      <c r="OG69"/>
      <c r="OH69"/>
      <c r="OI69"/>
      <c r="OJ69"/>
      <c r="OK69"/>
      <c r="OL69"/>
      <c r="OM69"/>
      <c r="ON69"/>
      <c r="OO69"/>
      <c r="OP69"/>
      <c r="OQ69" s="1656"/>
      <c r="OR69"/>
      <c r="OS69"/>
      <c r="OT69"/>
      <c r="OU69"/>
      <c r="OV69"/>
      <c r="OW69"/>
      <c r="OX69"/>
      <c r="OY69"/>
      <c r="OZ69"/>
      <c r="PA69"/>
      <c r="PB69"/>
      <c r="PC69"/>
      <c r="PD69"/>
      <c r="PE69"/>
      <c r="PF69"/>
      <c r="PG69"/>
      <c r="PH69"/>
      <c r="PI69"/>
      <c r="PJ69"/>
      <c r="PK69"/>
      <c r="PL69"/>
      <c r="PM69"/>
      <c r="PN69"/>
      <c r="PO69"/>
      <c r="PP69"/>
      <c r="PQ69"/>
      <c r="PR69"/>
      <c r="PS69"/>
      <c r="PT69" s="1656"/>
    </row>
    <row r="70" spans="1:436" ht="21.5">
      <c r="A70" s="1466"/>
      <c r="B70" s="1576"/>
      <c r="C70" s="1576"/>
      <c r="D70" s="1576"/>
      <c r="E70" s="1578"/>
      <c r="F70" s="1578"/>
      <c r="G70" s="1578"/>
      <c r="H70" s="1578"/>
      <c r="I70" s="1578"/>
      <c r="J70" s="1578"/>
      <c r="K70" s="1578"/>
      <c r="L70" s="1578"/>
      <c r="M70" s="1578"/>
      <c r="N70" s="1578"/>
      <c r="O70" s="1578"/>
      <c r="P70" s="1578"/>
      <c r="Q70" s="1578"/>
      <c r="R70" s="1578"/>
      <c r="S70" s="1578"/>
      <c r="T70" s="1578"/>
      <c r="U70" s="1578"/>
      <c r="V70" s="1578"/>
      <c r="W70" s="1578"/>
      <c r="X70" s="1578"/>
      <c r="Y70" s="1578"/>
      <c r="Z70" s="1578"/>
      <c r="AA70" s="1578"/>
      <c r="AB70" s="1578"/>
      <c r="AC70" s="1578"/>
      <c r="AD70" s="1578"/>
      <c r="AE70" s="1578"/>
      <c r="AF70" s="1578"/>
      <c r="AG70" s="1578"/>
      <c r="AH70" s="1578"/>
      <c r="AI70" s="1578"/>
      <c r="AJ70" s="1578"/>
      <c r="AK70" s="1578"/>
      <c r="AL70" s="1578"/>
      <c r="AM70" s="1578"/>
      <c r="AN70" s="1578"/>
      <c r="AO70" s="1578"/>
      <c r="AP70" s="1578"/>
      <c r="AQ70" s="1578"/>
      <c r="AR70" s="1578"/>
      <c r="AS70" s="1578"/>
      <c r="AT70" s="1578"/>
      <c r="AU70" s="1578"/>
      <c r="AV70" s="1578"/>
      <c r="AW70" s="1578"/>
      <c r="AX70" s="1578"/>
      <c r="AY70" s="1578"/>
      <c r="AZ70" s="1578"/>
      <c r="BA70" s="1578"/>
      <c r="BB70" s="1578"/>
      <c r="BC70" s="1578"/>
      <c r="BD70" s="1578"/>
      <c r="BE70" s="1578"/>
      <c r="BF70" s="1578"/>
      <c r="BG70" s="1578"/>
      <c r="BH70">
        <v>0</v>
      </c>
      <c r="BI70">
        <v>0</v>
      </c>
      <c r="BJ70">
        <v>0</v>
      </c>
      <c r="BK70">
        <v>0</v>
      </c>
      <c r="BL70">
        <v>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0</v>
      </c>
      <c r="CV70">
        <v>0</v>
      </c>
      <c r="CW70">
        <v>0</v>
      </c>
      <c r="CX70">
        <v>0</v>
      </c>
      <c r="CY70">
        <v>0</v>
      </c>
      <c r="CZ70" s="1655">
        <v>0</v>
      </c>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c r="GL70"/>
      <c r="GM70"/>
      <c r="GN70"/>
      <c r="GO70"/>
      <c r="GP70"/>
      <c r="GQ70"/>
      <c r="GR70"/>
      <c r="GS70"/>
      <c r="GT70"/>
      <c r="GU70"/>
      <c r="GV70"/>
      <c r="GW70" s="1655"/>
      <c r="GX70"/>
      <c r="GY70"/>
      <c r="GZ70"/>
      <c r="HA70"/>
      <c r="HB70"/>
      <c r="HC70"/>
      <c r="HD70"/>
      <c r="HE70"/>
      <c r="HF70"/>
      <c r="HG70"/>
      <c r="HH70"/>
      <c r="HI70"/>
      <c r="HJ70"/>
      <c r="HK70"/>
      <c r="HL70"/>
      <c r="HM70"/>
      <c r="HN70"/>
      <c r="HO70"/>
      <c r="HP70"/>
      <c r="HQ70"/>
      <c r="HR70"/>
      <c r="HS70"/>
      <c r="HT70"/>
      <c r="HU70"/>
      <c r="HV70"/>
      <c r="HW70"/>
      <c r="HX70"/>
      <c r="HY70"/>
      <c r="HZ70"/>
      <c r="IA70"/>
      <c r="IB70"/>
      <c r="IC70"/>
      <c r="ID70"/>
      <c r="IE70"/>
      <c r="IF70"/>
      <c r="IG70"/>
      <c r="IH70"/>
      <c r="II70"/>
      <c r="IJ70"/>
      <c r="IK70"/>
      <c r="IL70"/>
      <c r="IM70"/>
      <c r="IN70"/>
      <c r="IO70"/>
      <c r="IP70"/>
      <c r="IQ70"/>
      <c r="IR70"/>
      <c r="IS70"/>
      <c r="IT70"/>
      <c r="IU70"/>
      <c r="IV70"/>
      <c r="IW70"/>
      <c r="IX70"/>
      <c r="IY70"/>
      <c r="IZ70"/>
      <c r="JA70"/>
      <c r="JB70"/>
      <c r="JC70"/>
      <c r="JD70"/>
      <c r="JE70"/>
      <c r="JF70"/>
      <c r="JG70"/>
      <c r="JH70"/>
      <c r="JI70"/>
      <c r="JJ70"/>
      <c r="JK70"/>
      <c r="JL70"/>
      <c r="JM70"/>
      <c r="JN70"/>
      <c r="JO70"/>
      <c r="JP70"/>
      <c r="JQ70"/>
      <c r="JR70"/>
      <c r="JS70"/>
      <c r="JT70"/>
      <c r="JU70"/>
      <c r="JV70"/>
      <c r="JW70"/>
      <c r="JX70"/>
      <c r="JY70"/>
      <c r="JZ70"/>
      <c r="KA70"/>
      <c r="KB70"/>
      <c r="KC70"/>
      <c r="KD70"/>
      <c r="KE70"/>
      <c r="KF70"/>
      <c r="KG70"/>
      <c r="KH70"/>
      <c r="KI70"/>
      <c r="KJ70"/>
      <c r="KK70"/>
      <c r="KL70"/>
      <c r="KM70"/>
      <c r="KN70"/>
      <c r="KO70"/>
      <c r="KP70"/>
      <c r="KQ70"/>
      <c r="KR70"/>
      <c r="KS70"/>
      <c r="KT70" s="1655"/>
      <c r="KU70"/>
      <c r="KV70"/>
      <c r="KW70"/>
      <c r="KX70"/>
      <c r="KY70"/>
      <c r="KZ70"/>
      <c r="LA70"/>
      <c r="LB70"/>
      <c r="LC70"/>
      <c r="LD70"/>
      <c r="LE70"/>
      <c r="LF70"/>
      <c r="LG70"/>
      <c r="LH70"/>
      <c r="LI70"/>
      <c r="LJ70"/>
      <c r="LK70"/>
      <c r="LL70"/>
      <c r="LM70"/>
      <c r="LN70"/>
      <c r="LO70"/>
      <c r="LP70"/>
      <c r="LQ70"/>
      <c r="LR70"/>
      <c r="LS70"/>
      <c r="LT70"/>
      <c r="LU70"/>
      <c r="LV70"/>
      <c r="LW70"/>
      <c r="LX70"/>
      <c r="LY70"/>
      <c r="LZ70"/>
      <c r="MA70"/>
      <c r="MB70"/>
      <c r="MC70"/>
      <c r="MD70"/>
      <c r="ME70"/>
      <c r="MF70"/>
      <c r="MG70"/>
      <c r="MH70"/>
      <c r="MI70"/>
      <c r="MJ70"/>
      <c r="MK70"/>
      <c r="ML70"/>
      <c r="MM70"/>
      <c r="MN70"/>
      <c r="MO70"/>
      <c r="MP70"/>
      <c r="MQ70"/>
      <c r="MR70"/>
      <c r="MS70"/>
      <c r="MT70"/>
      <c r="MU70"/>
      <c r="MV70"/>
      <c r="MW70"/>
      <c r="MX70"/>
      <c r="MY70"/>
      <c r="MZ70"/>
      <c r="NA70"/>
      <c r="NB70"/>
      <c r="NC70"/>
      <c r="ND70"/>
      <c r="NE70"/>
      <c r="NF70"/>
      <c r="NG70"/>
      <c r="NH70"/>
      <c r="NI70"/>
      <c r="NJ70"/>
      <c r="NK70"/>
      <c r="NL70"/>
      <c r="NM70"/>
      <c r="NN70"/>
      <c r="NO70"/>
      <c r="NP70"/>
      <c r="NQ70"/>
      <c r="NR70"/>
      <c r="NS70"/>
      <c r="NT70"/>
      <c r="NU70"/>
      <c r="NV70"/>
      <c r="NW70"/>
      <c r="NX70"/>
      <c r="NY70"/>
      <c r="NZ70"/>
      <c r="OA70"/>
      <c r="OB70"/>
      <c r="OC70"/>
      <c r="OD70"/>
      <c r="OE70"/>
      <c r="OF70"/>
      <c r="OG70"/>
      <c r="OH70"/>
      <c r="OI70"/>
      <c r="OJ70"/>
      <c r="OK70"/>
      <c r="OL70"/>
      <c r="OM70"/>
      <c r="ON70"/>
      <c r="OO70"/>
      <c r="OP70"/>
      <c r="OQ70" s="1656"/>
      <c r="OR70"/>
      <c r="OS70"/>
      <c r="OT70"/>
      <c r="OU70"/>
      <c r="OV70"/>
      <c r="OW70"/>
      <c r="OX70"/>
      <c r="OY70"/>
      <c r="OZ70"/>
      <c r="PA70"/>
      <c r="PB70"/>
      <c r="PC70"/>
      <c r="PD70"/>
      <c r="PE70"/>
      <c r="PF70"/>
      <c r="PG70"/>
      <c r="PH70"/>
      <c r="PI70"/>
      <c r="PJ70"/>
      <c r="PK70"/>
      <c r="PL70"/>
      <c r="PM70"/>
      <c r="PN70"/>
      <c r="PO70"/>
      <c r="PP70"/>
      <c r="PQ70"/>
      <c r="PR70"/>
      <c r="PS70"/>
      <c r="PT70" s="1656"/>
    </row>
    <row r="71" spans="1:436" ht="21.5">
      <c r="A71" s="1466"/>
      <c r="B71" s="1576"/>
      <c r="C71" s="1576"/>
      <c r="D71" s="1576"/>
      <c r="E71" s="1578"/>
      <c r="F71" s="1578"/>
      <c r="G71" s="1578"/>
      <c r="H71" s="1578"/>
      <c r="I71" s="1578"/>
      <c r="J71" s="1578"/>
      <c r="K71" s="1578"/>
      <c r="L71" s="1578"/>
      <c r="M71" s="1578"/>
      <c r="N71" s="1578"/>
      <c r="O71" s="1578"/>
      <c r="P71" s="1578"/>
      <c r="Q71" s="1578"/>
      <c r="R71" s="1578"/>
      <c r="S71" s="1578"/>
      <c r="T71" s="1578"/>
      <c r="U71" s="1578"/>
      <c r="V71" s="1578"/>
      <c r="W71" s="1578"/>
      <c r="X71" s="1578"/>
      <c r="Y71" s="1578"/>
      <c r="Z71" s="1578"/>
      <c r="AA71" s="1578"/>
      <c r="AB71" s="1578"/>
      <c r="AC71" s="1578"/>
      <c r="AD71" s="1578"/>
      <c r="AE71" s="1578"/>
      <c r="AF71" s="1578"/>
      <c r="AG71" s="1578"/>
      <c r="AH71" s="1578"/>
      <c r="AI71" s="1578"/>
      <c r="AJ71" s="1578"/>
      <c r="AK71" s="1578"/>
      <c r="AL71" s="1578"/>
      <c r="AM71" s="1578"/>
      <c r="AN71" s="1578"/>
      <c r="AO71" s="1578"/>
      <c r="AP71" s="1578"/>
      <c r="AQ71" s="1578"/>
      <c r="AR71" s="1578"/>
      <c r="AS71" s="1578"/>
      <c r="AT71" s="1578"/>
      <c r="AU71" s="1578"/>
      <c r="AV71" s="1578"/>
      <c r="AW71" s="1578"/>
      <c r="AX71" s="1578"/>
      <c r="AY71" s="1578"/>
      <c r="AZ71" s="1578"/>
      <c r="BA71" s="1578"/>
      <c r="BB71" s="1578"/>
      <c r="BC71" s="1578"/>
      <c r="BD71" s="1578"/>
      <c r="BE71" s="1578"/>
      <c r="BF71" s="1578"/>
      <c r="BG71" s="1578"/>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s="1655">
        <v>0</v>
      </c>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c r="GL71"/>
      <c r="GM71"/>
      <c r="GN71"/>
      <c r="GO71"/>
      <c r="GP71"/>
      <c r="GQ71"/>
      <c r="GR71"/>
      <c r="GS71"/>
      <c r="GT71"/>
      <c r="GU71"/>
      <c r="GV71"/>
      <c r="GW71" s="1655"/>
      <c r="GX71"/>
      <c r="GY71"/>
      <c r="GZ71"/>
      <c r="HA71"/>
      <c r="HB71"/>
      <c r="HC71"/>
      <c r="HD71"/>
      <c r="HE71"/>
      <c r="HF71"/>
      <c r="HG71"/>
      <c r="HH71"/>
      <c r="HI71"/>
      <c r="HJ71"/>
      <c r="HK71"/>
      <c r="HL71"/>
      <c r="HM71"/>
      <c r="HN71"/>
      <c r="HO71"/>
      <c r="HP71"/>
      <c r="HQ71"/>
      <c r="HR71"/>
      <c r="HS71"/>
      <c r="HT71"/>
      <c r="HU71"/>
      <c r="HV71"/>
      <c r="HW71"/>
      <c r="HX71"/>
      <c r="HY71"/>
      <c r="HZ71"/>
      <c r="IA71"/>
      <c r="IB71"/>
      <c r="IC71"/>
      <c r="ID71"/>
      <c r="IE71"/>
      <c r="IF71"/>
      <c r="IG71"/>
      <c r="IH71"/>
      <c r="II71"/>
      <c r="IJ71"/>
      <c r="IK71"/>
      <c r="IL71"/>
      <c r="IM71"/>
      <c r="IN71"/>
      <c r="IO71"/>
      <c r="IP71"/>
      <c r="IQ71"/>
      <c r="IR71"/>
      <c r="IS71"/>
      <c r="IT71"/>
      <c r="IU71"/>
      <c r="IV71"/>
      <c r="IW71"/>
      <c r="IX71"/>
      <c r="IY71"/>
      <c r="IZ71"/>
      <c r="JA71"/>
      <c r="JB71"/>
      <c r="JC71"/>
      <c r="JD71"/>
      <c r="JE71"/>
      <c r="JF71"/>
      <c r="JG71"/>
      <c r="JH71"/>
      <c r="JI71"/>
      <c r="JJ71"/>
      <c r="JK71"/>
      <c r="JL71"/>
      <c r="JM71"/>
      <c r="JN71"/>
      <c r="JO71"/>
      <c r="JP71"/>
      <c r="JQ71"/>
      <c r="JR71"/>
      <c r="JS71"/>
      <c r="JT71"/>
      <c r="JU71"/>
      <c r="JV71"/>
      <c r="JW71"/>
      <c r="JX71"/>
      <c r="JY71"/>
      <c r="JZ71"/>
      <c r="KA71"/>
      <c r="KB71"/>
      <c r="KC71"/>
      <c r="KD71"/>
      <c r="KE71"/>
      <c r="KF71"/>
      <c r="KG71"/>
      <c r="KH71"/>
      <c r="KI71"/>
      <c r="KJ71"/>
      <c r="KK71"/>
      <c r="KL71"/>
      <c r="KM71"/>
      <c r="KN71"/>
      <c r="KO71"/>
      <c r="KP71"/>
      <c r="KQ71"/>
      <c r="KR71"/>
      <c r="KS71"/>
      <c r="KT71" s="1655"/>
      <c r="KU71"/>
      <c r="KV71"/>
      <c r="KW71"/>
      <c r="KX71"/>
      <c r="KY71"/>
      <c r="KZ71"/>
      <c r="LA71"/>
      <c r="LB71"/>
      <c r="LC71"/>
      <c r="LD71"/>
      <c r="LE71"/>
      <c r="LF71"/>
      <c r="LG71"/>
      <c r="LH71"/>
      <c r="LI71"/>
      <c r="LJ71"/>
      <c r="LK71"/>
      <c r="LL71"/>
      <c r="LM71"/>
      <c r="LN71"/>
      <c r="LO71"/>
      <c r="LP71"/>
      <c r="LQ71"/>
      <c r="LR71"/>
      <c r="LS71"/>
      <c r="LT71"/>
      <c r="LU71"/>
      <c r="LV71"/>
      <c r="LW71"/>
      <c r="LX71"/>
      <c r="LY71"/>
      <c r="LZ71"/>
      <c r="MA71"/>
      <c r="MB71"/>
      <c r="MC71"/>
      <c r="MD71"/>
      <c r="ME71"/>
      <c r="MF71"/>
      <c r="MG71"/>
      <c r="MH71"/>
      <c r="MI71"/>
      <c r="MJ71"/>
      <c r="MK71"/>
      <c r="ML71"/>
      <c r="MM71"/>
      <c r="MN71"/>
      <c r="MO71"/>
      <c r="MP71"/>
      <c r="MQ71"/>
      <c r="MR71"/>
      <c r="MS71"/>
      <c r="MT71"/>
      <c r="MU71"/>
      <c r="MV71"/>
      <c r="MW71"/>
      <c r="MX71"/>
      <c r="MY71"/>
      <c r="MZ71"/>
      <c r="NA71"/>
      <c r="NB71"/>
      <c r="NC71"/>
      <c r="ND71"/>
      <c r="NE71"/>
      <c r="NF71"/>
      <c r="NG71"/>
      <c r="NH71"/>
      <c r="NI71"/>
      <c r="NJ71"/>
      <c r="NK71"/>
      <c r="NL71"/>
      <c r="NM71"/>
      <c r="NN71"/>
      <c r="NO71"/>
      <c r="NP71"/>
      <c r="NQ71"/>
      <c r="NR71"/>
      <c r="NS71"/>
      <c r="NT71"/>
      <c r="NU71"/>
      <c r="NV71"/>
      <c r="NW71"/>
      <c r="NX71"/>
      <c r="NY71"/>
      <c r="NZ71"/>
      <c r="OA71"/>
      <c r="OB71"/>
      <c r="OC71"/>
      <c r="OD71"/>
      <c r="OE71"/>
      <c r="OF71"/>
      <c r="OG71"/>
      <c r="OH71"/>
      <c r="OI71"/>
      <c r="OJ71"/>
      <c r="OK71"/>
      <c r="OL71"/>
      <c r="OM71"/>
      <c r="ON71"/>
      <c r="OO71"/>
      <c r="OP71"/>
      <c r="OQ71" s="1656"/>
      <c r="OR71"/>
      <c r="OS71"/>
      <c r="OT71"/>
      <c r="OU71"/>
      <c r="OV71"/>
      <c r="OW71"/>
      <c r="OX71"/>
      <c r="OY71"/>
      <c r="OZ71"/>
      <c r="PA71"/>
      <c r="PB71"/>
      <c r="PC71"/>
      <c r="PD71"/>
      <c r="PE71"/>
      <c r="PF71"/>
      <c r="PG71"/>
      <c r="PH71"/>
      <c r="PI71"/>
      <c r="PJ71"/>
      <c r="PK71"/>
      <c r="PL71"/>
      <c r="PM71"/>
      <c r="PN71"/>
      <c r="PO71"/>
      <c r="PP71"/>
      <c r="PQ71"/>
      <c r="PR71"/>
      <c r="PS71"/>
      <c r="PT71" s="1656"/>
    </row>
    <row r="72" spans="1:436" ht="22" thickBot="1">
      <c r="A72" s="1466"/>
      <c r="B72" s="1579"/>
      <c r="C72" s="1579"/>
      <c r="D72" s="1579"/>
      <c r="E72" s="1580"/>
      <c r="F72" s="1580"/>
      <c r="G72" s="1580"/>
      <c r="H72" s="1580"/>
      <c r="I72" s="1580"/>
      <c r="J72" s="1580"/>
      <c r="K72" s="1580"/>
      <c r="L72" s="1580"/>
      <c r="M72" s="1580"/>
      <c r="N72" s="1580"/>
      <c r="O72" s="1580"/>
      <c r="P72" s="1580"/>
      <c r="Q72" s="1580"/>
      <c r="R72" s="1580"/>
      <c r="S72" s="1580"/>
      <c r="T72" s="1580"/>
      <c r="U72" s="1580"/>
      <c r="V72" s="1580"/>
      <c r="W72" s="1580"/>
      <c r="X72" s="1580"/>
      <c r="Y72" s="1580"/>
      <c r="Z72" s="1580"/>
      <c r="AA72" s="1580"/>
      <c r="AB72" s="1580"/>
      <c r="AC72" s="1580"/>
      <c r="AD72" s="1580"/>
      <c r="AE72" s="1580"/>
      <c r="AF72" s="1580"/>
      <c r="AG72" s="1580"/>
      <c r="AH72" s="1580"/>
      <c r="AI72" s="1580"/>
      <c r="AJ72" s="1580"/>
      <c r="AK72" s="1580"/>
      <c r="AL72" s="1580"/>
      <c r="AM72" s="1580"/>
      <c r="AN72" s="1580"/>
      <c r="AO72" s="1580"/>
      <c r="AP72" s="1580"/>
      <c r="AQ72" s="1580"/>
      <c r="AR72" s="1580"/>
      <c r="AS72" s="1580"/>
      <c r="AT72" s="1580"/>
      <c r="AU72" s="1580"/>
      <c r="AV72" s="1580"/>
      <c r="AW72" s="1580"/>
      <c r="AX72" s="1580"/>
      <c r="AY72" s="1580"/>
      <c r="AZ72" s="1580"/>
      <c r="BA72" s="1580"/>
      <c r="BB72" s="1580"/>
      <c r="BC72" s="1580"/>
      <c r="BD72" s="1580"/>
      <c r="BE72" s="1580"/>
      <c r="BF72" s="1580"/>
      <c r="BG72" s="1580"/>
      <c r="BH72">
        <v>0</v>
      </c>
      <c r="BI72">
        <v>0</v>
      </c>
      <c r="BJ72">
        <v>0</v>
      </c>
      <c r="BK72">
        <v>0</v>
      </c>
      <c r="BL72">
        <v>0</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s="1655">
        <v>0</v>
      </c>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c r="GL72"/>
      <c r="GM72"/>
      <c r="GN72"/>
      <c r="GO72"/>
      <c r="GP72"/>
      <c r="GQ72"/>
      <c r="GR72"/>
      <c r="GS72"/>
      <c r="GT72"/>
      <c r="GU72"/>
      <c r="GV72"/>
      <c r="GW72" s="1655"/>
      <c r="GX72"/>
      <c r="GY72"/>
      <c r="GZ72"/>
      <c r="HA72"/>
      <c r="HB72"/>
      <c r="HC72"/>
      <c r="HD72"/>
      <c r="HE72"/>
      <c r="HF72"/>
      <c r="HG72"/>
      <c r="HH72"/>
      <c r="HI72"/>
      <c r="HJ72"/>
      <c r="HK72"/>
      <c r="HL72"/>
      <c r="HM72"/>
      <c r="HN72"/>
      <c r="HO72"/>
      <c r="HP72"/>
      <c r="HQ72"/>
      <c r="HR72"/>
      <c r="HS72"/>
      <c r="HT72"/>
      <c r="HU72"/>
      <c r="HV72"/>
      <c r="HW72"/>
      <c r="HX72"/>
      <c r="HY72"/>
      <c r="HZ72"/>
      <c r="IA72"/>
      <c r="IB72"/>
      <c r="IC72"/>
      <c r="ID72"/>
      <c r="IE72"/>
      <c r="IF72"/>
      <c r="IG72"/>
      <c r="IH72"/>
      <c r="II72"/>
      <c r="IJ72"/>
      <c r="IK72"/>
      <c r="IL72"/>
      <c r="IM72"/>
      <c r="IN72"/>
      <c r="IO72"/>
      <c r="IP72"/>
      <c r="IQ72"/>
      <c r="IR72"/>
      <c r="IS72"/>
      <c r="IT72"/>
      <c r="IU72"/>
      <c r="IV72"/>
      <c r="IW72"/>
      <c r="IX72"/>
      <c r="IY72"/>
      <c r="IZ72"/>
      <c r="JA72"/>
      <c r="JB72"/>
      <c r="JC72"/>
      <c r="JD72"/>
      <c r="JE72"/>
      <c r="JF72"/>
      <c r="JG72"/>
      <c r="JH72"/>
      <c r="JI72"/>
      <c r="JJ72"/>
      <c r="JK72"/>
      <c r="JL72"/>
      <c r="JM72"/>
      <c r="JN72"/>
      <c r="JO72"/>
      <c r="JP72"/>
      <c r="JQ72"/>
      <c r="JR72"/>
      <c r="JS72"/>
      <c r="JT72"/>
      <c r="JU72"/>
      <c r="JV72"/>
      <c r="JW72"/>
      <c r="JX72"/>
      <c r="JY72"/>
      <c r="JZ72"/>
      <c r="KA72"/>
      <c r="KB72"/>
      <c r="KC72"/>
      <c r="KD72"/>
      <c r="KE72"/>
      <c r="KF72"/>
      <c r="KG72"/>
      <c r="KH72"/>
      <c r="KI72"/>
      <c r="KJ72"/>
      <c r="KK72"/>
      <c r="KL72"/>
      <c r="KM72"/>
      <c r="KN72"/>
      <c r="KO72"/>
      <c r="KP72"/>
      <c r="KQ72"/>
      <c r="KR72"/>
      <c r="KS72"/>
      <c r="KT72" s="1655"/>
      <c r="KU72"/>
      <c r="KV72"/>
      <c r="KW72"/>
      <c r="KX72"/>
      <c r="KY72"/>
      <c r="KZ72"/>
      <c r="LA72"/>
      <c r="LB72"/>
      <c r="LC72"/>
      <c r="LD72"/>
      <c r="LE72"/>
      <c r="LF72"/>
      <c r="LG72"/>
      <c r="LH72"/>
      <c r="LI72"/>
      <c r="LJ72"/>
      <c r="LK72"/>
      <c r="LL72"/>
      <c r="LM72"/>
      <c r="LN72"/>
      <c r="LO72"/>
      <c r="LP72"/>
      <c r="LQ72"/>
      <c r="LR72"/>
      <c r="LS72"/>
      <c r="LT72"/>
      <c r="LU72"/>
      <c r="LV72"/>
      <c r="LW72"/>
      <c r="LX72"/>
      <c r="LY72"/>
      <c r="LZ72"/>
      <c r="MA72"/>
      <c r="MB72"/>
      <c r="MC72"/>
      <c r="MD72"/>
      <c r="ME72"/>
      <c r="MF72"/>
      <c r="MG72"/>
      <c r="MH72"/>
      <c r="MI72"/>
      <c r="MJ72"/>
      <c r="MK72"/>
      <c r="ML72"/>
      <c r="MM72"/>
      <c r="MN72"/>
      <c r="MO72"/>
      <c r="MP72"/>
      <c r="MQ72"/>
      <c r="MR72"/>
      <c r="MS72"/>
      <c r="MT72"/>
      <c r="MU72"/>
      <c r="MV72"/>
      <c r="MW72"/>
      <c r="MX72"/>
      <c r="MY72"/>
      <c r="MZ72"/>
      <c r="NA72"/>
      <c r="NB72"/>
      <c r="NC72"/>
      <c r="ND72"/>
      <c r="NE72"/>
      <c r="NF72"/>
      <c r="NG72"/>
      <c r="NH72"/>
      <c r="NI72"/>
      <c r="NJ72"/>
      <c r="NK72"/>
      <c r="NL72"/>
      <c r="NM72"/>
      <c r="NN72"/>
      <c r="NO72"/>
      <c r="NP72"/>
      <c r="NQ72"/>
      <c r="NR72"/>
      <c r="NS72"/>
      <c r="NT72"/>
      <c r="NU72"/>
      <c r="NV72"/>
      <c r="NW72"/>
      <c r="NX72"/>
      <c r="NY72"/>
      <c r="NZ72"/>
      <c r="OA72"/>
      <c r="OB72"/>
      <c r="OC72"/>
      <c r="OD72"/>
      <c r="OE72"/>
      <c r="OF72"/>
      <c r="OG72"/>
      <c r="OH72"/>
      <c r="OI72"/>
      <c r="OJ72"/>
      <c r="OK72"/>
      <c r="OL72"/>
      <c r="OM72"/>
      <c r="ON72"/>
      <c r="OO72"/>
      <c r="OP72"/>
      <c r="OQ72" s="1656"/>
      <c r="OR72"/>
      <c r="OS72"/>
      <c r="OT72"/>
      <c r="OU72"/>
      <c r="OV72"/>
      <c r="OW72"/>
      <c r="OX72"/>
      <c r="OY72"/>
      <c r="OZ72"/>
      <c r="PA72"/>
      <c r="PB72"/>
      <c r="PC72"/>
      <c r="PD72"/>
      <c r="PE72"/>
      <c r="PF72"/>
      <c r="PG72"/>
      <c r="PH72"/>
      <c r="PI72"/>
      <c r="PJ72"/>
      <c r="PK72"/>
      <c r="PL72"/>
      <c r="PM72"/>
      <c r="PN72"/>
      <c r="PO72"/>
      <c r="PP72"/>
      <c r="PQ72"/>
      <c r="PR72"/>
      <c r="PS72"/>
      <c r="PT72" s="1656"/>
    </row>
    <row r="73" spans="1:436" ht="22" thickTop="1">
      <c r="A73" s="1466"/>
      <c r="B73" s="1581"/>
      <c r="C73" s="1581"/>
      <c r="D73" s="1581"/>
      <c r="E73" s="1582"/>
      <c r="F73" s="1582"/>
      <c r="G73" s="1582"/>
      <c r="H73" s="1582"/>
      <c r="I73" s="1582"/>
      <c r="J73" s="1582"/>
      <c r="K73" s="1582"/>
      <c r="L73" s="1582"/>
      <c r="M73" s="1582"/>
      <c r="N73" s="1582"/>
      <c r="O73" s="1582"/>
      <c r="P73" s="1582"/>
      <c r="Q73" s="1582"/>
      <c r="R73" s="1582"/>
      <c r="S73" s="1582"/>
      <c r="T73" s="1582"/>
      <c r="U73" s="1582"/>
      <c r="V73" s="1582"/>
      <c r="W73" s="1582"/>
      <c r="X73" s="1582"/>
      <c r="Y73" s="1582"/>
      <c r="Z73" s="1582"/>
      <c r="AA73" s="1582"/>
      <c r="AB73" s="1582"/>
      <c r="AC73" s="1582"/>
      <c r="AD73" s="1582"/>
      <c r="AE73" s="1582"/>
      <c r="AF73" s="1582"/>
      <c r="AG73" s="1582"/>
      <c r="AH73" s="1582"/>
      <c r="AI73" s="1582"/>
      <c r="AJ73" s="1582"/>
      <c r="AK73" s="1582"/>
      <c r="AL73" s="1582"/>
      <c r="AM73" s="1582"/>
      <c r="AN73" s="1582"/>
      <c r="AO73" s="1582"/>
      <c r="AP73" s="1582"/>
      <c r="AQ73" s="1582"/>
      <c r="AR73" s="1582"/>
      <c r="AS73" s="1582"/>
      <c r="AT73" s="1582"/>
      <c r="AU73" s="1582"/>
      <c r="AV73" s="1582"/>
      <c r="AW73" s="1582"/>
      <c r="AX73" s="1582"/>
      <c r="AY73" s="1582"/>
      <c r="AZ73" s="1582"/>
      <c r="BA73" s="1582"/>
      <c r="BB73" s="1582"/>
      <c r="BC73" s="1582"/>
      <c r="BD73" s="1582"/>
      <c r="BE73" s="1582"/>
      <c r="BF73" s="1582"/>
      <c r="BG73" s="1582"/>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s="1655">
        <v>0</v>
      </c>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c r="GL73"/>
      <c r="GM73"/>
      <c r="GN73"/>
      <c r="GO73"/>
      <c r="GP73"/>
      <c r="GQ73"/>
      <c r="GR73"/>
      <c r="GS73"/>
      <c r="GT73"/>
      <c r="GU73"/>
      <c r="GV73"/>
      <c r="GW73" s="1655"/>
      <c r="GX73"/>
      <c r="GY73"/>
      <c r="GZ73"/>
      <c r="HA73"/>
      <c r="HB73"/>
      <c r="HC73"/>
      <c r="HD73"/>
      <c r="HE73"/>
      <c r="HF73"/>
      <c r="HG73"/>
      <c r="HH73"/>
      <c r="HI73"/>
      <c r="HJ73"/>
      <c r="HK73"/>
      <c r="HL73"/>
      <c r="HM73"/>
      <c r="HN73"/>
      <c r="HO73"/>
      <c r="HP73"/>
      <c r="HQ73"/>
      <c r="HR73"/>
      <c r="HS73"/>
      <c r="HT73"/>
      <c r="HU73"/>
      <c r="HV73"/>
      <c r="HW73"/>
      <c r="HX73"/>
      <c r="HY73"/>
      <c r="HZ73"/>
      <c r="IA73"/>
      <c r="IB73"/>
      <c r="IC73"/>
      <c r="ID73"/>
      <c r="IE73"/>
      <c r="IF73"/>
      <c r="IG73"/>
      <c r="IH73"/>
      <c r="II73"/>
      <c r="IJ73"/>
      <c r="IK73"/>
      <c r="IL73"/>
      <c r="IM73"/>
      <c r="IN73"/>
      <c r="IO73"/>
      <c r="IP73"/>
      <c r="IQ73"/>
      <c r="IR73"/>
      <c r="IS73"/>
      <c r="IT73"/>
      <c r="IU73"/>
      <c r="IV73"/>
      <c r="IW73"/>
      <c r="IX73"/>
      <c r="IY73"/>
      <c r="IZ73"/>
      <c r="JA73"/>
      <c r="JB73"/>
      <c r="JC73"/>
      <c r="JD73"/>
      <c r="JE73"/>
      <c r="JF73"/>
      <c r="JG73"/>
      <c r="JH73"/>
      <c r="JI73"/>
      <c r="JJ73"/>
      <c r="JK73"/>
      <c r="JL73"/>
      <c r="JM73"/>
      <c r="JN73"/>
      <c r="JO73"/>
      <c r="JP73"/>
      <c r="JQ73"/>
      <c r="JR73"/>
      <c r="JS73"/>
      <c r="JT73"/>
      <c r="JU73"/>
      <c r="JV73"/>
      <c r="JW73"/>
      <c r="JX73"/>
      <c r="JY73"/>
      <c r="JZ73"/>
      <c r="KA73"/>
      <c r="KB73"/>
      <c r="KC73"/>
      <c r="KD73"/>
      <c r="KE73"/>
      <c r="KF73"/>
      <c r="KG73"/>
      <c r="KH73"/>
      <c r="KI73"/>
      <c r="KJ73"/>
      <c r="KK73"/>
      <c r="KL73"/>
      <c r="KM73"/>
      <c r="KN73"/>
      <c r="KO73"/>
      <c r="KP73"/>
      <c r="KQ73"/>
      <c r="KR73"/>
      <c r="KS73"/>
      <c r="KT73" s="1655"/>
      <c r="KU73"/>
      <c r="KV73"/>
      <c r="KW73"/>
      <c r="KX73"/>
      <c r="KY73"/>
      <c r="KZ73"/>
      <c r="LA73"/>
      <c r="LB73"/>
      <c r="LC73"/>
      <c r="LD73"/>
      <c r="LE73"/>
      <c r="LF73"/>
      <c r="LG73"/>
      <c r="LH73"/>
      <c r="LI73"/>
      <c r="LJ73"/>
      <c r="LK73"/>
      <c r="LL73"/>
      <c r="LM73"/>
      <c r="LN73"/>
      <c r="LO73"/>
      <c r="LP73"/>
      <c r="LQ73"/>
      <c r="LR73"/>
      <c r="LS73"/>
      <c r="LT73"/>
      <c r="LU73"/>
      <c r="LV73"/>
      <c r="LW73"/>
      <c r="LX73"/>
      <c r="LY73"/>
      <c r="LZ73"/>
      <c r="MA73"/>
      <c r="MB73"/>
      <c r="MC73"/>
      <c r="MD73"/>
      <c r="ME73"/>
      <c r="MF73"/>
      <c r="MG73"/>
      <c r="MH73"/>
      <c r="MI73"/>
      <c r="MJ73"/>
      <c r="MK73"/>
      <c r="ML73"/>
      <c r="MM73"/>
      <c r="MN73"/>
      <c r="MO73"/>
      <c r="MP73"/>
      <c r="MQ73"/>
      <c r="MR73"/>
      <c r="MS73"/>
      <c r="MT73"/>
      <c r="MU73"/>
      <c r="MV73"/>
      <c r="MW73"/>
      <c r="MX73"/>
      <c r="MY73"/>
      <c r="MZ73"/>
      <c r="NA73"/>
      <c r="NB73"/>
      <c r="NC73"/>
      <c r="ND73"/>
      <c r="NE73"/>
      <c r="NF73"/>
      <c r="NG73"/>
      <c r="NH73"/>
      <c r="NI73"/>
      <c r="NJ73"/>
      <c r="NK73"/>
      <c r="NL73"/>
      <c r="NM73"/>
      <c r="NN73"/>
      <c r="NO73"/>
      <c r="NP73"/>
      <c r="NQ73"/>
      <c r="NR73"/>
      <c r="NS73"/>
      <c r="NT73"/>
      <c r="NU73"/>
      <c r="NV73"/>
      <c r="NW73"/>
      <c r="NX73"/>
      <c r="NY73"/>
      <c r="NZ73"/>
      <c r="OA73"/>
      <c r="OB73"/>
      <c r="OC73"/>
      <c r="OD73"/>
      <c r="OE73"/>
      <c r="OF73"/>
      <c r="OG73"/>
      <c r="OH73"/>
      <c r="OI73"/>
      <c r="OJ73"/>
      <c r="OK73"/>
      <c r="OL73"/>
      <c r="OM73"/>
      <c r="ON73"/>
      <c r="OO73"/>
      <c r="OP73"/>
      <c r="OQ73" s="1656"/>
      <c r="OR73"/>
      <c r="OS73"/>
      <c r="OT73"/>
      <c r="OU73"/>
      <c r="OV73"/>
      <c r="OW73"/>
      <c r="OX73"/>
      <c r="OY73"/>
      <c r="OZ73"/>
      <c r="PA73"/>
      <c r="PB73"/>
      <c r="PC73"/>
      <c r="PD73"/>
      <c r="PE73"/>
      <c r="PF73"/>
      <c r="PG73"/>
      <c r="PH73"/>
      <c r="PI73"/>
      <c r="PJ73"/>
      <c r="PK73"/>
      <c r="PL73"/>
      <c r="PM73"/>
      <c r="PN73"/>
      <c r="PO73"/>
      <c r="PP73"/>
      <c r="PQ73"/>
      <c r="PR73"/>
      <c r="PS73"/>
      <c r="PT73" s="1656"/>
    </row>
    <row r="74" spans="1:436" ht="21.5">
      <c r="A74" s="1466"/>
      <c r="B74" s="1576"/>
      <c r="C74" s="1576"/>
      <c r="D74" s="1576"/>
      <c r="E74" s="1578"/>
      <c r="F74" s="1578"/>
      <c r="G74" s="1578"/>
      <c r="H74" s="1578"/>
      <c r="I74" s="1578"/>
      <c r="J74" s="1578"/>
      <c r="K74" s="1578"/>
      <c r="L74" s="1578"/>
      <c r="M74" s="1578"/>
      <c r="N74" s="1578"/>
      <c r="O74" s="1578"/>
      <c r="P74" s="1578"/>
      <c r="Q74" s="1578"/>
      <c r="R74" s="1578"/>
      <c r="S74" s="1578"/>
      <c r="T74" s="1578"/>
      <c r="U74" s="1578"/>
      <c r="V74" s="1578"/>
      <c r="W74" s="1578"/>
      <c r="X74" s="1578"/>
      <c r="Y74" s="1578"/>
      <c r="Z74" s="1578"/>
      <c r="AA74" s="1578"/>
      <c r="AB74" s="1578"/>
      <c r="AC74" s="1578"/>
      <c r="AD74" s="1578"/>
      <c r="AE74" s="1578"/>
      <c r="AF74" s="1578"/>
      <c r="AG74" s="1578"/>
      <c r="AH74" s="1578"/>
      <c r="AI74" s="1578"/>
      <c r="AJ74" s="1578"/>
      <c r="AK74" s="1578"/>
      <c r="AL74" s="1578"/>
      <c r="AM74" s="1578"/>
      <c r="AN74" s="1578"/>
      <c r="AO74" s="1578"/>
      <c r="AP74" s="1578"/>
      <c r="AQ74" s="1578"/>
      <c r="AR74" s="1578"/>
      <c r="AS74" s="1578"/>
      <c r="AT74" s="1578"/>
      <c r="AU74" s="1578"/>
      <c r="AV74" s="1578"/>
      <c r="AW74" s="1578"/>
      <c r="AX74" s="1578"/>
      <c r="AY74" s="1578"/>
      <c r="AZ74" s="1578"/>
      <c r="BA74" s="1578"/>
      <c r="BB74" s="1578"/>
      <c r="BC74" s="1578"/>
      <c r="BD74" s="1578"/>
      <c r="BE74" s="1578"/>
      <c r="BF74" s="1578"/>
      <c r="BG74" s="1578"/>
      <c r="BH74">
        <v>0</v>
      </c>
      <c r="BI74">
        <v>0</v>
      </c>
      <c r="BJ74">
        <v>0</v>
      </c>
      <c r="BK74">
        <v>0</v>
      </c>
      <c r="BL74">
        <v>0</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s="1655">
        <v>0</v>
      </c>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c r="GL74"/>
      <c r="GM74"/>
      <c r="GN74"/>
      <c r="GO74"/>
      <c r="GP74"/>
      <c r="GQ74"/>
      <c r="GR74"/>
      <c r="GS74"/>
      <c r="GT74"/>
      <c r="GU74"/>
      <c r="GV74"/>
      <c r="GW74" s="1655"/>
      <c r="GX74"/>
      <c r="GY74"/>
      <c r="GZ74"/>
      <c r="HA74"/>
      <c r="HB74"/>
      <c r="HC74"/>
      <c r="HD74"/>
      <c r="HE74"/>
      <c r="HF74"/>
      <c r="HG74"/>
      <c r="HH74"/>
      <c r="HI74"/>
      <c r="HJ74"/>
      <c r="HK74"/>
      <c r="HL74"/>
      <c r="HM74"/>
      <c r="HN74"/>
      <c r="HO74"/>
      <c r="HP74"/>
      <c r="HQ74"/>
      <c r="HR74"/>
      <c r="HS74"/>
      <c r="HT74"/>
      <c r="HU74"/>
      <c r="HV74"/>
      <c r="HW74"/>
      <c r="HX74"/>
      <c r="HY74"/>
      <c r="HZ74"/>
      <c r="IA74"/>
      <c r="IB74"/>
      <c r="IC74"/>
      <c r="ID74"/>
      <c r="IE74"/>
      <c r="IF74"/>
      <c r="IG74"/>
      <c r="IH74"/>
      <c r="II74"/>
      <c r="IJ74"/>
      <c r="IK74"/>
      <c r="IL74"/>
      <c r="IM74"/>
      <c r="IN74"/>
      <c r="IO74"/>
      <c r="IP74"/>
      <c r="IQ74"/>
      <c r="IR74"/>
      <c r="IS74"/>
      <c r="IT74"/>
      <c r="IU74"/>
      <c r="IV74"/>
      <c r="IW74"/>
      <c r="IX74"/>
      <c r="IY74"/>
      <c r="IZ74"/>
      <c r="JA74"/>
      <c r="JB74"/>
      <c r="JC74"/>
      <c r="JD74"/>
      <c r="JE74"/>
      <c r="JF74"/>
      <c r="JG74"/>
      <c r="JH74"/>
      <c r="JI74"/>
      <c r="JJ74"/>
      <c r="JK74"/>
      <c r="JL74"/>
      <c r="JM74"/>
      <c r="JN74"/>
      <c r="JO74"/>
      <c r="JP74"/>
      <c r="JQ74"/>
      <c r="JR74"/>
      <c r="JS74"/>
      <c r="JT74"/>
      <c r="JU74"/>
      <c r="JV74"/>
      <c r="JW74"/>
      <c r="JX74"/>
      <c r="JY74"/>
      <c r="JZ74"/>
      <c r="KA74"/>
      <c r="KB74"/>
      <c r="KC74"/>
      <c r="KD74"/>
      <c r="KE74"/>
      <c r="KF74"/>
      <c r="KG74"/>
      <c r="KH74"/>
      <c r="KI74"/>
      <c r="KJ74"/>
      <c r="KK74"/>
      <c r="KL74"/>
      <c r="KM74"/>
      <c r="KN74"/>
      <c r="KO74"/>
      <c r="KP74"/>
      <c r="KQ74"/>
      <c r="KR74"/>
      <c r="KS74"/>
      <c r="KT74" s="1655"/>
      <c r="KU74"/>
      <c r="KV74"/>
      <c r="KW74"/>
      <c r="KX74"/>
      <c r="KY74"/>
      <c r="KZ74"/>
      <c r="LA74"/>
      <c r="LB74"/>
      <c r="LC74"/>
      <c r="LD74"/>
      <c r="LE74"/>
      <c r="LF74"/>
      <c r="LG74"/>
      <c r="LH74"/>
      <c r="LI74"/>
      <c r="LJ74"/>
      <c r="LK74"/>
      <c r="LL74"/>
      <c r="LM74"/>
      <c r="LN74"/>
      <c r="LO74"/>
      <c r="LP74"/>
      <c r="LQ74"/>
      <c r="LR74"/>
      <c r="LS74"/>
      <c r="LT74"/>
      <c r="LU74"/>
      <c r="LV74"/>
      <c r="LW74"/>
      <c r="LX74"/>
      <c r="LY74"/>
      <c r="LZ74"/>
      <c r="MA74"/>
      <c r="MB74"/>
      <c r="MC74"/>
      <c r="MD74"/>
      <c r="ME74"/>
      <c r="MF74"/>
      <c r="MG74"/>
      <c r="MH74"/>
      <c r="MI74"/>
      <c r="MJ74"/>
      <c r="MK74"/>
      <c r="ML74"/>
      <c r="MM74"/>
      <c r="MN74"/>
      <c r="MO74"/>
      <c r="MP74"/>
      <c r="MQ74"/>
      <c r="MR74"/>
      <c r="MS74"/>
      <c r="MT74"/>
      <c r="MU74"/>
      <c r="MV74"/>
      <c r="MW74"/>
      <c r="MX74"/>
      <c r="MY74"/>
      <c r="MZ74"/>
      <c r="NA74"/>
      <c r="NB74"/>
      <c r="NC74"/>
      <c r="ND74"/>
      <c r="NE74"/>
      <c r="NF74"/>
      <c r="NG74"/>
      <c r="NH74"/>
      <c r="NI74"/>
      <c r="NJ74"/>
      <c r="NK74"/>
      <c r="NL74"/>
      <c r="NM74"/>
      <c r="NN74"/>
      <c r="NO74"/>
      <c r="NP74"/>
      <c r="NQ74"/>
      <c r="NR74"/>
      <c r="NS74"/>
      <c r="NT74"/>
      <c r="NU74"/>
      <c r="NV74"/>
      <c r="NW74"/>
      <c r="NX74"/>
      <c r="NY74"/>
      <c r="NZ74"/>
      <c r="OA74"/>
      <c r="OB74"/>
      <c r="OC74"/>
      <c r="OD74"/>
      <c r="OE74"/>
      <c r="OF74"/>
      <c r="OG74"/>
      <c r="OH74"/>
      <c r="OI74"/>
      <c r="OJ74"/>
      <c r="OK74"/>
      <c r="OL74"/>
      <c r="OM74"/>
      <c r="ON74"/>
      <c r="OO74"/>
      <c r="OP74"/>
      <c r="OQ74" s="1656"/>
      <c r="OR74"/>
      <c r="OS74"/>
      <c r="OT74"/>
      <c r="OU74"/>
      <c r="OV74"/>
      <c r="OW74"/>
      <c r="OX74"/>
      <c r="OY74"/>
      <c r="OZ74"/>
      <c r="PA74"/>
      <c r="PB74"/>
      <c r="PC74"/>
      <c r="PD74"/>
      <c r="PE74"/>
      <c r="PF74"/>
      <c r="PG74"/>
      <c r="PH74"/>
      <c r="PI74"/>
      <c r="PJ74"/>
      <c r="PK74"/>
      <c r="PL74"/>
      <c r="PM74"/>
      <c r="PN74"/>
      <c r="PO74"/>
      <c r="PP74"/>
      <c r="PQ74"/>
      <c r="PR74"/>
      <c r="PS74"/>
      <c r="PT74" s="1656"/>
    </row>
    <row r="75" spans="1:436" ht="21.5">
      <c r="A75" s="1466"/>
      <c r="B75" s="1576"/>
      <c r="C75" s="1576"/>
      <c r="D75" s="1576"/>
      <c r="E75" s="1578"/>
      <c r="F75" s="1578"/>
      <c r="G75" s="1578"/>
      <c r="H75" s="1578"/>
      <c r="I75" s="1578"/>
      <c r="J75" s="1578"/>
      <c r="K75" s="1578"/>
      <c r="L75" s="1578"/>
      <c r="M75" s="1578"/>
      <c r="N75" s="1578"/>
      <c r="O75" s="1578"/>
      <c r="P75" s="1578"/>
      <c r="Q75" s="1578"/>
      <c r="R75" s="1578"/>
      <c r="S75" s="1578"/>
      <c r="T75" s="1578"/>
      <c r="U75" s="1578"/>
      <c r="V75" s="1578"/>
      <c r="W75" s="1578"/>
      <c r="X75" s="1578"/>
      <c r="Y75" s="1578"/>
      <c r="Z75" s="1578"/>
      <c r="AA75" s="1578"/>
      <c r="AB75" s="1578"/>
      <c r="AC75" s="1578"/>
      <c r="AD75" s="1578"/>
      <c r="AE75" s="1578"/>
      <c r="AF75" s="1578"/>
      <c r="AG75" s="1578"/>
      <c r="AH75" s="1578"/>
      <c r="AI75" s="1578"/>
      <c r="AJ75" s="1578"/>
      <c r="AK75" s="1578"/>
      <c r="AL75" s="1578"/>
      <c r="AM75" s="1578"/>
      <c r="AN75" s="1578"/>
      <c r="AO75" s="1578"/>
      <c r="AP75" s="1578"/>
      <c r="AQ75" s="1578"/>
      <c r="AR75" s="1578"/>
      <c r="AS75" s="1578"/>
      <c r="AT75" s="1578"/>
      <c r="AU75" s="1578"/>
      <c r="AV75" s="1578"/>
      <c r="AW75" s="1578"/>
      <c r="AX75" s="1578"/>
      <c r="AY75" s="1578"/>
      <c r="AZ75" s="1578"/>
      <c r="BA75" s="1578"/>
      <c r="BB75" s="1578"/>
      <c r="BC75" s="1578"/>
      <c r="BD75" s="1578"/>
      <c r="BE75" s="1578"/>
      <c r="BF75" s="1578"/>
      <c r="BG75" s="1578"/>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s="1655">
        <v>0</v>
      </c>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c r="GL75"/>
      <c r="GM75"/>
      <c r="GN75"/>
      <c r="GO75"/>
      <c r="GP75"/>
      <c r="GQ75"/>
      <c r="GR75"/>
      <c r="GS75"/>
      <c r="GT75"/>
      <c r="GU75"/>
      <c r="GV75"/>
      <c r="GW75" s="1655"/>
      <c r="GX75"/>
      <c r="GY75"/>
      <c r="GZ75"/>
      <c r="HA75"/>
      <c r="HB75"/>
      <c r="HC75"/>
      <c r="HD75"/>
      <c r="HE75"/>
      <c r="HF75"/>
      <c r="HG75"/>
      <c r="HH75"/>
      <c r="HI75"/>
      <c r="HJ75"/>
      <c r="HK75"/>
      <c r="HL75"/>
      <c r="HM75"/>
      <c r="HN75"/>
      <c r="HO75"/>
      <c r="HP75"/>
      <c r="HQ75"/>
      <c r="HR75"/>
      <c r="HS75"/>
      <c r="HT75"/>
      <c r="HU75"/>
      <c r="HV75"/>
      <c r="HW75"/>
      <c r="HX75"/>
      <c r="HY75"/>
      <c r="HZ75"/>
      <c r="IA75"/>
      <c r="IB75"/>
      <c r="IC75"/>
      <c r="ID75"/>
      <c r="IE75"/>
      <c r="IF75"/>
      <c r="IG75"/>
      <c r="IH75"/>
      <c r="II75"/>
      <c r="IJ75"/>
      <c r="IK75"/>
      <c r="IL75"/>
      <c r="IM75"/>
      <c r="IN75"/>
      <c r="IO75"/>
      <c r="IP75"/>
      <c r="IQ75"/>
      <c r="IR75"/>
      <c r="IS75"/>
      <c r="IT75"/>
      <c r="IU75"/>
      <c r="IV75"/>
      <c r="IW75"/>
      <c r="IX75"/>
      <c r="IY75"/>
      <c r="IZ75"/>
      <c r="JA75"/>
      <c r="JB75"/>
      <c r="JC75"/>
      <c r="JD75"/>
      <c r="JE75"/>
      <c r="JF75"/>
      <c r="JG75"/>
      <c r="JH75"/>
      <c r="JI75"/>
      <c r="JJ75"/>
      <c r="JK75"/>
      <c r="JL75"/>
      <c r="JM75"/>
      <c r="JN75"/>
      <c r="JO75"/>
      <c r="JP75"/>
      <c r="JQ75"/>
      <c r="JR75"/>
      <c r="JS75"/>
      <c r="JT75"/>
      <c r="JU75"/>
      <c r="JV75"/>
      <c r="JW75"/>
      <c r="JX75"/>
      <c r="JY75"/>
      <c r="JZ75"/>
      <c r="KA75"/>
      <c r="KB75"/>
      <c r="KC75"/>
      <c r="KD75"/>
      <c r="KE75"/>
      <c r="KF75"/>
      <c r="KG75"/>
      <c r="KH75"/>
      <c r="KI75"/>
      <c r="KJ75"/>
      <c r="KK75"/>
      <c r="KL75"/>
      <c r="KM75"/>
      <c r="KN75"/>
      <c r="KO75"/>
      <c r="KP75"/>
      <c r="KQ75"/>
      <c r="KR75"/>
      <c r="KS75"/>
      <c r="KT75" s="1655"/>
      <c r="KU75"/>
      <c r="KV75"/>
      <c r="KW75"/>
      <c r="KX75"/>
      <c r="KY75"/>
      <c r="KZ75"/>
      <c r="LA75"/>
      <c r="LB75"/>
      <c r="LC75"/>
      <c r="LD75"/>
      <c r="LE75"/>
      <c r="LF75"/>
      <c r="LG75"/>
      <c r="LH75"/>
      <c r="LI75"/>
      <c r="LJ75"/>
      <c r="LK75"/>
      <c r="LL75"/>
      <c r="LM75"/>
      <c r="LN75"/>
      <c r="LO75"/>
      <c r="LP75"/>
      <c r="LQ75"/>
      <c r="LR75"/>
      <c r="LS75"/>
      <c r="LT75"/>
      <c r="LU75"/>
      <c r="LV75"/>
      <c r="LW75"/>
      <c r="LX75"/>
      <c r="LY75"/>
      <c r="LZ75"/>
      <c r="MA75"/>
      <c r="MB75"/>
      <c r="MC75"/>
      <c r="MD75"/>
      <c r="ME75"/>
      <c r="MF75"/>
      <c r="MG75"/>
      <c r="MH75"/>
      <c r="MI75"/>
      <c r="MJ75"/>
      <c r="MK75"/>
      <c r="ML75"/>
      <c r="MM75"/>
      <c r="MN75"/>
      <c r="MO75"/>
      <c r="MP75"/>
      <c r="MQ75"/>
      <c r="MR75"/>
      <c r="MS75"/>
      <c r="MT75"/>
      <c r="MU75"/>
      <c r="MV75"/>
      <c r="MW75"/>
      <c r="MX75"/>
      <c r="MY75"/>
      <c r="MZ75"/>
      <c r="NA75"/>
      <c r="NB75"/>
      <c r="NC75"/>
      <c r="ND75"/>
      <c r="NE75"/>
      <c r="NF75"/>
      <c r="NG75"/>
      <c r="NH75"/>
      <c r="NI75"/>
      <c r="NJ75"/>
      <c r="NK75"/>
      <c r="NL75"/>
      <c r="NM75"/>
      <c r="NN75"/>
      <c r="NO75"/>
      <c r="NP75"/>
      <c r="NQ75"/>
      <c r="NR75"/>
      <c r="NS75"/>
      <c r="NT75"/>
      <c r="NU75"/>
      <c r="NV75"/>
      <c r="NW75"/>
      <c r="NX75"/>
      <c r="NY75"/>
      <c r="NZ75"/>
      <c r="OA75"/>
      <c r="OB75"/>
      <c r="OC75"/>
      <c r="OD75"/>
      <c r="OE75"/>
      <c r="OF75"/>
      <c r="OG75"/>
      <c r="OH75"/>
      <c r="OI75"/>
      <c r="OJ75"/>
      <c r="OK75"/>
      <c r="OL75"/>
      <c r="OM75"/>
      <c r="ON75"/>
      <c r="OO75"/>
      <c r="OP75"/>
      <c r="OQ75" s="1656"/>
      <c r="OR75"/>
      <c r="OS75"/>
      <c r="OT75"/>
      <c r="OU75"/>
      <c r="OV75"/>
      <c r="OW75"/>
      <c r="OX75"/>
      <c r="OY75"/>
      <c r="OZ75"/>
      <c r="PA75"/>
      <c r="PB75"/>
      <c r="PC75"/>
      <c r="PD75"/>
      <c r="PE75"/>
      <c r="PF75"/>
      <c r="PG75"/>
      <c r="PH75"/>
      <c r="PI75"/>
      <c r="PJ75"/>
      <c r="PK75"/>
      <c r="PL75"/>
      <c r="PM75"/>
      <c r="PN75"/>
      <c r="PO75"/>
      <c r="PP75"/>
      <c r="PQ75"/>
      <c r="PR75"/>
      <c r="PS75"/>
      <c r="PT75" s="1656"/>
    </row>
    <row r="76" spans="1:436" ht="21.5">
      <c r="A76" s="1466"/>
      <c r="B76" s="1576"/>
      <c r="C76" s="1576"/>
      <c r="D76" s="1576"/>
      <c r="E76" s="1578"/>
      <c r="F76" s="1578"/>
      <c r="G76" s="1578"/>
      <c r="H76" s="1578"/>
      <c r="I76" s="1578"/>
      <c r="J76" s="1578"/>
      <c r="K76" s="1578"/>
      <c r="L76" s="1578"/>
      <c r="M76" s="1578"/>
      <c r="N76" s="1578"/>
      <c r="O76" s="1578"/>
      <c r="P76" s="1578"/>
      <c r="Q76" s="1578"/>
      <c r="R76" s="1578"/>
      <c r="S76" s="1578"/>
      <c r="T76" s="1578"/>
      <c r="U76" s="1578"/>
      <c r="V76" s="1578"/>
      <c r="W76" s="1578"/>
      <c r="X76" s="1578"/>
      <c r="Y76" s="1578"/>
      <c r="Z76" s="1578"/>
      <c r="AA76" s="1578"/>
      <c r="AB76" s="1578"/>
      <c r="AC76" s="1578"/>
      <c r="AD76" s="1578"/>
      <c r="AE76" s="1578"/>
      <c r="AF76" s="1578"/>
      <c r="AG76" s="1578"/>
      <c r="AH76" s="1578"/>
      <c r="AI76" s="1578"/>
      <c r="AJ76" s="1578"/>
      <c r="AK76" s="1578"/>
      <c r="AL76" s="1578"/>
      <c r="AM76" s="1578"/>
      <c r="AN76" s="1578"/>
      <c r="AO76" s="1578"/>
      <c r="AP76" s="1578"/>
      <c r="AQ76" s="1578"/>
      <c r="AR76" s="1578"/>
      <c r="AS76" s="1578"/>
      <c r="AT76" s="1578"/>
      <c r="AU76" s="1578"/>
      <c r="AV76" s="1578"/>
      <c r="AW76" s="1578"/>
      <c r="AX76" s="1578"/>
      <c r="AY76" s="1578"/>
      <c r="AZ76" s="1578"/>
      <c r="BA76" s="1578"/>
      <c r="BB76" s="1578"/>
      <c r="BC76" s="1578"/>
      <c r="BD76" s="1578"/>
      <c r="BE76" s="1578"/>
      <c r="BF76" s="1578"/>
      <c r="BG76" s="1578"/>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s="1655">
        <v>0</v>
      </c>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c r="GL76"/>
      <c r="GM76"/>
      <c r="GN76"/>
      <c r="GO76"/>
      <c r="GP76"/>
      <c r="GQ76"/>
      <c r="GR76"/>
      <c r="GS76"/>
      <c r="GT76"/>
      <c r="GU76"/>
      <c r="GV76"/>
      <c r="GW76" s="1655"/>
      <c r="GX76"/>
      <c r="GY76"/>
      <c r="GZ76"/>
      <c r="HA76"/>
      <c r="HB76"/>
      <c r="HC76"/>
      <c r="HD76"/>
      <c r="HE76"/>
      <c r="HF76"/>
      <c r="HG76"/>
      <c r="HH76"/>
      <c r="HI76"/>
      <c r="HJ76"/>
      <c r="HK76"/>
      <c r="HL76"/>
      <c r="HM76"/>
      <c r="HN76"/>
      <c r="HO76"/>
      <c r="HP76"/>
      <c r="HQ76"/>
      <c r="HR76"/>
      <c r="HS76"/>
      <c r="HT76"/>
      <c r="HU76"/>
      <c r="HV76"/>
      <c r="HW76"/>
      <c r="HX76"/>
      <c r="HY76"/>
      <c r="HZ76"/>
      <c r="IA76"/>
      <c r="IB76"/>
      <c r="IC76"/>
      <c r="ID76"/>
      <c r="IE76"/>
      <c r="IF76"/>
      <c r="IG76"/>
      <c r="IH76"/>
      <c r="II76"/>
      <c r="IJ76"/>
      <c r="IK76"/>
      <c r="IL76"/>
      <c r="IM76"/>
      <c r="IN76"/>
      <c r="IO76"/>
      <c r="IP76"/>
      <c r="IQ76"/>
      <c r="IR76"/>
      <c r="IS76"/>
      <c r="IT76"/>
      <c r="IU76"/>
      <c r="IV76"/>
      <c r="IW76"/>
      <c r="IX76"/>
      <c r="IY76"/>
      <c r="IZ76"/>
      <c r="JA76"/>
      <c r="JB76"/>
      <c r="JC76"/>
      <c r="JD76"/>
      <c r="JE76"/>
      <c r="JF76"/>
      <c r="JG76"/>
      <c r="JH76"/>
      <c r="JI76"/>
      <c r="JJ76"/>
      <c r="JK76"/>
      <c r="JL76"/>
      <c r="JM76"/>
      <c r="JN76"/>
      <c r="JO76"/>
      <c r="JP76"/>
      <c r="JQ76"/>
      <c r="JR76"/>
      <c r="JS76"/>
      <c r="JT76"/>
      <c r="JU76"/>
      <c r="JV76"/>
      <c r="JW76"/>
      <c r="JX76"/>
      <c r="JY76"/>
      <c r="JZ76"/>
      <c r="KA76"/>
      <c r="KB76"/>
      <c r="KC76"/>
      <c r="KD76"/>
      <c r="KE76"/>
      <c r="KF76"/>
      <c r="KG76"/>
      <c r="KH76"/>
      <c r="KI76"/>
      <c r="KJ76"/>
      <c r="KK76"/>
      <c r="KL76"/>
      <c r="KM76"/>
      <c r="KN76"/>
      <c r="KO76"/>
      <c r="KP76"/>
      <c r="KQ76"/>
      <c r="KR76"/>
      <c r="KS76"/>
      <c r="KT76" s="1655"/>
      <c r="KU76"/>
      <c r="KV76"/>
      <c r="KW76"/>
      <c r="KX76"/>
      <c r="KY76"/>
      <c r="KZ76"/>
      <c r="LA76"/>
      <c r="LB76"/>
      <c r="LC76"/>
      <c r="LD76"/>
      <c r="LE76"/>
      <c r="LF76"/>
      <c r="LG76"/>
      <c r="LH76"/>
      <c r="LI76"/>
      <c r="LJ76"/>
      <c r="LK76"/>
      <c r="LL76"/>
      <c r="LM76"/>
      <c r="LN76"/>
      <c r="LO76"/>
      <c r="LP76"/>
      <c r="LQ76"/>
      <c r="LR76"/>
      <c r="LS76"/>
      <c r="LT76"/>
      <c r="LU76"/>
      <c r="LV76"/>
      <c r="LW76"/>
      <c r="LX76"/>
      <c r="LY76"/>
      <c r="LZ76"/>
      <c r="MA76"/>
      <c r="MB76"/>
      <c r="MC76"/>
      <c r="MD76"/>
      <c r="ME76"/>
      <c r="MF76"/>
      <c r="MG76"/>
      <c r="MH76"/>
      <c r="MI76"/>
      <c r="MJ76"/>
      <c r="MK76"/>
      <c r="ML76"/>
      <c r="MM76"/>
      <c r="MN76"/>
      <c r="MO76"/>
      <c r="MP76"/>
      <c r="MQ76"/>
      <c r="MR76"/>
      <c r="MS76"/>
      <c r="MT76"/>
      <c r="MU76"/>
      <c r="MV76"/>
      <c r="MW76"/>
      <c r="MX76"/>
      <c r="MY76"/>
      <c r="MZ76"/>
      <c r="NA76"/>
      <c r="NB76"/>
      <c r="NC76"/>
      <c r="ND76"/>
      <c r="NE76"/>
      <c r="NF76"/>
      <c r="NG76"/>
      <c r="NH76"/>
      <c r="NI76"/>
      <c r="NJ76"/>
      <c r="NK76"/>
      <c r="NL76"/>
      <c r="NM76"/>
      <c r="NN76"/>
      <c r="NO76"/>
      <c r="NP76"/>
      <c r="NQ76"/>
      <c r="NR76"/>
      <c r="NS76"/>
      <c r="NT76"/>
      <c r="NU76"/>
      <c r="NV76"/>
      <c r="NW76"/>
      <c r="NX76"/>
      <c r="NY76"/>
      <c r="NZ76"/>
      <c r="OA76"/>
      <c r="OB76"/>
      <c r="OC76"/>
      <c r="OD76"/>
      <c r="OE76"/>
      <c r="OF76"/>
      <c r="OG76"/>
      <c r="OH76"/>
      <c r="OI76"/>
      <c r="OJ76"/>
      <c r="OK76"/>
      <c r="OL76"/>
      <c r="OM76"/>
      <c r="ON76"/>
      <c r="OO76"/>
      <c r="OP76"/>
      <c r="OQ76" s="1656"/>
      <c r="OR76"/>
      <c r="OS76"/>
      <c r="OT76"/>
      <c r="OU76"/>
      <c r="OV76"/>
      <c r="OW76"/>
      <c r="OX76"/>
      <c r="OY76"/>
      <c r="OZ76"/>
      <c r="PA76"/>
      <c r="PB76"/>
      <c r="PC76"/>
      <c r="PD76"/>
      <c r="PE76"/>
      <c r="PF76"/>
      <c r="PG76"/>
      <c r="PH76"/>
      <c r="PI76"/>
      <c r="PJ76"/>
      <c r="PK76"/>
      <c r="PL76"/>
      <c r="PM76"/>
      <c r="PN76"/>
      <c r="PO76"/>
      <c r="PP76"/>
      <c r="PQ76"/>
      <c r="PR76"/>
      <c r="PS76"/>
      <c r="PT76" s="1656"/>
    </row>
    <row r="77" spans="1:436" ht="21.5">
      <c r="A77" s="1466"/>
      <c r="B77" s="1576"/>
      <c r="C77" s="1576"/>
      <c r="D77" s="1576"/>
      <c r="E77" s="1578"/>
      <c r="F77" s="1578"/>
      <c r="G77" s="1578"/>
      <c r="H77" s="1578"/>
      <c r="I77" s="1578"/>
      <c r="J77" s="1578"/>
      <c r="K77" s="1578"/>
      <c r="L77" s="1578"/>
      <c r="M77" s="1578"/>
      <c r="N77" s="1578"/>
      <c r="O77" s="1578"/>
      <c r="P77" s="1578"/>
      <c r="Q77" s="1578"/>
      <c r="R77" s="1578"/>
      <c r="S77" s="1578"/>
      <c r="T77" s="1578"/>
      <c r="U77" s="1578"/>
      <c r="V77" s="1578"/>
      <c r="W77" s="1578"/>
      <c r="X77" s="1578"/>
      <c r="Y77" s="1578"/>
      <c r="Z77" s="1578"/>
      <c r="AA77" s="1578"/>
      <c r="AB77" s="1578"/>
      <c r="AC77" s="1578"/>
      <c r="AD77" s="1578"/>
      <c r="AE77" s="1578"/>
      <c r="AF77" s="1578"/>
      <c r="AG77" s="1578"/>
      <c r="AH77" s="1578"/>
      <c r="AI77" s="1578"/>
      <c r="AJ77" s="1578"/>
      <c r="AK77" s="1578"/>
      <c r="AL77" s="1578"/>
      <c r="AM77" s="1578"/>
      <c r="AN77" s="1578"/>
      <c r="AO77" s="1578"/>
      <c r="AP77" s="1578"/>
      <c r="AQ77" s="1578"/>
      <c r="AR77" s="1578"/>
      <c r="AS77" s="1578"/>
      <c r="AT77" s="1578"/>
      <c r="AU77" s="1578"/>
      <c r="AV77" s="1578"/>
      <c r="AW77" s="1578"/>
      <c r="AX77" s="1578"/>
      <c r="AY77" s="1578"/>
      <c r="AZ77" s="1578"/>
      <c r="BA77" s="1578"/>
      <c r="BB77" s="1578"/>
      <c r="BC77" s="1578"/>
      <c r="BD77" s="1578"/>
      <c r="BE77" s="1578"/>
      <c r="BF77" s="1578"/>
      <c r="BG77" s="1578"/>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s="1655">
        <v>0</v>
      </c>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c r="GL77"/>
      <c r="GM77"/>
      <c r="GN77"/>
      <c r="GO77"/>
      <c r="GP77"/>
      <c r="GQ77"/>
      <c r="GR77"/>
      <c r="GS77"/>
      <c r="GT77"/>
      <c r="GU77"/>
      <c r="GV77"/>
      <c r="GW77" s="1655"/>
      <c r="GX77"/>
      <c r="GY77"/>
      <c r="GZ77"/>
      <c r="HA77"/>
      <c r="HB77"/>
      <c r="HC77"/>
      <c r="HD77"/>
      <c r="HE77"/>
      <c r="HF77"/>
      <c r="HG77"/>
      <c r="HH77"/>
      <c r="HI77"/>
      <c r="HJ77"/>
      <c r="HK77"/>
      <c r="HL77"/>
      <c r="HM77"/>
      <c r="HN77"/>
      <c r="HO77"/>
      <c r="HP77"/>
      <c r="HQ77"/>
      <c r="HR77"/>
      <c r="HS77"/>
      <c r="HT77"/>
      <c r="HU77"/>
      <c r="HV77"/>
      <c r="HW77"/>
      <c r="HX77"/>
      <c r="HY77"/>
      <c r="HZ77"/>
      <c r="IA77"/>
      <c r="IB77"/>
      <c r="IC77"/>
      <c r="ID77"/>
      <c r="IE77"/>
      <c r="IF77"/>
      <c r="IG77"/>
      <c r="IH77"/>
      <c r="II77"/>
      <c r="IJ77"/>
      <c r="IK77"/>
      <c r="IL77"/>
      <c r="IM77"/>
      <c r="IN77"/>
      <c r="IO77"/>
      <c r="IP77"/>
      <c r="IQ77"/>
      <c r="IR77"/>
      <c r="IS77"/>
      <c r="IT77"/>
      <c r="IU77"/>
      <c r="IV77"/>
      <c r="IW77"/>
      <c r="IX77"/>
      <c r="IY77"/>
      <c r="IZ77"/>
      <c r="JA77"/>
      <c r="JB77"/>
      <c r="JC77"/>
      <c r="JD77"/>
      <c r="JE77"/>
      <c r="JF77"/>
      <c r="JG77"/>
      <c r="JH77"/>
      <c r="JI77"/>
      <c r="JJ77"/>
      <c r="JK77"/>
      <c r="JL77"/>
      <c r="JM77"/>
      <c r="JN77"/>
      <c r="JO77"/>
      <c r="JP77"/>
      <c r="JQ77"/>
      <c r="JR77"/>
      <c r="JS77"/>
      <c r="JT77"/>
      <c r="JU77"/>
      <c r="JV77"/>
      <c r="JW77"/>
      <c r="JX77"/>
      <c r="JY77"/>
      <c r="JZ77"/>
      <c r="KA77"/>
      <c r="KB77"/>
      <c r="KC77"/>
      <c r="KD77"/>
      <c r="KE77"/>
      <c r="KF77"/>
      <c r="KG77"/>
      <c r="KH77"/>
      <c r="KI77"/>
      <c r="KJ77"/>
      <c r="KK77"/>
      <c r="KL77"/>
      <c r="KM77"/>
      <c r="KN77"/>
      <c r="KO77"/>
      <c r="KP77"/>
      <c r="KQ77"/>
      <c r="KR77"/>
      <c r="KS77"/>
      <c r="KT77" s="1655"/>
      <c r="KU77"/>
      <c r="KV77"/>
      <c r="KW77"/>
      <c r="KX77"/>
      <c r="KY77"/>
      <c r="KZ77"/>
      <c r="LA77"/>
      <c r="LB77"/>
      <c r="LC77"/>
      <c r="LD77"/>
      <c r="LE77"/>
      <c r="LF77"/>
      <c r="LG77"/>
      <c r="LH77"/>
      <c r="LI77"/>
      <c r="LJ77"/>
      <c r="LK77"/>
      <c r="LL77"/>
      <c r="LM77"/>
      <c r="LN77"/>
      <c r="LO77"/>
      <c r="LP77"/>
      <c r="LQ77"/>
      <c r="LR77"/>
      <c r="LS77"/>
      <c r="LT77"/>
      <c r="LU77"/>
      <c r="LV77"/>
      <c r="LW77"/>
      <c r="LX77"/>
      <c r="LY77"/>
      <c r="LZ77"/>
      <c r="MA77"/>
      <c r="MB77"/>
      <c r="MC77"/>
      <c r="MD77"/>
      <c r="ME77"/>
      <c r="MF77"/>
      <c r="MG77"/>
      <c r="MH77"/>
      <c r="MI77"/>
      <c r="MJ77"/>
      <c r="MK77"/>
      <c r="ML77"/>
      <c r="MM77"/>
      <c r="MN77"/>
      <c r="MO77"/>
      <c r="MP77"/>
      <c r="MQ77"/>
      <c r="MR77"/>
      <c r="MS77"/>
      <c r="MT77"/>
      <c r="MU77"/>
      <c r="MV77"/>
      <c r="MW77"/>
      <c r="MX77"/>
      <c r="MY77"/>
      <c r="MZ77"/>
      <c r="NA77"/>
      <c r="NB77"/>
      <c r="NC77"/>
      <c r="ND77"/>
      <c r="NE77"/>
      <c r="NF77"/>
      <c r="NG77"/>
      <c r="NH77"/>
      <c r="NI77"/>
      <c r="NJ77"/>
      <c r="NK77"/>
      <c r="NL77"/>
      <c r="NM77"/>
      <c r="NN77"/>
      <c r="NO77"/>
      <c r="NP77"/>
      <c r="NQ77"/>
      <c r="NR77"/>
      <c r="NS77"/>
      <c r="NT77"/>
      <c r="NU77"/>
      <c r="NV77"/>
      <c r="NW77"/>
      <c r="NX77"/>
      <c r="NY77"/>
      <c r="NZ77"/>
      <c r="OA77"/>
      <c r="OB77"/>
      <c r="OC77"/>
      <c r="OD77"/>
      <c r="OE77"/>
      <c r="OF77"/>
      <c r="OG77"/>
      <c r="OH77"/>
      <c r="OI77"/>
      <c r="OJ77"/>
      <c r="OK77"/>
      <c r="OL77"/>
      <c r="OM77"/>
      <c r="ON77"/>
      <c r="OO77"/>
      <c r="OP77"/>
      <c r="OQ77" s="1656"/>
      <c r="OR77"/>
      <c r="OS77"/>
      <c r="OT77"/>
      <c r="OU77"/>
      <c r="OV77"/>
      <c r="OW77"/>
      <c r="OX77"/>
      <c r="OY77"/>
      <c r="OZ77"/>
      <c r="PA77"/>
      <c r="PB77"/>
      <c r="PC77"/>
      <c r="PD77"/>
      <c r="PE77"/>
      <c r="PF77"/>
      <c r="PG77"/>
      <c r="PH77"/>
      <c r="PI77"/>
      <c r="PJ77"/>
      <c r="PK77"/>
      <c r="PL77"/>
      <c r="PM77"/>
      <c r="PN77"/>
      <c r="PO77"/>
      <c r="PP77"/>
      <c r="PQ77"/>
      <c r="PR77"/>
      <c r="PS77"/>
      <c r="PT77" s="1656"/>
    </row>
    <row r="78" spans="1:436" ht="21.5">
      <c r="A78" s="1466"/>
      <c r="B78" s="1576"/>
      <c r="C78" s="1576"/>
      <c r="D78" s="1576"/>
      <c r="E78" s="1578"/>
      <c r="F78" s="1578"/>
      <c r="G78" s="1578"/>
      <c r="H78" s="1578"/>
      <c r="I78" s="1578"/>
      <c r="J78" s="1578"/>
      <c r="K78" s="1578"/>
      <c r="L78" s="1578"/>
      <c r="M78" s="1578"/>
      <c r="N78" s="1578"/>
      <c r="O78" s="1578"/>
      <c r="P78" s="1578"/>
      <c r="Q78" s="1578"/>
      <c r="R78" s="1578"/>
      <c r="S78" s="1578"/>
      <c r="T78" s="1578"/>
      <c r="U78" s="1578"/>
      <c r="V78" s="1578"/>
      <c r="W78" s="1578"/>
      <c r="X78" s="1578"/>
      <c r="Y78" s="1578"/>
      <c r="Z78" s="1578"/>
      <c r="AA78" s="1578"/>
      <c r="AB78" s="1578"/>
      <c r="AC78" s="1578"/>
      <c r="AD78" s="1578"/>
      <c r="AE78" s="1578"/>
      <c r="AF78" s="1578"/>
      <c r="AG78" s="1578"/>
      <c r="AH78" s="1578"/>
      <c r="AI78" s="1578"/>
      <c r="AJ78" s="1578"/>
      <c r="AK78" s="1578"/>
      <c r="AL78" s="1578"/>
      <c r="AM78" s="1578"/>
      <c r="AN78" s="1578"/>
      <c r="AO78" s="1578"/>
      <c r="AP78" s="1578"/>
      <c r="AQ78" s="1578"/>
      <c r="AR78" s="1578"/>
      <c r="AS78" s="1578"/>
      <c r="AT78" s="1578"/>
      <c r="AU78" s="1578"/>
      <c r="AV78" s="1578"/>
      <c r="AW78" s="1578"/>
      <c r="AX78" s="1578"/>
      <c r="AY78" s="1578"/>
      <c r="AZ78" s="1578"/>
      <c r="BA78" s="1578"/>
      <c r="BB78" s="1578"/>
      <c r="BC78" s="1578"/>
      <c r="BD78" s="1578"/>
      <c r="BE78" s="1578"/>
      <c r="BF78" s="1578"/>
      <c r="BG78" s="1578"/>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s="1655">
        <v>0</v>
      </c>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c r="GL78"/>
      <c r="GM78"/>
      <c r="GN78"/>
      <c r="GO78"/>
      <c r="GP78"/>
      <c r="GQ78"/>
      <c r="GR78"/>
      <c r="GS78"/>
      <c r="GT78"/>
      <c r="GU78"/>
      <c r="GV78"/>
      <c r="GW78" s="1655"/>
      <c r="GX78"/>
      <c r="GY78"/>
      <c r="GZ78"/>
      <c r="HA78"/>
      <c r="HB78"/>
      <c r="HC78"/>
      <c r="HD78"/>
      <c r="HE78"/>
      <c r="HF78"/>
      <c r="HG78"/>
      <c r="HH78"/>
      <c r="HI78"/>
      <c r="HJ78"/>
      <c r="HK78"/>
      <c r="HL78"/>
      <c r="HM78"/>
      <c r="HN78"/>
      <c r="HO78"/>
      <c r="HP78"/>
      <c r="HQ78"/>
      <c r="HR78"/>
      <c r="HS78"/>
      <c r="HT78"/>
      <c r="HU78"/>
      <c r="HV78"/>
      <c r="HW78"/>
      <c r="HX78"/>
      <c r="HY78"/>
      <c r="HZ78"/>
      <c r="IA78"/>
      <c r="IB78"/>
      <c r="IC78"/>
      <c r="ID78"/>
      <c r="IE78"/>
      <c r="IF78"/>
      <c r="IG78"/>
      <c r="IH78"/>
      <c r="II78"/>
      <c r="IJ78"/>
      <c r="IK78"/>
      <c r="IL78"/>
      <c r="IM78"/>
      <c r="IN78"/>
      <c r="IO78"/>
      <c r="IP78"/>
      <c r="IQ78"/>
      <c r="IR78"/>
      <c r="IS78"/>
      <c r="IT78"/>
      <c r="IU78"/>
      <c r="IV78"/>
      <c r="IW78"/>
      <c r="IX78"/>
      <c r="IY78"/>
      <c r="IZ78"/>
      <c r="JA78"/>
      <c r="JB78"/>
      <c r="JC78"/>
      <c r="JD78"/>
      <c r="JE78"/>
      <c r="JF78"/>
      <c r="JG78"/>
      <c r="JH78"/>
      <c r="JI78"/>
      <c r="JJ78"/>
      <c r="JK78"/>
      <c r="JL78"/>
      <c r="JM78"/>
      <c r="JN78"/>
      <c r="JO78"/>
      <c r="JP78"/>
      <c r="JQ78"/>
      <c r="JR78"/>
      <c r="JS78"/>
      <c r="JT78"/>
      <c r="JU78"/>
      <c r="JV78"/>
      <c r="JW78"/>
      <c r="JX78"/>
      <c r="JY78"/>
      <c r="JZ78"/>
      <c r="KA78"/>
      <c r="KB78"/>
      <c r="KC78"/>
      <c r="KD78"/>
      <c r="KE78"/>
      <c r="KF78"/>
      <c r="KG78"/>
      <c r="KH78"/>
      <c r="KI78"/>
      <c r="KJ78"/>
      <c r="KK78"/>
      <c r="KL78"/>
      <c r="KM78"/>
      <c r="KN78"/>
      <c r="KO78"/>
      <c r="KP78"/>
      <c r="KQ78"/>
      <c r="KR78"/>
      <c r="KS78"/>
      <c r="KT78" s="1655"/>
      <c r="KU78"/>
      <c r="KV78"/>
      <c r="KW78"/>
      <c r="KX78"/>
      <c r="KY78"/>
      <c r="KZ78"/>
      <c r="LA78"/>
      <c r="LB78"/>
      <c r="LC78"/>
      <c r="LD78"/>
      <c r="LE78"/>
      <c r="LF78"/>
      <c r="LG78"/>
      <c r="LH78"/>
      <c r="LI78"/>
      <c r="LJ78"/>
      <c r="LK78"/>
      <c r="LL78"/>
      <c r="LM78"/>
      <c r="LN78"/>
      <c r="LO78"/>
      <c r="LP78"/>
      <c r="LQ78"/>
      <c r="LR78"/>
      <c r="LS78"/>
      <c r="LT78"/>
      <c r="LU78"/>
      <c r="LV78"/>
      <c r="LW78"/>
      <c r="LX78"/>
      <c r="LY78"/>
      <c r="LZ78"/>
      <c r="MA78"/>
      <c r="MB78"/>
      <c r="MC78"/>
      <c r="MD78"/>
      <c r="ME78"/>
      <c r="MF78"/>
      <c r="MG78"/>
      <c r="MH78"/>
      <c r="MI78"/>
      <c r="MJ78"/>
      <c r="MK78"/>
      <c r="ML78"/>
      <c r="MM78"/>
      <c r="MN78"/>
      <c r="MO78"/>
      <c r="MP78"/>
      <c r="MQ78"/>
      <c r="MR78"/>
      <c r="MS78"/>
      <c r="MT78"/>
      <c r="MU78"/>
      <c r="MV78"/>
      <c r="MW78"/>
      <c r="MX78"/>
      <c r="MY78"/>
      <c r="MZ78"/>
      <c r="NA78"/>
      <c r="NB78"/>
      <c r="NC78"/>
      <c r="ND78"/>
      <c r="NE78"/>
      <c r="NF78"/>
      <c r="NG78"/>
      <c r="NH78"/>
      <c r="NI78"/>
      <c r="NJ78"/>
      <c r="NK78"/>
      <c r="NL78"/>
      <c r="NM78"/>
      <c r="NN78"/>
      <c r="NO78"/>
      <c r="NP78"/>
      <c r="NQ78"/>
      <c r="NR78"/>
      <c r="NS78"/>
      <c r="NT78"/>
      <c r="NU78"/>
      <c r="NV78"/>
      <c r="NW78"/>
      <c r="NX78"/>
      <c r="NY78"/>
      <c r="NZ78"/>
      <c r="OA78"/>
      <c r="OB78"/>
      <c r="OC78"/>
      <c r="OD78"/>
      <c r="OE78"/>
      <c r="OF78"/>
      <c r="OG78"/>
      <c r="OH78"/>
      <c r="OI78"/>
      <c r="OJ78"/>
      <c r="OK78"/>
      <c r="OL78"/>
      <c r="OM78"/>
      <c r="ON78"/>
      <c r="OO78"/>
      <c r="OP78"/>
      <c r="OQ78" s="1656"/>
      <c r="OR78"/>
      <c r="OS78"/>
      <c r="OT78"/>
      <c r="OU78"/>
      <c r="OV78"/>
      <c r="OW78"/>
      <c r="OX78"/>
      <c r="OY78"/>
      <c r="OZ78"/>
      <c r="PA78"/>
      <c r="PB78"/>
      <c r="PC78"/>
      <c r="PD78"/>
      <c r="PE78"/>
      <c r="PF78"/>
      <c r="PG78"/>
      <c r="PH78"/>
      <c r="PI78"/>
      <c r="PJ78"/>
      <c r="PK78"/>
      <c r="PL78"/>
      <c r="PM78"/>
      <c r="PN78"/>
      <c r="PO78"/>
      <c r="PP78"/>
      <c r="PQ78"/>
      <c r="PR78"/>
      <c r="PS78"/>
      <c r="PT78" s="1656"/>
    </row>
    <row r="79" spans="1:436" ht="21.5">
      <c r="A79" s="1466"/>
      <c r="B79" s="1576"/>
      <c r="C79" s="1576"/>
      <c r="D79" s="1576"/>
      <c r="E79" s="1578"/>
      <c r="F79" s="1578"/>
      <c r="G79" s="1578"/>
      <c r="H79" s="1578"/>
      <c r="I79" s="1578"/>
      <c r="J79" s="1578"/>
      <c r="K79" s="1578"/>
      <c r="L79" s="1578"/>
      <c r="M79" s="1578"/>
      <c r="N79" s="1578"/>
      <c r="O79" s="1578"/>
      <c r="P79" s="1578"/>
      <c r="Q79" s="1578"/>
      <c r="R79" s="1578"/>
      <c r="S79" s="1578"/>
      <c r="T79" s="1578"/>
      <c r="U79" s="1578"/>
      <c r="V79" s="1578"/>
      <c r="W79" s="1578"/>
      <c r="X79" s="1578"/>
      <c r="Y79" s="1578"/>
      <c r="Z79" s="1578"/>
      <c r="AA79" s="1578"/>
      <c r="AB79" s="1578"/>
      <c r="AC79" s="1578"/>
      <c r="AD79" s="1578"/>
      <c r="AE79" s="1578"/>
      <c r="AF79" s="1578"/>
      <c r="AG79" s="1578"/>
      <c r="AH79" s="1578"/>
      <c r="AI79" s="1578"/>
      <c r="AJ79" s="1578"/>
      <c r="AK79" s="1578"/>
      <c r="AL79" s="1578"/>
      <c r="AM79" s="1578"/>
      <c r="AN79" s="1578"/>
      <c r="AO79" s="1578"/>
      <c r="AP79" s="1578"/>
      <c r="AQ79" s="1578"/>
      <c r="AR79" s="1578"/>
      <c r="AS79" s="1578"/>
      <c r="AT79" s="1578"/>
      <c r="AU79" s="1578"/>
      <c r="AV79" s="1578"/>
      <c r="AW79" s="1578"/>
      <c r="AX79" s="1578"/>
      <c r="AY79" s="1578"/>
      <c r="AZ79" s="1578"/>
      <c r="BA79" s="1578"/>
      <c r="BB79" s="1578"/>
      <c r="BC79" s="1578"/>
      <c r="BD79" s="1578"/>
      <c r="BE79" s="1578"/>
      <c r="BF79" s="1578"/>
      <c r="BG79" s="1578"/>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s="1655">
        <v>0</v>
      </c>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c r="GL79"/>
      <c r="GM79"/>
      <c r="GN79"/>
      <c r="GO79"/>
      <c r="GP79"/>
      <c r="GQ79"/>
      <c r="GR79"/>
      <c r="GS79"/>
      <c r="GT79"/>
      <c r="GU79"/>
      <c r="GV79"/>
      <c r="GW79" s="1655"/>
      <c r="GX79"/>
      <c r="GY79"/>
      <c r="GZ79"/>
      <c r="HA79"/>
      <c r="HB79"/>
      <c r="HC79"/>
      <c r="HD79"/>
      <c r="HE79"/>
      <c r="HF79"/>
      <c r="HG79"/>
      <c r="HH79"/>
      <c r="HI79"/>
      <c r="HJ79"/>
      <c r="HK79"/>
      <c r="HL79"/>
      <c r="HM79"/>
      <c r="HN79"/>
      <c r="HO79"/>
      <c r="HP79"/>
      <c r="HQ79"/>
      <c r="HR79"/>
      <c r="HS79"/>
      <c r="HT79"/>
      <c r="HU79"/>
      <c r="HV79"/>
      <c r="HW79"/>
      <c r="HX79"/>
      <c r="HY79"/>
      <c r="HZ79"/>
      <c r="IA79"/>
      <c r="IB79"/>
      <c r="IC79"/>
      <c r="ID79"/>
      <c r="IE79"/>
      <c r="IF79"/>
      <c r="IG79"/>
      <c r="IH79"/>
      <c r="II79"/>
      <c r="IJ79"/>
      <c r="IK79"/>
      <c r="IL79"/>
      <c r="IM79"/>
      <c r="IN79"/>
      <c r="IO79"/>
      <c r="IP79"/>
      <c r="IQ79"/>
      <c r="IR79"/>
      <c r="IS79"/>
      <c r="IT79"/>
      <c r="IU79"/>
      <c r="IV79"/>
      <c r="IW79"/>
      <c r="IX79"/>
      <c r="IY79"/>
      <c r="IZ79"/>
      <c r="JA79"/>
      <c r="JB79"/>
      <c r="JC79"/>
      <c r="JD79"/>
      <c r="JE79"/>
      <c r="JF79"/>
      <c r="JG79"/>
      <c r="JH79"/>
      <c r="JI79"/>
      <c r="JJ79"/>
      <c r="JK79"/>
      <c r="JL79"/>
      <c r="JM79"/>
      <c r="JN79"/>
      <c r="JO79"/>
      <c r="JP79"/>
      <c r="JQ79"/>
      <c r="JR79"/>
      <c r="JS79"/>
      <c r="JT79"/>
      <c r="JU79"/>
      <c r="JV79"/>
      <c r="JW79"/>
      <c r="JX79"/>
      <c r="JY79"/>
      <c r="JZ79"/>
      <c r="KA79"/>
      <c r="KB79"/>
      <c r="KC79"/>
      <c r="KD79"/>
      <c r="KE79"/>
      <c r="KF79"/>
      <c r="KG79"/>
      <c r="KH79"/>
      <c r="KI79"/>
      <c r="KJ79"/>
      <c r="KK79"/>
      <c r="KL79"/>
      <c r="KM79"/>
      <c r="KN79"/>
      <c r="KO79"/>
      <c r="KP79"/>
      <c r="KQ79"/>
      <c r="KR79"/>
      <c r="KS79"/>
      <c r="KT79" s="1655"/>
      <c r="KU79"/>
      <c r="KV79"/>
      <c r="KW79"/>
      <c r="KX79"/>
      <c r="KY79"/>
      <c r="KZ79"/>
      <c r="LA79"/>
      <c r="LB79"/>
      <c r="LC79"/>
      <c r="LD79"/>
      <c r="LE79"/>
      <c r="LF79"/>
      <c r="LG79"/>
      <c r="LH79"/>
      <c r="LI79"/>
      <c r="LJ79"/>
      <c r="LK79"/>
      <c r="LL79"/>
      <c r="LM79"/>
      <c r="LN79"/>
      <c r="LO79"/>
      <c r="LP79"/>
      <c r="LQ79"/>
      <c r="LR79"/>
      <c r="LS79"/>
      <c r="LT79"/>
      <c r="LU79"/>
      <c r="LV79"/>
      <c r="LW79"/>
      <c r="LX79"/>
      <c r="LY79"/>
      <c r="LZ79"/>
      <c r="MA79"/>
      <c r="MB79"/>
      <c r="MC79"/>
      <c r="MD79"/>
      <c r="ME79"/>
      <c r="MF79"/>
      <c r="MG79"/>
      <c r="MH79"/>
      <c r="MI79"/>
      <c r="MJ79"/>
      <c r="MK79"/>
      <c r="ML79"/>
      <c r="MM79"/>
      <c r="MN79"/>
      <c r="MO79"/>
      <c r="MP79"/>
      <c r="MQ79"/>
      <c r="MR79"/>
      <c r="MS79"/>
      <c r="MT79"/>
      <c r="MU79"/>
      <c r="MV79"/>
      <c r="MW79"/>
      <c r="MX79"/>
      <c r="MY79"/>
      <c r="MZ79"/>
      <c r="NA79"/>
      <c r="NB79"/>
      <c r="NC79"/>
      <c r="ND79"/>
      <c r="NE79"/>
      <c r="NF79"/>
      <c r="NG79"/>
      <c r="NH79"/>
      <c r="NI79"/>
      <c r="NJ79"/>
      <c r="NK79"/>
      <c r="NL79"/>
      <c r="NM79"/>
      <c r="NN79"/>
      <c r="NO79"/>
      <c r="NP79"/>
      <c r="NQ79"/>
      <c r="NR79"/>
      <c r="NS79"/>
      <c r="NT79"/>
      <c r="NU79"/>
      <c r="NV79"/>
      <c r="NW79"/>
      <c r="NX79"/>
      <c r="NY79"/>
      <c r="NZ79"/>
      <c r="OA79"/>
      <c r="OB79"/>
      <c r="OC79"/>
      <c r="OD79"/>
      <c r="OE79"/>
      <c r="OF79"/>
      <c r="OG79"/>
      <c r="OH79"/>
      <c r="OI79"/>
      <c r="OJ79"/>
      <c r="OK79"/>
      <c r="OL79"/>
      <c r="OM79"/>
      <c r="ON79"/>
      <c r="OO79"/>
      <c r="OP79"/>
      <c r="OQ79" s="1656"/>
      <c r="OR79"/>
      <c r="OS79"/>
      <c r="OT79"/>
      <c r="OU79"/>
      <c r="OV79"/>
      <c r="OW79"/>
      <c r="OX79"/>
      <c r="OY79"/>
      <c r="OZ79"/>
      <c r="PA79"/>
      <c r="PB79"/>
      <c r="PC79"/>
      <c r="PD79"/>
      <c r="PE79"/>
      <c r="PF79"/>
      <c r="PG79"/>
      <c r="PH79"/>
      <c r="PI79"/>
      <c r="PJ79"/>
      <c r="PK79"/>
      <c r="PL79"/>
      <c r="PM79"/>
      <c r="PN79"/>
      <c r="PO79"/>
      <c r="PP79"/>
      <c r="PQ79"/>
      <c r="PR79"/>
      <c r="PS79"/>
      <c r="PT79" s="1656"/>
    </row>
    <row r="80" spans="1:436" ht="21.5">
      <c r="A80" s="1466"/>
      <c r="B80" s="1576"/>
      <c r="C80" s="1576"/>
      <c r="D80" s="1576"/>
      <c r="E80" s="1578"/>
      <c r="F80" s="1578"/>
      <c r="G80" s="1578"/>
      <c r="H80" s="1578"/>
      <c r="I80" s="1578"/>
      <c r="J80" s="1578"/>
      <c r="K80" s="1578"/>
      <c r="L80" s="1578"/>
      <c r="M80" s="1578"/>
      <c r="N80" s="1578"/>
      <c r="O80" s="1578"/>
      <c r="P80" s="1578"/>
      <c r="Q80" s="1578"/>
      <c r="R80" s="1578"/>
      <c r="S80" s="1578"/>
      <c r="T80" s="1578"/>
      <c r="U80" s="1578"/>
      <c r="V80" s="1578"/>
      <c r="W80" s="1578"/>
      <c r="X80" s="1578"/>
      <c r="Y80" s="1578"/>
      <c r="Z80" s="1578"/>
      <c r="AA80" s="1578"/>
      <c r="AB80" s="1578"/>
      <c r="AC80" s="1578"/>
      <c r="AD80" s="1578"/>
      <c r="AE80" s="1578"/>
      <c r="AF80" s="1578"/>
      <c r="AG80" s="1578"/>
      <c r="AH80" s="1578"/>
      <c r="AI80" s="1578"/>
      <c r="AJ80" s="1578"/>
      <c r="AK80" s="1578"/>
      <c r="AL80" s="1578"/>
      <c r="AM80" s="1578"/>
      <c r="AN80" s="1578"/>
      <c r="AO80" s="1578"/>
      <c r="AP80" s="1578"/>
      <c r="AQ80" s="1578"/>
      <c r="AR80" s="1578"/>
      <c r="AS80" s="1578"/>
      <c r="AT80" s="1578"/>
      <c r="AU80" s="1578"/>
      <c r="AV80" s="1578"/>
      <c r="AW80" s="1578"/>
      <c r="AX80" s="1578"/>
      <c r="AY80" s="1578"/>
      <c r="AZ80" s="1578"/>
      <c r="BA80" s="1578"/>
      <c r="BB80" s="1578"/>
      <c r="BC80" s="1578"/>
      <c r="BD80" s="1578"/>
      <c r="BE80" s="1578"/>
      <c r="BF80" s="1578"/>
      <c r="BG80" s="1578"/>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s="1655">
        <v>0</v>
      </c>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c r="GL80"/>
      <c r="GM80"/>
      <c r="GN80"/>
      <c r="GO80"/>
      <c r="GP80"/>
      <c r="GQ80"/>
      <c r="GR80"/>
      <c r="GS80"/>
      <c r="GT80"/>
      <c r="GU80"/>
      <c r="GV80"/>
      <c r="GW80" s="1655"/>
      <c r="GX80"/>
      <c r="GY80"/>
      <c r="GZ80"/>
      <c r="HA80"/>
      <c r="HB80"/>
      <c r="HC80"/>
      <c r="HD80"/>
      <c r="HE80"/>
      <c r="HF80"/>
      <c r="HG80"/>
      <c r="HH80"/>
      <c r="HI80"/>
      <c r="HJ80"/>
      <c r="HK80"/>
      <c r="HL80"/>
      <c r="HM80"/>
      <c r="HN80"/>
      <c r="HO80"/>
      <c r="HP80"/>
      <c r="HQ80"/>
      <c r="HR80"/>
      <c r="HS80"/>
      <c r="HT80"/>
      <c r="HU80"/>
      <c r="HV80"/>
      <c r="HW80"/>
      <c r="HX80"/>
      <c r="HY80"/>
      <c r="HZ80"/>
      <c r="IA80"/>
      <c r="IB80"/>
      <c r="IC80"/>
      <c r="ID80"/>
      <c r="IE80"/>
      <c r="IF80"/>
      <c r="IG80"/>
      <c r="IH80"/>
      <c r="II80"/>
      <c r="IJ80"/>
      <c r="IK80"/>
      <c r="IL80"/>
      <c r="IM80"/>
      <c r="IN80"/>
      <c r="IO80"/>
      <c r="IP80"/>
      <c r="IQ80"/>
      <c r="IR80"/>
      <c r="IS80"/>
      <c r="IT80"/>
      <c r="IU80"/>
      <c r="IV80"/>
      <c r="IW80"/>
      <c r="IX80"/>
      <c r="IY80"/>
      <c r="IZ80"/>
      <c r="JA80"/>
      <c r="JB80"/>
      <c r="JC80"/>
      <c r="JD80"/>
      <c r="JE80"/>
      <c r="JF80"/>
      <c r="JG80"/>
      <c r="JH80"/>
      <c r="JI80"/>
      <c r="JJ80"/>
      <c r="JK80"/>
      <c r="JL80"/>
      <c r="JM80"/>
      <c r="JN80"/>
      <c r="JO80"/>
      <c r="JP80"/>
      <c r="JQ80"/>
      <c r="JR80"/>
      <c r="JS80"/>
      <c r="JT80"/>
      <c r="JU80"/>
      <c r="JV80"/>
      <c r="JW80"/>
      <c r="JX80"/>
      <c r="JY80"/>
      <c r="JZ80"/>
      <c r="KA80"/>
      <c r="KB80"/>
      <c r="KC80"/>
      <c r="KD80"/>
      <c r="KE80"/>
      <c r="KF80"/>
      <c r="KG80"/>
      <c r="KH80"/>
      <c r="KI80"/>
      <c r="KJ80"/>
      <c r="KK80"/>
      <c r="KL80"/>
      <c r="KM80"/>
      <c r="KN80"/>
      <c r="KO80"/>
      <c r="KP80"/>
      <c r="KQ80"/>
      <c r="KR80"/>
      <c r="KS80"/>
      <c r="KT80" s="1655"/>
      <c r="KU80"/>
      <c r="KV80"/>
      <c r="KW80"/>
      <c r="KX80"/>
      <c r="KY80"/>
      <c r="KZ80"/>
      <c r="LA80"/>
      <c r="LB80"/>
      <c r="LC80"/>
      <c r="LD80"/>
      <c r="LE80"/>
      <c r="LF80"/>
      <c r="LG80"/>
      <c r="LH80"/>
      <c r="LI80"/>
      <c r="LJ80"/>
      <c r="LK80"/>
      <c r="LL80"/>
      <c r="LM80"/>
      <c r="LN80"/>
      <c r="LO80"/>
      <c r="LP80"/>
      <c r="LQ80"/>
      <c r="LR80"/>
      <c r="LS80"/>
      <c r="LT80"/>
      <c r="LU80"/>
      <c r="LV80"/>
      <c r="LW80"/>
      <c r="LX80"/>
      <c r="LY80"/>
      <c r="LZ80"/>
      <c r="MA80"/>
      <c r="MB80"/>
      <c r="MC80"/>
      <c r="MD80"/>
      <c r="ME80"/>
      <c r="MF80"/>
      <c r="MG80"/>
      <c r="MH80"/>
      <c r="MI80"/>
      <c r="MJ80"/>
      <c r="MK80"/>
      <c r="ML80"/>
      <c r="MM80"/>
      <c r="MN80"/>
      <c r="MO80"/>
      <c r="MP80"/>
      <c r="MQ80"/>
      <c r="MR80"/>
      <c r="MS80"/>
      <c r="MT80"/>
      <c r="MU80"/>
      <c r="MV80"/>
      <c r="MW80"/>
      <c r="MX80"/>
      <c r="MY80"/>
      <c r="MZ80"/>
      <c r="NA80"/>
      <c r="NB80"/>
      <c r="NC80"/>
      <c r="ND80"/>
      <c r="NE80"/>
      <c r="NF80"/>
      <c r="NG80"/>
      <c r="NH80"/>
      <c r="NI80"/>
      <c r="NJ80"/>
      <c r="NK80"/>
      <c r="NL80"/>
      <c r="NM80"/>
      <c r="NN80"/>
      <c r="NO80"/>
      <c r="NP80"/>
      <c r="NQ80"/>
      <c r="NR80"/>
      <c r="NS80"/>
      <c r="NT80"/>
      <c r="NU80"/>
      <c r="NV80"/>
      <c r="NW80"/>
      <c r="NX80"/>
      <c r="NY80"/>
      <c r="NZ80"/>
      <c r="OA80"/>
      <c r="OB80"/>
      <c r="OC80"/>
      <c r="OD80"/>
      <c r="OE80"/>
      <c r="OF80"/>
      <c r="OG80"/>
      <c r="OH80"/>
      <c r="OI80"/>
      <c r="OJ80"/>
      <c r="OK80"/>
      <c r="OL80"/>
      <c r="OM80"/>
      <c r="ON80"/>
      <c r="OO80"/>
      <c r="OP80"/>
      <c r="OQ80" s="1656"/>
      <c r="OR80"/>
      <c r="OS80"/>
      <c r="OT80"/>
      <c r="OU80"/>
      <c r="OV80"/>
      <c r="OW80"/>
      <c r="OX80"/>
      <c r="OY80"/>
      <c r="OZ80"/>
      <c r="PA80"/>
      <c r="PB80"/>
      <c r="PC80"/>
      <c r="PD80"/>
      <c r="PE80"/>
      <c r="PF80"/>
      <c r="PG80"/>
      <c r="PH80"/>
      <c r="PI80"/>
      <c r="PJ80"/>
      <c r="PK80"/>
      <c r="PL80"/>
      <c r="PM80"/>
      <c r="PN80"/>
      <c r="PO80"/>
      <c r="PP80"/>
      <c r="PQ80"/>
      <c r="PR80"/>
      <c r="PS80"/>
      <c r="PT80" s="1656"/>
    </row>
    <row r="81" spans="1:436" ht="21.5">
      <c r="A81" s="1466"/>
      <c r="B81" s="1576"/>
      <c r="C81" s="1576"/>
      <c r="D81" s="1576"/>
      <c r="E81" s="1578"/>
      <c r="F81" s="1578"/>
      <c r="G81" s="1578"/>
      <c r="H81" s="1578"/>
      <c r="I81" s="1578"/>
      <c r="J81" s="1578"/>
      <c r="K81" s="1578"/>
      <c r="L81" s="1578"/>
      <c r="M81" s="1578"/>
      <c r="N81" s="1578"/>
      <c r="O81" s="1578"/>
      <c r="P81" s="1578"/>
      <c r="Q81" s="1578"/>
      <c r="R81" s="1578"/>
      <c r="S81" s="1578"/>
      <c r="T81" s="1578"/>
      <c r="U81" s="1578"/>
      <c r="V81" s="1578"/>
      <c r="W81" s="1578"/>
      <c r="X81" s="1578"/>
      <c r="Y81" s="1578"/>
      <c r="Z81" s="1578"/>
      <c r="AA81" s="1578"/>
      <c r="AB81" s="1578"/>
      <c r="AC81" s="1578"/>
      <c r="AD81" s="1578"/>
      <c r="AE81" s="1578"/>
      <c r="AF81" s="1578"/>
      <c r="AG81" s="1578"/>
      <c r="AH81" s="1578"/>
      <c r="AI81" s="1578"/>
      <c r="AJ81" s="1578"/>
      <c r="AK81" s="1578"/>
      <c r="AL81" s="1578"/>
      <c r="AM81" s="1578"/>
      <c r="AN81" s="1578"/>
      <c r="AO81" s="1578"/>
      <c r="AP81" s="1578"/>
      <c r="AQ81" s="1578"/>
      <c r="AR81" s="1578"/>
      <c r="AS81" s="1578"/>
      <c r="AT81" s="1578"/>
      <c r="AU81" s="1578"/>
      <c r="AV81" s="1578"/>
      <c r="AW81" s="1578"/>
      <c r="AX81" s="1578"/>
      <c r="AY81" s="1578"/>
      <c r="AZ81" s="1578"/>
      <c r="BA81" s="1578"/>
      <c r="BB81" s="1578"/>
      <c r="BC81" s="1578"/>
      <c r="BD81" s="1578"/>
      <c r="BE81" s="1578"/>
      <c r="BF81" s="1578"/>
      <c r="BG81" s="1578"/>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s="1655">
        <v>0</v>
      </c>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c r="GL81"/>
      <c r="GM81"/>
      <c r="GN81"/>
      <c r="GO81"/>
      <c r="GP81"/>
      <c r="GQ81"/>
      <c r="GR81"/>
      <c r="GS81"/>
      <c r="GT81"/>
      <c r="GU81"/>
      <c r="GV81"/>
      <c r="GW81" s="1655"/>
      <c r="GX81"/>
      <c r="GY81"/>
      <c r="GZ81"/>
      <c r="HA81"/>
      <c r="HB81"/>
      <c r="HC81"/>
      <c r="HD81"/>
      <c r="HE81"/>
      <c r="HF81"/>
      <c r="HG81"/>
      <c r="HH81"/>
      <c r="HI81"/>
      <c r="HJ81"/>
      <c r="HK81"/>
      <c r="HL81"/>
      <c r="HM81"/>
      <c r="HN81"/>
      <c r="HO81"/>
      <c r="HP81"/>
      <c r="HQ81"/>
      <c r="HR81"/>
      <c r="HS81"/>
      <c r="HT81"/>
      <c r="HU81"/>
      <c r="HV81"/>
      <c r="HW81"/>
      <c r="HX81"/>
      <c r="HY81"/>
      <c r="HZ81"/>
      <c r="IA81"/>
      <c r="IB81"/>
      <c r="IC81"/>
      <c r="ID81"/>
      <c r="IE81"/>
      <c r="IF81"/>
      <c r="IG81"/>
      <c r="IH81"/>
      <c r="II81"/>
      <c r="IJ81"/>
      <c r="IK81"/>
      <c r="IL81"/>
      <c r="IM81"/>
      <c r="IN81"/>
      <c r="IO81"/>
      <c r="IP81"/>
      <c r="IQ81"/>
      <c r="IR81"/>
      <c r="IS81"/>
      <c r="IT81"/>
      <c r="IU81"/>
      <c r="IV81"/>
      <c r="IW81"/>
      <c r="IX81"/>
      <c r="IY81"/>
      <c r="IZ81"/>
      <c r="JA81"/>
      <c r="JB81"/>
      <c r="JC81"/>
      <c r="JD81"/>
      <c r="JE81"/>
      <c r="JF81"/>
      <c r="JG81"/>
      <c r="JH81"/>
      <c r="JI81"/>
      <c r="JJ81"/>
      <c r="JK81"/>
      <c r="JL81"/>
      <c r="JM81"/>
      <c r="JN81"/>
      <c r="JO81"/>
      <c r="JP81"/>
      <c r="JQ81"/>
      <c r="JR81"/>
      <c r="JS81"/>
      <c r="JT81"/>
      <c r="JU81"/>
      <c r="JV81"/>
      <c r="JW81"/>
      <c r="JX81"/>
      <c r="JY81"/>
      <c r="JZ81"/>
      <c r="KA81"/>
      <c r="KB81"/>
      <c r="KC81"/>
      <c r="KD81"/>
      <c r="KE81"/>
      <c r="KF81"/>
      <c r="KG81"/>
      <c r="KH81"/>
      <c r="KI81"/>
      <c r="KJ81"/>
      <c r="KK81"/>
      <c r="KL81"/>
      <c r="KM81"/>
      <c r="KN81"/>
      <c r="KO81"/>
      <c r="KP81"/>
      <c r="KQ81"/>
      <c r="KR81"/>
      <c r="KS81"/>
      <c r="KT81" s="1655"/>
      <c r="KU81"/>
      <c r="KV81"/>
      <c r="KW81"/>
      <c r="KX81"/>
      <c r="KY81"/>
      <c r="KZ81"/>
      <c r="LA81"/>
      <c r="LB81"/>
      <c r="LC81"/>
      <c r="LD81"/>
      <c r="LE81"/>
      <c r="LF81"/>
      <c r="LG81"/>
      <c r="LH81"/>
      <c r="LI81"/>
      <c r="LJ81"/>
      <c r="LK81"/>
      <c r="LL81"/>
      <c r="LM81"/>
      <c r="LN81"/>
      <c r="LO81"/>
      <c r="LP81"/>
      <c r="LQ81"/>
      <c r="LR81"/>
      <c r="LS81"/>
      <c r="LT81"/>
      <c r="LU81"/>
      <c r="LV81"/>
      <c r="LW81"/>
      <c r="LX81"/>
      <c r="LY81"/>
      <c r="LZ81"/>
      <c r="MA81"/>
      <c r="MB81"/>
      <c r="MC81"/>
      <c r="MD81"/>
      <c r="ME81"/>
      <c r="MF81"/>
      <c r="MG81"/>
      <c r="MH81"/>
      <c r="MI81"/>
      <c r="MJ81"/>
      <c r="MK81"/>
      <c r="ML81"/>
      <c r="MM81"/>
      <c r="MN81"/>
      <c r="MO81"/>
      <c r="MP81"/>
      <c r="MQ81"/>
      <c r="MR81"/>
      <c r="MS81"/>
      <c r="MT81"/>
      <c r="MU81"/>
      <c r="MV81"/>
      <c r="MW81"/>
      <c r="MX81"/>
      <c r="MY81"/>
      <c r="MZ81"/>
      <c r="NA81"/>
      <c r="NB81"/>
      <c r="NC81"/>
      <c r="ND81"/>
      <c r="NE81"/>
      <c r="NF81"/>
      <c r="NG81"/>
      <c r="NH81"/>
      <c r="NI81"/>
      <c r="NJ81"/>
      <c r="NK81"/>
      <c r="NL81"/>
      <c r="NM81"/>
      <c r="NN81"/>
      <c r="NO81"/>
      <c r="NP81"/>
      <c r="NQ81"/>
      <c r="NR81"/>
      <c r="NS81"/>
      <c r="NT81"/>
      <c r="NU81"/>
      <c r="NV81"/>
      <c r="NW81"/>
      <c r="NX81"/>
      <c r="NY81"/>
      <c r="NZ81"/>
      <c r="OA81"/>
      <c r="OB81"/>
      <c r="OC81"/>
      <c r="OD81"/>
      <c r="OE81"/>
      <c r="OF81"/>
      <c r="OG81"/>
      <c r="OH81"/>
      <c r="OI81"/>
      <c r="OJ81"/>
      <c r="OK81"/>
      <c r="OL81"/>
      <c r="OM81"/>
      <c r="ON81"/>
      <c r="OO81"/>
      <c r="OP81"/>
      <c r="OQ81" s="1656"/>
      <c r="OR81"/>
      <c r="OS81"/>
      <c r="OT81"/>
      <c r="OU81"/>
      <c r="OV81"/>
      <c r="OW81"/>
      <c r="OX81"/>
      <c r="OY81"/>
      <c r="OZ81"/>
      <c r="PA81"/>
      <c r="PB81"/>
      <c r="PC81"/>
      <c r="PD81"/>
      <c r="PE81"/>
      <c r="PF81"/>
      <c r="PG81"/>
      <c r="PH81"/>
      <c r="PI81"/>
      <c r="PJ81"/>
      <c r="PK81"/>
      <c r="PL81"/>
      <c r="PM81"/>
      <c r="PN81"/>
      <c r="PO81"/>
      <c r="PP81"/>
      <c r="PQ81"/>
      <c r="PR81"/>
      <c r="PS81"/>
      <c r="PT81" s="1656"/>
    </row>
    <row r="82" spans="1:436" ht="21.5">
      <c r="A82" s="1466"/>
      <c r="B82" s="1576"/>
      <c r="C82" s="1576"/>
      <c r="D82" s="1576"/>
      <c r="E82" s="1578"/>
      <c r="F82" s="1578"/>
      <c r="G82" s="1578"/>
      <c r="H82" s="1578"/>
      <c r="I82" s="1578"/>
      <c r="J82" s="1578"/>
      <c r="K82" s="1578"/>
      <c r="L82" s="1578"/>
      <c r="M82" s="1578"/>
      <c r="N82" s="1578"/>
      <c r="O82" s="1578"/>
      <c r="P82" s="1578"/>
      <c r="Q82" s="1578"/>
      <c r="R82" s="1578"/>
      <c r="S82" s="1578"/>
      <c r="T82" s="1578"/>
      <c r="U82" s="1578"/>
      <c r="V82" s="1578"/>
      <c r="W82" s="1578"/>
      <c r="X82" s="1578"/>
      <c r="Y82" s="1578"/>
      <c r="Z82" s="1578"/>
      <c r="AA82" s="1578"/>
      <c r="AB82" s="1578"/>
      <c r="AC82" s="1578"/>
      <c r="AD82" s="1578"/>
      <c r="AE82" s="1578"/>
      <c r="AF82" s="1578"/>
      <c r="AG82" s="1578"/>
      <c r="AH82" s="1578"/>
      <c r="AI82" s="1578"/>
      <c r="AJ82" s="1578"/>
      <c r="AK82" s="1578"/>
      <c r="AL82" s="1578"/>
      <c r="AM82" s="1578"/>
      <c r="AN82" s="1578"/>
      <c r="AO82" s="1578"/>
      <c r="AP82" s="1578"/>
      <c r="AQ82" s="1578"/>
      <c r="AR82" s="1578"/>
      <c r="AS82" s="1578"/>
      <c r="AT82" s="1578"/>
      <c r="AU82" s="1578"/>
      <c r="AV82" s="1578"/>
      <c r="AW82" s="1578"/>
      <c r="AX82" s="1578"/>
      <c r="AY82" s="1578"/>
      <c r="AZ82" s="1578"/>
      <c r="BA82" s="1578"/>
      <c r="BB82" s="1578"/>
      <c r="BC82" s="1578"/>
      <c r="BD82" s="1578"/>
      <c r="BE82" s="1578"/>
      <c r="BF82" s="1578"/>
      <c r="BG82" s="1578"/>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v>0</v>
      </c>
      <c r="CX82">
        <v>0</v>
      </c>
      <c r="CY82">
        <v>0</v>
      </c>
      <c r="CZ82" s="1655">
        <v>0</v>
      </c>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c r="GL82"/>
      <c r="GM82"/>
      <c r="GN82"/>
      <c r="GO82"/>
      <c r="GP82"/>
      <c r="GQ82"/>
      <c r="GR82"/>
      <c r="GS82"/>
      <c r="GT82"/>
      <c r="GU82"/>
      <c r="GV82"/>
      <c r="GW82" s="1655"/>
      <c r="GX82"/>
      <c r="GY82"/>
      <c r="GZ82"/>
      <c r="HA82"/>
      <c r="HB82"/>
      <c r="HC82"/>
      <c r="HD82"/>
      <c r="HE82"/>
      <c r="HF82"/>
      <c r="HG82"/>
      <c r="HH82"/>
      <c r="HI82"/>
      <c r="HJ82"/>
      <c r="HK82"/>
      <c r="HL82"/>
      <c r="HM82"/>
      <c r="HN82"/>
      <c r="HO82"/>
      <c r="HP82"/>
      <c r="HQ82"/>
      <c r="HR82"/>
      <c r="HS82"/>
      <c r="HT82"/>
      <c r="HU82"/>
      <c r="HV82"/>
      <c r="HW82"/>
      <c r="HX82"/>
      <c r="HY82"/>
      <c r="HZ82"/>
      <c r="IA82"/>
      <c r="IB82"/>
      <c r="IC82"/>
      <c r="ID82"/>
      <c r="IE82"/>
      <c r="IF82"/>
      <c r="IG82"/>
      <c r="IH82"/>
      <c r="II82"/>
      <c r="IJ82"/>
      <c r="IK82"/>
      <c r="IL82"/>
      <c r="IM82"/>
      <c r="IN82"/>
      <c r="IO82"/>
      <c r="IP82"/>
      <c r="IQ82"/>
      <c r="IR82"/>
      <c r="IS82"/>
      <c r="IT82"/>
      <c r="IU82"/>
      <c r="IV82"/>
      <c r="IW82"/>
      <c r="IX82"/>
      <c r="IY82"/>
      <c r="IZ82"/>
      <c r="JA82"/>
      <c r="JB82"/>
      <c r="JC82"/>
      <c r="JD82"/>
      <c r="JE82"/>
      <c r="JF82"/>
      <c r="JG82"/>
      <c r="JH82"/>
      <c r="JI82"/>
      <c r="JJ82"/>
      <c r="JK82"/>
      <c r="JL82"/>
      <c r="JM82"/>
      <c r="JN82"/>
      <c r="JO82"/>
      <c r="JP82"/>
      <c r="JQ82"/>
      <c r="JR82"/>
      <c r="JS82"/>
      <c r="JT82"/>
      <c r="JU82"/>
      <c r="JV82"/>
      <c r="JW82"/>
      <c r="JX82"/>
      <c r="JY82"/>
      <c r="JZ82"/>
      <c r="KA82"/>
      <c r="KB82"/>
      <c r="KC82"/>
      <c r="KD82"/>
      <c r="KE82"/>
      <c r="KF82"/>
      <c r="KG82"/>
      <c r="KH82"/>
      <c r="KI82"/>
      <c r="KJ82"/>
      <c r="KK82"/>
      <c r="KL82"/>
      <c r="KM82"/>
      <c r="KN82"/>
      <c r="KO82"/>
      <c r="KP82"/>
      <c r="KQ82"/>
      <c r="KR82"/>
      <c r="KS82"/>
      <c r="KT82" s="1655"/>
      <c r="KU82"/>
      <c r="KV82"/>
      <c r="KW82"/>
      <c r="KX82"/>
      <c r="KY82"/>
      <c r="KZ82"/>
      <c r="LA82"/>
      <c r="LB82"/>
      <c r="LC82"/>
      <c r="LD82"/>
      <c r="LE82"/>
      <c r="LF82"/>
      <c r="LG82"/>
      <c r="LH82"/>
      <c r="LI82"/>
      <c r="LJ82"/>
      <c r="LK82"/>
      <c r="LL82"/>
      <c r="LM82"/>
      <c r="LN82"/>
      <c r="LO82"/>
      <c r="LP82"/>
      <c r="LQ82"/>
      <c r="LR82"/>
      <c r="LS82"/>
      <c r="LT82"/>
      <c r="LU82"/>
      <c r="LV82"/>
      <c r="LW82"/>
      <c r="LX82"/>
      <c r="LY82"/>
      <c r="LZ82"/>
      <c r="MA82"/>
      <c r="MB82"/>
      <c r="MC82"/>
      <c r="MD82"/>
      <c r="ME82"/>
      <c r="MF82"/>
      <c r="MG82"/>
      <c r="MH82"/>
      <c r="MI82"/>
      <c r="MJ82"/>
      <c r="MK82"/>
      <c r="ML82"/>
      <c r="MM82"/>
      <c r="MN82"/>
      <c r="MO82"/>
      <c r="MP82"/>
      <c r="MQ82"/>
      <c r="MR82"/>
      <c r="MS82"/>
      <c r="MT82"/>
      <c r="MU82"/>
      <c r="MV82"/>
      <c r="MW82"/>
      <c r="MX82"/>
      <c r="MY82"/>
      <c r="MZ82"/>
      <c r="NA82"/>
      <c r="NB82"/>
      <c r="NC82"/>
      <c r="ND82"/>
      <c r="NE82"/>
      <c r="NF82"/>
      <c r="NG82"/>
      <c r="NH82"/>
      <c r="NI82"/>
      <c r="NJ82"/>
      <c r="NK82"/>
      <c r="NL82"/>
      <c r="NM82"/>
      <c r="NN82"/>
      <c r="NO82"/>
      <c r="NP82"/>
      <c r="NQ82"/>
      <c r="NR82"/>
      <c r="NS82"/>
      <c r="NT82"/>
      <c r="NU82"/>
      <c r="NV82"/>
      <c r="NW82"/>
      <c r="NX82"/>
      <c r="NY82"/>
      <c r="NZ82"/>
      <c r="OA82"/>
      <c r="OB82"/>
      <c r="OC82"/>
      <c r="OD82"/>
      <c r="OE82"/>
      <c r="OF82"/>
      <c r="OG82"/>
      <c r="OH82"/>
      <c r="OI82"/>
      <c r="OJ82"/>
      <c r="OK82"/>
      <c r="OL82"/>
      <c r="OM82"/>
      <c r="ON82"/>
      <c r="OO82"/>
      <c r="OP82"/>
      <c r="OQ82" s="1656"/>
      <c r="OR82"/>
      <c r="OS82"/>
      <c r="OT82"/>
      <c r="OU82"/>
      <c r="OV82"/>
      <c r="OW82"/>
      <c r="OX82"/>
      <c r="OY82"/>
      <c r="OZ82"/>
      <c r="PA82"/>
      <c r="PB82"/>
      <c r="PC82"/>
      <c r="PD82"/>
      <c r="PE82"/>
      <c r="PF82"/>
      <c r="PG82"/>
      <c r="PH82"/>
      <c r="PI82"/>
      <c r="PJ82"/>
      <c r="PK82"/>
      <c r="PL82"/>
      <c r="PM82"/>
      <c r="PN82"/>
      <c r="PO82"/>
      <c r="PP82"/>
      <c r="PQ82"/>
      <c r="PR82"/>
      <c r="PS82"/>
      <c r="PT82" s="1656"/>
    </row>
    <row r="83" spans="1:436" ht="21.5">
      <c r="A83" s="1466"/>
      <c r="B83" s="1576"/>
      <c r="C83" s="1576"/>
      <c r="D83" s="1576"/>
      <c r="E83" s="1578"/>
      <c r="F83" s="1578"/>
      <c r="G83" s="1578"/>
      <c r="H83" s="1578"/>
      <c r="I83" s="1578"/>
      <c r="J83" s="1578"/>
      <c r="K83" s="1578"/>
      <c r="L83" s="1578"/>
      <c r="M83" s="1578"/>
      <c r="N83" s="1578"/>
      <c r="O83" s="1578"/>
      <c r="P83" s="1578"/>
      <c r="Q83" s="1578"/>
      <c r="R83" s="1578"/>
      <c r="S83" s="1578"/>
      <c r="T83" s="1578"/>
      <c r="U83" s="1578"/>
      <c r="V83" s="1578"/>
      <c r="W83" s="1578"/>
      <c r="X83" s="1578"/>
      <c r="Y83" s="1578"/>
      <c r="Z83" s="1578"/>
      <c r="AA83" s="1578"/>
      <c r="AB83" s="1578"/>
      <c r="AC83" s="1578"/>
      <c r="AD83" s="1578"/>
      <c r="AE83" s="1578"/>
      <c r="AF83" s="1578"/>
      <c r="AG83" s="1578"/>
      <c r="AH83" s="1578"/>
      <c r="AI83" s="1578"/>
      <c r="AJ83" s="1578"/>
      <c r="AK83" s="1578"/>
      <c r="AL83" s="1578"/>
      <c r="AM83" s="1578"/>
      <c r="AN83" s="1578"/>
      <c r="AO83" s="1578"/>
      <c r="AP83" s="1578"/>
      <c r="AQ83" s="1578"/>
      <c r="AR83" s="1578"/>
      <c r="AS83" s="1578"/>
      <c r="AT83" s="1578"/>
      <c r="AU83" s="1578"/>
      <c r="AV83" s="1578"/>
      <c r="AW83" s="1578"/>
      <c r="AX83" s="1578"/>
      <c r="AY83" s="1578"/>
      <c r="AZ83" s="1578"/>
      <c r="BA83" s="1578"/>
      <c r="BB83" s="1578"/>
      <c r="BC83" s="1578"/>
      <c r="BD83" s="1578"/>
      <c r="BE83" s="1578"/>
      <c r="BF83" s="1578"/>
      <c r="BG83" s="1578"/>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s="1655">
        <v>0</v>
      </c>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c r="GL83"/>
      <c r="GM83"/>
      <c r="GN83"/>
      <c r="GO83"/>
      <c r="GP83"/>
      <c r="GQ83"/>
      <c r="GR83"/>
      <c r="GS83"/>
      <c r="GT83"/>
      <c r="GU83"/>
      <c r="GV83"/>
      <c r="GW83" s="1655"/>
      <c r="GX83"/>
      <c r="GY83"/>
      <c r="GZ83"/>
      <c r="HA83"/>
      <c r="HB83"/>
      <c r="HC83"/>
      <c r="HD83"/>
      <c r="HE83"/>
      <c r="HF83"/>
      <c r="HG83"/>
      <c r="HH83"/>
      <c r="HI83"/>
      <c r="HJ83"/>
      <c r="HK83"/>
      <c r="HL83"/>
      <c r="HM83"/>
      <c r="HN83"/>
      <c r="HO83"/>
      <c r="HP83"/>
      <c r="HQ83"/>
      <c r="HR83"/>
      <c r="HS83"/>
      <c r="HT83"/>
      <c r="HU83"/>
      <c r="HV83"/>
      <c r="HW83"/>
      <c r="HX83"/>
      <c r="HY83"/>
      <c r="HZ83"/>
      <c r="IA83"/>
      <c r="IB83"/>
      <c r="IC83"/>
      <c r="ID83"/>
      <c r="IE83"/>
      <c r="IF83"/>
      <c r="IG83"/>
      <c r="IH83"/>
      <c r="II83"/>
      <c r="IJ83"/>
      <c r="IK83"/>
      <c r="IL83"/>
      <c r="IM83"/>
      <c r="IN83"/>
      <c r="IO83"/>
      <c r="IP83"/>
      <c r="IQ83"/>
      <c r="IR83"/>
      <c r="IS83"/>
      <c r="IT83"/>
      <c r="IU83"/>
      <c r="IV83"/>
      <c r="IW83"/>
      <c r="IX83"/>
      <c r="IY83"/>
      <c r="IZ83"/>
      <c r="JA83"/>
      <c r="JB83"/>
      <c r="JC83"/>
      <c r="JD83"/>
      <c r="JE83"/>
      <c r="JF83"/>
      <c r="JG83"/>
      <c r="JH83"/>
      <c r="JI83"/>
      <c r="JJ83"/>
      <c r="JK83"/>
      <c r="JL83"/>
      <c r="JM83"/>
      <c r="JN83"/>
      <c r="JO83"/>
      <c r="JP83"/>
      <c r="JQ83"/>
      <c r="JR83"/>
      <c r="JS83"/>
      <c r="JT83"/>
      <c r="JU83"/>
      <c r="JV83"/>
      <c r="JW83"/>
      <c r="JX83"/>
      <c r="JY83"/>
      <c r="JZ83"/>
      <c r="KA83"/>
      <c r="KB83"/>
      <c r="KC83"/>
      <c r="KD83"/>
      <c r="KE83"/>
      <c r="KF83"/>
      <c r="KG83"/>
      <c r="KH83"/>
      <c r="KI83"/>
      <c r="KJ83"/>
      <c r="KK83"/>
      <c r="KL83"/>
      <c r="KM83"/>
      <c r="KN83"/>
      <c r="KO83"/>
      <c r="KP83"/>
      <c r="KQ83"/>
      <c r="KR83"/>
      <c r="KS83"/>
      <c r="KT83" s="1655"/>
      <c r="KU83"/>
      <c r="KV83"/>
      <c r="KW83"/>
      <c r="KX83"/>
      <c r="KY83"/>
      <c r="KZ83"/>
      <c r="LA83"/>
      <c r="LB83"/>
      <c r="LC83"/>
      <c r="LD83"/>
      <c r="LE83"/>
      <c r="LF83"/>
      <c r="LG83"/>
      <c r="LH83"/>
      <c r="LI83"/>
      <c r="LJ83"/>
      <c r="LK83"/>
      <c r="LL83"/>
      <c r="LM83"/>
      <c r="LN83"/>
      <c r="LO83"/>
      <c r="LP83"/>
      <c r="LQ83"/>
      <c r="LR83"/>
      <c r="LS83"/>
      <c r="LT83"/>
      <c r="LU83"/>
      <c r="LV83"/>
      <c r="LW83"/>
      <c r="LX83"/>
      <c r="LY83"/>
      <c r="LZ83"/>
      <c r="MA83"/>
      <c r="MB83"/>
      <c r="MC83"/>
      <c r="MD83"/>
      <c r="ME83"/>
      <c r="MF83"/>
      <c r="MG83"/>
      <c r="MH83"/>
      <c r="MI83"/>
      <c r="MJ83"/>
      <c r="MK83"/>
      <c r="ML83"/>
      <c r="MM83"/>
      <c r="MN83"/>
      <c r="MO83"/>
      <c r="MP83"/>
      <c r="MQ83"/>
      <c r="MR83"/>
      <c r="MS83"/>
      <c r="MT83"/>
      <c r="MU83"/>
      <c r="MV83"/>
      <c r="MW83"/>
      <c r="MX83"/>
      <c r="MY83"/>
      <c r="MZ83"/>
      <c r="NA83"/>
      <c r="NB83"/>
      <c r="NC83"/>
      <c r="ND83"/>
      <c r="NE83"/>
      <c r="NF83"/>
      <c r="NG83"/>
      <c r="NH83"/>
      <c r="NI83"/>
      <c r="NJ83"/>
      <c r="NK83"/>
      <c r="NL83"/>
      <c r="NM83"/>
      <c r="NN83"/>
      <c r="NO83"/>
      <c r="NP83"/>
      <c r="NQ83"/>
      <c r="NR83"/>
      <c r="NS83"/>
      <c r="NT83"/>
      <c r="NU83"/>
      <c r="NV83"/>
      <c r="NW83"/>
      <c r="NX83"/>
      <c r="NY83"/>
      <c r="NZ83"/>
      <c r="OA83"/>
      <c r="OB83"/>
      <c r="OC83"/>
      <c r="OD83"/>
      <c r="OE83"/>
      <c r="OF83"/>
      <c r="OG83"/>
      <c r="OH83"/>
      <c r="OI83"/>
      <c r="OJ83"/>
      <c r="OK83"/>
      <c r="OL83"/>
      <c r="OM83"/>
      <c r="ON83"/>
      <c r="OO83"/>
      <c r="OP83"/>
      <c r="OQ83" s="1656"/>
      <c r="OR83"/>
      <c r="OS83"/>
      <c r="OT83"/>
      <c r="OU83"/>
      <c r="OV83"/>
      <c r="OW83"/>
      <c r="OX83"/>
      <c r="OY83"/>
      <c r="OZ83"/>
      <c r="PA83"/>
      <c r="PB83"/>
      <c r="PC83"/>
      <c r="PD83"/>
      <c r="PE83"/>
      <c r="PF83"/>
      <c r="PG83"/>
      <c r="PH83"/>
      <c r="PI83"/>
      <c r="PJ83"/>
      <c r="PK83"/>
      <c r="PL83"/>
      <c r="PM83"/>
      <c r="PN83"/>
      <c r="PO83"/>
      <c r="PP83"/>
      <c r="PQ83"/>
      <c r="PR83"/>
      <c r="PS83"/>
      <c r="PT83" s="1656"/>
    </row>
    <row r="84" spans="1:436">
      <c r="A84" s="1466"/>
      <c r="B84" s="1576"/>
      <c r="C84" s="1576"/>
      <c r="D84" s="1576"/>
      <c r="E84" s="1578"/>
      <c r="F84" s="1578"/>
      <c r="G84" s="1578"/>
      <c r="H84" s="1578"/>
      <c r="I84" s="1578"/>
      <c r="J84" s="1578"/>
      <c r="K84" s="1578"/>
      <c r="L84" s="1578"/>
      <c r="M84" s="1578"/>
      <c r="N84" s="1578"/>
      <c r="O84" s="1578"/>
      <c r="P84" s="1578"/>
      <c r="Q84" s="1578"/>
      <c r="R84" s="1578"/>
      <c r="S84" s="1578"/>
      <c r="T84" s="1578"/>
      <c r="U84" s="1578"/>
      <c r="V84" s="1578"/>
      <c r="W84" s="1578"/>
      <c r="X84" s="1578"/>
      <c r="Y84" s="1578"/>
      <c r="Z84" s="1578"/>
      <c r="AA84" s="1578"/>
      <c r="AB84" s="1578"/>
      <c r="AC84" s="1578"/>
      <c r="AD84" s="1578"/>
      <c r="AE84" s="1578"/>
      <c r="AF84" s="1578"/>
      <c r="AG84" s="1578"/>
      <c r="AH84" s="1578"/>
      <c r="AI84" s="1578"/>
      <c r="AJ84" s="1578"/>
      <c r="AK84" s="1578"/>
      <c r="AL84" s="1578"/>
      <c r="AM84" s="1578"/>
      <c r="AN84" s="1578"/>
      <c r="AO84" s="1578"/>
      <c r="AP84" s="1578"/>
      <c r="AQ84" s="1578"/>
      <c r="AR84" s="1578"/>
      <c r="AS84" s="1578"/>
      <c r="AT84" s="1578"/>
      <c r="AU84" s="1578"/>
      <c r="AV84" s="1578"/>
      <c r="AW84" s="1578"/>
      <c r="AX84" s="1578"/>
      <c r="AY84" s="1578"/>
      <c r="AZ84" s="1578"/>
      <c r="BA84" s="1578"/>
      <c r="BB84" s="1578"/>
      <c r="BC84" s="1578"/>
      <c r="BD84" s="1578"/>
      <c r="BE84" s="1578"/>
      <c r="BF84" s="1578"/>
      <c r="BG84" s="1578"/>
      <c r="BH84" s="1578"/>
      <c r="BI84" s="1578"/>
      <c r="BJ84" s="1578"/>
      <c r="BK84" s="1578"/>
      <c r="BL84" s="1578"/>
      <c r="BM84" s="1578"/>
      <c r="BN84" s="1578"/>
      <c r="BO84" s="1578"/>
      <c r="BP84" s="1578"/>
      <c r="BQ84" s="1578"/>
      <c r="BR84" s="1578"/>
      <c r="BS84" s="1578"/>
      <c r="BT84" s="1578"/>
      <c r="BU84" s="1578"/>
      <c r="BV84" s="1578"/>
      <c r="BW84" s="1578"/>
      <c r="BX84" s="1578"/>
      <c r="BY84" s="1578"/>
      <c r="BZ84" s="1578"/>
      <c r="CA84" s="1578"/>
      <c r="CB84" s="1578"/>
      <c r="CC84" s="1578"/>
      <c r="CD84" s="1578"/>
      <c r="CE84" s="1578"/>
      <c r="CF84" s="1578"/>
      <c r="CG84" s="1578"/>
      <c r="CH84" s="1578"/>
      <c r="CI84" s="1578"/>
      <c r="CJ84" s="1578"/>
      <c r="CK84" s="1578"/>
      <c r="CL84" s="1578"/>
      <c r="CM84" s="1578"/>
      <c r="CN84" s="1578"/>
      <c r="CO84" s="1578"/>
      <c r="CP84" s="1578"/>
      <c r="CQ84" s="1578"/>
      <c r="CR84" s="1578"/>
      <c r="CS84" s="1578"/>
      <c r="CT84" s="1578"/>
      <c r="CU84" s="1578"/>
      <c r="CV84" s="1578"/>
      <c r="CW84" s="1578"/>
      <c r="CX84" s="1578"/>
      <c r="CY84" s="1578"/>
      <c r="CZ84" s="1578"/>
    </row>
    <row r="85" spans="1:436">
      <c r="A85" s="1466"/>
      <c r="B85" s="1576"/>
      <c r="C85" s="1576"/>
      <c r="D85" s="1576"/>
      <c r="E85" s="1578"/>
      <c r="F85" s="1578"/>
      <c r="G85" s="1578"/>
      <c r="H85" s="1578"/>
      <c r="I85" s="1578"/>
      <c r="J85" s="1578"/>
      <c r="K85" s="1578"/>
      <c r="L85" s="1578"/>
      <c r="M85" s="1578"/>
      <c r="N85" s="1578"/>
      <c r="O85" s="1578"/>
      <c r="P85" s="1578"/>
      <c r="Q85" s="1578"/>
      <c r="R85" s="1578"/>
      <c r="S85" s="1578"/>
      <c r="T85" s="1578"/>
      <c r="U85" s="1578"/>
      <c r="V85" s="1578"/>
      <c r="W85" s="1578"/>
      <c r="X85" s="1578"/>
      <c r="Y85" s="1578"/>
      <c r="Z85" s="1578"/>
      <c r="AA85" s="1578"/>
      <c r="AB85" s="1578"/>
      <c r="AC85" s="1578"/>
      <c r="AD85" s="1578"/>
      <c r="AE85" s="1578"/>
      <c r="AF85" s="1578"/>
      <c r="AG85" s="1578"/>
      <c r="AH85" s="1578"/>
      <c r="AI85" s="1578"/>
      <c r="AJ85" s="1578"/>
      <c r="AK85" s="1578"/>
      <c r="AL85" s="1578"/>
      <c r="AM85" s="1578"/>
      <c r="AN85" s="1578"/>
      <c r="AO85" s="1578"/>
      <c r="AP85" s="1578"/>
      <c r="AQ85" s="1578"/>
      <c r="AR85" s="1578"/>
      <c r="AS85" s="1578"/>
      <c r="AT85" s="1578"/>
      <c r="AU85" s="1578"/>
      <c r="AV85" s="1578"/>
      <c r="AW85" s="1578"/>
      <c r="AX85" s="1578"/>
      <c r="AY85" s="1578"/>
      <c r="AZ85" s="1578"/>
      <c r="BA85" s="1578"/>
      <c r="BB85" s="1578"/>
      <c r="BC85" s="1578"/>
      <c r="BD85" s="1578"/>
      <c r="BE85" s="1578"/>
      <c r="BF85" s="1578"/>
      <c r="BG85" s="1578"/>
      <c r="BH85" s="1578"/>
      <c r="BI85" s="1578"/>
      <c r="BJ85" s="1578"/>
      <c r="BK85" s="1578"/>
      <c r="BL85" s="1578"/>
      <c r="BM85" s="1578"/>
      <c r="BN85" s="1578"/>
      <c r="BO85" s="1578"/>
      <c r="BP85" s="1578"/>
      <c r="BQ85" s="1578"/>
      <c r="BR85" s="1578"/>
      <c r="BS85" s="1578"/>
      <c r="BT85" s="1578"/>
      <c r="BU85" s="1578"/>
      <c r="BV85" s="1578"/>
      <c r="BW85" s="1578"/>
      <c r="BX85" s="1578"/>
      <c r="BY85" s="1578"/>
      <c r="BZ85" s="1578"/>
      <c r="CA85" s="1578"/>
      <c r="CB85" s="1578"/>
      <c r="CC85" s="1578"/>
      <c r="CD85" s="1578"/>
      <c r="CE85" s="1578"/>
      <c r="CF85" s="1578"/>
      <c r="CG85" s="1578"/>
      <c r="CH85" s="1578"/>
      <c r="CI85" s="1578"/>
      <c r="CJ85" s="1578"/>
      <c r="CK85" s="1578"/>
      <c r="CL85" s="1578"/>
      <c r="CM85" s="1578"/>
      <c r="CN85" s="1578"/>
      <c r="CO85" s="1578"/>
      <c r="CP85" s="1578"/>
      <c r="CQ85" s="1578"/>
      <c r="CR85" s="1578"/>
      <c r="CS85" s="1578"/>
      <c r="CT85" s="1578"/>
      <c r="CU85" s="1578"/>
      <c r="CV85" s="1578"/>
      <c r="CW85" s="1578"/>
      <c r="CX85" s="1578"/>
      <c r="CY85" s="1578"/>
      <c r="CZ85" s="1578"/>
    </row>
    <row r="86" spans="1:436">
      <c r="A86" s="1466"/>
      <c r="B86" s="1576"/>
      <c r="C86" s="1576"/>
      <c r="D86" s="1576"/>
      <c r="E86" s="1578"/>
      <c r="F86" s="1578"/>
      <c r="G86" s="1578"/>
      <c r="H86" s="1578"/>
      <c r="I86" s="1578"/>
      <c r="J86" s="1578"/>
      <c r="K86" s="1578"/>
      <c r="L86" s="1578"/>
      <c r="M86" s="1578"/>
      <c r="N86" s="1578"/>
      <c r="O86" s="1578"/>
      <c r="P86" s="1578"/>
      <c r="Q86" s="1578"/>
      <c r="R86" s="1578"/>
      <c r="S86" s="1578"/>
      <c r="T86" s="1578"/>
      <c r="U86" s="1578"/>
      <c r="V86" s="1578"/>
      <c r="W86" s="1578"/>
      <c r="X86" s="1578"/>
      <c r="Y86" s="1578"/>
      <c r="Z86" s="1578"/>
      <c r="AA86" s="1578"/>
      <c r="AB86" s="1578"/>
      <c r="AC86" s="1578"/>
      <c r="AD86" s="1578"/>
      <c r="AE86" s="1578"/>
      <c r="AF86" s="1578"/>
      <c r="AG86" s="1578"/>
      <c r="AH86" s="1578"/>
      <c r="AI86" s="1578"/>
      <c r="AJ86" s="1578"/>
      <c r="AK86" s="1578"/>
      <c r="AL86" s="1578"/>
      <c r="AM86" s="1578"/>
      <c r="AN86" s="1578"/>
      <c r="AO86" s="1578"/>
      <c r="AP86" s="1578"/>
      <c r="AQ86" s="1578"/>
      <c r="AR86" s="1578"/>
      <c r="AS86" s="1578"/>
      <c r="AT86" s="1578"/>
      <c r="AU86" s="1578"/>
      <c r="AV86" s="1578"/>
      <c r="AW86" s="1578"/>
      <c r="AX86" s="1578"/>
      <c r="AY86" s="1578"/>
      <c r="AZ86" s="1578"/>
      <c r="BA86" s="1578"/>
      <c r="BB86" s="1578"/>
      <c r="BC86" s="1578"/>
      <c r="BD86" s="1578"/>
      <c r="BE86" s="1578"/>
      <c r="BF86" s="1578"/>
      <c r="BG86" s="1578"/>
      <c r="BH86" s="1578"/>
      <c r="BI86" s="1578"/>
      <c r="BJ86" s="1578"/>
      <c r="BK86" s="1578"/>
      <c r="BL86" s="1578"/>
      <c r="BM86" s="1578"/>
      <c r="BN86" s="1578"/>
      <c r="BO86" s="1578"/>
      <c r="BP86" s="1578"/>
      <c r="BQ86" s="1578"/>
      <c r="BR86" s="1578"/>
      <c r="BS86" s="1578"/>
      <c r="BT86" s="1578"/>
      <c r="BU86" s="1578"/>
      <c r="BV86" s="1578"/>
      <c r="BW86" s="1578"/>
      <c r="BX86" s="1578"/>
      <c r="BY86" s="1578"/>
      <c r="BZ86" s="1578"/>
      <c r="CA86" s="1578"/>
      <c r="CB86" s="1578"/>
      <c r="CC86" s="1578"/>
      <c r="CD86" s="1578"/>
      <c r="CE86" s="1578"/>
      <c r="CF86" s="1578"/>
      <c r="CG86" s="1578"/>
      <c r="CH86" s="1578"/>
      <c r="CI86" s="1578"/>
      <c r="CJ86" s="1578"/>
      <c r="CK86" s="1578"/>
      <c r="CL86" s="1578"/>
      <c r="CM86" s="1578"/>
      <c r="CN86" s="1578"/>
      <c r="CO86" s="1578"/>
      <c r="CP86" s="1578"/>
      <c r="CQ86" s="1578"/>
      <c r="CR86" s="1578"/>
      <c r="CS86" s="1578"/>
      <c r="CT86" s="1578"/>
      <c r="CU86" s="1578"/>
      <c r="CV86" s="1578"/>
      <c r="CW86" s="1578"/>
      <c r="CX86" s="1578"/>
      <c r="CY86" s="1578"/>
      <c r="CZ86" s="1578"/>
    </row>
    <row r="87" spans="1:436">
      <c r="A87" s="1466"/>
      <c r="B87" s="1576"/>
      <c r="C87" s="1576"/>
      <c r="D87" s="1576"/>
      <c r="E87" s="1578"/>
      <c r="F87" s="1578"/>
      <c r="G87" s="1578"/>
      <c r="H87" s="1578"/>
      <c r="I87" s="1578"/>
      <c r="J87" s="1578"/>
      <c r="K87" s="1578"/>
      <c r="L87" s="1578"/>
      <c r="M87" s="1578"/>
      <c r="N87" s="1578"/>
      <c r="O87" s="1578"/>
      <c r="P87" s="1578"/>
      <c r="Q87" s="1578"/>
      <c r="R87" s="1578"/>
      <c r="S87" s="1578"/>
      <c r="T87" s="1578"/>
      <c r="U87" s="1578"/>
      <c r="V87" s="1578"/>
      <c r="W87" s="1578"/>
      <c r="X87" s="1578"/>
      <c r="Y87" s="1578"/>
      <c r="Z87" s="1578"/>
      <c r="AA87" s="1578"/>
      <c r="AB87" s="1578"/>
      <c r="AC87" s="1578"/>
      <c r="AD87" s="1578"/>
      <c r="AE87" s="1578"/>
      <c r="AF87" s="1578"/>
      <c r="AG87" s="1578"/>
      <c r="AH87" s="1578"/>
      <c r="AI87" s="1578"/>
      <c r="AJ87" s="1578"/>
      <c r="AK87" s="1578"/>
      <c r="AL87" s="1578"/>
      <c r="AM87" s="1578"/>
      <c r="AN87" s="1578"/>
      <c r="AO87" s="1578"/>
      <c r="AP87" s="1578"/>
      <c r="AQ87" s="1578"/>
      <c r="AR87" s="1578"/>
      <c r="AS87" s="1578"/>
      <c r="AT87" s="1578"/>
      <c r="AU87" s="1578"/>
      <c r="AV87" s="1578"/>
      <c r="AW87" s="1578"/>
      <c r="AX87" s="1578"/>
      <c r="AY87" s="1578"/>
      <c r="AZ87" s="1578"/>
      <c r="BA87" s="1578"/>
      <c r="BB87" s="1578"/>
      <c r="BC87" s="1578"/>
      <c r="BD87" s="1578"/>
      <c r="BE87" s="1578"/>
      <c r="BF87" s="1578"/>
      <c r="BG87" s="1578"/>
      <c r="BH87" s="1578"/>
      <c r="BI87" s="1578"/>
      <c r="BJ87" s="1578"/>
      <c r="BK87" s="1578"/>
      <c r="BL87" s="1578"/>
      <c r="BM87" s="1578"/>
      <c r="BN87" s="1578"/>
      <c r="BO87" s="1578"/>
      <c r="BP87" s="1578"/>
      <c r="BQ87" s="1578"/>
      <c r="BR87" s="1578"/>
      <c r="BS87" s="1578"/>
      <c r="BT87" s="1578"/>
      <c r="BU87" s="1578"/>
      <c r="BV87" s="1578"/>
      <c r="BW87" s="1578"/>
      <c r="BX87" s="1578"/>
      <c r="BY87" s="1578"/>
      <c r="BZ87" s="1578"/>
      <c r="CA87" s="1578"/>
      <c r="CB87" s="1578"/>
      <c r="CC87" s="1578"/>
      <c r="CD87" s="1578"/>
      <c r="CE87" s="1578"/>
      <c r="CF87" s="1578"/>
      <c r="CG87" s="1578"/>
      <c r="CH87" s="1578"/>
      <c r="CI87" s="1578"/>
      <c r="CJ87" s="1578"/>
      <c r="CK87" s="1578"/>
      <c r="CL87" s="1578"/>
      <c r="CM87" s="1578"/>
      <c r="CN87" s="1578"/>
      <c r="CO87" s="1578"/>
      <c r="CP87" s="1578"/>
      <c r="CQ87" s="1578"/>
      <c r="CR87" s="1578"/>
      <c r="CS87" s="1578"/>
      <c r="CT87" s="1578"/>
      <c r="CU87" s="1578"/>
      <c r="CV87" s="1578"/>
      <c r="CW87" s="1578"/>
      <c r="CX87" s="1578"/>
      <c r="CY87" s="1578"/>
      <c r="CZ87" s="1578"/>
    </row>
    <row r="88" spans="1:436">
      <c r="A88" s="1466"/>
      <c r="B88" s="1576"/>
      <c r="C88" s="1576"/>
      <c r="D88" s="1576"/>
      <c r="E88" s="1578"/>
      <c r="F88" s="1578"/>
      <c r="G88" s="1578"/>
      <c r="H88" s="1578"/>
      <c r="I88" s="1578"/>
      <c r="J88" s="1578"/>
      <c r="K88" s="1578"/>
      <c r="L88" s="1578"/>
      <c r="M88" s="1578"/>
      <c r="N88" s="1578"/>
      <c r="O88" s="1578"/>
      <c r="P88" s="1578"/>
      <c r="Q88" s="1578"/>
      <c r="R88" s="1578"/>
      <c r="S88" s="1578"/>
      <c r="T88" s="1578"/>
      <c r="U88" s="1578"/>
      <c r="V88" s="1578"/>
      <c r="W88" s="1578"/>
      <c r="X88" s="1578"/>
      <c r="Y88" s="1578"/>
      <c r="Z88" s="1578"/>
      <c r="AA88" s="1578"/>
      <c r="AB88" s="1578"/>
      <c r="AC88" s="1578"/>
      <c r="AD88" s="1578"/>
      <c r="AE88" s="1578"/>
      <c r="AF88" s="1578"/>
      <c r="AG88" s="1578"/>
      <c r="AH88" s="1578"/>
      <c r="AI88" s="1578"/>
      <c r="AJ88" s="1578"/>
      <c r="AK88" s="1578"/>
      <c r="AL88" s="1578"/>
      <c r="AM88" s="1578"/>
      <c r="AN88" s="1578"/>
      <c r="AO88" s="1578"/>
      <c r="AP88" s="1578"/>
      <c r="AQ88" s="1578"/>
      <c r="AR88" s="1578"/>
      <c r="AS88" s="1578"/>
      <c r="AT88" s="1578"/>
      <c r="AU88" s="1578"/>
      <c r="AV88" s="1578"/>
      <c r="AW88" s="1578"/>
      <c r="AX88" s="1578"/>
      <c r="AY88" s="1578"/>
      <c r="AZ88" s="1578"/>
      <c r="BA88" s="1578"/>
      <c r="BB88" s="1578"/>
      <c r="BC88" s="1578"/>
      <c r="BD88" s="1578"/>
      <c r="BE88" s="1578"/>
      <c r="BF88" s="1578"/>
      <c r="BG88" s="1578"/>
      <c r="BH88" s="1578"/>
      <c r="BI88" s="1578"/>
      <c r="BJ88" s="1578"/>
      <c r="BK88" s="1578"/>
      <c r="BL88" s="1578"/>
      <c r="BM88" s="1578"/>
      <c r="BN88" s="1578"/>
      <c r="BO88" s="1578"/>
      <c r="BP88" s="1578"/>
      <c r="BQ88" s="1578"/>
      <c r="BR88" s="1578"/>
      <c r="BS88" s="1578"/>
      <c r="BT88" s="1578"/>
      <c r="BU88" s="1578"/>
      <c r="BV88" s="1578"/>
      <c r="BW88" s="1578"/>
      <c r="BX88" s="1578"/>
      <c r="BY88" s="1578"/>
      <c r="BZ88" s="1578"/>
      <c r="CA88" s="1578"/>
      <c r="CB88" s="1578"/>
      <c r="CC88" s="1578"/>
      <c r="CD88" s="1578"/>
      <c r="CE88" s="1578"/>
      <c r="CF88" s="1578"/>
      <c r="CG88" s="1578"/>
      <c r="CH88" s="1578"/>
      <c r="CI88" s="1578"/>
      <c r="CJ88" s="1578"/>
      <c r="CK88" s="1578"/>
      <c r="CL88" s="1578"/>
      <c r="CM88" s="1578"/>
      <c r="CN88" s="1578"/>
      <c r="CO88" s="1578"/>
      <c r="CP88" s="1578"/>
      <c r="CQ88" s="1578"/>
      <c r="CR88" s="1578"/>
      <c r="CS88" s="1578"/>
      <c r="CT88" s="1578"/>
      <c r="CU88" s="1578"/>
      <c r="CV88" s="1578"/>
      <c r="CW88" s="1578"/>
      <c r="CX88" s="1578"/>
      <c r="CY88" s="1578"/>
      <c r="CZ88" s="1578"/>
    </row>
    <row r="89" spans="1:436">
      <c r="A89" s="1466"/>
      <c r="B89" s="1576"/>
      <c r="C89" s="1576"/>
      <c r="D89" s="1576"/>
      <c r="E89" s="1578"/>
      <c r="F89" s="1578"/>
      <c r="G89" s="1578"/>
      <c r="H89" s="1578"/>
      <c r="I89" s="1578"/>
      <c r="J89" s="1578"/>
      <c r="K89" s="1578"/>
      <c r="L89" s="1578"/>
      <c r="M89" s="1578"/>
      <c r="N89" s="1578"/>
      <c r="O89" s="1578"/>
      <c r="P89" s="1578"/>
      <c r="Q89" s="1578"/>
      <c r="R89" s="1578"/>
      <c r="S89" s="1578"/>
      <c r="T89" s="1578"/>
      <c r="U89" s="1578"/>
      <c r="V89" s="1578"/>
      <c r="W89" s="1578"/>
      <c r="X89" s="1578"/>
      <c r="Y89" s="1578"/>
      <c r="Z89" s="1578"/>
      <c r="AA89" s="1578"/>
      <c r="AB89" s="1578"/>
      <c r="AC89" s="1578"/>
      <c r="AD89" s="1578"/>
      <c r="AE89" s="1578"/>
      <c r="AF89" s="1578"/>
      <c r="AG89" s="1578"/>
      <c r="AH89" s="1578"/>
      <c r="AI89" s="1578"/>
      <c r="AJ89" s="1578"/>
      <c r="AK89" s="1578"/>
      <c r="AL89" s="1578"/>
      <c r="AM89" s="1578"/>
      <c r="AN89" s="1578"/>
      <c r="AO89" s="1578"/>
      <c r="AP89" s="1578"/>
      <c r="AQ89" s="1578"/>
      <c r="AR89" s="1578"/>
      <c r="AS89" s="1578"/>
      <c r="AT89" s="1578"/>
      <c r="AU89" s="1578"/>
      <c r="AV89" s="1578"/>
      <c r="AW89" s="1578"/>
      <c r="AX89" s="1578"/>
      <c r="AY89" s="1578"/>
      <c r="AZ89" s="1578"/>
      <c r="BA89" s="1578"/>
      <c r="BB89" s="1578"/>
      <c r="BC89" s="1578"/>
      <c r="BD89" s="1578"/>
      <c r="BE89" s="1578"/>
      <c r="BF89" s="1578"/>
      <c r="BG89" s="1578"/>
      <c r="BH89" s="1578"/>
      <c r="BI89" s="1578"/>
      <c r="BJ89" s="1578"/>
      <c r="BK89" s="1578"/>
      <c r="BL89" s="1578"/>
      <c r="BM89" s="1578"/>
      <c r="BN89" s="1578"/>
      <c r="BO89" s="1578"/>
      <c r="BP89" s="1578"/>
      <c r="BQ89" s="1578"/>
      <c r="BR89" s="1578"/>
      <c r="BS89" s="1578"/>
      <c r="BT89" s="1578"/>
      <c r="BU89" s="1578"/>
      <c r="BV89" s="1578"/>
      <c r="BW89" s="1578"/>
      <c r="BX89" s="1578"/>
      <c r="BY89" s="1578"/>
      <c r="BZ89" s="1578"/>
      <c r="CA89" s="1578"/>
      <c r="CB89" s="1578"/>
      <c r="CC89" s="1578"/>
      <c r="CD89" s="1578"/>
      <c r="CE89" s="1578"/>
      <c r="CF89" s="1578"/>
      <c r="CG89" s="1578"/>
      <c r="CH89" s="1578"/>
      <c r="CI89" s="1578"/>
      <c r="CJ89" s="1578"/>
      <c r="CK89" s="1578"/>
      <c r="CL89" s="1578"/>
      <c r="CM89" s="1578"/>
      <c r="CN89" s="1578"/>
      <c r="CO89" s="1578"/>
      <c r="CP89" s="1578"/>
      <c r="CQ89" s="1578"/>
      <c r="CR89" s="1578"/>
      <c r="CS89" s="1578"/>
      <c r="CT89" s="1578"/>
      <c r="CU89" s="1578"/>
      <c r="CV89" s="1578"/>
      <c r="CW89" s="1578"/>
      <c r="CX89" s="1578"/>
      <c r="CY89" s="1578"/>
      <c r="CZ89" s="1578"/>
    </row>
    <row r="90" spans="1:436">
      <c r="A90" s="1466"/>
      <c r="B90" s="1576"/>
      <c r="C90" s="1576"/>
      <c r="D90" s="1576"/>
      <c r="E90" s="1578"/>
      <c r="F90" s="1578"/>
      <c r="G90" s="1578"/>
      <c r="H90" s="1578"/>
      <c r="I90" s="1578"/>
      <c r="J90" s="1578"/>
      <c r="K90" s="1578"/>
      <c r="L90" s="1578"/>
      <c r="M90" s="1578"/>
      <c r="N90" s="1578"/>
      <c r="O90" s="1578"/>
      <c r="P90" s="1578"/>
      <c r="Q90" s="1578"/>
      <c r="R90" s="1578"/>
      <c r="S90" s="1578"/>
      <c r="T90" s="1578"/>
      <c r="U90" s="1578"/>
      <c r="V90" s="1578"/>
      <c r="W90" s="1578"/>
      <c r="X90" s="1578"/>
      <c r="Y90" s="1578"/>
      <c r="Z90" s="1578"/>
      <c r="AA90" s="1578"/>
      <c r="AB90" s="1578"/>
      <c r="AC90" s="1578"/>
      <c r="AD90" s="1578"/>
      <c r="AE90" s="1578"/>
      <c r="AF90" s="1578"/>
      <c r="AG90" s="1578"/>
      <c r="AH90" s="1578"/>
      <c r="AI90" s="1578"/>
      <c r="AJ90" s="1578"/>
      <c r="AK90" s="1578"/>
      <c r="AL90" s="1578"/>
      <c r="AM90" s="1578"/>
      <c r="AN90" s="1578"/>
      <c r="AO90" s="1578"/>
      <c r="AP90" s="1578"/>
      <c r="AQ90" s="1578"/>
      <c r="AR90" s="1578"/>
      <c r="AS90" s="1578"/>
      <c r="AT90" s="1578"/>
      <c r="AU90" s="1578"/>
      <c r="AV90" s="1578"/>
      <c r="AW90" s="1578"/>
      <c r="AX90" s="1578"/>
      <c r="AY90" s="1578"/>
      <c r="AZ90" s="1578"/>
      <c r="BA90" s="1578"/>
      <c r="BB90" s="1578"/>
      <c r="BC90" s="1578"/>
      <c r="BD90" s="1578"/>
      <c r="BE90" s="1578"/>
      <c r="BF90" s="1578"/>
      <c r="BG90" s="1578"/>
      <c r="BH90" s="1578"/>
      <c r="BI90" s="1578"/>
      <c r="BJ90" s="1578"/>
      <c r="BK90" s="1578"/>
      <c r="BL90" s="1578"/>
      <c r="BM90" s="1578"/>
      <c r="BN90" s="1578"/>
      <c r="BO90" s="1578"/>
      <c r="BP90" s="1578"/>
      <c r="BQ90" s="1578"/>
      <c r="BR90" s="1578"/>
      <c r="BS90" s="1578"/>
      <c r="BT90" s="1578"/>
      <c r="BU90" s="1578"/>
      <c r="BV90" s="1578"/>
      <c r="BW90" s="1578"/>
      <c r="BX90" s="1578"/>
      <c r="BY90" s="1578"/>
      <c r="BZ90" s="1578"/>
      <c r="CA90" s="1578"/>
      <c r="CB90" s="1578"/>
      <c r="CC90" s="1578"/>
      <c r="CD90" s="1578"/>
      <c r="CE90" s="1578"/>
      <c r="CF90" s="1578"/>
      <c r="CG90" s="1578"/>
      <c r="CH90" s="1578"/>
      <c r="CI90" s="1578"/>
      <c r="CJ90" s="1578"/>
      <c r="CK90" s="1578"/>
      <c r="CL90" s="1578"/>
      <c r="CM90" s="1578"/>
      <c r="CN90" s="1578"/>
      <c r="CO90" s="1578"/>
      <c r="CP90" s="1578"/>
      <c r="CQ90" s="1578"/>
      <c r="CR90" s="1578"/>
      <c r="CS90" s="1578"/>
      <c r="CT90" s="1578"/>
      <c r="CU90" s="1578"/>
      <c r="CV90" s="1578"/>
      <c r="CW90" s="1578"/>
      <c r="CX90" s="1578"/>
      <c r="CY90" s="1578"/>
      <c r="CZ90" s="1578"/>
    </row>
    <row r="91" spans="1:436">
      <c r="A91" s="1466"/>
      <c r="B91" s="1576"/>
      <c r="C91" s="1576"/>
      <c r="D91" s="1576"/>
      <c r="E91" s="1578"/>
      <c r="F91" s="1578"/>
      <c r="G91" s="1578"/>
      <c r="H91" s="1578"/>
      <c r="I91" s="1578"/>
      <c r="J91" s="1578"/>
      <c r="K91" s="1578"/>
      <c r="L91" s="1578"/>
      <c r="M91" s="1578"/>
      <c r="N91" s="1578"/>
      <c r="O91" s="1578"/>
      <c r="P91" s="1578"/>
      <c r="Q91" s="1578"/>
      <c r="R91" s="1578"/>
      <c r="S91" s="1578"/>
      <c r="T91" s="1578"/>
      <c r="U91" s="1578"/>
      <c r="V91" s="1578"/>
      <c r="W91" s="1578"/>
      <c r="X91" s="1578"/>
      <c r="Y91" s="1578"/>
      <c r="Z91" s="1578"/>
      <c r="AA91" s="1578"/>
      <c r="AB91" s="1578"/>
      <c r="AC91" s="1578"/>
      <c r="AD91" s="1578"/>
      <c r="AE91" s="1578"/>
      <c r="AF91" s="1578"/>
      <c r="AG91" s="1578"/>
      <c r="AH91" s="1578"/>
      <c r="AI91" s="1578"/>
      <c r="AJ91" s="1578"/>
      <c r="AK91" s="1578"/>
      <c r="AL91" s="1578"/>
      <c r="AM91" s="1578"/>
      <c r="AN91" s="1578"/>
      <c r="AO91" s="1578"/>
      <c r="AP91" s="1578"/>
      <c r="AQ91" s="1578"/>
      <c r="AR91" s="1578"/>
      <c r="AS91" s="1578"/>
      <c r="AT91" s="1578"/>
      <c r="AU91" s="1578"/>
      <c r="AV91" s="1578"/>
      <c r="AW91" s="1578"/>
      <c r="AX91" s="1578"/>
      <c r="AY91" s="1578"/>
      <c r="AZ91" s="1578"/>
      <c r="BA91" s="1578"/>
      <c r="BB91" s="1578"/>
      <c r="BC91" s="1578"/>
      <c r="BD91" s="1578"/>
      <c r="BE91" s="1578"/>
      <c r="BF91" s="1578"/>
      <c r="BG91" s="1578"/>
      <c r="BH91" s="1578"/>
      <c r="BI91" s="1578"/>
      <c r="BJ91" s="1578"/>
      <c r="BK91" s="1578"/>
      <c r="BL91" s="1578"/>
      <c r="BM91" s="1578"/>
      <c r="BN91" s="1578"/>
      <c r="BO91" s="1578"/>
      <c r="BP91" s="1578"/>
      <c r="BQ91" s="1578"/>
      <c r="BR91" s="1578"/>
      <c r="BS91" s="1578"/>
      <c r="BT91" s="1578"/>
      <c r="BU91" s="1578"/>
      <c r="BV91" s="1578"/>
      <c r="BW91" s="1578"/>
      <c r="BX91" s="1578"/>
      <c r="BY91" s="1578"/>
      <c r="BZ91" s="1578"/>
      <c r="CA91" s="1578"/>
      <c r="CB91" s="1578"/>
      <c r="CC91" s="1578"/>
      <c r="CD91" s="1578"/>
      <c r="CE91" s="1578"/>
      <c r="CF91" s="1578"/>
      <c r="CG91" s="1578"/>
      <c r="CH91" s="1578"/>
      <c r="CI91" s="1578"/>
      <c r="CJ91" s="1578"/>
      <c r="CK91" s="1578"/>
      <c r="CL91" s="1578"/>
      <c r="CM91" s="1578"/>
      <c r="CN91" s="1578"/>
      <c r="CO91" s="1578"/>
      <c r="CP91" s="1578"/>
      <c r="CQ91" s="1578"/>
      <c r="CR91" s="1578"/>
      <c r="CS91" s="1578"/>
      <c r="CT91" s="1578"/>
      <c r="CU91" s="1578"/>
      <c r="CV91" s="1578"/>
      <c r="CW91" s="1578"/>
      <c r="CX91" s="1578"/>
      <c r="CY91" s="1578"/>
      <c r="CZ91" s="1578"/>
    </row>
    <row r="92" spans="1:436">
      <c r="A92" s="1466"/>
      <c r="B92" s="1576"/>
      <c r="C92" s="1576"/>
      <c r="D92" s="1576"/>
      <c r="E92" s="1578"/>
      <c r="F92" s="1578"/>
      <c r="G92" s="1578"/>
      <c r="H92" s="1578"/>
      <c r="I92" s="1578"/>
      <c r="J92" s="1578"/>
      <c r="K92" s="1578"/>
      <c r="L92" s="1578"/>
      <c r="M92" s="1578"/>
      <c r="N92" s="1578"/>
      <c r="O92" s="1578"/>
      <c r="P92" s="1578"/>
      <c r="Q92" s="1578"/>
      <c r="R92" s="1578"/>
      <c r="S92" s="1578"/>
      <c r="T92" s="1578"/>
      <c r="U92" s="1578"/>
      <c r="V92" s="1578"/>
      <c r="W92" s="1578"/>
      <c r="X92" s="1578"/>
      <c r="Y92" s="1578"/>
      <c r="Z92" s="1578"/>
      <c r="AA92" s="1578"/>
      <c r="AB92" s="1578"/>
      <c r="AC92" s="1578"/>
      <c r="AD92" s="1578"/>
      <c r="AE92" s="1578"/>
      <c r="AF92" s="1578"/>
      <c r="AG92" s="1578"/>
      <c r="AH92" s="1578"/>
      <c r="AI92" s="1578"/>
      <c r="AJ92" s="1578"/>
      <c r="AK92" s="1578"/>
      <c r="AL92" s="1578"/>
      <c r="AM92" s="1578"/>
      <c r="AN92" s="1578"/>
      <c r="AO92" s="1578"/>
      <c r="AP92" s="1578"/>
      <c r="AQ92" s="1578"/>
      <c r="AR92" s="1578"/>
      <c r="AS92" s="1578"/>
      <c r="AT92" s="1578"/>
      <c r="AU92" s="1578"/>
      <c r="AV92" s="1578"/>
      <c r="AW92" s="1578"/>
      <c r="AX92" s="1578"/>
      <c r="AY92" s="1578"/>
      <c r="AZ92" s="1578"/>
      <c r="BA92" s="1578"/>
      <c r="BB92" s="1578"/>
      <c r="BC92" s="1578"/>
      <c r="BD92" s="1578"/>
      <c r="BE92" s="1578"/>
      <c r="BF92" s="1578"/>
      <c r="BG92" s="1578"/>
      <c r="BH92" s="1578"/>
      <c r="BI92" s="1578"/>
      <c r="BJ92" s="1578"/>
      <c r="BK92" s="1578"/>
      <c r="BL92" s="1578"/>
      <c r="BM92" s="1578"/>
      <c r="BN92" s="1578"/>
      <c r="BO92" s="1578"/>
      <c r="BP92" s="1578"/>
      <c r="BQ92" s="1578"/>
      <c r="BR92" s="1578"/>
      <c r="BS92" s="1578"/>
      <c r="BT92" s="1578"/>
      <c r="BU92" s="1578"/>
      <c r="BV92" s="1578"/>
      <c r="BW92" s="1578"/>
      <c r="BX92" s="1578"/>
      <c r="BY92" s="1578"/>
      <c r="BZ92" s="1578"/>
      <c r="CA92" s="1578"/>
      <c r="CB92" s="1578"/>
      <c r="CC92" s="1578"/>
      <c r="CD92" s="1578"/>
      <c r="CE92" s="1578"/>
      <c r="CF92" s="1578"/>
      <c r="CG92" s="1578"/>
      <c r="CH92" s="1578"/>
      <c r="CI92" s="1578"/>
      <c r="CJ92" s="1578"/>
      <c r="CK92" s="1578"/>
      <c r="CL92" s="1578"/>
      <c r="CM92" s="1578"/>
      <c r="CN92" s="1578"/>
      <c r="CO92" s="1578"/>
      <c r="CP92" s="1578"/>
      <c r="CQ92" s="1578"/>
      <c r="CR92" s="1578"/>
      <c r="CS92" s="1578"/>
      <c r="CT92" s="1578"/>
      <c r="CU92" s="1578"/>
      <c r="CV92" s="1578"/>
      <c r="CW92" s="1578"/>
      <c r="CX92" s="1578"/>
      <c r="CY92" s="1578"/>
      <c r="CZ92" s="1578"/>
    </row>
    <row r="93" spans="1:436">
      <c r="A93" s="1466"/>
      <c r="B93" s="1576"/>
      <c r="C93" s="1576"/>
      <c r="D93" s="1576"/>
      <c r="E93" s="1578"/>
      <c r="F93" s="1578"/>
      <c r="G93" s="1578"/>
      <c r="H93" s="1578"/>
      <c r="I93" s="1578"/>
      <c r="J93" s="1578"/>
      <c r="K93" s="1578"/>
      <c r="L93" s="1578"/>
      <c r="M93" s="1578"/>
      <c r="N93" s="1578"/>
      <c r="O93" s="1578"/>
      <c r="P93" s="1578"/>
      <c r="Q93" s="1578"/>
      <c r="R93" s="1578"/>
      <c r="S93" s="1578"/>
      <c r="T93" s="1578"/>
      <c r="U93" s="1578"/>
      <c r="V93" s="1578"/>
      <c r="W93" s="1578"/>
      <c r="X93" s="1578"/>
      <c r="Y93" s="1578"/>
      <c r="Z93" s="1578"/>
      <c r="AA93" s="1578"/>
      <c r="AB93" s="1578"/>
      <c r="AC93" s="1578"/>
      <c r="AD93" s="1578"/>
      <c r="AE93" s="1578"/>
      <c r="AF93" s="1578"/>
      <c r="AG93" s="1578"/>
      <c r="AH93" s="1578"/>
      <c r="AI93" s="1578"/>
      <c r="AJ93" s="1578"/>
      <c r="AK93" s="1578"/>
      <c r="AL93" s="1578"/>
      <c r="AM93" s="1578"/>
      <c r="AN93" s="1578"/>
      <c r="AO93" s="1578"/>
      <c r="AP93" s="1578"/>
      <c r="AQ93" s="1578"/>
      <c r="AR93" s="1578"/>
      <c r="AS93" s="1578"/>
      <c r="AT93" s="1578"/>
      <c r="AU93" s="1578"/>
      <c r="AV93" s="1578"/>
      <c r="AW93" s="1578"/>
      <c r="AX93" s="1578"/>
      <c r="AY93" s="1578"/>
      <c r="AZ93" s="1578"/>
      <c r="BA93" s="1578"/>
      <c r="BB93" s="1578"/>
      <c r="BC93" s="1578"/>
      <c r="BD93" s="1578"/>
      <c r="BE93" s="1578"/>
      <c r="BF93" s="1578"/>
      <c r="BG93" s="1578"/>
      <c r="BH93" s="1578"/>
      <c r="BI93" s="1578"/>
      <c r="BJ93" s="1578"/>
      <c r="BK93" s="1578"/>
      <c r="BL93" s="1578"/>
      <c r="BM93" s="1578"/>
      <c r="BN93" s="1578"/>
      <c r="BO93" s="1578"/>
      <c r="BP93" s="1578"/>
      <c r="BQ93" s="1578"/>
      <c r="BR93" s="1578"/>
      <c r="BS93" s="1578"/>
      <c r="BT93" s="1578"/>
      <c r="BU93" s="1578"/>
      <c r="BV93" s="1578"/>
      <c r="BW93" s="1578"/>
      <c r="BX93" s="1578"/>
      <c r="BY93" s="1578"/>
      <c r="BZ93" s="1578"/>
      <c r="CA93" s="1578"/>
      <c r="CB93" s="1578"/>
      <c r="CC93" s="1578"/>
      <c r="CD93" s="1578"/>
      <c r="CE93" s="1578"/>
      <c r="CF93" s="1578"/>
      <c r="CG93" s="1578"/>
      <c r="CH93" s="1578"/>
      <c r="CI93" s="1578"/>
      <c r="CJ93" s="1578"/>
      <c r="CK93" s="1578"/>
      <c r="CL93" s="1578"/>
      <c r="CM93" s="1578"/>
      <c r="CN93" s="1578"/>
      <c r="CO93" s="1578"/>
      <c r="CP93" s="1578"/>
      <c r="CQ93" s="1578"/>
      <c r="CR93" s="1578"/>
      <c r="CS93" s="1578"/>
      <c r="CT93" s="1578"/>
      <c r="CU93" s="1578"/>
      <c r="CV93" s="1578"/>
      <c r="CW93" s="1578"/>
      <c r="CX93" s="1578"/>
      <c r="CY93" s="1578"/>
      <c r="CZ93" s="1578"/>
    </row>
    <row r="94" spans="1:436">
      <c r="A94" s="1466"/>
      <c r="B94" s="1576"/>
      <c r="C94" s="1576"/>
      <c r="D94" s="1576"/>
      <c r="E94" s="1578"/>
      <c r="F94" s="1578"/>
      <c r="G94" s="1578"/>
      <c r="H94" s="1578"/>
      <c r="I94" s="1578"/>
      <c r="J94" s="1578"/>
      <c r="K94" s="1578"/>
      <c r="L94" s="1578"/>
      <c r="M94" s="1578"/>
      <c r="N94" s="1578"/>
      <c r="O94" s="1578"/>
      <c r="P94" s="1578"/>
      <c r="Q94" s="1578"/>
      <c r="R94" s="1578"/>
      <c r="S94" s="1578"/>
      <c r="T94" s="1578"/>
      <c r="U94" s="1578"/>
      <c r="V94" s="1578"/>
      <c r="W94" s="1578"/>
      <c r="X94" s="1578"/>
      <c r="Y94" s="1578"/>
      <c r="Z94" s="1578"/>
      <c r="AA94" s="1578"/>
      <c r="AB94" s="1578"/>
      <c r="AC94" s="1578"/>
      <c r="AD94" s="1578"/>
      <c r="AE94" s="1578"/>
      <c r="AF94" s="1578"/>
      <c r="AG94" s="1578"/>
      <c r="AH94" s="1578"/>
      <c r="AI94" s="1578"/>
      <c r="AJ94" s="1578"/>
      <c r="AK94" s="1578"/>
      <c r="AL94" s="1578"/>
      <c r="AM94" s="1578"/>
      <c r="AN94" s="1578"/>
      <c r="AO94" s="1578"/>
      <c r="AP94" s="1578"/>
      <c r="AQ94" s="1578"/>
      <c r="AR94" s="1578"/>
      <c r="AS94" s="1578"/>
      <c r="AT94" s="1578"/>
      <c r="AU94" s="1578"/>
      <c r="AV94" s="1578"/>
      <c r="AW94" s="1578"/>
      <c r="AX94" s="1578"/>
      <c r="AY94" s="1578"/>
      <c r="AZ94" s="1578"/>
      <c r="BA94" s="1578"/>
      <c r="BB94" s="1578"/>
      <c r="BC94" s="1578"/>
      <c r="BD94" s="1578"/>
      <c r="BE94" s="1578"/>
      <c r="BF94" s="1578"/>
      <c r="BG94" s="1578"/>
      <c r="BH94" s="1578"/>
      <c r="BI94" s="1578"/>
      <c r="BJ94" s="1578"/>
      <c r="BK94" s="1578"/>
      <c r="BL94" s="1578"/>
      <c r="BM94" s="1578"/>
      <c r="BN94" s="1578"/>
      <c r="BO94" s="1578"/>
      <c r="BP94" s="1578"/>
      <c r="BQ94" s="1578"/>
      <c r="BR94" s="1578"/>
      <c r="BS94" s="1578"/>
      <c r="BT94" s="1578"/>
      <c r="BU94" s="1578"/>
      <c r="BV94" s="1578"/>
      <c r="BW94" s="1578"/>
      <c r="BX94" s="1578"/>
      <c r="BY94" s="1578"/>
      <c r="BZ94" s="1578"/>
      <c r="CA94" s="1578"/>
      <c r="CB94" s="1578"/>
      <c r="CC94" s="1578"/>
      <c r="CD94" s="1578"/>
      <c r="CE94" s="1578"/>
      <c r="CF94" s="1578"/>
      <c r="CG94" s="1578"/>
      <c r="CH94" s="1578"/>
      <c r="CI94" s="1578"/>
      <c r="CJ94" s="1578"/>
      <c r="CK94" s="1578"/>
      <c r="CL94" s="1578"/>
      <c r="CM94" s="1578"/>
      <c r="CN94" s="1578"/>
      <c r="CO94" s="1578"/>
      <c r="CP94" s="1578"/>
      <c r="CQ94" s="1578"/>
      <c r="CR94" s="1578"/>
      <c r="CS94" s="1578"/>
      <c r="CT94" s="1578"/>
      <c r="CU94" s="1578"/>
      <c r="CV94" s="1578"/>
      <c r="CW94" s="1578"/>
      <c r="CX94" s="1578"/>
      <c r="CY94" s="1578"/>
      <c r="CZ94" s="1578"/>
    </row>
    <row r="95" spans="1:436">
      <c r="A95" s="1466"/>
      <c r="B95" s="1576"/>
      <c r="C95" s="1576"/>
      <c r="D95" s="1576"/>
      <c r="E95" s="1578"/>
      <c r="F95" s="1578"/>
      <c r="G95" s="1578"/>
      <c r="H95" s="1578"/>
      <c r="I95" s="1578"/>
      <c r="J95" s="1578"/>
      <c r="K95" s="1578"/>
      <c r="L95" s="1578"/>
      <c r="M95" s="1578"/>
      <c r="N95" s="1578"/>
      <c r="O95" s="1578"/>
      <c r="P95" s="1578"/>
      <c r="Q95" s="1578"/>
      <c r="R95" s="1578"/>
      <c r="S95" s="1578"/>
      <c r="T95" s="1578"/>
      <c r="U95" s="1578"/>
      <c r="V95" s="1578"/>
      <c r="W95" s="1578"/>
      <c r="X95" s="1578"/>
      <c r="Y95" s="1578"/>
      <c r="Z95" s="1578"/>
      <c r="AA95" s="1578"/>
      <c r="AB95" s="1578"/>
      <c r="AC95" s="1578"/>
      <c r="AD95" s="1578"/>
      <c r="AE95" s="1578"/>
      <c r="AF95" s="1578"/>
      <c r="AG95" s="1578"/>
      <c r="AH95" s="1578"/>
      <c r="AI95" s="1578"/>
      <c r="AJ95" s="1578"/>
      <c r="AK95" s="1578"/>
      <c r="AL95" s="1578"/>
      <c r="AM95" s="1578"/>
      <c r="AN95" s="1578"/>
      <c r="AO95" s="1578"/>
      <c r="AP95" s="1578"/>
      <c r="AQ95" s="1578"/>
      <c r="AR95" s="1578"/>
      <c r="AS95" s="1578"/>
      <c r="AT95" s="1578"/>
      <c r="AU95" s="1578"/>
      <c r="AV95" s="1578"/>
      <c r="AW95" s="1578"/>
      <c r="AX95" s="1578"/>
      <c r="AY95" s="1578"/>
      <c r="AZ95" s="1578"/>
      <c r="BA95" s="1578"/>
      <c r="BB95" s="1578"/>
      <c r="BC95" s="1578"/>
      <c r="BD95" s="1578"/>
      <c r="BE95" s="1578"/>
      <c r="BF95" s="1578"/>
      <c r="BG95" s="1578"/>
      <c r="BH95" s="1578"/>
      <c r="BI95" s="1578"/>
      <c r="BJ95" s="1578"/>
      <c r="BK95" s="1578"/>
      <c r="BL95" s="1578"/>
      <c r="BM95" s="1578"/>
      <c r="BN95" s="1578"/>
      <c r="BO95" s="1578"/>
      <c r="BP95" s="1578"/>
      <c r="BQ95" s="1578"/>
      <c r="BR95" s="1578"/>
      <c r="BS95" s="1578"/>
      <c r="BT95" s="1578"/>
      <c r="BU95" s="1578"/>
      <c r="BV95" s="1578"/>
      <c r="BW95" s="1578"/>
      <c r="BX95" s="1578"/>
      <c r="BY95" s="1578"/>
      <c r="BZ95" s="1578"/>
      <c r="CA95" s="1578"/>
      <c r="CB95" s="1578"/>
      <c r="CC95" s="1578"/>
      <c r="CD95" s="1578"/>
      <c r="CE95" s="1578"/>
      <c r="CF95" s="1578"/>
      <c r="CG95" s="1578"/>
      <c r="CH95" s="1578"/>
      <c r="CI95" s="1578"/>
      <c r="CJ95" s="1578"/>
      <c r="CK95" s="1578"/>
      <c r="CL95" s="1578"/>
      <c r="CM95" s="1578"/>
      <c r="CN95" s="1578"/>
      <c r="CO95" s="1578"/>
      <c r="CP95" s="1578"/>
      <c r="CQ95" s="1578"/>
      <c r="CR95" s="1578"/>
      <c r="CS95" s="1578"/>
      <c r="CT95" s="1578"/>
      <c r="CU95" s="1578"/>
      <c r="CV95" s="1578"/>
      <c r="CW95" s="1578"/>
      <c r="CX95" s="1578"/>
      <c r="CY95" s="1578"/>
      <c r="CZ95" s="1578"/>
    </row>
    <row r="96" spans="1:436">
      <c r="A96" s="1466"/>
      <c r="B96" s="1576"/>
      <c r="C96" s="1576"/>
      <c r="D96" s="1576"/>
      <c r="E96" s="1578"/>
      <c r="F96" s="1578"/>
      <c r="G96" s="1578"/>
      <c r="H96" s="1578"/>
      <c r="I96" s="1578"/>
      <c r="J96" s="1578"/>
      <c r="K96" s="1578"/>
      <c r="L96" s="1578"/>
      <c r="M96" s="1578"/>
      <c r="N96" s="1578"/>
      <c r="O96" s="1578"/>
      <c r="P96" s="1578"/>
      <c r="Q96" s="1578"/>
      <c r="R96" s="1578"/>
      <c r="S96" s="1578"/>
      <c r="T96" s="1578"/>
      <c r="U96" s="1578"/>
      <c r="V96" s="1578"/>
      <c r="W96" s="1578"/>
      <c r="X96" s="1578"/>
      <c r="Y96" s="1578"/>
      <c r="Z96" s="1578"/>
      <c r="AA96" s="1578"/>
      <c r="AB96" s="1578"/>
      <c r="AC96" s="1578"/>
      <c r="AD96" s="1578"/>
      <c r="AE96" s="1578"/>
      <c r="AF96" s="1578"/>
      <c r="AG96" s="1578"/>
      <c r="AH96" s="1578"/>
      <c r="AI96" s="1578"/>
      <c r="AJ96" s="1578"/>
      <c r="AK96" s="1578"/>
      <c r="AL96" s="1578"/>
      <c r="AM96" s="1578"/>
      <c r="AN96" s="1578"/>
      <c r="AO96" s="1578"/>
      <c r="AP96" s="1578"/>
      <c r="AQ96" s="1578"/>
      <c r="AR96" s="1578"/>
      <c r="AS96" s="1578"/>
      <c r="AT96" s="1578"/>
      <c r="AU96" s="1578"/>
      <c r="AV96" s="1578"/>
      <c r="AW96" s="1578"/>
      <c r="AX96" s="1578"/>
      <c r="AY96" s="1578"/>
      <c r="AZ96" s="1578"/>
      <c r="BA96" s="1578"/>
      <c r="BB96" s="1578"/>
      <c r="BC96" s="1578"/>
      <c r="BD96" s="1578"/>
      <c r="BE96" s="1578"/>
      <c r="BF96" s="1578"/>
      <c r="BG96" s="1578"/>
      <c r="BH96" s="1578"/>
      <c r="BI96" s="1578"/>
      <c r="BJ96" s="1578"/>
      <c r="BK96" s="1578"/>
      <c r="BL96" s="1578"/>
      <c r="BM96" s="1578"/>
      <c r="BN96" s="1578"/>
      <c r="BO96" s="1578"/>
      <c r="BP96" s="1578"/>
      <c r="BQ96" s="1578"/>
      <c r="BR96" s="1578"/>
      <c r="BS96" s="1578"/>
      <c r="BT96" s="1578"/>
      <c r="BU96" s="1578"/>
      <c r="BV96" s="1578"/>
      <c r="BW96" s="1578"/>
      <c r="BX96" s="1578"/>
      <c r="BY96" s="1578"/>
      <c r="BZ96" s="1578"/>
      <c r="CA96" s="1578"/>
      <c r="CB96" s="1578"/>
      <c r="CC96" s="1578"/>
      <c r="CD96" s="1578"/>
      <c r="CE96" s="1578"/>
      <c r="CF96" s="1578"/>
      <c r="CG96" s="1578"/>
      <c r="CH96" s="1578"/>
      <c r="CI96" s="1578"/>
      <c r="CJ96" s="1578"/>
      <c r="CK96" s="1578"/>
      <c r="CL96" s="1578"/>
      <c r="CM96" s="1578"/>
      <c r="CN96" s="1578"/>
      <c r="CO96" s="1578"/>
      <c r="CP96" s="1578"/>
      <c r="CQ96" s="1578"/>
      <c r="CR96" s="1578"/>
      <c r="CS96" s="1578"/>
      <c r="CT96" s="1578"/>
      <c r="CU96" s="1578"/>
      <c r="CV96" s="1578"/>
      <c r="CW96" s="1578"/>
      <c r="CX96" s="1578"/>
      <c r="CY96" s="1578"/>
      <c r="CZ96" s="1578"/>
    </row>
    <row r="97" spans="1:104">
      <c r="A97" s="1466"/>
      <c r="B97" s="1576"/>
      <c r="C97" s="1576"/>
      <c r="D97" s="1576"/>
      <c r="E97" s="1578"/>
      <c r="F97" s="1578"/>
      <c r="G97" s="1578"/>
      <c r="H97" s="1578"/>
      <c r="I97" s="1578"/>
      <c r="J97" s="1578"/>
      <c r="K97" s="1578"/>
      <c r="L97" s="1578"/>
      <c r="M97" s="1578"/>
      <c r="N97" s="1578"/>
      <c r="O97" s="1578"/>
      <c r="P97" s="1578"/>
      <c r="Q97" s="1578"/>
      <c r="R97" s="1578"/>
      <c r="S97" s="1578"/>
      <c r="T97" s="1578"/>
      <c r="U97" s="1578"/>
      <c r="V97" s="1578"/>
      <c r="W97" s="1578"/>
      <c r="X97" s="1578"/>
      <c r="Y97" s="1578"/>
      <c r="Z97" s="1578"/>
      <c r="AA97" s="1578"/>
      <c r="AB97" s="1578"/>
      <c r="AC97" s="1578"/>
      <c r="AD97" s="1578"/>
      <c r="AE97" s="1578"/>
      <c r="AF97" s="1578"/>
      <c r="AG97" s="1578"/>
      <c r="AH97" s="1578"/>
      <c r="AI97" s="1578"/>
      <c r="AJ97" s="1578"/>
      <c r="AK97" s="1578"/>
      <c r="AL97" s="1578"/>
      <c r="AM97" s="1578"/>
      <c r="AN97" s="1578"/>
      <c r="AO97" s="1578"/>
      <c r="AP97" s="1578"/>
      <c r="AQ97" s="1578"/>
      <c r="AR97" s="1578"/>
      <c r="AS97" s="1578"/>
      <c r="AT97" s="1578"/>
      <c r="AU97" s="1578"/>
      <c r="AV97" s="1578"/>
      <c r="AW97" s="1578"/>
      <c r="AX97" s="1578"/>
      <c r="AY97" s="1578"/>
      <c r="AZ97" s="1578"/>
      <c r="BA97" s="1578"/>
      <c r="BB97" s="1578"/>
      <c r="BC97" s="1578"/>
      <c r="BD97" s="1578"/>
      <c r="BE97" s="1578"/>
      <c r="BF97" s="1578"/>
      <c r="BG97" s="1578"/>
      <c r="BH97" s="1578"/>
      <c r="BI97" s="1578"/>
      <c r="BJ97" s="1578"/>
      <c r="BK97" s="1578"/>
      <c r="BL97" s="1578"/>
      <c r="BM97" s="1578"/>
      <c r="BN97" s="1578"/>
      <c r="BO97" s="1578"/>
      <c r="BP97" s="1578"/>
      <c r="BQ97" s="1578"/>
      <c r="BR97" s="1578"/>
      <c r="BS97" s="1578"/>
      <c r="BT97" s="1578"/>
      <c r="BU97" s="1578"/>
      <c r="BV97" s="1578"/>
      <c r="BW97" s="1578"/>
      <c r="BX97" s="1578"/>
      <c r="BY97" s="1578"/>
      <c r="BZ97" s="1578"/>
      <c r="CA97" s="1578"/>
      <c r="CB97" s="1578"/>
      <c r="CC97" s="1578"/>
      <c r="CD97" s="1578"/>
      <c r="CE97" s="1578"/>
      <c r="CF97" s="1578"/>
      <c r="CG97" s="1578"/>
      <c r="CH97" s="1578"/>
      <c r="CI97" s="1578"/>
      <c r="CJ97" s="1578"/>
      <c r="CK97" s="1578"/>
      <c r="CL97" s="1578"/>
      <c r="CM97" s="1578"/>
      <c r="CN97" s="1578"/>
      <c r="CO97" s="1578"/>
      <c r="CP97" s="1578"/>
      <c r="CQ97" s="1578"/>
      <c r="CR97" s="1578"/>
      <c r="CS97" s="1578"/>
      <c r="CT97" s="1578"/>
      <c r="CU97" s="1578"/>
      <c r="CV97" s="1578"/>
      <c r="CW97" s="1578"/>
      <c r="CX97" s="1578"/>
      <c r="CY97" s="1578"/>
      <c r="CZ97" s="1578"/>
    </row>
    <row r="98" spans="1:104">
      <c r="A98" s="1466"/>
      <c r="B98" s="1576"/>
      <c r="C98" s="1576"/>
      <c r="D98" s="1576"/>
      <c r="E98" s="1578"/>
      <c r="F98" s="1578"/>
      <c r="G98" s="1578"/>
      <c r="H98" s="1578"/>
      <c r="I98" s="1578"/>
      <c r="J98" s="1578"/>
      <c r="K98" s="1578"/>
      <c r="L98" s="1578"/>
      <c r="M98" s="1578"/>
      <c r="N98" s="1578"/>
      <c r="O98" s="1578"/>
      <c r="P98" s="1578"/>
      <c r="Q98" s="1578"/>
      <c r="R98" s="1578"/>
      <c r="S98" s="1578"/>
      <c r="T98" s="1578"/>
      <c r="U98" s="1578"/>
      <c r="V98" s="1578"/>
      <c r="W98" s="1578"/>
      <c r="X98" s="1578"/>
      <c r="Y98" s="1578"/>
      <c r="Z98" s="1578"/>
      <c r="AA98" s="1578"/>
      <c r="AB98" s="1578"/>
      <c r="AC98" s="1578"/>
      <c r="AD98" s="1578"/>
      <c r="AE98" s="1578"/>
      <c r="AF98" s="1578"/>
      <c r="AG98" s="1578"/>
      <c r="AH98" s="1578"/>
      <c r="AI98" s="1578"/>
      <c r="AJ98" s="1578"/>
      <c r="AK98" s="1578"/>
      <c r="AL98" s="1578"/>
      <c r="AM98" s="1578"/>
      <c r="AN98" s="1578"/>
      <c r="AO98" s="1578"/>
      <c r="AP98" s="1578"/>
      <c r="AQ98" s="1578"/>
      <c r="AR98" s="1578"/>
      <c r="AS98" s="1578"/>
      <c r="AT98" s="1578"/>
      <c r="AU98" s="1578"/>
      <c r="AV98" s="1578"/>
      <c r="AW98" s="1578"/>
      <c r="AX98" s="1578"/>
      <c r="AY98" s="1578"/>
      <c r="AZ98" s="1578"/>
      <c r="BA98" s="1578"/>
      <c r="BB98" s="1578"/>
      <c r="BC98" s="1578"/>
      <c r="BD98" s="1578"/>
      <c r="BE98" s="1578"/>
      <c r="BF98" s="1578"/>
      <c r="BG98" s="1578"/>
      <c r="BH98" s="1578"/>
      <c r="BI98" s="1578"/>
      <c r="BJ98" s="1578"/>
      <c r="BK98" s="1578"/>
      <c r="BL98" s="1578"/>
      <c r="BM98" s="1578"/>
      <c r="BN98" s="1578"/>
      <c r="BO98" s="1578"/>
      <c r="BP98" s="1578"/>
      <c r="BQ98" s="1578"/>
      <c r="BR98" s="1578"/>
      <c r="BS98" s="1578"/>
      <c r="BT98" s="1578"/>
      <c r="BU98" s="1578"/>
      <c r="BV98" s="1578"/>
      <c r="BW98" s="1578"/>
      <c r="BX98" s="1578"/>
      <c r="BY98" s="1578"/>
      <c r="BZ98" s="1578"/>
      <c r="CA98" s="1578"/>
      <c r="CB98" s="1578"/>
      <c r="CC98" s="1578"/>
      <c r="CD98" s="1578"/>
      <c r="CE98" s="1578"/>
      <c r="CF98" s="1578"/>
      <c r="CG98" s="1578"/>
      <c r="CH98" s="1578"/>
      <c r="CI98" s="1578"/>
      <c r="CJ98" s="1578"/>
      <c r="CK98" s="1578"/>
      <c r="CL98" s="1578"/>
      <c r="CM98" s="1578"/>
      <c r="CN98" s="1578"/>
      <c r="CO98" s="1578"/>
      <c r="CP98" s="1578"/>
      <c r="CQ98" s="1578"/>
      <c r="CR98" s="1578"/>
      <c r="CS98" s="1578"/>
      <c r="CT98" s="1578"/>
      <c r="CU98" s="1578"/>
      <c r="CV98" s="1578"/>
      <c r="CW98" s="1578"/>
      <c r="CX98" s="1578"/>
      <c r="CY98" s="1578"/>
      <c r="CZ98" s="1578"/>
    </row>
    <row r="99" spans="1:104">
      <c r="A99" s="1466"/>
      <c r="B99" s="1576"/>
      <c r="C99" s="1576"/>
      <c r="D99" s="1576"/>
      <c r="E99" s="1578"/>
      <c r="F99" s="1578"/>
      <c r="G99" s="1578"/>
      <c r="H99" s="1578"/>
      <c r="I99" s="1578"/>
      <c r="J99" s="1578"/>
      <c r="K99" s="1578"/>
      <c r="L99" s="1578"/>
      <c r="M99" s="1578"/>
      <c r="N99" s="1578"/>
      <c r="O99" s="1578"/>
      <c r="P99" s="1578"/>
      <c r="Q99" s="1578"/>
      <c r="R99" s="1578"/>
      <c r="S99" s="1578"/>
      <c r="T99" s="1578"/>
      <c r="U99" s="1578"/>
      <c r="V99" s="1578"/>
      <c r="W99" s="1578"/>
      <c r="X99" s="1578"/>
      <c r="Y99" s="1578"/>
      <c r="Z99" s="1578"/>
      <c r="AA99" s="1578"/>
      <c r="AB99" s="1578"/>
      <c r="AC99" s="1578"/>
      <c r="AD99" s="1578"/>
      <c r="AE99" s="1578"/>
      <c r="AF99" s="1578"/>
      <c r="AG99" s="1578"/>
      <c r="AH99" s="1578"/>
      <c r="AI99" s="1578"/>
      <c r="AJ99" s="1578"/>
      <c r="AK99" s="1578"/>
      <c r="AL99" s="1578"/>
      <c r="AM99" s="1578"/>
      <c r="AN99" s="1578"/>
      <c r="AO99" s="1578"/>
      <c r="AP99" s="1578"/>
      <c r="AQ99" s="1578"/>
      <c r="AR99" s="1578"/>
      <c r="AS99" s="1578"/>
      <c r="AT99" s="1578"/>
      <c r="AU99" s="1578"/>
      <c r="AV99" s="1578"/>
      <c r="AW99" s="1578"/>
      <c r="AX99" s="1578"/>
      <c r="AY99" s="1578"/>
      <c r="AZ99" s="1578"/>
      <c r="BA99" s="1578"/>
      <c r="BB99" s="1578"/>
      <c r="BC99" s="1578"/>
      <c r="BD99" s="1578"/>
      <c r="BE99" s="1578"/>
      <c r="BF99" s="1578"/>
      <c r="BG99" s="1578"/>
      <c r="BH99" s="1578"/>
      <c r="BI99" s="1578"/>
      <c r="BJ99" s="1578"/>
      <c r="BK99" s="1578"/>
      <c r="BL99" s="1578"/>
      <c r="BM99" s="1578"/>
      <c r="BN99" s="1578"/>
      <c r="BO99" s="1578"/>
      <c r="BP99" s="1578"/>
      <c r="BQ99" s="1578"/>
      <c r="BR99" s="1578"/>
      <c r="BS99" s="1578"/>
      <c r="BT99" s="1578"/>
      <c r="BU99" s="1578"/>
      <c r="BV99" s="1578"/>
      <c r="BW99" s="1578"/>
      <c r="BX99" s="1578"/>
      <c r="BY99" s="1578"/>
      <c r="BZ99" s="1578"/>
      <c r="CA99" s="1578"/>
      <c r="CB99" s="1578"/>
      <c r="CC99" s="1578"/>
      <c r="CD99" s="1578"/>
      <c r="CE99" s="1578"/>
      <c r="CF99" s="1578"/>
      <c r="CG99" s="1578"/>
      <c r="CH99" s="1578"/>
      <c r="CI99" s="1578"/>
      <c r="CJ99" s="1578"/>
      <c r="CK99" s="1578"/>
      <c r="CL99" s="1578"/>
      <c r="CM99" s="1578"/>
      <c r="CN99" s="1578"/>
      <c r="CO99" s="1578"/>
      <c r="CP99" s="1578"/>
      <c r="CQ99" s="1578"/>
      <c r="CR99" s="1578"/>
      <c r="CS99" s="1578"/>
      <c r="CT99" s="1578"/>
      <c r="CU99" s="1578"/>
      <c r="CV99" s="1578"/>
      <c r="CW99" s="1578"/>
      <c r="CX99" s="1578"/>
      <c r="CY99" s="1578"/>
      <c r="CZ99" s="1578"/>
    </row>
    <row r="100" spans="1:104">
      <c r="A100" s="1466"/>
      <c r="B100" s="1576"/>
      <c r="C100" s="1576"/>
      <c r="D100" s="1576"/>
      <c r="E100" s="1578"/>
      <c r="F100" s="1578"/>
      <c r="G100" s="1578"/>
      <c r="H100" s="1578"/>
      <c r="I100" s="1578"/>
      <c r="J100" s="1578"/>
      <c r="K100" s="1578"/>
      <c r="L100" s="1578"/>
      <c r="M100" s="1578"/>
      <c r="N100" s="1578"/>
      <c r="O100" s="1578"/>
      <c r="P100" s="1578"/>
      <c r="Q100" s="1578"/>
      <c r="R100" s="1578"/>
      <c r="S100" s="1578"/>
      <c r="T100" s="1578"/>
      <c r="U100" s="1578"/>
      <c r="V100" s="1578"/>
      <c r="W100" s="1578"/>
      <c r="X100" s="1578"/>
      <c r="Y100" s="1578"/>
      <c r="Z100" s="1578"/>
      <c r="AA100" s="1578"/>
      <c r="AB100" s="1578"/>
      <c r="AC100" s="1578"/>
      <c r="AD100" s="1578"/>
      <c r="AE100" s="1578"/>
      <c r="AF100" s="1578"/>
      <c r="AG100" s="1578"/>
      <c r="AH100" s="1578"/>
      <c r="AI100" s="1578"/>
      <c r="AJ100" s="1578"/>
      <c r="AK100" s="1578"/>
      <c r="AL100" s="1578"/>
      <c r="AM100" s="1578"/>
      <c r="AN100" s="1578"/>
      <c r="AO100" s="1578"/>
      <c r="AP100" s="1578"/>
      <c r="AQ100" s="1578"/>
      <c r="AR100" s="1578"/>
      <c r="AS100" s="1578"/>
      <c r="AT100" s="1578"/>
      <c r="AU100" s="1578"/>
      <c r="AV100" s="1578"/>
      <c r="AW100" s="1578"/>
      <c r="AX100" s="1578"/>
      <c r="AY100" s="1578"/>
      <c r="AZ100" s="1578"/>
      <c r="BA100" s="1578"/>
      <c r="BB100" s="1578"/>
      <c r="BC100" s="1578"/>
      <c r="BD100" s="1578"/>
      <c r="BE100" s="1578"/>
      <c r="BF100" s="1578"/>
      <c r="BG100" s="1578"/>
      <c r="BH100" s="1578"/>
      <c r="BI100" s="1578"/>
      <c r="BJ100" s="1578"/>
      <c r="BK100" s="1578"/>
      <c r="BL100" s="1578"/>
      <c r="BM100" s="1578"/>
      <c r="BN100" s="1578"/>
      <c r="BO100" s="1578"/>
      <c r="BP100" s="1578"/>
      <c r="BQ100" s="1578"/>
      <c r="BR100" s="1578"/>
      <c r="BS100" s="1578"/>
      <c r="BT100" s="1578"/>
      <c r="BU100" s="1578"/>
      <c r="BV100" s="1578"/>
      <c r="BW100" s="1578"/>
      <c r="BX100" s="1578"/>
      <c r="BY100" s="1578"/>
      <c r="BZ100" s="1578"/>
      <c r="CA100" s="1578"/>
      <c r="CB100" s="1578"/>
      <c r="CC100" s="1578"/>
      <c r="CD100" s="1578"/>
      <c r="CE100" s="1578"/>
      <c r="CF100" s="1578"/>
      <c r="CG100" s="1578"/>
      <c r="CH100" s="1578"/>
      <c r="CI100" s="1578"/>
      <c r="CJ100" s="1578"/>
      <c r="CK100" s="1578"/>
      <c r="CL100" s="1578"/>
      <c r="CM100" s="1578"/>
      <c r="CN100" s="1578"/>
      <c r="CO100" s="1578"/>
      <c r="CP100" s="1578"/>
      <c r="CQ100" s="1578"/>
      <c r="CR100" s="1578"/>
      <c r="CS100" s="1578"/>
      <c r="CT100" s="1578"/>
      <c r="CU100" s="1578"/>
      <c r="CV100" s="1578"/>
      <c r="CW100" s="1578"/>
      <c r="CX100" s="1578"/>
      <c r="CY100" s="1578"/>
      <c r="CZ100" s="1578"/>
    </row>
    <row r="101" spans="1:104">
      <c r="A101" s="1466"/>
      <c r="B101" s="1576"/>
      <c r="C101" s="1576"/>
      <c r="D101" s="1576"/>
      <c r="E101" s="1578"/>
      <c r="F101" s="1578"/>
      <c r="G101" s="1578"/>
      <c r="H101" s="1578"/>
      <c r="I101" s="1578"/>
      <c r="J101" s="1578"/>
      <c r="K101" s="1578"/>
      <c r="L101" s="1578"/>
      <c r="M101" s="1578"/>
      <c r="N101" s="1578"/>
      <c r="O101" s="1578"/>
      <c r="P101" s="1578"/>
      <c r="Q101" s="1578"/>
      <c r="R101" s="1578"/>
      <c r="S101" s="1578"/>
      <c r="T101" s="1578"/>
      <c r="U101" s="1578"/>
      <c r="V101" s="1578"/>
      <c r="W101" s="1578"/>
      <c r="X101" s="1578"/>
      <c r="Y101" s="1578"/>
      <c r="Z101" s="1578"/>
      <c r="AA101" s="1578"/>
      <c r="AB101" s="1578"/>
      <c r="AC101" s="1578"/>
      <c r="AD101" s="1578"/>
      <c r="AE101" s="1578"/>
      <c r="AF101" s="1578"/>
      <c r="AG101" s="1578"/>
      <c r="AH101" s="1578"/>
      <c r="AI101" s="1578"/>
      <c r="AJ101" s="1578"/>
      <c r="AK101" s="1578"/>
      <c r="AL101" s="1578"/>
      <c r="AM101" s="1578"/>
      <c r="AN101" s="1578"/>
      <c r="AO101" s="1578"/>
      <c r="AP101" s="1578"/>
      <c r="AQ101" s="1578"/>
      <c r="AR101" s="1578"/>
      <c r="AS101" s="1578"/>
      <c r="AT101" s="1578"/>
      <c r="AU101" s="1578"/>
      <c r="AV101" s="1578"/>
      <c r="AW101" s="1578"/>
      <c r="AX101" s="1578"/>
      <c r="AY101" s="1578"/>
      <c r="AZ101" s="1578"/>
      <c r="BA101" s="1578"/>
      <c r="BB101" s="1578"/>
      <c r="BC101" s="1578"/>
      <c r="BD101" s="1578"/>
      <c r="BE101" s="1578"/>
      <c r="BF101" s="1578"/>
      <c r="BG101" s="1578"/>
      <c r="BH101" s="1578"/>
      <c r="BI101" s="1578"/>
      <c r="BJ101" s="1578"/>
      <c r="BK101" s="1578"/>
      <c r="BL101" s="1578"/>
      <c r="BM101" s="1578"/>
      <c r="BN101" s="1578"/>
      <c r="BO101" s="1578"/>
      <c r="BP101" s="1578"/>
      <c r="BQ101" s="1578"/>
      <c r="BR101" s="1578"/>
      <c r="BS101" s="1578"/>
      <c r="BT101" s="1578"/>
      <c r="BU101" s="1578"/>
      <c r="BV101" s="1578"/>
      <c r="BW101" s="1578"/>
      <c r="BX101" s="1578"/>
      <c r="BY101" s="1578"/>
      <c r="BZ101" s="1578"/>
      <c r="CA101" s="1578"/>
      <c r="CB101" s="1578"/>
      <c r="CC101" s="1578"/>
      <c r="CD101" s="1578"/>
      <c r="CE101" s="1578"/>
      <c r="CF101" s="1578"/>
      <c r="CG101" s="1578"/>
      <c r="CH101" s="1578"/>
      <c r="CI101" s="1578"/>
      <c r="CJ101" s="1578"/>
      <c r="CK101" s="1578"/>
      <c r="CL101" s="1578"/>
      <c r="CM101" s="1578"/>
      <c r="CN101" s="1578"/>
      <c r="CO101" s="1578"/>
      <c r="CP101" s="1578"/>
      <c r="CQ101" s="1578"/>
      <c r="CR101" s="1578"/>
      <c r="CS101" s="1578"/>
      <c r="CT101" s="1578"/>
      <c r="CU101" s="1578"/>
      <c r="CV101" s="1578"/>
      <c r="CW101" s="1578"/>
      <c r="CX101" s="1578"/>
      <c r="CY101" s="1578"/>
      <c r="CZ101" s="1578"/>
    </row>
    <row r="102" spans="1:104">
      <c r="A102" s="1466"/>
      <c r="B102" s="1576"/>
      <c r="C102" s="1576"/>
      <c r="D102" s="1576"/>
      <c r="E102" s="1578"/>
      <c r="F102" s="1578"/>
      <c r="G102" s="1578"/>
      <c r="H102" s="1578"/>
      <c r="I102" s="1578"/>
      <c r="J102" s="1578"/>
      <c r="K102" s="1578"/>
      <c r="L102" s="1578"/>
      <c r="M102" s="1578"/>
      <c r="N102" s="1578"/>
      <c r="O102" s="1578"/>
      <c r="P102" s="1578"/>
      <c r="Q102" s="1578"/>
      <c r="R102" s="1578"/>
      <c r="S102" s="1578"/>
      <c r="T102" s="1578"/>
      <c r="U102" s="1578"/>
      <c r="V102" s="1578"/>
      <c r="W102" s="1578"/>
      <c r="X102" s="1578"/>
      <c r="Y102" s="1578"/>
      <c r="Z102" s="1578"/>
      <c r="AA102" s="1578"/>
      <c r="AB102" s="1578"/>
      <c r="AC102" s="1578"/>
      <c r="AD102" s="1578"/>
      <c r="AE102" s="1578"/>
      <c r="AF102" s="1578"/>
      <c r="AG102" s="1578"/>
      <c r="AH102" s="1578"/>
      <c r="AI102" s="1578"/>
      <c r="AJ102" s="1578"/>
      <c r="AK102" s="1578"/>
      <c r="AL102" s="1578"/>
      <c r="AM102" s="1578"/>
      <c r="AN102" s="1578"/>
      <c r="AO102" s="1578"/>
      <c r="AP102" s="1578"/>
      <c r="AQ102" s="1578"/>
      <c r="AR102" s="1578"/>
      <c r="AS102" s="1578"/>
      <c r="AT102" s="1578"/>
      <c r="AU102" s="1578"/>
      <c r="AV102" s="1578"/>
      <c r="AW102" s="1578"/>
      <c r="AX102" s="1578"/>
      <c r="AY102" s="1578"/>
      <c r="AZ102" s="1578"/>
      <c r="BA102" s="1578"/>
      <c r="BB102" s="1578"/>
      <c r="BC102" s="1578"/>
      <c r="BD102" s="1578"/>
      <c r="BE102" s="1578"/>
      <c r="BF102" s="1578"/>
      <c r="BG102" s="1578"/>
      <c r="BH102" s="1578"/>
      <c r="BI102" s="1578"/>
      <c r="BJ102" s="1578"/>
      <c r="BK102" s="1578"/>
      <c r="BL102" s="1578"/>
      <c r="BM102" s="1578"/>
      <c r="BN102" s="1578"/>
      <c r="BO102" s="1578"/>
      <c r="BP102" s="1578"/>
      <c r="BQ102" s="1578"/>
      <c r="BR102" s="1578"/>
      <c r="BS102" s="1578"/>
      <c r="BT102" s="1578"/>
      <c r="BU102" s="1578"/>
      <c r="BV102" s="1578"/>
      <c r="BW102" s="1578"/>
      <c r="BX102" s="1578"/>
      <c r="BY102" s="1578"/>
      <c r="BZ102" s="1578"/>
      <c r="CA102" s="1578"/>
      <c r="CB102" s="1578"/>
      <c r="CC102" s="1578"/>
      <c r="CD102" s="1578"/>
      <c r="CE102" s="1578"/>
      <c r="CF102" s="1578"/>
      <c r="CG102" s="1578"/>
      <c r="CH102" s="1578"/>
      <c r="CI102" s="1578"/>
      <c r="CJ102" s="1578"/>
      <c r="CK102" s="1578"/>
      <c r="CL102" s="1578"/>
      <c r="CM102" s="1578"/>
      <c r="CN102" s="1578"/>
      <c r="CO102" s="1578"/>
      <c r="CP102" s="1578"/>
      <c r="CQ102" s="1578"/>
      <c r="CR102" s="1578"/>
      <c r="CS102" s="1578"/>
      <c r="CT102" s="1578"/>
      <c r="CU102" s="1578"/>
      <c r="CV102" s="1578"/>
      <c r="CW102" s="1578"/>
      <c r="CX102" s="1578"/>
      <c r="CY102" s="1578"/>
      <c r="CZ102" s="1578"/>
    </row>
    <row r="103" spans="1:104">
      <c r="A103" s="1466"/>
      <c r="B103" s="1576"/>
      <c r="C103" s="1576"/>
      <c r="D103" s="1576"/>
      <c r="E103" s="1578"/>
      <c r="F103" s="1578"/>
      <c r="G103" s="1578"/>
      <c r="H103" s="1578"/>
      <c r="I103" s="1578"/>
      <c r="J103" s="1578"/>
      <c r="K103" s="1578"/>
      <c r="L103" s="1578"/>
      <c r="M103" s="1578"/>
      <c r="N103" s="1578"/>
      <c r="O103" s="1578"/>
      <c r="P103" s="1578"/>
      <c r="Q103" s="1578"/>
      <c r="R103" s="1578"/>
      <c r="S103" s="1578"/>
      <c r="T103" s="1578"/>
      <c r="U103" s="1578"/>
      <c r="V103" s="1578"/>
      <c r="W103" s="1578"/>
      <c r="X103" s="1578"/>
      <c r="Y103" s="1578"/>
      <c r="Z103" s="1578"/>
      <c r="AA103" s="1578"/>
      <c r="AB103" s="1578"/>
      <c r="AC103" s="1578"/>
      <c r="AD103" s="1578"/>
      <c r="AE103" s="1578"/>
      <c r="AF103" s="1578"/>
      <c r="AG103" s="1578"/>
      <c r="AH103" s="1578"/>
      <c r="AI103" s="1578"/>
      <c r="AJ103" s="1578"/>
      <c r="AK103" s="1578"/>
      <c r="AL103" s="1578"/>
      <c r="AM103" s="1578"/>
      <c r="AN103" s="1578"/>
      <c r="AO103" s="1578"/>
      <c r="AP103" s="1578"/>
      <c r="AQ103" s="1578"/>
      <c r="AR103" s="1578"/>
      <c r="AS103" s="1578"/>
      <c r="AT103" s="1578"/>
      <c r="AU103" s="1578"/>
      <c r="AV103" s="1578"/>
      <c r="AW103" s="1578"/>
      <c r="AX103" s="1578"/>
      <c r="AY103" s="1578"/>
      <c r="AZ103" s="1578"/>
      <c r="BA103" s="1578"/>
      <c r="BB103" s="1578"/>
      <c r="BC103" s="1578"/>
      <c r="BD103" s="1578"/>
      <c r="BE103" s="1578"/>
      <c r="BF103" s="1578"/>
      <c r="BG103" s="1578"/>
      <c r="BH103" s="1578"/>
      <c r="BI103" s="1578"/>
      <c r="BJ103" s="1578"/>
      <c r="BK103" s="1578"/>
      <c r="BL103" s="1578"/>
      <c r="BM103" s="1578"/>
      <c r="BN103" s="1578"/>
      <c r="BO103" s="1578"/>
      <c r="BP103" s="1578"/>
      <c r="BQ103" s="1578"/>
      <c r="BR103" s="1578"/>
      <c r="BS103" s="1578"/>
      <c r="BT103" s="1578"/>
      <c r="BU103" s="1578"/>
      <c r="BV103" s="1578"/>
      <c r="BW103" s="1578"/>
      <c r="BX103" s="1578"/>
      <c r="BY103" s="1578"/>
      <c r="BZ103" s="1578"/>
      <c r="CA103" s="1578"/>
      <c r="CB103" s="1578"/>
      <c r="CC103" s="1578"/>
      <c r="CD103" s="1578"/>
      <c r="CE103" s="1578"/>
      <c r="CF103" s="1578"/>
      <c r="CG103" s="1578"/>
      <c r="CH103" s="1578"/>
      <c r="CI103" s="1578"/>
      <c r="CJ103" s="1578"/>
      <c r="CK103" s="1578"/>
      <c r="CL103" s="1578"/>
      <c r="CM103" s="1578"/>
      <c r="CN103" s="1578"/>
      <c r="CO103" s="1578"/>
      <c r="CP103" s="1578"/>
      <c r="CQ103" s="1578"/>
      <c r="CR103" s="1578"/>
      <c r="CS103" s="1578"/>
      <c r="CT103" s="1578"/>
      <c r="CU103" s="1578"/>
      <c r="CV103" s="1578"/>
      <c r="CW103" s="1578"/>
      <c r="CX103" s="1578"/>
      <c r="CY103" s="1578"/>
      <c r="CZ103" s="1578"/>
    </row>
    <row r="104" spans="1:104">
      <c r="A104" s="1466"/>
      <c r="B104" s="1576"/>
      <c r="C104" s="1576"/>
      <c r="D104" s="1576"/>
      <c r="E104" s="1578"/>
      <c r="F104" s="1578"/>
      <c r="G104" s="1578"/>
      <c r="H104" s="1578"/>
      <c r="I104" s="1578"/>
      <c r="J104" s="1578"/>
      <c r="K104" s="1578"/>
      <c r="L104" s="1578"/>
      <c r="M104" s="1578"/>
      <c r="N104" s="1578"/>
      <c r="O104" s="1578"/>
      <c r="P104" s="1578"/>
      <c r="Q104" s="1578"/>
      <c r="R104" s="1578"/>
      <c r="S104" s="1578"/>
      <c r="T104" s="1578"/>
      <c r="U104" s="1578"/>
      <c r="V104" s="1578"/>
      <c r="W104" s="1578"/>
      <c r="X104" s="1578"/>
      <c r="Y104" s="1578"/>
      <c r="Z104" s="1578"/>
      <c r="AA104" s="1578"/>
      <c r="AB104" s="1578"/>
      <c r="AC104" s="1578"/>
      <c r="AD104" s="1578"/>
      <c r="AE104" s="1578"/>
      <c r="AF104" s="1578"/>
      <c r="AG104" s="1578"/>
      <c r="AH104" s="1578"/>
      <c r="AI104" s="1578"/>
      <c r="AJ104" s="1578"/>
      <c r="AK104" s="1578"/>
      <c r="AL104" s="1578"/>
      <c r="AM104" s="1578"/>
      <c r="AN104" s="1578"/>
      <c r="AO104" s="1578"/>
      <c r="AP104" s="1578"/>
      <c r="AQ104" s="1578"/>
      <c r="AR104" s="1578"/>
      <c r="AS104" s="1578"/>
      <c r="AT104" s="1578"/>
      <c r="AU104" s="1578"/>
      <c r="AV104" s="1578"/>
      <c r="AW104" s="1578"/>
      <c r="AX104" s="1578"/>
      <c r="AY104" s="1578"/>
      <c r="AZ104" s="1578"/>
      <c r="BA104" s="1578"/>
      <c r="BB104" s="1578"/>
      <c r="BC104" s="1578"/>
      <c r="BD104" s="1578"/>
      <c r="BE104" s="1578"/>
      <c r="BF104" s="1578"/>
      <c r="BG104" s="1578"/>
      <c r="BH104" s="1578"/>
      <c r="BI104" s="1578"/>
      <c r="BJ104" s="1578"/>
      <c r="BK104" s="1578"/>
      <c r="BL104" s="1578"/>
      <c r="BM104" s="1578"/>
      <c r="BN104" s="1578"/>
      <c r="BO104" s="1578"/>
      <c r="BP104" s="1578"/>
      <c r="BQ104" s="1578"/>
      <c r="BR104" s="1578"/>
      <c r="BS104" s="1578"/>
      <c r="BT104" s="1578"/>
      <c r="BU104" s="1578"/>
      <c r="BV104" s="1578"/>
      <c r="BW104" s="1578"/>
      <c r="BX104" s="1578"/>
      <c r="BY104" s="1578"/>
      <c r="BZ104" s="1578"/>
      <c r="CA104" s="1578"/>
      <c r="CB104" s="1578"/>
      <c r="CC104" s="1578"/>
      <c r="CD104" s="1578"/>
      <c r="CE104" s="1578"/>
      <c r="CF104" s="1578"/>
      <c r="CG104" s="1578"/>
      <c r="CH104" s="1578"/>
      <c r="CI104" s="1578"/>
      <c r="CJ104" s="1578"/>
      <c r="CK104" s="1578"/>
      <c r="CL104" s="1578"/>
      <c r="CM104" s="1578"/>
      <c r="CN104" s="1578"/>
      <c r="CO104" s="1578"/>
      <c r="CP104" s="1578"/>
      <c r="CQ104" s="1578"/>
      <c r="CR104" s="1578"/>
      <c r="CS104" s="1578"/>
      <c r="CT104" s="1578"/>
      <c r="CU104" s="1578"/>
      <c r="CV104" s="1578"/>
      <c r="CW104" s="1578"/>
      <c r="CX104" s="1578"/>
      <c r="CY104" s="1578"/>
      <c r="CZ104" s="1578"/>
    </row>
    <row r="105" spans="1:104">
      <c r="A105" s="1466"/>
      <c r="B105" s="1576"/>
      <c r="C105" s="1576"/>
      <c r="D105" s="1576"/>
      <c r="E105" s="1578"/>
      <c r="F105" s="1578"/>
      <c r="G105" s="1578"/>
      <c r="H105" s="1578"/>
      <c r="I105" s="1578"/>
      <c r="J105" s="1578"/>
      <c r="K105" s="1578"/>
      <c r="L105" s="1578"/>
      <c r="M105" s="1578"/>
      <c r="N105" s="1578"/>
      <c r="O105" s="1578"/>
      <c r="P105" s="1578"/>
      <c r="Q105" s="1578"/>
      <c r="R105" s="1578"/>
      <c r="S105" s="1578"/>
      <c r="T105" s="1578"/>
      <c r="U105" s="1578"/>
      <c r="V105" s="1578"/>
      <c r="W105" s="1578"/>
      <c r="X105" s="1578"/>
      <c r="Y105" s="1578"/>
      <c r="Z105" s="1578"/>
      <c r="AA105" s="1578"/>
      <c r="AB105" s="1578"/>
      <c r="AC105" s="1578"/>
      <c r="AD105" s="1578"/>
      <c r="AE105" s="1578"/>
      <c r="AF105" s="1578"/>
      <c r="AG105" s="1578"/>
      <c r="AH105" s="1578"/>
      <c r="AI105" s="1578"/>
      <c r="AJ105" s="1578"/>
      <c r="AK105" s="1578"/>
      <c r="AL105" s="1578"/>
      <c r="AM105" s="1578"/>
      <c r="AN105" s="1578"/>
      <c r="AO105" s="1578"/>
      <c r="AP105" s="1578"/>
      <c r="AQ105" s="1578"/>
      <c r="AR105" s="1578"/>
      <c r="AS105" s="1578"/>
      <c r="AT105" s="1578"/>
      <c r="AU105" s="1578"/>
      <c r="AV105" s="1578"/>
      <c r="AW105" s="1578"/>
      <c r="AX105" s="1578"/>
      <c r="AY105" s="1578"/>
      <c r="AZ105" s="1578"/>
      <c r="BA105" s="1578"/>
      <c r="BB105" s="1578"/>
      <c r="BC105" s="1578"/>
      <c r="BD105" s="1578"/>
      <c r="BE105" s="1578"/>
      <c r="BF105" s="1578"/>
      <c r="BG105" s="1578"/>
      <c r="BH105" s="1578"/>
      <c r="BI105" s="1578"/>
      <c r="BJ105" s="1578"/>
      <c r="BK105" s="1578"/>
      <c r="BL105" s="1578"/>
      <c r="BM105" s="1578"/>
      <c r="BN105" s="1578"/>
      <c r="BO105" s="1578"/>
      <c r="BP105" s="1578"/>
      <c r="BQ105" s="1578"/>
      <c r="BR105" s="1578"/>
      <c r="BS105" s="1578"/>
      <c r="BT105" s="1578"/>
      <c r="BU105" s="1578"/>
      <c r="BV105" s="1578"/>
      <c r="BW105" s="1578"/>
      <c r="BX105" s="1578"/>
      <c r="BY105" s="1578"/>
      <c r="BZ105" s="1578"/>
      <c r="CA105" s="1578"/>
      <c r="CB105" s="1578"/>
      <c r="CC105" s="1578"/>
      <c r="CD105" s="1578"/>
      <c r="CE105" s="1578"/>
      <c r="CF105" s="1578"/>
      <c r="CG105" s="1578"/>
      <c r="CH105" s="1578"/>
      <c r="CI105" s="1578"/>
      <c r="CJ105" s="1578"/>
      <c r="CK105" s="1578"/>
      <c r="CL105" s="1578"/>
      <c r="CM105" s="1578"/>
      <c r="CN105" s="1578"/>
      <c r="CO105" s="1578"/>
      <c r="CP105" s="1578"/>
      <c r="CQ105" s="1578"/>
      <c r="CR105" s="1578"/>
      <c r="CS105" s="1578"/>
      <c r="CT105" s="1578"/>
      <c r="CU105" s="1578"/>
      <c r="CV105" s="1578"/>
      <c r="CW105" s="1578"/>
      <c r="CX105" s="1578"/>
      <c r="CY105" s="1578"/>
      <c r="CZ105" s="1578"/>
    </row>
    <row r="106" spans="1:104">
      <c r="A106" s="1466"/>
      <c r="B106" s="1576"/>
      <c r="C106" s="1576"/>
      <c r="D106" s="1576"/>
      <c r="E106" s="1578"/>
      <c r="F106" s="1578"/>
      <c r="G106" s="1578"/>
      <c r="H106" s="1578"/>
      <c r="I106" s="1578"/>
      <c r="J106" s="1578"/>
      <c r="K106" s="1578"/>
      <c r="L106" s="1578"/>
      <c r="M106" s="1578"/>
      <c r="N106" s="1578"/>
      <c r="O106" s="1578"/>
      <c r="P106" s="1578"/>
      <c r="Q106" s="1578"/>
      <c r="R106" s="1578"/>
      <c r="S106" s="1578"/>
      <c r="T106" s="1578"/>
      <c r="U106" s="1578"/>
      <c r="V106" s="1578"/>
      <c r="W106" s="1578"/>
      <c r="X106" s="1578"/>
      <c r="Y106" s="1578"/>
      <c r="Z106" s="1578"/>
      <c r="AA106" s="1578"/>
      <c r="AB106" s="1578"/>
      <c r="AC106" s="1578"/>
      <c r="AD106" s="1578"/>
      <c r="AE106" s="1578"/>
      <c r="AF106" s="1578"/>
      <c r="AG106" s="1578"/>
      <c r="AH106" s="1578"/>
      <c r="AI106" s="1578"/>
      <c r="AJ106" s="1578"/>
      <c r="AK106" s="1578"/>
      <c r="AL106" s="1578"/>
      <c r="AM106" s="1578"/>
      <c r="AN106" s="1578"/>
      <c r="AO106" s="1578"/>
      <c r="AP106" s="1578"/>
      <c r="AQ106" s="1578"/>
      <c r="AR106" s="1578"/>
      <c r="AS106" s="1578"/>
      <c r="AT106" s="1578"/>
      <c r="AU106" s="1578"/>
      <c r="AV106" s="1578"/>
      <c r="AW106" s="1578"/>
      <c r="AX106" s="1578"/>
      <c r="AY106" s="1578"/>
      <c r="AZ106" s="1578"/>
      <c r="BA106" s="1578"/>
      <c r="BB106" s="1578"/>
      <c r="BC106" s="1578"/>
      <c r="BD106" s="1578"/>
      <c r="BE106" s="1578"/>
      <c r="BF106" s="1578"/>
      <c r="BG106" s="1578"/>
      <c r="BH106" s="1578"/>
      <c r="BI106" s="1578"/>
      <c r="BJ106" s="1578"/>
      <c r="BK106" s="1578"/>
      <c r="BL106" s="1578"/>
      <c r="BM106" s="1578"/>
      <c r="BN106" s="1578"/>
      <c r="BO106" s="1578"/>
      <c r="BP106" s="1578"/>
      <c r="BQ106" s="1578"/>
      <c r="BR106" s="1578"/>
      <c r="BS106" s="1578"/>
      <c r="BT106" s="1578"/>
      <c r="BU106" s="1578"/>
      <c r="BV106" s="1578"/>
      <c r="BW106" s="1578"/>
      <c r="BX106" s="1578"/>
      <c r="BY106" s="1578"/>
      <c r="BZ106" s="1578"/>
      <c r="CA106" s="1578"/>
      <c r="CB106" s="1578"/>
      <c r="CC106" s="1578"/>
      <c r="CD106" s="1578"/>
      <c r="CE106" s="1578"/>
      <c r="CF106" s="1578"/>
      <c r="CG106" s="1578"/>
      <c r="CH106" s="1578"/>
      <c r="CI106" s="1578"/>
      <c r="CJ106" s="1578"/>
      <c r="CK106" s="1578"/>
      <c r="CL106" s="1578"/>
      <c r="CM106" s="1578"/>
      <c r="CN106" s="1578"/>
      <c r="CO106" s="1578"/>
      <c r="CP106" s="1578"/>
      <c r="CQ106" s="1578"/>
      <c r="CR106" s="1578"/>
      <c r="CS106" s="1578"/>
      <c r="CT106" s="1578"/>
      <c r="CU106" s="1578"/>
      <c r="CV106" s="1578"/>
      <c r="CW106" s="1578"/>
      <c r="CX106" s="1578"/>
      <c r="CY106" s="1578"/>
      <c r="CZ106" s="1578"/>
    </row>
    <row r="107" spans="1:104">
      <c r="A107" s="1466"/>
      <c r="B107" s="1576"/>
      <c r="C107" s="1576"/>
      <c r="D107" s="1576"/>
      <c r="E107" s="1578"/>
      <c r="F107" s="1578"/>
      <c r="G107" s="1578"/>
      <c r="H107" s="1578"/>
      <c r="I107" s="1578"/>
      <c r="J107" s="1578"/>
      <c r="K107" s="1578"/>
      <c r="L107" s="1578"/>
      <c r="M107" s="1578"/>
      <c r="N107" s="1578"/>
      <c r="O107" s="1578"/>
      <c r="P107" s="1578"/>
      <c r="Q107" s="1578"/>
      <c r="R107" s="1578"/>
      <c r="S107" s="1578"/>
      <c r="T107" s="1578"/>
      <c r="U107" s="1578"/>
      <c r="V107" s="1578"/>
      <c r="W107" s="1578"/>
      <c r="X107" s="1578"/>
      <c r="Y107" s="1578"/>
      <c r="Z107" s="1578"/>
      <c r="AA107" s="1578"/>
      <c r="AB107" s="1578"/>
      <c r="AC107" s="1578"/>
      <c r="AD107" s="1578"/>
      <c r="AE107" s="1578"/>
      <c r="AF107" s="1578"/>
      <c r="AG107" s="1578"/>
      <c r="AH107" s="1578"/>
      <c r="AI107" s="1578"/>
      <c r="AJ107" s="1578"/>
      <c r="AK107" s="1578"/>
      <c r="AL107" s="1578"/>
      <c r="AM107" s="1578"/>
      <c r="AN107" s="1578"/>
      <c r="AO107" s="1578"/>
      <c r="AP107" s="1578"/>
      <c r="AQ107" s="1578"/>
      <c r="AR107" s="1578"/>
      <c r="AS107" s="1578"/>
      <c r="AT107" s="1578"/>
      <c r="AU107" s="1578"/>
      <c r="AV107" s="1578"/>
      <c r="AW107" s="1578"/>
      <c r="AX107" s="1578"/>
      <c r="AY107" s="1578"/>
      <c r="AZ107" s="1578"/>
      <c r="BA107" s="1578"/>
      <c r="BB107" s="1578"/>
      <c r="BC107" s="1578"/>
      <c r="BD107" s="1578"/>
      <c r="BE107" s="1578"/>
      <c r="BF107" s="1578"/>
      <c r="BG107" s="1578"/>
      <c r="BH107" s="1578"/>
      <c r="BI107" s="1578"/>
      <c r="BJ107" s="1578"/>
      <c r="BK107" s="1578"/>
      <c r="BL107" s="1578"/>
      <c r="BM107" s="1578"/>
      <c r="BN107" s="1578"/>
      <c r="BO107" s="1578"/>
      <c r="BP107" s="1578"/>
      <c r="BQ107" s="1578"/>
      <c r="BR107" s="1578"/>
      <c r="BS107" s="1578"/>
      <c r="BT107" s="1578"/>
      <c r="BU107" s="1578"/>
      <c r="BV107" s="1578"/>
      <c r="BW107" s="1578"/>
      <c r="BX107" s="1578"/>
      <c r="BY107" s="1578"/>
      <c r="BZ107" s="1578"/>
      <c r="CA107" s="1578"/>
      <c r="CB107" s="1578"/>
      <c r="CC107" s="1578"/>
      <c r="CD107" s="1578"/>
      <c r="CE107" s="1578"/>
      <c r="CF107" s="1578"/>
      <c r="CG107" s="1578"/>
      <c r="CH107" s="1578"/>
      <c r="CI107" s="1578"/>
      <c r="CJ107" s="1578"/>
      <c r="CK107" s="1578"/>
      <c r="CL107" s="1578"/>
      <c r="CM107" s="1578"/>
      <c r="CN107" s="1578"/>
      <c r="CO107" s="1578"/>
      <c r="CP107" s="1578"/>
      <c r="CQ107" s="1578"/>
      <c r="CR107" s="1578"/>
      <c r="CS107" s="1578"/>
      <c r="CT107" s="1578"/>
      <c r="CU107" s="1578"/>
      <c r="CV107" s="1578"/>
      <c r="CW107" s="1578"/>
      <c r="CX107" s="1578"/>
      <c r="CY107" s="1578"/>
      <c r="CZ107" s="1578"/>
    </row>
    <row r="108" spans="1:104">
      <c r="A108" s="1466"/>
      <c r="B108" s="1576"/>
      <c r="C108" s="1576"/>
      <c r="D108" s="1576"/>
      <c r="E108" s="1578"/>
      <c r="F108" s="1578"/>
      <c r="G108" s="1578"/>
      <c r="H108" s="1578"/>
      <c r="I108" s="1578"/>
      <c r="J108" s="1578"/>
      <c r="K108" s="1578"/>
      <c r="L108" s="1578"/>
      <c r="M108" s="1578"/>
      <c r="N108" s="1578"/>
      <c r="O108" s="1578"/>
      <c r="P108" s="1578"/>
      <c r="Q108" s="1578"/>
      <c r="R108" s="1578"/>
      <c r="S108" s="1578"/>
      <c r="T108" s="1578"/>
      <c r="U108" s="1578"/>
      <c r="V108" s="1578"/>
      <c r="W108" s="1578"/>
      <c r="X108" s="1578"/>
      <c r="Y108" s="1578"/>
      <c r="Z108" s="1578"/>
      <c r="AA108" s="1578"/>
      <c r="AB108" s="1578"/>
      <c r="AC108" s="1578"/>
      <c r="AD108" s="1578"/>
      <c r="AE108" s="1578"/>
      <c r="AF108" s="1578"/>
      <c r="AG108" s="1578"/>
      <c r="AH108" s="1578"/>
      <c r="AI108" s="1578"/>
      <c r="AJ108" s="1578"/>
      <c r="AK108" s="1578"/>
      <c r="AL108" s="1578"/>
      <c r="AM108" s="1578"/>
      <c r="AN108" s="1578"/>
      <c r="AO108" s="1578"/>
      <c r="AP108" s="1578"/>
      <c r="AQ108" s="1578"/>
      <c r="AR108" s="1578"/>
      <c r="AS108" s="1578"/>
      <c r="AT108" s="1578"/>
      <c r="AU108" s="1578"/>
      <c r="AV108" s="1578"/>
      <c r="AW108" s="1578"/>
      <c r="AX108" s="1578"/>
      <c r="AY108" s="1578"/>
      <c r="AZ108" s="1578"/>
      <c r="BA108" s="1578"/>
      <c r="BB108" s="1578"/>
      <c r="BC108" s="1578"/>
      <c r="BD108" s="1578"/>
      <c r="BE108" s="1578"/>
      <c r="BF108" s="1578"/>
      <c r="BG108" s="1578"/>
      <c r="BH108" s="1578"/>
      <c r="BI108" s="1578"/>
      <c r="BJ108" s="1578"/>
      <c r="BK108" s="1578"/>
      <c r="BL108" s="1578"/>
      <c r="BM108" s="1578"/>
      <c r="BN108" s="1578"/>
      <c r="BO108" s="1578"/>
      <c r="BP108" s="1578"/>
      <c r="BQ108" s="1578"/>
      <c r="BR108" s="1578"/>
      <c r="BS108" s="1578"/>
      <c r="BT108" s="1578"/>
      <c r="BU108" s="1578"/>
      <c r="BV108" s="1578"/>
      <c r="BW108" s="1578"/>
      <c r="BX108" s="1578"/>
      <c r="BY108" s="1578"/>
      <c r="BZ108" s="1578"/>
      <c r="CA108" s="1578"/>
      <c r="CB108" s="1578"/>
      <c r="CC108" s="1578"/>
      <c r="CD108" s="1578"/>
      <c r="CE108" s="1578"/>
      <c r="CF108" s="1578"/>
      <c r="CG108" s="1578"/>
      <c r="CH108" s="1578"/>
      <c r="CI108" s="1578"/>
      <c r="CJ108" s="1578"/>
      <c r="CK108" s="1578"/>
      <c r="CL108" s="1578"/>
      <c r="CM108" s="1578"/>
      <c r="CN108" s="1578"/>
      <c r="CO108" s="1578"/>
      <c r="CP108" s="1578"/>
      <c r="CQ108" s="1578"/>
      <c r="CR108" s="1578"/>
      <c r="CS108" s="1578"/>
      <c r="CT108" s="1578"/>
      <c r="CU108" s="1578"/>
      <c r="CV108" s="1578"/>
      <c r="CW108" s="1578"/>
      <c r="CX108" s="1578"/>
      <c r="CY108" s="1578"/>
      <c r="CZ108" s="1578"/>
    </row>
    <row r="109" spans="1:104">
      <c r="A109" s="1466"/>
      <c r="B109" s="1576"/>
      <c r="C109" s="1576"/>
      <c r="D109" s="1576"/>
      <c r="E109" s="1578"/>
      <c r="F109" s="1578"/>
      <c r="G109" s="1578"/>
      <c r="H109" s="1578"/>
      <c r="I109" s="1578"/>
      <c r="J109" s="1578"/>
      <c r="K109" s="1578"/>
      <c r="L109" s="1578"/>
      <c r="M109" s="1578"/>
      <c r="N109" s="1578"/>
      <c r="O109" s="1578"/>
      <c r="P109" s="1578"/>
      <c r="Q109" s="1578"/>
      <c r="R109" s="1578"/>
      <c r="S109" s="1578"/>
      <c r="T109" s="1578"/>
      <c r="U109" s="1578"/>
      <c r="V109" s="1578"/>
      <c r="W109" s="1578"/>
      <c r="X109" s="1578"/>
      <c r="Y109" s="1578"/>
      <c r="Z109" s="1578"/>
      <c r="AA109" s="1578"/>
      <c r="AB109" s="1578"/>
      <c r="AC109" s="1578"/>
      <c r="AD109" s="1578"/>
      <c r="AE109" s="1578"/>
      <c r="AF109" s="1578"/>
      <c r="AG109" s="1578"/>
      <c r="AH109" s="1578"/>
      <c r="AI109" s="1578"/>
      <c r="AJ109" s="1578"/>
      <c r="AK109" s="1578"/>
      <c r="AL109" s="1578"/>
      <c r="AM109" s="1578"/>
      <c r="AN109" s="1578"/>
      <c r="AO109" s="1578"/>
      <c r="AP109" s="1578"/>
      <c r="AQ109" s="1578"/>
      <c r="AR109" s="1578"/>
      <c r="AS109" s="1578"/>
      <c r="AT109" s="1578"/>
      <c r="AU109" s="1578"/>
      <c r="AV109" s="1578"/>
      <c r="AW109" s="1578"/>
      <c r="AX109" s="1578"/>
      <c r="AY109" s="1578"/>
      <c r="AZ109" s="1578"/>
      <c r="BA109" s="1578"/>
      <c r="BB109" s="1578"/>
      <c r="BC109" s="1578"/>
      <c r="BD109" s="1578"/>
      <c r="BE109" s="1578"/>
      <c r="BF109" s="1578"/>
      <c r="BG109" s="1578"/>
      <c r="BH109" s="1578"/>
      <c r="BI109" s="1578"/>
      <c r="BJ109" s="1578"/>
      <c r="BK109" s="1578"/>
      <c r="BL109" s="1578"/>
      <c r="BM109" s="1578"/>
      <c r="BN109" s="1578"/>
      <c r="BO109" s="1578"/>
      <c r="BP109" s="1578"/>
      <c r="BQ109" s="1578"/>
      <c r="BR109" s="1578"/>
      <c r="BS109" s="1578"/>
      <c r="BT109" s="1578"/>
      <c r="BU109" s="1578"/>
      <c r="BV109" s="1578"/>
      <c r="BW109" s="1578"/>
      <c r="BX109" s="1578"/>
      <c r="BY109" s="1578"/>
      <c r="BZ109" s="1578"/>
      <c r="CA109" s="1578"/>
      <c r="CB109" s="1578"/>
      <c r="CC109" s="1578"/>
      <c r="CD109" s="1578"/>
      <c r="CE109" s="1578"/>
      <c r="CF109" s="1578"/>
      <c r="CG109" s="1578"/>
      <c r="CH109" s="1578"/>
      <c r="CI109" s="1578"/>
      <c r="CJ109" s="1578"/>
      <c r="CK109" s="1578"/>
      <c r="CL109" s="1578"/>
      <c r="CM109" s="1578"/>
      <c r="CN109" s="1578"/>
      <c r="CO109" s="1578"/>
      <c r="CP109" s="1578"/>
      <c r="CQ109" s="1578"/>
      <c r="CR109" s="1578"/>
      <c r="CS109" s="1578"/>
      <c r="CT109" s="1578"/>
      <c r="CU109" s="1578"/>
      <c r="CV109" s="1578"/>
      <c r="CW109" s="1578"/>
      <c r="CX109" s="1578"/>
      <c r="CY109" s="1578"/>
      <c r="CZ109" s="1578"/>
    </row>
    <row r="110" spans="1:104">
      <c r="A110" s="1466"/>
      <c r="B110" s="1576"/>
      <c r="C110" s="1576"/>
      <c r="D110" s="1576"/>
      <c r="E110" s="1578"/>
      <c r="F110" s="1578"/>
      <c r="G110" s="1578"/>
      <c r="H110" s="1578"/>
      <c r="I110" s="1578"/>
      <c r="J110" s="1578"/>
      <c r="K110" s="1578"/>
      <c r="L110" s="1578"/>
      <c r="M110" s="1578"/>
      <c r="N110" s="1578"/>
      <c r="O110" s="1578"/>
      <c r="P110" s="1578"/>
      <c r="Q110" s="1578"/>
      <c r="R110" s="1578"/>
      <c r="S110" s="1578"/>
      <c r="T110" s="1578"/>
      <c r="U110" s="1578"/>
      <c r="V110" s="1578"/>
      <c r="W110" s="1578"/>
      <c r="X110" s="1578"/>
      <c r="Y110" s="1578"/>
      <c r="Z110" s="1578"/>
      <c r="AA110" s="1578"/>
      <c r="AB110" s="1578"/>
      <c r="AC110" s="1578"/>
      <c r="AD110" s="1578"/>
      <c r="AE110" s="1578"/>
      <c r="AF110" s="1578"/>
      <c r="AG110" s="1578"/>
      <c r="AH110" s="1578"/>
      <c r="AI110" s="1578"/>
      <c r="AJ110" s="1578"/>
      <c r="AK110" s="1578"/>
      <c r="AL110" s="1578"/>
      <c r="AM110" s="1578"/>
      <c r="AN110" s="1578"/>
      <c r="AO110" s="1578"/>
      <c r="AP110" s="1578"/>
      <c r="AQ110" s="1578"/>
      <c r="AR110" s="1578"/>
      <c r="AS110" s="1578"/>
      <c r="AT110" s="1578"/>
      <c r="AU110" s="1578"/>
      <c r="AV110" s="1578"/>
      <c r="AW110" s="1578"/>
      <c r="AX110" s="1578"/>
      <c r="AY110" s="1578"/>
      <c r="AZ110" s="1578"/>
      <c r="BA110" s="1578"/>
      <c r="BB110" s="1578"/>
      <c r="BC110" s="1578"/>
      <c r="BD110" s="1578"/>
      <c r="BE110" s="1578"/>
      <c r="BF110" s="1578"/>
      <c r="BG110" s="1578"/>
      <c r="BH110" s="1578"/>
      <c r="BI110" s="1578"/>
      <c r="BJ110" s="1578"/>
      <c r="BK110" s="1578"/>
      <c r="BL110" s="1578"/>
      <c r="BM110" s="1578"/>
      <c r="BN110" s="1578"/>
      <c r="BO110" s="1578"/>
      <c r="BP110" s="1578"/>
      <c r="BQ110" s="1578"/>
      <c r="BR110" s="1578"/>
      <c r="BS110" s="1578"/>
      <c r="BT110" s="1578"/>
      <c r="BU110" s="1578"/>
      <c r="BV110" s="1578"/>
      <c r="BW110" s="1578"/>
      <c r="BX110" s="1578"/>
      <c r="BY110" s="1578"/>
      <c r="BZ110" s="1578"/>
      <c r="CA110" s="1578"/>
      <c r="CB110" s="1578"/>
      <c r="CC110" s="1578"/>
      <c r="CD110" s="1578"/>
      <c r="CE110" s="1578"/>
      <c r="CF110" s="1578"/>
      <c r="CG110" s="1578"/>
      <c r="CH110" s="1578"/>
      <c r="CI110" s="1578"/>
      <c r="CJ110" s="1578"/>
      <c r="CK110" s="1578"/>
      <c r="CL110" s="1578"/>
      <c r="CM110" s="1578"/>
      <c r="CN110" s="1578"/>
      <c r="CO110" s="1578"/>
      <c r="CP110" s="1578"/>
      <c r="CQ110" s="1578"/>
      <c r="CR110" s="1578"/>
      <c r="CS110" s="1578"/>
      <c r="CT110" s="1578"/>
      <c r="CU110" s="1578"/>
      <c r="CV110" s="1578"/>
      <c r="CW110" s="1578"/>
      <c r="CX110" s="1578"/>
      <c r="CY110" s="1578"/>
      <c r="CZ110" s="1578"/>
    </row>
    <row r="111" spans="1:104">
      <c r="A111" s="1466"/>
      <c r="B111" s="1576"/>
      <c r="C111" s="1576"/>
      <c r="D111" s="1576"/>
      <c r="E111" s="1578"/>
      <c r="F111" s="1578"/>
      <c r="G111" s="1578"/>
      <c r="H111" s="1578"/>
      <c r="I111" s="1578"/>
      <c r="J111" s="1578"/>
      <c r="K111" s="1578"/>
      <c r="L111" s="1578"/>
      <c r="M111" s="1578"/>
      <c r="N111" s="1578"/>
      <c r="O111" s="1578"/>
      <c r="P111" s="1578"/>
      <c r="Q111" s="1578"/>
      <c r="R111" s="1578"/>
      <c r="S111" s="1578"/>
      <c r="T111" s="1578"/>
      <c r="U111" s="1578"/>
      <c r="V111" s="1578"/>
      <c r="W111" s="1578"/>
      <c r="X111" s="1578"/>
      <c r="Y111" s="1578"/>
      <c r="Z111" s="1578"/>
      <c r="AA111" s="1578"/>
      <c r="AB111" s="1578"/>
      <c r="AC111" s="1578"/>
      <c r="AD111" s="1578"/>
      <c r="AE111" s="1578"/>
      <c r="AF111" s="1578"/>
      <c r="AG111" s="1578"/>
      <c r="AH111" s="1578"/>
      <c r="AI111" s="1578"/>
      <c r="AJ111" s="1578"/>
      <c r="AK111" s="1578"/>
      <c r="AL111" s="1578"/>
      <c r="AM111" s="1578"/>
      <c r="AN111" s="1578"/>
      <c r="AO111" s="1578"/>
      <c r="AP111" s="1578"/>
      <c r="AQ111" s="1578"/>
      <c r="AR111" s="1578"/>
      <c r="AS111" s="1578"/>
      <c r="AT111" s="1578"/>
      <c r="AU111" s="1578"/>
      <c r="AV111" s="1578"/>
      <c r="AW111" s="1578"/>
      <c r="AX111" s="1578"/>
      <c r="AY111" s="1578"/>
      <c r="AZ111" s="1578"/>
      <c r="BA111" s="1578"/>
      <c r="BB111" s="1578"/>
      <c r="BC111" s="1578"/>
      <c r="BD111" s="1578"/>
      <c r="BE111" s="1578"/>
      <c r="BF111" s="1578"/>
      <c r="BG111" s="1578"/>
      <c r="BH111" s="1578"/>
      <c r="BI111" s="1578"/>
      <c r="BJ111" s="1578"/>
      <c r="BK111" s="1578"/>
      <c r="BL111" s="1578"/>
      <c r="BM111" s="1578"/>
      <c r="BN111" s="1578"/>
      <c r="BO111" s="1578"/>
      <c r="BP111" s="1578"/>
      <c r="BQ111" s="1578"/>
      <c r="BR111" s="1578"/>
      <c r="BS111" s="1578"/>
      <c r="BT111" s="1578"/>
      <c r="BU111" s="1578"/>
      <c r="BV111" s="1578"/>
      <c r="BW111" s="1578"/>
      <c r="BX111" s="1578"/>
      <c r="BY111" s="1578"/>
      <c r="BZ111" s="1578"/>
      <c r="CA111" s="1578"/>
      <c r="CB111" s="1578"/>
      <c r="CC111" s="1578"/>
      <c r="CD111" s="1578"/>
      <c r="CE111" s="1578"/>
      <c r="CF111" s="1578"/>
      <c r="CG111" s="1578"/>
      <c r="CH111" s="1578"/>
      <c r="CI111" s="1578"/>
      <c r="CJ111" s="1578"/>
      <c r="CK111" s="1578"/>
      <c r="CL111" s="1578"/>
      <c r="CM111" s="1578"/>
      <c r="CN111" s="1578"/>
      <c r="CO111" s="1578"/>
      <c r="CP111" s="1578"/>
      <c r="CQ111" s="1578"/>
      <c r="CR111" s="1578"/>
      <c r="CS111" s="1578"/>
      <c r="CT111" s="1578"/>
      <c r="CU111" s="1578"/>
      <c r="CV111" s="1578"/>
      <c r="CW111" s="1578"/>
      <c r="CX111" s="1578"/>
      <c r="CY111" s="1578"/>
      <c r="CZ111" s="1578"/>
    </row>
    <row r="112" spans="1:104">
      <c r="A112" s="1466"/>
      <c r="B112" s="1576"/>
      <c r="C112" s="1576"/>
      <c r="D112" s="1576"/>
      <c r="E112" s="1578"/>
      <c r="F112" s="1578"/>
      <c r="G112" s="1578"/>
      <c r="H112" s="1578"/>
      <c r="I112" s="1578"/>
      <c r="J112" s="1578"/>
      <c r="K112" s="1578"/>
      <c r="L112" s="1578"/>
      <c r="M112" s="1578"/>
      <c r="N112" s="1578"/>
      <c r="O112" s="1578"/>
      <c r="P112" s="1578"/>
      <c r="Q112" s="1578"/>
      <c r="R112" s="1578"/>
      <c r="S112" s="1578"/>
      <c r="T112" s="1578"/>
      <c r="U112" s="1578"/>
      <c r="V112" s="1578"/>
      <c r="W112" s="1578"/>
      <c r="X112" s="1578"/>
      <c r="Y112" s="1578"/>
      <c r="Z112" s="1578"/>
      <c r="AA112" s="1578"/>
      <c r="AB112" s="1578"/>
      <c r="AC112" s="1578"/>
      <c r="AD112" s="1578"/>
      <c r="AE112" s="1578"/>
      <c r="AF112" s="1578"/>
      <c r="AG112" s="1578"/>
      <c r="AH112" s="1578"/>
      <c r="AI112" s="1578"/>
      <c r="AJ112" s="1578"/>
      <c r="AK112" s="1578"/>
      <c r="AL112" s="1578"/>
      <c r="AM112" s="1578"/>
      <c r="AN112" s="1578"/>
      <c r="AO112" s="1578"/>
      <c r="AP112" s="1578"/>
      <c r="AQ112" s="1578"/>
      <c r="AR112" s="1578"/>
      <c r="AS112" s="1578"/>
      <c r="AT112" s="1578"/>
      <c r="AU112" s="1578"/>
      <c r="AV112" s="1578"/>
      <c r="AW112" s="1578"/>
      <c r="AX112" s="1578"/>
      <c r="AY112" s="1578"/>
      <c r="AZ112" s="1578"/>
      <c r="BA112" s="1578"/>
      <c r="BB112" s="1578"/>
      <c r="BC112" s="1578"/>
      <c r="BD112" s="1578"/>
      <c r="BE112" s="1578"/>
      <c r="BF112" s="1578"/>
      <c r="BG112" s="1578"/>
      <c r="BH112" s="1578"/>
      <c r="BI112" s="1578"/>
      <c r="BJ112" s="1578"/>
      <c r="BK112" s="1578"/>
      <c r="BL112" s="1578"/>
      <c r="BM112" s="1578"/>
      <c r="BN112" s="1578"/>
      <c r="BO112" s="1578"/>
      <c r="BP112" s="1578"/>
      <c r="BQ112" s="1578"/>
      <c r="BR112" s="1578"/>
      <c r="BS112" s="1578"/>
      <c r="BT112" s="1578"/>
      <c r="BU112" s="1578"/>
      <c r="BV112" s="1578"/>
      <c r="BW112" s="1578"/>
      <c r="BX112" s="1578"/>
      <c r="BY112" s="1578"/>
      <c r="BZ112" s="1578"/>
      <c r="CA112" s="1578"/>
      <c r="CB112" s="1578"/>
      <c r="CC112" s="1578"/>
      <c r="CD112" s="1578"/>
      <c r="CE112" s="1578"/>
      <c r="CF112" s="1578"/>
      <c r="CG112" s="1578"/>
      <c r="CH112" s="1578"/>
      <c r="CI112" s="1578"/>
      <c r="CJ112" s="1578"/>
      <c r="CK112" s="1578"/>
      <c r="CL112" s="1578"/>
      <c r="CM112" s="1578"/>
      <c r="CN112" s="1578"/>
      <c r="CO112" s="1578"/>
      <c r="CP112" s="1578"/>
      <c r="CQ112" s="1578"/>
      <c r="CR112" s="1578"/>
      <c r="CS112" s="1578"/>
      <c r="CT112" s="1578"/>
      <c r="CU112" s="1578"/>
      <c r="CV112" s="1578"/>
      <c r="CW112" s="1578"/>
      <c r="CX112" s="1578"/>
      <c r="CY112" s="1578"/>
      <c r="CZ112" s="1578"/>
    </row>
    <row r="113" spans="1:104">
      <c r="A113" s="1466"/>
      <c r="B113" s="1576"/>
      <c r="C113" s="1576"/>
      <c r="D113" s="1576"/>
      <c r="E113" s="1578"/>
      <c r="F113" s="1578"/>
      <c r="G113" s="1578"/>
      <c r="H113" s="1578"/>
      <c r="I113" s="1578"/>
      <c r="J113" s="1578"/>
      <c r="K113" s="1578"/>
      <c r="L113" s="1578"/>
      <c r="M113" s="1578"/>
      <c r="N113" s="1578"/>
      <c r="O113" s="1578"/>
      <c r="P113" s="1578"/>
      <c r="Q113" s="1578"/>
      <c r="R113" s="1578"/>
      <c r="S113" s="1578"/>
      <c r="T113" s="1578"/>
      <c r="U113" s="1578"/>
      <c r="V113" s="1578"/>
      <c r="W113" s="1578"/>
      <c r="X113" s="1578"/>
      <c r="Y113" s="1578"/>
      <c r="Z113" s="1578"/>
      <c r="AA113" s="1578"/>
      <c r="AB113" s="1578"/>
      <c r="AC113" s="1578"/>
      <c r="AD113" s="1578"/>
      <c r="AE113" s="1578"/>
      <c r="AF113" s="1578"/>
      <c r="AG113" s="1578"/>
      <c r="AH113" s="1578"/>
      <c r="AI113" s="1578"/>
      <c r="AJ113" s="1578"/>
      <c r="AK113" s="1578"/>
      <c r="AL113" s="1578"/>
      <c r="AM113" s="1578"/>
      <c r="AN113" s="1578"/>
      <c r="AO113" s="1578"/>
      <c r="AP113" s="1578"/>
      <c r="AQ113" s="1578"/>
      <c r="AR113" s="1578"/>
      <c r="AS113" s="1578"/>
      <c r="AT113" s="1578"/>
      <c r="AU113" s="1578"/>
      <c r="AV113" s="1578"/>
      <c r="AW113" s="1578"/>
      <c r="AX113" s="1578"/>
      <c r="AY113" s="1578"/>
      <c r="AZ113" s="1578"/>
      <c r="BA113" s="1578"/>
      <c r="BB113" s="1578"/>
      <c r="BC113" s="1578"/>
      <c r="BD113" s="1578"/>
      <c r="BE113" s="1578"/>
      <c r="BF113" s="1578"/>
      <c r="BG113" s="1578"/>
      <c r="BH113" s="1578"/>
      <c r="BI113" s="1578"/>
      <c r="BJ113" s="1578"/>
      <c r="BK113" s="1578"/>
      <c r="BL113" s="1578"/>
      <c r="BM113" s="1578"/>
      <c r="BN113" s="1578"/>
      <c r="BO113" s="1578"/>
      <c r="BP113" s="1578"/>
      <c r="BQ113" s="1578"/>
      <c r="BR113" s="1578"/>
      <c r="BS113" s="1578"/>
      <c r="BT113" s="1578"/>
      <c r="BU113" s="1578"/>
      <c r="BV113" s="1578"/>
      <c r="BW113" s="1578"/>
      <c r="BX113" s="1578"/>
      <c r="BY113" s="1578"/>
      <c r="BZ113" s="1578"/>
      <c r="CA113" s="1578"/>
      <c r="CB113" s="1578"/>
      <c r="CC113" s="1578"/>
      <c r="CD113" s="1578"/>
      <c r="CE113" s="1578"/>
      <c r="CF113" s="1578"/>
      <c r="CG113" s="1578"/>
      <c r="CH113" s="1578"/>
      <c r="CI113" s="1578"/>
      <c r="CJ113" s="1578"/>
      <c r="CK113" s="1578"/>
      <c r="CL113" s="1578"/>
      <c r="CM113" s="1578"/>
      <c r="CN113" s="1578"/>
      <c r="CO113" s="1578"/>
      <c r="CP113" s="1578"/>
      <c r="CQ113" s="1578"/>
      <c r="CR113" s="1578"/>
      <c r="CS113" s="1578"/>
      <c r="CT113" s="1578"/>
      <c r="CU113" s="1578"/>
      <c r="CV113" s="1578"/>
      <c r="CW113" s="1578"/>
      <c r="CX113" s="1578"/>
      <c r="CY113" s="1578"/>
      <c r="CZ113" s="1578"/>
    </row>
    <row r="114" spans="1:104">
      <c r="A114" s="1466"/>
      <c r="B114" s="1576"/>
      <c r="C114" s="1576"/>
      <c r="D114" s="1576"/>
      <c r="E114" s="1578"/>
      <c r="F114" s="1578"/>
      <c r="G114" s="1578"/>
      <c r="H114" s="1578"/>
      <c r="I114" s="1578"/>
      <c r="J114" s="1578"/>
      <c r="K114" s="1578"/>
      <c r="L114" s="1578"/>
      <c r="M114" s="1578"/>
      <c r="N114" s="1578"/>
      <c r="O114" s="1578"/>
      <c r="P114" s="1578"/>
      <c r="Q114" s="1578"/>
      <c r="R114" s="1578"/>
      <c r="S114" s="1578"/>
      <c r="T114" s="1578"/>
      <c r="U114" s="1578"/>
      <c r="V114" s="1578"/>
      <c r="W114" s="1578"/>
      <c r="X114" s="1578"/>
      <c r="Y114" s="1578"/>
      <c r="Z114" s="1578"/>
      <c r="AA114" s="1578"/>
      <c r="AB114" s="1578"/>
      <c r="AC114" s="1578"/>
      <c r="AD114" s="1578"/>
      <c r="AE114" s="1578"/>
      <c r="AF114" s="1578"/>
      <c r="AG114" s="1578"/>
      <c r="AH114" s="1578"/>
      <c r="AI114" s="1578"/>
      <c r="AJ114" s="1578"/>
      <c r="AK114" s="1578"/>
      <c r="AL114" s="1578"/>
      <c r="AM114" s="1578"/>
      <c r="AN114" s="1578"/>
      <c r="AO114" s="1578"/>
      <c r="AP114" s="1578"/>
      <c r="AQ114" s="1578"/>
      <c r="AR114" s="1578"/>
      <c r="AS114" s="1578"/>
      <c r="AT114" s="1578"/>
      <c r="AU114" s="1578"/>
      <c r="AV114" s="1578"/>
      <c r="AW114" s="1578"/>
      <c r="AX114" s="1578"/>
      <c r="AY114" s="1578"/>
      <c r="AZ114" s="1578"/>
      <c r="BA114" s="1578"/>
      <c r="BB114" s="1578"/>
      <c r="BC114" s="1578"/>
      <c r="BD114" s="1578"/>
      <c r="BE114" s="1578"/>
      <c r="BF114" s="1578"/>
      <c r="BG114" s="1578"/>
      <c r="BH114" s="1578"/>
      <c r="BI114" s="1578"/>
      <c r="BJ114" s="1578"/>
      <c r="BK114" s="1578"/>
      <c r="BL114" s="1578"/>
      <c r="BM114" s="1578"/>
      <c r="BN114" s="1578"/>
      <c r="BO114" s="1578"/>
      <c r="BP114" s="1578"/>
      <c r="BQ114" s="1578"/>
      <c r="BR114" s="1578"/>
      <c r="BS114" s="1578"/>
      <c r="BT114" s="1578"/>
      <c r="BU114" s="1578"/>
      <c r="BV114" s="1578"/>
      <c r="BW114" s="1578"/>
      <c r="BX114" s="1578"/>
      <c r="BY114" s="1578"/>
      <c r="BZ114" s="1578"/>
      <c r="CA114" s="1578"/>
      <c r="CB114" s="1578"/>
      <c r="CC114" s="1578"/>
      <c r="CD114" s="1578"/>
      <c r="CE114" s="1578"/>
      <c r="CF114" s="1578"/>
      <c r="CG114" s="1578"/>
      <c r="CH114" s="1578"/>
      <c r="CI114" s="1578"/>
      <c r="CJ114" s="1578"/>
      <c r="CK114" s="1578"/>
      <c r="CL114" s="1578"/>
      <c r="CM114" s="1578"/>
      <c r="CN114" s="1578"/>
      <c r="CO114" s="1578"/>
      <c r="CP114" s="1578"/>
      <c r="CQ114" s="1578"/>
      <c r="CR114" s="1578"/>
      <c r="CS114" s="1578"/>
      <c r="CT114" s="1578"/>
      <c r="CU114" s="1578"/>
      <c r="CV114" s="1578"/>
      <c r="CW114" s="1578"/>
      <c r="CX114" s="1578"/>
      <c r="CY114" s="1578"/>
      <c r="CZ114" s="1578"/>
    </row>
    <row r="115" spans="1:104">
      <c r="A115" s="1466"/>
      <c r="B115" s="1576"/>
      <c r="C115" s="1576"/>
      <c r="D115" s="1576"/>
      <c r="E115" s="1578"/>
      <c r="F115" s="1578"/>
      <c r="G115" s="1578"/>
      <c r="H115" s="1578"/>
      <c r="I115" s="1578"/>
      <c r="J115" s="1578"/>
      <c r="K115" s="1578"/>
      <c r="L115" s="1578"/>
      <c r="M115" s="1578"/>
      <c r="N115" s="1578"/>
      <c r="O115" s="1578"/>
      <c r="P115" s="1578"/>
      <c r="Q115" s="1578"/>
      <c r="R115" s="1578"/>
      <c r="S115" s="1578"/>
      <c r="T115" s="1578"/>
      <c r="U115" s="1578"/>
      <c r="V115" s="1578"/>
      <c r="W115" s="1578"/>
      <c r="X115" s="1578"/>
      <c r="Y115" s="1578"/>
      <c r="Z115" s="1578"/>
      <c r="AA115" s="1578"/>
      <c r="AB115" s="1578"/>
      <c r="AC115" s="1578"/>
      <c r="AD115" s="1578"/>
      <c r="AE115" s="1578"/>
      <c r="AF115" s="1578"/>
      <c r="AG115" s="1578"/>
      <c r="AH115" s="1578"/>
      <c r="AI115" s="1578"/>
      <c r="AJ115" s="1578"/>
      <c r="AK115" s="1578"/>
      <c r="AL115" s="1578"/>
      <c r="AM115" s="1578"/>
      <c r="AN115" s="1578"/>
      <c r="AO115" s="1578"/>
      <c r="AP115" s="1578"/>
      <c r="AQ115" s="1578"/>
      <c r="AR115" s="1578"/>
      <c r="AS115" s="1578"/>
      <c r="AT115" s="1578"/>
      <c r="AU115" s="1578"/>
      <c r="AV115" s="1578"/>
      <c r="AW115" s="1578"/>
      <c r="AX115" s="1578"/>
      <c r="AY115" s="1578"/>
      <c r="AZ115" s="1578"/>
      <c r="BA115" s="1578"/>
      <c r="BB115" s="1578"/>
      <c r="BC115" s="1578"/>
      <c r="BD115" s="1578"/>
      <c r="BE115" s="1578"/>
      <c r="BF115" s="1578"/>
      <c r="BG115" s="1578"/>
      <c r="BH115" s="1578"/>
      <c r="BI115" s="1578"/>
      <c r="BJ115" s="1578"/>
      <c r="BK115" s="1578"/>
      <c r="BL115" s="1578"/>
      <c r="BM115" s="1578"/>
      <c r="BN115" s="1578"/>
      <c r="BO115" s="1578"/>
      <c r="BP115" s="1578"/>
      <c r="BQ115" s="1578"/>
      <c r="BR115" s="1578"/>
      <c r="BS115" s="1578"/>
      <c r="BT115" s="1578"/>
      <c r="BU115" s="1578"/>
      <c r="BV115" s="1578"/>
      <c r="BW115" s="1578"/>
      <c r="BX115" s="1578"/>
      <c r="BY115" s="1578"/>
      <c r="BZ115" s="1578"/>
      <c r="CA115" s="1578"/>
      <c r="CB115" s="1578"/>
      <c r="CC115" s="1578"/>
      <c r="CD115" s="1578"/>
      <c r="CE115" s="1578"/>
      <c r="CF115" s="1578"/>
      <c r="CG115" s="1578"/>
      <c r="CH115" s="1578"/>
      <c r="CI115" s="1578"/>
      <c r="CJ115" s="1578"/>
      <c r="CK115" s="1578"/>
      <c r="CL115" s="1578"/>
      <c r="CM115" s="1578"/>
      <c r="CN115" s="1578"/>
      <c r="CO115" s="1578"/>
      <c r="CP115" s="1578"/>
      <c r="CQ115" s="1578"/>
      <c r="CR115" s="1578"/>
      <c r="CS115" s="1578"/>
      <c r="CT115" s="1578"/>
      <c r="CU115" s="1578"/>
      <c r="CV115" s="1578"/>
      <c r="CW115" s="1578"/>
      <c r="CX115" s="1578"/>
      <c r="CY115" s="1578"/>
      <c r="CZ115" s="1578"/>
    </row>
    <row r="116" spans="1:104">
      <c r="A116" s="1466"/>
      <c r="B116" s="1576"/>
      <c r="C116" s="1576"/>
      <c r="D116" s="1576"/>
      <c r="E116" s="1578"/>
      <c r="F116" s="1578"/>
      <c r="G116" s="1578"/>
      <c r="H116" s="1578"/>
      <c r="I116" s="1578"/>
      <c r="J116" s="1578"/>
      <c r="K116" s="1578"/>
      <c r="L116" s="1578"/>
      <c r="M116" s="1578"/>
      <c r="N116" s="1578"/>
      <c r="O116" s="1578"/>
      <c r="P116" s="1578"/>
      <c r="Q116" s="1578"/>
      <c r="R116" s="1578"/>
      <c r="S116" s="1578"/>
      <c r="T116" s="1578"/>
      <c r="U116" s="1578"/>
      <c r="V116" s="1578"/>
      <c r="W116" s="1578"/>
      <c r="X116" s="1578"/>
      <c r="Y116" s="1578"/>
      <c r="Z116" s="1578"/>
      <c r="AA116" s="1578"/>
      <c r="AB116" s="1578"/>
      <c r="AC116" s="1578"/>
      <c r="AD116" s="1578"/>
      <c r="AE116" s="1578"/>
      <c r="AF116" s="1578"/>
      <c r="AG116" s="1578"/>
      <c r="AH116" s="1578"/>
      <c r="AI116" s="1578"/>
      <c r="AJ116" s="1578"/>
      <c r="AK116" s="1578"/>
      <c r="AL116" s="1578"/>
      <c r="AM116" s="1578"/>
      <c r="AN116" s="1578"/>
      <c r="AO116" s="1578"/>
      <c r="AP116" s="1578"/>
      <c r="AQ116" s="1578"/>
      <c r="AR116" s="1578"/>
      <c r="AS116" s="1578"/>
      <c r="AT116" s="1578"/>
      <c r="AU116" s="1578"/>
      <c r="AV116" s="1578"/>
      <c r="AW116" s="1578"/>
      <c r="AX116" s="1578"/>
      <c r="AY116" s="1578"/>
      <c r="AZ116" s="1578"/>
      <c r="BA116" s="1578"/>
      <c r="BB116" s="1578"/>
      <c r="BC116" s="1578"/>
      <c r="BD116" s="1578"/>
      <c r="BE116" s="1578"/>
      <c r="BF116" s="1578"/>
      <c r="BG116" s="1578"/>
      <c r="BH116" s="1578"/>
      <c r="BI116" s="1578"/>
      <c r="BJ116" s="1578"/>
      <c r="BK116" s="1578"/>
      <c r="BL116" s="1578"/>
      <c r="BM116" s="1578"/>
      <c r="BN116" s="1578"/>
      <c r="BO116" s="1578"/>
      <c r="BP116" s="1578"/>
      <c r="BQ116" s="1578"/>
      <c r="BR116" s="1578"/>
      <c r="BS116" s="1578"/>
      <c r="BT116" s="1578"/>
      <c r="BU116" s="1578"/>
      <c r="BV116" s="1578"/>
      <c r="BW116" s="1578"/>
      <c r="BX116" s="1578"/>
      <c r="BY116" s="1578"/>
      <c r="BZ116" s="1578"/>
      <c r="CA116" s="1578"/>
      <c r="CB116" s="1578"/>
      <c r="CC116" s="1578"/>
      <c r="CD116" s="1578"/>
      <c r="CE116" s="1578"/>
      <c r="CF116" s="1578"/>
      <c r="CG116" s="1578"/>
      <c r="CH116" s="1578"/>
      <c r="CI116" s="1578"/>
      <c r="CJ116" s="1578"/>
      <c r="CK116" s="1578"/>
      <c r="CL116" s="1578"/>
      <c r="CM116" s="1578"/>
      <c r="CN116" s="1578"/>
      <c r="CO116" s="1578"/>
      <c r="CP116" s="1578"/>
      <c r="CQ116" s="1578"/>
      <c r="CR116" s="1578"/>
      <c r="CS116" s="1578"/>
      <c r="CT116" s="1578"/>
      <c r="CU116" s="1578"/>
      <c r="CV116" s="1578"/>
      <c r="CW116" s="1578"/>
      <c r="CX116" s="1578"/>
      <c r="CY116" s="1578"/>
      <c r="CZ116" s="1578"/>
    </row>
    <row r="117" spans="1:104">
      <c r="A117" s="1466"/>
      <c r="B117" s="1576"/>
      <c r="C117" s="1576"/>
      <c r="D117" s="1576"/>
      <c r="E117" s="1578"/>
      <c r="F117" s="1578"/>
      <c r="G117" s="1578"/>
      <c r="H117" s="1578"/>
      <c r="I117" s="1578"/>
      <c r="J117" s="1578"/>
      <c r="K117" s="1578"/>
      <c r="L117" s="1578"/>
      <c r="M117" s="1578"/>
      <c r="N117" s="1578"/>
      <c r="O117" s="1578"/>
      <c r="P117" s="1578"/>
      <c r="Q117" s="1578"/>
      <c r="R117" s="1578"/>
      <c r="S117" s="1578"/>
      <c r="T117" s="1578"/>
      <c r="U117" s="1578"/>
      <c r="V117" s="1578"/>
      <c r="W117" s="1578"/>
      <c r="X117" s="1578"/>
      <c r="Y117" s="1578"/>
      <c r="Z117" s="1578"/>
      <c r="AA117" s="1578"/>
      <c r="AB117" s="1578"/>
      <c r="AC117" s="1578"/>
      <c r="AD117" s="1578"/>
      <c r="AE117" s="1578"/>
      <c r="AF117" s="1578"/>
      <c r="AG117" s="1578"/>
      <c r="AH117" s="1578"/>
      <c r="AI117" s="1578"/>
      <c r="AJ117" s="1578"/>
      <c r="AK117" s="1578"/>
      <c r="AL117" s="1578"/>
      <c r="AM117" s="1578"/>
      <c r="AN117" s="1578"/>
      <c r="AO117" s="1578"/>
      <c r="AP117" s="1578"/>
      <c r="AQ117" s="1578"/>
      <c r="AR117" s="1578"/>
      <c r="AS117" s="1578"/>
      <c r="AT117" s="1578"/>
      <c r="AU117" s="1578"/>
      <c r="AV117" s="1578"/>
      <c r="AW117" s="1578"/>
      <c r="AX117" s="1578"/>
      <c r="AY117" s="1578"/>
      <c r="AZ117" s="1578"/>
      <c r="BA117" s="1578"/>
      <c r="BB117" s="1578"/>
      <c r="BC117" s="1578"/>
      <c r="BD117" s="1578"/>
      <c r="BE117" s="1578"/>
      <c r="BF117" s="1578"/>
      <c r="BG117" s="1578"/>
      <c r="BH117" s="1578"/>
      <c r="BI117" s="1578"/>
      <c r="BJ117" s="1578"/>
      <c r="BK117" s="1578"/>
      <c r="BL117" s="1578"/>
      <c r="BM117" s="1578"/>
      <c r="BN117" s="1578"/>
      <c r="BO117" s="1578"/>
      <c r="BP117" s="1578"/>
      <c r="BQ117" s="1578"/>
      <c r="BR117" s="1578"/>
      <c r="BS117" s="1578"/>
      <c r="BT117" s="1578"/>
      <c r="BU117" s="1578"/>
      <c r="BV117" s="1578"/>
      <c r="BW117" s="1578"/>
      <c r="BX117" s="1578"/>
      <c r="BY117" s="1578"/>
      <c r="BZ117" s="1578"/>
      <c r="CA117" s="1578"/>
      <c r="CB117" s="1578"/>
      <c r="CC117" s="1578"/>
      <c r="CD117" s="1578"/>
      <c r="CE117" s="1578"/>
      <c r="CF117" s="1578"/>
      <c r="CG117" s="1578"/>
      <c r="CH117" s="1578"/>
      <c r="CI117" s="1578"/>
      <c r="CJ117" s="1578"/>
      <c r="CK117" s="1578"/>
      <c r="CL117" s="1578"/>
      <c r="CM117" s="1578"/>
      <c r="CN117" s="1578"/>
      <c r="CO117" s="1578"/>
      <c r="CP117" s="1578"/>
      <c r="CQ117" s="1578"/>
      <c r="CR117" s="1578"/>
      <c r="CS117" s="1578"/>
      <c r="CT117" s="1578"/>
      <c r="CU117" s="1578"/>
      <c r="CV117" s="1578"/>
      <c r="CW117" s="1578"/>
      <c r="CX117" s="1578"/>
      <c r="CY117" s="1578"/>
      <c r="CZ117" s="1578"/>
    </row>
    <row r="118" spans="1:104">
      <c r="A118" s="1466"/>
      <c r="B118" s="1576"/>
      <c r="C118" s="1576"/>
      <c r="D118" s="1576"/>
      <c r="E118" s="1578"/>
      <c r="F118" s="1578"/>
      <c r="G118" s="1578"/>
      <c r="H118" s="1578"/>
      <c r="I118" s="1578"/>
      <c r="J118" s="1578"/>
      <c r="K118" s="1578"/>
      <c r="L118" s="1578"/>
      <c r="M118" s="1578"/>
      <c r="N118" s="1578"/>
      <c r="O118" s="1578"/>
      <c r="P118" s="1578"/>
      <c r="Q118" s="1578"/>
      <c r="R118" s="1578"/>
      <c r="S118" s="1578"/>
      <c r="T118" s="1578"/>
      <c r="U118" s="1578"/>
      <c r="V118" s="1578"/>
      <c r="W118" s="1578"/>
      <c r="X118" s="1578"/>
      <c r="Y118" s="1578"/>
      <c r="Z118" s="1578"/>
      <c r="AA118" s="1578"/>
      <c r="AB118" s="1578"/>
      <c r="AC118" s="1578"/>
      <c r="AD118" s="1578"/>
      <c r="AE118" s="1578"/>
      <c r="AF118" s="1578"/>
      <c r="AG118" s="1578"/>
      <c r="AH118" s="1578"/>
      <c r="AI118" s="1578"/>
      <c r="AJ118" s="1578"/>
      <c r="AK118" s="1578"/>
      <c r="AL118" s="1578"/>
      <c r="AM118" s="1578"/>
      <c r="AN118" s="1578"/>
      <c r="AO118" s="1578"/>
      <c r="AP118" s="1578"/>
      <c r="AQ118" s="1578"/>
      <c r="AR118" s="1578"/>
      <c r="AS118" s="1578"/>
      <c r="AT118" s="1578"/>
      <c r="AU118" s="1578"/>
      <c r="AV118" s="1578"/>
      <c r="AW118" s="1578"/>
      <c r="AX118" s="1578"/>
      <c r="AY118" s="1578"/>
      <c r="AZ118" s="1578"/>
      <c r="BA118" s="1578"/>
      <c r="BB118" s="1578"/>
      <c r="BC118" s="1578"/>
      <c r="BD118" s="1578"/>
      <c r="BE118" s="1578"/>
      <c r="BF118" s="1578"/>
      <c r="BG118" s="1578"/>
      <c r="BH118" s="1578"/>
      <c r="BI118" s="1578"/>
      <c r="BJ118" s="1578"/>
      <c r="BK118" s="1578"/>
      <c r="BL118" s="1578"/>
      <c r="BM118" s="1578"/>
      <c r="BN118" s="1578"/>
      <c r="BO118" s="1578"/>
      <c r="BP118" s="1578"/>
      <c r="BQ118" s="1578"/>
      <c r="BR118" s="1578"/>
      <c r="BS118" s="1578"/>
      <c r="BT118" s="1578"/>
      <c r="BU118" s="1578"/>
      <c r="BV118" s="1578"/>
      <c r="BW118" s="1578"/>
      <c r="BX118" s="1578"/>
      <c r="BY118" s="1578"/>
      <c r="BZ118" s="1578"/>
      <c r="CA118" s="1578"/>
      <c r="CB118" s="1578"/>
      <c r="CC118" s="1578"/>
      <c r="CD118" s="1578"/>
      <c r="CE118" s="1578"/>
      <c r="CF118" s="1578"/>
      <c r="CG118" s="1578"/>
      <c r="CH118" s="1578"/>
      <c r="CI118" s="1578"/>
      <c r="CJ118" s="1578"/>
      <c r="CK118" s="1578"/>
      <c r="CL118" s="1578"/>
      <c r="CM118" s="1578"/>
      <c r="CN118" s="1578"/>
      <c r="CO118" s="1578"/>
      <c r="CP118" s="1578"/>
      <c r="CQ118" s="1578"/>
      <c r="CR118" s="1578"/>
      <c r="CS118" s="1578"/>
      <c r="CT118" s="1578"/>
      <c r="CU118" s="1578"/>
      <c r="CV118" s="1578"/>
      <c r="CW118" s="1578"/>
      <c r="CX118" s="1578"/>
      <c r="CY118" s="1578"/>
      <c r="CZ118" s="1578"/>
    </row>
    <row r="119" spans="1:104">
      <c r="A119" s="1466"/>
      <c r="B119" s="1576"/>
      <c r="C119" s="1576"/>
      <c r="D119" s="1576"/>
      <c r="E119" s="1578"/>
      <c r="F119" s="1578"/>
      <c r="G119" s="1578"/>
      <c r="H119" s="1578"/>
      <c r="I119" s="1578"/>
      <c r="J119" s="1578"/>
      <c r="K119" s="1578"/>
      <c r="L119" s="1578"/>
      <c r="M119" s="1578"/>
      <c r="N119" s="1578"/>
      <c r="O119" s="1578"/>
      <c r="P119" s="1578"/>
      <c r="Q119" s="1578"/>
      <c r="R119" s="1578"/>
      <c r="S119" s="1578"/>
      <c r="T119" s="1578"/>
      <c r="U119" s="1578"/>
      <c r="V119" s="1578"/>
      <c r="W119" s="1578"/>
      <c r="X119" s="1578"/>
      <c r="Y119" s="1578"/>
      <c r="Z119" s="1578"/>
      <c r="AA119" s="1578"/>
      <c r="AB119" s="1578"/>
      <c r="AC119" s="1578"/>
      <c r="AD119" s="1578"/>
      <c r="AE119" s="1578"/>
      <c r="AF119" s="1578"/>
      <c r="AG119" s="1578"/>
      <c r="AH119" s="1578"/>
      <c r="AI119" s="1578"/>
      <c r="AJ119" s="1578"/>
      <c r="AK119" s="1578"/>
      <c r="AL119" s="1578"/>
      <c r="AM119" s="1578"/>
      <c r="AN119" s="1578"/>
      <c r="AO119" s="1578"/>
      <c r="AP119" s="1578"/>
      <c r="AQ119" s="1578"/>
      <c r="AR119" s="1578"/>
      <c r="AS119" s="1578"/>
      <c r="AT119" s="1578"/>
      <c r="AU119" s="1578"/>
      <c r="AV119" s="1578"/>
      <c r="AW119" s="1578"/>
      <c r="AX119" s="1578"/>
      <c r="AY119" s="1578"/>
      <c r="AZ119" s="1578"/>
      <c r="BA119" s="1578"/>
      <c r="BB119" s="1578"/>
      <c r="BC119" s="1578"/>
      <c r="BD119" s="1578"/>
      <c r="BE119" s="1578"/>
      <c r="BF119" s="1578"/>
      <c r="BG119" s="1578"/>
      <c r="BH119" s="1578"/>
      <c r="BI119" s="1578"/>
      <c r="BJ119" s="1578"/>
      <c r="BK119" s="1578"/>
      <c r="BL119" s="1578"/>
      <c r="BM119" s="1578"/>
      <c r="BN119" s="1578"/>
      <c r="BO119" s="1578"/>
      <c r="BP119" s="1578"/>
      <c r="BQ119" s="1578"/>
      <c r="BR119" s="1578"/>
      <c r="BS119" s="1578"/>
      <c r="BT119" s="1578"/>
      <c r="BU119" s="1578"/>
      <c r="BV119" s="1578"/>
      <c r="BW119" s="1578"/>
      <c r="BX119" s="1578"/>
      <c r="BY119" s="1578"/>
      <c r="BZ119" s="1578"/>
      <c r="CA119" s="1578"/>
      <c r="CB119" s="1578"/>
      <c r="CC119" s="1578"/>
      <c r="CD119" s="1578"/>
      <c r="CE119" s="1578"/>
      <c r="CF119" s="1578"/>
      <c r="CG119" s="1578"/>
      <c r="CH119" s="1578"/>
      <c r="CI119" s="1578"/>
      <c r="CJ119" s="1578"/>
      <c r="CK119" s="1578"/>
      <c r="CL119" s="1578"/>
      <c r="CM119" s="1578"/>
      <c r="CN119" s="1578"/>
      <c r="CO119" s="1578"/>
      <c r="CP119" s="1578"/>
      <c r="CQ119" s="1578"/>
      <c r="CR119" s="1578"/>
      <c r="CS119" s="1578"/>
      <c r="CT119" s="1578"/>
      <c r="CU119" s="1578"/>
      <c r="CV119" s="1578"/>
      <c r="CW119" s="1578"/>
      <c r="CX119" s="1578"/>
      <c r="CY119" s="1578"/>
      <c r="CZ119" s="1578"/>
    </row>
    <row r="120" spans="1:104">
      <c r="A120" s="1466"/>
      <c r="B120" s="1576"/>
      <c r="C120" s="1576"/>
      <c r="D120" s="1576"/>
      <c r="E120" s="1578"/>
      <c r="F120" s="1578"/>
      <c r="G120" s="1578"/>
      <c r="H120" s="1578"/>
      <c r="I120" s="1578"/>
      <c r="J120" s="1578"/>
      <c r="K120" s="1578"/>
      <c r="L120" s="1578"/>
      <c r="M120" s="1578"/>
      <c r="N120" s="1578"/>
      <c r="O120" s="1578"/>
      <c r="P120" s="1578"/>
      <c r="Q120" s="1578"/>
      <c r="R120" s="1578"/>
      <c r="S120" s="1578"/>
      <c r="T120" s="1578"/>
      <c r="U120" s="1578"/>
      <c r="V120" s="1578"/>
      <c r="W120" s="1578"/>
      <c r="X120" s="1578"/>
      <c r="Y120" s="1578"/>
      <c r="Z120" s="1578"/>
      <c r="AA120" s="1578"/>
      <c r="AB120" s="1578"/>
      <c r="AC120" s="1578"/>
      <c r="AD120" s="1578"/>
      <c r="AE120" s="1578"/>
      <c r="AF120" s="1578"/>
      <c r="AG120" s="1578"/>
      <c r="AH120" s="1578"/>
      <c r="AI120" s="1578"/>
      <c r="AJ120" s="1578"/>
      <c r="AK120" s="1578"/>
      <c r="AL120" s="1578"/>
      <c r="AM120" s="1578"/>
      <c r="AN120" s="1578"/>
      <c r="AO120" s="1578"/>
      <c r="AP120" s="1578"/>
      <c r="AQ120" s="1578"/>
      <c r="AR120" s="1578"/>
      <c r="AS120" s="1578"/>
      <c r="AT120" s="1578"/>
      <c r="AU120" s="1578"/>
      <c r="AV120" s="1578"/>
      <c r="AW120" s="1578"/>
      <c r="AX120" s="1578"/>
      <c r="AY120" s="1578"/>
      <c r="AZ120" s="1578"/>
      <c r="BA120" s="1578"/>
      <c r="BB120" s="1578"/>
      <c r="BC120" s="1578"/>
      <c r="BD120" s="1578"/>
      <c r="BE120" s="1578"/>
      <c r="BF120" s="1578"/>
      <c r="BG120" s="1578"/>
      <c r="BH120" s="1578"/>
      <c r="BI120" s="1578"/>
      <c r="BJ120" s="1578"/>
      <c r="BK120" s="1578"/>
      <c r="BL120" s="1578"/>
      <c r="BM120" s="1578"/>
      <c r="BN120" s="1578"/>
      <c r="BO120" s="1578"/>
      <c r="BP120" s="1578"/>
      <c r="BQ120" s="1578"/>
      <c r="BR120" s="1578"/>
      <c r="BS120" s="1578"/>
      <c r="BT120" s="1578"/>
      <c r="BU120" s="1578"/>
      <c r="BV120" s="1578"/>
      <c r="BW120" s="1578"/>
      <c r="BX120" s="1578"/>
      <c r="BY120" s="1578"/>
      <c r="BZ120" s="1578"/>
      <c r="CA120" s="1578"/>
      <c r="CB120" s="1578"/>
      <c r="CC120" s="1578"/>
      <c r="CD120" s="1578"/>
      <c r="CE120" s="1578"/>
      <c r="CF120" s="1578"/>
      <c r="CG120" s="1578"/>
      <c r="CH120" s="1578"/>
      <c r="CI120" s="1578"/>
      <c r="CJ120" s="1578"/>
      <c r="CK120" s="1578"/>
      <c r="CL120" s="1578"/>
      <c r="CM120" s="1578"/>
      <c r="CN120" s="1578"/>
      <c r="CO120" s="1578"/>
      <c r="CP120" s="1578"/>
      <c r="CQ120" s="1578"/>
      <c r="CR120" s="1578"/>
      <c r="CS120" s="1578"/>
      <c r="CT120" s="1578"/>
      <c r="CU120" s="1578"/>
      <c r="CV120" s="1578"/>
      <c r="CW120" s="1578"/>
      <c r="CX120" s="1578"/>
      <c r="CY120" s="1578"/>
      <c r="CZ120" s="1578"/>
    </row>
    <row r="121" spans="1:104">
      <c r="A121" s="1466"/>
      <c r="B121" s="1576"/>
      <c r="C121" s="1576"/>
      <c r="D121" s="1576"/>
      <c r="E121" s="1578"/>
      <c r="F121" s="1578"/>
      <c r="G121" s="1578"/>
      <c r="H121" s="1578"/>
      <c r="I121" s="1578"/>
      <c r="J121" s="1578"/>
      <c r="K121" s="1578"/>
      <c r="L121" s="1578"/>
      <c r="M121" s="1578"/>
      <c r="N121" s="1578"/>
      <c r="O121" s="1578"/>
      <c r="P121" s="1578"/>
      <c r="Q121" s="1578"/>
      <c r="R121" s="1578"/>
      <c r="S121" s="1578"/>
      <c r="T121" s="1578"/>
      <c r="U121" s="1578"/>
      <c r="V121" s="1578"/>
      <c r="W121" s="1578"/>
      <c r="X121" s="1578"/>
      <c r="Y121" s="1578"/>
      <c r="Z121" s="1578"/>
      <c r="AA121" s="1578"/>
      <c r="AB121" s="1578"/>
      <c r="AC121" s="1578"/>
      <c r="AD121" s="1578"/>
      <c r="AE121" s="1578"/>
      <c r="AF121" s="1578"/>
      <c r="AG121" s="1578"/>
      <c r="AH121" s="1578"/>
      <c r="AI121" s="1578"/>
      <c r="AJ121" s="1578"/>
      <c r="AK121" s="1578"/>
      <c r="AL121" s="1578"/>
      <c r="AM121" s="1578"/>
      <c r="AN121" s="1578"/>
      <c r="AO121" s="1578"/>
      <c r="AP121" s="1578"/>
      <c r="AQ121" s="1578"/>
      <c r="AR121" s="1578"/>
      <c r="AS121" s="1578"/>
      <c r="AT121" s="1578"/>
      <c r="AU121" s="1578"/>
      <c r="AV121" s="1578"/>
      <c r="AW121" s="1578"/>
      <c r="AX121" s="1578"/>
      <c r="AY121" s="1578"/>
      <c r="AZ121" s="1578"/>
      <c r="BA121" s="1578"/>
      <c r="BB121" s="1578"/>
      <c r="BC121" s="1578"/>
      <c r="BD121" s="1578"/>
      <c r="BE121" s="1578"/>
      <c r="BF121" s="1578"/>
      <c r="BG121" s="1578"/>
      <c r="BH121" s="1578"/>
      <c r="BI121" s="1578"/>
      <c r="BJ121" s="1578"/>
      <c r="BK121" s="1578"/>
      <c r="BL121" s="1578"/>
      <c r="BM121" s="1578"/>
      <c r="BN121" s="1578"/>
      <c r="BO121" s="1578"/>
      <c r="BP121" s="1578"/>
      <c r="BQ121" s="1578"/>
      <c r="BR121" s="1578"/>
      <c r="BS121" s="1578"/>
      <c r="BT121" s="1578"/>
      <c r="BU121" s="1578"/>
      <c r="BV121" s="1578"/>
      <c r="BW121" s="1578"/>
      <c r="BX121" s="1578"/>
      <c r="BY121" s="1578"/>
      <c r="BZ121" s="1578"/>
      <c r="CA121" s="1578"/>
      <c r="CB121" s="1578"/>
      <c r="CC121" s="1578"/>
      <c r="CD121" s="1578"/>
      <c r="CE121" s="1578"/>
      <c r="CF121" s="1578"/>
      <c r="CG121" s="1578"/>
      <c r="CH121" s="1578"/>
      <c r="CI121" s="1578"/>
      <c r="CJ121" s="1578"/>
      <c r="CK121" s="1578"/>
      <c r="CL121" s="1578"/>
      <c r="CM121" s="1578"/>
      <c r="CN121" s="1578"/>
      <c r="CO121" s="1578"/>
      <c r="CP121" s="1578"/>
      <c r="CQ121" s="1578"/>
      <c r="CR121" s="1578"/>
      <c r="CS121" s="1578"/>
      <c r="CT121" s="1578"/>
      <c r="CU121" s="1578"/>
      <c r="CV121" s="1578"/>
      <c r="CW121" s="1578"/>
      <c r="CX121" s="1578"/>
      <c r="CY121" s="1578"/>
      <c r="CZ121" s="1578"/>
    </row>
    <row r="122" spans="1:104">
      <c r="A122" s="1466"/>
      <c r="B122" s="1576"/>
      <c r="C122" s="1576"/>
      <c r="D122" s="1576"/>
      <c r="E122" s="1578"/>
      <c r="F122" s="1578"/>
      <c r="G122" s="1578"/>
      <c r="H122" s="1578"/>
      <c r="I122" s="1578"/>
      <c r="J122" s="1578"/>
      <c r="K122" s="1578"/>
      <c r="L122" s="1578"/>
      <c r="M122" s="1578"/>
      <c r="N122" s="1578"/>
      <c r="O122" s="1578"/>
      <c r="P122" s="1578"/>
      <c r="Q122" s="1578"/>
      <c r="R122" s="1578"/>
      <c r="S122" s="1578"/>
      <c r="T122" s="1578"/>
      <c r="U122" s="1578"/>
      <c r="V122" s="1578"/>
      <c r="W122" s="1578"/>
      <c r="X122" s="1578"/>
      <c r="Y122" s="1578"/>
      <c r="Z122" s="1578"/>
      <c r="AA122" s="1578"/>
      <c r="AB122" s="1578"/>
      <c r="AC122" s="1578"/>
      <c r="AD122" s="1578"/>
      <c r="AE122" s="1578"/>
      <c r="AF122" s="1578"/>
      <c r="AG122" s="1578"/>
      <c r="AH122" s="1578"/>
      <c r="AI122" s="1578"/>
      <c r="AJ122" s="1578"/>
      <c r="AK122" s="1578"/>
      <c r="AL122" s="1578"/>
      <c r="AM122" s="1578"/>
      <c r="AN122" s="1578"/>
      <c r="AO122" s="1578"/>
      <c r="AP122" s="1578"/>
      <c r="AQ122" s="1578"/>
      <c r="AR122" s="1578"/>
      <c r="AS122" s="1578"/>
      <c r="AT122" s="1578"/>
      <c r="AU122" s="1578"/>
      <c r="AV122" s="1578"/>
      <c r="AW122" s="1578"/>
      <c r="AX122" s="1578"/>
      <c r="AY122" s="1578"/>
      <c r="AZ122" s="1578"/>
      <c r="BA122" s="1578"/>
      <c r="BB122" s="1578"/>
      <c r="BC122" s="1578"/>
      <c r="BD122" s="1578"/>
      <c r="BE122" s="1578"/>
      <c r="BF122" s="1578"/>
      <c r="BG122" s="1578"/>
      <c r="BH122" s="1578"/>
      <c r="BI122" s="1578"/>
      <c r="BJ122" s="1578"/>
      <c r="BK122" s="1578"/>
      <c r="BL122" s="1578"/>
      <c r="BM122" s="1578"/>
      <c r="BN122" s="1578"/>
      <c r="BO122" s="1578"/>
      <c r="BP122" s="1578"/>
      <c r="BQ122" s="1578"/>
      <c r="BR122" s="1578"/>
      <c r="BS122" s="1578"/>
      <c r="BT122" s="1578"/>
      <c r="BU122" s="1578"/>
      <c r="BV122" s="1578"/>
      <c r="BW122" s="1578"/>
      <c r="BX122" s="1578"/>
      <c r="BY122" s="1578"/>
      <c r="BZ122" s="1578"/>
      <c r="CA122" s="1578"/>
      <c r="CB122" s="1578"/>
      <c r="CC122" s="1578"/>
      <c r="CD122" s="1578"/>
      <c r="CE122" s="1578"/>
      <c r="CF122" s="1578"/>
      <c r="CG122" s="1578"/>
      <c r="CH122" s="1578"/>
      <c r="CI122" s="1578"/>
      <c r="CJ122" s="1578"/>
      <c r="CK122" s="1578"/>
      <c r="CL122" s="1578"/>
      <c r="CM122" s="1578"/>
      <c r="CN122" s="1578"/>
      <c r="CO122" s="1578"/>
      <c r="CP122" s="1578"/>
      <c r="CQ122" s="1578"/>
      <c r="CR122" s="1578"/>
      <c r="CS122" s="1578"/>
      <c r="CT122" s="1578"/>
      <c r="CU122" s="1578"/>
      <c r="CV122" s="1578"/>
      <c r="CW122" s="1578"/>
      <c r="CX122" s="1578"/>
      <c r="CY122" s="1578"/>
      <c r="CZ122" s="1578"/>
    </row>
    <row r="123" spans="1:104">
      <c r="A123" s="1466"/>
      <c r="B123" s="1576"/>
      <c r="C123" s="1576"/>
      <c r="D123" s="1576"/>
      <c r="E123" s="1578"/>
      <c r="F123" s="1578"/>
      <c r="G123" s="1578"/>
      <c r="H123" s="1578"/>
      <c r="I123" s="1578"/>
      <c r="J123" s="1578"/>
      <c r="K123" s="1578"/>
      <c r="L123" s="1578"/>
      <c r="M123" s="1578"/>
      <c r="N123" s="1578"/>
      <c r="O123" s="1578"/>
      <c r="P123" s="1578"/>
      <c r="Q123" s="1578"/>
      <c r="R123" s="1578"/>
      <c r="S123" s="1578"/>
      <c r="T123" s="1578"/>
      <c r="U123" s="1578"/>
      <c r="V123" s="1578"/>
      <c r="W123" s="1578"/>
      <c r="X123" s="1578"/>
      <c r="Y123" s="1578"/>
      <c r="Z123" s="1578"/>
      <c r="AA123" s="1578"/>
      <c r="AB123" s="1578"/>
      <c r="AC123" s="1578"/>
      <c r="AD123" s="1578"/>
      <c r="AE123" s="1578"/>
      <c r="AF123" s="1578"/>
      <c r="AG123" s="1578"/>
      <c r="AH123" s="1578"/>
      <c r="AI123" s="1578"/>
      <c r="AJ123" s="1578"/>
      <c r="AK123" s="1578"/>
      <c r="AL123" s="1578"/>
      <c r="AM123" s="1578"/>
      <c r="AN123" s="1578"/>
      <c r="AO123" s="1578"/>
      <c r="AP123" s="1578"/>
      <c r="AQ123" s="1578"/>
      <c r="AR123" s="1578"/>
      <c r="AS123" s="1578"/>
      <c r="AT123" s="1578"/>
      <c r="AU123" s="1578"/>
      <c r="AV123" s="1578"/>
      <c r="AW123" s="1578"/>
      <c r="AX123" s="1578"/>
      <c r="AY123" s="1578"/>
      <c r="AZ123" s="1578"/>
      <c r="BA123" s="1578"/>
      <c r="BB123" s="1578"/>
      <c r="BC123" s="1578"/>
      <c r="BD123" s="1578"/>
      <c r="BE123" s="1578"/>
      <c r="BF123" s="1578"/>
      <c r="BG123" s="1578"/>
      <c r="BH123" s="1578"/>
      <c r="BI123" s="1578"/>
      <c r="BJ123" s="1578"/>
      <c r="BK123" s="1578"/>
      <c r="BL123" s="1578"/>
      <c r="BM123" s="1578"/>
      <c r="BN123" s="1578"/>
      <c r="BO123" s="1578"/>
      <c r="BP123" s="1578"/>
      <c r="BQ123" s="1578"/>
      <c r="BR123" s="1578"/>
      <c r="BS123" s="1578"/>
      <c r="BT123" s="1578"/>
      <c r="BU123" s="1578"/>
      <c r="BV123" s="1578"/>
      <c r="BW123" s="1578"/>
      <c r="BX123" s="1578"/>
      <c r="BY123" s="1578"/>
      <c r="BZ123" s="1578"/>
      <c r="CA123" s="1578"/>
      <c r="CB123" s="1578"/>
      <c r="CC123" s="1578"/>
      <c r="CD123" s="1578"/>
      <c r="CE123" s="1578"/>
      <c r="CF123" s="1578"/>
      <c r="CG123" s="1578"/>
      <c r="CH123" s="1578"/>
      <c r="CI123" s="1578"/>
      <c r="CJ123" s="1578"/>
      <c r="CK123" s="1578"/>
      <c r="CL123" s="1578"/>
      <c r="CM123" s="1578"/>
      <c r="CN123" s="1578"/>
      <c r="CO123" s="1578"/>
      <c r="CP123" s="1578"/>
      <c r="CQ123" s="1578"/>
      <c r="CR123" s="1578"/>
      <c r="CS123" s="1578"/>
      <c r="CT123" s="1578"/>
      <c r="CU123" s="1578"/>
      <c r="CV123" s="1578"/>
      <c r="CW123" s="1578"/>
      <c r="CX123" s="1578"/>
      <c r="CY123" s="1578"/>
      <c r="CZ123" s="1578"/>
    </row>
    <row r="124" spans="1:104">
      <c r="A124" s="1466"/>
      <c r="B124" s="1576"/>
      <c r="C124" s="1576"/>
      <c r="D124" s="1576"/>
      <c r="E124" s="1578"/>
      <c r="F124" s="1578"/>
      <c r="G124" s="1578"/>
      <c r="H124" s="1578"/>
      <c r="I124" s="1578"/>
      <c r="J124" s="1578"/>
      <c r="K124" s="1578"/>
      <c r="L124" s="1578"/>
      <c r="M124" s="1578"/>
      <c r="N124" s="1578"/>
      <c r="O124" s="1578"/>
      <c r="P124" s="1578"/>
      <c r="Q124" s="1578"/>
      <c r="R124" s="1578"/>
      <c r="S124" s="1578"/>
      <c r="T124" s="1578"/>
      <c r="U124" s="1578"/>
      <c r="V124" s="1578"/>
      <c r="W124" s="1578"/>
      <c r="X124" s="1578"/>
      <c r="Y124" s="1578"/>
      <c r="Z124" s="1578"/>
      <c r="AA124" s="1578"/>
      <c r="AB124" s="1578"/>
      <c r="AC124" s="1578"/>
      <c r="AD124" s="1578"/>
      <c r="AE124" s="1578"/>
      <c r="AF124" s="1578"/>
      <c r="AG124" s="1578"/>
      <c r="AH124" s="1578"/>
      <c r="AI124" s="1578"/>
      <c r="AJ124" s="1578"/>
      <c r="AK124" s="1578"/>
      <c r="AL124" s="1578"/>
      <c r="AM124" s="1578"/>
      <c r="AN124" s="1578"/>
      <c r="AO124" s="1578"/>
      <c r="AP124" s="1578"/>
      <c r="AQ124" s="1578"/>
      <c r="AR124" s="1578"/>
      <c r="AS124" s="1578"/>
      <c r="AT124" s="1578"/>
      <c r="AU124" s="1578"/>
      <c r="AV124" s="1578"/>
      <c r="AW124" s="1578"/>
      <c r="AX124" s="1578"/>
      <c r="AY124" s="1578"/>
      <c r="AZ124" s="1578"/>
      <c r="BA124" s="1578"/>
      <c r="BB124" s="1578"/>
      <c r="BC124" s="1578"/>
      <c r="BD124" s="1578"/>
      <c r="BE124" s="1578"/>
      <c r="BF124" s="1578"/>
      <c r="BG124" s="1578"/>
      <c r="BH124" s="1578"/>
      <c r="BI124" s="1578"/>
      <c r="BJ124" s="1578"/>
      <c r="BK124" s="1578"/>
      <c r="BL124" s="1578"/>
      <c r="BM124" s="1578"/>
      <c r="BN124" s="1578"/>
      <c r="BO124" s="1578"/>
      <c r="BP124" s="1578"/>
      <c r="BQ124" s="1578"/>
      <c r="BR124" s="1578"/>
      <c r="BS124" s="1578"/>
      <c r="BT124" s="1578"/>
      <c r="BU124" s="1578"/>
      <c r="BV124" s="1578"/>
      <c r="BW124" s="1578"/>
      <c r="BX124" s="1578"/>
      <c r="BY124" s="1578"/>
      <c r="BZ124" s="1578"/>
      <c r="CA124" s="1578"/>
      <c r="CB124" s="1578"/>
      <c r="CC124" s="1578"/>
      <c r="CD124" s="1578"/>
      <c r="CE124" s="1578"/>
      <c r="CF124" s="1578"/>
      <c r="CG124" s="1578"/>
      <c r="CH124" s="1578"/>
      <c r="CI124" s="1578"/>
      <c r="CJ124" s="1578"/>
      <c r="CK124" s="1578"/>
      <c r="CL124" s="1578"/>
      <c r="CM124" s="1578"/>
      <c r="CN124" s="1578"/>
      <c r="CO124" s="1578"/>
      <c r="CP124" s="1578"/>
      <c r="CQ124" s="1578"/>
      <c r="CR124" s="1578"/>
      <c r="CS124" s="1578"/>
      <c r="CT124" s="1578"/>
      <c r="CU124" s="1578"/>
      <c r="CV124" s="1578"/>
      <c r="CW124" s="1578"/>
      <c r="CX124" s="1578"/>
      <c r="CY124" s="1578"/>
      <c r="CZ124" s="1578"/>
    </row>
    <row r="125" spans="1:104">
      <c r="A125" s="1466"/>
      <c r="B125" s="1576"/>
      <c r="C125" s="1576"/>
      <c r="D125" s="1576"/>
      <c r="E125" s="1578"/>
      <c r="F125" s="1578"/>
      <c r="G125" s="1578"/>
      <c r="H125" s="1578"/>
      <c r="I125" s="1578"/>
      <c r="J125" s="1578"/>
      <c r="K125" s="1578"/>
      <c r="L125" s="1578"/>
      <c r="M125" s="1578"/>
      <c r="N125" s="1578"/>
      <c r="O125" s="1578"/>
      <c r="P125" s="1578"/>
      <c r="Q125" s="1578"/>
      <c r="R125" s="1578"/>
      <c r="S125" s="1578"/>
      <c r="T125" s="1578"/>
      <c r="U125" s="1578"/>
      <c r="V125" s="1578"/>
      <c r="W125" s="1578"/>
      <c r="X125" s="1578"/>
      <c r="Y125" s="1578"/>
      <c r="Z125" s="1578"/>
      <c r="AA125" s="1578"/>
      <c r="AB125" s="1578"/>
      <c r="AC125" s="1578"/>
      <c r="AD125" s="1578"/>
      <c r="AE125" s="1578"/>
      <c r="AF125" s="1578"/>
      <c r="AG125" s="1578"/>
      <c r="AH125" s="1578"/>
      <c r="AI125" s="1578"/>
      <c r="AJ125" s="1578"/>
      <c r="AK125" s="1578"/>
      <c r="AL125" s="1578"/>
      <c r="AM125" s="1578"/>
      <c r="AN125" s="1578"/>
      <c r="AO125" s="1578"/>
      <c r="AP125" s="1578"/>
      <c r="AQ125" s="1578"/>
      <c r="AR125" s="1578"/>
      <c r="AS125" s="1578"/>
      <c r="AT125" s="1578"/>
      <c r="AU125" s="1578"/>
      <c r="AV125" s="1578"/>
      <c r="AW125" s="1578"/>
      <c r="AX125" s="1578"/>
      <c r="AY125" s="1578"/>
      <c r="AZ125" s="1578"/>
      <c r="BA125" s="1578"/>
      <c r="BB125" s="1578"/>
      <c r="BC125" s="1578"/>
      <c r="BD125" s="1578"/>
      <c r="BE125" s="1578"/>
      <c r="BF125" s="1578"/>
      <c r="BG125" s="1578"/>
      <c r="BH125" s="1578"/>
      <c r="BI125" s="1578"/>
      <c r="BJ125" s="1578"/>
      <c r="BK125" s="1578"/>
      <c r="BL125" s="1578"/>
      <c r="BM125" s="1578"/>
      <c r="BN125" s="1578"/>
      <c r="BO125" s="1578"/>
      <c r="BP125" s="1578"/>
      <c r="BQ125" s="1578"/>
      <c r="BR125" s="1578"/>
      <c r="BS125" s="1578"/>
      <c r="BT125" s="1578"/>
      <c r="BU125" s="1578"/>
      <c r="BV125" s="1578"/>
      <c r="BW125" s="1578"/>
      <c r="BX125" s="1578"/>
      <c r="BY125" s="1578"/>
      <c r="BZ125" s="1578"/>
      <c r="CA125" s="1578"/>
      <c r="CB125" s="1578"/>
      <c r="CC125" s="1578"/>
      <c r="CD125" s="1578"/>
      <c r="CE125" s="1578"/>
      <c r="CF125" s="1578"/>
      <c r="CG125" s="1578"/>
      <c r="CH125" s="1578"/>
      <c r="CI125" s="1578"/>
      <c r="CJ125" s="1578"/>
      <c r="CK125" s="1578"/>
      <c r="CL125" s="1578"/>
      <c r="CM125" s="1578"/>
      <c r="CN125" s="1578"/>
      <c r="CO125" s="1578"/>
      <c r="CP125" s="1578"/>
      <c r="CQ125" s="1578"/>
      <c r="CR125" s="1578"/>
      <c r="CS125" s="1578"/>
      <c r="CT125" s="1578"/>
      <c r="CU125" s="1578"/>
      <c r="CV125" s="1578"/>
      <c r="CW125" s="1578"/>
      <c r="CX125" s="1578"/>
      <c r="CY125" s="1578"/>
      <c r="CZ125" s="1578"/>
    </row>
    <row r="126" spans="1:104">
      <c r="A126" s="1466"/>
      <c r="B126" s="1576"/>
      <c r="C126" s="1576"/>
      <c r="D126" s="1576"/>
      <c r="E126" s="1578"/>
      <c r="F126" s="1578"/>
      <c r="G126" s="1578"/>
      <c r="H126" s="1578"/>
      <c r="I126" s="1578"/>
      <c r="J126" s="1578"/>
      <c r="K126" s="1578"/>
      <c r="L126" s="1578"/>
      <c r="M126" s="1578"/>
      <c r="N126" s="1578"/>
      <c r="O126" s="1578"/>
      <c r="P126" s="1578"/>
      <c r="Q126" s="1578"/>
      <c r="R126" s="1578"/>
      <c r="S126" s="1578"/>
      <c r="T126" s="1578"/>
      <c r="U126" s="1578"/>
      <c r="V126" s="1578"/>
      <c r="W126" s="1578"/>
      <c r="X126" s="1578"/>
      <c r="Y126" s="1578"/>
      <c r="Z126" s="1578"/>
      <c r="AA126" s="1578"/>
      <c r="AB126" s="1578"/>
      <c r="AC126" s="1578"/>
      <c r="AD126" s="1578"/>
      <c r="AE126" s="1578"/>
      <c r="AF126" s="1578"/>
      <c r="AG126" s="1578"/>
      <c r="AH126" s="1578"/>
      <c r="AI126" s="1578"/>
      <c r="AJ126" s="1578"/>
      <c r="AK126" s="1578"/>
      <c r="AL126" s="1578"/>
      <c r="AM126" s="1578"/>
      <c r="AN126" s="1578"/>
      <c r="AO126" s="1578"/>
      <c r="AP126" s="1578"/>
      <c r="AQ126" s="1578"/>
      <c r="AR126" s="1578"/>
      <c r="AS126" s="1578"/>
      <c r="AT126" s="1578"/>
      <c r="AU126" s="1578"/>
      <c r="AV126" s="1578"/>
      <c r="AW126" s="1578"/>
      <c r="AX126" s="1578"/>
      <c r="AY126" s="1578"/>
      <c r="AZ126" s="1578"/>
      <c r="BA126" s="1578"/>
      <c r="BB126" s="1578"/>
      <c r="BC126" s="1578"/>
      <c r="BD126" s="1578"/>
      <c r="BE126" s="1578"/>
      <c r="BF126" s="1578"/>
      <c r="BG126" s="1578"/>
      <c r="BH126" s="1578"/>
      <c r="BI126" s="1578"/>
      <c r="BJ126" s="1578"/>
      <c r="BK126" s="1578"/>
      <c r="BL126" s="1578"/>
      <c r="BM126" s="1578"/>
      <c r="BN126" s="1578"/>
      <c r="BO126" s="1578"/>
      <c r="BP126" s="1578"/>
      <c r="BQ126" s="1578"/>
      <c r="BR126" s="1578"/>
      <c r="BS126" s="1578"/>
      <c r="BT126" s="1578"/>
      <c r="BU126" s="1578"/>
      <c r="BV126" s="1578"/>
      <c r="BW126" s="1578"/>
      <c r="BX126" s="1578"/>
      <c r="BY126" s="1578"/>
      <c r="BZ126" s="1578"/>
      <c r="CA126" s="1578"/>
      <c r="CB126" s="1578"/>
      <c r="CC126" s="1578"/>
      <c r="CD126" s="1578"/>
      <c r="CE126" s="1578"/>
      <c r="CF126" s="1578"/>
      <c r="CG126" s="1578"/>
      <c r="CH126" s="1578"/>
      <c r="CI126" s="1578"/>
      <c r="CJ126" s="1578"/>
      <c r="CK126" s="1578"/>
      <c r="CL126" s="1578"/>
      <c r="CM126" s="1578"/>
      <c r="CN126" s="1578"/>
      <c r="CO126" s="1578"/>
      <c r="CP126" s="1578"/>
      <c r="CQ126" s="1578"/>
      <c r="CR126" s="1578"/>
      <c r="CS126" s="1578"/>
      <c r="CT126" s="1578"/>
      <c r="CU126" s="1578"/>
      <c r="CV126" s="1578"/>
      <c r="CW126" s="1578"/>
      <c r="CX126" s="1578"/>
      <c r="CY126" s="1578"/>
      <c r="CZ126" s="1578"/>
    </row>
    <row r="127" spans="1:104">
      <c r="A127" s="1466"/>
      <c r="B127" s="1576"/>
      <c r="C127" s="1576"/>
      <c r="D127" s="1576"/>
      <c r="E127" s="1578"/>
      <c r="F127" s="1578"/>
      <c r="G127" s="1578"/>
      <c r="H127" s="1578"/>
      <c r="I127" s="1578"/>
      <c r="J127" s="1578"/>
      <c r="K127" s="1578"/>
      <c r="L127" s="1578"/>
      <c r="M127" s="1578"/>
      <c r="N127" s="1578"/>
      <c r="O127" s="1578"/>
      <c r="P127" s="1578"/>
      <c r="Q127" s="1578"/>
      <c r="R127" s="1578"/>
      <c r="S127" s="1578"/>
      <c r="T127" s="1578"/>
      <c r="U127" s="1578"/>
      <c r="V127" s="1578"/>
      <c r="W127" s="1578"/>
      <c r="X127" s="1578"/>
      <c r="Y127" s="1578"/>
      <c r="Z127" s="1578"/>
      <c r="AA127" s="1578"/>
      <c r="AB127" s="1578"/>
      <c r="AC127" s="1578"/>
      <c r="AD127" s="1578"/>
      <c r="AE127" s="1578"/>
      <c r="AF127" s="1578"/>
      <c r="AG127" s="1578"/>
      <c r="AH127" s="1578"/>
      <c r="AI127" s="1578"/>
      <c r="AJ127" s="1578"/>
      <c r="AK127" s="1578"/>
      <c r="AL127" s="1578"/>
      <c r="AM127" s="1578"/>
      <c r="AN127" s="1578"/>
      <c r="AO127" s="1578"/>
      <c r="AP127" s="1578"/>
      <c r="AQ127" s="1578"/>
      <c r="AR127" s="1578"/>
      <c r="AS127" s="1578"/>
      <c r="AT127" s="1578"/>
      <c r="AU127" s="1578"/>
      <c r="AV127" s="1578"/>
      <c r="AW127" s="1578"/>
      <c r="AX127" s="1578"/>
      <c r="AY127" s="1578"/>
      <c r="AZ127" s="1578"/>
      <c r="BA127" s="1578"/>
      <c r="BB127" s="1578"/>
      <c r="BC127" s="1578"/>
      <c r="BD127" s="1578"/>
      <c r="BE127" s="1578"/>
      <c r="BF127" s="1578"/>
      <c r="BG127" s="1578"/>
      <c r="BH127" s="1578"/>
      <c r="BI127" s="1578"/>
      <c r="BJ127" s="1578"/>
      <c r="BK127" s="1578"/>
      <c r="BL127" s="1578"/>
      <c r="BM127" s="1578"/>
      <c r="BN127" s="1578"/>
      <c r="BO127" s="1578"/>
      <c r="BP127" s="1578"/>
      <c r="BQ127" s="1578"/>
      <c r="BR127" s="1578"/>
      <c r="BS127" s="1578"/>
      <c r="BT127" s="1578"/>
      <c r="BU127" s="1578"/>
      <c r="BV127" s="1578"/>
      <c r="BW127" s="1578"/>
      <c r="BX127" s="1578"/>
      <c r="BY127" s="1578"/>
      <c r="BZ127" s="1578"/>
      <c r="CA127" s="1578"/>
      <c r="CB127" s="1578"/>
      <c r="CC127" s="1578"/>
      <c r="CD127" s="1578"/>
      <c r="CE127" s="1578"/>
      <c r="CF127" s="1578"/>
      <c r="CG127" s="1578"/>
      <c r="CH127" s="1578"/>
      <c r="CI127" s="1578"/>
      <c r="CJ127" s="1578"/>
      <c r="CK127" s="1578"/>
      <c r="CL127" s="1578"/>
      <c r="CM127" s="1578"/>
      <c r="CN127" s="1578"/>
      <c r="CO127" s="1578"/>
      <c r="CP127" s="1578"/>
      <c r="CQ127" s="1578"/>
      <c r="CR127" s="1578"/>
      <c r="CS127" s="1578"/>
      <c r="CT127" s="1578"/>
      <c r="CU127" s="1578"/>
      <c r="CV127" s="1578"/>
      <c r="CW127" s="1578"/>
      <c r="CX127" s="1578"/>
      <c r="CY127" s="1578"/>
      <c r="CZ127" s="1578"/>
    </row>
    <row r="128" spans="1:104">
      <c r="A128" s="1466"/>
      <c r="B128" s="1576"/>
      <c r="C128" s="1576"/>
      <c r="D128" s="1576"/>
      <c r="E128" s="1578"/>
      <c r="F128" s="1578"/>
      <c r="G128" s="1578"/>
      <c r="H128" s="1578"/>
      <c r="I128" s="1578"/>
      <c r="J128" s="1578"/>
      <c r="K128" s="1578"/>
      <c r="L128" s="1578"/>
      <c r="M128" s="1578"/>
      <c r="N128" s="1578"/>
      <c r="O128" s="1578"/>
      <c r="P128" s="1578"/>
      <c r="Q128" s="1578"/>
      <c r="R128" s="1578"/>
      <c r="S128" s="1578"/>
      <c r="T128" s="1578"/>
      <c r="U128" s="1578"/>
      <c r="V128" s="1578"/>
      <c r="W128" s="1578"/>
      <c r="X128" s="1578"/>
      <c r="Y128" s="1578"/>
      <c r="Z128" s="1578"/>
      <c r="AA128" s="1578"/>
      <c r="AB128" s="1578"/>
      <c r="AC128" s="1578"/>
      <c r="AD128" s="1578"/>
      <c r="AE128" s="1578"/>
      <c r="AF128" s="1578"/>
      <c r="AG128" s="1578"/>
      <c r="AH128" s="1578"/>
      <c r="AI128" s="1578"/>
      <c r="AJ128" s="1578"/>
      <c r="AK128" s="1578"/>
      <c r="AL128" s="1578"/>
      <c r="AM128" s="1578"/>
      <c r="AN128" s="1578"/>
      <c r="AO128" s="1578"/>
      <c r="AP128" s="1578"/>
      <c r="AQ128" s="1578"/>
      <c r="AR128" s="1578"/>
      <c r="AS128" s="1578"/>
      <c r="AT128" s="1578"/>
      <c r="AU128" s="1578"/>
      <c r="AV128" s="1578"/>
      <c r="AW128" s="1578"/>
      <c r="AX128" s="1578"/>
      <c r="AY128" s="1578"/>
      <c r="AZ128" s="1578"/>
      <c r="BA128" s="1578"/>
      <c r="BB128" s="1578"/>
      <c r="BC128" s="1578"/>
      <c r="BD128" s="1578"/>
      <c r="BE128" s="1578"/>
      <c r="BF128" s="1578"/>
      <c r="BG128" s="1578"/>
      <c r="BH128" s="1578"/>
      <c r="BI128" s="1578"/>
      <c r="BJ128" s="1578"/>
      <c r="BK128" s="1578"/>
      <c r="BL128" s="1578"/>
      <c r="BM128" s="1578"/>
      <c r="BN128" s="1578"/>
      <c r="BO128" s="1578"/>
      <c r="BP128" s="1578"/>
      <c r="BQ128" s="1578"/>
      <c r="BR128" s="1578"/>
      <c r="BS128" s="1578"/>
      <c r="BT128" s="1578"/>
      <c r="BU128" s="1578"/>
      <c r="BV128" s="1578"/>
      <c r="BW128" s="1578"/>
      <c r="BX128" s="1578"/>
      <c r="BY128" s="1578"/>
      <c r="BZ128" s="1578"/>
      <c r="CA128" s="1578"/>
      <c r="CB128" s="1578"/>
      <c r="CC128" s="1578"/>
      <c r="CD128" s="1578"/>
      <c r="CE128" s="1578"/>
      <c r="CF128" s="1578"/>
      <c r="CG128" s="1578"/>
      <c r="CH128" s="1578"/>
      <c r="CI128" s="1578"/>
      <c r="CJ128" s="1578"/>
      <c r="CK128" s="1578"/>
      <c r="CL128" s="1578"/>
      <c r="CM128" s="1578"/>
      <c r="CN128" s="1578"/>
      <c r="CO128" s="1578"/>
      <c r="CP128" s="1578"/>
      <c r="CQ128" s="1578"/>
      <c r="CR128" s="1578"/>
      <c r="CS128" s="1578"/>
      <c r="CT128" s="1578"/>
      <c r="CU128" s="1578"/>
      <c r="CV128" s="1578"/>
      <c r="CW128" s="1578"/>
      <c r="CX128" s="1578"/>
      <c r="CY128" s="1578"/>
      <c r="CZ128" s="1578"/>
    </row>
    <row r="129" spans="1:407">
      <c r="A129" s="1466"/>
      <c r="B129" s="1576"/>
      <c r="C129" s="1576"/>
      <c r="D129" s="1576"/>
      <c r="E129" s="1578"/>
      <c r="F129" s="1578"/>
      <c r="G129" s="1578"/>
      <c r="H129" s="1578"/>
      <c r="I129" s="1578"/>
      <c r="J129" s="1578"/>
      <c r="K129" s="1578"/>
      <c r="L129" s="1578"/>
      <c r="M129" s="1578"/>
      <c r="N129" s="1578"/>
      <c r="O129" s="1578"/>
      <c r="P129" s="1578"/>
      <c r="Q129" s="1578"/>
      <c r="R129" s="1578"/>
      <c r="S129" s="1578"/>
      <c r="T129" s="1578"/>
      <c r="U129" s="1578"/>
      <c r="V129" s="1578"/>
      <c r="W129" s="1578"/>
      <c r="X129" s="1578"/>
      <c r="Y129" s="1578"/>
      <c r="Z129" s="1578"/>
      <c r="AA129" s="1578"/>
      <c r="AB129" s="1578"/>
      <c r="AC129" s="1578"/>
      <c r="AD129" s="1578"/>
      <c r="AE129" s="1578"/>
      <c r="AF129" s="1578"/>
      <c r="AG129" s="1578"/>
      <c r="AH129" s="1578"/>
      <c r="AI129" s="1578"/>
      <c r="AJ129" s="1578"/>
      <c r="AK129" s="1578"/>
      <c r="AL129" s="1578"/>
      <c r="AM129" s="1578"/>
      <c r="AN129" s="1578"/>
      <c r="AO129" s="1578"/>
      <c r="AP129" s="1578"/>
      <c r="AQ129" s="1578"/>
      <c r="AR129" s="1578"/>
      <c r="AS129" s="1578"/>
      <c r="AT129" s="1578"/>
      <c r="AU129" s="1578"/>
      <c r="AV129" s="1578"/>
      <c r="AW129" s="1578"/>
      <c r="AX129" s="1578"/>
      <c r="AY129" s="1578"/>
      <c r="AZ129" s="1578"/>
      <c r="BA129" s="1578"/>
      <c r="BB129" s="1578"/>
      <c r="BC129" s="1578"/>
      <c r="BD129" s="1578"/>
      <c r="BE129" s="1578"/>
      <c r="BF129" s="1578"/>
      <c r="BG129" s="1578"/>
      <c r="BH129" s="1578"/>
      <c r="BI129" s="1578"/>
      <c r="BJ129" s="1578"/>
      <c r="BK129" s="1578"/>
      <c r="BL129" s="1578"/>
      <c r="BM129" s="1578"/>
      <c r="BN129" s="1578"/>
      <c r="BO129" s="1578"/>
      <c r="BP129" s="1578"/>
      <c r="BQ129" s="1578"/>
      <c r="BR129" s="1578"/>
      <c r="BS129" s="1578"/>
      <c r="BT129" s="1578"/>
      <c r="BU129" s="1578"/>
      <c r="BV129" s="1578"/>
      <c r="BW129" s="1578"/>
      <c r="BX129" s="1578"/>
      <c r="BY129" s="1578"/>
      <c r="BZ129" s="1578"/>
      <c r="CA129" s="1578"/>
      <c r="CB129" s="1578"/>
      <c r="CC129" s="1578"/>
      <c r="CD129" s="1578"/>
      <c r="CE129" s="1578"/>
      <c r="CF129" s="1578"/>
      <c r="CG129" s="1578"/>
      <c r="CH129" s="1578"/>
      <c r="CI129" s="1578"/>
      <c r="CJ129" s="1578"/>
      <c r="CK129" s="1578"/>
      <c r="CL129" s="1578"/>
      <c r="CM129" s="1578"/>
      <c r="CN129" s="1578"/>
      <c r="CO129" s="1578"/>
      <c r="CP129" s="1578"/>
      <c r="CQ129" s="1578"/>
      <c r="CR129" s="1578"/>
      <c r="CS129" s="1578"/>
      <c r="CT129" s="1578"/>
      <c r="CU129" s="1578"/>
      <c r="CV129" s="1578"/>
      <c r="CW129" s="1578"/>
      <c r="CX129" s="1578"/>
      <c r="CY129" s="1578"/>
      <c r="CZ129" s="1578"/>
    </row>
    <row r="130" spans="1:407">
      <c r="A130" s="1466"/>
      <c r="B130" s="1576"/>
      <c r="C130" s="1576"/>
      <c r="D130" s="1576"/>
      <c r="E130" s="1578"/>
      <c r="F130" s="1578"/>
      <c r="G130" s="1578"/>
      <c r="H130" s="1578"/>
      <c r="I130" s="1578"/>
      <c r="J130" s="1578"/>
      <c r="K130" s="1578"/>
      <c r="L130" s="1578"/>
      <c r="M130" s="1578"/>
      <c r="N130" s="1578"/>
      <c r="O130" s="1578"/>
      <c r="P130" s="1578"/>
      <c r="Q130" s="1578"/>
      <c r="R130" s="1578"/>
      <c r="S130" s="1578"/>
      <c r="T130" s="1578"/>
      <c r="U130" s="1578"/>
      <c r="V130" s="1578"/>
      <c r="W130" s="1578"/>
      <c r="X130" s="1578"/>
      <c r="Y130" s="1578"/>
      <c r="Z130" s="1578"/>
      <c r="AA130" s="1578"/>
      <c r="AB130" s="1578"/>
      <c r="AC130" s="1578"/>
      <c r="AD130" s="1578"/>
      <c r="AE130" s="1578"/>
      <c r="AF130" s="1578"/>
      <c r="AG130" s="1578"/>
      <c r="AH130" s="1578"/>
      <c r="AI130" s="1578"/>
      <c r="AJ130" s="1578"/>
      <c r="AK130" s="1578"/>
      <c r="AL130" s="1578"/>
      <c r="AM130" s="1578"/>
      <c r="AN130" s="1578"/>
      <c r="AO130" s="1578"/>
      <c r="AP130" s="1578"/>
      <c r="AQ130" s="1578"/>
      <c r="AR130" s="1578"/>
      <c r="AS130" s="1578"/>
      <c r="AT130" s="1578"/>
      <c r="AU130" s="1578"/>
      <c r="AV130" s="1578"/>
      <c r="AW130" s="1578"/>
      <c r="AX130" s="1578"/>
      <c r="AY130" s="1578"/>
      <c r="AZ130" s="1578"/>
      <c r="BA130" s="1578"/>
      <c r="BB130" s="1578"/>
      <c r="BC130" s="1578"/>
      <c r="BD130" s="1578"/>
      <c r="BE130" s="1578"/>
      <c r="BF130" s="1578"/>
      <c r="BG130" s="1578"/>
      <c r="BH130" s="1578"/>
      <c r="BI130" s="1578"/>
      <c r="BJ130" s="1578"/>
      <c r="BK130" s="1578"/>
      <c r="BL130" s="1578"/>
      <c r="BM130" s="1578"/>
      <c r="BN130" s="1578"/>
      <c r="BO130" s="1578"/>
      <c r="BP130" s="1578"/>
      <c r="BQ130" s="1578"/>
      <c r="BR130" s="1578"/>
      <c r="BS130" s="1578"/>
      <c r="BT130" s="1578"/>
      <c r="BU130" s="1578"/>
      <c r="BV130" s="1578"/>
      <c r="BW130" s="1578"/>
      <c r="BX130" s="1578"/>
      <c r="BY130" s="1578"/>
      <c r="BZ130" s="1578"/>
      <c r="CA130" s="1578"/>
      <c r="CB130" s="1578"/>
      <c r="CC130" s="1578"/>
      <c r="CD130" s="1578"/>
      <c r="CE130" s="1578"/>
      <c r="CF130" s="1578"/>
      <c r="CG130" s="1578"/>
      <c r="CH130" s="1578"/>
      <c r="CI130" s="1578"/>
      <c r="CJ130" s="1578"/>
      <c r="CK130" s="1578"/>
      <c r="CL130" s="1578"/>
      <c r="CM130" s="1578"/>
      <c r="CN130" s="1578"/>
      <c r="CO130" s="1578"/>
      <c r="CP130" s="1578"/>
      <c r="CQ130" s="1578"/>
      <c r="CR130" s="1578"/>
      <c r="CS130" s="1578"/>
      <c r="CT130" s="1578"/>
      <c r="CU130" s="1578"/>
      <c r="CV130" s="1578"/>
      <c r="CW130" s="1578"/>
      <c r="CX130" s="1578"/>
      <c r="CY130" s="1578"/>
      <c r="CZ130" s="1578"/>
    </row>
    <row r="131" spans="1:407">
      <c r="A131" s="1466"/>
      <c r="B131" s="1576"/>
      <c r="C131" s="1576"/>
      <c r="D131" s="1576"/>
      <c r="E131" s="1578"/>
      <c r="F131" s="1578"/>
      <c r="G131" s="1578"/>
      <c r="H131" s="1578"/>
      <c r="I131" s="1578"/>
      <c r="J131" s="1578"/>
      <c r="K131" s="1578"/>
      <c r="L131" s="1578"/>
      <c r="M131" s="1578"/>
      <c r="N131" s="1578"/>
      <c r="O131" s="1578"/>
      <c r="P131" s="1578"/>
      <c r="Q131" s="1578"/>
      <c r="R131" s="1578"/>
      <c r="S131" s="1578"/>
      <c r="T131" s="1578"/>
      <c r="U131" s="1578"/>
      <c r="V131" s="1578"/>
      <c r="W131" s="1578"/>
      <c r="X131" s="1578"/>
      <c r="Y131" s="1578"/>
      <c r="Z131" s="1578"/>
      <c r="AA131" s="1578"/>
      <c r="AB131" s="1578"/>
      <c r="AC131" s="1578"/>
      <c r="AD131" s="1578"/>
      <c r="AE131" s="1578"/>
      <c r="AF131" s="1578"/>
      <c r="AG131" s="1578"/>
      <c r="AH131" s="1578"/>
      <c r="AI131" s="1578"/>
      <c r="AJ131" s="1578"/>
      <c r="AK131" s="1578"/>
      <c r="AL131" s="1578"/>
      <c r="AM131" s="1578"/>
      <c r="AN131" s="1578"/>
      <c r="AO131" s="1578"/>
      <c r="AP131" s="1578"/>
      <c r="AQ131" s="1578"/>
      <c r="AR131" s="1578"/>
      <c r="AS131" s="1578"/>
      <c r="AT131" s="1578"/>
      <c r="AU131" s="1578"/>
      <c r="AV131" s="1578"/>
      <c r="AW131" s="1578"/>
      <c r="AX131" s="1578"/>
      <c r="AY131" s="1578"/>
      <c r="AZ131" s="1578"/>
      <c r="BA131" s="1578"/>
      <c r="BB131" s="1578"/>
      <c r="BC131" s="1578"/>
      <c r="BD131" s="1578"/>
      <c r="BE131" s="1578"/>
      <c r="BF131" s="1578"/>
      <c r="BG131" s="1578"/>
      <c r="BH131" s="1578"/>
      <c r="BI131" s="1578"/>
      <c r="BJ131" s="1578"/>
      <c r="BK131" s="1578"/>
      <c r="BL131" s="1578"/>
      <c r="BM131" s="1578"/>
      <c r="BN131" s="1578"/>
      <c r="BO131" s="1578"/>
      <c r="BP131" s="1578"/>
      <c r="BQ131" s="1578"/>
      <c r="BR131" s="1578"/>
      <c r="BS131" s="1578"/>
      <c r="BT131" s="1578"/>
      <c r="BU131" s="1578"/>
      <c r="BV131" s="1578"/>
      <c r="BW131" s="1578"/>
      <c r="BX131" s="1578"/>
      <c r="BY131" s="1578"/>
      <c r="BZ131" s="1578"/>
      <c r="CA131" s="1578"/>
      <c r="CB131" s="1578"/>
      <c r="CC131" s="1578"/>
      <c r="CD131" s="1578"/>
      <c r="CE131" s="1578"/>
      <c r="CF131" s="1578"/>
      <c r="CG131" s="1578"/>
      <c r="CH131" s="1578"/>
      <c r="CI131" s="1578"/>
      <c r="CJ131" s="1578"/>
      <c r="CK131" s="1578"/>
      <c r="CL131" s="1578"/>
      <c r="CM131" s="1578"/>
      <c r="CN131" s="1578"/>
      <c r="CO131" s="1578"/>
      <c r="CP131" s="1578"/>
      <c r="CQ131" s="1578"/>
      <c r="CR131" s="1578"/>
      <c r="CS131" s="1578"/>
      <c r="CT131" s="1578"/>
      <c r="CU131" s="1578"/>
      <c r="CV131" s="1578"/>
      <c r="CW131" s="1578"/>
      <c r="CX131" s="1578"/>
      <c r="CY131" s="1578"/>
      <c r="CZ131" s="1578"/>
    </row>
    <row r="132" spans="1:407">
      <c r="A132" s="1466"/>
      <c r="B132" s="1576"/>
      <c r="C132" s="1576"/>
      <c r="D132" s="1576"/>
      <c r="E132" s="1578"/>
      <c r="F132" s="1578"/>
      <c r="G132" s="1578"/>
      <c r="H132" s="1578"/>
      <c r="I132" s="1578"/>
      <c r="J132" s="1578"/>
      <c r="K132" s="1578"/>
      <c r="L132" s="1578"/>
      <c r="M132" s="1578"/>
      <c r="N132" s="1578"/>
      <c r="O132" s="1578"/>
      <c r="P132" s="1578"/>
      <c r="Q132" s="1578"/>
      <c r="R132" s="1578"/>
      <c r="S132" s="1578"/>
      <c r="T132" s="1578"/>
      <c r="U132" s="1578"/>
      <c r="V132" s="1578"/>
      <c r="W132" s="1578"/>
      <c r="X132" s="1578"/>
      <c r="Y132" s="1578"/>
      <c r="Z132" s="1578"/>
      <c r="AA132" s="1578"/>
      <c r="AB132" s="1578"/>
      <c r="AC132" s="1578"/>
      <c r="AD132" s="1578"/>
      <c r="AE132" s="1578"/>
      <c r="AF132" s="1578"/>
      <c r="AG132" s="1578"/>
      <c r="AH132" s="1578"/>
      <c r="AI132" s="1578"/>
      <c r="AJ132" s="1578"/>
      <c r="AK132" s="1578"/>
      <c r="AL132" s="1578"/>
      <c r="AM132" s="1578"/>
      <c r="AN132" s="1578"/>
      <c r="AO132" s="1578"/>
      <c r="AP132" s="1578"/>
      <c r="AQ132" s="1578"/>
      <c r="AR132" s="1578"/>
      <c r="AS132" s="1578"/>
      <c r="AT132" s="1578"/>
      <c r="AU132" s="1578"/>
      <c r="AV132" s="1578"/>
      <c r="AW132" s="1578"/>
      <c r="AX132" s="1578"/>
      <c r="AY132" s="1578"/>
      <c r="AZ132" s="1578"/>
      <c r="BA132" s="1578"/>
      <c r="BB132" s="1578"/>
      <c r="BC132" s="1578"/>
      <c r="BD132" s="1578"/>
      <c r="BE132" s="1578"/>
      <c r="BF132" s="1578"/>
      <c r="BG132" s="1578"/>
      <c r="BH132" s="1578"/>
      <c r="BI132" s="1578"/>
      <c r="BJ132" s="1578"/>
      <c r="BK132" s="1578"/>
      <c r="BL132" s="1578"/>
      <c r="BM132" s="1578"/>
      <c r="BN132" s="1578"/>
      <c r="BO132" s="1578"/>
      <c r="BP132" s="1578"/>
      <c r="BQ132" s="1578"/>
      <c r="BR132" s="1578"/>
      <c r="BS132" s="1578"/>
      <c r="BT132" s="1578"/>
      <c r="BU132" s="1578"/>
      <c r="BV132" s="1578"/>
      <c r="BW132" s="1578"/>
      <c r="BX132" s="1578"/>
      <c r="BY132" s="1578"/>
      <c r="BZ132" s="1578"/>
      <c r="CA132" s="1578"/>
      <c r="CB132" s="1578"/>
      <c r="CC132" s="1578"/>
      <c r="CD132" s="1578"/>
      <c r="CE132" s="1578"/>
      <c r="CF132" s="1578"/>
      <c r="CG132" s="1578"/>
      <c r="CH132" s="1578"/>
      <c r="CI132" s="1578"/>
      <c r="CJ132" s="1578"/>
      <c r="CK132" s="1578"/>
      <c r="CL132" s="1578"/>
      <c r="CM132" s="1578"/>
      <c r="CN132" s="1578"/>
      <c r="CO132" s="1578"/>
      <c r="CP132" s="1578"/>
      <c r="CQ132" s="1578"/>
      <c r="CR132" s="1578"/>
      <c r="CS132" s="1578"/>
      <c r="CT132" s="1578"/>
      <c r="CU132" s="1578"/>
      <c r="CV132" s="1578"/>
      <c r="CW132" s="1578"/>
      <c r="CX132" s="1578"/>
      <c r="CY132" s="1578"/>
      <c r="CZ132" s="1578"/>
    </row>
    <row r="133" spans="1:407">
      <c r="A133" s="1466"/>
      <c r="B133" s="1576"/>
      <c r="C133" s="1576"/>
      <c r="D133" s="1576"/>
      <c r="E133" s="1578"/>
      <c r="F133" s="1578"/>
      <c r="G133" s="1578"/>
      <c r="H133" s="1578"/>
      <c r="I133" s="1578"/>
      <c r="J133" s="1578"/>
      <c r="K133" s="1578"/>
      <c r="L133" s="1578"/>
      <c r="M133" s="1578"/>
      <c r="N133" s="1578"/>
      <c r="O133" s="1578"/>
      <c r="P133" s="1578"/>
      <c r="Q133" s="1578"/>
      <c r="R133" s="1578"/>
      <c r="S133" s="1578"/>
      <c r="T133" s="1578"/>
      <c r="U133" s="1578"/>
      <c r="V133" s="1578"/>
      <c r="W133" s="1578"/>
      <c r="X133" s="1578"/>
      <c r="Y133" s="1578"/>
      <c r="Z133" s="1578"/>
      <c r="AA133" s="1578"/>
      <c r="AB133" s="1578"/>
      <c r="AC133" s="1578"/>
      <c r="AD133" s="1578"/>
      <c r="AE133" s="1578"/>
      <c r="AF133" s="1578"/>
      <c r="AG133" s="1578"/>
      <c r="AH133" s="1578"/>
      <c r="AI133" s="1578"/>
      <c r="AJ133" s="1578"/>
      <c r="AK133" s="1578"/>
      <c r="AL133" s="1578"/>
      <c r="AM133" s="1578"/>
      <c r="AN133" s="1578"/>
      <c r="AO133" s="1578"/>
      <c r="AP133" s="1578"/>
      <c r="AQ133" s="1578"/>
      <c r="AR133" s="1578"/>
      <c r="AS133" s="1578"/>
      <c r="AT133" s="1578"/>
      <c r="AU133" s="1578"/>
      <c r="AV133" s="1578"/>
      <c r="AW133" s="1578"/>
      <c r="AX133" s="1578"/>
      <c r="AY133" s="1578"/>
      <c r="AZ133" s="1578"/>
      <c r="BA133" s="1578"/>
      <c r="BB133" s="1578"/>
      <c r="BC133" s="1578"/>
      <c r="BD133" s="1578"/>
      <c r="BE133" s="1578"/>
      <c r="BF133" s="1578"/>
      <c r="BG133" s="1578"/>
      <c r="BH133" s="1578"/>
      <c r="BI133" s="1578"/>
      <c r="BJ133" s="1578"/>
      <c r="BK133" s="1578"/>
      <c r="BL133" s="1578"/>
      <c r="BM133" s="1578"/>
      <c r="BN133" s="1578"/>
      <c r="BO133" s="1578"/>
      <c r="BP133" s="1578"/>
      <c r="BQ133" s="1578"/>
      <c r="BR133" s="1578"/>
      <c r="BS133" s="1578"/>
      <c r="BT133" s="1578"/>
      <c r="BU133" s="1578"/>
      <c r="BV133" s="1578"/>
      <c r="BW133" s="1578"/>
      <c r="BX133" s="1578"/>
      <c r="BY133" s="1578"/>
      <c r="BZ133" s="1578"/>
      <c r="CA133" s="1578"/>
      <c r="CB133" s="1578"/>
      <c r="CC133" s="1578"/>
      <c r="CD133" s="1578"/>
      <c r="CE133" s="1578"/>
      <c r="CF133" s="1578"/>
      <c r="CG133" s="1578"/>
      <c r="CH133" s="1578"/>
      <c r="CI133" s="1578"/>
      <c r="CJ133" s="1578"/>
      <c r="CK133" s="1578"/>
      <c r="CL133" s="1578"/>
      <c r="CM133" s="1578"/>
      <c r="CN133" s="1578"/>
      <c r="CO133" s="1578"/>
      <c r="CP133" s="1578"/>
      <c r="CQ133" s="1578"/>
      <c r="CR133" s="1578"/>
      <c r="CS133" s="1578"/>
      <c r="CT133" s="1578"/>
      <c r="CU133" s="1578"/>
      <c r="CV133" s="1578"/>
      <c r="CW133" s="1578"/>
      <c r="CX133" s="1578"/>
      <c r="CY133" s="1578"/>
      <c r="CZ133" s="1578"/>
    </row>
    <row r="134" spans="1:407">
      <c r="A134" s="1466"/>
      <c r="B134" s="1576"/>
      <c r="C134" s="1576"/>
      <c r="D134" s="1576"/>
      <c r="E134" s="1578"/>
      <c r="F134" s="1578"/>
      <c r="G134" s="1578"/>
      <c r="H134" s="1578"/>
      <c r="I134" s="1578"/>
      <c r="J134" s="1578"/>
      <c r="K134" s="1578"/>
      <c r="L134" s="1578"/>
      <c r="M134" s="1578"/>
      <c r="N134" s="1578"/>
      <c r="O134" s="1578"/>
      <c r="P134" s="1578"/>
      <c r="Q134" s="1578"/>
      <c r="R134" s="1578"/>
      <c r="S134" s="1578"/>
      <c r="T134" s="1578"/>
      <c r="U134" s="1578"/>
      <c r="V134" s="1578"/>
      <c r="W134" s="1578"/>
      <c r="X134" s="1578"/>
      <c r="Y134" s="1578"/>
      <c r="Z134" s="1578"/>
      <c r="AA134" s="1578"/>
      <c r="AB134" s="1578"/>
      <c r="AC134" s="1578"/>
      <c r="AD134" s="1578"/>
      <c r="AE134" s="1578"/>
      <c r="AF134" s="1578"/>
      <c r="AG134" s="1578"/>
      <c r="AH134" s="1578"/>
      <c r="AI134" s="1578"/>
      <c r="AJ134" s="1578"/>
      <c r="AK134" s="1578"/>
      <c r="AL134" s="1578"/>
      <c r="AM134" s="1578"/>
      <c r="AN134" s="1578"/>
      <c r="AO134" s="1578"/>
      <c r="AP134" s="1578"/>
      <c r="AQ134" s="1578"/>
      <c r="AR134" s="1578"/>
      <c r="AS134" s="1578"/>
      <c r="AT134" s="1578"/>
      <c r="AU134" s="1578"/>
      <c r="AV134" s="1578"/>
      <c r="AW134" s="1578"/>
      <c r="AX134" s="1578"/>
      <c r="AY134" s="1578"/>
      <c r="AZ134" s="1578"/>
      <c r="BA134" s="1578"/>
      <c r="BB134" s="1578"/>
      <c r="BC134" s="1578"/>
      <c r="BD134" s="1578"/>
      <c r="BE134" s="1578"/>
      <c r="BF134" s="1578"/>
      <c r="BG134" s="1578"/>
      <c r="BH134" s="1578"/>
      <c r="BI134" s="1578"/>
      <c r="BJ134" s="1578"/>
      <c r="BK134" s="1578"/>
      <c r="BL134" s="1578"/>
      <c r="BM134" s="1578"/>
      <c r="BN134" s="1578"/>
      <c r="BO134" s="1578"/>
      <c r="BP134" s="1578"/>
      <c r="BQ134" s="1578"/>
      <c r="BR134" s="1578"/>
      <c r="BS134" s="1578"/>
      <c r="BT134" s="1578"/>
      <c r="BU134" s="1578"/>
      <c r="BV134" s="1578"/>
      <c r="BW134" s="1578"/>
      <c r="BX134" s="1578"/>
      <c r="BY134" s="1578"/>
      <c r="BZ134" s="1578"/>
      <c r="CA134" s="1578"/>
      <c r="CB134" s="1578"/>
      <c r="CC134" s="1578"/>
      <c r="CD134" s="1578"/>
      <c r="CE134" s="1578"/>
      <c r="CF134" s="1578"/>
      <c r="CG134" s="1578"/>
      <c r="CH134" s="1578"/>
      <c r="CI134" s="1578"/>
      <c r="CJ134" s="1578"/>
      <c r="CK134" s="1578"/>
      <c r="CL134" s="1578"/>
      <c r="CM134" s="1578"/>
      <c r="CN134" s="1578"/>
      <c r="CO134" s="1578"/>
      <c r="CP134" s="1578"/>
      <c r="CQ134" s="1578"/>
      <c r="CR134" s="1578"/>
      <c r="CS134" s="1578"/>
      <c r="CT134" s="1578"/>
      <c r="CU134" s="1578"/>
      <c r="CV134" s="1578"/>
      <c r="CW134" s="1578"/>
      <c r="CX134" s="1578"/>
      <c r="CY134" s="1578"/>
      <c r="CZ134" s="1578"/>
    </row>
    <row r="135" spans="1:407">
      <c r="A135" s="1466"/>
      <c r="B135" s="1576"/>
      <c r="C135" s="1576"/>
      <c r="D135" s="1576"/>
      <c r="E135" s="1578"/>
      <c r="F135" s="1578"/>
      <c r="G135" s="1578"/>
      <c r="H135" s="1578"/>
      <c r="I135" s="1578"/>
      <c r="J135" s="1578"/>
      <c r="K135" s="1578"/>
      <c r="L135" s="1578"/>
      <c r="M135" s="1578"/>
      <c r="N135" s="1578"/>
      <c r="O135" s="1578"/>
      <c r="P135" s="1578"/>
      <c r="Q135" s="1578"/>
      <c r="R135" s="1578"/>
      <c r="S135" s="1578"/>
      <c r="T135" s="1578"/>
      <c r="U135" s="1578"/>
      <c r="V135" s="1578"/>
      <c r="W135" s="1578"/>
      <c r="X135" s="1578"/>
      <c r="Y135" s="1578"/>
      <c r="Z135" s="1578"/>
      <c r="AA135" s="1578"/>
      <c r="AB135" s="1578"/>
      <c r="AC135" s="1578"/>
      <c r="AD135" s="1578"/>
      <c r="AE135" s="1578"/>
      <c r="AF135" s="1578"/>
      <c r="AG135" s="1578"/>
      <c r="AH135" s="1578"/>
      <c r="AI135" s="1578"/>
      <c r="AJ135" s="1578"/>
      <c r="AK135" s="1578"/>
      <c r="AL135" s="1578"/>
      <c r="AM135" s="1578"/>
      <c r="AN135" s="1578"/>
      <c r="AO135" s="1578"/>
      <c r="AP135" s="1578"/>
      <c r="AQ135" s="1578"/>
      <c r="AR135" s="1578"/>
      <c r="AS135" s="1578"/>
      <c r="AT135" s="1578"/>
      <c r="AU135" s="1578"/>
      <c r="AV135" s="1578"/>
      <c r="AW135" s="1578"/>
      <c r="AX135" s="1578"/>
      <c r="AY135" s="1578"/>
      <c r="AZ135" s="1578"/>
      <c r="BA135" s="1578"/>
      <c r="BB135" s="1578"/>
      <c r="BC135" s="1578"/>
      <c r="BD135" s="1578"/>
      <c r="BE135" s="1578"/>
      <c r="BF135" s="1578"/>
      <c r="BG135" s="1578"/>
      <c r="BH135" s="1578"/>
      <c r="BI135" s="1578"/>
      <c r="BJ135" s="1578"/>
      <c r="BK135" s="1578"/>
      <c r="BL135" s="1578"/>
      <c r="BM135" s="1578"/>
      <c r="BN135" s="1578"/>
      <c r="BO135" s="1578"/>
      <c r="BP135" s="1578"/>
      <c r="BQ135" s="1578"/>
      <c r="BR135" s="1578"/>
      <c r="BS135" s="1578"/>
      <c r="BT135" s="1578"/>
      <c r="BU135" s="1578"/>
      <c r="BV135" s="1578"/>
      <c r="BW135" s="1578"/>
      <c r="BX135" s="1578"/>
      <c r="BY135" s="1578"/>
      <c r="BZ135" s="1578"/>
      <c r="CA135" s="1578"/>
      <c r="CB135" s="1578"/>
      <c r="CC135" s="1578"/>
      <c r="CD135" s="1578"/>
      <c r="CE135" s="1578"/>
      <c r="CF135" s="1578"/>
      <c r="CG135" s="1578"/>
      <c r="CH135" s="1578"/>
      <c r="CI135" s="1578"/>
      <c r="CJ135" s="1578"/>
      <c r="CK135" s="1578"/>
      <c r="CL135" s="1578"/>
      <c r="CM135" s="1578"/>
      <c r="CN135" s="1578"/>
      <c r="CO135" s="1578"/>
      <c r="CP135" s="1578"/>
      <c r="CQ135" s="1578"/>
      <c r="CR135" s="1578"/>
      <c r="CS135" s="1578"/>
      <c r="CT135" s="1578"/>
      <c r="CU135" s="1578"/>
      <c r="CV135" s="1578"/>
      <c r="CW135" s="1578"/>
      <c r="CX135" s="1578"/>
      <c r="CY135" s="1578"/>
      <c r="CZ135" s="1578"/>
    </row>
    <row r="136" spans="1:407">
      <c r="A136" s="1466"/>
      <c r="B136" s="1576"/>
      <c r="C136" s="1576"/>
      <c r="D136" s="1576"/>
      <c r="E136" s="1578"/>
      <c r="F136" s="1578"/>
      <c r="G136" s="1578"/>
      <c r="H136" s="1578"/>
      <c r="I136" s="1578"/>
      <c r="J136" s="1578"/>
      <c r="K136" s="1578"/>
      <c r="L136" s="1578"/>
      <c r="M136" s="1578"/>
      <c r="N136" s="1578"/>
      <c r="O136" s="1578"/>
      <c r="P136" s="1578"/>
      <c r="Q136" s="1578"/>
      <c r="R136" s="1578"/>
      <c r="S136" s="1578"/>
      <c r="T136" s="1578"/>
      <c r="U136" s="1578"/>
      <c r="V136" s="1578"/>
      <c r="W136" s="1578"/>
      <c r="X136" s="1578"/>
      <c r="Y136" s="1578"/>
      <c r="Z136" s="1578"/>
      <c r="AA136" s="1578"/>
      <c r="AB136" s="1578"/>
      <c r="AC136" s="1578"/>
      <c r="AD136" s="1578"/>
      <c r="AE136" s="1578"/>
      <c r="AF136" s="1578"/>
      <c r="AG136" s="1578"/>
      <c r="AH136" s="1578"/>
      <c r="AI136" s="1578"/>
      <c r="AJ136" s="1578"/>
      <c r="AK136" s="1578"/>
      <c r="AL136" s="1578"/>
      <c r="AM136" s="1578"/>
      <c r="AN136" s="1578"/>
      <c r="AO136" s="1578"/>
      <c r="AP136" s="1578"/>
      <c r="AQ136" s="1578"/>
      <c r="AR136" s="1578"/>
      <c r="AS136" s="1578"/>
      <c r="AT136" s="1578"/>
      <c r="AU136" s="1578"/>
      <c r="AV136" s="1578"/>
      <c r="AW136" s="1578"/>
      <c r="AX136" s="1578"/>
      <c r="AY136" s="1578"/>
      <c r="AZ136" s="1578"/>
      <c r="BA136" s="1578"/>
      <c r="BB136" s="1578"/>
      <c r="BC136" s="1578"/>
      <c r="BD136" s="1578"/>
      <c r="BE136" s="1578"/>
      <c r="BF136" s="1578"/>
      <c r="BG136" s="1578"/>
      <c r="BH136" s="1578"/>
      <c r="BI136" s="1578"/>
      <c r="BJ136" s="1578"/>
      <c r="BK136" s="1578"/>
      <c r="BL136" s="1578"/>
      <c r="BM136" s="1578"/>
      <c r="BN136" s="1578"/>
      <c r="BO136" s="1578"/>
      <c r="BP136" s="1578"/>
      <c r="BQ136" s="1578"/>
      <c r="BR136" s="1578"/>
      <c r="BS136" s="1578"/>
      <c r="BT136" s="1578"/>
      <c r="BU136" s="1578"/>
      <c r="BV136" s="1578"/>
      <c r="BW136" s="1578"/>
      <c r="BX136" s="1578"/>
      <c r="BY136" s="1578"/>
      <c r="BZ136" s="1578"/>
      <c r="CA136" s="1578"/>
      <c r="CB136" s="1578"/>
      <c r="CC136" s="1578"/>
      <c r="CD136" s="1578"/>
      <c r="CE136" s="1578"/>
      <c r="CF136" s="1578"/>
      <c r="CG136" s="1578"/>
      <c r="CH136" s="1578"/>
      <c r="CI136" s="1578"/>
      <c r="CJ136" s="1578"/>
      <c r="CK136" s="1578"/>
      <c r="CL136" s="1578"/>
      <c r="CM136" s="1578"/>
      <c r="CN136" s="1578"/>
      <c r="CO136" s="1578"/>
      <c r="CP136" s="1578"/>
      <c r="CQ136" s="1578"/>
      <c r="CR136" s="1578"/>
      <c r="CS136" s="1578"/>
      <c r="CT136" s="1578"/>
      <c r="CU136" s="1578"/>
      <c r="CV136" s="1578"/>
      <c r="CW136" s="1578"/>
      <c r="CX136" s="1578"/>
      <c r="CY136" s="1578"/>
      <c r="CZ136" s="1578"/>
    </row>
    <row r="137" spans="1:407">
      <c r="A137" s="1466"/>
      <c r="B137" s="1576"/>
      <c r="C137" s="1576"/>
      <c r="D137" s="1576"/>
      <c r="E137" s="1578"/>
      <c r="F137" s="1578"/>
      <c r="G137" s="1578"/>
      <c r="H137" s="1578"/>
      <c r="I137" s="1578"/>
      <c r="J137" s="1578"/>
      <c r="K137" s="1578"/>
      <c r="L137" s="1578"/>
      <c r="M137" s="1578"/>
      <c r="N137" s="1578"/>
      <c r="O137" s="1578"/>
      <c r="P137" s="1578"/>
      <c r="Q137" s="1578"/>
      <c r="R137" s="1578"/>
      <c r="S137" s="1578"/>
      <c r="T137" s="1578"/>
      <c r="U137" s="1578"/>
      <c r="V137" s="1578"/>
      <c r="W137" s="1578"/>
      <c r="X137" s="1578"/>
      <c r="Y137" s="1578"/>
      <c r="Z137" s="1578"/>
      <c r="AA137" s="1578"/>
      <c r="AB137" s="1578"/>
      <c r="AC137" s="1578"/>
      <c r="AD137" s="1578"/>
      <c r="AE137" s="1578"/>
      <c r="AF137" s="1578"/>
      <c r="AG137" s="1578"/>
      <c r="AH137" s="1578"/>
      <c r="AI137" s="1578"/>
      <c r="AJ137" s="1578"/>
      <c r="AK137" s="1578"/>
      <c r="AL137" s="1578"/>
      <c r="AM137" s="1578"/>
      <c r="AN137" s="1578"/>
      <c r="AO137" s="1578"/>
      <c r="AP137" s="1578"/>
      <c r="AQ137" s="1578"/>
      <c r="AR137" s="1578"/>
      <c r="AS137" s="1578"/>
      <c r="AT137" s="1578"/>
      <c r="AU137" s="1578"/>
      <c r="AV137" s="1578"/>
      <c r="AW137" s="1578"/>
      <c r="AX137" s="1578"/>
      <c r="AY137" s="1578"/>
      <c r="AZ137" s="1578"/>
      <c r="BA137" s="1578"/>
      <c r="BB137" s="1578"/>
      <c r="BC137" s="1578"/>
      <c r="BD137" s="1578"/>
      <c r="BE137" s="1578"/>
      <c r="BF137" s="1578"/>
      <c r="BG137" s="1578"/>
      <c r="BH137" s="1578"/>
      <c r="BI137" s="1578"/>
      <c r="BJ137" s="1578"/>
      <c r="BK137" s="1578"/>
      <c r="BL137" s="1578"/>
      <c r="BM137" s="1578"/>
      <c r="BN137" s="1578"/>
      <c r="BO137" s="1578"/>
      <c r="BP137" s="1578"/>
      <c r="BQ137" s="1578"/>
      <c r="BR137" s="1578"/>
      <c r="BS137" s="1578"/>
      <c r="BT137" s="1578"/>
      <c r="BU137" s="1578"/>
      <c r="BV137" s="1578"/>
      <c r="BW137" s="1578"/>
      <c r="BX137" s="1578"/>
      <c r="BY137" s="1578"/>
      <c r="BZ137" s="1578"/>
      <c r="CA137" s="1578"/>
      <c r="CB137" s="1578"/>
      <c r="CC137" s="1578"/>
      <c r="CD137" s="1578"/>
      <c r="CE137" s="1578"/>
      <c r="CF137" s="1578"/>
      <c r="CG137" s="1578"/>
      <c r="CH137" s="1578"/>
      <c r="CI137" s="1578"/>
      <c r="CJ137" s="1578"/>
      <c r="CK137" s="1578"/>
      <c r="CL137" s="1578"/>
      <c r="CM137" s="1578"/>
      <c r="CN137" s="1578"/>
      <c r="CO137" s="1578"/>
      <c r="CP137" s="1578"/>
      <c r="CQ137" s="1578"/>
      <c r="CR137" s="1578"/>
      <c r="CS137" s="1578"/>
      <c r="CT137" s="1578"/>
      <c r="CU137" s="1578"/>
      <c r="CV137" s="1578"/>
      <c r="CW137" s="1578"/>
      <c r="CX137" s="1578"/>
      <c r="CY137" s="1578"/>
      <c r="CZ137" s="1578"/>
    </row>
    <row r="138" spans="1:407">
      <c r="A138" s="1466"/>
      <c r="B138" s="1576"/>
      <c r="C138" s="1576"/>
      <c r="D138" s="1576"/>
      <c r="E138" s="1578"/>
      <c r="F138" s="1578"/>
      <c r="G138" s="1578"/>
      <c r="H138" s="1578"/>
      <c r="I138" s="1578"/>
      <c r="J138" s="1578"/>
      <c r="K138" s="1578"/>
      <c r="L138" s="1578"/>
      <c r="M138" s="1578"/>
      <c r="N138" s="1578"/>
      <c r="O138" s="1578"/>
      <c r="P138" s="1578"/>
      <c r="Q138" s="1578"/>
      <c r="R138" s="1578"/>
      <c r="S138" s="1578"/>
      <c r="T138" s="1578"/>
      <c r="U138" s="1578"/>
      <c r="V138" s="1578"/>
      <c r="W138" s="1578"/>
      <c r="X138" s="1578"/>
      <c r="Y138" s="1578"/>
      <c r="Z138" s="1578"/>
      <c r="AA138" s="1578"/>
      <c r="AB138" s="1578"/>
      <c r="AC138" s="1578"/>
      <c r="AD138" s="1578"/>
      <c r="AE138" s="1578"/>
      <c r="AF138" s="1578"/>
      <c r="AG138" s="1578"/>
      <c r="AH138" s="1578"/>
      <c r="AI138" s="1578"/>
      <c r="AJ138" s="1578"/>
      <c r="AK138" s="1578"/>
      <c r="AL138" s="1578"/>
      <c r="AM138" s="1578"/>
      <c r="AN138" s="1578"/>
      <c r="AO138" s="1578"/>
      <c r="AP138" s="1578"/>
      <c r="AQ138" s="1578"/>
      <c r="AR138" s="1578"/>
      <c r="AS138" s="1578"/>
      <c r="AT138" s="1578"/>
      <c r="AU138" s="1578"/>
      <c r="AV138" s="1578"/>
      <c r="AW138" s="1578"/>
      <c r="AX138" s="1578"/>
      <c r="AY138" s="1578"/>
      <c r="AZ138" s="1578"/>
      <c r="BA138" s="1578"/>
      <c r="BB138" s="1578"/>
      <c r="BC138" s="1578"/>
      <c r="BD138" s="1578"/>
      <c r="BE138" s="1578"/>
      <c r="BF138" s="1578"/>
      <c r="BG138" s="1578"/>
      <c r="BH138" s="1578"/>
      <c r="BI138" s="1578"/>
      <c r="BJ138" s="1578"/>
      <c r="BK138" s="1578"/>
      <c r="BL138" s="1578"/>
      <c r="BM138" s="1578"/>
      <c r="BN138" s="1578"/>
      <c r="BO138" s="1578"/>
      <c r="BP138" s="1578"/>
      <c r="BQ138" s="1578"/>
      <c r="BR138" s="1578"/>
      <c r="BS138" s="1578"/>
      <c r="BT138" s="1578"/>
      <c r="BU138" s="1578"/>
      <c r="BV138" s="1578"/>
      <c r="BW138" s="1578"/>
      <c r="BX138" s="1578"/>
      <c r="BY138" s="1578"/>
      <c r="BZ138" s="1578"/>
      <c r="CA138" s="1578"/>
      <c r="CB138" s="1578"/>
      <c r="CC138" s="1578"/>
      <c r="CD138" s="1578"/>
      <c r="CE138" s="1578"/>
      <c r="CF138" s="1578"/>
      <c r="CG138" s="1578"/>
      <c r="CH138" s="1578"/>
      <c r="CI138" s="1578"/>
      <c r="CJ138" s="1578"/>
      <c r="CK138" s="1578"/>
      <c r="CL138" s="1578"/>
      <c r="CM138" s="1578"/>
      <c r="CN138" s="1578"/>
      <c r="CO138" s="1578"/>
      <c r="CP138" s="1578"/>
      <c r="CQ138" s="1578"/>
      <c r="CR138" s="1578"/>
      <c r="CS138" s="1578"/>
      <c r="CT138" s="1578"/>
      <c r="CU138" s="1578"/>
      <c r="CV138" s="1578"/>
      <c r="CW138" s="1578"/>
      <c r="CX138" s="1578"/>
      <c r="CY138" s="1578"/>
      <c r="CZ138" s="1578"/>
    </row>
    <row r="139" spans="1:407">
      <c r="A139" s="1466"/>
      <c r="B139" s="1576"/>
      <c r="C139" s="1576"/>
      <c r="D139" s="1576"/>
      <c r="E139" s="1578"/>
      <c r="F139" s="1578"/>
      <c r="G139" s="1578"/>
      <c r="H139" s="1578"/>
      <c r="I139" s="1578"/>
      <c r="J139" s="1578"/>
      <c r="K139" s="1578"/>
      <c r="L139" s="1578"/>
      <c r="M139" s="1578"/>
      <c r="N139" s="1578"/>
      <c r="O139" s="1578"/>
      <c r="P139" s="1578"/>
      <c r="Q139" s="1578"/>
      <c r="R139" s="1578"/>
      <c r="S139" s="1578"/>
      <c r="T139" s="1578"/>
      <c r="U139" s="1578"/>
      <c r="V139" s="1578"/>
      <c r="W139" s="1578"/>
      <c r="X139" s="1578"/>
      <c r="Y139" s="1578"/>
      <c r="Z139" s="1578"/>
      <c r="AA139" s="1578"/>
      <c r="AB139" s="1578"/>
      <c r="AC139" s="1578"/>
      <c r="AD139" s="1578"/>
      <c r="AE139" s="1578"/>
      <c r="AF139" s="1578"/>
      <c r="AG139" s="1578"/>
      <c r="AH139" s="1578"/>
      <c r="AI139" s="1578"/>
      <c r="AJ139" s="1578"/>
      <c r="AK139" s="1578"/>
      <c r="AL139" s="1578"/>
      <c r="AM139" s="1578"/>
      <c r="AN139" s="1578"/>
      <c r="AO139" s="1578"/>
      <c r="AP139" s="1578"/>
      <c r="AQ139" s="1578"/>
      <c r="AR139" s="1578"/>
      <c r="AS139" s="1578"/>
      <c r="AT139" s="1578"/>
      <c r="AU139" s="1578"/>
      <c r="AV139" s="1578"/>
      <c r="AW139" s="1578"/>
      <c r="AX139" s="1578"/>
      <c r="AY139" s="1578"/>
      <c r="AZ139" s="1578"/>
      <c r="BA139" s="1578"/>
      <c r="BB139" s="1578"/>
      <c r="BC139" s="1578"/>
      <c r="BD139" s="1578"/>
      <c r="BE139" s="1578"/>
      <c r="BF139" s="1578"/>
      <c r="BG139" s="1578"/>
      <c r="BH139" s="1578"/>
      <c r="BI139" s="1578"/>
      <c r="BJ139" s="1578"/>
      <c r="BK139" s="1578"/>
      <c r="BL139" s="1578"/>
      <c r="BM139" s="1578"/>
      <c r="BN139" s="1578"/>
      <c r="BO139" s="1578"/>
      <c r="BP139" s="1578"/>
      <c r="BQ139" s="1578"/>
      <c r="BR139" s="1578"/>
      <c r="BS139" s="1578"/>
      <c r="BT139" s="1578"/>
      <c r="BU139" s="1578"/>
      <c r="BV139" s="1578"/>
      <c r="BW139" s="1578"/>
      <c r="BX139" s="1578"/>
      <c r="BY139" s="1578"/>
      <c r="BZ139" s="1578"/>
      <c r="CA139" s="1578"/>
      <c r="CB139" s="1578"/>
      <c r="CC139" s="1578"/>
      <c r="CD139" s="1578"/>
      <c r="CE139" s="1578"/>
      <c r="CF139" s="1578"/>
      <c r="CG139" s="1578"/>
      <c r="CH139" s="1578"/>
      <c r="CI139" s="1578"/>
      <c r="CJ139" s="1578"/>
      <c r="CK139" s="1578"/>
      <c r="CL139" s="1578"/>
      <c r="CM139" s="1578"/>
      <c r="CN139" s="1578"/>
      <c r="CO139" s="1578"/>
      <c r="CP139" s="1578"/>
      <c r="CQ139" s="1578"/>
      <c r="CR139" s="1578"/>
      <c r="CS139" s="1578"/>
      <c r="CT139" s="1578"/>
      <c r="CU139" s="1578"/>
      <c r="CV139" s="1578"/>
      <c r="CW139" s="1578"/>
      <c r="CX139" s="1578"/>
      <c r="CY139" s="1578"/>
      <c r="CZ139" s="1578"/>
    </row>
    <row r="140" spans="1:407">
      <c r="A140" s="1466"/>
      <c r="B140" s="1576"/>
      <c r="C140" s="1576"/>
      <c r="D140" s="1576"/>
      <c r="E140" s="1578"/>
      <c r="F140" s="1578"/>
      <c r="G140" s="1578"/>
      <c r="H140" s="1578"/>
      <c r="I140" s="1578"/>
      <c r="J140" s="1578"/>
      <c r="K140" s="1578"/>
      <c r="L140" s="1578"/>
      <c r="M140" s="1578"/>
      <c r="N140" s="1578"/>
      <c r="O140" s="1578"/>
      <c r="P140" s="1578"/>
      <c r="Q140" s="1578"/>
      <c r="R140" s="1578"/>
      <c r="S140" s="1578"/>
      <c r="T140" s="1578"/>
      <c r="U140" s="1578"/>
      <c r="V140" s="1578"/>
      <c r="W140" s="1578"/>
      <c r="X140" s="1578"/>
      <c r="Y140" s="1578"/>
      <c r="Z140" s="1578"/>
      <c r="AA140" s="1578"/>
      <c r="AB140" s="1578"/>
      <c r="AC140" s="1578"/>
      <c r="AD140" s="1578"/>
      <c r="AE140" s="1578"/>
      <c r="AF140" s="1578"/>
      <c r="AG140" s="1578"/>
      <c r="AH140" s="1578"/>
      <c r="AI140" s="1578"/>
      <c r="AJ140" s="1578"/>
      <c r="AK140" s="1578"/>
      <c r="AL140" s="1578"/>
      <c r="AM140" s="1578"/>
      <c r="AN140" s="1578"/>
      <c r="AO140" s="1578"/>
      <c r="AP140" s="1578"/>
      <c r="AQ140" s="1578"/>
      <c r="AR140" s="1578"/>
      <c r="AS140" s="1578"/>
      <c r="AT140" s="1578"/>
      <c r="AU140" s="1578"/>
      <c r="AV140" s="1578"/>
      <c r="AW140" s="1578"/>
      <c r="AX140" s="1578"/>
      <c r="AY140" s="1578"/>
      <c r="AZ140" s="1578"/>
      <c r="BA140" s="1578"/>
      <c r="BB140" s="1578"/>
      <c r="BC140" s="1578"/>
      <c r="BD140" s="1578"/>
      <c r="BE140" s="1578"/>
      <c r="BF140" s="1578"/>
      <c r="BG140" s="1578"/>
      <c r="BH140" s="1578"/>
      <c r="BI140" s="1578"/>
      <c r="BJ140" s="1578"/>
      <c r="BK140" s="1578"/>
      <c r="BL140" s="1578"/>
      <c r="BM140" s="1578"/>
      <c r="BN140" s="1578"/>
      <c r="BO140" s="1578"/>
      <c r="BP140" s="1578"/>
      <c r="BQ140" s="1578"/>
      <c r="BR140" s="1578"/>
      <c r="BS140" s="1578"/>
      <c r="BT140" s="1578"/>
      <c r="BU140" s="1578"/>
      <c r="BV140" s="1578"/>
      <c r="BW140" s="1578"/>
      <c r="BX140" s="1578"/>
      <c r="BY140" s="1578"/>
      <c r="BZ140" s="1578"/>
      <c r="CA140" s="1578"/>
      <c r="CB140" s="1578"/>
      <c r="CC140" s="1578"/>
      <c r="CD140" s="1578"/>
      <c r="CE140" s="1578"/>
      <c r="CF140" s="1578"/>
      <c r="CG140" s="1578"/>
      <c r="CH140" s="1578"/>
      <c r="CI140" s="1578"/>
      <c r="CJ140" s="1578"/>
      <c r="CK140" s="1578"/>
      <c r="CL140" s="1578"/>
      <c r="CM140" s="1578"/>
      <c r="CN140" s="1578"/>
      <c r="CO140" s="1578"/>
      <c r="CP140" s="1578"/>
      <c r="CQ140" s="1578"/>
      <c r="CR140" s="1578"/>
      <c r="CS140" s="1578"/>
      <c r="CT140" s="1578"/>
      <c r="CU140" s="1578"/>
      <c r="CV140" s="1578"/>
      <c r="CW140" s="1578"/>
      <c r="CX140" s="1578"/>
      <c r="CY140" s="1578"/>
      <c r="CZ140" s="1578"/>
    </row>
    <row r="141" spans="1:407">
      <c r="A141" s="1466"/>
      <c r="B141" s="1576"/>
      <c r="C141" s="1576"/>
      <c r="D141" s="1576"/>
      <c r="E141" s="1578"/>
      <c r="F141" s="1578"/>
      <c r="G141" s="1578"/>
      <c r="H141" s="1578"/>
      <c r="I141" s="1578"/>
      <c r="J141" s="1578"/>
      <c r="K141" s="1578"/>
      <c r="L141" s="1578"/>
      <c r="M141" s="1578"/>
      <c r="N141" s="1578"/>
      <c r="O141" s="1578"/>
      <c r="P141" s="1578"/>
      <c r="Q141" s="1578"/>
      <c r="R141" s="1578"/>
      <c r="S141" s="1578"/>
      <c r="T141" s="1578"/>
      <c r="U141" s="1578"/>
      <c r="V141" s="1578"/>
      <c r="W141" s="1578"/>
      <c r="X141" s="1578"/>
      <c r="Y141" s="1578"/>
      <c r="Z141" s="1578"/>
      <c r="AA141" s="1578"/>
      <c r="AB141" s="1578"/>
      <c r="AC141" s="1578"/>
      <c r="AD141" s="1578"/>
      <c r="AE141" s="1578"/>
      <c r="AF141" s="1578"/>
      <c r="AG141" s="1578"/>
      <c r="AH141" s="1578"/>
      <c r="AI141" s="1578"/>
      <c r="AJ141" s="1578"/>
      <c r="AK141" s="1578"/>
      <c r="AL141" s="1578"/>
      <c r="AM141" s="1578"/>
      <c r="AN141" s="1578"/>
      <c r="AO141" s="1578"/>
      <c r="AP141" s="1578"/>
      <c r="AQ141" s="1578"/>
      <c r="AR141" s="1578"/>
      <c r="AS141" s="1578"/>
      <c r="AT141" s="1578"/>
      <c r="AU141" s="1578"/>
      <c r="AV141" s="1578"/>
      <c r="AW141" s="1578"/>
      <c r="AX141" s="1578"/>
      <c r="AY141" s="1578"/>
      <c r="AZ141" s="1578"/>
      <c r="BA141" s="1578"/>
      <c r="BB141" s="1578"/>
      <c r="BC141" s="1578"/>
      <c r="BD141" s="1578"/>
      <c r="BE141" s="1578"/>
      <c r="BF141" s="1578"/>
      <c r="BG141" s="1578"/>
      <c r="BH141" s="1578"/>
      <c r="BI141" s="1578"/>
      <c r="BJ141" s="1578"/>
      <c r="BK141" s="1578"/>
      <c r="BL141" s="1578"/>
      <c r="BM141" s="1578"/>
      <c r="BN141" s="1578"/>
      <c r="BO141" s="1578"/>
      <c r="BP141" s="1578"/>
      <c r="BQ141" s="1578"/>
      <c r="BR141" s="1578"/>
      <c r="BS141" s="1578"/>
      <c r="BT141" s="1578"/>
      <c r="BU141" s="1578"/>
      <c r="BV141" s="1578"/>
      <c r="BW141" s="1578"/>
      <c r="BX141" s="1578"/>
      <c r="BY141" s="1578"/>
      <c r="BZ141" s="1578"/>
      <c r="CA141" s="1578"/>
      <c r="CB141" s="1578"/>
      <c r="CC141" s="1578"/>
      <c r="CD141" s="1578"/>
      <c r="CE141" s="1578"/>
      <c r="CF141" s="1578"/>
      <c r="CG141" s="1578"/>
      <c r="CH141" s="1578"/>
      <c r="CI141" s="1578"/>
      <c r="CJ141" s="1578"/>
      <c r="CK141" s="1578"/>
      <c r="CL141" s="1578"/>
      <c r="CM141" s="1578"/>
      <c r="CN141" s="1578"/>
      <c r="CO141" s="1578"/>
      <c r="CP141" s="1578"/>
      <c r="CQ141" s="1578"/>
      <c r="CR141" s="1578"/>
      <c r="CS141" s="1578"/>
      <c r="CT141" s="1578"/>
      <c r="CU141" s="1578"/>
      <c r="CV141" s="1578"/>
      <c r="CW141" s="1578"/>
      <c r="CX141" s="1578"/>
      <c r="CY141" s="1578"/>
      <c r="CZ141" s="1578"/>
    </row>
    <row r="142" spans="1:407">
      <c r="A142" s="1466"/>
      <c r="B142" s="1576"/>
      <c r="C142" s="1576"/>
      <c r="D142" s="1576"/>
      <c r="E142" s="1578"/>
      <c r="F142" s="1578"/>
      <c r="G142" s="1578"/>
      <c r="H142" s="1578"/>
      <c r="I142" s="1578"/>
      <c r="J142" s="1578"/>
      <c r="K142" s="1578"/>
      <c r="L142" s="1578"/>
      <c r="M142" s="1578"/>
      <c r="N142" s="1578"/>
      <c r="O142" s="1578"/>
      <c r="P142" s="1578"/>
      <c r="Q142" s="1578"/>
      <c r="R142" s="1578"/>
      <c r="S142" s="1578"/>
      <c r="T142" s="1578"/>
      <c r="U142" s="1578"/>
      <c r="V142" s="1578"/>
      <c r="W142" s="1578"/>
      <c r="X142" s="1578"/>
      <c r="Y142" s="1578"/>
      <c r="Z142" s="1578"/>
      <c r="AA142" s="1578"/>
      <c r="AB142" s="1578"/>
      <c r="AC142" s="1578"/>
      <c r="AD142" s="1578"/>
      <c r="AE142" s="1578"/>
      <c r="AF142" s="1578"/>
      <c r="AG142" s="1578"/>
      <c r="AH142" s="1578"/>
      <c r="AI142" s="1578"/>
      <c r="AJ142" s="1578"/>
      <c r="AK142" s="1578"/>
      <c r="AL142" s="1578"/>
      <c r="AM142" s="1578"/>
      <c r="AN142" s="1578"/>
      <c r="AO142" s="1578"/>
      <c r="AP142" s="1578"/>
      <c r="AQ142" s="1578"/>
      <c r="AR142" s="1578"/>
      <c r="AS142" s="1578"/>
      <c r="AT142" s="1578"/>
      <c r="AU142" s="1578"/>
      <c r="AV142" s="1578"/>
      <c r="AW142" s="1578"/>
      <c r="AX142" s="1578"/>
      <c r="AY142" s="1578"/>
      <c r="AZ142" s="1578"/>
      <c r="BA142" s="1578"/>
      <c r="BB142" s="1578"/>
      <c r="BC142" s="1578"/>
      <c r="BD142" s="1578"/>
      <c r="BE142" s="1578"/>
      <c r="BF142" s="1578"/>
      <c r="BG142" s="1578"/>
      <c r="BH142" s="1578"/>
      <c r="BI142" s="1578"/>
      <c r="BJ142" s="1578"/>
      <c r="BK142" s="1578"/>
      <c r="BL142" s="1578"/>
      <c r="BM142" s="1578"/>
      <c r="BN142" s="1578"/>
      <c r="BO142" s="1578"/>
      <c r="BP142" s="1578"/>
      <c r="BQ142" s="1578"/>
      <c r="BR142" s="1578"/>
      <c r="BS142" s="1578"/>
      <c r="BT142" s="1578"/>
      <c r="BU142" s="1578"/>
      <c r="BV142" s="1578"/>
      <c r="BW142" s="1578"/>
      <c r="BX142" s="1578"/>
      <c r="BY142" s="1578"/>
      <c r="BZ142" s="1578"/>
      <c r="CA142" s="1578"/>
      <c r="CB142" s="1578"/>
      <c r="CC142" s="1578"/>
      <c r="CD142" s="1578"/>
      <c r="CE142" s="1578"/>
      <c r="CF142" s="1578"/>
      <c r="CG142" s="1578"/>
      <c r="CH142" s="1578"/>
      <c r="CI142" s="1578"/>
      <c r="CJ142" s="1578"/>
      <c r="CK142" s="1578"/>
      <c r="CL142" s="1578"/>
      <c r="CM142" s="1578"/>
      <c r="CN142" s="1578"/>
      <c r="CO142" s="1578"/>
      <c r="CP142" s="1578"/>
      <c r="CQ142" s="1578"/>
      <c r="CR142" s="1578"/>
      <c r="CS142" s="1578"/>
      <c r="CT142" s="1578"/>
      <c r="CU142" s="1578"/>
      <c r="CV142" s="1578"/>
      <c r="CW142" s="1578"/>
      <c r="CX142" s="1578"/>
      <c r="CY142" s="1578"/>
      <c r="CZ142" s="1578"/>
    </row>
    <row r="143" spans="1:407" ht="13" thickBot="1">
      <c r="A143" s="1466"/>
      <c r="B143" s="1579"/>
      <c r="C143" s="1579"/>
      <c r="D143" s="1579"/>
      <c r="E143" s="1580"/>
      <c r="F143" s="1580"/>
      <c r="G143" s="1580"/>
      <c r="H143" s="1580"/>
      <c r="I143" s="1580"/>
      <c r="J143" s="1580"/>
      <c r="K143" s="1580"/>
      <c r="L143" s="1580"/>
      <c r="M143" s="1580"/>
      <c r="N143" s="1580"/>
      <c r="O143" s="1580"/>
      <c r="P143" s="1580"/>
      <c r="Q143" s="1580"/>
      <c r="R143" s="1580"/>
      <c r="S143" s="1580"/>
      <c r="T143" s="1580"/>
      <c r="U143" s="1580"/>
      <c r="V143" s="1580"/>
      <c r="W143" s="1580"/>
      <c r="X143" s="1580"/>
      <c r="Y143" s="1580"/>
      <c r="Z143" s="1580"/>
      <c r="AA143" s="1580"/>
      <c r="AB143" s="1580"/>
      <c r="AC143" s="1580"/>
      <c r="AD143" s="1580"/>
      <c r="AE143" s="1580"/>
      <c r="AF143" s="1580"/>
      <c r="AG143" s="1580"/>
      <c r="AH143" s="1580"/>
      <c r="AI143" s="1580"/>
      <c r="AJ143" s="1580"/>
      <c r="AK143" s="1580"/>
      <c r="AL143" s="1580"/>
      <c r="AM143" s="1580"/>
      <c r="AN143" s="1580"/>
      <c r="AO143" s="1580"/>
      <c r="AP143" s="1580"/>
      <c r="AQ143" s="1580"/>
      <c r="AR143" s="1580"/>
      <c r="AS143" s="1580"/>
      <c r="AT143" s="1580"/>
      <c r="AU143" s="1580"/>
      <c r="AV143" s="1580"/>
      <c r="AW143" s="1580"/>
      <c r="AX143" s="1580"/>
      <c r="AY143" s="1580"/>
      <c r="AZ143" s="1580"/>
      <c r="BA143" s="1580"/>
      <c r="BB143" s="1580"/>
      <c r="BC143" s="1580"/>
      <c r="BD143" s="1580"/>
      <c r="BE143" s="1580"/>
      <c r="BF143" s="1580"/>
      <c r="BG143" s="1580"/>
      <c r="BH143" s="1580"/>
      <c r="BI143" s="1580"/>
      <c r="BJ143" s="1580"/>
      <c r="BK143" s="1580"/>
      <c r="BL143" s="1580"/>
      <c r="BM143" s="1580"/>
      <c r="BN143" s="1580"/>
      <c r="BO143" s="1580"/>
      <c r="BP143" s="1580"/>
      <c r="BQ143" s="1580"/>
      <c r="BR143" s="1580"/>
      <c r="BS143" s="1580"/>
      <c r="BT143" s="1580"/>
      <c r="BU143" s="1580"/>
      <c r="BV143" s="1580"/>
      <c r="BW143" s="1580"/>
      <c r="BX143" s="1580"/>
      <c r="BY143" s="1580"/>
      <c r="BZ143" s="1580"/>
      <c r="CA143" s="1580"/>
      <c r="CB143" s="1580"/>
      <c r="CC143" s="1580"/>
      <c r="CD143" s="1580"/>
      <c r="CE143" s="1580"/>
      <c r="CF143" s="1580"/>
      <c r="CG143" s="1580"/>
      <c r="CH143" s="1580"/>
      <c r="CI143" s="1580"/>
      <c r="CJ143" s="1580"/>
      <c r="CK143" s="1580"/>
      <c r="CL143" s="1580"/>
      <c r="CM143" s="1580"/>
      <c r="CN143" s="1580"/>
      <c r="CO143" s="1580"/>
      <c r="CP143" s="1580"/>
      <c r="CQ143" s="1580"/>
      <c r="CR143" s="1580"/>
      <c r="CS143" s="1580"/>
      <c r="CT143" s="1580"/>
      <c r="CU143" s="1580"/>
      <c r="CV143" s="1580"/>
      <c r="CW143" s="1580"/>
      <c r="CX143" s="1580"/>
      <c r="CY143" s="1580"/>
      <c r="CZ143" s="1580"/>
      <c r="DA143" s="1606"/>
      <c r="DB143" s="1607"/>
      <c r="DC143" s="1606"/>
      <c r="DD143" s="1606"/>
      <c r="DE143" s="1606"/>
      <c r="DF143" s="1606"/>
      <c r="DG143" s="1606"/>
      <c r="DH143" s="1606"/>
      <c r="DI143" s="1606"/>
      <c r="DJ143" s="1606"/>
      <c r="DK143" s="1606"/>
      <c r="DL143" s="1606"/>
      <c r="DM143" s="1606"/>
      <c r="DN143" s="1606"/>
      <c r="DO143" s="1606"/>
      <c r="DP143" s="1606"/>
      <c r="DQ143" s="1606"/>
      <c r="DR143" s="1606"/>
      <c r="DS143" s="1606"/>
      <c r="DT143" s="1606"/>
      <c r="DU143" s="1606"/>
      <c r="DV143" s="1606"/>
      <c r="DW143" s="1606"/>
      <c r="DX143" s="1606"/>
      <c r="DY143" s="1606"/>
      <c r="DZ143" s="1606"/>
      <c r="EA143" s="1606"/>
      <c r="EB143" s="1606"/>
      <c r="EC143" s="1606"/>
      <c r="ED143" s="1606"/>
      <c r="EE143" s="1606"/>
      <c r="EF143" s="1606"/>
      <c r="EG143" s="1606"/>
      <c r="EH143" s="1606"/>
      <c r="EI143" s="1606"/>
      <c r="EJ143" s="1606"/>
      <c r="EK143" s="1606"/>
      <c r="EL143" s="1606"/>
      <c r="EM143" s="1606"/>
      <c r="EN143" s="1606"/>
      <c r="EO143" s="1606"/>
      <c r="EP143" s="1606"/>
      <c r="EQ143" s="1606"/>
      <c r="ER143" s="1606"/>
      <c r="ES143" s="1606"/>
      <c r="ET143" s="1606"/>
      <c r="EU143" s="1606"/>
      <c r="EV143" s="1606"/>
      <c r="EW143" s="1606"/>
      <c r="EX143" s="1606"/>
      <c r="EY143" s="1606"/>
      <c r="EZ143" s="1606"/>
      <c r="FA143" s="1606"/>
      <c r="FB143" s="1606"/>
      <c r="FC143" s="1606"/>
      <c r="FD143" s="1606"/>
      <c r="FE143" s="1606"/>
      <c r="FF143" s="1606"/>
      <c r="FG143" s="1606"/>
      <c r="FH143" s="1606"/>
      <c r="FI143" s="1606"/>
      <c r="FJ143" s="1606"/>
      <c r="FK143" s="1606"/>
      <c r="FL143" s="1606"/>
      <c r="FM143" s="1606"/>
      <c r="FN143" s="1606"/>
      <c r="FO143" s="1606"/>
      <c r="FP143" s="1606"/>
      <c r="FQ143" s="1606"/>
      <c r="FR143" s="1606"/>
      <c r="FS143" s="1606"/>
      <c r="FT143" s="1606"/>
      <c r="FU143" s="1606"/>
      <c r="FV143" s="1606"/>
      <c r="FW143" s="1606"/>
      <c r="FX143" s="1606"/>
      <c r="FY143" s="1606"/>
      <c r="FZ143" s="1606"/>
      <c r="GA143" s="1606"/>
      <c r="GB143" s="1606"/>
      <c r="GC143" s="1606"/>
      <c r="GD143" s="1606"/>
      <c r="GE143" s="1606"/>
      <c r="GF143" s="1606"/>
      <c r="GG143" s="1606"/>
      <c r="GH143" s="1606"/>
      <c r="GI143" s="1606"/>
      <c r="GJ143" s="1606"/>
      <c r="GK143" s="1606"/>
      <c r="GL143" s="1606"/>
      <c r="GM143" s="1606"/>
      <c r="GN143" s="1606"/>
      <c r="GO143" s="1606"/>
      <c r="GP143" s="1606"/>
      <c r="GQ143" s="1606"/>
      <c r="GR143" s="1606"/>
      <c r="GS143" s="1606"/>
      <c r="GT143" s="1606"/>
      <c r="GU143" s="1606"/>
      <c r="GV143" s="1606"/>
      <c r="GW143" s="1606"/>
      <c r="GX143" s="1606"/>
      <c r="GY143" s="1606"/>
      <c r="GZ143" s="1606"/>
      <c r="HA143" s="1606"/>
      <c r="HB143" s="1606"/>
      <c r="HC143" s="1606"/>
      <c r="HD143" s="1606"/>
      <c r="HE143" s="1606"/>
      <c r="HF143" s="1606"/>
      <c r="HG143" s="1606"/>
      <c r="HH143" s="1606"/>
      <c r="HI143" s="1606"/>
      <c r="HJ143" s="1606"/>
      <c r="HK143" s="1606"/>
      <c r="HL143" s="1606"/>
      <c r="HM143" s="1606"/>
      <c r="HN143" s="1606"/>
      <c r="HO143" s="1606"/>
      <c r="HP143" s="1606"/>
      <c r="HQ143" s="1606"/>
      <c r="HR143" s="1606"/>
      <c r="HS143" s="1606"/>
      <c r="HT143" s="1606"/>
      <c r="HU143" s="1606"/>
      <c r="HV143" s="1606"/>
      <c r="HW143" s="1606"/>
      <c r="HX143" s="1606"/>
      <c r="HY143" s="1606"/>
      <c r="HZ143" s="1606"/>
      <c r="IA143" s="1606"/>
      <c r="IB143" s="1606"/>
      <c r="IC143" s="1606"/>
      <c r="ID143" s="1606"/>
      <c r="IE143" s="1606"/>
      <c r="IF143" s="1606"/>
      <c r="IG143" s="1606"/>
      <c r="IH143" s="1606"/>
      <c r="II143" s="1606"/>
      <c r="IJ143" s="1606"/>
      <c r="IK143" s="1606"/>
      <c r="IL143" s="1606"/>
      <c r="IM143" s="1606"/>
      <c r="IN143" s="1606"/>
      <c r="IO143" s="1606"/>
      <c r="IP143" s="1606"/>
      <c r="IQ143" s="1606"/>
      <c r="IR143" s="1606"/>
      <c r="IS143" s="1606"/>
      <c r="IT143" s="1606"/>
      <c r="IU143" s="1606"/>
      <c r="IV143" s="1606"/>
      <c r="IW143" s="1606"/>
      <c r="IX143" s="1606"/>
      <c r="IY143" s="1606"/>
      <c r="IZ143" s="1606"/>
      <c r="JA143" s="1606"/>
      <c r="JB143" s="1606"/>
      <c r="JC143" s="1606"/>
      <c r="JD143" s="1606"/>
      <c r="JE143" s="1606"/>
      <c r="JF143" s="1606"/>
      <c r="JG143" s="1606"/>
      <c r="JH143" s="1606"/>
      <c r="JI143" s="1606"/>
      <c r="JJ143" s="1606"/>
      <c r="JK143" s="1606"/>
      <c r="JL143" s="1606"/>
      <c r="JM143" s="1606"/>
      <c r="JN143" s="1606"/>
      <c r="JO143" s="1606"/>
      <c r="JP143" s="1606"/>
      <c r="JQ143" s="1606"/>
      <c r="JR143" s="1606"/>
      <c r="JS143" s="1606"/>
      <c r="JT143" s="1606"/>
      <c r="JU143" s="1606"/>
      <c r="JV143" s="1606"/>
      <c r="JW143" s="1606"/>
      <c r="JX143" s="1606"/>
      <c r="JY143" s="1606"/>
      <c r="JZ143" s="1606"/>
      <c r="KA143" s="1606"/>
      <c r="KB143" s="1606"/>
      <c r="KC143" s="1606"/>
      <c r="KD143" s="1606"/>
      <c r="KE143" s="1606"/>
      <c r="KF143" s="1606"/>
      <c r="KG143" s="1606"/>
      <c r="KH143" s="1606"/>
      <c r="KI143" s="1606"/>
      <c r="KJ143" s="1606"/>
      <c r="KK143" s="1606"/>
      <c r="KL143" s="1606"/>
      <c r="KM143" s="1606"/>
      <c r="KN143" s="1606"/>
      <c r="KO143" s="1606"/>
      <c r="KP143" s="1606"/>
      <c r="KQ143" s="1606"/>
      <c r="KR143" s="1606"/>
      <c r="KS143" s="1606"/>
      <c r="KT143" s="1606"/>
      <c r="KU143" s="1606"/>
      <c r="KV143" s="1606"/>
      <c r="KW143" s="1606"/>
      <c r="KX143" s="1606"/>
      <c r="KY143" s="1606"/>
      <c r="KZ143" s="1606"/>
      <c r="LA143" s="1606"/>
      <c r="LB143" s="1606"/>
      <c r="LC143" s="1606"/>
      <c r="LD143" s="1606"/>
      <c r="LE143" s="1606"/>
      <c r="LF143" s="1606"/>
      <c r="LG143" s="1606"/>
      <c r="LH143" s="1606"/>
      <c r="LI143" s="1606"/>
      <c r="LJ143" s="1606"/>
      <c r="LK143" s="1606"/>
      <c r="LL143" s="1606"/>
      <c r="LM143" s="1606"/>
      <c r="LN143" s="1606"/>
      <c r="LO143" s="1606"/>
      <c r="LP143" s="1606"/>
      <c r="LQ143" s="1606"/>
      <c r="LR143" s="1606"/>
      <c r="LS143" s="1606"/>
      <c r="LT143" s="1606"/>
      <c r="LU143" s="1606"/>
      <c r="LV143" s="1606"/>
      <c r="LW143" s="1606"/>
      <c r="LX143" s="1606"/>
      <c r="LY143" s="1606"/>
      <c r="LZ143" s="1606"/>
      <c r="MA143" s="1606"/>
      <c r="MB143" s="1606"/>
      <c r="MC143" s="1606"/>
      <c r="MD143" s="1606"/>
      <c r="ME143" s="1606"/>
      <c r="MF143" s="1606"/>
      <c r="MG143" s="1606"/>
      <c r="MH143" s="1606"/>
      <c r="MI143" s="1606"/>
      <c r="MJ143" s="1606"/>
      <c r="MK143" s="1606"/>
      <c r="ML143" s="1606"/>
      <c r="MM143" s="1606"/>
      <c r="MN143" s="1606"/>
      <c r="MO143" s="1606"/>
      <c r="MP143" s="1606"/>
      <c r="MQ143" s="1606"/>
      <c r="MR143" s="1606"/>
      <c r="MS143" s="1606"/>
      <c r="MT143" s="1606"/>
      <c r="MU143" s="1606"/>
      <c r="MV143" s="1606"/>
      <c r="MW143" s="1606"/>
      <c r="MX143" s="1606"/>
      <c r="MY143" s="1606"/>
      <c r="MZ143" s="1606"/>
      <c r="NA143" s="1606"/>
      <c r="NB143" s="1606"/>
      <c r="NC143" s="1606"/>
      <c r="ND143" s="1606"/>
      <c r="NE143" s="1606"/>
      <c r="NF143" s="1606"/>
      <c r="NG143" s="1606"/>
      <c r="NH143" s="1606"/>
      <c r="NI143" s="1606"/>
      <c r="NJ143" s="1606"/>
      <c r="NK143" s="1606"/>
      <c r="NL143" s="1606"/>
      <c r="NM143" s="1606"/>
      <c r="NN143" s="1606"/>
      <c r="NO143" s="1606"/>
      <c r="NP143" s="1606"/>
      <c r="NQ143" s="1606"/>
      <c r="NR143" s="1606"/>
      <c r="NS143" s="1606"/>
      <c r="NT143" s="1606"/>
      <c r="NU143" s="1606"/>
      <c r="NV143" s="1606"/>
      <c r="NW143" s="1606"/>
      <c r="NX143" s="1606"/>
      <c r="NY143" s="1606"/>
      <c r="NZ143" s="1606"/>
      <c r="OA143" s="1606"/>
      <c r="OB143" s="1606"/>
      <c r="OC143" s="1606"/>
      <c r="OD143" s="1606"/>
      <c r="OE143" s="1606"/>
      <c r="OF143" s="1606"/>
      <c r="OG143" s="1606"/>
      <c r="OH143" s="1606"/>
      <c r="OI143" s="1606"/>
      <c r="OJ143" s="1606"/>
      <c r="OK143" s="1606"/>
      <c r="OL143" s="1606"/>
      <c r="OM143" s="1606"/>
      <c r="ON143" s="1606"/>
      <c r="OO143" s="1606"/>
      <c r="OP143" s="1606"/>
      <c r="OQ143" s="1606"/>
    </row>
    <row r="144" spans="1:407" ht="13" thickTop="1">
      <c r="A144" s="1466"/>
      <c r="B144" s="1581"/>
      <c r="C144" s="1581"/>
      <c r="D144" s="1581"/>
      <c r="E144" s="1582"/>
      <c r="F144" s="1582"/>
      <c r="G144" s="1582"/>
      <c r="H144" s="1582"/>
      <c r="I144" s="1582"/>
      <c r="J144" s="1582"/>
      <c r="K144" s="1582"/>
      <c r="L144" s="1582"/>
      <c r="M144" s="1582"/>
      <c r="N144" s="1582"/>
      <c r="O144" s="1582"/>
      <c r="P144" s="1582"/>
      <c r="Q144" s="1582"/>
      <c r="R144" s="1582"/>
      <c r="S144" s="1582"/>
      <c r="T144" s="1582"/>
      <c r="U144" s="1582"/>
      <c r="V144" s="1582"/>
      <c r="W144" s="1582"/>
      <c r="X144" s="1582"/>
      <c r="Y144" s="1582"/>
      <c r="Z144" s="1582"/>
      <c r="AA144" s="1582"/>
      <c r="AB144" s="1582"/>
      <c r="AC144" s="1582"/>
      <c r="AD144" s="1582"/>
      <c r="AE144" s="1582"/>
      <c r="AF144" s="1582"/>
      <c r="AG144" s="1582"/>
      <c r="AH144" s="1582"/>
      <c r="AI144" s="1582"/>
      <c r="AJ144" s="1582"/>
      <c r="AK144" s="1582"/>
      <c r="AL144" s="1582"/>
      <c r="AM144" s="1582"/>
      <c r="AN144" s="1582"/>
      <c r="AO144" s="1582"/>
      <c r="AP144" s="1582"/>
      <c r="AQ144" s="1582"/>
      <c r="AR144" s="1582"/>
      <c r="AS144" s="1582"/>
      <c r="AT144" s="1582"/>
      <c r="AU144" s="1582"/>
      <c r="AV144" s="1582"/>
      <c r="AW144" s="1582"/>
      <c r="AX144" s="1582"/>
      <c r="AY144" s="1582"/>
      <c r="AZ144" s="1582"/>
      <c r="BA144" s="1582"/>
      <c r="BB144" s="1582"/>
      <c r="BC144" s="1582"/>
      <c r="BD144" s="1582"/>
      <c r="BE144" s="1582"/>
      <c r="BF144" s="1582"/>
      <c r="BG144" s="1582"/>
      <c r="BH144" s="1582"/>
      <c r="BI144" s="1582"/>
      <c r="BJ144" s="1582"/>
      <c r="BK144" s="1582"/>
      <c r="BL144" s="1582"/>
      <c r="BM144" s="1582"/>
      <c r="BN144" s="1582"/>
      <c r="BO144" s="1582"/>
      <c r="BP144" s="1582"/>
      <c r="BQ144" s="1582"/>
      <c r="BR144" s="1582"/>
      <c r="BS144" s="1582"/>
      <c r="BT144" s="1582"/>
      <c r="BU144" s="1582"/>
      <c r="BV144" s="1582"/>
      <c r="BW144" s="1582"/>
      <c r="BX144" s="1582"/>
      <c r="BY144" s="1582"/>
      <c r="BZ144" s="1582"/>
      <c r="CA144" s="1582"/>
      <c r="CB144" s="1582"/>
      <c r="CC144" s="1582"/>
      <c r="CD144" s="1582"/>
      <c r="CE144" s="1582"/>
      <c r="CF144" s="1582"/>
      <c r="CG144" s="1582"/>
      <c r="CH144" s="1582"/>
      <c r="CI144" s="1582"/>
      <c r="CJ144" s="1582"/>
      <c r="CK144" s="1582"/>
      <c r="CL144" s="1582"/>
      <c r="CM144" s="1582"/>
      <c r="CN144" s="1582"/>
      <c r="CO144" s="1582"/>
      <c r="CP144" s="1582"/>
      <c r="CQ144" s="1582"/>
      <c r="CR144" s="1582"/>
      <c r="CS144" s="1582"/>
      <c r="CT144" s="1582"/>
      <c r="CU144" s="1582"/>
      <c r="CV144" s="1582"/>
      <c r="CW144" s="1582"/>
      <c r="CX144" s="1582"/>
      <c r="CY144" s="1582"/>
      <c r="CZ144" s="1582"/>
    </row>
    <row r="145" spans="1:104">
      <c r="A145" s="1466"/>
      <c r="B145" s="1576"/>
      <c r="C145" s="1576"/>
      <c r="D145" s="1576"/>
      <c r="E145" s="1578"/>
      <c r="F145" s="1578"/>
      <c r="G145" s="1578"/>
      <c r="H145" s="1578"/>
      <c r="I145" s="1578"/>
      <c r="J145" s="1578"/>
      <c r="K145" s="1578"/>
      <c r="L145" s="1578"/>
      <c r="M145" s="1578"/>
      <c r="N145" s="1578"/>
      <c r="O145" s="1578"/>
      <c r="P145" s="1578"/>
      <c r="Q145" s="1578"/>
      <c r="R145" s="1578"/>
      <c r="S145" s="1578"/>
      <c r="T145" s="1578"/>
      <c r="U145" s="1578"/>
      <c r="V145" s="1578"/>
      <c r="W145" s="1578"/>
      <c r="X145" s="1578"/>
      <c r="Y145" s="1578"/>
      <c r="Z145" s="1578"/>
      <c r="AA145" s="1578"/>
      <c r="AB145" s="1578"/>
      <c r="AC145" s="1578"/>
      <c r="AD145" s="1578"/>
      <c r="AE145" s="1578"/>
      <c r="AF145" s="1578"/>
      <c r="AG145" s="1578"/>
      <c r="AH145" s="1578"/>
      <c r="AI145" s="1578"/>
      <c r="AJ145" s="1578"/>
      <c r="AK145" s="1578"/>
      <c r="AL145" s="1578"/>
      <c r="AM145" s="1578"/>
      <c r="AN145" s="1578"/>
      <c r="AO145" s="1578"/>
      <c r="AP145" s="1578"/>
      <c r="AQ145" s="1578"/>
      <c r="AR145" s="1578"/>
      <c r="AS145" s="1578"/>
      <c r="AT145" s="1578"/>
      <c r="AU145" s="1578"/>
      <c r="AV145" s="1578"/>
      <c r="AW145" s="1578"/>
      <c r="AX145" s="1578"/>
      <c r="AY145" s="1578"/>
      <c r="AZ145" s="1578"/>
      <c r="BA145" s="1578"/>
      <c r="BB145" s="1578"/>
      <c r="BC145" s="1578"/>
      <c r="BD145" s="1578"/>
      <c r="BE145" s="1578"/>
      <c r="BF145" s="1578"/>
      <c r="BG145" s="1578"/>
      <c r="BH145" s="1578"/>
      <c r="BI145" s="1578"/>
      <c r="BJ145" s="1578"/>
      <c r="BK145" s="1578"/>
      <c r="BL145" s="1578"/>
      <c r="BM145" s="1578"/>
      <c r="BN145" s="1578"/>
      <c r="BO145" s="1578"/>
      <c r="BP145" s="1578"/>
      <c r="BQ145" s="1578"/>
      <c r="BR145" s="1578"/>
      <c r="BS145" s="1578"/>
      <c r="BT145" s="1578"/>
      <c r="BU145" s="1578"/>
      <c r="BV145" s="1578"/>
      <c r="BW145" s="1578"/>
      <c r="BX145" s="1578"/>
      <c r="BY145" s="1578"/>
      <c r="BZ145" s="1578"/>
      <c r="CA145" s="1578"/>
      <c r="CB145" s="1578"/>
      <c r="CC145" s="1578"/>
      <c r="CD145" s="1578"/>
      <c r="CE145" s="1578"/>
      <c r="CF145" s="1578"/>
      <c r="CG145" s="1578"/>
      <c r="CH145" s="1578"/>
      <c r="CI145" s="1578"/>
      <c r="CJ145" s="1578"/>
      <c r="CK145" s="1578"/>
      <c r="CL145" s="1578"/>
      <c r="CM145" s="1578"/>
      <c r="CN145" s="1578"/>
      <c r="CO145" s="1578"/>
      <c r="CP145" s="1578"/>
      <c r="CQ145" s="1578"/>
      <c r="CR145" s="1578"/>
      <c r="CS145" s="1578"/>
      <c r="CT145" s="1578"/>
      <c r="CU145" s="1578"/>
      <c r="CV145" s="1578"/>
      <c r="CW145" s="1578"/>
      <c r="CX145" s="1578"/>
      <c r="CY145" s="1578"/>
      <c r="CZ145" s="1578"/>
    </row>
    <row r="146" spans="1:104">
      <c r="A146" s="1466"/>
      <c r="B146" s="1576"/>
      <c r="C146" s="1576"/>
      <c r="D146" s="1576"/>
      <c r="E146" s="1578"/>
      <c r="F146" s="1578"/>
      <c r="G146" s="1578"/>
      <c r="H146" s="1578"/>
      <c r="I146" s="1578"/>
      <c r="J146" s="1578"/>
      <c r="K146" s="1578"/>
      <c r="L146" s="1578"/>
      <c r="M146" s="1578"/>
      <c r="N146" s="1578"/>
      <c r="O146" s="1578"/>
      <c r="P146" s="1578"/>
      <c r="Q146" s="1578"/>
      <c r="R146" s="1578"/>
      <c r="S146" s="1578"/>
      <c r="T146" s="1578"/>
      <c r="U146" s="1578"/>
      <c r="V146" s="1578"/>
      <c r="W146" s="1578"/>
      <c r="X146" s="1578"/>
      <c r="Y146" s="1578"/>
      <c r="Z146" s="1578"/>
      <c r="AA146" s="1578"/>
      <c r="AB146" s="1578"/>
      <c r="AC146" s="1578"/>
      <c r="AD146" s="1578"/>
      <c r="AE146" s="1578"/>
      <c r="AF146" s="1578"/>
      <c r="AG146" s="1578"/>
      <c r="AH146" s="1578"/>
      <c r="AI146" s="1578"/>
      <c r="AJ146" s="1578"/>
      <c r="AK146" s="1578"/>
      <c r="AL146" s="1578"/>
      <c r="AM146" s="1578"/>
      <c r="AN146" s="1578"/>
      <c r="AO146" s="1578"/>
      <c r="AP146" s="1578"/>
      <c r="AQ146" s="1578"/>
      <c r="AR146" s="1578"/>
      <c r="AS146" s="1578"/>
      <c r="AT146" s="1578"/>
      <c r="AU146" s="1578"/>
      <c r="AV146" s="1578"/>
      <c r="AW146" s="1578"/>
      <c r="AX146" s="1578"/>
      <c r="AY146" s="1578"/>
      <c r="AZ146" s="1578"/>
      <c r="BA146" s="1578"/>
      <c r="BB146" s="1578"/>
      <c r="BC146" s="1578"/>
      <c r="BD146" s="1578"/>
      <c r="BE146" s="1578"/>
      <c r="BF146" s="1578"/>
      <c r="BG146" s="1578"/>
      <c r="BH146" s="1578"/>
      <c r="BI146" s="1578"/>
      <c r="BJ146" s="1578"/>
      <c r="BK146" s="1578"/>
      <c r="BL146" s="1578"/>
      <c r="BM146" s="1578"/>
      <c r="BN146" s="1578"/>
      <c r="BO146" s="1578"/>
      <c r="BP146" s="1578"/>
      <c r="BQ146" s="1578"/>
      <c r="BR146" s="1578"/>
      <c r="BS146" s="1578"/>
      <c r="BT146" s="1578"/>
      <c r="BU146" s="1578"/>
      <c r="BV146" s="1578"/>
      <c r="BW146" s="1578"/>
      <c r="BX146" s="1578"/>
      <c r="BY146" s="1578"/>
      <c r="BZ146" s="1578"/>
      <c r="CA146" s="1578"/>
      <c r="CB146" s="1578"/>
      <c r="CC146" s="1578"/>
      <c r="CD146" s="1578"/>
      <c r="CE146" s="1578"/>
      <c r="CF146" s="1578"/>
      <c r="CG146" s="1578"/>
      <c r="CH146" s="1578"/>
      <c r="CI146" s="1578"/>
      <c r="CJ146" s="1578"/>
      <c r="CK146" s="1578"/>
      <c r="CL146" s="1578"/>
      <c r="CM146" s="1578"/>
      <c r="CN146" s="1578"/>
      <c r="CO146" s="1578"/>
      <c r="CP146" s="1578"/>
      <c r="CQ146" s="1578"/>
      <c r="CR146" s="1578"/>
      <c r="CS146" s="1578"/>
      <c r="CT146" s="1578"/>
      <c r="CU146" s="1578"/>
      <c r="CV146" s="1578"/>
      <c r="CW146" s="1578"/>
      <c r="CX146" s="1578"/>
      <c r="CY146" s="1578"/>
      <c r="CZ146" s="1578"/>
    </row>
    <row r="147" spans="1:104">
      <c r="A147" s="1466"/>
      <c r="B147" s="1576"/>
      <c r="C147" s="1576"/>
      <c r="D147" s="1576"/>
      <c r="E147" s="1578"/>
      <c r="F147" s="1578"/>
      <c r="G147" s="1578"/>
      <c r="H147" s="1578"/>
      <c r="I147" s="1578"/>
      <c r="J147" s="1578"/>
      <c r="K147" s="1578"/>
      <c r="L147" s="1578"/>
      <c r="M147" s="1578"/>
      <c r="N147" s="1578"/>
      <c r="O147" s="1578"/>
      <c r="P147" s="1578"/>
      <c r="Q147" s="1578"/>
      <c r="R147" s="1578"/>
      <c r="S147" s="1578"/>
      <c r="T147" s="1578"/>
      <c r="U147" s="1578"/>
      <c r="V147" s="1578"/>
      <c r="W147" s="1578"/>
      <c r="X147" s="1578"/>
      <c r="Y147" s="1578"/>
      <c r="Z147" s="1578"/>
      <c r="AA147" s="1578"/>
      <c r="AB147" s="1578"/>
      <c r="AC147" s="1578"/>
      <c r="AD147" s="1578"/>
      <c r="AE147" s="1578"/>
      <c r="AF147" s="1578"/>
      <c r="AG147" s="1578"/>
      <c r="AH147" s="1578"/>
      <c r="AI147" s="1578"/>
      <c r="AJ147" s="1578"/>
      <c r="AK147" s="1578"/>
      <c r="AL147" s="1578"/>
      <c r="AM147" s="1578"/>
      <c r="AN147" s="1578"/>
      <c r="AO147" s="1578"/>
      <c r="AP147" s="1578"/>
      <c r="AQ147" s="1578"/>
      <c r="AR147" s="1578"/>
      <c r="AS147" s="1578"/>
      <c r="AT147" s="1578"/>
      <c r="AU147" s="1578"/>
      <c r="AV147" s="1578"/>
      <c r="AW147" s="1578"/>
      <c r="AX147" s="1578"/>
      <c r="AY147" s="1578"/>
      <c r="AZ147" s="1578"/>
      <c r="BA147" s="1578"/>
      <c r="BB147" s="1578"/>
      <c r="BC147" s="1578"/>
      <c r="BD147" s="1578"/>
      <c r="BE147" s="1578"/>
      <c r="BF147" s="1578"/>
      <c r="BG147" s="1578"/>
      <c r="BH147" s="1578"/>
      <c r="BI147" s="1578"/>
      <c r="BJ147" s="1578"/>
      <c r="BK147" s="1578"/>
      <c r="BL147" s="1578"/>
      <c r="BM147" s="1578"/>
      <c r="BN147" s="1578"/>
      <c r="BO147" s="1578"/>
      <c r="BP147" s="1578"/>
      <c r="BQ147" s="1578"/>
      <c r="BR147" s="1578"/>
      <c r="BS147" s="1578"/>
      <c r="BT147" s="1578"/>
      <c r="BU147" s="1578"/>
      <c r="BV147" s="1578"/>
      <c r="BW147" s="1578"/>
      <c r="BX147" s="1578"/>
      <c r="BY147" s="1578"/>
      <c r="BZ147" s="1578"/>
      <c r="CA147" s="1578"/>
      <c r="CB147" s="1578"/>
      <c r="CC147" s="1578"/>
      <c r="CD147" s="1578"/>
      <c r="CE147" s="1578"/>
      <c r="CF147" s="1578"/>
      <c r="CG147" s="1578"/>
      <c r="CH147" s="1578"/>
      <c r="CI147" s="1578"/>
      <c r="CJ147" s="1578"/>
      <c r="CK147" s="1578"/>
      <c r="CL147" s="1578"/>
      <c r="CM147" s="1578"/>
      <c r="CN147" s="1578"/>
      <c r="CO147" s="1578"/>
      <c r="CP147" s="1578"/>
      <c r="CQ147" s="1578"/>
      <c r="CR147" s="1578"/>
      <c r="CS147" s="1578"/>
      <c r="CT147" s="1578"/>
      <c r="CU147" s="1578"/>
      <c r="CV147" s="1578"/>
      <c r="CW147" s="1578"/>
      <c r="CX147" s="1578"/>
      <c r="CY147" s="1578"/>
      <c r="CZ147" s="1578"/>
    </row>
    <row r="148" spans="1:104">
      <c r="A148" s="1466"/>
      <c r="B148" s="1576"/>
      <c r="C148" s="1576"/>
      <c r="D148" s="1576"/>
      <c r="E148" s="1578"/>
      <c r="F148" s="1578"/>
      <c r="G148" s="1578"/>
      <c r="H148" s="1578"/>
      <c r="I148" s="1578"/>
      <c r="J148" s="1578"/>
      <c r="K148" s="1578"/>
      <c r="L148" s="1578"/>
      <c r="M148" s="1578"/>
      <c r="N148" s="1578"/>
      <c r="O148" s="1578"/>
      <c r="P148" s="1578"/>
      <c r="Q148" s="1578"/>
      <c r="R148" s="1578"/>
      <c r="S148" s="1578"/>
      <c r="T148" s="1578"/>
      <c r="U148" s="1578"/>
      <c r="V148" s="1578"/>
      <c r="W148" s="1578"/>
      <c r="X148" s="1578"/>
      <c r="Y148" s="1578"/>
      <c r="Z148" s="1578"/>
      <c r="AA148" s="1578"/>
      <c r="AB148" s="1578"/>
      <c r="AC148" s="1578"/>
      <c r="AD148" s="1578"/>
      <c r="AE148" s="1578"/>
      <c r="AF148" s="1578"/>
      <c r="AG148" s="1578"/>
      <c r="AH148" s="1578"/>
      <c r="AI148" s="1578"/>
      <c r="AJ148" s="1578"/>
      <c r="AK148" s="1578"/>
      <c r="AL148" s="1578"/>
      <c r="AM148" s="1578"/>
      <c r="AN148" s="1578"/>
      <c r="AO148" s="1578"/>
      <c r="AP148" s="1578"/>
      <c r="AQ148" s="1578"/>
      <c r="AR148" s="1578"/>
      <c r="AS148" s="1578"/>
      <c r="AT148" s="1578"/>
      <c r="AU148" s="1578"/>
      <c r="AV148" s="1578"/>
      <c r="AW148" s="1578"/>
      <c r="AX148" s="1578"/>
      <c r="AY148" s="1578"/>
      <c r="AZ148" s="1578"/>
      <c r="BA148" s="1578"/>
      <c r="BB148" s="1578"/>
      <c r="BC148" s="1578"/>
      <c r="BD148" s="1578"/>
      <c r="BE148" s="1578"/>
      <c r="BF148" s="1578"/>
      <c r="BG148" s="1578"/>
      <c r="BH148" s="1578"/>
      <c r="BI148" s="1578"/>
      <c r="BJ148" s="1578"/>
      <c r="BK148" s="1578"/>
      <c r="BL148" s="1578"/>
      <c r="BM148" s="1578"/>
      <c r="BN148" s="1578"/>
      <c r="BO148" s="1578"/>
      <c r="BP148" s="1578"/>
      <c r="BQ148" s="1578"/>
      <c r="BR148" s="1578"/>
      <c r="BS148" s="1578"/>
      <c r="BT148" s="1578"/>
      <c r="BU148" s="1578"/>
      <c r="BV148" s="1578"/>
      <c r="BW148" s="1578"/>
      <c r="BX148" s="1578"/>
      <c r="BY148" s="1578"/>
      <c r="BZ148" s="1578"/>
      <c r="CA148" s="1578"/>
      <c r="CB148" s="1578"/>
      <c r="CC148" s="1578"/>
      <c r="CD148" s="1578"/>
      <c r="CE148" s="1578"/>
      <c r="CF148" s="1578"/>
      <c r="CG148" s="1578"/>
      <c r="CH148" s="1578"/>
      <c r="CI148" s="1578"/>
      <c r="CJ148" s="1578"/>
      <c r="CK148" s="1578"/>
      <c r="CL148" s="1578"/>
      <c r="CM148" s="1578"/>
      <c r="CN148" s="1578"/>
      <c r="CO148" s="1578"/>
      <c r="CP148" s="1578"/>
      <c r="CQ148" s="1578"/>
      <c r="CR148" s="1578"/>
      <c r="CS148" s="1578"/>
      <c r="CT148" s="1578"/>
      <c r="CU148" s="1578"/>
      <c r="CV148" s="1578"/>
      <c r="CW148" s="1578"/>
      <c r="CX148" s="1578"/>
      <c r="CY148" s="1578"/>
      <c r="CZ148" s="1578"/>
    </row>
    <row r="149" spans="1:104">
      <c r="A149" s="1466"/>
      <c r="B149" s="1576"/>
      <c r="C149" s="1576"/>
      <c r="D149" s="1576"/>
      <c r="E149" s="1578"/>
      <c r="F149" s="1578"/>
      <c r="G149" s="1578"/>
      <c r="H149" s="1578"/>
      <c r="I149" s="1578"/>
      <c r="J149" s="1578"/>
      <c r="K149" s="1578"/>
      <c r="L149" s="1578"/>
      <c r="M149" s="1578"/>
      <c r="N149" s="1578"/>
      <c r="O149" s="1578"/>
      <c r="P149" s="1578"/>
      <c r="Q149" s="1578"/>
      <c r="R149" s="1578"/>
      <c r="S149" s="1578"/>
      <c r="T149" s="1578"/>
      <c r="U149" s="1578"/>
      <c r="V149" s="1578"/>
      <c r="W149" s="1578"/>
      <c r="X149" s="1578"/>
      <c r="Y149" s="1578"/>
      <c r="Z149" s="1578"/>
      <c r="AA149" s="1578"/>
      <c r="AB149" s="1578"/>
      <c r="AC149" s="1578"/>
      <c r="AD149" s="1578"/>
      <c r="AE149" s="1578"/>
      <c r="AF149" s="1578"/>
      <c r="AG149" s="1578"/>
      <c r="AH149" s="1578"/>
      <c r="AI149" s="1578"/>
      <c r="AJ149" s="1578"/>
      <c r="AK149" s="1578"/>
      <c r="AL149" s="1578"/>
      <c r="AM149" s="1578"/>
      <c r="AN149" s="1578"/>
      <c r="AO149" s="1578"/>
      <c r="AP149" s="1578"/>
      <c r="AQ149" s="1578"/>
      <c r="AR149" s="1578"/>
      <c r="AS149" s="1578"/>
      <c r="AT149" s="1578"/>
      <c r="AU149" s="1578"/>
      <c r="AV149" s="1578"/>
      <c r="AW149" s="1578"/>
      <c r="AX149" s="1578"/>
      <c r="AY149" s="1578"/>
      <c r="AZ149" s="1578"/>
      <c r="BA149" s="1578"/>
      <c r="BB149" s="1578"/>
      <c r="BC149" s="1578"/>
      <c r="BD149" s="1578"/>
      <c r="BE149" s="1578"/>
      <c r="BF149" s="1578"/>
      <c r="BG149" s="1578"/>
      <c r="BH149" s="1578"/>
      <c r="BI149" s="1578"/>
      <c r="BJ149" s="1578"/>
      <c r="BK149" s="1578"/>
      <c r="BL149" s="1578"/>
      <c r="BM149" s="1578"/>
      <c r="BN149" s="1578"/>
      <c r="BO149" s="1578"/>
      <c r="BP149" s="1578"/>
      <c r="BQ149" s="1578"/>
      <c r="BR149" s="1578"/>
      <c r="BS149" s="1578"/>
      <c r="BT149" s="1578"/>
      <c r="BU149" s="1578"/>
      <c r="BV149" s="1578"/>
      <c r="BW149" s="1578"/>
      <c r="BX149" s="1578"/>
      <c r="BY149" s="1578"/>
      <c r="BZ149" s="1578"/>
      <c r="CA149" s="1578"/>
      <c r="CB149" s="1578"/>
      <c r="CC149" s="1578"/>
      <c r="CD149" s="1578"/>
      <c r="CE149" s="1578"/>
      <c r="CF149" s="1578"/>
      <c r="CG149" s="1578"/>
      <c r="CH149" s="1578"/>
      <c r="CI149" s="1578"/>
      <c r="CJ149" s="1578"/>
      <c r="CK149" s="1578"/>
      <c r="CL149" s="1578"/>
      <c r="CM149" s="1578"/>
      <c r="CN149" s="1578"/>
      <c r="CO149" s="1578"/>
      <c r="CP149" s="1578"/>
      <c r="CQ149" s="1578"/>
      <c r="CR149" s="1578"/>
      <c r="CS149" s="1578"/>
      <c r="CT149" s="1578"/>
      <c r="CU149" s="1578"/>
      <c r="CV149" s="1578"/>
      <c r="CW149" s="1578"/>
      <c r="CX149" s="1578"/>
      <c r="CY149" s="1578"/>
      <c r="CZ149" s="1578"/>
    </row>
    <row r="150" spans="1:104">
      <c r="A150" s="1466"/>
      <c r="B150" s="1576"/>
      <c r="C150" s="1576"/>
      <c r="D150" s="1576"/>
      <c r="E150" s="1578"/>
      <c r="F150" s="1578"/>
      <c r="G150" s="1578"/>
      <c r="H150" s="1578"/>
      <c r="I150" s="1578"/>
      <c r="J150" s="1578"/>
      <c r="K150" s="1578"/>
      <c r="L150" s="1578"/>
      <c r="M150" s="1578"/>
      <c r="N150" s="1578"/>
      <c r="O150" s="1578"/>
      <c r="P150" s="1578"/>
      <c r="Q150" s="1578"/>
      <c r="R150" s="1578"/>
      <c r="S150" s="1578"/>
      <c r="T150" s="1578"/>
      <c r="U150" s="1578"/>
      <c r="V150" s="1578"/>
      <c r="W150" s="1578"/>
      <c r="X150" s="1578"/>
      <c r="Y150" s="1578"/>
      <c r="Z150" s="1578"/>
      <c r="AA150" s="1578"/>
      <c r="AB150" s="1578"/>
      <c r="AC150" s="1578"/>
      <c r="AD150" s="1578"/>
      <c r="AE150" s="1578"/>
      <c r="AF150" s="1578"/>
      <c r="AG150" s="1578"/>
      <c r="AH150" s="1578"/>
      <c r="AI150" s="1578"/>
      <c r="AJ150" s="1578"/>
      <c r="AK150" s="1578"/>
      <c r="AL150" s="1578"/>
      <c r="AM150" s="1578"/>
      <c r="AN150" s="1578"/>
      <c r="AO150" s="1578"/>
      <c r="AP150" s="1578"/>
      <c r="AQ150" s="1578"/>
      <c r="AR150" s="1578"/>
      <c r="AS150" s="1578"/>
      <c r="AT150" s="1578"/>
      <c r="AU150" s="1578"/>
      <c r="AV150" s="1578"/>
      <c r="AW150" s="1578"/>
      <c r="AX150" s="1578"/>
      <c r="AY150" s="1578"/>
      <c r="AZ150" s="1578"/>
      <c r="BA150" s="1578"/>
      <c r="BB150" s="1578"/>
      <c r="BC150" s="1578"/>
      <c r="BD150" s="1578"/>
      <c r="BE150" s="1578"/>
      <c r="BF150" s="1578"/>
      <c r="BG150" s="1578"/>
      <c r="BH150" s="1578"/>
      <c r="BI150" s="1578"/>
      <c r="BJ150" s="1578"/>
      <c r="BK150" s="1578"/>
      <c r="BL150" s="1578"/>
      <c r="BM150" s="1578"/>
      <c r="BN150" s="1578"/>
      <c r="BO150" s="1578"/>
      <c r="BP150" s="1578"/>
      <c r="BQ150" s="1578"/>
      <c r="BR150" s="1578"/>
      <c r="BS150" s="1578"/>
      <c r="BT150" s="1578"/>
      <c r="BU150" s="1578"/>
      <c r="BV150" s="1578"/>
      <c r="BW150" s="1578"/>
      <c r="BX150" s="1578"/>
      <c r="BY150" s="1578"/>
      <c r="BZ150" s="1578"/>
      <c r="CA150" s="1578"/>
      <c r="CB150" s="1578"/>
      <c r="CC150" s="1578"/>
      <c r="CD150" s="1578"/>
      <c r="CE150" s="1578"/>
      <c r="CF150" s="1578"/>
      <c r="CG150" s="1578"/>
      <c r="CH150" s="1578"/>
      <c r="CI150" s="1578"/>
      <c r="CJ150" s="1578"/>
      <c r="CK150" s="1578"/>
      <c r="CL150" s="1578"/>
      <c r="CM150" s="1578"/>
      <c r="CN150" s="1578"/>
      <c r="CO150" s="1578"/>
      <c r="CP150" s="1578"/>
      <c r="CQ150" s="1578"/>
      <c r="CR150" s="1578"/>
      <c r="CS150" s="1578"/>
      <c r="CT150" s="1578"/>
      <c r="CU150" s="1578"/>
      <c r="CV150" s="1578"/>
      <c r="CW150" s="1578"/>
      <c r="CX150" s="1578"/>
      <c r="CY150" s="1578"/>
      <c r="CZ150" s="1578"/>
    </row>
    <row r="151" spans="1:104">
      <c r="A151" s="1466"/>
      <c r="B151" s="1576"/>
      <c r="C151" s="1576"/>
      <c r="D151" s="1576"/>
      <c r="E151" s="1578"/>
      <c r="F151" s="1578"/>
      <c r="G151" s="1578"/>
      <c r="H151" s="1578"/>
      <c r="I151" s="1578"/>
      <c r="J151" s="1578"/>
      <c r="K151" s="1578"/>
      <c r="L151" s="1578"/>
      <c r="M151" s="1578"/>
      <c r="N151" s="1578"/>
      <c r="O151" s="1578"/>
      <c r="P151" s="1578"/>
      <c r="Q151" s="1578"/>
      <c r="R151" s="1578"/>
      <c r="S151" s="1578"/>
      <c r="T151" s="1578"/>
      <c r="U151" s="1578"/>
      <c r="V151" s="1578"/>
      <c r="W151" s="1578"/>
      <c r="X151" s="1578"/>
      <c r="Y151" s="1578"/>
      <c r="Z151" s="1578"/>
      <c r="AA151" s="1578"/>
      <c r="AB151" s="1578"/>
      <c r="AC151" s="1578"/>
      <c r="AD151" s="1578"/>
      <c r="AE151" s="1578"/>
      <c r="AF151" s="1578"/>
      <c r="AG151" s="1578"/>
      <c r="AH151" s="1578"/>
      <c r="AI151" s="1578"/>
      <c r="AJ151" s="1578"/>
      <c r="AK151" s="1578"/>
      <c r="AL151" s="1578"/>
      <c r="AM151" s="1578"/>
      <c r="AN151" s="1578"/>
      <c r="AO151" s="1578"/>
      <c r="AP151" s="1578"/>
      <c r="AQ151" s="1578"/>
      <c r="AR151" s="1578"/>
      <c r="AS151" s="1578"/>
      <c r="AT151" s="1578"/>
      <c r="AU151" s="1578"/>
      <c r="AV151" s="1578"/>
      <c r="AW151" s="1578"/>
      <c r="AX151" s="1578"/>
      <c r="AY151" s="1578"/>
      <c r="AZ151" s="1578"/>
      <c r="BA151" s="1578"/>
      <c r="BB151" s="1578"/>
      <c r="BC151" s="1578"/>
      <c r="BD151" s="1578"/>
      <c r="BE151" s="1578"/>
      <c r="BF151" s="1578"/>
      <c r="BG151" s="1578"/>
      <c r="BH151" s="1578"/>
      <c r="BI151" s="1578"/>
      <c r="BJ151" s="1578"/>
      <c r="BK151" s="1578"/>
      <c r="BL151" s="1578"/>
      <c r="BM151" s="1578"/>
      <c r="BN151" s="1578"/>
      <c r="BO151" s="1578"/>
      <c r="BP151" s="1578"/>
      <c r="BQ151" s="1578"/>
      <c r="BR151" s="1578"/>
      <c r="BS151" s="1578"/>
      <c r="BT151" s="1578"/>
      <c r="BU151" s="1578"/>
      <c r="BV151" s="1578"/>
      <c r="BW151" s="1578"/>
      <c r="BX151" s="1578"/>
      <c r="BY151" s="1578"/>
      <c r="BZ151" s="1578"/>
      <c r="CA151" s="1578"/>
      <c r="CB151" s="1578"/>
      <c r="CC151" s="1578"/>
      <c r="CD151" s="1578"/>
      <c r="CE151" s="1578"/>
      <c r="CF151" s="1578"/>
      <c r="CG151" s="1578"/>
      <c r="CH151" s="1578"/>
      <c r="CI151" s="1578"/>
      <c r="CJ151" s="1578"/>
      <c r="CK151" s="1578"/>
      <c r="CL151" s="1578"/>
      <c r="CM151" s="1578"/>
      <c r="CN151" s="1578"/>
      <c r="CO151" s="1578"/>
      <c r="CP151" s="1578"/>
      <c r="CQ151" s="1578"/>
      <c r="CR151" s="1578"/>
      <c r="CS151" s="1578"/>
      <c r="CT151" s="1578"/>
      <c r="CU151" s="1578"/>
      <c r="CV151" s="1578"/>
      <c r="CW151" s="1578"/>
      <c r="CX151" s="1578"/>
      <c r="CY151" s="1578"/>
      <c r="CZ151" s="1578"/>
    </row>
    <row r="152" spans="1:104">
      <c r="A152" s="1466"/>
      <c r="B152" s="1576"/>
      <c r="C152" s="1576"/>
      <c r="D152" s="1576"/>
      <c r="E152" s="1578"/>
      <c r="F152" s="1578"/>
      <c r="G152" s="1578"/>
      <c r="H152" s="1578"/>
      <c r="I152" s="1578"/>
      <c r="J152" s="1578"/>
      <c r="K152" s="1578"/>
      <c r="L152" s="1578"/>
      <c r="M152" s="1578"/>
      <c r="N152" s="1578"/>
      <c r="O152" s="1578"/>
      <c r="P152" s="1578"/>
      <c r="Q152" s="1578"/>
      <c r="R152" s="1578"/>
      <c r="S152" s="1578"/>
      <c r="T152" s="1578"/>
      <c r="U152" s="1578"/>
      <c r="V152" s="1578"/>
      <c r="W152" s="1578"/>
      <c r="X152" s="1578"/>
      <c r="Y152" s="1578"/>
      <c r="Z152" s="1578"/>
      <c r="AA152" s="1578"/>
      <c r="AB152" s="1578"/>
      <c r="AC152" s="1578"/>
      <c r="AD152" s="1578"/>
      <c r="AE152" s="1578"/>
      <c r="AF152" s="1578"/>
      <c r="AG152" s="1578"/>
      <c r="AH152" s="1578"/>
      <c r="AI152" s="1578"/>
      <c r="AJ152" s="1578"/>
      <c r="AK152" s="1578"/>
      <c r="AL152" s="1578"/>
      <c r="AM152" s="1578"/>
      <c r="AN152" s="1578"/>
      <c r="AO152" s="1578"/>
      <c r="AP152" s="1578"/>
      <c r="AQ152" s="1578"/>
      <c r="AR152" s="1578"/>
      <c r="AS152" s="1578"/>
      <c r="AT152" s="1578"/>
      <c r="AU152" s="1578"/>
      <c r="AV152" s="1578"/>
      <c r="AW152" s="1578"/>
      <c r="AX152" s="1578"/>
      <c r="AY152" s="1578"/>
      <c r="AZ152" s="1578"/>
      <c r="BA152" s="1578"/>
      <c r="BB152" s="1578"/>
      <c r="BC152" s="1578"/>
      <c r="BD152" s="1578"/>
      <c r="BE152" s="1578"/>
      <c r="BF152" s="1578"/>
      <c r="BG152" s="1578"/>
      <c r="BH152" s="1578"/>
      <c r="BI152" s="1578"/>
      <c r="BJ152" s="1578"/>
      <c r="BK152" s="1578"/>
      <c r="BL152" s="1578"/>
      <c r="BM152" s="1578"/>
      <c r="BN152" s="1578"/>
      <c r="BO152" s="1578"/>
      <c r="BP152" s="1578"/>
      <c r="BQ152" s="1578"/>
      <c r="BR152" s="1578"/>
      <c r="BS152" s="1578"/>
      <c r="BT152" s="1578"/>
      <c r="BU152" s="1578"/>
      <c r="BV152" s="1578"/>
      <c r="BW152" s="1578"/>
      <c r="BX152" s="1578"/>
      <c r="BY152" s="1578"/>
      <c r="BZ152" s="1578"/>
      <c r="CA152" s="1578"/>
      <c r="CB152" s="1578"/>
      <c r="CC152" s="1578"/>
      <c r="CD152" s="1578"/>
      <c r="CE152" s="1578"/>
      <c r="CF152" s="1578"/>
      <c r="CG152" s="1578"/>
      <c r="CH152" s="1578"/>
      <c r="CI152" s="1578"/>
      <c r="CJ152" s="1578"/>
      <c r="CK152" s="1578"/>
      <c r="CL152" s="1578"/>
      <c r="CM152" s="1578"/>
      <c r="CN152" s="1578"/>
      <c r="CO152" s="1578"/>
      <c r="CP152" s="1578"/>
      <c r="CQ152" s="1578"/>
      <c r="CR152" s="1578"/>
      <c r="CS152" s="1578"/>
      <c r="CT152" s="1578"/>
      <c r="CU152" s="1578"/>
      <c r="CV152" s="1578"/>
      <c r="CW152" s="1578"/>
      <c r="CX152" s="1578"/>
      <c r="CY152" s="1578"/>
      <c r="CZ152" s="1578"/>
    </row>
    <row r="153" spans="1:104">
      <c r="A153" s="1466"/>
      <c r="B153" s="1576"/>
      <c r="C153" s="1576"/>
      <c r="D153" s="1576"/>
      <c r="E153" s="1578"/>
      <c r="F153" s="1578"/>
      <c r="G153" s="1578"/>
      <c r="H153" s="1578"/>
      <c r="I153" s="1578"/>
      <c r="J153" s="1578"/>
      <c r="K153" s="1578"/>
      <c r="L153" s="1578"/>
      <c r="M153" s="1578"/>
      <c r="N153" s="1578"/>
      <c r="O153" s="1578"/>
      <c r="P153" s="1578"/>
      <c r="Q153" s="1578"/>
      <c r="R153" s="1578"/>
      <c r="S153" s="1578"/>
      <c r="T153" s="1578"/>
      <c r="U153" s="1578"/>
      <c r="V153" s="1578"/>
      <c r="W153" s="1578"/>
      <c r="X153" s="1578"/>
      <c r="Y153" s="1578"/>
      <c r="Z153" s="1578"/>
      <c r="AA153" s="1578"/>
      <c r="AB153" s="1578"/>
      <c r="AC153" s="1578"/>
      <c r="AD153" s="1578"/>
      <c r="AE153" s="1578"/>
      <c r="AF153" s="1578"/>
      <c r="AG153" s="1578"/>
      <c r="AH153" s="1578"/>
      <c r="AI153" s="1578"/>
      <c r="AJ153" s="1578"/>
      <c r="AK153" s="1578"/>
      <c r="AL153" s="1578"/>
      <c r="AM153" s="1578"/>
      <c r="AN153" s="1578"/>
      <c r="AO153" s="1578"/>
      <c r="AP153" s="1578"/>
      <c r="AQ153" s="1578"/>
      <c r="AR153" s="1578"/>
      <c r="AS153" s="1578"/>
      <c r="AT153" s="1578"/>
      <c r="AU153" s="1578"/>
      <c r="AV153" s="1578"/>
      <c r="AW153" s="1578"/>
      <c r="AX153" s="1578"/>
      <c r="AY153" s="1578"/>
      <c r="AZ153" s="1578"/>
      <c r="BA153" s="1578"/>
      <c r="BB153" s="1578"/>
      <c r="BC153" s="1578"/>
      <c r="BD153" s="1578"/>
      <c r="BE153" s="1578"/>
      <c r="BF153" s="1578"/>
      <c r="BG153" s="1578"/>
      <c r="BH153" s="1578"/>
      <c r="BI153" s="1578"/>
      <c r="BJ153" s="1578"/>
      <c r="BK153" s="1578"/>
      <c r="BL153" s="1578"/>
      <c r="BM153" s="1578"/>
      <c r="BN153" s="1578"/>
      <c r="BO153" s="1578"/>
      <c r="BP153" s="1578"/>
      <c r="BQ153" s="1578"/>
      <c r="BR153" s="1578"/>
      <c r="BS153" s="1578"/>
      <c r="BT153" s="1578"/>
      <c r="BU153" s="1578"/>
      <c r="BV153" s="1578"/>
      <c r="BW153" s="1578"/>
      <c r="BX153" s="1578"/>
      <c r="BY153" s="1578"/>
      <c r="BZ153" s="1578"/>
      <c r="CA153" s="1578"/>
      <c r="CB153" s="1578"/>
      <c r="CC153" s="1578"/>
      <c r="CD153" s="1578"/>
      <c r="CE153" s="1578"/>
      <c r="CF153" s="1578"/>
      <c r="CG153" s="1578"/>
      <c r="CH153" s="1578"/>
      <c r="CI153" s="1578"/>
      <c r="CJ153" s="1578"/>
      <c r="CK153" s="1578"/>
      <c r="CL153" s="1578"/>
      <c r="CM153" s="1578"/>
      <c r="CN153" s="1578"/>
      <c r="CO153" s="1578"/>
      <c r="CP153" s="1578"/>
      <c r="CQ153" s="1578"/>
      <c r="CR153" s="1578"/>
      <c r="CS153" s="1578"/>
      <c r="CT153" s="1578"/>
      <c r="CU153" s="1578"/>
      <c r="CV153" s="1578"/>
      <c r="CW153" s="1578"/>
      <c r="CX153" s="1578"/>
      <c r="CY153" s="1578"/>
      <c r="CZ153" s="1578"/>
    </row>
    <row r="154" spans="1:104">
      <c r="A154" s="1466"/>
      <c r="B154" s="1576"/>
      <c r="C154" s="1576"/>
      <c r="D154" s="1576"/>
      <c r="E154" s="1578"/>
      <c r="F154" s="1578"/>
      <c r="G154" s="1578"/>
      <c r="H154" s="1578"/>
      <c r="I154" s="1578"/>
      <c r="J154" s="1578"/>
      <c r="K154" s="1578"/>
      <c r="L154" s="1578"/>
      <c r="M154" s="1578"/>
      <c r="N154" s="1578"/>
      <c r="O154" s="1578"/>
      <c r="P154" s="1578"/>
      <c r="Q154" s="1578"/>
      <c r="R154" s="1578"/>
      <c r="S154" s="1578"/>
      <c r="T154" s="1578"/>
      <c r="U154" s="1578"/>
      <c r="V154" s="1578"/>
      <c r="W154" s="1578"/>
      <c r="X154" s="1578"/>
      <c r="Y154" s="1578"/>
      <c r="Z154" s="1578"/>
      <c r="AA154" s="1578"/>
      <c r="AB154" s="1578"/>
      <c r="AC154" s="1578"/>
      <c r="AD154" s="1578"/>
      <c r="AE154" s="1578"/>
      <c r="AF154" s="1578"/>
      <c r="AG154" s="1578"/>
      <c r="AH154" s="1578"/>
      <c r="AI154" s="1578"/>
      <c r="AJ154" s="1578"/>
      <c r="AK154" s="1578"/>
      <c r="AL154" s="1578"/>
      <c r="AM154" s="1578"/>
      <c r="AN154" s="1578"/>
      <c r="AO154" s="1578"/>
      <c r="AP154" s="1578"/>
      <c r="AQ154" s="1578"/>
      <c r="AR154" s="1578"/>
      <c r="AS154" s="1578"/>
      <c r="AT154" s="1578"/>
      <c r="AU154" s="1578"/>
      <c r="AV154" s="1578"/>
      <c r="AW154" s="1578"/>
      <c r="AX154" s="1578"/>
      <c r="AY154" s="1578"/>
      <c r="AZ154" s="1578"/>
      <c r="BA154" s="1578"/>
      <c r="BB154" s="1578"/>
      <c r="BC154" s="1578"/>
      <c r="BD154" s="1578"/>
      <c r="BE154" s="1578"/>
      <c r="BF154" s="1578"/>
      <c r="BG154" s="1578"/>
      <c r="BH154" s="1578"/>
      <c r="BI154" s="1578"/>
      <c r="BJ154" s="1578"/>
      <c r="BK154" s="1578"/>
      <c r="BL154" s="1578"/>
      <c r="BM154" s="1578"/>
      <c r="BN154" s="1578"/>
      <c r="BO154" s="1578"/>
      <c r="BP154" s="1578"/>
      <c r="BQ154" s="1578"/>
      <c r="BR154" s="1578"/>
      <c r="BS154" s="1578"/>
      <c r="BT154" s="1578"/>
      <c r="BU154" s="1578"/>
      <c r="BV154" s="1578"/>
      <c r="BW154" s="1578"/>
      <c r="BX154" s="1578"/>
      <c r="BY154" s="1578"/>
      <c r="BZ154" s="1578"/>
      <c r="CA154" s="1578"/>
      <c r="CB154" s="1578"/>
      <c r="CC154" s="1578"/>
      <c r="CD154" s="1578"/>
      <c r="CE154" s="1578"/>
      <c r="CF154" s="1578"/>
      <c r="CG154" s="1578"/>
      <c r="CH154" s="1578"/>
      <c r="CI154" s="1578"/>
      <c r="CJ154" s="1578"/>
      <c r="CK154" s="1578"/>
      <c r="CL154" s="1578"/>
      <c r="CM154" s="1578"/>
      <c r="CN154" s="1578"/>
      <c r="CO154" s="1578"/>
      <c r="CP154" s="1578"/>
      <c r="CQ154" s="1578"/>
      <c r="CR154" s="1578"/>
      <c r="CS154" s="1578"/>
      <c r="CT154" s="1578"/>
      <c r="CU154" s="1578"/>
      <c r="CV154" s="1578"/>
      <c r="CW154" s="1578"/>
      <c r="CX154" s="1578"/>
      <c r="CY154" s="1578"/>
      <c r="CZ154" s="1578"/>
    </row>
    <row r="155" spans="1:104">
      <c r="A155" s="1466"/>
      <c r="B155" s="1576"/>
      <c r="C155" s="1576"/>
      <c r="D155" s="1576"/>
      <c r="E155" s="1578"/>
      <c r="F155" s="1578"/>
      <c r="G155" s="1578"/>
      <c r="H155" s="1578"/>
      <c r="I155" s="1578"/>
      <c r="J155" s="1578"/>
      <c r="K155" s="1578"/>
      <c r="L155" s="1578"/>
      <c r="M155" s="1578"/>
      <c r="N155" s="1578"/>
      <c r="O155" s="1578"/>
      <c r="P155" s="1578"/>
      <c r="Q155" s="1578"/>
      <c r="R155" s="1578"/>
      <c r="S155" s="1578"/>
      <c r="T155" s="1578"/>
      <c r="U155" s="1578"/>
      <c r="V155" s="1578"/>
      <c r="W155" s="1578"/>
      <c r="X155" s="1578"/>
      <c r="Y155" s="1578"/>
      <c r="Z155" s="1578"/>
      <c r="AA155" s="1578"/>
      <c r="AB155" s="1578"/>
      <c r="AC155" s="1578"/>
      <c r="AD155" s="1578"/>
      <c r="AE155" s="1578"/>
      <c r="AF155" s="1578"/>
      <c r="AG155" s="1578"/>
      <c r="AH155" s="1578"/>
      <c r="AI155" s="1578"/>
      <c r="AJ155" s="1578"/>
      <c r="AK155" s="1578"/>
      <c r="AL155" s="1578"/>
      <c r="AM155" s="1578"/>
      <c r="AN155" s="1578"/>
      <c r="AO155" s="1578"/>
      <c r="AP155" s="1578"/>
      <c r="AQ155" s="1578"/>
      <c r="AR155" s="1578"/>
      <c r="AS155" s="1578"/>
      <c r="AT155" s="1578"/>
      <c r="AU155" s="1578"/>
      <c r="AV155" s="1578"/>
      <c r="AW155" s="1578"/>
      <c r="AX155" s="1578"/>
      <c r="AY155" s="1578"/>
      <c r="AZ155" s="1578"/>
      <c r="BA155" s="1578"/>
      <c r="BB155" s="1578"/>
      <c r="BC155" s="1578"/>
      <c r="BD155" s="1578"/>
      <c r="BE155" s="1578"/>
      <c r="BF155" s="1578"/>
      <c r="BG155" s="1578"/>
      <c r="BH155" s="1578"/>
      <c r="BI155" s="1578"/>
      <c r="BJ155" s="1578"/>
      <c r="BK155" s="1578"/>
      <c r="BL155" s="1578"/>
      <c r="BM155" s="1578"/>
      <c r="BN155" s="1578"/>
      <c r="BO155" s="1578"/>
      <c r="BP155" s="1578"/>
      <c r="BQ155" s="1578"/>
      <c r="BR155" s="1578"/>
      <c r="BS155" s="1578"/>
      <c r="BT155" s="1578"/>
      <c r="BU155" s="1578"/>
      <c r="BV155" s="1578"/>
      <c r="BW155" s="1578"/>
      <c r="BX155" s="1578"/>
      <c r="BY155" s="1578"/>
      <c r="BZ155" s="1578"/>
      <c r="CA155" s="1578"/>
      <c r="CB155" s="1578"/>
      <c r="CC155" s="1578"/>
      <c r="CD155" s="1578"/>
      <c r="CE155" s="1578"/>
      <c r="CF155" s="1578"/>
      <c r="CG155" s="1578"/>
      <c r="CH155" s="1578"/>
      <c r="CI155" s="1578"/>
      <c r="CJ155" s="1578"/>
      <c r="CK155" s="1578"/>
      <c r="CL155" s="1578"/>
      <c r="CM155" s="1578"/>
      <c r="CN155" s="1578"/>
      <c r="CO155" s="1578"/>
      <c r="CP155" s="1578"/>
      <c r="CQ155" s="1578"/>
      <c r="CR155" s="1578"/>
      <c r="CS155" s="1578"/>
      <c r="CT155" s="1578"/>
      <c r="CU155" s="1578"/>
      <c r="CV155" s="1578"/>
      <c r="CW155" s="1578"/>
      <c r="CX155" s="1578"/>
      <c r="CY155" s="1578"/>
      <c r="CZ155" s="1578"/>
    </row>
    <row r="156" spans="1:104">
      <c r="A156" s="1466"/>
      <c r="B156" s="1576"/>
      <c r="C156" s="1576"/>
      <c r="D156" s="1576"/>
      <c r="E156" s="1578"/>
      <c r="F156" s="1578"/>
      <c r="G156" s="1578"/>
      <c r="H156" s="1578"/>
      <c r="I156" s="1578"/>
      <c r="J156" s="1578"/>
      <c r="K156" s="1578"/>
      <c r="L156" s="1578"/>
      <c r="M156" s="1578"/>
      <c r="N156" s="1578"/>
      <c r="O156" s="1578"/>
      <c r="P156" s="1578"/>
      <c r="Q156" s="1578"/>
      <c r="R156" s="1578"/>
      <c r="S156" s="1578"/>
      <c r="T156" s="1578"/>
      <c r="U156" s="1578"/>
      <c r="V156" s="1578"/>
      <c r="W156" s="1578"/>
      <c r="X156" s="1578"/>
      <c r="Y156" s="1578"/>
      <c r="Z156" s="1578"/>
      <c r="AA156" s="1578"/>
      <c r="AB156" s="1578"/>
      <c r="AC156" s="1578"/>
      <c r="AD156" s="1578"/>
      <c r="AE156" s="1578"/>
      <c r="AF156" s="1578"/>
      <c r="AG156" s="1578"/>
      <c r="AH156" s="1578"/>
      <c r="AI156" s="1578"/>
      <c r="AJ156" s="1578"/>
      <c r="AK156" s="1578"/>
      <c r="AL156" s="1578"/>
      <c r="AM156" s="1578"/>
      <c r="AN156" s="1578"/>
      <c r="AO156" s="1578"/>
      <c r="AP156" s="1578"/>
      <c r="AQ156" s="1578"/>
      <c r="AR156" s="1578"/>
      <c r="AS156" s="1578"/>
      <c r="AT156" s="1578"/>
      <c r="AU156" s="1578"/>
      <c r="AV156" s="1578"/>
      <c r="AW156" s="1578"/>
      <c r="AX156" s="1578"/>
      <c r="AY156" s="1578"/>
      <c r="AZ156" s="1578"/>
      <c r="BA156" s="1578"/>
      <c r="BB156" s="1578"/>
      <c r="BC156" s="1578"/>
      <c r="BD156" s="1578"/>
      <c r="BE156" s="1578"/>
      <c r="BF156" s="1578"/>
      <c r="BG156" s="1578"/>
      <c r="BH156" s="1578"/>
      <c r="BI156" s="1578"/>
      <c r="BJ156" s="1578"/>
      <c r="BK156" s="1578"/>
      <c r="BL156" s="1578"/>
      <c r="BM156" s="1578"/>
      <c r="BN156" s="1578"/>
      <c r="BO156" s="1578"/>
      <c r="BP156" s="1578"/>
      <c r="BQ156" s="1578"/>
      <c r="BR156" s="1578"/>
      <c r="BS156" s="1578"/>
      <c r="BT156" s="1578"/>
      <c r="BU156" s="1578"/>
      <c r="BV156" s="1578"/>
      <c r="BW156" s="1578"/>
      <c r="BX156" s="1578"/>
      <c r="BY156" s="1578"/>
      <c r="BZ156" s="1578"/>
      <c r="CA156" s="1578"/>
      <c r="CB156" s="1578"/>
      <c r="CC156" s="1578"/>
      <c r="CD156" s="1578"/>
      <c r="CE156" s="1578"/>
      <c r="CF156" s="1578"/>
      <c r="CG156" s="1578"/>
      <c r="CH156" s="1578"/>
      <c r="CI156" s="1578"/>
      <c r="CJ156" s="1578"/>
      <c r="CK156" s="1578"/>
      <c r="CL156" s="1578"/>
      <c r="CM156" s="1578"/>
      <c r="CN156" s="1578"/>
      <c r="CO156" s="1578"/>
      <c r="CP156" s="1578"/>
      <c r="CQ156" s="1578"/>
      <c r="CR156" s="1578"/>
      <c r="CS156" s="1578"/>
      <c r="CT156" s="1578"/>
      <c r="CU156" s="1578"/>
      <c r="CV156" s="1578"/>
      <c r="CW156" s="1578"/>
      <c r="CX156" s="1578"/>
      <c r="CY156" s="1578"/>
      <c r="CZ156" s="1578"/>
    </row>
    <row r="157" spans="1:104">
      <c r="A157" s="1466"/>
      <c r="B157" s="1576"/>
      <c r="C157" s="1576"/>
      <c r="D157" s="1576"/>
      <c r="E157" s="1578"/>
      <c r="F157" s="1578"/>
      <c r="G157" s="1578"/>
      <c r="H157" s="1578"/>
      <c r="I157" s="1578"/>
      <c r="J157" s="1578"/>
      <c r="K157" s="1578"/>
      <c r="L157" s="1578"/>
      <c r="M157" s="1578"/>
      <c r="N157" s="1578"/>
      <c r="O157" s="1578"/>
      <c r="P157" s="1578"/>
      <c r="Q157" s="1578"/>
      <c r="R157" s="1578"/>
      <c r="S157" s="1578"/>
      <c r="T157" s="1578"/>
      <c r="U157" s="1578"/>
      <c r="V157" s="1578"/>
      <c r="W157" s="1578"/>
      <c r="X157" s="1578"/>
      <c r="Y157" s="1578"/>
      <c r="Z157" s="1578"/>
      <c r="AA157" s="1578"/>
      <c r="AB157" s="1578"/>
      <c r="AC157" s="1578"/>
      <c r="AD157" s="1578"/>
      <c r="AE157" s="1578"/>
      <c r="AF157" s="1578"/>
      <c r="AG157" s="1578"/>
      <c r="AH157" s="1578"/>
      <c r="AI157" s="1578"/>
      <c r="AJ157" s="1578"/>
      <c r="AK157" s="1578"/>
      <c r="AL157" s="1578"/>
      <c r="AM157" s="1578"/>
      <c r="AN157" s="1578"/>
      <c r="AO157" s="1578"/>
      <c r="AP157" s="1578"/>
      <c r="AQ157" s="1578"/>
      <c r="AR157" s="1578"/>
      <c r="AS157" s="1578"/>
      <c r="AT157" s="1578"/>
      <c r="AU157" s="1578"/>
      <c r="AV157" s="1578"/>
      <c r="AW157" s="1578"/>
      <c r="AX157" s="1578"/>
      <c r="AY157" s="1578"/>
      <c r="AZ157" s="1578"/>
      <c r="BA157" s="1578"/>
      <c r="BB157" s="1578"/>
      <c r="BC157" s="1578"/>
      <c r="BD157" s="1578"/>
      <c r="BE157" s="1578"/>
      <c r="BF157" s="1578"/>
      <c r="BG157" s="1578"/>
      <c r="BH157" s="1578"/>
      <c r="BI157" s="1578"/>
      <c r="BJ157" s="1578"/>
      <c r="BK157" s="1578"/>
      <c r="BL157" s="1578"/>
      <c r="BM157" s="1578"/>
      <c r="BN157" s="1578"/>
      <c r="BO157" s="1578"/>
      <c r="BP157" s="1578"/>
      <c r="BQ157" s="1578"/>
      <c r="BR157" s="1578"/>
      <c r="BS157" s="1578"/>
      <c r="BT157" s="1578"/>
      <c r="BU157" s="1578"/>
      <c r="BV157" s="1578"/>
      <c r="BW157" s="1578"/>
      <c r="BX157" s="1578"/>
      <c r="BY157" s="1578"/>
      <c r="BZ157" s="1578"/>
      <c r="CA157" s="1578"/>
      <c r="CB157" s="1578"/>
      <c r="CC157" s="1578"/>
      <c r="CD157" s="1578"/>
      <c r="CE157" s="1578"/>
      <c r="CF157" s="1578"/>
      <c r="CG157" s="1578"/>
      <c r="CH157" s="1578"/>
      <c r="CI157" s="1578"/>
      <c r="CJ157" s="1578"/>
      <c r="CK157" s="1578"/>
      <c r="CL157" s="1578"/>
      <c r="CM157" s="1578"/>
      <c r="CN157" s="1578"/>
      <c r="CO157" s="1578"/>
      <c r="CP157" s="1578"/>
      <c r="CQ157" s="1578"/>
      <c r="CR157" s="1578"/>
      <c r="CS157" s="1578"/>
      <c r="CT157" s="1578"/>
      <c r="CU157" s="1578"/>
      <c r="CV157" s="1578"/>
      <c r="CW157" s="1578"/>
      <c r="CX157" s="1578"/>
      <c r="CY157" s="1578"/>
      <c r="CZ157" s="1578"/>
    </row>
    <row r="158" spans="1:104">
      <c r="A158" s="1466"/>
      <c r="B158" s="1576"/>
      <c r="C158" s="1576"/>
      <c r="D158" s="1576"/>
      <c r="E158" s="1578"/>
      <c r="F158" s="1578"/>
      <c r="G158" s="1578"/>
      <c r="H158" s="1578"/>
      <c r="I158" s="1578"/>
      <c r="J158" s="1578"/>
      <c r="K158" s="1578"/>
      <c r="L158" s="1578"/>
      <c r="M158" s="1578"/>
      <c r="N158" s="1578"/>
      <c r="O158" s="1578"/>
      <c r="P158" s="1578"/>
      <c r="Q158" s="1578"/>
      <c r="R158" s="1578"/>
      <c r="S158" s="1578"/>
      <c r="T158" s="1578"/>
      <c r="U158" s="1578"/>
      <c r="V158" s="1578"/>
      <c r="W158" s="1578"/>
      <c r="X158" s="1578"/>
      <c r="Y158" s="1578"/>
      <c r="Z158" s="1578"/>
      <c r="AA158" s="1578"/>
      <c r="AB158" s="1578"/>
      <c r="AC158" s="1578"/>
      <c r="AD158" s="1578"/>
      <c r="AE158" s="1578"/>
      <c r="AF158" s="1578"/>
      <c r="AG158" s="1578"/>
      <c r="AH158" s="1578"/>
      <c r="AI158" s="1578"/>
      <c r="AJ158" s="1578"/>
      <c r="AK158" s="1578"/>
      <c r="AL158" s="1578"/>
      <c r="AM158" s="1578"/>
      <c r="AN158" s="1578"/>
      <c r="AO158" s="1578"/>
      <c r="AP158" s="1578"/>
      <c r="AQ158" s="1578"/>
      <c r="AR158" s="1578"/>
      <c r="AS158" s="1578"/>
      <c r="AT158" s="1578"/>
      <c r="AU158" s="1578"/>
      <c r="AV158" s="1578"/>
      <c r="AW158" s="1578"/>
      <c r="AX158" s="1578"/>
      <c r="AY158" s="1578"/>
      <c r="AZ158" s="1578"/>
      <c r="BA158" s="1578"/>
      <c r="BB158" s="1578"/>
      <c r="BC158" s="1578"/>
      <c r="BD158" s="1578"/>
      <c r="BE158" s="1578"/>
      <c r="BF158" s="1578"/>
      <c r="BG158" s="1578"/>
      <c r="BH158" s="1578"/>
      <c r="BI158" s="1578"/>
      <c r="BJ158" s="1578"/>
      <c r="BK158" s="1578"/>
      <c r="BL158" s="1578"/>
      <c r="BM158" s="1578"/>
      <c r="BN158" s="1578"/>
      <c r="BO158" s="1578"/>
      <c r="BP158" s="1578"/>
      <c r="BQ158" s="1578"/>
      <c r="BR158" s="1578"/>
      <c r="BS158" s="1578"/>
      <c r="BT158" s="1578"/>
      <c r="BU158" s="1578"/>
      <c r="BV158" s="1578"/>
      <c r="BW158" s="1578"/>
      <c r="BX158" s="1578"/>
      <c r="BY158" s="1578"/>
      <c r="BZ158" s="1578"/>
      <c r="CA158" s="1578"/>
      <c r="CB158" s="1578"/>
      <c r="CC158" s="1578"/>
      <c r="CD158" s="1578"/>
      <c r="CE158" s="1578"/>
      <c r="CF158" s="1578"/>
      <c r="CG158" s="1578"/>
      <c r="CH158" s="1578"/>
      <c r="CI158" s="1578"/>
      <c r="CJ158" s="1578"/>
      <c r="CK158" s="1578"/>
      <c r="CL158" s="1578"/>
      <c r="CM158" s="1578"/>
      <c r="CN158" s="1578"/>
      <c r="CO158" s="1578"/>
      <c r="CP158" s="1578"/>
      <c r="CQ158" s="1578"/>
      <c r="CR158" s="1578"/>
      <c r="CS158" s="1578"/>
      <c r="CT158" s="1578"/>
      <c r="CU158" s="1578"/>
      <c r="CV158" s="1578"/>
      <c r="CW158" s="1578"/>
      <c r="CX158" s="1578"/>
      <c r="CY158" s="1578"/>
      <c r="CZ158" s="1578"/>
    </row>
    <row r="159" spans="1:104">
      <c r="A159" s="1466"/>
      <c r="B159" s="1576"/>
      <c r="C159" s="1576"/>
      <c r="D159" s="1576"/>
      <c r="E159" s="1578"/>
      <c r="F159" s="1578"/>
      <c r="G159" s="1578"/>
      <c r="H159" s="1578"/>
      <c r="I159" s="1578"/>
      <c r="J159" s="1578"/>
      <c r="K159" s="1578"/>
      <c r="L159" s="1578"/>
      <c r="M159" s="1578"/>
      <c r="N159" s="1578"/>
      <c r="O159" s="1578"/>
      <c r="P159" s="1578"/>
      <c r="Q159" s="1578"/>
      <c r="R159" s="1578"/>
      <c r="S159" s="1578"/>
      <c r="T159" s="1578"/>
      <c r="U159" s="1578"/>
      <c r="V159" s="1578"/>
      <c r="W159" s="1578"/>
      <c r="X159" s="1578"/>
      <c r="Y159" s="1578"/>
      <c r="Z159" s="1578"/>
      <c r="AA159" s="1578"/>
      <c r="AB159" s="1578"/>
      <c r="AC159" s="1578"/>
      <c r="AD159" s="1578"/>
      <c r="AE159" s="1578"/>
      <c r="AF159" s="1578"/>
      <c r="AG159" s="1578"/>
      <c r="AH159" s="1578"/>
      <c r="AI159" s="1578"/>
      <c r="AJ159" s="1578"/>
      <c r="AK159" s="1578"/>
      <c r="AL159" s="1578"/>
      <c r="AM159" s="1578"/>
      <c r="AN159" s="1578"/>
      <c r="AO159" s="1578"/>
      <c r="AP159" s="1578"/>
      <c r="AQ159" s="1578"/>
      <c r="AR159" s="1578"/>
      <c r="AS159" s="1578"/>
      <c r="AT159" s="1578"/>
      <c r="AU159" s="1578"/>
      <c r="AV159" s="1578"/>
      <c r="AW159" s="1578"/>
      <c r="AX159" s="1578"/>
      <c r="AY159" s="1578"/>
      <c r="AZ159" s="1578"/>
      <c r="BA159" s="1578"/>
      <c r="BB159" s="1578"/>
      <c r="BC159" s="1578"/>
      <c r="BD159" s="1578"/>
      <c r="BE159" s="1578"/>
      <c r="BF159" s="1578"/>
      <c r="BG159" s="1578"/>
      <c r="BH159" s="1578"/>
      <c r="BI159" s="1578"/>
      <c r="BJ159" s="1578"/>
      <c r="BK159" s="1578"/>
      <c r="BL159" s="1578"/>
      <c r="BM159" s="1578"/>
      <c r="BN159" s="1578"/>
      <c r="BO159" s="1578"/>
      <c r="BP159" s="1578"/>
      <c r="BQ159" s="1578"/>
      <c r="BR159" s="1578"/>
      <c r="BS159" s="1578"/>
      <c r="BT159" s="1578"/>
      <c r="BU159" s="1578"/>
      <c r="BV159" s="1578"/>
      <c r="BW159" s="1578"/>
      <c r="BX159" s="1578"/>
      <c r="BY159" s="1578"/>
      <c r="BZ159" s="1578"/>
      <c r="CA159" s="1578"/>
      <c r="CB159" s="1578"/>
      <c r="CC159" s="1578"/>
      <c r="CD159" s="1578"/>
      <c r="CE159" s="1578"/>
      <c r="CF159" s="1578"/>
      <c r="CG159" s="1578"/>
      <c r="CH159" s="1578"/>
      <c r="CI159" s="1578"/>
      <c r="CJ159" s="1578"/>
      <c r="CK159" s="1578"/>
      <c r="CL159" s="1578"/>
      <c r="CM159" s="1578"/>
      <c r="CN159" s="1578"/>
      <c r="CO159" s="1578"/>
      <c r="CP159" s="1578"/>
      <c r="CQ159" s="1578"/>
      <c r="CR159" s="1578"/>
      <c r="CS159" s="1578"/>
      <c r="CT159" s="1578"/>
      <c r="CU159" s="1578"/>
      <c r="CV159" s="1578"/>
      <c r="CW159" s="1578"/>
      <c r="CX159" s="1578"/>
      <c r="CY159" s="1578"/>
      <c r="CZ159" s="1578"/>
    </row>
    <row r="160" spans="1:104">
      <c r="A160" s="1466"/>
      <c r="B160" s="1576"/>
      <c r="C160" s="1576"/>
      <c r="D160" s="1576"/>
      <c r="E160" s="1578"/>
      <c r="F160" s="1578"/>
      <c r="G160" s="1578"/>
      <c r="H160" s="1578"/>
      <c r="I160" s="1578"/>
      <c r="J160" s="1578"/>
      <c r="K160" s="1578"/>
      <c r="L160" s="1578"/>
      <c r="M160" s="1578"/>
      <c r="N160" s="1578"/>
      <c r="O160" s="1578"/>
      <c r="P160" s="1578"/>
      <c r="Q160" s="1578"/>
      <c r="R160" s="1578"/>
      <c r="S160" s="1578"/>
      <c r="T160" s="1578"/>
      <c r="U160" s="1578"/>
      <c r="V160" s="1578"/>
      <c r="W160" s="1578"/>
      <c r="X160" s="1578"/>
      <c r="Y160" s="1578"/>
      <c r="Z160" s="1578"/>
      <c r="AA160" s="1578"/>
      <c r="AB160" s="1578"/>
      <c r="AC160" s="1578"/>
      <c r="AD160" s="1578"/>
      <c r="AE160" s="1578"/>
      <c r="AF160" s="1578"/>
      <c r="AG160" s="1578"/>
      <c r="AH160" s="1578"/>
      <c r="AI160" s="1578"/>
      <c r="AJ160" s="1578"/>
      <c r="AK160" s="1578"/>
      <c r="AL160" s="1578"/>
      <c r="AM160" s="1578"/>
      <c r="AN160" s="1578"/>
      <c r="AO160" s="1578"/>
      <c r="AP160" s="1578"/>
      <c r="AQ160" s="1578"/>
      <c r="AR160" s="1578"/>
      <c r="AS160" s="1578"/>
      <c r="AT160" s="1578"/>
      <c r="AU160" s="1578"/>
      <c r="AV160" s="1578"/>
      <c r="AW160" s="1578"/>
      <c r="AX160" s="1578"/>
      <c r="AY160" s="1578"/>
      <c r="AZ160" s="1578"/>
      <c r="BA160" s="1578"/>
      <c r="BB160" s="1578"/>
      <c r="BC160" s="1578"/>
      <c r="BD160" s="1578"/>
      <c r="BE160" s="1578"/>
      <c r="BF160" s="1578"/>
      <c r="BG160" s="1578"/>
      <c r="BH160" s="1578"/>
      <c r="BI160" s="1578"/>
      <c r="BJ160" s="1578"/>
      <c r="BK160" s="1578"/>
      <c r="BL160" s="1578"/>
      <c r="BM160" s="1578"/>
      <c r="BN160" s="1578"/>
      <c r="BO160" s="1578"/>
      <c r="BP160" s="1578"/>
      <c r="BQ160" s="1578"/>
      <c r="BR160" s="1578"/>
      <c r="BS160" s="1578"/>
      <c r="BT160" s="1578"/>
      <c r="BU160" s="1578"/>
      <c r="BV160" s="1578"/>
      <c r="BW160" s="1578"/>
      <c r="BX160" s="1578"/>
      <c r="BY160" s="1578"/>
      <c r="BZ160" s="1578"/>
      <c r="CA160" s="1578"/>
      <c r="CB160" s="1578"/>
      <c r="CC160" s="1578"/>
      <c r="CD160" s="1578"/>
      <c r="CE160" s="1578"/>
      <c r="CF160" s="1578"/>
      <c r="CG160" s="1578"/>
      <c r="CH160" s="1578"/>
      <c r="CI160" s="1578"/>
      <c r="CJ160" s="1578"/>
      <c r="CK160" s="1578"/>
      <c r="CL160" s="1578"/>
      <c r="CM160" s="1578"/>
      <c r="CN160" s="1578"/>
      <c r="CO160" s="1578"/>
      <c r="CP160" s="1578"/>
      <c r="CQ160" s="1578"/>
      <c r="CR160" s="1578"/>
      <c r="CS160" s="1578"/>
      <c r="CT160" s="1578"/>
      <c r="CU160" s="1578"/>
      <c r="CV160" s="1578"/>
      <c r="CW160" s="1578"/>
      <c r="CX160" s="1578"/>
      <c r="CY160" s="1578"/>
      <c r="CZ160" s="1578"/>
    </row>
    <row r="161" spans="1:104">
      <c r="A161" s="1466"/>
      <c r="B161" s="1576"/>
      <c r="C161" s="1576"/>
      <c r="D161" s="1576"/>
      <c r="E161" s="1578"/>
      <c r="F161" s="1578"/>
      <c r="G161" s="1578"/>
      <c r="H161" s="1578"/>
      <c r="I161" s="1578"/>
      <c r="J161" s="1578"/>
      <c r="K161" s="1578"/>
      <c r="L161" s="1578"/>
      <c r="M161" s="1578"/>
      <c r="N161" s="1578"/>
      <c r="O161" s="1578"/>
      <c r="P161" s="1578"/>
      <c r="Q161" s="1578"/>
      <c r="R161" s="1578"/>
      <c r="S161" s="1578"/>
      <c r="T161" s="1578"/>
      <c r="U161" s="1578"/>
      <c r="V161" s="1578"/>
      <c r="W161" s="1578"/>
      <c r="X161" s="1578"/>
      <c r="Y161" s="1578"/>
      <c r="Z161" s="1578"/>
      <c r="AA161" s="1578"/>
      <c r="AB161" s="1578"/>
      <c r="AC161" s="1578"/>
      <c r="AD161" s="1578"/>
      <c r="AE161" s="1578"/>
      <c r="AF161" s="1578"/>
      <c r="AG161" s="1578"/>
      <c r="AH161" s="1578"/>
      <c r="AI161" s="1578"/>
      <c r="AJ161" s="1578"/>
      <c r="AK161" s="1578"/>
      <c r="AL161" s="1578"/>
      <c r="AM161" s="1578"/>
      <c r="AN161" s="1578"/>
      <c r="AO161" s="1578"/>
      <c r="AP161" s="1578"/>
      <c r="AQ161" s="1578"/>
      <c r="AR161" s="1578"/>
      <c r="AS161" s="1578"/>
      <c r="AT161" s="1578"/>
      <c r="AU161" s="1578"/>
      <c r="AV161" s="1578"/>
      <c r="AW161" s="1578"/>
      <c r="AX161" s="1578"/>
      <c r="AY161" s="1578"/>
      <c r="AZ161" s="1578"/>
      <c r="BA161" s="1578"/>
      <c r="BB161" s="1578"/>
      <c r="BC161" s="1578"/>
      <c r="BD161" s="1578"/>
      <c r="BE161" s="1578"/>
      <c r="BF161" s="1578"/>
      <c r="BG161" s="1578"/>
      <c r="BH161" s="1578"/>
      <c r="BI161" s="1578"/>
      <c r="BJ161" s="1578"/>
      <c r="BK161" s="1578"/>
      <c r="BL161" s="1578"/>
      <c r="BM161" s="1578"/>
      <c r="BN161" s="1578"/>
      <c r="BO161" s="1578"/>
      <c r="BP161" s="1578"/>
      <c r="BQ161" s="1578"/>
      <c r="BR161" s="1578"/>
      <c r="BS161" s="1578"/>
      <c r="BT161" s="1578"/>
      <c r="BU161" s="1578"/>
      <c r="BV161" s="1578"/>
      <c r="BW161" s="1578"/>
      <c r="BX161" s="1578"/>
      <c r="BY161" s="1578"/>
      <c r="BZ161" s="1578"/>
      <c r="CA161" s="1578"/>
      <c r="CB161" s="1578"/>
      <c r="CC161" s="1578"/>
      <c r="CD161" s="1578"/>
      <c r="CE161" s="1578"/>
      <c r="CF161" s="1578"/>
      <c r="CG161" s="1578"/>
      <c r="CH161" s="1578"/>
      <c r="CI161" s="1578"/>
      <c r="CJ161" s="1578"/>
      <c r="CK161" s="1578"/>
      <c r="CL161" s="1578"/>
      <c r="CM161" s="1578"/>
      <c r="CN161" s="1578"/>
      <c r="CO161" s="1578"/>
      <c r="CP161" s="1578"/>
      <c r="CQ161" s="1578"/>
      <c r="CR161" s="1578"/>
      <c r="CS161" s="1578"/>
      <c r="CT161" s="1578"/>
      <c r="CU161" s="1578"/>
      <c r="CV161" s="1578"/>
      <c r="CW161" s="1578"/>
      <c r="CX161" s="1578"/>
      <c r="CY161" s="1578"/>
      <c r="CZ161" s="1578"/>
    </row>
    <row r="162" spans="1:104">
      <c r="A162" s="1466"/>
      <c r="B162" s="1576"/>
      <c r="C162" s="1576"/>
      <c r="D162" s="1576"/>
      <c r="E162" s="1578"/>
      <c r="F162" s="1578"/>
      <c r="G162" s="1578"/>
      <c r="H162" s="1578"/>
      <c r="I162" s="1578"/>
      <c r="J162" s="1578"/>
      <c r="K162" s="1578"/>
      <c r="L162" s="1578"/>
      <c r="M162" s="1578"/>
      <c r="N162" s="1578"/>
      <c r="O162" s="1578"/>
      <c r="P162" s="1578"/>
      <c r="Q162" s="1578"/>
      <c r="R162" s="1578"/>
      <c r="S162" s="1578"/>
      <c r="T162" s="1578"/>
      <c r="U162" s="1578"/>
      <c r="V162" s="1578"/>
      <c r="W162" s="1578"/>
      <c r="X162" s="1578"/>
      <c r="Y162" s="1578"/>
      <c r="Z162" s="1578"/>
      <c r="AA162" s="1578"/>
      <c r="AB162" s="1578"/>
      <c r="AC162" s="1578"/>
      <c r="AD162" s="1578"/>
      <c r="AE162" s="1578"/>
      <c r="AF162" s="1578"/>
      <c r="AG162" s="1578"/>
      <c r="AH162" s="1578"/>
      <c r="AI162" s="1578"/>
      <c r="AJ162" s="1578"/>
      <c r="AK162" s="1578"/>
      <c r="AL162" s="1578"/>
      <c r="AM162" s="1578"/>
      <c r="AN162" s="1578"/>
      <c r="AO162" s="1578"/>
      <c r="AP162" s="1578"/>
      <c r="AQ162" s="1578"/>
      <c r="AR162" s="1578"/>
      <c r="AS162" s="1578"/>
      <c r="AT162" s="1578"/>
      <c r="AU162" s="1578"/>
      <c r="AV162" s="1578"/>
      <c r="AW162" s="1578"/>
      <c r="AX162" s="1578"/>
      <c r="AY162" s="1578"/>
      <c r="AZ162" s="1578"/>
      <c r="BA162" s="1578"/>
      <c r="BB162" s="1578"/>
      <c r="BC162" s="1578"/>
      <c r="BD162" s="1578"/>
      <c r="BE162" s="1578"/>
      <c r="BF162" s="1578"/>
      <c r="BG162" s="1578"/>
      <c r="BH162" s="1578"/>
      <c r="BI162" s="1578"/>
      <c r="BJ162" s="1578"/>
      <c r="BK162" s="1578"/>
      <c r="BL162" s="1578"/>
      <c r="BM162" s="1578"/>
      <c r="BN162" s="1578"/>
      <c r="BO162" s="1578"/>
      <c r="BP162" s="1578"/>
      <c r="BQ162" s="1578"/>
      <c r="BR162" s="1578"/>
      <c r="BS162" s="1578"/>
      <c r="BT162" s="1578"/>
      <c r="BU162" s="1578"/>
      <c r="BV162" s="1578"/>
      <c r="BW162" s="1578"/>
      <c r="BX162" s="1578"/>
      <c r="BY162" s="1578"/>
      <c r="BZ162" s="1578"/>
      <c r="CA162" s="1578"/>
      <c r="CB162" s="1578"/>
      <c r="CC162" s="1578"/>
      <c r="CD162" s="1578"/>
      <c r="CE162" s="1578"/>
      <c r="CF162" s="1578"/>
      <c r="CG162" s="1578"/>
      <c r="CH162" s="1578"/>
      <c r="CI162" s="1578"/>
      <c r="CJ162" s="1578"/>
      <c r="CK162" s="1578"/>
      <c r="CL162" s="1578"/>
      <c r="CM162" s="1578"/>
      <c r="CN162" s="1578"/>
      <c r="CO162" s="1578"/>
      <c r="CP162" s="1578"/>
      <c r="CQ162" s="1578"/>
      <c r="CR162" s="1578"/>
      <c r="CS162" s="1578"/>
      <c r="CT162" s="1578"/>
      <c r="CU162" s="1578"/>
      <c r="CV162" s="1578"/>
      <c r="CW162" s="1578"/>
      <c r="CX162" s="1578"/>
      <c r="CY162" s="1578"/>
      <c r="CZ162" s="1578"/>
    </row>
    <row r="163" spans="1:104">
      <c r="A163" s="1466"/>
      <c r="B163" s="1576"/>
      <c r="C163" s="1576"/>
      <c r="D163" s="1576"/>
      <c r="E163" s="1578"/>
      <c r="F163" s="1578"/>
      <c r="G163" s="1578"/>
      <c r="H163" s="1578"/>
      <c r="I163" s="1578"/>
      <c r="J163" s="1578"/>
      <c r="K163" s="1578"/>
      <c r="L163" s="1578"/>
      <c r="M163" s="1578"/>
      <c r="N163" s="1578"/>
      <c r="O163" s="1578"/>
      <c r="P163" s="1578"/>
      <c r="Q163" s="1578"/>
      <c r="R163" s="1578"/>
      <c r="S163" s="1578"/>
      <c r="T163" s="1578"/>
      <c r="U163" s="1578"/>
      <c r="V163" s="1578"/>
      <c r="W163" s="1578"/>
      <c r="X163" s="1578"/>
      <c r="Y163" s="1578"/>
      <c r="Z163" s="1578"/>
      <c r="AA163" s="1578"/>
      <c r="AB163" s="1578"/>
      <c r="AC163" s="1578"/>
      <c r="AD163" s="1578"/>
      <c r="AE163" s="1578"/>
      <c r="AF163" s="1578"/>
      <c r="AG163" s="1578"/>
      <c r="AH163" s="1578"/>
      <c r="AI163" s="1578"/>
      <c r="AJ163" s="1578"/>
      <c r="AK163" s="1578"/>
      <c r="AL163" s="1578"/>
      <c r="AM163" s="1578"/>
      <c r="AN163" s="1578"/>
      <c r="AO163" s="1578"/>
      <c r="AP163" s="1578"/>
      <c r="AQ163" s="1578"/>
      <c r="AR163" s="1578"/>
      <c r="AS163" s="1578"/>
      <c r="AT163" s="1578"/>
      <c r="AU163" s="1578"/>
      <c r="AV163" s="1578"/>
      <c r="AW163" s="1578"/>
      <c r="AX163" s="1578"/>
      <c r="AY163" s="1578"/>
      <c r="AZ163" s="1578"/>
      <c r="BA163" s="1578"/>
      <c r="BB163" s="1578"/>
      <c r="BC163" s="1578"/>
      <c r="BD163" s="1578"/>
      <c r="BE163" s="1578"/>
      <c r="BF163" s="1578"/>
      <c r="BG163" s="1578"/>
      <c r="BH163" s="1578"/>
      <c r="BI163" s="1578"/>
      <c r="BJ163" s="1578"/>
      <c r="BK163" s="1578"/>
      <c r="BL163" s="1578"/>
      <c r="BM163" s="1578"/>
      <c r="BN163" s="1578"/>
      <c r="BO163" s="1578"/>
      <c r="BP163" s="1578"/>
      <c r="BQ163" s="1578"/>
      <c r="BR163" s="1578"/>
      <c r="BS163" s="1578"/>
      <c r="BT163" s="1578"/>
      <c r="BU163" s="1578"/>
      <c r="BV163" s="1578"/>
      <c r="BW163" s="1578"/>
      <c r="BX163" s="1578"/>
      <c r="BY163" s="1578"/>
      <c r="BZ163" s="1578"/>
      <c r="CA163" s="1578"/>
      <c r="CB163" s="1578"/>
      <c r="CC163" s="1578"/>
      <c r="CD163" s="1578"/>
      <c r="CE163" s="1578"/>
      <c r="CF163" s="1578"/>
      <c r="CG163" s="1578"/>
      <c r="CH163" s="1578"/>
      <c r="CI163" s="1578"/>
      <c r="CJ163" s="1578"/>
      <c r="CK163" s="1578"/>
      <c r="CL163" s="1578"/>
      <c r="CM163" s="1578"/>
      <c r="CN163" s="1578"/>
      <c r="CO163" s="1578"/>
      <c r="CP163" s="1578"/>
      <c r="CQ163" s="1578"/>
      <c r="CR163" s="1578"/>
      <c r="CS163" s="1578"/>
      <c r="CT163" s="1578"/>
      <c r="CU163" s="1578"/>
      <c r="CV163" s="1578"/>
      <c r="CW163" s="1578"/>
      <c r="CX163" s="1578"/>
      <c r="CY163" s="1578"/>
      <c r="CZ163" s="1578"/>
    </row>
    <row r="164" spans="1:104">
      <c r="A164" s="1466"/>
      <c r="B164" s="1576"/>
      <c r="C164" s="1576"/>
      <c r="D164" s="1576"/>
      <c r="E164" s="1578"/>
      <c r="F164" s="1578"/>
      <c r="G164" s="1578"/>
      <c r="H164" s="1578"/>
      <c r="I164" s="1578"/>
      <c r="J164" s="1578"/>
      <c r="K164" s="1578"/>
      <c r="L164" s="1578"/>
      <c r="M164" s="1578"/>
      <c r="N164" s="1578"/>
      <c r="O164" s="1578"/>
      <c r="P164" s="1578"/>
      <c r="Q164" s="1578"/>
      <c r="R164" s="1578"/>
      <c r="S164" s="1578"/>
      <c r="T164" s="1578"/>
      <c r="U164" s="1578"/>
      <c r="V164" s="1578"/>
      <c r="W164" s="1578"/>
      <c r="X164" s="1578"/>
      <c r="Y164" s="1578"/>
      <c r="Z164" s="1578"/>
      <c r="AA164" s="1578"/>
      <c r="AB164" s="1578"/>
      <c r="AC164" s="1578"/>
      <c r="AD164" s="1578"/>
      <c r="AE164" s="1578"/>
      <c r="AF164" s="1578"/>
      <c r="AG164" s="1578"/>
      <c r="AH164" s="1578"/>
      <c r="AI164" s="1578"/>
      <c r="AJ164" s="1578"/>
      <c r="AK164" s="1578"/>
      <c r="AL164" s="1578"/>
      <c r="AM164" s="1578"/>
      <c r="AN164" s="1578"/>
      <c r="AO164" s="1578"/>
      <c r="AP164" s="1578"/>
      <c r="AQ164" s="1578"/>
      <c r="AR164" s="1578"/>
      <c r="AS164" s="1578"/>
      <c r="AT164" s="1578"/>
      <c r="AU164" s="1578"/>
      <c r="AV164" s="1578"/>
      <c r="AW164" s="1578"/>
      <c r="AX164" s="1578"/>
      <c r="AY164" s="1578"/>
      <c r="AZ164" s="1578"/>
      <c r="BA164" s="1578"/>
      <c r="BB164" s="1578"/>
      <c r="BC164" s="1578"/>
      <c r="BD164" s="1578"/>
      <c r="BE164" s="1578"/>
      <c r="BF164" s="1578"/>
      <c r="BG164" s="1578"/>
      <c r="BH164" s="1578"/>
      <c r="BI164" s="1578"/>
      <c r="BJ164" s="1578"/>
      <c r="BK164" s="1578"/>
      <c r="BL164" s="1578"/>
      <c r="BM164" s="1578"/>
      <c r="BN164" s="1578"/>
      <c r="BO164" s="1578"/>
      <c r="BP164" s="1578"/>
      <c r="BQ164" s="1578"/>
      <c r="BR164" s="1578"/>
      <c r="BS164" s="1578"/>
      <c r="BT164" s="1578"/>
      <c r="BU164" s="1578"/>
      <c r="BV164" s="1578"/>
      <c r="BW164" s="1578"/>
      <c r="BX164" s="1578"/>
      <c r="BY164" s="1578"/>
      <c r="BZ164" s="1578"/>
      <c r="CA164" s="1578"/>
      <c r="CB164" s="1578"/>
      <c r="CC164" s="1578"/>
      <c r="CD164" s="1578"/>
      <c r="CE164" s="1578"/>
      <c r="CF164" s="1578"/>
      <c r="CG164" s="1578"/>
      <c r="CH164" s="1578"/>
      <c r="CI164" s="1578"/>
      <c r="CJ164" s="1578"/>
      <c r="CK164" s="1578"/>
      <c r="CL164" s="1578"/>
      <c r="CM164" s="1578"/>
      <c r="CN164" s="1578"/>
      <c r="CO164" s="1578"/>
      <c r="CP164" s="1578"/>
      <c r="CQ164" s="1578"/>
      <c r="CR164" s="1578"/>
      <c r="CS164" s="1578"/>
      <c r="CT164" s="1578"/>
      <c r="CU164" s="1578"/>
      <c r="CV164" s="1578"/>
      <c r="CW164" s="1578"/>
      <c r="CX164" s="1578"/>
      <c r="CY164" s="1578"/>
      <c r="CZ164" s="1578"/>
    </row>
    <row r="165" spans="1:104">
      <c r="A165" s="1466"/>
      <c r="B165" s="1576"/>
      <c r="C165" s="1576"/>
      <c r="D165" s="1576"/>
      <c r="E165" s="1578"/>
      <c r="F165" s="1578"/>
      <c r="G165" s="1578"/>
      <c r="H165" s="1578"/>
      <c r="I165" s="1578"/>
      <c r="J165" s="1578"/>
      <c r="K165" s="1578"/>
      <c r="L165" s="1578"/>
      <c r="M165" s="1578"/>
      <c r="N165" s="1578"/>
      <c r="O165" s="1578"/>
      <c r="P165" s="1578"/>
      <c r="Q165" s="1578"/>
      <c r="R165" s="1578"/>
      <c r="S165" s="1578"/>
      <c r="T165" s="1578"/>
      <c r="U165" s="1578"/>
      <c r="V165" s="1578"/>
      <c r="W165" s="1578"/>
      <c r="X165" s="1578"/>
      <c r="Y165" s="1578"/>
      <c r="Z165" s="1578"/>
      <c r="AA165" s="1578"/>
      <c r="AB165" s="1578"/>
      <c r="AC165" s="1578"/>
      <c r="AD165" s="1578"/>
      <c r="AE165" s="1578"/>
      <c r="AF165" s="1578"/>
      <c r="AG165" s="1578"/>
      <c r="AH165" s="1578"/>
      <c r="AI165" s="1578"/>
      <c r="AJ165" s="1578"/>
      <c r="AK165" s="1578"/>
      <c r="AL165" s="1578"/>
      <c r="AM165" s="1578"/>
      <c r="AN165" s="1578"/>
      <c r="AO165" s="1578"/>
      <c r="AP165" s="1578"/>
      <c r="AQ165" s="1578"/>
      <c r="AR165" s="1578"/>
      <c r="AS165" s="1578"/>
      <c r="AT165" s="1578"/>
      <c r="AU165" s="1578"/>
      <c r="AV165" s="1578"/>
      <c r="AW165" s="1578"/>
      <c r="AX165" s="1578"/>
      <c r="AY165" s="1578"/>
      <c r="AZ165" s="1578"/>
      <c r="BA165" s="1578"/>
      <c r="BB165" s="1578"/>
      <c r="BC165" s="1578"/>
      <c r="BD165" s="1578"/>
      <c r="BE165" s="1578"/>
      <c r="BF165" s="1578"/>
      <c r="BG165" s="1578"/>
      <c r="BH165" s="1578"/>
      <c r="BI165" s="1578"/>
      <c r="BJ165" s="1578"/>
      <c r="BK165" s="1578"/>
      <c r="BL165" s="1578"/>
      <c r="BM165" s="1578"/>
      <c r="BN165" s="1578"/>
      <c r="BO165" s="1578"/>
      <c r="BP165" s="1578"/>
      <c r="BQ165" s="1578"/>
      <c r="BR165" s="1578"/>
      <c r="BS165" s="1578"/>
      <c r="BT165" s="1578"/>
      <c r="BU165" s="1578"/>
      <c r="BV165" s="1578"/>
      <c r="BW165" s="1578"/>
      <c r="BX165" s="1578"/>
      <c r="BY165" s="1578"/>
      <c r="BZ165" s="1578"/>
      <c r="CA165" s="1578"/>
      <c r="CB165" s="1578"/>
      <c r="CC165" s="1578"/>
      <c r="CD165" s="1578"/>
      <c r="CE165" s="1578"/>
      <c r="CF165" s="1578"/>
      <c r="CG165" s="1578"/>
      <c r="CH165" s="1578"/>
      <c r="CI165" s="1578"/>
      <c r="CJ165" s="1578"/>
      <c r="CK165" s="1578"/>
      <c r="CL165" s="1578"/>
      <c r="CM165" s="1578"/>
      <c r="CN165" s="1578"/>
      <c r="CO165" s="1578"/>
      <c r="CP165" s="1578"/>
      <c r="CQ165" s="1578"/>
      <c r="CR165" s="1578"/>
      <c r="CS165" s="1578"/>
      <c r="CT165" s="1578"/>
      <c r="CU165" s="1578"/>
      <c r="CV165" s="1578"/>
      <c r="CW165" s="1578"/>
      <c r="CX165" s="1578"/>
      <c r="CY165" s="1578"/>
      <c r="CZ165" s="1578"/>
    </row>
    <row r="166" spans="1:104">
      <c r="A166" s="1466"/>
      <c r="B166" s="1576"/>
      <c r="C166" s="1576"/>
      <c r="D166" s="1576"/>
      <c r="E166" s="1578"/>
      <c r="F166" s="1578"/>
      <c r="G166" s="1578"/>
      <c r="H166" s="1578"/>
      <c r="I166" s="1578"/>
      <c r="J166" s="1578"/>
      <c r="K166" s="1578"/>
      <c r="L166" s="1578"/>
      <c r="M166" s="1578"/>
      <c r="N166" s="1578"/>
      <c r="O166" s="1578"/>
      <c r="P166" s="1578"/>
      <c r="Q166" s="1578"/>
      <c r="R166" s="1578"/>
      <c r="S166" s="1578"/>
      <c r="T166" s="1578"/>
      <c r="U166" s="1578"/>
      <c r="V166" s="1578"/>
      <c r="W166" s="1578"/>
      <c r="X166" s="1578"/>
      <c r="Y166" s="1578"/>
      <c r="Z166" s="1578"/>
      <c r="AA166" s="1578"/>
      <c r="AB166" s="1578"/>
      <c r="AC166" s="1578"/>
      <c r="AD166" s="1578"/>
      <c r="AE166" s="1578"/>
      <c r="AF166" s="1578"/>
      <c r="AG166" s="1578"/>
      <c r="AH166" s="1578"/>
      <c r="AI166" s="1578"/>
      <c r="AJ166" s="1578"/>
      <c r="AK166" s="1578"/>
      <c r="AL166" s="1578"/>
      <c r="AM166" s="1578"/>
      <c r="AN166" s="1578"/>
      <c r="AO166" s="1578"/>
      <c r="AP166" s="1578"/>
      <c r="AQ166" s="1578"/>
      <c r="AR166" s="1578"/>
      <c r="AS166" s="1578"/>
      <c r="AT166" s="1578"/>
      <c r="AU166" s="1578"/>
      <c r="AV166" s="1578"/>
      <c r="AW166" s="1578"/>
      <c r="AX166" s="1578"/>
      <c r="AY166" s="1578"/>
      <c r="AZ166" s="1578"/>
      <c r="BA166" s="1578"/>
      <c r="BB166" s="1578"/>
      <c r="BC166" s="1578"/>
      <c r="BD166" s="1578"/>
      <c r="BE166" s="1578"/>
      <c r="BF166" s="1578"/>
      <c r="BG166" s="1578"/>
      <c r="BH166" s="1578"/>
      <c r="BI166" s="1578"/>
      <c r="BJ166" s="1578"/>
      <c r="BK166" s="1578"/>
      <c r="BL166" s="1578"/>
      <c r="BM166" s="1578"/>
      <c r="BN166" s="1578"/>
      <c r="BO166" s="1578"/>
      <c r="BP166" s="1578"/>
      <c r="BQ166" s="1578"/>
      <c r="BR166" s="1578"/>
      <c r="BS166" s="1578"/>
      <c r="BT166" s="1578"/>
      <c r="BU166" s="1578"/>
      <c r="BV166" s="1578"/>
      <c r="BW166" s="1578"/>
      <c r="BX166" s="1578"/>
      <c r="BY166" s="1578"/>
      <c r="BZ166" s="1578"/>
      <c r="CA166" s="1578"/>
      <c r="CB166" s="1578"/>
      <c r="CC166" s="1578"/>
      <c r="CD166" s="1578"/>
      <c r="CE166" s="1578"/>
      <c r="CF166" s="1578"/>
      <c r="CG166" s="1578"/>
      <c r="CH166" s="1578"/>
      <c r="CI166" s="1578"/>
      <c r="CJ166" s="1578"/>
      <c r="CK166" s="1578"/>
      <c r="CL166" s="1578"/>
      <c r="CM166" s="1578"/>
      <c r="CN166" s="1578"/>
      <c r="CO166" s="1578"/>
      <c r="CP166" s="1578"/>
      <c r="CQ166" s="1578"/>
      <c r="CR166" s="1578"/>
      <c r="CS166" s="1578"/>
      <c r="CT166" s="1578"/>
      <c r="CU166" s="1578"/>
      <c r="CV166" s="1578"/>
      <c r="CW166" s="1578"/>
      <c r="CX166" s="1578"/>
      <c r="CY166" s="1578"/>
      <c r="CZ166" s="1578"/>
    </row>
    <row r="167" spans="1:104">
      <c r="A167" s="1466"/>
      <c r="B167" s="1576"/>
      <c r="C167" s="1576"/>
      <c r="D167" s="1576"/>
      <c r="E167" s="1578"/>
      <c r="F167" s="1578"/>
      <c r="G167" s="1578"/>
      <c r="H167" s="1578"/>
      <c r="I167" s="1578"/>
      <c r="J167" s="1578"/>
      <c r="K167" s="1578"/>
      <c r="L167" s="1578"/>
      <c r="M167" s="1578"/>
      <c r="N167" s="1578"/>
      <c r="O167" s="1578"/>
      <c r="P167" s="1578"/>
      <c r="Q167" s="1578"/>
      <c r="R167" s="1578"/>
      <c r="S167" s="1578"/>
      <c r="T167" s="1578"/>
      <c r="U167" s="1578"/>
      <c r="V167" s="1578"/>
      <c r="W167" s="1578"/>
      <c r="X167" s="1578"/>
      <c r="Y167" s="1578"/>
      <c r="Z167" s="1578"/>
      <c r="AA167" s="1578"/>
      <c r="AB167" s="1578"/>
      <c r="AC167" s="1578"/>
      <c r="AD167" s="1578"/>
      <c r="AE167" s="1578"/>
      <c r="AF167" s="1578"/>
      <c r="AG167" s="1578"/>
      <c r="AH167" s="1578"/>
      <c r="AI167" s="1578"/>
      <c r="AJ167" s="1578"/>
      <c r="AK167" s="1578"/>
      <c r="AL167" s="1578"/>
      <c r="AM167" s="1578"/>
      <c r="AN167" s="1578"/>
      <c r="AO167" s="1578"/>
      <c r="AP167" s="1578"/>
      <c r="AQ167" s="1578"/>
      <c r="AR167" s="1578"/>
      <c r="AS167" s="1578"/>
      <c r="AT167" s="1578"/>
      <c r="AU167" s="1578"/>
      <c r="AV167" s="1578"/>
      <c r="AW167" s="1578"/>
      <c r="AX167" s="1578"/>
      <c r="AY167" s="1578"/>
      <c r="AZ167" s="1578"/>
      <c r="BA167" s="1578"/>
      <c r="BB167" s="1578"/>
      <c r="BC167" s="1578"/>
      <c r="BD167" s="1578"/>
      <c r="BE167" s="1578"/>
      <c r="BF167" s="1578"/>
      <c r="BG167" s="1578"/>
      <c r="BH167" s="1578"/>
      <c r="BI167" s="1578"/>
      <c r="BJ167" s="1578"/>
      <c r="BK167" s="1578"/>
      <c r="BL167" s="1578"/>
      <c r="BM167" s="1578"/>
      <c r="BN167" s="1578"/>
      <c r="BO167" s="1578"/>
      <c r="BP167" s="1578"/>
      <c r="BQ167" s="1578"/>
      <c r="BR167" s="1578"/>
      <c r="BS167" s="1578"/>
      <c r="BT167" s="1578"/>
      <c r="BU167" s="1578"/>
      <c r="BV167" s="1578"/>
      <c r="BW167" s="1578"/>
      <c r="BX167" s="1578"/>
      <c r="BY167" s="1578"/>
      <c r="BZ167" s="1578"/>
      <c r="CA167" s="1578"/>
      <c r="CB167" s="1578"/>
      <c r="CC167" s="1578"/>
      <c r="CD167" s="1578"/>
      <c r="CE167" s="1578"/>
      <c r="CF167" s="1578"/>
      <c r="CG167" s="1578"/>
      <c r="CH167" s="1578"/>
      <c r="CI167" s="1578"/>
      <c r="CJ167" s="1578"/>
      <c r="CK167" s="1578"/>
      <c r="CL167" s="1578"/>
      <c r="CM167" s="1578"/>
      <c r="CN167" s="1578"/>
      <c r="CO167" s="1578"/>
      <c r="CP167" s="1578"/>
      <c r="CQ167" s="1578"/>
      <c r="CR167" s="1578"/>
      <c r="CS167" s="1578"/>
      <c r="CT167" s="1578"/>
      <c r="CU167" s="1578"/>
      <c r="CV167" s="1578"/>
      <c r="CW167" s="1578"/>
      <c r="CX167" s="1578"/>
      <c r="CY167" s="1578"/>
      <c r="CZ167" s="1578"/>
    </row>
    <row r="168" spans="1:104">
      <c r="A168" s="1466"/>
      <c r="B168" s="1576"/>
      <c r="C168" s="1576"/>
      <c r="D168" s="1576"/>
      <c r="E168" s="1578"/>
      <c r="F168" s="1578"/>
      <c r="G168" s="1578"/>
      <c r="H168" s="1578"/>
      <c r="I168" s="1578"/>
      <c r="J168" s="1578"/>
      <c r="K168" s="1578"/>
      <c r="L168" s="1578"/>
      <c r="M168" s="1578"/>
      <c r="N168" s="1578"/>
      <c r="O168" s="1578"/>
      <c r="P168" s="1578"/>
      <c r="Q168" s="1578"/>
      <c r="R168" s="1578"/>
      <c r="S168" s="1578"/>
      <c r="T168" s="1578"/>
      <c r="U168" s="1578"/>
      <c r="V168" s="1578"/>
      <c r="W168" s="1578"/>
      <c r="X168" s="1578"/>
      <c r="Y168" s="1578"/>
      <c r="Z168" s="1578"/>
      <c r="AA168" s="1578"/>
      <c r="AB168" s="1578"/>
      <c r="AC168" s="1578"/>
      <c r="AD168" s="1578"/>
      <c r="AE168" s="1578"/>
      <c r="AF168" s="1578"/>
      <c r="AG168" s="1578"/>
      <c r="AH168" s="1578"/>
      <c r="AI168" s="1578"/>
      <c r="AJ168" s="1578"/>
      <c r="AK168" s="1578"/>
      <c r="AL168" s="1578"/>
      <c r="AM168" s="1578"/>
      <c r="AN168" s="1578"/>
      <c r="AO168" s="1578"/>
      <c r="AP168" s="1578"/>
      <c r="AQ168" s="1578"/>
      <c r="AR168" s="1578"/>
      <c r="AS168" s="1578"/>
      <c r="AT168" s="1578"/>
      <c r="AU168" s="1578"/>
      <c r="AV168" s="1578"/>
      <c r="AW168" s="1578"/>
      <c r="AX168" s="1578"/>
      <c r="AY168" s="1578"/>
      <c r="AZ168" s="1578"/>
      <c r="BA168" s="1578"/>
      <c r="BB168" s="1578"/>
      <c r="BC168" s="1578"/>
      <c r="BD168" s="1578"/>
      <c r="BE168" s="1578"/>
      <c r="BF168" s="1578"/>
      <c r="BG168" s="1578"/>
      <c r="BH168" s="1578"/>
      <c r="BI168" s="1578"/>
      <c r="BJ168" s="1578"/>
      <c r="BK168" s="1578"/>
      <c r="BL168" s="1578"/>
      <c r="BM168" s="1578"/>
      <c r="BN168" s="1578"/>
      <c r="BO168" s="1578"/>
      <c r="BP168" s="1578"/>
      <c r="BQ168" s="1578"/>
      <c r="BR168" s="1578"/>
      <c r="BS168" s="1578"/>
      <c r="BT168" s="1578"/>
      <c r="BU168" s="1578"/>
      <c r="BV168" s="1578"/>
      <c r="BW168" s="1578"/>
      <c r="BX168" s="1578"/>
      <c r="BY168" s="1578"/>
      <c r="BZ168" s="1578"/>
      <c r="CA168" s="1578"/>
      <c r="CB168" s="1578"/>
      <c r="CC168" s="1578"/>
      <c r="CD168" s="1578"/>
      <c r="CE168" s="1578"/>
      <c r="CF168" s="1578"/>
      <c r="CG168" s="1578"/>
      <c r="CH168" s="1578"/>
      <c r="CI168" s="1578"/>
      <c r="CJ168" s="1578"/>
      <c r="CK168" s="1578"/>
      <c r="CL168" s="1578"/>
      <c r="CM168" s="1578"/>
      <c r="CN168" s="1578"/>
      <c r="CO168" s="1578"/>
      <c r="CP168" s="1578"/>
      <c r="CQ168" s="1578"/>
      <c r="CR168" s="1578"/>
      <c r="CS168" s="1578"/>
      <c r="CT168" s="1578"/>
      <c r="CU168" s="1578"/>
      <c r="CV168" s="1578"/>
      <c r="CW168" s="1578"/>
      <c r="CX168" s="1578"/>
      <c r="CY168" s="1578"/>
      <c r="CZ168" s="1578"/>
    </row>
    <row r="169" spans="1:104">
      <c r="A169" s="1466"/>
      <c r="B169" s="1576"/>
      <c r="C169" s="1576"/>
      <c r="D169" s="1576"/>
      <c r="E169" s="1578"/>
      <c r="F169" s="1578"/>
      <c r="G169" s="1578"/>
      <c r="H169" s="1578"/>
      <c r="I169" s="1578"/>
      <c r="J169" s="1578"/>
      <c r="K169" s="1578"/>
      <c r="L169" s="1578"/>
      <c r="M169" s="1578"/>
      <c r="N169" s="1578"/>
      <c r="O169" s="1578"/>
      <c r="P169" s="1578"/>
      <c r="Q169" s="1578"/>
      <c r="R169" s="1578"/>
      <c r="S169" s="1578"/>
      <c r="T169" s="1578"/>
      <c r="U169" s="1578"/>
      <c r="V169" s="1578"/>
      <c r="W169" s="1578"/>
      <c r="X169" s="1578"/>
      <c r="Y169" s="1578"/>
      <c r="Z169" s="1578"/>
      <c r="AA169" s="1578"/>
      <c r="AB169" s="1578"/>
      <c r="AC169" s="1578"/>
      <c r="AD169" s="1578"/>
      <c r="AE169" s="1578"/>
      <c r="AF169" s="1578"/>
      <c r="AG169" s="1578"/>
      <c r="AH169" s="1578"/>
      <c r="AI169" s="1578"/>
      <c r="AJ169" s="1578"/>
      <c r="AK169" s="1578"/>
      <c r="AL169" s="1578"/>
      <c r="AM169" s="1578"/>
      <c r="AN169" s="1578"/>
      <c r="AO169" s="1578"/>
      <c r="AP169" s="1578"/>
      <c r="AQ169" s="1578"/>
      <c r="AR169" s="1578"/>
      <c r="AS169" s="1578"/>
      <c r="AT169" s="1578"/>
      <c r="AU169" s="1578"/>
      <c r="AV169" s="1578"/>
      <c r="AW169" s="1578"/>
      <c r="AX169" s="1578"/>
      <c r="AY169" s="1578"/>
      <c r="AZ169" s="1578"/>
      <c r="BA169" s="1578"/>
      <c r="BB169" s="1578"/>
      <c r="BC169" s="1578"/>
      <c r="BD169" s="1578"/>
      <c r="BE169" s="1578"/>
      <c r="BF169" s="1578"/>
      <c r="BG169" s="1578"/>
      <c r="BH169" s="1578"/>
      <c r="BI169" s="1578"/>
      <c r="BJ169" s="1578"/>
      <c r="BK169" s="1578"/>
      <c r="BL169" s="1578"/>
      <c r="BM169" s="1578"/>
      <c r="BN169" s="1578"/>
      <c r="BO169" s="1578"/>
      <c r="BP169" s="1578"/>
      <c r="BQ169" s="1578"/>
      <c r="BR169" s="1578"/>
      <c r="BS169" s="1578"/>
      <c r="BT169" s="1578"/>
      <c r="BU169" s="1578"/>
      <c r="BV169" s="1578"/>
      <c r="BW169" s="1578"/>
      <c r="BX169" s="1578"/>
      <c r="BY169" s="1578"/>
      <c r="BZ169" s="1578"/>
      <c r="CA169" s="1578"/>
      <c r="CB169" s="1578"/>
      <c r="CC169" s="1578"/>
      <c r="CD169" s="1578"/>
      <c r="CE169" s="1578"/>
      <c r="CF169" s="1578"/>
      <c r="CG169" s="1578"/>
      <c r="CH169" s="1578"/>
      <c r="CI169" s="1578"/>
      <c r="CJ169" s="1578"/>
      <c r="CK169" s="1578"/>
      <c r="CL169" s="1578"/>
      <c r="CM169" s="1578"/>
      <c r="CN169" s="1578"/>
      <c r="CO169" s="1578"/>
      <c r="CP169" s="1578"/>
      <c r="CQ169" s="1578"/>
      <c r="CR169" s="1578"/>
      <c r="CS169" s="1578"/>
      <c r="CT169" s="1578"/>
      <c r="CU169" s="1578"/>
      <c r="CV169" s="1578"/>
      <c r="CW169" s="1578"/>
      <c r="CX169" s="1578"/>
      <c r="CY169" s="1578"/>
      <c r="CZ169" s="1578"/>
    </row>
    <row r="170" spans="1:104">
      <c r="A170" s="1466"/>
      <c r="B170" s="1576"/>
      <c r="C170" s="1576"/>
      <c r="D170" s="1576"/>
      <c r="E170" s="1578"/>
      <c r="F170" s="1578"/>
      <c r="G170" s="1578"/>
      <c r="H170" s="1578"/>
      <c r="I170" s="1578"/>
      <c r="J170" s="1578"/>
      <c r="K170" s="1578"/>
      <c r="L170" s="1578"/>
      <c r="M170" s="1578"/>
      <c r="N170" s="1578"/>
      <c r="O170" s="1578"/>
      <c r="P170" s="1578"/>
      <c r="Q170" s="1578"/>
      <c r="R170" s="1578"/>
      <c r="S170" s="1578"/>
      <c r="T170" s="1578"/>
      <c r="U170" s="1578"/>
      <c r="V170" s="1578"/>
      <c r="W170" s="1578"/>
      <c r="X170" s="1578"/>
      <c r="Y170" s="1578"/>
      <c r="Z170" s="1578"/>
      <c r="AA170" s="1578"/>
      <c r="AB170" s="1578"/>
      <c r="AC170" s="1578"/>
      <c r="AD170" s="1578"/>
      <c r="AE170" s="1578"/>
      <c r="AF170" s="1578"/>
      <c r="AG170" s="1578"/>
      <c r="AH170" s="1578"/>
      <c r="AI170" s="1578"/>
      <c r="AJ170" s="1578"/>
      <c r="AK170" s="1578"/>
      <c r="AL170" s="1578"/>
      <c r="AM170" s="1578"/>
      <c r="AN170" s="1578"/>
      <c r="AO170" s="1578"/>
      <c r="AP170" s="1578"/>
      <c r="AQ170" s="1578"/>
      <c r="AR170" s="1578"/>
      <c r="AS170" s="1578"/>
      <c r="AT170" s="1578"/>
      <c r="AU170" s="1578"/>
      <c r="AV170" s="1578"/>
      <c r="AW170" s="1578"/>
      <c r="AX170" s="1578"/>
      <c r="AY170" s="1578"/>
      <c r="AZ170" s="1578"/>
      <c r="BA170" s="1578"/>
      <c r="BB170" s="1578"/>
      <c r="BC170" s="1578"/>
      <c r="BD170" s="1578"/>
      <c r="BE170" s="1578"/>
      <c r="BF170" s="1578"/>
      <c r="BG170" s="1578"/>
      <c r="BH170" s="1578"/>
      <c r="BI170" s="1578"/>
      <c r="BJ170" s="1578"/>
      <c r="BK170" s="1578"/>
      <c r="BL170" s="1578"/>
      <c r="BM170" s="1578"/>
      <c r="BN170" s="1578"/>
      <c r="BO170" s="1578"/>
      <c r="BP170" s="1578"/>
      <c r="BQ170" s="1578"/>
      <c r="BR170" s="1578"/>
      <c r="BS170" s="1578"/>
      <c r="BT170" s="1578"/>
      <c r="BU170" s="1578"/>
      <c r="BV170" s="1578"/>
      <c r="BW170" s="1578"/>
      <c r="BX170" s="1578"/>
      <c r="BY170" s="1578"/>
      <c r="BZ170" s="1578"/>
      <c r="CA170" s="1578"/>
      <c r="CB170" s="1578"/>
      <c r="CC170" s="1578"/>
      <c r="CD170" s="1578"/>
      <c r="CE170" s="1578"/>
      <c r="CF170" s="1578"/>
      <c r="CG170" s="1578"/>
      <c r="CH170" s="1578"/>
      <c r="CI170" s="1578"/>
      <c r="CJ170" s="1578"/>
      <c r="CK170" s="1578"/>
      <c r="CL170" s="1578"/>
      <c r="CM170" s="1578"/>
      <c r="CN170" s="1578"/>
      <c r="CO170" s="1578"/>
      <c r="CP170" s="1578"/>
      <c r="CQ170" s="1578"/>
      <c r="CR170" s="1578"/>
      <c r="CS170" s="1578"/>
      <c r="CT170" s="1578"/>
      <c r="CU170" s="1578"/>
      <c r="CV170" s="1578"/>
      <c r="CW170" s="1578"/>
      <c r="CX170" s="1578"/>
      <c r="CY170" s="1578"/>
      <c r="CZ170" s="1578"/>
    </row>
    <row r="171" spans="1:104">
      <c r="A171" s="1466"/>
      <c r="B171" s="1576"/>
      <c r="C171" s="1576"/>
      <c r="D171" s="1576"/>
      <c r="E171" s="1578"/>
      <c r="F171" s="1578"/>
      <c r="G171" s="1578"/>
      <c r="H171" s="1578"/>
      <c r="I171" s="1578"/>
      <c r="J171" s="1578"/>
      <c r="K171" s="1578"/>
      <c r="L171" s="1578"/>
      <c r="M171" s="1578"/>
      <c r="N171" s="1578"/>
      <c r="O171" s="1578"/>
      <c r="P171" s="1578"/>
      <c r="Q171" s="1578"/>
      <c r="R171" s="1578"/>
      <c r="S171" s="1578"/>
      <c r="T171" s="1578"/>
      <c r="U171" s="1578"/>
      <c r="V171" s="1578"/>
      <c r="W171" s="1578"/>
      <c r="X171" s="1578"/>
      <c r="Y171" s="1578"/>
      <c r="Z171" s="1578"/>
      <c r="AA171" s="1578"/>
      <c r="AB171" s="1578"/>
      <c r="AC171" s="1578"/>
      <c r="AD171" s="1578"/>
      <c r="AE171" s="1578"/>
      <c r="AF171" s="1578"/>
      <c r="AG171" s="1578"/>
      <c r="AH171" s="1578"/>
      <c r="AI171" s="1578"/>
      <c r="AJ171" s="1578"/>
      <c r="AK171" s="1578"/>
      <c r="AL171" s="1578"/>
      <c r="AM171" s="1578"/>
      <c r="AN171" s="1578"/>
      <c r="AO171" s="1578"/>
      <c r="AP171" s="1578"/>
      <c r="AQ171" s="1578"/>
      <c r="AR171" s="1578"/>
      <c r="AS171" s="1578"/>
      <c r="AT171" s="1578"/>
      <c r="AU171" s="1578"/>
      <c r="AV171" s="1578"/>
      <c r="AW171" s="1578"/>
      <c r="AX171" s="1578"/>
      <c r="AY171" s="1578"/>
      <c r="AZ171" s="1578"/>
      <c r="BA171" s="1578"/>
      <c r="BB171" s="1578"/>
      <c r="BC171" s="1578"/>
      <c r="BD171" s="1578"/>
      <c r="BE171" s="1578"/>
      <c r="BF171" s="1578"/>
      <c r="BG171" s="1578"/>
      <c r="BH171" s="1578"/>
      <c r="BI171" s="1578"/>
      <c r="BJ171" s="1578"/>
      <c r="BK171" s="1578"/>
      <c r="BL171" s="1578"/>
      <c r="BM171" s="1578"/>
      <c r="BN171" s="1578"/>
      <c r="BO171" s="1578"/>
      <c r="BP171" s="1578"/>
      <c r="BQ171" s="1578"/>
      <c r="BR171" s="1578"/>
      <c r="BS171" s="1578"/>
      <c r="BT171" s="1578"/>
      <c r="BU171" s="1578"/>
      <c r="BV171" s="1578"/>
      <c r="BW171" s="1578"/>
      <c r="BX171" s="1578"/>
      <c r="BY171" s="1578"/>
      <c r="BZ171" s="1578"/>
      <c r="CA171" s="1578"/>
      <c r="CB171" s="1578"/>
      <c r="CC171" s="1578"/>
      <c r="CD171" s="1578"/>
      <c r="CE171" s="1578"/>
      <c r="CF171" s="1578"/>
      <c r="CG171" s="1578"/>
      <c r="CH171" s="1578"/>
      <c r="CI171" s="1578"/>
      <c r="CJ171" s="1578"/>
      <c r="CK171" s="1578"/>
      <c r="CL171" s="1578"/>
      <c r="CM171" s="1578"/>
      <c r="CN171" s="1578"/>
      <c r="CO171" s="1578"/>
      <c r="CP171" s="1578"/>
      <c r="CQ171" s="1578"/>
      <c r="CR171" s="1578"/>
      <c r="CS171" s="1578"/>
      <c r="CT171" s="1578"/>
      <c r="CU171" s="1578"/>
      <c r="CV171" s="1578"/>
      <c r="CW171" s="1578"/>
      <c r="CX171" s="1578"/>
      <c r="CY171" s="1578"/>
      <c r="CZ171" s="1578"/>
    </row>
    <row r="172" spans="1:104">
      <c r="A172" s="1466"/>
      <c r="B172" s="1576"/>
      <c r="C172" s="1576"/>
      <c r="D172" s="1576"/>
      <c r="E172" s="1578"/>
      <c r="F172" s="1578"/>
      <c r="G172" s="1578"/>
      <c r="H172" s="1578"/>
      <c r="I172" s="1578"/>
      <c r="J172" s="1578"/>
      <c r="K172" s="1578"/>
      <c r="L172" s="1578"/>
      <c r="M172" s="1578"/>
      <c r="N172" s="1578"/>
      <c r="O172" s="1578"/>
      <c r="P172" s="1578"/>
      <c r="Q172" s="1578"/>
      <c r="R172" s="1578"/>
      <c r="S172" s="1578"/>
      <c r="T172" s="1578"/>
      <c r="U172" s="1578"/>
      <c r="V172" s="1578"/>
      <c r="W172" s="1578"/>
      <c r="X172" s="1578"/>
      <c r="Y172" s="1578"/>
      <c r="Z172" s="1578"/>
      <c r="AA172" s="1578"/>
      <c r="AB172" s="1578"/>
      <c r="AC172" s="1578"/>
      <c r="AD172" s="1578"/>
      <c r="AE172" s="1578"/>
      <c r="AF172" s="1578"/>
      <c r="AG172" s="1578"/>
      <c r="AH172" s="1578"/>
      <c r="AI172" s="1578"/>
      <c r="AJ172" s="1578"/>
      <c r="AK172" s="1578"/>
      <c r="AL172" s="1578"/>
      <c r="AM172" s="1578"/>
      <c r="AN172" s="1578"/>
      <c r="AO172" s="1578"/>
      <c r="AP172" s="1578"/>
      <c r="AQ172" s="1578"/>
      <c r="AR172" s="1578"/>
      <c r="AS172" s="1578"/>
      <c r="AT172" s="1578"/>
      <c r="AU172" s="1578"/>
      <c r="AV172" s="1578"/>
      <c r="AW172" s="1578"/>
      <c r="AX172" s="1578"/>
      <c r="AY172" s="1578"/>
      <c r="AZ172" s="1578"/>
      <c r="BA172" s="1578"/>
      <c r="BB172" s="1578"/>
      <c r="BC172" s="1578"/>
      <c r="BD172" s="1578"/>
      <c r="BE172" s="1578"/>
      <c r="BF172" s="1578"/>
      <c r="BG172" s="1578"/>
      <c r="BH172" s="1578"/>
      <c r="BI172" s="1578"/>
      <c r="BJ172" s="1578"/>
      <c r="BK172" s="1578"/>
      <c r="BL172" s="1578"/>
      <c r="BM172" s="1578"/>
      <c r="BN172" s="1578"/>
      <c r="BO172" s="1578"/>
      <c r="BP172" s="1578"/>
      <c r="BQ172" s="1578"/>
      <c r="BR172" s="1578"/>
      <c r="BS172" s="1578"/>
      <c r="BT172" s="1578"/>
      <c r="BU172" s="1578"/>
      <c r="BV172" s="1578"/>
      <c r="BW172" s="1578"/>
      <c r="BX172" s="1578"/>
      <c r="BY172" s="1578"/>
      <c r="BZ172" s="1578"/>
      <c r="CA172" s="1578"/>
      <c r="CB172" s="1578"/>
      <c r="CC172" s="1578"/>
      <c r="CD172" s="1578"/>
      <c r="CE172" s="1578"/>
      <c r="CF172" s="1578"/>
      <c r="CG172" s="1578"/>
      <c r="CH172" s="1578"/>
      <c r="CI172" s="1578"/>
      <c r="CJ172" s="1578"/>
      <c r="CK172" s="1578"/>
      <c r="CL172" s="1578"/>
      <c r="CM172" s="1578"/>
      <c r="CN172" s="1578"/>
      <c r="CO172" s="1578"/>
      <c r="CP172" s="1578"/>
      <c r="CQ172" s="1578"/>
      <c r="CR172" s="1578"/>
      <c r="CS172" s="1578"/>
      <c r="CT172" s="1578"/>
      <c r="CU172" s="1578"/>
      <c r="CV172" s="1578"/>
      <c r="CW172" s="1578"/>
      <c r="CX172" s="1578"/>
      <c r="CY172" s="1578"/>
      <c r="CZ172" s="1578"/>
    </row>
    <row r="173" spans="1:104">
      <c r="A173" s="1466"/>
      <c r="B173" s="1576"/>
      <c r="C173" s="1576"/>
      <c r="D173" s="1576"/>
      <c r="E173" s="1578"/>
      <c r="F173" s="1578"/>
      <c r="G173" s="1578"/>
      <c r="H173" s="1578"/>
      <c r="I173" s="1578"/>
      <c r="J173" s="1578"/>
      <c r="K173" s="1578"/>
      <c r="L173" s="1578"/>
      <c r="M173" s="1578"/>
      <c r="N173" s="1578"/>
      <c r="O173" s="1578"/>
      <c r="P173" s="1578"/>
      <c r="Q173" s="1578"/>
      <c r="R173" s="1578"/>
      <c r="S173" s="1578"/>
      <c r="T173" s="1578"/>
      <c r="U173" s="1578"/>
      <c r="V173" s="1578"/>
      <c r="W173" s="1578"/>
      <c r="X173" s="1578"/>
      <c r="Y173" s="1578"/>
      <c r="Z173" s="1578"/>
      <c r="AA173" s="1578"/>
      <c r="AB173" s="1578"/>
      <c r="AC173" s="1578"/>
      <c r="AD173" s="1578"/>
      <c r="AE173" s="1578"/>
      <c r="AF173" s="1578"/>
      <c r="AG173" s="1578"/>
      <c r="AH173" s="1578"/>
      <c r="AI173" s="1578"/>
      <c r="AJ173" s="1578"/>
      <c r="AK173" s="1578"/>
      <c r="AL173" s="1578"/>
      <c r="AM173" s="1578"/>
      <c r="AN173" s="1578"/>
      <c r="AO173" s="1578"/>
      <c r="AP173" s="1578"/>
      <c r="AQ173" s="1578"/>
      <c r="AR173" s="1578"/>
      <c r="AS173" s="1578"/>
      <c r="AT173" s="1578"/>
      <c r="AU173" s="1578"/>
      <c r="AV173" s="1578"/>
      <c r="AW173" s="1578"/>
      <c r="AX173" s="1578"/>
      <c r="AY173" s="1578"/>
      <c r="AZ173" s="1578"/>
      <c r="BA173" s="1578"/>
      <c r="BB173" s="1578"/>
      <c r="BC173" s="1578"/>
      <c r="BD173" s="1578"/>
      <c r="BE173" s="1578"/>
      <c r="BF173" s="1578"/>
      <c r="BG173" s="1578"/>
      <c r="BH173" s="1578"/>
      <c r="BI173" s="1578"/>
      <c r="BJ173" s="1578"/>
      <c r="BK173" s="1578"/>
      <c r="BL173" s="1578"/>
      <c r="BM173" s="1578"/>
      <c r="BN173" s="1578"/>
      <c r="BO173" s="1578"/>
      <c r="BP173" s="1578"/>
      <c r="BQ173" s="1578"/>
      <c r="BR173" s="1578"/>
      <c r="BS173" s="1578"/>
      <c r="BT173" s="1578"/>
      <c r="BU173" s="1578"/>
      <c r="BV173" s="1578"/>
      <c r="BW173" s="1578"/>
      <c r="BX173" s="1578"/>
      <c r="BY173" s="1578"/>
      <c r="BZ173" s="1578"/>
      <c r="CA173" s="1578"/>
      <c r="CB173" s="1578"/>
      <c r="CC173" s="1578"/>
      <c r="CD173" s="1578"/>
      <c r="CE173" s="1578"/>
      <c r="CF173" s="1578"/>
      <c r="CG173" s="1578"/>
      <c r="CH173" s="1578"/>
      <c r="CI173" s="1578"/>
      <c r="CJ173" s="1578"/>
      <c r="CK173" s="1578"/>
      <c r="CL173" s="1578"/>
      <c r="CM173" s="1578"/>
      <c r="CN173" s="1578"/>
      <c r="CO173" s="1578"/>
      <c r="CP173" s="1578"/>
      <c r="CQ173" s="1578"/>
      <c r="CR173" s="1578"/>
      <c r="CS173" s="1578"/>
      <c r="CT173" s="1578"/>
      <c r="CU173" s="1578"/>
      <c r="CV173" s="1578"/>
      <c r="CW173" s="1578"/>
      <c r="CX173" s="1578"/>
      <c r="CY173" s="1578"/>
      <c r="CZ173" s="1578"/>
    </row>
    <row r="174" spans="1:104">
      <c r="A174" s="1466"/>
      <c r="B174" s="1576"/>
      <c r="C174" s="1576"/>
      <c r="D174" s="1576"/>
      <c r="E174" s="1578"/>
      <c r="F174" s="1578"/>
      <c r="G174" s="1578"/>
      <c r="H174" s="1578"/>
      <c r="I174" s="1578"/>
      <c r="J174" s="1578"/>
      <c r="K174" s="1578"/>
      <c r="L174" s="1578"/>
      <c r="M174" s="1578"/>
      <c r="N174" s="1578"/>
      <c r="O174" s="1578"/>
      <c r="P174" s="1578"/>
      <c r="Q174" s="1578"/>
      <c r="R174" s="1578"/>
      <c r="S174" s="1578"/>
      <c r="T174" s="1578"/>
      <c r="U174" s="1578"/>
      <c r="V174" s="1578"/>
      <c r="W174" s="1578"/>
      <c r="X174" s="1578"/>
      <c r="Y174" s="1578"/>
      <c r="Z174" s="1578"/>
      <c r="AA174" s="1578"/>
      <c r="AB174" s="1578"/>
      <c r="AC174" s="1578"/>
      <c r="AD174" s="1578"/>
      <c r="AE174" s="1578"/>
      <c r="AF174" s="1578"/>
      <c r="AG174" s="1578"/>
      <c r="AH174" s="1578"/>
      <c r="AI174" s="1578"/>
      <c r="AJ174" s="1578"/>
      <c r="AK174" s="1578"/>
      <c r="AL174" s="1578"/>
      <c r="AM174" s="1578"/>
      <c r="AN174" s="1578"/>
      <c r="AO174" s="1578"/>
      <c r="AP174" s="1578"/>
      <c r="AQ174" s="1578"/>
      <c r="AR174" s="1578"/>
      <c r="AS174" s="1578"/>
      <c r="AT174" s="1578"/>
      <c r="AU174" s="1578"/>
      <c r="AV174" s="1578"/>
      <c r="AW174" s="1578"/>
      <c r="AX174" s="1578"/>
      <c r="AY174" s="1578"/>
      <c r="AZ174" s="1578"/>
      <c r="BA174" s="1578"/>
      <c r="BB174" s="1578"/>
      <c r="BC174" s="1578"/>
      <c r="BD174" s="1578"/>
      <c r="BE174" s="1578"/>
      <c r="BF174" s="1578"/>
      <c r="BG174" s="1578"/>
      <c r="BH174" s="1578"/>
      <c r="BI174" s="1578"/>
      <c r="BJ174" s="1578"/>
      <c r="BK174" s="1578"/>
      <c r="BL174" s="1578"/>
      <c r="BM174" s="1578"/>
      <c r="BN174" s="1578"/>
      <c r="BO174" s="1578"/>
      <c r="BP174" s="1578"/>
      <c r="BQ174" s="1578"/>
      <c r="BR174" s="1578"/>
      <c r="BS174" s="1578"/>
      <c r="BT174" s="1578"/>
      <c r="BU174" s="1578"/>
      <c r="BV174" s="1578"/>
      <c r="BW174" s="1578"/>
      <c r="BX174" s="1578"/>
      <c r="BY174" s="1578"/>
      <c r="BZ174" s="1578"/>
      <c r="CA174" s="1578"/>
      <c r="CB174" s="1578"/>
      <c r="CC174" s="1578"/>
      <c r="CD174" s="1578"/>
      <c r="CE174" s="1578"/>
      <c r="CF174" s="1578"/>
      <c r="CG174" s="1578"/>
      <c r="CH174" s="1578"/>
      <c r="CI174" s="1578"/>
      <c r="CJ174" s="1578"/>
      <c r="CK174" s="1578"/>
      <c r="CL174" s="1578"/>
      <c r="CM174" s="1578"/>
      <c r="CN174" s="1578"/>
      <c r="CO174" s="1578"/>
      <c r="CP174" s="1578"/>
      <c r="CQ174" s="1578"/>
      <c r="CR174" s="1578"/>
      <c r="CS174" s="1578"/>
      <c r="CT174" s="1578"/>
      <c r="CU174" s="1578"/>
      <c r="CV174" s="1578"/>
      <c r="CW174" s="1578"/>
      <c r="CX174" s="1578"/>
      <c r="CY174" s="1578"/>
      <c r="CZ174" s="1578"/>
    </row>
    <row r="175" spans="1:104">
      <c r="A175" s="1466"/>
      <c r="B175" s="1576"/>
      <c r="C175" s="1576"/>
      <c r="D175" s="1576"/>
      <c r="E175" s="1578"/>
      <c r="F175" s="1578"/>
      <c r="G175" s="1578"/>
      <c r="H175" s="1578"/>
      <c r="I175" s="1578"/>
      <c r="J175" s="1578"/>
      <c r="K175" s="1578"/>
      <c r="L175" s="1578"/>
      <c r="M175" s="1578"/>
      <c r="N175" s="1578"/>
      <c r="O175" s="1578"/>
      <c r="P175" s="1578"/>
      <c r="Q175" s="1578"/>
      <c r="R175" s="1578"/>
      <c r="S175" s="1578"/>
      <c r="T175" s="1578"/>
      <c r="U175" s="1578"/>
      <c r="V175" s="1578"/>
      <c r="W175" s="1578"/>
      <c r="X175" s="1578"/>
      <c r="Y175" s="1578"/>
      <c r="Z175" s="1578"/>
      <c r="AA175" s="1578"/>
      <c r="AB175" s="1578"/>
      <c r="AC175" s="1578"/>
      <c r="AD175" s="1578"/>
      <c r="AE175" s="1578"/>
      <c r="AF175" s="1578"/>
      <c r="AG175" s="1578"/>
      <c r="AH175" s="1578"/>
      <c r="AI175" s="1578"/>
      <c r="AJ175" s="1578"/>
      <c r="AK175" s="1578"/>
      <c r="AL175" s="1578"/>
      <c r="AM175" s="1578"/>
      <c r="AN175" s="1578"/>
      <c r="AO175" s="1578"/>
      <c r="AP175" s="1578"/>
      <c r="AQ175" s="1578"/>
      <c r="AR175" s="1578"/>
      <c r="AS175" s="1578"/>
      <c r="AT175" s="1578"/>
      <c r="AU175" s="1578"/>
      <c r="AV175" s="1578"/>
      <c r="AW175" s="1578"/>
      <c r="AX175" s="1578"/>
      <c r="AY175" s="1578"/>
      <c r="AZ175" s="1578"/>
      <c r="BA175" s="1578"/>
      <c r="BB175" s="1578"/>
      <c r="BC175" s="1578"/>
      <c r="BD175" s="1578"/>
      <c r="BE175" s="1578"/>
      <c r="BF175" s="1578"/>
      <c r="BG175" s="1578"/>
      <c r="BH175" s="1578"/>
      <c r="BI175" s="1578"/>
      <c r="BJ175" s="1578"/>
      <c r="BK175" s="1578"/>
      <c r="BL175" s="1578"/>
      <c r="BM175" s="1578"/>
      <c r="BN175" s="1578"/>
      <c r="BO175" s="1578"/>
      <c r="BP175" s="1578"/>
      <c r="BQ175" s="1578"/>
      <c r="BR175" s="1578"/>
      <c r="BS175" s="1578"/>
      <c r="BT175" s="1578"/>
      <c r="BU175" s="1578"/>
      <c r="BV175" s="1578"/>
      <c r="BW175" s="1578"/>
      <c r="BX175" s="1578"/>
      <c r="BY175" s="1578"/>
      <c r="BZ175" s="1578"/>
      <c r="CA175" s="1578"/>
      <c r="CB175" s="1578"/>
      <c r="CC175" s="1578"/>
      <c r="CD175" s="1578"/>
      <c r="CE175" s="1578"/>
      <c r="CF175" s="1578"/>
      <c r="CG175" s="1578"/>
      <c r="CH175" s="1578"/>
      <c r="CI175" s="1578"/>
      <c r="CJ175" s="1578"/>
      <c r="CK175" s="1578"/>
      <c r="CL175" s="1578"/>
      <c r="CM175" s="1578"/>
      <c r="CN175" s="1578"/>
      <c r="CO175" s="1578"/>
      <c r="CP175" s="1578"/>
      <c r="CQ175" s="1578"/>
      <c r="CR175" s="1578"/>
      <c r="CS175" s="1578"/>
      <c r="CT175" s="1578"/>
      <c r="CU175" s="1578"/>
      <c r="CV175" s="1578"/>
      <c r="CW175" s="1578"/>
      <c r="CX175" s="1578"/>
      <c r="CY175" s="1578"/>
      <c r="CZ175" s="1578"/>
    </row>
    <row r="176" spans="1:104">
      <c r="A176" s="1466"/>
      <c r="B176" s="1576"/>
      <c r="C176" s="1576"/>
      <c r="D176" s="1576"/>
      <c r="E176" s="1578"/>
      <c r="F176" s="1578"/>
      <c r="G176" s="1578"/>
      <c r="H176" s="1578"/>
      <c r="I176" s="1578"/>
      <c r="J176" s="1578"/>
      <c r="K176" s="1578"/>
      <c r="L176" s="1578"/>
      <c r="M176" s="1578"/>
      <c r="N176" s="1578"/>
      <c r="O176" s="1578"/>
      <c r="P176" s="1578"/>
      <c r="Q176" s="1578"/>
      <c r="R176" s="1578"/>
      <c r="S176" s="1578"/>
      <c r="T176" s="1578"/>
      <c r="U176" s="1578"/>
      <c r="V176" s="1578"/>
      <c r="W176" s="1578"/>
      <c r="X176" s="1578"/>
      <c r="Y176" s="1578"/>
      <c r="Z176" s="1578"/>
      <c r="AA176" s="1578"/>
      <c r="AB176" s="1578"/>
      <c r="AC176" s="1578"/>
      <c r="AD176" s="1578"/>
      <c r="AE176" s="1578"/>
      <c r="AF176" s="1578"/>
      <c r="AG176" s="1578"/>
      <c r="AH176" s="1578"/>
      <c r="AI176" s="1578"/>
      <c r="AJ176" s="1578"/>
      <c r="AK176" s="1578"/>
      <c r="AL176" s="1578"/>
      <c r="AM176" s="1578"/>
      <c r="AN176" s="1578"/>
      <c r="AO176" s="1578"/>
      <c r="AP176" s="1578"/>
      <c r="AQ176" s="1578"/>
      <c r="AR176" s="1578"/>
      <c r="AS176" s="1578"/>
      <c r="AT176" s="1578"/>
      <c r="AU176" s="1578"/>
      <c r="AV176" s="1578"/>
      <c r="AW176" s="1578"/>
      <c r="AX176" s="1578"/>
      <c r="AY176" s="1578"/>
      <c r="AZ176" s="1578"/>
      <c r="BA176" s="1578"/>
      <c r="BB176" s="1578"/>
      <c r="BC176" s="1578"/>
      <c r="BD176" s="1578"/>
      <c r="BE176" s="1578"/>
      <c r="BF176" s="1578"/>
      <c r="BG176" s="1578"/>
      <c r="BH176" s="1578"/>
      <c r="BI176" s="1578"/>
      <c r="BJ176" s="1578"/>
      <c r="BK176" s="1578"/>
      <c r="BL176" s="1578"/>
      <c r="BM176" s="1578"/>
      <c r="BN176" s="1578"/>
      <c r="BO176" s="1578"/>
      <c r="BP176" s="1578"/>
      <c r="BQ176" s="1578"/>
      <c r="BR176" s="1578"/>
      <c r="BS176" s="1578"/>
      <c r="BT176" s="1578"/>
      <c r="BU176" s="1578"/>
      <c r="BV176" s="1578"/>
      <c r="BW176" s="1578"/>
      <c r="BX176" s="1578"/>
      <c r="BY176" s="1578"/>
      <c r="BZ176" s="1578"/>
      <c r="CA176" s="1578"/>
      <c r="CB176" s="1578"/>
      <c r="CC176" s="1578"/>
      <c r="CD176" s="1578"/>
      <c r="CE176" s="1578"/>
      <c r="CF176" s="1578"/>
      <c r="CG176" s="1578"/>
      <c r="CH176" s="1578"/>
      <c r="CI176" s="1578"/>
      <c r="CJ176" s="1578"/>
      <c r="CK176" s="1578"/>
      <c r="CL176" s="1578"/>
      <c r="CM176" s="1578"/>
      <c r="CN176" s="1578"/>
      <c r="CO176" s="1578"/>
      <c r="CP176" s="1578"/>
      <c r="CQ176" s="1578"/>
      <c r="CR176" s="1578"/>
      <c r="CS176" s="1578"/>
      <c r="CT176" s="1578"/>
      <c r="CU176" s="1578"/>
      <c r="CV176" s="1578"/>
      <c r="CW176" s="1578"/>
      <c r="CX176" s="1578"/>
      <c r="CY176" s="1578"/>
      <c r="CZ176" s="1578"/>
    </row>
    <row r="177" spans="1:104">
      <c r="A177" s="1466"/>
      <c r="B177" s="1576"/>
      <c r="C177" s="1576"/>
      <c r="D177" s="1576"/>
      <c r="E177" s="1578"/>
      <c r="F177" s="1578"/>
      <c r="G177" s="1578"/>
      <c r="H177" s="1578"/>
      <c r="I177" s="1578"/>
      <c r="J177" s="1578"/>
      <c r="K177" s="1578"/>
      <c r="L177" s="1578"/>
      <c r="M177" s="1578"/>
      <c r="N177" s="1578"/>
      <c r="O177" s="1578"/>
      <c r="P177" s="1578"/>
      <c r="Q177" s="1578"/>
      <c r="R177" s="1578"/>
      <c r="S177" s="1578"/>
      <c r="T177" s="1578"/>
      <c r="U177" s="1578"/>
      <c r="V177" s="1578"/>
      <c r="W177" s="1578"/>
      <c r="X177" s="1578"/>
      <c r="Y177" s="1578"/>
      <c r="Z177" s="1578"/>
      <c r="AA177" s="1578"/>
      <c r="AB177" s="1578"/>
      <c r="AC177" s="1578"/>
      <c r="AD177" s="1578"/>
      <c r="AE177" s="1578"/>
      <c r="AF177" s="1578"/>
      <c r="AG177" s="1578"/>
      <c r="AH177" s="1578"/>
      <c r="AI177" s="1578"/>
      <c r="AJ177" s="1578"/>
      <c r="AK177" s="1578"/>
      <c r="AL177" s="1578"/>
      <c r="AM177" s="1578"/>
      <c r="AN177" s="1578"/>
      <c r="AO177" s="1578"/>
      <c r="AP177" s="1578"/>
      <c r="AQ177" s="1578"/>
      <c r="AR177" s="1578"/>
      <c r="AS177" s="1578"/>
      <c r="AT177" s="1578"/>
      <c r="AU177" s="1578"/>
      <c r="AV177" s="1578"/>
      <c r="AW177" s="1578"/>
      <c r="AX177" s="1578"/>
      <c r="AY177" s="1578"/>
      <c r="AZ177" s="1578"/>
      <c r="BA177" s="1578"/>
      <c r="BB177" s="1578"/>
      <c r="BC177" s="1578"/>
      <c r="BD177" s="1578"/>
      <c r="BE177" s="1578"/>
      <c r="BF177" s="1578"/>
      <c r="BG177" s="1578"/>
      <c r="BH177" s="1578"/>
      <c r="BI177" s="1578"/>
      <c r="BJ177" s="1578"/>
      <c r="BK177" s="1578"/>
      <c r="BL177" s="1578"/>
      <c r="BM177" s="1578"/>
      <c r="BN177" s="1578"/>
      <c r="BO177" s="1578"/>
      <c r="BP177" s="1578"/>
      <c r="BQ177" s="1578"/>
      <c r="BR177" s="1578"/>
      <c r="BS177" s="1578"/>
      <c r="BT177" s="1578"/>
      <c r="BU177" s="1578"/>
      <c r="BV177" s="1578"/>
      <c r="BW177" s="1578"/>
      <c r="BX177" s="1578"/>
      <c r="BY177" s="1578"/>
      <c r="BZ177" s="1578"/>
      <c r="CA177" s="1578"/>
      <c r="CB177" s="1578"/>
      <c r="CC177" s="1578"/>
      <c r="CD177" s="1578"/>
      <c r="CE177" s="1578"/>
      <c r="CF177" s="1578"/>
      <c r="CG177" s="1578"/>
      <c r="CH177" s="1578"/>
      <c r="CI177" s="1578"/>
      <c r="CJ177" s="1578"/>
      <c r="CK177" s="1578"/>
      <c r="CL177" s="1578"/>
      <c r="CM177" s="1578"/>
      <c r="CN177" s="1578"/>
      <c r="CO177" s="1578"/>
      <c r="CP177" s="1578"/>
      <c r="CQ177" s="1578"/>
      <c r="CR177" s="1578"/>
      <c r="CS177" s="1578"/>
      <c r="CT177" s="1578"/>
      <c r="CU177" s="1578"/>
      <c r="CV177" s="1578"/>
      <c r="CW177" s="1578"/>
      <c r="CX177" s="1578"/>
      <c r="CY177" s="1578"/>
      <c r="CZ177" s="1578"/>
    </row>
    <row r="178" spans="1:104">
      <c r="A178" s="1466"/>
      <c r="B178" s="1576"/>
      <c r="C178" s="1576"/>
      <c r="D178" s="1576"/>
      <c r="E178" s="1578"/>
      <c r="F178" s="1578"/>
      <c r="G178" s="1578"/>
      <c r="H178" s="1578"/>
      <c r="I178" s="1578"/>
      <c r="J178" s="1578"/>
      <c r="K178" s="1578"/>
      <c r="L178" s="1578"/>
      <c r="M178" s="1578"/>
      <c r="N178" s="1578"/>
      <c r="O178" s="1578"/>
      <c r="P178" s="1578"/>
      <c r="Q178" s="1578"/>
      <c r="R178" s="1578"/>
      <c r="S178" s="1578"/>
      <c r="T178" s="1578"/>
      <c r="U178" s="1578"/>
      <c r="V178" s="1578"/>
      <c r="W178" s="1578"/>
      <c r="X178" s="1578"/>
      <c r="Y178" s="1578"/>
      <c r="Z178" s="1578"/>
      <c r="AA178" s="1578"/>
      <c r="AB178" s="1578"/>
      <c r="AC178" s="1578"/>
      <c r="AD178" s="1578"/>
      <c r="AE178" s="1578"/>
      <c r="AF178" s="1578"/>
      <c r="AG178" s="1578"/>
      <c r="AH178" s="1578"/>
      <c r="AI178" s="1578"/>
      <c r="AJ178" s="1578"/>
      <c r="AK178" s="1578"/>
      <c r="AL178" s="1578"/>
      <c r="AM178" s="1578"/>
      <c r="AN178" s="1578"/>
      <c r="AO178" s="1578"/>
      <c r="AP178" s="1578"/>
      <c r="AQ178" s="1578"/>
      <c r="AR178" s="1578"/>
      <c r="AS178" s="1578"/>
      <c r="AT178" s="1578"/>
      <c r="AU178" s="1578"/>
      <c r="AV178" s="1578"/>
      <c r="AW178" s="1578"/>
      <c r="AX178" s="1578"/>
      <c r="AY178" s="1578"/>
      <c r="AZ178" s="1578"/>
      <c r="BA178" s="1578"/>
      <c r="BB178" s="1578"/>
      <c r="BC178" s="1578"/>
      <c r="BD178" s="1578"/>
      <c r="BE178" s="1578"/>
      <c r="BF178" s="1578"/>
      <c r="BG178" s="1578"/>
      <c r="BH178" s="1578"/>
      <c r="BI178" s="1578"/>
      <c r="BJ178" s="1578"/>
      <c r="BK178" s="1578"/>
      <c r="BL178" s="1578"/>
      <c r="BM178" s="1578"/>
      <c r="BN178" s="1578"/>
      <c r="BO178" s="1578"/>
      <c r="BP178" s="1578"/>
      <c r="BQ178" s="1578"/>
      <c r="BR178" s="1578"/>
      <c r="BS178" s="1578"/>
      <c r="BT178" s="1578"/>
      <c r="BU178" s="1578"/>
      <c r="BV178" s="1578"/>
      <c r="BW178" s="1578"/>
      <c r="BX178" s="1578"/>
      <c r="BY178" s="1578"/>
      <c r="BZ178" s="1578"/>
      <c r="CA178" s="1578"/>
      <c r="CB178" s="1578"/>
      <c r="CC178" s="1578"/>
      <c r="CD178" s="1578"/>
      <c r="CE178" s="1578"/>
      <c r="CF178" s="1578"/>
      <c r="CG178" s="1578"/>
      <c r="CH178" s="1578"/>
      <c r="CI178" s="1578"/>
      <c r="CJ178" s="1578"/>
      <c r="CK178" s="1578"/>
      <c r="CL178" s="1578"/>
      <c r="CM178" s="1578"/>
      <c r="CN178" s="1578"/>
      <c r="CO178" s="1578"/>
      <c r="CP178" s="1578"/>
      <c r="CQ178" s="1578"/>
      <c r="CR178" s="1578"/>
      <c r="CS178" s="1578"/>
      <c r="CT178" s="1578"/>
      <c r="CU178" s="1578"/>
      <c r="CV178" s="1578"/>
      <c r="CW178" s="1578"/>
      <c r="CX178" s="1578"/>
      <c r="CY178" s="1578"/>
      <c r="CZ178" s="1578"/>
    </row>
    <row r="179" spans="1:104">
      <c r="A179" s="1466"/>
      <c r="B179" s="1576"/>
      <c r="C179" s="1576"/>
      <c r="D179" s="1576"/>
      <c r="E179" s="1578"/>
      <c r="F179" s="1578"/>
      <c r="G179" s="1578"/>
      <c r="H179" s="1578"/>
      <c r="I179" s="1578"/>
      <c r="J179" s="1578"/>
      <c r="K179" s="1578"/>
      <c r="L179" s="1578"/>
      <c r="M179" s="1578"/>
      <c r="N179" s="1578"/>
      <c r="O179" s="1578"/>
      <c r="P179" s="1578"/>
      <c r="Q179" s="1578"/>
      <c r="R179" s="1578"/>
      <c r="S179" s="1578"/>
      <c r="T179" s="1578"/>
      <c r="U179" s="1578"/>
      <c r="V179" s="1578"/>
      <c r="W179" s="1578"/>
      <c r="X179" s="1578"/>
      <c r="Y179" s="1578"/>
      <c r="Z179" s="1578"/>
      <c r="AA179" s="1578"/>
      <c r="AB179" s="1578"/>
      <c r="AC179" s="1578"/>
      <c r="AD179" s="1578"/>
      <c r="AE179" s="1578"/>
      <c r="AF179" s="1578"/>
      <c r="AG179" s="1578"/>
      <c r="AH179" s="1578"/>
      <c r="AI179" s="1578"/>
      <c r="AJ179" s="1578"/>
      <c r="AK179" s="1578"/>
      <c r="AL179" s="1578"/>
      <c r="AM179" s="1578"/>
      <c r="AN179" s="1578"/>
      <c r="AO179" s="1578"/>
      <c r="AP179" s="1578"/>
      <c r="AQ179" s="1578"/>
      <c r="AR179" s="1578"/>
      <c r="AS179" s="1578"/>
      <c r="AT179" s="1578"/>
      <c r="AU179" s="1578"/>
      <c r="AV179" s="1578"/>
      <c r="AW179" s="1578"/>
      <c r="AX179" s="1578"/>
      <c r="AY179" s="1578"/>
      <c r="AZ179" s="1578"/>
      <c r="BA179" s="1578"/>
      <c r="BB179" s="1578"/>
      <c r="BC179" s="1578"/>
      <c r="BD179" s="1578"/>
      <c r="BE179" s="1578"/>
      <c r="BF179" s="1578"/>
      <c r="BG179" s="1578"/>
      <c r="BH179" s="1578"/>
      <c r="BI179" s="1578"/>
      <c r="BJ179" s="1578"/>
      <c r="BK179" s="1578"/>
      <c r="BL179" s="1578"/>
      <c r="BM179" s="1578"/>
      <c r="BN179" s="1578"/>
      <c r="BO179" s="1578"/>
      <c r="BP179" s="1578"/>
      <c r="BQ179" s="1578"/>
      <c r="BR179" s="1578"/>
      <c r="BS179" s="1578"/>
      <c r="BT179" s="1578"/>
      <c r="BU179" s="1578"/>
      <c r="BV179" s="1578"/>
      <c r="BW179" s="1578"/>
      <c r="BX179" s="1578"/>
      <c r="BY179" s="1578"/>
      <c r="BZ179" s="1578"/>
      <c r="CA179" s="1578"/>
      <c r="CB179" s="1578"/>
      <c r="CC179" s="1578"/>
      <c r="CD179" s="1578"/>
      <c r="CE179" s="1578"/>
      <c r="CF179" s="1578"/>
      <c r="CG179" s="1578"/>
      <c r="CH179" s="1578"/>
      <c r="CI179" s="1578"/>
      <c r="CJ179" s="1578"/>
      <c r="CK179" s="1578"/>
      <c r="CL179" s="1578"/>
      <c r="CM179" s="1578"/>
      <c r="CN179" s="1578"/>
      <c r="CO179" s="1578"/>
      <c r="CP179" s="1578"/>
      <c r="CQ179" s="1578"/>
      <c r="CR179" s="1578"/>
      <c r="CS179" s="1578"/>
      <c r="CT179" s="1578"/>
      <c r="CU179" s="1578"/>
      <c r="CV179" s="1578"/>
      <c r="CW179" s="1578"/>
      <c r="CX179" s="1578"/>
      <c r="CY179" s="1578"/>
      <c r="CZ179" s="1578"/>
    </row>
    <row r="180" spans="1:104">
      <c r="A180" s="1466"/>
      <c r="B180" s="1576"/>
      <c r="C180" s="1576"/>
      <c r="D180" s="1576"/>
      <c r="E180" s="1578"/>
      <c r="F180" s="1578"/>
      <c r="G180" s="1578"/>
      <c r="H180" s="1578"/>
      <c r="I180" s="1578"/>
      <c r="J180" s="1578"/>
      <c r="K180" s="1578"/>
      <c r="L180" s="1578"/>
      <c r="M180" s="1578"/>
      <c r="N180" s="1578"/>
      <c r="O180" s="1578"/>
      <c r="P180" s="1578"/>
      <c r="Q180" s="1578"/>
      <c r="R180" s="1578"/>
      <c r="S180" s="1578"/>
      <c r="T180" s="1578"/>
      <c r="U180" s="1578"/>
      <c r="V180" s="1578"/>
      <c r="W180" s="1578"/>
      <c r="X180" s="1578"/>
      <c r="Y180" s="1578"/>
      <c r="Z180" s="1578"/>
      <c r="AA180" s="1578"/>
      <c r="AB180" s="1578"/>
      <c r="AC180" s="1578"/>
      <c r="AD180" s="1578"/>
      <c r="AE180" s="1578"/>
      <c r="AF180" s="1578"/>
      <c r="AG180" s="1578"/>
      <c r="AH180" s="1578"/>
      <c r="AI180" s="1578"/>
      <c r="AJ180" s="1578"/>
      <c r="AK180" s="1578"/>
      <c r="AL180" s="1578"/>
      <c r="AM180" s="1578"/>
      <c r="AN180" s="1578"/>
      <c r="AO180" s="1578"/>
      <c r="AP180" s="1578"/>
      <c r="AQ180" s="1578"/>
      <c r="AR180" s="1578"/>
      <c r="AS180" s="1578"/>
      <c r="AT180" s="1578"/>
      <c r="AU180" s="1578"/>
      <c r="AV180" s="1578"/>
      <c r="AW180" s="1578"/>
      <c r="AX180" s="1578"/>
      <c r="AY180" s="1578"/>
      <c r="AZ180" s="1578"/>
      <c r="BA180" s="1578"/>
      <c r="BB180" s="1578"/>
      <c r="BC180" s="1578"/>
      <c r="BD180" s="1578"/>
      <c r="BE180" s="1578"/>
      <c r="BF180" s="1578"/>
      <c r="BG180" s="1578"/>
      <c r="BH180" s="1578"/>
      <c r="BI180" s="1578"/>
      <c r="BJ180" s="1578"/>
      <c r="BK180" s="1578"/>
      <c r="BL180" s="1578"/>
      <c r="BM180" s="1578"/>
      <c r="BN180" s="1578"/>
      <c r="BO180" s="1578"/>
      <c r="BP180" s="1578"/>
      <c r="BQ180" s="1578"/>
      <c r="BR180" s="1578"/>
      <c r="BS180" s="1578"/>
      <c r="BT180" s="1578"/>
      <c r="BU180" s="1578"/>
      <c r="BV180" s="1578"/>
      <c r="BW180" s="1578"/>
      <c r="BX180" s="1578"/>
      <c r="BY180" s="1578"/>
      <c r="BZ180" s="1578"/>
      <c r="CA180" s="1578"/>
      <c r="CB180" s="1578"/>
      <c r="CC180" s="1578"/>
      <c r="CD180" s="1578"/>
      <c r="CE180" s="1578"/>
      <c r="CF180" s="1578"/>
      <c r="CG180" s="1578"/>
      <c r="CH180" s="1578"/>
      <c r="CI180" s="1578"/>
      <c r="CJ180" s="1578"/>
      <c r="CK180" s="1578"/>
      <c r="CL180" s="1578"/>
      <c r="CM180" s="1578"/>
      <c r="CN180" s="1578"/>
      <c r="CO180" s="1578"/>
      <c r="CP180" s="1578"/>
      <c r="CQ180" s="1578"/>
      <c r="CR180" s="1578"/>
      <c r="CS180" s="1578"/>
      <c r="CT180" s="1578"/>
      <c r="CU180" s="1578"/>
      <c r="CV180" s="1578"/>
      <c r="CW180" s="1578"/>
      <c r="CX180" s="1578"/>
      <c r="CY180" s="1578"/>
      <c r="CZ180" s="1578"/>
    </row>
    <row r="181" spans="1:104">
      <c r="A181" s="1466"/>
      <c r="B181" s="1576"/>
      <c r="C181" s="1576"/>
      <c r="D181" s="1576"/>
      <c r="E181" s="1578"/>
      <c r="F181" s="1578"/>
      <c r="G181" s="1578"/>
      <c r="H181" s="1578"/>
      <c r="I181" s="1578"/>
      <c r="J181" s="1578"/>
      <c r="K181" s="1578"/>
      <c r="L181" s="1578"/>
      <c r="M181" s="1578"/>
      <c r="N181" s="1578"/>
      <c r="O181" s="1578"/>
      <c r="P181" s="1578"/>
      <c r="Q181" s="1578"/>
      <c r="R181" s="1578"/>
      <c r="S181" s="1578"/>
      <c r="T181" s="1578"/>
      <c r="U181" s="1578"/>
      <c r="V181" s="1578"/>
      <c r="W181" s="1578"/>
      <c r="X181" s="1578"/>
      <c r="Y181" s="1578"/>
      <c r="Z181" s="1578"/>
      <c r="AA181" s="1578"/>
      <c r="AB181" s="1578"/>
      <c r="AC181" s="1578"/>
      <c r="AD181" s="1578"/>
      <c r="AE181" s="1578"/>
      <c r="AF181" s="1578"/>
      <c r="AG181" s="1578"/>
      <c r="AH181" s="1578"/>
      <c r="AI181" s="1578"/>
      <c r="AJ181" s="1578"/>
      <c r="AK181" s="1578"/>
      <c r="AL181" s="1578"/>
      <c r="AM181" s="1578"/>
      <c r="AN181" s="1578"/>
      <c r="AO181" s="1578"/>
      <c r="AP181" s="1578"/>
      <c r="AQ181" s="1578"/>
      <c r="AR181" s="1578"/>
      <c r="AS181" s="1578"/>
      <c r="AT181" s="1578"/>
      <c r="AU181" s="1578"/>
      <c r="AV181" s="1578"/>
      <c r="AW181" s="1578"/>
      <c r="AX181" s="1578"/>
      <c r="AY181" s="1578"/>
      <c r="AZ181" s="1578"/>
      <c r="BA181" s="1578"/>
      <c r="BB181" s="1578"/>
      <c r="BC181" s="1578"/>
      <c r="BD181" s="1578"/>
      <c r="BE181" s="1578"/>
      <c r="BF181" s="1578"/>
      <c r="BG181" s="1578"/>
      <c r="BH181" s="1578"/>
      <c r="BI181" s="1578"/>
      <c r="BJ181" s="1578"/>
      <c r="BK181" s="1578"/>
      <c r="BL181" s="1578"/>
      <c r="BM181" s="1578"/>
      <c r="BN181" s="1578"/>
      <c r="BO181" s="1578"/>
      <c r="BP181" s="1578"/>
      <c r="BQ181" s="1578"/>
      <c r="BR181" s="1578"/>
      <c r="BS181" s="1578"/>
      <c r="BT181" s="1578"/>
      <c r="BU181" s="1578"/>
      <c r="BV181" s="1578"/>
      <c r="BW181" s="1578"/>
      <c r="BX181" s="1578"/>
      <c r="BY181" s="1578"/>
      <c r="BZ181" s="1578"/>
      <c r="CA181" s="1578"/>
      <c r="CB181" s="1578"/>
      <c r="CC181" s="1578"/>
      <c r="CD181" s="1578"/>
      <c r="CE181" s="1578"/>
      <c r="CF181" s="1578"/>
      <c r="CG181" s="1578"/>
      <c r="CH181" s="1578"/>
      <c r="CI181" s="1578"/>
      <c r="CJ181" s="1578"/>
      <c r="CK181" s="1578"/>
      <c r="CL181" s="1578"/>
      <c r="CM181" s="1578"/>
      <c r="CN181" s="1578"/>
      <c r="CO181" s="1578"/>
      <c r="CP181" s="1578"/>
      <c r="CQ181" s="1578"/>
      <c r="CR181" s="1578"/>
      <c r="CS181" s="1578"/>
      <c r="CT181" s="1578"/>
      <c r="CU181" s="1578"/>
      <c r="CV181" s="1578"/>
      <c r="CW181" s="1578"/>
      <c r="CX181" s="1578"/>
      <c r="CY181" s="1578"/>
      <c r="CZ181" s="1578"/>
    </row>
    <row r="182" spans="1:104">
      <c r="A182" s="1466"/>
      <c r="B182" s="1576"/>
      <c r="C182" s="1576"/>
      <c r="D182" s="1576"/>
      <c r="E182" s="1578"/>
      <c r="F182" s="1578"/>
      <c r="G182" s="1578"/>
      <c r="H182" s="1578"/>
      <c r="I182" s="1578"/>
      <c r="J182" s="1578"/>
      <c r="K182" s="1578"/>
      <c r="L182" s="1578"/>
      <c r="M182" s="1578"/>
      <c r="N182" s="1578"/>
      <c r="O182" s="1578"/>
      <c r="P182" s="1578"/>
      <c r="Q182" s="1578"/>
      <c r="R182" s="1578"/>
      <c r="S182" s="1578"/>
      <c r="T182" s="1578"/>
      <c r="U182" s="1578"/>
      <c r="V182" s="1578"/>
      <c r="W182" s="1578"/>
      <c r="X182" s="1578"/>
      <c r="Y182" s="1578"/>
      <c r="Z182" s="1578"/>
      <c r="AA182" s="1578"/>
      <c r="AB182" s="1578"/>
      <c r="AC182" s="1578"/>
      <c r="AD182" s="1578"/>
      <c r="AE182" s="1578"/>
      <c r="AF182" s="1578"/>
      <c r="AG182" s="1578"/>
      <c r="AH182" s="1578"/>
      <c r="AI182" s="1578"/>
      <c r="AJ182" s="1578"/>
      <c r="AK182" s="1578"/>
      <c r="AL182" s="1578"/>
      <c r="AM182" s="1578"/>
      <c r="AN182" s="1578"/>
      <c r="AO182" s="1578"/>
      <c r="AP182" s="1578"/>
      <c r="AQ182" s="1578"/>
      <c r="AR182" s="1578"/>
      <c r="AS182" s="1578"/>
      <c r="AT182" s="1578"/>
      <c r="AU182" s="1578"/>
      <c r="AV182" s="1578"/>
      <c r="AW182" s="1578"/>
      <c r="AX182" s="1578"/>
      <c r="AY182" s="1578"/>
      <c r="AZ182" s="1578"/>
      <c r="BA182" s="1578"/>
      <c r="BB182" s="1578"/>
      <c r="BC182" s="1578"/>
      <c r="BD182" s="1578"/>
      <c r="BE182" s="1578"/>
      <c r="BF182" s="1578"/>
      <c r="BG182" s="1578"/>
      <c r="BH182" s="1578"/>
      <c r="BI182" s="1578"/>
      <c r="BJ182" s="1578"/>
      <c r="BK182" s="1578"/>
      <c r="BL182" s="1578"/>
      <c r="BM182" s="1578"/>
      <c r="BN182" s="1578"/>
      <c r="BO182" s="1578"/>
      <c r="BP182" s="1578"/>
      <c r="BQ182" s="1578"/>
      <c r="BR182" s="1578"/>
      <c r="BS182" s="1578"/>
      <c r="BT182" s="1578"/>
      <c r="BU182" s="1578"/>
      <c r="BV182" s="1578"/>
      <c r="BW182" s="1578"/>
      <c r="BX182" s="1578"/>
      <c r="BY182" s="1578"/>
      <c r="BZ182" s="1578"/>
      <c r="CA182" s="1578"/>
      <c r="CB182" s="1578"/>
      <c r="CC182" s="1578"/>
      <c r="CD182" s="1578"/>
      <c r="CE182" s="1578"/>
      <c r="CF182" s="1578"/>
      <c r="CG182" s="1578"/>
      <c r="CH182" s="1578"/>
      <c r="CI182" s="1578"/>
      <c r="CJ182" s="1578"/>
      <c r="CK182" s="1578"/>
      <c r="CL182" s="1578"/>
      <c r="CM182" s="1578"/>
      <c r="CN182" s="1578"/>
      <c r="CO182" s="1578"/>
      <c r="CP182" s="1578"/>
      <c r="CQ182" s="1578"/>
      <c r="CR182" s="1578"/>
      <c r="CS182" s="1578"/>
      <c r="CT182" s="1578"/>
      <c r="CU182" s="1578"/>
      <c r="CV182" s="1578"/>
      <c r="CW182" s="1578"/>
      <c r="CX182" s="1578"/>
      <c r="CY182" s="1578"/>
      <c r="CZ182" s="1578"/>
    </row>
    <row r="183" spans="1:104">
      <c r="A183" s="1466"/>
      <c r="B183" s="1576"/>
      <c r="C183" s="1576"/>
      <c r="D183" s="1576"/>
      <c r="E183" s="1578"/>
      <c r="F183" s="1578"/>
      <c r="G183" s="1578"/>
      <c r="H183" s="1578"/>
      <c r="I183" s="1578"/>
      <c r="J183" s="1578"/>
      <c r="K183" s="1578"/>
      <c r="L183" s="1578"/>
      <c r="M183" s="1578"/>
      <c r="N183" s="1578"/>
      <c r="O183" s="1578"/>
      <c r="P183" s="1578"/>
      <c r="Q183" s="1578"/>
      <c r="R183" s="1578"/>
      <c r="S183" s="1578"/>
      <c r="T183" s="1578"/>
      <c r="U183" s="1578"/>
      <c r="V183" s="1578"/>
      <c r="W183" s="1578"/>
      <c r="X183" s="1578"/>
      <c r="Y183" s="1578"/>
      <c r="Z183" s="1578"/>
      <c r="AA183" s="1578"/>
      <c r="AB183" s="1578"/>
      <c r="AC183" s="1578"/>
      <c r="AD183" s="1578"/>
      <c r="AE183" s="1578"/>
      <c r="AF183" s="1578"/>
      <c r="AG183" s="1578"/>
      <c r="AH183" s="1578"/>
      <c r="AI183" s="1578"/>
      <c r="AJ183" s="1578"/>
      <c r="AK183" s="1578"/>
      <c r="AL183" s="1578"/>
      <c r="AM183" s="1578"/>
      <c r="AN183" s="1578"/>
      <c r="AO183" s="1578"/>
      <c r="AP183" s="1578"/>
      <c r="AQ183" s="1578"/>
      <c r="AR183" s="1578"/>
      <c r="AS183" s="1578"/>
      <c r="AT183" s="1578"/>
      <c r="AU183" s="1578"/>
      <c r="AV183" s="1578"/>
      <c r="AW183" s="1578"/>
      <c r="AX183" s="1578"/>
      <c r="AY183" s="1578"/>
      <c r="AZ183" s="1578"/>
      <c r="BA183" s="1578"/>
      <c r="BB183" s="1578"/>
      <c r="BC183" s="1578"/>
      <c r="BD183" s="1578"/>
      <c r="BE183" s="1578"/>
      <c r="BF183" s="1578"/>
      <c r="BG183" s="1578"/>
      <c r="BH183" s="1578"/>
      <c r="BI183" s="1578"/>
      <c r="BJ183" s="1578"/>
      <c r="BK183" s="1578"/>
      <c r="BL183" s="1578"/>
      <c r="BM183" s="1578"/>
      <c r="BN183" s="1578"/>
      <c r="BO183" s="1578"/>
      <c r="BP183" s="1578"/>
      <c r="BQ183" s="1578"/>
      <c r="BR183" s="1578"/>
      <c r="BS183" s="1578"/>
      <c r="BT183" s="1578"/>
      <c r="BU183" s="1578"/>
      <c r="BV183" s="1578"/>
      <c r="BW183" s="1578"/>
      <c r="BX183" s="1578"/>
      <c r="BY183" s="1578"/>
      <c r="BZ183" s="1578"/>
      <c r="CA183" s="1578"/>
      <c r="CB183" s="1578"/>
      <c r="CC183" s="1578"/>
      <c r="CD183" s="1578"/>
      <c r="CE183" s="1578"/>
      <c r="CF183" s="1578"/>
      <c r="CG183" s="1578"/>
      <c r="CH183" s="1578"/>
      <c r="CI183" s="1578"/>
      <c r="CJ183" s="1578"/>
      <c r="CK183" s="1578"/>
      <c r="CL183" s="1578"/>
      <c r="CM183" s="1578"/>
      <c r="CN183" s="1578"/>
      <c r="CO183" s="1578"/>
      <c r="CP183" s="1578"/>
      <c r="CQ183" s="1578"/>
      <c r="CR183" s="1578"/>
      <c r="CS183" s="1578"/>
      <c r="CT183" s="1578"/>
      <c r="CU183" s="1578"/>
      <c r="CV183" s="1578"/>
      <c r="CW183" s="1578"/>
      <c r="CX183" s="1578"/>
      <c r="CY183" s="1578"/>
      <c r="CZ183" s="1578"/>
    </row>
    <row r="184" spans="1:104">
      <c r="A184" s="1466"/>
      <c r="B184" s="1576"/>
      <c r="C184" s="1576"/>
      <c r="D184" s="1576"/>
      <c r="E184" s="1578"/>
      <c r="F184" s="1578"/>
      <c r="G184" s="1578"/>
      <c r="H184" s="1578"/>
      <c r="I184" s="1578"/>
      <c r="J184" s="1578"/>
      <c r="K184" s="1578"/>
      <c r="L184" s="1578"/>
      <c r="M184" s="1578"/>
      <c r="N184" s="1578"/>
      <c r="O184" s="1578"/>
      <c r="P184" s="1578"/>
      <c r="Q184" s="1578"/>
      <c r="R184" s="1578"/>
      <c r="S184" s="1578"/>
      <c r="T184" s="1578"/>
      <c r="U184" s="1578"/>
      <c r="V184" s="1578"/>
      <c r="W184" s="1578"/>
      <c r="X184" s="1578"/>
      <c r="Y184" s="1578"/>
      <c r="Z184" s="1578"/>
      <c r="AA184" s="1578"/>
      <c r="AB184" s="1578"/>
      <c r="AC184" s="1578"/>
      <c r="AD184" s="1578"/>
      <c r="AE184" s="1578"/>
      <c r="AF184" s="1578"/>
      <c r="AG184" s="1578"/>
      <c r="AH184" s="1578"/>
      <c r="AI184" s="1578"/>
      <c r="AJ184" s="1578"/>
      <c r="AK184" s="1578"/>
      <c r="AL184" s="1578"/>
      <c r="AM184" s="1578"/>
      <c r="AN184" s="1578"/>
      <c r="AO184" s="1578"/>
      <c r="AP184" s="1578"/>
      <c r="AQ184" s="1578"/>
      <c r="AR184" s="1578"/>
      <c r="AS184" s="1578"/>
      <c r="AT184" s="1578"/>
      <c r="AU184" s="1578"/>
      <c r="AV184" s="1578"/>
      <c r="AW184" s="1578"/>
      <c r="AX184" s="1578"/>
      <c r="AY184" s="1578"/>
      <c r="AZ184" s="1578"/>
      <c r="BA184" s="1578"/>
      <c r="BB184" s="1578"/>
      <c r="BC184" s="1578"/>
      <c r="BD184" s="1578"/>
      <c r="BE184" s="1578"/>
      <c r="BF184" s="1578"/>
      <c r="BG184" s="1578"/>
      <c r="BH184" s="1578"/>
      <c r="BI184" s="1578"/>
      <c r="BJ184" s="1578"/>
      <c r="BK184" s="1578"/>
      <c r="BL184" s="1578"/>
      <c r="BM184" s="1578"/>
      <c r="BN184" s="1578"/>
      <c r="BO184" s="1578"/>
      <c r="BP184" s="1578"/>
      <c r="BQ184" s="1578"/>
      <c r="BR184" s="1578"/>
      <c r="BS184" s="1578"/>
      <c r="BT184" s="1578"/>
      <c r="BU184" s="1578"/>
      <c r="BV184" s="1578"/>
      <c r="BW184" s="1578"/>
      <c r="BX184" s="1578"/>
      <c r="BY184" s="1578"/>
      <c r="BZ184" s="1578"/>
      <c r="CA184" s="1578"/>
      <c r="CB184" s="1578"/>
      <c r="CC184" s="1578"/>
      <c r="CD184" s="1578"/>
      <c r="CE184" s="1578"/>
      <c r="CF184" s="1578"/>
      <c r="CG184" s="1578"/>
      <c r="CH184" s="1578"/>
      <c r="CI184" s="1578"/>
      <c r="CJ184" s="1578"/>
      <c r="CK184" s="1578"/>
      <c r="CL184" s="1578"/>
      <c r="CM184" s="1578"/>
      <c r="CN184" s="1578"/>
      <c r="CO184" s="1578"/>
      <c r="CP184" s="1578"/>
      <c r="CQ184" s="1578"/>
      <c r="CR184" s="1578"/>
      <c r="CS184" s="1578"/>
      <c r="CT184" s="1578"/>
      <c r="CU184" s="1578"/>
      <c r="CV184" s="1578"/>
      <c r="CW184" s="1578"/>
      <c r="CX184" s="1578"/>
      <c r="CY184" s="1578"/>
      <c r="CZ184" s="1578"/>
    </row>
    <row r="185" spans="1:104">
      <c r="A185" s="1466"/>
      <c r="B185" s="1576"/>
      <c r="C185" s="1576"/>
      <c r="D185" s="1576"/>
      <c r="E185" s="1578"/>
      <c r="F185" s="1578"/>
      <c r="G185" s="1578"/>
      <c r="H185" s="1578"/>
      <c r="I185" s="1578"/>
      <c r="J185" s="1578"/>
      <c r="K185" s="1578"/>
      <c r="L185" s="1578"/>
      <c r="M185" s="1578"/>
      <c r="N185" s="1578"/>
      <c r="O185" s="1578"/>
      <c r="P185" s="1578"/>
      <c r="Q185" s="1578"/>
      <c r="R185" s="1578"/>
      <c r="S185" s="1578"/>
      <c r="T185" s="1578"/>
      <c r="U185" s="1578"/>
      <c r="V185" s="1578"/>
      <c r="W185" s="1578"/>
      <c r="X185" s="1578"/>
      <c r="Y185" s="1578"/>
      <c r="Z185" s="1578"/>
      <c r="AA185" s="1578"/>
      <c r="AB185" s="1578"/>
      <c r="AC185" s="1578"/>
      <c r="AD185" s="1578"/>
      <c r="AE185" s="1578"/>
      <c r="AF185" s="1578"/>
      <c r="AG185" s="1578"/>
      <c r="AH185" s="1578"/>
      <c r="AI185" s="1578"/>
      <c r="AJ185" s="1578"/>
      <c r="AK185" s="1578"/>
      <c r="AL185" s="1578"/>
      <c r="AM185" s="1578"/>
      <c r="AN185" s="1578"/>
      <c r="AO185" s="1578"/>
      <c r="AP185" s="1578"/>
      <c r="AQ185" s="1578"/>
      <c r="AR185" s="1578"/>
      <c r="AS185" s="1578"/>
      <c r="AT185" s="1578"/>
      <c r="AU185" s="1578"/>
      <c r="AV185" s="1578"/>
      <c r="AW185" s="1578"/>
      <c r="AX185" s="1578"/>
      <c r="AY185" s="1578"/>
      <c r="AZ185" s="1578"/>
      <c r="BA185" s="1578"/>
      <c r="BB185" s="1578"/>
      <c r="BC185" s="1578"/>
      <c r="BD185" s="1578"/>
      <c r="BE185" s="1578"/>
      <c r="BF185" s="1578"/>
      <c r="BG185" s="1578"/>
      <c r="BH185" s="1578"/>
      <c r="BI185" s="1578"/>
      <c r="BJ185" s="1578"/>
      <c r="BK185" s="1578"/>
      <c r="BL185" s="1578"/>
      <c r="BM185" s="1578"/>
      <c r="BN185" s="1578"/>
      <c r="BO185" s="1578"/>
      <c r="BP185" s="1578"/>
      <c r="BQ185" s="1578"/>
      <c r="BR185" s="1578"/>
      <c r="BS185" s="1578"/>
      <c r="BT185" s="1578"/>
      <c r="BU185" s="1578"/>
      <c r="BV185" s="1578"/>
      <c r="BW185" s="1578"/>
      <c r="BX185" s="1578"/>
      <c r="BY185" s="1578"/>
      <c r="BZ185" s="1578"/>
      <c r="CA185" s="1578"/>
      <c r="CB185" s="1578"/>
      <c r="CC185" s="1578"/>
      <c r="CD185" s="1578"/>
      <c r="CE185" s="1578"/>
      <c r="CF185" s="1578"/>
      <c r="CG185" s="1578"/>
      <c r="CH185" s="1578"/>
      <c r="CI185" s="1578"/>
      <c r="CJ185" s="1578"/>
      <c r="CK185" s="1578"/>
      <c r="CL185" s="1578"/>
      <c r="CM185" s="1578"/>
      <c r="CN185" s="1578"/>
      <c r="CO185" s="1578"/>
      <c r="CP185" s="1578"/>
      <c r="CQ185" s="1578"/>
      <c r="CR185" s="1578"/>
      <c r="CS185" s="1578"/>
      <c r="CT185" s="1578"/>
      <c r="CU185" s="1578"/>
      <c r="CV185" s="1578"/>
      <c r="CW185" s="1578"/>
      <c r="CX185" s="1578"/>
      <c r="CY185" s="1578"/>
      <c r="CZ185" s="1578"/>
    </row>
    <row r="186" spans="1:104">
      <c r="A186" s="1466"/>
      <c r="B186" s="1576"/>
      <c r="C186" s="1576"/>
      <c r="D186" s="1576"/>
      <c r="E186" s="1578"/>
      <c r="F186" s="1578"/>
      <c r="G186" s="1578"/>
      <c r="H186" s="1578"/>
      <c r="I186" s="1578"/>
      <c r="J186" s="1578"/>
      <c r="K186" s="1578"/>
      <c r="L186" s="1578"/>
      <c r="M186" s="1578"/>
      <c r="N186" s="1578"/>
      <c r="O186" s="1578"/>
      <c r="P186" s="1578"/>
      <c r="Q186" s="1578"/>
      <c r="R186" s="1578"/>
      <c r="S186" s="1578"/>
      <c r="T186" s="1578"/>
      <c r="U186" s="1578"/>
      <c r="V186" s="1578"/>
      <c r="W186" s="1578"/>
      <c r="X186" s="1578"/>
      <c r="Y186" s="1578"/>
      <c r="Z186" s="1578"/>
      <c r="AA186" s="1578"/>
      <c r="AB186" s="1578"/>
      <c r="AC186" s="1578"/>
      <c r="AD186" s="1578"/>
      <c r="AE186" s="1578"/>
      <c r="AF186" s="1578"/>
      <c r="AG186" s="1578"/>
      <c r="AH186" s="1578"/>
      <c r="AI186" s="1578"/>
      <c r="AJ186" s="1578"/>
      <c r="AK186" s="1578"/>
      <c r="AL186" s="1578"/>
      <c r="AM186" s="1578"/>
      <c r="AN186" s="1578"/>
      <c r="AO186" s="1578"/>
      <c r="AP186" s="1578"/>
      <c r="AQ186" s="1578"/>
      <c r="AR186" s="1578"/>
      <c r="AS186" s="1578"/>
      <c r="AT186" s="1578"/>
      <c r="AU186" s="1578"/>
      <c r="AV186" s="1578"/>
      <c r="AW186" s="1578"/>
      <c r="AX186" s="1578"/>
      <c r="AY186" s="1578"/>
      <c r="AZ186" s="1578"/>
      <c r="BA186" s="1578"/>
      <c r="BB186" s="1578"/>
      <c r="BC186" s="1578"/>
      <c r="BD186" s="1578"/>
      <c r="BE186" s="1578"/>
      <c r="BF186" s="1578"/>
      <c r="BG186" s="1578"/>
      <c r="BH186" s="1578"/>
      <c r="BI186" s="1578"/>
      <c r="BJ186" s="1578"/>
      <c r="BK186" s="1578"/>
      <c r="BL186" s="1578"/>
      <c r="BM186" s="1578"/>
      <c r="BN186" s="1578"/>
      <c r="BO186" s="1578"/>
      <c r="BP186" s="1578"/>
      <c r="BQ186" s="1578"/>
      <c r="BR186" s="1578"/>
      <c r="BS186" s="1578"/>
      <c r="BT186" s="1578"/>
      <c r="BU186" s="1578"/>
      <c r="BV186" s="1578"/>
      <c r="BW186" s="1578"/>
      <c r="BX186" s="1578"/>
      <c r="BY186" s="1578"/>
      <c r="BZ186" s="1578"/>
      <c r="CA186" s="1578"/>
      <c r="CB186" s="1578"/>
      <c r="CC186" s="1578"/>
      <c r="CD186" s="1578"/>
      <c r="CE186" s="1578"/>
      <c r="CF186" s="1578"/>
      <c r="CG186" s="1578"/>
      <c r="CH186" s="1578"/>
      <c r="CI186" s="1578"/>
      <c r="CJ186" s="1578"/>
      <c r="CK186" s="1578"/>
      <c r="CL186" s="1578"/>
      <c r="CM186" s="1578"/>
      <c r="CN186" s="1578"/>
      <c r="CO186" s="1578"/>
      <c r="CP186" s="1578"/>
      <c r="CQ186" s="1578"/>
      <c r="CR186" s="1578"/>
      <c r="CS186" s="1578"/>
      <c r="CT186" s="1578"/>
      <c r="CU186" s="1578"/>
      <c r="CV186" s="1578"/>
      <c r="CW186" s="1578"/>
      <c r="CX186" s="1578"/>
      <c r="CY186" s="1578"/>
      <c r="CZ186" s="1578"/>
    </row>
    <row r="187" spans="1:104">
      <c r="A187" s="1466"/>
      <c r="B187" s="1576"/>
      <c r="C187" s="1576"/>
      <c r="D187" s="1576"/>
      <c r="E187" s="1578"/>
      <c r="F187" s="1578"/>
      <c r="G187" s="1578"/>
      <c r="H187" s="1578"/>
      <c r="I187" s="1578"/>
      <c r="J187" s="1578"/>
      <c r="K187" s="1578"/>
      <c r="L187" s="1578"/>
      <c r="M187" s="1578"/>
      <c r="N187" s="1578"/>
      <c r="O187" s="1578"/>
      <c r="P187" s="1578"/>
      <c r="Q187" s="1578"/>
      <c r="R187" s="1578"/>
      <c r="S187" s="1578"/>
      <c r="T187" s="1578"/>
      <c r="U187" s="1578"/>
      <c r="V187" s="1578"/>
      <c r="W187" s="1578"/>
      <c r="X187" s="1578"/>
      <c r="Y187" s="1578"/>
      <c r="Z187" s="1578"/>
      <c r="AA187" s="1578"/>
      <c r="AB187" s="1578"/>
      <c r="AC187" s="1578"/>
      <c r="AD187" s="1578"/>
      <c r="AE187" s="1578"/>
      <c r="AF187" s="1578"/>
      <c r="AG187" s="1578"/>
      <c r="AH187" s="1578"/>
      <c r="AI187" s="1578"/>
      <c r="AJ187" s="1578"/>
      <c r="AK187" s="1578"/>
      <c r="AL187" s="1578"/>
      <c r="AM187" s="1578"/>
      <c r="AN187" s="1578"/>
      <c r="AO187" s="1578"/>
      <c r="AP187" s="1578"/>
      <c r="AQ187" s="1578"/>
      <c r="AR187" s="1578"/>
      <c r="AS187" s="1578"/>
      <c r="AT187" s="1578"/>
      <c r="AU187" s="1578"/>
      <c r="AV187" s="1578"/>
      <c r="AW187" s="1578"/>
      <c r="AX187" s="1578"/>
      <c r="AY187" s="1578"/>
      <c r="AZ187" s="1578"/>
      <c r="BA187" s="1578"/>
      <c r="BB187" s="1578"/>
      <c r="BC187" s="1578"/>
      <c r="BD187" s="1578"/>
      <c r="BE187" s="1578"/>
      <c r="BF187" s="1578"/>
      <c r="BG187" s="1578"/>
      <c r="BH187" s="1578"/>
      <c r="BI187" s="1578"/>
      <c r="BJ187" s="1578"/>
      <c r="BK187" s="1578"/>
      <c r="BL187" s="1578"/>
      <c r="BM187" s="1578"/>
      <c r="BN187" s="1578"/>
      <c r="BO187" s="1578"/>
      <c r="BP187" s="1578"/>
      <c r="BQ187" s="1578"/>
      <c r="BR187" s="1578"/>
      <c r="BS187" s="1578"/>
      <c r="BT187" s="1578"/>
      <c r="BU187" s="1578"/>
      <c r="BV187" s="1578"/>
      <c r="BW187" s="1578"/>
      <c r="BX187" s="1578"/>
      <c r="BY187" s="1578"/>
      <c r="BZ187" s="1578"/>
      <c r="CA187" s="1578"/>
      <c r="CB187" s="1578"/>
      <c r="CC187" s="1578"/>
      <c r="CD187" s="1578"/>
      <c r="CE187" s="1578"/>
      <c r="CF187" s="1578"/>
      <c r="CG187" s="1578"/>
      <c r="CH187" s="1578"/>
      <c r="CI187" s="1578"/>
      <c r="CJ187" s="1578"/>
      <c r="CK187" s="1578"/>
      <c r="CL187" s="1578"/>
      <c r="CM187" s="1578"/>
      <c r="CN187" s="1578"/>
      <c r="CO187" s="1578"/>
      <c r="CP187" s="1578"/>
      <c r="CQ187" s="1578"/>
      <c r="CR187" s="1578"/>
      <c r="CS187" s="1578"/>
      <c r="CT187" s="1578"/>
      <c r="CU187" s="1578"/>
      <c r="CV187" s="1578"/>
      <c r="CW187" s="1578"/>
      <c r="CX187" s="1578"/>
      <c r="CY187" s="1578"/>
      <c r="CZ187" s="1578"/>
    </row>
    <row r="188" spans="1:104">
      <c r="A188" s="1466"/>
      <c r="B188" s="1576"/>
      <c r="C188" s="1576"/>
      <c r="D188" s="1576"/>
      <c r="E188" s="1578"/>
      <c r="F188" s="1578"/>
      <c r="G188" s="1578"/>
      <c r="H188" s="1578"/>
      <c r="I188" s="1578"/>
      <c r="J188" s="1578"/>
      <c r="K188" s="1578"/>
      <c r="L188" s="1578"/>
      <c r="M188" s="1578"/>
      <c r="N188" s="1578"/>
      <c r="O188" s="1578"/>
      <c r="P188" s="1578"/>
      <c r="Q188" s="1578"/>
      <c r="R188" s="1578"/>
      <c r="S188" s="1578"/>
      <c r="T188" s="1578"/>
      <c r="U188" s="1578"/>
      <c r="V188" s="1578"/>
      <c r="W188" s="1578"/>
      <c r="X188" s="1578"/>
      <c r="Y188" s="1578"/>
      <c r="Z188" s="1578"/>
      <c r="AA188" s="1578"/>
      <c r="AB188" s="1578"/>
      <c r="AC188" s="1578"/>
      <c r="AD188" s="1578"/>
      <c r="AE188" s="1578"/>
      <c r="AF188" s="1578"/>
      <c r="AG188" s="1578"/>
      <c r="AH188" s="1578"/>
      <c r="AI188" s="1578"/>
      <c r="AJ188" s="1578"/>
      <c r="AK188" s="1578"/>
      <c r="AL188" s="1578"/>
      <c r="AM188" s="1578"/>
      <c r="AN188" s="1578"/>
      <c r="AO188" s="1578"/>
      <c r="AP188" s="1578"/>
      <c r="AQ188" s="1578"/>
      <c r="AR188" s="1578"/>
      <c r="AS188" s="1578"/>
      <c r="AT188" s="1578"/>
      <c r="AU188" s="1578"/>
      <c r="AV188" s="1578"/>
      <c r="AW188" s="1578"/>
      <c r="AX188" s="1578"/>
      <c r="AY188" s="1578"/>
      <c r="AZ188" s="1578"/>
      <c r="BA188" s="1578"/>
      <c r="BB188" s="1578"/>
      <c r="BC188" s="1578"/>
      <c r="BD188" s="1578"/>
      <c r="BE188" s="1578"/>
      <c r="BF188" s="1578"/>
      <c r="BG188" s="1578"/>
      <c r="BH188" s="1578"/>
      <c r="BI188" s="1578"/>
      <c r="BJ188" s="1578"/>
      <c r="BK188" s="1578"/>
      <c r="BL188" s="1578"/>
      <c r="BM188" s="1578"/>
      <c r="BN188" s="1578"/>
      <c r="BO188" s="1578"/>
      <c r="BP188" s="1578"/>
      <c r="BQ188" s="1578"/>
      <c r="BR188" s="1578"/>
      <c r="BS188" s="1578"/>
      <c r="BT188" s="1578"/>
      <c r="BU188" s="1578"/>
      <c r="BV188" s="1578"/>
      <c r="BW188" s="1578"/>
      <c r="BX188" s="1578"/>
      <c r="BY188" s="1578"/>
      <c r="BZ188" s="1578"/>
      <c r="CA188" s="1578"/>
      <c r="CB188" s="1578"/>
      <c r="CC188" s="1578"/>
      <c r="CD188" s="1578"/>
      <c r="CE188" s="1578"/>
      <c r="CF188" s="1578"/>
      <c r="CG188" s="1578"/>
      <c r="CH188" s="1578"/>
      <c r="CI188" s="1578"/>
      <c r="CJ188" s="1578"/>
      <c r="CK188" s="1578"/>
      <c r="CL188" s="1578"/>
      <c r="CM188" s="1578"/>
      <c r="CN188" s="1578"/>
      <c r="CO188" s="1578"/>
      <c r="CP188" s="1578"/>
      <c r="CQ188" s="1578"/>
      <c r="CR188" s="1578"/>
      <c r="CS188" s="1578"/>
      <c r="CT188" s="1578"/>
      <c r="CU188" s="1578"/>
      <c r="CV188" s="1578"/>
      <c r="CW188" s="1578"/>
      <c r="CX188" s="1578"/>
      <c r="CY188" s="1578"/>
      <c r="CZ188" s="1578"/>
    </row>
    <row r="189" spans="1:104">
      <c r="A189" s="1466"/>
      <c r="B189" s="1576"/>
      <c r="C189" s="1576"/>
      <c r="D189" s="1576"/>
      <c r="E189" s="1578"/>
      <c r="F189" s="1578"/>
      <c r="G189" s="1578"/>
      <c r="H189" s="1578"/>
      <c r="I189" s="1578"/>
      <c r="J189" s="1578"/>
      <c r="K189" s="1578"/>
      <c r="L189" s="1578"/>
      <c r="M189" s="1578"/>
      <c r="N189" s="1578"/>
      <c r="O189" s="1578"/>
      <c r="P189" s="1578"/>
      <c r="Q189" s="1578"/>
      <c r="R189" s="1578"/>
      <c r="S189" s="1578"/>
      <c r="T189" s="1578"/>
      <c r="U189" s="1578"/>
      <c r="V189" s="1578"/>
      <c r="W189" s="1578"/>
      <c r="X189" s="1578"/>
      <c r="Y189" s="1578"/>
      <c r="Z189" s="1578"/>
      <c r="AA189" s="1578"/>
      <c r="AB189" s="1578"/>
      <c r="AC189" s="1578"/>
      <c r="AD189" s="1578"/>
      <c r="AE189" s="1578"/>
      <c r="AF189" s="1578"/>
      <c r="AG189" s="1578"/>
      <c r="AH189" s="1578"/>
      <c r="AI189" s="1578"/>
      <c r="AJ189" s="1578"/>
      <c r="AK189" s="1578"/>
      <c r="AL189" s="1578"/>
      <c r="AM189" s="1578"/>
      <c r="AN189" s="1578"/>
      <c r="AO189" s="1578"/>
      <c r="AP189" s="1578"/>
      <c r="AQ189" s="1578"/>
      <c r="AR189" s="1578"/>
      <c r="AS189" s="1578"/>
      <c r="AT189" s="1578"/>
      <c r="AU189" s="1578"/>
      <c r="AV189" s="1578"/>
      <c r="AW189" s="1578"/>
      <c r="AX189" s="1578"/>
      <c r="AY189" s="1578"/>
      <c r="AZ189" s="1578"/>
      <c r="BA189" s="1578"/>
      <c r="BB189" s="1578"/>
      <c r="BC189" s="1578"/>
      <c r="BD189" s="1578"/>
      <c r="BE189" s="1578"/>
      <c r="BF189" s="1578"/>
      <c r="BG189" s="1578"/>
      <c r="BH189" s="1578"/>
      <c r="BI189" s="1578"/>
      <c r="BJ189" s="1578"/>
      <c r="BK189" s="1578"/>
      <c r="BL189" s="1578"/>
      <c r="BM189" s="1578"/>
      <c r="BN189" s="1578"/>
      <c r="BO189" s="1578"/>
      <c r="BP189" s="1578"/>
      <c r="BQ189" s="1578"/>
      <c r="BR189" s="1578"/>
      <c r="BS189" s="1578"/>
      <c r="BT189" s="1578"/>
      <c r="BU189" s="1578"/>
      <c r="BV189" s="1578"/>
      <c r="BW189" s="1578"/>
      <c r="BX189" s="1578"/>
      <c r="BY189" s="1578"/>
      <c r="BZ189" s="1578"/>
      <c r="CA189" s="1578"/>
      <c r="CB189" s="1578"/>
      <c r="CC189" s="1578"/>
      <c r="CD189" s="1578"/>
      <c r="CE189" s="1578"/>
      <c r="CF189" s="1578"/>
      <c r="CG189" s="1578"/>
      <c r="CH189" s="1578"/>
      <c r="CI189" s="1578"/>
      <c r="CJ189" s="1578"/>
      <c r="CK189" s="1578"/>
      <c r="CL189" s="1578"/>
      <c r="CM189" s="1578"/>
      <c r="CN189" s="1578"/>
      <c r="CO189" s="1578"/>
      <c r="CP189" s="1578"/>
      <c r="CQ189" s="1578"/>
      <c r="CR189" s="1578"/>
      <c r="CS189" s="1578"/>
      <c r="CT189" s="1578"/>
      <c r="CU189" s="1578"/>
      <c r="CV189" s="1578"/>
      <c r="CW189" s="1578"/>
      <c r="CX189" s="1578"/>
      <c r="CY189" s="1578"/>
      <c r="CZ189" s="1578"/>
    </row>
    <row r="190" spans="1:104">
      <c r="A190" s="1466"/>
      <c r="B190" s="1576"/>
      <c r="C190" s="1576"/>
      <c r="D190" s="1576"/>
      <c r="E190" s="1578"/>
      <c r="F190" s="1578"/>
      <c r="G190" s="1578"/>
      <c r="H190" s="1578"/>
      <c r="I190" s="1578"/>
      <c r="J190" s="1578"/>
      <c r="K190" s="1578"/>
      <c r="L190" s="1578"/>
      <c r="M190" s="1578"/>
      <c r="N190" s="1578"/>
      <c r="O190" s="1578"/>
      <c r="P190" s="1578"/>
      <c r="Q190" s="1578"/>
      <c r="R190" s="1578"/>
      <c r="S190" s="1578"/>
      <c r="T190" s="1578"/>
      <c r="U190" s="1578"/>
      <c r="V190" s="1578"/>
      <c r="W190" s="1578"/>
      <c r="X190" s="1578"/>
      <c r="Y190" s="1578"/>
      <c r="Z190" s="1578"/>
      <c r="AA190" s="1578"/>
      <c r="AB190" s="1578"/>
      <c r="AC190" s="1578"/>
      <c r="AD190" s="1578"/>
      <c r="AE190" s="1578"/>
      <c r="AF190" s="1578"/>
      <c r="AG190" s="1578"/>
      <c r="AH190" s="1578"/>
      <c r="AI190" s="1578"/>
      <c r="AJ190" s="1578"/>
      <c r="AK190" s="1578"/>
      <c r="AL190" s="1578"/>
      <c r="AM190" s="1578"/>
      <c r="AN190" s="1578"/>
      <c r="AO190" s="1578"/>
      <c r="AP190" s="1578"/>
      <c r="AQ190" s="1578"/>
      <c r="AR190" s="1578"/>
      <c r="AS190" s="1578"/>
      <c r="AT190" s="1578"/>
      <c r="AU190" s="1578"/>
      <c r="AV190" s="1578"/>
      <c r="AW190" s="1578"/>
      <c r="AX190" s="1578"/>
      <c r="AY190" s="1578"/>
      <c r="AZ190" s="1578"/>
      <c r="BA190" s="1578"/>
      <c r="BB190" s="1578"/>
      <c r="BC190" s="1578"/>
      <c r="BD190" s="1578"/>
      <c r="BE190" s="1578"/>
      <c r="BF190" s="1578"/>
      <c r="BG190" s="1578"/>
      <c r="BH190" s="1578"/>
      <c r="BI190" s="1578"/>
      <c r="BJ190" s="1578"/>
      <c r="BK190" s="1578"/>
      <c r="BL190" s="1578"/>
      <c r="BM190" s="1578"/>
      <c r="BN190" s="1578"/>
      <c r="BO190" s="1578"/>
      <c r="BP190" s="1578"/>
      <c r="BQ190" s="1578"/>
      <c r="BR190" s="1578"/>
      <c r="BS190" s="1578"/>
      <c r="BT190" s="1578"/>
      <c r="BU190" s="1578"/>
      <c r="BV190" s="1578"/>
      <c r="BW190" s="1578"/>
      <c r="BX190" s="1578"/>
      <c r="BY190" s="1578"/>
      <c r="BZ190" s="1578"/>
      <c r="CA190" s="1578"/>
      <c r="CB190" s="1578"/>
      <c r="CC190" s="1578"/>
      <c r="CD190" s="1578"/>
      <c r="CE190" s="1578"/>
      <c r="CF190" s="1578"/>
      <c r="CG190" s="1578"/>
      <c r="CH190" s="1578"/>
      <c r="CI190" s="1578"/>
      <c r="CJ190" s="1578"/>
      <c r="CK190" s="1578"/>
      <c r="CL190" s="1578"/>
      <c r="CM190" s="1578"/>
      <c r="CN190" s="1578"/>
      <c r="CO190" s="1578"/>
      <c r="CP190" s="1578"/>
      <c r="CQ190" s="1578"/>
      <c r="CR190" s="1578"/>
      <c r="CS190" s="1578"/>
      <c r="CT190" s="1578"/>
      <c r="CU190" s="1578"/>
      <c r="CV190" s="1578"/>
      <c r="CW190" s="1578"/>
      <c r="CX190" s="1578"/>
      <c r="CY190" s="1578"/>
      <c r="CZ190" s="1578"/>
    </row>
    <row r="191" spans="1:104">
      <c r="A191" s="1466"/>
      <c r="B191" s="1576"/>
      <c r="C191" s="1576"/>
      <c r="D191" s="1576"/>
      <c r="E191" s="1578"/>
      <c r="F191" s="1578"/>
      <c r="G191" s="1578"/>
      <c r="H191" s="1578"/>
      <c r="I191" s="1578"/>
      <c r="J191" s="1578"/>
      <c r="K191" s="1578"/>
      <c r="L191" s="1578"/>
      <c r="M191" s="1578"/>
      <c r="N191" s="1578"/>
      <c r="O191" s="1578"/>
      <c r="P191" s="1578"/>
      <c r="Q191" s="1578"/>
      <c r="R191" s="1578"/>
      <c r="S191" s="1578"/>
      <c r="T191" s="1578"/>
      <c r="U191" s="1578"/>
      <c r="V191" s="1578"/>
      <c r="W191" s="1578"/>
      <c r="X191" s="1578"/>
      <c r="Y191" s="1578"/>
      <c r="Z191" s="1578"/>
      <c r="AA191" s="1578"/>
      <c r="AB191" s="1578"/>
      <c r="AC191" s="1578"/>
      <c r="AD191" s="1578"/>
      <c r="AE191" s="1578"/>
      <c r="AF191" s="1578"/>
      <c r="AG191" s="1578"/>
      <c r="AH191" s="1578"/>
      <c r="AI191" s="1578"/>
      <c r="AJ191" s="1578"/>
      <c r="AK191" s="1578"/>
      <c r="AL191" s="1578"/>
      <c r="AM191" s="1578"/>
      <c r="AN191" s="1578"/>
      <c r="AO191" s="1578"/>
      <c r="AP191" s="1578"/>
      <c r="AQ191" s="1578"/>
      <c r="AR191" s="1578"/>
      <c r="AS191" s="1578"/>
      <c r="AT191" s="1578"/>
      <c r="AU191" s="1578"/>
      <c r="AV191" s="1578"/>
      <c r="AW191" s="1578"/>
      <c r="AX191" s="1578"/>
      <c r="AY191" s="1578"/>
      <c r="AZ191" s="1578"/>
      <c r="BA191" s="1578"/>
      <c r="BB191" s="1578"/>
      <c r="BC191" s="1578"/>
      <c r="BD191" s="1578"/>
      <c r="BE191" s="1578"/>
      <c r="BF191" s="1578"/>
      <c r="BG191" s="1578"/>
      <c r="BH191" s="1578"/>
      <c r="BI191" s="1578"/>
      <c r="BJ191" s="1578"/>
      <c r="BK191" s="1578"/>
      <c r="BL191" s="1578"/>
      <c r="BM191" s="1578"/>
      <c r="BN191" s="1578"/>
      <c r="BO191" s="1578"/>
      <c r="BP191" s="1578"/>
      <c r="BQ191" s="1578"/>
      <c r="BR191" s="1578"/>
      <c r="BS191" s="1578"/>
      <c r="BT191" s="1578"/>
      <c r="BU191" s="1578"/>
      <c r="BV191" s="1578"/>
      <c r="BW191" s="1578"/>
      <c r="BX191" s="1578"/>
      <c r="BY191" s="1578"/>
      <c r="BZ191" s="1578"/>
      <c r="CA191" s="1578"/>
      <c r="CB191" s="1578"/>
      <c r="CC191" s="1578"/>
      <c r="CD191" s="1578"/>
      <c r="CE191" s="1578"/>
      <c r="CF191" s="1578"/>
      <c r="CG191" s="1578"/>
      <c r="CH191" s="1578"/>
      <c r="CI191" s="1578"/>
      <c r="CJ191" s="1578"/>
      <c r="CK191" s="1578"/>
      <c r="CL191" s="1578"/>
      <c r="CM191" s="1578"/>
      <c r="CN191" s="1578"/>
      <c r="CO191" s="1578"/>
      <c r="CP191" s="1578"/>
      <c r="CQ191" s="1578"/>
      <c r="CR191" s="1578"/>
      <c r="CS191" s="1578"/>
      <c r="CT191" s="1578"/>
      <c r="CU191" s="1578"/>
      <c r="CV191" s="1578"/>
      <c r="CW191" s="1578"/>
      <c r="CX191" s="1578"/>
      <c r="CY191" s="1578"/>
      <c r="CZ191" s="1578"/>
    </row>
    <row r="192" spans="1:104">
      <c r="A192" s="1466"/>
      <c r="B192" s="1576"/>
      <c r="C192" s="1576"/>
      <c r="D192" s="1576"/>
      <c r="E192" s="1578"/>
      <c r="F192" s="1578"/>
      <c r="G192" s="1578"/>
      <c r="H192" s="1578"/>
      <c r="I192" s="1578"/>
      <c r="J192" s="1578"/>
      <c r="K192" s="1578"/>
      <c r="L192" s="1578"/>
      <c r="M192" s="1578"/>
      <c r="N192" s="1578"/>
      <c r="O192" s="1578"/>
      <c r="P192" s="1578"/>
      <c r="Q192" s="1578"/>
      <c r="R192" s="1578"/>
      <c r="S192" s="1578"/>
      <c r="T192" s="1578"/>
      <c r="U192" s="1578"/>
      <c r="V192" s="1578"/>
      <c r="W192" s="1578"/>
      <c r="X192" s="1578"/>
      <c r="Y192" s="1578"/>
      <c r="Z192" s="1578"/>
      <c r="AA192" s="1578"/>
      <c r="AB192" s="1578"/>
      <c r="AC192" s="1578"/>
      <c r="AD192" s="1578"/>
      <c r="AE192" s="1578"/>
      <c r="AF192" s="1578"/>
      <c r="AG192" s="1578"/>
      <c r="AH192" s="1578"/>
      <c r="AI192" s="1578"/>
      <c r="AJ192" s="1578"/>
      <c r="AK192" s="1578"/>
      <c r="AL192" s="1578"/>
      <c r="AM192" s="1578"/>
      <c r="AN192" s="1578"/>
      <c r="AO192" s="1578"/>
      <c r="AP192" s="1578"/>
      <c r="AQ192" s="1578"/>
      <c r="AR192" s="1578"/>
      <c r="AS192" s="1578"/>
      <c r="AT192" s="1578"/>
      <c r="AU192" s="1578"/>
      <c r="AV192" s="1578"/>
      <c r="AW192" s="1578"/>
      <c r="AX192" s="1578"/>
      <c r="AY192" s="1578"/>
      <c r="AZ192" s="1578"/>
      <c r="BA192" s="1578"/>
      <c r="BB192" s="1578"/>
      <c r="BC192" s="1578"/>
      <c r="BD192" s="1578"/>
      <c r="BE192" s="1578"/>
      <c r="BF192" s="1578"/>
      <c r="BG192" s="1578"/>
      <c r="BH192" s="1578"/>
      <c r="BI192" s="1578"/>
      <c r="BJ192" s="1578"/>
      <c r="BK192" s="1578"/>
      <c r="BL192" s="1578"/>
      <c r="BM192" s="1578"/>
      <c r="BN192" s="1578"/>
      <c r="BO192" s="1578"/>
      <c r="BP192" s="1578"/>
      <c r="BQ192" s="1578"/>
      <c r="BR192" s="1578"/>
      <c r="BS192" s="1578"/>
      <c r="BT192" s="1578"/>
      <c r="BU192" s="1578"/>
      <c r="BV192" s="1578"/>
      <c r="BW192" s="1578"/>
      <c r="BX192" s="1578"/>
      <c r="BY192" s="1578"/>
      <c r="BZ192" s="1578"/>
      <c r="CA192" s="1578"/>
      <c r="CB192" s="1578"/>
      <c r="CC192" s="1578"/>
      <c r="CD192" s="1578"/>
      <c r="CE192" s="1578"/>
      <c r="CF192" s="1578"/>
      <c r="CG192" s="1578"/>
      <c r="CH192" s="1578"/>
      <c r="CI192" s="1578"/>
      <c r="CJ192" s="1578"/>
      <c r="CK192" s="1578"/>
      <c r="CL192" s="1578"/>
      <c r="CM192" s="1578"/>
      <c r="CN192" s="1578"/>
      <c r="CO192" s="1578"/>
      <c r="CP192" s="1578"/>
      <c r="CQ192" s="1578"/>
      <c r="CR192" s="1578"/>
      <c r="CS192" s="1578"/>
      <c r="CT192" s="1578"/>
      <c r="CU192" s="1578"/>
      <c r="CV192" s="1578"/>
      <c r="CW192" s="1578"/>
      <c r="CX192" s="1578"/>
      <c r="CY192" s="1578"/>
      <c r="CZ192" s="1578"/>
    </row>
    <row r="193" spans="1:104">
      <c r="A193" s="1466"/>
      <c r="B193" s="1576"/>
      <c r="C193" s="1576"/>
      <c r="D193" s="1576"/>
      <c r="E193" s="1578"/>
      <c r="F193" s="1578"/>
      <c r="G193" s="1578"/>
      <c r="H193" s="1578"/>
      <c r="I193" s="1578"/>
      <c r="J193" s="1578"/>
      <c r="K193" s="1578"/>
      <c r="L193" s="1578"/>
      <c r="M193" s="1578"/>
      <c r="N193" s="1578"/>
      <c r="O193" s="1578"/>
      <c r="P193" s="1578"/>
      <c r="Q193" s="1578"/>
      <c r="R193" s="1578"/>
      <c r="S193" s="1578"/>
      <c r="T193" s="1578"/>
      <c r="U193" s="1578"/>
      <c r="V193" s="1578"/>
      <c r="W193" s="1578"/>
      <c r="X193" s="1578"/>
      <c r="Y193" s="1578"/>
      <c r="Z193" s="1578"/>
      <c r="AA193" s="1578"/>
      <c r="AB193" s="1578"/>
      <c r="AC193" s="1578"/>
      <c r="AD193" s="1578"/>
      <c r="AE193" s="1578"/>
      <c r="AF193" s="1578"/>
      <c r="AG193" s="1578"/>
      <c r="AH193" s="1578"/>
      <c r="AI193" s="1578"/>
      <c r="AJ193" s="1578"/>
      <c r="AK193" s="1578"/>
      <c r="AL193" s="1578"/>
      <c r="AM193" s="1578"/>
      <c r="AN193" s="1578"/>
      <c r="AO193" s="1578"/>
      <c r="AP193" s="1578"/>
      <c r="AQ193" s="1578"/>
      <c r="AR193" s="1578"/>
      <c r="AS193" s="1578"/>
      <c r="AT193" s="1578"/>
      <c r="AU193" s="1578"/>
      <c r="AV193" s="1578"/>
      <c r="AW193" s="1578"/>
      <c r="AX193" s="1578"/>
      <c r="AY193" s="1578"/>
      <c r="AZ193" s="1578"/>
      <c r="BA193" s="1578"/>
      <c r="BB193" s="1578"/>
      <c r="BC193" s="1578"/>
      <c r="BD193" s="1578"/>
      <c r="BE193" s="1578"/>
      <c r="BF193" s="1578"/>
      <c r="BG193" s="1578"/>
      <c r="BH193" s="1578"/>
      <c r="BI193" s="1578"/>
      <c r="BJ193" s="1578"/>
      <c r="BK193" s="1578"/>
      <c r="BL193" s="1578"/>
      <c r="BM193" s="1578"/>
      <c r="BN193" s="1578"/>
      <c r="BO193" s="1578"/>
      <c r="BP193" s="1578"/>
      <c r="BQ193" s="1578"/>
      <c r="BR193" s="1578"/>
      <c r="BS193" s="1578"/>
      <c r="BT193" s="1578"/>
      <c r="BU193" s="1578"/>
      <c r="BV193" s="1578"/>
      <c r="BW193" s="1578"/>
      <c r="BX193" s="1578"/>
      <c r="BY193" s="1578"/>
      <c r="BZ193" s="1578"/>
      <c r="CA193" s="1578"/>
      <c r="CB193" s="1578"/>
      <c r="CC193" s="1578"/>
      <c r="CD193" s="1578"/>
      <c r="CE193" s="1578"/>
      <c r="CF193" s="1578"/>
      <c r="CG193" s="1578"/>
      <c r="CH193" s="1578"/>
      <c r="CI193" s="1578"/>
      <c r="CJ193" s="1578"/>
      <c r="CK193" s="1578"/>
      <c r="CL193" s="1578"/>
      <c r="CM193" s="1578"/>
      <c r="CN193" s="1578"/>
      <c r="CO193" s="1578"/>
      <c r="CP193" s="1578"/>
      <c r="CQ193" s="1578"/>
      <c r="CR193" s="1578"/>
      <c r="CS193" s="1578"/>
      <c r="CT193" s="1578"/>
      <c r="CU193" s="1578"/>
      <c r="CV193" s="1578"/>
      <c r="CW193" s="1578"/>
      <c r="CX193" s="1578"/>
      <c r="CY193" s="1578"/>
      <c r="CZ193" s="1578"/>
    </row>
    <row r="194" spans="1:104">
      <c r="A194" s="1466"/>
      <c r="B194" s="1576"/>
      <c r="C194" s="1576"/>
      <c r="D194" s="1576"/>
      <c r="E194" s="1578"/>
      <c r="F194" s="1578"/>
      <c r="G194" s="1578"/>
      <c r="H194" s="1578"/>
      <c r="I194" s="1578"/>
      <c r="J194" s="1578"/>
      <c r="K194" s="1578"/>
      <c r="L194" s="1578"/>
      <c r="M194" s="1578"/>
      <c r="N194" s="1578"/>
      <c r="O194" s="1578"/>
      <c r="P194" s="1578"/>
      <c r="Q194" s="1578"/>
      <c r="R194" s="1578"/>
      <c r="S194" s="1578"/>
      <c r="T194" s="1578"/>
      <c r="U194" s="1578"/>
      <c r="V194" s="1578"/>
      <c r="W194" s="1578"/>
      <c r="X194" s="1578"/>
      <c r="Y194" s="1578"/>
      <c r="Z194" s="1578"/>
      <c r="AA194" s="1578"/>
      <c r="AB194" s="1578"/>
      <c r="AC194" s="1578"/>
      <c r="AD194" s="1578"/>
      <c r="AE194" s="1578"/>
      <c r="AF194" s="1578"/>
      <c r="AG194" s="1578"/>
      <c r="AH194" s="1578"/>
      <c r="AI194" s="1578"/>
      <c r="AJ194" s="1578"/>
      <c r="AK194" s="1578"/>
      <c r="AL194" s="1578"/>
      <c r="AM194" s="1578"/>
      <c r="AN194" s="1578"/>
      <c r="AO194" s="1578"/>
      <c r="AP194" s="1578"/>
      <c r="AQ194" s="1578"/>
      <c r="AR194" s="1578"/>
      <c r="AS194" s="1578"/>
      <c r="AT194" s="1578"/>
      <c r="AU194" s="1578"/>
      <c r="AV194" s="1578"/>
      <c r="AW194" s="1578"/>
      <c r="AX194" s="1578"/>
      <c r="AY194" s="1578"/>
      <c r="AZ194" s="1578"/>
      <c r="BA194" s="1578"/>
      <c r="BB194" s="1578"/>
      <c r="BC194" s="1578"/>
      <c r="BD194" s="1578"/>
      <c r="BE194" s="1578"/>
      <c r="BF194" s="1578"/>
      <c r="BG194" s="1578"/>
      <c r="BH194" s="1578"/>
      <c r="BI194" s="1578"/>
      <c r="BJ194" s="1578"/>
      <c r="BK194" s="1578"/>
      <c r="BL194" s="1578"/>
      <c r="BM194" s="1578"/>
      <c r="BN194" s="1578"/>
      <c r="BO194" s="1578"/>
      <c r="BP194" s="1578"/>
      <c r="BQ194" s="1578"/>
      <c r="BR194" s="1578"/>
      <c r="BS194" s="1578"/>
      <c r="BT194" s="1578"/>
      <c r="BU194" s="1578"/>
      <c r="BV194" s="1578"/>
      <c r="BW194" s="1578"/>
      <c r="BX194" s="1578"/>
      <c r="BY194" s="1578"/>
      <c r="BZ194" s="1578"/>
      <c r="CA194" s="1578"/>
      <c r="CB194" s="1578"/>
      <c r="CC194" s="1578"/>
      <c r="CD194" s="1578"/>
      <c r="CE194" s="1578"/>
      <c r="CF194" s="1578"/>
      <c r="CG194" s="1578"/>
      <c r="CH194" s="1578"/>
      <c r="CI194" s="1578"/>
      <c r="CJ194" s="1578"/>
      <c r="CK194" s="1578"/>
      <c r="CL194" s="1578"/>
      <c r="CM194" s="1578"/>
      <c r="CN194" s="1578"/>
      <c r="CO194" s="1578"/>
      <c r="CP194" s="1578"/>
      <c r="CQ194" s="1578"/>
      <c r="CR194" s="1578"/>
      <c r="CS194" s="1578"/>
      <c r="CT194" s="1578"/>
      <c r="CU194" s="1578"/>
      <c r="CV194" s="1578"/>
      <c r="CW194" s="1578"/>
      <c r="CX194" s="1578"/>
      <c r="CY194" s="1578"/>
      <c r="CZ194" s="1578"/>
    </row>
    <row r="195" spans="1:104">
      <c r="A195" s="1466"/>
      <c r="B195" s="1576"/>
      <c r="C195" s="1576"/>
      <c r="D195" s="1576"/>
      <c r="E195" s="1578"/>
      <c r="F195" s="1578"/>
      <c r="G195" s="1578"/>
      <c r="H195" s="1578"/>
      <c r="I195" s="1578"/>
      <c r="J195" s="1578"/>
      <c r="K195" s="1578"/>
      <c r="L195" s="1578"/>
      <c r="M195" s="1578"/>
      <c r="N195" s="1578"/>
      <c r="O195" s="1578"/>
      <c r="P195" s="1578"/>
      <c r="Q195" s="1578"/>
      <c r="R195" s="1578"/>
      <c r="S195" s="1578"/>
      <c r="T195" s="1578"/>
      <c r="U195" s="1578"/>
      <c r="V195" s="1578"/>
      <c r="W195" s="1578"/>
      <c r="X195" s="1578"/>
      <c r="Y195" s="1578"/>
      <c r="Z195" s="1578"/>
      <c r="AA195" s="1578"/>
      <c r="AB195" s="1578"/>
      <c r="AC195" s="1578"/>
      <c r="AD195" s="1578"/>
      <c r="AE195" s="1578"/>
      <c r="AF195" s="1578"/>
      <c r="AG195" s="1578"/>
      <c r="AH195" s="1578"/>
      <c r="AI195" s="1578"/>
      <c r="AJ195" s="1578"/>
      <c r="AK195" s="1578"/>
      <c r="AL195" s="1578"/>
      <c r="AM195" s="1578"/>
      <c r="AN195" s="1578"/>
      <c r="AO195" s="1578"/>
      <c r="AP195" s="1578"/>
      <c r="AQ195" s="1578"/>
      <c r="AR195" s="1578"/>
      <c r="AS195" s="1578"/>
      <c r="AT195" s="1578"/>
      <c r="AU195" s="1578"/>
      <c r="AV195" s="1578"/>
      <c r="AW195" s="1578"/>
      <c r="AX195" s="1578"/>
      <c r="AY195" s="1578"/>
      <c r="AZ195" s="1578"/>
      <c r="BA195" s="1578"/>
      <c r="BB195" s="1578"/>
      <c r="BC195" s="1578"/>
      <c r="BD195" s="1578"/>
      <c r="BE195" s="1578"/>
      <c r="BF195" s="1578"/>
      <c r="BG195" s="1578"/>
      <c r="BH195" s="1578"/>
      <c r="BI195" s="1578"/>
      <c r="BJ195" s="1578"/>
      <c r="BK195" s="1578"/>
      <c r="BL195" s="1578"/>
      <c r="BM195" s="1578"/>
      <c r="BN195" s="1578"/>
      <c r="BO195" s="1578"/>
      <c r="BP195" s="1578"/>
      <c r="BQ195" s="1578"/>
      <c r="BR195" s="1578"/>
      <c r="BS195" s="1578"/>
      <c r="BT195" s="1578"/>
      <c r="BU195" s="1578"/>
      <c r="BV195" s="1578"/>
      <c r="BW195" s="1578"/>
      <c r="BX195" s="1578"/>
      <c r="BY195" s="1578"/>
      <c r="BZ195" s="1578"/>
      <c r="CA195" s="1578"/>
      <c r="CB195" s="1578"/>
      <c r="CC195" s="1578"/>
      <c r="CD195" s="1578"/>
      <c r="CE195" s="1578"/>
      <c r="CF195" s="1578"/>
      <c r="CG195" s="1578"/>
      <c r="CH195" s="1578"/>
      <c r="CI195" s="1578"/>
      <c r="CJ195" s="1578"/>
      <c r="CK195" s="1578"/>
      <c r="CL195" s="1578"/>
      <c r="CM195" s="1578"/>
      <c r="CN195" s="1578"/>
      <c r="CO195" s="1578"/>
      <c r="CP195" s="1578"/>
      <c r="CQ195" s="1578"/>
      <c r="CR195" s="1578"/>
      <c r="CS195" s="1578"/>
      <c r="CT195" s="1578"/>
      <c r="CU195" s="1578"/>
      <c r="CV195" s="1578"/>
      <c r="CW195" s="1578"/>
      <c r="CX195" s="1578"/>
      <c r="CY195" s="1578"/>
      <c r="CZ195" s="1578"/>
    </row>
    <row r="196" spans="1:104">
      <c r="A196" s="1466"/>
      <c r="B196" s="1576"/>
      <c r="C196" s="1576"/>
      <c r="D196" s="1576"/>
      <c r="E196" s="1578"/>
      <c r="F196" s="1578"/>
      <c r="G196" s="1578"/>
      <c r="H196" s="1578"/>
      <c r="I196" s="1578"/>
      <c r="J196" s="1578"/>
      <c r="K196" s="1578"/>
      <c r="L196" s="1578"/>
      <c r="M196" s="1578"/>
      <c r="N196" s="1578"/>
      <c r="O196" s="1578"/>
      <c r="P196" s="1578"/>
      <c r="Q196" s="1578"/>
      <c r="R196" s="1578"/>
      <c r="S196" s="1578"/>
      <c r="T196" s="1578"/>
      <c r="U196" s="1578"/>
      <c r="V196" s="1578"/>
      <c r="W196" s="1578"/>
      <c r="X196" s="1578"/>
      <c r="Y196" s="1578"/>
      <c r="Z196" s="1578"/>
      <c r="AA196" s="1578"/>
      <c r="AB196" s="1578"/>
      <c r="AC196" s="1578"/>
      <c r="AD196" s="1578"/>
      <c r="AE196" s="1578"/>
      <c r="AF196" s="1578"/>
      <c r="AG196" s="1578"/>
      <c r="AH196" s="1578"/>
      <c r="AI196" s="1578"/>
      <c r="AJ196" s="1578"/>
      <c r="AK196" s="1578"/>
      <c r="AL196" s="1578"/>
      <c r="AM196" s="1578"/>
      <c r="AN196" s="1578"/>
      <c r="AO196" s="1578"/>
      <c r="AP196" s="1578"/>
      <c r="AQ196" s="1578"/>
      <c r="AR196" s="1578"/>
      <c r="AS196" s="1578"/>
      <c r="AT196" s="1578"/>
      <c r="AU196" s="1578"/>
      <c r="AV196" s="1578"/>
      <c r="AW196" s="1578"/>
      <c r="AX196" s="1578"/>
      <c r="AY196" s="1578"/>
      <c r="AZ196" s="1578"/>
      <c r="BA196" s="1578"/>
      <c r="BB196" s="1578"/>
      <c r="BC196" s="1578"/>
      <c r="BD196" s="1578"/>
      <c r="BE196" s="1578"/>
      <c r="BF196" s="1578"/>
      <c r="BG196" s="1578"/>
      <c r="BH196" s="1578"/>
      <c r="BI196" s="1578"/>
      <c r="BJ196" s="1578"/>
      <c r="BK196" s="1578"/>
      <c r="BL196" s="1578"/>
      <c r="BM196" s="1578"/>
      <c r="BN196" s="1578"/>
      <c r="BO196" s="1578"/>
      <c r="BP196" s="1578"/>
      <c r="BQ196" s="1578"/>
      <c r="BR196" s="1578"/>
      <c r="BS196" s="1578"/>
      <c r="BT196" s="1578"/>
      <c r="BU196" s="1578"/>
      <c r="BV196" s="1578"/>
      <c r="BW196" s="1578"/>
      <c r="BX196" s="1578"/>
      <c r="BY196" s="1578"/>
      <c r="BZ196" s="1578"/>
      <c r="CA196" s="1578"/>
      <c r="CB196" s="1578"/>
      <c r="CC196" s="1578"/>
      <c r="CD196" s="1578"/>
      <c r="CE196" s="1578"/>
      <c r="CF196" s="1578"/>
      <c r="CG196" s="1578"/>
      <c r="CH196" s="1578"/>
      <c r="CI196" s="1578"/>
      <c r="CJ196" s="1578"/>
      <c r="CK196" s="1578"/>
      <c r="CL196" s="1578"/>
      <c r="CM196" s="1578"/>
      <c r="CN196" s="1578"/>
      <c r="CO196" s="1578"/>
      <c r="CP196" s="1578"/>
      <c r="CQ196" s="1578"/>
      <c r="CR196" s="1578"/>
      <c r="CS196" s="1578"/>
      <c r="CT196" s="1578"/>
      <c r="CU196" s="1578"/>
      <c r="CV196" s="1578"/>
      <c r="CW196" s="1578"/>
      <c r="CX196" s="1578"/>
      <c r="CY196" s="1578"/>
      <c r="CZ196" s="1578"/>
    </row>
    <row r="197" spans="1:104">
      <c r="A197" s="1466"/>
      <c r="B197" s="1576"/>
      <c r="C197" s="1576"/>
      <c r="D197" s="1576"/>
      <c r="E197" s="1578"/>
      <c r="F197" s="1578"/>
      <c r="G197" s="1578"/>
      <c r="H197" s="1578"/>
      <c r="I197" s="1578"/>
      <c r="J197" s="1578"/>
      <c r="K197" s="1578"/>
      <c r="L197" s="1578"/>
      <c r="M197" s="1578"/>
      <c r="N197" s="1578"/>
      <c r="O197" s="1578"/>
      <c r="P197" s="1578"/>
      <c r="Q197" s="1578"/>
      <c r="R197" s="1578"/>
      <c r="S197" s="1578"/>
      <c r="T197" s="1578"/>
      <c r="U197" s="1578"/>
      <c r="V197" s="1578"/>
      <c r="W197" s="1578"/>
      <c r="X197" s="1578"/>
      <c r="Y197" s="1578"/>
      <c r="Z197" s="1578"/>
      <c r="AA197" s="1578"/>
      <c r="AB197" s="1578"/>
      <c r="AC197" s="1578"/>
      <c r="AD197" s="1578"/>
      <c r="AE197" s="1578"/>
      <c r="AF197" s="1578"/>
      <c r="AG197" s="1578"/>
      <c r="AH197" s="1578"/>
      <c r="AI197" s="1578"/>
      <c r="AJ197" s="1578"/>
      <c r="AK197" s="1578"/>
      <c r="AL197" s="1578"/>
      <c r="AM197" s="1578"/>
      <c r="AN197" s="1578"/>
      <c r="AO197" s="1578"/>
      <c r="AP197" s="1578"/>
      <c r="AQ197" s="1578"/>
      <c r="AR197" s="1578"/>
      <c r="AS197" s="1578"/>
      <c r="AT197" s="1578"/>
      <c r="AU197" s="1578"/>
      <c r="AV197" s="1578"/>
      <c r="AW197" s="1578"/>
      <c r="AX197" s="1578"/>
      <c r="AY197" s="1578"/>
      <c r="AZ197" s="1578"/>
      <c r="BA197" s="1578"/>
      <c r="BB197" s="1578"/>
      <c r="BC197" s="1578"/>
      <c r="BD197" s="1578"/>
      <c r="BE197" s="1578"/>
      <c r="BF197" s="1578"/>
      <c r="BG197" s="1578"/>
      <c r="BH197" s="1578"/>
      <c r="BI197" s="1578"/>
      <c r="BJ197" s="1578"/>
      <c r="BK197" s="1578"/>
      <c r="BL197" s="1578"/>
      <c r="BM197" s="1578"/>
      <c r="BN197" s="1578"/>
      <c r="BO197" s="1578"/>
      <c r="BP197" s="1578"/>
      <c r="BQ197" s="1578"/>
      <c r="BR197" s="1578"/>
      <c r="BS197" s="1578"/>
      <c r="BT197" s="1578"/>
      <c r="BU197" s="1578"/>
      <c r="BV197" s="1578"/>
      <c r="BW197" s="1578"/>
      <c r="BX197" s="1578"/>
      <c r="BY197" s="1578"/>
      <c r="BZ197" s="1578"/>
      <c r="CA197" s="1578"/>
      <c r="CB197" s="1578"/>
      <c r="CC197" s="1578"/>
      <c r="CD197" s="1578"/>
      <c r="CE197" s="1578"/>
      <c r="CF197" s="1578"/>
      <c r="CG197" s="1578"/>
      <c r="CH197" s="1578"/>
      <c r="CI197" s="1578"/>
      <c r="CJ197" s="1578"/>
      <c r="CK197" s="1578"/>
      <c r="CL197" s="1578"/>
      <c r="CM197" s="1578"/>
      <c r="CN197" s="1578"/>
      <c r="CO197" s="1578"/>
      <c r="CP197" s="1578"/>
      <c r="CQ197" s="1578"/>
      <c r="CR197" s="1578"/>
      <c r="CS197" s="1578"/>
      <c r="CT197" s="1578"/>
      <c r="CU197" s="1578"/>
      <c r="CV197" s="1578"/>
      <c r="CW197" s="1578"/>
      <c r="CX197" s="1578"/>
      <c r="CY197" s="1578"/>
      <c r="CZ197" s="1578"/>
    </row>
    <row r="198" spans="1:104">
      <c r="A198" s="1466"/>
      <c r="B198" s="1576"/>
      <c r="C198" s="1576"/>
      <c r="D198" s="1576"/>
      <c r="E198" s="1578"/>
      <c r="F198" s="1578"/>
      <c r="G198" s="1578"/>
      <c r="H198" s="1578"/>
      <c r="I198" s="1578"/>
      <c r="J198" s="1578"/>
      <c r="K198" s="1578"/>
      <c r="L198" s="1578"/>
      <c r="M198" s="1578"/>
      <c r="N198" s="1578"/>
      <c r="O198" s="1578"/>
      <c r="P198" s="1578"/>
      <c r="Q198" s="1578"/>
      <c r="R198" s="1578"/>
      <c r="S198" s="1578"/>
      <c r="T198" s="1578"/>
      <c r="U198" s="1578"/>
      <c r="V198" s="1578"/>
      <c r="W198" s="1578"/>
      <c r="X198" s="1578"/>
      <c r="Y198" s="1578"/>
      <c r="Z198" s="1578"/>
      <c r="AA198" s="1578"/>
      <c r="AB198" s="1578"/>
      <c r="AC198" s="1578"/>
      <c r="AD198" s="1578"/>
      <c r="AE198" s="1578"/>
      <c r="AF198" s="1578"/>
      <c r="AG198" s="1578"/>
      <c r="AH198" s="1578"/>
      <c r="AI198" s="1578"/>
      <c r="AJ198" s="1578"/>
      <c r="AK198" s="1578"/>
      <c r="AL198" s="1578"/>
      <c r="AM198" s="1578"/>
      <c r="AN198" s="1578"/>
      <c r="AO198" s="1578"/>
      <c r="AP198" s="1578"/>
      <c r="AQ198" s="1578"/>
      <c r="AR198" s="1578"/>
      <c r="AS198" s="1578"/>
      <c r="AT198" s="1578"/>
      <c r="AU198" s="1578"/>
      <c r="AV198" s="1578"/>
      <c r="AW198" s="1578"/>
      <c r="AX198" s="1578"/>
      <c r="AY198" s="1578"/>
      <c r="AZ198" s="1578"/>
      <c r="BA198" s="1578"/>
      <c r="BB198" s="1578"/>
      <c r="BC198" s="1578"/>
      <c r="BD198" s="1578"/>
      <c r="BE198" s="1578"/>
      <c r="BF198" s="1578"/>
      <c r="BG198" s="1578"/>
      <c r="BH198" s="1578"/>
      <c r="BI198" s="1578"/>
      <c r="BJ198" s="1578"/>
      <c r="BK198" s="1578"/>
      <c r="BL198" s="1578"/>
      <c r="BM198" s="1578"/>
      <c r="BN198" s="1578"/>
      <c r="BO198" s="1578"/>
      <c r="BP198" s="1578"/>
      <c r="BQ198" s="1578"/>
      <c r="BR198" s="1578"/>
      <c r="BS198" s="1578"/>
      <c r="BT198" s="1578"/>
      <c r="BU198" s="1578"/>
      <c r="BV198" s="1578"/>
      <c r="BW198" s="1578"/>
      <c r="BX198" s="1578"/>
      <c r="BY198" s="1578"/>
      <c r="BZ198" s="1578"/>
      <c r="CA198" s="1578"/>
      <c r="CB198" s="1578"/>
      <c r="CC198" s="1578"/>
      <c r="CD198" s="1578"/>
      <c r="CE198" s="1578"/>
      <c r="CF198" s="1578"/>
      <c r="CG198" s="1578"/>
      <c r="CH198" s="1578"/>
      <c r="CI198" s="1578"/>
      <c r="CJ198" s="1578"/>
      <c r="CK198" s="1578"/>
      <c r="CL198" s="1578"/>
      <c r="CM198" s="1578"/>
      <c r="CN198" s="1578"/>
      <c r="CO198" s="1578"/>
      <c r="CP198" s="1578"/>
      <c r="CQ198" s="1578"/>
      <c r="CR198" s="1578"/>
      <c r="CS198" s="1578"/>
      <c r="CT198" s="1578"/>
      <c r="CU198" s="1578"/>
      <c r="CV198" s="1578"/>
      <c r="CW198" s="1578"/>
      <c r="CX198" s="1578"/>
      <c r="CY198" s="1578"/>
      <c r="CZ198" s="1578"/>
    </row>
    <row r="199" spans="1:104">
      <c r="A199" s="1466"/>
      <c r="B199" s="1576"/>
      <c r="C199" s="1576"/>
      <c r="D199" s="1576"/>
      <c r="E199" s="1578"/>
      <c r="F199" s="1578"/>
      <c r="G199" s="1578"/>
      <c r="H199" s="1578"/>
      <c r="I199" s="1578"/>
      <c r="J199" s="1578"/>
      <c r="K199" s="1578"/>
      <c r="L199" s="1578"/>
      <c r="M199" s="1578"/>
      <c r="N199" s="1578"/>
      <c r="O199" s="1578"/>
      <c r="P199" s="1578"/>
      <c r="Q199" s="1578"/>
      <c r="R199" s="1578"/>
      <c r="S199" s="1578"/>
      <c r="T199" s="1578"/>
      <c r="U199" s="1578"/>
      <c r="V199" s="1578"/>
      <c r="W199" s="1578"/>
      <c r="X199" s="1578"/>
      <c r="Y199" s="1578"/>
      <c r="Z199" s="1578"/>
      <c r="AA199" s="1578"/>
      <c r="AB199" s="1578"/>
      <c r="AC199" s="1578"/>
      <c r="AD199" s="1578"/>
      <c r="AE199" s="1578"/>
      <c r="AF199" s="1578"/>
      <c r="AG199" s="1578"/>
      <c r="AH199" s="1578"/>
      <c r="AI199" s="1578"/>
      <c r="AJ199" s="1578"/>
      <c r="AK199" s="1578"/>
      <c r="AL199" s="1578"/>
      <c r="AM199" s="1578"/>
      <c r="AN199" s="1578"/>
      <c r="AO199" s="1578"/>
      <c r="AP199" s="1578"/>
      <c r="AQ199" s="1578"/>
      <c r="AR199" s="1578"/>
      <c r="AS199" s="1578"/>
      <c r="AT199" s="1578"/>
      <c r="AU199" s="1578"/>
      <c r="AV199" s="1578"/>
      <c r="AW199" s="1578"/>
      <c r="AX199" s="1578"/>
      <c r="AY199" s="1578"/>
      <c r="AZ199" s="1578"/>
      <c r="BA199" s="1578"/>
      <c r="BB199" s="1578"/>
      <c r="BC199" s="1578"/>
      <c r="BD199" s="1578"/>
      <c r="BE199" s="1578"/>
      <c r="BF199" s="1578"/>
      <c r="BG199" s="1578"/>
      <c r="BH199" s="1578"/>
      <c r="BI199" s="1578"/>
      <c r="BJ199" s="1578"/>
      <c r="BK199" s="1578"/>
      <c r="BL199" s="1578"/>
      <c r="BM199" s="1578"/>
      <c r="BN199" s="1578"/>
      <c r="BO199" s="1578"/>
      <c r="BP199" s="1578"/>
      <c r="BQ199" s="1578"/>
      <c r="BR199" s="1578"/>
      <c r="BS199" s="1578"/>
      <c r="BT199" s="1578"/>
      <c r="BU199" s="1578"/>
      <c r="BV199" s="1578"/>
      <c r="BW199" s="1578"/>
      <c r="BX199" s="1578"/>
      <c r="BY199" s="1578"/>
      <c r="BZ199" s="1578"/>
      <c r="CA199" s="1578"/>
      <c r="CB199" s="1578"/>
      <c r="CC199" s="1578"/>
      <c r="CD199" s="1578"/>
      <c r="CE199" s="1578"/>
      <c r="CF199" s="1578"/>
      <c r="CG199" s="1578"/>
      <c r="CH199" s="1578"/>
      <c r="CI199" s="1578"/>
      <c r="CJ199" s="1578"/>
      <c r="CK199" s="1578"/>
      <c r="CL199" s="1578"/>
      <c r="CM199" s="1578"/>
      <c r="CN199" s="1578"/>
      <c r="CO199" s="1578"/>
      <c r="CP199" s="1578"/>
      <c r="CQ199" s="1578"/>
      <c r="CR199" s="1578"/>
      <c r="CS199" s="1578"/>
      <c r="CT199" s="1578"/>
      <c r="CU199" s="1578"/>
      <c r="CV199" s="1578"/>
      <c r="CW199" s="1578"/>
      <c r="CX199" s="1578"/>
      <c r="CY199" s="1578"/>
      <c r="CZ199" s="1578"/>
    </row>
    <row r="200" spans="1:104">
      <c r="A200" s="1466"/>
      <c r="B200" s="1576"/>
      <c r="C200" s="1576"/>
      <c r="D200" s="1576"/>
      <c r="E200" s="1578"/>
      <c r="F200" s="1578"/>
      <c r="G200" s="1578"/>
      <c r="H200" s="1578"/>
      <c r="I200" s="1578"/>
      <c r="J200" s="1578"/>
      <c r="K200" s="1578"/>
      <c r="L200" s="1578"/>
      <c r="M200" s="1578"/>
      <c r="N200" s="1578"/>
      <c r="O200" s="1578"/>
      <c r="P200" s="1578"/>
      <c r="Q200" s="1578"/>
      <c r="R200" s="1578"/>
      <c r="S200" s="1578"/>
      <c r="T200" s="1578"/>
      <c r="U200" s="1578"/>
      <c r="V200" s="1578"/>
      <c r="W200" s="1578"/>
      <c r="X200" s="1578"/>
      <c r="Y200" s="1578"/>
      <c r="Z200" s="1578"/>
      <c r="AA200" s="1578"/>
      <c r="AB200" s="1578"/>
      <c r="AC200" s="1578"/>
      <c r="AD200" s="1578"/>
      <c r="AE200" s="1578"/>
      <c r="AF200" s="1578"/>
      <c r="AG200" s="1578"/>
      <c r="AH200" s="1578"/>
      <c r="AI200" s="1578"/>
      <c r="AJ200" s="1578"/>
      <c r="AK200" s="1578"/>
      <c r="AL200" s="1578"/>
      <c r="AM200" s="1578"/>
      <c r="AN200" s="1578"/>
      <c r="AO200" s="1578"/>
      <c r="AP200" s="1578"/>
      <c r="AQ200" s="1578"/>
      <c r="AR200" s="1578"/>
      <c r="AS200" s="1578"/>
      <c r="AT200" s="1578"/>
      <c r="AU200" s="1578"/>
      <c r="AV200" s="1578"/>
      <c r="AW200" s="1578"/>
      <c r="AX200" s="1578"/>
      <c r="AY200" s="1578"/>
      <c r="AZ200" s="1578"/>
      <c r="BA200" s="1578"/>
      <c r="BB200" s="1578"/>
      <c r="BC200" s="1578"/>
      <c r="BD200" s="1578"/>
      <c r="BE200" s="1578"/>
      <c r="BF200" s="1578"/>
      <c r="BG200" s="1578"/>
      <c r="BH200" s="1578"/>
      <c r="BI200" s="1578"/>
      <c r="BJ200" s="1578"/>
      <c r="BK200" s="1578"/>
      <c r="BL200" s="1578"/>
      <c r="BM200" s="1578"/>
      <c r="BN200" s="1578"/>
      <c r="BO200" s="1578"/>
      <c r="BP200" s="1578"/>
      <c r="BQ200" s="1578"/>
      <c r="BR200" s="1578"/>
      <c r="BS200" s="1578"/>
      <c r="BT200" s="1578"/>
      <c r="BU200" s="1578"/>
      <c r="BV200" s="1578"/>
      <c r="BW200" s="1578"/>
      <c r="BX200" s="1578"/>
      <c r="BY200" s="1578"/>
      <c r="BZ200" s="1578"/>
      <c r="CA200" s="1578"/>
      <c r="CB200" s="1578"/>
      <c r="CC200" s="1578"/>
      <c r="CD200" s="1578"/>
      <c r="CE200" s="1578"/>
      <c r="CF200" s="1578"/>
      <c r="CG200" s="1578"/>
      <c r="CH200" s="1578"/>
      <c r="CI200" s="1578"/>
      <c r="CJ200" s="1578"/>
      <c r="CK200" s="1578"/>
      <c r="CL200" s="1578"/>
      <c r="CM200" s="1578"/>
      <c r="CN200" s="1578"/>
      <c r="CO200" s="1578"/>
      <c r="CP200" s="1578"/>
      <c r="CQ200" s="1578"/>
      <c r="CR200" s="1578"/>
      <c r="CS200" s="1578"/>
      <c r="CT200" s="1578"/>
      <c r="CU200" s="1578"/>
      <c r="CV200" s="1578"/>
      <c r="CW200" s="1578"/>
      <c r="CX200" s="1578"/>
      <c r="CY200" s="1578"/>
      <c r="CZ200" s="1578"/>
    </row>
    <row r="201" spans="1:104">
      <c r="A201" s="1466"/>
      <c r="B201" s="1576"/>
      <c r="C201" s="1576"/>
      <c r="D201" s="1576"/>
      <c r="E201" s="1578"/>
      <c r="F201" s="1578"/>
      <c r="G201" s="1578"/>
      <c r="H201" s="1578"/>
      <c r="I201" s="1578"/>
      <c r="J201" s="1578"/>
      <c r="K201" s="1578"/>
      <c r="L201" s="1578"/>
      <c r="M201" s="1578"/>
      <c r="N201" s="1578"/>
      <c r="O201" s="1578"/>
      <c r="P201" s="1578"/>
      <c r="Q201" s="1578"/>
      <c r="R201" s="1578"/>
      <c r="S201" s="1578"/>
      <c r="T201" s="1578"/>
      <c r="U201" s="1578"/>
      <c r="V201" s="1578"/>
      <c r="W201" s="1578"/>
      <c r="X201" s="1578"/>
      <c r="Y201" s="1578"/>
      <c r="Z201" s="1578"/>
      <c r="AA201" s="1578"/>
      <c r="AB201" s="1578"/>
      <c r="AC201" s="1578"/>
      <c r="AD201" s="1578"/>
      <c r="AE201" s="1578"/>
      <c r="AF201" s="1578"/>
      <c r="AG201" s="1578"/>
      <c r="AH201" s="1578"/>
      <c r="AI201" s="1578"/>
      <c r="AJ201" s="1578"/>
      <c r="AK201" s="1578"/>
      <c r="AL201" s="1578"/>
      <c r="AM201" s="1578"/>
      <c r="AN201" s="1578"/>
      <c r="AO201" s="1578"/>
      <c r="AP201" s="1578"/>
      <c r="AQ201" s="1578"/>
      <c r="AR201" s="1578"/>
      <c r="AS201" s="1578"/>
      <c r="AT201" s="1578"/>
      <c r="AU201" s="1578"/>
      <c r="AV201" s="1578"/>
      <c r="AW201" s="1578"/>
      <c r="AX201" s="1578"/>
      <c r="AY201" s="1578"/>
      <c r="AZ201" s="1578"/>
      <c r="BA201" s="1578"/>
      <c r="BB201" s="1578"/>
      <c r="BC201" s="1578"/>
      <c r="BD201" s="1578"/>
      <c r="BE201" s="1578"/>
      <c r="BF201" s="1578"/>
      <c r="BG201" s="1578"/>
      <c r="BH201" s="1578"/>
      <c r="BI201" s="1578"/>
      <c r="BJ201" s="1578"/>
      <c r="BK201" s="1578"/>
      <c r="BL201" s="1578"/>
      <c r="BM201" s="1578"/>
      <c r="BN201" s="1578"/>
      <c r="BO201" s="1578"/>
      <c r="BP201" s="1578"/>
      <c r="BQ201" s="1578"/>
      <c r="BR201" s="1578"/>
      <c r="BS201" s="1578"/>
      <c r="BT201" s="1578"/>
      <c r="BU201" s="1578"/>
      <c r="BV201" s="1578"/>
      <c r="BW201" s="1578"/>
      <c r="BX201" s="1578"/>
      <c r="BY201" s="1578"/>
      <c r="BZ201" s="1578"/>
      <c r="CA201" s="1578"/>
      <c r="CB201" s="1578"/>
      <c r="CC201" s="1578"/>
      <c r="CD201" s="1578"/>
      <c r="CE201" s="1578"/>
      <c r="CF201" s="1578"/>
      <c r="CG201" s="1578"/>
      <c r="CH201" s="1578"/>
      <c r="CI201" s="1578"/>
      <c r="CJ201" s="1578"/>
      <c r="CK201" s="1578"/>
      <c r="CL201" s="1578"/>
      <c r="CM201" s="1578"/>
      <c r="CN201" s="1578"/>
      <c r="CO201" s="1578"/>
      <c r="CP201" s="1578"/>
      <c r="CQ201" s="1578"/>
      <c r="CR201" s="1578"/>
      <c r="CS201" s="1578"/>
      <c r="CT201" s="1578"/>
      <c r="CU201" s="1578"/>
      <c r="CV201" s="1578"/>
      <c r="CW201" s="1578"/>
      <c r="CX201" s="1578"/>
      <c r="CY201" s="1578"/>
      <c r="CZ201" s="1578"/>
    </row>
    <row r="202" spans="1:104">
      <c r="A202" s="1466"/>
      <c r="B202" s="1576"/>
      <c r="C202" s="1576"/>
      <c r="D202" s="1576"/>
      <c r="E202" s="1578"/>
      <c r="F202" s="1578"/>
      <c r="G202" s="1578"/>
      <c r="H202" s="1578"/>
      <c r="I202" s="1578"/>
      <c r="J202" s="1578"/>
      <c r="K202" s="1578"/>
      <c r="L202" s="1578"/>
      <c r="M202" s="1578"/>
      <c r="N202" s="1578"/>
      <c r="O202" s="1578"/>
      <c r="P202" s="1578"/>
      <c r="Q202" s="1578"/>
      <c r="R202" s="1578"/>
      <c r="S202" s="1578"/>
      <c r="T202" s="1578"/>
      <c r="U202" s="1578"/>
      <c r="V202" s="1578"/>
      <c r="W202" s="1578"/>
      <c r="X202" s="1578"/>
      <c r="Y202" s="1578"/>
      <c r="Z202" s="1578"/>
      <c r="AA202" s="1578"/>
      <c r="AB202" s="1578"/>
      <c r="AC202" s="1578"/>
      <c r="AD202" s="1578"/>
      <c r="AE202" s="1578"/>
      <c r="AF202" s="1578"/>
      <c r="AG202" s="1578"/>
      <c r="AH202" s="1578"/>
      <c r="AI202" s="1578"/>
      <c r="AJ202" s="1578"/>
      <c r="AK202" s="1578"/>
      <c r="AL202" s="1578"/>
      <c r="AM202" s="1578"/>
      <c r="AN202" s="1578"/>
      <c r="AO202" s="1578"/>
      <c r="AP202" s="1578"/>
      <c r="AQ202" s="1578"/>
      <c r="AR202" s="1578"/>
      <c r="AS202" s="1578"/>
      <c r="AT202" s="1578"/>
      <c r="AU202" s="1578"/>
      <c r="AV202" s="1578"/>
      <c r="AW202" s="1578"/>
      <c r="AX202" s="1578"/>
      <c r="AY202" s="1578"/>
      <c r="AZ202" s="1578"/>
      <c r="BA202" s="1578"/>
      <c r="BB202" s="1578"/>
      <c r="BC202" s="1578"/>
      <c r="BD202" s="1578"/>
      <c r="BE202" s="1578"/>
      <c r="BF202" s="1578"/>
      <c r="BG202" s="1578"/>
      <c r="BH202" s="1578"/>
      <c r="BI202" s="1578"/>
      <c r="BJ202" s="1578"/>
      <c r="BK202" s="1578"/>
      <c r="BL202" s="1578"/>
      <c r="BM202" s="1578"/>
      <c r="BN202" s="1578"/>
      <c r="BO202" s="1578"/>
      <c r="BP202" s="1578"/>
      <c r="BQ202" s="1578"/>
      <c r="BR202" s="1578"/>
      <c r="BS202" s="1578"/>
      <c r="BT202" s="1578"/>
      <c r="BU202" s="1578"/>
      <c r="BV202" s="1578"/>
      <c r="BW202" s="1578"/>
      <c r="BX202" s="1578"/>
      <c r="BY202" s="1578"/>
      <c r="BZ202" s="1578"/>
      <c r="CA202" s="1578"/>
      <c r="CB202" s="1578"/>
      <c r="CC202" s="1578"/>
      <c r="CD202" s="1578"/>
      <c r="CE202" s="1578"/>
      <c r="CF202" s="1578"/>
      <c r="CG202" s="1578"/>
      <c r="CH202" s="1578"/>
      <c r="CI202" s="1578"/>
      <c r="CJ202" s="1578"/>
      <c r="CK202" s="1578"/>
      <c r="CL202" s="1578"/>
      <c r="CM202" s="1578"/>
      <c r="CN202" s="1578"/>
      <c r="CO202" s="1578"/>
      <c r="CP202" s="1578"/>
      <c r="CQ202" s="1578"/>
      <c r="CR202" s="1578"/>
      <c r="CS202" s="1578"/>
      <c r="CT202" s="1578"/>
      <c r="CU202" s="1578"/>
      <c r="CV202" s="1578"/>
      <c r="CW202" s="1578"/>
      <c r="CX202" s="1578"/>
      <c r="CY202" s="1578"/>
      <c r="CZ202" s="1578"/>
    </row>
    <row r="203" spans="1:104">
      <c r="A203" s="1466"/>
      <c r="B203" s="1576"/>
      <c r="C203" s="1576"/>
      <c r="D203" s="1576"/>
      <c r="E203" s="1578"/>
      <c r="F203" s="1578"/>
      <c r="G203" s="1578"/>
      <c r="H203" s="1578"/>
      <c r="I203" s="1578"/>
      <c r="J203" s="1578"/>
      <c r="K203" s="1578"/>
      <c r="L203" s="1578"/>
      <c r="M203" s="1578"/>
      <c r="N203" s="1578"/>
      <c r="O203" s="1578"/>
      <c r="P203" s="1578"/>
      <c r="Q203" s="1578"/>
      <c r="R203" s="1578"/>
      <c r="S203" s="1578"/>
      <c r="T203" s="1578"/>
      <c r="U203" s="1578"/>
      <c r="V203" s="1578"/>
      <c r="W203" s="1578"/>
      <c r="X203" s="1578"/>
      <c r="Y203" s="1578"/>
      <c r="Z203" s="1578"/>
      <c r="AA203" s="1578"/>
      <c r="AB203" s="1578"/>
      <c r="AC203" s="1578"/>
      <c r="AD203" s="1578"/>
      <c r="AE203" s="1578"/>
      <c r="AF203" s="1578"/>
      <c r="AG203" s="1578"/>
      <c r="AH203" s="1578"/>
      <c r="AI203" s="1578"/>
      <c r="AJ203" s="1578"/>
      <c r="AK203" s="1578"/>
      <c r="AL203" s="1578"/>
      <c r="AM203" s="1578"/>
      <c r="AN203" s="1578"/>
      <c r="AO203" s="1578"/>
      <c r="AP203" s="1578"/>
      <c r="AQ203" s="1578"/>
      <c r="AR203" s="1578"/>
      <c r="AS203" s="1578"/>
      <c r="AT203" s="1578"/>
      <c r="AU203" s="1578"/>
      <c r="AV203" s="1578"/>
      <c r="AW203" s="1578"/>
      <c r="AX203" s="1578"/>
      <c r="AY203" s="1578"/>
      <c r="AZ203" s="1578"/>
      <c r="BA203" s="1578"/>
      <c r="BB203" s="1578"/>
      <c r="BC203" s="1578"/>
      <c r="BD203" s="1578"/>
      <c r="BE203" s="1578"/>
      <c r="BF203" s="1578"/>
      <c r="BG203" s="1578"/>
      <c r="BH203" s="1578"/>
      <c r="BI203" s="1578"/>
      <c r="BJ203" s="1578"/>
      <c r="BK203" s="1578"/>
      <c r="BL203" s="1578"/>
      <c r="BM203" s="1578"/>
      <c r="BN203" s="1578"/>
      <c r="BO203" s="1578"/>
      <c r="BP203" s="1578"/>
      <c r="BQ203" s="1578"/>
      <c r="BR203" s="1578"/>
      <c r="BS203" s="1578"/>
      <c r="BT203" s="1578"/>
      <c r="BU203" s="1578"/>
      <c r="BV203" s="1578"/>
      <c r="BW203" s="1578"/>
      <c r="BX203" s="1578"/>
      <c r="BY203" s="1578"/>
      <c r="BZ203" s="1578"/>
      <c r="CA203" s="1578"/>
      <c r="CB203" s="1578"/>
      <c r="CC203" s="1578"/>
      <c r="CD203" s="1578"/>
      <c r="CE203" s="1578"/>
      <c r="CF203" s="1578"/>
      <c r="CG203" s="1578"/>
      <c r="CH203" s="1578"/>
      <c r="CI203" s="1578"/>
      <c r="CJ203" s="1578"/>
      <c r="CK203" s="1578"/>
      <c r="CL203" s="1578"/>
      <c r="CM203" s="1578"/>
      <c r="CN203" s="1578"/>
      <c r="CO203" s="1578"/>
      <c r="CP203" s="1578"/>
      <c r="CQ203" s="1578"/>
      <c r="CR203" s="1578"/>
      <c r="CS203" s="1578"/>
      <c r="CT203" s="1578"/>
      <c r="CU203" s="1578"/>
      <c r="CV203" s="1578"/>
      <c r="CW203" s="1578"/>
      <c r="CX203" s="1578"/>
      <c r="CY203" s="1578"/>
      <c r="CZ203" s="1578"/>
    </row>
    <row r="204" spans="1:104">
      <c r="A204" s="1466"/>
      <c r="B204" s="1576"/>
      <c r="C204" s="1576"/>
      <c r="D204" s="1576"/>
      <c r="E204" s="1578"/>
      <c r="F204" s="1578"/>
      <c r="G204" s="1578"/>
      <c r="H204" s="1578"/>
      <c r="I204" s="1578"/>
      <c r="J204" s="1578"/>
      <c r="K204" s="1578"/>
      <c r="L204" s="1578"/>
      <c r="M204" s="1578"/>
      <c r="N204" s="1578"/>
      <c r="O204" s="1578"/>
      <c r="P204" s="1578"/>
      <c r="Q204" s="1578"/>
      <c r="R204" s="1578"/>
      <c r="S204" s="1578"/>
      <c r="T204" s="1578"/>
      <c r="U204" s="1578"/>
      <c r="V204" s="1578"/>
      <c r="W204" s="1578"/>
      <c r="X204" s="1578"/>
      <c r="Y204" s="1578"/>
      <c r="Z204" s="1578"/>
      <c r="AA204" s="1578"/>
      <c r="AB204" s="1578"/>
      <c r="AC204" s="1578"/>
      <c r="AD204" s="1578"/>
      <c r="AE204" s="1578"/>
      <c r="AF204" s="1578"/>
      <c r="AG204" s="1578"/>
      <c r="AH204" s="1578"/>
      <c r="AI204" s="1578"/>
      <c r="AJ204" s="1578"/>
      <c r="AK204" s="1578"/>
      <c r="AL204" s="1578"/>
      <c r="AM204" s="1578"/>
      <c r="AN204" s="1578"/>
      <c r="AO204" s="1578"/>
      <c r="AP204" s="1578"/>
      <c r="AQ204" s="1578"/>
      <c r="AR204" s="1578"/>
      <c r="AS204" s="1578"/>
      <c r="AT204" s="1578"/>
      <c r="AU204" s="1578"/>
      <c r="AV204" s="1578"/>
      <c r="AW204" s="1578"/>
      <c r="AX204" s="1578"/>
      <c r="AY204" s="1578"/>
      <c r="AZ204" s="1578"/>
      <c r="BA204" s="1578"/>
      <c r="BB204" s="1578"/>
      <c r="BC204" s="1578"/>
      <c r="BD204" s="1578"/>
      <c r="BE204" s="1578"/>
      <c r="BF204" s="1578"/>
      <c r="BG204" s="1578"/>
      <c r="BH204" s="1578"/>
      <c r="BI204" s="1578"/>
      <c r="BJ204" s="1578"/>
      <c r="BK204" s="1578"/>
      <c r="BL204" s="1578"/>
      <c r="BM204" s="1578"/>
      <c r="BN204" s="1578"/>
      <c r="BO204" s="1578"/>
      <c r="BP204" s="1578"/>
      <c r="BQ204" s="1578"/>
      <c r="BR204" s="1578"/>
      <c r="BS204" s="1578"/>
      <c r="BT204" s="1578"/>
      <c r="BU204" s="1578"/>
      <c r="BV204" s="1578"/>
      <c r="BW204" s="1578"/>
      <c r="BX204" s="1578"/>
      <c r="BY204" s="1578"/>
      <c r="BZ204" s="1578"/>
      <c r="CA204" s="1578"/>
      <c r="CB204" s="1578"/>
      <c r="CC204" s="1578"/>
      <c r="CD204" s="1578"/>
      <c r="CE204" s="1578"/>
      <c r="CF204" s="1578"/>
      <c r="CG204" s="1578"/>
      <c r="CH204" s="1578"/>
      <c r="CI204" s="1578"/>
      <c r="CJ204" s="1578"/>
      <c r="CK204" s="1578"/>
      <c r="CL204" s="1578"/>
      <c r="CM204" s="1578"/>
      <c r="CN204" s="1578"/>
      <c r="CO204" s="1578"/>
      <c r="CP204" s="1578"/>
      <c r="CQ204" s="1578"/>
      <c r="CR204" s="1578"/>
      <c r="CS204" s="1578"/>
      <c r="CT204" s="1578"/>
      <c r="CU204" s="1578"/>
      <c r="CV204" s="1578"/>
      <c r="CW204" s="1578"/>
      <c r="CX204" s="1578"/>
      <c r="CY204" s="1578"/>
      <c r="CZ204" s="1578"/>
    </row>
    <row r="205" spans="1:104">
      <c r="A205" s="1466"/>
      <c r="B205" s="1576"/>
      <c r="C205" s="1576"/>
      <c r="D205" s="1576"/>
      <c r="E205" s="1578"/>
      <c r="F205" s="1578"/>
      <c r="G205" s="1578"/>
      <c r="H205" s="1578"/>
      <c r="I205" s="1578"/>
      <c r="J205" s="1578"/>
      <c r="K205" s="1578"/>
      <c r="L205" s="1578"/>
      <c r="M205" s="1578"/>
      <c r="N205" s="1578"/>
      <c r="O205" s="1578"/>
      <c r="P205" s="1578"/>
      <c r="Q205" s="1578"/>
      <c r="R205" s="1578"/>
      <c r="S205" s="1578"/>
      <c r="T205" s="1578"/>
      <c r="U205" s="1578"/>
      <c r="V205" s="1578"/>
      <c r="W205" s="1578"/>
      <c r="X205" s="1578"/>
      <c r="Y205" s="1578"/>
      <c r="Z205" s="1578"/>
      <c r="AA205" s="1578"/>
      <c r="AB205" s="1578"/>
      <c r="AC205" s="1578"/>
      <c r="AD205" s="1578"/>
      <c r="AE205" s="1578"/>
      <c r="AF205" s="1578"/>
      <c r="AG205" s="1578"/>
      <c r="AH205" s="1578"/>
      <c r="AI205" s="1578"/>
      <c r="AJ205" s="1578"/>
      <c r="AK205" s="1578"/>
      <c r="AL205" s="1578"/>
      <c r="AM205" s="1578"/>
      <c r="AN205" s="1578"/>
      <c r="AO205" s="1578"/>
      <c r="AP205" s="1578"/>
      <c r="AQ205" s="1578"/>
      <c r="AR205" s="1578"/>
      <c r="AS205" s="1578"/>
      <c r="AT205" s="1578"/>
      <c r="AU205" s="1578"/>
      <c r="AV205" s="1578"/>
      <c r="AW205" s="1578"/>
      <c r="AX205" s="1578"/>
      <c r="AY205" s="1578"/>
      <c r="AZ205" s="1578"/>
      <c r="BA205" s="1578"/>
      <c r="BB205" s="1578"/>
      <c r="BC205" s="1578"/>
      <c r="BD205" s="1578"/>
      <c r="BE205" s="1578"/>
      <c r="BF205" s="1578"/>
      <c r="BG205" s="1578"/>
      <c r="BH205" s="1578"/>
      <c r="BI205" s="1578"/>
      <c r="BJ205" s="1578"/>
      <c r="BK205" s="1578"/>
      <c r="BL205" s="1578"/>
      <c r="BM205" s="1578"/>
      <c r="BN205" s="1578"/>
      <c r="BO205" s="1578"/>
      <c r="BP205" s="1578"/>
      <c r="BQ205" s="1578"/>
      <c r="BR205" s="1578"/>
      <c r="BS205" s="1578"/>
      <c r="BT205" s="1578"/>
      <c r="BU205" s="1578"/>
      <c r="BV205" s="1578"/>
      <c r="BW205" s="1578"/>
      <c r="BX205" s="1578"/>
      <c r="BY205" s="1578"/>
      <c r="BZ205" s="1578"/>
      <c r="CA205" s="1578"/>
      <c r="CB205" s="1578"/>
      <c r="CC205" s="1578"/>
      <c r="CD205" s="1578"/>
      <c r="CE205" s="1578"/>
      <c r="CF205" s="1578"/>
      <c r="CG205" s="1578"/>
      <c r="CH205" s="1578"/>
      <c r="CI205" s="1578"/>
      <c r="CJ205" s="1578"/>
      <c r="CK205" s="1578"/>
      <c r="CL205" s="1578"/>
      <c r="CM205" s="1578"/>
      <c r="CN205" s="1578"/>
      <c r="CO205" s="1578"/>
      <c r="CP205" s="1578"/>
      <c r="CQ205" s="1578"/>
      <c r="CR205" s="1578"/>
      <c r="CS205" s="1578"/>
      <c r="CT205" s="1578"/>
      <c r="CU205" s="1578"/>
      <c r="CV205" s="1578"/>
      <c r="CW205" s="1578"/>
      <c r="CX205" s="1578"/>
      <c r="CY205" s="1578"/>
      <c r="CZ205" s="1578"/>
    </row>
    <row r="206" spans="1:104">
      <c r="A206" s="1466"/>
      <c r="B206" s="1576"/>
      <c r="C206" s="1576"/>
      <c r="D206" s="1576"/>
      <c r="E206" s="1578"/>
      <c r="F206" s="1578"/>
      <c r="G206" s="1578"/>
      <c r="H206" s="1578"/>
      <c r="I206" s="1578"/>
      <c r="J206" s="1578"/>
      <c r="K206" s="1578"/>
      <c r="L206" s="1578"/>
      <c r="M206" s="1578"/>
      <c r="N206" s="1578"/>
      <c r="O206" s="1578"/>
      <c r="P206" s="1578"/>
      <c r="Q206" s="1578"/>
      <c r="R206" s="1578"/>
      <c r="S206" s="1578"/>
      <c r="T206" s="1578"/>
      <c r="U206" s="1578"/>
      <c r="V206" s="1578"/>
      <c r="W206" s="1578"/>
      <c r="X206" s="1578"/>
      <c r="Y206" s="1578"/>
      <c r="Z206" s="1578"/>
      <c r="AA206" s="1578"/>
      <c r="AB206" s="1578"/>
      <c r="AC206" s="1578"/>
      <c r="AD206" s="1578"/>
      <c r="AE206" s="1578"/>
      <c r="AF206" s="1578"/>
      <c r="AG206" s="1578"/>
      <c r="AH206" s="1578"/>
      <c r="AI206" s="1578"/>
      <c r="AJ206" s="1578"/>
      <c r="AK206" s="1578"/>
      <c r="AL206" s="1578"/>
      <c r="AM206" s="1578"/>
      <c r="AN206" s="1578"/>
      <c r="AO206" s="1578"/>
      <c r="AP206" s="1578"/>
      <c r="AQ206" s="1578"/>
      <c r="AR206" s="1578"/>
      <c r="AS206" s="1578"/>
      <c r="AT206" s="1578"/>
      <c r="AU206" s="1578"/>
      <c r="AV206" s="1578"/>
      <c r="AW206" s="1578"/>
      <c r="AX206" s="1578"/>
      <c r="AY206" s="1578"/>
      <c r="AZ206" s="1578"/>
      <c r="BA206" s="1578"/>
      <c r="BB206" s="1578"/>
      <c r="BC206" s="1578"/>
      <c r="BD206" s="1578"/>
      <c r="BE206" s="1578"/>
      <c r="BF206" s="1578"/>
      <c r="BG206" s="1578"/>
      <c r="BH206" s="1578"/>
      <c r="BI206" s="1578"/>
      <c r="BJ206" s="1578"/>
      <c r="BK206" s="1578"/>
      <c r="BL206" s="1578"/>
      <c r="BM206" s="1578"/>
      <c r="BN206" s="1578"/>
      <c r="BO206" s="1578"/>
      <c r="BP206" s="1578"/>
      <c r="BQ206" s="1578"/>
      <c r="BR206" s="1578"/>
      <c r="BS206" s="1578"/>
      <c r="BT206" s="1578"/>
      <c r="BU206" s="1578"/>
      <c r="BV206" s="1578"/>
      <c r="BW206" s="1578"/>
      <c r="BX206" s="1578"/>
      <c r="BY206" s="1578"/>
      <c r="BZ206" s="1578"/>
      <c r="CA206" s="1578"/>
      <c r="CB206" s="1578"/>
      <c r="CC206" s="1578"/>
      <c r="CD206" s="1578"/>
      <c r="CE206" s="1578"/>
      <c r="CF206" s="1578"/>
      <c r="CG206" s="1578"/>
      <c r="CH206" s="1578"/>
      <c r="CI206" s="1578"/>
      <c r="CJ206" s="1578"/>
      <c r="CK206" s="1578"/>
      <c r="CL206" s="1578"/>
      <c r="CM206" s="1578"/>
      <c r="CN206" s="1578"/>
      <c r="CO206" s="1578"/>
      <c r="CP206" s="1578"/>
      <c r="CQ206" s="1578"/>
      <c r="CR206" s="1578"/>
      <c r="CS206" s="1578"/>
      <c r="CT206" s="1578"/>
      <c r="CU206" s="1578"/>
      <c r="CV206" s="1578"/>
      <c r="CW206" s="1578"/>
      <c r="CX206" s="1578"/>
      <c r="CY206" s="1578"/>
      <c r="CZ206" s="1578"/>
    </row>
    <row r="207" spans="1:104">
      <c r="A207" s="1466"/>
      <c r="B207" s="1576"/>
      <c r="C207" s="1576"/>
      <c r="D207" s="1576"/>
      <c r="E207" s="1578"/>
      <c r="F207" s="1578"/>
      <c r="G207" s="1578"/>
      <c r="H207" s="1578"/>
      <c r="I207" s="1578"/>
      <c r="J207" s="1578"/>
      <c r="K207" s="1578"/>
      <c r="L207" s="1578"/>
      <c r="M207" s="1578"/>
      <c r="N207" s="1578"/>
      <c r="O207" s="1578"/>
      <c r="P207" s="1578"/>
      <c r="Q207" s="1578"/>
      <c r="R207" s="1578"/>
      <c r="S207" s="1578"/>
      <c r="T207" s="1578"/>
      <c r="U207" s="1578"/>
      <c r="V207" s="1578"/>
      <c r="W207" s="1578"/>
      <c r="X207" s="1578"/>
      <c r="Y207" s="1578"/>
      <c r="Z207" s="1578"/>
      <c r="AA207" s="1578"/>
      <c r="AB207" s="1578"/>
      <c r="AC207" s="1578"/>
      <c r="AD207" s="1578"/>
      <c r="AE207" s="1578"/>
      <c r="AF207" s="1578"/>
      <c r="AG207" s="1578"/>
      <c r="AH207" s="1578"/>
      <c r="AI207" s="1578"/>
      <c r="AJ207" s="1578"/>
      <c r="AK207" s="1578"/>
      <c r="AL207" s="1578"/>
      <c r="AM207" s="1578"/>
      <c r="AN207" s="1578"/>
      <c r="AO207" s="1578"/>
      <c r="AP207" s="1578"/>
      <c r="AQ207" s="1578"/>
      <c r="AR207" s="1578"/>
      <c r="AS207" s="1578"/>
      <c r="AT207" s="1578"/>
      <c r="AU207" s="1578"/>
      <c r="AV207" s="1578"/>
      <c r="AW207" s="1578"/>
      <c r="AX207" s="1578"/>
      <c r="AY207" s="1578"/>
      <c r="AZ207" s="1578"/>
      <c r="BA207" s="1578"/>
      <c r="BB207" s="1578"/>
      <c r="BC207" s="1578"/>
      <c r="BD207" s="1578"/>
      <c r="BE207" s="1578"/>
      <c r="BF207" s="1578"/>
      <c r="BG207" s="1578"/>
      <c r="BH207" s="1578"/>
      <c r="BI207" s="1578"/>
      <c r="BJ207" s="1578"/>
      <c r="BK207" s="1578"/>
      <c r="BL207" s="1578"/>
      <c r="BM207" s="1578"/>
      <c r="BN207" s="1578"/>
      <c r="BO207" s="1578"/>
      <c r="BP207" s="1578"/>
      <c r="BQ207" s="1578"/>
      <c r="BR207" s="1578"/>
      <c r="BS207" s="1578"/>
      <c r="BT207" s="1578"/>
      <c r="BU207" s="1578"/>
      <c r="BV207" s="1578"/>
      <c r="BW207" s="1578"/>
      <c r="BX207" s="1578"/>
      <c r="BY207" s="1578"/>
      <c r="BZ207" s="1578"/>
      <c r="CA207" s="1578"/>
      <c r="CB207" s="1578"/>
      <c r="CC207" s="1578"/>
      <c r="CD207" s="1578"/>
      <c r="CE207" s="1578"/>
      <c r="CF207" s="1578"/>
      <c r="CG207" s="1578"/>
      <c r="CH207" s="1578"/>
      <c r="CI207" s="1578"/>
      <c r="CJ207" s="1578"/>
      <c r="CK207" s="1578"/>
      <c r="CL207" s="1578"/>
      <c r="CM207" s="1578"/>
      <c r="CN207" s="1578"/>
      <c r="CO207" s="1578"/>
      <c r="CP207" s="1578"/>
      <c r="CQ207" s="1578"/>
      <c r="CR207" s="1578"/>
      <c r="CS207" s="1578"/>
      <c r="CT207" s="1578"/>
      <c r="CU207" s="1578"/>
      <c r="CV207" s="1578"/>
      <c r="CW207" s="1578"/>
      <c r="CX207" s="1578"/>
      <c r="CY207" s="1578"/>
      <c r="CZ207" s="1578"/>
    </row>
    <row r="208" spans="1:104">
      <c r="A208" s="1466"/>
      <c r="B208" s="1576"/>
      <c r="C208" s="1576"/>
      <c r="D208" s="1576"/>
      <c r="E208" s="1578"/>
      <c r="F208" s="1578"/>
      <c r="G208" s="1578"/>
      <c r="H208" s="1578"/>
      <c r="I208" s="1578"/>
      <c r="J208" s="1578"/>
      <c r="K208" s="1578"/>
      <c r="L208" s="1578"/>
      <c r="M208" s="1578"/>
      <c r="N208" s="1578"/>
      <c r="O208" s="1578"/>
      <c r="P208" s="1578"/>
      <c r="Q208" s="1578"/>
      <c r="R208" s="1578"/>
      <c r="S208" s="1578"/>
      <c r="T208" s="1578"/>
      <c r="U208" s="1578"/>
      <c r="V208" s="1578"/>
      <c r="W208" s="1578"/>
      <c r="X208" s="1578"/>
      <c r="Y208" s="1578"/>
      <c r="Z208" s="1578"/>
      <c r="AA208" s="1578"/>
      <c r="AB208" s="1578"/>
      <c r="AC208" s="1578"/>
      <c r="AD208" s="1578"/>
      <c r="AE208" s="1578"/>
      <c r="AF208" s="1578"/>
      <c r="AG208" s="1578"/>
      <c r="AH208" s="1578"/>
      <c r="AI208" s="1578"/>
      <c r="AJ208" s="1578"/>
      <c r="AK208" s="1578"/>
      <c r="AL208" s="1578"/>
      <c r="AM208" s="1578"/>
      <c r="AN208" s="1578"/>
      <c r="AO208" s="1578"/>
      <c r="AP208" s="1578"/>
      <c r="AQ208" s="1578"/>
      <c r="AR208" s="1578"/>
      <c r="AS208" s="1578"/>
      <c r="AT208" s="1578"/>
      <c r="AU208" s="1578"/>
      <c r="AV208" s="1578"/>
      <c r="AW208" s="1578"/>
      <c r="AX208" s="1578"/>
      <c r="AY208" s="1578"/>
      <c r="AZ208" s="1578"/>
      <c r="BA208" s="1578"/>
      <c r="BB208" s="1578"/>
      <c r="BC208" s="1578"/>
      <c r="BD208" s="1578"/>
      <c r="BE208" s="1578"/>
      <c r="BF208" s="1578"/>
      <c r="BG208" s="1578"/>
      <c r="BH208" s="1578"/>
      <c r="BI208" s="1578"/>
      <c r="BJ208" s="1578"/>
      <c r="BK208" s="1578"/>
      <c r="BL208" s="1578"/>
      <c r="BM208" s="1578"/>
      <c r="BN208" s="1578"/>
      <c r="BO208" s="1578"/>
      <c r="BP208" s="1578"/>
      <c r="BQ208" s="1578"/>
      <c r="BR208" s="1578"/>
      <c r="BS208" s="1578"/>
      <c r="BT208" s="1578"/>
      <c r="BU208" s="1578"/>
      <c r="BV208" s="1578"/>
      <c r="BW208" s="1578"/>
      <c r="BX208" s="1578"/>
      <c r="BY208" s="1578"/>
      <c r="BZ208" s="1578"/>
      <c r="CA208" s="1578"/>
      <c r="CB208" s="1578"/>
      <c r="CC208" s="1578"/>
      <c r="CD208" s="1578"/>
      <c r="CE208" s="1578"/>
      <c r="CF208" s="1578"/>
      <c r="CG208" s="1578"/>
      <c r="CH208" s="1578"/>
      <c r="CI208" s="1578"/>
      <c r="CJ208" s="1578"/>
      <c r="CK208" s="1578"/>
      <c r="CL208" s="1578"/>
      <c r="CM208" s="1578"/>
      <c r="CN208" s="1578"/>
      <c r="CO208" s="1578"/>
      <c r="CP208" s="1578"/>
      <c r="CQ208" s="1578"/>
      <c r="CR208" s="1578"/>
      <c r="CS208" s="1578"/>
      <c r="CT208" s="1578"/>
      <c r="CU208" s="1578"/>
      <c r="CV208" s="1578"/>
      <c r="CW208" s="1578"/>
      <c r="CX208" s="1578"/>
      <c r="CY208" s="1578"/>
      <c r="CZ208" s="1578"/>
    </row>
    <row r="209" spans="1:407">
      <c r="A209" s="1466"/>
      <c r="B209" s="1576"/>
      <c r="C209" s="1576"/>
      <c r="D209" s="1576"/>
      <c r="E209" s="1578"/>
      <c r="F209" s="1578"/>
      <c r="G209" s="1578"/>
      <c r="H209" s="1578"/>
      <c r="I209" s="1578"/>
      <c r="J209" s="1578"/>
      <c r="K209" s="1578"/>
      <c r="L209" s="1578"/>
      <c r="M209" s="1578"/>
      <c r="N209" s="1578"/>
      <c r="O209" s="1578"/>
      <c r="P209" s="1578"/>
      <c r="Q209" s="1578"/>
      <c r="R209" s="1578"/>
      <c r="S209" s="1578"/>
      <c r="T209" s="1578"/>
      <c r="U209" s="1578"/>
      <c r="V209" s="1578"/>
      <c r="W209" s="1578"/>
      <c r="X209" s="1578"/>
      <c r="Y209" s="1578"/>
      <c r="Z209" s="1578"/>
      <c r="AA209" s="1578"/>
      <c r="AB209" s="1578"/>
      <c r="AC209" s="1578"/>
      <c r="AD209" s="1578"/>
      <c r="AE209" s="1578"/>
      <c r="AF209" s="1578"/>
      <c r="AG209" s="1578"/>
      <c r="AH209" s="1578"/>
      <c r="AI209" s="1578"/>
      <c r="AJ209" s="1578"/>
      <c r="AK209" s="1578"/>
      <c r="AL209" s="1578"/>
      <c r="AM209" s="1578"/>
      <c r="AN209" s="1578"/>
      <c r="AO209" s="1578"/>
      <c r="AP209" s="1578"/>
      <c r="AQ209" s="1578"/>
      <c r="AR209" s="1578"/>
      <c r="AS209" s="1578"/>
      <c r="AT209" s="1578"/>
      <c r="AU209" s="1578"/>
      <c r="AV209" s="1578"/>
      <c r="AW209" s="1578"/>
      <c r="AX209" s="1578"/>
      <c r="AY209" s="1578"/>
      <c r="AZ209" s="1578"/>
      <c r="BA209" s="1578"/>
      <c r="BB209" s="1578"/>
      <c r="BC209" s="1578"/>
      <c r="BD209" s="1578"/>
      <c r="BE209" s="1578"/>
      <c r="BF209" s="1578"/>
      <c r="BG209" s="1578"/>
      <c r="BH209" s="1578"/>
      <c r="BI209" s="1578"/>
      <c r="BJ209" s="1578"/>
      <c r="BK209" s="1578"/>
      <c r="BL209" s="1578"/>
      <c r="BM209" s="1578"/>
      <c r="BN209" s="1578"/>
      <c r="BO209" s="1578"/>
      <c r="BP209" s="1578"/>
      <c r="BQ209" s="1578"/>
      <c r="BR209" s="1578"/>
      <c r="BS209" s="1578"/>
      <c r="BT209" s="1578"/>
      <c r="BU209" s="1578"/>
      <c r="BV209" s="1578"/>
      <c r="BW209" s="1578"/>
      <c r="BX209" s="1578"/>
      <c r="BY209" s="1578"/>
      <c r="BZ209" s="1578"/>
      <c r="CA209" s="1578"/>
      <c r="CB209" s="1578"/>
      <c r="CC209" s="1578"/>
      <c r="CD209" s="1578"/>
      <c r="CE209" s="1578"/>
      <c r="CF209" s="1578"/>
      <c r="CG209" s="1578"/>
      <c r="CH209" s="1578"/>
      <c r="CI209" s="1578"/>
      <c r="CJ209" s="1578"/>
      <c r="CK209" s="1578"/>
      <c r="CL209" s="1578"/>
      <c r="CM209" s="1578"/>
      <c r="CN209" s="1578"/>
      <c r="CO209" s="1578"/>
      <c r="CP209" s="1578"/>
      <c r="CQ209" s="1578"/>
      <c r="CR209" s="1578"/>
      <c r="CS209" s="1578"/>
      <c r="CT209" s="1578"/>
      <c r="CU209" s="1578"/>
      <c r="CV209" s="1578"/>
      <c r="CW209" s="1578"/>
      <c r="CX209" s="1578"/>
      <c r="CY209" s="1578"/>
      <c r="CZ209" s="1578"/>
    </row>
    <row r="210" spans="1:407">
      <c r="A210" s="1466"/>
      <c r="B210" s="1576"/>
      <c r="C210" s="1576"/>
      <c r="D210" s="1576"/>
      <c r="E210" s="1578"/>
      <c r="F210" s="1578"/>
      <c r="G210" s="1578"/>
      <c r="H210" s="1578"/>
      <c r="I210" s="1578"/>
      <c r="J210" s="1578"/>
      <c r="K210" s="1578"/>
      <c r="L210" s="1578"/>
      <c r="M210" s="1578"/>
      <c r="N210" s="1578"/>
      <c r="O210" s="1578"/>
      <c r="P210" s="1578"/>
      <c r="Q210" s="1578"/>
      <c r="R210" s="1578"/>
      <c r="S210" s="1578"/>
      <c r="T210" s="1578"/>
      <c r="U210" s="1578"/>
      <c r="V210" s="1578"/>
      <c r="W210" s="1578"/>
      <c r="X210" s="1578"/>
      <c r="Y210" s="1578"/>
      <c r="Z210" s="1578"/>
      <c r="AA210" s="1578"/>
      <c r="AB210" s="1578"/>
      <c r="AC210" s="1578"/>
      <c r="AD210" s="1578"/>
      <c r="AE210" s="1578"/>
      <c r="AF210" s="1578"/>
      <c r="AG210" s="1578"/>
      <c r="AH210" s="1578"/>
      <c r="AI210" s="1578"/>
      <c r="AJ210" s="1578"/>
      <c r="AK210" s="1578"/>
      <c r="AL210" s="1578"/>
      <c r="AM210" s="1578"/>
      <c r="AN210" s="1578"/>
      <c r="AO210" s="1578"/>
      <c r="AP210" s="1578"/>
      <c r="AQ210" s="1578"/>
      <c r="AR210" s="1578"/>
      <c r="AS210" s="1578"/>
      <c r="AT210" s="1578"/>
      <c r="AU210" s="1578"/>
      <c r="AV210" s="1578"/>
      <c r="AW210" s="1578"/>
      <c r="AX210" s="1578"/>
      <c r="AY210" s="1578"/>
      <c r="AZ210" s="1578"/>
      <c r="BA210" s="1578"/>
      <c r="BB210" s="1578"/>
      <c r="BC210" s="1578"/>
      <c r="BD210" s="1578"/>
      <c r="BE210" s="1578"/>
      <c r="BF210" s="1578"/>
      <c r="BG210" s="1578"/>
      <c r="BH210" s="1578"/>
      <c r="BI210" s="1578"/>
      <c r="BJ210" s="1578"/>
      <c r="BK210" s="1578"/>
      <c r="BL210" s="1578"/>
      <c r="BM210" s="1578"/>
      <c r="BN210" s="1578"/>
      <c r="BO210" s="1578"/>
      <c r="BP210" s="1578"/>
      <c r="BQ210" s="1578"/>
      <c r="BR210" s="1578"/>
      <c r="BS210" s="1578"/>
      <c r="BT210" s="1578"/>
      <c r="BU210" s="1578"/>
      <c r="BV210" s="1578"/>
      <c r="BW210" s="1578"/>
      <c r="BX210" s="1578"/>
      <c r="BY210" s="1578"/>
      <c r="BZ210" s="1578"/>
      <c r="CA210" s="1578"/>
      <c r="CB210" s="1578"/>
      <c r="CC210" s="1578"/>
      <c r="CD210" s="1578"/>
      <c r="CE210" s="1578"/>
      <c r="CF210" s="1578"/>
      <c r="CG210" s="1578"/>
      <c r="CH210" s="1578"/>
      <c r="CI210" s="1578"/>
      <c r="CJ210" s="1578"/>
      <c r="CK210" s="1578"/>
      <c r="CL210" s="1578"/>
      <c r="CM210" s="1578"/>
      <c r="CN210" s="1578"/>
      <c r="CO210" s="1578"/>
      <c r="CP210" s="1578"/>
      <c r="CQ210" s="1578"/>
      <c r="CR210" s="1578"/>
      <c r="CS210" s="1578"/>
      <c r="CT210" s="1578"/>
      <c r="CU210" s="1578"/>
      <c r="CV210" s="1578"/>
      <c r="CW210" s="1578"/>
      <c r="CX210" s="1578"/>
      <c r="CY210" s="1578"/>
      <c r="CZ210" s="1578"/>
    </row>
    <row r="211" spans="1:407">
      <c r="A211" s="1466"/>
      <c r="B211" s="1576"/>
      <c r="C211" s="1576"/>
      <c r="D211" s="1576"/>
      <c r="E211" s="1578"/>
      <c r="F211" s="1578"/>
      <c r="G211" s="1578"/>
      <c r="H211" s="1578"/>
      <c r="I211" s="1578"/>
      <c r="J211" s="1578"/>
      <c r="K211" s="1578"/>
      <c r="L211" s="1578"/>
      <c r="M211" s="1578"/>
      <c r="N211" s="1578"/>
      <c r="O211" s="1578"/>
      <c r="P211" s="1578"/>
      <c r="Q211" s="1578"/>
      <c r="R211" s="1578"/>
      <c r="S211" s="1578"/>
      <c r="T211" s="1578"/>
      <c r="U211" s="1578"/>
      <c r="V211" s="1578"/>
      <c r="W211" s="1578"/>
      <c r="X211" s="1578"/>
      <c r="Y211" s="1578"/>
      <c r="Z211" s="1578"/>
      <c r="AA211" s="1578"/>
      <c r="AB211" s="1578"/>
      <c r="AC211" s="1578"/>
      <c r="AD211" s="1578"/>
      <c r="AE211" s="1578"/>
      <c r="AF211" s="1578"/>
      <c r="AG211" s="1578"/>
      <c r="AH211" s="1578"/>
      <c r="AI211" s="1578"/>
      <c r="AJ211" s="1578"/>
      <c r="AK211" s="1578"/>
      <c r="AL211" s="1578"/>
      <c r="AM211" s="1578"/>
      <c r="AN211" s="1578"/>
      <c r="AO211" s="1578"/>
      <c r="AP211" s="1578"/>
      <c r="AQ211" s="1578"/>
      <c r="AR211" s="1578"/>
      <c r="AS211" s="1578"/>
      <c r="AT211" s="1578"/>
      <c r="AU211" s="1578"/>
      <c r="AV211" s="1578"/>
      <c r="AW211" s="1578"/>
      <c r="AX211" s="1578"/>
      <c r="AY211" s="1578"/>
      <c r="AZ211" s="1578"/>
      <c r="BA211" s="1578"/>
      <c r="BB211" s="1578"/>
      <c r="BC211" s="1578"/>
      <c r="BD211" s="1578"/>
      <c r="BE211" s="1578"/>
      <c r="BF211" s="1578"/>
      <c r="BG211" s="1578"/>
      <c r="BH211" s="1578"/>
      <c r="BI211" s="1578"/>
      <c r="BJ211" s="1578"/>
      <c r="BK211" s="1578"/>
      <c r="BL211" s="1578"/>
      <c r="BM211" s="1578"/>
      <c r="BN211" s="1578"/>
      <c r="BO211" s="1578"/>
      <c r="BP211" s="1578"/>
      <c r="BQ211" s="1578"/>
      <c r="BR211" s="1578"/>
      <c r="BS211" s="1578"/>
      <c r="BT211" s="1578"/>
      <c r="BU211" s="1578"/>
      <c r="BV211" s="1578"/>
      <c r="BW211" s="1578"/>
      <c r="BX211" s="1578"/>
      <c r="BY211" s="1578"/>
      <c r="BZ211" s="1578"/>
      <c r="CA211" s="1578"/>
      <c r="CB211" s="1578"/>
      <c r="CC211" s="1578"/>
      <c r="CD211" s="1578"/>
      <c r="CE211" s="1578"/>
      <c r="CF211" s="1578"/>
      <c r="CG211" s="1578"/>
      <c r="CH211" s="1578"/>
      <c r="CI211" s="1578"/>
      <c r="CJ211" s="1578"/>
      <c r="CK211" s="1578"/>
      <c r="CL211" s="1578"/>
      <c r="CM211" s="1578"/>
      <c r="CN211" s="1578"/>
      <c r="CO211" s="1578"/>
      <c r="CP211" s="1578"/>
      <c r="CQ211" s="1578"/>
      <c r="CR211" s="1578"/>
      <c r="CS211" s="1578"/>
      <c r="CT211" s="1578"/>
      <c r="CU211" s="1578"/>
      <c r="CV211" s="1578"/>
      <c r="CW211" s="1578"/>
      <c r="CX211" s="1578"/>
      <c r="CY211" s="1578"/>
      <c r="CZ211" s="1578"/>
    </row>
    <row r="212" spans="1:407">
      <c r="A212" s="1466"/>
      <c r="B212" s="1576"/>
      <c r="C212" s="1576"/>
      <c r="D212" s="1576"/>
      <c r="E212" s="1578"/>
      <c r="F212" s="1578"/>
      <c r="G212" s="1578"/>
      <c r="H212" s="1578"/>
      <c r="I212" s="1578"/>
      <c r="J212" s="1578"/>
      <c r="K212" s="1578"/>
      <c r="L212" s="1578"/>
      <c r="M212" s="1578"/>
      <c r="N212" s="1578"/>
      <c r="O212" s="1578"/>
      <c r="P212" s="1578"/>
      <c r="Q212" s="1578"/>
      <c r="R212" s="1578"/>
      <c r="S212" s="1578"/>
      <c r="T212" s="1578"/>
      <c r="U212" s="1578"/>
      <c r="V212" s="1578"/>
      <c r="W212" s="1578"/>
      <c r="X212" s="1578"/>
      <c r="Y212" s="1578"/>
      <c r="Z212" s="1578"/>
      <c r="AA212" s="1578"/>
      <c r="AB212" s="1578"/>
      <c r="AC212" s="1578"/>
      <c r="AD212" s="1578"/>
      <c r="AE212" s="1578"/>
      <c r="AF212" s="1578"/>
      <c r="AG212" s="1578"/>
      <c r="AH212" s="1578"/>
      <c r="AI212" s="1578"/>
      <c r="AJ212" s="1578"/>
      <c r="AK212" s="1578"/>
      <c r="AL212" s="1578"/>
      <c r="AM212" s="1578"/>
      <c r="AN212" s="1578"/>
      <c r="AO212" s="1578"/>
      <c r="AP212" s="1578"/>
      <c r="AQ212" s="1578"/>
      <c r="AR212" s="1578"/>
      <c r="AS212" s="1578"/>
      <c r="AT212" s="1578"/>
      <c r="AU212" s="1578"/>
      <c r="AV212" s="1578"/>
      <c r="AW212" s="1578"/>
      <c r="AX212" s="1578"/>
      <c r="AY212" s="1578"/>
      <c r="AZ212" s="1578"/>
      <c r="BA212" s="1578"/>
      <c r="BB212" s="1578"/>
      <c r="BC212" s="1578"/>
      <c r="BD212" s="1578"/>
      <c r="BE212" s="1578"/>
      <c r="BF212" s="1578"/>
      <c r="BG212" s="1578"/>
      <c r="BH212" s="1578"/>
      <c r="BI212" s="1578"/>
      <c r="BJ212" s="1578"/>
      <c r="BK212" s="1578"/>
      <c r="BL212" s="1578"/>
      <c r="BM212" s="1578"/>
      <c r="BN212" s="1578"/>
      <c r="BO212" s="1578"/>
      <c r="BP212" s="1578"/>
      <c r="BQ212" s="1578"/>
      <c r="BR212" s="1578"/>
      <c r="BS212" s="1578"/>
      <c r="BT212" s="1578"/>
      <c r="BU212" s="1578"/>
      <c r="BV212" s="1578"/>
      <c r="BW212" s="1578"/>
      <c r="BX212" s="1578"/>
      <c r="BY212" s="1578"/>
      <c r="BZ212" s="1578"/>
      <c r="CA212" s="1578"/>
      <c r="CB212" s="1578"/>
      <c r="CC212" s="1578"/>
      <c r="CD212" s="1578"/>
      <c r="CE212" s="1578"/>
      <c r="CF212" s="1578"/>
      <c r="CG212" s="1578"/>
      <c r="CH212" s="1578"/>
      <c r="CI212" s="1578"/>
      <c r="CJ212" s="1578"/>
      <c r="CK212" s="1578"/>
      <c r="CL212" s="1578"/>
      <c r="CM212" s="1578"/>
      <c r="CN212" s="1578"/>
      <c r="CO212" s="1578"/>
      <c r="CP212" s="1578"/>
      <c r="CQ212" s="1578"/>
      <c r="CR212" s="1578"/>
      <c r="CS212" s="1578"/>
      <c r="CT212" s="1578"/>
      <c r="CU212" s="1578"/>
      <c r="CV212" s="1578"/>
      <c r="CW212" s="1578"/>
      <c r="CX212" s="1578"/>
      <c r="CY212" s="1578"/>
      <c r="CZ212" s="1578"/>
    </row>
    <row r="213" spans="1:407">
      <c r="A213" s="1466"/>
      <c r="B213" s="1576"/>
      <c r="C213" s="1576"/>
      <c r="D213" s="1576"/>
      <c r="E213" s="1578"/>
      <c r="F213" s="1578"/>
      <c r="G213" s="1578"/>
      <c r="H213" s="1578"/>
      <c r="I213" s="1578"/>
      <c r="J213" s="1578"/>
      <c r="K213" s="1578"/>
      <c r="L213" s="1578"/>
      <c r="M213" s="1578"/>
      <c r="N213" s="1578"/>
      <c r="O213" s="1578"/>
      <c r="P213" s="1578"/>
      <c r="Q213" s="1578"/>
      <c r="R213" s="1578"/>
      <c r="S213" s="1578"/>
      <c r="T213" s="1578"/>
      <c r="U213" s="1578"/>
      <c r="V213" s="1578"/>
      <c r="W213" s="1578"/>
      <c r="X213" s="1578"/>
      <c r="Y213" s="1578"/>
      <c r="Z213" s="1578"/>
      <c r="AA213" s="1578"/>
      <c r="AB213" s="1578"/>
      <c r="AC213" s="1578"/>
      <c r="AD213" s="1578"/>
      <c r="AE213" s="1578"/>
      <c r="AF213" s="1578"/>
      <c r="AG213" s="1578"/>
      <c r="AH213" s="1578"/>
      <c r="AI213" s="1578"/>
      <c r="AJ213" s="1578"/>
      <c r="AK213" s="1578"/>
      <c r="AL213" s="1578"/>
      <c r="AM213" s="1578"/>
      <c r="AN213" s="1578"/>
      <c r="AO213" s="1578"/>
      <c r="AP213" s="1578"/>
      <c r="AQ213" s="1578"/>
      <c r="AR213" s="1578"/>
      <c r="AS213" s="1578"/>
      <c r="AT213" s="1578"/>
      <c r="AU213" s="1578"/>
      <c r="AV213" s="1578"/>
      <c r="AW213" s="1578"/>
      <c r="AX213" s="1578"/>
      <c r="AY213" s="1578"/>
      <c r="AZ213" s="1578"/>
      <c r="BA213" s="1578"/>
      <c r="BB213" s="1578"/>
      <c r="BC213" s="1578"/>
      <c r="BD213" s="1578"/>
      <c r="BE213" s="1578"/>
      <c r="BF213" s="1578"/>
      <c r="BG213" s="1578"/>
      <c r="BH213" s="1578"/>
      <c r="BI213" s="1578"/>
      <c r="BJ213" s="1578"/>
      <c r="BK213" s="1578"/>
      <c r="BL213" s="1578"/>
      <c r="BM213" s="1578"/>
      <c r="BN213" s="1578"/>
      <c r="BO213" s="1578"/>
      <c r="BP213" s="1578"/>
      <c r="BQ213" s="1578"/>
      <c r="BR213" s="1578"/>
      <c r="BS213" s="1578"/>
      <c r="BT213" s="1578"/>
      <c r="BU213" s="1578"/>
      <c r="BV213" s="1578"/>
      <c r="BW213" s="1578"/>
      <c r="BX213" s="1578"/>
      <c r="BY213" s="1578"/>
      <c r="BZ213" s="1578"/>
      <c r="CA213" s="1578"/>
      <c r="CB213" s="1578"/>
      <c r="CC213" s="1578"/>
      <c r="CD213" s="1578"/>
      <c r="CE213" s="1578"/>
      <c r="CF213" s="1578"/>
      <c r="CG213" s="1578"/>
      <c r="CH213" s="1578"/>
      <c r="CI213" s="1578"/>
      <c r="CJ213" s="1578"/>
      <c r="CK213" s="1578"/>
      <c r="CL213" s="1578"/>
      <c r="CM213" s="1578"/>
      <c r="CN213" s="1578"/>
      <c r="CO213" s="1578"/>
      <c r="CP213" s="1578"/>
      <c r="CQ213" s="1578"/>
      <c r="CR213" s="1578"/>
      <c r="CS213" s="1578"/>
      <c r="CT213" s="1578"/>
      <c r="CU213" s="1578"/>
      <c r="CV213" s="1578"/>
      <c r="CW213" s="1578"/>
      <c r="CX213" s="1578"/>
      <c r="CY213" s="1578"/>
      <c r="CZ213" s="1578"/>
    </row>
    <row r="214" spans="1:407" ht="13" thickBot="1">
      <c r="A214" s="1466"/>
      <c r="B214" s="1579"/>
      <c r="C214" s="1579"/>
      <c r="D214" s="1579"/>
      <c r="E214" s="1580"/>
      <c r="F214" s="1580"/>
      <c r="G214" s="1580"/>
      <c r="H214" s="1580"/>
      <c r="I214" s="1580"/>
      <c r="J214" s="1580"/>
      <c r="K214" s="1580"/>
      <c r="L214" s="1580"/>
      <c r="M214" s="1580"/>
      <c r="N214" s="1580"/>
      <c r="O214" s="1580"/>
      <c r="P214" s="1580"/>
      <c r="Q214" s="1580"/>
      <c r="R214" s="1580"/>
      <c r="S214" s="1580"/>
      <c r="T214" s="1580"/>
      <c r="U214" s="1580"/>
      <c r="V214" s="1580"/>
      <c r="W214" s="1580"/>
      <c r="X214" s="1580"/>
      <c r="Y214" s="1580"/>
      <c r="Z214" s="1580"/>
      <c r="AA214" s="1580"/>
      <c r="AB214" s="1580"/>
      <c r="AC214" s="1580"/>
      <c r="AD214" s="1580"/>
      <c r="AE214" s="1580"/>
      <c r="AF214" s="1580"/>
      <c r="AG214" s="1580"/>
      <c r="AH214" s="1580"/>
      <c r="AI214" s="1580"/>
      <c r="AJ214" s="1580"/>
      <c r="AK214" s="1580"/>
      <c r="AL214" s="1580"/>
      <c r="AM214" s="1580"/>
      <c r="AN214" s="1580"/>
      <c r="AO214" s="1580"/>
      <c r="AP214" s="1580"/>
      <c r="AQ214" s="1580"/>
      <c r="AR214" s="1580"/>
      <c r="AS214" s="1580"/>
      <c r="AT214" s="1580"/>
      <c r="AU214" s="1580"/>
      <c r="AV214" s="1580"/>
      <c r="AW214" s="1580"/>
      <c r="AX214" s="1580"/>
      <c r="AY214" s="1580"/>
      <c r="AZ214" s="1580"/>
      <c r="BA214" s="1580"/>
      <c r="BB214" s="1580"/>
      <c r="BC214" s="1580"/>
      <c r="BD214" s="1580"/>
      <c r="BE214" s="1580"/>
      <c r="BF214" s="1580"/>
      <c r="BG214" s="1580"/>
      <c r="BH214" s="1580"/>
      <c r="BI214" s="1580"/>
      <c r="BJ214" s="1580"/>
      <c r="BK214" s="1580"/>
      <c r="BL214" s="1580"/>
      <c r="BM214" s="1580"/>
      <c r="BN214" s="1580"/>
      <c r="BO214" s="1580"/>
      <c r="BP214" s="1580"/>
      <c r="BQ214" s="1580"/>
      <c r="BR214" s="1580"/>
      <c r="BS214" s="1580"/>
      <c r="BT214" s="1580"/>
      <c r="BU214" s="1580"/>
      <c r="BV214" s="1580"/>
      <c r="BW214" s="1580"/>
      <c r="BX214" s="1580"/>
      <c r="BY214" s="1580"/>
      <c r="BZ214" s="1580"/>
      <c r="CA214" s="1580"/>
      <c r="CB214" s="1580"/>
      <c r="CC214" s="1580"/>
      <c r="CD214" s="1580"/>
      <c r="CE214" s="1580"/>
      <c r="CF214" s="1580"/>
      <c r="CG214" s="1580"/>
      <c r="CH214" s="1580"/>
      <c r="CI214" s="1580"/>
      <c r="CJ214" s="1580"/>
      <c r="CK214" s="1580"/>
      <c r="CL214" s="1580"/>
      <c r="CM214" s="1580"/>
      <c r="CN214" s="1580"/>
      <c r="CO214" s="1580"/>
      <c r="CP214" s="1580"/>
      <c r="CQ214" s="1580"/>
      <c r="CR214" s="1580"/>
      <c r="CS214" s="1580"/>
      <c r="CT214" s="1580"/>
      <c r="CU214" s="1580"/>
      <c r="CV214" s="1580"/>
      <c r="CW214" s="1580"/>
      <c r="CX214" s="1580"/>
      <c r="CY214" s="1580"/>
      <c r="CZ214" s="1580"/>
      <c r="DA214" s="1606"/>
      <c r="DB214" s="1607"/>
      <c r="DC214" s="1606"/>
      <c r="DD214" s="1606"/>
      <c r="DE214" s="1606"/>
      <c r="DF214" s="1606"/>
      <c r="DG214" s="1606"/>
      <c r="DH214" s="1606"/>
      <c r="DI214" s="1606"/>
      <c r="DJ214" s="1606"/>
      <c r="DK214" s="1606"/>
      <c r="DL214" s="1606"/>
      <c r="DM214" s="1606"/>
      <c r="DN214" s="1606"/>
      <c r="DO214" s="1606"/>
      <c r="DP214" s="1606"/>
      <c r="DQ214" s="1606"/>
      <c r="DR214" s="1606"/>
      <c r="DS214" s="1606"/>
      <c r="DT214" s="1606"/>
      <c r="DU214" s="1606"/>
      <c r="DV214" s="1606"/>
      <c r="DW214" s="1606"/>
      <c r="DX214" s="1606"/>
      <c r="DY214" s="1606"/>
      <c r="DZ214" s="1606"/>
      <c r="EA214" s="1606"/>
      <c r="EB214" s="1606"/>
      <c r="EC214" s="1606"/>
      <c r="ED214" s="1606"/>
      <c r="EE214" s="1606"/>
      <c r="EF214" s="1606"/>
      <c r="EG214" s="1606"/>
      <c r="EH214" s="1606"/>
      <c r="EI214" s="1606"/>
      <c r="EJ214" s="1606"/>
      <c r="EK214" s="1606"/>
      <c r="EL214" s="1606"/>
      <c r="EM214" s="1606"/>
      <c r="EN214" s="1606"/>
      <c r="EO214" s="1606"/>
      <c r="EP214" s="1606"/>
      <c r="EQ214" s="1606"/>
      <c r="ER214" s="1606"/>
      <c r="ES214" s="1606"/>
      <c r="ET214" s="1606"/>
      <c r="EU214" s="1606"/>
      <c r="EV214" s="1606"/>
      <c r="EW214" s="1606"/>
      <c r="EX214" s="1606"/>
      <c r="EY214" s="1606"/>
      <c r="EZ214" s="1606"/>
      <c r="FA214" s="1606"/>
      <c r="FB214" s="1606"/>
      <c r="FC214" s="1606"/>
      <c r="FD214" s="1606"/>
      <c r="FE214" s="1606"/>
      <c r="FF214" s="1606"/>
      <c r="FG214" s="1606"/>
      <c r="FH214" s="1606"/>
      <c r="FI214" s="1606"/>
      <c r="FJ214" s="1606"/>
      <c r="FK214" s="1606"/>
      <c r="FL214" s="1606"/>
      <c r="FM214" s="1606"/>
      <c r="FN214" s="1606"/>
      <c r="FO214" s="1606"/>
      <c r="FP214" s="1606"/>
      <c r="FQ214" s="1606"/>
      <c r="FR214" s="1606"/>
      <c r="FS214" s="1606"/>
      <c r="FT214" s="1606"/>
      <c r="FU214" s="1606"/>
      <c r="FV214" s="1606"/>
      <c r="FW214" s="1606"/>
      <c r="FX214" s="1606"/>
      <c r="FY214" s="1606"/>
      <c r="FZ214" s="1606"/>
      <c r="GA214" s="1606"/>
      <c r="GB214" s="1606"/>
      <c r="GC214" s="1606"/>
      <c r="GD214" s="1606"/>
      <c r="GE214" s="1606"/>
      <c r="GF214" s="1606"/>
      <c r="GG214" s="1606"/>
      <c r="GH214" s="1606"/>
      <c r="GI214" s="1606"/>
      <c r="GJ214" s="1606"/>
      <c r="GK214" s="1606"/>
      <c r="GL214" s="1606"/>
      <c r="GM214" s="1606"/>
      <c r="GN214" s="1606"/>
      <c r="GO214" s="1606"/>
      <c r="GP214" s="1606"/>
      <c r="GQ214" s="1606"/>
      <c r="GR214" s="1606"/>
      <c r="GS214" s="1606"/>
      <c r="GT214" s="1606"/>
      <c r="GU214" s="1606"/>
      <c r="GV214" s="1606"/>
      <c r="GW214" s="1606"/>
      <c r="GX214" s="1606"/>
      <c r="GY214" s="1606"/>
      <c r="GZ214" s="1606"/>
      <c r="HA214" s="1606"/>
      <c r="HB214" s="1606"/>
      <c r="HC214" s="1606"/>
      <c r="HD214" s="1606"/>
      <c r="HE214" s="1606"/>
      <c r="HF214" s="1606"/>
      <c r="HG214" s="1606"/>
      <c r="HH214" s="1606"/>
      <c r="HI214" s="1606"/>
      <c r="HJ214" s="1606"/>
      <c r="HK214" s="1606"/>
      <c r="HL214" s="1606"/>
      <c r="HM214" s="1606"/>
      <c r="HN214" s="1606"/>
      <c r="HO214" s="1606"/>
      <c r="HP214" s="1606"/>
      <c r="HQ214" s="1606"/>
      <c r="HR214" s="1606"/>
      <c r="HS214" s="1606"/>
      <c r="HT214" s="1606"/>
      <c r="HU214" s="1606"/>
      <c r="HV214" s="1606"/>
      <c r="HW214" s="1606"/>
      <c r="HX214" s="1606"/>
      <c r="HY214" s="1606"/>
      <c r="HZ214" s="1606"/>
      <c r="IA214" s="1606"/>
      <c r="IB214" s="1606"/>
      <c r="IC214" s="1606"/>
      <c r="ID214" s="1606"/>
      <c r="IE214" s="1606"/>
      <c r="IF214" s="1606"/>
      <c r="IG214" s="1606"/>
      <c r="IH214" s="1606"/>
      <c r="II214" s="1606"/>
      <c r="IJ214" s="1606"/>
      <c r="IK214" s="1606"/>
      <c r="IL214" s="1606"/>
      <c r="IM214" s="1606"/>
      <c r="IN214" s="1606"/>
      <c r="IO214" s="1606"/>
      <c r="IP214" s="1606"/>
      <c r="IQ214" s="1606"/>
      <c r="IR214" s="1606"/>
      <c r="IS214" s="1606"/>
      <c r="IT214" s="1606"/>
      <c r="IU214" s="1606"/>
      <c r="IV214" s="1606"/>
      <c r="IW214" s="1606"/>
      <c r="IX214" s="1606"/>
      <c r="IY214" s="1606"/>
      <c r="IZ214" s="1606"/>
      <c r="JA214" s="1606"/>
      <c r="JB214" s="1606"/>
      <c r="JC214" s="1606"/>
      <c r="JD214" s="1606"/>
      <c r="JE214" s="1606"/>
      <c r="JF214" s="1606"/>
      <c r="JG214" s="1606"/>
      <c r="JH214" s="1606"/>
      <c r="JI214" s="1606"/>
      <c r="JJ214" s="1606"/>
      <c r="JK214" s="1606"/>
      <c r="JL214" s="1606"/>
      <c r="JM214" s="1606"/>
      <c r="JN214" s="1606"/>
      <c r="JO214" s="1606"/>
      <c r="JP214" s="1606"/>
      <c r="JQ214" s="1606"/>
      <c r="JR214" s="1606"/>
      <c r="JS214" s="1606"/>
      <c r="JT214" s="1606"/>
      <c r="JU214" s="1606"/>
      <c r="JV214" s="1606"/>
      <c r="JW214" s="1606"/>
      <c r="JX214" s="1606"/>
      <c r="JY214" s="1606"/>
      <c r="JZ214" s="1606"/>
      <c r="KA214" s="1606"/>
      <c r="KB214" s="1606"/>
      <c r="KC214" s="1606"/>
      <c r="KD214" s="1606"/>
      <c r="KE214" s="1606"/>
      <c r="KF214" s="1606"/>
      <c r="KG214" s="1606"/>
      <c r="KH214" s="1606"/>
      <c r="KI214" s="1606"/>
      <c r="KJ214" s="1606"/>
      <c r="KK214" s="1606"/>
      <c r="KL214" s="1606"/>
      <c r="KM214" s="1606"/>
      <c r="KN214" s="1606"/>
      <c r="KO214" s="1606"/>
      <c r="KP214" s="1606"/>
      <c r="KQ214" s="1606"/>
      <c r="KR214" s="1606"/>
      <c r="KS214" s="1606"/>
      <c r="KT214" s="1606"/>
      <c r="KU214" s="1606"/>
      <c r="KV214" s="1606"/>
      <c r="KW214" s="1606"/>
      <c r="KX214" s="1606"/>
      <c r="KY214" s="1606"/>
      <c r="KZ214" s="1606"/>
      <c r="LA214" s="1606"/>
      <c r="LB214" s="1606"/>
      <c r="LC214" s="1606"/>
      <c r="LD214" s="1606"/>
      <c r="LE214" s="1606"/>
      <c r="LF214" s="1606"/>
      <c r="LG214" s="1606"/>
      <c r="LH214" s="1606"/>
      <c r="LI214" s="1606"/>
      <c r="LJ214" s="1606"/>
      <c r="LK214" s="1606"/>
      <c r="LL214" s="1606"/>
      <c r="LM214" s="1606"/>
      <c r="LN214" s="1606"/>
      <c r="LO214" s="1606"/>
      <c r="LP214" s="1606"/>
      <c r="LQ214" s="1606"/>
      <c r="LR214" s="1606"/>
      <c r="LS214" s="1606"/>
      <c r="LT214" s="1606"/>
      <c r="LU214" s="1606"/>
      <c r="LV214" s="1606"/>
      <c r="LW214" s="1606"/>
      <c r="LX214" s="1606"/>
      <c r="LY214" s="1606"/>
      <c r="LZ214" s="1606"/>
      <c r="MA214" s="1606"/>
      <c r="MB214" s="1606"/>
      <c r="MC214" s="1606"/>
      <c r="MD214" s="1606"/>
      <c r="ME214" s="1606"/>
      <c r="MF214" s="1606"/>
      <c r="MG214" s="1606"/>
      <c r="MH214" s="1606"/>
      <c r="MI214" s="1606"/>
      <c r="MJ214" s="1606"/>
      <c r="MK214" s="1606"/>
      <c r="ML214" s="1606"/>
      <c r="MM214" s="1606"/>
      <c r="MN214" s="1606"/>
      <c r="MO214" s="1606"/>
      <c r="MP214" s="1606"/>
      <c r="MQ214" s="1606"/>
      <c r="MR214" s="1606"/>
      <c r="MS214" s="1606"/>
      <c r="MT214" s="1606"/>
      <c r="MU214" s="1606"/>
      <c r="MV214" s="1606"/>
      <c r="MW214" s="1606"/>
      <c r="MX214" s="1606"/>
      <c r="MY214" s="1606"/>
      <c r="MZ214" s="1606"/>
      <c r="NA214" s="1606"/>
      <c r="NB214" s="1606"/>
      <c r="NC214" s="1606"/>
      <c r="ND214" s="1606"/>
      <c r="NE214" s="1606"/>
      <c r="NF214" s="1606"/>
      <c r="NG214" s="1606"/>
      <c r="NH214" s="1606"/>
      <c r="NI214" s="1606"/>
      <c r="NJ214" s="1606"/>
      <c r="NK214" s="1606"/>
      <c r="NL214" s="1606"/>
      <c r="NM214" s="1606"/>
      <c r="NN214" s="1606"/>
      <c r="NO214" s="1606"/>
      <c r="NP214" s="1606"/>
      <c r="NQ214" s="1606"/>
      <c r="NR214" s="1606"/>
      <c r="NS214" s="1606"/>
      <c r="NT214" s="1606"/>
      <c r="NU214" s="1606"/>
      <c r="NV214" s="1606"/>
      <c r="NW214" s="1606"/>
      <c r="NX214" s="1606"/>
      <c r="NY214" s="1606"/>
      <c r="NZ214" s="1606"/>
      <c r="OA214" s="1606"/>
      <c r="OB214" s="1606"/>
      <c r="OC214" s="1606"/>
      <c r="OD214" s="1606"/>
      <c r="OE214" s="1606"/>
      <c r="OF214" s="1606"/>
      <c r="OG214" s="1606"/>
      <c r="OH214" s="1606"/>
      <c r="OI214" s="1606"/>
      <c r="OJ214" s="1606"/>
      <c r="OK214" s="1606"/>
      <c r="OL214" s="1606"/>
      <c r="OM214" s="1606"/>
      <c r="ON214" s="1606"/>
      <c r="OO214" s="1606"/>
      <c r="OP214" s="1606"/>
      <c r="OQ214" s="1606"/>
    </row>
    <row r="215" spans="1:407" ht="13" thickTop="1">
      <c r="A215" s="1466"/>
      <c r="B215" s="1581"/>
      <c r="C215" s="1581"/>
      <c r="D215" s="1581"/>
      <c r="E215" s="1582"/>
      <c r="F215" s="1582"/>
      <c r="G215" s="1582"/>
      <c r="H215" s="1582"/>
      <c r="I215" s="1582"/>
      <c r="J215" s="1582"/>
      <c r="K215" s="1582"/>
      <c r="L215" s="1582"/>
      <c r="M215" s="1582"/>
      <c r="N215" s="1582"/>
      <c r="O215" s="1582"/>
      <c r="P215" s="1582"/>
      <c r="Q215" s="1582"/>
      <c r="R215" s="1582"/>
      <c r="S215" s="1582"/>
      <c r="T215" s="1582"/>
      <c r="U215" s="1582"/>
      <c r="V215" s="1582"/>
      <c r="W215" s="1582"/>
      <c r="X215" s="1582"/>
      <c r="Y215" s="1582"/>
      <c r="Z215" s="1582"/>
      <c r="AA215" s="1582"/>
      <c r="AB215" s="1582"/>
      <c r="AC215" s="1582"/>
      <c r="AD215" s="1582"/>
      <c r="AE215" s="1582"/>
      <c r="AF215" s="1582"/>
      <c r="AG215" s="1582"/>
      <c r="AH215" s="1582"/>
      <c r="AI215" s="1582"/>
      <c r="AJ215" s="1582"/>
      <c r="AK215" s="1582"/>
      <c r="AL215" s="1582"/>
      <c r="AM215" s="1582"/>
      <c r="AN215" s="1582"/>
      <c r="AO215" s="1582"/>
      <c r="AP215" s="1582"/>
      <c r="AQ215" s="1582"/>
      <c r="AR215" s="1582"/>
      <c r="AS215" s="1582"/>
      <c r="AT215" s="1582"/>
      <c r="AU215" s="1582"/>
      <c r="AV215" s="1582"/>
      <c r="AW215" s="1582"/>
      <c r="AX215" s="1582"/>
      <c r="AY215" s="1582"/>
      <c r="AZ215" s="1582"/>
      <c r="BA215" s="1582"/>
      <c r="BB215" s="1582"/>
      <c r="BC215" s="1582"/>
      <c r="BD215" s="1582"/>
      <c r="BE215" s="1582"/>
      <c r="BF215" s="1582"/>
      <c r="BG215" s="1582"/>
      <c r="BH215" s="1582"/>
      <c r="BI215" s="1582"/>
      <c r="BJ215" s="1582"/>
      <c r="BK215" s="1582"/>
      <c r="BL215" s="1582"/>
      <c r="BM215" s="1582"/>
      <c r="BN215" s="1582"/>
      <c r="BO215" s="1582"/>
      <c r="BP215" s="1582"/>
      <c r="BQ215" s="1582"/>
      <c r="BR215" s="1582"/>
      <c r="BS215" s="1582"/>
      <c r="BT215" s="1582"/>
      <c r="BU215" s="1582"/>
      <c r="BV215" s="1582"/>
      <c r="BW215" s="1582"/>
      <c r="BX215" s="1582"/>
      <c r="BY215" s="1582"/>
      <c r="BZ215" s="1582"/>
      <c r="CA215" s="1582"/>
      <c r="CB215" s="1582"/>
      <c r="CC215" s="1582"/>
      <c r="CD215" s="1582"/>
      <c r="CE215" s="1582"/>
      <c r="CF215" s="1582"/>
      <c r="CG215" s="1582"/>
      <c r="CH215" s="1582"/>
      <c r="CI215" s="1582"/>
      <c r="CJ215" s="1582"/>
      <c r="CK215" s="1582"/>
      <c r="CL215" s="1582"/>
      <c r="CM215" s="1582"/>
      <c r="CN215" s="1582"/>
      <c r="CO215" s="1582"/>
      <c r="CP215" s="1582"/>
      <c r="CQ215" s="1582"/>
      <c r="CR215" s="1582"/>
      <c r="CS215" s="1582"/>
      <c r="CT215" s="1582"/>
      <c r="CU215" s="1582"/>
      <c r="CV215" s="1582"/>
      <c r="CW215" s="1582"/>
      <c r="CX215" s="1582"/>
      <c r="CY215" s="1582"/>
      <c r="CZ215" s="1582"/>
    </row>
    <row r="216" spans="1:407">
      <c r="A216" s="1466"/>
      <c r="B216" s="1576"/>
      <c r="C216" s="1576"/>
      <c r="D216" s="1576"/>
      <c r="E216" s="1578"/>
      <c r="F216" s="1578"/>
      <c r="G216" s="1578"/>
      <c r="H216" s="1578"/>
      <c r="I216" s="1578"/>
      <c r="J216" s="1578"/>
      <c r="K216" s="1578"/>
      <c r="L216" s="1578"/>
      <c r="M216" s="1578"/>
      <c r="N216" s="1578"/>
      <c r="O216" s="1578"/>
      <c r="P216" s="1578"/>
      <c r="Q216" s="1578"/>
      <c r="R216" s="1578"/>
      <c r="S216" s="1578"/>
      <c r="T216" s="1578"/>
      <c r="U216" s="1578"/>
      <c r="V216" s="1578"/>
      <c r="W216" s="1578"/>
      <c r="X216" s="1578"/>
      <c r="Y216" s="1578"/>
      <c r="Z216" s="1578"/>
      <c r="AA216" s="1578"/>
      <c r="AB216" s="1578"/>
      <c r="AC216" s="1578"/>
      <c r="AD216" s="1578"/>
      <c r="AE216" s="1578"/>
      <c r="AF216" s="1578"/>
      <c r="AG216" s="1578"/>
      <c r="AH216" s="1578"/>
      <c r="AI216" s="1578"/>
      <c r="AJ216" s="1578"/>
      <c r="AK216" s="1578"/>
      <c r="AL216" s="1578"/>
      <c r="AM216" s="1578"/>
      <c r="AN216" s="1578"/>
      <c r="AO216" s="1578"/>
      <c r="AP216" s="1578"/>
      <c r="AQ216" s="1578"/>
      <c r="AR216" s="1578"/>
      <c r="AS216" s="1578"/>
      <c r="AT216" s="1578"/>
      <c r="AU216" s="1578"/>
      <c r="AV216" s="1578"/>
      <c r="AW216" s="1578"/>
      <c r="AX216" s="1578"/>
      <c r="AY216" s="1578"/>
      <c r="AZ216" s="1578"/>
      <c r="BA216" s="1578"/>
      <c r="BB216" s="1578"/>
      <c r="BC216" s="1578"/>
      <c r="BD216" s="1578"/>
      <c r="BE216" s="1578"/>
      <c r="BF216" s="1578"/>
      <c r="BG216" s="1578"/>
      <c r="BH216" s="1578"/>
      <c r="BI216" s="1578"/>
      <c r="BJ216" s="1578"/>
      <c r="BK216" s="1578"/>
      <c r="BL216" s="1578"/>
      <c r="BM216" s="1578"/>
      <c r="BN216" s="1578"/>
      <c r="BO216" s="1578"/>
      <c r="BP216" s="1578"/>
      <c r="BQ216" s="1578"/>
      <c r="BR216" s="1578"/>
      <c r="BS216" s="1578"/>
      <c r="BT216" s="1578"/>
      <c r="BU216" s="1578"/>
      <c r="BV216" s="1578"/>
      <c r="BW216" s="1578"/>
      <c r="BX216" s="1578"/>
      <c r="BY216" s="1578"/>
      <c r="BZ216" s="1578"/>
      <c r="CA216" s="1578"/>
      <c r="CB216" s="1578"/>
      <c r="CC216" s="1578"/>
      <c r="CD216" s="1578"/>
      <c r="CE216" s="1578"/>
      <c r="CF216" s="1578"/>
      <c r="CG216" s="1578"/>
      <c r="CH216" s="1578"/>
      <c r="CI216" s="1578"/>
      <c r="CJ216" s="1578"/>
      <c r="CK216" s="1578"/>
      <c r="CL216" s="1578"/>
      <c r="CM216" s="1578"/>
      <c r="CN216" s="1578"/>
      <c r="CO216" s="1578"/>
      <c r="CP216" s="1578"/>
      <c r="CQ216" s="1578"/>
      <c r="CR216" s="1578"/>
      <c r="CS216" s="1578"/>
      <c r="CT216" s="1578"/>
      <c r="CU216" s="1578"/>
      <c r="CV216" s="1578"/>
      <c r="CW216" s="1578"/>
      <c r="CX216" s="1578"/>
      <c r="CY216" s="1578"/>
      <c r="CZ216" s="1578"/>
    </row>
    <row r="217" spans="1:407">
      <c r="A217" s="1466"/>
      <c r="B217" s="1576"/>
      <c r="C217" s="1576"/>
      <c r="D217" s="1576"/>
      <c r="E217" s="1578"/>
      <c r="F217" s="1578"/>
      <c r="G217" s="1578"/>
      <c r="H217" s="1578"/>
      <c r="I217" s="1578"/>
      <c r="J217" s="1578"/>
      <c r="K217" s="1578"/>
      <c r="L217" s="1578"/>
      <c r="M217" s="1578"/>
      <c r="N217" s="1578"/>
      <c r="O217" s="1578"/>
      <c r="P217" s="1578"/>
      <c r="Q217" s="1578"/>
      <c r="R217" s="1578"/>
      <c r="S217" s="1578"/>
      <c r="T217" s="1578"/>
      <c r="U217" s="1578"/>
      <c r="V217" s="1578"/>
      <c r="W217" s="1578"/>
      <c r="X217" s="1578"/>
      <c r="Y217" s="1578"/>
      <c r="Z217" s="1578"/>
      <c r="AA217" s="1578"/>
      <c r="AB217" s="1578"/>
      <c r="AC217" s="1578"/>
      <c r="AD217" s="1578"/>
      <c r="AE217" s="1578"/>
      <c r="AF217" s="1578"/>
      <c r="AG217" s="1578"/>
      <c r="AH217" s="1578"/>
      <c r="AI217" s="1578"/>
      <c r="AJ217" s="1578"/>
      <c r="AK217" s="1578"/>
      <c r="AL217" s="1578"/>
      <c r="AM217" s="1578"/>
      <c r="AN217" s="1578"/>
      <c r="AO217" s="1578"/>
      <c r="AP217" s="1578"/>
      <c r="AQ217" s="1578"/>
      <c r="AR217" s="1578"/>
      <c r="AS217" s="1578"/>
      <c r="AT217" s="1578"/>
      <c r="AU217" s="1578"/>
      <c r="AV217" s="1578"/>
      <c r="AW217" s="1578"/>
      <c r="AX217" s="1578"/>
      <c r="AY217" s="1578"/>
      <c r="AZ217" s="1578"/>
      <c r="BA217" s="1578"/>
      <c r="BB217" s="1578"/>
      <c r="BC217" s="1578"/>
      <c r="BD217" s="1578"/>
      <c r="BE217" s="1578"/>
      <c r="BF217" s="1578"/>
      <c r="BG217" s="1578"/>
      <c r="BH217" s="1578"/>
      <c r="BI217" s="1578"/>
      <c r="BJ217" s="1578"/>
      <c r="BK217" s="1578"/>
      <c r="BL217" s="1578"/>
      <c r="BM217" s="1578"/>
      <c r="BN217" s="1578"/>
      <c r="BO217" s="1578"/>
      <c r="BP217" s="1578"/>
      <c r="BQ217" s="1578"/>
      <c r="BR217" s="1578"/>
      <c r="BS217" s="1578"/>
      <c r="BT217" s="1578"/>
      <c r="BU217" s="1578"/>
      <c r="BV217" s="1578"/>
      <c r="BW217" s="1578"/>
      <c r="BX217" s="1578"/>
      <c r="BY217" s="1578"/>
      <c r="BZ217" s="1578"/>
      <c r="CA217" s="1578"/>
      <c r="CB217" s="1578"/>
      <c r="CC217" s="1578"/>
      <c r="CD217" s="1578"/>
      <c r="CE217" s="1578"/>
      <c r="CF217" s="1578"/>
      <c r="CG217" s="1578"/>
      <c r="CH217" s="1578"/>
      <c r="CI217" s="1578"/>
      <c r="CJ217" s="1578"/>
      <c r="CK217" s="1578"/>
      <c r="CL217" s="1578"/>
      <c r="CM217" s="1578"/>
      <c r="CN217" s="1578"/>
      <c r="CO217" s="1578"/>
      <c r="CP217" s="1578"/>
      <c r="CQ217" s="1578"/>
      <c r="CR217" s="1578"/>
      <c r="CS217" s="1578"/>
      <c r="CT217" s="1578"/>
      <c r="CU217" s="1578"/>
      <c r="CV217" s="1578"/>
      <c r="CW217" s="1578"/>
      <c r="CX217" s="1578"/>
      <c r="CY217" s="1578"/>
      <c r="CZ217" s="1578"/>
    </row>
    <row r="218" spans="1:407">
      <c r="A218" s="1466"/>
      <c r="B218" s="1576"/>
      <c r="C218" s="1576"/>
      <c r="D218" s="1576"/>
      <c r="E218" s="1578"/>
      <c r="F218" s="1578"/>
      <c r="G218" s="1578"/>
      <c r="H218" s="1578"/>
      <c r="I218" s="1578"/>
      <c r="J218" s="1578"/>
      <c r="K218" s="1578"/>
      <c r="L218" s="1578"/>
      <c r="M218" s="1578"/>
      <c r="N218" s="1578"/>
      <c r="O218" s="1578"/>
      <c r="P218" s="1578"/>
      <c r="Q218" s="1578"/>
      <c r="R218" s="1578"/>
      <c r="S218" s="1578"/>
      <c r="T218" s="1578"/>
      <c r="U218" s="1578"/>
      <c r="V218" s="1578"/>
      <c r="W218" s="1578"/>
      <c r="X218" s="1578"/>
      <c r="Y218" s="1578"/>
      <c r="Z218" s="1578"/>
      <c r="AA218" s="1578"/>
      <c r="AB218" s="1578"/>
      <c r="AC218" s="1578"/>
      <c r="AD218" s="1578"/>
      <c r="AE218" s="1578"/>
      <c r="AF218" s="1578"/>
      <c r="AG218" s="1578"/>
      <c r="AH218" s="1578"/>
      <c r="AI218" s="1578"/>
      <c r="AJ218" s="1578"/>
      <c r="AK218" s="1578"/>
      <c r="AL218" s="1578"/>
      <c r="AM218" s="1578"/>
      <c r="AN218" s="1578"/>
      <c r="AO218" s="1578"/>
      <c r="AP218" s="1578"/>
      <c r="AQ218" s="1578"/>
      <c r="AR218" s="1578"/>
      <c r="AS218" s="1578"/>
      <c r="AT218" s="1578"/>
      <c r="AU218" s="1578"/>
      <c r="AV218" s="1578"/>
      <c r="AW218" s="1578"/>
      <c r="AX218" s="1578"/>
      <c r="AY218" s="1578"/>
      <c r="AZ218" s="1578"/>
      <c r="BA218" s="1578"/>
      <c r="BB218" s="1578"/>
      <c r="BC218" s="1578"/>
      <c r="BD218" s="1578"/>
      <c r="BE218" s="1578"/>
      <c r="BF218" s="1578"/>
      <c r="BG218" s="1578"/>
      <c r="BH218" s="1578"/>
      <c r="BI218" s="1578"/>
      <c r="BJ218" s="1578"/>
      <c r="BK218" s="1578"/>
      <c r="BL218" s="1578"/>
      <c r="BM218" s="1578"/>
      <c r="BN218" s="1578"/>
      <c r="BO218" s="1578"/>
      <c r="BP218" s="1578"/>
      <c r="BQ218" s="1578"/>
      <c r="BR218" s="1578"/>
      <c r="BS218" s="1578"/>
      <c r="BT218" s="1578"/>
      <c r="BU218" s="1578"/>
      <c r="BV218" s="1578"/>
      <c r="BW218" s="1578"/>
      <c r="BX218" s="1578"/>
      <c r="BY218" s="1578"/>
      <c r="BZ218" s="1578"/>
      <c r="CA218" s="1578"/>
      <c r="CB218" s="1578"/>
      <c r="CC218" s="1578"/>
      <c r="CD218" s="1578"/>
      <c r="CE218" s="1578"/>
      <c r="CF218" s="1578"/>
      <c r="CG218" s="1578"/>
      <c r="CH218" s="1578"/>
      <c r="CI218" s="1578"/>
      <c r="CJ218" s="1578"/>
      <c r="CK218" s="1578"/>
      <c r="CL218" s="1578"/>
      <c r="CM218" s="1578"/>
      <c r="CN218" s="1578"/>
      <c r="CO218" s="1578"/>
      <c r="CP218" s="1578"/>
      <c r="CQ218" s="1578"/>
      <c r="CR218" s="1578"/>
      <c r="CS218" s="1578"/>
      <c r="CT218" s="1578"/>
      <c r="CU218" s="1578"/>
      <c r="CV218" s="1578"/>
      <c r="CW218" s="1578"/>
      <c r="CX218" s="1578"/>
      <c r="CY218" s="1578"/>
      <c r="CZ218" s="1578"/>
    </row>
    <row r="219" spans="1:407">
      <c r="A219" s="1466"/>
      <c r="B219" s="1576"/>
      <c r="C219" s="1576"/>
      <c r="D219" s="1576"/>
      <c r="E219" s="1578"/>
      <c r="F219" s="1578"/>
      <c r="G219" s="1578"/>
      <c r="H219" s="1578"/>
      <c r="I219" s="1578"/>
      <c r="J219" s="1578"/>
      <c r="K219" s="1578"/>
      <c r="L219" s="1578"/>
      <c r="M219" s="1578"/>
      <c r="N219" s="1578"/>
      <c r="O219" s="1578"/>
      <c r="P219" s="1578"/>
      <c r="Q219" s="1578"/>
      <c r="R219" s="1578"/>
      <c r="S219" s="1578"/>
      <c r="T219" s="1578"/>
      <c r="U219" s="1578"/>
      <c r="V219" s="1578"/>
      <c r="W219" s="1578"/>
      <c r="X219" s="1578"/>
      <c r="Y219" s="1578"/>
      <c r="Z219" s="1578"/>
      <c r="AA219" s="1578"/>
      <c r="AB219" s="1578"/>
      <c r="AC219" s="1578"/>
      <c r="AD219" s="1578"/>
      <c r="AE219" s="1578"/>
      <c r="AF219" s="1578"/>
      <c r="AG219" s="1578"/>
      <c r="AH219" s="1578"/>
      <c r="AI219" s="1578"/>
      <c r="AJ219" s="1578"/>
      <c r="AK219" s="1578"/>
      <c r="AL219" s="1578"/>
      <c r="AM219" s="1578"/>
      <c r="AN219" s="1578"/>
      <c r="AO219" s="1578"/>
      <c r="AP219" s="1578"/>
      <c r="AQ219" s="1578"/>
      <c r="AR219" s="1578"/>
      <c r="AS219" s="1578"/>
      <c r="AT219" s="1578"/>
      <c r="AU219" s="1578"/>
      <c r="AV219" s="1578"/>
      <c r="AW219" s="1578"/>
      <c r="AX219" s="1578"/>
      <c r="AY219" s="1578"/>
      <c r="AZ219" s="1578"/>
      <c r="BA219" s="1578"/>
      <c r="BB219" s="1578"/>
      <c r="BC219" s="1578"/>
      <c r="BD219" s="1578"/>
      <c r="BE219" s="1578"/>
      <c r="BF219" s="1578"/>
      <c r="BG219" s="1578"/>
      <c r="BH219" s="1578"/>
      <c r="BI219" s="1578"/>
      <c r="BJ219" s="1578"/>
      <c r="BK219" s="1578"/>
      <c r="BL219" s="1578"/>
      <c r="BM219" s="1578"/>
      <c r="BN219" s="1578"/>
      <c r="BO219" s="1578"/>
      <c r="BP219" s="1578"/>
      <c r="BQ219" s="1578"/>
      <c r="BR219" s="1578"/>
      <c r="BS219" s="1578"/>
      <c r="BT219" s="1578"/>
      <c r="BU219" s="1578"/>
      <c r="BV219" s="1578"/>
      <c r="BW219" s="1578"/>
      <c r="BX219" s="1578"/>
      <c r="BY219" s="1578"/>
      <c r="BZ219" s="1578"/>
      <c r="CA219" s="1578"/>
      <c r="CB219" s="1578"/>
      <c r="CC219" s="1578"/>
      <c r="CD219" s="1578"/>
      <c r="CE219" s="1578"/>
      <c r="CF219" s="1578"/>
      <c r="CG219" s="1578"/>
      <c r="CH219" s="1578"/>
      <c r="CI219" s="1578"/>
      <c r="CJ219" s="1578"/>
      <c r="CK219" s="1578"/>
      <c r="CL219" s="1578"/>
      <c r="CM219" s="1578"/>
      <c r="CN219" s="1578"/>
      <c r="CO219" s="1578"/>
      <c r="CP219" s="1578"/>
      <c r="CQ219" s="1578"/>
      <c r="CR219" s="1578"/>
      <c r="CS219" s="1578"/>
      <c r="CT219" s="1578"/>
      <c r="CU219" s="1578"/>
      <c r="CV219" s="1578"/>
      <c r="CW219" s="1578"/>
      <c r="CX219" s="1578"/>
      <c r="CY219" s="1578"/>
      <c r="CZ219" s="1578"/>
    </row>
    <row r="220" spans="1:407">
      <c r="A220" s="1466"/>
      <c r="B220" s="1576"/>
      <c r="C220" s="1576"/>
      <c r="D220" s="1576"/>
      <c r="E220" s="1578"/>
      <c r="F220" s="1578"/>
      <c r="G220" s="1578"/>
      <c r="H220" s="1578"/>
      <c r="I220" s="1578"/>
      <c r="J220" s="1578"/>
      <c r="K220" s="1578"/>
      <c r="L220" s="1578"/>
      <c r="M220" s="1578"/>
      <c r="N220" s="1578"/>
      <c r="O220" s="1578"/>
      <c r="P220" s="1578"/>
      <c r="Q220" s="1578"/>
      <c r="R220" s="1578"/>
      <c r="S220" s="1578"/>
      <c r="T220" s="1578"/>
      <c r="U220" s="1578"/>
      <c r="V220" s="1578"/>
      <c r="W220" s="1578"/>
      <c r="X220" s="1578"/>
      <c r="Y220" s="1578"/>
      <c r="Z220" s="1578"/>
      <c r="AA220" s="1578"/>
      <c r="AB220" s="1578"/>
      <c r="AC220" s="1578"/>
      <c r="AD220" s="1578"/>
      <c r="AE220" s="1578"/>
      <c r="AF220" s="1578"/>
      <c r="AG220" s="1578"/>
      <c r="AH220" s="1578"/>
      <c r="AI220" s="1578"/>
      <c r="AJ220" s="1578"/>
      <c r="AK220" s="1578"/>
      <c r="AL220" s="1578"/>
      <c r="AM220" s="1578"/>
      <c r="AN220" s="1578"/>
      <c r="AO220" s="1578"/>
      <c r="AP220" s="1578"/>
      <c r="AQ220" s="1578"/>
      <c r="AR220" s="1578"/>
      <c r="AS220" s="1578"/>
      <c r="AT220" s="1578"/>
      <c r="AU220" s="1578"/>
      <c r="AV220" s="1578"/>
      <c r="AW220" s="1578"/>
      <c r="AX220" s="1578"/>
      <c r="AY220" s="1578"/>
      <c r="AZ220" s="1578"/>
      <c r="BA220" s="1578"/>
      <c r="BB220" s="1578"/>
      <c r="BC220" s="1578"/>
      <c r="BD220" s="1578"/>
      <c r="BE220" s="1578"/>
      <c r="BF220" s="1578"/>
      <c r="BG220" s="1578"/>
      <c r="BH220" s="1578"/>
      <c r="BI220" s="1578"/>
      <c r="BJ220" s="1578"/>
      <c r="BK220" s="1578"/>
      <c r="BL220" s="1578"/>
      <c r="BM220" s="1578"/>
      <c r="BN220" s="1578"/>
      <c r="BO220" s="1578"/>
      <c r="BP220" s="1578"/>
      <c r="BQ220" s="1578"/>
      <c r="BR220" s="1578"/>
      <c r="BS220" s="1578"/>
      <c r="BT220" s="1578"/>
      <c r="BU220" s="1578"/>
      <c r="BV220" s="1578"/>
      <c r="BW220" s="1578"/>
      <c r="BX220" s="1578"/>
      <c r="BY220" s="1578"/>
      <c r="BZ220" s="1578"/>
      <c r="CA220" s="1578"/>
      <c r="CB220" s="1578"/>
      <c r="CC220" s="1578"/>
      <c r="CD220" s="1578"/>
      <c r="CE220" s="1578"/>
      <c r="CF220" s="1578"/>
      <c r="CG220" s="1578"/>
      <c r="CH220" s="1578"/>
      <c r="CI220" s="1578"/>
      <c r="CJ220" s="1578"/>
      <c r="CK220" s="1578"/>
      <c r="CL220" s="1578"/>
      <c r="CM220" s="1578"/>
      <c r="CN220" s="1578"/>
      <c r="CO220" s="1578"/>
      <c r="CP220" s="1578"/>
      <c r="CQ220" s="1578"/>
      <c r="CR220" s="1578"/>
      <c r="CS220" s="1578"/>
      <c r="CT220" s="1578"/>
      <c r="CU220" s="1578"/>
      <c r="CV220" s="1578"/>
      <c r="CW220" s="1578"/>
      <c r="CX220" s="1578"/>
      <c r="CY220" s="1578"/>
      <c r="CZ220" s="1578"/>
    </row>
    <row r="221" spans="1:407">
      <c r="A221" s="1466"/>
      <c r="B221" s="1576"/>
      <c r="C221" s="1576"/>
      <c r="D221" s="1576"/>
      <c r="E221" s="1578"/>
      <c r="F221" s="1578"/>
      <c r="G221" s="1578"/>
      <c r="H221" s="1578"/>
      <c r="I221" s="1578"/>
      <c r="J221" s="1578"/>
      <c r="K221" s="1578"/>
      <c r="L221" s="1578"/>
      <c r="M221" s="1578"/>
      <c r="N221" s="1578"/>
      <c r="O221" s="1578"/>
      <c r="P221" s="1578"/>
      <c r="Q221" s="1578"/>
      <c r="R221" s="1578"/>
      <c r="S221" s="1578"/>
      <c r="T221" s="1578"/>
      <c r="U221" s="1578"/>
      <c r="V221" s="1578"/>
      <c r="W221" s="1578"/>
      <c r="X221" s="1578"/>
      <c r="Y221" s="1578"/>
      <c r="Z221" s="1578"/>
      <c r="AA221" s="1578"/>
      <c r="AB221" s="1578"/>
      <c r="AC221" s="1578"/>
      <c r="AD221" s="1578"/>
      <c r="AE221" s="1578"/>
      <c r="AF221" s="1578"/>
      <c r="AG221" s="1578"/>
      <c r="AH221" s="1578"/>
      <c r="AI221" s="1578"/>
      <c r="AJ221" s="1578"/>
      <c r="AK221" s="1578"/>
      <c r="AL221" s="1578"/>
      <c r="AM221" s="1578"/>
      <c r="AN221" s="1578"/>
      <c r="AO221" s="1578"/>
      <c r="AP221" s="1578"/>
      <c r="AQ221" s="1578"/>
      <c r="AR221" s="1578"/>
      <c r="AS221" s="1578"/>
      <c r="AT221" s="1578"/>
      <c r="AU221" s="1578"/>
      <c r="AV221" s="1578"/>
      <c r="AW221" s="1578"/>
      <c r="AX221" s="1578"/>
      <c r="AY221" s="1578"/>
      <c r="AZ221" s="1578"/>
      <c r="BA221" s="1578"/>
      <c r="BB221" s="1578"/>
      <c r="BC221" s="1578"/>
      <c r="BD221" s="1578"/>
      <c r="BE221" s="1578"/>
      <c r="BF221" s="1578"/>
      <c r="BG221" s="1578"/>
      <c r="BH221" s="1578"/>
      <c r="BI221" s="1578"/>
      <c r="BJ221" s="1578"/>
      <c r="BK221" s="1578"/>
      <c r="BL221" s="1578"/>
      <c r="BM221" s="1578"/>
      <c r="BN221" s="1578"/>
      <c r="BO221" s="1578"/>
      <c r="BP221" s="1578"/>
      <c r="BQ221" s="1578"/>
      <c r="BR221" s="1578"/>
      <c r="BS221" s="1578"/>
      <c r="BT221" s="1578"/>
      <c r="BU221" s="1578"/>
      <c r="BV221" s="1578"/>
      <c r="BW221" s="1578"/>
      <c r="BX221" s="1578"/>
      <c r="BY221" s="1578"/>
      <c r="BZ221" s="1578"/>
      <c r="CA221" s="1578"/>
      <c r="CB221" s="1578"/>
      <c r="CC221" s="1578"/>
      <c r="CD221" s="1578"/>
      <c r="CE221" s="1578"/>
      <c r="CF221" s="1578"/>
      <c r="CG221" s="1578"/>
      <c r="CH221" s="1578"/>
      <c r="CI221" s="1578"/>
      <c r="CJ221" s="1578"/>
      <c r="CK221" s="1578"/>
      <c r="CL221" s="1578"/>
      <c r="CM221" s="1578"/>
      <c r="CN221" s="1578"/>
      <c r="CO221" s="1578"/>
      <c r="CP221" s="1578"/>
      <c r="CQ221" s="1578"/>
      <c r="CR221" s="1578"/>
      <c r="CS221" s="1578"/>
      <c r="CT221" s="1578"/>
      <c r="CU221" s="1578"/>
      <c r="CV221" s="1578"/>
      <c r="CW221" s="1578"/>
      <c r="CX221" s="1578"/>
      <c r="CY221" s="1578"/>
      <c r="CZ221" s="1578"/>
    </row>
    <row r="222" spans="1:407">
      <c r="A222" s="1466"/>
      <c r="B222" s="1576"/>
      <c r="C222" s="1576"/>
      <c r="D222" s="1576"/>
      <c r="E222" s="1578"/>
      <c r="F222" s="1578"/>
      <c r="G222" s="1578"/>
      <c r="H222" s="1578"/>
      <c r="I222" s="1578"/>
      <c r="J222" s="1578"/>
      <c r="K222" s="1578"/>
      <c r="L222" s="1578"/>
      <c r="M222" s="1578"/>
      <c r="N222" s="1578"/>
      <c r="O222" s="1578"/>
      <c r="P222" s="1578"/>
      <c r="Q222" s="1578"/>
      <c r="R222" s="1578"/>
      <c r="S222" s="1578"/>
      <c r="T222" s="1578"/>
      <c r="U222" s="1578"/>
      <c r="V222" s="1578"/>
      <c r="W222" s="1578"/>
      <c r="X222" s="1578"/>
      <c r="Y222" s="1578"/>
      <c r="Z222" s="1578"/>
      <c r="AA222" s="1578"/>
      <c r="AB222" s="1578"/>
      <c r="AC222" s="1578"/>
      <c r="AD222" s="1578"/>
      <c r="AE222" s="1578"/>
      <c r="AF222" s="1578"/>
      <c r="AG222" s="1578"/>
      <c r="AH222" s="1578"/>
      <c r="AI222" s="1578"/>
      <c r="AJ222" s="1578"/>
      <c r="AK222" s="1578"/>
      <c r="AL222" s="1578"/>
      <c r="AM222" s="1578"/>
      <c r="AN222" s="1578"/>
      <c r="AO222" s="1578"/>
      <c r="AP222" s="1578"/>
      <c r="AQ222" s="1578"/>
      <c r="AR222" s="1578"/>
      <c r="AS222" s="1578"/>
      <c r="AT222" s="1578"/>
      <c r="AU222" s="1578"/>
      <c r="AV222" s="1578"/>
      <c r="AW222" s="1578"/>
      <c r="AX222" s="1578"/>
      <c r="AY222" s="1578"/>
      <c r="AZ222" s="1578"/>
      <c r="BA222" s="1578"/>
      <c r="BB222" s="1578"/>
      <c r="BC222" s="1578"/>
      <c r="BD222" s="1578"/>
      <c r="BE222" s="1578"/>
      <c r="BF222" s="1578"/>
      <c r="BG222" s="1578"/>
      <c r="BH222" s="1578"/>
      <c r="BI222" s="1578"/>
      <c r="BJ222" s="1578"/>
      <c r="BK222" s="1578"/>
      <c r="BL222" s="1578"/>
      <c r="BM222" s="1578"/>
      <c r="BN222" s="1578"/>
      <c r="BO222" s="1578"/>
      <c r="BP222" s="1578"/>
      <c r="BQ222" s="1578"/>
      <c r="BR222" s="1578"/>
      <c r="BS222" s="1578"/>
      <c r="BT222" s="1578"/>
      <c r="BU222" s="1578"/>
      <c r="BV222" s="1578"/>
      <c r="BW222" s="1578"/>
      <c r="BX222" s="1578"/>
      <c r="BY222" s="1578"/>
      <c r="BZ222" s="1578"/>
      <c r="CA222" s="1578"/>
      <c r="CB222" s="1578"/>
      <c r="CC222" s="1578"/>
      <c r="CD222" s="1578"/>
      <c r="CE222" s="1578"/>
      <c r="CF222" s="1578"/>
      <c r="CG222" s="1578"/>
      <c r="CH222" s="1578"/>
      <c r="CI222" s="1578"/>
      <c r="CJ222" s="1578"/>
      <c r="CK222" s="1578"/>
      <c r="CL222" s="1578"/>
      <c r="CM222" s="1578"/>
      <c r="CN222" s="1578"/>
      <c r="CO222" s="1578"/>
      <c r="CP222" s="1578"/>
      <c r="CQ222" s="1578"/>
      <c r="CR222" s="1578"/>
      <c r="CS222" s="1578"/>
      <c r="CT222" s="1578"/>
      <c r="CU222" s="1578"/>
      <c r="CV222" s="1578"/>
      <c r="CW222" s="1578"/>
      <c r="CX222" s="1578"/>
      <c r="CY222" s="1578"/>
      <c r="CZ222" s="1578"/>
    </row>
    <row r="223" spans="1:407">
      <c r="A223" s="1466"/>
      <c r="B223" s="1576"/>
      <c r="C223" s="1576"/>
      <c r="D223" s="1576"/>
      <c r="E223" s="1578"/>
      <c r="F223" s="1578"/>
      <c r="G223" s="1578"/>
      <c r="H223" s="1578"/>
      <c r="I223" s="1578"/>
      <c r="J223" s="1578"/>
      <c r="K223" s="1578"/>
      <c r="L223" s="1578"/>
      <c r="M223" s="1578"/>
      <c r="N223" s="1578"/>
      <c r="O223" s="1578"/>
      <c r="P223" s="1578"/>
      <c r="Q223" s="1578"/>
      <c r="R223" s="1578"/>
      <c r="S223" s="1578"/>
      <c r="T223" s="1578"/>
      <c r="U223" s="1578"/>
      <c r="V223" s="1578"/>
      <c r="W223" s="1578"/>
      <c r="X223" s="1578"/>
      <c r="Y223" s="1578"/>
      <c r="Z223" s="1578"/>
      <c r="AA223" s="1578"/>
      <c r="AB223" s="1578"/>
      <c r="AC223" s="1578"/>
      <c r="AD223" s="1578"/>
      <c r="AE223" s="1578"/>
      <c r="AF223" s="1578"/>
      <c r="AG223" s="1578"/>
      <c r="AH223" s="1578"/>
      <c r="AI223" s="1578"/>
      <c r="AJ223" s="1578"/>
      <c r="AK223" s="1578"/>
      <c r="AL223" s="1578"/>
      <c r="AM223" s="1578"/>
      <c r="AN223" s="1578"/>
      <c r="AO223" s="1578"/>
      <c r="AP223" s="1578"/>
      <c r="AQ223" s="1578"/>
      <c r="AR223" s="1578"/>
      <c r="AS223" s="1578"/>
      <c r="AT223" s="1578"/>
      <c r="AU223" s="1578"/>
      <c r="AV223" s="1578"/>
      <c r="AW223" s="1578"/>
      <c r="AX223" s="1578"/>
      <c r="AY223" s="1578"/>
      <c r="AZ223" s="1578"/>
      <c r="BA223" s="1578"/>
      <c r="BB223" s="1578"/>
      <c r="BC223" s="1578"/>
      <c r="BD223" s="1578"/>
      <c r="BE223" s="1578"/>
      <c r="BF223" s="1578"/>
      <c r="BG223" s="1578"/>
      <c r="BH223" s="1578"/>
      <c r="BI223" s="1578"/>
      <c r="BJ223" s="1578"/>
      <c r="BK223" s="1578"/>
      <c r="BL223" s="1578"/>
      <c r="BM223" s="1578"/>
      <c r="BN223" s="1578"/>
      <c r="BO223" s="1578"/>
      <c r="BP223" s="1578"/>
      <c r="BQ223" s="1578"/>
      <c r="BR223" s="1578"/>
      <c r="BS223" s="1578"/>
      <c r="BT223" s="1578"/>
      <c r="BU223" s="1578"/>
      <c r="BV223" s="1578"/>
      <c r="BW223" s="1578"/>
      <c r="BX223" s="1578"/>
      <c r="BY223" s="1578"/>
      <c r="BZ223" s="1578"/>
      <c r="CA223" s="1578"/>
      <c r="CB223" s="1578"/>
      <c r="CC223" s="1578"/>
      <c r="CD223" s="1578"/>
      <c r="CE223" s="1578"/>
      <c r="CF223" s="1578"/>
      <c r="CG223" s="1578"/>
      <c r="CH223" s="1578"/>
      <c r="CI223" s="1578"/>
      <c r="CJ223" s="1578"/>
      <c r="CK223" s="1578"/>
      <c r="CL223" s="1578"/>
      <c r="CM223" s="1578"/>
      <c r="CN223" s="1578"/>
      <c r="CO223" s="1578"/>
      <c r="CP223" s="1578"/>
      <c r="CQ223" s="1578"/>
      <c r="CR223" s="1578"/>
      <c r="CS223" s="1578"/>
      <c r="CT223" s="1578"/>
      <c r="CU223" s="1578"/>
      <c r="CV223" s="1578"/>
      <c r="CW223" s="1578"/>
      <c r="CX223" s="1578"/>
      <c r="CY223" s="1578"/>
      <c r="CZ223" s="1578"/>
    </row>
    <row r="224" spans="1:407">
      <c r="A224" s="1466"/>
      <c r="B224" s="1576"/>
      <c r="C224" s="1576"/>
      <c r="D224" s="1576"/>
      <c r="E224" s="1578"/>
      <c r="F224" s="1578"/>
      <c r="G224" s="1578"/>
      <c r="H224" s="1578"/>
      <c r="I224" s="1578"/>
      <c r="J224" s="1578"/>
      <c r="K224" s="1578"/>
      <c r="L224" s="1578"/>
      <c r="M224" s="1578"/>
      <c r="N224" s="1578"/>
      <c r="O224" s="1578"/>
      <c r="P224" s="1578"/>
      <c r="Q224" s="1578"/>
      <c r="R224" s="1578"/>
      <c r="S224" s="1578"/>
      <c r="T224" s="1578"/>
      <c r="U224" s="1578"/>
      <c r="V224" s="1578"/>
      <c r="W224" s="1578"/>
      <c r="X224" s="1578"/>
      <c r="Y224" s="1578"/>
      <c r="Z224" s="1578"/>
      <c r="AA224" s="1578"/>
      <c r="AB224" s="1578"/>
      <c r="AC224" s="1578"/>
      <c r="AD224" s="1578"/>
      <c r="AE224" s="1578"/>
      <c r="AF224" s="1578"/>
      <c r="AG224" s="1578"/>
      <c r="AH224" s="1578"/>
      <c r="AI224" s="1578"/>
      <c r="AJ224" s="1578"/>
      <c r="AK224" s="1578"/>
      <c r="AL224" s="1578"/>
      <c r="AM224" s="1578"/>
      <c r="AN224" s="1578"/>
      <c r="AO224" s="1578"/>
      <c r="AP224" s="1578"/>
      <c r="AQ224" s="1578"/>
      <c r="AR224" s="1578"/>
      <c r="AS224" s="1578"/>
      <c r="AT224" s="1578"/>
      <c r="AU224" s="1578"/>
      <c r="AV224" s="1578"/>
      <c r="AW224" s="1578"/>
      <c r="AX224" s="1578"/>
      <c r="AY224" s="1578"/>
      <c r="AZ224" s="1578"/>
      <c r="BA224" s="1578"/>
      <c r="BB224" s="1578"/>
      <c r="BC224" s="1578"/>
      <c r="BD224" s="1578"/>
      <c r="BE224" s="1578"/>
      <c r="BF224" s="1578"/>
      <c r="BG224" s="1578"/>
      <c r="BH224" s="1578"/>
      <c r="BI224" s="1578"/>
      <c r="BJ224" s="1578"/>
      <c r="BK224" s="1578"/>
      <c r="BL224" s="1578"/>
      <c r="BM224" s="1578"/>
      <c r="BN224" s="1578"/>
      <c r="BO224" s="1578"/>
      <c r="BP224" s="1578"/>
      <c r="BQ224" s="1578"/>
      <c r="BR224" s="1578"/>
      <c r="BS224" s="1578"/>
      <c r="BT224" s="1578"/>
      <c r="BU224" s="1578"/>
      <c r="BV224" s="1578"/>
      <c r="BW224" s="1578"/>
      <c r="BX224" s="1578"/>
      <c r="BY224" s="1578"/>
      <c r="BZ224" s="1578"/>
      <c r="CA224" s="1578"/>
      <c r="CB224" s="1578"/>
      <c r="CC224" s="1578"/>
      <c r="CD224" s="1578"/>
      <c r="CE224" s="1578"/>
      <c r="CF224" s="1578"/>
      <c r="CG224" s="1578"/>
      <c r="CH224" s="1578"/>
      <c r="CI224" s="1578"/>
      <c r="CJ224" s="1578"/>
      <c r="CK224" s="1578"/>
      <c r="CL224" s="1578"/>
      <c r="CM224" s="1578"/>
      <c r="CN224" s="1578"/>
      <c r="CO224" s="1578"/>
      <c r="CP224" s="1578"/>
      <c r="CQ224" s="1578"/>
      <c r="CR224" s="1578"/>
      <c r="CS224" s="1578"/>
      <c r="CT224" s="1578"/>
      <c r="CU224" s="1578"/>
      <c r="CV224" s="1578"/>
      <c r="CW224" s="1578"/>
      <c r="CX224" s="1578"/>
      <c r="CY224" s="1578"/>
      <c r="CZ224" s="1578"/>
    </row>
    <row r="225" spans="1:104">
      <c r="A225" s="1466"/>
      <c r="B225" s="1576"/>
      <c r="C225" s="1576"/>
      <c r="D225" s="1576"/>
      <c r="E225" s="1578"/>
      <c r="F225" s="1578"/>
      <c r="G225" s="1578"/>
      <c r="H225" s="1578"/>
      <c r="I225" s="1578"/>
      <c r="J225" s="1578"/>
      <c r="K225" s="1578"/>
      <c r="L225" s="1578"/>
      <c r="M225" s="1578"/>
      <c r="N225" s="1578"/>
      <c r="O225" s="1578"/>
      <c r="P225" s="1578"/>
      <c r="Q225" s="1578"/>
      <c r="R225" s="1578"/>
      <c r="S225" s="1578"/>
      <c r="T225" s="1578"/>
      <c r="U225" s="1578"/>
      <c r="V225" s="1578"/>
      <c r="W225" s="1578"/>
      <c r="X225" s="1578"/>
      <c r="Y225" s="1578"/>
      <c r="Z225" s="1578"/>
      <c r="AA225" s="1578"/>
      <c r="AB225" s="1578"/>
      <c r="AC225" s="1578"/>
      <c r="AD225" s="1578"/>
      <c r="AE225" s="1578"/>
      <c r="AF225" s="1578"/>
      <c r="AG225" s="1578"/>
      <c r="AH225" s="1578"/>
      <c r="AI225" s="1578"/>
      <c r="AJ225" s="1578"/>
      <c r="AK225" s="1578"/>
      <c r="AL225" s="1578"/>
      <c r="AM225" s="1578"/>
      <c r="AN225" s="1578"/>
      <c r="AO225" s="1578"/>
      <c r="AP225" s="1578"/>
      <c r="AQ225" s="1578"/>
      <c r="AR225" s="1578"/>
      <c r="AS225" s="1578"/>
      <c r="AT225" s="1578"/>
      <c r="AU225" s="1578"/>
      <c r="AV225" s="1578"/>
      <c r="AW225" s="1578"/>
      <c r="AX225" s="1578"/>
      <c r="AY225" s="1578"/>
      <c r="AZ225" s="1578"/>
      <c r="BA225" s="1578"/>
      <c r="BB225" s="1578"/>
      <c r="BC225" s="1578"/>
      <c r="BD225" s="1578"/>
      <c r="BE225" s="1578"/>
      <c r="BF225" s="1578"/>
      <c r="BG225" s="1578"/>
      <c r="BH225" s="1578"/>
      <c r="BI225" s="1578"/>
      <c r="BJ225" s="1578"/>
      <c r="BK225" s="1578"/>
      <c r="BL225" s="1578"/>
      <c r="BM225" s="1578"/>
      <c r="BN225" s="1578"/>
      <c r="BO225" s="1578"/>
      <c r="BP225" s="1578"/>
      <c r="BQ225" s="1578"/>
      <c r="BR225" s="1578"/>
      <c r="BS225" s="1578"/>
      <c r="BT225" s="1578"/>
      <c r="BU225" s="1578"/>
      <c r="BV225" s="1578"/>
      <c r="BW225" s="1578"/>
      <c r="BX225" s="1578"/>
      <c r="BY225" s="1578"/>
      <c r="BZ225" s="1578"/>
      <c r="CA225" s="1578"/>
      <c r="CB225" s="1578"/>
      <c r="CC225" s="1578"/>
      <c r="CD225" s="1578"/>
      <c r="CE225" s="1578"/>
      <c r="CF225" s="1578"/>
      <c r="CG225" s="1578"/>
      <c r="CH225" s="1578"/>
      <c r="CI225" s="1578"/>
      <c r="CJ225" s="1578"/>
      <c r="CK225" s="1578"/>
      <c r="CL225" s="1578"/>
      <c r="CM225" s="1578"/>
      <c r="CN225" s="1578"/>
      <c r="CO225" s="1578"/>
      <c r="CP225" s="1578"/>
      <c r="CQ225" s="1578"/>
      <c r="CR225" s="1578"/>
      <c r="CS225" s="1578"/>
      <c r="CT225" s="1578"/>
      <c r="CU225" s="1578"/>
      <c r="CV225" s="1578"/>
      <c r="CW225" s="1578"/>
      <c r="CX225" s="1578"/>
      <c r="CY225" s="1578"/>
      <c r="CZ225" s="1578"/>
    </row>
    <row r="226" spans="1:104">
      <c r="A226" s="1466"/>
      <c r="B226" s="1576"/>
      <c r="C226" s="1576"/>
      <c r="D226" s="1576"/>
      <c r="E226" s="1578"/>
      <c r="F226" s="1578"/>
      <c r="G226" s="1578"/>
      <c r="H226" s="1578"/>
      <c r="I226" s="1578"/>
      <c r="J226" s="1578"/>
      <c r="K226" s="1578"/>
      <c r="L226" s="1578"/>
      <c r="M226" s="1578"/>
      <c r="N226" s="1578"/>
      <c r="O226" s="1578"/>
      <c r="P226" s="1578"/>
      <c r="Q226" s="1578"/>
      <c r="R226" s="1578"/>
      <c r="S226" s="1578"/>
      <c r="T226" s="1578"/>
      <c r="U226" s="1578"/>
      <c r="V226" s="1578"/>
      <c r="W226" s="1578"/>
      <c r="X226" s="1578"/>
      <c r="Y226" s="1578"/>
      <c r="Z226" s="1578"/>
      <c r="AA226" s="1578"/>
      <c r="AB226" s="1578"/>
      <c r="AC226" s="1578"/>
      <c r="AD226" s="1578"/>
      <c r="AE226" s="1578"/>
      <c r="AF226" s="1578"/>
      <c r="AG226" s="1578"/>
      <c r="AH226" s="1578"/>
      <c r="AI226" s="1578"/>
      <c r="AJ226" s="1578"/>
      <c r="AK226" s="1578"/>
      <c r="AL226" s="1578"/>
      <c r="AM226" s="1578"/>
      <c r="AN226" s="1578"/>
      <c r="AO226" s="1578"/>
      <c r="AP226" s="1578"/>
      <c r="AQ226" s="1578"/>
      <c r="AR226" s="1578"/>
      <c r="AS226" s="1578"/>
      <c r="AT226" s="1578"/>
      <c r="AU226" s="1578"/>
      <c r="AV226" s="1578"/>
      <c r="AW226" s="1578"/>
      <c r="AX226" s="1578"/>
      <c r="AY226" s="1578"/>
      <c r="AZ226" s="1578"/>
      <c r="BA226" s="1578"/>
      <c r="BB226" s="1578"/>
      <c r="BC226" s="1578"/>
      <c r="BD226" s="1578"/>
      <c r="BE226" s="1578"/>
      <c r="BF226" s="1578"/>
      <c r="BG226" s="1578"/>
      <c r="BH226" s="1578"/>
      <c r="BI226" s="1578"/>
      <c r="BJ226" s="1578"/>
      <c r="BK226" s="1578"/>
      <c r="BL226" s="1578"/>
      <c r="BM226" s="1578"/>
      <c r="BN226" s="1578"/>
      <c r="BO226" s="1578"/>
      <c r="BP226" s="1578"/>
      <c r="BQ226" s="1578"/>
      <c r="BR226" s="1578"/>
      <c r="BS226" s="1578"/>
      <c r="BT226" s="1578"/>
      <c r="BU226" s="1578"/>
      <c r="BV226" s="1578"/>
      <c r="BW226" s="1578"/>
      <c r="BX226" s="1578"/>
      <c r="BY226" s="1578"/>
      <c r="BZ226" s="1578"/>
      <c r="CA226" s="1578"/>
      <c r="CB226" s="1578"/>
      <c r="CC226" s="1578"/>
      <c r="CD226" s="1578"/>
      <c r="CE226" s="1578"/>
      <c r="CF226" s="1578"/>
      <c r="CG226" s="1578"/>
      <c r="CH226" s="1578"/>
      <c r="CI226" s="1578"/>
      <c r="CJ226" s="1578"/>
      <c r="CK226" s="1578"/>
      <c r="CL226" s="1578"/>
      <c r="CM226" s="1578"/>
      <c r="CN226" s="1578"/>
      <c r="CO226" s="1578"/>
      <c r="CP226" s="1578"/>
      <c r="CQ226" s="1578"/>
      <c r="CR226" s="1578"/>
      <c r="CS226" s="1578"/>
      <c r="CT226" s="1578"/>
      <c r="CU226" s="1578"/>
      <c r="CV226" s="1578"/>
      <c r="CW226" s="1578"/>
      <c r="CX226" s="1578"/>
      <c r="CY226" s="1578"/>
      <c r="CZ226" s="1578"/>
    </row>
    <row r="227" spans="1:104">
      <c r="A227" s="1466"/>
      <c r="B227" s="1576"/>
      <c r="C227" s="1576"/>
      <c r="D227" s="1576"/>
      <c r="E227" s="1578"/>
      <c r="F227" s="1578"/>
      <c r="G227" s="1578"/>
      <c r="H227" s="1578"/>
      <c r="I227" s="1578"/>
      <c r="J227" s="1578"/>
      <c r="K227" s="1578"/>
      <c r="L227" s="1578"/>
      <c r="M227" s="1578"/>
      <c r="N227" s="1578"/>
      <c r="O227" s="1578"/>
      <c r="P227" s="1578"/>
      <c r="Q227" s="1578"/>
      <c r="R227" s="1578"/>
      <c r="S227" s="1578"/>
      <c r="T227" s="1578"/>
      <c r="U227" s="1578"/>
      <c r="V227" s="1578"/>
      <c r="W227" s="1578"/>
      <c r="X227" s="1578"/>
      <c r="Y227" s="1578"/>
      <c r="Z227" s="1578"/>
      <c r="AA227" s="1578"/>
      <c r="AB227" s="1578"/>
      <c r="AC227" s="1578"/>
      <c r="AD227" s="1578"/>
      <c r="AE227" s="1578"/>
      <c r="AF227" s="1578"/>
      <c r="AG227" s="1578"/>
      <c r="AH227" s="1578"/>
      <c r="AI227" s="1578"/>
      <c r="AJ227" s="1578"/>
      <c r="AK227" s="1578"/>
      <c r="AL227" s="1578"/>
      <c r="AM227" s="1578"/>
      <c r="AN227" s="1578"/>
      <c r="AO227" s="1578"/>
      <c r="AP227" s="1578"/>
      <c r="AQ227" s="1578"/>
      <c r="AR227" s="1578"/>
      <c r="AS227" s="1578"/>
      <c r="AT227" s="1578"/>
      <c r="AU227" s="1578"/>
      <c r="AV227" s="1578"/>
      <c r="AW227" s="1578"/>
      <c r="AX227" s="1578"/>
      <c r="AY227" s="1578"/>
      <c r="AZ227" s="1578"/>
      <c r="BA227" s="1578"/>
      <c r="BB227" s="1578"/>
      <c r="BC227" s="1578"/>
      <c r="BD227" s="1578"/>
      <c r="BE227" s="1578"/>
      <c r="BF227" s="1578"/>
      <c r="BG227" s="1578"/>
      <c r="BH227" s="1578"/>
      <c r="BI227" s="1578"/>
      <c r="BJ227" s="1578"/>
      <c r="BK227" s="1578"/>
      <c r="BL227" s="1578"/>
      <c r="BM227" s="1578"/>
      <c r="BN227" s="1578"/>
      <c r="BO227" s="1578"/>
      <c r="BP227" s="1578"/>
      <c r="BQ227" s="1578"/>
      <c r="BR227" s="1578"/>
      <c r="BS227" s="1578"/>
      <c r="BT227" s="1578"/>
      <c r="BU227" s="1578"/>
      <c r="BV227" s="1578"/>
      <c r="BW227" s="1578"/>
      <c r="BX227" s="1578"/>
      <c r="BY227" s="1578"/>
      <c r="BZ227" s="1578"/>
      <c r="CA227" s="1578"/>
      <c r="CB227" s="1578"/>
      <c r="CC227" s="1578"/>
      <c r="CD227" s="1578"/>
      <c r="CE227" s="1578"/>
      <c r="CF227" s="1578"/>
      <c r="CG227" s="1578"/>
      <c r="CH227" s="1578"/>
      <c r="CI227" s="1578"/>
      <c r="CJ227" s="1578"/>
      <c r="CK227" s="1578"/>
      <c r="CL227" s="1578"/>
      <c r="CM227" s="1578"/>
      <c r="CN227" s="1578"/>
      <c r="CO227" s="1578"/>
      <c r="CP227" s="1578"/>
      <c r="CQ227" s="1578"/>
      <c r="CR227" s="1578"/>
      <c r="CS227" s="1578"/>
      <c r="CT227" s="1578"/>
      <c r="CU227" s="1578"/>
      <c r="CV227" s="1578"/>
      <c r="CW227" s="1578"/>
      <c r="CX227" s="1578"/>
      <c r="CY227" s="1578"/>
      <c r="CZ227" s="1578"/>
    </row>
    <row r="228" spans="1:104">
      <c r="A228" s="1466"/>
      <c r="B228" s="1576"/>
      <c r="C228" s="1576"/>
      <c r="D228" s="1576"/>
      <c r="E228" s="1578"/>
      <c r="F228" s="1578"/>
      <c r="G228" s="1578"/>
      <c r="H228" s="1578"/>
      <c r="I228" s="1578"/>
      <c r="J228" s="1578"/>
      <c r="K228" s="1578"/>
      <c r="L228" s="1578"/>
      <c r="M228" s="1578"/>
      <c r="N228" s="1578"/>
      <c r="O228" s="1578"/>
      <c r="P228" s="1578"/>
      <c r="Q228" s="1578"/>
      <c r="R228" s="1578"/>
      <c r="S228" s="1578"/>
      <c r="T228" s="1578"/>
      <c r="U228" s="1578"/>
      <c r="V228" s="1578"/>
      <c r="W228" s="1578"/>
      <c r="X228" s="1578"/>
      <c r="Y228" s="1578"/>
      <c r="Z228" s="1578"/>
      <c r="AA228" s="1578"/>
      <c r="AB228" s="1578"/>
      <c r="AC228" s="1578"/>
      <c r="AD228" s="1578"/>
      <c r="AE228" s="1578"/>
      <c r="AF228" s="1578"/>
      <c r="AG228" s="1578"/>
      <c r="AH228" s="1578"/>
      <c r="AI228" s="1578"/>
      <c r="AJ228" s="1578"/>
      <c r="AK228" s="1578"/>
      <c r="AL228" s="1578"/>
      <c r="AM228" s="1578"/>
      <c r="AN228" s="1578"/>
      <c r="AO228" s="1578"/>
      <c r="AP228" s="1578"/>
      <c r="AQ228" s="1578"/>
      <c r="AR228" s="1578"/>
      <c r="AS228" s="1578"/>
      <c r="AT228" s="1578"/>
      <c r="AU228" s="1578"/>
      <c r="AV228" s="1578"/>
      <c r="AW228" s="1578"/>
      <c r="AX228" s="1578"/>
      <c r="AY228" s="1578"/>
      <c r="AZ228" s="1578"/>
      <c r="BA228" s="1578"/>
      <c r="BB228" s="1578"/>
      <c r="BC228" s="1578"/>
      <c r="BD228" s="1578"/>
      <c r="BE228" s="1578"/>
      <c r="BF228" s="1578"/>
      <c r="BG228" s="1578"/>
      <c r="BH228" s="1578"/>
      <c r="BI228" s="1578"/>
      <c r="BJ228" s="1578"/>
      <c r="BK228" s="1578"/>
      <c r="BL228" s="1578"/>
      <c r="BM228" s="1578"/>
      <c r="BN228" s="1578"/>
      <c r="BO228" s="1578"/>
      <c r="BP228" s="1578"/>
      <c r="BQ228" s="1578"/>
      <c r="BR228" s="1578"/>
      <c r="BS228" s="1578"/>
      <c r="BT228" s="1578"/>
      <c r="BU228" s="1578"/>
      <c r="BV228" s="1578"/>
      <c r="BW228" s="1578"/>
      <c r="BX228" s="1578"/>
      <c r="BY228" s="1578"/>
      <c r="BZ228" s="1578"/>
      <c r="CA228" s="1578"/>
      <c r="CB228" s="1578"/>
      <c r="CC228" s="1578"/>
      <c r="CD228" s="1578"/>
      <c r="CE228" s="1578"/>
      <c r="CF228" s="1578"/>
      <c r="CG228" s="1578"/>
      <c r="CH228" s="1578"/>
      <c r="CI228" s="1578"/>
      <c r="CJ228" s="1578"/>
      <c r="CK228" s="1578"/>
      <c r="CL228" s="1578"/>
      <c r="CM228" s="1578"/>
      <c r="CN228" s="1578"/>
      <c r="CO228" s="1578"/>
      <c r="CP228" s="1578"/>
      <c r="CQ228" s="1578"/>
      <c r="CR228" s="1578"/>
      <c r="CS228" s="1578"/>
      <c r="CT228" s="1578"/>
      <c r="CU228" s="1578"/>
      <c r="CV228" s="1578"/>
      <c r="CW228" s="1578"/>
      <c r="CX228" s="1578"/>
      <c r="CY228" s="1578"/>
      <c r="CZ228" s="1578"/>
    </row>
    <row r="229" spans="1:104">
      <c r="A229" s="1466"/>
      <c r="B229" s="1576"/>
      <c r="C229" s="1576"/>
      <c r="D229" s="1576"/>
      <c r="E229" s="1578"/>
      <c r="F229" s="1578"/>
      <c r="G229" s="1578"/>
      <c r="H229" s="1578"/>
      <c r="I229" s="1578"/>
      <c r="J229" s="1578"/>
      <c r="K229" s="1578"/>
      <c r="L229" s="1578"/>
      <c r="M229" s="1578"/>
      <c r="N229" s="1578"/>
      <c r="O229" s="1578"/>
      <c r="P229" s="1578"/>
      <c r="Q229" s="1578"/>
      <c r="R229" s="1578"/>
      <c r="S229" s="1578"/>
      <c r="T229" s="1578"/>
      <c r="U229" s="1578"/>
      <c r="V229" s="1578"/>
      <c r="W229" s="1578"/>
      <c r="X229" s="1578"/>
      <c r="Y229" s="1578"/>
      <c r="Z229" s="1578"/>
      <c r="AA229" s="1578"/>
      <c r="AB229" s="1578"/>
      <c r="AC229" s="1578"/>
      <c r="AD229" s="1578"/>
      <c r="AE229" s="1578"/>
      <c r="AF229" s="1578"/>
      <c r="AG229" s="1578"/>
      <c r="AH229" s="1578"/>
      <c r="AI229" s="1578"/>
      <c r="AJ229" s="1578"/>
      <c r="AK229" s="1578"/>
      <c r="AL229" s="1578"/>
      <c r="AM229" s="1578"/>
      <c r="AN229" s="1578"/>
      <c r="AO229" s="1578"/>
      <c r="AP229" s="1578"/>
      <c r="AQ229" s="1578"/>
      <c r="AR229" s="1578"/>
      <c r="AS229" s="1578"/>
      <c r="AT229" s="1578"/>
      <c r="AU229" s="1578"/>
      <c r="AV229" s="1578"/>
      <c r="AW229" s="1578"/>
      <c r="AX229" s="1578"/>
      <c r="AY229" s="1578"/>
      <c r="AZ229" s="1578"/>
      <c r="BA229" s="1578"/>
      <c r="BB229" s="1578"/>
      <c r="BC229" s="1578"/>
      <c r="BD229" s="1578"/>
      <c r="BE229" s="1578"/>
      <c r="BF229" s="1578"/>
      <c r="BG229" s="1578"/>
      <c r="BH229" s="1578"/>
      <c r="BI229" s="1578"/>
      <c r="BJ229" s="1578"/>
      <c r="BK229" s="1578"/>
      <c r="BL229" s="1578"/>
      <c r="BM229" s="1578"/>
      <c r="BN229" s="1578"/>
      <c r="BO229" s="1578"/>
      <c r="BP229" s="1578"/>
      <c r="BQ229" s="1578"/>
      <c r="BR229" s="1578"/>
      <c r="BS229" s="1578"/>
      <c r="BT229" s="1578"/>
      <c r="BU229" s="1578"/>
      <c r="BV229" s="1578"/>
      <c r="BW229" s="1578"/>
      <c r="BX229" s="1578"/>
      <c r="BY229" s="1578"/>
      <c r="BZ229" s="1578"/>
      <c r="CA229" s="1578"/>
      <c r="CB229" s="1578"/>
      <c r="CC229" s="1578"/>
      <c r="CD229" s="1578"/>
      <c r="CE229" s="1578"/>
      <c r="CF229" s="1578"/>
      <c r="CG229" s="1578"/>
      <c r="CH229" s="1578"/>
      <c r="CI229" s="1578"/>
      <c r="CJ229" s="1578"/>
      <c r="CK229" s="1578"/>
      <c r="CL229" s="1578"/>
      <c r="CM229" s="1578"/>
      <c r="CN229" s="1578"/>
      <c r="CO229" s="1578"/>
      <c r="CP229" s="1578"/>
      <c r="CQ229" s="1578"/>
      <c r="CR229" s="1578"/>
      <c r="CS229" s="1578"/>
      <c r="CT229" s="1578"/>
      <c r="CU229" s="1578"/>
      <c r="CV229" s="1578"/>
      <c r="CW229" s="1578"/>
      <c r="CX229" s="1578"/>
      <c r="CY229" s="1578"/>
      <c r="CZ229" s="1578"/>
    </row>
    <row r="230" spans="1:104">
      <c r="A230" s="1466"/>
      <c r="B230" s="1576"/>
      <c r="C230" s="1576"/>
      <c r="D230" s="1576"/>
      <c r="E230" s="1578"/>
      <c r="F230" s="1578"/>
      <c r="G230" s="1578"/>
      <c r="H230" s="1578"/>
      <c r="I230" s="1578"/>
      <c r="J230" s="1578"/>
      <c r="K230" s="1578"/>
      <c r="L230" s="1578"/>
      <c r="M230" s="1578"/>
      <c r="N230" s="1578"/>
      <c r="O230" s="1578"/>
      <c r="P230" s="1578"/>
      <c r="Q230" s="1578"/>
      <c r="R230" s="1578"/>
      <c r="S230" s="1578"/>
      <c r="T230" s="1578"/>
      <c r="U230" s="1578"/>
      <c r="V230" s="1578"/>
      <c r="W230" s="1578"/>
      <c r="X230" s="1578"/>
      <c r="Y230" s="1578"/>
      <c r="Z230" s="1578"/>
      <c r="AA230" s="1578"/>
      <c r="AB230" s="1578"/>
      <c r="AC230" s="1578"/>
      <c r="AD230" s="1578"/>
      <c r="AE230" s="1578"/>
      <c r="AF230" s="1578"/>
      <c r="AG230" s="1578"/>
      <c r="AH230" s="1578"/>
      <c r="AI230" s="1578"/>
      <c r="AJ230" s="1578"/>
      <c r="AK230" s="1578"/>
      <c r="AL230" s="1578"/>
      <c r="AM230" s="1578"/>
      <c r="AN230" s="1578"/>
      <c r="AO230" s="1578"/>
      <c r="AP230" s="1578"/>
      <c r="AQ230" s="1578"/>
      <c r="AR230" s="1578"/>
      <c r="AS230" s="1578"/>
      <c r="AT230" s="1578"/>
      <c r="AU230" s="1578"/>
      <c r="AV230" s="1578"/>
      <c r="AW230" s="1578"/>
      <c r="AX230" s="1578"/>
      <c r="AY230" s="1578"/>
      <c r="AZ230" s="1578"/>
      <c r="BA230" s="1578"/>
      <c r="BB230" s="1578"/>
      <c r="BC230" s="1578"/>
      <c r="BD230" s="1578"/>
      <c r="BE230" s="1578"/>
      <c r="BF230" s="1578"/>
      <c r="BG230" s="1578"/>
      <c r="BH230" s="1578"/>
      <c r="BI230" s="1578"/>
      <c r="BJ230" s="1578"/>
      <c r="BK230" s="1578"/>
      <c r="BL230" s="1578"/>
      <c r="BM230" s="1578"/>
      <c r="BN230" s="1578"/>
      <c r="BO230" s="1578"/>
      <c r="BP230" s="1578"/>
      <c r="BQ230" s="1578"/>
      <c r="BR230" s="1578"/>
      <c r="BS230" s="1578"/>
      <c r="BT230" s="1578"/>
      <c r="BU230" s="1578"/>
      <c r="BV230" s="1578"/>
      <c r="BW230" s="1578"/>
      <c r="BX230" s="1578"/>
      <c r="BY230" s="1578"/>
      <c r="BZ230" s="1578"/>
      <c r="CA230" s="1578"/>
      <c r="CB230" s="1578"/>
      <c r="CC230" s="1578"/>
      <c r="CD230" s="1578"/>
      <c r="CE230" s="1578"/>
      <c r="CF230" s="1578"/>
      <c r="CG230" s="1578"/>
      <c r="CH230" s="1578"/>
      <c r="CI230" s="1578"/>
      <c r="CJ230" s="1578"/>
      <c r="CK230" s="1578"/>
      <c r="CL230" s="1578"/>
      <c r="CM230" s="1578"/>
      <c r="CN230" s="1578"/>
      <c r="CO230" s="1578"/>
      <c r="CP230" s="1578"/>
      <c r="CQ230" s="1578"/>
      <c r="CR230" s="1578"/>
      <c r="CS230" s="1578"/>
      <c r="CT230" s="1578"/>
      <c r="CU230" s="1578"/>
      <c r="CV230" s="1578"/>
      <c r="CW230" s="1578"/>
      <c r="CX230" s="1578"/>
      <c r="CY230" s="1578"/>
      <c r="CZ230" s="1578"/>
    </row>
    <row r="231" spans="1:104">
      <c r="A231" s="1466"/>
      <c r="B231" s="1576"/>
      <c r="C231" s="1576"/>
      <c r="D231" s="1576"/>
      <c r="E231" s="1578"/>
      <c r="F231" s="1578"/>
      <c r="G231" s="1578"/>
      <c r="H231" s="1578"/>
      <c r="I231" s="1578"/>
      <c r="J231" s="1578"/>
      <c r="K231" s="1578"/>
      <c r="L231" s="1578"/>
      <c r="M231" s="1578"/>
      <c r="N231" s="1578"/>
      <c r="O231" s="1578"/>
      <c r="P231" s="1578"/>
      <c r="Q231" s="1578"/>
      <c r="R231" s="1578"/>
      <c r="S231" s="1578"/>
      <c r="T231" s="1578"/>
      <c r="U231" s="1578"/>
      <c r="V231" s="1578"/>
      <c r="W231" s="1578"/>
      <c r="X231" s="1578"/>
      <c r="Y231" s="1578"/>
      <c r="Z231" s="1578"/>
      <c r="AA231" s="1578"/>
      <c r="AB231" s="1578"/>
      <c r="AC231" s="1578"/>
      <c r="AD231" s="1578"/>
      <c r="AE231" s="1578"/>
      <c r="AF231" s="1578"/>
      <c r="AG231" s="1578"/>
      <c r="AH231" s="1578"/>
      <c r="AI231" s="1578"/>
      <c r="AJ231" s="1578"/>
      <c r="AK231" s="1578"/>
      <c r="AL231" s="1578"/>
      <c r="AM231" s="1578"/>
      <c r="AN231" s="1578"/>
      <c r="AO231" s="1578"/>
      <c r="AP231" s="1578"/>
      <c r="AQ231" s="1578"/>
      <c r="AR231" s="1578"/>
      <c r="AS231" s="1578"/>
      <c r="AT231" s="1578"/>
      <c r="AU231" s="1578"/>
      <c r="AV231" s="1578"/>
      <c r="AW231" s="1578"/>
      <c r="AX231" s="1578"/>
      <c r="AY231" s="1578"/>
      <c r="AZ231" s="1578"/>
      <c r="BA231" s="1578"/>
      <c r="BB231" s="1578"/>
      <c r="BC231" s="1578"/>
      <c r="BD231" s="1578"/>
      <c r="BE231" s="1578"/>
      <c r="BF231" s="1578"/>
      <c r="BG231" s="1578"/>
      <c r="BH231" s="1578"/>
      <c r="BI231" s="1578"/>
      <c r="BJ231" s="1578"/>
      <c r="BK231" s="1578"/>
      <c r="BL231" s="1578"/>
      <c r="BM231" s="1578"/>
      <c r="BN231" s="1578"/>
      <c r="BO231" s="1578"/>
      <c r="BP231" s="1578"/>
      <c r="BQ231" s="1578"/>
      <c r="BR231" s="1578"/>
      <c r="BS231" s="1578"/>
      <c r="BT231" s="1578"/>
      <c r="BU231" s="1578"/>
      <c r="BV231" s="1578"/>
      <c r="BW231" s="1578"/>
      <c r="BX231" s="1578"/>
      <c r="BY231" s="1578"/>
      <c r="BZ231" s="1578"/>
      <c r="CA231" s="1578"/>
      <c r="CB231" s="1578"/>
      <c r="CC231" s="1578"/>
      <c r="CD231" s="1578"/>
      <c r="CE231" s="1578"/>
      <c r="CF231" s="1578"/>
      <c r="CG231" s="1578"/>
      <c r="CH231" s="1578"/>
      <c r="CI231" s="1578"/>
      <c r="CJ231" s="1578"/>
      <c r="CK231" s="1578"/>
      <c r="CL231" s="1578"/>
      <c r="CM231" s="1578"/>
      <c r="CN231" s="1578"/>
      <c r="CO231" s="1578"/>
      <c r="CP231" s="1578"/>
      <c r="CQ231" s="1578"/>
      <c r="CR231" s="1578"/>
      <c r="CS231" s="1578"/>
      <c r="CT231" s="1578"/>
      <c r="CU231" s="1578"/>
      <c r="CV231" s="1578"/>
      <c r="CW231" s="1578"/>
      <c r="CX231" s="1578"/>
      <c r="CY231" s="1578"/>
      <c r="CZ231" s="1578"/>
    </row>
    <row r="232" spans="1:104">
      <c r="A232" s="1466"/>
      <c r="B232" s="1576"/>
      <c r="C232" s="1576"/>
      <c r="D232" s="1576"/>
      <c r="E232" s="1578"/>
      <c r="F232" s="1578"/>
      <c r="G232" s="1578"/>
      <c r="H232" s="1578"/>
      <c r="I232" s="1578"/>
      <c r="J232" s="1578"/>
      <c r="K232" s="1578"/>
      <c r="L232" s="1578"/>
      <c r="M232" s="1578"/>
      <c r="N232" s="1578"/>
      <c r="O232" s="1578"/>
      <c r="P232" s="1578"/>
      <c r="Q232" s="1578"/>
      <c r="R232" s="1578"/>
      <c r="S232" s="1578"/>
      <c r="T232" s="1578"/>
      <c r="U232" s="1578"/>
      <c r="V232" s="1578"/>
      <c r="W232" s="1578"/>
      <c r="X232" s="1578"/>
      <c r="Y232" s="1578"/>
      <c r="Z232" s="1578"/>
      <c r="AA232" s="1578"/>
      <c r="AB232" s="1578"/>
      <c r="AC232" s="1578"/>
      <c r="AD232" s="1578"/>
      <c r="AE232" s="1578"/>
      <c r="AF232" s="1578"/>
      <c r="AG232" s="1578"/>
      <c r="AH232" s="1578"/>
      <c r="AI232" s="1578"/>
      <c r="AJ232" s="1578"/>
      <c r="AK232" s="1578"/>
      <c r="AL232" s="1578"/>
      <c r="AM232" s="1578"/>
      <c r="AN232" s="1578"/>
      <c r="AO232" s="1578"/>
      <c r="AP232" s="1578"/>
      <c r="AQ232" s="1578"/>
      <c r="AR232" s="1578"/>
      <c r="AS232" s="1578"/>
      <c r="AT232" s="1578"/>
      <c r="AU232" s="1578"/>
      <c r="AV232" s="1578"/>
      <c r="AW232" s="1578"/>
      <c r="AX232" s="1578"/>
      <c r="AY232" s="1578"/>
      <c r="AZ232" s="1578"/>
      <c r="BA232" s="1578"/>
      <c r="BB232" s="1578"/>
      <c r="BC232" s="1578"/>
      <c r="BD232" s="1578"/>
      <c r="BE232" s="1578"/>
      <c r="BF232" s="1578"/>
      <c r="BG232" s="1578"/>
      <c r="BH232" s="1578"/>
      <c r="BI232" s="1578"/>
      <c r="BJ232" s="1578"/>
      <c r="BK232" s="1578"/>
      <c r="BL232" s="1578"/>
      <c r="BM232" s="1578"/>
      <c r="BN232" s="1578"/>
      <c r="BO232" s="1578"/>
      <c r="BP232" s="1578"/>
      <c r="BQ232" s="1578"/>
      <c r="BR232" s="1578"/>
      <c r="BS232" s="1578"/>
      <c r="BT232" s="1578"/>
      <c r="BU232" s="1578"/>
      <c r="BV232" s="1578"/>
      <c r="BW232" s="1578"/>
      <c r="BX232" s="1578"/>
      <c r="BY232" s="1578"/>
      <c r="BZ232" s="1578"/>
      <c r="CA232" s="1578"/>
      <c r="CB232" s="1578"/>
      <c r="CC232" s="1578"/>
      <c r="CD232" s="1578"/>
      <c r="CE232" s="1578"/>
      <c r="CF232" s="1578"/>
      <c r="CG232" s="1578"/>
      <c r="CH232" s="1578"/>
      <c r="CI232" s="1578"/>
      <c r="CJ232" s="1578"/>
      <c r="CK232" s="1578"/>
      <c r="CL232" s="1578"/>
      <c r="CM232" s="1578"/>
      <c r="CN232" s="1578"/>
      <c r="CO232" s="1578"/>
      <c r="CP232" s="1578"/>
      <c r="CQ232" s="1578"/>
      <c r="CR232" s="1578"/>
      <c r="CS232" s="1578"/>
      <c r="CT232" s="1578"/>
      <c r="CU232" s="1578"/>
      <c r="CV232" s="1578"/>
      <c r="CW232" s="1578"/>
      <c r="CX232" s="1578"/>
      <c r="CY232" s="1578"/>
      <c r="CZ232" s="1578"/>
    </row>
    <row r="233" spans="1:104">
      <c r="A233" s="1466"/>
      <c r="B233" s="1576"/>
      <c r="C233" s="1576"/>
      <c r="D233" s="1576"/>
      <c r="E233" s="1578"/>
      <c r="F233" s="1578"/>
      <c r="G233" s="1578"/>
      <c r="H233" s="1578"/>
      <c r="I233" s="1578"/>
      <c r="J233" s="1578"/>
      <c r="K233" s="1578"/>
      <c r="L233" s="1578"/>
      <c r="M233" s="1578"/>
      <c r="N233" s="1578"/>
      <c r="O233" s="1578"/>
      <c r="P233" s="1578"/>
      <c r="Q233" s="1578"/>
      <c r="R233" s="1578"/>
      <c r="S233" s="1578"/>
      <c r="T233" s="1578"/>
      <c r="U233" s="1578"/>
      <c r="V233" s="1578"/>
      <c r="W233" s="1578"/>
      <c r="X233" s="1578"/>
      <c r="Y233" s="1578"/>
      <c r="Z233" s="1578"/>
      <c r="AA233" s="1578"/>
      <c r="AB233" s="1578"/>
      <c r="AC233" s="1578"/>
      <c r="AD233" s="1578"/>
      <c r="AE233" s="1578"/>
      <c r="AF233" s="1578"/>
      <c r="AG233" s="1578"/>
      <c r="AH233" s="1578"/>
      <c r="AI233" s="1578"/>
      <c r="AJ233" s="1578"/>
      <c r="AK233" s="1578"/>
      <c r="AL233" s="1578"/>
      <c r="AM233" s="1578"/>
      <c r="AN233" s="1578"/>
      <c r="AO233" s="1578"/>
      <c r="AP233" s="1578"/>
      <c r="AQ233" s="1578"/>
      <c r="AR233" s="1578"/>
      <c r="AS233" s="1578"/>
      <c r="AT233" s="1578"/>
      <c r="AU233" s="1578"/>
      <c r="AV233" s="1578"/>
      <c r="AW233" s="1578"/>
      <c r="AX233" s="1578"/>
      <c r="AY233" s="1578"/>
      <c r="AZ233" s="1578"/>
      <c r="BA233" s="1578"/>
      <c r="BB233" s="1578"/>
      <c r="BC233" s="1578"/>
      <c r="BD233" s="1578"/>
      <c r="BE233" s="1578"/>
      <c r="BF233" s="1578"/>
      <c r="BG233" s="1578"/>
      <c r="BH233" s="1578"/>
      <c r="BI233" s="1578"/>
      <c r="BJ233" s="1578"/>
      <c r="BK233" s="1578"/>
      <c r="BL233" s="1578"/>
      <c r="BM233" s="1578"/>
      <c r="BN233" s="1578"/>
      <c r="BO233" s="1578"/>
      <c r="BP233" s="1578"/>
      <c r="BQ233" s="1578"/>
      <c r="BR233" s="1578"/>
      <c r="BS233" s="1578"/>
      <c r="BT233" s="1578"/>
      <c r="BU233" s="1578"/>
      <c r="BV233" s="1578"/>
      <c r="BW233" s="1578"/>
      <c r="BX233" s="1578"/>
      <c r="BY233" s="1578"/>
      <c r="BZ233" s="1578"/>
      <c r="CA233" s="1578"/>
      <c r="CB233" s="1578"/>
      <c r="CC233" s="1578"/>
      <c r="CD233" s="1578"/>
      <c r="CE233" s="1578"/>
      <c r="CF233" s="1578"/>
      <c r="CG233" s="1578"/>
      <c r="CH233" s="1578"/>
      <c r="CI233" s="1578"/>
      <c r="CJ233" s="1578"/>
      <c r="CK233" s="1578"/>
      <c r="CL233" s="1578"/>
      <c r="CM233" s="1578"/>
      <c r="CN233" s="1578"/>
      <c r="CO233" s="1578"/>
      <c r="CP233" s="1578"/>
      <c r="CQ233" s="1578"/>
      <c r="CR233" s="1578"/>
      <c r="CS233" s="1578"/>
      <c r="CT233" s="1578"/>
      <c r="CU233" s="1578"/>
      <c r="CV233" s="1578"/>
      <c r="CW233" s="1578"/>
      <c r="CX233" s="1578"/>
      <c r="CY233" s="1578"/>
      <c r="CZ233" s="1578"/>
    </row>
    <row r="234" spans="1:104">
      <c r="A234" s="1466"/>
      <c r="B234" s="1576"/>
      <c r="C234" s="1576"/>
      <c r="D234" s="1576"/>
      <c r="E234" s="1578"/>
      <c r="F234" s="1578"/>
      <c r="G234" s="1578"/>
      <c r="H234" s="1578"/>
      <c r="I234" s="1578"/>
      <c r="J234" s="1578"/>
      <c r="K234" s="1578"/>
      <c r="L234" s="1578"/>
      <c r="M234" s="1578"/>
      <c r="N234" s="1578"/>
      <c r="O234" s="1578"/>
      <c r="P234" s="1578"/>
      <c r="Q234" s="1578"/>
      <c r="R234" s="1578"/>
      <c r="S234" s="1578"/>
      <c r="T234" s="1578"/>
      <c r="U234" s="1578"/>
      <c r="V234" s="1578"/>
      <c r="W234" s="1578"/>
      <c r="X234" s="1578"/>
      <c r="Y234" s="1578"/>
      <c r="Z234" s="1578"/>
      <c r="AA234" s="1578"/>
      <c r="AB234" s="1578"/>
      <c r="AC234" s="1578"/>
      <c r="AD234" s="1578"/>
      <c r="AE234" s="1578"/>
      <c r="AF234" s="1578"/>
      <c r="AG234" s="1578"/>
      <c r="AH234" s="1578"/>
      <c r="AI234" s="1578"/>
      <c r="AJ234" s="1578"/>
      <c r="AK234" s="1578"/>
      <c r="AL234" s="1578"/>
      <c r="AM234" s="1578"/>
      <c r="AN234" s="1578"/>
      <c r="AO234" s="1578"/>
      <c r="AP234" s="1578"/>
      <c r="AQ234" s="1578"/>
      <c r="AR234" s="1578"/>
      <c r="AS234" s="1578"/>
      <c r="AT234" s="1578"/>
      <c r="AU234" s="1578"/>
      <c r="AV234" s="1578"/>
      <c r="AW234" s="1578"/>
      <c r="AX234" s="1578"/>
      <c r="AY234" s="1578"/>
      <c r="AZ234" s="1578"/>
      <c r="BA234" s="1578"/>
      <c r="BB234" s="1578"/>
      <c r="BC234" s="1578"/>
      <c r="BD234" s="1578"/>
      <c r="BE234" s="1578"/>
      <c r="BF234" s="1578"/>
      <c r="BG234" s="1578"/>
      <c r="BH234" s="1578"/>
      <c r="BI234" s="1578"/>
      <c r="BJ234" s="1578"/>
      <c r="BK234" s="1578"/>
      <c r="BL234" s="1578"/>
      <c r="BM234" s="1578"/>
      <c r="BN234" s="1578"/>
      <c r="BO234" s="1578"/>
      <c r="BP234" s="1578"/>
      <c r="BQ234" s="1578"/>
      <c r="BR234" s="1578"/>
      <c r="BS234" s="1578"/>
      <c r="BT234" s="1578"/>
      <c r="BU234" s="1578"/>
      <c r="BV234" s="1578"/>
      <c r="BW234" s="1578"/>
      <c r="BX234" s="1578"/>
      <c r="BY234" s="1578"/>
      <c r="BZ234" s="1578"/>
      <c r="CA234" s="1578"/>
      <c r="CB234" s="1578"/>
      <c r="CC234" s="1578"/>
      <c r="CD234" s="1578"/>
      <c r="CE234" s="1578"/>
      <c r="CF234" s="1578"/>
      <c r="CG234" s="1578"/>
      <c r="CH234" s="1578"/>
      <c r="CI234" s="1578"/>
      <c r="CJ234" s="1578"/>
      <c r="CK234" s="1578"/>
      <c r="CL234" s="1578"/>
      <c r="CM234" s="1578"/>
      <c r="CN234" s="1578"/>
      <c r="CO234" s="1578"/>
      <c r="CP234" s="1578"/>
      <c r="CQ234" s="1578"/>
      <c r="CR234" s="1578"/>
      <c r="CS234" s="1578"/>
      <c r="CT234" s="1578"/>
      <c r="CU234" s="1578"/>
      <c r="CV234" s="1578"/>
      <c r="CW234" s="1578"/>
      <c r="CX234" s="1578"/>
      <c r="CY234" s="1578"/>
      <c r="CZ234" s="1578"/>
    </row>
    <row r="235" spans="1:104">
      <c r="A235" s="1466"/>
      <c r="B235" s="1576"/>
      <c r="C235" s="1576"/>
      <c r="D235" s="1576"/>
      <c r="E235" s="1578"/>
      <c r="F235" s="1578"/>
      <c r="G235" s="1578"/>
      <c r="H235" s="1578"/>
      <c r="I235" s="1578"/>
      <c r="J235" s="1578"/>
      <c r="K235" s="1578"/>
      <c r="L235" s="1578"/>
      <c r="M235" s="1578"/>
      <c r="N235" s="1578"/>
      <c r="O235" s="1578"/>
      <c r="P235" s="1578"/>
      <c r="Q235" s="1578"/>
      <c r="R235" s="1578"/>
      <c r="S235" s="1578"/>
      <c r="T235" s="1578"/>
      <c r="U235" s="1578"/>
      <c r="V235" s="1578"/>
      <c r="W235" s="1578"/>
      <c r="X235" s="1578"/>
      <c r="Y235" s="1578"/>
      <c r="Z235" s="1578"/>
      <c r="AA235" s="1578"/>
      <c r="AB235" s="1578"/>
      <c r="AC235" s="1578"/>
      <c r="AD235" s="1578"/>
      <c r="AE235" s="1578"/>
      <c r="AF235" s="1578"/>
      <c r="AG235" s="1578"/>
      <c r="AH235" s="1578"/>
      <c r="AI235" s="1578"/>
      <c r="AJ235" s="1578"/>
      <c r="AK235" s="1578"/>
      <c r="AL235" s="1578"/>
      <c r="AM235" s="1578"/>
      <c r="AN235" s="1578"/>
      <c r="AO235" s="1578"/>
      <c r="AP235" s="1578"/>
      <c r="AQ235" s="1578"/>
      <c r="AR235" s="1578"/>
      <c r="AS235" s="1578"/>
      <c r="AT235" s="1578"/>
      <c r="AU235" s="1578"/>
      <c r="AV235" s="1578"/>
      <c r="AW235" s="1578"/>
      <c r="AX235" s="1578"/>
      <c r="AY235" s="1578"/>
      <c r="AZ235" s="1578"/>
      <c r="BA235" s="1578"/>
      <c r="BB235" s="1578"/>
      <c r="BC235" s="1578"/>
      <c r="BD235" s="1578"/>
      <c r="BE235" s="1578"/>
      <c r="BF235" s="1578"/>
      <c r="BG235" s="1578"/>
      <c r="BH235" s="1578"/>
      <c r="BI235" s="1578"/>
      <c r="BJ235" s="1578"/>
      <c r="BK235" s="1578"/>
      <c r="BL235" s="1578"/>
      <c r="BM235" s="1578"/>
      <c r="BN235" s="1578"/>
      <c r="BO235" s="1578"/>
      <c r="BP235" s="1578"/>
      <c r="BQ235" s="1578"/>
      <c r="BR235" s="1578"/>
      <c r="BS235" s="1578"/>
      <c r="BT235" s="1578"/>
      <c r="BU235" s="1578"/>
      <c r="BV235" s="1578"/>
      <c r="BW235" s="1578"/>
      <c r="BX235" s="1578"/>
      <c r="BY235" s="1578"/>
      <c r="BZ235" s="1578"/>
      <c r="CA235" s="1578"/>
      <c r="CB235" s="1578"/>
      <c r="CC235" s="1578"/>
      <c r="CD235" s="1578"/>
      <c r="CE235" s="1578"/>
      <c r="CF235" s="1578"/>
      <c r="CG235" s="1578"/>
      <c r="CH235" s="1578"/>
      <c r="CI235" s="1578"/>
      <c r="CJ235" s="1578"/>
      <c r="CK235" s="1578"/>
      <c r="CL235" s="1578"/>
      <c r="CM235" s="1578"/>
      <c r="CN235" s="1578"/>
      <c r="CO235" s="1578"/>
      <c r="CP235" s="1578"/>
      <c r="CQ235" s="1578"/>
      <c r="CR235" s="1578"/>
      <c r="CS235" s="1578"/>
      <c r="CT235" s="1578"/>
      <c r="CU235" s="1578"/>
      <c r="CV235" s="1578"/>
      <c r="CW235" s="1578"/>
      <c r="CX235" s="1578"/>
      <c r="CY235" s="1578"/>
      <c r="CZ235" s="1578"/>
    </row>
    <row r="236" spans="1:104">
      <c r="A236" s="1466"/>
      <c r="B236" s="1576"/>
      <c r="C236" s="1576"/>
      <c r="D236" s="1576"/>
      <c r="E236" s="1578"/>
      <c r="F236" s="1578"/>
      <c r="G236" s="1578"/>
      <c r="H236" s="1578"/>
      <c r="I236" s="1578"/>
      <c r="J236" s="1578"/>
      <c r="K236" s="1578"/>
      <c r="L236" s="1578"/>
      <c r="M236" s="1578"/>
      <c r="N236" s="1578"/>
      <c r="O236" s="1578"/>
      <c r="P236" s="1578"/>
      <c r="Q236" s="1578"/>
      <c r="R236" s="1578"/>
      <c r="S236" s="1578"/>
      <c r="T236" s="1578"/>
      <c r="U236" s="1578"/>
      <c r="V236" s="1578"/>
      <c r="W236" s="1578"/>
      <c r="X236" s="1578"/>
      <c r="Y236" s="1578"/>
      <c r="Z236" s="1578"/>
      <c r="AA236" s="1578"/>
      <c r="AB236" s="1578"/>
      <c r="AC236" s="1578"/>
      <c r="AD236" s="1578"/>
      <c r="AE236" s="1578"/>
      <c r="AF236" s="1578"/>
      <c r="AG236" s="1578"/>
      <c r="AH236" s="1578"/>
      <c r="AI236" s="1578"/>
      <c r="AJ236" s="1578"/>
      <c r="AK236" s="1578"/>
      <c r="AL236" s="1578"/>
      <c r="AM236" s="1578"/>
      <c r="AN236" s="1578"/>
      <c r="AO236" s="1578"/>
      <c r="AP236" s="1578"/>
      <c r="AQ236" s="1578"/>
      <c r="AR236" s="1578"/>
      <c r="AS236" s="1578"/>
      <c r="AT236" s="1578"/>
      <c r="AU236" s="1578"/>
      <c r="AV236" s="1578"/>
      <c r="AW236" s="1578"/>
      <c r="AX236" s="1578"/>
      <c r="AY236" s="1578"/>
      <c r="AZ236" s="1578"/>
      <c r="BA236" s="1578"/>
      <c r="BB236" s="1578"/>
      <c r="BC236" s="1578"/>
      <c r="BD236" s="1578"/>
      <c r="BE236" s="1578"/>
      <c r="BF236" s="1578"/>
      <c r="BG236" s="1578"/>
      <c r="BH236" s="1578"/>
      <c r="BI236" s="1578"/>
      <c r="BJ236" s="1578"/>
      <c r="BK236" s="1578"/>
      <c r="BL236" s="1578"/>
      <c r="BM236" s="1578"/>
      <c r="BN236" s="1578"/>
      <c r="BO236" s="1578"/>
      <c r="BP236" s="1578"/>
      <c r="BQ236" s="1578"/>
      <c r="BR236" s="1578"/>
      <c r="BS236" s="1578"/>
      <c r="BT236" s="1578"/>
      <c r="BU236" s="1578"/>
      <c r="BV236" s="1578"/>
      <c r="BW236" s="1578"/>
      <c r="BX236" s="1578"/>
      <c r="BY236" s="1578"/>
      <c r="BZ236" s="1578"/>
      <c r="CA236" s="1578"/>
      <c r="CB236" s="1578"/>
      <c r="CC236" s="1578"/>
      <c r="CD236" s="1578"/>
      <c r="CE236" s="1578"/>
      <c r="CF236" s="1578"/>
      <c r="CG236" s="1578"/>
      <c r="CH236" s="1578"/>
      <c r="CI236" s="1578"/>
      <c r="CJ236" s="1578"/>
      <c r="CK236" s="1578"/>
      <c r="CL236" s="1578"/>
      <c r="CM236" s="1578"/>
      <c r="CN236" s="1578"/>
      <c r="CO236" s="1578"/>
      <c r="CP236" s="1578"/>
      <c r="CQ236" s="1578"/>
      <c r="CR236" s="1578"/>
      <c r="CS236" s="1578"/>
      <c r="CT236" s="1578"/>
      <c r="CU236" s="1578"/>
      <c r="CV236" s="1578"/>
      <c r="CW236" s="1578"/>
      <c r="CX236" s="1578"/>
      <c r="CY236" s="1578"/>
      <c r="CZ236" s="1578"/>
    </row>
    <row r="237" spans="1:104">
      <c r="A237" s="1466"/>
      <c r="B237" s="1576"/>
      <c r="C237" s="1576"/>
      <c r="D237" s="1576"/>
      <c r="E237" s="1578"/>
      <c r="F237" s="1578"/>
      <c r="G237" s="1578"/>
      <c r="H237" s="1578"/>
      <c r="I237" s="1578"/>
      <c r="J237" s="1578"/>
      <c r="K237" s="1578"/>
      <c r="L237" s="1578"/>
      <c r="M237" s="1578"/>
      <c r="N237" s="1578"/>
      <c r="O237" s="1578"/>
      <c r="P237" s="1578"/>
      <c r="Q237" s="1578"/>
      <c r="R237" s="1578"/>
      <c r="S237" s="1578"/>
      <c r="T237" s="1578"/>
      <c r="U237" s="1578"/>
      <c r="V237" s="1578"/>
      <c r="W237" s="1578"/>
      <c r="X237" s="1578"/>
      <c r="Y237" s="1578"/>
      <c r="Z237" s="1578"/>
      <c r="AA237" s="1578"/>
      <c r="AB237" s="1578"/>
      <c r="AC237" s="1578"/>
      <c r="AD237" s="1578"/>
      <c r="AE237" s="1578"/>
      <c r="AF237" s="1578"/>
      <c r="AG237" s="1578"/>
      <c r="AH237" s="1578"/>
      <c r="AI237" s="1578"/>
      <c r="AJ237" s="1578"/>
      <c r="AK237" s="1578"/>
      <c r="AL237" s="1578"/>
      <c r="AM237" s="1578"/>
      <c r="AN237" s="1578"/>
      <c r="AO237" s="1578"/>
      <c r="AP237" s="1578"/>
      <c r="AQ237" s="1578"/>
      <c r="AR237" s="1578"/>
      <c r="AS237" s="1578"/>
      <c r="AT237" s="1578"/>
      <c r="AU237" s="1578"/>
      <c r="AV237" s="1578"/>
      <c r="AW237" s="1578"/>
      <c r="AX237" s="1578"/>
      <c r="AY237" s="1578"/>
      <c r="AZ237" s="1578"/>
      <c r="BA237" s="1578"/>
      <c r="BB237" s="1578"/>
      <c r="BC237" s="1578"/>
      <c r="BD237" s="1578"/>
      <c r="BE237" s="1578"/>
      <c r="BF237" s="1578"/>
      <c r="BG237" s="1578"/>
      <c r="BH237" s="1578"/>
      <c r="BI237" s="1578"/>
      <c r="BJ237" s="1578"/>
      <c r="BK237" s="1578"/>
      <c r="BL237" s="1578"/>
      <c r="BM237" s="1578"/>
      <c r="BN237" s="1578"/>
      <c r="BO237" s="1578"/>
      <c r="BP237" s="1578"/>
      <c r="BQ237" s="1578"/>
      <c r="BR237" s="1578"/>
      <c r="BS237" s="1578"/>
      <c r="BT237" s="1578"/>
      <c r="BU237" s="1578"/>
      <c r="BV237" s="1578"/>
      <c r="BW237" s="1578"/>
      <c r="BX237" s="1578"/>
      <c r="BY237" s="1578"/>
      <c r="BZ237" s="1578"/>
      <c r="CA237" s="1578"/>
      <c r="CB237" s="1578"/>
      <c r="CC237" s="1578"/>
      <c r="CD237" s="1578"/>
      <c r="CE237" s="1578"/>
      <c r="CF237" s="1578"/>
      <c r="CG237" s="1578"/>
      <c r="CH237" s="1578"/>
      <c r="CI237" s="1578"/>
      <c r="CJ237" s="1578"/>
      <c r="CK237" s="1578"/>
      <c r="CL237" s="1578"/>
      <c r="CM237" s="1578"/>
      <c r="CN237" s="1578"/>
      <c r="CO237" s="1578"/>
      <c r="CP237" s="1578"/>
      <c r="CQ237" s="1578"/>
      <c r="CR237" s="1578"/>
      <c r="CS237" s="1578"/>
      <c r="CT237" s="1578"/>
      <c r="CU237" s="1578"/>
      <c r="CV237" s="1578"/>
      <c r="CW237" s="1578"/>
      <c r="CX237" s="1578"/>
      <c r="CY237" s="1578"/>
      <c r="CZ237" s="1578"/>
    </row>
    <row r="238" spans="1:104">
      <c r="A238" s="1466"/>
      <c r="B238" s="1576"/>
      <c r="C238" s="1576"/>
      <c r="D238" s="1576"/>
      <c r="E238" s="1578"/>
      <c r="F238" s="1578"/>
      <c r="G238" s="1578"/>
      <c r="H238" s="1578"/>
      <c r="I238" s="1578"/>
      <c r="J238" s="1578"/>
      <c r="K238" s="1578"/>
      <c r="L238" s="1578"/>
      <c r="M238" s="1578"/>
      <c r="N238" s="1578"/>
      <c r="O238" s="1578"/>
      <c r="P238" s="1578"/>
      <c r="Q238" s="1578"/>
      <c r="R238" s="1578"/>
      <c r="S238" s="1578"/>
      <c r="T238" s="1578"/>
      <c r="U238" s="1578"/>
      <c r="V238" s="1578"/>
      <c r="W238" s="1578"/>
      <c r="X238" s="1578"/>
      <c r="Y238" s="1578"/>
      <c r="Z238" s="1578"/>
      <c r="AA238" s="1578"/>
      <c r="AB238" s="1578"/>
      <c r="AC238" s="1578"/>
      <c r="AD238" s="1578"/>
      <c r="AE238" s="1578"/>
      <c r="AF238" s="1578"/>
      <c r="AG238" s="1578"/>
      <c r="AH238" s="1578"/>
      <c r="AI238" s="1578"/>
      <c r="AJ238" s="1578"/>
      <c r="AK238" s="1578"/>
      <c r="AL238" s="1578"/>
      <c r="AM238" s="1578"/>
      <c r="AN238" s="1578"/>
      <c r="AO238" s="1578"/>
      <c r="AP238" s="1578"/>
      <c r="AQ238" s="1578"/>
      <c r="AR238" s="1578"/>
      <c r="AS238" s="1578"/>
      <c r="AT238" s="1578"/>
      <c r="AU238" s="1578"/>
      <c r="AV238" s="1578"/>
      <c r="AW238" s="1578"/>
      <c r="AX238" s="1578"/>
      <c r="AY238" s="1578"/>
      <c r="AZ238" s="1578"/>
      <c r="BA238" s="1578"/>
      <c r="BB238" s="1578"/>
      <c r="BC238" s="1578"/>
      <c r="BD238" s="1578"/>
      <c r="BE238" s="1578"/>
      <c r="BF238" s="1578"/>
      <c r="BG238" s="1578"/>
      <c r="BH238" s="1578"/>
      <c r="BI238" s="1578"/>
      <c r="BJ238" s="1578"/>
      <c r="BK238" s="1578"/>
      <c r="BL238" s="1578"/>
      <c r="BM238" s="1578"/>
      <c r="BN238" s="1578"/>
      <c r="BO238" s="1578"/>
      <c r="BP238" s="1578"/>
      <c r="BQ238" s="1578"/>
      <c r="BR238" s="1578"/>
      <c r="BS238" s="1578"/>
      <c r="BT238" s="1578"/>
      <c r="BU238" s="1578"/>
      <c r="BV238" s="1578"/>
      <c r="BW238" s="1578"/>
      <c r="BX238" s="1578"/>
      <c r="BY238" s="1578"/>
      <c r="BZ238" s="1578"/>
      <c r="CA238" s="1578"/>
      <c r="CB238" s="1578"/>
      <c r="CC238" s="1578"/>
      <c r="CD238" s="1578"/>
      <c r="CE238" s="1578"/>
      <c r="CF238" s="1578"/>
      <c r="CG238" s="1578"/>
      <c r="CH238" s="1578"/>
      <c r="CI238" s="1578"/>
      <c r="CJ238" s="1578"/>
      <c r="CK238" s="1578"/>
      <c r="CL238" s="1578"/>
      <c r="CM238" s="1578"/>
      <c r="CN238" s="1578"/>
      <c r="CO238" s="1578"/>
      <c r="CP238" s="1578"/>
      <c r="CQ238" s="1578"/>
      <c r="CR238" s="1578"/>
      <c r="CS238" s="1578"/>
      <c r="CT238" s="1578"/>
      <c r="CU238" s="1578"/>
      <c r="CV238" s="1578"/>
      <c r="CW238" s="1578"/>
      <c r="CX238" s="1578"/>
      <c r="CY238" s="1578"/>
      <c r="CZ238" s="1578"/>
    </row>
    <row r="239" spans="1:104">
      <c r="A239" s="1466"/>
      <c r="B239" s="1576"/>
      <c r="C239" s="1576"/>
      <c r="D239" s="1576"/>
      <c r="E239" s="1578"/>
      <c r="F239" s="1578"/>
      <c r="G239" s="1578"/>
      <c r="H239" s="1578"/>
      <c r="I239" s="1578"/>
      <c r="J239" s="1578"/>
      <c r="K239" s="1578"/>
      <c r="L239" s="1578"/>
      <c r="M239" s="1578"/>
      <c r="N239" s="1578"/>
      <c r="O239" s="1578"/>
      <c r="P239" s="1578"/>
      <c r="Q239" s="1578"/>
      <c r="R239" s="1578"/>
      <c r="S239" s="1578"/>
      <c r="T239" s="1578"/>
      <c r="U239" s="1578"/>
      <c r="V239" s="1578"/>
      <c r="W239" s="1578"/>
      <c r="X239" s="1578"/>
      <c r="Y239" s="1578"/>
      <c r="Z239" s="1578"/>
      <c r="AA239" s="1578"/>
      <c r="AB239" s="1578"/>
      <c r="AC239" s="1578"/>
      <c r="AD239" s="1578"/>
      <c r="AE239" s="1578"/>
      <c r="AF239" s="1578"/>
      <c r="AG239" s="1578"/>
      <c r="AH239" s="1578"/>
      <c r="AI239" s="1578"/>
      <c r="AJ239" s="1578"/>
      <c r="AK239" s="1578"/>
      <c r="AL239" s="1578"/>
      <c r="AM239" s="1578"/>
      <c r="AN239" s="1578"/>
      <c r="AO239" s="1578"/>
      <c r="AP239" s="1578"/>
      <c r="AQ239" s="1578"/>
      <c r="AR239" s="1578"/>
      <c r="AS239" s="1578"/>
      <c r="AT239" s="1578"/>
      <c r="AU239" s="1578"/>
      <c r="AV239" s="1578"/>
      <c r="AW239" s="1578"/>
      <c r="AX239" s="1578"/>
      <c r="AY239" s="1578"/>
      <c r="AZ239" s="1578"/>
      <c r="BA239" s="1578"/>
      <c r="BB239" s="1578"/>
      <c r="BC239" s="1578"/>
      <c r="BD239" s="1578"/>
      <c r="BE239" s="1578"/>
      <c r="BF239" s="1578"/>
      <c r="BG239" s="1578"/>
      <c r="BH239" s="1578"/>
      <c r="BI239" s="1578"/>
      <c r="BJ239" s="1578"/>
      <c r="BK239" s="1578"/>
      <c r="BL239" s="1578"/>
      <c r="BM239" s="1578"/>
      <c r="BN239" s="1578"/>
      <c r="BO239" s="1578"/>
      <c r="BP239" s="1578"/>
      <c r="BQ239" s="1578"/>
      <c r="BR239" s="1578"/>
      <c r="BS239" s="1578"/>
      <c r="BT239" s="1578"/>
      <c r="BU239" s="1578"/>
      <c r="BV239" s="1578"/>
      <c r="BW239" s="1578"/>
      <c r="BX239" s="1578"/>
      <c r="BY239" s="1578"/>
      <c r="BZ239" s="1578"/>
      <c r="CA239" s="1578"/>
      <c r="CB239" s="1578"/>
      <c r="CC239" s="1578"/>
      <c r="CD239" s="1578"/>
      <c r="CE239" s="1578"/>
      <c r="CF239" s="1578"/>
      <c r="CG239" s="1578"/>
      <c r="CH239" s="1578"/>
      <c r="CI239" s="1578"/>
      <c r="CJ239" s="1578"/>
      <c r="CK239" s="1578"/>
      <c r="CL239" s="1578"/>
      <c r="CM239" s="1578"/>
      <c r="CN239" s="1578"/>
      <c r="CO239" s="1578"/>
      <c r="CP239" s="1578"/>
      <c r="CQ239" s="1578"/>
      <c r="CR239" s="1578"/>
      <c r="CS239" s="1578"/>
      <c r="CT239" s="1578"/>
      <c r="CU239" s="1578"/>
      <c r="CV239" s="1578"/>
      <c r="CW239" s="1578"/>
      <c r="CX239" s="1578"/>
      <c r="CY239" s="1578"/>
      <c r="CZ239" s="1578"/>
    </row>
    <row r="240" spans="1:104">
      <c r="A240" s="1466"/>
      <c r="B240" s="1576"/>
      <c r="C240" s="1576"/>
      <c r="D240" s="1576"/>
      <c r="E240" s="1578"/>
      <c r="F240" s="1578"/>
      <c r="G240" s="1578"/>
      <c r="H240" s="1578"/>
      <c r="I240" s="1578"/>
      <c r="J240" s="1578"/>
      <c r="K240" s="1578"/>
      <c r="L240" s="1578"/>
      <c r="M240" s="1578"/>
      <c r="N240" s="1578"/>
      <c r="O240" s="1578"/>
      <c r="P240" s="1578"/>
      <c r="Q240" s="1578"/>
      <c r="R240" s="1578"/>
      <c r="S240" s="1578"/>
      <c r="T240" s="1578"/>
      <c r="U240" s="1578"/>
      <c r="V240" s="1578"/>
      <c r="W240" s="1578"/>
      <c r="X240" s="1578"/>
      <c r="Y240" s="1578"/>
      <c r="Z240" s="1578"/>
      <c r="AA240" s="1578"/>
      <c r="AB240" s="1578"/>
      <c r="AC240" s="1578"/>
      <c r="AD240" s="1578"/>
      <c r="AE240" s="1578"/>
      <c r="AF240" s="1578"/>
      <c r="AG240" s="1578"/>
      <c r="AH240" s="1578"/>
      <c r="AI240" s="1578"/>
      <c r="AJ240" s="1578"/>
      <c r="AK240" s="1578"/>
      <c r="AL240" s="1578"/>
      <c r="AM240" s="1578"/>
      <c r="AN240" s="1578"/>
      <c r="AO240" s="1578"/>
      <c r="AP240" s="1578"/>
      <c r="AQ240" s="1578"/>
      <c r="AR240" s="1578"/>
      <c r="AS240" s="1578"/>
      <c r="AT240" s="1578"/>
      <c r="AU240" s="1578"/>
      <c r="AV240" s="1578"/>
      <c r="AW240" s="1578"/>
      <c r="AX240" s="1578"/>
      <c r="AY240" s="1578"/>
      <c r="AZ240" s="1578"/>
      <c r="BA240" s="1578"/>
      <c r="BB240" s="1578"/>
      <c r="BC240" s="1578"/>
      <c r="BD240" s="1578"/>
      <c r="BE240" s="1578"/>
      <c r="BF240" s="1578"/>
      <c r="BG240" s="1578"/>
      <c r="BH240" s="1578"/>
      <c r="BI240" s="1578"/>
      <c r="BJ240" s="1578"/>
      <c r="BK240" s="1578"/>
      <c r="BL240" s="1578"/>
      <c r="BM240" s="1578"/>
      <c r="BN240" s="1578"/>
      <c r="BO240" s="1578"/>
      <c r="BP240" s="1578"/>
      <c r="BQ240" s="1578"/>
      <c r="BR240" s="1578"/>
      <c r="BS240" s="1578"/>
      <c r="BT240" s="1578"/>
      <c r="BU240" s="1578"/>
      <c r="BV240" s="1578"/>
      <c r="BW240" s="1578"/>
      <c r="BX240" s="1578"/>
      <c r="BY240" s="1578"/>
      <c r="BZ240" s="1578"/>
      <c r="CA240" s="1578"/>
      <c r="CB240" s="1578"/>
      <c r="CC240" s="1578"/>
      <c r="CD240" s="1578"/>
      <c r="CE240" s="1578"/>
      <c r="CF240" s="1578"/>
      <c r="CG240" s="1578"/>
      <c r="CH240" s="1578"/>
      <c r="CI240" s="1578"/>
      <c r="CJ240" s="1578"/>
      <c r="CK240" s="1578"/>
      <c r="CL240" s="1578"/>
      <c r="CM240" s="1578"/>
      <c r="CN240" s="1578"/>
      <c r="CO240" s="1578"/>
      <c r="CP240" s="1578"/>
      <c r="CQ240" s="1578"/>
      <c r="CR240" s="1578"/>
      <c r="CS240" s="1578"/>
      <c r="CT240" s="1578"/>
      <c r="CU240" s="1578"/>
      <c r="CV240" s="1578"/>
      <c r="CW240" s="1578"/>
      <c r="CX240" s="1578"/>
      <c r="CY240" s="1578"/>
      <c r="CZ240" s="1578"/>
    </row>
    <row r="241" spans="1:104">
      <c r="A241" s="1466"/>
      <c r="B241" s="1576"/>
      <c r="C241" s="1576"/>
      <c r="D241" s="1576"/>
      <c r="E241" s="1578"/>
      <c r="F241" s="1578"/>
      <c r="G241" s="1578"/>
      <c r="H241" s="1578"/>
      <c r="I241" s="1578"/>
      <c r="J241" s="1578"/>
      <c r="K241" s="1578"/>
      <c r="L241" s="1578"/>
      <c r="M241" s="1578"/>
      <c r="N241" s="1578"/>
      <c r="O241" s="1578"/>
      <c r="P241" s="1578"/>
      <c r="Q241" s="1578"/>
      <c r="R241" s="1578"/>
      <c r="S241" s="1578"/>
      <c r="T241" s="1578"/>
      <c r="U241" s="1578"/>
      <c r="V241" s="1578"/>
      <c r="W241" s="1578"/>
      <c r="X241" s="1578"/>
      <c r="Y241" s="1578"/>
      <c r="Z241" s="1578"/>
      <c r="AA241" s="1578"/>
      <c r="AB241" s="1578"/>
      <c r="AC241" s="1578"/>
      <c r="AD241" s="1578"/>
      <c r="AE241" s="1578"/>
      <c r="AF241" s="1578"/>
      <c r="AG241" s="1578"/>
      <c r="AH241" s="1578"/>
      <c r="AI241" s="1578"/>
      <c r="AJ241" s="1578"/>
      <c r="AK241" s="1578"/>
      <c r="AL241" s="1578"/>
      <c r="AM241" s="1578"/>
      <c r="AN241" s="1578"/>
      <c r="AO241" s="1578"/>
      <c r="AP241" s="1578"/>
      <c r="AQ241" s="1578"/>
      <c r="AR241" s="1578"/>
      <c r="AS241" s="1578"/>
      <c r="AT241" s="1578"/>
      <c r="AU241" s="1578"/>
      <c r="AV241" s="1578"/>
      <c r="AW241" s="1578"/>
      <c r="AX241" s="1578"/>
      <c r="AY241" s="1578"/>
      <c r="AZ241" s="1578"/>
      <c r="BA241" s="1578"/>
      <c r="BB241" s="1578"/>
      <c r="BC241" s="1578"/>
      <c r="BD241" s="1578"/>
      <c r="BE241" s="1578"/>
      <c r="BF241" s="1578"/>
      <c r="BG241" s="1578"/>
      <c r="BH241" s="1578"/>
      <c r="BI241" s="1578"/>
      <c r="BJ241" s="1578"/>
      <c r="BK241" s="1578"/>
      <c r="BL241" s="1578"/>
      <c r="BM241" s="1578"/>
      <c r="BN241" s="1578"/>
      <c r="BO241" s="1578"/>
      <c r="BP241" s="1578"/>
      <c r="BQ241" s="1578"/>
      <c r="BR241" s="1578"/>
      <c r="BS241" s="1578"/>
      <c r="BT241" s="1578"/>
      <c r="BU241" s="1578"/>
      <c r="BV241" s="1578"/>
      <c r="BW241" s="1578"/>
      <c r="BX241" s="1578"/>
      <c r="BY241" s="1578"/>
      <c r="BZ241" s="1578"/>
      <c r="CA241" s="1578"/>
      <c r="CB241" s="1578"/>
      <c r="CC241" s="1578"/>
      <c r="CD241" s="1578"/>
      <c r="CE241" s="1578"/>
      <c r="CF241" s="1578"/>
      <c r="CG241" s="1578"/>
      <c r="CH241" s="1578"/>
      <c r="CI241" s="1578"/>
      <c r="CJ241" s="1578"/>
      <c r="CK241" s="1578"/>
      <c r="CL241" s="1578"/>
      <c r="CM241" s="1578"/>
      <c r="CN241" s="1578"/>
      <c r="CO241" s="1578"/>
      <c r="CP241" s="1578"/>
      <c r="CQ241" s="1578"/>
      <c r="CR241" s="1578"/>
      <c r="CS241" s="1578"/>
      <c r="CT241" s="1578"/>
      <c r="CU241" s="1578"/>
      <c r="CV241" s="1578"/>
      <c r="CW241" s="1578"/>
      <c r="CX241" s="1578"/>
      <c r="CY241" s="1578"/>
      <c r="CZ241" s="1578"/>
    </row>
    <row r="242" spans="1:104">
      <c r="A242" s="1466"/>
      <c r="B242" s="1576"/>
      <c r="C242" s="1576"/>
      <c r="D242" s="1576"/>
      <c r="E242" s="1578"/>
      <c r="F242" s="1578"/>
      <c r="G242" s="1578"/>
      <c r="H242" s="1578"/>
      <c r="I242" s="1578"/>
      <c r="J242" s="1578"/>
      <c r="K242" s="1578"/>
      <c r="L242" s="1578"/>
      <c r="M242" s="1578"/>
      <c r="N242" s="1578"/>
      <c r="O242" s="1578"/>
      <c r="P242" s="1578"/>
      <c r="Q242" s="1578"/>
      <c r="R242" s="1578"/>
      <c r="S242" s="1578"/>
      <c r="T242" s="1578"/>
      <c r="U242" s="1578"/>
      <c r="V242" s="1578"/>
      <c r="W242" s="1578"/>
      <c r="X242" s="1578"/>
      <c r="Y242" s="1578"/>
      <c r="Z242" s="1578"/>
      <c r="AA242" s="1578"/>
      <c r="AB242" s="1578"/>
      <c r="AC242" s="1578"/>
      <c r="AD242" s="1578"/>
      <c r="AE242" s="1578"/>
      <c r="AF242" s="1578"/>
      <c r="AG242" s="1578"/>
      <c r="AH242" s="1578"/>
      <c r="AI242" s="1578"/>
      <c r="AJ242" s="1578"/>
      <c r="AK242" s="1578"/>
      <c r="AL242" s="1578"/>
      <c r="AM242" s="1578"/>
      <c r="AN242" s="1578"/>
      <c r="AO242" s="1578"/>
      <c r="AP242" s="1578"/>
      <c r="AQ242" s="1578"/>
      <c r="AR242" s="1578"/>
      <c r="AS242" s="1578"/>
      <c r="AT242" s="1578"/>
      <c r="AU242" s="1578"/>
      <c r="AV242" s="1578"/>
      <c r="AW242" s="1578"/>
      <c r="AX242" s="1578"/>
      <c r="AY242" s="1578"/>
      <c r="AZ242" s="1578"/>
      <c r="BA242" s="1578"/>
      <c r="BB242" s="1578"/>
      <c r="BC242" s="1578"/>
      <c r="BD242" s="1578"/>
      <c r="BE242" s="1578"/>
      <c r="BF242" s="1578"/>
      <c r="BG242" s="1578"/>
      <c r="BH242" s="1578"/>
      <c r="BI242" s="1578"/>
      <c r="BJ242" s="1578"/>
      <c r="BK242" s="1578"/>
      <c r="BL242" s="1578"/>
      <c r="BM242" s="1578"/>
      <c r="BN242" s="1578"/>
      <c r="BO242" s="1578"/>
      <c r="BP242" s="1578"/>
      <c r="BQ242" s="1578"/>
      <c r="BR242" s="1578"/>
      <c r="BS242" s="1578"/>
      <c r="BT242" s="1578"/>
      <c r="BU242" s="1578"/>
      <c r="BV242" s="1578"/>
      <c r="BW242" s="1578"/>
      <c r="BX242" s="1578"/>
      <c r="BY242" s="1578"/>
      <c r="BZ242" s="1578"/>
      <c r="CA242" s="1578"/>
      <c r="CB242" s="1578"/>
      <c r="CC242" s="1578"/>
      <c r="CD242" s="1578"/>
      <c r="CE242" s="1578"/>
      <c r="CF242" s="1578"/>
      <c r="CG242" s="1578"/>
      <c r="CH242" s="1578"/>
      <c r="CI242" s="1578"/>
      <c r="CJ242" s="1578"/>
      <c r="CK242" s="1578"/>
      <c r="CL242" s="1578"/>
      <c r="CM242" s="1578"/>
      <c r="CN242" s="1578"/>
      <c r="CO242" s="1578"/>
      <c r="CP242" s="1578"/>
      <c r="CQ242" s="1578"/>
      <c r="CR242" s="1578"/>
      <c r="CS242" s="1578"/>
      <c r="CT242" s="1578"/>
      <c r="CU242" s="1578"/>
      <c r="CV242" s="1578"/>
      <c r="CW242" s="1578"/>
      <c r="CX242" s="1578"/>
      <c r="CY242" s="1578"/>
      <c r="CZ242" s="1578"/>
    </row>
    <row r="243" spans="1:104">
      <c r="A243" s="1466"/>
      <c r="B243" s="1576"/>
      <c r="C243" s="1576"/>
      <c r="D243" s="1576"/>
      <c r="E243" s="1578"/>
      <c r="F243" s="1578"/>
      <c r="G243" s="1578"/>
      <c r="H243" s="1578"/>
      <c r="I243" s="1578"/>
      <c r="J243" s="1578"/>
      <c r="K243" s="1578"/>
      <c r="L243" s="1578"/>
      <c r="M243" s="1578"/>
      <c r="N243" s="1578"/>
      <c r="O243" s="1578"/>
      <c r="P243" s="1578"/>
      <c r="Q243" s="1578"/>
      <c r="R243" s="1578"/>
      <c r="S243" s="1578"/>
      <c r="T243" s="1578"/>
      <c r="U243" s="1578"/>
      <c r="V243" s="1578"/>
      <c r="W243" s="1578"/>
      <c r="X243" s="1578"/>
      <c r="Y243" s="1578"/>
      <c r="Z243" s="1578"/>
      <c r="AA243" s="1578"/>
      <c r="AB243" s="1578"/>
      <c r="AC243" s="1578"/>
      <c r="AD243" s="1578"/>
      <c r="AE243" s="1578"/>
      <c r="AF243" s="1578"/>
      <c r="AG243" s="1578"/>
      <c r="AH243" s="1578"/>
      <c r="AI243" s="1578"/>
      <c r="AJ243" s="1578"/>
      <c r="AK243" s="1578"/>
      <c r="AL243" s="1578"/>
      <c r="AM243" s="1578"/>
      <c r="AN243" s="1578"/>
      <c r="AO243" s="1578"/>
      <c r="AP243" s="1578"/>
      <c r="AQ243" s="1578"/>
      <c r="AR243" s="1578"/>
      <c r="AS243" s="1578"/>
      <c r="AT243" s="1578"/>
      <c r="AU243" s="1578"/>
      <c r="AV243" s="1578"/>
      <c r="AW243" s="1578"/>
      <c r="AX243" s="1578"/>
      <c r="AY243" s="1578"/>
      <c r="AZ243" s="1578"/>
      <c r="BA243" s="1578"/>
      <c r="BB243" s="1578"/>
      <c r="BC243" s="1578"/>
      <c r="BD243" s="1578"/>
      <c r="BE243" s="1578"/>
      <c r="BF243" s="1578"/>
      <c r="BG243" s="1578"/>
      <c r="BH243" s="1578"/>
      <c r="BI243" s="1578"/>
      <c r="BJ243" s="1578"/>
      <c r="BK243" s="1578"/>
      <c r="BL243" s="1578"/>
      <c r="BM243" s="1578"/>
      <c r="BN243" s="1578"/>
      <c r="BO243" s="1578"/>
      <c r="BP243" s="1578"/>
      <c r="BQ243" s="1578"/>
      <c r="BR243" s="1578"/>
      <c r="BS243" s="1578"/>
      <c r="BT243" s="1578"/>
      <c r="BU243" s="1578"/>
      <c r="BV243" s="1578"/>
      <c r="BW243" s="1578"/>
      <c r="BX243" s="1578"/>
      <c r="BY243" s="1578"/>
      <c r="BZ243" s="1578"/>
      <c r="CA243" s="1578"/>
      <c r="CB243" s="1578"/>
      <c r="CC243" s="1578"/>
      <c r="CD243" s="1578"/>
      <c r="CE243" s="1578"/>
      <c r="CF243" s="1578"/>
      <c r="CG243" s="1578"/>
      <c r="CH243" s="1578"/>
      <c r="CI243" s="1578"/>
      <c r="CJ243" s="1578"/>
      <c r="CK243" s="1578"/>
      <c r="CL243" s="1578"/>
      <c r="CM243" s="1578"/>
      <c r="CN243" s="1578"/>
      <c r="CO243" s="1578"/>
      <c r="CP243" s="1578"/>
      <c r="CQ243" s="1578"/>
      <c r="CR243" s="1578"/>
      <c r="CS243" s="1578"/>
      <c r="CT243" s="1578"/>
      <c r="CU243" s="1578"/>
      <c r="CV243" s="1578"/>
      <c r="CW243" s="1578"/>
      <c r="CX243" s="1578"/>
      <c r="CY243" s="1578"/>
      <c r="CZ243" s="1578"/>
    </row>
    <row r="244" spans="1:104">
      <c r="A244" s="1466"/>
      <c r="B244" s="1576"/>
      <c r="C244" s="1576"/>
      <c r="D244" s="1576"/>
      <c r="E244" s="1578"/>
      <c r="F244" s="1578"/>
      <c r="G244" s="1578"/>
      <c r="H244" s="1578"/>
      <c r="I244" s="1578"/>
      <c r="J244" s="1578"/>
      <c r="K244" s="1578"/>
      <c r="L244" s="1578"/>
      <c r="M244" s="1578"/>
      <c r="N244" s="1578"/>
      <c r="O244" s="1578"/>
      <c r="P244" s="1578"/>
      <c r="Q244" s="1578"/>
      <c r="R244" s="1578"/>
      <c r="S244" s="1578"/>
      <c r="T244" s="1578"/>
      <c r="U244" s="1578"/>
      <c r="V244" s="1578"/>
      <c r="W244" s="1578"/>
      <c r="X244" s="1578"/>
      <c r="Y244" s="1578"/>
      <c r="Z244" s="1578"/>
      <c r="AA244" s="1578"/>
      <c r="AB244" s="1578"/>
      <c r="AC244" s="1578"/>
      <c r="AD244" s="1578"/>
      <c r="AE244" s="1578"/>
      <c r="AF244" s="1578"/>
      <c r="AG244" s="1578"/>
      <c r="AH244" s="1578"/>
      <c r="AI244" s="1578"/>
      <c r="AJ244" s="1578"/>
      <c r="AK244" s="1578"/>
      <c r="AL244" s="1578"/>
      <c r="AM244" s="1578"/>
      <c r="AN244" s="1578"/>
      <c r="AO244" s="1578"/>
      <c r="AP244" s="1578"/>
      <c r="AQ244" s="1578"/>
      <c r="AR244" s="1578"/>
      <c r="AS244" s="1578"/>
      <c r="AT244" s="1578"/>
      <c r="AU244" s="1578"/>
      <c r="AV244" s="1578"/>
      <c r="AW244" s="1578"/>
      <c r="AX244" s="1578"/>
      <c r="AY244" s="1578"/>
      <c r="AZ244" s="1578"/>
      <c r="BA244" s="1578"/>
      <c r="BB244" s="1578"/>
      <c r="BC244" s="1578"/>
      <c r="BD244" s="1578"/>
      <c r="BE244" s="1578"/>
      <c r="BF244" s="1578"/>
      <c r="BG244" s="1578"/>
      <c r="BH244" s="1578"/>
      <c r="BI244" s="1578"/>
      <c r="BJ244" s="1578"/>
      <c r="BK244" s="1578"/>
      <c r="BL244" s="1578"/>
      <c r="BM244" s="1578"/>
      <c r="BN244" s="1578"/>
      <c r="BO244" s="1578"/>
      <c r="BP244" s="1578"/>
      <c r="BQ244" s="1578"/>
      <c r="BR244" s="1578"/>
      <c r="BS244" s="1578"/>
      <c r="BT244" s="1578"/>
      <c r="BU244" s="1578"/>
      <c r="BV244" s="1578"/>
      <c r="BW244" s="1578"/>
      <c r="BX244" s="1578"/>
      <c r="BY244" s="1578"/>
      <c r="BZ244" s="1578"/>
      <c r="CA244" s="1578"/>
      <c r="CB244" s="1578"/>
      <c r="CC244" s="1578"/>
      <c r="CD244" s="1578"/>
      <c r="CE244" s="1578"/>
      <c r="CF244" s="1578"/>
      <c r="CG244" s="1578"/>
      <c r="CH244" s="1578"/>
      <c r="CI244" s="1578"/>
      <c r="CJ244" s="1578"/>
      <c r="CK244" s="1578"/>
      <c r="CL244" s="1578"/>
      <c r="CM244" s="1578"/>
      <c r="CN244" s="1578"/>
      <c r="CO244" s="1578"/>
      <c r="CP244" s="1578"/>
      <c r="CQ244" s="1578"/>
      <c r="CR244" s="1578"/>
      <c r="CS244" s="1578"/>
      <c r="CT244" s="1578"/>
      <c r="CU244" s="1578"/>
      <c r="CV244" s="1578"/>
      <c r="CW244" s="1578"/>
      <c r="CX244" s="1578"/>
      <c r="CY244" s="1578"/>
      <c r="CZ244" s="1578"/>
    </row>
    <row r="245" spans="1:104">
      <c r="A245" s="1466"/>
      <c r="B245" s="1576"/>
      <c r="C245" s="1576"/>
      <c r="D245" s="1576"/>
      <c r="E245" s="1578"/>
      <c r="F245" s="1578"/>
      <c r="G245" s="1578"/>
      <c r="H245" s="1578"/>
      <c r="I245" s="1578"/>
      <c r="J245" s="1578"/>
      <c r="K245" s="1578"/>
      <c r="L245" s="1578"/>
      <c r="M245" s="1578"/>
      <c r="N245" s="1578"/>
      <c r="O245" s="1578"/>
      <c r="P245" s="1578"/>
      <c r="Q245" s="1578"/>
      <c r="R245" s="1578"/>
      <c r="S245" s="1578"/>
      <c r="T245" s="1578"/>
      <c r="U245" s="1578"/>
      <c r="V245" s="1578"/>
      <c r="W245" s="1578"/>
      <c r="X245" s="1578"/>
      <c r="Y245" s="1578"/>
      <c r="Z245" s="1578"/>
      <c r="AA245" s="1578"/>
      <c r="AB245" s="1578"/>
      <c r="AC245" s="1578"/>
      <c r="AD245" s="1578"/>
      <c r="AE245" s="1578"/>
      <c r="AF245" s="1578"/>
      <c r="AG245" s="1578"/>
      <c r="AH245" s="1578"/>
      <c r="AI245" s="1578"/>
      <c r="AJ245" s="1578"/>
      <c r="AK245" s="1578"/>
      <c r="AL245" s="1578"/>
      <c r="AM245" s="1578"/>
      <c r="AN245" s="1578"/>
      <c r="AO245" s="1578"/>
      <c r="AP245" s="1578"/>
      <c r="AQ245" s="1578"/>
      <c r="AR245" s="1578"/>
      <c r="AS245" s="1578"/>
      <c r="AT245" s="1578"/>
      <c r="AU245" s="1578"/>
      <c r="AV245" s="1578"/>
      <c r="AW245" s="1578"/>
      <c r="AX245" s="1578"/>
      <c r="AY245" s="1578"/>
      <c r="AZ245" s="1578"/>
      <c r="BA245" s="1578"/>
      <c r="BB245" s="1578"/>
      <c r="BC245" s="1578"/>
      <c r="BD245" s="1578"/>
      <c r="BE245" s="1578"/>
      <c r="BF245" s="1578"/>
      <c r="BG245" s="1578"/>
      <c r="BH245" s="1578"/>
      <c r="BI245" s="1578"/>
      <c r="BJ245" s="1578"/>
      <c r="BK245" s="1578"/>
      <c r="BL245" s="1578"/>
      <c r="BM245" s="1578"/>
      <c r="BN245" s="1578"/>
      <c r="BO245" s="1578"/>
      <c r="BP245" s="1578"/>
      <c r="BQ245" s="1578"/>
      <c r="BR245" s="1578"/>
      <c r="BS245" s="1578"/>
      <c r="BT245" s="1578"/>
      <c r="BU245" s="1578"/>
      <c r="BV245" s="1578"/>
      <c r="BW245" s="1578"/>
      <c r="BX245" s="1578"/>
      <c r="BY245" s="1578"/>
      <c r="BZ245" s="1578"/>
      <c r="CA245" s="1578"/>
      <c r="CB245" s="1578"/>
      <c r="CC245" s="1578"/>
      <c r="CD245" s="1578"/>
      <c r="CE245" s="1578"/>
      <c r="CF245" s="1578"/>
      <c r="CG245" s="1578"/>
      <c r="CH245" s="1578"/>
      <c r="CI245" s="1578"/>
      <c r="CJ245" s="1578"/>
      <c r="CK245" s="1578"/>
      <c r="CL245" s="1578"/>
      <c r="CM245" s="1578"/>
      <c r="CN245" s="1578"/>
      <c r="CO245" s="1578"/>
      <c r="CP245" s="1578"/>
      <c r="CQ245" s="1578"/>
      <c r="CR245" s="1578"/>
      <c r="CS245" s="1578"/>
      <c r="CT245" s="1578"/>
      <c r="CU245" s="1578"/>
      <c r="CV245" s="1578"/>
      <c r="CW245" s="1578"/>
      <c r="CX245" s="1578"/>
      <c r="CY245" s="1578"/>
      <c r="CZ245" s="1578"/>
    </row>
    <row r="246" spans="1:104">
      <c r="A246" s="1466"/>
      <c r="B246" s="1576"/>
      <c r="C246" s="1576"/>
      <c r="D246" s="1576"/>
      <c r="E246" s="1578"/>
      <c r="F246" s="1578"/>
      <c r="G246" s="1578"/>
      <c r="H246" s="1578"/>
      <c r="I246" s="1578"/>
      <c r="J246" s="1578"/>
      <c r="K246" s="1578"/>
      <c r="L246" s="1578"/>
      <c r="M246" s="1578"/>
      <c r="N246" s="1578"/>
      <c r="O246" s="1578"/>
      <c r="P246" s="1578"/>
      <c r="Q246" s="1578"/>
      <c r="R246" s="1578"/>
      <c r="S246" s="1578"/>
      <c r="T246" s="1578"/>
      <c r="U246" s="1578"/>
      <c r="V246" s="1578"/>
      <c r="W246" s="1578"/>
      <c r="X246" s="1578"/>
      <c r="Y246" s="1578"/>
      <c r="Z246" s="1578"/>
      <c r="AA246" s="1578"/>
      <c r="AB246" s="1578"/>
      <c r="AC246" s="1578"/>
      <c r="AD246" s="1578"/>
      <c r="AE246" s="1578"/>
      <c r="AF246" s="1578"/>
      <c r="AG246" s="1578"/>
      <c r="AH246" s="1578"/>
      <c r="AI246" s="1578"/>
      <c r="AJ246" s="1578"/>
      <c r="AK246" s="1578"/>
      <c r="AL246" s="1578"/>
      <c r="AM246" s="1578"/>
      <c r="AN246" s="1578"/>
      <c r="AO246" s="1578"/>
      <c r="AP246" s="1578"/>
      <c r="AQ246" s="1578"/>
      <c r="AR246" s="1578"/>
      <c r="AS246" s="1578"/>
      <c r="AT246" s="1578"/>
      <c r="AU246" s="1578"/>
      <c r="AV246" s="1578"/>
      <c r="AW246" s="1578"/>
      <c r="AX246" s="1578"/>
      <c r="AY246" s="1578"/>
      <c r="AZ246" s="1578"/>
      <c r="BA246" s="1578"/>
      <c r="BB246" s="1578"/>
      <c r="BC246" s="1578"/>
      <c r="BD246" s="1578"/>
      <c r="BE246" s="1578"/>
      <c r="BF246" s="1578"/>
      <c r="BG246" s="1578"/>
      <c r="BH246" s="1578"/>
      <c r="BI246" s="1578"/>
      <c r="BJ246" s="1578"/>
      <c r="BK246" s="1578"/>
      <c r="BL246" s="1578"/>
      <c r="BM246" s="1578"/>
      <c r="BN246" s="1578"/>
      <c r="BO246" s="1578"/>
      <c r="BP246" s="1578"/>
      <c r="BQ246" s="1578"/>
      <c r="BR246" s="1578"/>
      <c r="BS246" s="1578"/>
      <c r="BT246" s="1578"/>
      <c r="BU246" s="1578"/>
      <c r="BV246" s="1578"/>
      <c r="BW246" s="1578"/>
      <c r="BX246" s="1578"/>
      <c r="BY246" s="1578"/>
      <c r="BZ246" s="1578"/>
      <c r="CA246" s="1578"/>
      <c r="CB246" s="1578"/>
      <c r="CC246" s="1578"/>
      <c r="CD246" s="1578"/>
      <c r="CE246" s="1578"/>
      <c r="CF246" s="1578"/>
      <c r="CG246" s="1578"/>
      <c r="CH246" s="1578"/>
      <c r="CI246" s="1578"/>
      <c r="CJ246" s="1578"/>
      <c r="CK246" s="1578"/>
      <c r="CL246" s="1578"/>
      <c r="CM246" s="1578"/>
      <c r="CN246" s="1578"/>
      <c r="CO246" s="1578"/>
      <c r="CP246" s="1578"/>
      <c r="CQ246" s="1578"/>
      <c r="CR246" s="1578"/>
      <c r="CS246" s="1578"/>
      <c r="CT246" s="1578"/>
      <c r="CU246" s="1578"/>
      <c r="CV246" s="1578"/>
      <c r="CW246" s="1578"/>
      <c r="CX246" s="1578"/>
      <c r="CY246" s="1578"/>
      <c r="CZ246" s="1578"/>
    </row>
    <row r="247" spans="1:104">
      <c r="A247" s="1466"/>
      <c r="B247" s="1576"/>
      <c r="C247" s="1576"/>
      <c r="D247" s="1576"/>
      <c r="E247" s="1578"/>
      <c r="F247" s="1578"/>
      <c r="G247" s="1578"/>
      <c r="H247" s="1578"/>
      <c r="I247" s="1578"/>
      <c r="J247" s="1578"/>
      <c r="K247" s="1578"/>
      <c r="L247" s="1578"/>
      <c r="M247" s="1578"/>
      <c r="N247" s="1578"/>
      <c r="O247" s="1578"/>
      <c r="P247" s="1578"/>
      <c r="Q247" s="1578"/>
      <c r="R247" s="1578"/>
      <c r="S247" s="1578"/>
      <c r="T247" s="1578"/>
      <c r="U247" s="1578"/>
      <c r="V247" s="1578"/>
      <c r="W247" s="1578"/>
      <c r="X247" s="1578"/>
      <c r="Y247" s="1578"/>
      <c r="Z247" s="1578"/>
      <c r="AA247" s="1578"/>
      <c r="AB247" s="1578"/>
      <c r="AC247" s="1578"/>
      <c r="AD247" s="1578"/>
      <c r="AE247" s="1578"/>
      <c r="AF247" s="1578"/>
      <c r="AG247" s="1578"/>
      <c r="AH247" s="1578"/>
      <c r="AI247" s="1578"/>
      <c r="AJ247" s="1578"/>
      <c r="AK247" s="1578"/>
      <c r="AL247" s="1578"/>
      <c r="AM247" s="1578"/>
      <c r="AN247" s="1578"/>
      <c r="AO247" s="1578"/>
      <c r="AP247" s="1578"/>
      <c r="AQ247" s="1578"/>
      <c r="AR247" s="1578"/>
      <c r="AS247" s="1578"/>
      <c r="AT247" s="1578"/>
      <c r="AU247" s="1578"/>
      <c r="AV247" s="1578"/>
      <c r="AW247" s="1578"/>
      <c r="AX247" s="1578"/>
      <c r="AY247" s="1578"/>
      <c r="AZ247" s="1578"/>
      <c r="BA247" s="1578"/>
      <c r="BB247" s="1578"/>
      <c r="BC247" s="1578"/>
      <c r="BD247" s="1578"/>
      <c r="BE247" s="1578"/>
      <c r="BF247" s="1578"/>
      <c r="BG247" s="1578"/>
      <c r="BH247" s="1578"/>
      <c r="BI247" s="1578"/>
      <c r="BJ247" s="1578"/>
      <c r="BK247" s="1578"/>
      <c r="BL247" s="1578"/>
      <c r="BM247" s="1578"/>
      <c r="BN247" s="1578"/>
      <c r="BO247" s="1578"/>
      <c r="BP247" s="1578"/>
      <c r="BQ247" s="1578"/>
      <c r="BR247" s="1578"/>
      <c r="BS247" s="1578"/>
      <c r="BT247" s="1578"/>
      <c r="BU247" s="1578"/>
      <c r="BV247" s="1578"/>
      <c r="BW247" s="1578"/>
      <c r="BX247" s="1578"/>
      <c r="BY247" s="1578"/>
      <c r="BZ247" s="1578"/>
      <c r="CA247" s="1578"/>
      <c r="CB247" s="1578"/>
      <c r="CC247" s="1578"/>
      <c r="CD247" s="1578"/>
      <c r="CE247" s="1578"/>
      <c r="CF247" s="1578"/>
      <c r="CG247" s="1578"/>
      <c r="CH247" s="1578"/>
      <c r="CI247" s="1578"/>
      <c r="CJ247" s="1578"/>
      <c r="CK247" s="1578"/>
      <c r="CL247" s="1578"/>
      <c r="CM247" s="1578"/>
      <c r="CN247" s="1578"/>
      <c r="CO247" s="1578"/>
      <c r="CP247" s="1578"/>
      <c r="CQ247" s="1578"/>
      <c r="CR247" s="1578"/>
      <c r="CS247" s="1578"/>
      <c r="CT247" s="1578"/>
      <c r="CU247" s="1578"/>
      <c r="CV247" s="1578"/>
      <c r="CW247" s="1578"/>
      <c r="CX247" s="1578"/>
      <c r="CY247" s="1578"/>
      <c r="CZ247" s="1578"/>
    </row>
    <row r="248" spans="1:104">
      <c r="A248" s="1466"/>
      <c r="B248" s="1576"/>
      <c r="C248" s="1576"/>
      <c r="D248" s="1576"/>
      <c r="E248" s="1578"/>
      <c r="F248" s="1578"/>
      <c r="G248" s="1578"/>
      <c r="H248" s="1578"/>
      <c r="I248" s="1578"/>
      <c r="J248" s="1578"/>
      <c r="K248" s="1578"/>
      <c r="L248" s="1578"/>
      <c r="M248" s="1578"/>
      <c r="N248" s="1578"/>
      <c r="O248" s="1578"/>
      <c r="P248" s="1578"/>
      <c r="Q248" s="1578"/>
      <c r="R248" s="1578"/>
      <c r="S248" s="1578"/>
      <c r="T248" s="1578"/>
      <c r="U248" s="1578"/>
      <c r="V248" s="1578"/>
      <c r="W248" s="1578"/>
      <c r="X248" s="1578"/>
      <c r="Y248" s="1578"/>
      <c r="Z248" s="1578"/>
      <c r="AA248" s="1578"/>
      <c r="AB248" s="1578"/>
      <c r="AC248" s="1578"/>
      <c r="AD248" s="1578"/>
      <c r="AE248" s="1578"/>
      <c r="AF248" s="1578"/>
      <c r="AG248" s="1578"/>
      <c r="AH248" s="1578"/>
      <c r="AI248" s="1578"/>
      <c r="AJ248" s="1578"/>
      <c r="AK248" s="1578"/>
      <c r="AL248" s="1578"/>
      <c r="AM248" s="1578"/>
      <c r="AN248" s="1578"/>
      <c r="AO248" s="1578"/>
      <c r="AP248" s="1578"/>
      <c r="AQ248" s="1578"/>
      <c r="AR248" s="1578"/>
      <c r="AS248" s="1578"/>
      <c r="AT248" s="1578"/>
      <c r="AU248" s="1578"/>
      <c r="AV248" s="1578"/>
      <c r="AW248" s="1578"/>
      <c r="AX248" s="1578"/>
      <c r="AY248" s="1578"/>
      <c r="AZ248" s="1578"/>
      <c r="BA248" s="1578"/>
      <c r="BB248" s="1578"/>
      <c r="BC248" s="1578"/>
      <c r="BD248" s="1578"/>
      <c r="BE248" s="1578"/>
      <c r="BF248" s="1578"/>
      <c r="BG248" s="1578"/>
      <c r="BH248" s="1578"/>
      <c r="BI248" s="1578"/>
      <c r="BJ248" s="1578"/>
      <c r="BK248" s="1578"/>
      <c r="BL248" s="1578"/>
      <c r="BM248" s="1578"/>
      <c r="BN248" s="1578"/>
      <c r="BO248" s="1578"/>
      <c r="BP248" s="1578"/>
      <c r="BQ248" s="1578"/>
      <c r="BR248" s="1578"/>
      <c r="BS248" s="1578"/>
      <c r="BT248" s="1578"/>
      <c r="BU248" s="1578"/>
      <c r="BV248" s="1578"/>
      <c r="BW248" s="1578"/>
      <c r="BX248" s="1578"/>
      <c r="BY248" s="1578"/>
      <c r="BZ248" s="1578"/>
      <c r="CA248" s="1578"/>
      <c r="CB248" s="1578"/>
      <c r="CC248" s="1578"/>
      <c r="CD248" s="1578"/>
      <c r="CE248" s="1578"/>
      <c r="CF248" s="1578"/>
      <c r="CG248" s="1578"/>
      <c r="CH248" s="1578"/>
      <c r="CI248" s="1578"/>
      <c r="CJ248" s="1578"/>
      <c r="CK248" s="1578"/>
      <c r="CL248" s="1578"/>
      <c r="CM248" s="1578"/>
      <c r="CN248" s="1578"/>
      <c r="CO248" s="1578"/>
      <c r="CP248" s="1578"/>
      <c r="CQ248" s="1578"/>
      <c r="CR248" s="1578"/>
      <c r="CS248" s="1578"/>
      <c r="CT248" s="1578"/>
      <c r="CU248" s="1578"/>
      <c r="CV248" s="1578"/>
      <c r="CW248" s="1578"/>
      <c r="CX248" s="1578"/>
      <c r="CY248" s="1578"/>
      <c r="CZ248" s="1578"/>
    </row>
    <row r="249" spans="1:104">
      <c r="A249" s="1466"/>
      <c r="B249" s="1576"/>
      <c r="C249" s="1576"/>
      <c r="D249" s="1576"/>
      <c r="E249" s="1578"/>
      <c r="F249" s="1578"/>
      <c r="G249" s="1578"/>
      <c r="H249" s="1578"/>
      <c r="I249" s="1578"/>
      <c r="J249" s="1578"/>
      <c r="K249" s="1578"/>
      <c r="L249" s="1578"/>
      <c r="M249" s="1578"/>
      <c r="N249" s="1578"/>
      <c r="O249" s="1578"/>
      <c r="P249" s="1578"/>
      <c r="Q249" s="1578"/>
      <c r="R249" s="1578"/>
      <c r="S249" s="1578"/>
      <c r="T249" s="1578"/>
      <c r="U249" s="1578"/>
      <c r="V249" s="1578"/>
      <c r="W249" s="1578"/>
      <c r="X249" s="1578"/>
      <c r="Y249" s="1578"/>
      <c r="Z249" s="1578"/>
      <c r="AA249" s="1578"/>
      <c r="AB249" s="1578"/>
      <c r="AC249" s="1578"/>
      <c r="AD249" s="1578"/>
      <c r="AE249" s="1578"/>
      <c r="AF249" s="1578"/>
      <c r="AG249" s="1578"/>
      <c r="AH249" s="1578"/>
      <c r="AI249" s="1578"/>
      <c r="AJ249" s="1578"/>
      <c r="AK249" s="1578"/>
      <c r="AL249" s="1578"/>
      <c r="AM249" s="1578"/>
      <c r="AN249" s="1578"/>
      <c r="AO249" s="1578"/>
      <c r="AP249" s="1578"/>
      <c r="AQ249" s="1578"/>
      <c r="AR249" s="1578"/>
      <c r="AS249" s="1578"/>
      <c r="AT249" s="1578"/>
      <c r="AU249" s="1578"/>
      <c r="AV249" s="1578"/>
      <c r="AW249" s="1578"/>
      <c r="AX249" s="1578"/>
      <c r="AY249" s="1578"/>
      <c r="AZ249" s="1578"/>
      <c r="BA249" s="1578"/>
      <c r="BB249" s="1578"/>
      <c r="BC249" s="1578"/>
      <c r="BD249" s="1578"/>
      <c r="BE249" s="1578"/>
      <c r="BF249" s="1578"/>
      <c r="BG249" s="1578"/>
      <c r="BH249" s="1578"/>
      <c r="BI249" s="1578"/>
      <c r="BJ249" s="1578"/>
      <c r="BK249" s="1578"/>
      <c r="BL249" s="1578"/>
      <c r="BM249" s="1578"/>
      <c r="BN249" s="1578"/>
      <c r="BO249" s="1578"/>
      <c r="BP249" s="1578"/>
      <c r="BQ249" s="1578"/>
      <c r="BR249" s="1578"/>
      <c r="BS249" s="1578"/>
      <c r="BT249" s="1578"/>
      <c r="BU249" s="1578"/>
      <c r="BV249" s="1578"/>
      <c r="BW249" s="1578"/>
      <c r="BX249" s="1578"/>
      <c r="BY249" s="1578"/>
      <c r="BZ249" s="1578"/>
      <c r="CA249" s="1578"/>
      <c r="CB249" s="1578"/>
      <c r="CC249" s="1578"/>
      <c r="CD249" s="1578"/>
      <c r="CE249" s="1578"/>
      <c r="CF249" s="1578"/>
      <c r="CG249" s="1578"/>
      <c r="CH249" s="1578"/>
      <c r="CI249" s="1578"/>
      <c r="CJ249" s="1578"/>
      <c r="CK249" s="1578"/>
      <c r="CL249" s="1578"/>
      <c r="CM249" s="1578"/>
      <c r="CN249" s="1578"/>
      <c r="CO249" s="1578"/>
      <c r="CP249" s="1578"/>
      <c r="CQ249" s="1578"/>
      <c r="CR249" s="1578"/>
      <c r="CS249" s="1578"/>
      <c r="CT249" s="1578"/>
      <c r="CU249" s="1578"/>
      <c r="CV249" s="1578"/>
      <c r="CW249" s="1578"/>
      <c r="CX249" s="1578"/>
      <c r="CY249" s="1578"/>
      <c r="CZ249" s="1578"/>
    </row>
    <row r="250" spans="1:104">
      <c r="A250" s="1466"/>
      <c r="B250" s="1576"/>
      <c r="C250" s="1576"/>
      <c r="D250" s="1576"/>
      <c r="E250" s="1578"/>
      <c r="F250" s="1578"/>
      <c r="G250" s="1578"/>
      <c r="H250" s="1578"/>
      <c r="I250" s="1578"/>
      <c r="J250" s="1578"/>
      <c r="K250" s="1578"/>
      <c r="L250" s="1578"/>
      <c r="M250" s="1578"/>
      <c r="N250" s="1578"/>
      <c r="O250" s="1578"/>
      <c r="P250" s="1578"/>
      <c r="Q250" s="1578"/>
      <c r="R250" s="1578"/>
      <c r="S250" s="1578"/>
      <c r="T250" s="1578"/>
      <c r="U250" s="1578"/>
      <c r="V250" s="1578"/>
      <c r="W250" s="1578"/>
      <c r="X250" s="1578"/>
      <c r="Y250" s="1578"/>
      <c r="Z250" s="1578"/>
      <c r="AA250" s="1578"/>
      <c r="AB250" s="1578"/>
      <c r="AC250" s="1578"/>
      <c r="AD250" s="1578"/>
      <c r="AE250" s="1578"/>
      <c r="AF250" s="1578"/>
      <c r="AG250" s="1578"/>
      <c r="AH250" s="1578"/>
      <c r="AI250" s="1578"/>
      <c r="AJ250" s="1578"/>
      <c r="AK250" s="1578"/>
      <c r="AL250" s="1578"/>
      <c r="AM250" s="1578"/>
      <c r="AN250" s="1578"/>
      <c r="AO250" s="1578"/>
      <c r="AP250" s="1578"/>
      <c r="AQ250" s="1578"/>
      <c r="AR250" s="1578"/>
      <c r="AS250" s="1578"/>
      <c r="AT250" s="1578"/>
      <c r="AU250" s="1578"/>
      <c r="AV250" s="1578"/>
      <c r="AW250" s="1578"/>
      <c r="AX250" s="1578"/>
      <c r="AY250" s="1578"/>
      <c r="AZ250" s="1578"/>
      <c r="BA250" s="1578"/>
      <c r="BB250" s="1578"/>
      <c r="BC250" s="1578"/>
      <c r="BD250" s="1578"/>
      <c r="BE250" s="1578"/>
      <c r="BF250" s="1578"/>
      <c r="BG250" s="1578"/>
      <c r="BH250" s="1578"/>
      <c r="BI250" s="1578"/>
      <c r="BJ250" s="1578"/>
      <c r="BK250" s="1578"/>
      <c r="BL250" s="1578"/>
      <c r="BM250" s="1578"/>
      <c r="BN250" s="1578"/>
      <c r="BO250" s="1578"/>
      <c r="BP250" s="1578"/>
      <c r="BQ250" s="1578"/>
      <c r="BR250" s="1578"/>
      <c r="BS250" s="1578"/>
      <c r="BT250" s="1578"/>
      <c r="BU250" s="1578"/>
      <c r="BV250" s="1578"/>
      <c r="BW250" s="1578"/>
      <c r="BX250" s="1578"/>
      <c r="BY250" s="1578"/>
      <c r="BZ250" s="1578"/>
      <c r="CA250" s="1578"/>
      <c r="CB250" s="1578"/>
      <c r="CC250" s="1578"/>
      <c r="CD250" s="1578"/>
      <c r="CE250" s="1578"/>
      <c r="CF250" s="1578"/>
      <c r="CG250" s="1578"/>
      <c r="CH250" s="1578"/>
      <c r="CI250" s="1578"/>
      <c r="CJ250" s="1578"/>
      <c r="CK250" s="1578"/>
      <c r="CL250" s="1578"/>
      <c r="CM250" s="1578"/>
      <c r="CN250" s="1578"/>
      <c r="CO250" s="1578"/>
      <c r="CP250" s="1578"/>
      <c r="CQ250" s="1578"/>
      <c r="CR250" s="1578"/>
      <c r="CS250" s="1578"/>
      <c r="CT250" s="1578"/>
      <c r="CU250" s="1578"/>
      <c r="CV250" s="1578"/>
      <c r="CW250" s="1578"/>
      <c r="CX250" s="1578"/>
      <c r="CY250" s="1578"/>
      <c r="CZ250" s="1578"/>
    </row>
    <row r="251" spans="1:104">
      <c r="A251" s="1466"/>
      <c r="B251" s="1576"/>
      <c r="C251" s="1576"/>
      <c r="D251" s="1576"/>
      <c r="E251" s="1578"/>
      <c r="F251" s="1578"/>
      <c r="G251" s="1578"/>
      <c r="H251" s="1578"/>
      <c r="I251" s="1578"/>
      <c r="J251" s="1578"/>
      <c r="K251" s="1578"/>
      <c r="L251" s="1578"/>
      <c r="M251" s="1578"/>
      <c r="N251" s="1578"/>
      <c r="O251" s="1578"/>
      <c r="P251" s="1578"/>
      <c r="Q251" s="1578"/>
      <c r="R251" s="1578"/>
      <c r="S251" s="1578"/>
      <c r="T251" s="1578"/>
      <c r="U251" s="1578"/>
      <c r="V251" s="1578"/>
      <c r="W251" s="1578"/>
      <c r="X251" s="1578"/>
      <c r="Y251" s="1578"/>
      <c r="Z251" s="1578"/>
      <c r="AA251" s="1578"/>
      <c r="AB251" s="1578"/>
      <c r="AC251" s="1578"/>
      <c r="AD251" s="1578"/>
      <c r="AE251" s="1578"/>
      <c r="AF251" s="1578"/>
      <c r="AG251" s="1578"/>
      <c r="AH251" s="1578"/>
      <c r="AI251" s="1578"/>
      <c r="AJ251" s="1578"/>
      <c r="AK251" s="1578"/>
      <c r="AL251" s="1578"/>
      <c r="AM251" s="1578"/>
      <c r="AN251" s="1578"/>
      <c r="AO251" s="1578"/>
      <c r="AP251" s="1578"/>
      <c r="AQ251" s="1578"/>
      <c r="AR251" s="1578"/>
      <c r="AS251" s="1578"/>
      <c r="AT251" s="1578"/>
      <c r="AU251" s="1578"/>
      <c r="AV251" s="1578"/>
      <c r="AW251" s="1578"/>
      <c r="AX251" s="1578"/>
      <c r="AY251" s="1578"/>
      <c r="AZ251" s="1578"/>
      <c r="BA251" s="1578"/>
      <c r="BB251" s="1578"/>
      <c r="BC251" s="1578"/>
      <c r="BD251" s="1578"/>
      <c r="BE251" s="1578"/>
      <c r="BF251" s="1578"/>
      <c r="BG251" s="1578"/>
      <c r="BH251" s="1578"/>
      <c r="BI251" s="1578"/>
      <c r="BJ251" s="1578"/>
      <c r="BK251" s="1578"/>
      <c r="BL251" s="1578"/>
      <c r="BM251" s="1578"/>
      <c r="BN251" s="1578"/>
      <c r="BO251" s="1578"/>
      <c r="BP251" s="1578"/>
      <c r="BQ251" s="1578"/>
      <c r="BR251" s="1578"/>
      <c r="BS251" s="1578"/>
      <c r="BT251" s="1578"/>
      <c r="BU251" s="1578"/>
      <c r="BV251" s="1578"/>
      <c r="BW251" s="1578"/>
      <c r="BX251" s="1578"/>
      <c r="BY251" s="1578"/>
      <c r="BZ251" s="1578"/>
      <c r="CA251" s="1578"/>
      <c r="CB251" s="1578"/>
      <c r="CC251" s="1578"/>
      <c r="CD251" s="1578"/>
      <c r="CE251" s="1578"/>
      <c r="CF251" s="1578"/>
      <c r="CG251" s="1578"/>
      <c r="CH251" s="1578"/>
      <c r="CI251" s="1578"/>
      <c r="CJ251" s="1578"/>
      <c r="CK251" s="1578"/>
      <c r="CL251" s="1578"/>
      <c r="CM251" s="1578"/>
      <c r="CN251" s="1578"/>
      <c r="CO251" s="1578"/>
      <c r="CP251" s="1578"/>
      <c r="CQ251" s="1578"/>
      <c r="CR251" s="1578"/>
      <c r="CS251" s="1578"/>
      <c r="CT251" s="1578"/>
      <c r="CU251" s="1578"/>
      <c r="CV251" s="1578"/>
      <c r="CW251" s="1578"/>
      <c r="CX251" s="1578"/>
      <c r="CY251" s="1578"/>
      <c r="CZ251" s="1578"/>
    </row>
    <row r="252" spans="1:104">
      <c r="A252" s="1466"/>
      <c r="B252" s="1576"/>
      <c r="C252" s="1576"/>
      <c r="D252" s="1576"/>
      <c r="E252" s="1578"/>
      <c r="F252" s="1578"/>
      <c r="G252" s="1578"/>
      <c r="H252" s="1578"/>
      <c r="I252" s="1578"/>
      <c r="J252" s="1578"/>
      <c r="K252" s="1578"/>
      <c r="L252" s="1578"/>
      <c r="M252" s="1578"/>
      <c r="N252" s="1578"/>
      <c r="O252" s="1578"/>
      <c r="P252" s="1578"/>
      <c r="Q252" s="1578"/>
      <c r="R252" s="1578"/>
      <c r="S252" s="1578"/>
      <c r="T252" s="1578"/>
      <c r="U252" s="1578"/>
      <c r="V252" s="1578"/>
      <c r="W252" s="1578"/>
      <c r="X252" s="1578"/>
      <c r="Y252" s="1578"/>
      <c r="Z252" s="1578"/>
      <c r="AA252" s="1578"/>
      <c r="AB252" s="1578"/>
      <c r="AC252" s="1578"/>
      <c r="AD252" s="1578"/>
      <c r="AE252" s="1578"/>
      <c r="AF252" s="1578"/>
      <c r="AG252" s="1578"/>
      <c r="AH252" s="1578"/>
      <c r="AI252" s="1578"/>
      <c r="AJ252" s="1578"/>
      <c r="AK252" s="1578"/>
      <c r="AL252" s="1578"/>
      <c r="AM252" s="1578"/>
      <c r="AN252" s="1578"/>
      <c r="AO252" s="1578"/>
      <c r="AP252" s="1578"/>
      <c r="AQ252" s="1578"/>
      <c r="AR252" s="1578"/>
      <c r="AS252" s="1578"/>
      <c r="AT252" s="1578"/>
      <c r="AU252" s="1578"/>
      <c r="AV252" s="1578"/>
      <c r="AW252" s="1578"/>
      <c r="AX252" s="1578"/>
      <c r="AY252" s="1578"/>
      <c r="AZ252" s="1578"/>
      <c r="BA252" s="1578"/>
      <c r="BB252" s="1578"/>
      <c r="BC252" s="1578"/>
      <c r="BD252" s="1578"/>
      <c r="BE252" s="1578"/>
      <c r="BF252" s="1578"/>
      <c r="BG252" s="1578"/>
      <c r="BH252" s="1578"/>
      <c r="BI252" s="1578"/>
      <c r="BJ252" s="1578"/>
      <c r="BK252" s="1578"/>
      <c r="BL252" s="1578"/>
      <c r="BM252" s="1578"/>
      <c r="BN252" s="1578"/>
      <c r="BO252" s="1578"/>
      <c r="BP252" s="1578"/>
      <c r="BQ252" s="1578"/>
      <c r="BR252" s="1578"/>
      <c r="BS252" s="1578"/>
      <c r="BT252" s="1578"/>
      <c r="BU252" s="1578"/>
      <c r="BV252" s="1578"/>
      <c r="BW252" s="1578"/>
      <c r="BX252" s="1578"/>
      <c r="BY252" s="1578"/>
      <c r="BZ252" s="1578"/>
      <c r="CA252" s="1578"/>
      <c r="CB252" s="1578"/>
      <c r="CC252" s="1578"/>
      <c r="CD252" s="1578"/>
      <c r="CE252" s="1578"/>
      <c r="CF252" s="1578"/>
      <c r="CG252" s="1578"/>
      <c r="CH252" s="1578"/>
      <c r="CI252" s="1578"/>
      <c r="CJ252" s="1578"/>
      <c r="CK252" s="1578"/>
      <c r="CL252" s="1578"/>
      <c r="CM252" s="1578"/>
      <c r="CN252" s="1578"/>
      <c r="CO252" s="1578"/>
      <c r="CP252" s="1578"/>
      <c r="CQ252" s="1578"/>
      <c r="CR252" s="1578"/>
      <c r="CS252" s="1578"/>
      <c r="CT252" s="1578"/>
      <c r="CU252" s="1578"/>
      <c r="CV252" s="1578"/>
      <c r="CW252" s="1578"/>
      <c r="CX252" s="1578"/>
      <c r="CY252" s="1578"/>
      <c r="CZ252" s="1578"/>
    </row>
    <row r="253" spans="1:104">
      <c r="A253" s="1466"/>
      <c r="B253" s="1576"/>
      <c r="C253" s="1576"/>
      <c r="D253" s="1576"/>
      <c r="E253" s="1578"/>
      <c r="F253" s="1578"/>
      <c r="G253" s="1578"/>
      <c r="H253" s="1578"/>
      <c r="I253" s="1578"/>
      <c r="J253" s="1578"/>
      <c r="K253" s="1578"/>
      <c r="L253" s="1578"/>
      <c r="M253" s="1578"/>
      <c r="N253" s="1578"/>
      <c r="O253" s="1578"/>
      <c r="P253" s="1578"/>
      <c r="Q253" s="1578"/>
      <c r="R253" s="1578"/>
      <c r="S253" s="1578"/>
      <c r="T253" s="1578"/>
      <c r="U253" s="1578"/>
      <c r="V253" s="1578"/>
      <c r="W253" s="1578"/>
      <c r="X253" s="1578"/>
      <c r="Y253" s="1578"/>
      <c r="Z253" s="1578"/>
      <c r="AA253" s="1578"/>
      <c r="AB253" s="1578"/>
      <c r="AC253" s="1578"/>
      <c r="AD253" s="1578"/>
      <c r="AE253" s="1578"/>
      <c r="AF253" s="1578"/>
      <c r="AG253" s="1578"/>
      <c r="AH253" s="1578"/>
      <c r="AI253" s="1578"/>
      <c r="AJ253" s="1578"/>
      <c r="AK253" s="1578"/>
      <c r="AL253" s="1578"/>
      <c r="AM253" s="1578"/>
      <c r="AN253" s="1578"/>
      <c r="AO253" s="1578"/>
      <c r="AP253" s="1578"/>
      <c r="AQ253" s="1578"/>
      <c r="AR253" s="1578"/>
      <c r="AS253" s="1578"/>
      <c r="AT253" s="1578"/>
      <c r="AU253" s="1578"/>
      <c r="AV253" s="1578"/>
      <c r="AW253" s="1578"/>
      <c r="AX253" s="1578"/>
      <c r="AY253" s="1578"/>
      <c r="AZ253" s="1578"/>
      <c r="BA253" s="1578"/>
      <c r="BB253" s="1578"/>
      <c r="BC253" s="1578"/>
      <c r="BD253" s="1578"/>
      <c r="BE253" s="1578"/>
      <c r="BF253" s="1578"/>
      <c r="BG253" s="1578"/>
      <c r="BH253" s="1578"/>
      <c r="BI253" s="1578"/>
      <c r="BJ253" s="1578"/>
      <c r="BK253" s="1578"/>
      <c r="BL253" s="1578"/>
      <c r="BM253" s="1578"/>
      <c r="BN253" s="1578"/>
      <c r="BO253" s="1578"/>
      <c r="BP253" s="1578"/>
      <c r="BQ253" s="1578"/>
      <c r="BR253" s="1578"/>
      <c r="BS253" s="1578"/>
      <c r="BT253" s="1578"/>
      <c r="BU253" s="1578"/>
      <c r="BV253" s="1578"/>
      <c r="BW253" s="1578"/>
      <c r="BX253" s="1578"/>
      <c r="BY253" s="1578"/>
      <c r="BZ253" s="1578"/>
      <c r="CA253" s="1578"/>
      <c r="CB253" s="1578"/>
      <c r="CC253" s="1578"/>
      <c r="CD253" s="1578"/>
      <c r="CE253" s="1578"/>
      <c r="CF253" s="1578"/>
      <c r="CG253" s="1578"/>
      <c r="CH253" s="1578"/>
      <c r="CI253" s="1578"/>
      <c r="CJ253" s="1578"/>
      <c r="CK253" s="1578"/>
      <c r="CL253" s="1578"/>
      <c r="CM253" s="1578"/>
      <c r="CN253" s="1578"/>
      <c r="CO253" s="1578"/>
      <c r="CP253" s="1578"/>
      <c r="CQ253" s="1578"/>
      <c r="CR253" s="1578"/>
      <c r="CS253" s="1578"/>
      <c r="CT253" s="1578"/>
      <c r="CU253" s="1578"/>
      <c r="CV253" s="1578"/>
      <c r="CW253" s="1578"/>
      <c r="CX253" s="1578"/>
      <c r="CY253" s="1578"/>
      <c r="CZ253" s="1578"/>
    </row>
    <row r="254" spans="1:104">
      <c r="A254" s="1466"/>
      <c r="B254" s="1576"/>
      <c r="C254" s="1576"/>
      <c r="D254" s="1576"/>
      <c r="E254" s="1578"/>
      <c r="F254" s="1578"/>
      <c r="G254" s="1578"/>
      <c r="H254" s="1578"/>
      <c r="I254" s="1578"/>
      <c r="J254" s="1578"/>
      <c r="K254" s="1578"/>
      <c r="L254" s="1578"/>
      <c r="M254" s="1578"/>
      <c r="N254" s="1578"/>
      <c r="O254" s="1578"/>
      <c r="P254" s="1578"/>
      <c r="Q254" s="1578"/>
      <c r="R254" s="1578"/>
      <c r="S254" s="1578"/>
      <c r="T254" s="1578"/>
      <c r="U254" s="1578"/>
      <c r="V254" s="1578"/>
      <c r="W254" s="1578"/>
      <c r="X254" s="1578"/>
      <c r="Y254" s="1578"/>
      <c r="Z254" s="1578"/>
      <c r="AA254" s="1578"/>
      <c r="AB254" s="1578"/>
      <c r="AC254" s="1578"/>
      <c r="AD254" s="1578"/>
      <c r="AE254" s="1578"/>
      <c r="AF254" s="1578"/>
      <c r="AG254" s="1578"/>
      <c r="AH254" s="1578"/>
      <c r="AI254" s="1578"/>
      <c r="AJ254" s="1578"/>
      <c r="AK254" s="1578"/>
      <c r="AL254" s="1578"/>
      <c r="AM254" s="1578"/>
      <c r="AN254" s="1578"/>
      <c r="AO254" s="1578"/>
      <c r="AP254" s="1578"/>
      <c r="AQ254" s="1578"/>
      <c r="AR254" s="1578"/>
      <c r="AS254" s="1578"/>
      <c r="AT254" s="1578"/>
      <c r="AU254" s="1578"/>
      <c r="AV254" s="1578"/>
      <c r="AW254" s="1578"/>
      <c r="AX254" s="1578"/>
      <c r="AY254" s="1578"/>
      <c r="AZ254" s="1578"/>
      <c r="BA254" s="1578"/>
      <c r="BB254" s="1578"/>
      <c r="BC254" s="1578"/>
      <c r="BD254" s="1578"/>
      <c r="BE254" s="1578"/>
      <c r="BF254" s="1578"/>
      <c r="BG254" s="1578"/>
      <c r="BH254" s="1578"/>
      <c r="BI254" s="1578"/>
      <c r="BJ254" s="1578"/>
      <c r="BK254" s="1578"/>
      <c r="BL254" s="1578"/>
      <c r="BM254" s="1578"/>
      <c r="BN254" s="1578"/>
      <c r="BO254" s="1578"/>
      <c r="BP254" s="1578"/>
      <c r="BQ254" s="1578"/>
      <c r="BR254" s="1578"/>
      <c r="BS254" s="1578"/>
      <c r="BT254" s="1578"/>
      <c r="BU254" s="1578"/>
      <c r="BV254" s="1578"/>
      <c r="BW254" s="1578"/>
      <c r="BX254" s="1578"/>
      <c r="BY254" s="1578"/>
      <c r="BZ254" s="1578"/>
      <c r="CA254" s="1578"/>
      <c r="CB254" s="1578"/>
      <c r="CC254" s="1578"/>
      <c r="CD254" s="1578"/>
      <c r="CE254" s="1578"/>
      <c r="CF254" s="1578"/>
      <c r="CG254" s="1578"/>
      <c r="CH254" s="1578"/>
      <c r="CI254" s="1578"/>
      <c r="CJ254" s="1578"/>
      <c r="CK254" s="1578"/>
      <c r="CL254" s="1578"/>
      <c r="CM254" s="1578"/>
      <c r="CN254" s="1578"/>
      <c r="CO254" s="1578"/>
      <c r="CP254" s="1578"/>
      <c r="CQ254" s="1578"/>
      <c r="CR254" s="1578"/>
      <c r="CS254" s="1578"/>
      <c r="CT254" s="1578"/>
      <c r="CU254" s="1578"/>
      <c r="CV254" s="1578"/>
      <c r="CW254" s="1578"/>
      <c r="CX254" s="1578"/>
      <c r="CY254" s="1578"/>
      <c r="CZ254" s="1578"/>
    </row>
    <row r="255" spans="1:104">
      <c r="A255" s="1466"/>
      <c r="B255" s="1576"/>
      <c r="C255" s="1576"/>
      <c r="D255" s="1576"/>
      <c r="E255" s="1578"/>
      <c r="F255" s="1578"/>
      <c r="G255" s="1578"/>
      <c r="H255" s="1578"/>
      <c r="I255" s="1578"/>
      <c r="J255" s="1578"/>
      <c r="K255" s="1578"/>
      <c r="L255" s="1578"/>
      <c r="M255" s="1578"/>
      <c r="N255" s="1578"/>
      <c r="O255" s="1578"/>
      <c r="P255" s="1578"/>
      <c r="Q255" s="1578"/>
      <c r="R255" s="1578"/>
      <c r="S255" s="1578"/>
      <c r="T255" s="1578"/>
      <c r="U255" s="1578"/>
      <c r="V255" s="1578"/>
      <c r="W255" s="1578"/>
      <c r="X255" s="1578"/>
      <c r="Y255" s="1578"/>
      <c r="Z255" s="1578"/>
      <c r="AA255" s="1578"/>
      <c r="AB255" s="1578"/>
      <c r="AC255" s="1578"/>
      <c r="AD255" s="1578"/>
      <c r="AE255" s="1578"/>
      <c r="AF255" s="1578"/>
      <c r="AG255" s="1578"/>
      <c r="AH255" s="1578"/>
      <c r="AI255" s="1578"/>
      <c r="AJ255" s="1578"/>
      <c r="AK255" s="1578"/>
      <c r="AL255" s="1578"/>
      <c r="AM255" s="1578"/>
      <c r="AN255" s="1578"/>
      <c r="AO255" s="1578"/>
      <c r="AP255" s="1578"/>
      <c r="AQ255" s="1578"/>
      <c r="AR255" s="1578"/>
      <c r="AS255" s="1578"/>
      <c r="AT255" s="1578"/>
      <c r="AU255" s="1578"/>
      <c r="AV255" s="1578"/>
      <c r="AW255" s="1578"/>
      <c r="AX255" s="1578"/>
      <c r="AY255" s="1578"/>
      <c r="AZ255" s="1578"/>
      <c r="BA255" s="1578"/>
      <c r="BB255" s="1578"/>
      <c r="BC255" s="1578"/>
      <c r="BD255" s="1578"/>
      <c r="BE255" s="1578"/>
      <c r="BF255" s="1578"/>
      <c r="BG255" s="1578"/>
      <c r="BH255" s="1578"/>
      <c r="BI255" s="1578"/>
      <c r="BJ255" s="1578"/>
      <c r="BK255" s="1578"/>
      <c r="BL255" s="1578"/>
      <c r="BM255" s="1578"/>
      <c r="BN255" s="1578"/>
      <c r="BO255" s="1578"/>
      <c r="BP255" s="1578"/>
      <c r="BQ255" s="1578"/>
      <c r="BR255" s="1578"/>
      <c r="BS255" s="1578"/>
      <c r="BT255" s="1578"/>
      <c r="BU255" s="1578"/>
      <c r="BV255" s="1578"/>
      <c r="BW255" s="1578"/>
      <c r="BX255" s="1578"/>
      <c r="BY255" s="1578"/>
      <c r="BZ255" s="1578"/>
      <c r="CA255" s="1578"/>
      <c r="CB255" s="1578"/>
      <c r="CC255" s="1578"/>
      <c r="CD255" s="1578"/>
      <c r="CE255" s="1578"/>
      <c r="CF255" s="1578"/>
      <c r="CG255" s="1578"/>
      <c r="CH255" s="1578"/>
      <c r="CI255" s="1578"/>
      <c r="CJ255" s="1578"/>
      <c r="CK255" s="1578"/>
      <c r="CL255" s="1578"/>
      <c r="CM255" s="1578"/>
      <c r="CN255" s="1578"/>
      <c r="CO255" s="1578"/>
      <c r="CP255" s="1578"/>
      <c r="CQ255" s="1578"/>
      <c r="CR255" s="1578"/>
      <c r="CS255" s="1578"/>
      <c r="CT255" s="1578"/>
      <c r="CU255" s="1578"/>
      <c r="CV255" s="1578"/>
      <c r="CW255" s="1578"/>
      <c r="CX255" s="1578"/>
      <c r="CY255" s="1578"/>
      <c r="CZ255" s="1578"/>
    </row>
    <row r="256" spans="1:104">
      <c r="A256" s="1466"/>
      <c r="B256" s="1576"/>
      <c r="C256" s="1576"/>
      <c r="D256" s="1576"/>
      <c r="E256" s="1578"/>
      <c r="F256" s="1578"/>
      <c r="G256" s="1578"/>
      <c r="H256" s="1578"/>
      <c r="I256" s="1578"/>
      <c r="J256" s="1578"/>
      <c r="K256" s="1578"/>
      <c r="L256" s="1578"/>
      <c r="M256" s="1578"/>
      <c r="N256" s="1578"/>
      <c r="O256" s="1578"/>
      <c r="P256" s="1578"/>
      <c r="Q256" s="1578"/>
      <c r="R256" s="1578"/>
      <c r="S256" s="1578"/>
      <c r="T256" s="1578"/>
      <c r="U256" s="1578"/>
      <c r="V256" s="1578"/>
      <c r="W256" s="1578"/>
      <c r="X256" s="1578"/>
      <c r="Y256" s="1578"/>
      <c r="Z256" s="1578"/>
      <c r="AA256" s="1578"/>
      <c r="AB256" s="1578"/>
      <c r="AC256" s="1578"/>
      <c r="AD256" s="1578"/>
      <c r="AE256" s="1578"/>
      <c r="AF256" s="1578"/>
      <c r="AG256" s="1578"/>
      <c r="AH256" s="1578"/>
      <c r="AI256" s="1578"/>
      <c r="AJ256" s="1578"/>
      <c r="AK256" s="1578"/>
      <c r="AL256" s="1578"/>
      <c r="AM256" s="1578"/>
      <c r="AN256" s="1578"/>
      <c r="AO256" s="1578"/>
      <c r="AP256" s="1578"/>
      <c r="AQ256" s="1578"/>
      <c r="AR256" s="1578"/>
      <c r="AS256" s="1578"/>
      <c r="AT256" s="1578"/>
      <c r="AU256" s="1578"/>
      <c r="AV256" s="1578"/>
      <c r="AW256" s="1578"/>
      <c r="AX256" s="1578"/>
      <c r="AY256" s="1578"/>
      <c r="AZ256" s="1578"/>
      <c r="BA256" s="1578"/>
      <c r="BB256" s="1578"/>
      <c r="BC256" s="1578"/>
      <c r="BD256" s="1578"/>
      <c r="BE256" s="1578"/>
      <c r="BF256" s="1578"/>
      <c r="BG256" s="1578"/>
      <c r="BH256" s="1578"/>
      <c r="BI256" s="1578"/>
      <c r="BJ256" s="1578"/>
      <c r="BK256" s="1578"/>
      <c r="BL256" s="1578"/>
      <c r="BM256" s="1578"/>
      <c r="BN256" s="1578"/>
      <c r="BO256" s="1578"/>
      <c r="BP256" s="1578"/>
      <c r="BQ256" s="1578"/>
      <c r="BR256" s="1578"/>
      <c r="BS256" s="1578"/>
      <c r="BT256" s="1578"/>
      <c r="BU256" s="1578"/>
      <c r="BV256" s="1578"/>
      <c r="BW256" s="1578"/>
      <c r="BX256" s="1578"/>
      <c r="BY256" s="1578"/>
      <c r="BZ256" s="1578"/>
      <c r="CA256" s="1578"/>
      <c r="CB256" s="1578"/>
      <c r="CC256" s="1578"/>
      <c r="CD256" s="1578"/>
      <c r="CE256" s="1578"/>
      <c r="CF256" s="1578"/>
      <c r="CG256" s="1578"/>
      <c r="CH256" s="1578"/>
      <c r="CI256" s="1578"/>
      <c r="CJ256" s="1578"/>
      <c r="CK256" s="1578"/>
      <c r="CL256" s="1578"/>
      <c r="CM256" s="1578"/>
      <c r="CN256" s="1578"/>
      <c r="CO256" s="1578"/>
      <c r="CP256" s="1578"/>
      <c r="CQ256" s="1578"/>
      <c r="CR256" s="1578"/>
      <c r="CS256" s="1578"/>
      <c r="CT256" s="1578"/>
      <c r="CU256" s="1578"/>
      <c r="CV256" s="1578"/>
      <c r="CW256" s="1578"/>
      <c r="CX256" s="1578"/>
      <c r="CY256" s="1578"/>
      <c r="CZ256" s="1578"/>
    </row>
    <row r="257" spans="1:104">
      <c r="A257" s="1466"/>
      <c r="B257" s="1576"/>
      <c r="C257" s="1576"/>
      <c r="D257" s="1576"/>
      <c r="E257" s="1578"/>
      <c r="F257" s="1578"/>
      <c r="G257" s="1578"/>
      <c r="H257" s="1578"/>
      <c r="I257" s="1578"/>
      <c r="J257" s="1578"/>
      <c r="K257" s="1578"/>
      <c r="L257" s="1578"/>
      <c r="M257" s="1578"/>
      <c r="N257" s="1578"/>
      <c r="O257" s="1578"/>
      <c r="P257" s="1578"/>
      <c r="Q257" s="1578"/>
      <c r="R257" s="1578"/>
      <c r="S257" s="1578"/>
      <c r="T257" s="1578"/>
      <c r="U257" s="1578"/>
      <c r="V257" s="1578"/>
      <c r="W257" s="1578"/>
      <c r="X257" s="1578"/>
      <c r="Y257" s="1578"/>
      <c r="Z257" s="1578"/>
      <c r="AA257" s="1578"/>
      <c r="AB257" s="1578"/>
      <c r="AC257" s="1578"/>
      <c r="AD257" s="1578"/>
      <c r="AE257" s="1578"/>
      <c r="AF257" s="1578"/>
      <c r="AG257" s="1578"/>
      <c r="AH257" s="1578"/>
      <c r="AI257" s="1578"/>
      <c r="AJ257" s="1578"/>
      <c r="AK257" s="1578"/>
      <c r="AL257" s="1578"/>
      <c r="AM257" s="1578"/>
      <c r="AN257" s="1578"/>
      <c r="AO257" s="1578"/>
      <c r="AP257" s="1578"/>
      <c r="AQ257" s="1578"/>
      <c r="AR257" s="1578"/>
      <c r="AS257" s="1578"/>
      <c r="AT257" s="1578"/>
      <c r="AU257" s="1578"/>
      <c r="AV257" s="1578"/>
      <c r="AW257" s="1578"/>
      <c r="AX257" s="1578"/>
      <c r="AY257" s="1578"/>
      <c r="AZ257" s="1578"/>
      <c r="BA257" s="1578"/>
      <c r="BB257" s="1578"/>
      <c r="BC257" s="1578"/>
      <c r="BD257" s="1578"/>
      <c r="BE257" s="1578"/>
      <c r="BF257" s="1578"/>
      <c r="BG257" s="1578"/>
      <c r="BH257" s="1578"/>
      <c r="BI257" s="1578"/>
      <c r="BJ257" s="1578"/>
      <c r="BK257" s="1578"/>
      <c r="BL257" s="1578"/>
      <c r="BM257" s="1578"/>
      <c r="BN257" s="1578"/>
      <c r="BO257" s="1578"/>
      <c r="BP257" s="1578"/>
      <c r="BQ257" s="1578"/>
      <c r="BR257" s="1578"/>
      <c r="BS257" s="1578"/>
      <c r="BT257" s="1578"/>
      <c r="BU257" s="1578"/>
      <c r="BV257" s="1578"/>
      <c r="BW257" s="1578"/>
      <c r="BX257" s="1578"/>
      <c r="BY257" s="1578"/>
      <c r="BZ257" s="1578"/>
      <c r="CA257" s="1578"/>
      <c r="CB257" s="1578"/>
      <c r="CC257" s="1578"/>
      <c r="CD257" s="1578"/>
      <c r="CE257" s="1578"/>
      <c r="CF257" s="1578"/>
      <c r="CG257" s="1578"/>
      <c r="CH257" s="1578"/>
      <c r="CI257" s="1578"/>
      <c r="CJ257" s="1578"/>
      <c r="CK257" s="1578"/>
      <c r="CL257" s="1578"/>
      <c r="CM257" s="1578"/>
      <c r="CN257" s="1578"/>
      <c r="CO257" s="1578"/>
      <c r="CP257" s="1578"/>
      <c r="CQ257" s="1578"/>
      <c r="CR257" s="1578"/>
      <c r="CS257" s="1578"/>
      <c r="CT257" s="1578"/>
      <c r="CU257" s="1578"/>
      <c r="CV257" s="1578"/>
      <c r="CW257" s="1578"/>
      <c r="CX257" s="1578"/>
      <c r="CY257" s="1578"/>
      <c r="CZ257" s="1578"/>
    </row>
    <row r="258" spans="1:104">
      <c r="A258" s="1466"/>
      <c r="B258" s="1576"/>
      <c r="C258" s="1576"/>
      <c r="D258" s="1576"/>
      <c r="E258" s="1578"/>
      <c r="F258" s="1578"/>
      <c r="G258" s="1578"/>
      <c r="H258" s="1578"/>
      <c r="I258" s="1578"/>
      <c r="J258" s="1578"/>
      <c r="K258" s="1578"/>
      <c r="L258" s="1578"/>
      <c r="M258" s="1578"/>
      <c r="N258" s="1578"/>
      <c r="O258" s="1578"/>
      <c r="P258" s="1578"/>
      <c r="Q258" s="1578"/>
      <c r="R258" s="1578"/>
      <c r="S258" s="1578"/>
      <c r="T258" s="1578"/>
      <c r="U258" s="1578"/>
      <c r="V258" s="1578"/>
      <c r="W258" s="1578"/>
      <c r="X258" s="1578"/>
      <c r="Y258" s="1578"/>
      <c r="Z258" s="1578"/>
      <c r="AA258" s="1578"/>
      <c r="AB258" s="1578"/>
      <c r="AC258" s="1578"/>
      <c r="AD258" s="1578"/>
      <c r="AE258" s="1578"/>
      <c r="AF258" s="1578"/>
      <c r="AG258" s="1578"/>
      <c r="AH258" s="1578"/>
      <c r="AI258" s="1578"/>
      <c r="AJ258" s="1578"/>
      <c r="AK258" s="1578"/>
      <c r="AL258" s="1578"/>
      <c r="AM258" s="1578"/>
      <c r="AN258" s="1578"/>
      <c r="AO258" s="1578"/>
      <c r="AP258" s="1578"/>
      <c r="AQ258" s="1578"/>
      <c r="AR258" s="1578"/>
      <c r="AS258" s="1578"/>
      <c r="AT258" s="1578"/>
      <c r="AU258" s="1578"/>
      <c r="AV258" s="1578"/>
      <c r="AW258" s="1578"/>
      <c r="AX258" s="1578"/>
      <c r="AY258" s="1578"/>
      <c r="AZ258" s="1578"/>
      <c r="BA258" s="1578"/>
      <c r="BB258" s="1578"/>
      <c r="BC258" s="1578"/>
      <c r="BD258" s="1578"/>
      <c r="BE258" s="1578"/>
      <c r="BF258" s="1578"/>
      <c r="BG258" s="1578"/>
      <c r="BH258" s="1578"/>
      <c r="BI258" s="1578"/>
      <c r="BJ258" s="1578"/>
      <c r="BK258" s="1578"/>
      <c r="BL258" s="1578"/>
      <c r="BM258" s="1578"/>
      <c r="BN258" s="1578"/>
      <c r="BO258" s="1578"/>
      <c r="BP258" s="1578"/>
      <c r="BQ258" s="1578"/>
      <c r="BR258" s="1578"/>
      <c r="BS258" s="1578"/>
      <c r="BT258" s="1578"/>
      <c r="BU258" s="1578"/>
      <c r="BV258" s="1578"/>
      <c r="BW258" s="1578"/>
      <c r="BX258" s="1578"/>
      <c r="BY258" s="1578"/>
      <c r="BZ258" s="1578"/>
      <c r="CA258" s="1578"/>
      <c r="CB258" s="1578"/>
      <c r="CC258" s="1578"/>
      <c r="CD258" s="1578"/>
      <c r="CE258" s="1578"/>
      <c r="CF258" s="1578"/>
      <c r="CG258" s="1578"/>
      <c r="CH258" s="1578"/>
      <c r="CI258" s="1578"/>
      <c r="CJ258" s="1578"/>
      <c r="CK258" s="1578"/>
      <c r="CL258" s="1578"/>
      <c r="CM258" s="1578"/>
      <c r="CN258" s="1578"/>
      <c r="CO258" s="1578"/>
      <c r="CP258" s="1578"/>
      <c r="CQ258" s="1578"/>
      <c r="CR258" s="1578"/>
      <c r="CS258" s="1578"/>
      <c r="CT258" s="1578"/>
      <c r="CU258" s="1578"/>
      <c r="CV258" s="1578"/>
      <c r="CW258" s="1578"/>
      <c r="CX258" s="1578"/>
      <c r="CY258" s="1578"/>
      <c r="CZ258" s="1578"/>
    </row>
    <row r="259" spans="1:104">
      <c r="A259" s="1466"/>
      <c r="B259" s="1576"/>
      <c r="C259" s="1576"/>
      <c r="D259" s="1576"/>
      <c r="E259" s="1578"/>
      <c r="F259" s="1578"/>
      <c r="G259" s="1578"/>
      <c r="H259" s="1578"/>
      <c r="I259" s="1578"/>
      <c r="J259" s="1578"/>
      <c r="K259" s="1578"/>
      <c r="L259" s="1578"/>
      <c r="M259" s="1578"/>
      <c r="N259" s="1578"/>
      <c r="O259" s="1578"/>
      <c r="P259" s="1578"/>
      <c r="Q259" s="1578"/>
      <c r="R259" s="1578"/>
      <c r="S259" s="1578"/>
      <c r="T259" s="1578"/>
      <c r="U259" s="1578"/>
      <c r="V259" s="1578"/>
      <c r="W259" s="1578"/>
      <c r="X259" s="1578"/>
      <c r="Y259" s="1578"/>
      <c r="Z259" s="1578"/>
      <c r="AA259" s="1578"/>
      <c r="AB259" s="1578"/>
      <c r="AC259" s="1578"/>
      <c r="AD259" s="1578"/>
      <c r="AE259" s="1578"/>
      <c r="AF259" s="1578"/>
      <c r="AG259" s="1578"/>
      <c r="AH259" s="1578"/>
      <c r="AI259" s="1578"/>
      <c r="AJ259" s="1578"/>
      <c r="AK259" s="1578"/>
      <c r="AL259" s="1578"/>
      <c r="AM259" s="1578"/>
      <c r="AN259" s="1578"/>
      <c r="AO259" s="1578"/>
      <c r="AP259" s="1578"/>
      <c r="AQ259" s="1578"/>
      <c r="AR259" s="1578"/>
      <c r="AS259" s="1578"/>
      <c r="AT259" s="1578"/>
      <c r="AU259" s="1578"/>
      <c r="AV259" s="1578"/>
      <c r="AW259" s="1578"/>
      <c r="AX259" s="1578"/>
      <c r="AY259" s="1578"/>
      <c r="AZ259" s="1578"/>
      <c r="BA259" s="1578"/>
      <c r="BB259" s="1578"/>
      <c r="BC259" s="1578"/>
      <c r="BD259" s="1578"/>
      <c r="BE259" s="1578"/>
      <c r="BF259" s="1578"/>
      <c r="BG259" s="1578"/>
      <c r="BH259" s="1578"/>
      <c r="BI259" s="1578"/>
      <c r="BJ259" s="1578"/>
      <c r="BK259" s="1578"/>
      <c r="BL259" s="1578"/>
      <c r="BM259" s="1578"/>
      <c r="BN259" s="1578"/>
      <c r="BO259" s="1578"/>
      <c r="BP259" s="1578"/>
      <c r="BQ259" s="1578"/>
      <c r="BR259" s="1578"/>
      <c r="BS259" s="1578"/>
      <c r="BT259" s="1578"/>
      <c r="BU259" s="1578"/>
      <c r="BV259" s="1578"/>
      <c r="BW259" s="1578"/>
      <c r="BX259" s="1578"/>
      <c r="BY259" s="1578"/>
      <c r="BZ259" s="1578"/>
      <c r="CA259" s="1578"/>
      <c r="CB259" s="1578"/>
      <c r="CC259" s="1578"/>
      <c r="CD259" s="1578"/>
      <c r="CE259" s="1578"/>
      <c r="CF259" s="1578"/>
      <c r="CG259" s="1578"/>
      <c r="CH259" s="1578"/>
      <c r="CI259" s="1578"/>
      <c r="CJ259" s="1578"/>
      <c r="CK259" s="1578"/>
      <c r="CL259" s="1578"/>
      <c r="CM259" s="1578"/>
      <c r="CN259" s="1578"/>
      <c r="CO259" s="1578"/>
      <c r="CP259" s="1578"/>
      <c r="CQ259" s="1578"/>
      <c r="CR259" s="1578"/>
      <c r="CS259" s="1578"/>
      <c r="CT259" s="1578"/>
      <c r="CU259" s="1578"/>
      <c r="CV259" s="1578"/>
      <c r="CW259" s="1578"/>
      <c r="CX259" s="1578"/>
      <c r="CY259" s="1578"/>
      <c r="CZ259" s="1578"/>
    </row>
    <row r="260" spans="1:104">
      <c r="A260" s="1466"/>
      <c r="B260" s="1576"/>
      <c r="C260" s="1576"/>
      <c r="D260" s="1576"/>
      <c r="E260" s="1578"/>
      <c r="F260" s="1578"/>
      <c r="G260" s="1578"/>
      <c r="H260" s="1578"/>
      <c r="I260" s="1578"/>
      <c r="J260" s="1578"/>
      <c r="K260" s="1578"/>
      <c r="L260" s="1578"/>
      <c r="M260" s="1578"/>
      <c r="N260" s="1578"/>
      <c r="O260" s="1578"/>
      <c r="P260" s="1578"/>
      <c r="Q260" s="1578"/>
      <c r="R260" s="1578"/>
      <c r="S260" s="1578"/>
      <c r="T260" s="1578"/>
      <c r="U260" s="1578"/>
      <c r="V260" s="1578"/>
      <c r="W260" s="1578"/>
      <c r="X260" s="1578"/>
      <c r="Y260" s="1578"/>
      <c r="Z260" s="1578"/>
      <c r="AA260" s="1578"/>
      <c r="AB260" s="1578"/>
      <c r="AC260" s="1578"/>
      <c r="AD260" s="1578"/>
      <c r="AE260" s="1578"/>
      <c r="AF260" s="1578"/>
      <c r="AG260" s="1578"/>
      <c r="AH260" s="1578"/>
      <c r="AI260" s="1578"/>
      <c r="AJ260" s="1578"/>
      <c r="AK260" s="1578"/>
      <c r="AL260" s="1578"/>
      <c r="AM260" s="1578"/>
      <c r="AN260" s="1578"/>
      <c r="AO260" s="1578"/>
      <c r="AP260" s="1578"/>
      <c r="AQ260" s="1578"/>
      <c r="AR260" s="1578"/>
      <c r="AS260" s="1578"/>
      <c r="AT260" s="1578"/>
      <c r="AU260" s="1578"/>
      <c r="AV260" s="1578"/>
      <c r="AW260" s="1578"/>
      <c r="AX260" s="1578"/>
      <c r="AY260" s="1578"/>
      <c r="AZ260" s="1578"/>
      <c r="BA260" s="1578"/>
      <c r="BB260" s="1578"/>
      <c r="BC260" s="1578"/>
      <c r="BD260" s="1578"/>
      <c r="BE260" s="1578"/>
      <c r="BF260" s="1578"/>
      <c r="BG260" s="1578"/>
      <c r="BH260" s="1578"/>
      <c r="BI260" s="1578"/>
      <c r="BJ260" s="1578"/>
      <c r="BK260" s="1578"/>
      <c r="BL260" s="1578"/>
      <c r="BM260" s="1578"/>
      <c r="BN260" s="1578"/>
      <c r="BO260" s="1578"/>
      <c r="BP260" s="1578"/>
      <c r="BQ260" s="1578"/>
      <c r="BR260" s="1578"/>
      <c r="BS260" s="1578"/>
      <c r="BT260" s="1578"/>
      <c r="BU260" s="1578"/>
      <c r="BV260" s="1578"/>
      <c r="BW260" s="1578"/>
      <c r="BX260" s="1578"/>
      <c r="BY260" s="1578"/>
      <c r="BZ260" s="1578"/>
      <c r="CA260" s="1578"/>
      <c r="CB260" s="1578"/>
      <c r="CC260" s="1578"/>
      <c r="CD260" s="1578"/>
      <c r="CE260" s="1578"/>
      <c r="CF260" s="1578"/>
      <c r="CG260" s="1578"/>
      <c r="CH260" s="1578"/>
      <c r="CI260" s="1578"/>
      <c r="CJ260" s="1578"/>
      <c r="CK260" s="1578"/>
      <c r="CL260" s="1578"/>
      <c r="CM260" s="1578"/>
      <c r="CN260" s="1578"/>
      <c r="CO260" s="1578"/>
      <c r="CP260" s="1578"/>
      <c r="CQ260" s="1578"/>
      <c r="CR260" s="1578"/>
      <c r="CS260" s="1578"/>
      <c r="CT260" s="1578"/>
      <c r="CU260" s="1578"/>
      <c r="CV260" s="1578"/>
      <c r="CW260" s="1578"/>
      <c r="CX260" s="1578"/>
      <c r="CY260" s="1578"/>
      <c r="CZ260" s="1578"/>
    </row>
    <row r="261" spans="1:104">
      <c r="A261" s="1466"/>
      <c r="B261" s="1576"/>
      <c r="C261" s="1576"/>
      <c r="D261" s="1576"/>
      <c r="E261" s="1578"/>
      <c r="F261" s="1578"/>
      <c r="G261" s="1578"/>
      <c r="H261" s="1578"/>
      <c r="I261" s="1578"/>
      <c r="J261" s="1578"/>
      <c r="K261" s="1578"/>
      <c r="L261" s="1578"/>
      <c r="M261" s="1578"/>
      <c r="N261" s="1578"/>
      <c r="O261" s="1578"/>
      <c r="P261" s="1578"/>
      <c r="Q261" s="1578"/>
      <c r="R261" s="1578"/>
      <c r="S261" s="1578"/>
      <c r="T261" s="1578"/>
      <c r="U261" s="1578"/>
      <c r="V261" s="1578"/>
      <c r="W261" s="1578"/>
      <c r="X261" s="1578"/>
      <c r="Y261" s="1578"/>
      <c r="Z261" s="1578"/>
      <c r="AA261" s="1578"/>
      <c r="AB261" s="1578"/>
      <c r="AC261" s="1578"/>
      <c r="AD261" s="1578"/>
      <c r="AE261" s="1578"/>
      <c r="AF261" s="1578"/>
      <c r="AG261" s="1578"/>
      <c r="AH261" s="1578"/>
      <c r="AI261" s="1578"/>
      <c r="AJ261" s="1578"/>
      <c r="AK261" s="1578"/>
      <c r="AL261" s="1578"/>
      <c r="AM261" s="1578"/>
      <c r="AN261" s="1578"/>
      <c r="AO261" s="1578"/>
      <c r="AP261" s="1578"/>
      <c r="AQ261" s="1578"/>
      <c r="AR261" s="1578"/>
      <c r="AS261" s="1578"/>
      <c r="AT261" s="1578"/>
      <c r="AU261" s="1578"/>
      <c r="AV261" s="1578"/>
      <c r="AW261" s="1578"/>
      <c r="AX261" s="1578"/>
      <c r="AY261" s="1578"/>
      <c r="AZ261" s="1578"/>
      <c r="BA261" s="1578"/>
      <c r="BB261" s="1578"/>
      <c r="BC261" s="1578"/>
      <c r="BD261" s="1578"/>
      <c r="BE261" s="1578"/>
      <c r="BF261" s="1578"/>
      <c r="BG261" s="1578"/>
      <c r="BH261" s="1578"/>
      <c r="BI261" s="1578"/>
      <c r="BJ261" s="1578"/>
      <c r="BK261" s="1578"/>
      <c r="BL261" s="1578"/>
      <c r="BM261" s="1578"/>
      <c r="BN261" s="1578"/>
      <c r="BO261" s="1578"/>
      <c r="BP261" s="1578"/>
      <c r="BQ261" s="1578"/>
      <c r="BR261" s="1578"/>
      <c r="BS261" s="1578"/>
      <c r="BT261" s="1578"/>
      <c r="BU261" s="1578"/>
      <c r="BV261" s="1578"/>
      <c r="BW261" s="1578"/>
      <c r="BX261" s="1578"/>
      <c r="BY261" s="1578"/>
      <c r="BZ261" s="1578"/>
      <c r="CA261" s="1578"/>
      <c r="CB261" s="1578"/>
      <c r="CC261" s="1578"/>
      <c r="CD261" s="1578"/>
      <c r="CE261" s="1578"/>
      <c r="CF261" s="1578"/>
      <c r="CG261" s="1578"/>
      <c r="CH261" s="1578"/>
      <c r="CI261" s="1578"/>
      <c r="CJ261" s="1578"/>
      <c r="CK261" s="1578"/>
      <c r="CL261" s="1578"/>
      <c r="CM261" s="1578"/>
      <c r="CN261" s="1578"/>
      <c r="CO261" s="1578"/>
      <c r="CP261" s="1578"/>
      <c r="CQ261" s="1578"/>
      <c r="CR261" s="1578"/>
      <c r="CS261" s="1578"/>
      <c r="CT261" s="1578"/>
      <c r="CU261" s="1578"/>
      <c r="CV261" s="1578"/>
      <c r="CW261" s="1578"/>
      <c r="CX261" s="1578"/>
      <c r="CY261" s="1578"/>
      <c r="CZ261" s="1578"/>
    </row>
    <row r="262" spans="1:104">
      <c r="A262" s="1466"/>
      <c r="B262" s="1576"/>
      <c r="C262" s="1576"/>
      <c r="D262" s="1576"/>
      <c r="E262" s="1578"/>
      <c r="F262" s="1578"/>
      <c r="G262" s="1578"/>
      <c r="H262" s="1578"/>
      <c r="I262" s="1578"/>
      <c r="J262" s="1578"/>
      <c r="K262" s="1578"/>
      <c r="L262" s="1578"/>
      <c r="M262" s="1578"/>
      <c r="N262" s="1578"/>
      <c r="O262" s="1578"/>
      <c r="P262" s="1578"/>
      <c r="Q262" s="1578"/>
      <c r="R262" s="1578"/>
      <c r="S262" s="1578"/>
      <c r="T262" s="1578"/>
      <c r="U262" s="1578"/>
      <c r="V262" s="1578"/>
      <c r="W262" s="1578"/>
      <c r="X262" s="1578"/>
      <c r="Y262" s="1578"/>
      <c r="Z262" s="1578"/>
      <c r="AA262" s="1578"/>
      <c r="AB262" s="1578"/>
      <c r="AC262" s="1578"/>
      <c r="AD262" s="1578"/>
      <c r="AE262" s="1578"/>
      <c r="AF262" s="1578"/>
      <c r="AG262" s="1578"/>
      <c r="AH262" s="1578"/>
      <c r="AI262" s="1578"/>
      <c r="AJ262" s="1578"/>
      <c r="AK262" s="1578"/>
      <c r="AL262" s="1578"/>
      <c r="AM262" s="1578"/>
      <c r="AN262" s="1578"/>
      <c r="AO262" s="1578"/>
      <c r="AP262" s="1578"/>
      <c r="AQ262" s="1578"/>
      <c r="AR262" s="1578"/>
      <c r="AS262" s="1578"/>
      <c r="AT262" s="1578"/>
      <c r="AU262" s="1578"/>
      <c r="AV262" s="1578"/>
      <c r="AW262" s="1578"/>
      <c r="AX262" s="1578"/>
      <c r="AY262" s="1578"/>
      <c r="AZ262" s="1578"/>
      <c r="BA262" s="1578"/>
      <c r="BB262" s="1578"/>
      <c r="BC262" s="1578"/>
      <c r="BD262" s="1578"/>
      <c r="BE262" s="1578"/>
      <c r="BF262" s="1578"/>
      <c r="BG262" s="1578"/>
      <c r="BH262" s="1578"/>
      <c r="BI262" s="1578"/>
      <c r="BJ262" s="1578"/>
      <c r="BK262" s="1578"/>
      <c r="BL262" s="1578"/>
      <c r="BM262" s="1578"/>
      <c r="BN262" s="1578"/>
      <c r="BO262" s="1578"/>
      <c r="BP262" s="1578"/>
      <c r="BQ262" s="1578"/>
      <c r="BR262" s="1578"/>
      <c r="BS262" s="1578"/>
      <c r="BT262" s="1578"/>
      <c r="BU262" s="1578"/>
      <c r="BV262" s="1578"/>
      <c r="BW262" s="1578"/>
      <c r="BX262" s="1578"/>
      <c r="BY262" s="1578"/>
      <c r="BZ262" s="1578"/>
      <c r="CA262" s="1578"/>
      <c r="CB262" s="1578"/>
      <c r="CC262" s="1578"/>
      <c r="CD262" s="1578"/>
      <c r="CE262" s="1578"/>
      <c r="CF262" s="1578"/>
      <c r="CG262" s="1578"/>
      <c r="CH262" s="1578"/>
      <c r="CI262" s="1578"/>
      <c r="CJ262" s="1578"/>
      <c r="CK262" s="1578"/>
      <c r="CL262" s="1578"/>
      <c r="CM262" s="1578"/>
      <c r="CN262" s="1578"/>
      <c r="CO262" s="1578"/>
      <c r="CP262" s="1578"/>
      <c r="CQ262" s="1578"/>
      <c r="CR262" s="1578"/>
      <c r="CS262" s="1578"/>
      <c r="CT262" s="1578"/>
      <c r="CU262" s="1578"/>
      <c r="CV262" s="1578"/>
      <c r="CW262" s="1578"/>
      <c r="CX262" s="1578"/>
      <c r="CY262" s="1578"/>
      <c r="CZ262" s="1578"/>
    </row>
    <row r="263" spans="1:104">
      <c r="A263" s="1466"/>
      <c r="B263" s="1576"/>
      <c r="C263" s="1576"/>
      <c r="D263" s="1576"/>
      <c r="E263" s="1578"/>
      <c r="F263" s="1578"/>
      <c r="G263" s="1578"/>
      <c r="H263" s="1578"/>
      <c r="I263" s="1578"/>
      <c r="J263" s="1578"/>
      <c r="K263" s="1578"/>
      <c r="L263" s="1578"/>
      <c r="M263" s="1578"/>
      <c r="N263" s="1578"/>
      <c r="O263" s="1578"/>
      <c r="P263" s="1578"/>
      <c r="Q263" s="1578"/>
      <c r="R263" s="1578"/>
      <c r="S263" s="1578"/>
      <c r="T263" s="1578"/>
      <c r="U263" s="1578"/>
      <c r="V263" s="1578"/>
      <c r="W263" s="1578"/>
      <c r="X263" s="1578"/>
      <c r="Y263" s="1578"/>
      <c r="Z263" s="1578"/>
      <c r="AA263" s="1578"/>
      <c r="AB263" s="1578"/>
      <c r="AC263" s="1578"/>
      <c r="AD263" s="1578"/>
      <c r="AE263" s="1578"/>
      <c r="AF263" s="1578"/>
      <c r="AG263" s="1578"/>
      <c r="AH263" s="1578"/>
      <c r="AI263" s="1578"/>
      <c r="AJ263" s="1578"/>
      <c r="AK263" s="1578"/>
      <c r="AL263" s="1578"/>
      <c r="AM263" s="1578"/>
      <c r="AN263" s="1578"/>
      <c r="AO263" s="1578"/>
      <c r="AP263" s="1578"/>
      <c r="AQ263" s="1578"/>
      <c r="AR263" s="1578"/>
      <c r="AS263" s="1578"/>
      <c r="AT263" s="1578"/>
      <c r="AU263" s="1578"/>
      <c r="AV263" s="1578"/>
      <c r="AW263" s="1578"/>
      <c r="AX263" s="1578"/>
      <c r="AY263" s="1578"/>
      <c r="AZ263" s="1578"/>
      <c r="BA263" s="1578"/>
      <c r="BB263" s="1578"/>
      <c r="BC263" s="1578"/>
      <c r="BD263" s="1578"/>
      <c r="BE263" s="1578"/>
      <c r="BF263" s="1578"/>
      <c r="BG263" s="1578"/>
      <c r="BH263" s="1578"/>
      <c r="BI263" s="1578"/>
      <c r="BJ263" s="1578"/>
      <c r="BK263" s="1578"/>
      <c r="BL263" s="1578"/>
      <c r="BM263" s="1578"/>
      <c r="BN263" s="1578"/>
      <c r="BO263" s="1578"/>
      <c r="BP263" s="1578"/>
      <c r="BQ263" s="1578"/>
      <c r="BR263" s="1578"/>
      <c r="BS263" s="1578"/>
      <c r="BT263" s="1578"/>
      <c r="BU263" s="1578"/>
      <c r="BV263" s="1578"/>
      <c r="BW263" s="1578"/>
      <c r="BX263" s="1578"/>
      <c r="BY263" s="1578"/>
      <c r="BZ263" s="1578"/>
      <c r="CA263" s="1578"/>
      <c r="CB263" s="1578"/>
      <c r="CC263" s="1578"/>
      <c r="CD263" s="1578"/>
      <c r="CE263" s="1578"/>
      <c r="CF263" s="1578"/>
      <c r="CG263" s="1578"/>
      <c r="CH263" s="1578"/>
      <c r="CI263" s="1578"/>
      <c r="CJ263" s="1578"/>
      <c r="CK263" s="1578"/>
      <c r="CL263" s="1578"/>
      <c r="CM263" s="1578"/>
      <c r="CN263" s="1578"/>
      <c r="CO263" s="1578"/>
      <c r="CP263" s="1578"/>
      <c r="CQ263" s="1578"/>
      <c r="CR263" s="1578"/>
      <c r="CS263" s="1578"/>
      <c r="CT263" s="1578"/>
      <c r="CU263" s="1578"/>
      <c r="CV263" s="1578"/>
      <c r="CW263" s="1578"/>
      <c r="CX263" s="1578"/>
      <c r="CY263" s="1578"/>
      <c r="CZ263" s="1578"/>
    </row>
    <row r="264" spans="1:104">
      <c r="A264" s="1466"/>
      <c r="B264" s="1576"/>
      <c r="C264" s="1576"/>
      <c r="D264" s="1576"/>
      <c r="E264" s="1578"/>
      <c r="F264" s="1578"/>
      <c r="G264" s="1578"/>
      <c r="H264" s="1578"/>
      <c r="I264" s="1578"/>
      <c r="J264" s="1578"/>
      <c r="K264" s="1578"/>
      <c r="L264" s="1578"/>
      <c r="M264" s="1578"/>
      <c r="N264" s="1578"/>
      <c r="O264" s="1578"/>
      <c r="P264" s="1578"/>
      <c r="Q264" s="1578"/>
      <c r="R264" s="1578"/>
      <c r="S264" s="1578"/>
      <c r="T264" s="1578"/>
      <c r="U264" s="1578"/>
      <c r="V264" s="1578"/>
      <c r="W264" s="1578"/>
      <c r="X264" s="1578"/>
      <c r="Y264" s="1578"/>
      <c r="Z264" s="1578"/>
      <c r="AA264" s="1578"/>
      <c r="AB264" s="1578"/>
      <c r="AC264" s="1578"/>
      <c r="AD264" s="1578"/>
      <c r="AE264" s="1578"/>
      <c r="AF264" s="1578"/>
      <c r="AG264" s="1578"/>
      <c r="AH264" s="1578"/>
      <c r="AI264" s="1578"/>
      <c r="AJ264" s="1578"/>
      <c r="AK264" s="1578"/>
      <c r="AL264" s="1578"/>
      <c r="AM264" s="1578"/>
      <c r="AN264" s="1578"/>
      <c r="AO264" s="1578"/>
      <c r="AP264" s="1578"/>
      <c r="AQ264" s="1578"/>
      <c r="AR264" s="1578"/>
      <c r="AS264" s="1578"/>
      <c r="AT264" s="1578"/>
      <c r="AU264" s="1578"/>
      <c r="AV264" s="1578"/>
      <c r="AW264" s="1578"/>
      <c r="AX264" s="1578"/>
      <c r="AY264" s="1578"/>
      <c r="AZ264" s="1578"/>
      <c r="BA264" s="1578"/>
      <c r="BB264" s="1578"/>
      <c r="BC264" s="1578"/>
      <c r="BD264" s="1578"/>
      <c r="BE264" s="1578"/>
      <c r="BF264" s="1578"/>
      <c r="BG264" s="1578"/>
      <c r="BH264" s="1578"/>
      <c r="BI264" s="1578"/>
      <c r="BJ264" s="1578"/>
      <c r="BK264" s="1578"/>
      <c r="BL264" s="1578"/>
      <c r="BM264" s="1578"/>
      <c r="BN264" s="1578"/>
      <c r="BO264" s="1578"/>
      <c r="BP264" s="1578"/>
      <c r="BQ264" s="1578"/>
      <c r="BR264" s="1578"/>
      <c r="BS264" s="1578"/>
      <c r="BT264" s="1578"/>
      <c r="BU264" s="1578"/>
      <c r="BV264" s="1578"/>
      <c r="BW264" s="1578"/>
      <c r="BX264" s="1578"/>
      <c r="BY264" s="1578"/>
      <c r="BZ264" s="1578"/>
      <c r="CA264" s="1578"/>
      <c r="CB264" s="1578"/>
      <c r="CC264" s="1578"/>
      <c r="CD264" s="1578"/>
      <c r="CE264" s="1578"/>
      <c r="CF264" s="1578"/>
      <c r="CG264" s="1578"/>
      <c r="CH264" s="1578"/>
      <c r="CI264" s="1578"/>
      <c r="CJ264" s="1578"/>
      <c r="CK264" s="1578"/>
      <c r="CL264" s="1578"/>
      <c r="CM264" s="1578"/>
      <c r="CN264" s="1578"/>
      <c r="CO264" s="1578"/>
      <c r="CP264" s="1578"/>
      <c r="CQ264" s="1578"/>
      <c r="CR264" s="1578"/>
      <c r="CS264" s="1578"/>
      <c r="CT264" s="1578"/>
      <c r="CU264" s="1578"/>
      <c r="CV264" s="1578"/>
      <c r="CW264" s="1578"/>
      <c r="CX264" s="1578"/>
      <c r="CY264" s="1578"/>
      <c r="CZ264" s="1578"/>
    </row>
    <row r="265" spans="1:104">
      <c r="A265" s="1466"/>
      <c r="B265" s="1576"/>
      <c r="C265" s="1576"/>
      <c r="D265" s="1576"/>
      <c r="E265" s="1578"/>
      <c r="F265" s="1578"/>
      <c r="G265" s="1578"/>
      <c r="H265" s="1578"/>
      <c r="I265" s="1578"/>
      <c r="J265" s="1578"/>
      <c r="K265" s="1578"/>
      <c r="L265" s="1578"/>
      <c r="M265" s="1578"/>
      <c r="N265" s="1578"/>
      <c r="O265" s="1578"/>
      <c r="P265" s="1578"/>
      <c r="Q265" s="1578"/>
      <c r="R265" s="1578"/>
      <c r="S265" s="1578"/>
      <c r="T265" s="1578"/>
      <c r="U265" s="1578"/>
      <c r="V265" s="1578"/>
      <c r="W265" s="1578"/>
      <c r="X265" s="1578"/>
      <c r="Y265" s="1578"/>
      <c r="Z265" s="1578"/>
      <c r="AA265" s="1578"/>
      <c r="AB265" s="1578"/>
      <c r="AC265" s="1578"/>
      <c r="AD265" s="1578"/>
      <c r="AE265" s="1578"/>
      <c r="AF265" s="1578"/>
      <c r="AG265" s="1578"/>
      <c r="AH265" s="1578"/>
      <c r="AI265" s="1578"/>
      <c r="AJ265" s="1578"/>
      <c r="AK265" s="1578"/>
      <c r="AL265" s="1578"/>
      <c r="AM265" s="1578"/>
      <c r="AN265" s="1578"/>
      <c r="AO265" s="1578"/>
      <c r="AP265" s="1578"/>
      <c r="AQ265" s="1578"/>
      <c r="AR265" s="1578"/>
      <c r="AS265" s="1578"/>
      <c r="AT265" s="1578"/>
      <c r="AU265" s="1578"/>
      <c r="AV265" s="1578"/>
      <c r="AW265" s="1578"/>
      <c r="AX265" s="1578"/>
      <c r="AY265" s="1578"/>
      <c r="AZ265" s="1578"/>
      <c r="BA265" s="1578"/>
      <c r="BB265" s="1578"/>
      <c r="BC265" s="1578"/>
      <c r="BD265" s="1578"/>
      <c r="BE265" s="1578"/>
      <c r="BF265" s="1578"/>
      <c r="BG265" s="1578"/>
      <c r="BH265" s="1578"/>
      <c r="BI265" s="1578"/>
      <c r="BJ265" s="1578"/>
      <c r="BK265" s="1578"/>
      <c r="BL265" s="1578"/>
      <c r="BM265" s="1578"/>
      <c r="BN265" s="1578"/>
      <c r="BO265" s="1578"/>
      <c r="BP265" s="1578"/>
      <c r="BQ265" s="1578"/>
      <c r="BR265" s="1578"/>
      <c r="BS265" s="1578"/>
      <c r="BT265" s="1578"/>
      <c r="BU265" s="1578"/>
      <c r="BV265" s="1578"/>
      <c r="BW265" s="1578"/>
      <c r="BX265" s="1578"/>
      <c r="BY265" s="1578"/>
      <c r="BZ265" s="1578"/>
      <c r="CA265" s="1578"/>
      <c r="CB265" s="1578"/>
      <c r="CC265" s="1578"/>
      <c r="CD265" s="1578"/>
      <c r="CE265" s="1578"/>
      <c r="CF265" s="1578"/>
      <c r="CG265" s="1578"/>
      <c r="CH265" s="1578"/>
      <c r="CI265" s="1578"/>
      <c r="CJ265" s="1578"/>
      <c r="CK265" s="1578"/>
      <c r="CL265" s="1578"/>
      <c r="CM265" s="1578"/>
      <c r="CN265" s="1578"/>
      <c r="CO265" s="1578"/>
      <c r="CP265" s="1578"/>
      <c r="CQ265" s="1578"/>
      <c r="CR265" s="1578"/>
      <c r="CS265" s="1578"/>
      <c r="CT265" s="1578"/>
      <c r="CU265" s="1578"/>
      <c r="CV265" s="1578"/>
      <c r="CW265" s="1578"/>
      <c r="CX265" s="1578"/>
      <c r="CY265" s="1578"/>
      <c r="CZ265" s="1578"/>
    </row>
    <row r="266" spans="1:104">
      <c r="A266" s="1466"/>
      <c r="B266" s="1576"/>
      <c r="C266" s="1576"/>
      <c r="D266" s="1576"/>
      <c r="E266" s="1578"/>
      <c r="F266" s="1578"/>
      <c r="G266" s="1578"/>
      <c r="H266" s="1578"/>
      <c r="I266" s="1578"/>
      <c r="J266" s="1578"/>
      <c r="K266" s="1578"/>
      <c r="L266" s="1578"/>
      <c r="M266" s="1578"/>
      <c r="N266" s="1578"/>
      <c r="O266" s="1578"/>
      <c r="P266" s="1578"/>
      <c r="Q266" s="1578"/>
      <c r="R266" s="1578"/>
      <c r="S266" s="1578"/>
      <c r="T266" s="1578"/>
      <c r="U266" s="1578"/>
      <c r="V266" s="1578"/>
      <c r="W266" s="1578"/>
      <c r="X266" s="1578"/>
      <c r="Y266" s="1578"/>
      <c r="Z266" s="1578"/>
      <c r="AA266" s="1578"/>
      <c r="AB266" s="1578"/>
      <c r="AC266" s="1578"/>
      <c r="AD266" s="1578"/>
      <c r="AE266" s="1578"/>
      <c r="AF266" s="1578"/>
      <c r="AG266" s="1578"/>
      <c r="AH266" s="1578"/>
      <c r="AI266" s="1578"/>
      <c r="AJ266" s="1578"/>
      <c r="AK266" s="1578"/>
      <c r="AL266" s="1578"/>
      <c r="AM266" s="1578"/>
      <c r="AN266" s="1578"/>
      <c r="AO266" s="1578"/>
      <c r="AP266" s="1578"/>
      <c r="AQ266" s="1578"/>
      <c r="AR266" s="1578"/>
      <c r="AS266" s="1578"/>
      <c r="AT266" s="1578"/>
      <c r="AU266" s="1578"/>
      <c r="AV266" s="1578"/>
      <c r="AW266" s="1578"/>
      <c r="AX266" s="1578"/>
      <c r="AY266" s="1578"/>
      <c r="AZ266" s="1578"/>
      <c r="BA266" s="1578"/>
      <c r="BB266" s="1578"/>
      <c r="BC266" s="1578"/>
      <c r="BD266" s="1578"/>
      <c r="BE266" s="1578"/>
      <c r="BF266" s="1578"/>
      <c r="BG266" s="1578"/>
      <c r="BH266" s="1578"/>
      <c r="BI266" s="1578"/>
      <c r="BJ266" s="1578"/>
      <c r="BK266" s="1578"/>
      <c r="BL266" s="1578"/>
      <c r="BM266" s="1578"/>
      <c r="BN266" s="1578"/>
      <c r="BO266" s="1578"/>
      <c r="BP266" s="1578"/>
      <c r="BQ266" s="1578"/>
      <c r="BR266" s="1578"/>
      <c r="BS266" s="1578"/>
      <c r="BT266" s="1578"/>
      <c r="BU266" s="1578"/>
      <c r="BV266" s="1578"/>
      <c r="BW266" s="1578"/>
      <c r="BX266" s="1578"/>
      <c r="BY266" s="1578"/>
      <c r="BZ266" s="1578"/>
      <c r="CA266" s="1578"/>
      <c r="CB266" s="1578"/>
      <c r="CC266" s="1578"/>
      <c r="CD266" s="1578"/>
      <c r="CE266" s="1578"/>
      <c r="CF266" s="1578"/>
      <c r="CG266" s="1578"/>
      <c r="CH266" s="1578"/>
      <c r="CI266" s="1578"/>
      <c r="CJ266" s="1578"/>
      <c r="CK266" s="1578"/>
      <c r="CL266" s="1578"/>
      <c r="CM266" s="1578"/>
      <c r="CN266" s="1578"/>
      <c r="CO266" s="1578"/>
      <c r="CP266" s="1578"/>
      <c r="CQ266" s="1578"/>
      <c r="CR266" s="1578"/>
      <c r="CS266" s="1578"/>
      <c r="CT266" s="1578"/>
      <c r="CU266" s="1578"/>
      <c r="CV266" s="1578"/>
      <c r="CW266" s="1578"/>
      <c r="CX266" s="1578"/>
      <c r="CY266" s="1578"/>
      <c r="CZ266" s="1578"/>
    </row>
    <row r="267" spans="1:104">
      <c r="A267" s="1466"/>
      <c r="B267" s="1576"/>
      <c r="C267" s="1576"/>
      <c r="D267" s="1576"/>
      <c r="E267" s="1578"/>
      <c r="F267" s="1578"/>
      <c r="G267" s="1578"/>
      <c r="H267" s="1578"/>
      <c r="I267" s="1578"/>
      <c r="J267" s="1578"/>
      <c r="K267" s="1578"/>
      <c r="L267" s="1578"/>
      <c r="M267" s="1578"/>
      <c r="N267" s="1578"/>
      <c r="O267" s="1578"/>
      <c r="P267" s="1578"/>
      <c r="Q267" s="1578"/>
      <c r="R267" s="1578"/>
      <c r="S267" s="1578"/>
      <c r="T267" s="1578"/>
      <c r="U267" s="1578"/>
      <c r="V267" s="1578"/>
      <c r="W267" s="1578"/>
      <c r="X267" s="1578"/>
      <c r="Y267" s="1578"/>
      <c r="Z267" s="1578"/>
      <c r="AA267" s="1578"/>
      <c r="AB267" s="1578"/>
      <c r="AC267" s="1578"/>
      <c r="AD267" s="1578"/>
      <c r="AE267" s="1578"/>
      <c r="AF267" s="1578"/>
      <c r="AG267" s="1578"/>
      <c r="AH267" s="1578"/>
      <c r="AI267" s="1578"/>
      <c r="AJ267" s="1578"/>
      <c r="AK267" s="1578"/>
      <c r="AL267" s="1578"/>
      <c r="AM267" s="1578"/>
      <c r="AN267" s="1578"/>
      <c r="AO267" s="1578"/>
      <c r="AP267" s="1578"/>
      <c r="AQ267" s="1578"/>
      <c r="AR267" s="1578"/>
      <c r="AS267" s="1578"/>
      <c r="AT267" s="1578"/>
      <c r="AU267" s="1578"/>
      <c r="AV267" s="1578"/>
      <c r="AW267" s="1578"/>
      <c r="AX267" s="1578"/>
      <c r="AY267" s="1578"/>
      <c r="AZ267" s="1578"/>
      <c r="BA267" s="1578"/>
      <c r="BB267" s="1578"/>
      <c r="BC267" s="1578"/>
      <c r="BD267" s="1578"/>
      <c r="BE267" s="1578"/>
      <c r="BF267" s="1578"/>
      <c r="BG267" s="1578"/>
      <c r="BH267" s="1578"/>
      <c r="BI267" s="1578"/>
      <c r="BJ267" s="1578"/>
      <c r="BK267" s="1578"/>
      <c r="BL267" s="1578"/>
      <c r="BM267" s="1578"/>
      <c r="BN267" s="1578"/>
      <c r="BO267" s="1578"/>
      <c r="BP267" s="1578"/>
      <c r="BQ267" s="1578"/>
      <c r="BR267" s="1578"/>
      <c r="BS267" s="1578"/>
      <c r="BT267" s="1578"/>
      <c r="BU267" s="1578"/>
      <c r="BV267" s="1578"/>
      <c r="BW267" s="1578"/>
      <c r="BX267" s="1578"/>
      <c r="BY267" s="1578"/>
      <c r="BZ267" s="1578"/>
      <c r="CA267" s="1578"/>
      <c r="CB267" s="1578"/>
      <c r="CC267" s="1578"/>
      <c r="CD267" s="1578"/>
      <c r="CE267" s="1578"/>
      <c r="CF267" s="1578"/>
      <c r="CG267" s="1578"/>
      <c r="CH267" s="1578"/>
      <c r="CI267" s="1578"/>
      <c r="CJ267" s="1578"/>
      <c r="CK267" s="1578"/>
      <c r="CL267" s="1578"/>
      <c r="CM267" s="1578"/>
      <c r="CN267" s="1578"/>
      <c r="CO267" s="1578"/>
      <c r="CP267" s="1578"/>
      <c r="CQ267" s="1578"/>
      <c r="CR267" s="1578"/>
      <c r="CS267" s="1578"/>
      <c r="CT267" s="1578"/>
      <c r="CU267" s="1578"/>
      <c r="CV267" s="1578"/>
      <c r="CW267" s="1578"/>
      <c r="CX267" s="1578"/>
      <c r="CY267" s="1578"/>
      <c r="CZ267" s="1578"/>
    </row>
    <row r="268" spans="1:104">
      <c r="A268" s="1466"/>
      <c r="B268" s="1576"/>
      <c r="C268" s="1576"/>
      <c r="D268" s="1576"/>
      <c r="E268" s="1578"/>
      <c r="F268" s="1578"/>
      <c r="G268" s="1578"/>
      <c r="H268" s="1578"/>
      <c r="I268" s="1578"/>
      <c r="J268" s="1578"/>
      <c r="K268" s="1578"/>
      <c r="L268" s="1578"/>
      <c r="M268" s="1578"/>
      <c r="N268" s="1578"/>
      <c r="O268" s="1578"/>
      <c r="P268" s="1578"/>
      <c r="Q268" s="1578"/>
      <c r="R268" s="1578"/>
      <c r="S268" s="1578"/>
      <c r="T268" s="1578"/>
      <c r="U268" s="1578"/>
      <c r="V268" s="1578"/>
      <c r="W268" s="1578"/>
      <c r="X268" s="1578"/>
      <c r="Y268" s="1578"/>
      <c r="Z268" s="1578"/>
      <c r="AA268" s="1578"/>
      <c r="AB268" s="1578"/>
      <c r="AC268" s="1578"/>
      <c r="AD268" s="1578"/>
      <c r="AE268" s="1578"/>
      <c r="AF268" s="1578"/>
      <c r="AG268" s="1578"/>
      <c r="AH268" s="1578"/>
      <c r="AI268" s="1578"/>
      <c r="AJ268" s="1578"/>
      <c r="AK268" s="1578"/>
      <c r="AL268" s="1578"/>
      <c r="AM268" s="1578"/>
      <c r="AN268" s="1578"/>
      <c r="AO268" s="1578"/>
      <c r="AP268" s="1578"/>
      <c r="AQ268" s="1578"/>
      <c r="AR268" s="1578"/>
      <c r="AS268" s="1578"/>
      <c r="AT268" s="1578"/>
      <c r="AU268" s="1578"/>
      <c r="AV268" s="1578"/>
      <c r="AW268" s="1578"/>
      <c r="AX268" s="1578"/>
      <c r="AY268" s="1578"/>
      <c r="AZ268" s="1578"/>
      <c r="BA268" s="1578"/>
      <c r="BB268" s="1578"/>
      <c r="BC268" s="1578"/>
      <c r="BD268" s="1578"/>
      <c r="BE268" s="1578"/>
      <c r="BF268" s="1578"/>
      <c r="BG268" s="1578"/>
      <c r="BH268" s="1578"/>
      <c r="BI268" s="1578"/>
      <c r="BJ268" s="1578"/>
      <c r="BK268" s="1578"/>
      <c r="BL268" s="1578"/>
      <c r="BM268" s="1578"/>
      <c r="BN268" s="1578"/>
      <c r="BO268" s="1578"/>
      <c r="BP268" s="1578"/>
      <c r="BQ268" s="1578"/>
      <c r="BR268" s="1578"/>
      <c r="BS268" s="1578"/>
      <c r="BT268" s="1578"/>
      <c r="BU268" s="1578"/>
      <c r="BV268" s="1578"/>
      <c r="BW268" s="1578"/>
      <c r="BX268" s="1578"/>
      <c r="BY268" s="1578"/>
      <c r="BZ268" s="1578"/>
      <c r="CA268" s="1578"/>
      <c r="CB268" s="1578"/>
      <c r="CC268" s="1578"/>
      <c r="CD268" s="1578"/>
      <c r="CE268" s="1578"/>
      <c r="CF268" s="1578"/>
      <c r="CG268" s="1578"/>
      <c r="CH268" s="1578"/>
      <c r="CI268" s="1578"/>
      <c r="CJ268" s="1578"/>
      <c r="CK268" s="1578"/>
      <c r="CL268" s="1578"/>
      <c r="CM268" s="1578"/>
      <c r="CN268" s="1578"/>
      <c r="CO268" s="1578"/>
      <c r="CP268" s="1578"/>
      <c r="CQ268" s="1578"/>
      <c r="CR268" s="1578"/>
      <c r="CS268" s="1578"/>
      <c r="CT268" s="1578"/>
      <c r="CU268" s="1578"/>
      <c r="CV268" s="1578"/>
      <c r="CW268" s="1578"/>
      <c r="CX268" s="1578"/>
      <c r="CY268" s="1578"/>
      <c r="CZ268" s="1578"/>
    </row>
    <row r="269" spans="1:104">
      <c r="A269" s="1466"/>
      <c r="B269" s="1576"/>
      <c r="C269" s="1576"/>
      <c r="D269" s="1576"/>
      <c r="E269" s="1578"/>
      <c r="F269" s="1578"/>
      <c r="G269" s="1578"/>
      <c r="H269" s="1578"/>
      <c r="I269" s="1578"/>
      <c r="J269" s="1578"/>
      <c r="K269" s="1578"/>
      <c r="L269" s="1578"/>
      <c r="M269" s="1578"/>
      <c r="N269" s="1578"/>
      <c r="O269" s="1578"/>
      <c r="P269" s="1578"/>
      <c r="Q269" s="1578"/>
      <c r="R269" s="1578"/>
      <c r="S269" s="1578"/>
      <c r="T269" s="1578"/>
      <c r="U269" s="1578"/>
      <c r="V269" s="1578"/>
      <c r="W269" s="1578"/>
      <c r="X269" s="1578"/>
      <c r="Y269" s="1578"/>
      <c r="Z269" s="1578"/>
      <c r="AA269" s="1578"/>
      <c r="AB269" s="1578"/>
      <c r="AC269" s="1578"/>
      <c r="AD269" s="1578"/>
      <c r="AE269" s="1578"/>
      <c r="AF269" s="1578"/>
      <c r="AG269" s="1578"/>
      <c r="AH269" s="1578"/>
      <c r="AI269" s="1578"/>
      <c r="AJ269" s="1578"/>
      <c r="AK269" s="1578"/>
      <c r="AL269" s="1578"/>
      <c r="AM269" s="1578"/>
      <c r="AN269" s="1578"/>
      <c r="AO269" s="1578"/>
      <c r="AP269" s="1578"/>
      <c r="AQ269" s="1578"/>
      <c r="AR269" s="1578"/>
      <c r="AS269" s="1578"/>
      <c r="AT269" s="1578"/>
      <c r="AU269" s="1578"/>
      <c r="AV269" s="1578"/>
      <c r="AW269" s="1578"/>
      <c r="AX269" s="1578"/>
      <c r="AY269" s="1578"/>
      <c r="AZ269" s="1578"/>
      <c r="BA269" s="1578"/>
      <c r="BB269" s="1578"/>
      <c r="BC269" s="1578"/>
      <c r="BD269" s="1578"/>
      <c r="BE269" s="1578"/>
      <c r="BF269" s="1578"/>
      <c r="BG269" s="1578"/>
      <c r="BH269" s="1578"/>
      <c r="BI269" s="1578"/>
      <c r="BJ269" s="1578"/>
      <c r="BK269" s="1578"/>
      <c r="BL269" s="1578"/>
      <c r="BM269" s="1578"/>
      <c r="BN269" s="1578"/>
      <c r="BO269" s="1578"/>
      <c r="BP269" s="1578"/>
      <c r="BQ269" s="1578"/>
      <c r="BR269" s="1578"/>
      <c r="BS269" s="1578"/>
      <c r="BT269" s="1578"/>
      <c r="BU269" s="1578"/>
      <c r="BV269" s="1578"/>
      <c r="BW269" s="1578"/>
      <c r="BX269" s="1578"/>
      <c r="BY269" s="1578"/>
      <c r="BZ269" s="1578"/>
      <c r="CA269" s="1578"/>
      <c r="CB269" s="1578"/>
      <c r="CC269" s="1578"/>
      <c r="CD269" s="1578"/>
      <c r="CE269" s="1578"/>
      <c r="CF269" s="1578"/>
      <c r="CG269" s="1578"/>
      <c r="CH269" s="1578"/>
      <c r="CI269" s="1578"/>
      <c r="CJ269" s="1578"/>
      <c r="CK269" s="1578"/>
      <c r="CL269" s="1578"/>
      <c r="CM269" s="1578"/>
      <c r="CN269" s="1578"/>
      <c r="CO269" s="1578"/>
      <c r="CP269" s="1578"/>
      <c r="CQ269" s="1578"/>
      <c r="CR269" s="1578"/>
      <c r="CS269" s="1578"/>
      <c r="CT269" s="1578"/>
      <c r="CU269" s="1578"/>
      <c r="CV269" s="1578"/>
      <c r="CW269" s="1578"/>
      <c r="CX269" s="1578"/>
      <c r="CY269" s="1578"/>
      <c r="CZ269" s="1578"/>
    </row>
    <row r="270" spans="1:104">
      <c r="A270" s="1466"/>
      <c r="B270" s="1576"/>
      <c r="C270" s="1576"/>
      <c r="D270" s="1576"/>
      <c r="E270" s="1578"/>
      <c r="F270" s="1578"/>
      <c r="G270" s="1578"/>
      <c r="H270" s="1578"/>
      <c r="I270" s="1578"/>
      <c r="J270" s="1578"/>
      <c r="K270" s="1578"/>
      <c r="L270" s="1578"/>
      <c r="M270" s="1578"/>
      <c r="N270" s="1578"/>
      <c r="O270" s="1578"/>
      <c r="P270" s="1578"/>
      <c r="Q270" s="1578"/>
      <c r="R270" s="1578"/>
      <c r="S270" s="1578"/>
      <c r="T270" s="1578"/>
      <c r="U270" s="1578"/>
      <c r="V270" s="1578"/>
      <c r="W270" s="1578"/>
      <c r="X270" s="1578"/>
      <c r="Y270" s="1578"/>
      <c r="Z270" s="1578"/>
      <c r="AA270" s="1578"/>
      <c r="AB270" s="1578"/>
      <c r="AC270" s="1578"/>
      <c r="AD270" s="1578"/>
      <c r="AE270" s="1578"/>
      <c r="AF270" s="1578"/>
      <c r="AG270" s="1578"/>
      <c r="AH270" s="1578"/>
      <c r="AI270" s="1578"/>
      <c r="AJ270" s="1578"/>
      <c r="AK270" s="1578"/>
      <c r="AL270" s="1578"/>
      <c r="AM270" s="1578"/>
      <c r="AN270" s="1578"/>
      <c r="AO270" s="1578"/>
      <c r="AP270" s="1578"/>
      <c r="AQ270" s="1578"/>
      <c r="AR270" s="1578"/>
      <c r="AS270" s="1578"/>
      <c r="AT270" s="1578"/>
      <c r="AU270" s="1578"/>
      <c r="AV270" s="1578"/>
      <c r="AW270" s="1578"/>
      <c r="AX270" s="1578"/>
      <c r="AY270" s="1578"/>
      <c r="AZ270" s="1578"/>
      <c r="BA270" s="1578"/>
      <c r="BB270" s="1578"/>
      <c r="BC270" s="1578"/>
      <c r="BD270" s="1578"/>
      <c r="BE270" s="1578"/>
      <c r="BF270" s="1578"/>
      <c r="BG270" s="1578"/>
      <c r="BH270" s="1578"/>
      <c r="BI270" s="1578"/>
      <c r="BJ270" s="1578"/>
      <c r="BK270" s="1578"/>
      <c r="BL270" s="1578"/>
      <c r="BM270" s="1578"/>
      <c r="BN270" s="1578"/>
      <c r="BO270" s="1578"/>
      <c r="BP270" s="1578"/>
      <c r="BQ270" s="1578"/>
      <c r="BR270" s="1578"/>
      <c r="BS270" s="1578"/>
      <c r="BT270" s="1578"/>
      <c r="BU270" s="1578"/>
      <c r="BV270" s="1578"/>
      <c r="BW270" s="1578"/>
      <c r="BX270" s="1578"/>
      <c r="BY270" s="1578"/>
      <c r="BZ270" s="1578"/>
      <c r="CA270" s="1578"/>
      <c r="CB270" s="1578"/>
      <c r="CC270" s="1578"/>
      <c r="CD270" s="1578"/>
      <c r="CE270" s="1578"/>
      <c r="CF270" s="1578"/>
      <c r="CG270" s="1578"/>
      <c r="CH270" s="1578"/>
      <c r="CI270" s="1578"/>
      <c r="CJ270" s="1578"/>
      <c r="CK270" s="1578"/>
      <c r="CL270" s="1578"/>
      <c r="CM270" s="1578"/>
      <c r="CN270" s="1578"/>
      <c r="CO270" s="1578"/>
      <c r="CP270" s="1578"/>
      <c r="CQ270" s="1578"/>
      <c r="CR270" s="1578"/>
      <c r="CS270" s="1578"/>
      <c r="CT270" s="1578"/>
      <c r="CU270" s="1578"/>
      <c r="CV270" s="1578"/>
      <c r="CW270" s="1578"/>
      <c r="CX270" s="1578"/>
      <c r="CY270" s="1578"/>
      <c r="CZ270" s="1578"/>
    </row>
    <row r="271" spans="1:104">
      <c r="A271" s="1466"/>
      <c r="B271" s="1576"/>
      <c r="C271" s="1576"/>
      <c r="D271" s="1576"/>
      <c r="E271" s="1578"/>
      <c r="F271" s="1578"/>
      <c r="G271" s="1578"/>
      <c r="H271" s="1578"/>
      <c r="I271" s="1578"/>
      <c r="J271" s="1578"/>
      <c r="K271" s="1578"/>
      <c r="L271" s="1578"/>
      <c r="M271" s="1578"/>
      <c r="N271" s="1578"/>
      <c r="O271" s="1578"/>
      <c r="P271" s="1578"/>
      <c r="Q271" s="1578"/>
      <c r="R271" s="1578"/>
      <c r="S271" s="1578"/>
      <c r="T271" s="1578"/>
      <c r="U271" s="1578"/>
      <c r="V271" s="1578"/>
      <c r="W271" s="1578"/>
      <c r="X271" s="1578"/>
      <c r="Y271" s="1578"/>
      <c r="Z271" s="1578"/>
      <c r="AA271" s="1578"/>
      <c r="AB271" s="1578"/>
      <c r="AC271" s="1578"/>
      <c r="AD271" s="1578"/>
      <c r="AE271" s="1578"/>
      <c r="AF271" s="1578"/>
      <c r="AG271" s="1578"/>
      <c r="AH271" s="1578"/>
      <c r="AI271" s="1578"/>
      <c r="AJ271" s="1578"/>
      <c r="AK271" s="1578"/>
      <c r="AL271" s="1578"/>
      <c r="AM271" s="1578"/>
      <c r="AN271" s="1578"/>
      <c r="AO271" s="1578"/>
      <c r="AP271" s="1578"/>
      <c r="AQ271" s="1578"/>
      <c r="AR271" s="1578"/>
      <c r="AS271" s="1578"/>
      <c r="AT271" s="1578"/>
      <c r="AU271" s="1578"/>
      <c r="AV271" s="1578"/>
      <c r="AW271" s="1578"/>
      <c r="AX271" s="1578"/>
      <c r="AY271" s="1578"/>
      <c r="AZ271" s="1578"/>
      <c r="BA271" s="1578"/>
      <c r="BB271" s="1578"/>
      <c r="BC271" s="1578"/>
      <c r="BD271" s="1578"/>
      <c r="BE271" s="1578"/>
      <c r="BF271" s="1578"/>
      <c r="BG271" s="1578"/>
      <c r="BH271" s="1578"/>
      <c r="BI271" s="1578"/>
      <c r="BJ271" s="1578"/>
      <c r="BK271" s="1578"/>
      <c r="BL271" s="1578"/>
      <c r="BM271" s="1578"/>
      <c r="BN271" s="1578"/>
      <c r="BO271" s="1578"/>
      <c r="BP271" s="1578"/>
      <c r="BQ271" s="1578"/>
      <c r="BR271" s="1578"/>
      <c r="BS271" s="1578"/>
      <c r="BT271" s="1578"/>
      <c r="BU271" s="1578"/>
      <c r="BV271" s="1578"/>
      <c r="BW271" s="1578"/>
      <c r="BX271" s="1578"/>
      <c r="BY271" s="1578"/>
      <c r="BZ271" s="1578"/>
      <c r="CA271" s="1578"/>
      <c r="CB271" s="1578"/>
      <c r="CC271" s="1578"/>
      <c r="CD271" s="1578"/>
      <c r="CE271" s="1578"/>
      <c r="CF271" s="1578"/>
      <c r="CG271" s="1578"/>
      <c r="CH271" s="1578"/>
      <c r="CI271" s="1578"/>
      <c r="CJ271" s="1578"/>
      <c r="CK271" s="1578"/>
      <c r="CL271" s="1578"/>
      <c r="CM271" s="1578"/>
      <c r="CN271" s="1578"/>
      <c r="CO271" s="1578"/>
      <c r="CP271" s="1578"/>
      <c r="CQ271" s="1578"/>
      <c r="CR271" s="1578"/>
      <c r="CS271" s="1578"/>
      <c r="CT271" s="1578"/>
      <c r="CU271" s="1578"/>
      <c r="CV271" s="1578"/>
      <c r="CW271" s="1578"/>
      <c r="CX271" s="1578"/>
      <c r="CY271" s="1578"/>
      <c r="CZ271" s="1578"/>
    </row>
    <row r="272" spans="1:104">
      <c r="A272" s="1466"/>
      <c r="B272" s="1576"/>
      <c r="C272" s="1576"/>
      <c r="D272" s="1576"/>
      <c r="E272" s="1578"/>
      <c r="F272" s="1578"/>
      <c r="G272" s="1578"/>
      <c r="H272" s="1578"/>
      <c r="I272" s="1578"/>
      <c r="J272" s="1578"/>
      <c r="K272" s="1578"/>
      <c r="L272" s="1578"/>
      <c r="M272" s="1578"/>
      <c r="N272" s="1578"/>
      <c r="O272" s="1578"/>
      <c r="P272" s="1578"/>
      <c r="Q272" s="1578"/>
      <c r="R272" s="1578"/>
      <c r="S272" s="1578"/>
      <c r="T272" s="1578"/>
      <c r="U272" s="1578"/>
      <c r="V272" s="1578"/>
      <c r="W272" s="1578"/>
      <c r="X272" s="1578"/>
      <c r="Y272" s="1578"/>
      <c r="Z272" s="1578"/>
      <c r="AA272" s="1578"/>
      <c r="AB272" s="1578"/>
      <c r="AC272" s="1578"/>
      <c r="AD272" s="1578"/>
      <c r="AE272" s="1578"/>
      <c r="AF272" s="1578"/>
      <c r="AG272" s="1578"/>
      <c r="AH272" s="1578"/>
      <c r="AI272" s="1578"/>
      <c r="AJ272" s="1578"/>
      <c r="AK272" s="1578"/>
      <c r="AL272" s="1578"/>
      <c r="AM272" s="1578"/>
      <c r="AN272" s="1578"/>
      <c r="AO272" s="1578"/>
      <c r="AP272" s="1578"/>
      <c r="AQ272" s="1578"/>
      <c r="AR272" s="1578"/>
      <c r="AS272" s="1578"/>
      <c r="AT272" s="1578"/>
      <c r="AU272" s="1578"/>
      <c r="AV272" s="1578"/>
      <c r="AW272" s="1578"/>
      <c r="AX272" s="1578"/>
      <c r="AY272" s="1578"/>
      <c r="AZ272" s="1578"/>
      <c r="BA272" s="1578"/>
      <c r="BB272" s="1578"/>
      <c r="BC272" s="1578"/>
      <c r="BD272" s="1578"/>
      <c r="BE272" s="1578"/>
      <c r="BF272" s="1578"/>
      <c r="BG272" s="1578"/>
      <c r="BH272" s="1578"/>
      <c r="BI272" s="1578"/>
      <c r="BJ272" s="1578"/>
      <c r="BK272" s="1578"/>
      <c r="BL272" s="1578"/>
      <c r="BM272" s="1578"/>
      <c r="BN272" s="1578"/>
      <c r="BO272" s="1578"/>
      <c r="BP272" s="1578"/>
      <c r="BQ272" s="1578"/>
      <c r="BR272" s="1578"/>
      <c r="BS272" s="1578"/>
      <c r="BT272" s="1578"/>
      <c r="BU272" s="1578"/>
      <c r="BV272" s="1578"/>
      <c r="BW272" s="1578"/>
      <c r="BX272" s="1578"/>
      <c r="BY272" s="1578"/>
      <c r="BZ272" s="1578"/>
      <c r="CA272" s="1578"/>
      <c r="CB272" s="1578"/>
      <c r="CC272" s="1578"/>
      <c r="CD272" s="1578"/>
      <c r="CE272" s="1578"/>
      <c r="CF272" s="1578"/>
      <c r="CG272" s="1578"/>
      <c r="CH272" s="1578"/>
      <c r="CI272" s="1578"/>
      <c r="CJ272" s="1578"/>
      <c r="CK272" s="1578"/>
      <c r="CL272" s="1578"/>
      <c r="CM272" s="1578"/>
      <c r="CN272" s="1578"/>
      <c r="CO272" s="1578"/>
      <c r="CP272" s="1578"/>
      <c r="CQ272" s="1578"/>
      <c r="CR272" s="1578"/>
      <c r="CS272" s="1578"/>
      <c r="CT272" s="1578"/>
      <c r="CU272" s="1578"/>
      <c r="CV272" s="1578"/>
      <c r="CW272" s="1578"/>
      <c r="CX272" s="1578"/>
      <c r="CY272" s="1578"/>
      <c r="CZ272" s="1578"/>
    </row>
    <row r="273" spans="1:407">
      <c r="A273" s="1466"/>
      <c r="B273" s="1576"/>
      <c r="C273" s="1576"/>
      <c r="D273" s="1576"/>
      <c r="E273" s="1578"/>
      <c r="F273" s="1578"/>
      <c r="G273" s="1578"/>
      <c r="H273" s="1578"/>
      <c r="I273" s="1578"/>
      <c r="J273" s="1578"/>
      <c r="K273" s="1578"/>
      <c r="L273" s="1578"/>
      <c r="M273" s="1578"/>
      <c r="N273" s="1578"/>
      <c r="O273" s="1578"/>
      <c r="P273" s="1578"/>
      <c r="Q273" s="1578"/>
      <c r="R273" s="1578"/>
      <c r="S273" s="1578"/>
      <c r="T273" s="1578"/>
      <c r="U273" s="1578"/>
      <c r="V273" s="1578"/>
      <c r="W273" s="1578"/>
      <c r="X273" s="1578"/>
      <c r="Y273" s="1578"/>
      <c r="Z273" s="1578"/>
      <c r="AA273" s="1578"/>
      <c r="AB273" s="1578"/>
      <c r="AC273" s="1578"/>
      <c r="AD273" s="1578"/>
      <c r="AE273" s="1578"/>
      <c r="AF273" s="1578"/>
      <c r="AG273" s="1578"/>
      <c r="AH273" s="1578"/>
      <c r="AI273" s="1578"/>
      <c r="AJ273" s="1578"/>
      <c r="AK273" s="1578"/>
      <c r="AL273" s="1578"/>
      <c r="AM273" s="1578"/>
      <c r="AN273" s="1578"/>
      <c r="AO273" s="1578"/>
      <c r="AP273" s="1578"/>
      <c r="AQ273" s="1578"/>
      <c r="AR273" s="1578"/>
      <c r="AS273" s="1578"/>
      <c r="AT273" s="1578"/>
      <c r="AU273" s="1578"/>
      <c r="AV273" s="1578"/>
      <c r="AW273" s="1578"/>
      <c r="AX273" s="1578"/>
      <c r="AY273" s="1578"/>
      <c r="AZ273" s="1578"/>
      <c r="BA273" s="1578"/>
      <c r="BB273" s="1578"/>
      <c r="BC273" s="1578"/>
      <c r="BD273" s="1578"/>
      <c r="BE273" s="1578"/>
      <c r="BF273" s="1578"/>
      <c r="BG273" s="1578"/>
      <c r="BH273" s="1578"/>
      <c r="BI273" s="1578"/>
      <c r="BJ273" s="1578"/>
      <c r="BK273" s="1578"/>
      <c r="BL273" s="1578"/>
      <c r="BM273" s="1578"/>
      <c r="BN273" s="1578"/>
      <c r="BO273" s="1578"/>
      <c r="BP273" s="1578"/>
      <c r="BQ273" s="1578"/>
      <c r="BR273" s="1578"/>
      <c r="BS273" s="1578"/>
      <c r="BT273" s="1578"/>
      <c r="BU273" s="1578"/>
      <c r="BV273" s="1578"/>
      <c r="BW273" s="1578"/>
      <c r="BX273" s="1578"/>
      <c r="BY273" s="1578"/>
      <c r="BZ273" s="1578"/>
      <c r="CA273" s="1578"/>
      <c r="CB273" s="1578"/>
      <c r="CC273" s="1578"/>
      <c r="CD273" s="1578"/>
      <c r="CE273" s="1578"/>
      <c r="CF273" s="1578"/>
      <c r="CG273" s="1578"/>
      <c r="CH273" s="1578"/>
      <c r="CI273" s="1578"/>
      <c r="CJ273" s="1578"/>
      <c r="CK273" s="1578"/>
      <c r="CL273" s="1578"/>
      <c r="CM273" s="1578"/>
      <c r="CN273" s="1578"/>
      <c r="CO273" s="1578"/>
      <c r="CP273" s="1578"/>
      <c r="CQ273" s="1578"/>
      <c r="CR273" s="1578"/>
      <c r="CS273" s="1578"/>
      <c r="CT273" s="1578"/>
      <c r="CU273" s="1578"/>
      <c r="CV273" s="1578"/>
      <c r="CW273" s="1578"/>
      <c r="CX273" s="1578"/>
      <c r="CY273" s="1578"/>
      <c r="CZ273" s="1578"/>
    </row>
    <row r="274" spans="1:407">
      <c r="A274" s="1466"/>
      <c r="B274" s="1576"/>
      <c r="C274" s="1576"/>
      <c r="D274" s="1576"/>
      <c r="E274" s="1578"/>
      <c r="F274" s="1578"/>
      <c r="G274" s="1578"/>
      <c r="H274" s="1578"/>
      <c r="I274" s="1578"/>
      <c r="J274" s="1578"/>
      <c r="K274" s="1578"/>
      <c r="L274" s="1578"/>
      <c r="M274" s="1578"/>
      <c r="N274" s="1578"/>
      <c r="O274" s="1578"/>
      <c r="P274" s="1578"/>
      <c r="Q274" s="1578"/>
      <c r="R274" s="1578"/>
      <c r="S274" s="1578"/>
      <c r="T274" s="1578"/>
      <c r="U274" s="1578"/>
      <c r="V274" s="1578"/>
      <c r="W274" s="1578"/>
      <c r="X274" s="1578"/>
      <c r="Y274" s="1578"/>
      <c r="Z274" s="1578"/>
      <c r="AA274" s="1578"/>
      <c r="AB274" s="1578"/>
      <c r="AC274" s="1578"/>
      <c r="AD274" s="1578"/>
      <c r="AE274" s="1578"/>
      <c r="AF274" s="1578"/>
      <c r="AG274" s="1578"/>
      <c r="AH274" s="1578"/>
      <c r="AI274" s="1578"/>
      <c r="AJ274" s="1578"/>
      <c r="AK274" s="1578"/>
      <c r="AL274" s="1578"/>
      <c r="AM274" s="1578"/>
      <c r="AN274" s="1578"/>
      <c r="AO274" s="1578"/>
      <c r="AP274" s="1578"/>
      <c r="AQ274" s="1578"/>
      <c r="AR274" s="1578"/>
      <c r="AS274" s="1578"/>
      <c r="AT274" s="1578"/>
      <c r="AU274" s="1578"/>
      <c r="AV274" s="1578"/>
      <c r="AW274" s="1578"/>
      <c r="AX274" s="1578"/>
      <c r="AY274" s="1578"/>
      <c r="AZ274" s="1578"/>
      <c r="BA274" s="1578"/>
      <c r="BB274" s="1578"/>
      <c r="BC274" s="1578"/>
      <c r="BD274" s="1578"/>
      <c r="BE274" s="1578"/>
      <c r="BF274" s="1578"/>
      <c r="BG274" s="1578"/>
      <c r="BH274" s="1578"/>
      <c r="BI274" s="1578"/>
      <c r="BJ274" s="1578"/>
      <c r="BK274" s="1578"/>
      <c r="BL274" s="1578"/>
      <c r="BM274" s="1578"/>
      <c r="BN274" s="1578"/>
      <c r="BO274" s="1578"/>
      <c r="BP274" s="1578"/>
      <c r="BQ274" s="1578"/>
      <c r="BR274" s="1578"/>
      <c r="BS274" s="1578"/>
      <c r="BT274" s="1578"/>
      <c r="BU274" s="1578"/>
      <c r="BV274" s="1578"/>
      <c r="BW274" s="1578"/>
      <c r="BX274" s="1578"/>
      <c r="BY274" s="1578"/>
      <c r="BZ274" s="1578"/>
      <c r="CA274" s="1578"/>
      <c r="CB274" s="1578"/>
      <c r="CC274" s="1578"/>
      <c r="CD274" s="1578"/>
      <c r="CE274" s="1578"/>
      <c r="CF274" s="1578"/>
      <c r="CG274" s="1578"/>
      <c r="CH274" s="1578"/>
      <c r="CI274" s="1578"/>
      <c r="CJ274" s="1578"/>
      <c r="CK274" s="1578"/>
      <c r="CL274" s="1578"/>
      <c r="CM274" s="1578"/>
      <c r="CN274" s="1578"/>
      <c r="CO274" s="1578"/>
      <c r="CP274" s="1578"/>
      <c r="CQ274" s="1578"/>
      <c r="CR274" s="1578"/>
      <c r="CS274" s="1578"/>
      <c r="CT274" s="1578"/>
      <c r="CU274" s="1578"/>
      <c r="CV274" s="1578"/>
      <c r="CW274" s="1578"/>
      <c r="CX274" s="1578"/>
      <c r="CY274" s="1578"/>
      <c r="CZ274" s="1578"/>
    </row>
    <row r="275" spans="1:407">
      <c r="A275" s="1466"/>
      <c r="B275" s="1576"/>
      <c r="C275" s="1576"/>
      <c r="D275" s="1576"/>
      <c r="E275" s="1578"/>
      <c r="F275" s="1578"/>
      <c r="G275" s="1578"/>
      <c r="H275" s="1578"/>
      <c r="I275" s="1578"/>
      <c r="J275" s="1578"/>
      <c r="K275" s="1578"/>
      <c r="L275" s="1578"/>
      <c r="M275" s="1578"/>
      <c r="N275" s="1578"/>
      <c r="O275" s="1578"/>
      <c r="P275" s="1578"/>
      <c r="Q275" s="1578"/>
      <c r="R275" s="1578"/>
      <c r="S275" s="1578"/>
      <c r="T275" s="1578"/>
      <c r="U275" s="1578"/>
      <c r="V275" s="1578"/>
      <c r="W275" s="1578"/>
      <c r="X275" s="1578"/>
      <c r="Y275" s="1578"/>
      <c r="Z275" s="1578"/>
      <c r="AA275" s="1578"/>
      <c r="AB275" s="1578"/>
      <c r="AC275" s="1578"/>
      <c r="AD275" s="1578"/>
      <c r="AE275" s="1578"/>
      <c r="AF275" s="1578"/>
      <c r="AG275" s="1578"/>
      <c r="AH275" s="1578"/>
      <c r="AI275" s="1578"/>
      <c r="AJ275" s="1578"/>
      <c r="AK275" s="1578"/>
      <c r="AL275" s="1578"/>
      <c r="AM275" s="1578"/>
      <c r="AN275" s="1578"/>
      <c r="AO275" s="1578"/>
      <c r="AP275" s="1578"/>
      <c r="AQ275" s="1578"/>
      <c r="AR275" s="1578"/>
      <c r="AS275" s="1578"/>
      <c r="AT275" s="1578"/>
      <c r="AU275" s="1578"/>
      <c r="AV275" s="1578"/>
      <c r="AW275" s="1578"/>
      <c r="AX275" s="1578"/>
      <c r="AY275" s="1578"/>
      <c r="AZ275" s="1578"/>
      <c r="BA275" s="1578"/>
      <c r="BB275" s="1578"/>
      <c r="BC275" s="1578"/>
      <c r="BD275" s="1578"/>
      <c r="BE275" s="1578"/>
      <c r="BF275" s="1578"/>
      <c r="BG275" s="1578"/>
      <c r="BH275" s="1578"/>
      <c r="BI275" s="1578"/>
      <c r="BJ275" s="1578"/>
      <c r="BK275" s="1578"/>
      <c r="BL275" s="1578"/>
      <c r="BM275" s="1578"/>
      <c r="BN275" s="1578"/>
      <c r="BO275" s="1578"/>
      <c r="BP275" s="1578"/>
      <c r="BQ275" s="1578"/>
      <c r="BR275" s="1578"/>
      <c r="BS275" s="1578"/>
      <c r="BT275" s="1578"/>
      <c r="BU275" s="1578"/>
      <c r="BV275" s="1578"/>
      <c r="BW275" s="1578"/>
      <c r="BX275" s="1578"/>
      <c r="BY275" s="1578"/>
      <c r="BZ275" s="1578"/>
      <c r="CA275" s="1578"/>
      <c r="CB275" s="1578"/>
      <c r="CC275" s="1578"/>
      <c r="CD275" s="1578"/>
      <c r="CE275" s="1578"/>
      <c r="CF275" s="1578"/>
      <c r="CG275" s="1578"/>
      <c r="CH275" s="1578"/>
      <c r="CI275" s="1578"/>
      <c r="CJ275" s="1578"/>
      <c r="CK275" s="1578"/>
      <c r="CL275" s="1578"/>
      <c r="CM275" s="1578"/>
      <c r="CN275" s="1578"/>
      <c r="CO275" s="1578"/>
      <c r="CP275" s="1578"/>
      <c r="CQ275" s="1578"/>
      <c r="CR275" s="1578"/>
      <c r="CS275" s="1578"/>
      <c r="CT275" s="1578"/>
      <c r="CU275" s="1578"/>
      <c r="CV275" s="1578"/>
      <c r="CW275" s="1578"/>
      <c r="CX275" s="1578"/>
      <c r="CY275" s="1578"/>
      <c r="CZ275" s="1578"/>
    </row>
    <row r="276" spans="1:407">
      <c r="A276" s="1466"/>
      <c r="B276" s="1576"/>
      <c r="C276" s="1576"/>
      <c r="D276" s="1576"/>
      <c r="E276" s="1578"/>
      <c r="F276" s="1578"/>
      <c r="G276" s="1578"/>
      <c r="H276" s="1578"/>
      <c r="I276" s="1578"/>
      <c r="J276" s="1578"/>
      <c r="K276" s="1578"/>
      <c r="L276" s="1578"/>
      <c r="M276" s="1578"/>
      <c r="N276" s="1578"/>
      <c r="O276" s="1578"/>
      <c r="P276" s="1578"/>
      <c r="Q276" s="1578"/>
      <c r="R276" s="1578"/>
      <c r="S276" s="1578"/>
      <c r="T276" s="1578"/>
      <c r="U276" s="1578"/>
      <c r="V276" s="1578"/>
      <c r="W276" s="1578"/>
      <c r="X276" s="1578"/>
      <c r="Y276" s="1578"/>
      <c r="Z276" s="1578"/>
      <c r="AA276" s="1578"/>
      <c r="AB276" s="1578"/>
      <c r="AC276" s="1578"/>
      <c r="AD276" s="1578"/>
      <c r="AE276" s="1578"/>
      <c r="AF276" s="1578"/>
      <c r="AG276" s="1578"/>
      <c r="AH276" s="1578"/>
      <c r="AI276" s="1578"/>
      <c r="AJ276" s="1578"/>
      <c r="AK276" s="1578"/>
      <c r="AL276" s="1578"/>
      <c r="AM276" s="1578"/>
      <c r="AN276" s="1578"/>
      <c r="AO276" s="1578"/>
      <c r="AP276" s="1578"/>
      <c r="AQ276" s="1578"/>
      <c r="AR276" s="1578"/>
      <c r="AS276" s="1578"/>
      <c r="AT276" s="1578"/>
      <c r="AU276" s="1578"/>
      <c r="AV276" s="1578"/>
      <c r="AW276" s="1578"/>
      <c r="AX276" s="1578"/>
      <c r="AY276" s="1578"/>
      <c r="AZ276" s="1578"/>
      <c r="BA276" s="1578"/>
      <c r="BB276" s="1578"/>
      <c r="BC276" s="1578"/>
      <c r="BD276" s="1578"/>
      <c r="BE276" s="1578"/>
      <c r="BF276" s="1578"/>
      <c r="BG276" s="1578"/>
      <c r="BH276" s="1578"/>
      <c r="BI276" s="1578"/>
      <c r="BJ276" s="1578"/>
      <c r="BK276" s="1578"/>
      <c r="BL276" s="1578"/>
      <c r="BM276" s="1578"/>
      <c r="BN276" s="1578"/>
      <c r="BO276" s="1578"/>
      <c r="BP276" s="1578"/>
      <c r="BQ276" s="1578"/>
      <c r="BR276" s="1578"/>
      <c r="BS276" s="1578"/>
      <c r="BT276" s="1578"/>
      <c r="BU276" s="1578"/>
      <c r="BV276" s="1578"/>
      <c r="BW276" s="1578"/>
      <c r="BX276" s="1578"/>
      <c r="BY276" s="1578"/>
      <c r="BZ276" s="1578"/>
      <c r="CA276" s="1578"/>
      <c r="CB276" s="1578"/>
      <c r="CC276" s="1578"/>
      <c r="CD276" s="1578"/>
      <c r="CE276" s="1578"/>
      <c r="CF276" s="1578"/>
      <c r="CG276" s="1578"/>
      <c r="CH276" s="1578"/>
      <c r="CI276" s="1578"/>
      <c r="CJ276" s="1578"/>
      <c r="CK276" s="1578"/>
      <c r="CL276" s="1578"/>
      <c r="CM276" s="1578"/>
      <c r="CN276" s="1578"/>
      <c r="CO276" s="1578"/>
      <c r="CP276" s="1578"/>
      <c r="CQ276" s="1578"/>
      <c r="CR276" s="1578"/>
      <c r="CS276" s="1578"/>
      <c r="CT276" s="1578"/>
      <c r="CU276" s="1578"/>
      <c r="CV276" s="1578"/>
      <c r="CW276" s="1578"/>
      <c r="CX276" s="1578"/>
      <c r="CY276" s="1578"/>
      <c r="CZ276" s="1578"/>
    </row>
    <row r="277" spans="1:407">
      <c r="A277" s="1466"/>
      <c r="B277" s="1576"/>
      <c r="C277" s="1576"/>
      <c r="D277" s="1576"/>
      <c r="E277" s="1578"/>
      <c r="F277" s="1578"/>
      <c r="G277" s="1578"/>
      <c r="H277" s="1578"/>
      <c r="I277" s="1578"/>
      <c r="J277" s="1578"/>
      <c r="K277" s="1578"/>
      <c r="L277" s="1578"/>
      <c r="M277" s="1578"/>
      <c r="N277" s="1578"/>
      <c r="O277" s="1578"/>
      <c r="P277" s="1578"/>
      <c r="Q277" s="1578"/>
      <c r="R277" s="1578"/>
      <c r="S277" s="1578"/>
      <c r="T277" s="1578"/>
      <c r="U277" s="1578"/>
      <c r="V277" s="1578"/>
      <c r="W277" s="1578"/>
      <c r="X277" s="1578"/>
      <c r="Y277" s="1578"/>
      <c r="Z277" s="1578"/>
      <c r="AA277" s="1578"/>
      <c r="AB277" s="1578"/>
      <c r="AC277" s="1578"/>
      <c r="AD277" s="1578"/>
      <c r="AE277" s="1578"/>
      <c r="AF277" s="1578"/>
      <c r="AG277" s="1578"/>
      <c r="AH277" s="1578"/>
      <c r="AI277" s="1578"/>
      <c r="AJ277" s="1578"/>
      <c r="AK277" s="1578"/>
      <c r="AL277" s="1578"/>
      <c r="AM277" s="1578"/>
      <c r="AN277" s="1578"/>
      <c r="AO277" s="1578"/>
      <c r="AP277" s="1578"/>
      <c r="AQ277" s="1578"/>
      <c r="AR277" s="1578"/>
      <c r="AS277" s="1578"/>
      <c r="AT277" s="1578"/>
      <c r="AU277" s="1578"/>
      <c r="AV277" s="1578"/>
      <c r="AW277" s="1578"/>
      <c r="AX277" s="1578"/>
      <c r="AY277" s="1578"/>
      <c r="AZ277" s="1578"/>
      <c r="BA277" s="1578"/>
      <c r="BB277" s="1578"/>
      <c r="BC277" s="1578"/>
      <c r="BD277" s="1578"/>
      <c r="BE277" s="1578"/>
      <c r="BF277" s="1578"/>
      <c r="BG277" s="1578"/>
      <c r="BH277" s="1578"/>
      <c r="BI277" s="1578"/>
      <c r="BJ277" s="1578"/>
      <c r="BK277" s="1578"/>
      <c r="BL277" s="1578"/>
      <c r="BM277" s="1578"/>
      <c r="BN277" s="1578"/>
      <c r="BO277" s="1578"/>
      <c r="BP277" s="1578"/>
      <c r="BQ277" s="1578"/>
      <c r="BR277" s="1578"/>
      <c r="BS277" s="1578"/>
      <c r="BT277" s="1578"/>
      <c r="BU277" s="1578"/>
      <c r="BV277" s="1578"/>
      <c r="BW277" s="1578"/>
      <c r="BX277" s="1578"/>
      <c r="BY277" s="1578"/>
      <c r="BZ277" s="1578"/>
      <c r="CA277" s="1578"/>
      <c r="CB277" s="1578"/>
      <c r="CC277" s="1578"/>
      <c r="CD277" s="1578"/>
      <c r="CE277" s="1578"/>
      <c r="CF277" s="1578"/>
      <c r="CG277" s="1578"/>
      <c r="CH277" s="1578"/>
      <c r="CI277" s="1578"/>
      <c r="CJ277" s="1578"/>
      <c r="CK277" s="1578"/>
      <c r="CL277" s="1578"/>
      <c r="CM277" s="1578"/>
      <c r="CN277" s="1578"/>
      <c r="CO277" s="1578"/>
      <c r="CP277" s="1578"/>
      <c r="CQ277" s="1578"/>
      <c r="CR277" s="1578"/>
      <c r="CS277" s="1578"/>
      <c r="CT277" s="1578"/>
      <c r="CU277" s="1578"/>
      <c r="CV277" s="1578"/>
      <c r="CW277" s="1578"/>
      <c r="CX277" s="1578"/>
      <c r="CY277" s="1578"/>
      <c r="CZ277" s="1578"/>
    </row>
    <row r="278" spans="1:407">
      <c r="A278" s="1466"/>
      <c r="B278" s="1576"/>
      <c r="C278" s="1576"/>
      <c r="D278" s="1576"/>
      <c r="E278" s="1578"/>
      <c r="F278" s="1578"/>
      <c r="G278" s="1578"/>
      <c r="H278" s="1578"/>
      <c r="I278" s="1578"/>
      <c r="J278" s="1578"/>
      <c r="K278" s="1578"/>
      <c r="L278" s="1578"/>
      <c r="M278" s="1578"/>
      <c r="N278" s="1578"/>
      <c r="O278" s="1578"/>
      <c r="P278" s="1578"/>
      <c r="Q278" s="1578"/>
      <c r="R278" s="1578"/>
      <c r="S278" s="1578"/>
      <c r="T278" s="1578"/>
      <c r="U278" s="1578"/>
      <c r="V278" s="1578"/>
      <c r="W278" s="1578"/>
      <c r="X278" s="1578"/>
      <c r="Y278" s="1578"/>
      <c r="Z278" s="1578"/>
      <c r="AA278" s="1578"/>
      <c r="AB278" s="1578"/>
      <c r="AC278" s="1578"/>
      <c r="AD278" s="1578"/>
      <c r="AE278" s="1578"/>
      <c r="AF278" s="1578"/>
      <c r="AG278" s="1578"/>
      <c r="AH278" s="1578"/>
      <c r="AI278" s="1578"/>
      <c r="AJ278" s="1578"/>
      <c r="AK278" s="1578"/>
      <c r="AL278" s="1578"/>
      <c r="AM278" s="1578"/>
      <c r="AN278" s="1578"/>
      <c r="AO278" s="1578"/>
      <c r="AP278" s="1578"/>
      <c r="AQ278" s="1578"/>
      <c r="AR278" s="1578"/>
      <c r="AS278" s="1578"/>
      <c r="AT278" s="1578"/>
      <c r="AU278" s="1578"/>
      <c r="AV278" s="1578"/>
      <c r="AW278" s="1578"/>
      <c r="AX278" s="1578"/>
      <c r="AY278" s="1578"/>
      <c r="AZ278" s="1578"/>
      <c r="BA278" s="1578"/>
      <c r="BB278" s="1578"/>
      <c r="BC278" s="1578"/>
      <c r="BD278" s="1578"/>
      <c r="BE278" s="1578"/>
      <c r="BF278" s="1578"/>
      <c r="BG278" s="1578"/>
      <c r="BH278" s="1578"/>
      <c r="BI278" s="1578"/>
      <c r="BJ278" s="1578"/>
      <c r="BK278" s="1578"/>
      <c r="BL278" s="1578"/>
      <c r="BM278" s="1578"/>
      <c r="BN278" s="1578"/>
      <c r="BO278" s="1578"/>
      <c r="BP278" s="1578"/>
      <c r="BQ278" s="1578"/>
      <c r="BR278" s="1578"/>
      <c r="BS278" s="1578"/>
      <c r="BT278" s="1578"/>
      <c r="BU278" s="1578"/>
      <c r="BV278" s="1578"/>
      <c r="BW278" s="1578"/>
      <c r="BX278" s="1578"/>
      <c r="BY278" s="1578"/>
      <c r="BZ278" s="1578"/>
      <c r="CA278" s="1578"/>
      <c r="CB278" s="1578"/>
      <c r="CC278" s="1578"/>
      <c r="CD278" s="1578"/>
      <c r="CE278" s="1578"/>
      <c r="CF278" s="1578"/>
      <c r="CG278" s="1578"/>
      <c r="CH278" s="1578"/>
      <c r="CI278" s="1578"/>
      <c r="CJ278" s="1578"/>
      <c r="CK278" s="1578"/>
      <c r="CL278" s="1578"/>
      <c r="CM278" s="1578"/>
      <c r="CN278" s="1578"/>
      <c r="CO278" s="1578"/>
      <c r="CP278" s="1578"/>
      <c r="CQ278" s="1578"/>
      <c r="CR278" s="1578"/>
      <c r="CS278" s="1578"/>
      <c r="CT278" s="1578"/>
      <c r="CU278" s="1578"/>
      <c r="CV278" s="1578"/>
      <c r="CW278" s="1578"/>
      <c r="CX278" s="1578"/>
      <c r="CY278" s="1578"/>
      <c r="CZ278" s="1578"/>
    </row>
    <row r="279" spans="1:407">
      <c r="A279" s="1466"/>
      <c r="B279" s="1576"/>
      <c r="C279" s="1576"/>
      <c r="D279" s="1576"/>
      <c r="E279" s="1578"/>
      <c r="F279" s="1578"/>
      <c r="G279" s="1578"/>
      <c r="H279" s="1578"/>
      <c r="I279" s="1578"/>
      <c r="J279" s="1578"/>
      <c r="K279" s="1578"/>
      <c r="L279" s="1578"/>
      <c r="M279" s="1578"/>
      <c r="N279" s="1578"/>
      <c r="O279" s="1578"/>
      <c r="P279" s="1578"/>
      <c r="Q279" s="1578"/>
      <c r="R279" s="1578"/>
      <c r="S279" s="1578"/>
      <c r="T279" s="1578"/>
      <c r="U279" s="1578"/>
      <c r="V279" s="1578"/>
      <c r="W279" s="1578"/>
      <c r="X279" s="1578"/>
      <c r="Y279" s="1578"/>
      <c r="Z279" s="1578"/>
      <c r="AA279" s="1578"/>
      <c r="AB279" s="1578"/>
      <c r="AC279" s="1578"/>
      <c r="AD279" s="1578"/>
      <c r="AE279" s="1578"/>
      <c r="AF279" s="1578"/>
      <c r="AG279" s="1578"/>
      <c r="AH279" s="1578"/>
      <c r="AI279" s="1578"/>
      <c r="AJ279" s="1578"/>
      <c r="AK279" s="1578"/>
      <c r="AL279" s="1578"/>
      <c r="AM279" s="1578"/>
      <c r="AN279" s="1578"/>
      <c r="AO279" s="1578"/>
      <c r="AP279" s="1578"/>
      <c r="AQ279" s="1578"/>
      <c r="AR279" s="1578"/>
      <c r="AS279" s="1578"/>
      <c r="AT279" s="1578"/>
      <c r="AU279" s="1578"/>
      <c r="AV279" s="1578"/>
      <c r="AW279" s="1578"/>
      <c r="AX279" s="1578"/>
      <c r="AY279" s="1578"/>
      <c r="AZ279" s="1578"/>
      <c r="BA279" s="1578"/>
      <c r="BB279" s="1578"/>
      <c r="BC279" s="1578"/>
      <c r="BD279" s="1578"/>
      <c r="BE279" s="1578"/>
      <c r="BF279" s="1578"/>
      <c r="BG279" s="1578"/>
      <c r="BH279" s="1578"/>
      <c r="BI279" s="1578"/>
      <c r="BJ279" s="1578"/>
      <c r="BK279" s="1578"/>
      <c r="BL279" s="1578"/>
      <c r="BM279" s="1578"/>
      <c r="BN279" s="1578"/>
      <c r="BO279" s="1578"/>
      <c r="BP279" s="1578"/>
      <c r="BQ279" s="1578"/>
      <c r="BR279" s="1578"/>
      <c r="BS279" s="1578"/>
      <c r="BT279" s="1578"/>
      <c r="BU279" s="1578"/>
      <c r="BV279" s="1578"/>
      <c r="BW279" s="1578"/>
      <c r="BX279" s="1578"/>
      <c r="BY279" s="1578"/>
      <c r="BZ279" s="1578"/>
      <c r="CA279" s="1578"/>
      <c r="CB279" s="1578"/>
      <c r="CC279" s="1578"/>
      <c r="CD279" s="1578"/>
      <c r="CE279" s="1578"/>
      <c r="CF279" s="1578"/>
      <c r="CG279" s="1578"/>
      <c r="CH279" s="1578"/>
      <c r="CI279" s="1578"/>
      <c r="CJ279" s="1578"/>
      <c r="CK279" s="1578"/>
      <c r="CL279" s="1578"/>
      <c r="CM279" s="1578"/>
      <c r="CN279" s="1578"/>
      <c r="CO279" s="1578"/>
      <c r="CP279" s="1578"/>
      <c r="CQ279" s="1578"/>
      <c r="CR279" s="1578"/>
      <c r="CS279" s="1578"/>
      <c r="CT279" s="1578"/>
      <c r="CU279" s="1578"/>
      <c r="CV279" s="1578"/>
      <c r="CW279" s="1578"/>
      <c r="CX279" s="1578"/>
      <c r="CY279" s="1578"/>
      <c r="CZ279" s="1578"/>
    </row>
    <row r="280" spans="1:407">
      <c r="A280" s="1466"/>
      <c r="B280" s="1576"/>
      <c r="C280" s="1576"/>
      <c r="D280" s="1576"/>
      <c r="E280" s="1578"/>
      <c r="F280" s="1578"/>
      <c r="G280" s="1578"/>
      <c r="H280" s="1578"/>
      <c r="I280" s="1578"/>
      <c r="J280" s="1578"/>
      <c r="K280" s="1578"/>
      <c r="L280" s="1578"/>
      <c r="M280" s="1578"/>
      <c r="N280" s="1578"/>
      <c r="O280" s="1578"/>
      <c r="P280" s="1578"/>
      <c r="Q280" s="1578"/>
      <c r="R280" s="1578"/>
      <c r="S280" s="1578"/>
      <c r="T280" s="1578"/>
      <c r="U280" s="1578"/>
      <c r="V280" s="1578"/>
      <c r="W280" s="1578"/>
      <c r="X280" s="1578"/>
      <c r="Y280" s="1578"/>
      <c r="Z280" s="1578"/>
      <c r="AA280" s="1578"/>
      <c r="AB280" s="1578"/>
      <c r="AC280" s="1578"/>
      <c r="AD280" s="1578"/>
      <c r="AE280" s="1578"/>
      <c r="AF280" s="1578"/>
      <c r="AG280" s="1578"/>
      <c r="AH280" s="1578"/>
      <c r="AI280" s="1578"/>
      <c r="AJ280" s="1578"/>
      <c r="AK280" s="1578"/>
      <c r="AL280" s="1578"/>
      <c r="AM280" s="1578"/>
      <c r="AN280" s="1578"/>
      <c r="AO280" s="1578"/>
      <c r="AP280" s="1578"/>
      <c r="AQ280" s="1578"/>
      <c r="AR280" s="1578"/>
      <c r="AS280" s="1578"/>
      <c r="AT280" s="1578"/>
      <c r="AU280" s="1578"/>
      <c r="AV280" s="1578"/>
      <c r="AW280" s="1578"/>
      <c r="AX280" s="1578"/>
      <c r="AY280" s="1578"/>
      <c r="AZ280" s="1578"/>
      <c r="BA280" s="1578"/>
      <c r="BB280" s="1578"/>
      <c r="BC280" s="1578"/>
      <c r="BD280" s="1578"/>
      <c r="BE280" s="1578"/>
      <c r="BF280" s="1578"/>
      <c r="BG280" s="1578"/>
      <c r="BH280" s="1578"/>
      <c r="BI280" s="1578"/>
      <c r="BJ280" s="1578"/>
      <c r="BK280" s="1578"/>
      <c r="BL280" s="1578"/>
      <c r="BM280" s="1578"/>
      <c r="BN280" s="1578"/>
      <c r="BO280" s="1578"/>
      <c r="BP280" s="1578"/>
      <c r="BQ280" s="1578"/>
      <c r="BR280" s="1578"/>
      <c r="BS280" s="1578"/>
      <c r="BT280" s="1578"/>
      <c r="BU280" s="1578"/>
      <c r="BV280" s="1578"/>
      <c r="BW280" s="1578"/>
      <c r="BX280" s="1578"/>
      <c r="BY280" s="1578"/>
      <c r="BZ280" s="1578"/>
      <c r="CA280" s="1578"/>
      <c r="CB280" s="1578"/>
      <c r="CC280" s="1578"/>
      <c r="CD280" s="1578"/>
      <c r="CE280" s="1578"/>
      <c r="CF280" s="1578"/>
      <c r="CG280" s="1578"/>
      <c r="CH280" s="1578"/>
      <c r="CI280" s="1578"/>
      <c r="CJ280" s="1578"/>
      <c r="CK280" s="1578"/>
      <c r="CL280" s="1578"/>
      <c r="CM280" s="1578"/>
      <c r="CN280" s="1578"/>
      <c r="CO280" s="1578"/>
      <c r="CP280" s="1578"/>
      <c r="CQ280" s="1578"/>
      <c r="CR280" s="1578"/>
      <c r="CS280" s="1578"/>
      <c r="CT280" s="1578"/>
      <c r="CU280" s="1578"/>
      <c r="CV280" s="1578"/>
      <c r="CW280" s="1578"/>
      <c r="CX280" s="1578"/>
      <c r="CY280" s="1578"/>
      <c r="CZ280" s="1578"/>
    </row>
    <row r="281" spans="1:407">
      <c r="A281" s="1466"/>
      <c r="B281" s="1576"/>
      <c r="C281" s="1576"/>
      <c r="D281" s="1576"/>
      <c r="E281" s="1578"/>
      <c r="F281" s="1578"/>
      <c r="G281" s="1578"/>
      <c r="H281" s="1578"/>
      <c r="I281" s="1578"/>
      <c r="J281" s="1578"/>
      <c r="K281" s="1578"/>
      <c r="L281" s="1578"/>
      <c r="M281" s="1578"/>
      <c r="N281" s="1578"/>
      <c r="O281" s="1578"/>
      <c r="P281" s="1578"/>
      <c r="Q281" s="1578"/>
      <c r="R281" s="1578"/>
      <c r="S281" s="1578"/>
      <c r="T281" s="1578"/>
      <c r="U281" s="1578"/>
      <c r="V281" s="1578"/>
      <c r="W281" s="1578"/>
      <c r="X281" s="1578"/>
      <c r="Y281" s="1578"/>
      <c r="Z281" s="1578"/>
      <c r="AA281" s="1578"/>
      <c r="AB281" s="1578"/>
      <c r="AC281" s="1578"/>
      <c r="AD281" s="1578"/>
      <c r="AE281" s="1578"/>
      <c r="AF281" s="1578"/>
      <c r="AG281" s="1578"/>
      <c r="AH281" s="1578"/>
      <c r="AI281" s="1578"/>
      <c r="AJ281" s="1578"/>
      <c r="AK281" s="1578"/>
      <c r="AL281" s="1578"/>
      <c r="AM281" s="1578"/>
      <c r="AN281" s="1578"/>
      <c r="AO281" s="1578"/>
      <c r="AP281" s="1578"/>
      <c r="AQ281" s="1578"/>
      <c r="AR281" s="1578"/>
      <c r="AS281" s="1578"/>
      <c r="AT281" s="1578"/>
      <c r="AU281" s="1578"/>
      <c r="AV281" s="1578"/>
      <c r="AW281" s="1578"/>
      <c r="AX281" s="1578"/>
      <c r="AY281" s="1578"/>
      <c r="AZ281" s="1578"/>
      <c r="BA281" s="1578"/>
      <c r="BB281" s="1578"/>
      <c r="BC281" s="1578"/>
      <c r="BD281" s="1578"/>
      <c r="BE281" s="1578"/>
      <c r="BF281" s="1578"/>
      <c r="BG281" s="1578"/>
      <c r="BH281" s="1578"/>
      <c r="BI281" s="1578"/>
      <c r="BJ281" s="1578"/>
      <c r="BK281" s="1578"/>
      <c r="BL281" s="1578"/>
      <c r="BM281" s="1578"/>
      <c r="BN281" s="1578"/>
      <c r="BO281" s="1578"/>
      <c r="BP281" s="1578"/>
      <c r="BQ281" s="1578"/>
      <c r="BR281" s="1578"/>
      <c r="BS281" s="1578"/>
      <c r="BT281" s="1578"/>
      <c r="BU281" s="1578"/>
      <c r="BV281" s="1578"/>
      <c r="BW281" s="1578"/>
      <c r="BX281" s="1578"/>
      <c r="BY281" s="1578"/>
      <c r="BZ281" s="1578"/>
      <c r="CA281" s="1578"/>
      <c r="CB281" s="1578"/>
      <c r="CC281" s="1578"/>
      <c r="CD281" s="1578"/>
      <c r="CE281" s="1578"/>
      <c r="CF281" s="1578"/>
      <c r="CG281" s="1578"/>
      <c r="CH281" s="1578"/>
      <c r="CI281" s="1578"/>
      <c r="CJ281" s="1578"/>
      <c r="CK281" s="1578"/>
      <c r="CL281" s="1578"/>
      <c r="CM281" s="1578"/>
      <c r="CN281" s="1578"/>
      <c r="CO281" s="1578"/>
      <c r="CP281" s="1578"/>
      <c r="CQ281" s="1578"/>
      <c r="CR281" s="1578"/>
      <c r="CS281" s="1578"/>
      <c r="CT281" s="1578"/>
      <c r="CU281" s="1578"/>
      <c r="CV281" s="1578"/>
      <c r="CW281" s="1578"/>
      <c r="CX281" s="1578"/>
      <c r="CY281" s="1578"/>
      <c r="CZ281" s="1578"/>
    </row>
    <row r="282" spans="1:407">
      <c r="A282" s="1466"/>
      <c r="B282" s="1576"/>
      <c r="C282" s="1576"/>
      <c r="D282" s="1576"/>
      <c r="E282" s="1578"/>
      <c r="F282" s="1578"/>
      <c r="G282" s="1578"/>
      <c r="H282" s="1578"/>
      <c r="I282" s="1578"/>
      <c r="J282" s="1578"/>
      <c r="K282" s="1578"/>
      <c r="L282" s="1578"/>
      <c r="M282" s="1578"/>
      <c r="N282" s="1578"/>
      <c r="O282" s="1578"/>
      <c r="P282" s="1578"/>
      <c r="Q282" s="1578"/>
      <c r="R282" s="1578"/>
      <c r="S282" s="1578"/>
      <c r="T282" s="1578"/>
      <c r="U282" s="1578"/>
      <c r="V282" s="1578"/>
      <c r="W282" s="1578"/>
      <c r="X282" s="1578"/>
      <c r="Y282" s="1578"/>
      <c r="Z282" s="1578"/>
      <c r="AA282" s="1578"/>
      <c r="AB282" s="1578"/>
      <c r="AC282" s="1578"/>
      <c r="AD282" s="1578"/>
      <c r="AE282" s="1578"/>
      <c r="AF282" s="1578"/>
      <c r="AG282" s="1578"/>
      <c r="AH282" s="1578"/>
      <c r="AI282" s="1578"/>
      <c r="AJ282" s="1578"/>
      <c r="AK282" s="1578"/>
      <c r="AL282" s="1578"/>
      <c r="AM282" s="1578"/>
      <c r="AN282" s="1578"/>
      <c r="AO282" s="1578"/>
      <c r="AP282" s="1578"/>
      <c r="AQ282" s="1578"/>
      <c r="AR282" s="1578"/>
      <c r="AS282" s="1578"/>
      <c r="AT282" s="1578"/>
      <c r="AU282" s="1578"/>
      <c r="AV282" s="1578"/>
      <c r="AW282" s="1578"/>
      <c r="AX282" s="1578"/>
      <c r="AY282" s="1578"/>
      <c r="AZ282" s="1578"/>
      <c r="BA282" s="1578"/>
      <c r="BB282" s="1578"/>
      <c r="BC282" s="1578"/>
      <c r="BD282" s="1578"/>
      <c r="BE282" s="1578"/>
      <c r="BF282" s="1578"/>
      <c r="BG282" s="1578"/>
      <c r="BH282" s="1578"/>
      <c r="BI282" s="1578"/>
      <c r="BJ282" s="1578"/>
      <c r="BK282" s="1578"/>
      <c r="BL282" s="1578"/>
      <c r="BM282" s="1578"/>
      <c r="BN282" s="1578"/>
      <c r="BO282" s="1578"/>
      <c r="BP282" s="1578"/>
      <c r="BQ282" s="1578"/>
      <c r="BR282" s="1578"/>
      <c r="BS282" s="1578"/>
      <c r="BT282" s="1578"/>
      <c r="BU282" s="1578"/>
      <c r="BV282" s="1578"/>
      <c r="BW282" s="1578"/>
      <c r="BX282" s="1578"/>
      <c r="BY282" s="1578"/>
      <c r="BZ282" s="1578"/>
      <c r="CA282" s="1578"/>
      <c r="CB282" s="1578"/>
      <c r="CC282" s="1578"/>
      <c r="CD282" s="1578"/>
      <c r="CE282" s="1578"/>
      <c r="CF282" s="1578"/>
      <c r="CG282" s="1578"/>
      <c r="CH282" s="1578"/>
      <c r="CI282" s="1578"/>
      <c r="CJ282" s="1578"/>
      <c r="CK282" s="1578"/>
      <c r="CL282" s="1578"/>
      <c r="CM282" s="1578"/>
      <c r="CN282" s="1578"/>
      <c r="CO282" s="1578"/>
      <c r="CP282" s="1578"/>
      <c r="CQ282" s="1578"/>
      <c r="CR282" s="1578"/>
      <c r="CS282" s="1578"/>
      <c r="CT282" s="1578"/>
      <c r="CU282" s="1578"/>
      <c r="CV282" s="1578"/>
      <c r="CW282" s="1578"/>
      <c r="CX282" s="1578"/>
      <c r="CY282" s="1578"/>
      <c r="CZ282" s="1578"/>
    </row>
    <row r="283" spans="1:407">
      <c r="A283" s="1466"/>
      <c r="B283" s="1576"/>
      <c r="C283" s="1576"/>
      <c r="D283" s="1576"/>
      <c r="E283" s="1578"/>
      <c r="F283" s="1578"/>
      <c r="G283" s="1578"/>
      <c r="H283" s="1578"/>
      <c r="I283" s="1578"/>
      <c r="J283" s="1578"/>
      <c r="K283" s="1578"/>
      <c r="L283" s="1578"/>
      <c r="M283" s="1578"/>
      <c r="N283" s="1578"/>
      <c r="O283" s="1578"/>
      <c r="P283" s="1578"/>
      <c r="Q283" s="1578"/>
      <c r="R283" s="1578"/>
      <c r="S283" s="1578"/>
      <c r="T283" s="1578"/>
      <c r="U283" s="1578"/>
      <c r="V283" s="1578"/>
      <c r="W283" s="1578"/>
      <c r="X283" s="1578"/>
      <c r="Y283" s="1578"/>
      <c r="Z283" s="1578"/>
      <c r="AA283" s="1578"/>
      <c r="AB283" s="1578"/>
      <c r="AC283" s="1578"/>
      <c r="AD283" s="1578"/>
      <c r="AE283" s="1578"/>
      <c r="AF283" s="1578"/>
      <c r="AG283" s="1578"/>
      <c r="AH283" s="1578"/>
      <c r="AI283" s="1578"/>
      <c r="AJ283" s="1578"/>
      <c r="AK283" s="1578"/>
      <c r="AL283" s="1578"/>
      <c r="AM283" s="1578"/>
      <c r="AN283" s="1578"/>
      <c r="AO283" s="1578"/>
      <c r="AP283" s="1578"/>
      <c r="AQ283" s="1578"/>
      <c r="AR283" s="1578"/>
      <c r="AS283" s="1578"/>
      <c r="AT283" s="1578"/>
      <c r="AU283" s="1578"/>
      <c r="AV283" s="1578"/>
      <c r="AW283" s="1578"/>
      <c r="AX283" s="1578"/>
      <c r="AY283" s="1578"/>
      <c r="AZ283" s="1578"/>
      <c r="BA283" s="1578"/>
      <c r="BB283" s="1578"/>
      <c r="BC283" s="1578"/>
      <c r="BD283" s="1578"/>
      <c r="BE283" s="1578"/>
      <c r="BF283" s="1578"/>
      <c r="BG283" s="1578"/>
      <c r="BH283" s="1578"/>
      <c r="BI283" s="1578"/>
      <c r="BJ283" s="1578"/>
      <c r="BK283" s="1578"/>
      <c r="BL283" s="1578"/>
      <c r="BM283" s="1578"/>
      <c r="BN283" s="1578"/>
      <c r="BO283" s="1578"/>
      <c r="BP283" s="1578"/>
      <c r="BQ283" s="1578"/>
      <c r="BR283" s="1578"/>
      <c r="BS283" s="1578"/>
      <c r="BT283" s="1578"/>
      <c r="BU283" s="1578"/>
      <c r="BV283" s="1578"/>
      <c r="BW283" s="1578"/>
      <c r="BX283" s="1578"/>
      <c r="BY283" s="1578"/>
      <c r="BZ283" s="1578"/>
      <c r="CA283" s="1578"/>
      <c r="CB283" s="1578"/>
      <c r="CC283" s="1578"/>
      <c r="CD283" s="1578"/>
      <c r="CE283" s="1578"/>
      <c r="CF283" s="1578"/>
      <c r="CG283" s="1578"/>
      <c r="CH283" s="1578"/>
      <c r="CI283" s="1578"/>
      <c r="CJ283" s="1578"/>
      <c r="CK283" s="1578"/>
      <c r="CL283" s="1578"/>
      <c r="CM283" s="1578"/>
      <c r="CN283" s="1578"/>
      <c r="CO283" s="1578"/>
      <c r="CP283" s="1578"/>
      <c r="CQ283" s="1578"/>
      <c r="CR283" s="1578"/>
      <c r="CS283" s="1578"/>
      <c r="CT283" s="1578"/>
      <c r="CU283" s="1578"/>
      <c r="CV283" s="1578"/>
      <c r="CW283" s="1578"/>
      <c r="CX283" s="1578"/>
      <c r="CY283" s="1578"/>
      <c r="CZ283" s="1578"/>
    </row>
    <row r="284" spans="1:407">
      <c r="A284" s="1466"/>
      <c r="B284" s="1576"/>
      <c r="C284" s="1576"/>
      <c r="D284" s="1576"/>
      <c r="E284" s="1578"/>
      <c r="F284" s="1578"/>
      <c r="G284" s="1578"/>
      <c r="H284" s="1578"/>
      <c r="I284" s="1578"/>
      <c r="J284" s="1578"/>
      <c r="K284" s="1578"/>
      <c r="L284" s="1578"/>
      <c r="M284" s="1578"/>
      <c r="N284" s="1578"/>
      <c r="O284" s="1578"/>
      <c r="P284" s="1578"/>
      <c r="Q284" s="1578"/>
      <c r="R284" s="1578"/>
      <c r="S284" s="1578"/>
      <c r="T284" s="1578"/>
      <c r="U284" s="1578"/>
      <c r="V284" s="1578"/>
      <c r="W284" s="1578"/>
      <c r="X284" s="1578"/>
      <c r="Y284" s="1578"/>
      <c r="Z284" s="1578"/>
      <c r="AA284" s="1578"/>
      <c r="AB284" s="1578"/>
      <c r="AC284" s="1578"/>
      <c r="AD284" s="1578"/>
      <c r="AE284" s="1578"/>
      <c r="AF284" s="1578"/>
      <c r="AG284" s="1578"/>
      <c r="AH284" s="1578"/>
      <c r="AI284" s="1578"/>
      <c r="AJ284" s="1578"/>
      <c r="AK284" s="1578"/>
      <c r="AL284" s="1578"/>
      <c r="AM284" s="1578"/>
      <c r="AN284" s="1578"/>
      <c r="AO284" s="1578"/>
      <c r="AP284" s="1578"/>
      <c r="AQ284" s="1578"/>
      <c r="AR284" s="1578"/>
      <c r="AS284" s="1578"/>
      <c r="AT284" s="1578"/>
      <c r="AU284" s="1578"/>
      <c r="AV284" s="1578"/>
      <c r="AW284" s="1578"/>
      <c r="AX284" s="1578"/>
      <c r="AY284" s="1578"/>
      <c r="AZ284" s="1578"/>
      <c r="BA284" s="1578"/>
      <c r="BB284" s="1578"/>
      <c r="BC284" s="1578"/>
      <c r="BD284" s="1578"/>
      <c r="BE284" s="1578"/>
      <c r="BF284" s="1578"/>
      <c r="BG284" s="1578"/>
      <c r="BH284" s="1578"/>
      <c r="BI284" s="1578"/>
      <c r="BJ284" s="1578"/>
      <c r="BK284" s="1578"/>
      <c r="BL284" s="1578"/>
      <c r="BM284" s="1578"/>
      <c r="BN284" s="1578"/>
      <c r="BO284" s="1578"/>
      <c r="BP284" s="1578"/>
      <c r="BQ284" s="1578"/>
      <c r="BR284" s="1578"/>
      <c r="BS284" s="1578"/>
      <c r="BT284" s="1578"/>
      <c r="BU284" s="1578"/>
      <c r="BV284" s="1578"/>
      <c r="BW284" s="1578"/>
      <c r="BX284" s="1578"/>
      <c r="BY284" s="1578"/>
      <c r="BZ284" s="1578"/>
      <c r="CA284" s="1578"/>
      <c r="CB284" s="1578"/>
      <c r="CC284" s="1578"/>
      <c r="CD284" s="1578"/>
      <c r="CE284" s="1578"/>
      <c r="CF284" s="1578"/>
      <c r="CG284" s="1578"/>
      <c r="CH284" s="1578"/>
      <c r="CI284" s="1578"/>
      <c r="CJ284" s="1578"/>
      <c r="CK284" s="1578"/>
      <c r="CL284" s="1578"/>
      <c r="CM284" s="1578"/>
      <c r="CN284" s="1578"/>
      <c r="CO284" s="1578"/>
      <c r="CP284" s="1578"/>
      <c r="CQ284" s="1578"/>
      <c r="CR284" s="1578"/>
      <c r="CS284" s="1578"/>
      <c r="CT284" s="1578"/>
      <c r="CU284" s="1578"/>
      <c r="CV284" s="1578"/>
      <c r="CW284" s="1578"/>
      <c r="CX284" s="1578"/>
      <c r="CY284" s="1578"/>
      <c r="CZ284" s="1578"/>
    </row>
    <row r="285" spans="1:407" ht="13" thickBot="1">
      <c r="A285" s="1466"/>
      <c r="B285" s="1579"/>
      <c r="C285" s="1579"/>
      <c r="D285" s="1579"/>
      <c r="E285" s="1580"/>
      <c r="F285" s="1580"/>
      <c r="G285" s="1580"/>
      <c r="H285" s="1580"/>
      <c r="I285" s="1580"/>
      <c r="J285" s="1580"/>
      <c r="K285" s="1580"/>
      <c r="L285" s="1580"/>
      <c r="M285" s="1580"/>
      <c r="N285" s="1580"/>
      <c r="O285" s="1580"/>
      <c r="P285" s="1580"/>
      <c r="Q285" s="1580"/>
      <c r="R285" s="1580"/>
      <c r="S285" s="1580"/>
      <c r="T285" s="1580"/>
      <c r="U285" s="1580"/>
      <c r="V285" s="1580"/>
      <c r="W285" s="1580"/>
      <c r="X285" s="1580"/>
      <c r="Y285" s="1580"/>
      <c r="Z285" s="1580"/>
      <c r="AA285" s="1580"/>
      <c r="AB285" s="1580"/>
      <c r="AC285" s="1580"/>
      <c r="AD285" s="1580"/>
      <c r="AE285" s="1580"/>
      <c r="AF285" s="1580"/>
      <c r="AG285" s="1580"/>
      <c r="AH285" s="1580"/>
      <c r="AI285" s="1580"/>
      <c r="AJ285" s="1580"/>
      <c r="AK285" s="1580"/>
      <c r="AL285" s="1580"/>
      <c r="AM285" s="1580"/>
      <c r="AN285" s="1580"/>
      <c r="AO285" s="1580"/>
      <c r="AP285" s="1580"/>
      <c r="AQ285" s="1580"/>
      <c r="AR285" s="1580"/>
      <c r="AS285" s="1580"/>
      <c r="AT285" s="1580"/>
      <c r="AU285" s="1580"/>
      <c r="AV285" s="1580"/>
      <c r="AW285" s="1580"/>
      <c r="AX285" s="1580"/>
      <c r="AY285" s="1580"/>
      <c r="AZ285" s="1580"/>
      <c r="BA285" s="1580"/>
      <c r="BB285" s="1580"/>
      <c r="BC285" s="1580"/>
      <c r="BD285" s="1580"/>
      <c r="BE285" s="1580"/>
      <c r="BF285" s="1580"/>
      <c r="BG285" s="1580"/>
      <c r="BH285" s="1580"/>
      <c r="BI285" s="1580"/>
      <c r="BJ285" s="1580"/>
      <c r="BK285" s="1580"/>
      <c r="BL285" s="1580"/>
      <c r="BM285" s="1580"/>
      <c r="BN285" s="1580"/>
      <c r="BO285" s="1580"/>
      <c r="BP285" s="1580"/>
      <c r="BQ285" s="1580"/>
      <c r="BR285" s="1580"/>
      <c r="BS285" s="1580"/>
      <c r="BT285" s="1580"/>
      <c r="BU285" s="1580"/>
      <c r="BV285" s="1580"/>
      <c r="BW285" s="1580"/>
      <c r="BX285" s="1580"/>
      <c r="BY285" s="1580"/>
      <c r="BZ285" s="1580"/>
      <c r="CA285" s="1580"/>
      <c r="CB285" s="1580"/>
      <c r="CC285" s="1580"/>
      <c r="CD285" s="1580"/>
      <c r="CE285" s="1580"/>
      <c r="CF285" s="1580"/>
      <c r="CG285" s="1580"/>
      <c r="CH285" s="1580"/>
      <c r="CI285" s="1580"/>
      <c r="CJ285" s="1580"/>
      <c r="CK285" s="1580"/>
      <c r="CL285" s="1580"/>
      <c r="CM285" s="1580"/>
      <c r="CN285" s="1580"/>
      <c r="CO285" s="1580"/>
      <c r="CP285" s="1580"/>
      <c r="CQ285" s="1580"/>
      <c r="CR285" s="1580"/>
      <c r="CS285" s="1580"/>
      <c r="CT285" s="1580"/>
      <c r="CU285" s="1580"/>
      <c r="CV285" s="1580"/>
      <c r="CW285" s="1580"/>
      <c r="CX285" s="1580"/>
      <c r="CY285" s="1580"/>
      <c r="CZ285" s="1580"/>
      <c r="DA285" s="1606"/>
      <c r="DB285" s="1607"/>
      <c r="DC285" s="1606"/>
      <c r="DD285" s="1606"/>
      <c r="DE285" s="1606"/>
      <c r="DF285" s="1606"/>
      <c r="DG285" s="1606"/>
      <c r="DH285" s="1606"/>
      <c r="DI285" s="1606"/>
      <c r="DJ285" s="1606"/>
      <c r="DK285" s="1606"/>
      <c r="DL285" s="1606"/>
      <c r="DM285" s="1606"/>
      <c r="DN285" s="1606"/>
      <c r="DO285" s="1606"/>
      <c r="DP285" s="1606"/>
      <c r="DQ285" s="1606"/>
      <c r="DR285" s="1606"/>
      <c r="DS285" s="1606"/>
      <c r="DT285" s="1606"/>
      <c r="DU285" s="1606"/>
      <c r="DV285" s="1606"/>
      <c r="DW285" s="1606"/>
      <c r="DX285" s="1606"/>
      <c r="DY285" s="1606"/>
      <c r="DZ285" s="1606"/>
      <c r="EA285" s="1606"/>
      <c r="EB285" s="1606"/>
      <c r="EC285" s="1606"/>
      <c r="ED285" s="1606"/>
      <c r="EE285" s="1606"/>
      <c r="EF285" s="1606"/>
      <c r="EG285" s="1606"/>
      <c r="EH285" s="1606"/>
      <c r="EI285" s="1606"/>
      <c r="EJ285" s="1606"/>
      <c r="EK285" s="1606"/>
      <c r="EL285" s="1606"/>
      <c r="EM285" s="1606"/>
      <c r="EN285" s="1606"/>
      <c r="EO285" s="1606"/>
      <c r="EP285" s="1606"/>
      <c r="EQ285" s="1606"/>
      <c r="ER285" s="1606"/>
      <c r="ES285" s="1606"/>
      <c r="ET285" s="1606"/>
      <c r="EU285" s="1606"/>
      <c r="EV285" s="1606"/>
      <c r="EW285" s="1606"/>
      <c r="EX285" s="1606"/>
      <c r="EY285" s="1606"/>
      <c r="EZ285" s="1606"/>
      <c r="FA285" s="1606"/>
      <c r="FB285" s="1606"/>
      <c r="FC285" s="1606"/>
      <c r="FD285" s="1606"/>
      <c r="FE285" s="1606"/>
      <c r="FF285" s="1606"/>
      <c r="FG285" s="1606"/>
      <c r="FH285" s="1606"/>
      <c r="FI285" s="1606"/>
      <c r="FJ285" s="1606"/>
      <c r="FK285" s="1606"/>
      <c r="FL285" s="1606"/>
      <c r="FM285" s="1606"/>
      <c r="FN285" s="1606"/>
      <c r="FO285" s="1606"/>
      <c r="FP285" s="1606"/>
      <c r="FQ285" s="1606"/>
      <c r="FR285" s="1606"/>
      <c r="FS285" s="1606"/>
      <c r="FT285" s="1606"/>
      <c r="FU285" s="1606"/>
      <c r="FV285" s="1606"/>
      <c r="FW285" s="1606"/>
      <c r="FX285" s="1606"/>
      <c r="FY285" s="1606"/>
      <c r="FZ285" s="1606"/>
      <c r="GA285" s="1606"/>
      <c r="GB285" s="1606"/>
      <c r="GC285" s="1606"/>
      <c r="GD285" s="1606"/>
      <c r="GE285" s="1606"/>
      <c r="GF285" s="1606"/>
      <c r="GG285" s="1606"/>
      <c r="GH285" s="1606"/>
      <c r="GI285" s="1606"/>
      <c r="GJ285" s="1606"/>
      <c r="GK285" s="1606"/>
      <c r="GL285" s="1606"/>
      <c r="GM285" s="1606"/>
      <c r="GN285" s="1606"/>
      <c r="GO285" s="1606"/>
      <c r="GP285" s="1606"/>
      <c r="GQ285" s="1606"/>
      <c r="GR285" s="1606"/>
      <c r="GS285" s="1606"/>
      <c r="GT285" s="1606"/>
      <c r="GU285" s="1606"/>
      <c r="GV285" s="1606"/>
      <c r="GW285" s="1606"/>
      <c r="GX285" s="1606"/>
      <c r="GY285" s="1606"/>
      <c r="GZ285" s="1606"/>
      <c r="HA285" s="1606"/>
      <c r="HB285" s="1606"/>
      <c r="HC285" s="1606"/>
      <c r="HD285" s="1606"/>
      <c r="HE285" s="1606"/>
      <c r="HF285" s="1606"/>
      <c r="HG285" s="1606"/>
      <c r="HH285" s="1606"/>
      <c r="HI285" s="1606"/>
      <c r="HJ285" s="1606"/>
      <c r="HK285" s="1606"/>
      <c r="HL285" s="1606"/>
      <c r="HM285" s="1606"/>
      <c r="HN285" s="1606"/>
      <c r="HO285" s="1606"/>
      <c r="HP285" s="1606"/>
      <c r="HQ285" s="1606"/>
      <c r="HR285" s="1606"/>
      <c r="HS285" s="1606"/>
      <c r="HT285" s="1606"/>
      <c r="HU285" s="1606"/>
      <c r="HV285" s="1606"/>
      <c r="HW285" s="1606"/>
      <c r="HX285" s="1606"/>
      <c r="HY285" s="1606"/>
      <c r="HZ285" s="1606"/>
      <c r="IA285" s="1606"/>
      <c r="IB285" s="1606"/>
      <c r="IC285" s="1606"/>
      <c r="ID285" s="1606"/>
      <c r="IE285" s="1606"/>
      <c r="IF285" s="1606"/>
      <c r="IG285" s="1606"/>
      <c r="IH285" s="1606"/>
      <c r="II285" s="1606"/>
      <c r="IJ285" s="1606"/>
      <c r="IK285" s="1606"/>
      <c r="IL285" s="1606"/>
      <c r="IM285" s="1606"/>
      <c r="IN285" s="1606"/>
      <c r="IO285" s="1606"/>
      <c r="IP285" s="1606"/>
      <c r="IQ285" s="1606"/>
      <c r="IR285" s="1606"/>
      <c r="IS285" s="1606"/>
      <c r="IT285" s="1606"/>
      <c r="IU285" s="1606"/>
      <c r="IV285" s="1606"/>
      <c r="IW285" s="1606"/>
      <c r="IX285" s="1606"/>
      <c r="IY285" s="1606"/>
      <c r="IZ285" s="1606"/>
      <c r="JA285" s="1606"/>
      <c r="JB285" s="1606"/>
      <c r="JC285" s="1606"/>
      <c r="JD285" s="1606"/>
      <c r="JE285" s="1606"/>
      <c r="JF285" s="1606"/>
      <c r="JG285" s="1606"/>
      <c r="JH285" s="1606"/>
      <c r="JI285" s="1606"/>
      <c r="JJ285" s="1606"/>
      <c r="JK285" s="1606"/>
      <c r="JL285" s="1606"/>
      <c r="JM285" s="1606"/>
      <c r="JN285" s="1606"/>
      <c r="JO285" s="1606"/>
      <c r="JP285" s="1606"/>
      <c r="JQ285" s="1606"/>
      <c r="JR285" s="1606"/>
      <c r="JS285" s="1606"/>
      <c r="JT285" s="1606"/>
      <c r="JU285" s="1606"/>
      <c r="JV285" s="1606"/>
      <c r="JW285" s="1606"/>
      <c r="JX285" s="1606"/>
      <c r="JY285" s="1606"/>
      <c r="JZ285" s="1606"/>
      <c r="KA285" s="1606"/>
      <c r="KB285" s="1606"/>
      <c r="KC285" s="1606"/>
      <c r="KD285" s="1606"/>
      <c r="KE285" s="1606"/>
      <c r="KF285" s="1606"/>
      <c r="KG285" s="1606"/>
      <c r="KH285" s="1606"/>
      <c r="KI285" s="1606"/>
      <c r="KJ285" s="1606"/>
      <c r="KK285" s="1606"/>
      <c r="KL285" s="1606"/>
      <c r="KM285" s="1606"/>
      <c r="KN285" s="1606"/>
      <c r="KO285" s="1606"/>
      <c r="KP285" s="1606"/>
      <c r="KQ285" s="1606"/>
      <c r="KR285" s="1606"/>
      <c r="KS285" s="1606"/>
      <c r="KT285" s="1606"/>
      <c r="KU285" s="1606"/>
      <c r="KV285" s="1606"/>
      <c r="KW285" s="1606"/>
      <c r="KX285" s="1606"/>
      <c r="KY285" s="1606"/>
      <c r="KZ285" s="1606"/>
      <c r="LA285" s="1606"/>
      <c r="LB285" s="1606"/>
      <c r="LC285" s="1606"/>
      <c r="LD285" s="1606"/>
      <c r="LE285" s="1606"/>
      <c r="LF285" s="1606"/>
      <c r="LG285" s="1606"/>
      <c r="LH285" s="1606"/>
      <c r="LI285" s="1606"/>
      <c r="LJ285" s="1606"/>
      <c r="LK285" s="1606"/>
      <c r="LL285" s="1606"/>
      <c r="LM285" s="1606"/>
      <c r="LN285" s="1606"/>
      <c r="LO285" s="1606"/>
      <c r="LP285" s="1606"/>
      <c r="LQ285" s="1606"/>
      <c r="LR285" s="1606"/>
      <c r="LS285" s="1606"/>
      <c r="LT285" s="1606"/>
      <c r="LU285" s="1606"/>
      <c r="LV285" s="1606"/>
      <c r="LW285" s="1606"/>
      <c r="LX285" s="1606"/>
      <c r="LY285" s="1606"/>
      <c r="LZ285" s="1606"/>
      <c r="MA285" s="1606"/>
      <c r="MB285" s="1606"/>
      <c r="MC285" s="1606"/>
      <c r="MD285" s="1606"/>
      <c r="ME285" s="1606"/>
      <c r="MF285" s="1606"/>
      <c r="MG285" s="1606"/>
      <c r="MH285" s="1606"/>
      <c r="MI285" s="1606"/>
      <c r="MJ285" s="1606"/>
      <c r="MK285" s="1606"/>
      <c r="ML285" s="1606"/>
      <c r="MM285" s="1606"/>
      <c r="MN285" s="1606"/>
      <c r="MO285" s="1606"/>
      <c r="MP285" s="1606"/>
      <c r="MQ285" s="1606"/>
      <c r="MR285" s="1606"/>
      <c r="MS285" s="1606"/>
      <c r="MT285" s="1606"/>
      <c r="MU285" s="1606"/>
      <c r="MV285" s="1606"/>
      <c r="MW285" s="1606"/>
      <c r="MX285" s="1606"/>
      <c r="MY285" s="1606"/>
      <c r="MZ285" s="1606"/>
      <c r="NA285" s="1606"/>
      <c r="NB285" s="1606"/>
      <c r="NC285" s="1606"/>
      <c r="ND285" s="1606"/>
      <c r="NE285" s="1606"/>
      <c r="NF285" s="1606"/>
      <c r="NG285" s="1606"/>
      <c r="NH285" s="1606"/>
      <c r="NI285" s="1606"/>
      <c r="NJ285" s="1606"/>
      <c r="NK285" s="1606"/>
      <c r="NL285" s="1606"/>
      <c r="NM285" s="1606"/>
      <c r="NN285" s="1606"/>
      <c r="NO285" s="1606"/>
      <c r="NP285" s="1606"/>
      <c r="NQ285" s="1606"/>
      <c r="NR285" s="1606"/>
      <c r="NS285" s="1606"/>
      <c r="NT285" s="1606"/>
      <c r="NU285" s="1606"/>
      <c r="NV285" s="1606"/>
      <c r="NW285" s="1606"/>
      <c r="NX285" s="1606"/>
      <c r="NY285" s="1606"/>
      <c r="NZ285" s="1606"/>
      <c r="OA285" s="1606"/>
      <c r="OB285" s="1606"/>
      <c r="OC285" s="1606"/>
      <c r="OD285" s="1606"/>
      <c r="OE285" s="1606"/>
      <c r="OF285" s="1606"/>
      <c r="OG285" s="1606"/>
      <c r="OH285" s="1606"/>
      <c r="OI285" s="1606"/>
      <c r="OJ285" s="1606"/>
      <c r="OK285" s="1606"/>
      <c r="OL285" s="1606"/>
      <c r="OM285" s="1606"/>
      <c r="ON285" s="1606"/>
      <c r="OO285" s="1606"/>
      <c r="OP285" s="1606"/>
      <c r="OQ285" s="1606"/>
    </row>
    <row r="286" spans="1:407" ht="13" thickTop="1">
      <c r="A286" s="1466"/>
      <c r="B286" s="1581"/>
      <c r="C286" s="1581"/>
      <c r="D286" s="1581"/>
      <c r="E286" s="1582"/>
      <c r="F286" s="1582"/>
      <c r="G286" s="1582"/>
      <c r="H286" s="1582"/>
      <c r="I286" s="1582"/>
      <c r="J286" s="1582"/>
      <c r="K286" s="1582"/>
      <c r="L286" s="1582"/>
      <c r="M286" s="1582"/>
      <c r="N286" s="1582"/>
      <c r="O286" s="1582"/>
      <c r="P286" s="1582"/>
      <c r="Q286" s="1582"/>
      <c r="R286" s="1582"/>
      <c r="S286" s="1582"/>
      <c r="T286" s="1582"/>
      <c r="U286" s="1582"/>
      <c r="V286" s="1582"/>
      <c r="W286" s="1582"/>
      <c r="X286" s="1582"/>
      <c r="Y286" s="1582"/>
      <c r="Z286" s="1582"/>
      <c r="AA286" s="1582"/>
      <c r="AB286" s="1582"/>
      <c r="AC286" s="1582"/>
      <c r="AD286" s="1582"/>
      <c r="AE286" s="1582"/>
      <c r="AF286" s="1582"/>
      <c r="AG286" s="1582"/>
      <c r="AH286" s="1582"/>
      <c r="AI286" s="1582"/>
      <c r="AJ286" s="1582"/>
      <c r="AK286" s="1582"/>
      <c r="AL286" s="1582"/>
      <c r="AM286" s="1582"/>
      <c r="AN286" s="1582"/>
      <c r="AO286" s="1582"/>
      <c r="AP286" s="1582"/>
      <c r="AQ286" s="1582"/>
      <c r="AR286" s="1582"/>
      <c r="AS286" s="1582"/>
      <c r="AT286" s="1582"/>
      <c r="AU286" s="1582"/>
      <c r="AV286" s="1582"/>
      <c r="AW286" s="1582"/>
      <c r="AX286" s="1582"/>
      <c r="AY286" s="1582"/>
      <c r="AZ286" s="1582"/>
      <c r="BA286" s="1582"/>
      <c r="BB286" s="1582"/>
      <c r="BC286" s="1582"/>
      <c r="BD286" s="1582"/>
      <c r="BE286" s="1582"/>
      <c r="BF286" s="1582"/>
      <c r="BG286" s="1582"/>
      <c r="BH286" s="1582"/>
      <c r="BI286" s="1582"/>
      <c r="BJ286" s="1582"/>
      <c r="BK286" s="1582"/>
      <c r="BL286" s="1582"/>
      <c r="BM286" s="1582"/>
      <c r="BN286" s="1582"/>
      <c r="BO286" s="1582"/>
      <c r="BP286" s="1582"/>
      <c r="BQ286" s="1582"/>
      <c r="BR286" s="1582"/>
      <c r="BS286" s="1582"/>
      <c r="BT286" s="1582"/>
      <c r="BU286" s="1582"/>
      <c r="BV286" s="1582"/>
      <c r="BW286" s="1582"/>
      <c r="BX286" s="1582"/>
      <c r="BY286" s="1582"/>
      <c r="BZ286" s="1582"/>
      <c r="CA286" s="1582"/>
      <c r="CB286" s="1582"/>
      <c r="CC286" s="1582"/>
      <c r="CD286" s="1582"/>
      <c r="CE286" s="1582"/>
      <c r="CF286" s="1582"/>
      <c r="CG286" s="1582"/>
      <c r="CH286" s="1582"/>
      <c r="CI286" s="1582"/>
      <c r="CJ286" s="1582"/>
      <c r="CK286" s="1582"/>
      <c r="CL286" s="1582"/>
      <c r="CM286" s="1582"/>
      <c r="CN286" s="1582"/>
      <c r="CO286" s="1582"/>
      <c r="CP286" s="1582"/>
      <c r="CQ286" s="1582"/>
      <c r="CR286" s="1582"/>
      <c r="CS286" s="1582"/>
      <c r="CT286" s="1582"/>
      <c r="CU286" s="1582"/>
      <c r="CV286" s="1582"/>
      <c r="CW286" s="1582"/>
      <c r="CX286" s="1582"/>
      <c r="CY286" s="1582"/>
      <c r="CZ286" s="1582"/>
    </row>
    <row r="287" spans="1:407">
      <c r="A287" s="1466"/>
      <c r="B287" s="1576"/>
      <c r="C287" s="1576"/>
      <c r="D287" s="1576"/>
      <c r="E287" s="1578"/>
      <c r="F287" s="1578"/>
      <c r="G287" s="1578"/>
      <c r="H287" s="1578"/>
      <c r="I287" s="1578"/>
      <c r="J287" s="1578"/>
      <c r="K287" s="1578"/>
      <c r="L287" s="1578"/>
      <c r="M287" s="1578"/>
      <c r="N287" s="1578"/>
      <c r="O287" s="1578"/>
      <c r="P287" s="1578"/>
      <c r="Q287" s="1578"/>
      <c r="R287" s="1578"/>
      <c r="S287" s="1578"/>
      <c r="T287" s="1578"/>
      <c r="U287" s="1578"/>
      <c r="V287" s="1578"/>
      <c r="W287" s="1578"/>
      <c r="X287" s="1578"/>
      <c r="Y287" s="1578"/>
      <c r="Z287" s="1578"/>
      <c r="AA287" s="1578"/>
      <c r="AB287" s="1578"/>
      <c r="AC287" s="1578"/>
      <c r="AD287" s="1578"/>
      <c r="AE287" s="1578"/>
      <c r="AF287" s="1578"/>
      <c r="AG287" s="1578"/>
      <c r="AH287" s="1578"/>
      <c r="AI287" s="1578"/>
      <c r="AJ287" s="1578"/>
      <c r="AK287" s="1578"/>
      <c r="AL287" s="1578"/>
      <c r="AM287" s="1578"/>
      <c r="AN287" s="1578"/>
      <c r="AO287" s="1578"/>
      <c r="AP287" s="1578"/>
      <c r="AQ287" s="1578"/>
      <c r="AR287" s="1578"/>
      <c r="AS287" s="1578"/>
      <c r="AT287" s="1578"/>
      <c r="AU287" s="1578"/>
      <c r="AV287" s="1578"/>
      <c r="AW287" s="1578"/>
      <c r="AX287" s="1578"/>
      <c r="AY287" s="1578"/>
      <c r="AZ287" s="1578"/>
      <c r="BA287" s="1578"/>
      <c r="BB287" s="1578"/>
      <c r="BC287" s="1578"/>
      <c r="BD287" s="1578"/>
      <c r="BE287" s="1578"/>
      <c r="BF287" s="1578"/>
      <c r="BG287" s="1578"/>
      <c r="BH287" s="1578"/>
      <c r="BI287" s="1578"/>
      <c r="BJ287" s="1578"/>
      <c r="BK287" s="1578"/>
      <c r="BL287" s="1578"/>
      <c r="BM287" s="1578"/>
      <c r="BN287" s="1578"/>
      <c r="BO287" s="1578"/>
      <c r="BP287" s="1578"/>
      <c r="BQ287" s="1578"/>
      <c r="BR287" s="1578"/>
      <c r="BS287" s="1578"/>
      <c r="BT287" s="1578"/>
      <c r="BU287" s="1578"/>
      <c r="BV287" s="1578"/>
      <c r="BW287" s="1578"/>
      <c r="BX287" s="1578"/>
      <c r="BY287" s="1578"/>
      <c r="BZ287" s="1578"/>
      <c r="CA287" s="1578"/>
      <c r="CB287" s="1578"/>
      <c r="CC287" s="1578"/>
      <c r="CD287" s="1578"/>
      <c r="CE287" s="1578"/>
      <c r="CF287" s="1578"/>
      <c r="CG287" s="1578"/>
      <c r="CH287" s="1578"/>
      <c r="CI287" s="1578"/>
      <c r="CJ287" s="1578"/>
      <c r="CK287" s="1578"/>
      <c r="CL287" s="1578"/>
      <c r="CM287" s="1578"/>
      <c r="CN287" s="1578"/>
      <c r="CO287" s="1578"/>
      <c r="CP287" s="1578"/>
      <c r="CQ287" s="1578"/>
      <c r="CR287" s="1578"/>
      <c r="CS287" s="1578"/>
      <c r="CT287" s="1578"/>
      <c r="CU287" s="1578"/>
      <c r="CV287" s="1578"/>
      <c r="CW287" s="1578"/>
      <c r="CX287" s="1578"/>
      <c r="CY287" s="1578"/>
      <c r="CZ287" s="1578"/>
    </row>
    <row r="288" spans="1:407">
      <c r="A288" s="1466"/>
      <c r="B288" s="1576"/>
      <c r="C288" s="1576"/>
      <c r="D288" s="1576"/>
      <c r="E288" s="1578"/>
      <c r="F288" s="1578"/>
      <c r="G288" s="1578"/>
      <c r="H288" s="1578"/>
      <c r="I288" s="1578"/>
      <c r="J288" s="1578"/>
      <c r="K288" s="1578"/>
      <c r="L288" s="1578"/>
      <c r="M288" s="1578"/>
      <c r="N288" s="1578"/>
      <c r="O288" s="1578"/>
      <c r="P288" s="1578"/>
      <c r="Q288" s="1578"/>
      <c r="R288" s="1578"/>
      <c r="S288" s="1578"/>
      <c r="T288" s="1578"/>
      <c r="U288" s="1578"/>
      <c r="V288" s="1578"/>
      <c r="W288" s="1578"/>
      <c r="X288" s="1578"/>
      <c r="Y288" s="1578"/>
      <c r="Z288" s="1578"/>
      <c r="AA288" s="1578"/>
      <c r="AB288" s="1578"/>
      <c r="AC288" s="1578"/>
      <c r="AD288" s="1578"/>
      <c r="AE288" s="1578"/>
      <c r="AF288" s="1578"/>
      <c r="AG288" s="1578"/>
      <c r="AH288" s="1578"/>
      <c r="AI288" s="1578"/>
      <c r="AJ288" s="1578"/>
      <c r="AK288" s="1578"/>
      <c r="AL288" s="1578"/>
      <c r="AM288" s="1578"/>
      <c r="AN288" s="1578"/>
      <c r="AO288" s="1578"/>
      <c r="AP288" s="1578"/>
      <c r="AQ288" s="1578"/>
      <c r="AR288" s="1578"/>
      <c r="AS288" s="1578"/>
      <c r="AT288" s="1578"/>
      <c r="AU288" s="1578"/>
      <c r="AV288" s="1578"/>
      <c r="AW288" s="1578"/>
      <c r="AX288" s="1578"/>
      <c r="AY288" s="1578"/>
      <c r="AZ288" s="1578"/>
      <c r="BA288" s="1578"/>
      <c r="BB288" s="1578"/>
      <c r="BC288" s="1578"/>
      <c r="BD288" s="1578"/>
      <c r="BE288" s="1578"/>
      <c r="BF288" s="1578"/>
      <c r="BG288" s="1578"/>
      <c r="BH288" s="1578"/>
      <c r="BI288" s="1578"/>
      <c r="BJ288" s="1578"/>
      <c r="BK288" s="1578"/>
      <c r="BL288" s="1578"/>
      <c r="BM288" s="1578"/>
      <c r="BN288" s="1578"/>
      <c r="BO288" s="1578"/>
      <c r="BP288" s="1578"/>
      <c r="BQ288" s="1578"/>
      <c r="BR288" s="1578"/>
      <c r="BS288" s="1578"/>
      <c r="BT288" s="1578"/>
      <c r="BU288" s="1578"/>
      <c r="BV288" s="1578"/>
      <c r="BW288" s="1578"/>
      <c r="BX288" s="1578"/>
      <c r="BY288" s="1578"/>
      <c r="BZ288" s="1578"/>
      <c r="CA288" s="1578"/>
      <c r="CB288" s="1578"/>
      <c r="CC288" s="1578"/>
      <c r="CD288" s="1578"/>
      <c r="CE288" s="1578"/>
      <c r="CF288" s="1578"/>
      <c r="CG288" s="1578"/>
      <c r="CH288" s="1578"/>
      <c r="CI288" s="1578"/>
      <c r="CJ288" s="1578"/>
      <c r="CK288" s="1578"/>
      <c r="CL288" s="1578"/>
      <c r="CM288" s="1578"/>
      <c r="CN288" s="1578"/>
      <c r="CO288" s="1578"/>
      <c r="CP288" s="1578"/>
      <c r="CQ288" s="1578"/>
      <c r="CR288" s="1578"/>
      <c r="CS288" s="1578"/>
      <c r="CT288" s="1578"/>
      <c r="CU288" s="1578"/>
      <c r="CV288" s="1578"/>
      <c r="CW288" s="1578"/>
      <c r="CX288" s="1578"/>
      <c r="CY288" s="1578"/>
      <c r="CZ288" s="1578"/>
    </row>
    <row r="289" spans="1:104">
      <c r="A289" s="1466"/>
      <c r="B289" s="1576"/>
      <c r="C289" s="1576"/>
      <c r="D289" s="1576"/>
      <c r="E289" s="1578"/>
      <c r="F289" s="1578"/>
      <c r="G289" s="1578"/>
      <c r="H289" s="1578"/>
      <c r="I289" s="1578"/>
      <c r="J289" s="1578"/>
      <c r="K289" s="1578"/>
      <c r="L289" s="1578"/>
      <c r="M289" s="1578"/>
      <c r="N289" s="1578"/>
      <c r="O289" s="1578"/>
      <c r="P289" s="1578"/>
      <c r="Q289" s="1578"/>
      <c r="R289" s="1578"/>
      <c r="S289" s="1578"/>
      <c r="T289" s="1578"/>
      <c r="U289" s="1578"/>
      <c r="V289" s="1578"/>
      <c r="W289" s="1578"/>
      <c r="X289" s="1578"/>
      <c r="Y289" s="1578"/>
      <c r="Z289" s="1578"/>
      <c r="AA289" s="1578"/>
      <c r="AB289" s="1578"/>
      <c r="AC289" s="1578"/>
      <c r="AD289" s="1578"/>
      <c r="AE289" s="1578"/>
      <c r="AF289" s="1578"/>
      <c r="AG289" s="1578"/>
      <c r="AH289" s="1578"/>
      <c r="AI289" s="1578"/>
      <c r="AJ289" s="1578"/>
      <c r="AK289" s="1578"/>
      <c r="AL289" s="1578"/>
      <c r="AM289" s="1578"/>
      <c r="AN289" s="1578"/>
      <c r="AO289" s="1578"/>
      <c r="AP289" s="1578"/>
      <c r="AQ289" s="1578"/>
      <c r="AR289" s="1578"/>
      <c r="AS289" s="1578"/>
      <c r="AT289" s="1578"/>
      <c r="AU289" s="1578"/>
      <c r="AV289" s="1578"/>
      <c r="AW289" s="1578"/>
      <c r="AX289" s="1578"/>
      <c r="AY289" s="1578"/>
      <c r="AZ289" s="1578"/>
      <c r="BA289" s="1578"/>
      <c r="BB289" s="1578"/>
      <c r="BC289" s="1578"/>
      <c r="BD289" s="1578"/>
      <c r="BE289" s="1578"/>
      <c r="BF289" s="1578"/>
      <c r="BG289" s="1578"/>
      <c r="BH289" s="1578"/>
      <c r="BI289" s="1578"/>
      <c r="BJ289" s="1578"/>
      <c r="BK289" s="1578"/>
      <c r="BL289" s="1578"/>
      <c r="BM289" s="1578"/>
      <c r="BN289" s="1578"/>
      <c r="BO289" s="1578"/>
      <c r="BP289" s="1578"/>
      <c r="BQ289" s="1578"/>
      <c r="BR289" s="1578"/>
      <c r="BS289" s="1578"/>
      <c r="BT289" s="1578"/>
      <c r="BU289" s="1578"/>
      <c r="BV289" s="1578"/>
      <c r="BW289" s="1578"/>
      <c r="BX289" s="1578"/>
      <c r="BY289" s="1578"/>
      <c r="BZ289" s="1578"/>
      <c r="CA289" s="1578"/>
      <c r="CB289" s="1578"/>
      <c r="CC289" s="1578"/>
      <c r="CD289" s="1578"/>
      <c r="CE289" s="1578"/>
      <c r="CF289" s="1578"/>
      <c r="CG289" s="1578"/>
      <c r="CH289" s="1578"/>
      <c r="CI289" s="1578"/>
      <c r="CJ289" s="1578"/>
      <c r="CK289" s="1578"/>
      <c r="CL289" s="1578"/>
      <c r="CM289" s="1578"/>
      <c r="CN289" s="1578"/>
      <c r="CO289" s="1578"/>
      <c r="CP289" s="1578"/>
      <c r="CQ289" s="1578"/>
      <c r="CR289" s="1578"/>
      <c r="CS289" s="1578"/>
      <c r="CT289" s="1578"/>
      <c r="CU289" s="1578"/>
      <c r="CV289" s="1578"/>
      <c r="CW289" s="1578"/>
      <c r="CX289" s="1578"/>
      <c r="CY289" s="1578"/>
      <c r="CZ289" s="1578"/>
    </row>
    <row r="290" spans="1:104">
      <c r="A290" s="1466"/>
      <c r="B290" s="1576"/>
      <c r="C290" s="1576"/>
      <c r="D290" s="1576"/>
      <c r="E290" s="1578"/>
      <c r="F290" s="1578"/>
      <c r="G290" s="1578"/>
      <c r="H290" s="1578"/>
      <c r="I290" s="1578"/>
      <c r="J290" s="1578"/>
      <c r="K290" s="1578"/>
      <c r="L290" s="1578"/>
      <c r="M290" s="1578"/>
      <c r="N290" s="1578"/>
      <c r="O290" s="1578"/>
      <c r="P290" s="1578"/>
      <c r="Q290" s="1578"/>
      <c r="R290" s="1578"/>
      <c r="S290" s="1578"/>
      <c r="T290" s="1578"/>
      <c r="U290" s="1578"/>
      <c r="V290" s="1578"/>
      <c r="W290" s="1578"/>
      <c r="X290" s="1578"/>
      <c r="Y290" s="1578"/>
      <c r="Z290" s="1578"/>
      <c r="AA290" s="1578"/>
      <c r="AB290" s="1578"/>
      <c r="AC290" s="1578"/>
      <c r="AD290" s="1578"/>
      <c r="AE290" s="1578"/>
      <c r="AF290" s="1578"/>
      <c r="AG290" s="1578"/>
      <c r="AH290" s="1578"/>
      <c r="AI290" s="1578"/>
      <c r="AJ290" s="1578"/>
      <c r="AK290" s="1578"/>
      <c r="AL290" s="1578"/>
      <c r="AM290" s="1578"/>
      <c r="AN290" s="1578"/>
      <c r="AO290" s="1578"/>
      <c r="AP290" s="1578"/>
      <c r="AQ290" s="1578"/>
      <c r="AR290" s="1578"/>
      <c r="AS290" s="1578"/>
      <c r="AT290" s="1578"/>
      <c r="AU290" s="1578"/>
      <c r="AV290" s="1578"/>
      <c r="AW290" s="1578"/>
      <c r="AX290" s="1578"/>
      <c r="AY290" s="1578"/>
      <c r="AZ290" s="1578"/>
      <c r="BA290" s="1578"/>
      <c r="BB290" s="1578"/>
      <c r="BC290" s="1578"/>
      <c r="BD290" s="1578"/>
      <c r="BE290" s="1578"/>
      <c r="BF290" s="1578"/>
      <c r="BG290" s="1578"/>
      <c r="BH290" s="1578"/>
      <c r="BI290" s="1578"/>
      <c r="BJ290" s="1578"/>
      <c r="BK290" s="1578"/>
      <c r="BL290" s="1578"/>
      <c r="BM290" s="1578"/>
      <c r="BN290" s="1578"/>
      <c r="BO290" s="1578"/>
      <c r="BP290" s="1578"/>
      <c r="BQ290" s="1578"/>
      <c r="BR290" s="1578"/>
      <c r="BS290" s="1578"/>
      <c r="BT290" s="1578"/>
      <c r="BU290" s="1578"/>
      <c r="BV290" s="1578"/>
      <c r="BW290" s="1578"/>
      <c r="BX290" s="1578"/>
      <c r="BY290" s="1578"/>
      <c r="BZ290" s="1578"/>
      <c r="CA290" s="1578"/>
      <c r="CB290" s="1578"/>
      <c r="CC290" s="1578"/>
      <c r="CD290" s="1578"/>
      <c r="CE290" s="1578"/>
      <c r="CF290" s="1578"/>
      <c r="CG290" s="1578"/>
      <c r="CH290" s="1578"/>
      <c r="CI290" s="1578"/>
      <c r="CJ290" s="1578"/>
      <c r="CK290" s="1578"/>
      <c r="CL290" s="1578"/>
      <c r="CM290" s="1578"/>
      <c r="CN290" s="1578"/>
      <c r="CO290" s="1578"/>
      <c r="CP290" s="1578"/>
      <c r="CQ290" s="1578"/>
      <c r="CR290" s="1578"/>
      <c r="CS290" s="1578"/>
      <c r="CT290" s="1578"/>
      <c r="CU290" s="1578"/>
      <c r="CV290" s="1578"/>
      <c r="CW290" s="1578"/>
      <c r="CX290" s="1578"/>
      <c r="CY290" s="1578"/>
      <c r="CZ290" s="1578"/>
    </row>
    <row r="291" spans="1:104">
      <c r="A291" s="1466"/>
      <c r="B291" s="1576"/>
      <c r="C291" s="1576"/>
      <c r="D291" s="1576"/>
      <c r="E291" s="1578"/>
      <c r="F291" s="1578"/>
      <c r="G291" s="1578"/>
      <c r="H291" s="1578"/>
      <c r="I291" s="1578"/>
      <c r="J291" s="1578"/>
      <c r="K291" s="1578"/>
      <c r="L291" s="1578"/>
      <c r="M291" s="1578"/>
      <c r="N291" s="1578"/>
      <c r="O291" s="1578"/>
      <c r="P291" s="1578"/>
      <c r="Q291" s="1578"/>
      <c r="R291" s="1578"/>
      <c r="S291" s="1578"/>
      <c r="T291" s="1578"/>
      <c r="U291" s="1578"/>
      <c r="V291" s="1578"/>
      <c r="W291" s="1578"/>
      <c r="X291" s="1578"/>
      <c r="Y291" s="1578"/>
      <c r="Z291" s="1578"/>
      <c r="AA291" s="1578"/>
      <c r="AB291" s="1578"/>
      <c r="AC291" s="1578"/>
      <c r="AD291" s="1578"/>
      <c r="AE291" s="1578"/>
      <c r="AF291" s="1578"/>
      <c r="AG291" s="1578"/>
      <c r="AH291" s="1578"/>
      <c r="AI291" s="1578"/>
      <c r="AJ291" s="1578"/>
      <c r="AK291" s="1578"/>
      <c r="AL291" s="1578"/>
      <c r="AM291" s="1578"/>
      <c r="AN291" s="1578"/>
      <c r="AO291" s="1578"/>
      <c r="AP291" s="1578"/>
      <c r="AQ291" s="1578"/>
      <c r="AR291" s="1578"/>
      <c r="AS291" s="1578"/>
      <c r="AT291" s="1578"/>
      <c r="AU291" s="1578"/>
      <c r="AV291" s="1578"/>
      <c r="AW291" s="1578"/>
      <c r="AX291" s="1578"/>
      <c r="AY291" s="1578"/>
      <c r="AZ291" s="1578"/>
      <c r="BA291" s="1578"/>
      <c r="BB291" s="1578"/>
      <c r="BC291" s="1578"/>
      <c r="BD291" s="1578"/>
      <c r="BE291" s="1578"/>
      <c r="BF291" s="1578"/>
      <c r="BG291" s="1578"/>
      <c r="BH291" s="1578"/>
      <c r="BI291" s="1578"/>
      <c r="BJ291" s="1578"/>
      <c r="BK291" s="1578"/>
      <c r="BL291" s="1578"/>
      <c r="BM291" s="1578"/>
      <c r="BN291" s="1578"/>
      <c r="BO291" s="1578"/>
      <c r="BP291" s="1578"/>
      <c r="BQ291" s="1578"/>
      <c r="BR291" s="1578"/>
      <c r="BS291" s="1578"/>
      <c r="BT291" s="1578"/>
      <c r="BU291" s="1578"/>
      <c r="BV291" s="1578"/>
      <c r="BW291" s="1578"/>
      <c r="BX291" s="1578"/>
      <c r="BY291" s="1578"/>
      <c r="BZ291" s="1578"/>
      <c r="CA291" s="1578"/>
      <c r="CB291" s="1578"/>
      <c r="CC291" s="1578"/>
      <c r="CD291" s="1578"/>
      <c r="CE291" s="1578"/>
      <c r="CF291" s="1578"/>
      <c r="CG291" s="1578"/>
      <c r="CH291" s="1578"/>
      <c r="CI291" s="1578"/>
      <c r="CJ291" s="1578"/>
      <c r="CK291" s="1578"/>
      <c r="CL291" s="1578"/>
      <c r="CM291" s="1578"/>
      <c r="CN291" s="1578"/>
      <c r="CO291" s="1578"/>
      <c r="CP291" s="1578"/>
      <c r="CQ291" s="1578"/>
      <c r="CR291" s="1578"/>
      <c r="CS291" s="1578"/>
      <c r="CT291" s="1578"/>
      <c r="CU291" s="1578"/>
      <c r="CV291" s="1578"/>
      <c r="CW291" s="1578"/>
      <c r="CX291" s="1578"/>
      <c r="CY291" s="1578"/>
      <c r="CZ291" s="1578"/>
    </row>
    <row r="292" spans="1:104">
      <c r="A292" s="1466"/>
      <c r="B292" s="1576"/>
      <c r="C292" s="1576"/>
      <c r="D292" s="1576"/>
      <c r="E292" s="1578"/>
      <c r="F292" s="1578"/>
      <c r="G292" s="1578"/>
      <c r="H292" s="1578"/>
      <c r="I292" s="1578"/>
      <c r="J292" s="1578"/>
      <c r="K292" s="1578"/>
      <c r="L292" s="1578"/>
      <c r="M292" s="1578"/>
      <c r="N292" s="1578"/>
      <c r="O292" s="1578"/>
      <c r="P292" s="1578"/>
      <c r="Q292" s="1578"/>
      <c r="R292" s="1578"/>
      <c r="S292" s="1578"/>
      <c r="T292" s="1578"/>
      <c r="U292" s="1578"/>
      <c r="V292" s="1578"/>
      <c r="W292" s="1578"/>
      <c r="X292" s="1578"/>
      <c r="Y292" s="1578"/>
      <c r="Z292" s="1578"/>
      <c r="AA292" s="1578"/>
      <c r="AB292" s="1578"/>
      <c r="AC292" s="1578"/>
      <c r="AD292" s="1578"/>
      <c r="AE292" s="1578"/>
      <c r="AF292" s="1578"/>
      <c r="AG292" s="1578"/>
      <c r="AH292" s="1578"/>
      <c r="AI292" s="1578"/>
      <c r="AJ292" s="1578"/>
      <c r="AK292" s="1578"/>
      <c r="AL292" s="1578"/>
      <c r="AM292" s="1578"/>
      <c r="AN292" s="1578"/>
      <c r="AO292" s="1578"/>
      <c r="AP292" s="1578"/>
      <c r="AQ292" s="1578"/>
      <c r="AR292" s="1578"/>
      <c r="AS292" s="1578"/>
      <c r="AT292" s="1578"/>
      <c r="AU292" s="1578"/>
      <c r="AV292" s="1578"/>
      <c r="AW292" s="1578"/>
      <c r="AX292" s="1578"/>
      <c r="AY292" s="1578"/>
      <c r="AZ292" s="1578"/>
      <c r="BA292" s="1578"/>
      <c r="BB292" s="1578"/>
      <c r="BC292" s="1578"/>
      <c r="BD292" s="1578"/>
      <c r="BE292" s="1578"/>
      <c r="BF292" s="1578"/>
      <c r="BG292" s="1578"/>
      <c r="BH292" s="1578"/>
      <c r="BI292" s="1578"/>
      <c r="BJ292" s="1578"/>
      <c r="BK292" s="1578"/>
      <c r="BL292" s="1578"/>
      <c r="BM292" s="1578"/>
      <c r="BN292" s="1578"/>
      <c r="BO292" s="1578"/>
      <c r="BP292" s="1578"/>
      <c r="BQ292" s="1578"/>
      <c r="BR292" s="1578"/>
      <c r="BS292" s="1578"/>
      <c r="BT292" s="1578"/>
      <c r="BU292" s="1578"/>
      <c r="BV292" s="1578"/>
      <c r="BW292" s="1578"/>
      <c r="BX292" s="1578"/>
      <c r="BY292" s="1578"/>
      <c r="BZ292" s="1578"/>
      <c r="CA292" s="1578"/>
      <c r="CB292" s="1578"/>
      <c r="CC292" s="1578"/>
      <c r="CD292" s="1578"/>
      <c r="CE292" s="1578"/>
      <c r="CF292" s="1578"/>
      <c r="CG292" s="1578"/>
      <c r="CH292" s="1578"/>
      <c r="CI292" s="1578"/>
      <c r="CJ292" s="1578"/>
      <c r="CK292" s="1578"/>
      <c r="CL292" s="1578"/>
      <c r="CM292" s="1578"/>
      <c r="CN292" s="1578"/>
      <c r="CO292" s="1578"/>
      <c r="CP292" s="1578"/>
      <c r="CQ292" s="1578"/>
      <c r="CR292" s="1578"/>
      <c r="CS292" s="1578"/>
      <c r="CT292" s="1578"/>
      <c r="CU292" s="1578"/>
      <c r="CV292" s="1578"/>
      <c r="CW292" s="1578"/>
      <c r="CX292" s="1578"/>
      <c r="CY292" s="1578"/>
      <c r="CZ292" s="1578"/>
    </row>
    <row r="293" spans="1:104">
      <c r="A293" s="1466"/>
      <c r="B293" s="1576"/>
      <c r="C293" s="1576"/>
      <c r="D293" s="1576"/>
      <c r="E293" s="1578"/>
      <c r="F293" s="1578"/>
      <c r="G293" s="1578"/>
      <c r="H293" s="1578"/>
      <c r="I293" s="1578"/>
      <c r="J293" s="1578"/>
      <c r="K293" s="1578"/>
      <c r="L293" s="1578"/>
      <c r="M293" s="1578"/>
      <c r="N293" s="1578"/>
      <c r="O293" s="1578"/>
      <c r="P293" s="1578"/>
      <c r="Q293" s="1578"/>
      <c r="R293" s="1578"/>
      <c r="S293" s="1578"/>
      <c r="T293" s="1578"/>
      <c r="U293" s="1578"/>
      <c r="V293" s="1578"/>
      <c r="W293" s="1578"/>
      <c r="X293" s="1578"/>
      <c r="Y293" s="1578"/>
      <c r="Z293" s="1578"/>
      <c r="AA293" s="1578"/>
      <c r="AB293" s="1578"/>
      <c r="AC293" s="1578"/>
      <c r="AD293" s="1578"/>
      <c r="AE293" s="1578"/>
      <c r="AF293" s="1578"/>
      <c r="AG293" s="1578"/>
      <c r="AH293" s="1578"/>
      <c r="AI293" s="1578"/>
      <c r="AJ293" s="1578"/>
      <c r="AK293" s="1578"/>
      <c r="AL293" s="1578"/>
      <c r="AM293" s="1578"/>
      <c r="AN293" s="1578"/>
      <c r="AO293" s="1578"/>
      <c r="AP293" s="1578"/>
      <c r="AQ293" s="1578"/>
      <c r="AR293" s="1578"/>
      <c r="AS293" s="1578"/>
      <c r="AT293" s="1578"/>
      <c r="AU293" s="1578"/>
      <c r="AV293" s="1578"/>
      <c r="AW293" s="1578"/>
      <c r="AX293" s="1578"/>
      <c r="AY293" s="1578"/>
      <c r="AZ293" s="1578"/>
      <c r="BA293" s="1578"/>
      <c r="BB293" s="1578"/>
      <c r="BC293" s="1578"/>
      <c r="BD293" s="1578"/>
      <c r="BE293" s="1578"/>
      <c r="BF293" s="1578"/>
      <c r="BG293" s="1578"/>
      <c r="BH293" s="1578"/>
      <c r="BI293" s="1578"/>
      <c r="BJ293" s="1578"/>
      <c r="BK293" s="1578"/>
      <c r="BL293" s="1578"/>
      <c r="BM293" s="1578"/>
      <c r="BN293" s="1578"/>
      <c r="BO293" s="1578"/>
      <c r="BP293" s="1578"/>
      <c r="BQ293" s="1578"/>
      <c r="BR293" s="1578"/>
      <c r="BS293" s="1578"/>
      <c r="BT293" s="1578"/>
      <c r="BU293" s="1578"/>
      <c r="BV293" s="1578"/>
      <c r="BW293" s="1578"/>
      <c r="BX293" s="1578"/>
      <c r="BY293" s="1578"/>
      <c r="BZ293" s="1578"/>
      <c r="CA293" s="1578"/>
      <c r="CB293" s="1578"/>
      <c r="CC293" s="1578"/>
      <c r="CD293" s="1578"/>
      <c r="CE293" s="1578"/>
      <c r="CF293" s="1578"/>
      <c r="CG293" s="1578"/>
      <c r="CH293" s="1578"/>
      <c r="CI293" s="1578"/>
      <c r="CJ293" s="1578"/>
      <c r="CK293" s="1578"/>
      <c r="CL293" s="1578"/>
      <c r="CM293" s="1578"/>
      <c r="CN293" s="1578"/>
      <c r="CO293" s="1578"/>
      <c r="CP293" s="1578"/>
      <c r="CQ293" s="1578"/>
      <c r="CR293" s="1578"/>
      <c r="CS293" s="1578"/>
      <c r="CT293" s="1578"/>
      <c r="CU293" s="1578"/>
      <c r="CV293" s="1578"/>
      <c r="CW293" s="1578"/>
      <c r="CX293" s="1578"/>
      <c r="CY293" s="1578"/>
      <c r="CZ293" s="1578"/>
    </row>
    <row r="294" spans="1:104">
      <c r="A294" s="1466"/>
      <c r="B294" s="1576"/>
      <c r="C294" s="1576"/>
      <c r="D294" s="1576"/>
      <c r="E294" s="1578"/>
      <c r="F294" s="1578"/>
      <c r="G294" s="1578"/>
      <c r="H294" s="1578"/>
      <c r="I294" s="1578"/>
      <c r="J294" s="1578"/>
      <c r="K294" s="1578"/>
      <c r="L294" s="1578"/>
      <c r="M294" s="1578"/>
      <c r="N294" s="1578"/>
      <c r="O294" s="1578"/>
      <c r="P294" s="1578"/>
      <c r="Q294" s="1578"/>
      <c r="R294" s="1578"/>
      <c r="S294" s="1578"/>
      <c r="T294" s="1578"/>
      <c r="U294" s="1578"/>
      <c r="V294" s="1578"/>
      <c r="W294" s="1578"/>
      <c r="X294" s="1578"/>
      <c r="Y294" s="1578"/>
      <c r="Z294" s="1578"/>
      <c r="AA294" s="1578"/>
      <c r="AB294" s="1578"/>
      <c r="AC294" s="1578"/>
      <c r="AD294" s="1578"/>
      <c r="AE294" s="1578"/>
      <c r="AF294" s="1578"/>
      <c r="AG294" s="1578"/>
      <c r="AH294" s="1578"/>
      <c r="AI294" s="1578"/>
      <c r="AJ294" s="1578"/>
      <c r="AK294" s="1578"/>
      <c r="AL294" s="1578"/>
      <c r="AM294" s="1578"/>
      <c r="AN294" s="1578"/>
      <c r="AO294" s="1578"/>
      <c r="AP294" s="1578"/>
      <c r="AQ294" s="1578"/>
      <c r="AR294" s="1578"/>
      <c r="AS294" s="1578"/>
      <c r="AT294" s="1578"/>
      <c r="AU294" s="1578"/>
      <c r="AV294" s="1578"/>
      <c r="AW294" s="1578"/>
      <c r="AX294" s="1578"/>
      <c r="AY294" s="1578"/>
      <c r="AZ294" s="1578"/>
      <c r="BA294" s="1578"/>
      <c r="BB294" s="1578"/>
      <c r="BC294" s="1578"/>
      <c r="BD294" s="1578"/>
      <c r="BE294" s="1578"/>
      <c r="BF294" s="1578"/>
      <c r="BG294" s="1578"/>
      <c r="BH294" s="1578"/>
      <c r="BI294" s="1578"/>
      <c r="BJ294" s="1578"/>
      <c r="BK294" s="1578"/>
      <c r="BL294" s="1578"/>
      <c r="BM294" s="1578"/>
      <c r="BN294" s="1578"/>
      <c r="BO294" s="1578"/>
      <c r="BP294" s="1578"/>
      <c r="BQ294" s="1578"/>
      <c r="BR294" s="1578"/>
      <c r="BS294" s="1578"/>
      <c r="BT294" s="1578"/>
      <c r="BU294" s="1578"/>
      <c r="BV294" s="1578"/>
      <c r="BW294" s="1578"/>
      <c r="BX294" s="1578"/>
      <c r="BY294" s="1578"/>
      <c r="BZ294" s="1578"/>
      <c r="CA294" s="1578"/>
      <c r="CB294" s="1578"/>
      <c r="CC294" s="1578"/>
      <c r="CD294" s="1578"/>
      <c r="CE294" s="1578"/>
      <c r="CF294" s="1578"/>
      <c r="CG294" s="1578"/>
      <c r="CH294" s="1578"/>
      <c r="CI294" s="1578"/>
      <c r="CJ294" s="1578"/>
      <c r="CK294" s="1578"/>
      <c r="CL294" s="1578"/>
      <c r="CM294" s="1578"/>
      <c r="CN294" s="1578"/>
      <c r="CO294" s="1578"/>
      <c r="CP294" s="1578"/>
      <c r="CQ294" s="1578"/>
      <c r="CR294" s="1578"/>
      <c r="CS294" s="1578"/>
      <c r="CT294" s="1578"/>
      <c r="CU294" s="1578"/>
      <c r="CV294" s="1578"/>
      <c r="CW294" s="1578"/>
      <c r="CX294" s="1578"/>
      <c r="CY294" s="1578"/>
      <c r="CZ294" s="1578"/>
    </row>
    <row r="295" spans="1:104">
      <c r="A295" s="1466"/>
      <c r="B295" s="1576"/>
      <c r="C295" s="1576"/>
      <c r="D295" s="1576"/>
      <c r="E295" s="1578"/>
      <c r="F295" s="1578"/>
      <c r="G295" s="1578"/>
      <c r="H295" s="1578"/>
      <c r="I295" s="1578"/>
      <c r="J295" s="1578"/>
      <c r="K295" s="1578"/>
      <c r="L295" s="1578"/>
      <c r="M295" s="1578"/>
      <c r="N295" s="1578"/>
      <c r="O295" s="1578"/>
      <c r="P295" s="1578"/>
      <c r="Q295" s="1578"/>
      <c r="R295" s="1578"/>
      <c r="S295" s="1578"/>
      <c r="T295" s="1578"/>
      <c r="U295" s="1578"/>
      <c r="V295" s="1578"/>
      <c r="W295" s="1578"/>
      <c r="X295" s="1578"/>
      <c r="Y295" s="1578"/>
      <c r="Z295" s="1578"/>
      <c r="AA295" s="1578"/>
      <c r="AB295" s="1578"/>
      <c r="AC295" s="1578"/>
      <c r="AD295" s="1578"/>
      <c r="AE295" s="1578"/>
      <c r="AF295" s="1578"/>
      <c r="AG295" s="1578"/>
      <c r="AH295" s="1578"/>
      <c r="AI295" s="1578"/>
      <c r="AJ295" s="1578"/>
      <c r="AK295" s="1578"/>
      <c r="AL295" s="1578"/>
      <c r="AM295" s="1578"/>
      <c r="AN295" s="1578"/>
      <c r="AO295" s="1578"/>
      <c r="AP295" s="1578"/>
      <c r="AQ295" s="1578"/>
      <c r="AR295" s="1578"/>
      <c r="AS295" s="1578"/>
      <c r="AT295" s="1578"/>
      <c r="AU295" s="1578"/>
      <c r="AV295" s="1578"/>
      <c r="AW295" s="1578"/>
      <c r="AX295" s="1578"/>
      <c r="AY295" s="1578"/>
      <c r="AZ295" s="1578"/>
      <c r="BA295" s="1578"/>
      <c r="BB295" s="1578"/>
      <c r="BC295" s="1578"/>
      <c r="BD295" s="1578"/>
      <c r="BE295" s="1578"/>
      <c r="BF295" s="1578"/>
      <c r="BG295" s="1578"/>
      <c r="BH295" s="1578"/>
      <c r="BI295" s="1578"/>
      <c r="BJ295" s="1578"/>
      <c r="BK295" s="1578"/>
      <c r="BL295" s="1578"/>
      <c r="BM295" s="1578"/>
      <c r="BN295" s="1578"/>
      <c r="BO295" s="1578"/>
      <c r="BP295" s="1578"/>
      <c r="BQ295" s="1578"/>
      <c r="BR295" s="1578"/>
      <c r="BS295" s="1578"/>
      <c r="BT295" s="1578"/>
      <c r="BU295" s="1578"/>
      <c r="BV295" s="1578"/>
      <c r="BW295" s="1578"/>
      <c r="BX295" s="1578"/>
      <c r="BY295" s="1578"/>
      <c r="BZ295" s="1578"/>
      <c r="CA295" s="1578"/>
      <c r="CB295" s="1578"/>
      <c r="CC295" s="1578"/>
      <c r="CD295" s="1578"/>
      <c r="CE295" s="1578"/>
      <c r="CF295" s="1578"/>
      <c r="CG295" s="1578"/>
      <c r="CH295" s="1578"/>
      <c r="CI295" s="1578"/>
      <c r="CJ295" s="1578"/>
      <c r="CK295" s="1578"/>
      <c r="CL295" s="1578"/>
      <c r="CM295" s="1578"/>
      <c r="CN295" s="1578"/>
      <c r="CO295" s="1578"/>
      <c r="CP295" s="1578"/>
      <c r="CQ295" s="1578"/>
      <c r="CR295" s="1578"/>
      <c r="CS295" s="1578"/>
      <c r="CT295" s="1578"/>
      <c r="CU295" s="1578"/>
      <c r="CV295" s="1578"/>
      <c r="CW295" s="1578"/>
      <c r="CX295" s="1578"/>
      <c r="CY295" s="1578"/>
      <c r="CZ295" s="1578"/>
    </row>
    <row r="296" spans="1:104">
      <c r="A296" s="1466"/>
      <c r="B296" s="1576"/>
      <c r="C296" s="1576"/>
      <c r="D296" s="1576"/>
      <c r="E296" s="1578"/>
      <c r="F296" s="1578"/>
      <c r="G296" s="1578"/>
      <c r="H296" s="1578"/>
      <c r="I296" s="1578"/>
      <c r="J296" s="1578"/>
      <c r="K296" s="1578"/>
      <c r="L296" s="1578"/>
      <c r="M296" s="1578"/>
      <c r="N296" s="1578"/>
      <c r="O296" s="1578"/>
      <c r="P296" s="1578"/>
      <c r="Q296" s="1578"/>
      <c r="R296" s="1578"/>
      <c r="S296" s="1578"/>
      <c r="T296" s="1578"/>
      <c r="U296" s="1578"/>
      <c r="V296" s="1578"/>
      <c r="W296" s="1578"/>
      <c r="X296" s="1578"/>
      <c r="Y296" s="1578"/>
      <c r="Z296" s="1578"/>
      <c r="AA296" s="1578"/>
      <c r="AB296" s="1578"/>
      <c r="AC296" s="1578"/>
      <c r="AD296" s="1578"/>
      <c r="AE296" s="1578"/>
      <c r="AF296" s="1578"/>
      <c r="AG296" s="1578"/>
      <c r="AH296" s="1578"/>
      <c r="AI296" s="1578"/>
      <c r="AJ296" s="1578"/>
      <c r="AK296" s="1578"/>
      <c r="AL296" s="1578"/>
      <c r="AM296" s="1578"/>
      <c r="AN296" s="1578"/>
      <c r="AO296" s="1578"/>
      <c r="AP296" s="1578"/>
      <c r="AQ296" s="1578"/>
      <c r="AR296" s="1578"/>
      <c r="AS296" s="1578"/>
      <c r="AT296" s="1578"/>
      <c r="AU296" s="1578"/>
      <c r="AV296" s="1578"/>
      <c r="AW296" s="1578"/>
      <c r="AX296" s="1578"/>
      <c r="AY296" s="1578"/>
      <c r="AZ296" s="1578"/>
      <c r="BA296" s="1578"/>
      <c r="BB296" s="1578"/>
      <c r="BC296" s="1578"/>
      <c r="BD296" s="1578"/>
      <c r="BE296" s="1578"/>
      <c r="BF296" s="1578"/>
      <c r="BG296" s="1578"/>
      <c r="BH296" s="1578"/>
      <c r="BI296" s="1578"/>
      <c r="BJ296" s="1578"/>
      <c r="BK296" s="1578"/>
      <c r="BL296" s="1578"/>
      <c r="BM296" s="1578"/>
      <c r="BN296" s="1578"/>
      <c r="BO296" s="1578"/>
      <c r="BP296" s="1578"/>
      <c r="BQ296" s="1578"/>
      <c r="BR296" s="1578"/>
      <c r="BS296" s="1578"/>
      <c r="BT296" s="1578"/>
      <c r="BU296" s="1578"/>
      <c r="BV296" s="1578"/>
      <c r="BW296" s="1578"/>
      <c r="BX296" s="1578"/>
      <c r="BY296" s="1578"/>
      <c r="BZ296" s="1578"/>
      <c r="CA296" s="1578"/>
      <c r="CB296" s="1578"/>
      <c r="CC296" s="1578"/>
      <c r="CD296" s="1578"/>
      <c r="CE296" s="1578"/>
      <c r="CF296" s="1578"/>
      <c r="CG296" s="1578"/>
      <c r="CH296" s="1578"/>
      <c r="CI296" s="1578"/>
      <c r="CJ296" s="1578"/>
      <c r="CK296" s="1578"/>
      <c r="CL296" s="1578"/>
      <c r="CM296" s="1578"/>
      <c r="CN296" s="1578"/>
      <c r="CO296" s="1578"/>
      <c r="CP296" s="1578"/>
      <c r="CQ296" s="1578"/>
      <c r="CR296" s="1578"/>
      <c r="CS296" s="1578"/>
      <c r="CT296" s="1578"/>
      <c r="CU296" s="1578"/>
      <c r="CV296" s="1578"/>
      <c r="CW296" s="1578"/>
      <c r="CX296" s="1578"/>
      <c r="CY296" s="1578"/>
      <c r="CZ296" s="1578"/>
    </row>
    <row r="297" spans="1:104">
      <c r="A297" s="1466"/>
      <c r="B297" s="1576"/>
      <c r="C297" s="1576"/>
      <c r="D297" s="1576"/>
      <c r="E297" s="1578"/>
      <c r="F297" s="1578"/>
      <c r="G297" s="1578"/>
      <c r="H297" s="1578"/>
      <c r="I297" s="1578"/>
      <c r="J297" s="1578"/>
      <c r="K297" s="1578"/>
      <c r="L297" s="1578"/>
      <c r="M297" s="1578"/>
      <c r="N297" s="1578"/>
      <c r="O297" s="1578"/>
      <c r="P297" s="1578"/>
      <c r="Q297" s="1578"/>
      <c r="R297" s="1578"/>
      <c r="S297" s="1578"/>
      <c r="T297" s="1578"/>
      <c r="U297" s="1578"/>
      <c r="V297" s="1578"/>
      <c r="W297" s="1578"/>
      <c r="X297" s="1578"/>
      <c r="Y297" s="1578"/>
      <c r="Z297" s="1578"/>
      <c r="AA297" s="1578"/>
      <c r="AB297" s="1578"/>
      <c r="AC297" s="1578"/>
      <c r="AD297" s="1578"/>
      <c r="AE297" s="1578"/>
      <c r="AF297" s="1578"/>
      <c r="AG297" s="1578"/>
      <c r="AH297" s="1578"/>
      <c r="AI297" s="1578"/>
      <c r="AJ297" s="1578"/>
      <c r="AK297" s="1578"/>
      <c r="AL297" s="1578"/>
      <c r="AM297" s="1578"/>
      <c r="AN297" s="1578"/>
      <c r="AO297" s="1578"/>
      <c r="AP297" s="1578"/>
      <c r="AQ297" s="1578"/>
      <c r="AR297" s="1578"/>
      <c r="AS297" s="1578"/>
      <c r="AT297" s="1578"/>
      <c r="AU297" s="1578"/>
      <c r="AV297" s="1578"/>
      <c r="AW297" s="1578"/>
      <c r="AX297" s="1578"/>
      <c r="AY297" s="1578"/>
      <c r="AZ297" s="1578"/>
      <c r="BA297" s="1578"/>
      <c r="BB297" s="1578"/>
      <c r="BC297" s="1578"/>
      <c r="BD297" s="1578"/>
      <c r="BE297" s="1578"/>
      <c r="BF297" s="1578"/>
      <c r="BG297" s="1578"/>
      <c r="BH297" s="1578"/>
      <c r="BI297" s="1578"/>
      <c r="BJ297" s="1578"/>
      <c r="BK297" s="1578"/>
      <c r="BL297" s="1578"/>
      <c r="BM297" s="1578"/>
      <c r="BN297" s="1578"/>
      <c r="BO297" s="1578"/>
      <c r="BP297" s="1578"/>
      <c r="BQ297" s="1578"/>
      <c r="BR297" s="1578"/>
      <c r="BS297" s="1578"/>
      <c r="BT297" s="1578"/>
      <c r="BU297" s="1578"/>
      <c r="BV297" s="1578"/>
      <c r="BW297" s="1578"/>
      <c r="BX297" s="1578"/>
      <c r="BY297" s="1578"/>
      <c r="BZ297" s="1578"/>
      <c r="CA297" s="1578"/>
      <c r="CB297" s="1578"/>
      <c r="CC297" s="1578"/>
      <c r="CD297" s="1578"/>
      <c r="CE297" s="1578"/>
      <c r="CF297" s="1578"/>
      <c r="CG297" s="1578"/>
      <c r="CH297" s="1578"/>
      <c r="CI297" s="1578"/>
      <c r="CJ297" s="1578"/>
      <c r="CK297" s="1578"/>
      <c r="CL297" s="1578"/>
      <c r="CM297" s="1578"/>
      <c r="CN297" s="1578"/>
      <c r="CO297" s="1578"/>
      <c r="CP297" s="1578"/>
      <c r="CQ297" s="1578"/>
      <c r="CR297" s="1578"/>
      <c r="CS297" s="1578"/>
      <c r="CT297" s="1578"/>
      <c r="CU297" s="1578"/>
      <c r="CV297" s="1578"/>
      <c r="CW297" s="1578"/>
      <c r="CX297" s="1578"/>
      <c r="CY297" s="1578"/>
      <c r="CZ297" s="1578"/>
    </row>
    <row r="298" spans="1:104">
      <c r="A298" s="1466"/>
      <c r="B298" s="1576"/>
      <c r="C298" s="1576"/>
      <c r="D298" s="1576"/>
      <c r="E298" s="1578"/>
      <c r="F298" s="1578"/>
      <c r="G298" s="1578"/>
      <c r="H298" s="1578"/>
      <c r="I298" s="1578"/>
      <c r="J298" s="1578"/>
      <c r="K298" s="1578"/>
      <c r="L298" s="1578"/>
      <c r="M298" s="1578"/>
      <c r="N298" s="1578"/>
      <c r="O298" s="1578"/>
      <c r="P298" s="1578"/>
      <c r="Q298" s="1578"/>
      <c r="R298" s="1578"/>
      <c r="S298" s="1578"/>
      <c r="T298" s="1578"/>
      <c r="U298" s="1578"/>
      <c r="V298" s="1578"/>
      <c r="W298" s="1578"/>
      <c r="X298" s="1578"/>
      <c r="Y298" s="1578"/>
      <c r="Z298" s="1578"/>
      <c r="AA298" s="1578"/>
      <c r="AB298" s="1578"/>
      <c r="AC298" s="1578"/>
      <c r="AD298" s="1578"/>
      <c r="AE298" s="1578"/>
      <c r="AF298" s="1578"/>
      <c r="AG298" s="1578"/>
      <c r="AH298" s="1578"/>
      <c r="AI298" s="1578"/>
      <c r="AJ298" s="1578"/>
      <c r="AK298" s="1578"/>
      <c r="AL298" s="1578"/>
      <c r="AM298" s="1578"/>
      <c r="AN298" s="1578"/>
      <c r="AO298" s="1578"/>
      <c r="AP298" s="1578"/>
      <c r="AQ298" s="1578"/>
      <c r="AR298" s="1578"/>
      <c r="AS298" s="1578"/>
      <c r="AT298" s="1578"/>
      <c r="AU298" s="1578"/>
      <c r="AV298" s="1578"/>
      <c r="AW298" s="1578"/>
      <c r="AX298" s="1578"/>
      <c r="AY298" s="1578"/>
      <c r="AZ298" s="1578"/>
      <c r="BA298" s="1578"/>
      <c r="BB298" s="1578"/>
      <c r="BC298" s="1578"/>
      <c r="BD298" s="1578"/>
      <c r="BE298" s="1578"/>
      <c r="BF298" s="1578"/>
      <c r="BG298" s="1578"/>
      <c r="BH298" s="1578"/>
      <c r="BI298" s="1578"/>
      <c r="BJ298" s="1578"/>
      <c r="BK298" s="1578"/>
      <c r="BL298" s="1578"/>
      <c r="BM298" s="1578"/>
      <c r="BN298" s="1578"/>
      <c r="BO298" s="1578"/>
      <c r="BP298" s="1578"/>
      <c r="BQ298" s="1578"/>
      <c r="BR298" s="1578"/>
      <c r="BS298" s="1578"/>
      <c r="BT298" s="1578"/>
      <c r="BU298" s="1578"/>
      <c r="BV298" s="1578"/>
      <c r="BW298" s="1578"/>
      <c r="BX298" s="1578"/>
      <c r="BY298" s="1578"/>
      <c r="BZ298" s="1578"/>
      <c r="CA298" s="1578"/>
      <c r="CB298" s="1578"/>
      <c r="CC298" s="1578"/>
      <c r="CD298" s="1578"/>
      <c r="CE298" s="1578"/>
      <c r="CF298" s="1578"/>
      <c r="CG298" s="1578"/>
      <c r="CH298" s="1578"/>
      <c r="CI298" s="1578"/>
      <c r="CJ298" s="1578"/>
      <c r="CK298" s="1578"/>
      <c r="CL298" s="1578"/>
      <c r="CM298" s="1578"/>
      <c r="CN298" s="1578"/>
      <c r="CO298" s="1578"/>
      <c r="CP298" s="1578"/>
      <c r="CQ298" s="1578"/>
      <c r="CR298" s="1578"/>
      <c r="CS298" s="1578"/>
      <c r="CT298" s="1578"/>
      <c r="CU298" s="1578"/>
      <c r="CV298" s="1578"/>
      <c r="CW298" s="1578"/>
      <c r="CX298" s="1578"/>
      <c r="CY298" s="1578"/>
      <c r="CZ298" s="1578"/>
    </row>
    <row r="299" spans="1:104">
      <c r="A299" s="1466"/>
      <c r="B299" s="1576"/>
      <c r="C299" s="1576"/>
      <c r="D299" s="1576"/>
      <c r="E299" s="1578"/>
      <c r="F299" s="1578"/>
      <c r="G299" s="1578"/>
      <c r="H299" s="1578"/>
      <c r="I299" s="1578"/>
      <c r="J299" s="1578"/>
      <c r="K299" s="1578"/>
      <c r="L299" s="1578"/>
      <c r="M299" s="1578"/>
      <c r="N299" s="1578"/>
      <c r="O299" s="1578"/>
      <c r="P299" s="1578"/>
      <c r="Q299" s="1578"/>
      <c r="R299" s="1578"/>
      <c r="S299" s="1578"/>
      <c r="T299" s="1578"/>
      <c r="U299" s="1578"/>
      <c r="V299" s="1578"/>
      <c r="W299" s="1578"/>
      <c r="X299" s="1578"/>
      <c r="Y299" s="1578"/>
      <c r="Z299" s="1578"/>
      <c r="AA299" s="1578"/>
      <c r="AB299" s="1578"/>
      <c r="AC299" s="1578"/>
      <c r="AD299" s="1578"/>
      <c r="AE299" s="1578"/>
      <c r="AF299" s="1578"/>
      <c r="AG299" s="1578"/>
      <c r="AH299" s="1578"/>
      <c r="AI299" s="1578"/>
      <c r="AJ299" s="1578"/>
      <c r="AK299" s="1578"/>
      <c r="AL299" s="1578"/>
      <c r="AM299" s="1578"/>
      <c r="AN299" s="1578"/>
      <c r="AO299" s="1578"/>
      <c r="AP299" s="1578"/>
      <c r="AQ299" s="1578"/>
      <c r="AR299" s="1578"/>
      <c r="AS299" s="1578"/>
      <c r="AT299" s="1578"/>
      <c r="AU299" s="1578"/>
      <c r="AV299" s="1578"/>
      <c r="AW299" s="1578"/>
      <c r="AX299" s="1578"/>
      <c r="AY299" s="1578"/>
      <c r="AZ299" s="1578"/>
      <c r="BA299" s="1578"/>
      <c r="BB299" s="1578"/>
      <c r="BC299" s="1578"/>
      <c r="BD299" s="1578"/>
      <c r="BE299" s="1578"/>
      <c r="BF299" s="1578"/>
      <c r="BG299" s="1578"/>
      <c r="BH299" s="1578"/>
      <c r="BI299" s="1578"/>
      <c r="BJ299" s="1578"/>
      <c r="BK299" s="1578"/>
      <c r="BL299" s="1578"/>
      <c r="BM299" s="1578"/>
      <c r="BN299" s="1578"/>
      <c r="BO299" s="1578"/>
      <c r="BP299" s="1578"/>
      <c r="BQ299" s="1578"/>
      <c r="BR299" s="1578"/>
      <c r="BS299" s="1578"/>
      <c r="BT299" s="1578"/>
      <c r="BU299" s="1578"/>
      <c r="BV299" s="1578"/>
      <c r="BW299" s="1578"/>
      <c r="BX299" s="1578"/>
      <c r="BY299" s="1578"/>
      <c r="BZ299" s="1578"/>
      <c r="CA299" s="1578"/>
      <c r="CB299" s="1578"/>
      <c r="CC299" s="1578"/>
      <c r="CD299" s="1578"/>
      <c r="CE299" s="1578"/>
      <c r="CF299" s="1578"/>
      <c r="CG299" s="1578"/>
      <c r="CH299" s="1578"/>
      <c r="CI299" s="1578"/>
      <c r="CJ299" s="1578"/>
      <c r="CK299" s="1578"/>
      <c r="CL299" s="1578"/>
      <c r="CM299" s="1578"/>
      <c r="CN299" s="1578"/>
      <c r="CO299" s="1578"/>
      <c r="CP299" s="1578"/>
      <c r="CQ299" s="1578"/>
      <c r="CR299" s="1578"/>
      <c r="CS299" s="1578"/>
      <c r="CT299" s="1578"/>
      <c r="CU299" s="1578"/>
      <c r="CV299" s="1578"/>
      <c r="CW299" s="1578"/>
      <c r="CX299" s="1578"/>
      <c r="CY299" s="1578"/>
      <c r="CZ299" s="1578"/>
    </row>
    <row r="300" spans="1:104">
      <c r="A300" s="1466"/>
      <c r="B300" s="1576"/>
      <c r="C300" s="1576"/>
      <c r="D300" s="1576"/>
      <c r="E300" s="1578"/>
      <c r="F300" s="1578"/>
      <c r="G300" s="1578"/>
      <c r="H300" s="1578"/>
      <c r="I300" s="1578"/>
      <c r="J300" s="1578"/>
      <c r="K300" s="1578"/>
      <c r="L300" s="1578"/>
      <c r="M300" s="1578"/>
      <c r="N300" s="1578"/>
      <c r="O300" s="1578"/>
      <c r="P300" s="1578"/>
      <c r="Q300" s="1578"/>
      <c r="R300" s="1578"/>
      <c r="S300" s="1578"/>
      <c r="T300" s="1578"/>
      <c r="U300" s="1578"/>
      <c r="V300" s="1578"/>
      <c r="W300" s="1578"/>
      <c r="X300" s="1578"/>
      <c r="Y300" s="1578"/>
      <c r="Z300" s="1578"/>
      <c r="AA300" s="1578"/>
      <c r="AB300" s="1578"/>
      <c r="AC300" s="1578"/>
      <c r="AD300" s="1578"/>
      <c r="AE300" s="1578"/>
      <c r="AF300" s="1578"/>
      <c r="AG300" s="1578"/>
      <c r="AH300" s="1578"/>
      <c r="AI300" s="1578"/>
      <c r="AJ300" s="1578"/>
      <c r="AK300" s="1578"/>
      <c r="AL300" s="1578"/>
      <c r="AM300" s="1578"/>
      <c r="AN300" s="1578"/>
      <c r="AO300" s="1578"/>
      <c r="AP300" s="1578"/>
      <c r="AQ300" s="1578"/>
      <c r="AR300" s="1578"/>
      <c r="AS300" s="1578"/>
      <c r="AT300" s="1578"/>
      <c r="AU300" s="1578"/>
      <c r="AV300" s="1578"/>
      <c r="AW300" s="1578"/>
      <c r="AX300" s="1578"/>
      <c r="AY300" s="1578"/>
      <c r="AZ300" s="1578"/>
      <c r="BA300" s="1578"/>
      <c r="BB300" s="1578"/>
      <c r="BC300" s="1578"/>
      <c r="BD300" s="1578"/>
      <c r="BE300" s="1578"/>
      <c r="BF300" s="1578"/>
      <c r="BG300" s="1578"/>
      <c r="BH300" s="1578"/>
      <c r="BI300" s="1578"/>
      <c r="BJ300" s="1578"/>
      <c r="BK300" s="1578"/>
      <c r="BL300" s="1578"/>
      <c r="BM300" s="1578"/>
      <c r="BN300" s="1578"/>
      <c r="BO300" s="1578"/>
      <c r="BP300" s="1578"/>
      <c r="BQ300" s="1578"/>
      <c r="BR300" s="1578"/>
      <c r="BS300" s="1578"/>
      <c r="BT300" s="1578"/>
      <c r="BU300" s="1578"/>
      <c r="BV300" s="1578"/>
      <c r="BW300" s="1578"/>
      <c r="BX300" s="1578"/>
      <c r="BY300" s="1578"/>
      <c r="BZ300" s="1578"/>
      <c r="CA300" s="1578"/>
      <c r="CB300" s="1578"/>
      <c r="CC300" s="1578"/>
      <c r="CD300" s="1578"/>
      <c r="CE300" s="1578"/>
      <c r="CF300" s="1578"/>
      <c r="CG300" s="1578"/>
      <c r="CH300" s="1578"/>
      <c r="CI300" s="1578"/>
      <c r="CJ300" s="1578"/>
      <c r="CK300" s="1578"/>
      <c r="CL300" s="1578"/>
      <c r="CM300" s="1578"/>
      <c r="CN300" s="1578"/>
      <c r="CO300" s="1578"/>
      <c r="CP300" s="1578"/>
      <c r="CQ300" s="1578"/>
      <c r="CR300" s="1578"/>
      <c r="CS300" s="1578"/>
      <c r="CT300" s="1578"/>
      <c r="CU300" s="1578"/>
      <c r="CV300" s="1578"/>
      <c r="CW300" s="1578"/>
      <c r="CX300" s="1578"/>
      <c r="CY300" s="1578"/>
      <c r="CZ300" s="1578"/>
    </row>
    <row r="301" spans="1:104">
      <c r="A301" s="1466"/>
      <c r="B301" s="1576"/>
      <c r="C301" s="1576"/>
      <c r="D301" s="1576"/>
      <c r="E301" s="1578"/>
      <c r="F301" s="1578"/>
      <c r="G301" s="1578"/>
      <c r="H301" s="1578"/>
      <c r="I301" s="1578"/>
      <c r="J301" s="1578"/>
      <c r="K301" s="1578"/>
      <c r="L301" s="1578"/>
      <c r="M301" s="1578"/>
      <c r="N301" s="1578"/>
      <c r="O301" s="1578"/>
      <c r="P301" s="1578"/>
      <c r="Q301" s="1578"/>
      <c r="R301" s="1578"/>
      <c r="S301" s="1578"/>
      <c r="T301" s="1578"/>
      <c r="U301" s="1578"/>
      <c r="V301" s="1578"/>
      <c r="W301" s="1578"/>
      <c r="X301" s="1578"/>
      <c r="Y301" s="1578"/>
      <c r="Z301" s="1578"/>
      <c r="AA301" s="1578"/>
      <c r="AB301" s="1578"/>
      <c r="AC301" s="1578"/>
      <c r="AD301" s="1578"/>
      <c r="AE301" s="1578"/>
      <c r="AF301" s="1578"/>
      <c r="AG301" s="1578"/>
      <c r="AH301" s="1578"/>
      <c r="AI301" s="1578"/>
      <c r="AJ301" s="1578"/>
      <c r="AK301" s="1578"/>
      <c r="AL301" s="1578"/>
      <c r="AM301" s="1578"/>
      <c r="AN301" s="1578"/>
      <c r="AO301" s="1578"/>
      <c r="AP301" s="1578"/>
      <c r="AQ301" s="1578"/>
      <c r="AR301" s="1578"/>
      <c r="AS301" s="1578"/>
      <c r="AT301" s="1578"/>
      <c r="AU301" s="1578"/>
      <c r="AV301" s="1578"/>
      <c r="AW301" s="1578"/>
      <c r="AX301" s="1578"/>
      <c r="AY301" s="1578"/>
      <c r="AZ301" s="1578"/>
      <c r="BA301" s="1578"/>
      <c r="BB301" s="1578"/>
      <c r="BC301" s="1578"/>
      <c r="BD301" s="1578"/>
      <c r="BE301" s="1578"/>
      <c r="BF301" s="1578"/>
      <c r="BG301" s="1578"/>
      <c r="BH301" s="1578"/>
      <c r="BI301" s="1578"/>
      <c r="BJ301" s="1578"/>
      <c r="BK301" s="1578"/>
      <c r="BL301" s="1578"/>
      <c r="BM301" s="1578"/>
      <c r="BN301" s="1578"/>
      <c r="BO301" s="1578"/>
      <c r="BP301" s="1578"/>
      <c r="BQ301" s="1578"/>
      <c r="BR301" s="1578"/>
      <c r="BS301" s="1578"/>
      <c r="BT301" s="1578"/>
      <c r="BU301" s="1578"/>
      <c r="BV301" s="1578"/>
      <c r="BW301" s="1578"/>
      <c r="BX301" s="1578"/>
      <c r="BY301" s="1578"/>
      <c r="BZ301" s="1578"/>
      <c r="CA301" s="1578"/>
      <c r="CB301" s="1578"/>
      <c r="CC301" s="1578"/>
      <c r="CD301" s="1578"/>
      <c r="CE301" s="1578"/>
      <c r="CF301" s="1578"/>
      <c r="CG301" s="1578"/>
      <c r="CH301" s="1578"/>
      <c r="CI301" s="1578"/>
      <c r="CJ301" s="1578"/>
      <c r="CK301" s="1578"/>
      <c r="CL301" s="1578"/>
      <c r="CM301" s="1578"/>
      <c r="CN301" s="1578"/>
      <c r="CO301" s="1578"/>
      <c r="CP301" s="1578"/>
      <c r="CQ301" s="1578"/>
      <c r="CR301" s="1578"/>
      <c r="CS301" s="1578"/>
      <c r="CT301" s="1578"/>
      <c r="CU301" s="1578"/>
      <c r="CV301" s="1578"/>
      <c r="CW301" s="1578"/>
      <c r="CX301" s="1578"/>
      <c r="CY301" s="1578"/>
      <c r="CZ301" s="1578"/>
    </row>
    <row r="302" spans="1:104">
      <c r="A302" s="1466"/>
      <c r="B302" s="1576"/>
      <c r="C302" s="1576"/>
      <c r="D302" s="1576"/>
      <c r="E302" s="1578"/>
      <c r="F302" s="1578"/>
      <c r="G302" s="1578"/>
      <c r="H302" s="1578"/>
      <c r="I302" s="1578"/>
      <c r="J302" s="1578"/>
      <c r="K302" s="1578"/>
      <c r="L302" s="1578"/>
      <c r="M302" s="1578"/>
      <c r="N302" s="1578"/>
      <c r="O302" s="1578"/>
      <c r="P302" s="1578"/>
      <c r="Q302" s="1578"/>
      <c r="R302" s="1578"/>
      <c r="S302" s="1578"/>
      <c r="T302" s="1578"/>
      <c r="U302" s="1578"/>
      <c r="V302" s="1578"/>
      <c r="W302" s="1578"/>
      <c r="X302" s="1578"/>
      <c r="Y302" s="1578"/>
      <c r="Z302" s="1578"/>
      <c r="AA302" s="1578"/>
      <c r="AB302" s="1578"/>
      <c r="AC302" s="1578"/>
      <c r="AD302" s="1578"/>
      <c r="AE302" s="1578"/>
      <c r="AF302" s="1578"/>
      <c r="AG302" s="1578"/>
      <c r="AH302" s="1578"/>
      <c r="AI302" s="1578"/>
      <c r="AJ302" s="1578"/>
      <c r="AK302" s="1578"/>
      <c r="AL302" s="1578"/>
      <c r="AM302" s="1578"/>
      <c r="AN302" s="1578"/>
      <c r="AO302" s="1578"/>
      <c r="AP302" s="1578"/>
      <c r="AQ302" s="1578"/>
      <c r="AR302" s="1578"/>
      <c r="AS302" s="1578"/>
      <c r="AT302" s="1578"/>
      <c r="AU302" s="1578"/>
      <c r="AV302" s="1578"/>
      <c r="AW302" s="1578"/>
      <c r="AX302" s="1578"/>
      <c r="AY302" s="1578"/>
      <c r="AZ302" s="1578"/>
      <c r="BA302" s="1578"/>
      <c r="BB302" s="1578"/>
      <c r="BC302" s="1578"/>
      <c r="BD302" s="1578"/>
      <c r="BE302" s="1578"/>
      <c r="BF302" s="1578"/>
      <c r="BG302" s="1578"/>
      <c r="BH302" s="1578"/>
      <c r="BI302" s="1578"/>
      <c r="BJ302" s="1578"/>
      <c r="BK302" s="1578"/>
      <c r="BL302" s="1578"/>
      <c r="BM302" s="1578"/>
      <c r="BN302" s="1578"/>
      <c r="BO302" s="1578"/>
      <c r="BP302" s="1578"/>
      <c r="BQ302" s="1578"/>
      <c r="BR302" s="1578"/>
      <c r="BS302" s="1578"/>
      <c r="BT302" s="1578"/>
      <c r="BU302" s="1578"/>
      <c r="BV302" s="1578"/>
      <c r="BW302" s="1578"/>
      <c r="BX302" s="1578"/>
      <c r="BY302" s="1578"/>
      <c r="BZ302" s="1578"/>
      <c r="CA302" s="1578"/>
      <c r="CB302" s="1578"/>
      <c r="CC302" s="1578"/>
      <c r="CD302" s="1578"/>
      <c r="CE302" s="1578"/>
      <c r="CF302" s="1578"/>
      <c r="CG302" s="1578"/>
      <c r="CH302" s="1578"/>
      <c r="CI302" s="1578"/>
      <c r="CJ302" s="1578"/>
      <c r="CK302" s="1578"/>
      <c r="CL302" s="1578"/>
      <c r="CM302" s="1578"/>
      <c r="CN302" s="1578"/>
      <c r="CO302" s="1578"/>
      <c r="CP302" s="1578"/>
      <c r="CQ302" s="1578"/>
      <c r="CR302" s="1578"/>
      <c r="CS302" s="1578"/>
      <c r="CT302" s="1578"/>
      <c r="CU302" s="1578"/>
      <c r="CV302" s="1578"/>
      <c r="CW302" s="1578"/>
      <c r="CX302" s="1578"/>
      <c r="CY302" s="1578"/>
      <c r="CZ302" s="1578"/>
    </row>
    <row r="303" spans="1:104">
      <c r="A303" s="1466"/>
      <c r="B303" s="1576"/>
      <c r="C303" s="1576"/>
      <c r="D303" s="1576"/>
      <c r="E303" s="1578"/>
      <c r="F303" s="1578"/>
      <c r="G303" s="1578"/>
      <c r="H303" s="1578"/>
      <c r="I303" s="1578"/>
      <c r="J303" s="1578"/>
      <c r="K303" s="1578"/>
      <c r="L303" s="1578"/>
      <c r="M303" s="1578"/>
      <c r="N303" s="1578"/>
      <c r="O303" s="1578"/>
      <c r="P303" s="1578"/>
      <c r="Q303" s="1578"/>
      <c r="R303" s="1578"/>
      <c r="S303" s="1578"/>
      <c r="T303" s="1578"/>
      <c r="U303" s="1578"/>
      <c r="V303" s="1578"/>
      <c r="W303" s="1578"/>
      <c r="X303" s="1578"/>
      <c r="Y303" s="1578"/>
      <c r="Z303" s="1578"/>
      <c r="AA303" s="1578"/>
      <c r="AB303" s="1578"/>
      <c r="AC303" s="1578"/>
      <c r="AD303" s="1578"/>
      <c r="AE303" s="1578"/>
      <c r="AF303" s="1578"/>
      <c r="AG303" s="1578"/>
      <c r="AH303" s="1578"/>
      <c r="AI303" s="1578"/>
      <c r="AJ303" s="1578"/>
      <c r="AK303" s="1578"/>
      <c r="AL303" s="1578"/>
      <c r="AM303" s="1578"/>
      <c r="AN303" s="1578"/>
      <c r="AO303" s="1578"/>
      <c r="AP303" s="1578"/>
      <c r="AQ303" s="1578"/>
      <c r="AR303" s="1578"/>
      <c r="AS303" s="1578"/>
      <c r="AT303" s="1578"/>
      <c r="AU303" s="1578"/>
      <c r="AV303" s="1578"/>
      <c r="AW303" s="1578"/>
      <c r="AX303" s="1578"/>
      <c r="AY303" s="1578"/>
      <c r="AZ303" s="1578"/>
      <c r="BA303" s="1578"/>
      <c r="BB303" s="1578"/>
      <c r="BC303" s="1578"/>
      <c r="BD303" s="1578"/>
      <c r="BE303" s="1578"/>
      <c r="BF303" s="1578"/>
      <c r="BG303" s="1578"/>
      <c r="BH303" s="1578"/>
      <c r="BI303" s="1578"/>
      <c r="BJ303" s="1578"/>
      <c r="BK303" s="1578"/>
      <c r="BL303" s="1578"/>
      <c r="BM303" s="1578"/>
      <c r="BN303" s="1578"/>
      <c r="BO303" s="1578"/>
      <c r="BP303" s="1578"/>
      <c r="BQ303" s="1578"/>
      <c r="BR303" s="1578"/>
      <c r="BS303" s="1578"/>
      <c r="BT303" s="1578"/>
      <c r="BU303" s="1578"/>
      <c r="BV303" s="1578"/>
      <c r="BW303" s="1578"/>
      <c r="BX303" s="1578"/>
      <c r="BY303" s="1578"/>
      <c r="BZ303" s="1578"/>
      <c r="CA303" s="1578"/>
      <c r="CB303" s="1578"/>
      <c r="CC303" s="1578"/>
      <c r="CD303" s="1578"/>
      <c r="CE303" s="1578"/>
      <c r="CF303" s="1578"/>
      <c r="CG303" s="1578"/>
      <c r="CH303" s="1578"/>
      <c r="CI303" s="1578"/>
      <c r="CJ303" s="1578"/>
      <c r="CK303" s="1578"/>
      <c r="CL303" s="1578"/>
      <c r="CM303" s="1578"/>
      <c r="CN303" s="1578"/>
      <c r="CO303" s="1578"/>
      <c r="CP303" s="1578"/>
      <c r="CQ303" s="1578"/>
      <c r="CR303" s="1578"/>
      <c r="CS303" s="1578"/>
      <c r="CT303" s="1578"/>
      <c r="CU303" s="1578"/>
      <c r="CV303" s="1578"/>
      <c r="CW303" s="1578"/>
      <c r="CX303" s="1578"/>
      <c r="CY303" s="1578"/>
      <c r="CZ303" s="1578"/>
    </row>
    <row r="304" spans="1:104">
      <c r="A304" s="1466"/>
      <c r="B304" s="1576"/>
      <c r="C304" s="1576"/>
      <c r="D304" s="1576"/>
      <c r="E304" s="1578"/>
      <c r="F304" s="1578"/>
      <c r="G304" s="1578"/>
      <c r="H304" s="1578"/>
      <c r="I304" s="1578"/>
      <c r="J304" s="1578"/>
      <c r="K304" s="1578"/>
      <c r="L304" s="1578"/>
      <c r="M304" s="1578"/>
      <c r="N304" s="1578"/>
      <c r="O304" s="1578"/>
      <c r="P304" s="1578"/>
      <c r="Q304" s="1578"/>
      <c r="R304" s="1578"/>
      <c r="S304" s="1578"/>
      <c r="T304" s="1578"/>
      <c r="U304" s="1578"/>
      <c r="V304" s="1578"/>
      <c r="W304" s="1578"/>
      <c r="X304" s="1578"/>
      <c r="Y304" s="1578"/>
      <c r="Z304" s="1578"/>
      <c r="AA304" s="1578"/>
      <c r="AB304" s="1578"/>
      <c r="AC304" s="1578"/>
      <c r="AD304" s="1578"/>
      <c r="AE304" s="1578"/>
      <c r="AF304" s="1578"/>
      <c r="AG304" s="1578"/>
      <c r="AH304" s="1578"/>
      <c r="AI304" s="1578"/>
      <c r="AJ304" s="1578"/>
      <c r="AK304" s="1578"/>
      <c r="AL304" s="1578"/>
      <c r="AM304" s="1578"/>
      <c r="AN304" s="1578"/>
      <c r="AO304" s="1578"/>
      <c r="AP304" s="1578"/>
      <c r="AQ304" s="1578"/>
      <c r="AR304" s="1578"/>
      <c r="AS304" s="1578"/>
      <c r="AT304" s="1578"/>
      <c r="AU304" s="1578"/>
      <c r="AV304" s="1578"/>
      <c r="AW304" s="1578"/>
      <c r="AX304" s="1578"/>
      <c r="AY304" s="1578"/>
      <c r="AZ304" s="1578"/>
      <c r="BA304" s="1578"/>
      <c r="BB304" s="1578"/>
      <c r="BC304" s="1578"/>
      <c r="BD304" s="1578"/>
      <c r="BE304" s="1578"/>
      <c r="BF304" s="1578"/>
      <c r="BG304" s="1578"/>
      <c r="BH304" s="1578"/>
      <c r="BI304" s="1578"/>
      <c r="BJ304" s="1578"/>
      <c r="BK304" s="1578"/>
      <c r="BL304" s="1578"/>
      <c r="BM304" s="1578"/>
      <c r="BN304" s="1578"/>
      <c r="BO304" s="1578"/>
      <c r="BP304" s="1578"/>
      <c r="BQ304" s="1578"/>
      <c r="BR304" s="1578"/>
      <c r="BS304" s="1578"/>
      <c r="BT304" s="1578"/>
      <c r="BU304" s="1578"/>
      <c r="BV304" s="1578"/>
      <c r="BW304" s="1578"/>
      <c r="BX304" s="1578"/>
      <c r="BY304" s="1578"/>
      <c r="BZ304" s="1578"/>
      <c r="CA304" s="1578"/>
      <c r="CB304" s="1578"/>
      <c r="CC304" s="1578"/>
      <c r="CD304" s="1578"/>
      <c r="CE304" s="1578"/>
      <c r="CF304" s="1578"/>
      <c r="CG304" s="1578"/>
      <c r="CH304" s="1578"/>
      <c r="CI304" s="1578"/>
      <c r="CJ304" s="1578"/>
      <c r="CK304" s="1578"/>
      <c r="CL304" s="1578"/>
      <c r="CM304" s="1578"/>
      <c r="CN304" s="1578"/>
      <c r="CO304" s="1578"/>
      <c r="CP304" s="1578"/>
      <c r="CQ304" s="1578"/>
      <c r="CR304" s="1578"/>
      <c r="CS304" s="1578"/>
      <c r="CT304" s="1578"/>
      <c r="CU304" s="1578"/>
      <c r="CV304" s="1578"/>
      <c r="CW304" s="1578"/>
      <c r="CX304" s="1578"/>
      <c r="CY304" s="1578"/>
      <c r="CZ304" s="1578"/>
    </row>
    <row r="305" spans="1:104">
      <c r="A305" s="1466"/>
      <c r="B305" s="1576"/>
      <c r="C305" s="1576"/>
      <c r="D305" s="1576"/>
      <c r="E305" s="1578"/>
      <c r="F305" s="1578"/>
      <c r="G305" s="1578"/>
      <c r="H305" s="1578"/>
      <c r="I305" s="1578"/>
      <c r="J305" s="1578"/>
      <c r="K305" s="1578"/>
      <c r="L305" s="1578"/>
      <c r="M305" s="1578"/>
      <c r="N305" s="1578"/>
      <c r="O305" s="1578"/>
      <c r="P305" s="1578"/>
      <c r="Q305" s="1578"/>
      <c r="R305" s="1578"/>
      <c r="S305" s="1578"/>
      <c r="T305" s="1578"/>
      <c r="U305" s="1578"/>
      <c r="V305" s="1578"/>
      <c r="W305" s="1578"/>
      <c r="X305" s="1578"/>
      <c r="Y305" s="1578"/>
      <c r="Z305" s="1578"/>
      <c r="AA305" s="1578"/>
      <c r="AB305" s="1578"/>
      <c r="AC305" s="1578"/>
      <c r="AD305" s="1578"/>
      <c r="AE305" s="1578"/>
      <c r="AF305" s="1578"/>
      <c r="AG305" s="1578"/>
      <c r="AH305" s="1578"/>
      <c r="AI305" s="1578"/>
      <c r="AJ305" s="1578"/>
      <c r="AK305" s="1578"/>
      <c r="AL305" s="1578"/>
      <c r="AM305" s="1578"/>
      <c r="AN305" s="1578"/>
      <c r="AO305" s="1578"/>
      <c r="AP305" s="1578"/>
      <c r="AQ305" s="1578"/>
      <c r="AR305" s="1578"/>
      <c r="AS305" s="1578"/>
      <c r="AT305" s="1578"/>
      <c r="AU305" s="1578"/>
      <c r="AV305" s="1578"/>
      <c r="AW305" s="1578"/>
      <c r="AX305" s="1578"/>
      <c r="AY305" s="1578"/>
      <c r="AZ305" s="1578"/>
      <c r="BA305" s="1578"/>
      <c r="BB305" s="1578"/>
      <c r="BC305" s="1578"/>
      <c r="BD305" s="1578"/>
      <c r="BE305" s="1578"/>
      <c r="BF305" s="1578"/>
      <c r="BG305" s="1578"/>
      <c r="BH305" s="1578"/>
      <c r="BI305" s="1578"/>
      <c r="BJ305" s="1578"/>
      <c r="BK305" s="1578"/>
      <c r="BL305" s="1578"/>
      <c r="BM305" s="1578"/>
      <c r="BN305" s="1578"/>
      <c r="BO305" s="1578"/>
      <c r="BP305" s="1578"/>
      <c r="BQ305" s="1578"/>
      <c r="BR305" s="1578"/>
      <c r="BS305" s="1578"/>
      <c r="BT305" s="1578"/>
      <c r="BU305" s="1578"/>
      <c r="BV305" s="1578"/>
      <c r="BW305" s="1578"/>
      <c r="BX305" s="1578"/>
      <c r="BY305" s="1578"/>
      <c r="BZ305" s="1578"/>
      <c r="CA305" s="1578"/>
      <c r="CB305" s="1578"/>
      <c r="CC305" s="1578"/>
      <c r="CD305" s="1578"/>
      <c r="CE305" s="1578"/>
      <c r="CF305" s="1578"/>
      <c r="CG305" s="1578"/>
      <c r="CH305" s="1578"/>
      <c r="CI305" s="1578"/>
      <c r="CJ305" s="1578"/>
      <c r="CK305" s="1578"/>
      <c r="CL305" s="1578"/>
      <c r="CM305" s="1578"/>
      <c r="CN305" s="1578"/>
      <c r="CO305" s="1578"/>
      <c r="CP305" s="1578"/>
      <c r="CQ305" s="1578"/>
      <c r="CR305" s="1578"/>
      <c r="CS305" s="1578"/>
      <c r="CT305" s="1578"/>
      <c r="CU305" s="1578"/>
      <c r="CV305" s="1578"/>
      <c r="CW305" s="1578"/>
      <c r="CX305" s="1578"/>
      <c r="CY305" s="1578"/>
      <c r="CZ305" s="1578"/>
    </row>
    <row r="306" spans="1:104">
      <c r="A306" s="1466"/>
      <c r="B306" s="1576"/>
      <c r="C306" s="1576"/>
      <c r="D306" s="1576"/>
      <c r="E306" s="1578"/>
      <c r="F306" s="1578"/>
      <c r="G306" s="1578"/>
      <c r="H306" s="1578"/>
      <c r="I306" s="1578"/>
      <c r="J306" s="1578"/>
      <c r="K306" s="1578"/>
      <c r="L306" s="1578"/>
      <c r="M306" s="1578"/>
      <c r="N306" s="1578"/>
      <c r="O306" s="1578"/>
      <c r="P306" s="1578"/>
      <c r="Q306" s="1578"/>
      <c r="R306" s="1578"/>
      <c r="S306" s="1578"/>
      <c r="T306" s="1578"/>
      <c r="U306" s="1578"/>
      <c r="V306" s="1578"/>
      <c r="W306" s="1578"/>
      <c r="X306" s="1578"/>
      <c r="Y306" s="1578"/>
      <c r="Z306" s="1578"/>
      <c r="AA306" s="1578"/>
      <c r="AB306" s="1578"/>
      <c r="AC306" s="1578"/>
      <c r="AD306" s="1578"/>
      <c r="AE306" s="1578"/>
      <c r="AF306" s="1578"/>
      <c r="AG306" s="1578"/>
      <c r="AH306" s="1578"/>
      <c r="AI306" s="1578"/>
      <c r="AJ306" s="1578"/>
      <c r="AK306" s="1578"/>
      <c r="AL306" s="1578"/>
      <c r="AM306" s="1578"/>
      <c r="AN306" s="1578"/>
      <c r="AO306" s="1578"/>
      <c r="AP306" s="1578"/>
      <c r="AQ306" s="1578"/>
      <c r="AR306" s="1578"/>
      <c r="AS306" s="1578"/>
      <c r="AT306" s="1578"/>
      <c r="AU306" s="1578"/>
      <c r="AV306" s="1578"/>
      <c r="AW306" s="1578"/>
      <c r="AX306" s="1578"/>
      <c r="AY306" s="1578"/>
      <c r="AZ306" s="1578"/>
      <c r="BA306" s="1578"/>
      <c r="BB306" s="1578"/>
      <c r="BC306" s="1578"/>
      <c r="BD306" s="1578"/>
      <c r="BE306" s="1578"/>
      <c r="BF306" s="1578"/>
      <c r="BG306" s="1578"/>
      <c r="BH306" s="1578"/>
      <c r="BI306" s="1578"/>
      <c r="BJ306" s="1578"/>
      <c r="BK306" s="1578"/>
      <c r="BL306" s="1578"/>
      <c r="BM306" s="1578"/>
      <c r="BN306" s="1578"/>
      <c r="BO306" s="1578"/>
      <c r="BP306" s="1578"/>
      <c r="BQ306" s="1578"/>
      <c r="BR306" s="1578"/>
      <c r="BS306" s="1578"/>
      <c r="BT306" s="1578"/>
      <c r="BU306" s="1578"/>
      <c r="BV306" s="1578"/>
      <c r="BW306" s="1578"/>
      <c r="BX306" s="1578"/>
      <c r="BY306" s="1578"/>
      <c r="BZ306" s="1578"/>
      <c r="CA306" s="1578"/>
      <c r="CB306" s="1578"/>
      <c r="CC306" s="1578"/>
      <c r="CD306" s="1578"/>
      <c r="CE306" s="1578"/>
      <c r="CF306" s="1578"/>
      <c r="CG306" s="1578"/>
      <c r="CH306" s="1578"/>
      <c r="CI306" s="1578"/>
      <c r="CJ306" s="1578"/>
      <c r="CK306" s="1578"/>
      <c r="CL306" s="1578"/>
      <c r="CM306" s="1578"/>
      <c r="CN306" s="1578"/>
      <c r="CO306" s="1578"/>
      <c r="CP306" s="1578"/>
      <c r="CQ306" s="1578"/>
      <c r="CR306" s="1578"/>
      <c r="CS306" s="1578"/>
      <c r="CT306" s="1578"/>
      <c r="CU306" s="1578"/>
      <c r="CV306" s="1578"/>
      <c r="CW306" s="1578"/>
      <c r="CX306" s="1578"/>
      <c r="CY306" s="1578"/>
      <c r="CZ306" s="1578"/>
    </row>
    <row r="307" spans="1:104">
      <c r="A307" s="1466"/>
      <c r="B307" s="1576"/>
      <c r="C307" s="1576"/>
      <c r="D307" s="1576"/>
      <c r="E307" s="1578"/>
      <c r="F307" s="1578"/>
      <c r="G307" s="1578"/>
      <c r="H307" s="1578"/>
      <c r="I307" s="1578"/>
      <c r="J307" s="1578"/>
      <c r="K307" s="1578"/>
      <c r="L307" s="1578"/>
      <c r="M307" s="1578"/>
      <c r="N307" s="1578"/>
      <c r="O307" s="1578"/>
      <c r="P307" s="1578"/>
      <c r="Q307" s="1578"/>
      <c r="R307" s="1578"/>
      <c r="S307" s="1578"/>
      <c r="T307" s="1578"/>
      <c r="U307" s="1578"/>
      <c r="V307" s="1578"/>
      <c r="W307" s="1578"/>
      <c r="X307" s="1578"/>
      <c r="Y307" s="1578"/>
      <c r="Z307" s="1578"/>
      <c r="AA307" s="1578"/>
      <c r="AB307" s="1578"/>
      <c r="AC307" s="1578"/>
      <c r="AD307" s="1578"/>
      <c r="AE307" s="1578"/>
      <c r="AF307" s="1578"/>
      <c r="AG307" s="1578"/>
      <c r="AH307" s="1578"/>
      <c r="AI307" s="1578"/>
      <c r="AJ307" s="1578"/>
      <c r="AK307" s="1578"/>
      <c r="AL307" s="1578"/>
      <c r="AM307" s="1578"/>
      <c r="AN307" s="1578"/>
      <c r="AO307" s="1578"/>
      <c r="AP307" s="1578"/>
      <c r="AQ307" s="1578"/>
      <c r="AR307" s="1578"/>
      <c r="AS307" s="1578"/>
      <c r="AT307" s="1578"/>
      <c r="AU307" s="1578"/>
      <c r="AV307" s="1578"/>
      <c r="AW307" s="1578"/>
      <c r="AX307" s="1578"/>
      <c r="AY307" s="1578"/>
      <c r="AZ307" s="1578"/>
      <c r="BA307" s="1578"/>
      <c r="BB307" s="1578"/>
      <c r="BC307" s="1578"/>
      <c r="BD307" s="1578"/>
      <c r="BE307" s="1578"/>
      <c r="BF307" s="1578"/>
      <c r="BG307" s="1578"/>
      <c r="BH307" s="1578"/>
      <c r="BI307" s="1578"/>
      <c r="BJ307" s="1578"/>
      <c r="BK307" s="1578"/>
      <c r="BL307" s="1578"/>
      <c r="BM307" s="1578"/>
      <c r="BN307" s="1578"/>
      <c r="BO307" s="1578"/>
      <c r="BP307" s="1578"/>
      <c r="BQ307" s="1578"/>
      <c r="BR307" s="1578"/>
      <c r="BS307" s="1578"/>
      <c r="BT307" s="1578"/>
      <c r="BU307" s="1578"/>
      <c r="BV307" s="1578"/>
      <c r="BW307" s="1578"/>
      <c r="BX307" s="1578"/>
      <c r="BY307" s="1578"/>
      <c r="BZ307" s="1578"/>
      <c r="CA307" s="1578"/>
      <c r="CB307" s="1578"/>
      <c r="CC307" s="1578"/>
      <c r="CD307" s="1578"/>
      <c r="CE307" s="1578"/>
      <c r="CF307" s="1578"/>
      <c r="CG307" s="1578"/>
      <c r="CH307" s="1578"/>
      <c r="CI307" s="1578"/>
      <c r="CJ307" s="1578"/>
      <c r="CK307" s="1578"/>
      <c r="CL307" s="1578"/>
      <c r="CM307" s="1578"/>
      <c r="CN307" s="1578"/>
      <c r="CO307" s="1578"/>
      <c r="CP307" s="1578"/>
      <c r="CQ307" s="1578"/>
      <c r="CR307" s="1578"/>
      <c r="CS307" s="1578"/>
      <c r="CT307" s="1578"/>
      <c r="CU307" s="1578"/>
      <c r="CV307" s="1578"/>
      <c r="CW307" s="1578"/>
      <c r="CX307" s="1578"/>
      <c r="CY307" s="1578"/>
      <c r="CZ307" s="1578"/>
    </row>
    <row r="308" spans="1:104">
      <c r="A308" s="1466"/>
      <c r="B308" s="1576"/>
      <c r="C308" s="1576"/>
      <c r="D308" s="1576"/>
      <c r="E308" s="1578"/>
      <c r="F308" s="1578"/>
      <c r="G308" s="1578"/>
      <c r="H308" s="1578"/>
      <c r="I308" s="1578"/>
      <c r="J308" s="1578"/>
      <c r="K308" s="1578"/>
      <c r="L308" s="1578"/>
      <c r="M308" s="1578"/>
      <c r="N308" s="1578"/>
      <c r="O308" s="1578"/>
      <c r="P308" s="1578"/>
      <c r="Q308" s="1578"/>
      <c r="R308" s="1578"/>
      <c r="S308" s="1578"/>
      <c r="T308" s="1578"/>
      <c r="U308" s="1578"/>
      <c r="V308" s="1578"/>
      <c r="W308" s="1578"/>
      <c r="X308" s="1578"/>
      <c r="Y308" s="1578"/>
      <c r="Z308" s="1578"/>
      <c r="AA308" s="1578"/>
      <c r="AB308" s="1578"/>
      <c r="AC308" s="1578"/>
      <c r="AD308" s="1578"/>
      <c r="AE308" s="1578"/>
      <c r="AF308" s="1578"/>
      <c r="AG308" s="1578"/>
      <c r="AH308" s="1578"/>
      <c r="AI308" s="1578"/>
      <c r="AJ308" s="1578"/>
      <c r="AK308" s="1578"/>
      <c r="AL308" s="1578"/>
      <c r="AM308" s="1578"/>
      <c r="AN308" s="1578"/>
      <c r="AO308" s="1578"/>
      <c r="AP308" s="1578"/>
      <c r="AQ308" s="1578"/>
      <c r="AR308" s="1578"/>
      <c r="AS308" s="1578"/>
      <c r="AT308" s="1578"/>
      <c r="AU308" s="1578"/>
      <c r="AV308" s="1578"/>
      <c r="AW308" s="1578"/>
      <c r="AX308" s="1578"/>
      <c r="AY308" s="1578"/>
      <c r="AZ308" s="1578"/>
      <c r="BA308" s="1578"/>
      <c r="BB308" s="1578"/>
      <c r="BC308" s="1578"/>
      <c r="BD308" s="1578"/>
      <c r="BE308" s="1578"/>
      <c r="BF308" s="1578"/>
      <c r="BG308" s="1578"/>
      <c r="BH308" s="1578"/>
      <c r="BI308" s="1578"/>
      <c r="BJ308" s="1578"/>
      <c r="BK308" s="1578"/>
      <c r="BL308" s="1578"/>
      <c r="BM308" s="1578"/>
      <c r="BN308" s="1578"/>
      <c r="BO308" s="1578"/>
      <c r="BP308" s="1578"/>
      <c r="BQ308" s="1578"/>
      <c r="BR308" s="1578"/>
      <c r="BS308" s="1578"/>
      <c r="BT308" s="1578"/>
      <c r="BU308" s="1578"/>
      <c r="BV308" s="1578"/>
      <c r="BW308" s="1578"/>
      <c r="BX308" s="1578"/>
      <c r="BY308" s="1578"/>
      <c r="BZ308" s="1578"/>
      <c r="CA308" s="1578"/>
      <c r="CB308" s="1578"/>
      <c r="CC308" s="1578"/>
      <c r="CD308" s="1578"/>
      <c r="CE308" s="1578"/>
      <c r="CF308" s="1578"/>
      <c r="CG308" s="1578"/>
      <c r="CH308" s="1578"/>
      <c r="CI308" s="1578"/>
      <c r="CJ308" s="1578"/>
      <c r="CK308" s="1578"/>
      <c r="CL308" s="1578"/>
      <c r="CM308" s="1578"/>
      <c r="CN308" s="1578"/>
      <c r="CO308" s="1578"/>
      <c r="CP308" s="1578"/>
      <c r="CQ308" s="1578"/>
      <c r="CR308" s="1578"/>
      <c r="CS308" s="1578"/>
      <c r="CT308" s="1578"/>
      <c r="CU308" s="1578"/>
      <c r="CV308" s="1578"/>
      <c r="CW308" s="1578"/>
      <c r="CX308" s="1578"/>
      <c r="CY308" s="1578"/>
      <c r="CZ308" s="1578"/>
    </row>
    <row r="309" spans="1:104">
      <c r="A309" s="1466"/>
      <c r="B309" s="1576"/>
      <c r="C309" s="1576"/>
      <c r="D309" s="1576"/>
      <c r="E309" s="1578"/>
      <c r="F309" s="1578"/>
      <c r="G309" s="1578"/>
      <c r="H309" s="1578"/>
      <c r="I309" s="1578"/>
      <c r="J309" s="1578"/>
      <c r="K309" s="1578"/>
      <c r="L309" s="1578"/>
      <c r="M309" s="1578"/>
      <c r="N309" s="1578"/>
      <c r="O309" s="1578"/>
      <c r="P309" s="1578"/>
      <c r="Q309" s="1578"/>
      <c r="R309" s="1578"/>
      <c r="S309" s="1578"/>
      <c r="T309" s="1578"/>
      <c r="U309" s="1578"/>
      <c r="V309" s="1578"/>
      <c r="W309" s="1578"/>
      <c r="X309" s="1578"/>
      <c r="Y309" s="1578"/>
      <c r="Z309" s="1578"/>
      <c r="AA309" s="1578"/>
      <c r="AB309" s="1578"/>
      <c r="AC309" s="1578"/>
      <c r="AD309" s="1578"/>
      <c r="AE309" s="1578"/>
      <c r="AF309" s="1578"/>
      <c r="AG309" s="1578"/>
      <c r="AH309" s="1578"/>
      <c r="AI309" s="1578"/>
      <c r="AJ309" s="1578"/>
      <c r="AK309" s="1578"/>
      <c r="AL309" s="1578"/>
      <c r="AM309" s="1578"/>
      <c r="AN309" s="1578"/>
      <c r="AO309" s="1578"/>
      <c r="AP309" s="1578"/>
      <c r="AQ309" s="1578"/>
      <c r="AR309" s="1578"/>
      <c r="AS309" s="1578"/>
      <c r="AT309" s="1578"/>
      <c r="AU309" s="1578"/>
      <c r="AV309" s="1578"/>
      <c r="AW309" s="1578"/>
      <c r="AX309" s="1578"/>
      <c r="AY309" s="1578"/>
      <c r="AZ309" s="1578"/>
      <c r="BA309" s="1578"/>
      <c r="BB309" s="1578"/>
      <c r="BC309" s="1578"/>
      <c r="BD309" s="1578"/>
      <c r="BE309" s="1578"/>
      <c r="BF309" s="1578"/>
      <c r="BG309" s="1578"/>
      <c r="BH309" s="1578"/>
      <c r="BI309" s="1578"/>
      <c r="BJ309" s="1578"/>
      <c r="BK309" s="1578"/>
      <c r="BL309" s="1578"/>
      <c r="BM309" s="1578"/>
      <c r="BN309" s="1578"/>
      <c r="BO309" s="1578"/>
      <c r="BP309" s="1578"/>
      <c r="BQ309" s="1578"/>
      <c r="BR309" s="1578"/>
      <c r="BS309" s="1578"/>
      <c r="BT309" s="1578"/>
      <c r="BU309" s="1578"/>
      <c r="BV309" s="1578"/>
      <c r="BW309" s="1578"/>
      <c r="BX309" s="1578"/>
      <c r="BY309" s="1578"/>
      <c r="BZ309" s="1578"/>
      <c r="CA309" s="1578"/>
      <c r="CB309" s="1578"/>
      <c r="CC309" s="1578"/>
      <c r="CD309" s="1578"/>
      <c r="CE309" s="1578"/>
      <c r="CF309" s="1578"/>
      <c r="CG309" s="1578"/>
      <c r="CH309" s="1578"/>
      <c r="CI309" s="1578"/>
      <c r="CJ309" s="1578"/>
      <c r="CK309" s="1578"/>
      <c r="CL309" s="1578"/>
      <c r="CM309" s="1578"/>
      <c r="CN309" s="1578"/>
      <c r="CO309" s="1578"/>
      <c r="CP309" s="1578"/>
      <c r="CQ309" s="1578"/>
      <c r="CR309" s="1578"/>
      <c r="CS309" s="1578"/>
      <c r="CT309" s="1578"/>
      <c r="CU309" s="1578"/>
      <c r="CV309" s="1578"/>
      <c r="CW309" s="1578"/>
      <c r="CX309" s="1578"/>
      <c r="CY309" s="1578"/>
      <c r="CZ309" s="1578"/>
    </row>
    <row r="310" spans="1:104">
      <c r="A310" s="1466"/>
      <c r="B310" s="1576"/>
      <c r="C310" s="1576"/>
      <c r="D310" s="1576"/>
      <c r="E310" s="1578"/>
      <c r="F310" s="1578"/>
      <c r="G310" s="1578"/>
      <c r="H310" s="1578"/>
      <c r="I310" s="1578"/>
      <c r="J310" s="1578"/>
      <c r="K310" s="1578"/>
      <c r="L310" s="1578"/>
      <c r="M310" s="1578"/>
      <c r="N310" s="1578"/>
      <c r="O310" s="1578"/>
      <c r="P310" s="1578"/>
      <c r="Q310" s="1578"/>
      <c r="R310" s="1578"/>
      <c r="S310" s="1578"/>
      <c r="T310" s="1578"/>
      <c r="U310" s="1578"/>
      <c r="V310" s="1578"/>
      <c r="W310" s="1578"/>
      <c r="X310" s="1578"/>
      <c r="Y310" s="1578"/>
      <c r="Z310" s="1578"/>
      <c r="AA310" s="1578"/>
      <c r="AB310" s="1578"/>
      <c r="AC310" s="1578"/>
      <c r="AD310" s="1578"/>
      <c r="AE310" s="1578"/>
      <c r="AF310" s="1578"/>
      <c r="AG310" s="1578"/>
      <c r="AH310" s="1578"/>
      <c r="AI310" s="1578"/>
      <c r="AJ310" s="1578"/>
      <c r="AK310" s="1578"/>
      <c r="AL310" s="1578"/>
      <c r="AM310" s="1578"/>
      <c r="AN310" s="1578"/>
      <c r="AO310" s="1578"/>
      <c r="AP310" s="1578"/>
      <c r="AQ310" s="1578"/>
      <c r="AR310" s="1578"/>
      <c r="AS310" s="1578"/>
      <c r="AT310" s="1578"/>
      <c r="AU310" s="1578"/>
      <c r="AV310" s="1578"/>
      <c r="AW310" s="1578"/>
      <c r="AX310" s="1578"/>
      <c r="AY310" s="1578"/>
      <c r="AZ310" s="1578"/>
      <c r="BA310" s="1578"/>
      <c r="BB310" s="1578"/>
      <c r="BC310" s="1578"/>
      <c r="BD310" s="1578"/>
      <c r="BE310" s="1578"/>
      <c r="BF310" s="1578"/>
      <c r="BG310" s="1578"/>
      <c r="BH310" s="1578"/>
      <c r="BI310" s="1578"/>
      <c r="BJ310" s="1578"/>
      <c r="BK310" s="1578"/>
      <c r="BL310" s="1578"/>
      <c r="BM310" s="1578"/>
      <c r="BN310" s="1578"/>
      <c r="BO310" s="1578"/>
      <c r="BP310" s="1578"/>
      <c r="BQ310" s="1578"/>
      <c r="BR310" s="1578"/>
      <c r="BS310" s="1578"/>
      <c r="BT310" s="1578"/>
      <c r="BU310" s="1578"/>
      <c r="BV310" s="1578"/>
      <c r="BW310" s="1578"/>
      <c r="BX310" s="1578"/>
      <c r="BY310" s="1578"/>
      <c r="BZ310" s="1578"/>
      <c r="CA310" s="1578"/>
      <c r="CB310" s="1578"/>
      <c r="CC310" s="1578"/>
      <c r="CD310" s="1578"/>
      <c r="CE310" s="1578"/>
      <c r="CF310" s="1578"/>
      <c r="CG310" s="1578"/>
      <c r="CH310" s="1578"/>
      <c r="CI310" s="1578"/>
      <c r="CJ310" s="1578"/>
      <c r="CK310" s="1578"/>
      <c r="CL310" s="1578"/>
      <c r="CM310" s="1578"/>
      <c r="CN310" s="1578"/>
      <c r="CO310" s="1578"/>
      <c r="CP310" s="1578"/>
      <c r="CQ310" s="1578"/>
      <c r="CR310" s="1578"/>
      <c r="CS310" s="1578"/>
      <c r="CT310" s="1578"/>
      <c r="CU310" s="1578"/>
      <c r="CV310" s="1578"/>
      <c r="CW310" s="1578"/>
      <c r="CX310" s="1578"/>
      <c r="CY310" s="1578"/>
      <c r="CZ310" s="1578"/>
    </row>
    <row r="311" spans="1:104">
      <c r="A311" s="1466"/>
      <c r="B311" s="1576"/>
      <c r="C311" s="1576"/>
      <c r="D311" s="1576"/>
      <c r="E311" s="1578"/>
      <c r="F311" s="1578"/>
      <c r="G311" s="1578"/>
      <c r="H311" s="1578"/>
      <c r="I311" s="1578"/>
      <c r="J311" s="1578"/>
      <c r="K311" s="1578"/>
      <c r="L311" s="1578"/>
      <c r="M311" s="1578"/>
      <c r="N311" s="1578"/>
      <c r="O311" s="1578"/>
      <c r="P311" s="1578"/>
      <c r="Q311" s="1578"/>
      <c r="R311" s="1578"/>
      <c r="S311" s="1578"/>
      <c r="T311" s="1578"/>
      <c r="U311" s="1578"/>
      <c r="V311" s="1578"/>
      <c r="W311" s="1578"/>
      <c r="X311" s="1578"/>
      <c r="Y311" s="1578"/>
      <c r="Z311" s="1578"/>
      <c r="AA311" s="1578"/>
      <c r="AB311" s="1578"/>
      <c r="AC311" s="1578"/>
      <c r="AD311" s="1578"/>
      <c r="AE311" s="1578"/>
      <c r="AF311" s="1578"/>
      <c r="AG311" s="1578"/>
      <c r="AH311" s="1578"/>
      <c r="AI311" s="1578"/>
      <c r="AJ311" s="1578"/>
      <c r="AK311" s="1578"/>
      <c r="AL311" s="1578"/>
      <c r="AM311" s="1578"/>
      <c r="AN311" s="1578"/>
      <c r="AO311" s="1578"/>
      <c r="AP311" s="1578"/>
      <c r="AQ311" s="1578"/>
      <c r="AR311" s="1578"/>
      <c r="AS311" s="1578"/>
      <c r="AT311" s="1578"/>
      <c r="AU311" s="1578"/>
      <c r="AV311" s="1578"/>
      <c r="AW311" s="1578"/>
      <c r="AX311" s="1578"/>
      <c r="AY311" s="1578"/>
      <c r="AZ311" s="1578"/>
      <c r="BA311" s="1578"/>
      <c r="BB311" s="1578"/>
      <c r="BC311" s="1578"/>
      <c r="BD311" s="1578"/>
      <c r="BE311" s="1578"/>
      <c r="BF311" s="1578"/>
      <c r="BG311" s="1578"/>
      <c r="BH311" s="1578"/>
      <c r="BI311" s="1578"/>
      <c r="BJ311" s="1578"/>
      <c r="BK311" s="1578"/>
      <c r="BL311" s="1578"/>
      <c r="BM311" s="1578"/>
      <c r="BN311" s="1578"/>
      <c r="BO311" s="1578"/>
      <c r="BP311" s="1578"/>
      <c r="BQ311" s="1578"/>
      <c r="BR311" s="1578"/>
      <c r="BS311" s="1578"/>
      <c r="BT311" s="1578"/>
      <c r="BU311" s="1578"/>
      <c r="BV311" s="1578"/>
      <c r="BW311" s="1578"/>
      <c r="BX311" s="1578"/>
      <c r="BY311" s="1578"/>
      <c r="BZ311" s="1578"/>
      <c r="CA311" s="1578"/>
      <c r="CB311" s="1578"/>
      <c r="CC311" s="1578"/>
      <c r="CD311" s="1578"/>
      <c r="CE311" s="1578"/>
      <c r="CF311" s="1578"/>
      <c r="CG311" s="1578"/>
      <c r="CH311" s="1578"/>
      <c r="CI311" s="1578"/>
      <c r="CJ311" s="1578"/>
      <c r="CK311" s="1578"/>
      <c r="CL311" s="1578"/>
      <c r="CM311" s="1578"/>
      <c r="CN311" s="1578"/>
      <c r="CO311" s="1578"/>
      <c r="CP311" s="1578"/>
      <c r="CQ311" s="1578"/>
      <c r="CR311" s="1578"/>
      <c r="CS311" s="1578"/>
      <c r="CT311" s="1578"/>
      <c r="CU311" s="1578"/>
      <c r="CV311" s="1578"/>
      <c r="CW311" s="1578"/>
      <c r="CX311" s="1578"/>
      <c r="CY311" s="1578"/>
      <c r="CZ311" s="1578"/>
    </row>
    <row r="312" spans="1:104">
      <c r="A312" s="1466"/>
      <c r="B312" s="1576"/>
      <c r="C312" s="1576"/>
      <c r="D312" s="1576"/>
      <c r="E312" s="1578"/>
      <c r="F312" s="1578"/>
      <c r="G312" s="1578"/>
      <c r="H312" s="1578"/>
      <c r="I312" s="1578"/>
      <c r="J312" s="1578"/>
      <c r="K312" s="1578"/>
      <c r="L312" s="1578"/>
      <c r="M312" s="1578"/>
      <c r="N312" s="1578"/>
      <c r="O312" s="1578"/>
      <c r="P312" s="1578"/>
      <c r="Q312" s="1578"/>
      <c r="R312" s="1578"/>
      <c r="S312" s="1578"/>
      <c r="T312" s="1578"/>
      <c r="U312" s="1578"/>
      <c r="V312" s="1578"/>
      <c r="W312" s="1578"/>
      <c r="X312" s="1578"/>
      <c r="Y312" s="1578"/>
      <c r="Z312" s="1578"/>
      <c r="AA312" s="1578"/>
      <c r="AB312" s="1578"/>
      <c r="AC312" s="1578"/>
      <c r="AD312" s="1578"/>
      <c r="AE312" s="1578"/>
      <c r="AF312" s="1578"/>
      <c r="AG312" s="1578"/>
      <c r="AH312" s="1578"/>
      <c r="AI312" s="1578"/>
      <c r="AJ312" s="1578"/>
      <c r="AK312" s="1578"/>
      <c r="AL312" s="1578"/>
      <c r="AM312" s="1578"/>
      <c r="AN312" s="1578"/>
      <c r="AO312" s="1578"/>
      <c r="AP312" s="1578"/>
      <c r="AQ312" s="1578"/>
      <c r="AR312" s="1578"/>
      <c r="AS312" s="1578"/>
      <c r="AT312" s="1578"/>
      <c r="AU312" s="1578"/>
      <c r="AV312" s="1578"/>
      <c r="AW312" s="1578"/>
      <c r="AX312" s="1578"/>
      <c r="AY312" s="1578"/>
      <c r="AZ312" s="1578"/>
      <c r="BA312" s="1578"/>
      <c r="BB312" s="1578"/>
      <c r="BC312" s="1578"/>
      <c r="BD312" s="1578"/>
      <c r="BE312" s="1578"/>
      <c r="BF312" s="1578"/>
      <c r="BG312" s="1578"/>
      <c r="BH312" s="1578"/>
      <c r="BI312" s="1578"/>
      <c r="BJ312" s="1578"/>
      <c r="BK312" s="1578"/>
      <c r="BL312" s="1578"/>
      <c r="BM312" s="1578"/>
      <c r="BN312" s="1578"/>
      <c r="BO312" s="1578"/>
      <c r="BP312" s="1578"/>
      <c r="BQ312" s="1578"/>
      <c r="BR312" s="1578"/>
      <c r="BS312" s="1578"/>
      <c r="BT312" s="1578"/>
      <c r="BU312" s="1578"/>
      <c r="BV312" s="1578"/>
      <c r="BW312" s="1578"/>
      <c r="BX312" s="1578"/>
      <c r="BY312" s="1578"/>
      <c r="BZ312" s="1578"/>
      <c r="CA312" s="1578"/>
      <c r="CB312" s="1578"/>
      <c r="CC312" s="1578"/>
      <c r="CD312" s="1578"/>
      <c r="CE312" s="1578"/>
      <c r="CF312" s="1578"/>
      <c r="CG312" s="1578"/>
      <c r="CH312" s="1578"/>
      <c r="CI312" s="1578"/>
      <c r="CJ312" s="1578"/>
      <c r="CK312" s="1578"/>
      <c r="CL312" s="1578"/>
      <c r="CM312" s="1578"/>
      <c r="CN312" s="1578"/>
      <c r="CO312" s="1578"/>
      <c r="CP312" s="1578"/>
      <c r="CQ312" s="1578"/>
      <c r="CR312" s="1578"/>
      <c r="CS312" s="1578"/>
      <c r="CT312" s="1578"/>
      <c r="CU312" s="1578"/>
      <c r="CV312" s="1578"/>
      <c r="CW312" s="1578"/>
      <c r="CX312" s="1578"/>
      <c r="CY312" s="1578"/>
      <c r="CZ312" s="1578"/>
    </row>
    <row r="313" spans="1:104">
      <c r="A313" s="1466"/>
      <c r="B313" s="1576"/>
      <c r="C313" s="1576"/>
      <c r="D313" s="1576"/>
      <c r="E313" s="1578"/>
      <c r="F313" s="1578"/>
      <c r="G313" s="1578"/>
      <c r="H313" s="1578"/>
      <c r="I313" s="1578"/>
      <c r="J313" s="1578"/>
      <c r="K313" s="1578"/>
      <c r="L313" s="1578"/>
      <c r="M313" s="1578"/>
      <c r="N313" s="1578"/>
      <c r="O313" s="1578"/>
      <c r="P313" s="1578"/>
      <c r="Q313" s="1578"/>
      <c r="R313" s="1578"/>
      <c r="S313" s="1578"/>
      <c r="T313" s="1578"/>
      <c r="U313" s="1578"/>
      <c r="V313" s="1578"/>
      <c r="W313" s="1578"/>
      <c r="X313" s="1578"/>
      <c r="Y313" s="1578"/>
      <c r="Z313" s="1578"/>
      <c r="AA313" s="1578"/>
      <c r="AB313" s="1578"/>
      <c r="AC313" s="1578"/>
      <c r="AD313" s="1578"/>
      <c r="AE313" s="1578"/>
      <c r="AF313" s="1578"/>
      <c r="AG313" s="1578"/>
      <c r="AH313" s="1578"/>
      <c r="AI313" s="1578"/>
      <c r="AJ313" s="1578"/>
      <c r="AK313" s="1578"/>
      <c r="AL313" s="1578"/>
      <c r="AM313" s="1578"/>
      <c r="AN313" s="1578"/>
      <c r="AO313" s="1578"/>
      <c r="AP313" s="1578"/>
      <c r="AQ313" s="1578"/>
      <c r="AR313" s="1578"/>
      <c r="AS313" s="1578"/>
      <c r="AT313" s="1578"/>
      <c r="AU313" s="1578"/>
      <c r="AV313" s="1578"/>
      <c r="AW313" s="1578"/>
      <c r="AX313" s="1578"/>
      <c r="AY313" s="1578"/>
      <c r="AZ313" s="1578"/>
      <c r="BA313" s="1578"/>
      <c r="BB313" s="1578"/>
      <c r="BC313" s="1578"/>
      <c r="BD313" s="1578"/>
      <c r="BE313" s="1578"/>
      <c r="BF313" s="1578"/>
      <c r="BG313" s="1578"/>
      <c r="BH313" s="1578"/>
      <c r="BI313" s="1578"/>
      <c r="BJ313" s="1578"/>
      <c r="BK313" s="1578"/>
      <c r="BL313" s="1578"/>
      <c r="BM313" s="1578"/>
      <c r="BN313" s="1578"/>
      <c r="BO313" s="1578"/>
      <c r="BP313" s="1578"/>
      <c r="BQ313" s="1578"/>
      <c r="BR313" s="1578"/>
      <c r="BS313" s="1578"/>
      <c r="BT313" s="1578"/>
      <c r="BU313" s="1578"/>
      <c r="BV313" s="1578"/>
      <c r="BW313" s="1578"/>
      <c r="BX313" s="1578"/>
      <c r="BY313" s="1578"/>
      <c r="BZ313" s="1578"/>
      <c r="CA313" s="1578"/>
      <c r="CB313" s="1578"/>
      <c r="CC313" s="1578"/>
      <c r="CD313" s="1578"/>
      <c r="CE313" s="1578"/>
      <c r="CF313" s="1578"/>
      <c r="CG313" s="1578"/>
      <c r="CH313" s="1578"/>
      <c r="CI313" s="1578"/>
      <c r="CJ313" s="1578"/>
      <c r="CK313" s="1578"/>
      <c r="CL313" s="1578"/>
      <c r="CM313" s="1578"/>
      <c r="CN313" s="1578"/>
      <c r="CO313" s="1578"/>
      <c r="CP313" s="1578"/>
      <c r="CQ313" s="1578"/>
      <c r="CR313" s="1578"/>
      <c r="CS313" s="1578"/>
      <c r="CT313" s="1578"/>
      <c r="CU313" s="1578"/>
      <c r="CV313" s="1578"/>
      <c r="CW313" s="1578"/>
      <c r="CX313" s="1578"/>
      <c r="CY313" s="1578"/>
      <c r="CZ313" s="1578"/>
    </row>
    <row r="314" spans="1:104">
      <c r="A314" s="1466"/>
      <c r="B314" s="1576"/>
      <c r="C314" s="1576"/>
      <c r="D314" s="1576"/>
      <c r="E314" s="1578"/>
      <c r="F314" s="1578"/>
      <c r="G314" s="1578"/>
      <c r="H314" s="1578"/>
      <c r="I314" s="1578"/>
      <c r="J314" s="1578"/>
      <c r="K314" s="1578"/>
      <c r="L314" s="1578"/>
      <c r="M314" s="1578"/>
      <c r="N314" s="1578"/>
      <c r="O314" s="1578"/>
      <c r="P314" s="1578"/>
      <c r="Q314" s="1578"/>
      <c r="R314" s="1578"/>
      <c r="S314" s="1578"/>
      <c r="T314" s="1578"/>
      <c r="U314" s="1578"/>
      <c r="V314" s="1578"/>
      <c r="W314" s="1578"/>
      <c r="X314" s="1578"/>
      <c r="Y314" s="1578"/>
      <c r="Z314" s="1578"/>
      <c r="AA314" s="1578"/>
      <c r="AB314" s="1578"/>
      <c r="AC314" s="1578"/>
      <c r="AD314" s="1578"/>
      <c r="AE314" s="1578"/>
      <c r="AF314" s="1578"/>
      <c r="AG314" s="1578"/>
      <c r="AH314" s="1578"/>
      <c r="AI314" s="1578"/>
      <c r="AJ314" s="1578"/>
      <c r="AK314" s="1578"/>
      <c r="AL314" s="1578"/>
      <c r="AM314" s="1578"/>
      <c r="AN314" s="1578"/>
      <c r="AO314" s="1578"/>
      <c r="AP314" s="1578"/>
      <c r="AQ314" s="1578"/>
      <c r="AR314" s="1578"/>
      <c r="AS314" s="1578"/>
      <c r="AT314" s="1578"/>
      <c r="AU314" s="1578"/>
      <c r="AV314" s="1578"/>
      <c r="AW314" s="1578"/>
      <c r="AX314" s="1578"/>
      <c r="AY314" s="1578"/>
      <c r="AZ314" s="1578"/>
      <c r="BA314" s="1578"/>
      <c r="BB314" s="1578"/>
      <c r="BC314" s="1578"/>
      <c r="BD314" s="1578"/>
      <c r="BE314" s="1578"/>
      <c r="BF314" s="1578"/>
      <c r="BG314" s="1578"/>
      <c r="BH314" s="1578"/>
      <c r="BI314" s="1578"/>
      <c r="BJ314" s="1578"/>
      <c r="BK314" s="1578"/>
      <c r="BL314" s="1578"/>
      <c r="BM314" s="1578"/>
      <c r="BN314" s="1578"/>
      <c r="BO314" s="1578"/>
      <c r="BP314" s="1578"/>
      <c r="BQ314" s="1578"/>
      <c r="BR314" s="1578"/>
      <c r="BS314" s="1578"/>
      <c r="BT314" s="1578"/>
      <c r="BU314" s="1578"/>
      <c r="BV314" s="1578"/>
      <c r="BW314" s="1578"/>
      <c r="BX314" s="1578"/>
      <c r="BY314" s="1578"/>
      <c r="BZ314" s="1578"/>
      <c r="CA314" s="1578"/>
      <c r="CB314" s="1578"/>
      <c r="CC314" s="1578"/>
      <c r="CD314" s="1578"/>
      <c r="CE314" s="1578"/>
      <c r="CF314" s="1578"/>
      <c r="CG314" s="1578"/>
      <c r="CH314" s="1578"/>
      <c r="CI314" s="1578"/>
      <c r="CJ314" s="1578"/>
      <c r="CK314" s="1578"/>
      <c r="CL314" s="1578"/>
      <c r="CM314" s="1578"/>
      <c r="CN314" s="1578"/>
      <c r="CO314" s="1578"/>
      <c r="CP314" s="1578"/>
      <c r="CQ314" s="1578"/>
      <c r="CR314" s="1578"/>
      <c r="CS314" s="1578"/>
      <c r="CT314" s="1578"/>
      <c r="CU314" s="1578"/>
      <c r="CV314" s="1578"/>
      <c r="CW314" s="1578"/>
      <c r="CX314" s="1578"/>
      <c r="CY314" s="1578"/>
      <c r="CZ314" s="1578"/>
    </row>
    <row r="315" spans="1:104">
      <c r="A315" s="1466"/>
      <c r="B315" s="1576"/>
      <c r="C315" s="1576"/>
      <c r="D315" s="1576"/>
      <c r="E315" s="1578"/>
      <c r="F315" s="1578"/>
      <c r="G315" s="1578"/>
      <c r="H315" s="1578"/>
      <c r="I315" s="1578"/>
      <c r="J315" s="1578"/>
      <c r="K315" s="1578"/>
      <c r="L315" s="1578"/>
      <c r="M315" s="1578"/>
      <c r="N315" s="1578"/>
      <c r="O315" s="1578"/>
      <c r="P315" s="1578"/>
      <c r="Q315" s="1578"/>
      <c r="R315" s="1578"/>
      <c r="S315" s="1578"/>
      <c r="T315" s="1578"/>
      <c r="U315" s="1578"/>
      <c r="V315" s="1578"/>
      <c r="W315" s="1578"/>
      <c r="X315" s="1578"/>
      <c r="Y315" s="1578"/>
      <c r="Z315" s="1578"/>
      <c r="AA315" s="1578"/>
      <c r="AB315" s="1578"/>
      <c r="AC315" s="1578"/>
      <c r="AD315" s="1578"/>
      <c r="AE315" s="1578"/>
      <c r="AF315" s="1578"/>
      <c r="AG315" s="1578"/>
      <c r="AH315" s="1578"/>
      <c r="AI315" s="1578"/>
      <c r="AJ315" s="1578"/>
      <c r="AK315" s="1578"/>
      <c r="AL315" s="1578"/>
      <c r="AM315" s="1578"/>
      <c r="AN315" s="1578"/>
      <c r="AO315" s="1578"/>
      <c r="AP315" s="1578"/>
      <c r="AQ315" s="1578"/>
      <c r="AR315" s="1578"/>
      <c r="AS315" s="1578"/>
      <c r="AT315" s="1578"/>
      <c r="AU315" s="1578"/>
      <c r="AV315" s="1578"/>
      <c r="AW315" s="1578"/>
      <c r="AX315" s="1578"/>
      <c r="AY315" s="1578"/>
      <c r="AZ315" s="1578"/>
      <c r="BA315" s="1578"/>
      <c r="BB315" s="1578"/>
      <c r="BC315" s="1578"/>
      <c r="BD315" s="1578"/>
      <c r="BE315" s="1578"/>
      <c r="BF315" s="1578"/>
      <c r="BG315" s="1578"/>
      <c r="BH315" s="1578"/>
      <c r="BI315" s="1578"/>
      <c r="BJ315" s="1578"/>
      <c r="BK315" s="1578"/>
      <c r="BL315" s="1578"/>
      <c r="BM315" s="1578"/>
      <c r="BN315" s="1578"/>
      <c r="BO315" s="1578"/>
      <c r="BP315" s="1578"/>
      <c r="BQ315" s="1578"/>
      <c r="BR315" s="1578"/>
      <c r="BS315" s="1578"/>
      <c r="BT315" s="1578"/>
      <c r="BU315" s="1578"/>
      <c r="BV315" s="1578"/>
      <c r="BW315" s="1578"/>
      <c r="BX315" s="1578"/>
      <c r="BY315" s="1578"/>
      <c r="BZ315" s="1578"/>
      <c r="CA315" s="1578"/>
      <c r="CB315" s="1578"/>
      <c r="CC315" s="1578"/>
      <c r="CD315" s="1578"/>
      <c r="CE315" s="1578"/>
      <c r="CF315" s="1578"/>
      <c r="CG315" s="1578"/>
      <c r="CH315" s="1578"/>
      <c r="CI315" s="1578"/>
      <c r="CJ315" s="1578"/>
      <c r="CK315" s="1578"/>
      <c r="CL315" s="1578"/>
      <c r="CM315" s="1578"/>
      <c r="CN315" s="1578"/>
      <c r="CO315" s="1578"/>
      <c r="CP315" s="1578"/>
      <c r="CQ315" s="1578"/>
      <c r="CR315" s="1578"/>
      <c r="CS315" s="1578"/>
      <c r="CT315" s="1578"/>
      <c r="CU315" s="1578"/>
      <c r="CV315" s="1578"/>
      <c r="CW315" s="1578"/>
      <c r="CX315" s="1578"/>
      <c r="CY315" s="1578"/>
      <c r="CZ315" s="1578"/>
    </row>
    <row r="316" spans="1:104">
      <c r="A316" s="1466"/>
      <c r="B316" s="1576"/>
      <c r="C316" s="1576"/>
      <c r="D316" s="1576"/>
      <c r="E316" s="1578"/>
      <c r="F316" s="1578"/>
      <c r="G316" s="1578"/>
      <c r="H316" s="1578"/>
      <c r="I316" s="1578"/>
      <c r="J316" s="1578"/>
      <c r="K316" s="1578"/>
      <c r="L316" s="1578"/>
      <c r="M316" s="1578"/>
      <c r="N316" s="1578"/>
      <c r="O316" s="1578"/>
      <c r="P316" s="1578"/>
      <c r="Q316" s="1578"/>
      <c r="R316" s="1578"/>
      <c r="S316" s="1578"/>
      <c r="T316" s="1578"/>
      <c r="U316" s="1578"/>
      <c r="V316" s="1578"/>
      <c r="W316" s="1578"/>
      <c r="X316" s="1578"/>
      <c r="Y316" s="1578"/>
      <c r="Z316" s="1578"/>
      <c r="AA316" s="1578"/>
      <c r="AB316" s="1578"/>
      <c r="AC316" s="1578"/>
      <c r="AD316" s="1578"/>
      <c r="AE316" s="1578"/>
      <c r="AF316" s="1578"/>
      <c r="AG316" s="1578"/>
      <c r="AH316" s="1578"/>
      <c r="AI316" s="1578"/>
      <c r="AJ316" s="1578"/>
      <c r="AK316" s="1578"/>
      <c r="AL316" s="1578"/>
      <c r="AM316" s="1578"/>
      <c r="AN316" s="1578"/>
      <c r="AO316" s="1578"/>
      <c r="AP316" s="1578"/>
      <c r="AQ316" s="1578"/>
      <c r="AR316" s="1578"/>
      <c r="AS316" s="1578"/>
      <c r="AT316" s="1578"/>
      <c r="AU316" s="1578"/>
      <c r="AV316" s="1578"/>
      <c r="AW316" s="1578"/>
      <c r="AX316" s="1578"/>
      <c r="AY316" s="1578"/>
      <c r="AZ316" s="1578"/>
      <c r="BA316" s="1578"/>
      <c r="BB316" s="1578"/>
      <c r="BC316" s="1578"/>
      <c r="BD316" s="1578"/>
      <c r="BE316" s="1578"/>
      <c r="BF316" s="1578"/>
      <c r="BG316" s="1578"/>
      <c r="BH316" s="1578"/>
      <c r="BI316" s="1578"/>
      <c r="BJ316" s="1578"/>
      <c r="BK316" s="1578"/>
      <c r="BL316" s="1578"/>
      <c r="BM316" s="1578"/>
      <c r="BN316" s="1578"/>
      <c r="BO316" s="1578"/>
      <c r="BP316" s="1578"/>
      <c r="BQ316" s="1578"/>
      <c r="BR316" s="1578"/>
      <c r="BS316" s="1578"/>
      <c r="BT316" s="1578"/>
      <c r="BU316" s="1578"/>
      <c r="BV316" s="1578"/>
      <c r="BW316" s="1578"/>
      <c r="BX316" s="1578"/>
      <c r="BY316" s="1578"/>
      <c r="BZ316" s="1578"/>
      <c r="CA316" s="1578"/>
      <c r="CB316" s="1578"/>
      <c r="CC316" s="1578"/>
      <c r="CD316" s="1578"/>
      <c r="CE316" s="1578"/>
      <c r="CF316" s="1578"/>
      <c r="CG316" s="1578"/>
      <c r="CH316" s="1578"/>
      <c r="CI316" s="1578"/>
      <c r="CJ316" s="1578"/>
      <c r="CK316" s="1578"/>
      <c r="CL316" s="1578"/>
      <c r="CM316" s="1578"/>
      <c r="CN316" s="1578"/>
      <c r="CO316" s="1578"/>
      <c r="CP316" s="1578"/>
      <c r="CQ316" s="1578"/>
      <c r="CR316" s="1578"/>
      <c r="CS316" s="1578"/>
      <c r="CT316" s="1578"/>
      <c r="CU316" s="1578"/>
      <c r="CV316" s="1578"/>
      <c r="CW316" s="1578"/>
      <c r="CX316" s="1578"/>
      <c r="CY316" s="1578"/>
      <c r="CZ316" s="1578"/>
    </row>
    <row r="317" spans="1:104">
      <c r="A317" s="1466"/>
      <c r="B317" s="1576"/>
      <c r="C317" s="1576"/>
      <c r="D317" s="1576"/>
      <c r="E317" s="1578"/>
      <c r="F317" s="1578"/>
      <c r="G317" s="1578"/>
      <c r="H317" s="1578"/>
      <c r="I317" s="1578"/>
      <c r="J317" s="1578"/>
      <c r="K317" s="1578"/>
      <c r="L317" s="1578"/>
      <c r="M317" s="1578"/>
      <c r="N317" s="1578"/>
      <c r="O317" s="1578"/>
      <c r="P317" s="1578"/>
      <c r="Q317" s="1578"/>
      <c r="R317" s="1578"/>
      <c r="S317" s="1578"/>
      <c r="T317" s="1578"/>
      <c r="U317" s="1578"/>
      <c r="V317" s="1578"/>
      <c r="W317" s="1578"/>
      <c r="X317" s="1578"/>
      <c r="Y317" s="1578"/>
      <c r="Z317" s="1578"/>
      <c r="AA317" s="1578"/>
      <c r="AB317" s="1578"/>
      <c r="AC317" s="1578"/>
      <c r="AD317" s="1578"/>
      <c r="AE317" s="1578"/>
      <c r="AF317" s="1578"/>
      <c r="AG317" s="1578"/>
      <c r="AH317" s="1578"/>
      <c r="AI317" s="1578"/>
      <c r="AJ317" s="1578"/>
      <c r="AK317" s="1578"/>
      <c r="AL317" s="1578"/>
      <c r="AM317" s="1578"/>
      <c r="AN317" s="1578"/>
      <c r="AO317" s="1578"/>
      <c r="AP317" s="1578"/>
      <c r="AQ317" s="1578"/>
      <c r="AR317" s="1578"/>
      <c r="AS317" s="1578"/>
      <c r="AT317" s="1578"/>
      <c r="AU317" s="1578"/>
      <c r="AV317" s="1578"/>
      <c r="AW317" s="1578"/>
      <c r="AX317" s="1578"/>
      <c r="AY317" s="1578"/>
      <c r="AZ317" s="1578"/>
      <c r="BA317" s="1578"/>
      <c r="BB317" s="1578"/>
      <c r="BC317" s="1578"/>
      <c r="BD317" s="1578"/>
      <c r="BE317" s="1578"/>
      <c r="BF317" s="1578"/>
      <c r="BG317" s="1578"/>
      <c r="BH317" s="1578"/>
      <c r="BI317" s="1578"/>
      <c r="BJ317" s="1578"/>
      <c r="BK317" s="1578"/>
      <c r="BL317" s="1578"/>
      <c r="BM317" s="1578"/>
      <c r="BN317" s="1578"/>
      <c r="BO317" s="1578"/>
      <c r="BP317" s="1578"/>
      <c r="BQ317" s="1578"/>
      <c r="BR317" s="1578"/>
      <c r="BS317" s="1578"/>
      <c r="BT317" s="1578"/>
      <c r="BU317" s="1578"/>
      <c r="BV317" s="1578"/>
      <c r="BW317" s="1578"/>
      <c r="BX317" s="1578"/>
      <c r="BY317" s="1578"/>
      <c r="BZ317" s="1578"/>
      <c r="CA317" s="1578"/>
      <c r="CB317" s="1578"/>
      <c r="CC317" s="1578"/>
      <c r="CD317" s="1578"/>
      <c r="CE317" s="1578"/>
      <c r="CF317" s="1578"/>
      <c r="CG317" s="1578"/>
      <c r="CH317" s="1578"/>
      <c r="CI317" s="1578"/>
      <c r="CJ317" s="1578"/>
      <c r="CK317" s="1578"/>
      <c r="CL317" s="1578"/>
      <c r="CM317" s="1578"/>
      <c r="CN317" s="1578"/>
      <c r="CO317" s="1578"/>
      <c r="CP317" s="1578"/>
      <c r="CQ317" s="1578"/>
      <c r="CR317" s="1578"/>
      <c r="CS317" s="1578"/>
      <c r="CT317" s="1578"/>
      <c r="CU317" s="1578"/>
      <c r="CV317" s="1578"/>
      <c r="CW317" s="1578"/>
      <c r="CX317" s="1578"/>
      <c r="CY317" s="1578"/>
      <c r="CZ317" s="1578"/>
    </row>
    <row r="318" spans="1:104">
      <c r="A318" s="1466"/>
      <c r="B318" s="1576"/>
      <c r="C318" s="1576"/>
      <c r="D318" s="1576"/>
      <c r="E318" s="1578"/>
      <c r="F318" s="1578"/>
      <c r="G318" s="1578"/>
      <c r="H318" s="1578"/>
      <c r="I318" s="1578"/>
      <c r="J318" s="1578"/>
      <c r="K318" s="1578"/>
      <c r="L318" s="1578"/>
      <c r="M318" s="1578"/>
      <c r="N318" s="1578"/>
      <c r="O318" s="1578"/>
      <c r="P318" s="1578"/>
      <c r="Q318" s="1578"/>
      <c r="R318" s="1578"/>
      <c r="S318" s="1578"/>
      <c r="T318" s="1578"/>
      <c r="U318" s="1578"/>
      <c r="V318" s="1578"/>
      <c r="W318" s="1578"/>
      <c r="X318" s="1578"/>
      <c r="Y318" s="1578"/>
      <c r="Z318" s="1578"/>
      <c r="AA318" s="1578"/>
      <c r="AB318" s="1578"/>
      <c r="AC318" s="1578"/>
      <c r="AD318" s="1578"/>
      <c r="AE318" s="1578"/>
      <c r="AF318" s="1578"/>
      <c r="AG318" s="1578"/>
      <c r="AH318" s="1578"/>
      <c r="AI318" s="1578"/>
      <c r="AJ318" s="1578"/>
      <c r="AK318" s="1578"/>
      <c r="AL318" s="1578"/>
      <c r="AM318" s="1578"/>
      <c r="AN318" s="1578"/>
      <c r="AO318" s="1578"/>
      <c r="AP318" s="1578"/>
      <c r="AQ318" s="1578"/>
      <c r="AR318" s="1578"/>
      <c r="AS318" s="1578"/>
      <c r="AT318" s="1578"/>
      <c r="AU318" s="1578"/>
      <c r="AV318" s="1578"/>
      <c r="AW318" s="1578"/>
      <c r="AX318" s="1578"/>
      <c r="AY318" s="1578"/>
      <c r="AZ318" s="1578"/>
      <c r="BA318" s="1578"/>
      <c r="BB318" s="1578"/>
      <c r="BC318" s="1578"/>
      <c r="BD318" s="1578"/>
      <c r="BE318" s="1578"/>
      <c r="BF318" s="1578"/>
      <c r="BG318" s="1578"/>
      <c r="BH318" s="1578"/>
      <c r="BI318" s="1578"/>
      <c r="BJ318" s="1578"/>
      <c r="BK318" s="1578"/>
      <c r="BL318" s="1578"/>
      <c r="BM318" s="1578"/>
      <c r="BN318" s="1578"/>
      <c r="BO318" s="1578"/>
      <c r="BP318" s="1578"/>
      <c r="BQ318" s="1578"/>
      <c r="BR318" s="1578"/>
      <c r="BS318" s="1578"/>
      <c r="BT318" s="1578"/>
      <c r="BU318" s="1578"/>
      <c r="BV318" s="1578"/>
      <c r="BW318" s="1578"/>
      <c r="BX318" s="1578"/>
      <c r="BY318" s="1578"/>
      <c r="BZ318" s="1578"/>
      <c r="CA318" s="1578"/>
      <c r="CB318" s="1578"/>
      <c r="CC318" s="1578"/>
      <c r="CD318" s="1578"/>
      <c r="CE318" s="1578"/>
      <c r="CF318" s="1578"/>
      <c r="CG318" s="1578"/>
      <c r="CH318" s="1578"/>
      <c r="CI318" s="1578"/>
      <c r="CJ318" s="1578"/>
      <c r="CK318" s="1578"/>
      <c r="CL318" s="1578"/>
      <c r="CM318" s="1578"/>
      <c r="CN318" s="1578"/>
      <c r="CO318" s="1578"/>
      <c r="CP318" s="1578"/>
      <c r="CQ318" s="1578"/>
      <c r="CR318" s="1578"/>
      <c r="CS318" s="1578"/>
      <c r="CT318" s="1578"/>
      <c r="CU318" s="1578"/>
      <c r="CV318" s="1578"/>
      <c r="CW318" s="1578"/>
      <c r="CX318" s="1578"/>
      <c r="CY318" s="1578"/>
      <c r="CZ318" s="1578"/>
    </row>
    <row r="319" spans="1:104">
      <c r="A319" s="1466"/>
      <c r="B319" s="1576"/>
      <c r="C319" s="1576"/>
      <c r="D319" s="1576"/>
      <c r="E319" s="1578"/>
      <c r="F319" s="1578"/>
      <c r="G319" s="1578"/>
      <c r="H319" s="1578"/>
      <c r="I319" s="1578"/>
      <c r="J319" s="1578"/>
      <c r="K319" s="1578"/>
      <c r="L319" s="1578"/>
      <c r="M319" s="1578"/>
      <c r="N319" s="1578"/>
      <c r="O319" s="1578"/>
      <c r="P319" s="1578"/>
      <c r="Q319" s="1578"/>
      <c r="R319" s="1578"/>
      <c r="S319" s="1578"/>
      <c r="T319" s="1578"/>
      <c r="U319" s="1578"/>
      <c r="V319" s="1578"/>
      <c r="W319" s="1578"/>
      <c r="X319" s="1578"/>
      <c r="Y319" s="1578"/>
      <c r="Z319" s="1578"/>
      <c r="AA319" s="1578"/>
      <c r="AB319" s="1578"/>
      <c r="AC319" s="1578"/>
      <c r="AD319" s="1578"/>
      <c r="AE319" s="1578"/>
      <c r="AF319" s="1578"/>
      <c r="AG319" s="1578"/>
      <c r="AH319" s="1578"/>
      <c r="AI319" s="1578"/>
      <c r="AJ319" s="1578"/>
      <c r="AK319" s="1578"/>
      <c r="AL319" s="1578"/>
      <c r="AM319" s="1578"/>
      <c r="AN319" s="1578"/>
      <c r="AO319" s="1578"/>
      <c r="AP319" s="1578"/>
      <c r="AQ319" s="1578"/>
      <c r="AR319" s="1578"/>
      <c r="AS319" s="1578"/>
      <c r="AT319" s="1578"/>
      <c r="AU319" s="1578"/>
      <c r="AV319" s="1578"/>
      <c r="AW319" s="1578"/>
      <c r="AX319" s="1578"/>
      <c r="AY319" s="1578"/>
      <c r="AZ319" s="1578"/>
      <c r="BA319" s="1578"/>
      <c r="BB319" s="1578"/>
      <c r="BC319" s="1578"/>
      <c r="BD319" s="1578"/>
      <c r="BE319" s="1578"/>
      <c r="BF319" s="1578"/>
      <c r="BG319" s="1578"/>
      <c r="BH319" s="1578"/>
      <c r="BI319" s="1578"/>
      <c r="BJ319" s="1578"/>
      <c r="BK319" s="1578"/>
      <c r="BL319" s="1578"/>
      <c r="BM319" s="1578"/>
      <c r="BN319" s="1578"/>
      <c r="BO319" s="1578"/>
      <c r="BP319" s="1578"/>
      <c r="BQ319" s="1578"/>
      <c r="BR319" s="1578"/>
      <c r="BS319" s="1578"/>
      <c r="BT319" s="1578"/>
      <c r="BU319" s="1578"/>
      <c r="BV319" s="1578"/>
      <c r="BW319" s="1578"/>
      <c r="BX319" s="1578"/>
      <c r="BY319" s="1578"/>
      <c r="BZ319" s="1578"/>
      <c r="CA319" s="1578"/>
      <c r="CB319" s="1578"/>
      <c r="CC319" s="1578"/>
      <c r="CD319" s="1578"/>
      <c r="CE319" s="1578"/>
      <c r="CF319" s="1578"/>
      <c r="CG319" s="1578"/>
      <c r="CH319" s="1578"/>
      <c r="CI319" s="1578"/>
      <c r="CJ319" s="1578"/>
      <c r="CK319" s="1578"/>
      <c r="CL319" s="1578"/>
      <c r="CM319" s="1578"/>
      <c r="CN319" s="1578"/>
      <c r="CO319" s="1578"/>
      <c r="CP319" s="1578"/>
      <c r="CQ319" s="1578"/>
      <c r="CR319" s="1578"/>
      <c r="CS319" s="1578"/>
      <c r="CT319" s="1578"/>
      <c r="CU319" s="1578"/>
      <c r="CV319" s="1578"/>
      <c r="CW319" s="1578"/>
      <c r="CX319" s="1578"/>
      <c r="CY319" s="1578"/>
      <c r="CZ319" s="1578"/>
    </row>
    <row r="320" spans="1:104">
      <c r="A320" s="1466"/>
      <c r="B320" s="1576"/>
      <c r="C320" s="1576"/>
      <c r="D320" s="1576"/>
      <c r="E320" s="1578"/>
      <c r="F320" s="1578"/>
      <c r="G320" s="1578"/>
      <c r="H320" s="1578"/>
      <c r="I320" s="1578"/>
      <c r="J320" s="1578"/>
      <c r="K320" s="1578"/>
      <c r="L320" s="1578"/>
      <c r="M320" s="1578"/>
      <c r="N320" s="1578"/>
      <c r="O320" s="1578"/>
      <c r="P320" s="1578"/>
      <c r="Q320" s="1578"/>
      <c r="R320" s="1578"/>
      <c r="S320" s="1578"/>
      <c r="T320" s="1578"/>
      <c r="U320" s="1578"/>
      <c r="V320" s="1578"/>
      <c r="W320" s="1578"/>
      <c r="X320" s="1578"/>
      <c r="Y320" s="1578"/>
      <c r="Z320" s="1578"/>
      <c r="AA320" s="1578"/>
      <c r="AB320" s="1578"/>
      <c r="AC320" s="1578"/>
      <c r="AD320" s="1578"/>
      <c r="AE320" s="1578"/>
      <c r="AF320" s="1578"/>
      <c r="AG320" s="1578"/>
      <c r="AH320" s="1578"/>
      <c r="AI320" s="1578"/>
      <c r="AJ320" s="1578"/>
      <c r="AK320" s="1578"/>
      <c r="AL320" s="1578"/>
      <c r="AM320" s="1578"/>
      <c r="AN320" s="1578"/>
      <c r="AO320" s="1578"/>
      <c r="AP320" s="1578"/>
      <c r="AQ320" s="1578"/>
      <c r="AR320" s="1578"/>
      <c r="AS320" s="1578"/>
      <c r="AT320" s="1578"/>
      <c r="AU320" s="1578"/>
      <c r="AV320" s="1578"/>
      <c r="AW320" s="1578"/>
      <c r="AX320" s="1578"/>
      <c r="AY320" s="1578"/>
      <c r="AZ320" s="1578"/>
      <c r="BA320" s="1578"/>
      <c r="BB320" s="1578"/>
      <c r="BC320" s="1578"/>
      <c r="BD320" s="1578"/>
      <c r="BE320" s="1578"/>
      <c r="BF320" s="1578"/>
      <c r="BG320" s="1578"/>
      <c r="BH320" s="1578"/>
      <c r="BI320" s="1578"/>
      <c r="BJ320" s="1578"/>
      <c r="BK320" s="1578"/>
      <c r="BL320" s="1578"/>
      <c r="BM320" s="1578"/>
      <c r="BN320" s="1578"/>
      <c r="BO320" s="1578"/>
      <c r="BP320" s="1578"/>
      <c r="BQ320" s="1578"/>
      <c r="BR320" s="1578"/>
      <c r="BS320" s="1578"/>
      <c r="BT320" s="1578"/>
      <c r="BU320" s="1578"/>
      <c r="BV320" s="1578"/>
      <c r="BW320" s="1578"/>
      <c r="BX320" s="1578"/>
      <c r="BY320" s="1578"/>
      <c r="BZ320" s="1578"/>
      <c r="CA320" s="1578"/>
      <c r="CB320" s="1578"/>
      <c r="CC320" s="1578"/>
      <c r="CD320" s="1578"/>
      <c r="CE320" s="1578"/>
      <c r="CF320" s="1578"/>
      <c r="CG320" s="1578"/>
      <c r="CH320" s="1578"/>
      <c r="CI320" s="1578"/>
      <c r="CJ320" s="1578"/>
      <c r="CK320" s="1578"/>
      <c r="CL320" s="1578"/>
      <c r="CM320" s="1578"/>
      <c r="CN320" s="1578"/>
      <c r="CO320" s="1578"/>
      <c r="CP320" s="1578"/>
      <c r="CQ320" s="1578"/>
      <c r="CR320" s="1578"/>
      <c r="CS320" s="1578"/>
      <c r="CT320" s="1578"/>
      <c r="CU320" s="1578"/>
      <c r="CV320" s="1578"/>
      <c r="CW320" s="1578"/>
      <c r="CX320" s="1578"/>
      <c r="CY320" s="1578"/>
      <c r="CZ320" s="1578"/>
    </row>
    <row r="321" spans="1:104">
      <c r="A321" s="1466"/>
      <c r="B321" s="1576"/>
      <c r="C321" s="1576"/>
      <c r="D321" s="1576"/>
      <c r="E321" s="1578"/>
      <c r="F321" s="1578"/>
      <c r="G321" s="1578"/>
      <c r="H321" s="1578"/>
      <c r="I321" s="1578"/>
      <c r="J321" s="1578"/>
      <c r="K321" s="1578"/>
      <c r="L321" s="1578"/>
      <c r="M321" s="1578"/>
      <c r="N321" s="1578"/>
      <c r="O321" s="1578"/>
      <c r="P321" s="1578"/>
      <c r="Q321" s="1578"/>
      <c r="R321" s="1578"/>
      <c r="S321" s="1578"/>
      <c r="T321" s="1578"/>
      <c r="U321" s="1578"/>
      <c r="V321" s="1578"/>
      <c r="W321" s="1578"/>
      <c r="X321" s="1578"/>
      <c r="Y321" s="1578"/>
      <c r="Z321" s="1578"/>
      <c r="AA321" s="1578"/>
      <c r="AB321" s="1578"/>
      <c r="AC321" s="1578"/>
      <c r="AD321" s="1578"/>
      <c r="AE321" s="1578"/>
      <c r="AF321" s="1578"/>
      <c r="AG321" s="1578"/>
      <c r="AH321" s="1578"/>
      <c r="AI321" s="1578"/>
      <c r="AJ321" s="1578"/>
      <c r="AK321" s="1578"/>
      <c r="AL321" s="1578"/>
      <c r="AM321" s="1578"/>
      <c r="AN321" s="1578"/>
      <c r="AO321" s="1578"/>
      <c r="AP321" s="1578"/>
      <c r="AQ321" s="1578"/>
      <c r="AR321" s="1578"/>
      <c r="AS321" s="1578"/>
      <c r="AT321" s="1578"/>
      <c r="AU321" s="1578"/>
      <c r="AV321" s="1578"/>
      <c r="AW321" s="1578"/>
      <c r="AX321" s="1578"/>
      <c r="AY321" s="1578"/>
      <c r="AZ321" s="1578"/>
      <c r="BA321" s="1578"/>
      <c r="BB321" s="1578"/>
      <c r="BC321" s="1578"/>
      <c r="BD321" s="1578"/>
      <c r="BE321" s="1578"/>
      <c r="BF321" s="1578"/>
      <c r="BG321" s="1578"/>
      <c r="BH321" s="1578"/>
      <c r="BI321" s="1578"/>
      <c r="BJ321" s="1578"/>
      <c r="BK321" s="1578"/>
      <c r="BL321" s="1578"/>
      <c r="BM321" s="1578"/>
      <c r="BN321" s="1578"/>
      <c r="BO321" s="1578"/>
      <c r="BP321" s="1578"/>
      <c r="BQ321" s="1578"/>
      <c r="BR321" s="1578"/>
      <c r="BS321" s="1578"/>
      <c r="BT321" s="1578"/>
      <c r="BU321" s="1578"/>
      <c r="BV321" s="1578"/>
      <c r="BW321" s="1578"/>
      <c r="BX321" s="1578"/>
      <c r="BY321" s="1578"/>
      <c r="BZ321" s="1578"/>
      <c r="CA321" s="1578"/>
      <c r="CB321" s="1578"/>
      <c r="CC321" s="1578"/>
      <c r="CD321" s="1578"/>
      <c r="CE321" s="1578"/>
      <c r="CF321" s="1578"/>
      <c r="CG321" s="1578"/>
      <c r="CH321" s="1578"/>
      <c r="CI321" s="1578"/>
      <c r="CJ321" s="1578"/>
      <c r="CK321" s="1578"/>
      <c r="CL321" s="1578"/>
      <c r="CM321" s="1578"/>
      <c r="CN321" s="1578"/>
      <c r="CO321" s="1578"/>
      <c r="CP321" s="1578"/>
      <c r="CQ321" s="1578"/>
      <c r="CR321" s="1578"/>
      <c r="CS321" s="1578"/>
      <c r="CT321" s="1578"/>
      <c r="CU321" s="1578"/>
      <c r="CV321" s="1578"/>
      <c r="CW321" s="1578"/>
      <c r="CX321" s="1578"/>
      <c r="CY321" s="1578"/>
      <c r="CZ321" s="1578"/>
    </row>
    <row r="322" spans="1:104">
      <c r="A322" s="1466"/>
      <c r="B322" s="1576"/>
      <c r="C322" s="1576"/>
      <c r="D322" s="1576"/>
      <c r="E322" s="1578"/>
      <c r="F322" s="1578"/>
      <c r="G322" s="1578"/>
      <c r="H322" s="1578"/>
      <c r="I322" s="1578"/>
      <c r="J322" s="1578"/>
      <c r="K322" s="1578"/>
      <c r="L322" s="1578"/>
      <c r="M322" s="1578"/>
      <c r="N322" s="1578"/>
      <c r="O322" s="1578"/>
      <c r="P322" s="1578"/>
      <c r="Q322" s="1578"/>
      <c r="R322" s="1578"/>
      <c r="S322" s="1578"/>
      <c r="T322" s="1578"/>
      <c r="U322" s="1578"/>
      <c r="V322" s="1578"/>
      <c r="W322" s="1578"/>
      <c r="X322" s="1578"/>
      <c r="Y322" s="1578"/>
      <c r="Z322" s="1578"/>
      <c r="AA322" s="1578"/>
      <c r="AB322" s="1578"/>
      <c r="AC322" s="1578"/>
      <c r="AD322" s="1578"/>
      <c r="AE322" s="1578"/>
      <c r="AF322" s="1578"/>
      <c r="AG322" s="1578"/>
      <c r="AH322" s="1578"/>
      <c r="AI322" s="1578"/>
      <c r="AJ322" s="1578"/>
      <c r="AK322" s="1578"/>
      <c r="AL322" s="1578"/>
      <c r="AM322" s="1578"/>
      <c r="AN322" s="1578"/>
      <c r="AO322" s="1578"/>
      <c r="AP322" s="1578"/>
      <c r="AQ322" s="1578"/>
      <c r="AR322" s="1578"/>
      <c r="AS322" s="1578"/>
      <c r="AT322" s="1578"/>
      <c r="AU322" s="1578"/>
      <c r="AV322" s="1578"/>
      <c r="AW322" s="1578"/>
      <c r="AX322" s="1578"/>
      <c r="AY322" s="1578"/>
      <c r="AZ322" s="1578"/>
      <c r="BA322" s="1578"/>
      <c r="BB322" s="1578"/>
      <c r="BC322" s="1578"/>
      <c r="BD322" s="1578"/>
      <c r="BE322" s="1578"/>
      <c r="BF322" s="1578"/>
      <c r="BG322" s="1578"/>
      <c r="BH322" s="1578"/>
      <c r="BI322" s="1578"/>
      <c r="BJ322" s="1578"/>
      <c r="BK322" s="1578"/>
      <c r="BL322" s="1578"/>
      <c r="BM322" s="1578"/>
      <c r="BN322" s="1578"/>
      <c r="BO322" s="1578"/>
      <c r="BP322" s="1578"/>
      <c r="BQ322" s="1578"/>
      <c r="BR322" s="1578"/>
      <c r="BS322" s="1578"/>
      <c r="BT322" s="1578"/>
      <c r="BU322" s="1578"/>
      <c r="BV322" s="1578"/>
      <c r="BW322" s="1578"/>
      <c r="BX322" s="1578"/>
      <c r="BY322" s="1578"/>
      <c r="BZ322" s="1578"/>
      <c r="CA322" s="1578"/>
      <c r="CB322" s="1578"/>
      <c r="CC322" s="1578"/>
      <c r="CD322" s="1578"/>
      <c r="CE322" s="1578"/>
      <c r="CF322" s="1578"/>
      <c r="CG322" s="1578"/>
      <c r="CH322" s="1578"/>
      <c r="CI322" s="1578"/>
      <c r="CJ322" s="1578"/>
      <c r="CK322" s="1578"/>
      <c r="CL322" s="1578"/>
      <c r="CM322" s="1578"/>
      <c r="CN322" s="1578"/>
      <c r="CO322" s="1578"/>
      <c r="CP322" s="1578"/>
      <c r="CQ322" s="1578"/>
      <c r="CR322" s="1578"/>
      <c r="CS322" s="1578"/>
      <c r="CT322" s="1578"/>
      <c r="CU322" s="1578"/>
      <c r="CV322" s="1578"/>
      <c r="CW322" s="1578"/>
      <c r="CX322" s="1578"/>
      <c r="CY322" s="1578"/>
      <c r="CZ322" s="1578"/>
    </row>
    <row r="323" spans="1:104">
      <c r="A323" s="1466"/>
      <c r="B323" s="1576"/>
      <c r="C323" s="1576"/>
      <c r="D323" s="1576"/>
      <c r="E323" s="1578"/>
      <c r="F323" s="1578"/>
      <c r="G323" s="1578"/>
      <c r="H323" s="1578"/>
      <c r="I323" s="1578"/>
      <c r="J323" s="1578"/>
      <c r="K323" s="1578"/>
      <c r="L323" s="1578"/>
      <c r="M323" s="1578"/>
      <c r="N323" s="1578"/>
      <c r="O323" s="1578"/>
      <c r="P323" s="1578"/>
      <c r="Q323" s="1578"/>
      <c r="R323" s="1578"/>
      <c r="S323" s="1578"/>
      <c r="T323" s="1578"/>
      <c r="U323" s="1578"/>
      <c r="V323" s="1578"/>
      <c r="W323" s="1578"/>
      <c r="X323" s="1578"/>
      <c r="Y323" s="1578"/>
      <c r="Z323" s="1578"/>
      <c r="AA323" s="1578"/>
      <c r="AB323" s="1578"/>
      <c r="AC323" s="1578"/>
      <c r="AD323" s="1578"/>
      <c r="AE323" s="1578"/>
      <c r="AF323" s="1578"/>
      <c r="AG323" s="1578"/>
      <c r="AH323" s="1578"/>
      <c r="AI323" s="1578"/>
      <c r="AJ323" s="1578"/>
      <c r="AK323" s="1578"/>
      <c r="AL323" s="1578"/>
      <c r="AM323" s="1578"/>
      <c r="AN323" s="1578"/>
      <c r="AO323" s="1578"/>
      <c r="AP323" s="1578"/>
      <c r="AQ323" s="1578"/>
      <c r="AR323" s="1578"/>
      <c r="AS323" s="1578"/>
      <c r="AT323" s="1578"/>
      <c r="AU323" s="1578"/>
      <c r="AV323" s="1578"/>
      <c r="AW323" s="1578"/>
      <c r="AX323" s="1578"/>
      <c r="AY323" s="1578"/>
      <c r="AZ323" s="1578"/>
      <c r="BA323" s="1578"/>
      <c r="BB323" s="1578"/>
      <c r="BC323" s="1578"/>
      <c r="BD323" s="1578"/>
      <c r="BE323" s="1578"/>
      <c r="BF323" s="1578"/>
      <c r="BG323" s="1578"/>
      <c r="BH323" s="1578"/>
      <c r="BI323" s="1578"/>
      <c r="BJ323" s="1578"/>
      <c r="BK323" s="1578"/>
      <c r="BL323" s="1578"/>
      <c r="BM323" s="1578"/>
      <c r="BN323" s="1578"/>
      <c r="BO323" s="1578"/>
      <c r="BP323" s="1578"/>
      <c r="BQ323" s="1578"/>
      <c r="BR323" s="1578"/>
      <c r="BS323" s="1578"/>
      <c r="BT323" s="1578"/>
      <c r="BU323" s="1578"/>
      <c r="BV323" s="1578"/>
      <c r="BW323" s="1578"/>
      <c r="BX323" s="1578"/>
      <c r="BY323" s="1578"/>
      <c r="BZ323" s="1578"/>
      <c r="CA323" s="1578"/>
      <c r="CB323" s="1578"/>
      <c r="CC323" s="1578"/>
      <c r="CD323" s="1578"/>
      <c r="CE323" s="1578"/>
      <c r="CF323" s="1578"/>
      <c r="CG323" s="1578"/>
      <c r="CH323" s="1578"/>
      <c r="CI323" s="1578"/>
      <c r="CJ323" s="1578"/>
      <c r="CK323" s="1578"/>
      <c r="CL323" s="1578"/>
      <c r="CM323" s="1578"/>
      <c r="CN323" s="1578"/>
      <c r="CO323" s="1578"/>
      <c r="CP323" s="1578"/>
      <c r="CQ323" s="1578"/>
      <c r="CR323" s="1578"/>
      <c r="CS323" s="1578"/>
      <c r="CT323" s="1578"/>
      <c r="CU323" s="1578"/>
      <c r="CV323" s="1578"/>
      <c r="CW323" s="1578"/>
      <c r="CX323" s="1578"/>
      <c r="CY323" s="1578"/>
      <c r="CZ323" s="1578"/>
    </row>
    <row r="324" spans="1:104">
      <c r="A324" s="1466"/>
      <c r="B324" s="1576"/>
      <c r="C324" s="1576"/>
      <c r="D324" s="1576"/>
      <c r="E324" s="1578"/>
      <c r="F324" s="1578"/>
      <c r="G324" s="1578"/>
      <c r="H324" s="1578"/>
      <c r="I324" s="1578"/>
      <c r="J324" s="1578"/>
      <c r="K324" s="1578"/>
      <c r="L324" s="1578"/>
      <c r="M324" s="1578"/>
      <c r="N324" s="1578"/>
      <c r="O324" s="1578"/>
      <c r="P324" s="1578"/>
      <c r="Q324" s="1578"/>
      <c r="R324" s="1578"/>
      <c r="S324" s="1578"/>
      <c r="T324" s="1578"/>
      <c r="U324" s="1578"/>
      <c r="V324" s="1578"/>
      <c r="W324" s="1578"/>
      <c r="X324" s="1578"/>
      <c r="Y324" s="1578"/>
      <c r="Z324" s="1578"/>
      <c r="AA324" s="1578"/>
      <c r="AB324" s="1578"/>
      <c r="AC324" s="1578"/>
      <c r="AD324" s="1578"/>
      <c r="AE324" s="1578"/>
      <c r="AF324" s="1578"/>
      <c r="AG324" s="1578"/>
      <c r="AH324" s="1578"/>
      <c r="AI324" s="1578"/>
      <c r="AJ324" s="1578"/>
      <c r="AK324" s="1578"/>
      <c r="AL324" s="1578"/>
      <c r="AM324" s="1578"/>
      <c r="AN324" s="1578"/>
      <c r="AO324" s="1578"/>
      <c r="AP324" s="1578"/>
      <c r="AQ324" s="1578"/>
      <c r="AR324" s="1578"/>
      <c r="AS324" s="1578"/>
      <c r="AT324" s="1578"/>
      <c r="AU324" s="1578"/>
      <c r="AV324" s="1578"/>
      <c r="AW324" s="1578"/>
      <c r="AX324" s="1578"/>
      <c r="AY324" s="1578"/>
      <c r="AZ324" s="1578"/>
      <c r="BA324" s="1578"/>
      <c r="BB324" s="1578"/>
      <c r="BC324" s="1578"/>
      <c r="BD324" s="1578"/>
      <c r="BE324" s="1578"/>
      <c r="BF324" s="1578"/>
      <c r="BG324" s="1578"/>
      <c r="BH324" s="1578"/>
      <c r="BI324" s="1578"/>
      <c r="BJ324" s="1578"/>
      <c r="BK324" s="1578"/>
      <c r="BL324" s="1578"/>
      <c r="BM324" s="1578"/>
      <c r="BN324" s="1578"/>
      <c r="BO324" s="1578"/>
      <c r="BP324" s="1578"/>
      <c r="BQ324" s="1578"/>
      <c r="BR324" s="1578"/>
      <c r="BS324" s="1578"/>
      <c r="BT324" s="1578"/>
      <c r="BU324" s="1578"/>
      <c r="BV324" s="1578"/>
      <c r="BW324" s="1578"/>
      <c r="BX324" s="1578"/>
      <c r="BY324" s="1578"/>
      <c r="BZ324" s="1578"/>
      <c r="CA324" s="1578"/>
      <c r="CB324" s="1578"/>
      <c r="CC324" s="1578"/>
      <c r="CD324" s="1578"/>
      <c r="CE324" s="1578"/>
      <c r="CF324" s="1578"/>
      <c r="CG324" s="1578"/>
      <c r="CH324" s="1578"/>
      <c r="CI324" s="1578"/>
      <c r="CJ324" s="1578"/>
      <c r="CK324" s="1578"/>
      <c r="CL324" s="1578"/>
      <c r="CM324" s="1578"/>
      <c r="CN324" s="1578"/>
      <c r="CO324" s="1578"/>
      <c r="CP324" s="1578"/>
      <c r="CQ324" s="1578"/>
      <c r="CR324" s="1578"/>
      <c r="CS324" s="1578"/>
      <c r="CT324" s="1578"/>
      <c r="CU324" s="1578"/>
      <c r="CV324" s="1578"/>
      <c r="CW324" s="1578"/>
      <c r="CX324" s="1578"/>
      <c r="CY324" s="1578"/>
      <c r="CZ324" s="1578"/>
    </row>
    <row r="325" spans="1:104">
      <c r="A325" s="1466"/>
      <c r="B325" s="1576"/>
      <c r="C325" s="1576"/>
      <c r="D325" s="1576"/>
      <c r="E325" s="1578"/>
      <c r="F325" s="1578"/>
      <c r="G325" s="1578"/>
      <c r="H325" s="1578"/>
      <c r="I325" s="1578"/>
      <c r="J325" s="1578"/>
      <c r="K325" s="1578"/>
      <c r="L325" s="1578"/>
      <c r="M325" s="1578"/>
      <c r="N325" s="1578"/>
      <c r="O325" s="1578"/>
      <c r="P325" s="1578"/>
      <c r="Q325" s="1578"/>
      <c r="R325" s="1578"/>
      <c r="S325" s="1578"/>
      <c r="T325" s="1578"/>
      <c r="U325" s="1578"/>
      <c r="V325" s="1578"/>
      <c r="W325" s="1578"/>
      <c r="X325" s="1578"/>
      <c r="Y325" s="1578"/>
      <c r="Z325" s="1578"/>
      <c r="AA325" s="1578"/>
      <c r="AB325" s="1578"/>
      <c r="AC325" s="1578"/>
      <c r="AD325" s="1578"/>
      <c r="AE325" s="1578"/>
      <c r="AF325" s="1578"/>
      <c r="AG325" s="1578"/>
      <c r="AH325" s="1578"/>
      <c r="AI325" s="1578"/>
      <c r="AJ325" s="1578"/>
      <c r="AK325" s="1578"/>
      <c r="AL325" s="1578"/>
      <c r="AM325" s="1578"/>
      <c r="AN325" s="1578"/>
      <c r="AO325" s="1578"/>
      <c r="AP325" s="1578"/>
      <c r="AQ325" s="1578"/>
      <c r="AR325" s="1578"/>
      <c r="AS325" s="1578"/>
      <c r="AT325" s="1578"/>
      <c r="AU325" s="1578"/>
      <c r="AV325" s="1578"/>
      <c r="AW325" s="1578"/>
      <c r="AX325" s="1578"/>
      <c r="AY325" s="1578"/>
      <c r="AZ325" s="1578"/>
      <c r="BA325" s="1578"/>
      <c r="BB325" s="1578"/>
      <c r="BC325" s="1578"/>
      <c r="BD325" s="1578"/>
      <c r="BE325" s="1578"/>
      <c r="BF325" s="1578"/>
      <c r="BG325" s="1578"/>
      <c r="BH325" s="1578"/>
      <c r="BI325" s="1578"/>
      <c r="BJ325" s="1578"/>
      <c r="BK325" s="1578"/>
      <c r="BL325" s="1578"/>
      <c r="BM325" s="1578"/>
      <c r="BN325" s="1578"/>
      <c r="BO325" s="1578"/>
      <c r="BP325" s="1578"/>
      <c r="BQ325" s="1578"/>
      <c r="BR325" s="1578"/>
      <c r="BS325" s="1578"/>
      <c r="BT325" s="1578"/>
      <c r="BU325" s="1578"/>
      <c r="BV325" s="1578"/>
      <c r="BW325" s="1578"/>
      <c r="BX325" s="1578"/>
      <c r="BY325" s="1578"/>
      <c r="BZ325" s="1578"/>
      <c r="CA325" s="1578"/>
      <c r="CB325" s="1578"/>
      <c r="CC325" s="1578"/>
      <c r="CD325" s="1578"/>
      <c r="CE325" s="1578"/>
      <c r="CF325" s="1578"/>
      <c r="CG325" s="1578"/>
      <c r="CH325" s="1578"/>
      <c r="CI325" s="1578"/>
      <c r="CJ325" s="1578"/>
      <c r="CK325" s="1578"/>
      <c r="CL325" s="1578"/>
      <c r="CM325" s="1578"/>
      <c r="CN325" s="1578"/>
      <c r="CO325" s="1578"/>
      <c r="CP325" s="1578"/>
      <c r="CQ325" s="1578"/>
      <c r="CR325" s="1578"/>
      <c r="CS325" s="1578"/>
      <c r="CT325" s="1578"/>
      <c r="CU325" s="1578"/>
      <c r="CV325" s="1578"/>
      <c r="CW325" s="1578"/>
      <c r="CX325" s="1578"/>
      <c r="CY325" s="1578"/>
      <c r="CZ325" s="1578"/>
    </row>
    <row r="326" spans="1:104">
      <c r="A326" s="1466"/>
      <c r="B326" s="1576"/>
      <c r="C326" s="1576"/>
      <c r="D326" s="1576"/>
      <c r="E326" s="1578"/>
      <c r="F326" s="1578"/>
      <c r="G326" s="1578"/>
      <c r="H326" s="1578"/>
      <c r="I326" s="1578"/>
      <c r="J326" s="1578"/>
      <c r="K326" s="1578"/>
      <c r="L326" s="1578"/>
      <c r="M326" s="1578"/>
      <c r="N326" s="1578"/>
      <c r="O326" s="1578"/>
      <c r="P326" s="1578"/>
      <c r="Q326" s="1578"/>
      <c r="R326" s="1578"/>
      <c r="S326" s="1578"/>
      <c r="T326" s="1578"/>
      <c r="U326" s="1578"/>
      <c r="V326" s="1578"/>
      <c r="W326" s="1578"/>
      <c r="X326" s="1578"/>
      <c r="Y326" s="1578"/>
      <c r="Z326" s="1578"/>
      <c r="AA326" s="1578"/>
      <c r="AB326" s="1578"/>
      <c r="AC326" s="1578"/>
      <c r="AD326" s="1578"/>
      <c r="AE326" s="1578"/>
      <c r="AF326" s="1578"/>
      <c r="AG326" s="1578"/>
      <c r="AH326" s="1578"/>
      <c r="AI326" s="1578"/>
      <c r="AJ326" s="1578"/>
      <c r="AK326" s="1578"/>
      <c r="AL326" s="1578"/>
      <c r="AM326" s="1578"/>
      <c r="AN326" s="1578"/>
      <c r="AO326" s="1578"/>
      <c r="AP326" s="1578"/>
      <c r="AQ326" s="1578"/>
      <c r="AR326" s="1578"/>
      <c r="AS326" s="1578"/>
      <c r="AT326" s="1578"/>
      <c r="AU326" s="1578"/>
      <c r="AV326" s="1578"/>
      <c r="AW326" s="1578"/>
      <c r="AX326" s="1578"/>
      <c r="AY326" s="1578"/>
      <c r="AZ326" s="1578"/>
      <c r="BA326" s="1578"/>
      <c r="BB326" s="1578"/>
      <c r="BC326" s="1578"/>
      <c r="BD326" s="1578"/>
      <c r="BE326" s="1578"/>
      <c r="BF326" s="1578"/>
      <c r="BG326" s="1578"/>
      <c r="BH326" s="1578"/>
      <c r="BI326" s="1578"/>
      <c r="BJ326" s="1578"/>
      <c r="BK326" s="1578"/>
      <c r="BL326" s="1578"/>
      <c r="BM326" s="1578"/>
      <c r="BN326" s="1578"/>
      <c r="BO326" s="1578"/>
      <c r="BP326" s="1578"/>
      <c r="BQ326" s="1578"/>
      <c r="BR326" s="1578"/>
      <c r="BS326" s="1578"/>
      <c r="BT326" s="1578"/>
      <c r="BU326" s="1578"/>
      <c r="BV326" s="1578"/>
      <c r="BW326" s="1578"/>
      <c r="BX326" s="1578"/>
      <c r="BY326" s="1578"/>
      <c r="BZ326" s="1578"/>
      <c r="CA326" s="1578"/>
      <c r="CB326" s="1578"/>
      <c r="CC326" s="1578"/>
      <c r="CD326" s="1578"/>
      <c r="CE326" s="1578"/>
      <c r="CF326" s="1578"/>
      <c r="CG326" s="1578"/>
      <c r="CH326" s="1578"/>
      <c r="CI326" s="1578"/>
      <c r="CJ326" s="1578"/>
      <c r="CK326" s="1578"/>
      <c r="CL326" s="1578"/>
      <c r="CM326" s="1578"/>
      <c r="CN326" s="1578"/>
      <c r="CO326" s="1578"/>
      <c r="CP326" s="1578"/>
      <c r="CQ326" s="1578"/>
      <c r="CR326" s="1578"/>
      <c r="CS326" s="1578"/>
      <c r="CT326" s="1578"/>
      <c r="CU326" s="1578"/>
      <c r="CV326" s="1578"/>
      <c r="CW326" s="1578"/>
      <c r="CX326" s="1578"/>
      <c r="CY326" s="1578"/>
      <c r="CZ326" s="1578"/>
    </row>
    <row r="327" spans="1:104">
      <c r="A327" s="1466"/>
      <c r="B327" s="1576"/>
      <c r="C327" s="1576"/>
      <c r="D327" s="1576"/>
      <c r="E327" s="1578"/>
      <c r="F327" s="1578"/>
      <c r="G327" s="1578"/>
      <c r="H327" s="1578"/>
      <c r="I327" s="1578"/>
      <c r="J327" s="1578"/>
      <c r="K327" s="1578"/>
      <c r="L327" s="1578"/>
      <c r="M327" s="1578"/>
      <c r="N327" s="1578"/>
      <c r="O327" s="1578"/>
      <c r="P327" s="1578"/>
      <c r="Q327" s="1578"/>
      <c r="R327" s="1578"/>
      <c r="S327" s="1578"/>
      <c r="T327" s="1578"/>
      <c r="U327" s="1578"/>
      <c r="V327" s="1578"/>
      <c r="W327" s="1578"/>
      <c r="X327" s="1578"/>
      <c r="Y327" s="1578"/>
      <c r="Z327" s="1578"/>
      <c r="AA327" s="1578"/>
      <c r="AB327" s="1578"/>
      <c r="AC327" s="1578"/>
      <c r="AD327" s="1578"/>
      <c r="AE327" s="1578"/>
      <c r="AF327" s="1578"/>
      <c r="AG327" s="1578"/>
      <c r="AH327" s="1578"/>
      <c r="AI327" s="1578"/>
      <c r="AJ327" s="1578"/>
      <c r="AK327" s="1578"/>
      <c r="AL327" s="1578"/>
      <c r="AM327" s="1578"/>
      <c r="AN327" s="1578"/>
      <c r="AO327" s="1578"/>
      <c r="AP327" s="1578"/>
      <c r="AQ327" s="1578"/>
      <c r="AR327" s="1578"/>
      <c r="AS327" s="1578"/>
      <c r="AT327" s="1578"/>
      <c r="AU327" s="1578"/>
      <c r="AV327" s="1578"/>
      <c r="AW327" s="1578"/>
      <c r="AX327" s="1578"/>
      <c r="AY327" s="1578"/>
      <c r="AZ327" s="1578"/>
      <c r="BA327" s="1578"/>
      <c r="BB327" s="1578"/>
      <c r="BC327" s="1578"/>
      <c r="BD327" s="1578"/>
      <c r="BE327" s="1578"/>
      <c r="BF327" s="1578"/>
      <c r="BG327" s="1578"/>
      <c r="BH327" s="1578"/>
      <c r="BI327" s="1578"/>
      <c r="BJ327" s="1578"/>
      <c r="BK327" s="1578"/>
      <c r="BL327" s="1578"/>
      <c r="BM327" s="1578"/>
      <c r="BN327" s="1578"/>
      <c r="BO327" s="1578"/>
      <c r="BP327" s="1578"/>
      <c r="BQ327" s="1578"/>
      <c r="BR327" s="1578"/>
      <c r="BS327" s="1578"/>
      <c r="BT327" s="1578"/>
      <c r="BU327" s="1578"/>
      <c r="BV327" s="1578"/>
      <c r="BW327" s="1578"/>
      <c r="BX327" s="1578"/>
      <c r="BY327" s="1578"/>
      <c r="BZ327" s="1578"/>
      <c r="CA327" s="1578"/>
      <c r="CB327" s="1578"/>
      <c r="CC327" s="1578"/>
      <c r="CD327" s="1578"/>
      <c r="CE327" s="1578"/>
      <c r="CF327" s="1578"/>
      <c r="CG327" s="1578"/>
      <c r="CH327" s="1578"/>
      <c r="CI327" s="1578"/>
      <c r="CJ327" s="1578"/>
      <c r="CK327" s="1578"/>
      <c r="CL327" s="1578"/>
      <c r="CM327" s="1578"/>
      <c r="CN327" s="1578"/>
      <c r="CO327" s="1578"/>
      <c r="CP327" s="1578"/>
      <c r="CQ327" s="1578"/>
      <c r="CR327" s="1578"/>
      <c r="CS327" s="1578"/>
      <c r="CT327" s="1578"/>
      <c r="CU327" s="1578"/>
      <c r="CV327" s="1578"/>
      <c r="CW327" s="1578"/>
      <c r="CX327" s="1578"/>
      <c r="CY327" s="1578"/>
      <c r="CZ327" s="1578"/>
    </row>
    <row r="328" spans="1:104">
      <c r="A328" s="1466"/>
      <c r="B328" s="1576"/>
      <c r="C328" s="1576"/>
      <c r="D328" s="1576"/>
      <c r="E328" s="1578"/>
      <c r="F328" s="1578"/>
      <c r="G328" s="1578"/>
      <c r="H328" s="1578"/>
      <c r="I328" s="1578"/>
      <c r="J328" s="1578"/>
      <c r="K328" s="1578"/>
      <c r="L328" s="1578"/>
      <c r="M328" s="1578"/>
      <c r="N328" s="1578"/>
      <c r="O328" s="1578"/>
      <c r="P328" s="1578"/>
      <c r="Q328" s="1578"/>
      <c r="R328" s="1578"/>
      <c r="S328" s="1578"/>
      <c r="T328" s="1578"/>
      <c r="U328" s="1578"/>
      <c r="V328" s="1578"/>
      <c r="W328" s="1578"/>
      <c r="X328" s="1578"/>
      <c r="Y328" s="1578"/>
      <c r="Z328" s="1578"/>
      <c r="AA328" s="1578"/>
      <c r="AB328" s="1578"/>
      <c r="AC328" s="1578"/>
      <c r="AD328" s="1578"/>
      <c r="AE328" s="1578"/>
      <c r="AF328" s="1578"/>
      <c r="AG328" s="1578"/>
      <c r="AH328" s="1578"/>
      <c r="AI328" s="1578"/>
      <c r="AJ328" s="1578"/>
      <c r="AK328" s="1578"/>
      <c r="AL328" s="1578"/>
      <c r="AM328" s="1578"/>
      <c r="AN328" s="1578"/>
      <c r="AO328" s="1578"/>
      <c r="AP328" s="1578"/>
      <c r="AQ328" s="1578"/>
      <c r="AR328" s="1578"/>
      <c r="AS328" s="1578"/>
      <c r="AT328" s="1578"/>
      <c r="AU328" s="1578"/>
      <c r="AV328" s="1578"/>
      <c r="AW328" s="1578"/>
      <c r="AX328" s="1578"/>
      <c r="AY328" s="1578"/>
      <c r="AZ328" s="1578"/>
      <c r="BA328" s="1578"/>
      <c r="BB328" s="1578"/>
      <c r="BC328" s="1578"/>
      <c r="BD328" s="1578"/>
      <c r="BE328" s="1578"/>
      <c r="BF328" s="1578"/>
      <c r="BG328" s="1578"/>
      <c r="BH328" s="1578"/>
      <c r="BI328" s="1578"/>
      <c r="BJ328" s="1578"/>
      <c r="BK328" s="1578"/>
      <c r="BL328" s="1578"/>
      <c r="BM328" s="1578"/>
      <c r="BN328" s="1578"/>
      <c r="BO328" s="1578"/>
      <c r="BP328" s="1578"/>
      <c r="BQ328" s="1578"/>
      <c r="BR328" s="1578"/>
      <c r="BS328" s="1578"/>
      <c r="BT328" s="1578"/>
      <c r="BU328" s="1578"/>
      <c r="BV328" s="1578"/>
      <c r="BW328" s="1578"/>
      <c r="BX328" s="1578"/>
      <c r="BY328" s="1578"/>
      <c r="BZ328" s="1578"/>
      <c r="CA328" s="1578"/>
      <c r="CB328" s="1578"/>
      <c r="CC328" s="1578"/>
      <c r="CD328" s="1578"/>
      <c r="CE328" s="1578"/>
      <c r="CF328" s="1578"/>
      <c r="CG328" s="1578"/>
      <c r="CH328" s="1578"/>
      <c r="CI328" s="1578"/>
      <c r="CJ328" s="1578"/>
      <c r="CK328" s="1578"/>
      <c r="CL328" s="1578"/>
      <c r="CM328" s="1578"/>
      <c r="CN328" s="1578"/>
      <c r="CO328" s="1578"/>
      <c r="CP328" s="1578"/>
      <c r="CQ328" s="1578"/>
      <c r="CR328" s="1578"/>
      <c r="CS328" s="1578"/>
      <c r="CT328" s="1578"/>
      <c r="CU328" s="1578"/>
      <c r="CV328" s="1578"/>
      <c r="CW328" s="1578"/>
      <c r="CX328" s="1578"/>
      <c r="CY328" s="1578"/>
      <c r="CZ328" s="1578"/>
    </row>
    <row r="329" spans="1:104">
      <c r="A329" s="1466"/>
      <c r="B329" s="1576"/>
      <c r="C329" s="1576"/>
      <c r="D329" s="1576"/>
      <c r="E329" s="1578"/>
      <c r="F329" s="1578"/>
      <c r="G329" s="1578"/>
      <c r="H329" s="1578"/>
      <c r="I329" s="1578"/>
      <c r="J329" s="1578"/>
      <c r="K329" s="1578"/>
      <c r="L329" s="1578"/>
      <c r="M329" s="1578"/>
      <c r="N329" s="1578"/>
      <c r="O329" s="1578"/>
      <c r="P329" s="1578"/>
      <c r="Q329" s="1578"/>
      <c r="R329" s="1578"/>
      <c r="S329" s="1578"/>
      <c r="T329" s="1578"/>
      <c r="U329" s="1578"/>
      <c r="V329" s="1578"/>
      <c r="W329" s="1578"/>
      <c r="X329" s="1578"/>
      <c r="Y329" s="1578"/>
      <c r="Z329" s="1578"/>
      <c r="AA329" s="1578"/>
      <c r="AB329" s="1578"/>
      <c r="AC329" s="1578"/>
      <c r="AD329" s="1578"/>
      <c r="AE329" s="1578"/>
      <c r="AF329" s="1578"/>
      <c r="AG329" s="1578"/>
      <c r="AH329" s="1578"/>
      <c r="AI329" s="1578"/>
      <c r="AJ329" s="1578"/>
      <c r="AK329" s="1578"/>
      <c r="AL329" s="1578"/>
      <c r="AM329" s="1578"/>
      <c r="AN329" s="1578"/>
      <c r="AO329" s="1578"/>
      <c r="AP329" s="1578"/>
      <c r="AQ329" s="1578"/>
      <c r="AR329" s="1578"/>
      <c r="AS329" s="1578"/>
      <c r="AT329" s="1578"/>
      <c r="AU329" s="1578"/>
      <c r="AV329" s="1578"/>
      <c r="AW329" s="1578"/>
      <c r="AX329" s="1578"/>
      <c r="AY329" s="1578"/>
      <c r="AZ329" s="1578"/>
      <c r="BA329" s="1578"/>
      <c r="BB329" s="1578"/>
      <c r="BC329" s="1578"/>
      <c r="BD329" s="1578"/>
      <c r="BE329" s="1578"/>
      <c r="BF329" s="1578"/>
      <c r="BG329" s="1578"/>
      <c r="BH329" s="1578"/>
      <c r="BI329" s="1578"/>
      <c r="BJ329" s="1578"/>
      <c r="BK329" s="1578"/>
      <c r="BL329" s="1578"/>
      <c r="BM329" s="1578"/>
      <c r="BN329" s="1578"/>
      <c r="BO329" s="1578"/>
      <c r="BP329" s="1578"/>
      <c r="BQ329" s="1578"/>
      <c r="BR329" s="1578"/>
      <c r="BS329" s="1578"/>
      <c r="BT329" s="1578"/>
      <c r="BU329" s="1578"/>
      <c r="BV329" s="1578"/>
      <c r="BW329" s="1578"/>
      <c r="BX329" s="1578"/>
      <c r="BY329" s="1578"/>
      <c r="BZ329" s="1578"/>
      <c r="CA329" s="1578"/>
      <c r="CB329" s="1578"/>
      <c r="CC329" s="1578"/>
      <c r="CD329" s="1578"/>
      <c r="CE329" s="1578"/>
      <c r="CF329" s="1578"/>
      <c r="CG329" s="1578"/>
      <c r="CH329" s="1578"/>
      <c r="CI329" s="1578"/>
      <c r="CJ329" s="1578"/>
      <c r="CK329" s="1578"/>
      <c r="CL329" s="1578"/>
      <c r="CM329" s="1578"/>
      <c r="CN329" s="1578"/>
      <c r="CO329" s="1578"/>
      <c r="CP329" s="1578"/>
      <c r="CQ329" s="1578"/>
      <c r="CR329" s="1578"/>
      <c r="CS329" s="1578"/>
      <c r="CT329" s="1578"/>
      <c r="CU329" s="1578"/>
      <c r="CV329" s="1578"/>
      <c r="CW329" s="1578"/>
      <c r="CX329" s="1578"/>
      <c r="CY329" s="1578"/>
      <c r="CZ329" s="1578"/>
    </row>
    <row r="330" spans="1:104">
      <c r="A330" s="1466"/>
      <c r="B330" s="1576"/>
      <c r="C330" s="1576"/>
      <c r="D330" s="1576"/>
      <c r="E330" s="1578"/>
      <c r="F330" s="1578"/>
      <c r="G330" s="1578"/>
      <c r="H330" s="1578"/>
      <c r="I330" s="1578"/>
      <c r="J330" s="1578"/>
      <c r="K330" s="1578"/>
      <c r="L330" s="1578"/>
      <c r="M330" s="1578"/>
      <c r="N330" s="1578"/>
      <c r="O330" s="1578"/>
      <c r="P330" s="1578"/>
      <c r="Q330" s="1578"/>
      <c r="R330" s="1578"/>
      <c r="S330" s="1578"/>
      <c r="T330" s="1578"/>
      <c r="U330" s="1578"/>
      <c r="V330" s="1578"/>
      <c r="W330" s="1578"/>
      <c r="X330" s="1578"/>
      <c r="Y330" s="1578"/>
      <c r="Z330" s="1578"/>
      <c r="AA330" s="1578"/>
      <c r="AB330" s="1578"/>
      <c r="AC330" s="1578"/>
      <c r="AD330" s="1578"/>
      <c r="AE330" s="1578"/>
      <c r="AF330" s="1578"/>
      <c r="AG330" s="1578"/>
      <c r="AH330" s="1578"/>
      <c r="AI330" s="1578"/>
      <c r="AJ330" s="1578"/>
      <c r="AK330" s="1578"/>
      <c r="AL330" s="1578"/>
      <c r="AM330" s="1578"/>
      <c r="AN330" s="1578"/>
      <c r="AO330" s="1578"/>
      <c r="AP330" s="1578"/>
      <c r="AQ330" s="1578"/>
      <c r="AR330" s="1578"/>
      <c r="AS330" s="1578"/>
      <c r="AT330" s="1578"/>
      <c r="AU330" s="1578"/>
      <c r="AV330" s="1578"/>
      <c r="AW330" s="1578"/>
      <c r="AX330" s="1578"/>
      <c r="AY330" s="1578"/>
      <c r="AZ330" s="1578"/>
      <c r="BA330" s="1578"/>
      <c r="BB330" s="1578"/>
      <c r="BC330" s="1578"/>
      <c r="BD330" s="1578"/>
      <c r="BE330" s="1578"/>
      <c r="BF330" s="1578"/>
      <c r="BG330" s="1578"/>
      <c r="BH330" s="1578"/>
      <c r="BI330" s="1578"/>
      <c r="BJ330" s="1578"/>
      <c r="BK330" s="1578"/>
      <c r="BL330" s="1578"/>
      <c r="BM330" s="1578"/>
      <c r="BN330" s="1578"/>
      <c r="BO330" s="1578"/>
      <c r="BP330" s="1578"/>
      <c r="BQ330" s="1578"/>
      <c r="BR330" s="1578"/>
      <c r="BS330" s="1578"/>
      <c r="BT330" s="1578"/>
      <c r="BU330" s="1578"/>
      <c r="BV330" s="1578"/>
      <c r="BW330" s="1578"/>
      <c r="BX330" s="1578"/>
      <c r="BY330" s="1578"/>
      <c r="BZ330" s="1578"/>
      <c r="CA330" s="1578"/>
      <c r="CB330" s="1578"/>
      <c r="CC330" s="1578"/>
      <c r="CD330" s="1578"/>
      <c r="CE330" s="1578"/>
      <c r="CF330" s="1578"/>
      <c r="CG330" s="1578"/>
      <c r="CH330" s="1578"/>
      <c r="CI330" s="1578"/>
      <c r="CJ330" s="1578"/>
      <c r="CK330" s="1578"/>
      <c r="CL330" s="1578"/>
      <c r="CM330" s="1578"/>
      <c r="CN330" s="1578"/>
      <c r="CO330" s="1578"/>
      <c r="CP330" s="1578"/>
      <c r="CQ330" s="1578"/>
      <c r="CR330" s="1578"/>
      <c r="CS330" s="1578"/>
      <c r="CT330" s="1578"/>
      <c r="CU330" s="1578"/>
      <c r="CV330" s="1578"/>
      <c r="CW330" s="1578"/>
      <c r="CX330" s="1578"/>
      <c r="CY330" s="1578"/>
      <c r="CZ330" s="1578"/>
    </row>
    <row r="331" spans="1:104">
      <c r="A331" s="1466"/>
      <c r="B331" s="1576"/>
      <c r="C331" s="1576"/>
      <c r="D331" s="1576"/>
      <c r="E331" s="1578"/>
      <c r="F331" s="1578"/>
      <c r="G331" s="1578"/>
      <c r="H331" s="1578"/>
      <c r="I331" s="1578"/>
      <c r="J331" s="1578"/>
      <c r="K331" s="1578"/>
      <c r="L331" s="1578"/>
      <c r="M331" s="1578"/>
      <c r="N331" s="1578"/>
      <c r="O331" s="1578"/>
      <c r="P331" s="1578"/>
      <c r="Q331" s="1578"/>
      <c r="R331" s="1578"/>
      <c r="S331" s="1578"/>
      <c r="T331" s="1578"/>
      <c r="U331" s="1578"/>
      <c r="V331" s="1578"/>
      <c r="W331" s="1578"/>
      <c r="X331" s="1578"/>
      <c r="Y331" s="1578"/>
      <c r="Z331" s="1578"/>
      <c r="AA331" s="1578"/>
      <c r="AB331" s="1578"/>
      <c r="AC331" s="1578"/>
      <c r="AD331" s="1578"/>
      <c r="AE331" s="1578"/>
      <c r="AF331" s="1578"/>
      <c r="AG331" s="1578"/>
      <c r="AH331" s="1578"/>
      <c r="AI331" s="1578"/>
      <c r="AJ331" s="1578"/>
      <c r="AK331" s="1578"/>
      <c r="AL331" s="1578"/>
      <c r="AM331" s="1578"/>
      <c r="AN331" s="1578"/>
      <c r="AO331" s="1578"/>
      <c r="AP331" s="1578"/>
      <c r="AQ331" s="1578"/>
      <c r="AR331" s="1578"/>
      <c r="AS331" s="1578"/>
      <c r="AT331" s="1578"/>
      <c r="AU331" s="1578"/>
      <c r="AV331" s="1578"/>
      <c r="AW331" s="1578"/>
      <c r="AX331" s="1578"/>
      <c r="AY331" s="1578"/>
      <c r="AZ331" s="1578"/>
      <c r="BA331" s="1578"/>
      <c r="BB331" s="1578"/>
      <c r="BC331" s="1578"/>
      <c r="BD331" s="1578"/>
      <c r="BE331" s="1578"/>
      <c r="BF331" s="1578"/>
      <c r="BG331" s="1578"/>
      <c r="BH331" s="1578"/>
      <c r="BI331" s="1578"/>
      <c r="BJ331" s="1578"/>
      <c r="BK331" s="1578"/>
      <c r="BL331" s="1578"/>
      <c r="BM331" s="1578"/>
      <c r="BN331" s="1578"/>
      <c r="BO331" s="1578"/>
      <c r="BP331" s="1578"/>
      <c r="BQ331" s="1578"/>
      <c r="BR331" s="1578"/>
      <c r="BS331" s="1578"/>
      <c r="BT331" s="1578"/>
      <c r="BU331" s="1578"/>
      <c r="BV331" s="1578"/>
      <c r="BW331" s="1578"/>
      <c r="BX331" s="1578"/>
      <c r="BY331" s="1578"/>
      <c r="BZ331" s="1578"/>
      <c r="CA331" s="1578"/>
      <c r="CB331" s="1578"/>
      <c r="CC331" s="1578"/>
      <c r="CD331" s="1578"/>
      <c r="CE331" s="1578"/>
      <c r="CF331" s="1578"/>
      <c r="CG331" s="1578"/>
      <c r="CH331" s="1578"/>
      <c r="CI331" s="1578"/>
      <c r="CJ331" s="1578"/>
      <c r="CK331" s="1578"/>
      <c r="CL331" s="1578"/>
      <c r="CM331" s="1578"/>
      <c r="CN331" s="1578"/>
      <c r="CO331" s="1578"/>
      <c r="CP331" s="1578"/>
      <c r="CQ331" s="1578"/>
      <c r="CR331" s="1578"/>
      <c r="CS331" s="1578"/>
      <c r="CT331" s="1578"/>
      <c r="CU331" s="1578"/>
      <c r="CV331" s="1578"/>
      <c r="CW331" s="1578"/>
      <c r="CX331" s="1578"/>
      <c r="CY331" s="1578"/>
      <c r="CZ331" s="1578"/>
    </row>
    <row r="332" spans="1:104">
      <c r="A332" s="1466"/>
      <c r="B332" s="1576"/>
      <c r="C332" s="1576"/>
      <c r="D332" s="1576"/>
      <c r="E332" s="1578"/>
      <c r="F332" s="1578"/>
      <c r="G332" s="1578"/>
      <c r="H332" s="1578"/>
      <c r="I332" s="1578"/>
      <c r="J332" s="1578"/>
      <c r="K332" s="1578"/>
      <c r="L332" s="1578"/>
      <c r="M332" s="1578"/>
      <c r="N332" s="1578"/>
      <c r="O332" s="1578"/>
      <c r="P332" s="1578"/>
      <c r="Q332" s="1578"/>
      <c r="R332" s="1578"/>
      <c r="S332" s="1578"/>
      <c r="T332" s="1578"/>
      <c r="U332" s="1578"/>
      <c r="V332" s="1578"/>
      <c r="W332" s="1578"/>
      <c r="X332" s="1578"/>
      <c r="Y332" s="1578"/>
      <c r="Z332" s="1578"/>
      <c r="AA332" s="1578"/>
      <c r="AB332" s="1578"/>
      <c r="AC332" s="1578"/>
      <c r="AD332" s="1578"/>
      <c r="AE332" s="1578"/>
      <c r="AF332" s="1578"/>
      <c r="AG332" s="1578"/>
      <c r="AH332" s="1578"/>
      <c r="AI332" s="1578"/>
      <c r="AJ332" s="1578"/>
      <c r="AK332" s="1578"/>
      <c r="AL332" s="1578"/>
      <c r="AM332" s="1578"/>
      <c r="AN332" s="1578"/>
      <c r="AO332" s="1578"/>
      <c r="AP332" s="1578"/>
      <c r="AQ332" s="1578"/>
      <c r="AR332" s="1578"/>
      <c r="AS332" s="1578"/>
      <c r="AT332" s="1578"/>
      <c r="AU332" s="1578"/>
      <c r="AV332" s="1578"/>
      <c r="AW332" s="1578"/>
      <c r="AX332" s="1578"/>
      <c r="AY332" s="1578"/>
      <c r="AZ332" s="1578"/>
      <c r="BA332" s="1578"/>
      <c r="BB332" s="1578"/>
      <c r="BC332" s="1578"/>
      <c r="BD332" s="1578"/>
      <c r="BE332" s="1578"/>
      <c r="BF332" s="1578"/>
      <c r="BG332" s="1578"/>
      <c r="BH332" s="1578"/>
      <c r="BI332" s="1578"/>
      <c r="BJ332" s="1578"/>
      <c r="BK332" s="1578"/>
      <c r="BL332" s="1578"/>
      <c r="BM332" s="1578"/>
      <c r="BN332" s="1578"/>
      <c r="BO332" s="1578"/>
      <c r="BP332" s="1578"/>
      <c r="BQ332" s="1578"/>
      <c r="BR332" s="1578"/>
      <c r="BS332" s="1578"/>
      <c r="BT332" s="1578"/>
      <c r="BU332" s="1578"/>
      <c r="BV332" s="1578"/>
      <c r="BW332" s="1578"/>
      <c r="BX332" s="1578"/>
      <c r="BY332" s="1578"/>
      <c r="BZ332" s="1578"/>
      <c r="CA332" s="1578"/>
      <c r="CB332" s="1578"/>
      <c r="CC332" s="1578"/>
      <c r="CD332" s="1578"/>
      <c r="CE332" s="1578"/>
      <c r="CF332" s="1578"/>
      <c r="CG332" s="1578"/>
      <c r="CH332" s="1578"/>
      <c r="CI332" s="1578"/>
      <c r="CJ332" s="1578"/>
      <c r="CK332" s="1578"/>
      <c r="CL332" s="1578"/>
      <c r="CM332" s="1578"/>
      <c r="CN332" s="1578"/>
      <c r="CO332" s="1578"/>
      <c r="CP332" s="1578"/>
      <c r="CQ332" s="1578"/>
      <c r="CR332" s="1578"/>
      <c r="CS332" s="1578"/>
      <c r="CT332" s="1578"/>
      <c r="CU332" s="1578"/>
      <c r="CV332" s="1578"/>
      <c r="CW332" s="1578"/>
      <c r="CX332" s="1578"/>
      <c r="CY332" s="1578"/>
      <c r="CZ332" s="1578"/>
    </row>
    <row r="333" spans="1:104">
      <c r="A333" s="1466"/>
      <c r="B333" s="1576"/>
      <c r="C333" s="1576"/>
      <c r="D333" s="1576"/>
      <c r="E333" s="1578"/>
      <c r="F333" s="1578"/>
      <c r="G333" s="1578"/>
      <c r="H333" s="1578"/>
      <c r="I333" s="1578"/>
      <c r="J333" s="1578"/>
      <c r="K333" s="1578"/>
      <c r="L333" s="1578"/>
      <c r="M333" s="1578"/>
      <c r="N333" s="1578"/>
      <c r="O333" s="1578"/>
      <c r="P333" s="1578"/>
      <c r="Q333" s="1578"/>
      <c r="R333" s="1578"/>
      <c r="S333" s="1578"/>
      <c r="T333" s="1578"/>
      <c r="U333" s="1578"/>
      <c r="V333" s="1578"/>
      <c r="W333" s="1578"/>
      <c r="X333" s="1578"/>
      <c r="Y333" s="1578"/>
      <c r="Z333" s="1578"/>
      <c r="AA333" s="1578"/>
      <c r="AB333" s="1578"/>
      <c r="AC333" s="1578"/>
      <c r="AD333" s="1578"/>
      <c r="AE333" s="1578"/>
      <c r="AF333" s="1578"/>
      <c r="AG333" s="1578"/>
      <c r="AH333" s="1578"/>
      <c r="AI333" s="1578"/>
      <c r="AJ333" s="1578"/>
      <c r="AK333" s="1578"/>
      <c r="AL333" s="1578"/>
      <c r="AM333" s="1578"/>
      <c r="AN333" s="1578"/>
      <c r="AO333" s="1578"/>
      <c r="AP333" s="1578"/>
      <c r="AQ333" s="1578"/>
      <c r="AR333" s="1578"/>
      <c r="AS333" s="1578"/>
      <c r="AT333" s="1578"/>
      <c r="AU333" s="1578"/>
      <c r="AV333" s="1578"/>
      <c r="AW333" s="1578"/>
      <c r="AX333" s="1578"/>
      <c r="AY333" s="1578"/>
      <c r="AZ333" s="1578"/>
      <c r="BA333" s="1578"/>
      <c r="BB333" s="1578"/>
      <c r="BC333" s="1578"/>
      <c r="BD333" s="1578"/>
      <c r="BE333" s="1578"/>
      <c r="BF333" s="1578"/>
      <c r="BG333" s="1578"/>
      <c r="BH333" s="1578"/>
      <c r="BI333" s="1578"/>
      <c r="BJ333" s="1578"/>
      <c r="BK333" s="1578"/>
      <c r="BL333" s="1578"/>
      <c r="BM333" s="1578"/>
      <c r="BN333" s="1578"/>
      <c r="BO333" s="1578"/>
      <c r="BP333" s="1578"/>
      <c r="BQ333" s="1578"/>
      <c r="BR333" s="1578"/>
      <c r="BS333" s="1578"/>
      <c r="BT333" s="1578"/>
      <c r="BU333" s="1578"/>
      <c r="BV333" s="1578"/>
      <c r="BW333" s="1578"/>
      <c r="BX333" s="1578"/>
      <c r="BY333" s="1578"/>
      <c r="BZ333" s="1578"/>
      <c r="CA333" s="1578"/>
      <c r="CB333" s="1578"/>
      <c r="CC333" s="1578"/>
      <c r="CD333" s="1578"/>
      <c r="CE333" s="1578"/>
      <c r="CF333" s="1578"/>
      <c r="CG333" s="1578"/>
      <c r="CH333" s="1578"/>
      <c r="CI333" s="1578"/>
      <c r="CJ333" s="1578"/>
      <c r="CK333" s="1578"/>
      <c r="CL333" s="1578"/>
      <c r="CM333" s="1578"/>
      <c r="CN333" s="1578"/>
      <c r="CO333" s="1578"/>
      <c r="CP333" s="1578"/>
      <c r="CQ333" s="1578"/>
      <c r="CR333" s="1578"/>
      <c r="CS333" s="1578"/>
      <c r="CT333" s="1578"/>
      <c r="CU333" s="1578"/>
      <c r="CV333" s="1578"/>
      <c r="CW333" s="1578"/>
      <c r="CX333" s="1578"/>
      <c r="CY333" s="1578"/>
      <c r="CZ333" s="1578"/>
    </row>
    <row r="334" spans="1:104">
      <c r="A334" s="1466"/>
      <c r="B334" s="1576"/>
      <c r="C334" s="1576"/>
      <c r="D334" s="1576"/>
      <c r="E334" s="1578"/>
      <c r="F334" s="1578"/>
      <c r="G334" s="1578"/>
      <c r="H334" s="1578"/>
      <c r="I334" s="1578"/>
      <c r="J334" s="1578"/>
      <c r="K334" s="1578"/>
      <c r="L334" s="1578"/>
      <c r="M334" s="1578"/>
      <c r="N334" s="1578"/>
      <c r="O334" s="1578"/>
      <c r="P334" s="1578"/>
      <c r="Q334" s="1578"/>
      <c r="R334" s="1578"/>
      <c r="S334" s="1578"/>
      <c r="T334" s="1578"/>
      <c r="U334" s="1578"/>
      <c r="V334" s="1578"/>
      <c r="W334" s="1578"/>
      <c r="X334" s="1578"/>
      <c r="Y334" s="1578"/>
      <c r="Z334" s="1578"/>
      <c r="AA334" s="1578"/>
      <c r="AB334" s="1578"/>
      <c r="AC334" s="1578"/>
      <c r="AD334" s="1578"/>
      <c r="AE334" s="1578"/>
      <c r="AF334" s="1578"/>
      <c r="AG334" s="1578"/>
      <c r="AH334" s="1578"/>
      <c r="AI334" s="1578"/>
      <c r="AJ334" s="1578"/>
      <c r="AK334" s="1578"/>
      <c r="AL334" s="1578"/>
      <c r="AM334" s="1578"/>
      <c r="AN334" s="1578"/>
      <c r="AO334" s="1578"/>
      <c r="AP334" s="1578"/>
      <c r="AQ334" s="1578"/>
      <c r="AR334" s="1578"/>
      <c r="AS334" s="1578"/>
      <c r="AT334" s="1578"/>
      <c r="AU334" s="1578"/>
      <c r="AV334" s="1578"/>
      <c r="AW334" s="1578"/>
      <c r="AX334" s="1578"/>
      <c r="AY334" s="1578"/>
      <c r="AZ334" s="1578"/>
      <c r="BA334" s="1578"/>
      <c r="BB334" s="1578"/>
      <c r="BC334" s="1578"/>
      <c r="BD334" s="1578"/>
      <c r="BE334" s="1578"/>
      <c r="BF334" s="1578"/>
      <c r="BG334" s="1578"/>
      <c r="BH334" s="1578"/>
      <c r="BI334" s="1578"/>
      <c r="BJ334" s="1578"/>
      <c r="BK334" s="1578"/>
      <c r="BL334" s="1578"/>
      <c r="BM334" s="1578"/>
      <c r="BN334" s="1578"/>
      <c r="BO334" s="1578"/>
      <c r="BP334" s="1578"/>
      <c r="BQ334" s="1578"/>
      <c r="BR334" s="1578"/>
      <c r="BS334" s="1578"/>
      <c r="BT334" s="1578"/>
      <c r="BU334" s="1578"/>
      <c r="BV334" s="1578"/>
      <c r="BW334" s="1578"/>
      <c r="BX334" s="1578"/>
      <c r="BY334" s="1578"/>
      <c r="BZ334" s="1578"/>
      <c r="CA334" s="1578"/>
      <c r="CB334" s="1578"/>
      <c r="CC334" s="1578"/>
      <c r="CD334" s="1578"/>
      <c r="CE334" s="1578"/>
      <c r="CF334" s="1578"/>
      <c r="CG334" s="1578"/>
      <c r="CH334" s="1578"/>
      <c r="CI334" s="1578"/>
      <c r="CJ334" s="1578"/>
      <c r="CK334" s="1578"/>
      <c r="CL334" s="1578"/>
      <c r="CM334" s="1578"/>
      <c r="CN334" s="1578"/>
      <c r="CO334" s="1578"/>
      <c r="CP334" s="1578"/>
      <c r="CQ334" s="1578"/>
      <c r="CR334" s="1578"/>
      <c r="CS334" s="1578"/>
      <c r="CT334" s="1578"/>
      <c r="CU334" s="1578"/>
      <c r="CV334" s="1578"/>
      <c r="CW334" s="1578"/>
      <c r="CX334" s="1578"/>
      <c r="CY334" s="1578"/>
      <c r="CZ334" s="1578"/>
    </row>
    <row r="335" spans="1:104">
      <c r="A335" s="1466"/>
      <c r="B335" s="1576"/>
      <c r="C335" s="1576"/>
      <c r="D335" s="1576"/>
      <c r="E335" s="1578"/>
      <c r="F335" s="1578"/>
      <c r="G335" s="1578"/>
      <c r="H335" s="1578"/>
      <c r="I335" s="1578"/>
      <c r="J335" s="1578"/>
      <c r="K335" s="1578"/>
      <c r="L335" s="1578"/>
      <c r="M335" s="1578"/>
      <c r="N335" s="1578"/>
      <c r="O335" s="1578"/>
      <c r="P335" s="1578"/>
      <c r="Q335" s="1578"/>
      <c r="R335" s="1578"/>
      <c r="S335" s="1578"/>
      <c r="T335" s="1578"/>
      <c r="U335" s="1578"/>
      <c r="V335" s="1578"/>
      <c r="W335" s="1578"/>
      <c r="X335" s="1578"/>
      <c r="Y335" s="1578"/>
      <c r="Z335" s="1578"/>
      <c r="AA335" s="1578"/>
      <c r="AB335" s="1578"/>
      <c r="AC335" s="1578"/>
      <c r="AD335" s="1578"/>
      <c r="AE335" s="1578"/>
      <c r="AF335" s="1578"/>
      <c r="AG335" s="1578"/>
      <c r="AH335" s="1578"/>
      <c r="AI335" s="1578"/>
      <c r="AJ335" s="1578"/>
      <c r="AK335" s="1578"/>
      <c r="AL335" s="1578"/>
      <c r="AM335" s="1578"/>
      <c r="AN335" s="1578"/>
      <c r="AO335" s="1578"/>
      <c r="AP335" s="1578"/>
      <c r="AQ335" s="1578"/>
      <c r="AR335" s="1578"/>
      <c r="AS335" s="1578"/>
      <c r="AT335" s="1578"/>
      <c r="AU335" s="1578"/>
      <c r="AV335" s="1578"/>
      <c r="AW335" s="1578"/>
      <c r="AX335" s="1578"/>
      <c r="AY335" s="1578"/>
      <c r="AZ335" s="1578"/>
      <c r="BA335" s="1578"/>
      <c r="BB335" s="1578"/>
      <c r="BC335" s="1578"/>
      <c r="BD335" s="1578"/>
      <c r="BE335" s="1578"/>
      <c r="BF335" s="1578"/>
      <c r="BG335" s="1578"/>
      <c r="BH335" s="1578"/>
      <c r="BI335" s="1578"/>
      <c r="BJ335" s="1578"/>
      <c r="BK335" s="1578"/>
      <c r="BL335" s="1578"/>
      <c r="BM335" s="1578"/>
      <c r="BN335" s="1578"/>
      <c r="BO335" s="1578"/>
      <c r="BP335" s="1578"/>
      <c r="BQ335" s="1578"/>
      <c r="BR335" s="1578"/>
      <c r="BS335" s="1578"/>
      <c r="BT335" s="1578"/>
      <c r="BU335" s="1578"/>
      <c r="BV335" s="1578"/>
      <c r="BW335" s="1578"/>
      <c r="BX335" s="1578"/>
      <c r="BY335" s="1578"/>
      <c r="BZ335" s="1578"/>
      <c r="CA335" s="1578"/>
      <c r="CB335" s="1578"/>
      <c r="CC335" s="1578"/>
      <c r="CD335" s="1578"/>
      <c r="CE335" s="1578"/>
      <c r="CF335" s="1578"/>
      <c r="CG335" s="1578"/>
      <c r="CH335" s="1578"/>
      <c r="CI335" s="1578"/>
      <c r="CJ335" s="1578"/>
      <c r="CK335" s="1578"/>
      <c r="CL335" s="1578"/>
      <c r="CM335" s="1578"/>
      <c r="CN335" s="1578"/>
      <c r="CO335" s="1578"/>
      <c r="CP335" s="1578"/>
      <c r="CQ335" s="1578"/>
      <c r="CR335" s="1578"/>
      <c r="CS335" s="1578"/>
      <c r="CT335" s="1578"/>
      <c r="CU335" s="1578"/>
      <c r="CV335" s="1578"/>
      <c r="CW335" s="1578"/>
      <c r="CX335" s="1578"/>
      <c r="CY335" s="1578"/>
      <c r="CZ335" s="1578"/>
    </row>
    <row r="336" spans="1:104">
      <c r="A336" s="1466"/>
      <c r="B336" s="1576"/>
      <c r="C336" s="1576"/>
      <c r="D336" s="1576"/>
      <c r="E336" s="1578"/>
      <c r="F336" s="1578"/>
      <c r="G336" s="1578"/>
      <c r="H336" s="1578"/>
      <c r="I336" s="1578"/>
      <c r="J336" s="1578"/>
      <c r="K336" s="1578"/>
      <c r="L336" s="1578"/>
      <c r="M336" s="1578"/>
      <c r="N336" s="1578"/>
      <c r="O336" s="1578"/>
      <c r="P336" s="1578"/>
      <c r="Q336" s="1578"/>
      <c r="R336" s="1578"/>
      <c r="S336" s="1578"/>
      <c r="T336" s="1578"/>
      <c r="U336" s="1578"/>
      <c r="V336" s="1578"/>
      <c r="W336" s="1578"/>
      <c r="X336" s="1578"/>
      <c r="Y336" s="1578"/>
      <c r="Z336" s="1578"/>
      <c r="AA336" s="1578"/>
      <c r="AB336" s="1578"/>
      <c r="AC336" s="1578"/>
      <c r="AD336" s="1578"/>
      <c r="AE336" s="1578"/>
      <c r="AF336" s="1578"/>
      <c r="AG336" s="1578"/>
      <c r="AH336" s="1578"/>
      <c r="AI336" s="1578"/>
      <c r="AJ336" s="1578"/>
      <c r="AK336" s="1578"/>
      <c r="AL336" s="1578"/>
      <c r="AM336" s="1578"/>
      <c r="AN336" s="1578"/>
      <c r="AO336" s="1578"/>
      <c r="AP336" s="1578"/>
      <c r="AQ336" s="1578"/>
      <c r="AR336" s="1578"/>
      <c r="AS336" s="1578"/>
      <c r="AT336" s="1578"/>
      <c r="AU336" s="1578"/>
      <c r="AV336" s="1578"/>
      <c r="AW336" s="1578"/>
      <c r="AX336" s="1578"/>
      <c r="AY336" s="1578"/>
      <c r="AZ336" s="1578"/>
      <c r="BA336" s="1578"/>
      <c r="BB336" s="1578"/>
      <c r="BC336" s="1578"/>
      <c r="BD336" s="1578"/>
      <c r="BE336" s="1578"/>
      <c r="BF336" s="1578"/>
      <c r="BG336" s="1578"/>
      <c r="BH336" s="1578"/>
      <c r="BI336" s="1578"/>
      <c r="BJ336" s="1578"/>
      <c r="BK336" s="1578"/>
      <c r="BL336" s="1578"/>
      <c r="BM336" s="1578"/>
      <c r="BN336" s="1578"/>
      <c r="BO336" s="1578"/>
      <c r="BP336" s="1578"/>
      <c r="BQ336" s="1578"/>
      <c r="BR336" s="1578"/>
      <c r="BS336" s="1578"/>
      <c r="BT336" s="1578"/>
      <c r="BU336" s="1578"/>
      <c r="BV336" s="1578"/>
      <c r="BW336" s="1578"/>
      <c r="BX336" s="1578"/>
      <c r="BY336" s="1578"/>
      <c r="BZ336" s="1578"/>
      <c r="CA336" s="1578"/>
      <c r="CB336" s="1578"/>
      <c r="CC336" s="1578"/>
      <c r="CD336" s="1578"/>
      <c r="CE336" s="1578"/>
      <c r="CF336" s="1578"/>
      <c r="CG336" s="1578"/>
      <c r="CH336" s="1578"/>
      <c r="CI336" s="1578"/>
      <c r="CJ336" s="1578"/>
      <c r="CK336" s="1578"/>
      <c r="CL336" s="1578"/>
      <c r="CM336" s="1578"/>
      <c r="CN336" s="1578"/>
      <c r="CO336" s="1578"/>
      <c r="CP336" s="1578"/>
      <c r="CQ336" s="1578"/>
      <c r="CR336" s="1578"/>
      <c r="CS336" s="1578"/>
      <c r="CT336" s="1578"/>
      <c r="CU336" s="1578"/>
      <c r="CV336" s="1578"/>
      <c r="CW336" s="1578"/>
      <c r="CX336" s="1578"/>
      <c r="CY336" s="1578"/>
      <c r="CZ336" s="1578"/>
    </row>
    <row r="337" spans="1:104">
      <c r="A337" s="1466"/>
      <c r="B337" s="1576"/>
      <c r="C337" s="1576"/>
      <c r="D337" s="1576"/>
      <c r="E337" s="1578"/>
      <c r="F337" s="1578"/>
      <c r="G337" s="1578"/>
      <c r="H337" s="1578"/>
      <c r="I337" s="1578"/>
      <c r="J337" s="1578"/>
      <c r="K337" s="1578"/>
      <c r="L337" s="1578"/>
      <c r="M337" s="1578"/>
      <c r="N337" s="1578"/>
      <c r="O337" s="1578"/>
      <c r="P337" s="1578"/>
      <c r="Q337" s="1578"/>
      <c r="R337" s="1578"/>
      <c r="S337" s="1578"/>
      <c r="T337" s="1578"/>
      <c r="U337" s="1578"/>
      <c r="V337" s="1578"/>
      <c r="W337" s="1578"/>
      <c r="X337" s="1578"/>
      <c r="Y337" s="1578"/>
      <c r="Z337" s="1578"/>
      <c r="AA337" s="1578"/>
      <c r="AB337" s="1578"/>
      <c r="AC337" s="1578"/>
      <c r="AD337" s="1578"/>
      <c r="AE337" s="1578"/>
      <c r="AF337" s="1578"/>
      <c r="AG337" s="1578"/>
      <c r="AH337" s="1578"/>
      <c r="AI337" s="1578"/>
      <c r="AJ337" s="1578"/>
      <c r="AK337" s="1578"/>
      <c r="AL337" s="1578"/>
      <c r="AM337" s="1578"/>
      <c r="AN337" s="1578"/>
      <c r="AO337" s="1578"/>
      <c r="AP337" s="1578"/>
      <c r="AQ337" s="1578"/>
      <c r="AR337" s="1578"/>
      <c r="AS337" s="1578"/>
      <c r="AT337" s="1578"/>
      <c r="AU337" s="1578"/>
      <c r="AV337" s="1578"/>
      <c r="AW337" s="1578"/>
      <c r="AX337" s="1578"/>
      <c r="AY337" s="1578"/>
      <c r="AZ337" s="1578"/>
      <c r="BA337" s="1578"/>
      <c r="BB337" s="1578"/>
      <c r="BC337" s="1578"/>
      <c r="BD337" s="1578"/>
      <c r="BE337" s="1578"/>
      <c r="BF337" s="1578"/>
      <c r="BG337" s="1578"/>
      <c r="BH337" s="1578"/>
      <c r="BI337" s="1578"/>
      <c r="BJ337" s="1578"/>
      <c r="BK337" s="1578"/>
      <c r="BL337" s="1578"/>
      <c r="BM337" s="1578"/>
      <c r="BN337" s="1578"/>
      <c r="BO337" s="1578"/>
      <c r="BP337" s="1578"/>
      <c r="BQ337" s="1578"/>
      <c r="BR337" s="1578"/>
      <c r="BS337" s="1578"/>
      <c r="BT337" s="1578"/>
      <c r="BU337" s="1578"/>
      <c r="BV337" s="1578"/>
      <c r="BW337" s="1578"/>
      <c r="BX337" s="1578"/>
      <c r="BY337" s="1578"/>
      <c r="BZ337" s="1578"/>
      <c r="CA337" s="1578"/>
      <c r="CB337" s="1578"/>
      <c r="CC337" s="1578"/>
      <c r="CD337" s="1578"/>
      <c r="CE337" s="1578"/>
      <c r="CF337" s="1578"/>
      <c r="CG337" s="1578"/>
      <c r="CH337" s="1578"/>
      <c r="CI337" s="1578"/>
      <c r="CJ337" s="1578"/>
      <c r="CK337" s="1578"/>
      <c r="CL337" s="1578"/>
      <c r="CM337" s="1578"/>
      <c r="CN337" s="1578"/>
      <c r="CO337" s="1578"/>
      <c r="CP337" s="1578"/>
      <c r="CQ337" s="1578"/>
      <c r="CR337" s="1578"/>
      <c r="CS337" s="1578"/>
      <c r="CT337" s="1578"/>
      <c r="CU337" s="1578"/>
      <c r="CV337" s="1578"/>
      <c r="CW337" s="1578"/>
      <c r="CX337" s="1578"/>
      <c r="CY337" s="1578"/>
      <c r="CZ337" s="1578"/>
    </row>
    <row r="338" spans="1:104">
      <c r="A338" s="1466"/>
      <c r="B338" s="1576"/>
      <c r="C338" s="1576"/>
      <c r="D338" s="1576"/>
      <c r="E338" s="1578"/>
      <c r="F338" s="1578"/>
      <c r="G338" s="1578"/>
      <c r="H338" s="1578"/>
      <c r="I338" s="1578"/>
      <c r="J338" s="1578"/>
      <c r="K338" s="1578"/>
      <c r="L338" s="1578"/>
      <c r="M338" s="1578"/>
      <c r="N338" s="1578"/>
      <c r="O338" s="1578"/>
      <c r="P338" s="1578"/>
      <c r="Q338" s="1578"/>
      <c r="R338" s="1578"/>
      <c r="S338" s="1578"/>
      <c r="T338" s="1578"/>
      <c r="U338" s="1578"/>
      <c r="V338" s="1578"/>
      <c r="W338" s="1578"/>
      <c r="X338" s="1578"/>
      <c r="Y338" s="1578"/>
      <c r="Z338" s="1578"/>
      <c r="AA338" s="1578"/>
      <c r="AB338" s="1578"/>
      <c r="AC338" s="1578"/>
      <c r="AD338" s="1578"/>
      <c r="AE338" s="1578"/>
      <c r="AF338" s="1578"/>
      <c r="AG338" s="1578"/>
      <c r="AH338" s="1578"/>
      <c r="AI338" s="1578"/>
      <c r="AJ338" s="1578"/>
      <c r="AK338" s="1578"/>
      <c r="AL338" s="1578"/>
      <c r="AM338" s="1578"/>
      <c r="AN338" s="1578"/>
      <c r="AO338" s="1578"/>
      <c r="AP338" s="1578"/>
      <c r="AQ338" s="1578"/>
      <c r="AR338" s="1578"/>
      <c r="AS338" s="1578"/>
      <c r="AT338" s="1578"/>
      <c r="AU338" s="1578"/>
      <c r="AV338" s="1578"/>
      <c r="AW338" s="1578"/>
      <c r="AX338" s="1578"/>
      <c r="AY338" s="1578"/>
      <c r="AZ338" s="1578"/>
      <c r="BA338" s="1578"/>
      <c r="BB338" s="1578"/>
      <c r="BC338" s="1578"/>
      <c r="BD338" s="1578"/>
      <c r="BE338" s="1578"/>
      <c r="BF338" s="1578"/>
      <c r="BG338" s="1578"/>
      <c r="BH338" s="1578"/>
      <c r="BI338" s="1578"/>
      <c r="BJ338" s="1578"/>
      <c r="BK338" s="1578"/>
      <c r="BL338" s="1578"/>
      <c r="BM338" s="1578"/>
      <c r="BN338" s="1578"/>
      <c r="BO338" s="1578"/>
      <c r="BP338" s="1578"/>
      <c r="BQ338" s="1578"/>
      <c r="BR338" s="1578"/>
      <c r="BS338" s="1578"/>
      <c r="BT338" s="1578"/>
      <c r="BU338" s="1578"/>
      <c r="BV338" s="1578"/>
      <c r="BW338" s="1578"/>
      <c r="BX338" s="1578"/>
      <c r="BY338" s="1578"/>
      <c r="BZ338" s="1578"/>
      <c r="CA338" s="1578"/>
      <c r="CB338" s="1578"/>
      <c r="CC338" s="1578"/>
      <c r="CD338" s="1578"/>
      <c r="CE338" s="1578"/>
      <c r="CF338" s="1578"/>
      <c r="CG338" s="1578"/>
      <c r="CH338" s="1578"/>
      <c r="CI338" s="1578"/>
      <c r="CJ338" s="1578"/>
      <c r="CK338" s="1578"/>
      <c r="CL338" s="1578"/>
      <c r="CM338" s="1578"/>
      <c r="CN338" s="1578"/>
      <c r="CO338" s="1578"/>
      <c r="CP338" s="1578"/>
      <c r="CQ338" s="1578"/>
      <c r="CR338" s="1578"/>
      <c r="CS338" s="1578"/>
      <c r="CT338" s="1578"/>
      <c r="CU338" s="1578"/>
      <c r="CV338" s="1578"/>
      <c r="CW338" s="1578"/>
      <c r="CX338" s="1578"/>
      <c r="CY338" s="1578"/>
      <c r="CZ338" s="1578"/>
    </row>
    <row r="339" spans="1:104">
      <c r="A339" s="1466"/>
      <c r="B339" s="1576"/>
      <c r="C339" s="1576"/>
      <c r="D339" s="1576"/>
      <c r="E339" s="1578"/>
      <c r="F339" s="1578"/>
      <c r="G339" s="1578"/>
      <c r="H339" s="1578"/>
      <c r="I339" s="1578"/>
      <c r="J339" s="1578"/>
      <c r="K339" s="1578"/>
      <c r="L339" s="1578"/>
      <c r="M339" s="1578"/>
      <c r="N339" s="1578"/>
      <c r="O339" s="1578"/>
      <c r="P339" s="1578"/>
      <c r="Q339" s="1578"/>
      <c r="R339" s="1578"/>
      <c r="S339" s="1578"/>
      <c r="T339" s="1578"/>
      <c r="U339" s="1578"/>
      <c r="V339" s="1578"/>
      <c r="W339" s="1578"/>
      <c r="X339" s="1578"/>
      <c r="Y339" s="1578"/>
      <c r="Z339" s="1578"/>
      <c r="AA339" s="1578"/>
      <c r="AB339" s="1578"/>
      <c r="AC339" s="1578"/>
      <c r="AD339" s="1578"/>
      <c r="AE339" s="1578"/>
      <c r="AF339" s="1578"/>
      <c r="AG339" s="1578"/>
      <c r="AH339" s="1578"/>
      <c r="AI339" s="1578"/>
      <c r="AJ339" s="1578"/>
      <c r="AK339" s="1578"/>
      <c r="AL339" s="1578"/>
      <c r="AM339" s="1578"/>
      <c r="AN339" s="1578"/>
      <c r="AO339" s="1578"/>
      <c r="AP339" s="1578"/>
      <c r="AQ339" s="1578"/>
      <c r="AR339" s="1578"/>
      <c r="AS339" s="1578"/>
      <c r="AT339" s="1578"/>
      <c r="AU339" s="1578"/>
      <c r="AV339" s="1578"/>
      <c r="AW339" s="1578"/>
      <c r="AX339" s="1578"/>
      <c r="AY339" s="1578"/>
      <c r="AZ339" s="1578"/>
      <c r="BA339" s="1578"/>
      <c r="BB339" s="1578"/>
      <c r="BC339" s="1578"/>
      <c r="BD339" s="1578"/>
      <c r="BE339" s="1578"/>
      <c r="BF339" s="1578"/>
      <c r="BG339" s="1578"/>
      <c r="BH339" s="1578"/>
      <c r="BI339" s="1578"/>
      <c r="BJ339" s="1578"/>
      <c r="BK339" s="1578"/>
      <c r="BL339" s="1578"/>
      <c r="BM339" s="1578"/>
      <c r="BN339" s="1578"/>
      <c r="BO339" s="1578"/>
      <c r="BP339" s="1578"/>
      <c r="BQ339" s="1578"/>
      <c r="BR339" s="1578"/>
      <c r="BS339" s="1578"/>
      <c r="BT339" s="1578"/>
      <c r="BU339" s="1578"/>
      <c r="BV339" s="1578"/>
      <c r="BW339" s="1578"/>
      <c r="BX339" s="1578"/>
      <c r="BY339" s="1578"/>
      <c r="BZ339" s="1578"/>
      <c r="CA339" s="1578"/>
      <c r="CB339" s="1578"/>
      <c r="CC339" s="1578"/>
      <c r="CD339" s="1578"/>
      <c r="CE339" s="1578"/>
      <c r="CF339" s="1578"/>
      <c r="CG339" s="1578"/>
      <c r="CH339" s="1578"/>
      <c r="CI339" s="1578"/>
      <c r="CJ339" s="1578"/>
      <c r="CK339" s="1578"/>
      <c r="CL339" s="1578"/>
      <c r="CM339" s="1578"/>
      <c r="CN339" s="1578"/>
      <c r="CO339" s="1578"/>
      <c r="CP339" s="1578"/>
      <c r="CQ339" s="1578"/>
      <c r="CR339" s="1578"/>
      <c r="CS339" s="1578"/>
      <c r="CT339" s="1578"/>
      <c r="CU339" s="1578"/>
      <c r="CV339" s="1578"/>
      <c r="CW339" s="1578"/>
      <c r="CX339" s="1578"/>
      <c r="CY339" s="1578"/>
      <c r="CZ339" s="1578"/>
    </row>
    <row r="340" spans="1:104">
      <c r="A340" s="1466"/>
      <c r="B340" s="1576"/>
      <c r="C340" s="1576"/>
      <c r="D340" s="1576"/>
      <c r="E340" s="1578"/>
      <c r="F340" s="1578"/>
      <c r="G340" s="1578"/>
      <c r="H340" s="1578"/>
      <c r="I340" s="1578"/>
      <c r="J340" s="1578"/>
      <c r="K340" s="1578"/>
      <c r="L340" s="1578"/>
      <c r="M340" s="1578"/>
      <c r="N340" s="1578"/>
      <c r="O340" s="1578"/>
      <c r="P340" s="1578"/>
      <c r="Q340" s="1578"/>
      <c r="R340" s="1578"/>
      <c r="S340" s="1578"/>
      <c r="T340" s="1578"/>
      <c r="U340" s="1578"/>
      <c r="V340" s="1578"/>
      <c r="W340" s="1578"/>
      <c r="X340" s="1578"/>
      <c r="Y340" s="1578"/>
      <c r="Z340" s="1578"/>
      <c r="AA340" s="1578"/>
      <c r="AB340" s="1578"/>
      <c r="AC340" s="1578"/>
      <c r="AD340" s="1578"/>
      <c r="AE340" s="1578"/>
      <c r="AF340" s="1578"/>
      <c r="AG340" s="1578"/>
      <c r="AH340" s="1578"/>
      <c r="AI340" s="1578"/>
      <c r="AJ340" s="1578"/>
      <c r="AK340" s="1578"/>
      <c r="AL340" s="1578"/>
      <c r="AM340" s="1578"/>
      <c r="AN340" s="1578"/>
      <c r="AO340" s="1578"/>
      <c r="AP340" s="1578"/>
      <c r="AQ340" s="1578"/>
      <c r="AR340" s="1578"/>
      <c r="AS340" s="1578"/>
      <c r="AT340" s="1578"/>
      <c r="AU340" s="1578"/>
      <c r="AV340" s="1578"/>
      <c r="AW340" s="1578"/>
      <c r="AX340" s="1578"/>
      <c r="AY340" s="1578"/>
      <c r="AZ340" s="1578"/>
      <c r="BA340" s="1578"/>
      <c r="BB340" s="1578"/>
      <c r="BC340" s="1578"/>
      <c r="BD340" s="1578"/>
      <c r="BE340" s="1578"/>
      <c r="BF340" s="1578"/>
      <c r="BG340" s="1578"/>
      <c r="BH340" s="1578"/>
      <c r="BI340" s="1578"/>
      <c r="BJ340" s="1578"/>
      <c r="BK340" s="1578"/>
      <c r="BL340" s="1578"/>
      <c r="BM340" s="1578"/>
      <c r="BN340" s="1578"/>
      <c r="BO340" s="1578"/>
      <c r="BP340" s="1578"/>
      <c r="BQ340" s="1578"/>
      <c r="BR340" s="1578"/>
      <c r="BS340" s="1578"/>
      <c r="BT340" s="1578"/>
      <c r="BU340" s="1578"/>
      <c r="BV340" s="1578"/>
      <c r="BW340" s="1578"/>
      <c r="BX340" s="1578"/>
      <c r="BY340" s="1578"/>
      <c r="BZ340" s="1578"/>
      <c r="CA340" s="1578"/>
      <c r="CB340" s="1578"/>
      <c r="CC340" s="1578"/>
      <c r="CD340" s="1578"/>
      <c r="CE340" s="1578"/>
      <c r="CF340" s="1578"/>
      <c r="CG340" s="1578"/>
      <c r="CH340" s="1578"/>
      <c r="CI340" s="1578"/>
      <c r="CJ340" s="1578"/>
      <c r="CK340" s="1578"/>
      <c r="CL340" s="1578"/>
      <c r="CM340" s="1578"/>
      <c r="CN340" s="1578"/>
      <c r="CO340" s="1578"/>
      <c r="CP340" s="1578"/>
      <c r="CQ340" s="1578"/>
      <c r="CR340" s="1578"/>
      <c r="CS340" s="1578"/>
      <c r="CT340" s="1578"/>
      <c r="CU340" s="1578"/>
      <c r="CV340" s="1578"/>
      <c r="CW340" s="1578"/>
      <c r="CX340" s="1578"/>
      <c r="CY340" s="1578"/>
      <c r="CZ340" s="1578"/>
    </row>
    <row r="341" spans="1:104">
      <c r="A341" s="1466"/>
      <c r="B341" s="1576"/>
      <c r="C341" s="1576"/>
      <c r="D341" s="1576"/>
      <c r="E341" s="1578"/>
      <c r="F341" s="1578"/>
      <c r="G341" s="1578"/>
      <c r="H341" s="1578"/>
      <c r="I341" s="1578"/>
      <c r="J341" s="1578"/>
      <c r="K341" s="1578"/>
      <c r="L341" s="1578"/>
      <c r="M341" s="1578"/>
      <c r="N341" s="1578"/>
      <c r="O341" s="1578"/>
      <c r="P341" s="1578"/>
      <c r="Q341" s="1578"/>
      <c r="R341" s="1578"/>
      <c r="S341" s="1578"/>
      <c r="T341" s="1578"/>
      <c r="U341" s="1578"/>
      <c r="V341" s="1578"/>
      <c r="W341" s="1578"/>
      <c r="X341" s="1578"/>
      <c r="Y341" s="1578"/>
      <c r="Z341" s="1578"/>
      <c r="AA341" s="1578"/>
      <c r="AB341" s="1578"/>
      <c r="AC341" s="1578"/>
      <c r="AD341" s="1578"/>
      <c r="AE341" s="1578"/>
      <c r="AF341" s="1578"/>
      <c r="AG341" s="1578"/>
      <c r="AH341" s="1578"/>
      <c r="AI341" s="1578"/>
      <c r="AJ341" s="1578"/>
      <c r="AK341" s="1578"/>
      <c r="AL341" s="1578"/>
      <c r="AM341" s="1578"/>
      <c r="AN341" s="1578"/>
      <c r="AO341" s="1578"/>
      <c r="AP341" s="1578"/>
      <c r="AQ341" s="1578"/>
      <c r="AR341" s="1578"/>
      <c r="AS341" s="1578"/>
      <c r="AT341" s="1578"/>
      <c r="AU341" s="1578"/>
      <c r="AV341" s="1578"/>
      <c r="AW341" s="1578"/>
      <c r="AX341" s="1578"/>
      <c r="AY341" s="1578"/>
      <c r="AZ341" s="1578"/>
      <c r="BA341" s="1578"/>
      <c r="BB341" s="1578"/>
      <c r="BC341" s="1578"/>
      <c r="BD341" s="1578"/>
      <c r="BE341" s="1578"/>
      <c r="BF341" s="1578"/>
      <c r="BG341" s="1578"/>
      <c r="BH341" s="1578"/>
      <c r="BI341" s="1578"/>
      <c r="BJ341" s="1578"/>
      <c r="BK341" s="1578"/>
      <c r="BL341" s="1578"/>
      <c r="BM341" s="1578"/>
      <c r="BN341" s="1578"/>
      <c r="BO341" s="1578"/>
      <c r="BP341" s="1578"/>
      <c r="BQ341" s="1578"/>
      <c r="BR341" s="1578"/>
      <c r="BS341" s="1578"/>
      <c r="BT341" s="1578"/>
      <c r="BU341" s="1578"/>
      <c r="BV341" s="1578"/>
      <c r="BW341" s="1578"/>
      <c r="BX341" s="1578"/>
      <c r="BY341" s="1578"/>
      <c r="BZ341" s="1578"/>
      <c r="CA341" s="1578"/>
      <c r="CB341" s="1578"/>
      <c r="CC341" s="1578"/>
      <c r="CD341" s="1578"/>
      <c r="CE341" s="1578"/>
      <c r="CF341" s="1578"/>
      <c r="CG341" s="1578"/>
      <c r="CH341" s="1578"/>
      <c r="CI341" s="1578"/>
      <c r="CJ341" s="1578"/>
      <c r="CK341" s="1578"/>
      <c r="CL341" s="1578"/>
      <c r="CM341" s="1578"/>
      <c r="CN341" s="1578"/>
      <c r="CO341" s="1578"/>
      <c r="CP341" s="1578"/>
      <c r="CQ341" s="1578"/>
      <c r="CR341" s="1578"/>
      <c r="CS341" s="1578"/>
      <c r="CT341" s="1578"/>
      <c r="CU341" s="1578"/>
      <c r="CV341" s="1578"/>
      <c r="CW341" s="1578"/>
      <c r="CX341" s="1578"/>
      <c r="CY341" s="1578"/>
      <c r="CZ341" s="1578"/>
    </row>
    <row r="342" spans="1:104">
      <c r="A342" s="1466"/>
      <c r="B342" s="1576"/>
      <c r="C342" s="1576"/>
      <c r="D342" s="1576"/>
      <c r="E342" s="1578"/>
      <c r="F342" s="1578"/>
      <c r="G342" s="1578"/>
      <c r="H342" s="1578"/>
      <c r="I342" s="1578"/>
      <c r="J342" s="1578"/>
      <c r="K342" s="1578"/>
      <c r="L342" s="1578"/>
      <c r="M342" s="1578"/>
      <c r="N342" s="1578"/>
      <c r="O342" s="1578"/>
      <c r="P342" s="1578"/>
      <c r="Q342" s="1578"/>
      <c r="R342" s="1578"/>
      <c r="S342" s="1578"/>
      <c r="T342" s="1578"/>
      <c r="U342" s="1578"/>
      <c r="V342" s="1578"/>
      <c r="W342" s="1578"/>
      <c r="X342" s="1578"/>
      <c r="Y342" s="1578"/>
      <c r="Z342" s="1578"/>
      <c r="AA342" s="1578"/>
      <c r="AB342" s="1578"/>
      <c r="AC342" s="1578"/>
      <c r="AD342" s="1578"/>
      <c r="AE342" s="1578"/>
      <c r="AF342" s="1578"/>
      <c r="AG342" s="1578"/>
      <c r="AH342" s="1578"/>
      <c r="AI342" s="1578"/>
      <c r="AJ342" s="1578"/>
      <c r="AK342" s="1578"/>
      <c r="AL342" s="1578"/>
      <c r="AM342" s="1578"/>
      <c r="AN342" s="1578"/>
      <c r="AO342" s="1578"/>
      <c r="AP342" s="1578"/>
      <c r="AQ342" s="1578"/>
      <c r="AR342" s="1578"/>
      <c r="AS342" s="1578"/>
      <c r="AT342" s="1578"/>
      <c r="AU342" s="1578"/>
      <c r="AV342" s="1578"/>
      <c r="AW342" s="1578"/>
      <c r="AX342" s="1578"/>
      <c r="AY342" s="1578"/>
      <c r="AZ342" s="1578"/>
      <c r="BA342" s="1578"/>
      <c r="BB342" s="1578"/>
      <c r="BC342" s="1578"/>
      <c r="BD342" s="1578"/>
      <c r="BE342" s="1578"/>
      <c r="BF342" s="1578"/>
      <c r="BG342" s="1578"/>
      <c r="BH342" s="1578"/>
      <c r="BI342" s="1578"/>
      <c r="BJ342" s="1578"/>
      <c r="BK342" s="1578"/>
      <c r="BL342" s="1578"/>
      <c r="BM342" s="1578"/>
      <c r="BN342" s="1578"/>
      <c r="BO342" s="1578"/>
      <c r="BP342" s="1578"/>
      <c r="BQ342" s="1578"/>
      <c r="BR342" s="1578"/>
      <c r="BS342" s="1578"/>
      <c r="BT342" s="1578"/>
      <c r="BU342" s="1578"/>
      <c r="BV342" s="1578"/>
      <c r="BW342" s="1578"/>
      <c r="BX342" s="1578"/>
      <c r="BY342" s="1578"/>
      <c r="BZ342" s="1578"/>
      <c r="CA342" s="1578"/>
      <c r="CB342" s="1578"/>
      <c r="CC342" s="1578"/>
      <c r="CD342" s="1578"/>
      <c r="CE342" s="1578"/>
      <c r="CF342" s="1578"/>
      <c r="CG342" s="1578"/>
      <c r="CH342" s="1578"/>
      <c r="CI342" s="1578"/>
      <c r="CJ342" s="1578"/>
      <c r="CK342" s="1578"/>
      <c r="CL342" s="1578"/>
      <c r="CM342" s="1578"/>
      <c r="CN342" s="1578"/>
      <c r="CO342" s="1578"/>
      <c r="CP342" s="1578"/>
      <c r="CQ342" s="1578"/>
      <c r="CR342" s="1578"/>
      <c r="CS342" s="1578"/>
      <c r="CT342" s="1578"/>
      <c r="CU342" s="1578"/>
      <c r="CV342" s="1578"/>
      <c r="CW342" s="1578"/>
      <c r="CX342" s="1578"/>
      <c r="CY342" s="1578"/>
      <c r="CZ342" s="1578"/>
    </row>
    <row r="343" spans="1:104">
      <c r="A343" s="1466"/>
      <c r="B343" s="1576"/>
      <c r="C343" s="1576"/>
      <c r="D343" s="1576"/>
      <c r="E343" s="1578"/>
      <c r="F343" s="1578"/>
      <c r="G343" s="1578"/>
      <c r="H343" s="1578"/>
      <c r="I343" s="1578"/>
      <c r="J343" s="1578"/>
      <c r="K343" s="1578"/>
      <c r="L343" s="1578"/>
      <c r="M343" s="1578"/>
      <c r="N343" s="1578"/>
      <c r="O343" s="1578"/>
      <c r="P343" s="1578"/>
      <c r="Q343" s="1578"/>
      <c r="R343" s="1578"/>
      <c r="S343" s="1578"/>
      <c r="T343" s="1578"/>
      <c r="U343" s="1578"/>
      <c r="V343" s="1578"/>
      <c r="W343" s="1578"/>
      <c r="X343" s="1578"/>
      <c r="Y343" s="1578"/>
      <c r="Z343" s="1578"/>
      <c r="AA343" s="1578"/>
      <c r="AB343" s="1578"/>
      <c r="AC343" s="1578"/>
      <c r="AD343" s="1578"/>
      <c r="AE343" s="1578"/>
      <c r="AF343" s="1578"/>
      <c r="AG343" s="1578"/>
      <c r="AH343" s="1578"/>
      <c r="AI343" s="1578"/>
      <c r="AJ343" s="1578"/>
      <c r="AK343" s="1578"/>
      <c r="AL343" s="1578"/>
      <c r="AM343" s="1578"/>
      <c r="AN343" s="1578"/>
      <c r="AO343" s="1578"/>
      <c r="AP343" s="1578"/>
      <c r="AQ343" s="1578"/>
      <c r="AR343" s="1578"/>
      <c r="AS343" s="1578"/>
      <c r="AT343" s="1578"/>
      <c r="AU343" s="1578"/>
      <c r="AV343" s="1578"/>
      <c r="AW343" s="1578"/>
      <c r="AX343" s="1578"/>
      <c r="AY343" s="1578"/>
      <c r="AZ343" s="1578"/>
      <c r="BA343" s="1578"/>
      <c r="BB343" s="1578"/>
      <c r="BC343" s="1578"/>
      <c r="BD343" s="1578"/>
      <c r="BE343" s="1578"/>
      <c r="BF343" s="1578"/>
      <c r="BG343" s="1578"/>
      <c r="BH343" s="1578"/>
      <c r="BI343" s="1578"/>
      <c r="BJ343" s="1578"/>
      <c r="BK343" s="1578"/>
      <c r="BL343" s="1578"/>
      <c r="BM343" s="1578"/>
      <c r="BN343" s="1578"/>
      <c r="BO343" s="1578"/>
      <c r="BP343" s="1578"/>
      <c r="BQ343" s="1578"/>
      <c r="BR343" s="1578"/>
      <c r="BS343" s="1578"/>
      <c r="BT343" s="1578"/>
      <c r="BU343" s="1578"/>
      <c r="BV343" s="1578"/>
      <c r="BW343" s="1578"/>
      <c r="BX343" s="1578"/>
      <c r="BY343" s="1578"/>
      <c r="BZ343" s="1578"/>
      <c r="CA343" s="1578"/>
      <c r="CB343" s="1578"/>
      <c r="CC343" s="1578"/>
      <c r="CD343" s="1578"/>
      <c r="CE343" s="1578"/>
      <c r="CF343" s="1578"/>
      <c r="CG343" s="1578"/>
      <c r="CH343" s="1578"/>
      <c r="CI343" s="1578"/>
      <c r="CJ343" s="1578"/>
      <c r="CK343" s="1578"/>
      <c r="CL343" s="1578"/>
      <c r="CM343" s="1578"/>
      <c r="CN343" s="1578"/>
      <c r="CO343" s="1578"/>
      <c r="CP343" s="1578"/>
      <c r="CQ343" s="1578"/>
      <c r="CR343" s="1578"/>
      <c r="CS343" s="1578"/>
      <c r="CT343" s="1578"/>
      <c r="CU343" s="1578"/>
      <c r="CV343" s="1578"/>
      <c r="CW343" s="1578"/>
      <c r="CX343" s="1578"/>
      <c r="CY343" s="1578"/>
      <c r="CZ343" s="1578"/>
    </row>
    <row r="344" spans="1:104">
      <c r="A344" s="1466"/>
      <c r="B344" s="1576"/>
      <c r="C344" s="1576"/>
      <c r="D344" s="1576"/>
      <c r="E344" s="1578"/>
      <c r="F344" s="1578"/>
      <c r="G344" s="1578"/>
      <c r="H344" s="1578"/>
      <c r="I344" s="1578"/>
      <c r="J344" s="1578"/>
      <c r="K344" s="1578"/>
      <c r="L344" s="1578"/>
      <c r="M344" s="1578"/>
      <c r="N344" s="1578"/>
      <c r="O344" s="1578"/>
      <c r="P344" s="1578"/>
      <c r="Q344" s="1578"/>
      <c r="R344" s="1578"/>
      <c r="S344" s="1578"/>
      <c r="T344" s="1578"/>
      <c r="U344" s="1578"/>
      <c r="V344" s="1578"/>
      <c r="W344" s="1578"/>
      <c r="X344" s="1578"/>
      <c r="Y344" s="1578"/>
      <c r="Z344" s="1578"/>
      <c r="AA344" s="1578"/>
      <c r="AB344" s="1578"/>
      <c r="AC344" s="1578"/>
      <c r="AD344" s="1578"/>
      <c r="AE344" s="1578"/>
      <c r="AF344" s="1578"/>
      <c r="AG344" s="1578"/>
      <c r="AH344" s="1578"/>
      <c r="AI344" s="1578"/>
      <c r="AJ344" s="1578"/>
      <c r="AK344" s="1578"/>
      <c r="AL344" s="1578"/>
      <c r="AM344" s="1578"/>
      <c r="AN344" s="1578"/>
      <c r="AO344" s="1578"/>
      <c r="AP344" s="1578"/>
      <c r="AQ344" s="1578"/>
      <c r="AR344" s="1578"/>
      <c r="AS344" s="1578"/>
      <c r="AT344" s="1578"/>
      <c r="AU344" s="1578"/>
      <c r="AV344" s="1578"/>
      <c r="AW344" s="1578"/>
      <c r="AX344" s="1578"/>
      <c r="AY344" s="1578"/>
      <c r="AZ344" s="1578"/>
      <c r="BA344" s="1578"/>
      <c r="BB344" s="1578"/>
      <c r="BC344" s="1578"/>
      <c r="BD344" s="1578"/>
      <c r="BE344" s="1578"/>
      <c r="BF344" s="1578"/>
      <c r="BG344" s="1578"/>
      <c r="BH344" s="1578"/>
      <c r="BI344" s="1578"/>
      <c r="BJ344" s="1578"/>
      <c r="BK344" s="1578"/>
      <c r="BL344" s="1578"/>
      <c r="BM344" s="1578"/>
      <c r="BN344" s="1578"/>
      <c r="BO344" s="1578"/>
      <c r="BP344" s="1578"/>
      <c r="BQ344" s="1578"/>
      <c r="BR344" s="1578"/>
      <c r="BS344" s="1578"/>
      <c r="BT344" s="1578"/>
      <c r="BU344" s="1578"/>
      <c r="BV344" s="1578"/>
      <c r="BW344" s="1578"/>
      <c r="BX344" s="1578"/>
      <c r="BY344" s="1578"/>
      <c r="BZ344" s="1578"/>
      <c r="CA344" s="1578"/>
      <c r="CB344" s="1578"/>
      <c r="CC344" s="1578"/>
      <c r="CD344" s="1578"/>
      <c r="CE344" s="1578"/>
      <c r="CF344" s="1578"/>
      <c r="CG344" s="1578"/>
      <c r="CH344" s="1578"/>
      <c r="CI344" s="1578"/>
      <c r="CJ344" s="1578"/>
      <c r="CK344" s="1578"/>
      <c r="CL344" s="1578"/>
      <c r="CM344" s="1578"/>
      <c r="CN344" s="1578"/>
      <c r="CO344" s="1578"/>
      <c r="CP344" s="1578"/>
      <c r="CQ344" s="1578"/>
      <c r="CR344" s="1578"/>
      <c r="CS344" s="1578"/>
      <c r="CT344" s="1578"/>
      <c r="CU344" s="1578"/>
      <c r="CV344" s="1578"/>
      <c r="CW344" s="1578"/>
      <c r="CX344" s="1578"/>
      <c r="CY344" s="1578"/>
      <c r="CZ344" s="1578"/>
    </row>
    <row r="345" spans="1:104">
      <c r="A345" s="1466"/>
      <c r="B345" s="1576"/>
      <c r="C345" s="1576"/>
      <c r="D345" s="1576"/>
      <c r="E345" s="1578"/>
      <c r="F345" s="1578"/>
      <c r="G345" s="1578"/>
      <c r="H345" s="1578"/>
      <c r="I345" s="1578"/>
      <c r="J345" s="1578"/>
      <c r="K345" s="1578"/>
      <c r="L345" s="1578"/>
      <c r="M345" s="1578"/>
      <c r="N345" s="1578"/>
      <c r="O345" s="1578"/>
      <c r="P345" s="1578"/>
      <c r="Q345" s="1578"/>
      <c r="R345" s="1578"/>
      <c r="S345" s="1578"/>
      <c r="T345" s="1578"/>
      <c r="U345" s="1578"/>
      <c r="V345" s="1578"/>
      <c r="W345" s="1578"/>
      <c r="X345" s="1578"/>
      <c r="Y345" s="1578"/>
      <c r="Z345" s="1578"/>
      <c r="AA345" s="1578"/>
      <c r="AB345" s="1578"/>
      <c r="AC345" s="1578"/>
      <c r="AD345" s="1578"/>
      <c r="AE345" s="1578"/>
      <c r="AF345" s="1578"/>
      <c r="AG345" s="1578"/>
      <c r="AH345" s="1578"/>
      <c r="AI345" s="1578"/>
      <c r="AJ345" s="1578"/>
      <c r="AK345" s="1578"/>
      <c r="AL345" s="1578"/>
      <c r="AM345" s="1578"/>
      <c r="AN345" s="1578"/>
      <c r="AO345" s="1578"/>
      <c r="AP345" s="1578"/>
      <c r="AQ345" s="1578"/>
      <c r="AR345" s="1578"/>
      <c r="AS345" s="1578"/>
      <c r="AT345" s="1578"/>
      <c r="AU345" s="1578"/>
      <c r="AV345" s="1578"/>
      <c r="AW345" s="1578"/>
      <c r="AX345" s="1578"/>
      <c r="AY345" s="1578"/>
      <c r="AZ345" s="1578"/>
      <c r="BA345" s="1578"/>
      <c r="BB345" s="1578"/>
      <c r="BC345" s="1578"/>
      <c r="BD345" s="1578"/>
      <c r="BE345" s="1578"/>
      <c r="BF345" s="1578"/>
      <c r="BG345" s="1578"/>
      <c r="BH345" s="1578"/>
      <c r="BI345" s="1578"/>
      <c r="BJ345" s="1578"/>
      <c r="BK345" s="1578"/>
      <c r="BL345" s="1578"/>
      <c r="BM345" s="1578"/>
      <c r="BN345" s="1578"/>
      <c r="BO345" s="1578"/>
      <c r="BP345" s="1578"/>
      <c r="BQ345" s="1578"/>
      <c r="BR345" s="1578"/>
      <c r="BS345" s="1578"/>
      <c r="BT345" s="1578"/>
      <c r="BU345" s="1578"/>
      <c r="BV345" s="1578"/>
      <c r="BW345" s="1578"/>
      <c r="BX345" s="1578"/>
      <c r="BY345" s="1578"/>
      <c r="BZ345" s="1578"/>
      <c r="CA345" s="1578"/>
      <c r="CB345" s="1578"/>
      <c r="CC345" s="1578"/>
      <c r="CD345" s="1578"/>
      <c r="CE345" s="1578"/>
      <c r="CF345" s="1578"/>
      <c r="CG345" s="1578"/>
      <c r="CH345" s="1578"/>
      <c r="CI345" s="1578"/>
      <c r="CJ345" s="1578"/>
      <c r="CK345" s="1578"/>
      <c r="CL345" s="1578"/>
      <c r="CM345" s="1578"/>
      <c r="CN345" s="1578"/>
      <c r="CO345" s="1578"/>
      <c r="CP345" s="1578"/>
      <c r="CQ345" s="1578"/>
      <c r="CR345" s="1578"/>
      <c r="CS345" s="1578"/>
      <c r="CT345" s="1578"/>
      <c r="CU345" s="1578"/>
      <c r="CV345" s="1578"/>
      <c r="CW345" s="1578"/>
      <c r="CX345" s="1578"/>
      <c r="CY345" s="1578"/>
      <c r="CZ345" s="1578"/>
    </row>
    <row r="346" spans="1:104">
      <c r="A346" s="1466"/>
      <c r="B346" s="1576"/>
      <c r="C346" s="1576"/>
      <c r="D346" s="1576"/>
      <c r="E346" s="1578"/>
      <c r="F346" s="1578"/>
      <c r="G346" s="1578"/>
      <c r="H346" s="1578"/>
      <c r="I346" s="1578"/>
      <c r="J346" s="1578"/>
      <c r="K346" s="1578"/>
      <c r="L346" s="1578"/>
      <c r="M346" s="1578"/>
      <c r="N346" s="1578"/>
      <c r="O346" s="1578"/>
      <c r="P346" s="1578"/>
      <c r="Q346" s="1578"/>
      <c r="R346" s="1578"/>
      <c r="S346" s="1578"/>
      <c r="T346" s="1578"/>
      <c r="U346" s="1578"/>
      <c r="V346" s="1578"/>
      <c r="W346" s="1578"/>
      <c r="X346" s="1578"/>
      <c r="Y346" s="1578"/>
      <c r="Z346" s="1578"/>
      <c r="AA346" s="1578"/>
      <c r="AB346" s="1578"/>
      <c r="AC346" s="1578"/>
      <c r="AD346" s="1578"/>
      <c r="AE346" s="1578"/>
      <c r="AF346" s="1578"/>
      <c r="AG346" s="1578"/>
      <c r="AH346" s="1578"/>
      <c r="AI346" s="1578"/>
      <c r="AJ346" s="1578"/>
      <c r="AK346" s="1578"/>
      <c r="AL346" s="1578"/>
      <c r="AM346" s="1578"/>
      <c r="AN346" s="1578"/>
      <c r="AO346" s="1578"/>
      <c r="AP346" s="1578"/>
      <c r="AQ346" s="1578"/>
      <c r="AR346" s="1578"/>
      <c r="AS346" s="1578"/>
      <c r="AT346" s="1578"/>
      <c r="AU346" s="1578"/>
      <c r="AV346" s="1578"/>
      <c r="AW346" s="1578"/>
      <c r="AX346" s="1578"/>
      <c r="AY346" s="1578"/>
      <c r="AZ346" s="1578"/>
      <c r="BA346" s="1578"/>
      <c r="BB346" s="1578"/>
      <c r="BC346" s="1578"/>
      <c r="BD346" s="1578"/>
      <c r="BE346" s="1578"/>
      <c r="BF346" s="1578"/>
      <c r="BG346" s="1578"/>
      <c r="BH346" s="1578"/>
      <c r="BI346" s="1578"/>
      <c r="BJ346" s="1578"/>
      <c r="BK346" s="1578"/>
      <c r="BL346" s="1578"/>
      <c r="BM346" s="1578"/>
      <c r="BN346" s="1578"/>
      <c r="BO346" s="1578"/>
      <c r="BP346" s="1578"/>
      <c r="BQ346" s="1578"/>
      <c r="BR346" s="1578"/>
      <c r="BS346" s="1578"/>
      <c r="BT346" s="1578"/>
      <c r="BU346" s="1578"/>
      <c r="BV346" s="1578"/>
      <c r="BW346" s="1578"/>
      <c r="BX346" s="1578"/>
      <c r="BY346" s="1578"/>
      <c r="BZ346" s="1578"/>
      <c r="CA346" s="1578"/>
      <c r="CB346" s="1578"/>
      <c r="CC346" s="1578"/>
      <c r="CD346" s="1578"/>
      <c r="CE346" s="1578"/>
      <c r="CF346" s="1578"/>
      <c r="CG346" s="1578"/>
      <c r="CH346" s="1578"/>
      <c r="CI346" s="1578"/>
      <c r="CJ346" s="1578"/>
      <c r="CK346" s="1578"/>
      <c r="CL346" s="1578"/>
      <c r="CM346" s="1578"/>
      <c r="CN346" s="1578"/>
      <c r="CO346" s="1578"/>
      <c r="CP346" s="1578"/>
      <c r="CQ346" s="1578"/>
      <c r="CR346" s="1578"/>
      <c r="CS346" s="1578"/>
      <c r="CT346" s="1578"/>
      <c r="CU346" s="1578"/>
      <c r="CV346" s="1578"/>
      <c r="CW346" s="1578"/>
      <c r="CX346" s="1578"/>
      <c r="CY346" s="1578"/>
      <c r="CZ346" s="1578"/>
    </row>
    <row r="347" spans="1:104">
      <c r="A347" s="1466"/>
      <c r="B347" s="1576"/>
      <c r="C347" s="1576"/>
      <c r="D347" s="1576"/>
      <c r="E347" s="1578"/>
      <c r="F347" s="1578"/>
      <c r="G347" s="1578"/>
      <c r="H347" s="1578"/>
      <c r="I347" s="1578"/>
      <c r="J347" s="1578"/>
      <c r="K347" s="1578"/>
      <c r="L347" s="1578"/>
      <c r="M347" s="1578"/>
      <c r="N347" s="1578"/>
      <c r="O347" s="1578"/>
      <c r="P347" s="1578"/>
      <c r="Q347" s="1578"/>
      <c r="R347" s="1578"/>
      <c r="S347" s="1578"/>
      <c r="T347" s="1578"/>
      <c r="U347" s="1578"/>
      <c r="V347" s="1578"/>
      <c r="W347" s="1578"/>
      <c r="X347" s="1578"/>
      <c r="Y347" s="1578"/>
      <c r="Z347" s="1578"/>
      <c r="AA347" s="1578"/>
      <c r="AB347" s="1578"/>
      <c r="AC347" s="1578"/>
      <c r="AD347" s="1578"/>
      <c r="AE347" s="1578"/>
      <c r="AF347" s="1578"/>
      <c r="AG347" s="1578"/>
      <c r="AH347" s="1578"/>
      <c r="AI347" s="1578"/>
      <c r="AJ347" s="1578"/>
      <c r="AK347" s="1578"/>
      <c r="AL347" s="1578"/>
      <c r="AM347" s="1578"/>
      <c r="AN347" s="1578"/>
      <c r="AO347" s="1578"/>
      <c r="AP347" s="1578"/>
      <c r="AQ347" s="1578"/>
      <c r="AR347" s="1578"/>
      <c r="AS347" s="1578"/>
      <c r="AT347" s="1578"/>
      <c r="AU347" s="1578"/>
      <c r="AV347" s="1578"/>
      <c r="AW347" s="1578"/>
      <c r="AX347" s="1578"/>
      <c r="AY347" s="1578"/>
      <c r="AZ347" s="1578"/>
      <c r="BA347" s="1578"/>
      <c r="BB347" s="1578"/>
      <c r="BC347" s="1578"/>
      <c r="BD347" s="1578"/>
      <c r="BE347" s="1578"/>
      <c r="BF347" s="1578"/>
      <c r="BG347" s="1578"/>
      <c r="BH347" s="1578"/>
      <c r="BI347" s="1578"/>
      <c r="BJ347" s="1578"/>
      <c r="BK347" s="1578"/>
      <c r="BL347" s="1578"/>
      <c r="BM347" s="1578"/>
      <c r="BN347" s="1578"/>
      <c r="BO347" s="1578"/>
      <c r="BP347" s="1578"/>
      <c r="BQ347" s="1578"/>
      <c r="BR347" s="1578"/>
      <c r="BS347" s="1578"/>
      <c r="BT347" s="1578"/>
      <c r="BU347" s="1578"/>
      <c r="BV347" s="1578"/>
      <c r="BW347" s="1578"/>
      <c r="BX347" s="1578"/>
      <c r="BY347" s="1578"/>
      <c r="BZ347" s="1578"/>
      <c r="CA347" s="1578"/>
      <c r="CB347" s="1578"/>
      <c r="CC347" s="1578"/>
      <c r="CD347" s="1578"/>
      <c r="CE347" s="1578"/>
      <c r="CF347" s="1578"/>
      <c r="CG347" s="1578"/>
      <c r="CH347" s="1578"/>
      <c r="CI347" s="1578"/>
      <c r="CJ347" s="1578"/>
      <c r="CK347" s="1578"/>
      <c r="CL347" s="1578"/>
      <c r="CM347" s="1578"/>
      <c r="CN347" s="1578"/>
      <c r="CO347" s="1578"/>
      <c r="CP347" s="1578"/>
      <c r="CQ347" s="1578"/>
      <c r="CR347" s="1578"/>
      <c r="CS347" s="1578"/>
      <c r="CT347" s="1578"/>
      <c r="CU347" s="1578"/>
      <c r="CV347" s="1578"/>
      <c r="CW347" s="1578"/>
      <c r="CX347" s="1578"/>
      <c r="CY347" s="1578"/>
      <c r="CZ347" s="1578"/>
    </row>
    <row r="348" spans="1:104">
      <c r="A348" s="1466"/>
      <c r="B348" s="1576"/>
      <c r="C348" s="1576"/>
      <c r="D348" s="1576"/>
      <c r="E348" s="1578"/>
      <c r="F348" s="1578"/>
      <c r="G348" s="1578"/>
      <c r="H348" s="1578"/>
      <c r="I348" s="1578"/>
      <c r="J348" s="1578"/>
      <c r="K348" s="1578"/>
      <c r="L348" s="1578"/>
      <c r="M348" s="1578"/>
      <c r="N348" s="1578"/>
      <c r="O348" s="1578"/>
      <c r="P348" s="1578"/>
      <c r="Q348" s="1578"/>
      <c r="R348" s="1578"/>
      <c r="S348" s="1578"/>
      <c r="T348" s="1578"/>
      <c r="U348" s="1578"/>
      <c r="V348" s="1578"/>
      <c r="W348" s="1578"/>
      <c r="X348" s="1578"/>
      <c r="Y348" s="1578"/>
      <c r="Z348" s="1578"/>
      <c r="AA348" s="1578"/>
      <c r="AB348" s="1578"/>
      <c r="AC348" s="1578"/>
      <c r="AD348" s="1578"/>
      <c r="AE348" s="1578"/>
      <c r="AF348" s="1578"/>
      <c r="AG348" s="1578"/>
      <c r="AH348" s="1578"/>
      <c r="AI348" s="1578"/>
      <c r="AJ348" s="1578"/>
      <c r="AK348" s="1578"/>
      <c r="AL348" s="1578"/>
      <c r="AM348" s="1578"/>
      <c r="AN348" s="1578"/>
      <c r="AO348" s="1578"/>
      <c r="AP348" s="1578"/>
      <c r="AQ348" s="1578"/>
      <c r="AR348" s="1578"/>
      <c r="AS348" s="1578"/>
      <c r="AT348" s="1578"/>
      <c r="AU348" s="1578"/>
      <c r="AV348" s="1578"/>
      <c r="AW348" s="1578"/>
      <c r="AX348" s="1578"/>
      <c r="AY348" s="1578"/>
      <c r="AZ348" s="1578"/>
      <c r="BA348" s="1578"/>
      <c r="BB348" s="1578"/>
      <c r="BC348" s="1578"/>
      <c r="BD348" s="1578"/>
      <c r="BE348" s="1578"/>
      <c r="BF348" s="1578"/>
      <c r="BG348" s="1578"/>
      <c r="BH348" s="1578"/>
      <c r="BI348" s="1578"/>
      <c r="BJ348" s="1578"/>
      <c r="BK348" s="1578"/>
      <c r="BL348" s="1578"/>
      <c r="BM348" s="1578"/>
      <c r="BN348" s="1578"/>
      <c r="BO348" s="1578"/>
      <c r="BP348" s="1578"/>
      <c r="BQ348" s="1578"/>
      <c r="BR348" s="1578"/>
      <c r="BS348" s="1578"/>
      <c r="BT348" s="1578"/>
      <c r="BU348" s="1578"/>
      <c r="BV348" s="1578"/>
      <c r="BW348" s="1578"/>
      <c r="BX348" s="1578"/>
      <c r="BY348" s="1578"/>
      <c r="BZ348" s="1578"/>
      <c r="CA348" s="1578"/>
      <c r="CB348" s="1578"/>
      <c r="CC348" s="1578"/>
      <c r="CD348" s="1578"/>
      <c r="CE348" s="1578"/>
      <c r="CF348" s="1578"/>
      <c r="CG348" s="1578"/>
      <c r="CH348" s="1578"/>
      <c r="CI348" s="1578"/>
      <c r="CJ348" s="1578"/>
      <c r="CK348" s="1578"/>
      <c r="CL348" s="1578"/>
      <c r="CM348" s="1578"/>
      <c r="CN348" s="1578"/>
      <c r="CO348" s="1578"/>
      <c r="CP348" s="1578"/>
      <c r="CQ348" s="1578"/>
      <c r="CR348" s="1578"/>
      <c r="CS348" s="1578"/>
      <c r="CT348" s="1578"/>
      <c r="CU348" s="1578"/>
      <c r="CV348" s="1578"/>
      <c r="CW348" s="1578"/>
      <c r="CX348" s="1578"/>
      <c r="CY348" s="1578"/>
      <c r="CZ348" s="1578"/>
    </row>
    <row r="349" spans="1:104">
      <c r="A349" s="1466"/>
      <c r="B349" s="1576"/>
      <c r="C349" s="1576"/>
      <c r="D349" s="1576"/>
      <c r="E349" s="1578"/>
      <c r="F349" s="1578"/>
      <c r="G349" s="1578"/>
      <c r="H349" s="1578"/>
      <c r="I349" s="1578"/>
      <c r="J349" s="1578"/>
      <c r="K349" s="1578"/>
      <c r="L349" s="1578"/>
      <c r="M349" s="1578"/>
      <c r="N349" s="1578"/>
      <c r="O349" s="1578"/>
      <c r="P349" s="1578"/>
      <c r="Q349" s="1578"/>
      <c r="R349" s="1578"/>
      <c r="S349" s="1578"/>
      <c r="T349" s="1578"/>
      <c r="U349" s="1578"/>
      <c r="V349" s="1578"/>
      <c r="W349" s="1578"/>
      <c r="X349" s="1578"/>
      <c r="Y349" s="1578"/>
      <c r="Z349" s="1578"/>
      <c r="AA349" s="1578"/>
      <c r="AB349" s="1578"/>
      <c r="AC349" s="1578"/>
      <c r="AD349" s="1578"/>
      <c r="AE349" s="1578"/>
      <c r="AF349" s="1578"/>
      <c r="AG349" s="1578"/>
      <c r="AH349" s="1578"/>
      <c r="AI349" s="1578"/>
      <c r="AJ349" s="1578"/>
      <c r="AK349" s="1578"/>
      <c r="AL349" s="1578"/>
      <c r="AM349" s="1578"/>
      <c r="AN349" s="1578"/>
      <c r="AO349" s="1578"/>
      <c r="AP349" s="1578"/>
      <c r="AQ349" s="1578"/>
      <c r="AR349" s="1578"/>
      <c r="AS349" s="1578"/>
      <c r="AT349" s="1578"/>
      <c r="AU349" s="1578"/>
      <c r="AV349" s="1578"/>
      <c r="AW349" s="1578"/>
      <c r="AX349" s="1578"/>
      <c r="AY349" s="1578"/>
      <c r="AZ349" s="1578"/>
      <c r="BA349" s="1578"/>
      <c r="BB349" s="1578"/>
      <c r="BC349" s="1578"/>
      <c r="BD349" s="1578"/>
      <c r="BE349" s="1578"/>
      <c r="BF349" s="1578"/>
      <c r="BG349" s="1578"/>
      <c r="BH349" s="1578"/>
      <c r="BI349" s="1578"/>
      <c r="BJ349" s="1578"/>
      <c r="BK349" s="1578"/>
      <c r="BL349" s="1578"/>
      <c r="BM349" s="1578"/>
      <c r="BN349" s="1578"/>
      <c r="BO349" s="1578"/>
      <c r="BP349" s="1578"/>
      <c r="BQ349" s="1578"/>
      <c r="BR349" s="1578"/>
      <c r="BS349" s="1578"/>
      <c r="BT349" s="1578"/>
      <c r="BU349" s="1578"/>
      <c r="BV349" s="1578"/>
      <c r="BW349" s="1578"/>
      <c r="BX349" s="1578"/>
      <c r="BY349" s="1578"/>
      <c r="BZ349" s="1578"/>
      <c r="CA349" s="1578"/>
      <c r="CB349" s="1578"/>
      <c r="CC349" s="1578"/>
      <c r="CD349" s="1578"/>
      <c r="CE349" s="1578"/>
      <c r="CF349" s="1578"/>
      <c r="CG349" s="1578"/>
      <c r="CH349" s="1578"/>
      <c r="CI349" s="1578"/>
      <c r="CJ349" s="1578"/>
      <c r="CK349" s="1578"/>
      <c r="CL349" s="1578"/>
      <c r="CM349" s="1578"/>
      <c r="CN349" s="1578"/>
      <c r="CO349" s="1578"/>
      <c r="CP349" s="1578"/>
      <c r="CQ349" s="1578"/>
      <c r="CR349" s="1578"/>
      <c r="CS349" s="1578"/>
      <c r="CT349" s="1578"/>
      <c r="CU349" s="1578"/>
      <c r="CV349" s="1578"/>
      <c r="CW349" s="1578"/>
      <c r="CX349" s="1578"/>
      <c r="CY349" s="1578"/>
      <c r="CZ349" s="1578"/>
    </row>
    <row r="350" spans="1:104">
      <c r="A350" s="1466"/>
      <c r="B350" s="1576"/>
      <c r="C350" s="1576"/>
      <c r="D350" s="1576"/>
      <c r="E350" s="1578"/>
      <c r="F350" s="1578"/>
      <c r="G350" s="1578"/>
      <c r="H350" s="1578"/>
      <c r="I350" s="1578"/>
      <c r="J350" s="1578"/>
      <c r="K350" s="1578"/>
      <c r="L350" s="1578"/>
      <c r="M350" s="1578"/>
      <c r="N350" s="1578"/>
      <c r="O350" s="1578"/>
      <c r="P350" s="1578"/>
      <c r="Q350" s="1578"/>
      <c r="R350" s="1578"/>
      <c r="S350" s="1578"/>
      <c r="T350" s="1578"/>
      <c r="U350" s="1578"/>
      <c r="V350" s="1578"/>
      <c r="W350" s="1578"/>
      <c r="X350" s="1578"/>
      <c r="Y350" s="1578"/>
      <c r="Z350" s="1578"/>
      <c r="AA350" s="1578"/>
      <c r="AB350" s="1578"/>
      <c r="AC350" s="1578"/>
      <c r="AD350" s="1578"/>
      <c r="AE350" s="1578"/>
      <c r="AF350" s="1578"/>
      <c r="AG350" s="1578"/>
      <c r="AH350" s="1578"/>
      <c r="AI350" s="1578"/>
      <c r="AJ350" s="1578"/>
      <c r="AK350" s="1578"/>
      <c r="AL350" s="1578"/>
      <c r="AM350" s="1578"/>
      <c r="AN350" s="1578"/>
      <c r="AO350" s="1578"/>
      <c r="AP350" s="1578"/>
      <c r="AQ350" s="1578"/>
      <c r="AR350" s="1578"/>
      <c r="AS350" s="1578"/>
      <c r="AT350" s="1578"/>
      <c r="AU350" s="1578"/>
      <c r="AV350" s="1578"/>
      <c r="AW350" s="1578"/>
      <c r="AX350" s="1578"/>
      <c r="AY350" s="1578"/>
      <c r="AZ350" s="1578"/>
      <c r="BA350" s="1578"/>
      <c r="BB350" s="1578"/>
      <c r="BC350" s="1578"/>
      <c r="BD350" s="1578"/>
      <c r="BE350" s="1578"/>
      <c r="BF350" s="1578"/>
      <c r="BG350" s="1578"/>
      <c r="BH350" s="1578"/>
      <c r="BI350" s="1578"/>
      <c r="BJ350" s="1578"/>
      <c r="BK350" s="1578"/>
      <c r="BL350" s="1578"/>
      <c r="BM350" s="1578"/>
      <c r="BN350" s="1578"/>
      <c r="BO350" s="1578"/>
      <c r="BP350" s="1578"/>
      <c r="BQ350" s="1578"/>
      <c r="BR350" s="1578"/>
      <c r="BS350" s="1578"/>
      <c r="BT350" s="1578"/>
      <c r="BU350" s="1578"/>
      <c r="BV350" s="1578"/>
      <c r="BW350" s="1578"/>
      <c r="BX350" s="1578"/>
      <c r="BY350" s="1578"/>
      <c r="BZ350" s="1578"/>
      <c r="CA350" s="1578"/>
      <c r="CB350" s="1578"/>
      <c r="CC350" s="1578"/>
      <c r="CD350" s="1578"/>
      <c r="CE350" s="1578"/>
      <c r="CF350" s="1578"/>
      <c r="CG350" s="1578"/>
      <c r="CH350" s="1578"/>
      <c r="CI350" s="1578"/>
      <c r="CJ350" s="1578"/>
      <c r="CK350" s="1578"/>
      <c r="CL350" s="1578"/>
      <c r="CM350" s="1578"/>
      <c r="CN350" s="1578"/>
      <c r="CO350" s="1578"/>
      <c r="CP350" s="1578"/>
      <c r="CQ350" s="1578"/>
      <c r="CR350" s="1578"/>
      <c r="CS350" s="1578"/>
      <c r="CT350" s="1578"/>
      <c r="CU350" s="1578"/>
      <c r="CV350" s="1578"/>
      <c r="CW350" s="1578"/>
      <c r="CX350" s="1578"/>
      <c r="CY350" s="1578"/>
      <c r="CZ350" s="1578"/>
    </row>
    <row r="351" spans="1:104">
      <c r="A351" s="1466"/>
      <c r="B351" s="1576"/>
      <c r="C351" s="1576"/>
      <c r="D351" s="1576"/>
      <c r="E351" s="1578"/>
      <c r="F351" s="1578"/>
      <c r="G351" s="1578"/>
      <c r="H351" s="1578"/>
      <c r="I351" s="1578"/>
      <c r="J351" s="1578"/>
      <c r="K351" s="1578"/>
      <c r="L351" s="1578"/>
      <c r="M351" s="1578"/>
      <c r="N351" s="1578"/>
      <c r="O351" s="1578"/>
      <c r="P351" s="1578"/>
      <c r="Q351" s="1578"/>
      <c r="R351" s="1578"/>
      <c r="S351" s="1578"/>
      <c r="T351" s="1578"/>
      <c r="U351" s="1578"/>
      <c r="V351" s="1578"/>
      <c r="W351" s="1578"/>
      <c r="X351" s="1578"/>
      <c r="Y351" s="1578"/>
      <c r="Z351" s="1578"/>
      <c r="AA351" s="1578"/>
      <c r="AB351" s="1578"/>
      <c r="AC351" s="1578"/>
      <c r="AD351" s="1578"/>
      <c r="AE351" s="1578"/>
      <c r="AF351" s="1578"/>
      <c r="AG351" s="1578"/>
      <c r="AH351" s="1578"/>
      <c r="AI351" s="1578"/>
      <c r="AJ351" s="1578"/>
      <c r="AK351" s="1578"/>
      <c r="AL351" s="1578"/>
      <c r="AM351" s="1578"/>
      <c r="AN351" s="1578"/>
      <c r="AO351" s="1578"/>
      <c r="AP351" s="1578"/>
      <c r="AQ351" s="1578"/>
      <c r="AR351" s="1578"/>
      <c r="AS351" s="1578"/>
      <c r="AT351" s="1578"/>
      <c r="AU351" s="1578"/>
      <c r="AV351" s="1578"/>
      <c r="AW351" s="1578"/>
      <c r="AX351" s="1578"/>
      <c r="AY351" s="1578"/>
      <c r="AZ351" s="1578"/>
      <c r="BA351" s="1578"/>
      <c r="BB351" s="1578"/>
      <c r="BC351" s="1578"/>
      <c r="BD351" s="1578"/>
      <c r="BE351" s="1578"/>
      <c r="BF351" s="1578"/>
      <c r="BG351" s="1578"/>
      <c r="BH351" s="1578"/>
      <c r="BI351" s="1578"/>
      <c r="BJ351" s="1578"/>
      <c r="BK351" s="1578"/>
      <c r="BL351" s="1578"/>
      <c r="BM351" s="1578"/>
      <c r="BN351" s="1578"/>
      <c r="BO351" s="1578"/>
      <c r="BP351" s="1578"/>
      <c r="BQ351" s="1578"/>
      <c r="BR351" s="1578"/>
      <c r="BS351" s="1578"/>
      <c r="BT351" s="1578"/>
      <c r="BU351" s="1578"/>
      <c r="BV351" s="1578"/>
      <c r="BW351" s="1578"/>
      <c r="BX351" s="1578"/>
      <c r="BY351" s="1578"/>
      <c r="BZ351" s="1578"/>
      <c r="CA351" s="1578"/>
      <c r="CB351" s="1578"/>
      <c r="CC351" s="1578"/>
      <c r="CD351" s="1578"/>
      <c r="CE351" s="1578"/>
      <c r="CF351" s="1578"/>
      <c r="CG351" s="1578"/>
      <c r="CH351" s="1578"/>
      <c r="CI351" s="1578"/>
      <c r="CJ351" s="1578"/>
      <c r="CK351" s="1578"/>
      <c r="CL351" s="1578"/>
      <c r="CM351" s="1578"/>
      <c r="CN351" s="1578"/>
      <c r="CO351" s="1578"/>
      <c r="CP351" s="1578"/>
      <c r="CQ351" s="1578"/>
      <c r="CR351" s="1578"/>
      <c r="CS351" s="1578"/>
      <c r="CT351" s="1578"/>
      <c r="CU351" s="1578"/>
      <c r="CV351" s="1578"/>
      <c r="CW351" s="1578"/>
      <c r="CX351" s="1578"/>
      <c r="CY351" s="1578"/>
      <c r="CZ351" s="1578"/>
    </row>
    <row r="352" spans="1:104">
      <c r="A352" s="1466"/>
      <c r="B352" s="1576"/>
      <c r="C352" s="1576"/>
      <c r="D352" s="1576"/>
      <c r="E352" s="1578"/>
      <c r="F352" s="1578"/>
      <c r="G352" s="1578"/>
      <c r="H352" s="1578"/>
      <c r="I352" s="1578"/>
      <c r="J352" s="1578"/>
      <c r="K352" s="1578"/>
      <c r="L352" s="1578"/>
      <c r="M352" s="1578"/>
      <c r="N352" s="1578"/>
      <c r="O352" s="1578"/>
      <c r="P352" s="1578"/>
      <c r="Q352" s="1578"/>
      <c r="R352" s="1578"/>
      <c r="S352" s="1578"/>
      <c r="T352" s="1578"/>
      <c r="U352" s="1578"/>
      <c r="V352" s="1578"/>
      <c r="W352" s="1578"/>
      <c r="X352" s="1578"/>
      <c r="Y352" s="1578"/>
      <c r="Z352" s="1578"/>
      <c r="AA352" s="1578"/>
      <c r="AB352" s="1578"/>
      <c r="AC352" s="1578"/>
      <c r="AD352" s="1578"/>
      <c r="AE352" s="1578"/>
      <c r="AF352" s="1578"/>
      <c r="AG352" s="1578"/>
      <c r="AH352" s="1578"/>
      <c r="AI352" s="1578"/>
      <c r="AJ352" s="1578"/>
      <c r="AK352" s="1578"/>
      <c r="AL352" s="1578"/>
      <c r="AM352" s="1578"/>
      <c r="AN352" s="1578"/>
      <c r="AO352" s="1578"/>
      <c r="AP352" s="1578"/>
      <c r="AQ352" s="1578"/>
      <c r="AR352" s="1578"/>
      <c r="AS352" s="1578"/>
      <c r="AT352" s="1578"/>
      <c r="AU352" s="1578"/>
      <c r="AV352" s="1578"/>
      <c r="AW352" s="1578"/>
      <c r="AX352" s="1578"/>
      <c r="AY352" s="1578"/>
      <c r="AZ352" s="1578"/>
      <c r="BA352" s="1578"/>
      <c r="BB352" s="1578"/>
      <c r="BC352" s="1578"/>
      <c r="BD352" s="1578"/>
      <c r="BE352" s="1578"/>
      <c r="BF352" s="1578"/>
      <c r="BG352" s="1578"/>
      <c r="BH352" s="1578"/>
      <c r="BI352" s="1578"/>
      <c r="BJ352" s="1578"/>
      <c r="BK352" s="1578"/>
      <c r="BL352" s="1578"/>
      <c r="BM352" s="1578"/>
      <c r="BN352" s="1578"/>
      <c r="BO352" s="1578"/>
      <c r="BP352" s="1578"/>
      <c r="BQ352" s="1578"/>
      <c r="BR352" s="1578"/>
      <c r="BS352" s="1578"/>
      <c r="BT352" s="1578"/>
      <c r="BU352" s="1578"/>
      <c r="BV352" s="1578"/>
      <c r="BW352" s="1578"/>
      <c r="BX352" s="1578"/>
      <c r="BY352" s="1578"/>
      <c r="BZ352" s="1578"/>
      <c r="CA352" s="1578"/>
      <c r="CB352" s="1578"/>
      <c r="CC352" s="1578"/>
      <c r="CD352" s="1578"/>
      <c r="CE352" s="1578"/>
      <c r="CF352" s="1578"/>
      <c r="CG352" s="1578"/>
      <c r="CH352" s="1578"/>
      <c r="CI352" s="1578"/>
      <c r="CJ352" s="1578"/>
      <c r="CK352" s="1578"/>
      <c r="CL352" s="1578"/>
      <c r="CM352" s="1578"/>
      <c r="CN352" s="1578"/>
      <c r="CO352" s="1578"/>
      <c r="CP352" s="1578"/>
      <c r="CQ352" s="1578"/>
      <c r="CR352" s="1578"/>
      <c r="CS352" s="1578"/>
      <c r="CT352" s="1578"/>
      <c r="CU352" s="1578"/>
      <c r="CV352" s="1578"/>
      <c r="CW352" s="1578"/>
      <c r="CX352" s="1578"/>
      <c r="CY352" s="1578"/>
      <c r="CZ352" s="1578"/>
    </row>
    <row r="353" spans="1:407">
      <c r="A353" s="1466"/>
      <c r="B353" s="1576"/>
      <c r="C353" s="1576"/>
      <c r="D353" s="1576"/>
      <c r="E353" s="1578"/>
      <c r="F353" s="1578"/>
      <c r="G353" s="1578"/>
      <c r="H353" s="1578"/>
      <c r="I353" s="1578"/>
      <c r="J353" s="1578"/>
      <c r="K353" s="1578"/>
      <c r="L353" s="1578"/>
      <c r="M353" s="1578"/>
      <c r="N353" s="1578"/>
      <c r="O353" s="1578"/>
      <c r="P353" s="1578"/>
      <c r="Q353" s="1578"/>
      <c r="R353" s="1578"/>
      <c r="S353" s="1578"/>
      <c r="T353" s="1578"/>
      <c r="U353" s="1578"/>
      <c r="V353" s="1578"/>
      <c r="W353" s="1578"/>
      <c r="X353" s="1578"/>
      <c r="Y353" s="1578"/>
      <c r="Z353" s="1578"/>
      <c r="AA353" s="1578"/>
      <c r="AB353" s="1578"/>
      <c r="AC353" s="1578"/>
      <c r="AD353" s="1578"/>
      <c r="AE353" s="1578"/>
      <c r="AF353" s="1578"/>
      <c r="AG353" s="1578"/>
      <c r="AH353" s="1578"/>
      <c r="AI353" s="1578"/>
      <c r="AJ353" s="1578"/>
      <c r="AK353" s="1578"/>
      <c r="AL353" s="1578"/>
      <c r="AM353" s="1578"/>
      <c r="AN353" s="1578"/>
      <c r="AO353" s="1578"/>
      <c r="AP353" s="1578"/>
      <c r="AQ353" s="1578"/>
      <c r="AR353" s="1578"/>
      <c r="AS353" s="1578"/>
      <c r="AT353" s="1578"/>
      <c r="AU353" s="1578"/>
      <c r="AV353" s="1578"/>
      <c r="AW353" s="1578"/>
      <c r="AX353" s="1578"/>
      <c r="AY353" s="1578"/>
      <c r="AZ353" s="1578"/>
      <c r="BA353" s="1578"/>
      <c r="BB353" s="1578"/>
      <c r="BC353" s="1578"/>
      <c r="BD353" s="1578"/>
      <c r="BE353" s="1578"/>
      <c r="BF353" s="1578"/>
      <c r="BG353" s="1578"/>
      <c r="BH353" s="1578"/>
      <c r="BI353" s="1578"/>
      <c r="BJ353" s="1578"/>
      <c r="BK353" s="1578"/>
      <c r="BL353" s="1578"/>
      <c r="BM353" s="1578"/>
      <c r="BN353" s="1578"/>
      <c r="BO353" s="1578"/>
      <c r="BP353" s="1578"/>
      <c r="BQ353" s="1578"/>
      <c r="BR353" s="1578"/>
      <c r="BS353" s="1578"/>
      <c r="BT353" s="1578"/>
      <c r="BU353" s="1578"/>
      <c r="BV353" s="1578"/>
      <c r="BW353" s="1578"/>
      <c r="BX353" s="1578"/>
      <c r="BY353" s="1578"/>
      <c r="BZ353" s="1578"/>
      <c r="CA353" s="1578"/>
      <c r="CB353" s="1578"/>
      <c r="CC353" s="1578"/>
      <c r="CD353" s="1578"/>
      <c r="CE353" s="1578"/>
      <c r="CF353" s="1578"/>
      <c r="CG353" s="1578"/>
      <c r="CH353" s="1578"/>
      <c r="CI353" s="1578"/>
      <c r="CJ353" s="1578"/>
      <c r="CK353" s="1578"/>
      <c r="CL353" s="1578"/>
      <c r="CM353" s="1578"/>
      <c r="CN353" s="1578"/>
      <c r="CO353" s="1578"/>
      <c r="CP353" s="1578"/>
      <c r="CQ353" s="1578"/>
      <c r="CR353" s="1578"/>
      <c r="CS353" s="1578"/>
      <c r="CT353" s="1578"/>
      <c r="CU353" s="1578"/>
      <c r="CV353" s="1578"/>
      <c r="CW353" s="1578"/>
      <c r="CX353" s="1578"/>
      <c r="CY353" s="1578"/>
      <c r="CZ353" s="1578"/>
    </row>
    <row r="354" spans="1:407">
      <c r="A354" s="1466"/>
      <c r="B354" s="1576"/>
      <c r="C354" s="1576"/>
      <c r="D354" s="1576"/>
      <c r="E354" s="1578"/>
      <c r="F354" s="1578"/>
      <c r="G354" s="1578"/>
      <c r="H354" s="1578"/>
      <c r="I354" s="1578"/>
      <c r="J354" s="1578"/>
      <c r="K354" s="1578"/>
      <c r="L354" s="1578"/>
      <c r="M354" s="1578"/>
      <c r="N354" s="1578"/>
      <c r="O354" s="1578"/>
      <c r="P354" s="1578"/>
      <c r="Q354" s="1578"/>
      <c r="R354" s="1578"/>
      <c r="S354" s="1578"/>
      <c r="T354" s="1578"/>
      <c r="U354" s="1578"/>
      <c r="V354" s="1578"/>
      <c r="W354" s="1578"/>
      <c r="X354" s="1578"/>
      <c r="Y354" s="1578"/>
      <c r="Z354" s="1578"/>
      <c r="AA354" s="1578"/>
      <c r="AB354" s="1578"/>
      <c r="AC354" s="1578"/>
      <c r="AD354" s="1578"/>
      <c r="AE354" s="1578"/>
      <c r="AF354" s="1578"/>
      <c r="AG354" s="1578"/>
      <c r="AH354" s="1578"/>
      <c r="AI354" s="1578"/>
      <c r="AJ354" s="1578"/>
      <c r="AK354" s="1578"/>
      <c r="AL354" s="1578"/>
      <c r="AM354" s="1578"/>
      <c r="AN354" s="1578"/>
      <c r="AO354" s="1578"/>
      <c r="AP354" s="1578"/>
      <c r="AQ354" s="1578"/>
      <c r="AR354" s="1578"/>
      <c r="AS354" s="1578"/>
      <c r="AT354" s="1578"/>
      <c r="AU354" s="1578"/>
      <c r="AV354" s="1578"/>
      <c r="AW354" s="1578"/>
      <c r="AX354" s="1578"/>
      <c r="AY354" s="1578"/>
      <c r="AZ354" s="1578"/>
      <c r="BA354" s="1578"/>
      <c r="BB354" s="1578"/>
      <c r="BC354" s="1578"/>
      <c r="BD354" s="1578"/>
      <c r="BE354" s="1578"/>
      <c r="BF354" s="1578"/>
      <c r="BG354" s="1578"/>
      <c r="BH354" s="1578"/>
      <c r="BI354" s="1578"/>
      <c r="BJ354" s="1578"/>
      <c r="BK354" s="1578"/>
      <c r="BL354" s="1578"/>
      <c r="BM354" s="1578"/>
      <c r="BN354" s="1578"/>
      <c r="BO354" s="1578"/>
      <c r="BP354" s="1578"/>
      <c r="BQ354" s="1578"/>
      <c r="BR354" s="1578"/>
      <c r="BS354" s="1578"/>
      <c r="BT354" s="1578"/>
      <c r="BU354" s="1578"/>
      <c r="BV354" s="1578"/>
      <c r="BW354" s="1578"/>
      <c r="BX354" s="1578"/>
      <c r="BY354" s="1578"/>
      <c r="BZ354" s="1578"/>
      <c r="CA354" s="1578"/>
      <c r="CB354" s="1578"/>
      <c r="CC354" s="1578"/>
      <c r="CD354" s="1578"/>
      <c r="CE354" s="1578"/>
      <c r="CF354" s="1578"/>
      <c r="CG354" s="1578"/>
      <c r="CH354" s="1578"/>
      <c r="CI354" s="1578"/>
      <c r="CJ354" s="1578"/>
      <c r="CK354" s="1578"/>
      <c r="CL354" s="1578"/>
      <c r="CM354" s="1578"/>
      <c r="CN354" s="1578"/>
      <c r="CO354" s="1578"/>
      <c r="CP354" s="1578"/>
      <c r="CQ354" s="1578"/>
      <c r="CR354" s="1578"/>
      <c r="CS354" s="1578"/>
      <c r="CT354" s="1578"/>
      <c r="CU354" s="1578"/>
      <c r="CV354" s="1578"/>
      <c r="CW354" s="1578"/>
      <c r="CX354" s="1578"/>
      <c r="CY354" s="1578"/>
      <c r="CZ354" s="1578"/>
    </row>
    <row r="355" spans="1:407">
      <c r="A355" s="1466"/>
      <c r="B355" s="1576"/>
      <c r="C355" s="1576"/>
      <c r="D355" s="1576"/>
      <c r="E355" s="1578"/>
      <c r="F355" s="1578"/>
      <c r="G355" s="1578"/>
      <c r="H355" s="1578"/>
      <c r="I355" s="1578"/>
      <c r="J355" s="1578"/>
      <c r="K355" s="1578"/>
      <c r="L355" s="1578"/>
      <c r="M355" s="1578"/>
      <c r="N355" s="1578"/>
      <c r="O355" s="1578"/>
      <c r="P355" s="1578"/>
      <c r="Q355" s="1578"/>
      <c r="R355" s="1578"/>
      <c r="S355" s="1578"/>
      <c r="T355" s="1578"/>
      <c r="U355" s="1578"/>
      <c r="V355" s="1578"/>
      <c r="W355" s="1578"/>
      <c r="X355" s="1578"/>
      <c r="Y355" s="1578"/>
      <c r="Z355" s="1578"/>
      <c r="AA355" s="1578"/>
      <c r="AB355" s="1578"/>
      <c r="AC355" s="1578"/>
      <c r="AD355" s="1578"/>
      <c r="AE355" s="1578"/>
      <c r="AF355" s="1578"/>
      <c r="AG355" s="1578"/>
      <c r="AH355" s="1578"/>
      <c r="AI355" s="1578"/>
      <c r="AJ355" s="1578"/>
      <c r="AK355" s="1578"/>
      <c r="AL355" s="1578"/>
      <c r="AM355" s="1578"/>
      <c r="AN355" s="1578"/>
      <c r="AO355" s="1578"/>
      <c r="AP355" s="1578"/>
      <c r="AQ355" s="1578"/>
      <c r="AR355" s="1578"/>
      <c r="AS355" s="1578"/>
      <c r="AT355" s="1578"/>
      <c r="AU355" s="1578"/>
      <c r="AV355" s="1578"/>
      <c r="AW355" s="1578"/>
      <c r="AX355" s="1578"/>
      <c r="AY355" s="1578"/>
      <c r="AZ355" s="1578"/>
      <c r="BA355" s="1578"/>
      <c r="BB355" s="1578"/>
      <c r="BC355" s="1578"/>
      <c r="BD355" s="1578"/>
      <c r="BE355" s="1578"/>
      <c r="BF355" s="1578"/>
      <c r="BG355" s="1578"/>
      <c r="BH355" s="1578"/>
      <c r="BI355" s="1578"/>
      <c r="BJ355" s="1578"/>
      <c r="BK355" s="1578"/>
      <c r="BL355" s="1578"/>
      <c r="BM355" s="1578"/>
      <c r="BN355" s="1578"/>
      <c r="BO355" s="1578"/>
      <c r="BP355" s="1578"/>
      <c r="BQ355" s="1578"/>
      <c r="BR355" s="1578"/>
      <c r="BS355" s="1578"/>
      <c r="BT355" s="1578"/>
      <c r="BU355" s="1578"/>
      <c r="BV355" s="1578"/>
      <c r="BW355" s="1578"/>
      <c r="BX355" s="1578"/>
      <c r="BY355" s="1578"/>
      <c r="BZ355" s="1578"/>
      <c r="CA355" s="1578"/>
      <c r="CB355" s="1578"/>
      <c r="CC355" s="1578"/>
      <c r="CD355" s="1578"/>
      <c r="CE355" s="1578"/>
      <c r="CF355" s="1578"/>
      <c r="CG355" s="1578"/>
      <c r="CH355" s="1578"/>
      <c r="CI355" s="1578"/>
      <c r="CJ355" s="1578"/>
      <c r="CK355" s="1578"/>
      <c r="CL355" s="1578"/>
      <c r="CM355" s="1578"/>
      <c r="CN355" s="1578"/>
      <c r="CO355" s="1578"/>
      <c r="CP355" s="1578"/>
      <c r="CQ355" s="1578"/>
      <c r="CR355" s="1578"/>
      <c r="CS355" s="1578"/>
      <c r="CT355" s="1578"/>
      <c r="CU355" s="1578"/>
      <c r="CV355" s="1578"/>
      <c r="CW355" s="1578"/>
      <c r="CX355" s="1578"/>
      <c r="CY355" s="1578"/>
      <c r="CZ355" s="1578"/>
    </row>
    <row r="356" spans="1:407">
      <c r="A356" s="1466"/>
      <c r="B356" s="1576"/>
      <c r="C356" s="1576"/>
      <c r="D356" s="1576"/>
      <c r="E356" s="1578"/>
      <c r="F356" s="1578"/>
      <c r="G356" s="1578"/>
      <c r="H356" s="1578"/>
      <c r="I356" s="1578"/>
      <c r="J356" s="1578"/>
      <c r="K356" s="1578"/>
      <c r="L356" s="1578"/>
      <c r="M356" s="1578"/>
      <c r="N356" s="1578"/>
      <c r="O356" s="1578"/>
      <c r="P356" s="1578"/>
      <c r="Q356" s="1578"/>
      <c r="R356" s="1578"/>
      <c r="S356" s="1578"/>
      <c r="T356" s="1578"/>
      <c r="U356" s="1578"/>
      <c r="V356" s="1578"/>
      <c r="W356" s="1578"/>
      <c r="X356" s="1578"/>
      <c r="Y356" s="1578"/>
      <c r="Z356" s="1578"/>
      <c r="AA356" s="1578"/>
      <c r="AB356" s="1578"/>
      <c r="AC356" s="1578"/>
      <c r="AD356" s="1578"/>
      <c r="AE356" s="1578"/>
      <c r="AF356" s="1578"/>
      <c r="AG356" s="1578"/>
      <c r="AH356" s="1578"/>
      <c r="AI356" s="1578"/>
      <c r="AJ356" s="1578"/>
      <c r="AK356" s="1578"/>
      <c r="AL356" s="1578"/>
      <c r="AM356" s="1578"/>
      <c r="AN356" s="1578"/>
      <c r="AO356" s="1578"/>
      <c r="AP356" s="1578"/>
      <c r="AQ356" s="1578"/>
      <c r="AR356" s="1578"/>
      <c r="AS356" s="1578"/>
      <c r="AT356" s="1578"/>
      <c r="AU356" s="1578"/>
      <c r="AV356" s="1578"/>
      <c r="AW356" s="1578"/>
      <c r="AX356" s="1578"/>
      <c r="AY356" s="1578"/>
      <c r="AZ356" s="1578"/>
      <c r="BA356" s="1578"/>
      <c r="BB356" s="1578"/>
      <c r="BC356" s="1578"/>
      <c r="BD356" s="1578"/>
      <c r="BE356" s="1578"/>
      <c r="BF356" s="1578"/>
      <c r="BG356" s="1578"/>
      <c r="BH356" s="1578"/>
      <c r="BI356" s="1578"/>
      <c r="BJ356" s="1578"/>
      <c r="BK356" s="1578"/>
      <c r="BL356" s="1578"/>
      <c r="BM356" s="1578"/>
      <c r="BN356" s="1578"/>
      <c r="BO356" s="1578"/>
      <c r="BP356" s="1578"/>
      <c r="BQ356" s="1578"/>
      <c r="BR356" s="1578"/>
      <c r="BS356" s="1578"/>
      <c r="BT356" s="1578"/>
      <c r="BU356" s="1578"/>
      <c r="BV356" s="1578"/>
      <c r="BW356" s="1578"/>
      <c r="BX356" s="1578"/>
      <c r="BY356" s="1578"/>
      <c r="BZ356" s="1578"/>
      <c r="CA356" s="1578"/>
      <c r="CB356" s="1578"/>
      <c r="CC356" s="1578"/>
      <c r="CD356" s="1578"/>
      <c r="CE356" s="1578"/>
      <c r="CF356" s="1578"/>
      <c r="CG356" s="1578"/>
      <c r="CH356" s="1578"/>
      <c r="CI356" s="1578"/>
      <c r="CJ356" s="1578"/>
      <c r="CK356" s="1578"/>
      <c r="CL356" s="1578"/>
      <c r="CM356" s="1578"/>
      <c r="CN356" s="1578"/>
      <c r="CO356" s="1578"/>
      <c r="CP356" s="1578"/>
      <c r="CQ356" s="1578"/>
      <c r="CR356" s="1578"/>
      <c r="CS356" s="1578"/>
      <c r="CT356" s="1578"/>
      <c r="CU356" s="1578"/>
      <c r="CV356" s="1578"/>
      <c r="CW356" s="1578"/>
      <c r="CX356" s="1578"/>
      <c r="CY356" s="1578"/>
      <c r="CZ356" s="1578"/>
    </row>
    <row r="357" spans="1:407">
      <c r="A357" s="1466"/>
      <c r="B357" s="1576"/>
      <c r="C357" s="1576"/>
      <c r="D357" s="1576"/>
      <c r="E357" s="1578"/>
      <c r="F357" s="1578"/>
      <c r="G357" s="1578"/>
      <c r="H357" s="1578"/>
      <c r="I357" s="1578"/>
      <c r="J357" s="1578"/>
      <c r="K357" s="1578"/>
      <c r="L357" s="1578"/>
      <c r="M357" s="1578"/>
      <c r="N357" s="1578"/>
      <c r="O357" s="1578"/>
      <c r="P357" s="1578"/>
      <c r="Q357" s="1578"/>
      <c r="R357" s="1578"/>
      <c r="S357" s="1578"/>
      <c r="T357" s="1578"/>
      <c r="U357" s="1578"/>
      <c r="V357" s="1578"/>
      <c r="W357" s="1578"/>
      <c r="X357" s="1578"/>
      <c r="Y357" s="1578"/>
      <c r="Z357" s="1578"/>
      <c r="AA357" s="1578"/>
      <c r="AB357" s="1578"/>
      <c r="AC357" s="1578"/>
      <c r="AD357" s="1578"/>
      <c r="AE357" s="1578"/>
      <c r="AF357" s="1578"/>
      <c r="AG357" s="1578"/>
      <c r="AH357" s="1578"/>
      <c r="AI357" s="1578"/>
      <c r="AJ357" s="1578"/>
      <c r="AK357" s="1578"/>
      <c r="AL357" s="1578"/>
      <c r="AM357" s="1578"/>
      <c r="AN357" s="1578"/>
      <c r="AO357" s="1578"/>
      <c r="AP357" s="1578"/>
      <c r="AQ357" s="1578"/>
      <c r="AR357" s="1578"/>
      <c r="AS357" s="1578"/>
      <c r="AT357" s="1578"/>
      <c r="AU357" s="1578"/>
      <c r="AV357" s="1578"/>
      <c r="AW357" s="1578"/>
      <c r="AX357" s="1578"/>
      <c r="AY357" s="1578"/>
      <c r="AZ357" s="1578"/>
      <c r="BA357" s="1578"/>
      <c r="BB357" s="1578"/>
      <c r="BC357" s="1578"/>
      <c r="BD357" s="1578"/>
      <c r="BE357" s="1578"/>
      <c r="BF357" s="1578"/>
      <c r="BG357" s="1578"/>
      <c r="BH357" s="1578"/>
      <c r="BI357" s="1578"/>
      <c r="BJ357" s="1578"/>
      <c r="BK357" s="1578"/>
      <c r="BL357" s="1578"/>
      <c r="BM357" s="1578"/>
      <c r="BN357" s="1578"/>
      <c r="BO357" s="1578"/>
      <c r="BP357" s="1578"/>
      <c r="BQ357" s="1578"/>
      <c r="BR357" s="1578"/>
      <c r="BS357" s="1578"/>
      <c r="BT357" s="1578"/>
      <c r="BU357" s="1578"/>
      <c r="BV357" s="1578"/>
      <c r="BW357" s="1578"/>
      <c r="BX357" s="1578"/>
      <c r="BY357" s="1578"/>
      <c r="BZ357" s="1578"/>
      <c r="CA357" s="1578"/>
      <c r="CB357" s="1578"/>
      <c r="CC357" s="1578"/>
      <c r="CD357" s="1578"/>
      <c r="CE357" s="1578"/>
      <c r="CF357" s="1578"/>
      <c r="CG357" s="1578"/>
      <c r="CH357" s="1578"/>
      <c r="CI357" s="1578"/>
      <c r="CJ357" s="1578"/>
      <c r="CK357" s="1578"/>
      <c r="CL357" s="1578"/>
      <c r="CM357" s="1578"/>
      <c r="CN357" s="1578"/>
      <c r="CO357" s="1578"/>
      <c r="CP357" s="1578"/>
      <c r="CQ357" s="1578"/>
      <c r="CR357" s="1578"/>
      <c r="CS357" s="1578"/>
      <c r="CT357" s="1578"/>
      <c r="CU357" s="1578"/>
      <c r="CV357" s="1578"/>
      <c r="CW357" s="1578"/>
      <c r="CX357" s="1578"/>
      <c r="CY357" s="1578"/>
      <c r="CZ357" s="1578"/>
    </row>
    <row r="358" spans="1:407">
      <c r="A358" s="1466"/>
      <c r="B358" s="1576"/>
      <c r="C358" s="1576"/>
      <c r="D358" s="1576"/>
      <c r="E358" s="1578"/>
      <c r="F358" s="1578"/>
      <c r="G358" s="1578"/>
      <c r="H358" s="1578"/>
      <c r="I358" s="1578"/>
      <c r="J358" s="1578"/>
      <c r="K358" s="1578"/>
      <c r="L358" s="1578"/>
      <c r="M358" s="1578"/>
      <c r="N358" s="1578"/>
      <c r="O358" s="1578"/>
      <c r="P358" s="1578"/>
      <c r="Q358" s="1578"/>
      <c r="R358" s="1578"/>
      <c r="S358" s="1578"/>
      <c r="T358" s="1578"/>
      <c r="U358" s="1578"/>
      <c r="V358" s="1578"/>
      <c r="W358" s="1578"/>
      <c r="X358" s="1578"/>
      <c r="Y358" s="1578"/>
      <c r="Z358" s="1578"/>
      <c r="AA358" s="1578"/>
      <c r="AB358" s="1578"/>
      <c r="AC358" s="1578"/>
      <c r="AD358" s="1578"/>
      <c r="AE358" s="1578"/>
      <c r="AF358" s="1578"/>
      <c r="AG358" s="1578"/>
      <c r="AH358" s="1578"/>
      <c r="AI358" s="1578"/>
      <c r="AJ358" s="1578"/>
      <c r="AK358" s="1578"/>
      <c r="AL358" s="1578"/>
      <c r="AM358" s="1578"/>
      <c r="AN358" s="1578"/>
      <c r="AO358" s="1578"/>
      <c r="AP358" s="1578"/>
      <c r="AQ358" s="1578"/>
      <c r="AR358" s="1578"/>
      <c r="AS358" s="1578"/>
      <c r="AT358" s="1578"/>
      <c r="AU358" s="1578"/>
      <c r="AV358" s="1578"/>
      <c r="AW358" s="1578"/>
      <c r="AX358" s="1578"/>
      <c r="AY358" s="1578"/>
      <c r="AZ358" s="1578"/>
      <c r="BA358" s="1578"/>
      <c r="BB358" s="1578"/>
      <c r="BC358" s="1578"/>
      <c r="BD358" s="1578"/>
      <c r="BE358" s="1578"/>
      <c r="BF358" s="1578"/>
      <c r="BG358" s="1578"/>
      <c r="BH358" s="1578"/>
      <c r="BI358" s="1578"/>
      <c r="BJ358" s="1578"/>
      <c r="BK358" s="1578"/>
      <c r="BL358" s="1578"/>
      <c r="BM358" s="1578"/>
      <c r="BN358" s="1578"/>
      <c r="BO358" s="1578"/>
      <c r="BP358" s="1578"/>
      <c r="BQ358" s="1578"/>
      <c r="BR358" s="1578"/>
      <c r="BS358" s="1578"/>
      <c r="BT358" s="1578"/>
      <c r="BU358" s="1578"/>
      <c r="BV358" s="1578"/>
      <c r="BW358" s="1578"/>
      <c r="BX358" s="1578"/>
      <c r="BY358" s="1578"/>
      <c r="BZ358" s="1578"/>
      <c r="CA358" s="1578"/>
      <c r="CB358" s="1578"/>
      <c r="CC358" s="1578"/>
      <c r="CD358" s="1578"/>
      <c r="CE358" s="1578"/>
      <c r="CF358" s="1578"/>
      <c r="CG358" s="1578"/>
      <c r="CH358" s="1578"/>
      <c r="CI358" s="1578"/>
      <c r="CJ358" s="1578"/>
      <c r="CK358" s="1578"/>
      <c r="CL358" s="1578"/>
      <c r="CM358" s="1578"/>
      <c r="CN358" s="1578"/>
      <c r="CO358" s="1578"/>
      <c r="CP358" s="1578"/>
      <c r="CQ358" s="1578"/>
      <c r="CR358" s="1578"/>
      <c r="CS358" s="1578"/>
      <c r="CT358" s="1578"/>
      <c r="CU358" s="1578"/>
      <c r="CV358" s="1578"/>
      <c r="CW358" s="1578"/>
      <c r="CX358" s="1578"/>
      <c r="CY358" s="1578"/>
      <c r="CZ358" s="1578"/>
    </row>
    <row r="359" spans="1:407">
      <c r="A359" s="1466"/>
      <c r="B359" s="1576"/>
      <c r="C359" s="1576"/>
      <c r="D359" s="1576"/>
      <c r="E359" s="1578"/>
      <c r="F359" s="1578"/>
      <c r="G359" s="1578"/>
      <c r="H359" s="1578"/>
      <c r="I359" s="1578"/>
      <c r="J359" s="1578"/>
      <c r="K359" s="1578"/>
      <c r="L359" s="1578"/>
      <c r="M359" s="1578"/>
      <c r="N359" s="1578"/>
      <c r="O359" s="1578"/>
      <c r="P359" s="1578"/>
      <c r="Q359" s="1578"/>
      <c r="R359" s="1578"/>
      <c r="S359" s="1578"/>
      <c r="T359" s="1578"/>
      <c r="U359" s="1578"/>
      <c r="V359" s="1578"/>
      <c r="W359" s="1578"/>
      <c r="X359" s="1578"/>
      <c r="Y359" s="1578"/>
      <c r="Z359" s="1578"/>
      <c r="AA359" s="1578"/>
      <c r="AB359" s="1578"/>
      <c r="AC359" s="1578"/>
      <c r="AD359" s="1578"/>
      <c r="AE359" s="1578"/>
      <c r="AF359" s="1578"/>
      <c r="AG359" s="1578"/>
      <c r="AH359" s="1578"/>
      <c r="AI359" s="1578"/>
      <c r="AJ359" s="1578"/>
      <c r="AK359" s="1578"/>
      <c r="AL359" s="1578"/>
      <c r="AM359" s="1578"/>
      <c r="AN359" s="1578"/>
      <c r="AO359" s="1578"/>
      <c r="AP359" s="1578"/>
      <c r="AQ359" s="1578"/>
      <c r="AR359" s="1578"/>
      <c r="AS359" s="1578"/>
      <c r="AT359" s="1578"/>
      <c r="AU359" s="1578"/>
      <c r="AV359" s="1578"/>
      <c r="AW359" s="1578"/>
      <c r="AX359" s="1578"/>
      <c r="AY359" s="1578"/>
      <c r="AZ359" s="1578"/>
      <c r="BA359" s="1578"/>
      <c r="BB359" s="1578"/>
      <c r="BC359" s="1578"/>
      <c r="BD359" s="1578"/>
      <c r="BE359" s="1578"/>
      <c r="BF359" s="1578"/>
      <c r="BG359" s="1578"/>
      <c r="BH359" s="1578"/>
      <c r="BI359" s="1578"/>
      <c r="BJ359" s="1578"/>
      <c r="BK359" s="1578"/>
      <c r="BL359" s="1578"/>
      <c r="BM359" s="1578"/>
      <c r="BN359" s="1578"/>
      <c r="BO359" s="1578"/>
      <c r="BP359" s="1578"/>
      <c r="BQ359" s="1578"/>
      <c r="BR359" s="1578"/>
      <c r="BS359" s="1578"/>
      <c r="BT359" s="1578"/>
      <c r="BU359" s="1578"/>
      <c r="BV359" s="1578"/>
      <c r="BW359" s="1578"/>
      <c r="BX359" s="1578"/>
      <c r="BY359" s="1578"/>
      <c r="BZ359" s="1578"/>
      <c r="CA359" s="1578"/>
      <c r="CB359" s="1578"/>
      <c r="CC359" s="1578"/>
      <c r="CD359" s="1578"/>
      <c r="CE359" s="1578"/>
      <c r="CF359" s="1578"/>
      <c r="CG359" s="1578"/>
      <c r="CH359" s="1578"/>
      <c r="CI359" s="1578"/>
      <c r="CJ359" s="1578"/>
      <c r="CK359" s="1578"/>
      <c r="CL359" s="1578"/>
      <c r="CM359" s="1578"/>
      <c r="CN359" s="1578"/>
      <c r="CO359" s="1578"/>
      <c r="CP359" s="1578"/>
      <c r="CQ359" s="1578"/>
      <c r="CR359" s="1578"/>
      <c r="CS359" s="1578"/>
      <c r="CT359" s="1578"/>
      <c r="CU359" s="1578"/>
      <c r="CV359" s="1578"/>
      <c r="CW359" s="1578"/>
      <c r="CX359" s="1578"/>
      <c r="CY359" s="1578"/>
      <c r="CZ359" s="1578"/>
    </row>
    <row r="360" spans="1:407" ht="13" thickBot="1">
      <c r="A360" s="1466"/>
      <c r="B360" s="1579"/>
      <c r="C360" s="1579"/>
      <c r="D360" s="1579"/>
      <c r="E360" s="1580"/>
      <c r="F360" s="1580"/>
      <c r="G360" s="1580"/>
      <c r="H360" s="1580"/>
      <c r="I360" s="1580"/>
      <c r="J360" s="1580"/>
      <c r="K360" s="1580"/>
      <c r="L360" s="1580"/>
      <c r="M360" s="1580"/>
      <c r="N360" s="1580"/>
      <c r="O360" s="1580"/>
      <c r="P360" s="1580"/>
      <c r="Q360" s="1580"/>
      <c r="R360" s="1580"/>
      <c r="S360" s="1580"/>
      <c r="T360" s="1580"/>
      <c r="U360" s="1580"/>
      <c r="V360" s="1580"/>
      <c r="W360" s="1580"/>
      <c r="X360" s="1580"/>
      <c r="Y360" s="1580"/>
      <c r="Z360" s="1580"/>
      <c r="AA360" s="1580"/>
      <c r="AB360" s="1580"/>
      <c r="AC360" s="1580"/>
      <c r="AD360" s="1580"/>
      <c r="AE360" s="1580"/>
      <c r="AF360" s="1580"/>
      <c r="AG360" s="1580"/>
      <c r="AH360" s="1580"/>
      <c r="AI360" s="1580"/>
      <c r="AJ360" s="1580"/>
      <c r="AK360" s="1580"/>
      <c r="AL360" s="1580"/>
      <c r="AM360" s="1580"/>
      <c r="AN360" s="1580"/>
      <c r="AO360" s="1580"/>
      <c r="AP360" s="1580"/>
      <c r="AQ360" s="1580"/>
      <c r="AR360" s="1580"/>
      <c r="AS360" s="1580"/>
      <c r="AT360" s="1580"/>
      <c r="AU360" s="1580"/>
      <c r="AV360" s="1580"/>
      <c r="AW360" s="1580"/>
      <c r="AX360" s="1580"/>
      <c r="AY360" s="1580"/>
      <c r="AZ360" s="1580"/>
      <c r="BA360" s="1580"/>
      <c r="BB360" s="1580"/>
      <c r="BC360" s="1580"/>
      <c r="BD360" s="1580"/>
      <c r="BE360" s="1580"/>
      <c r="BF360" s="1580"/>
      <c r="BG360" s="1580"/>
      <c r="BH360" s="1580"/>
      <c r="BI360" s="1580"/>
      <c r="BJ360" s="1580"/>
      <c r="BK360" s="1580"/>
      <c r="BL360" s="1580"/>
      <c r="BM360" s="1580"/>
      <c r="BN360" s="1580"/>
      <c r="BO360" s="1580"/>
      <c r="BP360" s="1580"/>
      <c r="BQ360" s="1580"/>
      <c r="BR360" s="1580"/>
      <c r="BS360" s="1580"/>
      <c r="BT360" s="1580"/>
      <c r="BU360" s="1580"/>
      <c r="BV360" s="1580"/>
      <c r="BW360" s="1580"/>
      <c r="BX360" s="1580"/>
      <c r="BY360" s="1580"/>
      <c r="BZ360" s="1580"/>
      <c r="CA360" s="1580"/>
      <c r="CB360" s="1580"/>
      <c r="CC360" s="1580"/>
      <c r="CD360" s="1580"/>
      <c r="CE360" s="1580"/>
      <c r="CF360" s="1580"/>
      <c r="CG360" s="1580"/>
      <c r="CH360" s="1580"/>
      <c r="CI360" s="1580"/>
      <c r="CJ360" s="1580"/>
      <c r="CK360" s="1580"/>
      <c r="CL360" s="1580"/>
      <c r="CM360" s="1580"/>
      <c r="CN360" s="1580"/>
      <c r="CO360" s="1580"/>
      <c r="CP360" s="1580"/>
      <c r="CQ360" s="1580"/>
      <c r="CR360" s="1580"/>
      <c r="CS360" s="1580"/>
      <c r="CT360" s="1580"/>
      <c r="CU360" s="1580"/>
      <c r="CV360" s="1580"/>
      <c r="CW360" s="1580"/>
      <c r="CX360" s="1580"/>
      <c r="CY360" s="1580"/>
      <c r="CZ360" s="1580"/>
      <c r="DA360" s="1606"/>
      <c r="DB360" s="1607"/>
      <c r="DC360" s="1606"/>
      <c r="DD360" s="1606"/>
      <c r="DE360" s="1606"/>
      <c r="DF360" s="1606"/>
      <c r="DG360" s="1606"/>
      <c r="DH360" s="1606"/>
      <c r="DI360" s="1606"/>
      <c r="DJ360" s="1606"/>
      <c r="DK360" s="1606"/>
      <c r="DL360" s="1606"/>
      <c r="DM360" s="1606"/>
      <c r="DN360" s="1606"/>
      <c r="DO360" s="1606"/>
      <c r="DP360" s="1606"/>
      <c r="DQ360" s="1606"/>
      <c r="DR360" s="1606"/>
      <c r="DS360" s="1606"/>
      <c r="DT360" s="1606"/>
      <c r="DU360" s="1606"/>
      <c r="DV360" s="1606"/>
      <c r="DW360" s="1606"/>
      <c r="DX360" s="1606"/>
      <c r="DY360" s="1606"/>
      <c r="DZ360" s="1606"/>
      <c r="EA360" s="1606"/>
      <c r="EB360" s="1606"/>
      <c r="EC360" s="1606"/>
      <c r="ED360" s="1606"/>
      <c r="EE360" s="1606"/>
      <c r="EF360" s="1606"/>
      <c r="EG360" s="1606"/>
      <c r="EH360" s="1606"/>
      <c r="EI360" s="1606"/>
      <c r="EJ360" s="1606"/>
      <c r="EK360" s="1606"/>
      <c r="EL360" s="1606"/>
      <c r="EM360" s="1606"/>
      <c r="EN360" s="1606"/>
      <c r="EO360" s="1606"/>
      <c r="EP360" s="1606"/>
      <c r="EQ360" s="1606"/>
      <c r="ER360" s="1606"/>
      <c r="ES360" s="1606"/>
      <c r="ET360" s="1606"/>
      <c r="EU360" s="1606"/>
      <c r="EV360" s="1606"/>
      <c r="EW360" s="1606"/>
      <c r="EX360" s="1606"/>
      <c r="EY360" s="1606"/>
      <c r="EZ360" s="1606"/>
      <c r="FA360" s="1606"/>
      <c r="FB360" s="1606"/>
      <c r="FC360" s="1606"/>
      <c r="FD360" s="1606"/>
      <c r="FE360" s="1606"/>
      <c r="FF360" s="1606"/>
      <c r="FG360" s="1606"/>
      <c r="FH360" s="1606"/>
      <c r="FI360" s="1606"/>
      <c r="FJ360" s="1606"/>
      <c r="FK360" s="1606"/>
      <c r="FL360" s="1606"/>
      <c r="FM360" s="1606"/>
      <c r="FN360" s="1606"/>
      <c r="FO360" s="1606"/>
      <c r="FP360" s="1606"/>
      <c r="FQ360" s="1606"/>
      <c r="FR360" s="1606"/>
      <c r="FS360" s="1606"/>
      <c r="FT360" s="1606"/>
      <c r="FU360" s="1606"/>
      <c r="FV360" s="1606"/>
      <c r="FW360" s="1606"/>
      <c r="FX360" s="1606"/>
      <c r="FY360" s="1606"/>
      <c r="FZ360" s="1606"/>
      <c r="GA360" s="1606"/>
      <c r="GB360" s="1606"/>
      <c r="GC360" s="1606"/>
      <c r="GD360" s="1606"/>
      <c r="GE360" s="1606"/>
      <c r="GF360" s="1606"/>
      <c r="GG360" s="1606"/>
      <c r="GH360" s="1606"/>
      <c r="GI360" s="1606"/>
      <c r="GJ360" s="1606"/>
      <c r="GK360" s="1606"/>
      <c r="GL360" s="1606"/>
      <c r="GM360" s="1606"/>
      <c r="GN360" s="1606"/>
      <c r="GO360" s="1606"/>
      <c r="GP360" s="1606"/>
      <c r="GQ360" s="1606"/>
      <c r="GR360" s="1606"/>
      <c r="GS360" s="1606"/>
      <c r="GT360" s="1606"/>
      <c r="GU360" s="1606"/>
      <c r="GV360" s="1606"/>
      <c r="GW360" s="1606"/>
      <c r="GX360" s="1606"/>
      <c r="GY360" s="1606"/>
      <c r="GZ360" s="1606"/>
      <c r="HA360" s="1606"/>
      <c r="HB360" s="1606"/>
      <c r="HC360" s="1606"/>
      <c r="HD360" s="1606"/>
      <c r="HE360" s="1606"/>
      <c r="HF360" s="1606"/>
      <c r="HG360" s="1606"/>
      <c r="HH360" s="1606"/>
      <c r="HI360" s="1606"/>
      <c r="HJ360" s="1606"/>
      <c r="HK360" s="1606"/>
      <c r="HL360" s="1606"/>
      <c r="HM360" s="1606"/>
      <c r="HN360" s="1606"/>
      <c r="HO360" s="1606"/>
      <c r="HP360" s="1606"/>
      <c r="HQ360" s="1606"/>
      <c r="HR360" s="1606"/>
      <c r="HS360" s="1606"/>
      <c r="HT360" s="1606"/>
      <c r="HU360" s="1606"/>
      <c r="HV360" s="1606"/>
      <c r="HW360" s="1606"/>
      <c r="HX360" s="1606"/>
      <c r="HY360" s="1606"/>
      <c r="HZ360" s="1606"/>
      <c r="IA360" s="1606"/>
      <c r="IB360" s="1606"/>
      <c r="IC360" s="1606"/>
      <c r="ID360" s="1606"/>
      <c r="IE360" s="1606"/>
      <c r="IF360" s="1606"/>
      <c r="IG360" s="1606"/>
      <c r="IH360" s="1606"/>
      <c r="II360" s="1606"/>
      <c r="IJ360" s="1606"/>
      <c r="IK360" s="1606"/>
      <c r="IL360" s="1606"/>
      <c r="IM360" s="1606"/>
      <c r="IN360" s="1606"/>
      <c r="IO360" s="1606"/>
      <c r="IP360" s="1606"/>
      <c r="IQ360" s="1606"/>
      <c r="IR360" s="1606"/>
      <c r="IS360" s="1606"/>
      <c r="IT360" s="1606"/>
      <c r="IU360" s="1606"/>
      <c r="IV360" s="1606"/>
      <c r="IW360" s="1606"/>
      <c r="IX360" s="1606"/>
      <c r="IY360" s="1606"/>
      <c r="IZ360" s="1606"/>
      <c r="JA360" s="1606"/>
      <c r="JB360" s="1606"/>
      <c r="JC360" s="1606"/>
      <c r="JD360" s="1606"/>
      <c r="JE360" s="1606"/>
      <c r="JF360" s="1606"/>
      <c r="JG360" s="1606"/>
      <c r="JH360" s="1606"/>
      <c r="JI360" s="1606"/>
      <c r="JJ360" s="1606"/>
      <c r="JK360" s="1606"/>
      <c r="JL360" s="1606"/>
      <c r="JM360" s="1606"/>
      <c r="JN360" s="1606"/>
      <c r="JO360" s="1606"/>
      <c r="JP360" s="1606"/>
      <c r="JQ360" s="1606"/>
      <c r="JR360" s="1606"/>
      <c r="JS360" s="1606"/>
      <c r="JT360" s="1606"/>
      <c r="JU360" s="1606"/>
      <c r="JV360" s="1606"/>
      <c r="JW360" s="1606"/>
      <c r="JX360" s="1606"/>
      <c r="JY360" s="1606"/>
      <c r="JZ360" s="1606"/>
      <c r="KA360" s="1606"/>
      <c r="KB360" s="1606"/>
      <c r="KC360" s="1606"/>
      <c r="KD360" s="1606"/>
      <c r="KE360" s="1606"/>
      <c r="KF360" s="1606"/>
      <c r="KG360" s="1606"/>
      <c r="KH360" s="1606"/>
      <c r="KI360" s="1606"/>
      <c r="KJ360" s="1606"/>
      <c r="KK360" s="1606"/>
      <c r="KL360" s="1606"/>
      <c r="KM360" s="1606"/>
      <c r="KN360" s="1606"/>
      <c r="KO360" s="1606"/>
      <c r="KP360" s="1606"/>
      <c r="KQ360" s="1606"/>
      <c r="KR360" s="1606"/>
      <c r="KS360" s="1606"/>
      <c r="KT360" s="1606"/>
      <c r="KU360" s="1606"/>
      <c r="KV360" s="1606"/>
      <c r="KW360" s="1606"/>
      <c r="KX360" s="1606"/>
      <c r="KY360" s="1606"/>
      <c r="KZ360" s="1606"/>
      <c r="LA360" s="1606"/>
      <c r="LB360" s="1606"/>
      <c r="LC360" s="1606"/>
      <c r="LD360" s="1606"/>
      <c r="LE360" s="1606"/>
      <c r="LF360" s="1606"/>
      <c r="LG360" s="1606"/>
      <c r="LH360" s="1606"/>
      <c r="LI360" s="1606"/>
      <c r="LJ360" s="1606"/>
      <c r="LK360" s="1606"/>
      <c r="LL360" s="1606"/>
      <c r="LM360" s="1606"/>
      <c r="LN360" s="1606"/>
      <c r="LO360" s="1606"/>
      <c r="LP360" s="1606"/>
      <c r="LQ360" s="1606"/>
      <c r="LR360" s="1606"/>
      <c r="LS360" s="1606"/>
      <c r="LT360" s="1606"/>
      <c r="LU360" s="1606"/>
      <c r="LV360" s="1606"/>
      <c r="LW360" s="1606"/>
      <c r="LX360" s="1606"/>
      <c r="LY360" s="1606"/>
      <c r="LZ360" s="1606"/>
      <c r="MA360" s="1606"/>
      <c r="MB360" s="1606"/>
      <c r="MC360" s="1606"/>
      <c r="MD360" s="1606"/>
      <c r="ME360" s="1606"/>
      <c r="MF360" s="1606"/>
      <c r="MG360" s="1606"/>
      <c r="MH360" s="1606"/>
      <c r="MI360" s="1606"/>
      <c r="MJ360" s="1606"/>
      <c r="MK360" s="1606"/>
      <c r="ML360" s="1606"/>
      <c r="MM360" s="1606"/>
      <c r="MN360" s="1606"/>
      <c r="MO360" s="1606"/>
      <c r="MP360" s="1606"/>
      <c r="MQ360" s="1606"/>
      <c r="MR360" s="1606"/>
      <c r="MS360" s="1606"/>
      <c r="MT360" s="1606"/>
      <c r="MU360" s="1606"/>
      <c r="MV360" s="1606"/>
      <c r="MW360" s="1606"/>
      <c r="MX360" s="1606"/>
      <c r="MY360" s="1606"/>
      <c r="MZ360" s="1606"/>
      <c r="NA360" s="1606"/>
      <c r="NB360" s="1606"/>
      <c r="NC360" s="1606"/>
      <c r="ND360" s="1606"/>
      <c r="NE360" s="1606"/>
      <c r="NF360" s="1606"/>
      <c r="NG360" s="1606"/>
      <c r="NH360" s="1606"/>
      <c r="NI360" s="1606"/>
      <c r="NJ360" s="1606"/>
      <c r="NK360" s="1606"/>
      <c r="NL360" s="1606"/>
      <c r="NM360" s="1606"/>
      <c r="NN360" s="1606"/>
      <c r="NO360" s="1606"/>
      <c r="NP360" s="1606"/>
      <c r="NQ360" s="1606"/>
      <c r="NR360" s="1606"/>
      <c r="NS360" s="1606"/>
      <c r="NT360" s="1606"/>
      <c r="NU360" s="1606"/>
      <c r="NV360" s="1606"/>
      <c r="NW360" s="1606"/>
      <c r="NX360" s="1606"/>
      <c r="NY360" s="1606"/>
      <c r="NZ360" s="1606"/>
      <c r="OA360" s="1606"/>
      <c r="OB360" s="1606"/>
      <c r="OC360" s="1606"/>
      <c r="OD360" s="1606"/>
      <c r="OE360" s="1606"/>
      <c r="OF360" s="1606"/>
      <c r="OG360" s="1606"/>
      <c r="OH360" s="1606"/>
      <c r="OI360" s="1606"/>
      <c r="OJ360" s="1606"/>
      <c r="OK360" s="1606"/>
      <c r="OL360" s="1606"/>
      <c r="OM360" s="1606"/>
      <c r="ON360" s="1606"/>
      <c r="OO360" s="1606"/>
      <c r="OP360" s="1606"/>
      <c r="OQ360" s="1606"/>
    </row>
    <row r="361" spans="1:407" ht="13" thickTop="1">
      <c r="A361" s="1466"/>
      <c r="B361" s="1581"/>
      <c r="C361" s="1581"/>
      <c r="D361" s="1581"/>
      <c r="E361" s="1582"/>
      <c r="F361" s="1582"/>
      <c r="G361" s="1582"/>
      <c r="H361" s="1582"/>
      <c r="I361" s="1582"/>
      <c r="J361" s="1582"/>
      <c r="K361" s="1582"/>
      <c r="L361" s="1582"/>
      <c r="M361" s="1582"/>
      <c r="N361" s="1582"/>
      <c r="O361" s="1582"/>
      <c r="P361" s="1582"/>
      <c r="Q361" s="1582"/>
      <c r="R361" s="1582"/>
      <c r="S361" s="1582"/>
      <c r="T361" s="1582"/>
      <c r="U361" s="1582"/>
      <c r="V361" s="1582"/>
      <c r="W361" s="1582"/>
      <c r="X361" s="1582"/>
      <c r="Y361" s="1582"/>
      <c r="Z361" s="1582"/>
      <c r="AA361" s="1582"/>
      <c r="AB361" s="1582"/>
      <c r="AC361" s="1582"/>
      <c r="AD361" s="1582"/>
      <c r="AE361" s="1582"/>
      <c r="AF361" s="1582"/>
      <c r="AG361" s="1582"/>
      <c r="AH361" s="1582"/>
      <c r="AI361" s="1582"/>
      <c r="AJ361" s="1582"/>
      <c r="AK361" s="1582"/>
      <c r="AL361" s="1582"/>
      <c r="AM361" s="1582"/>
      <c r="AN361" s="1582"/>
      <c r="AO361" s="1582"/>
      <c r="AP361" s="1582"/>
      <c r="AQ361" s="1582"/>
      <c r="AR361" s="1582"/>
      <c r="AS361" s="1582"/>
      <c r="AT361" s="1582"/>
      <c r="AU361" s="1582"/>
      <c r="AV361" s="1582"/>
      <c r="AW361" s="1582"/>
      <c r="AX361" s="1582"/>
      <c r="AY361" s="1582"/>
      <c r="AZ361" s="1582"/>
      <c r="BA361" s="1582"/>
      <c r="BB361" s="1582"/>
      <c r="BC361" s="1582"/>
      <c r="BD361" s="1582"/>
      <c r="BE361" s="1582"/>
      <c r="BF361" s="1582"/>
      <c r="BG361" s="1582"/>
      <c r="BH361" s="1582"/>
      <c r="BI361" s="1582"/>
      <c r="BJ361" s="1582"/>
      <c r="BK361" s="1582"/>
      <c r="BL361" s="1582"/>
      <c r="BM361" s="1582"/>
      <c r="BN361" s="1582"/>
      <c r="BO361" s="1582"/>
      <c r="BP361" s="1582"/>
      <c r="BQ361" s="1582"/>
      <c r="BR361" s="1582"/>
      <c r="BS361" s="1582"/>
      <c r="BT361" s="1582"/>
      <c r="BU361" s="1582"/>
      <c r="BV361" s="1582"/>
      <c r="BW361" s="1582"/>
      <c r="BX361" s="1582"/>
      <c r="BY361" s="1582"/>
      <c r="BZ361" s="1582"/>
      <c r="CA361" s="1582"/>
      <c r="CB361" s="1582"/>
      <c r="CC361" s="1582"/>
      <c r="CD361" s="1582"/>
      <c r="CE361" s="1582"/>
      <c r="CF361" s="1582"/>
      <c r="CG361" s="1582"/>
      <c r="CH361" s="1582"/>
      <c r="CI361" s="1582"/>
      <c r="CJ361" s="1582"/>
      <c r="CK361" s="1582"/>
      <c r="CL361" s="1582"/>
      <c r="CM361" s="1582"/>
      <c r="CN361" s="1582"/>
      <c r="CO361" s="1582"/>
      <c r="CP361" s="1582"/>
      <c r="CQ361" s="1582"/>
      <c r="CR361" s="1582"/>
      <c r="CS361" s="1582"/>
      <c r="CT361" s="1582"/>
      <c r="CU361" s="1582"/>
      <c r="CV361" s="1582"/>
      <c r="CW361" s="1582"/>
      <c r="CX361" s="1582"/>
      <c r="CY361" s="1582"/>
      <c r="CZ361" s="1582"/>
    </row>
    <row r="362" spans="1:407">
      <c r="A362" s="1466"/>
      <c r="B362" s="1576"/>
      <c r="C362" s="1576"/>
      <c r="D362" s="1576"/>
      <c r="E362" s="1578"/>
      <c r="F362" s="1578"/>
      <c r="G362" s="1578"/>
      <c r="H362" s="1578"/>
      <c r="I362" s="1578"/>
      <c r="J362" s="1578"/>
      <c r="K362" s="1578"/>
      <c r="L362" s="1578"/>
      <c r="M362" s="1578"/>
      <c r="N362" s="1578"/>
      <c r="O362" s="1578"/>
      <c r="P362" s="1578"/>
      <c r="Q362" s="1578"/>
      <c r="R362" s="1578"/>
      <c r="S362" s="1578"/>
      <c r="T362" s="1578"/>
      <c r="U362" s="1578"/>
      <c r="V362" s="1578"/>
      <c r="W362" s="1578"/>
      <c r="X362" s="1578"/>
      <c r="Y362" s="1578"/>
      <c r="Z362" s="1578"/>
      <c r="AA362" s="1578"/>
      <c r="AB362" s="1578"/>
      <c r="AC362" s="1578"/>
      <c r="AD362" s="1578"/>
      <c r="AE362" s="1578"/>
      <c r="AF362" s="1578"/>
      <c r="AG362" s="1578"/>
      <c r="AH362" s="1578"/>
      <c r="AI362" s="1578"/>
      <c r="AJ362" s="1578"/>
      <c r="AK362" s="1578"/>
      <c r="AL362" s="1578"/>
      <c r="AM362" s="1578"/>
      <c r="AN362" s="1578"/>
      <c r="AO362" s="1578"/>
      <c r="AP362" s="1578"/>
      <c r="AQ362" s="1578"/>
      <c r="AR362" s="1578"/>
      <c r="AS362" s="1578"/>
      <c r="AT362" s="1578"/>
      <c r="AU362" s="1578"/>
      <c r="AV362" s="1578"/>
      <c r="AW362" s="1578"/>
      <c r="AX362" s="1578"/>
      <c r="AY362" s="1578"/>
      <c r="AZ362" s="1578"/>
      <c r="BA362" s="1578"/>
      <c r="BB362" s="1578"/>
      <c r="BC362" s="1578"/>
      <c r="BD362" s="1578"/>
      <c r="BE362" s="1578"/>
      <c r="BF362" s="1578"/>
      <c r="BG362" s="1578"/>
      <c r="BH362" s="1578"/>
      <c r="BI362" s="1578"/>
      <c r="BJ362" s="1578"/>
      <c r="BK362" s="1578"/>
      <c r="BL362" s="1578"/>
      <c r="BM362" s="1578"/>
      <c r="BN362" s="1578"/>
      <c r="BO362" s="1578"/>
      <c r="BP362" s="1578"/>
      <c r="BQ362" s="1578"/>
      <c r="BR362" s="1578"/>
      <c r="BS362" s="1578"/>
      <c r="BT362" s="1578"/>
      <c r="BU362" s="1578"/>
      <c r="BV362" s="1578"/>
      <c r="BW362" s="1578"/>
      <c r="BX362" s="1578"/>
      <c r="BY362" s="1578"/>
      <c r="BZ362" s="1578"/>
      <c r="CA362" s="1578"/>
      <c r="CB362" s="1578"/>
      <c r="CC362" s="1578"/>
      <c r="CD362" s="1578"/>
      <c r="CE362" s="1578"/>
      <c r="CF362" s="1578"/>
      <c r="CG362" s="1578"/>
      <c r="CH362" s="1578"/>
      <c r="CI362" s="1578"/>
      <c r="CJ362" s="1578"/>
      <c r="CK362" s="1578"/>
      <c r="CL362" s="1578"/>
      <c r="CM362" s="1578"/>
      <c r="CN362" s="1578"/>
      <c r="CO362" s="1578"/>
      <c r="CP362" s="1578"/>
      <c r="CQ362" s="1578"/>
      <c r="CR362" s="1578"/>
      <c r="CS362" s="1578"/>
      <c r="CT362" s="1578"/>
      <c r="CU362" s="1578"/>
      <c r="CV362" s="1578"/>
      <c r="CW362" s="1578"/>
      <c r="CX362" s="1578"/>
      <c r="CY362" s="1578"/>
      <c r="CZ362" s="1578"/>
    </row>
    <row r="363" spans="1:407">
      <c r="A363" s="1466"/>
      <c r="B363" s="1576"/>
      <c r="C363" s="1576"/>
      <c r="D363" s="1576"/>
      <c r="E363" s="1578"/>
      <c r="F363" s="1578"/>
      <c r="G363" s="1578"/>
      <c r="H363" s="1578"/>
      <c r="I363" s="1578"/>
      <c r="J363" s="1578"/>
      <c r="K363" s="1578"/>
      <c r="L363" s="1578"/>
      <c r="M363" s="1578"/>
      <c r="N363" s="1578"/>
      <c r="O363" s="1578"/>
      <c r="P363" s="1578"/>
      <c r="Q363" s="1578"/>
      <c r="R363" s="1578"/>
      <c r="S363" s="1578"/>
      <c r="T363" s="1578"/>
      <c r="U363" s="1578"/>
      <c r="V363" s="1578"/>
      <c r="W363" s="1578"/>
      <c r="X363" s="1578"/>
      <c r="Y363" s="1578"/>
      <c r="Z363" s="1578"/>
      <c r="AA363" s="1578"/>
      <c r="AB363" s="1578"/>
      <c r="AC363" s="1578"/>
      <c r="AD363" s="1578"/>
      <c r="AE363" s="1578"/>
      <c r="AF363" s="1578"/>
      <c r="AG363" s="1578"/>
      <c r="AH363" s="1578"/>
      <c r="AI363" s="1578"/>
      <c r="AJ363" s="1578"/>
      <c r="AK363" s="1578"/>
      <c r="AL363" s="1578"/>
      <c r="AM363" s="1578"/>
      <c r="AN363" s="1578"/>
      <c r="AO363" s="1578"/>
      <c r="AP363" s="1578"/>
      <c r="AQ363" s="1578"/>
      <c r="AR363" s="1578"/>
      <c r="AS363" s="1578"/>
      <c r="AT363" s="1578"/>
      <c r="AU363" s="1578"/>
      <c r="AV363" s="1578"/>
      <c r="AW363" s="1578"/>
      <c r="AX363" s="1578"/>
      <c r="AY363" s="1578"/>
      <c r="AZ363" s="1578"/>
      <c r="BA363" s="1578"/>
      <c r="BB363" s="1578"/>
      <c r="BC363" s="1578"/>
      <c r="BD363" s="1578"/>
      <c r="BE363" s="1578"/>
      <c r="BF363" s="1578"/>
      <c r="BG363" s="1578"/>
      <c r="BH363" s="1578"/>
      <c r="BI363" s="1578"/>
      <c r="BJ363" s="1578"/>
      <c r="BK363" s="1578"/>
      <c r="BL363" s="1578"/>
      <c r="BM363" s="1578"/>
      <c r="BN363" s="1578"/>
      <c r="BO363" s="1578"/>
      <c r="BP363" s="1578"/>
      <c r="BQ363" s="1578"/>
      <c r="BR363" s="1578"/>
      <c r="BS363" s="1578"/>
      <c r="BT363" s="1578"/>
      <c r="BU363" s="1578"/>
      <c r="BV363" s="1578"/>
      <c r="BW363" s="1578"/>
      <c r="BX363" s="1578"/>
      <c r="BY363" s="1578"/>
      <c r="BZ363" s="1578"/>
      <c r="CA363" s="1578"/>
      <c r="CB363" s="1578"/>
      <c r="CC363" s="1578"/>
      <c r="CD363" s="1578"/>
      <c r="CE363" s="1578"/>
      <c r="CF363" s="1578"/>
      <c r="CG363" s="1578"/>
      <c r="CH363" s="1578"/>
      <c r="CI363" s="1578"/>
      <c r="CJ363" s="1578"/>
      <c r="CK363" s="1578"/>
      <c r="CL363" s="1578"/>
      <c r="CM363" s="1578"/>
      <c r="CN363" s="1578"/>
      <c r="CO363" s="1578"/>
      <c r="CP363" s="1578"/>
      <c r="CQ363" s="1578"/>
      <c r="CR363" s="1578"/>
      <c r="CS363" s="1578"/>
      <c r="CT363" s="1578"/>
      <c r="CU363" s="1578"/>
      <c r="CV363" s="1578"/>
      <c r="CW363" s="1578"/>
      <c r="CX363" s="1578"/>
      <c r="CY363" s="1578"/>
      <c r="CZ363" s="1578"/>
    </row>
    <row r="364" spans="1:407">
      <c r="A364" s="1466"/>
      <c r="B364" s="1576"/>
      <c r="C364" s="1576"/>
      <c r="D364" s="1576"/>
      <c r="E364" s="1578"/>
      <c r="F364" s="1578"/>
      <c r="G364" s="1578"/>
      <c r="H364" s="1578"/>
      <c r="I364" s="1578"/>
      <c r="J364" s="1578"/>
      <c r="K364" s="1578"/>
      <c r="L364" s="1578"/>
      <c r="M364" s="1578"/>
      <c r="N364" s="1578"/>
      <c r="O364" s="1578"/>
      <c r="P364" s="1578"/>
      <c r="Q364" s="1578"/>
      <c r="R364" s="1578"/>
      <c r="S364" s="1578"/>
      <c r="T364" s="1578"/>
      <c r="U364" s="1578"/>
      <c r="V364" s="1578"/>
      <c r="W364" s="1578"/>
      <c r="X364" s="1578"/>
      <c r="Y364" s="1578"/>
      <c r="Z364" s="1578"/>
      <c r="AA364" s="1578"/>
      <c r="AB364" s="1578"/>
      <c r="AC364" s="1578"/>
      <c r="AD364" s="1578"/>
      <c r="AE364" s="1578"/>
      <c r="AF364" s="1578"/>
      <c r="AG364" s="1578"/>
      <c r="AH364" s="1578"/>
      <c r="AI364" s="1578"/>
      <c r="AJ364" s="1578"/>
      <c r="AK364" s="1578"/>
      <c r="AL364" s="1578"/>
      <c r="AM364" s="1578"/>
      <c r="AN364" s="1578"/>
      <c r="AO364" s="1578"/>
      <c r="AP364" s="1578"/>
      <c r="AQ364" s="1578"/>
      <c r="AR364" s="1578"/>
      <c r="AS364" s="1578"/>
      <c r="AT364" s="1578"/>
      <c r="AU364" s="1578"/>
      <c r="AV364" s="1578"/>
      <c r="AW364" s="1578"/>
      <c r="AX364" s="1578"/>
      <c r="AY364" s="1578"/>
      <c r="AZ364" s="1578"/>
      <c r="BA364" s="1578"/>
      <c r="BB364" s="1578"/>
      <c r="BC364" s="1578"/>
      <c r="BD364" s="1578"/>
      <c r="BE364" s="1578"/>
      <c r="BF364" s="1578"/>
      <c r="BG364" s="1578"/>
      <c r="BH364" s="1578"/>
      <c r="BI364" s="1578"/>
      <c r="BJ364" s="1578"/>
      <c r="BK364" s="1578"/>
      <c r="BL364" s="1578"/>
      <c r="BM364" s="1578"/>
      <c r="BN364" s="1578"/>
      <c r="BO364" s="1578"/>
      <c r="BP364" s="1578"/>
      <c r="BQ364" s="1578"/>
      <c r="BR364" s="1578"/>
      <c r="BS364" s="1578"/>
      <c r="BT364" s="1578"/>
      <c r="BU364" s="1578"/>
      <c r="BV364" s="1578"/>
      <c r="BW364" s="1578"/>
      <c r="BX364" s="1578"/>
      <c r="BY364" s="1578"/>
      <c r="BZ364" s="1578"/>
      <c r="CA364" s="1578"/>
      <c r="CB364" s="1578"/>
      <c r="CC364" s="1578"/>
      <c r="CD364" s="1578"/>
      <c r="CE364" s="1578"/>
      <c r="CF364" s="1578"/>
      <c r="CG364" s="1578"/>
      <c r="CH364" s="1578"/>
      <c r="CI364" s="1578"/>
      <c r="CJ364" s="1578"/>
      <c r="CK364" s="1578"/>
      <c r="CL364" s="1578"/>
      <c r="CM364" s="1578"/>
      <c r="CN364" s="1578"/>
      <c r="CO364" s="1578"/>
      <c r="CP364" s="1578"/>
      <c r="CQ364" s="1578"/>
      <c r="CR364" s="1578"/>
      <c r="CS364" s="1578"/>
      <c r="CT364" s="1578"/>
      <c r="CU364" s="1578"/>
      <c r="CV364" s="1578"/>
      <c r="CW364" s="1578"/>
      <c r="CX364" s="1578"/>
      <c r="CY364" s="1578"/>
      <c r="CZ364" s="1578"/>
    </row>
    <row r="365" spans="1:407">
      <c r="A365" s="1466"/>
      <c r="B365" s="1576"/>
      <c r="C365" s="1576"/>
      <c r="D365" s="1576"/>
      <c r="E365" s="1578"/>
      <c r="F365" s="1578"/>
      <c r="G365" s="1578"/>
      <c r="H365" s="1578"/>
      <c r="I365" s="1578"/>
      <c r="J365" s="1578"/>
      <c r="K365" s="1578"/>
      <c r="L365" s="1578"/>
      <c r="M365" s="1578"/>
      <c r="N365" s="1578"/>
      <c r="O365" s="1578"/>
      <c r="P365" s="1578"/>
      <c r="Q365" s="1578"/>
      <c r="R365" s="1578"/>
      <c r="S365" s="1578"/>
      <c r="T365" s="1578"/>
      <c r="U365" s="1578"/>
      <c r="V365" s="1578"/>
      <c r="W365" s="1578"/>
      <c r="X365" s="1578"/>
      <c r="Y365" s="1578"/>
      <c r="Z365" s="1578"/>
      <c r="AA365" s="1578"/>
      <c r="AB365" s="1578"/>
      <c r="AC365" s="1578"/>
      <c r="AD365" s="1578"/>
      <c r="AE365" s="1578"/>
      <c r="AF365" s="1578"/>
      <c r="AG365" s="1578"/>
      <c r="AH365" s="1578"/>
      <c r="AI365" s="1578"/>
      <c r="AJ365" s="1578"/>
      <c r="AK365" s="1578"/>
      <c r="AL365" s="1578"/>
      <c r="AM365" s="1578"/>
      <c r="AN365" s="1578"/>
      <c r="AO365" s="1578"/>
      <c r="AP365" s="1578"/>
      <c r="AQ365" s="1578"/>
      <c r="AR365" s="1578"/>
      <c r="AS365" s="1578"/>
      <c r="AT365" s="1578"/>
      <c r="AU365" s="1578"/>
      <c r="AV365" s="1578"/>
      <c r="AW365" s="1578"/>
      <c r="AX365" s="1578"/>
      <c r="AY365" s="1578"/>
      <c r="AZ365" s="1578"/>
      <c r="BA365" s="1578"/>
      <c r="BB365" s="1578"/>
      <c r="BC365" s="1578"/>
      <c r="BD365" s="1578"/>
      <c r="BE365" s="1578"/>
      <c r="BF365" s="1578"/>
      <c r="BG365" s="1578"/>
      <c r="BH365" s="1578"/>
      <c r="BI365" s="1578"/>
      <c r="BJ365" s="1578"/>
      <c r="BK365" s="1578"/>
      <c r="BL365" s="1578"/>
      <c r="BM365" s="1578"/>
      <c r="BN365" s="1578"/>
      <c r="BO365" s="1578"/>
      <c r="BP365" s="1578"/>
      <c r="BQ365" s="1578"/>
      <c r="BR365" s="1578"/>
      <c r="BS365" s="1578"/>
      <c r="BT365" s="1578"/>
      <c r="BU365" s="1578"/>
      <c r="BV365" s="1578"/>
      <c r="BW365" s="1578"/>
      <c r="BX365" s="1578"/>
      <c r="BY365" s="1578"/>
      <c r="BZ365" s="1578"/>
      <c r="CA365" s="1578"/>
      <c r="CB365" s="1578"/>
      <c r="CC365" s="1578"/>
      <c r="CD365" s="1578"/>
      <c r="CE365" s="1578"/>
      <c r="CF365" s="1578"/>
      <c r="CG365" s="1578"/>
      <c r="CH365" s="1578"/>
      <c r="CI365" s="1578"/>
      <c r="CJ365" s="1578"/>
      <c r="CK365" s="1578"/>
      <c r="CL365" s="1578"/>
      <c r="CM365" s="1578"/>
      <c r="CN365" s="1578"/>
      <c r="CO365" s="1578"/>
      <c r="CP365" s="1578"/>
      <c r="CQ365" s="1578"/>
      <c r="CR365" s="1578"/>
      <c r="CS365" s="1578"/>
      <c r="CT365" s="1578"/>
      <c r="CU365" s="1578"/>
      <c r="CV365" s="1578"/>
      <c r="CW365" s="1578"/>
      <c r="CX365" s="1578"/>
      <c r="CY365" s="1578"/>
      <c r="CZ365" s="1578"/>
    </row>
    <row r="366" spans="1:407">
      <c r="A366" s="1466"/>
      <c r="B366" s="1576"/>
      <c r="C366" s="1576"/>
      <c r="D366" s="1576"/>
      <c r="E366" s="1578"/>
      <c r="F366" s="1578"/>
      <c r="G366" s="1578"/>
      <c r="H366" s="1578"/>
      <c r="I366" s="1578"/>
      <c r="J366" s="1578"/>
      <c r="K366" s="1578"/>
      <c r="L366" s="1578"/>
      <c r="M366" s="1578"/>
      <c r="N366" s="1578"/>
      <c r="O366" s="1578"/>
      <c r="P366" s="1578"/>
      <c r="Q366" s="1578"/>
      <c r="R366" s="1578"/>
      <c r="S366" s="1578"/>
      <c r="T366" s="1578"/>
      <c r="U366" s="1578"/>
      <c r="V366" s="1578"/>
      <c r="W366" s="1578"/>
      <c r="X366" s="1578"/>
      <c r="Y366" s="1578"/>
      <c r="Z366" s="1578"/>
      <c r="AA366" s="1578"/>
      <c r="AB366" s="1578"/>
      <c r="AC366" s="1578"/>
      <c r="AD366" s="1578"/>
      <c r="AE366" s="1578"/>
      <c r="AF366" s="1578"/>
      <c r="AG366" s="1578"/>
      <c r="AH366" s="1578"/>
      <c r="AI366" s="1578"/>
      <c r="AJ366" s="1578"/>
      <c r="AK366" s="1578"/>
      <c r="AL366" s="1578"/>
      <c r="AM366" s="1578"/>
      <c r="AN366" s="1578"/>
      <c r="AO366" s="1578"/>
      <c r="AP366" s="1578"/>
      <c r="AQ366" s="1578"/>
      <c r="AR366" s="1578"/>
      <c r="AS366" s="1578"/>
      <c r="AT366" s="1578"/>
      <c r="AU366" s="1578"/>
      <c r="AV366" s="1578"/>
      <c r="AW366" s="1578"/>
      <c r="AX366" s="1578"/>
      <c r="AY366" s="1578"/>
      <c r="AZ366" s="1578"/>
      <c r="BA366" s="1578"/>
      <c r="BB366" s="1578"/>
      <c r="BC366" s="1578"/>
      <c r="BD366" s="1578"/>
      <c r="BE366" s="1578"/>
      <c r="BF366" s="1578"/>
      <c r="BG366" s="1578"/>
      <c r="BH366" s="1578"/>
      <c r="BI366" s="1578"/>
      <c r="BJ366" s="1578"/>
      <c r="BK366" s="1578"/>
      <c r="BL366" s="1578"/>
      <c r="BM366" s="1578"/>
      <c r="BN366" s="1578"/>
      <c r="BO366" s="1578"/>
      <c r="BP366" s="1578"/>
      <c r="BQ366" s="1578"/>
      <c r="BR366" s="1578"/>
      <c r="BS366" s="1578"/>
      <c r="BT366" s="1578"/>
      <c r="BU366" s="1578"/>
      <c r="BV366" s="1578"/>
      <c r="BW366" s="1578"/>
      <c r="BX366" s="1578"/>
      <c r="BY366" s="1578"/>
      <c r="BZ366" s="1578"/>
      <c r="CA366" s="1578"/>
      <c r="CB366" s="1578"/>
      <c r="CC366" s="1578"/>
      <c r="CD366" s="1578"/>
      <c r="CE366" s="1578"/>
      <c r="CF366" s="1578"/>
      <c r="CG366" s="1578"/>
      <c r="CH366" s="1578"/>
      <c r="CI366" s="1578"/>
      <c r="CJ366" s="1578"/>
      <c r="CK366" s="1578"/>
      <c r="CL366" s="1578"/>
      <c r="CM366" s="1578"/>
      <c r="CN366" s="1578"/>
      <c r="CO366" s="1578"/>
      <c r="CP366" s="1578"/>
      <c r="CQ366" s="1578"/>
      <c r="CR366" s="1578"/>
      <c r="CS366" s="1578"/>
      <c r="CT366" s="1578"/>
      <c r="CU366" s="1578"/>
      <c r="CV366" s="1578"/>
      <c r="CW366" s="1578"/>
      <c r="CX366" s="1578"/>
      <c r="CY366" s="1578"/>
      <c r="CZ366" s="1578"/>
    </row>
    <row r="367" spans="1:407">
      <c r="A367" s="1466"/>
      <c r="B367" s="1576"/>
      <c r="C367" s="1576"/>
      <c r="D367" s="1576"/>
      <c r="E367" s="1578"/>
      <c r="F367" s="1578"/>
      <c r="G367" s="1578"/>
      <c r="H367" s="1578"/>
      <c r="I367" s="1578"/>
      <c r="J367" s="1578"/>
      <c r="K367" s="1578"/>
      <c r="L367" s="1578"/>
      <c r="M367" s="1578"/>
      <c r="N367" s="1578"/>
      <c r="O367" s="1578"/>
      <c r="P367" s="1578"/>
      <c r="Q367" s="1578"/>
      <c r="R367" s="1578"/>
      <c r="S367" s="1578"/>
      <c r="T367" s="1578"/>
      <c r="U367" s="1578"/>
      <c r="V367" s="1578"/>
      <c r="W367" s="1578"/>
      <c r="X367" s="1578"/>
      <c r="Y367" s="1578"/>
      <c r="Z367" s="1578"/>
      <c r="AA367" s="1578"/>
      <c r="AB367" s="1578"/>
      <c r="AC367" s="1578"/>
      <c r="AD367" s="1578"/>
      <c r="AE367" s="1578"/>
      <c r="AF367" s="1578"/>
      <c r="AG367" s="1578"/>
      <c r="AH367" s="1578"/>
      <c r="AI367" s="1578"/>
      <c r="AJ367" s="1578"/>
      <c r="AK367" s="1578"/>
      <c r="AL367" s="1578"/>
      <c r="AM367" s="1578"/>
      <c r="AN367" s="1578"/>
      <c r="AO367" s="1578"/>
      <c r="AP367" s="1578"/>
      <c r="AQ367" s="1578"/>
      <c r="AR367" s="1578"/>
      <c r="AS367" s="1578"/>
      <c r="AT367" s="1578"/>
      <c r="AU367" s="1578"/>
      <c r="AV367" s="1578"/>
      <c r="AW367" s="1578"/>
      <c r="AX367" s="1578"/>
      <c r="AY367" s="1578"/>
      <c r="AZ367" s="1578"/>
      <c r="BA367" s="1578"/>
      <c r="BB367" s="1578"/>
      <c r="BC367" s="1578"/>
      <c r="BD367" s="1578"/>
      <c r="BE367" s="1578"/>
      <c r="BF367" s="1578"/>
      <c r="BG367" s="1578"/>
      <c r="BH367" s="1578"/>
      <c r="BI367" s="1578"/>
      <c r="BJ367" s="1578"/>
      <c r="BK367" s="1578"/>
      <c r="BL367" s="1578"/>
      <c r="BM367" s="1578"/>
      <c r="BN367" s="1578"/>
      <c r="BO367" s="1578"/>
      <c r="BP367" s="1578"/>
      <c r="BQ367" s="1578"/>
      <c r="BR367" s="1578"/>
      <c r="BS367" s="1578"/>
      <c r="BT367" s="1578"/>
      <c r="BU367" s="1578"/>
      <c r="BV367" s="1578"/>
      <c r="BW367" s="1578"/>
      <c r="BX367" s="1578"/>
      <c r="BY367" s="1578"/>
      <c r="BZ367" s="1578"/>
      <c r="CA367" s="1578"/>
      <c r="CB367" s="1578"/>
      <c r="CC367" s="1578"/>
      <c r="CD367" s="1578"/>
      <c r="CE367" s="1578"/>
      <c r="CF367" s="1578"/>
      <c r="CG367" s="1578"/>
      <c r="CH367" s="1578"/>
      <c r="CI367" s="1578"/>
      <c r="CJ367" s="1578"/>
      <c r="CK367" s="1578"/>
      <c r="CL367" s="1578"/>
      <c r="CM367" s="1578"/>
      <c r="CN367" s="1578"/>
      <c r="CO367" s="1578"/>
      <c r="CP367" s="1578"/>
      <c r="CQ367" s="1578"/>
      <c r="CR367" s="1578"/>
      <c r="CS367" s="1578"/>
      <c r="CT367" s="1578"/>
      <c r="CU367" s="1578"/>
      <c r="CV367" s="1578"/>
      <c r="CW367" s="1578"/>
      <c r="CX367" s="1578"/>
      <c r="CY367" s="1578"/>
      <c r="CZ367" s="1578"/>
    </row>
    <row r="368" spans="1:407">
      <c r="A368" s="1466"/>
      <c r="B368" s="1576"/>
      <c r="C368" s="1576"/>
      <c r="D368" s="1576"/>
      <c r="E368" s="1578"/>
      <c r="F368" s="1578"/>
      <c r="G368" s="1578"/>
      <c r="H368" s="1578"/>
      <c r="I368" s="1578"/>
      <c r="J368" s="1578"/>
      <c r="K368" s="1578"/>
      <c r="L368" s="1578"/>
      <c r="M368" s="1578"/>
      <c r="N368" s="1578"/>
      <c r="O368" s="1578"/>
      <c r="P368" s="1578"/>
      <c r="Q368" s="1578"/>
      <c r="R368" s="1578"/>
      <c r="S368" s="1578"/>
      <c r="T368" s="1578"/>
      <c r="U368" s="1578"/>
      <c r="V368" s="1578"/>
      <c r="W368" s="1578"/>
      <c r="X368" s="1578"/>
      <c r="Y368" s="1578"/>
      <c r="Z368" s="1578"/>
      <c r="AA368" s="1578"/>
      <c r="AB368" s="1578"/>
      <c r="AC368" s="1578"/>
      <c r="AD368" s="1578"/>
      <c r="AE368" s="1578"/>
      <c r="AF368" s="1578"/>
      <c r="AG368" s="1578"/>
      <c r="AH368" s="1578"/>
      <c r="AI368" s="1578"/>
      <c r="AJ368" s="1578"/>
      <c r="AK368" s="1578"/>
      <c r="AL368" s="1578"/>
      <c r="AM368" s="1578"/>
      <c r="AN368" s="1578"/>
      <c r="AO368" s="1578"/>
      <c r="AP368" s="1578"/>
      <c r="AQ368" s="1578"/>
      <c r="AR368" s="1578"/>
      <c r="AS368" s="1578"/>
      <c r="AT368" s="1578"/>
      <c r="AU368" s="1578"/>
      <c r="AV368" s="1578"/>
      <c r="AW368" s="1578"/>
      <c r="AX368" s="1578"/>
      <c r="AY368" s="1578"/>
      <c r="AZ368" s="1578"/>
      <c r="BA368" s="1578"/>
      <c r="BB368" s="1578"/>
      <c r="BC368" s="1578"/>
      <c r="BD368" s="1578"/>
      <c r="BE368" s="1578"/>
      <c r="BF368" s="1578"/>
      <c r="BG368" s="1578"/>
      <c r="BH368" s="1578"/>
      <c r="BI368" s="1578"/>
      <c r="BJ368" s="1578"/>
      <c r="BK368" s="1578"/>
      <c r="BL368" s="1578"/>
      <c r="BM368" s="1578"/>
      <c r="BN368" s="1578"/>
      <c r="BO368" s="1578"/>
      <c r="BP368" s="1578"/>
      <c r="BQ368" s="1578"/>
      <c r="BR368" s="1578"/>
      <c r="BS368" s="1578"/>
      <c r="BT368" s="1578"/>
      <c r="BU368" s="1578"/>
      <c r="BV368" s="1578"/>
      <c r="BW368" s="1578"/>
      <c r="BX368" s="1578"/>
      <c r="BY368" s="1578"/>
      <c r="BZ368" s="1578"/>
      <c r="CA368" s="1578"/>
      <c r="CB368" s="1578"/>
      <c r="CC368" s="1578"/>
      <c r="CD368" s="1578"/>
      <c r="CE368" s="1578"/>
      <c r="CF368" s="1578"/>
      <c r="CG368" s="1578"/>
      <c r="CH368" s="1578"/>
      <c r="CI368" s="1578"/>
      <c r="CJ368" s="1578"/>
      <c r="CK368" s="1578"/>
      <c r="CL368" s="1578"/>
      <c r="CM368" s="1578"/>
      <c r="CN368" s="1578"/>
      <c r="CO368" s="1578"/>
      <c r="CP368" s="1578"/>
      <c r="CQ368" s="1578"/>
      <c r="CR368" s="1578"/>
      <c r="CS368" s="1578"/>
      <c r="CT368" s="1578"/>
      <c r="CU368" s="1578"/>
      <c r="CV368" s="1578"/>
      <c r="CW368" s="1578"/>
      <c r="CX368" s="1578"/>
      <c r="CY368" s="1578"/>
      <c r="CZ368" s="1578"/>
    </row>
    <row r="369" spans="1:104">
      <c r="A369" s="1466"/>
      <c r="B369" s="1576"/>
      <c r="C369" s="1576"/>
      <c r="D369" s="1576"/>
      <c r="E369" s="1578"/>
      <c r="F369" s="1578"/>
      <c r="G369" s="1578"/>
      <c r="H369" s="1578"/>
      <c r="I369" s="1578"/>
      <c r="J369" s="1578"/>
      <c r="K369" s="1578"/>
      <c r="L369" s="1578"/>
      <c r="M369" s="1578"/>
      <c r="N369" s="1578"/>
      <c r="O369" s="1578"/>
      <c r="P369" s="1578"/>
      <c r="Q369" s="1578"/>
      <c r="R369" s="1578"/>
      <c r="S369" s="1578"/>
      <c r="T369" s="1578"/>
      <c r="U369" s="1578"/>
      <c r="V369" s="1578"/>
      <c r="W369" s="1578"/>
      <c r="X369" s="1578"/>
      <c r="Y369" s="1578"/>
      <c r="Z369" s="1578"/>
      <c r="AA369" s="1578"/>
      <c r="AB369" s="1578"/>
      <c r="AC369" s="1578"/>
      <c r="AD369" s="1578"/>
      <c r="AE369" s="1578"/>
      <c r="AF369" s="1578"/>
      <c r="AG369" s="1578"/>
      <c r="AH369" s="1578"/>
      <c r="AI369" s="1578"/>
      <c r="AJ369" s="1578"/>
      <c r="AK369" s="1578"/>
      <c r="AL369" s="1578"/>
      <c r="AM369" s="1578"/>
      <c r="AN369" s="1578"/>
      <c r="AO369" s="1578"/>
      <c r="AP369" s="1578"/>
      <c r="AQ369" s="1578"/>
      <c r="AR369" s="1578"/>
      <c r="AS369" s="1578"/>
      <c r="AT369" s="1578"/>
      <c r="AU369" s="1578"/>
      <c r="AV369" s="1578"/>
      <c r="AW369" s="1578"/>
      <c r="AX369" s="1578"/>
      <c r="AY369" s="1578"/>
      <c r="AZ369" s="1578"/>
      <c r="BA369" s="1578"/>
      <c r="BB369" s="1578"/>
      <c r="BC369" s="1578"/>
      <c r="BD369" s="1578"/>
      <c r="BE369" s="1578"/>
      <c r="BF369" s="1578"/>
      <c r="BG369" s="1578"/>
      <c r="BH369" s="1578"/>
      <c r="BI369" s="1578"/>
      <c r="BJ369" s="1578"/>
      <c r="BK369" s="1578"/>
      <c r="BL369" s="1578"/>
      <c r="BM369" s="1578"/>
      <c r="BN369" s="1578"/>
      <c r="BO369" s="1578"/>
      <c r="BP369" s="1578"/>
      <c r="BQ369" s="1578"/>
      <c r="BR369" s="1578"/>
      <c r="BS369" s="1578"/>
      <c r="BT369" s="1578"/>
      <c r="BU369" s="1578"/>
      <c r="BV369" s="1578"/>
      <c r="BW369" s="1578"/>
      <c r="BX369" s="1578"/>
      <c r="BY369" s="1578"/>
      <c r="BZ369" s="1578"/>
      <c r="CA369" s="1578"/>
      <c r="CB369" s="1578"/>
      <c r="CC369" s="1578"/>
      <c r="CD369" s="1578"/>
      <c r="CE369" s="1578"/>
      <c r="CF369" s="1578"/>
      <c r="CG369" s="1578"/>
      <c r="CH369" s="1578"/>
      <c r="CI369" s="1578"/>
      <c r="CJ369" s="1578"/>
      <c r="CK369" s="1578"/>
      <c r="CL369" s="1578"/>
      <c r="CM369" s="1578"/>
      <c r="CN369" s="1578"/>
      <c r="CO369" s="1578"/>
      <c r="CP369" s="1578"/>
      <c r="CQ369" s="1578"/>
      <c r="CR369" s="1578"/>
      <c r="CS369" s="1578"/>
      <c r="CT369" s="1578"/>
      <c r="CU369" s="1578"/>
      <c r="CV369" s="1578"/>
      <c r="CW369" s="1578"/>
      <c r="CX369" s="1578"/>
      <c r="CY369" s="1578"/>
      <c r="CZ369" s="1578"/>
    </row>
    <row r="370" spans="1:104">
      <c r="A370" s="1466"/>
      <c r="B370" s="1576"/>
      <c r="C370" s="1576"/>
      <c r="D370" s="1576"/>
      <c r="E370" s="1578"/>
      <c r="F370" s="1578"/>
      <c r="G370" s="1578"/>
      <c r="H370" s="1578"/>
      <c r="I370" s="1578"/>
      <c r="J370" s="1578"/>
      <c r="K370" s="1578"/>
      <c r="L370" s="1578"/>
      <c r="M370" s="1578"/>
      <c r="N370" s="1578"/>
      <c r="O370" s="1578"/>
      <c r="P370" s="1578"/>
      <c r="Q370" s="1578"/>
      <c r="R370" s="1578"/>
      <c r="S370" s="1578"/>
      <c r="T370" s="1578"/>
      <c r="U370" s="1578"/>
      <c r="V370" s="1578"/>
      <c r="W370" s="1578"/>
      <c r="X370" s="1578"/>
      <c r="Y370" s="1578"/>
      <c r="Z370" s="1578"/>
      <c r="AA370" s="1578"/>
      <c r="AB370" s="1578"/>
      <c r="AC370" s="1578"/>
      <c r="AD370" s="1578"/>
      <c r="AE370" s="1578"/>
      <c r="AF370" s="1578"/>
      <c r="AG370" s="1578"/>
      <c r="AH370" s="1578"/>
      <c r="AI370" s="1578"/>
      <c r="AJ370" s="1578"/>
      <c r="AK370" s="1578"/>
      <c r="AL370" s="1578"/>
      <c r="AM370" s="1578"/>
      <c r="AN370" s="1578"/>
      <c r="AO370" s="1578"/>
      <c r="AP370" s="1578"/>
      <c r="AQ370" s="1578"/>
      <c r="AR370" s="1578"/>
      <c r="AS370" s="1578"/>
      <c r="AT370" s="1578"/>
      <c r="AU370" s="1578"/>
      <c r="AV370" s="1578"/>
      <c r="AW370" s="1578"/>
      <c r="AX370" s="1578"/>
      <c r="AY370" s="1578"/>
      <c r="AZ370" s="1578"/>
      <c r="BA370" s="1578"/>
      <c r="BB370" s="1578"/>
      <c r="BC370" s="1578"/>
      <c r="BD370" s="1578"/>
      <c r="BE370" s="1578"/>
      <c r="BF370" s="1578"/>
      <c r="BG370" s="1578"/>
      <c r="BH370" s="1578"/>
      <c r="BI370" s="1578"/>
      <c r="BJ370" s="1578"/>
      <c r="BK370" s="1578"/>
      <c r="BL370" s="1578"/>
      <c r="BM370" s="1578"/>
      <c r="BN370" s="1578"/>
      <c r="BO370" s="1578"/>
      <c r="BP370" s="1578"/>
      <c r="BQ370" s="1578"/>
      <c r="BR370" s="1578"/>
      <c r="BS370" s="1578"/>
      <c r="BT370" s="1578"/>
      <c r="BU370" s="1578"/>
      <c r="BV370" s="1578"/>
      <c r="BW370" s="1578"/>
      <c r="BX370" s="1578"/>
      <c r="BY370" s="1578"/>
      <c r="BZ370" s="1578"/>
      <c r="CA370" s="1578"/>
      <c r="CB370" s="1578"/>
      <c r="CC370" s="1578"/>
      <c r="CD370" s="1578"/>
      <c r="CE370" s="1578"/>
      <c r="CF370" s="1578"/>
      <c r="CG370" s="1578"/>
      <c r="CH370" s="1578"/>
      <c r="CI370" s="1578"/>
      <c r="CJ370" s="1578"/>
      <c r="CK370" s="1578"/>
      <c r="CL370" s="1578"/>
      <c r="CM370" s="1578"/>
      <c r="CN370" s="1578"/>
      <c r="CO370" s="1578"/>
      <c r="CP370" s="1578"/>
      <c r="CQ370" s="1578"/>
      <c r="CR370" s="1578"/>
      <c r="CS370" s="1578"/>
      <c r="CT370" s="1578"/>
      <c r="CU370" s="1578"/>
      <c r="CV370" s="1578"/>
      <c r="CW370" s="1578"/>
      <c r="CX370" s="1578"/>
      <c r="CY370" s="1578"/>
      <c r="CZ370" s="1578"/>
    </row>
    <row r="371" spans="1:104">
      <c r="A371" s="1466"/>
      <c r="B371" s="1576"/>
      <c r="C371" s="1576"/>
      <c r="D371" s="1576"/>
      <c r="E371" s="1578"/>
      <c r="F371" s="1578"/>
      <c r="G371" s="1578"/>
      <c r="H371" s="1578"/>
      <c r="I371" s="1578"/>
      <c r="J371" s="1578"/>
      <c r="K371" s="1578"/>
      <c r="L371" s="1578"/>
      <c r="M371" s="1578"/>
      <c r="N371" s="1578"/>
      <c r="O371" s="1578"/>
      <c r="P371" s="1578"/>
      <c r="Q371" s="1578"/>
      <c r="R371" s="1578"/>
      <c r="S371" s="1578"/>
      <c r="T371" s="1578"/>
      <c r="U371" s="1578"/>
      <c r="V371" s="1578"/>
      <c r="W371" s="1578"/>
      <c r="X371" s="1578"/>
      <c r="Y371" s="1578"/>
      <c r="Z371" s="1578"/>
      <c r="AA371" s="1578"/>
      <c r="AB371" s="1578"/>
      <c r="AC371" s="1578"/>
      <c r="AD371" s="1578"/>
      <c r="AE371" s="1578"/>
      <c r="AF371" s="1578"/>
      <c r="AG371" s="1578"/>
      <c r="AH371" s="1578"/>
      <c r="AI371" s="1578"/>
      <c r="AJ371" s="1578"/>
      <c r="AK371" s="1578"/>
      <c r="AL371" s="1578"/>
      <c r="AM371" s="1578"/>
      <c r="AN371" s="1578"/>
      <c r="AO371" s="1578"/>
      <c r="AP371" s="1578"/>
      <c r="AQ371" s="1578"/>
      <c r="AR371" s="1578"/>
      <c r="AS371" s="1578"/>
      <c r="AT371" s="1578"/>
      <c r="AU371" s="1578"/>
      <c r="AV371" s="1578"/>
      <c r="AW371" s="1578"/>
      <c r="AX371" s="1578"/>
      <c r="AY371" s="1578"/>
      <c r="AZ371" s="1578"/>
      <c r="BA371" s="1578"/>
      <c r="BB371" s="1578"/>
      <c r="BC371" s="1578"/>
      <c r="BD371" s="1578"/>
      <c r="BE371" s="1578"/>
      <c r="BF371" s="1578"/>
      <c r="BG371" s="1578"/>
      <c r="BH371" s="1578"/>
      <c r="BI371" s="1578"/>
      <c r="BJ371" s="1578"/>
      <c r="BK371" s="1578"/>
      <c r="BL371" s="1578"/>
      <c r="BM371" s="1578"/>
      <c r="BN371" s="1578"/>
      <c r="BO371" s="1578"/>
      <c r="BP371" s="1578"/>
      <c r="BQ371" s="1578"/>
      <c r="BR371" s="1578"/>
      <c r="BS371" s="1578"/>
      <c r="BT371" s="1578"/>
      <c r="BU371" s="1578"/>
      <c r="BV371" s="1578"/>
      <c r="BW371" s="1578"/>
      <c r="BX371" s="1578"/>
      <c r="BY371" s="1578"/>
      <c r="BZ371" s="1578"/>
      <c r="CA371" s="1578"/>
      <c r="CB371" s="1578"/>
      <c r="CC371" s="1578"/>
      <c r="CD371" s="1578"/>
      <c r="CE371" s="1578"/>
      <c r="CF371" s="1578"/>
      <c r="CG371" s="1578"/>
      <c r="CH371" s="1578"/>
      <c r="CI371" s="1578"/>
      <c r="CJ371" s="1578"/>
      <c r="CK371" s="1578"/>
      <c r="CL371" s="1578"/>
      <c r="CM371" s="1578"/>
      <c r="CN371" s="1578"/>
      <c r="CO371" s="1578"/>
      <c r="CP371" s="1578"/>
      <c r="CQ371" s="1578"/>
      <c r="CR371" s="1578"/>
      <c r="CS371" s="1578"/>
      <c r="CT371" s="1578"/>
      <c r="CU371" s="1578"/>
      <c r="CV371" s="1578"/>
      <c r="CW371" s="1578"/>
      <c r="CX371" s="1578"/>
      <c r="CY371" s="1578"/>
      <c r="CZ371" s="1578"/>
    </row>
    <row r="372" spans="1:104">
      <c r="A372" s="1466"/>
      <c r="B372" s="1576"/>
      <c r="C372" s="1576"/>
      <c r="D372" s="1576"/>
      <c r="E372" s="1578"/>
      <c r="F372" s="1578"/>
      <c r="G372" s="1578"/>
      <c r="H372" s="1578"/>
      <c r="I372" s="1578"/>
      <c r="J372" s="1578"/>
      <c r="K372" s="1578"/>
      <c r="L372" s="1578"/>
      <c r="M372" s="1578"/>
      <c r="N372" s="1578"/>
      <c r="O372" s="1578"/>
      <c r="P372" s="1578"/>
      <c r="Q372" s="1578"/>
      <c r="R372" s="1578"/>
      <c r="S372" s="1578"/>
      <c r="T372" s="1578"/>
      <c r="U372" s="1578"/>
      <c r="V372" s="1578"/>
      <c r="W372" s="1578"/>
      <c r="X372" s="1578"/>
      <c r="Y372" s="1578"/>
      <c r="Z372" s="1578"/>
      <c r="AA372" s="1578"/>
      <c r="AB372" s="1578"/>
      <c r="AC372" s="1578"/>
      <c r="AD372" s="1578"/>
      <c r="AE372" s="1578"/>
      <c r="AF372" s="1578"/>
      <c r="AG372" s="1578"/>
      <c r="AH372" s="1578"/>
      <c r="AI372" s="1578"/>
      <c r="AJ372" s="1578"/>
      <c r="AK372" s="1578"/>
      <c r="AL372" s="1578"/>
      <c r="AM372" s="1578"/>
      <c r="AN372" s="1578"/>
      <c r="AO372" s="1578"/>
      <c r="AP372" s="1578"/>
      <c r="AQ372" s="1578"/>
      <c r="AR372" s="1578"/>
      <c r="AS372" s="1578"/>
      <c r="AT372" s="1578"/>
      <c r="AU372" s="1578"/>
      <c r="AV372" s="1578"/>
      <c r="AW372" s="1578"/>
      <c r="AX372" s="1578"/>
      <c r="AY372" s="1578"/>
      <c r="AZ372" s="1578"/>
      <c r="BA372" s="1578"/>
      <c r="BB372" s="1578"/>
      <c r="BC372" s="1578"/>
      <c r="BD372" s="1578"/>
      <c r="BE372" s="1578"/>
      <c r="BF372" s="1578"/>
      <c r="BG372" s="1578"/>
      <c r="BH372" s="1578"/>
      <c r="BI372" s="1578"/>
      <c r="BJ372" s="1578"/>
      <c r="BK372" s="1578"/>
      <c r="BL372" s="1578"/>
      <c r="BM372" s="1578"/>
      <c r="BN372" s="1578"/>
      <c r="BO372" s="1578"/>
      <c r="BP372" s="1578"/>
      <c r="BQ372" s="1578"/>
      <c r="BR372" s="1578"/>
      <c r="BS372" s="1578"/>
      <c r="BT372" s="1578"/>
      <c r="BU372" s="1578"/>
      <c r="BV372" s="1578"/>
      <c r="BW372" s="1578"/>
      <c r="BX372" s="1578"/>
      <c r="BY372" s="1578"/>
      <c r="BZ372" s="1578"/>
      <c r="CA372" s="1578"/>
      <c r="CB372" s="1578"/>
      <c r="CC372" s="1578"/>
      <c r="CD372" s="1578"/>
      <c r="CE372" s="1578"/>
      <c r="CF372" s="1578"/>
      <c r="CG372" s="1578"/>
      <c r="CH372" s="1578"/>
      <c r="CI372" s="1578"/>
      <c r="CJ372" s="1578"/>
      <c r="CK372" s="1578"/>
      <c r="CL372" s="1578"/>
      <c r="CM372" s="1578"/>
      <c r="CN372" s="1578"/>
      <c r="CO372" s="1578"/>
      <c r="CP372" s="1578"/>
      <c r="CQ372" s="1578"/>
      <c r="CR372" s="1578"/>
      <c r="CS372" s="1578"/>
      <c r="CT372" s="1578"/>
      <c r="CU372" s="1578"/>
      <c r="CV372" s="1578"/>
      <c r="CW372" s="1578"/>
      <c r="CX372" s="1578"/>
      <c r="CY372" s="1578"/>
      <c r="CZ372" s="1578"/>
    </row>
    <row r="373" spans="1:104">
      <c r="A373" s="1466"/>
      <c r="B373" s="1576"/>
      <c r="C373" s="1576"/>
      <c r="D373" s="1576"/>
      <c r="E373" s="1578"/>
      <c r="F373" s="1578"/>
      <c r="G373" s="1578"/>
      <c r="H373" s="1578"/>
      <c r="I373" s="1578"/>
      <c r="J373" s="1578"/>
      <c r="K373" s="1578"/>
      <c r="L373" s="1578"/>
      <c r="M373" s="1578"/>
      <c r="N373" s="1578"/>
      <c r="O373" s="1578"/>
      <c r="P373" s="1578"/>
      <c r="Q373" s="1578"/>
      <c r="R373" s="1578"/>
      <c r="S373" s="1578"/>
      <c r="T373" s="1578"/>
      <c r="U373" s="1578"/>
      <c r="V373" s="1578"/>
      <c r="W373" s="1578"/>
      <c r="X373" s="1578"/>
      <c r="Y373" s="1578"/>
      <c r="Z373" s="1578"/>
      <c r="AA373" s="1578"/>
      <c r="AB373" s="1578"/>
      <c r="AC373" s="1578"/>
      <c r="AD373" s="1578"/>
      <c r="AE373" s="1578"/>
      <c r="AF373" s="1578"/>
      <c r="AG373" s="1578"/>
      <c r="AH373" s="1578"/>
      <c r="AI373" s="1578"/>
      <c r="AJ373" s="1578"/>
      <c r="AK373" s="1578"/>
      <c r="AL373" s="1578"/>
      <c r="AM373" s="1578"/>
      <c r="AN373" s="1578"/>
      <c r="AO373" s="1578"/>
      <c r="AP373" s="1578"/>
      <c r="AQ373" s="1578"/>
      <c r="AR373" s="1578"/>
      <c r="AS373" s="1578"/>
      <c r="AT373" s="1578"/>
      <c r="AU373" s="1578"/>
      <c r="AV373" s="1578"/>
      <c r="AW373" s="1578"/>
      <c r="AX373" s="1578"/>
      <c r="AY373" s="1578"/>
      <c r="AZ373" s="1578"/>
      <c r="BA373" s="1578"/>
      <c r="BB373" s="1578"/>
      <c r="BC373" s="1578"/>
      <c r="BD373" s="1578"/>
      <c r="BE373" s="1578"/>
      <c r="BF373" s="1578"/>
      <c r="BG373" s="1578"/>
      <c r="BH373" s="1578"/>
      <c r="BI373" s="1578"/>
      <c r="BJ373" s="1578"/>
      <c r="BK373" s="1578"/>
      <c r="BL373" s="1578"/>
      <c r="BM373" s="1578"/>
      <c r="BN373" s="1578"/>
      <c r="BO373" s="1578"/>
      <c r="BP373" s="1578"/>
      <c r="BQ373" s="1578"/>
      <c r="BR373" s="1578"/>
      <c r="BS373" s="1578"/>
      <c r="BT373" s="1578"/>
      <c r="BU373" s="1578"/>
      <c r="BV373" s="1578"/>
      <c r="BW373" s="1578"/>
      <c r="BX373" s="1578"/>
      <c r="BY373" s="1578"/>
      <c r="BZ373" s="1578"/>
      <c r="CA373" s="1578"/>
      <c r="CB373" s="1578"/>
      <c r="CC373" s="1578"/>
      <c r="CD373" s="1578"/>
      <c r="CE373" s="1578"/>
      <c r="CF373" s="1578"/>
      <c r="CG373" s="1578"/>
      <c r="CH373" s="1578"/>
      <c r="CI373" s="1578"/>
      <c r="CJ373" s="1578"/>
      <c r="CK373" s="1578"/>
      <c r="CL373" s="1578"/>
      <c r="CM373" s="1578"/>
      <c r="CN373" s="1578"/>
      <c r="CO373" s="1578"/>
      <c r="CP373" s="1578"/>
      <c r="CQ373" s="1578"/>
      <c r="CR373" s="1578"/>
      <c r="CS373" s="1578"/>
      <c r="CT373" s="1578"/>
      <c r="CU373" s="1578"/>
      <c r="CV373" s="1578"/>
      <c r="CW373" s="1578"/>
      <c r="CX373" s="1578"/>
      <c r="CY373" s="1578"/>
      <c r="CZ373" s="1578"/>
    </row>
    <row r="374" spans="1:104">
      <c r="A374" s="1466"/>
      <c r="B374" s="1576"/>
      <c r="C374" s="1576"/>
      <c r="D374" s="1576"/>
      <c r="E374" s="1578"/>
      <c r="F374" s="1578"/>
      <c r="G374" s="1578"/>
      <c r="H374" s="1578"/>
      <c r="I374" s="1578"/>
      <c r="J374" s="1578"/>
      <c r="K374" s="1578"/>
      <c r="L374" s="1578"/>
      <c r="M374" s="1578"/>
      <c r="N374" s="1578"/>
      <c r="O374" s="1578"/>
      <c r="P374" s="1578"/>
      <c r="Q374" s="1578"/>
      <c r="R374" s="1578"/>
      <c r="S374" s="1578"/>
      <c r="T374" s="1578"/>
      <c r="U374" s="1578"/>
      <c r="V374" s="1578"/>
      <c r="W374" s="1578"/>
      <c r="X374" s="1578"/>
      <c r="Y374" s="1578"/>
      <c r="Z374" s="1578"/>
      <c r="AA374" s="1578"/>
      <c r="AB374" s="1578"/>
      <c r="AC374" s="1578"/>
      <c r="AD374" s="1578"/>
      <c r="AE374" s="1578"/>
      <c r="AF374" s="1578"/>
      <c r="AG374" s="1578"/>
      <c r="AH374" s="1578"/>
      <c r="AI374" s="1578"/>
      <c r="AJ374" s="1578"/>
      <c r="AK374" s="1578"/>
      <c r="AL374" s="1578"/>
      <c r="AM374" s="1578"/>
      <c r="AN374" s="1578"/>
      <c r="AO374" s="1578"/>
      <c r="AP374" s="1578"/>
      <c r="AQ374" s="1578"/>
      <c r="AR374" s="1578"/>
      <c r="AS374" s="1578"/>
      <c r="AT374" s="1578"/>
      <c r="AU374" s="1578"/>
      <c r="AV374" s="1578"/>
      <c r="AW374" s="1578"/>
      <c r="AX374" s="1578"/>
      <c r="AY374" s="1578"/>
      <c r="AZ374" s="1578"/>
      <c r="BA374" s="1578"/>
      <c r="BB374" s="1578"/>
      <c r="BC374" s="1578"/>
      <c r="BD374" s="1578"/>
      <c r="BE374" s="1578"/>
      <c r="BF374" s="1578"/>
      <c r="BG374" s="1578"/>
      <c r="BH374" s="1578"/>
      <c r="BI374" s="1578"/>
      <c r="BJ374" s="1578"/>
      <c r="BK374" s="1578"/>
      <c r="BL374" s="1578"/>
      <c r="BM374" s="1578"/>
      <c r="BN374" s="1578"/>
      <c r="BO374" s="1578"/>
      <c r="BP374" s="1578"/>
      <c r="BQ374" s="1578"/>
      <c r="BR374" s="1578"/>
      <c r="BS374" s="1578"/>
      <c r="BT374" s="1578"/>
      <c r="BU374" s="1578"/>
      <c r="BV374" s="1578"/>
      <c r="BW374" s="1578"/>
      <c r="BX374" s="1578"/>
      <c r="BY374" s="1578"/>
      <c r="BZ374" s="1578"/>
      <c r="CA374" s="1578"/>
      <c r="CB374" s="1578"/>
      <c r="CC374" s="1578"/>
      <c r="CD374" s="1578"/>
      <c r="CE374" s="1578"/>
      <c r="CF374" s="1578"/>
      <c r="CG374" s="1578"/>
      <c r="CH374" s="1578"/>
      <c r="CI374" s="1578"/>
      <c r="CJ374" s="1578"/>
      <c r="CK374" s="1578"/>
      <c r="CL374" s="1578"/>
      <c r="CM374" s="1578"/>
      <c r="CN374" s="1578"/>
      <c r="CO374" s="1578"/>
      <c r="CP374" s="1578"/>
      <c r="CQ374" s="1578"/>
      <c r="CR374" s="1578"/>
      <c r="CS374" s="1578"/>
      <c r="CT374" s="1578"/>
      <c r="CU374" s="1578"/>
      <c r="CV374" s="1578"/>
      <c r="CW374" s="1578"/>
      <c r="CX374" s="1578"/>
      <c r="CY374" s="1578"/>
      <c r="CZ374" s="1578"/>
    </row>
    <row r="375" spans="1:104">
      <c r="A375" s="1466"/>
      <c r="B375" s="1576"/>
      <c r="C375" s="1576"/>
      <c r="D375" s="1576"/>
      <c r="E375" s="1578"/>
      <c r="F375" s="1578"/>
      <c r="G375" s="1578"/>
      <c r="H375" s="1578"/>
      <c r="I375" s="1578"/>
      <c r="J375" s="1578"/>
      <c r="K375" s="1578"/>
      <c r="L375" s="1578"/>
      <c r="M375" s="1578"/>
      <c r="N375" s="1578"/>
      <c r="O375" s="1578"/>
      <c r="P375" s="1578"/>
      <c r="Q375" s="1578"/>
      <c r="R375" s="1578"/>
      <c r="S375" s="1578"/>
      <c r="T375" s="1578"/>
      <c r="U375" s="1578"/>
      <c r="V375" s="1578"/>
      <c r="W375" s="1578"/>
      <c r="X375" s="1578"/>
      <c r="Y375" s="1578"/>
      <c r="Z375" s="1578"/>
      <c r="AA375" s="1578"/>
      <c r="AB375" s="1578"/>
      <c r="AC375" s="1578"/>
      <c r="AD375" s="1578"/>
      <c r="AE375" s="1578"/>
      <c r="AF375" s="1578"/>
      <c r="AG375" s="1578"/>
      <c r="AH375" s="1578"/>
      <c r="AI375" s="1578"/>
      <c r="AJ375" s="1578"/>
      <c r="AK375" s="1578"/>
      <c r="AL375" s="1578"/>
      <c r="AM375" s="1578"/>
      <c r="AN375" s="1578"/>
      <c r="AO375" s="1578"/>
      <c r="AP375" s="1578"/>
      <c r="AQ375" s="1578"/>
      <c r="AR375" s="1578"/>
      <c r="AS375" s="1578"/>
      <c r="AT375" s="1578"/>
      <c r="AU375" s="1578"/>
      <c r="AV375" s="1578"/>
      <c r="AW375" s="1578"/>
      <c r="AX375" s="1578"/>
      <c r="AY375" s="1578"/>
      <c r="AZ375" s="1578"/>
      <c r="BA375" s="1578"/>
      <c r="BB375" s="1578"/>
      <c r="BC375" s="1578"/>
      <c r="BD375" s="1578"/>
      <c r="BE375" s="1578"/>
      <c r="BF375" s="1578"/>
      <c r="BG375" s="1578"/>
      <c r="BH375" s="1578"/>
      <c r="BI375" s="1578"/>
      <c r="BJ375" s="1578"/>
      <c r="BK375" s="1578"/>
      <c r="BL375" s="1578"/>
      <c r="BM375" s="1578"/>
      <c r="BN375" s="1578"/>
      <c r="BO375" s="1578"/>
      <c r="BP375" s="1578"/>
      <c r="BQ375" s="1578"/>
      <c r="BR375" s="1578"/>
      <c r="BS375" s="1578"/>
      <c r="BT375" s="1578"/>
      <c r="BU375" s="1578"/>
      <c r="BV375" s="1578"/>
      <c r="BW375" s="1578"/>
      <c r="BX375" s="1578"/>
      <c r="BY375" s="1578"/>
      <c r="BZ375" s="1578"/>
      <c r="CA375" s="1578"/>
      <c r="CB375" s="1578"/>
      <c r="CC375" s="1578"/>
      <c r="CD375" s="1578"/>
      <c r="CE375" s="1578"/>
      <c r="CF375" s="1578"/>
      <c r="CG375" s="1578"/>
      <c r="CH375" s="1578"/>
      <c r="CI375" s="1578"/>
      <c r="CJ375" s="1578"/>
      <c r="CK375" s="1578"/>
      <c r="CL375" s="1578"/>
      <c r="CM375" s="1578"/>
      <c r="CN375" s="1578"/>
      <c r="CO375" s="1578"/>
      <c r="CP375" s="1578"/>
      <c r="CQ375" s="1578"/>
      <c r="CR375" s="1578"/>
      <c r="CS375" s="1578"/>
      <c r="CT375" s="1578"/>
      <c r="CU375" s="1578"/>
      <c r="CV375" s="1578"/>
      <c r="CW375" s="1578"/>
      <c r="CX375" s="1578"/>
      <c r="CY375" s="1578"/>
      <c r="CZ375" s="1578"/>
    </row>
    <row r="376" spans="1:104">
      <c r="A376" s="1466"/>
      <c r="B376" s="1576"/>
      <c r="C376" s="1576"/>
      <c r="D376" s="1576"/>
      <c r="E376" s="1578"/>
      <c r="F376" s="1578"/>
      <c r="G376" s="1578"/>
      <c r="H376" s="1578"/>
      <c r="I376" s="1578"/>
      <c r="J376" s="1578"/>
      <c r="K376" s="1578"/>
      <c r="L376" s="1578"/>
      <c r="M376" s="1578"/>
      <c r="N376" s="1578"/>
      <c r="O376" s="1578"/>
      <c r="P376" s="1578"/>
      <c r="Q376" s="1578"/>
      <c r="R376" s="1578"/>
      <c r="S376" s="1578"/>
      <c r="T376" s="1578"/>
      <c r="U376" s="1578"/>
      <c r="V376" s="1578"/>
      <c r="W376" s="1578"/>
      <c r="X376" s="1578"/>
      <c r="Y376" s="1578"/>
      <c r="Z376" s="1578"/>
      <c r="AA376" s="1578"/>
      <c r="AB376" s="1578"/>
      <c r="AC376" s="1578"/>
      <c r="AD376" s="1578"/>
      <c r="AE376" s="1578"/>
      <c r="AF376" s="1578"/>
      <c r="AG376" s="1578"/>
      <c r="AH376" s="1578"/>
      <c r="AI376" s="1578"/>
      <c r="AJ376" s="1578"/>
      <c r="AK376" s="1578"/>
      <c r="AL376" s="1578"/>
      <c r="AM376" s="1578"/>
      <c r="AN376" s="1578"/>
      <c r="AO376" s="1578"/>
      <c r="AP376" s="1578"/>
      <c r="AQ376" s="1578"/>
      <c r="AR376" s="1578"/>
      <c r="AS376" s="1578"/>
      <c r="AT376" s="1578"/>
      <c r="AU376" s="1578"/>
      <c r="AV376" s="1578"/>
      <c r="AW376" s="1578"/>
      <c r="AX376" s="1578"/>
      <c r="AY376" s="1578"/>
      <c r="AZ376" s="1578"/>
      <c r="BA376" s="1578"/>
      <c r="BB376" s="1578"/>
      <c r="BC376" s="1578"/>
      <c r="BD376" s="1578"/>
      <c r="BE376" s="1578"/>
      <c r="BF376" s="1578"/>
      <c r="BG376" s="1578"/>
      <c r="BH376" s="1578"/>
      <c r="BI376" s="1578"/>
      <c r="BJ376" s="1578"/>
      <c r="BK376" s="1578"/>
      <c r="BL376" s="1578"/>
      <c r="BM376" s="1578"/>
      <c r="BN376" s="1578"/>
      <c r="BO376" s="1578"/>
      <c r="BP376" s="1578"/>
      <c r="BQ376" s="1578"/>
      <c r="BR376" s="1578"/>
      <c r="BS376" s="1578"/>
      <c r="BT376" s="1578"/>
      <c r="BU376" s="1578"/>
      <c r="BV376" s="1578"/>
      <c r="BW376" s="1578"/>
      <c r="BX376" s="1578"/>
      <c r="BY376" s="1578"/>
      <c r="BZ376" s="1578"/>
      <c r="CA376" s="1578"/>
      <c r="CB376" s="1578"/>
      <c r="CC376" s="1578"/>
      <c r="CD376" s="1578"/>
      <c r="CE376" s="1578"/>
      <c r="CF376" s="1578"/>
      <c r="CG376" s="1578"/>
      <c r="CH376" s="1578"/>
      <c r="CI376" s="1578"/>
      <c r="CJ376" s="1578"/>
      <c r="CK376" s="1578"/>
      <c r="CL376" s="1578"/>
      <c r="CM376" s="1578"/>
      <c r="CN376" s="1578"/>
      <c r="CO376" s="1578"/>
      <c r="CP376" s="1578"/>
      <c r="CQ376" s="1578"/>
      <c r="CR376" s="1578"/>
      <c r="CS376" s="1578"/>
      <c r="CT376" s="1578"/>
      <c r="CU376" s="1578"/>
      <c r="CV376" s="1578"/>
      <c r="CW376" s="1578"/>
      <c r="CX376" s="1578"/>
      <c r="CY376" s="1578"/>
      <c r="CZ376" s="1578"/>
    </row>
    <row r="377" spans="1:104">
      <c r="A377" s="1466"/>
      <c r="B377" s="1576"/>
      <c r="C377" s="1576"/>
      <c r="D377" s="1576"/>
      <c r="E377" s="1578"/>
      <c r="F377" s="1578"/>
      <c r="G377" s="1578"/>
      <c r="H377" s="1578"/>
      <c r="I377" s="1578"/>
      <c r="J377" s="1578"/>
      <c r="K377" s="1578"/>
      <c r="L377" s="1578"/>
      <c r="M377" s="1578"/>
      <c r="N377" s="1578"/>
      <c r="O377" s="1578"/>
      <c r="P377" s="1578"/>
      <c r="Q377" s="1578"/>
      <c r="R377" s="1578"/>
      <c r="S377" s="1578"/>
      <c r="T377" s="1578"/>
      <c r="U377" s="1578"/>
      <c r="V377" s="1578"/>
      <c r="W377" s="1578"/>
      <c r="X377" s="1578"/>
      <c r="Y377" s="1578"/>
      <c r="Z377" s="1578"/>
      <c r="AA377" s="1578"/>
      <c r="AB377" s="1578"/>
      <c r="AC377" s="1578"/>
      <c r="AD377" s="1578"/>
      <c r="AE377" s="1578"/>
      <c r="AF377" s="1578"/>
      <c r="AG377" s="1578"/>
      <c r="AH377" s="1578"/>
      <c r="AI377" s="1578"/>
      <c r="AJ377" s="1578"/>
      <c r="AK377" s="1578"/>
      <c r="AL377" s="1578"/>
      <c r="AM377" s="1578"/>
      <c r="AN377" s="1578"/>
      <c r="AO377" s="1578"/>
      <c r="AP377" s="1578"/>
      <c r="AQ377" s="1578"/>
      <c r="AR377" s="1578"/>
      <c r="AS377" s="1578"/>
      <c r="AT377" s="1578"/>
      <c r="AU377" s="1578"/>
      <c r="AV377" s="1578"/>
      <c r="AW377" s="1578"/>
      <c r="AX377" s="1578"/>
      <c r="AY377" s="1578"/>
      <c r="AZ377" s="1578"/>
      <c r="BA377" s="1578"/>
      <c r="BB377" s="1578"/>
      <c r="BC377" s="1578"/>
      <c r="BD377" s="1578"/>
      <c r="BE377" s="1578"/>
      <c r="BF377" s="1578"/>
      <c r="BG377" s="1578"/>
      <c r="BH377" s="1578"/>
      <c r="BI377" s="1578"/>
      <c r="BJ377" s="1578"/>
      <c r="BK377" s="1578"/>
      <c r="BL377" s="1578"/>
      <c r="BM377" s="1578"/>
      <c r="BN377" s="1578"/>
      <c r="BO377" s="1578"/>
      <c r="BP377" s="1578"/>
      <c r="BQ377" s="1578"/>
      <c r="BR377" s="1578"/>
      <c r="BS377" s="1578"/>
      <c r="BT377" s="1578"/>
      <c r="BU377" s="1578"/>
      <c r="BV377" s="1578"/>
      <c r="BW377" s="1578"/>
      <c r="BX377" s="1578"/>
      <c r="BY377" s="1578"/>
      <c r="BZ377" s="1578"/>
      <c r="CA377" s="1578"/>
      <c r="CB377" s="1578"/>
      <c r="CC377" s="1578"/>
      <c r="CD377" s="1578"/>
      <c r="CE377" s="1578"/>
      <c r="CF377" s="1578"/>
      <c r="CG377" s="1578"/>
      <c r="CH377" s="1578"/>
      <c r="CI377" s="1578"/>
      <c r="CJ377" s="1578"/>
      <c r="CK377" s="1578"/>
      <c r="CL377" s="1578"/>
      <c r="CM377" s="1578"/>
      <c r="CN377" s="1578"/>
      <c r="CO377" s="1578"/>
      <c r="CP377" s="1578"/>
      <c r="CQ377" s="1578"/>
      <c r="CR377" s="1578"/>
      <c r="CS377" s="1578"/>
      <c r="CT377" s="1578"/>
      <c r="CU377" s="1578"/>
      <c r="CV377" s="1578"/>
      <c r="CW377" s="1578"/>
      <c r="CX377" s="1578"/>
      <c r="CY377" s="1578"/>
      <c r="CZ377" s="1578"/>
    </row>
    <row r="378" spans="1:104">
      <c r="A378" s="1466"/>
      <c r="B378" s="1576"/>
      <c r="C378" s="1576"/>
      <c r="D378" s="1576"/>
      <c r="E378" s="1578"/>
      <c r="F378" s="1578"/>
      <c r="G378" s="1578"/>
      <c r="H378" s="1578"/>
      <c r="I378" s="1578"/>
      <c r="J378" s="1578"/>
      <c r="K378" s="1578"/>
      <c r="L378" s="1578"/>
      <c r="M378" s="1578"/>
      <c r="N378" s="1578"/>
      <c r="O378" s="1578"/>
      <c r="P378" s="1578"/>
      <c r="Q378" s="1578"/>
      <c r="R378" s="1578"/>
      <c r="S378" s="1578"/>
      <c r="T378" s="1578"/>
      <c r="U378" s="1578"/>
      <c r="V378" s="1578"/>
      <c r="W378" s="1578"/>
      <c r="X378" s="1578"/>
      <c r="Y378" s="1578"/>
      <c r="Z378" s="1578"/>
      <c r="AA378" s="1578"/>
      <c r="AB378" s="1578"/>
      <c r="AC378" s="1578"/>
      <c r="AD378" s="1578"/>
      <c r="AE378" s="1578"/>
      <c r="AF378" s="1578"/>
      <c r="AG378" s="1578"/>
      <c r="AH378" s="1578"/>
      <c r="AI378" s="1578"/>
      <c r="AJ378" s="1578"/>
      <c r="AK378" s="1578"/>
      <c r="AL378" s="1578"/>
      <c r="AM378" s="1578"/>
      <c r="AN378" s="1578"/>
      <c r="AO378" s="1578"/>
      <c r="AP378" s="1578"/>
      <c r="AQ378" s="1578"/>
      <c r="AR378" s="1578"/>
      <c r="AS378" s="1578"/>
      <c r="AT378" s="1578"/>
      <c r="AU378" s="1578"/>
      <c r="AV378" s="1578"/>
      <c r="AW378" s="1578"/>
      <c r="AX378" s="1578"/>
      <c r="AY378" s="1578"/>
      <c r="AZ378" s="1578"/>
      <c r="BA378" s="1578"/>
      <c r="BB378" s="1578"/>
      <c r="BC378" s="1578"/>
      <c r="BD378" s="1578"/>
      <c r="BE378" s="1578"/>
      <c r="BF378" s="1578"/>
      <c r="BG378" s="1578"/>
      <c r="BH378" s="1578"/>
      <c r="BI378" s="1578"/>
      <c r="BJ378" s="1578"/>
      <c r="BK378" s="1578"/>
      <c r="BL378" s="1578"/>
      <c r="BM378" s="1578"/>
      <c r="BN378" s="1578"/>
      <c r="BO378" s="1578"/>
      <c r="BP378" s="1578"/>
      <c r="BQ378" s="1578"/>
      <c r="BR378" s="1578"/>
      <c r="BS378" s="1578"/>
      <c r="BT378" s="1578"/>
      <c r="BU378" s="1578"/>
      <c r="BV378" s="1578"/>
      <c r="BW378" s="1578"/>
      <c r="BX378" s="1578"/>
      <c r="BY378" s="1578"/>
      <c r="BZ378" s="1578"/>
      <c r="CA378" s="1578"/>
      <c r="CB378" s="1578"/>
      <c r="CC378" s="1578"/>
      <c r="CD378" s="1578"/>
      <c r="CE378" s="1578"/>
      <c r="CF378" s="1578"/>
      <c r="CG378" s="1578"/>
      <c r="CH378" s="1578"/>
      <c r="CI378" s="1578"/>
      <c r="CJ378" s="1578"/>
      <c r="CK378" s="1578"/>
      <c r="CL378" s="1578"/>
      <c r="CM378" s="1578"/>
      <c r="CN378" s="1578"/>
      <c r="CO378" s="1578"/>
      <c r="CP378" s="1578"/>
      <c r="CQ378" s="1578"/>
      <c r="CR378" s="1578"/>
      <c r="CS378" s="1578"/>
      <c r="CT378" s="1578"/>
      <c r="CU378" s="1578"/>
      <c r="CV378" s="1578"/>
      <c r="CW378" s="1578"/>
      <c r="CX378" s="1578"/>
      <c r="CY378" s="1578"/>
      <c r="CZ378" s="1578"/>
    </row>
    <row r="379" spans="1:104">
      <c r="A379" s="1466"/>
      <c r="B379" s="1576"/>
      <c r="C379" s="1576"/>
      <c r="D379" s="1576"/>
      <c r="E379" s="1578"/>
      <c r="F379" s="1578"/>
      <c r="G379" s="1578"/>
      <c r="H379" s="1578"/>
      <c r="I379" s="1578"/>
      <c r="J379" s="1578"/>
      <c r="K379" s="1578"/>
      <c r="L379" s="1578"/>
      <c r="M379" s="1578"/>
      <c r="N379" s="1578"/>
      <c r="O379" s="1578"/>
      <c r="P379" s="1578"/>
      <c r="Q379" s="1578"/>
      <c r="R379" s="1578"/>
      <c r="S379" s="1578"/>
      <c r="T379" s="1578"/>
      <c r="U379" s="1578"/>
      <c r="V379" s="1578"/>
      <c r="W379" s="1578"/>
      <c r="X379" s="1578"/>
      <c r="Y379" s="1578"/>
      <c r="Z379" s="1578"/>
      <c r="AA379" s="1578"/>
      <c r="AB379" s="1578"/>
      <c r="AC379" s="1578"/>
      <c r="AD379" s="1578"/>
      <c r="AE379" s="1578"/>
      <c r="AF379" s="1578"/>
      <c r="AG379" s="1578"/>
      <c r="AH379" s="1578"/>
      <c r="AI379" s="1578"/>
      <c r="AJ379" s="1578"/>
      <c r="AK379" s="1578"/>
      <c r="AL379" s="1578"/>
      <c r="AM379" s="1578"/>
      <c r="AN379" s="1578"/>
      <c r="AO379" s="1578"/>
      <c r="AP379" s="1578"/>
      <c r="AQ379" s="1578"/>
      <c r="AR379" s="1578"/>
      <c r="AS379" s="1578"/>
      <c r="AT379" s="1578"/>
      <c r="AU379" s="1578"/>
      <c r="AV379" s="1578"/>
      <c r="AW379" s="1578"/>
      <c r="AX379" s="1578"/>
      <c r="AY379" s="1578"/>
      <c r="AZ379" s="1578"/>
      <c r="BA379" s="1578"/>
      <c r="BB379" s="1578"/>
      <c r="BC379" s="1578"/>
      <c r="BD379" s="1578"/>
      <c r="BE379" s="1578"/>
      <c r="BF379" s="1578"/>
      <c r="BG379" s="1578"/>
      <c r="BH379" s="1578"/>
      <c r="BI379" s="1578"/>
      <c r="BJ379" s="1578"/>
      <c r="BK379" s="1578"/>
      <c r="BL379" s="1578"/>
      <c r="BM379" s="1578"/>
      <c r="BN379" s="1578"/>
      <c r="BO379" s="1578"/>
      <c r="BP379" s="1578"/>
      <c r="BQ379" s="1578"/>
      <c r="BR379" s="1578"/>
      <c r="BS379" s="1578"/>
      <c r="BT379" s="1578"/>
      <c r="BU379" s="1578"/>
      <c r="BV379" s="1578"/>
      <c r="BW379" s="1578"/>
      <c r="BX379" s="1578"/>
      <c r="BY379" s="1578"/>
      <c r="BZ379" s="1578"/>
      <c r="CA379" s="1578"/>
      <c r="CB379" s="1578"/>
      <c r="CC379" s="1578"/>
      <c r="CD379" s="1578"/>
      <c r="CE379" s="1578"/>
      <c r="CF379" s="1578"/>
      <c r="CG379" s="1578"/>
      <c r="CH379" s="1578"/>
      <c r="CI379" s="1578"/>
      <c r="CJ379" s="1578"/>
      <c r="CK379" s="1578"/>
      <c r="CL379" s="1578"/>
      <c r="CM379" s="1578"/>
      <c r="CN379" s="1578"/>
      <c r="CO379" s="1578"/>
      <c r="CP379" s="1578"/>
      <c r="CQ379" s="1578"/>
      <c r="CR379" s="1578"/>
      <c r="CS379" s="1578"/>
      <c r="CT379" s="1578"/>
      <c r="CU379" s="1578"/>
      <c r="CV379" s="1578"/>
      <c r="CW379" s="1578"/>
      <c r="CX379" s="1578"/>
      <c r="CY379" s="1578"/>
      <c r="CZ379" s="1578"/>
    </row>
    <row r="380" spans="1:104">
      <c r="A380" s="1466"/>
      <c r="B380" s="1576"/>
      <c r="C380" s="1576"/>
      <c r="D380" s="1576"/>
      <c r="E380" s="1578"/>
      <c r="F380" s="1578"/>
      <c r="G380" s="1578"/>
      <c r="H380" s="1578"/>
      <c r="I380" s="1578"/>
      <c r="J380" s="1578"/>
      <c r="K380" s="1578"/>
      <c r="L380" s="1578"/>
      <c r="M380" s="1578"/>
      <c r="N380" s="1578"/>
      <c r="O380" s="1578"/>
      <c r="P380" s="1578"/>
      <c r="Q380" s="1578"/>
      <c r="R380" s="1578"/>
      <c r="S380" s="1578"/>
      <c r="T380" s="1578"/>
      <c r="U380" s="1578"/>
      <c r="V380" s="1578"/>
      <c r="W380" s="1578"/>
      <c r="X380" s="1578"/>
      <c r="Y380" s="1578"/>
      <c r="Z380" s="1578"/>
      <c r="AA380" s="1578"/>
      <c r="AB380" s="1578"/>
      <c r="AC380" s="1578"/>
      <c r="AD380" s="1578"/>
      <c r="AE380" s="1578"/>
      <c r="AF380" s="1578"/>
      <c r="AG380" s="1578"/>
      <c r="AH380" s="1578"/>
      <c r="AI380" s="1578"/>
      <c r="AJ380" s="1578"/>
      <c r="AK380" s="1578"/>
      <c r="AL380" s="1578"/>
      <c r="AM380" s="1578"/>
      <c r="AN380" s="1578"/>
      <c r="AO380" s="1578"/>
      <c r="AP380" s="1578"/>
      <c r="AQ380" s="1578"/>
      <c r="AR380" s="1578"/>
      <c r="AS380" s="1578"/>
      <c r="AT380" s="1578"/>
      <c r="AU380" s="1578"/>
      <c r="AV380" s="1578"/>
      <c r="AW380" s="1578"/>
      <c r="AX380" s="1578"/>
      <c r="AY380" s="1578"/>
      <c r="AZ380" s="1578"/>
      <c r="BA380" s="1578"/>
      <c r="BB380" s="1578"/>
      <c r="BC380" s="1578"/>
      <c r="BD380" s="1578"/>
      <c r="BE380" s="1578"/>
      <c r="BF380" s="1578"/>
      <c r="BG380" s="1578"/>
      <c r="BH380" s="1578"/>
      <c r="BI380" s="1578"/>
      <c r="BJ380" s="1578"/>
      <c r="BK380" s="1578"/>
      <c r="BL380" s="1578"/>
      <c r="BM380" s="1578"/>
      <c r="BN380" s="1578"/>
      <c r="BO380" s="1578"/>
      <c r="BP380" s="1578"/>
      <c r="BQ380" s="1578"/>
      <c r="BR380" s="1578"/>
      <c r="BS380" s="1578"/>
      <c r="BT380" s="1578"/>
      <c r="BU380" s="1578"/>
      <c r="BV380" s="1578"/>
      <c r="BW380" s="1578"/>
      <c r="BX380" s="1578"/>
      <c r="BY380" s="1578"/>
      <c r="BZ380" s="1578"/>
      <c r="CA380" s="1578"/>
      <c r="CB380" s="1578"/>
      <c r="CC380" s="1578"/>
      <c r="CD380" s="1578"/>
      <c r="CE380" s="1578"/>
      <c r="CF380" s="1578"/>
      <c r="CG380" s="1578"/>
      <c r="CH380" s="1578"/>
      <c r="CI380" s="1578"/>
      <c r="CJ380" s="1578"/>
      <c r="CK380" s="1578"/>
      <c r="CL380" s="1578"/>
      <c r="CM380" s="1578"/>
      <c r="CN380" s="1578"/>
      <c r="CO380" s="1578"/>
      <c r="CP380" s="1578"/>
      <c r="CQ380" s="1578"/>
      <c r="CR380" s="1578"/>
      <c r="CS380" s="1578"/>
      <c r="CT380" s="1578"/>
      <c r="CU380" s="1578"/>
      <c r="CV380" s="1578"/>
      <c r="CW380" s="1578"/>
      <c r="CX380" s="1578"/>
      <c r="CY380" s="1578"/>
      <c r="CZ380" s="1578"/>
    </row>
    <row r="381" spans="1:104">
      <c r="A381" s="1466"/>
      <c r="B381" s="1576"/>
      <c r="C381" s="1576"/>
      <c r="D381" s="1576"/>
      <c r="E381" s="1578"/>
      <c r="F381" s="1578"/>
      <c r="G381" s="1578"/>
      <c r="H381" s="1578"/>
      <c r="I381" s="1578"/>
      <c r="J381" s="1578"/>
      <c r="K381" s="1578"/>
      <c r="L381" s="1578"/>
      <c r="M381" s="1578"/>
      <c r="N381" s="1578"/>
      <c r="O381" s="1578"/>
      <c r="P381" s="1578"/>
      <c r="Q381" s="1578"/>
      <c r="R381" s="1578"/>
      <c r="S381" s="1578"/>
      <c r="T381" s="1578"/>
      <c r="U381" s="1578"/>
      <c r="V381" s="1578"/>
      <c r="W381" s="1578"/>
      <c r="X381" s="1578"/>
      <c r="Y381" s="1578"/>
      <c r="Z381" s="1578"/>
      <c r="AA381" s="1578"/>
      <c r="AB381" s="1578"/>
      <c r="AC381" s="1578"/>
      <c r="AD381" s="1578"/>
      <c r="AE381" s="1578"/>
      <c r="AF381" s="1578"/>
      <c r="AG381" s="1578"/>
      <c r="AH381" s="1578"/>
      <c r="AI381" s="1578"/>
      <c r="AJ381" s="1578"/>
      <c r="AK381" s="1578"/>
      <c r="AL381" s="1578"/>
      <c r="AM381" s="1578"/>
      <c r="AN381" s="1578"/>
      <c r="AO381" s="1578"/>
      <c r="AP381" s="1578"/>
      <c r="AQ381" s="1578"/>
      <c r="AR381" s="1578"/>
      <c r="AS381" s="1578"/>
      <c r="AT381" s="1578"/>
      <c r="AU381" s="1578"/>
      <c r="AV381" s="1578"/>
      <c r="AW381" s="1578"/>
      <c r="AX381" s="1578"/>
      <c r="AY381" s="1578"/>
      <c r="AZ381" s="1578"/>
      <c r="BA381" s="1578"/>
      <c r="BB381" s="1578"/>
      <c r="BC381" s="1578"/>
      <c r="BD381" s="1578"/>
      <c r="BE381" s="1578"/>
      <c r="BF381" s="1578"/>
      <c r="BG381" s="1578"/>
      <c r="BH381" s="1578"/>
      <c r="BI381" s="1578"/>
      <c r="BJ381" s="1578"/>
      <c r="BK381" s="1578"/>
      <c r="BL381" s="1578"/>
      <c r="BM381" s="1578"/>
      <c r="BN381" s="1578"/>
      <c r="BO381" s="1578"/>
      <c r="BP381" s="1578"/>
      <c r="BQ381" s="1578"/>
      <c r="BR381" s="1578"/>
      <c r="BS381" s="1578"/>
      <c r="BT381" s="1578"/>
      <c r="BU381" s="1578"/>
      <c r="BV381" s="1578"/>
      <c r="BW381" s="1578"/>
      <c r="BX381" s="1578"/>
      <c r="BY381" s="1578"/>
      <c r="BZ381" s="1578"/>
      <c r="CA381" s="1578"/>
      <c r="CB381" s="1578"/>
      <c r="CC381" s="1578"/>
      <c r="CD381" s="1578"/>
      <c r="CE381" s="1578"/>
      <c r="CF381" s="1578"/>
      <c r="CG381" s="1578"/>
      <c r="CH381" s="1578"/>
      <c r="CI381" s="1578"/>
      <c r="CJ381" s="1578"/>
      <c r="CK381" s="1578"/>
      <c r="CL381" s="1578"/>
      <c r="CM381" s="1578"/>
      <c r="CN381" s="1578"/>
      <c r="CO381" s="1578"/>
      <c r="CP381" s="1578"/>
      <c r="CQ381" s="1578"/>
      <c r="CR381" s="1578"/>
      <c r="CS381" s="1578"/>
      <c r="CT381" s="1578"/>
      <c r="CU381" s="1578"/>
      <c r="CV381" s="1578"/>
      <c r="CW381" s="1578"/>
      <c r="CX381" s="1578"/>
      <c r="CY381" s="1578"/>
      <c r="CZ381" s="1578"/>
    </row>
    <row r="382" spans="1:104">
      <c r="A382" s="1466"/>
      <c r="B382" s="1576"/>
      <c r="C382" s="1576"/>
      <c r="D382" s="1576"/>
      <c r="E382" s="1578"/>
      <c r="F382" s="1578"/>
      <c r="G382" s="1578"/>
      <c r="H382" s="1578"/>
      <c r="I382" s="1578"/>
      <c r="J382" s="1578"/>
      <c r="K382" s="1578"/>
      <c r="L382" s="1578"/>
      <c r="M382" s="1578"/>
      <c r="N382" s="1578"/>
      <c r="O382" s="1578"/>
      <c r="P382" s="1578"/>
      <c r="Q382" s="1578"/>
      <c r="R382" s="1578"/>
      <c r="S382" s="1578"/>
      <c r="T382" s="1578"/>
      <c r="U382" s="1578"/>
      <c r="V382" s="1578"/>
      <c r="W382" s="1578"/>
      <c r="X382" s="1578"/>
      <c r="Y382" s="1578"/>
      <c r="Z382" s="1578"/>
      <c r="AA382" s="1578"/>
      <c r="AB382" s="1578"/>
      <c r="AC382" s="1578"/>
      <c r="AD382" s="1578"/>
      <c r="AE382" s="1578"/>
      <c r="AF382" s="1578"/>
      <c r="AG382" s="1578"/>
      <c r="AH382" s="1578"/>
      <c r="AI382" s="1578"/>
      <c r="AJ382" s="1578"/>
      <c r="AK382" s="1578"/>
      <c r="AL382" s="1578"/>
      <c r="AM382" s="1578"/>
      <c r="AN382" s="1578"/>
      <c r="AO382" s="1578"/>
      <c r="AP382" s="1578"/>
      <c r="AQ382" s="1578"/>
      <c r="AR382" s="1578"/>
      <c r="AS382" s="1578"/>
      <c r="AT382" s="1578"/>
      <c r="AU382" s="1578"/>
      <c r="AV382" s="1578"/>
      <c r="AW382" s="1578"/>
      <c r="AX382" s="1578"/>
      <c r="AY382" s="1578"/>
      <c r="AZ382" s="1578"/>
      <c r="BA382" s="1578"/>
      <c r="BB382" s="1578"/>
      <c r="BC382" s="1578"/>
      <c r="BD382" s="1578"/>
      <c r="BE382" s="1578"/>
      <c r="BF382" s="1578"/>
      <c r="BG382" s="1578"/>
      <c r="BH382" s="1578"/>
      <c r="BI382" s="1578"/>
      <c r="BJ382" s="1578"/>
      <c r="BK382" s="1578"/>
      <c r="BL382" s="1578"/>
      <c r="BM382" s="1578"/>
      <c r="BN382" s="1578"/>
      <c r="BO382" s="1578"/>
      <c r="BP382" s="1578"/>
      <c r="BQ382" s="1578"/>
      <c r="BR382" s="1578"/>
      <c r="BS382" s="1578"/>
      <c r="BT382" s="1578"/>
      <c r="BU382" s="1578"/>
      <c r="BV382" s="1578"/>
      <c r="BW382" s="1578"/>
      <c r="BX382" s="1578"/>
      <c r="BY382" s="1578"/>
      <c r="BZ382" s="1578"/>
      <c r="CA382" s="1578"/>
      <c r="CB382" s="1578"/>
      <c r="CC382" s="1578"/>
      <c r="CD382" s="1578"/>
      <c r="CE382" s="1578"/>
      <c r="CF382" s="1578"/>
      <c r="CG382" s="1578"/>
      <c r="CH382" s="1578"/>
      <c r="CI382" s="1578"/>
      <c r="CJ382" s="1578"/>
      <c r="CK382" s="1578"/>
      <c r="CL382" s="1578"/>
      <c r="CM382" s="1578"/>
      <c r="CN382" s="1578"/>
      <c r="CO382" s="1578"/>
      <c r="CP382" s="1578"/>
      <c r="CQ382" s="1578"/>
      <c r="CR382" s="1578"/>
      <c r="CS382" s="1578"/>
      <c r="CT382" s="1578"/>
      <c r="CU382" s="1578"/>
      <c r="CV382" s="1578"/>
      <c r="CW382" s="1578"/>
      <c r="CX382" s="1578"/>
      <c r="CY382" s="1578"/>
      <c r="CZ382" s="1578"/>
    </row>
    <row r="383" spans="1:104">
      <c r="A383" s="1466"/>
      <c r="B383" s="1576"/>
      <c r="C383" s="1576"/>
      <c r="D383" s="1576"/>
      <c r="E383" s="1578"/>
      <c r="F383" s="1578"/>
      <c r="G383" s="1578"/>
      <c r="H383" s="1578"/>
      <c r="I383" s="1578"/>
      <c r="J383" s="1578"/>
      <c r="K383" s="1578"/>
      <c r="L383" s="1578"/>
      <c r="M383" s="1578"/>
      <c r="N383" s="1578"/>
      <c r="O383" s="1578"/>
      <c r="P383" s="1578"/>
      <c r="Q383" s="1578"/>
      <c r="R383" s="1578"/>
      <c r="S383" s="1578"/>
      <c r="T383" s="1578"/>
      <c r="U383" s="1578"/>
      <c r="V383" s="1578"/>
      <c r="W383" s="1578"/>
      <c r="X383" s="1578"/>
      <c r="Y383" s="1578"/>
      <c r="Z383" s="1578"/>
      <c r="AA383" s="1578"/>
      <c r="AB383" s="1578"/>
      <c r="AC383" s="1578"/>
      <c r="AD383" s="1578"/>
      <c r="AE383" s="1578"/>
      <c r="AF383" s="1578"/>
      <c r="AG383" s="1578"/>
      <c r="AH383" s="1578"/>
      <c r="AI383" s="1578"/>
      <c r="AJ383" s="1578"/>
      <c r="AK383" s="1578"/>
      <c r="AL383" s="1578"/>
      <c r="AM383" s="1578"/>
      <c r="AN383" s="1578"/>
      <c r="AO383" s="1578"/>
      <c r="AP383" s="1578"/>
      <c r="AQ383" s="1578"/>
      <c r="AR383" s="1578"/>
      <c r="AS383" s="1578"/>
      <c r="AT383" s="1578"/>
      <c r="AU383" s="1578"/>
      <c r="AV383" s="1578"/>
      <c r="AW383" s="1578"/>
      <c r="AX383" s="1578"/>
      <c r="AY383" s="1578"/>
      <c r="AZ383" s="1578"/>
      <c r="BA383" s="1578"/>
      <c r="BB383" s="1578"/>
      <c r="BC383" s="1578"/>
      <c r="BD383" s="1578"/>
      <c r="BE383" s="1578"/>
      <c r="BF383" s="1578"/>
      <c r="BG383" s="1578"/>
      <c r="BH383" s="1578"/>
      <c r="BI383" s="1578"/>
      <c r="BJ383" s="1578"/>
      <c r="BK383" s="1578"/>
      <c r="BL383" s="1578"/>
      <c r="BM383" s="1578"/>
      <c r="BN383" s="1578"/>
      <c r="BO383" s="1578"/>
      <c r="BP383" s="1578"/>
      <c r="BQ383" s="1578"/>
      <c r="BR383" s="1578"/>
      <c r="BS383" s="1578"/>
      <c r="BT383" s="1578"/>
      <c r="BU383" s="1578"/>
      <c r="BV383" s="1578"/>
      <c r="BW383" s="1578"/>
      <c r="BX383" s="1578"/>
      <c r="BY383" s="1578"/>
      <c r="BZ383" s="1578"/>
      <c r="CA383" s="1578"/>
      <c r="CB383" s="1578"/>
      <c r="CC383" s="1578"/>
      <c r="CD383" s="1578"/>
      <c r="CE383" s="1578"/>
      <c r="CF383" s="1578"/>
      <c r="CG383" s="1578"/>
      <c r="CH383" s="1578"/>
      <c r="CI383" s="1578"/>
      <c r="CJ383" s="1578"/>
      <c r="CK383" s="1578"/>
      <c r="CL383" s="1578"/>
      <c r="CM383" s="1578"/>
      <c r="CN383" s="1578"/>
      <c r="CO383" s="1578"/>
      <c r="CP383" s="1578"/>
      <c r="CQ383" s="1578"/>
      <c r="CR383" s="1578"/>
      <c r="CS383" s="1578"/>
      <c r="CT383" s="1578"/>
      <c r="CU383" s="1578"/>
      <c r="CV383" s="1578"/>
      <c r="CW383" s="1578"/>
      <c r="CX383" s="1578"/>
      <c r="CY383" s="1578"/>
      <c r="CZ383" s="1578"/>
    </row>
    <row r="384" spans="1:104">
      <c r="A384" s="1466"/>
      <c r="B384" s="1576"/>
      <c r="C384" s="1576"/>
      <c r="D384" s="1576"/>
      <c r="E384" s="1578"/>
      <c r="F384" s="1578"/>
      <c r="G384" s="1578"/>
      <c r="H384" s="1578"/>
      <c r="I384" s="1578"/>
      <c r="J384" s="1578"/>
      <c r="K384" s="1578"/>
      <c r="L384" s="1578"/>
      <c r="M384" s="1578"/>
      <c r="N384" s="1578"/>
      <c r="O384" s="1578"/>
      <c r="P384" s="1578"/>
      <c r="Q384" s="1578"/>
      <c r="R384" s="1578"/>
      <c r="S384" s="1578"/>
      <c r="T384" s="1578"/>
      <c r="U384" s="1578"/>
      <c r="V384" s="1578"/>
      <c r="W384" s="1578"/>
      <c r="X384" s="1578"/>
      <c r="Y384" s="1578"/>
      <c r="Z384" s="1578"/>
      <c r="AA384" s="1578"/>
      <c r="AB384" s="1578"/>
      <c r="AC384" s="1578"/>
      <c r="AD384" s="1578"/>
      <c r="AE384" s="1578"/>
      <c r="AF384" s="1578"/>
      <c r="AG384" s="1578"/>
      <c r="AH384" s="1578"/>
      <c r="AI384" s="1578"/>
      <c r="AJ384" s="1578"/>
      <c r="AK384" s="1578"/>
      <c r="AL384" s="1578"/>
      <c r="AM384" s="1578"/>
      <c r="AN384" s="1578"/>
      <c r="AO384" s="1578"/>
      <c r="AP384" s="1578"/>
      <c r="AQ384" s="1578"/>
      <c r="AR384" s="1578"/>
      <c r="AS384" s="1578"/>
      <c r="AT384" s="1578"/>
      <c r="AU384" s="1578"/>
      <c r="AV384" s="1578"/>
      <c r="AW384" s="1578"/>
      <c r="AX384" s="1578"/>
      <c r="AY384" s="1578"/>
      <c r="AZ384" s="1578"/>
      <c r="BA384" s="1578"/>
      <c r="BB384" s="1578"/>
      <c r="BC384" s="1578"/>
      <c r="BD384" s="1578"/>
      <c r="BE384" s="1578"/>
      <c r="BF384" s="1578"/>
      <c r="BG384" s="1578"/>
      <c r="BH384" s="1578"/>
      <c r="BI384" s="1578"/>
      <c r="BJ384" s="1578"/>
      <c r="BK384" s="1578"/>
      <c r="BL384" s="1578"/>
      <c r="BM384" s="1578"/>
      <c r="BN384" s="1578"/>
      <c r="BO384" s="1578"/>
      <c r="BP384" s="1578"/>
      <c r="BQ384" s="1578"/>
      <c r="BR384" s="1578"/>
      <c r="BS384" s="1578"/>
      <c r="BT384" s="1578"/>
      <c r="BU384" s="1578"/>
      <c r="BV384" s="1578"/>
      <c r="BW384" s="1578"/>
      <c r="BX384" s="1578"/>
      <c r="BY384" s="1578"/>
      <c r="BZ384" s="1578"/>
      <c r="CA384" s="1578"/>
      <c r="CB384" s="1578"/>
      <c r="CC384" s="1578"/>
      <c r="CD384" s="1578"/>
      <c r="CE384" s="1578"/>
      <c r="CF384" s="1578"/>
      <c r="CG384" s="1578"/>
      <c r="CH384" s="1578"/>
      <c r="CI384" s="1578"/>
      <c r="CJ384" s="1578"/>
      <c r="CK384" s="1578"/>
      <c r="CL384" s="1578"/>
      <c r="CM384" s="1578"/>
      <c r="CN384" s="1578"/>
      <c r="CO384" s="1578"/>
      <c r="CP384" s="1578"/>
      <c r="CQ384" s="1578"/>
      <c r="CR384" s="1578"/>
      <c r="CS384" s="1578"/>
      <c r="CT384" s="1578"/>
      <c r="CU384" s="1578"/>
      <c r="CV384" s="1578"/>
      <c r="CW384" s="1578"/>
      <c r="CX384" s="1578"/>
      <c r="CY384" s="1578"/>
      <c r="CZ384" s="1578"/>
    </row>
    <row r="385" spans="1:104">
      <c r="A385" s="1466"/>
      <c r="B385" s="1576"/>
      <c r="C385" s="1576"/>
      <c r="D385" s="1576"/>
      <c r="E385" s="1578"/>
      <c r="F385" s="1578"/>
      <c r="G385" s="1578"/>
      <c r="H385" s="1578"/>
      <c r="I385" s="1578"/>
      <c r="J385" s="1578"/>
      <c r="K385" s="1578"/>
      <c r="L385" s="1578"/>
      <c r="M385" s="1578"/>
      <c r="N385" s="1578"/>
      <c r="O385" s="1578"/>
      <c r="P385" s="1578"/>
      <c r="Q385" s="1578"/>
      <c r="R385" s="1578"/>
      <c r="S385" s="1578"/>
      <c r="T385" s="1578"/>
      <c r="U385" s="1578"/>
      <c r="V385" s="1578"/>
      <c r="W385" s="1578"/>
      <c r="X385" s="1578"/>
      <c r="Y385" s="1578"/>
      <c r="Z385" s="1578"/>
      <c r="AA385" s="1578"/>
      <c r="AB385" s="1578"/>
      <c r="AC385" s="1578"/>
      <c r="AD385" s="1578"/>
      <c r="AE385" s="1578"/>
      <c r="AF385" s="1578"/>
      <c r="AG385" s="1578"/>
      <c r="AH385" s="1578"/>
      <c r="AI385" s="1578"/>
      <c r="AJ385" s="1578"/>
      <c r="AK385" s="1578"/>
      <c r="AL385" s="1578"/>
      <c r="AM385" s="1578"/>
      <c r="AN385" s="1578"/>
      <c r="AO385" s="1578"/>
      <c r="AP385" s="1578"/>
      <c r="AQ385" s="1578"/>
      <c r="AR385" s="1578"/>
      <c r="AS385" s="1578"/>
      <c r="AT385" s="1578"/>
      <c r="AU385" s="1578"/>
      <c r="AV385" s="1578"/>
      <c r="AW385" s="1578"/>
      <c r="AX385" s="1578"/>
      <c r="AY385" s="1578"/>
      <c r="AZ385" s="1578"/>
      <c r="BA385" s="1578"/>
      <c r="BB385" s="1578"/>
      <c r="BC385" s="1578"/>
      <c r="BD385" s="1578"/>
      <c r="BE385" s="1578"/>
      <c r="BF385" s="1578"/>
      <c r="BG385" s="1578"/>
      <c r="BH385" s="1578"/>
      <c r="BI385" s="1578"/>
      <c r="BJ385" s="1578"/>
      <c r="BK385" s="1578"/>
      <c r="BL385" s="1578"/>
      <c r="BM385" s="1578"/>
      <c r="BN385" s="1578"/>
      <c r="BO385" s="1578"/>
      <c r="BP385" s="1578"/>
      <c r="BQ385" s="1578"/>
      <c r="BR385" s="1578"/>
      <c r="BS385" s="1578"/>
      <c r="BT385" s="1578"/>
      <c r="BU385" s="1578"/>
      <c r="BV385" s="1578"/>
      <c r="BW385" s="1578"/>
      <c r="BX385" s="1578"/>
      <c r="BY385" s="1578"/>
      <c r="BZ385" s="1578"/>
      <c r="CA385" s="1578"/>
      <c r="CB385" s="1578"/>
      <c r="CC385" s="1578"/>
      <c r="CD385" s="1578"/>
      <c r="CE385" s="1578"/>
      <c r="CF385" s="1578"/>
      <c r="CG385" s="1578"/>
      <c r="CH385" s="1578"/>
      <c r="CI385" s="1578"/>
      <c r="CJ385" s="1578"/>
      <c r="CK385" s="1578"/>
      <c r="CL385" s="1578"/>
      <c r="CM385" s="1578"/>
      <c r="CN385" s="1578"/>
      <c r="CO385" s="1578"/>
      <c r="CP385" s="1578"/>
      <c r="CQ385" s="1578"/>
      <c r="CR385" s="1578"/>
      <c r="CS385" s="1578"/>
      <c r="CT385" s="1578"/>
      <c r="CU385" s="1578"/>
      <c r="CV385" s="1578"/>
      <c r="CW385" s="1578"/>
      <c r="CX385" s="1578"/>
      <c r="CY385" s="1578"/>
      <c r="CZ385" s="1578"/>
    </row>
    <row r="386" spans="1:104">
      <c r="A386" s="1466"/>
      <c r="B386" s="1576"/>
      <c r="C386" s="1576"/>
      <c r="D386" s="1576"/>
      <c r="E386" s="1578"/>
      <c r="F386" s="1578"/>
      <c r="G386" s="1578"/>
      <c r="H386" s="1578"/>
      <c r="I386" s="1578"/>
      <c r="J386" s="1578"/>
      <c r="K386" s="1578"/>
      <c r="L386" s="1578"/>
      <c r="M386" s="1578"/>
      <c r="N386" s="1578"/>
      <c r="O386" s="1578"/>
      <c r="P386" s="1578"/>
      <c r="Q386" s="1578"/>
      <c r="R386" s="1578"/>
      <c r="S386" s="1578"/>
      <c r="T386" s="1578"/>
      <c r="U386" s="1578"/>
      <c r="V386" s="1578"/>
      <c r="W386" s="1578"/>
      <c r="X386" s="1578"/>
      <c r="Y386" s="1578"/>
      <c r="Z386" s="1578"/>
      <c r="AA386" s="1578"/>
      <c r="AB386" s="1578"/>
      <c r="AC386" s="1578"/>
      <c r="AD386" s="1578"/>
      <c r="AE386" s="1578"/>
      <c r="AF386" s="1578"/>
      <c r="AG386" s="1578"/>
      <c r="AH386" s="1578"/>
      <c r="AI386" s="1578"/>
      <c r="AJ386" s="1578"/>
      <c r="AK386" s="1578"/>
      <c r="AL386" s="1578"/>
      <c r="AM386" s="1578"/>
      <c r="AN386" s="1578"/>
      <c r="AO386" s="1578"/>
      <c r="AP386" s="1578"/>
      <c r="AQ386" s="1578"/>
      <c r="AR386" s="1578"/>
      <c r="AS386" s="1578"/>
      <c r="AT386" s="1578"/>
      <c r="AU386" s="1578"/>
      <c r="AV386" s="1578"/>
      <c r="AW386" s="1578"/>
      <c r="AX386" s="1578"/>
      <c r="AY386" s="1578"/>
      <c r="AZ386" s="1578"/>
      <c r="BA386" s="1578"/>
      <c r="BB386" s="1578"/>
      <c r="BC386" s="1578"/>
      <c r="BD386" s="1578"/>
      <c r="BE386" s="1578"/>
      <c r="BF386" s="1578"/>
      <c r="BG386" s="1578"/>
      <c r="BH386" s="1578"/>
      <c r="BI386" s="1578"/>
      <c r="BJ386" s="1578"/>
      <c r="BK386" s="1578"/>
      <c r="BL386" s="1578"/>
      <c r="BM386" s="1578"/>
      <c r="BN386" s="1578"/>
      <c r="BO386" s="1578"/>
      <c r="BP386" s="1578"/>
      <c r="BQ386" s="1578"/>
      <c r="BR386" s="1578"/>
      <c r="BS386" s="1578"/>
      <c r="BT386" s="1578"/>
      <c r="BU386" s="1578"/>
      <c r="BV386" s="1578"/>
      <c r="BW386" s="1578"/>
      <c r="BX386" s="1578"/>
      <c r="BY386" s="1578"/>
      <c r="BZ386" s="1578"/>
      <c r="CA386" s="1578"/>
      <c r="CB386" s="1578"/>
      <c r="CC386" s="1578"/>
      <c r="CD386" s="1578"/>
      <c r="CE386" s="1578"/>
      <c r="CF386" s="1578"/>
      <c r="CG386" s="1578"/>
      <c r="CH386" s="1578"/>
      <c r="CI386" s="1578"/>
      <c r="CJ386" s="1578"/>
      <c r="CK386" s="1578"/>
      <c r="CL386" s="1578"/>
      <c r="CM386" s="1578"/>
      <c r="CN386" s="1578"/>
      <c r="CO386" s="1578"/>
      <c r="CP386" s="1578"/>
      <c r="CQ386" s="1578"/>
      <c r="CR386" s="1578"/>
      <c r="CS386" s="1578"/>
      <c r="CT386" s="1578"/>
      <c r="CU386" s="1578"/>
      <c r="CV386" s="1578"/>
      <c r="CW386" s="1578"/>
      <c r="CX386" s="1578"/>
      <c r="CY386" s="1578"/>
      <c r="CZ386" s="1578"/>
    </row>
    <row r="387" spans="1:104">
      <c r="A387" s="1466"/>
      <c r="B387" s="1576"/>
      <c r="C387" s="1576"/>
      <c r="D387" s="1576"/>
      <c r="E387" s="1578"/>
      <c r="F387" s="1578"/>
      <c r="G387" s="1578"/>
      <c r="H387" s="1578"/>
      <c r="I387" s="1578"/>
      <c r="J387" s="1578"/>
      <c r="K387" s="1578"/>
      <c r="L387" s="1578"/>
      <c r="M387" s="1578"/>
      <c r="N387" s="1578"/>
      <c r="O387" s="1578"/>
      <c r="P387" s="1578"/>
      <c r="Q387" s="1578"/>
      <c r="R387" s="1578"/>
      <c r="S387" s="1578"/>
      <c r="T387" s="1578"/>
      <c r="U387" s="1578"/>
      <c r="V387" s="1578"/>
      <c r="W387" s="1578"/>
      <c r="X387" s="1578"/>
      <c r="Y387" s="1578"/>
      <c r="Z387" s="1578"/>
      <c r="AA387" s="1578"/>
      <c r="AB387" s="1578"/>
      <c r="AC387" s="1578"/>
      <c r="AD387" s="1578"/>
      <c r="AE387" s="1578"/>
      <c r="AF387" s="1578"/>
      <c r="AG387" s="1578"/>
      <c r="AH387" s="1578"/>
      <c r="AI387" s="1578"/>
      <c r="AJ387" s="1578"/>
      <c r="AK387" s="1578"/>
      <c r="AL387" s="1578"/>
      <c r="AM387" s="1578"/>
      <c r="AN387" s="1578"/>
      <c r="AO387" s="1578"/>
      <c r="AP387" s="1578"/>
      <c r="AQ387" s="1578"/>
      <c r="AR387" s="1578"/>
      <c r="AS387" s="1578"/>
      <c r="AT387" s="1578"/>
      <c r="AU387" s="1578"/>
      <c r="AV387" s="1578"/>
      <c r="AW387" s="1578"/>
      <c r="AX387" s="1578"/>
      <c r="AY387" s="1578"/>
      <c r="AZ387" s="1578"/>
      <c r="BA387" s="1578"/>
      <c r="BB387" s="1578"/>
      <c r="BC387" s="1578"/>
      <c r="BD387" s="1578"/>
      <c r="BE387" s="1578"/>
      <c r="BF387" s="1578"/>
      <c r="BG387" s="1578"/>
      <c r="BH387" s="1578"/>
      <c r="BI387" s="1578"/>
      <c r="BJ387" s="1578"/>
      <c r="BK387" s="1578"/>
      <c r="BL387" s="1578"/>
      <c r="BM387" s="1578"/>
      <c r="BN387" s="1578"/>
      <c r="BO387" s="1578"/>
      <c r="BP387" s="1578"/>
      <c r="BQ387" s="1578"/>
      <c r="BR387" s="1578"/>
      <c r="BS387" s="1578"/>
      <c r="BT387" s="1578"/>
      <c r="BU387" s="1578"/>
      <c r="BV387" s="1578"/>
      <c r="BW387" s="1578"/>
      <c r="BX387" s="1578"/>
      <c r="BY387" s="1578"/>
      <c r="BZ387" s="1578"/>
      <c r="CA387" s="1578"/>
      <c r="CB387" s="1578"/>
      <c r="CC387" s="1578"/>
      <c r="CD387" s="1578"/>
      <c r="CE387" s="1578"/>
      <c r="CF387" s="1578"/>
      <c r="CG387" s="1578"/>
      <c r="CH387" s="1578"/>
      <c r="CI387" s="1578"/>
      <c r="CJ387" s="1578"/>
      <c r="CK387" s="1578"/>
      <c r="CL387" s="1578"/>
      <c r="CM387" s="1578"/>
      <c r="CN387" s="1578"/>
      <c r="CO387" s="1578"/>
      <c r="CP387" s="1578"/>
      <c r="CQ387" s="1578"/>
      <c r="CR387" s="1578"/>
      <c r="CS387" s="1578"/>
      <c r="CT387" s="1578"/>
      <c r="CU387" s="1578"/>
      <c r="CV387" s="1578"/>
      <c r="CW387" s="1578"/>
      <c r="CX387" s="1578"/>
      <c r="CY387" s="1578"/>
      <c r="CZ387" s="1578"/>
    </row>
    <row r="388" spans="1:104">
      <c r="A388" s="1466"/>
      <c r="B388" s="1576"/>
      <c r="C388" s="1576"/>
      <c r="D388" s="1576"/>
      <c r="E388" s="1578"/>
      <c r="F388" s="1578"/>
      <c r="G388" s="1578"/>
      <c r="H388" s="1578"/>
      <c r="I388" s="1578"/>
      <c r="J388" s="1578"/>
      <c r="K388" s="1578"/>
      <c r="L388" s="1578"/>
      <c r="M388" s="1578"/>
      <c r="N388" s="1578"/>
      <c r="O388" s="1578"/>
      <c r="P388" s="1578"/>
      <c r="Q388" s="1578"/>
      <c r="R388" s="1578"/>
      <c r="S388" s="1578"/>
      <c r="T388" s="1578"/>
      <c r="U388" s="1578"/>
      <c r="V388" s="1578"/>
      <c r="W388" s="1578"/>
      <c r="X388" s="1578"/>
      <c r="Y388" s="1578"/>
      <c r="Z388" s="1578"/>
      <c r="AA388" s="1578"/>
      <c r="AB388" s="1578"/>
      <c r="AC388" s="1578"/>
      <c r="AD388" s="1578"/>
      <c r="AE388" s="1578"/>
      <c r="AF388" s="1578"/>
      <c r="AG388" s="1578"/>
      <c r="AH388" s="1578"/>
      <c r="AI388" s="1578"/>
      <c r="AJ388" s="1578"/>
      <c r="AK388" s="1578"/>
      <c r="AL388" s="1578"/>
      <c r="AM388" s="1578"/>
      <c r="AN388" s="1578"/>
      <c r="AO388" s="1578"/>
      <c r="AP388" s="1578"/>
      <c r="AQ388" s="1578"/>
      <c r="AR388" s="1578"/>
      <c r="AS388" s="1578"/>
      <c r="AT388" s="1578"/>
      <c r="AU388" s="1578"/>
      <c r="AV388" s="1578"/>
      <c r="AW388" s="1578"/>
      <c r="AX388" s="1578"/>
      <c r="AY388" s="1578"/>
      <c r="AZ388" s="1578"/>
      <c r="BA388" s="1578"/>
      <c r="BB388" s="1578"/>
      <c r="BC388" s="1578"/>
      <c r="BD388" s="1578"/>
      <c r="BE388" s="1578"/>
      <c r="BF388" s="1578"/>
      <c r="BG388" s="1578"/>
      <c r="BH388" s="1578"/>
      <c r="BI388" s="1578"/>
      <c r="BJ388" s="1578"/>
      <c r="BK388" s="1578"/>
      <c r="BL388" s="1578"/>
      <c r="BM388" s="1578"/>
      <c r="BN388" s="1578"/>
      <c r="BO388" s="1578"/>
      <c r="BP388" s="1578"/>
      <c r="BQ388" s="1578"/>
      <c r="BR388" s="1578"/>
      <c r="BS388" s="1578"/>
      <c r="BT388" s="1578"/>
      <c r="BU388" s="1578"/>
      <c r="BV388" s="1578"/>
      <c r="BW388" s="1578"/>
      <c r="BX388" s="1578"/>
      <c r="BY388" s="1578"/>
      <c r="BZ388" s="1578"/>
      <c r="CA388" s="1578"/>
      <c r="CB388" s="1578"/>
      <c r="CC388" s="1578"/>
      <c r="CD388" s="1578"/>
      <c r="CE388" s="1578"/>
      <c r="CF388" s="1578"/>
      <c r="CG388" s="1578"/>
      <c r="CH388" s="1578"/>
      <c r="CI388" s="1578"/>
      <c r="CJ388" s="1578"/>
      <c r="CK388" s="1578"/>
      <c r="CL388" s="1578"/>
      <c r="CM388" s="1578"/>
      <c r="CN388" s="1578"/>
      <c r="CO388" s="1578"/>
      <c r="CP388" s="1578"/>
      <c r="CQ388" s="1578"/>
      <c r="CR388" s="1578"/>
      <c r="CS388" s="1578"/>
      <c r="CT388" s="1578"/>
      <c r="CU388" s="1578"/>
      <c r="CV388" s="1578"/>
      <c r="CW388" s="1578"/>
      <c r="CX388" s="1578"/>
      <c r="CY388" s="1578"/>
      <c r="CZ388" s="1578"/>
    </row>
    <row r="389" spans="1:104">
      <c r="A389" s="1466"/>
      <c r="B389" s="1576"/>
      <c r="C389" s="1576"/>
      <c r="D389" s="1576"/>
      <c r="E389" s="1578"/>
      <c r="F389" s="1578"/>
      <c r="G389" s="1578"/>
      <c r="H389" s="1578"/>
      <c r="I389" s="1578"/>
      <c r="J389" s="1578"/>
      <c r="K389" s="1578"/>
      <c r="L389" s="1578"/>
      <c r="M389" s="1578"/>
      <c r="N389" s="1578"/>
      <c r="O389" s="1578"/>
      <c r="P389" s="1578"/>
      <c r="Q389" s="1578"/>
      <c r="R389" s="1578"/>
      <c r="S389" s="1578"/>
      <c r="T389" s="1578"/>
      <c r="U389" s="1578"/>
      <c r="V389" s="1578"/>
      <c r="W389" s="1578"/>
      <c r="X389" s="1578"/>
      <c r="Y389" s="1578"/>
      <c r="Z389" s="1578"/>
      <c r="AA389" s="1578"/>
      <c r="AB389" s="1578"/>
      <c r="AC389" s="1578"/>
      <c r="AD389" s="1578"/>
      <c r="AE389" s="1578"/>
      <c r="AF389" s="1578"/>
      <c r="AG389" s="1578"/>
      <c r="AH389" s="1578"/>
      <c r="AI389" s="1578"/>
      <c r="AJ389" s="1578"/>
      <c r="AK389" s="1578"/>
      <c r="AL389" s="1578"/>
      <c r="AM389" s="1578"/>
      <c r="AN389" s="1578"/>
      <c r="AO389" s="1578"/>
      <c r="AP389" s="1578"/>
      <c r="AQ389" s="1578"/>
      <c r="AR389" s="1578"/>
      <c r="AS389" s="1578"/>
      <c r="AT389" s="1578"/>
      <c r="AU389" s="1578"/>
      <c r="AV389" s="1578"/>
      <c r="AW389" s="1578"/>
      <c r="AX389" s="1578"/>
      <c r="AY389" s="1578"/>
      <c r="AZ389" s="1578"/>
      <c r="BA389" s="1578"/>
      <c r="BB389" s="1578"/>
      <c r="BC389" s="1578"/>
      <c r="BD389" s="1578"/>
      <c r="BE389" s="1578"/>
      <c r="BF389" s="1578"/>
      <c r="BG389" s="1578"/>
      <c r="BH389" s="1578"/>
      <c r="BI389" s="1578"/>
      <c r="BJ389" s="1578"/>
      <c r="BK389" s="1578"/>
      <c r="BL389" s="1578"/>
      <c r="BM389" s="1578"/>
      <c r="BN389" s="1578"/>
      <c r="BO389" s="1578"/>
      <c r="BP389" s="1578"/>
      <c r="BQ389" s="1578"/>
      <c r="BR389" s="1578"/>
      <c r="BS389" s="1578"/>
      <c r="BT389" s="1578"/>
      <c r="BU389" s="1578"/>
      <c r="BV389" s="1578"/>
      <c r="BW389" s="1578"/>
      <c r="BX389" s="1578"/>
      <c r="BY389" s="1578"/>
      <c r="BZ389" s="1578"/>
      <c r="CA389" s="1578"/>
      <c r="CB389" s="1578"/>
      <c r="CC389" s="1578"/>
      <c r="CD389" s="1578"/>
      <c r="CE389" s="1578"/>
      <c r="CF389" s="1578"/>
      <c r="CG389" s="1578"/>
      <c r="CH389" s="1578"/>
      <c r="CI389" s="1578"/>
      <c r="CJ389" s="1578"/>
      <c r="CK389" s="1578"/>
      <c r="CL389" s="1578"/>
      <c r="CM389" s="1578"/>
      <c r="CN389" s="1578"/>
      <c r="CO389" s="1578"/>
      <c r="CP389" s="1578"/>
      <c r="CQ389" s="1578"/>
      <c r="CR389" s="1578"/>
      <c r="CS389" s="1578"/>
      <c r="CT389" s="1578"/>
      <c r="CU389" s="1578"/>
      <c r="CV389" s="1578"/>
      <c r="CW389" s="1578"/>
      <c r="CX389" s="1578"/>
      <c r="CY389" s="1578"/>
      <c r="CZ389" s="1578"/>
    </row>
    <row r="390" spans="1:104">
      <c r="A390" s="1466"/>
      <c r="B390" s="1576"/>
      <c r="C390" s="1576"/>
      <c r="D390" s="1576"/>
      <c r="E390" s="1578"/>
      <c r="F390" s="1578"/>
      <c r="G390" s="1578"/>
      <c r="H390" s="1578"/>
      <c r="I390" s="1578"/>
      <c r="J390" s="1578"/>
      <c r="K390" s="1578"/>
      <c r="L390" s="1578"/>
      <c r="M390" s="1578"/>
      <c r="N390" s="1578"/>
      <c r="O390" s="1578"/>
      <c r="P390" s="1578"/>
      <c r="Q390" s="1578"/>
      <c r="R390" s="1578"/>
      <c r="S390" s="1578"/>
      <c r="T390" s="1578"/>
      <c r="U390" s="1578"/>
      <c r="V390" s="1578"/>
      <c r="W390" s="1578"/>
      <c r="X390" s="1578"/>
      <c r="Y390" s="1578"/>
      <c r="Z390" s="1578"/>
      <c r="AA390" s="1578"/>
      <c r="AB390" s="1578"/>
      <c r="AC390" s="1578"/>
      <c r="AD390" s="1578"/>
      <c r="AE390" s="1578"/>
      <c r="AF390" s="1578"/>
      <c r="AG390" s="1578"/>
      <c r="AH390" s="1578"/>
      <c r="AI390" s="1578"/>
      <c r="AJ390" s="1578"/>
      <c r="AK390" s="1578"/>
      <c r="AL390" s="1578"/>
      <c r="AM390" s="1578"/>
      <c r="AN390" s="1578"/>
      <c r="AO390" s="1578"/>
      <c r="AP390" s="1578"/>
      <c r="AQ390" s="1578"/>
      <c r="AR390" s="1578"/>
      <c r="AS390" s="1578"/>
      <c r="AT390" s="1578"/>
      <c r="AU390" s="1578"/>
      <c r="AV390" s="1578"/>
      <c r="AW390" s="1578"/>
      <c r="AX390" s="1578"/>
      <c r="AY390" s="1578"/>
      <c r="AZ390" s="1578"/>
      <c r="BA390" s="1578"/>
      <c r="BB390" s="1578"/>
      <c r="BC390" s="1578"/>
      <c r="BD390" s="1578"/>
      <c r="BE390" s="1578"/>
      <c r="BF390" s="1578"/>
      <c r="BG390" s="1578"/>
      <c r="BH390" s="1578"/>
      <c r="BI390" s="1578"/>
      <c r="BJ390" s="1578"/>
      <c r="BK390" s="1578"/>
      <c r="BL390" s="1578"/>
      <c r="BM390" s="1578"/>
      <c r="BN390" s="1578"/>
      <c r="BO390" s="1578"/>
      <c r="BP390" s="1578"/>
      <c r="BQ390" s="1578"/>
      <c r="BR390" s="1578"/>
      <c r="BS390" s="1578"/>
      <c r="BT390" s="1578"/>
      <c r="BU390" s="1578"/>
      <c r="BV390" s="1578"/>
      <c r="BW390" s="1578"/>
      <c r="BX390" s="1578"/>
      <c r="BY390" s="1578"/>
      <c r="BZ390" s="1578"/>
      <c r="CA390" s="1578"/>
      <c r="CB390" s="1578"/>
      <c r="CC390" s="1578"/>
      <c r="CD390" s="1578"/>
      <c r="CE390" s="1578"/>
      <c r="CF390" s="1578"/>
      <c r="CG390" s="1578"/>
      <c r="CH390" s="1578"/>
      <c r="CI390" s="1578"/>
      <c r="CJ390" s="1578"/>
      <c r="CK390" s="1578"/>
      <c r="CL390" s="1578"/>
      <c r="CM390" s="1578"/>
      <c r="CN390" s="1578"/>
      <c r="CO390" s="1578"/>
      <c r="CP390" s="1578"/>
      <c r="CQ390" s="1578"/>
      <c r="CR390" s="1578"/>
      <c r="CS390" s="1578"/>
      <c r="CT390" s="1578"/>
      <c r="CU390" s="1578"/>
      <c r="CV390" s="1578"/>
      <c r="CW390" s="1578"/>
      <c r="CX390" s="1578"/>
      <c r="CY390" s="1578"/>
      <c r="CZ390" s="1578"/>
    </row>
    <row r="391" spans="1:104">
      <c r="A391" s="1466"/>
      <c r="B391" s="1576"/>
      <c r="C391" s="1576"/>
      <c r="D391" s="1576"/>
      <c r="E391" s="1578"/>
      <c r="F391" s="1578"/>
      <c r="G391" s="1578"/>
      <c r="H391" s="1578"/>
      <c r="I391" s="1578"/>
      <c r="J391" s="1578"/>
      <c r="K391" s="1578"/>
      <c r="L391" s="1578"/>
      <c r="M391" s="1578"/>
      <c r="N391" s="1578"/>
      <c r="O391" s="1578"/>
      <c r="P391" s="1578"/>
      <c r="Q391" s="1578"/>
      <c r="R391" s="1578"/>
      <c r="S391" s="1578"/>
      <c r="T391" s="1578"/>
      <c r="U391" s="1578"/>
      <c r="V391" s="1578"/>
      <c r="W391" s="1578"/>
      <c r="X391" s="1578"/>
      <c r="Y391" s="1578"/>
      <c r="Z391" s="1578"/>
      <c r="AA391" s="1578"/>
      <c r="AB391" s="1578"/>
      <c r="AC391" s="1578"/>
      <c r="AD391" s="1578"/>
      <c r="AE391" s="1578"/>
      <c r="AF391" s="1578"/>
      <c r="AG391" s="1578"/>
      <c r="AH391" s="1578"/>
      <c r="AI391" s="1578"/>
      <c r="AJ391" s="1578"/>
      <c r="AK391" s="1578"/>
      <c r="AL391" s="1578"/>
      <c r="AM391" s="1578"/>
      <c r="AN391" s="1578"/>
      <c r="AO391" s="1578"/>
      <c r="AP391" s="1578"/>
      <c r="AQ391" s="1578"/>
      <c r="AR391" s="1578"/>
      <c r="AS391" s="1578"/>
      <c r="AT391" s="1578"/>
      <c r="AU391" s="1578"/>
      <c r="AV391" s="1578"/>
      <c r="AW391" s="1578"/>
      <c r="AX391" s="1578"/>
      <c r="AY391" s="1578"/>
      <c r="AZ391" s="1578"/>
      <c r="BA391" s="1578"/>
      <c r="BB391" s="1578"/>
      <c r="BC391" s="1578"/>
      <c r="BD391" s="1578"/>
      <c r="BE391" s="1578"/>
      <c r="BF391" s="1578"/>
      <c r="BG391" s="1578"/>
      <c r="BH391" s="1578"/>
      <c r="BI391" s="1578"/>
      <c r="BJ391" s="1578"/>
      <c r="BK391" s="1578"/>
      <c r="BL391" s="1578"/>
      <c r="BM391" s="1578"/>
      <c r="BN391" s="1578"/>
      <c r="BO391" s="1578"/>
      <c r="BP391" s="1578"/>
      <c r="BQ391" s="1578"/>
      <c r="BR391" s="1578"/>
      <c r="BS391" s="1578"/>
      <c r="BT391" s="1578"/>
      <c r="BU391" s="1578"/>
      <c r="BV391" s="1578"/>
      <c r="BW391" s="1578"/>
      <c r="BX391" s="1578"/>
      <c r="BY391" s="1578"/>
      <c r="BZ391" s="1578"/>
      <c r="CA391" s="1578"/>
      <c r="CB391" s="1578"/>
      <c r="CC391" s="1578"/>
      <c r="CD391" s="1578"/>
      <c r="CE391" s="1578"/>
      <c r="CF391" s="1578"/>
      <c r="CG391" s="1578"/>
      <c r="CH391" s="1578"/>
      <c r="CI391" s="1578"/>
      <c r="CJ391" s="1578"/>
      <c r="CK391" s="1578"/>
      <c r="CL391" s="1578"/>
      <c r="CM391" s="1578"/>
      <c r="CN391" s="1578"/>
      <c r="CO391" s="1578"/>
      <c r="CP391" s="1578"/>
      <c r="CQ391" s="1578"/>
      <c r="CR391" s="1578"/>
      <c r="CS391" s="1578"/>
      <c r="CT391" s="1578"/>
      <c r="CU391" s="1578"/>
      <c r="CV391" s="1578"/>
      <c r="CW391" s="1578"/>
      <c r="CX391" s="1578"/>
      <c r="CY391" s="1578"/>
      <c r="CZ391" s="1578"/>
    </row>
    <row r="392" spans="1:104">
      <c r="A392" s="1466"/>
      <c r="B392" s="1576"/>
      <c r="C392" s="1576"/>
      <c r="D392" s="1576"/>
      <c r="E392" s="1578"/>
      <c r="F392" s="1578"/>
      <c r="G392" s="1578"/>
      <c r="H392" s="1578"/>
      <c r="I392" s="1578"/>
      <c r="J392" s="1578"/>
      <c r="K392" s="1578"/>
      <c r="L392" s="1578"/>
      <c r="M392" s="1578"/>
      <c r="N392" s="1578"/>
      <c r="O392" s="1578"/>
      <c r="P392" s="1578"/>
      <c r="Q392" s="1578"/>
      <c r="R392" s="1578"/>
      <c r="S392" s="1578"/>
      <c r="T392" s="1578"/>
      <c r="U392" s="1578"/>
      <c r="V392" s="1578"/>
      <c r="W392" s="1578"/>
      <c r="X392" s="1578"/>
      <c r="Y392" s="1578"/>
      <c r="Z392" s="1578"/>
      <c r="AA392" s="1578"/>
      <c r="AB392" s="1578"/>
      <c r="AC392" s="1578"/>
      <c r="AD392" s="1578"/>
      <c r="AE392" s="1578"/>
      <c r="AF392" s="1578"/>
      <c r="AG392" s="1578"/>
      <c r="AH392" s="1578"/>
      <c r="AI392" s="1578"/>
      <c r="AJ392" s="1578"/>
      <c r="AK392" s="1578"/>
      <c r="AL392" s="1578"/>
      <c r="AM392" s="1578"/>
      <c r="AN392" s="1578"/>
      <c r="AO392" s="1578"/>
      <c r="AP392" s="1578"/>
      <c r="AQ392" s="1578"/>
      <c r="AR392" s="1578"/>
      <c r="AS392" s="1578"/>
      <c r="AT392" s="1578"/>
      <c r="AU392" s="1578"/>
      <c r="AV392" s="1578"/>
      <c r="AW392" s="1578"/>
      <c r="AX392" s="1578"/>
      <c r="AY392" s="1578"/>
      <c r="AZ392" s="1578"/>
      <c r="BA392" s="1578"/>
      <c r="BB392" s="1578"/>
      <c r="BC392" s="1578"/>
      <c r="BD392" s="1578"/>
      <c r="BE392" s="1578"/>
      <c r="BF392" s="1578"/>
      <c r="BG392" s="1578"/>
      <c r="BH392" s="1578"/>
      <c r="BI392" s="1578"/>
      <c r="BJ392" s="1578"/>
      <c r="BK392" s="1578"/>
      <c r="BL392" s="1578"/>
      <c r="BM392" s="1578"/>
      <c r="BN392" s="1578"/>
      <c r="BO392" s="1578"/>
      <c r="BP392" s="1578"/>
      <c r="BQ392" s="1578"/>
      <c r="BR392" s="1578"/>
      <c r="BS392" s="1578"/>
      <c r="BT392" s="1578"/>
      <c r="BU392" s="1578"/>
      <c r="BV392" s="1578"/>
      <c r="BW392" s="1578"/>
      <c r="BX392" s="1578"/>
      <c r="BY392" s="1578"/>
      <c r="BZ392" s="1578"/>
      <c r="CA392" s="1578"/>
      <c r="CB392" s="1578"/>
      <c r="CC392" s="1578"/>
      <c r="CD392" s="1578"/>
      <c r="CE392" s="1578"/>
      <c r="CF392" s="1578"/>
      <c r="CG392" s="1578"/>
      <c r="CH392" s="1578"/>
      <c r="CI392" s="1578"/>
      <c r="CJ392" s="1578"/>
      <c r="CK392" s="1578"/>
      <c r="CL392" s="1578"/>
      <c r="CM392" s="1578"/>
      <c r="CN392" s="1578"/>
      <c r="CO392" s="1578"/>
      <c r="CP392" s="1578"/>
      <c r="CQ392" s="1578"/>
      <c r="CR392" s="1578"/>
      <c r="CS392" s="1578"/>
      <c r="CT392" s="1578"/>
      <c r="CU392" s="1578"/>
      <c r="CV392" s="1578"/>
      <c r="CW392" s="1578"/>
      <c r="CX392" s="1578"/>
      <c r="CY392" s="1578"/>
      <c r="CZ392" s="1578"/>
    </row>
    <row r="393" spans="1:104">
      <c r="A393" s="1466"/>
      <c r="B393" s="1576"/>
      <c r="C393" s="1576"/>
      <c r="D393" s="1576"/>
      <c r="E393" s="1578"/>
      <c r="F393" s="1578"/>
      <c r="G393" s="1578"/>
      <c r="H393" s="1578"/>
      <c r="I393" s="1578"/>
      <c r="J393" s="1578"/>
      <c r="K393" s="1578"/>
      <c r="L393" s="1578"/>
      <c r="M393" s="1578"/>
      <c r="N393" s="1578"/>
      <c r="O393" s="1578"/>
      <c r="P393" s="1578"/>
      <c r="Q393" s="1578"/>
      <c r="R393" s="1578"/>
      <c r="S393" s="1578"/>
      <c r="T393" s="1578"/>
      <c r="U393" s="1578"/>
      <c r="V393" s="1578"/>
      <c r="W393" s="1578"/>
      <c r="X393" s="1578"/>
      <c r="Y393" s="1578"/>
      <c r="Z393" s="1578"/>
      <c r="AA393" s="1578"/>
      <c r="AB393" s="1578"/>
      <c r="AC393" s="1578"/>
      <c r="AD393" s="1578"/>
      <c r="AE393" s="1578"/>
      <c r="AF393" s="1578"/>
      <c r="AG393" s="1578"/>
      <c r="AH393" s="1578"/>
      <c r="AI393" s="1578"/>
      <c r="AJ393" s="1578"/>
      <c r="AK393" s="1578"/>
      <c r="AL393" s="1578"/>
      <c r="AM393" s="1578"/>
      <c r="AN393" s="1578"/>
      <c r="AO393" s="1578"/>
      <c r="AP393" s="1578"/>
      <c r="AQ393" s="1578"/>
      <c r="AR393" s="1578"/>
      <c r="AS393" s="1578"/>
      <c r="AT393" s="1578"/>
      <c r="AU393" s="1578"/>
      <c r="AV393" s="1578"/>
      <c r="AW393" s="1578"/>
      <c r="AX393" s="1578"/>
      <c r="AY393" s="1578"/>
      <c r="AZ393" s="1578"/>
      <c r="BA393" s="1578"/>
      <c r="BB393" s="1578"/>
      <c r="BC393" s="1578"/>
      <c r="BD393" s="1578"/>
      <c r="BE393" s="1578"/>
      <c r="BF393" s="1578"/>
      <c r="BG393" s="1578"/>
      <c r="BH393" s="1578"/>
      <c r="BI393" s="1578"/>
      <c r="BJ393" s="1578"/>
      <c r="BK393" s="1578"/>
      <c r="BL393" s="1578"/>
      <c r="BM393" s="1578"/>
      <c r="BN393" s="1578"/>
      <c r="BO393" s="1578"/>
      <c r="BP393" s="1578"/>
      <c r="BQ393" s="1578"/>
      <c r="BR393" s="1578"/>
      <c r="BS393" s="1578"/>
      <c r="BT393" s="1578"/>
      <c r="BU393" s="1578"/>
      <c r="BV393" s="1578"/>
      <c r="BW393" s="1578"/>
      <c r="BX393" s="1578"/>
      <c r="BY393" s="1578"/>
      <c r="BZ393" s="1578"/>
      <c r="CA393" s="1578"/>
      <c r="CB393" s="1578"/>
      <c r="CC393" s="1578"/>
      <c r="CD393" s="1578"/>
      <c r="CE393" s="1578"/>
      <c r="CF393" s="1578"/>
      <c r="CG393" s="1578"/>
      <c r="CH393" s="1578"/>
      <c r="CI393" s="1578"/>
      <c r="CJ393" s="1578"/>
      <c r="CK393" s="1578"/>
      <c r="CL393" s="1578"/>
      <c r="CM393" s="1578"/>
      <c r="CN393" s="1578"/>
      <c r="CO393" s="1578"/>
      <c r="CP393" s="1578"/>
      <c r="CQ393" s="1578"/>
      <c r="CR393" s="1578"/>
      <c r="CS393" s="1578"/>
      <c r="CT393" s="1578"/>
      <c r="CU393" s="1578"/>
      <c r="CV393" s="1578"/>
      <c r="CW393" s="1578"/>
      <c r="CX393" s="1578"/>
      <c r="CY393" s="1578"/>
      <c r="CZ393" s="1578"/>
    </row>
    <row r="394" spans="1:104">
      <c r="A394" s="1466"/>
      <c r="B394" s="1576"/>
      <c r="C394" s="1576"/>
      <c r="D394" s="1576"/>
      <c r="E394" s="1578"/>
      <c r="F394" s="1578"/>
      <c r="G394" s="1578"/>
      <c r="H394" s="1578"/>
      <c r="I394" s="1578"/>
      <c r="J394" s="1578"/>
      <c r="K394" s="1578"/>
      <c r="L394" s="1578"/>
      <c r="M394" s="1578"/>
      <c r="N394" s="1578"/>
      <c r="O394" s="1578"/>
      <c r="P394" s="1578"/>
      <c r="Q394" s="1578"/>
      <c r="R394" s="1578"/>
      <c r="S394" s="1578"/>
      <c r="T394" s="1578"/>
      <c r="U394" s="1578"/>
      <c r="V394" s="1578"/>
      <c r="W394" s="1578"/>
      <c r="X394" s="1578"/>
      <c r="Y394" s="1578"/>
      <c r="Z394" s="1578"/>
      <c r="AA394" s="1578"/>
      <c r="AB394" s="1578"/>
      <c r="AC394" s="1578"/>
      <c r="AD394" s="1578"/>
      <c r="AE394" s="1578"/>
      <c r="AF394" s="1578"/>
      <c r="AG394" s="1578"/>
      <c r="AH394" s="1578"/>
      <c r="AI394" s="1578"/>
      <c r="AJ394" s="1578"/>
      <c r="AK394" s="1578"/>
      <c r="AL394" s="1578"/>
      <c r="AM394" s="1578"/>
      <c r="AN394" s="1578"/>
      <c r="AO394" s="1578"/>
      <c r="AP394" s="1578"/>
      <c r="AQ394" s="1578"/>
      <c r="AR394" s="1578"/>
      <c r="AS394" s="1578"/>
      <c r="AT394" s="1578"/>
      <c r="AU394" s="1578"/>
      <c r="AV394" s="1578"/>
      <c r="AW394" s="1578"/>
      <c r="AX394" s="1578"/>
      <c r="AY394" s="1578"/>
      <c r="AZ394" s="1578"/>
      <c r="BA394" s="1578"/>
      <c r="BB394" s="1578"/>
      <c r="BC394" s="1578"/>
      <c r="BD394" s="1578"/>
      <c r="BE394" s="1578"/>
      <c r="BF394" s="1578"/>
      <c r="BG394" s="1578"/>
      <c r="BH394" s="1578"/>
      <c r="BI394" s="1578"/>
      <c r="BJ394" s="1578"/>
      <c r="BK394" s="1578"/>
      <c r="BL394" s="1578"/>
      <c r="BM394" s="1578"/>
      <c r="BN394" s="1578"/>
      <c r="BO394" s="1578"/>
      <c r="BP394" s="1578"/>
      <c r="BQ394" s="1578"/>
      <c r="BR394" s="1578"/>
      <c r="BS394" s="1578"/>
      <c r="BT394" s="1578"/>
      <c r="BU394" s="1578"/>
      <c r="BV394" s="1578"/>
      <c r="BW394" s="1578"/>
      <c r="BX394" s="1578"/>
      <c r="BY394" s="1578"/>
      <c r="BZ394" s="1578"/>
      <c r="CA394" s="1578"/>
      <c r="CB394" s="1578"/>
      <c r="CC394" s="1578"/>
      <c r="CD394" s="1578"/>
      <c r="CE394" s="1578"/>
      <c r="CF394" s="1578"/>
      <c r="CG394" s="1578"/>
      <c r="CH394" s="1578"/>
      <c r="CI394" s="1578"/>
      <c r="CJ394" s="1578"/>
      <c r="CK394" s="1578"/>
      <c r="CL394" s="1578"/>
      <c r="CM394" s="1578"/>
      <c r="CN394" s="1578"/>
      <c r="CO394" s="1578"/>
      <c r="CP394" s="1578"/>
      <c r="CQ394" s="1578"/>
      <c r="CR394" s="1578"/>
      <c r="CS394" s="1578"/>
      <c r="CT394" s="1578"/>
      <c r="CU394" s="1578"/>
      <c r="CV394" s="1578"/>
      <c r="CW394" s="1578"/>
      <c r="CX394" s="1578"/>
      <c r="CY394" s="1578"/>
      <c r="CZ394" s="1578"/>
    </row>
    <row r="395" spans="1:104">
      <c r="A395" s="1466"/>
      <c r="B395" s="1576"/>
      <c r="C395" s="1576"/>
      <c r="D395" s="1576"/>
      <c r="E395" s="1578"/>
      <c r="F395" s="1578"/>
      <c r="G395" s="1578"/>
      <c r="H395" s="1578"/>
      <c r="I395" s="1578"/>
      <c r="J395" s="1578"/>
      <c r="K395" s="1578"/>
      <c r="L395" s="1578"/>
      <c r="M395" s="1578"/>
      <c r="N395" s="1578"/>
      <c r="O395" s="1578"/>
      <c r="P395" s="1578"/>
      <c r="Q395" s="1578"/>
      <c r="R395" s="1578"/>
      <c r="S395" s="1578"/>
      <c r="T395" s="1578"/>
      <c r="U395" s="1578"/>
      <c r="V395" s="1578"/>
      <c r="W395" s="1578"/>
      <c r="X395" s="1578"/>
      <c r="Y395" s="1578"/>
      <c r="Z395" s="1578"/>
      <c r="AA395" s="1578"/>
      <c r="AB395" s="1578"/>
      <c r="AC395" s="1578"/>
      <c r="AD395" s="1578"/>
      <c r="AE395" s="1578"/>
      <c r="AF395" s="1578"/>
      <c r="AG395" s="1578"/>
      <c r="AH395" s="1578"/>
      <c r="AI395" s="1578"/>
      <c r="AJ395" s="1578"/>
      <c r="AK395" s="1578"/>
      <c r="AL395" s="1578"/>
      <c r="AM395" s="1578"/>
      <c r="AN395" s="1578"/>
      <c r="AO395" s="1578"/>
      <c r="AP395" s="1578"/>
      <c r="AQ395" s="1578"/>
      <c r="AR395" s="1578"/>
      <c r="AS395" s="1578"/>
      <c r="AT395" s="1578"/>
      <c r="AU395" s="1578"/>
      <c r="AV395" s="1578"/>
      <c r="AW395" s="1578"/>
      <c r="AX395" s="1578"/>
      <c r="AY395" s="1578"/>
      <c r="AZ395" s="1578"/>
      <c r="BA395" s="1578"/>
      <c r="BB395" s="1578"/>
      <c r="BC395" s="1578"/>
      <c r="BD395" s="1578"/>
      <c r="BE395" s="1578"/>
      <c r="BF395" s="1578"/>
      <c r="BG395" s="1578"/>
      <c r="BH395" s="1578"/>
      <c r="BI395" s="1578"/>
      <c r="BJ395" s="1578"/>
      <c r="BK395" s="1578"/>
      <c r="BL395" s="1578"/>
      <c r="BM395" s="1578"/>
      <c r="BN395" s="1578"/>
      <c r="BO395" s="1578"/>
      <c r="BP395" s="1578"/>
      <c r="BQ395" s="1578"/>
      <c r="BR395" s="1578"/>
      <c r="BS395" s="1578"/>
      <c r="BT395" s="1578"/>
      <c r="BU395" s="1578"/>
      <c r="BV395" s="1578"/>
      <c r="BW395" s="1578"/>
      <c r="BX395" s="1578"/>
      <c r="BY395" s="1578"/>
      <c r="BZ395" s="1578"/>
      <c r="CA395" s="1578"/>
      <c r="CB395" s="1578"/>
      <c r="CC395" s="1578"/>
      <c r="CD395" s="1578"/>
      <c r="CE395" s="1578"/>
      <c r="CF395" s="1578"/>
      <c r="CG395" s="1578"/>
      <c r="CH395" s="1578"/>
      <c r="CI395" s="1578"/>
      <c r="CJ395" s="1578"/>
      <c r="CK395" s="1578"/>
      <c r="CL395" s="1578"/>
      <c r="CM395" s="1578"/>
      <c r="CN395" s="1578"/>
      <c r="CO395" s="1578"/>
      <c r="CP395" s="1578"/>
      <c r="CQ395" s="1578"/>
      <c r="CR395" s="1578"/>
      <c r="CS395" s="1578"/>
      <c r="CT395" s="1578"/>
      <c r="CU395" s="1578"/>
      <c r="CV395" s="1578"/>
      <c r="CW395" s="1578"/>
      <c r="CX395" s="1578"/>
      <c r="CY395" s="1578"/>
      <c r="CZ395" s="1578"/>
    </row>
    <row r="396" spans="1:104">
      <c r="A396" s="1466"/>
      <c r="B396" s="1576"/>
      <c r="C396" s="1576"/>
      <c r="D396" s="1576"/>
      <c r="E396" s="1578"/>
      <c r="F396" s="1578"/>
      <c r="G396" s="1578"/>
      <c r="H396" s="1578"/>
      <c r="I396" s="1578"/>
      <c r="J396" s="1578"/>
      <c r="K396" s="1578"/>
      <c r="L396" s="1578"/>
      <c r="M396" s="1578"/>
      <c r="N396" s="1578"/>
      <c r="O396" s="1578"/>
      <c r="P396" s="1578"/>
      <c r="Q396" s="1578"/>
      <c r="R396" s="1578"/>
      <c r="S396" s="1578"/>
      <c r="T396" s="1578"/>
      <c r="U396" s="1578"/>
      <c r="V396" s="1578"/>
      <c r="W396" s="1578"/>
      <c r="X396" s="1578"/>
      <c r="Y396" s="1578"/>
      <c r="Z396" s="1578"/>
      <c r="AA396" s="1578"/>
      <c r="AB396" s="1578"/>
      <c r="AC396" s="1578"/>
      <c r="AD396" s="1578"/>
      <c r="AE396" s="1578"/>
      <c r="AF396" s="1578"/>
      <c r="AG396" s="1578"/>
      <c r="AH396" s="1578"/>
      <c r="AI396" s="1578"/>
      <c r="AJ396" s="1578"/>
      <c r="AK396" s="1578"/>
      <c r="AL396" s="1578"/>
      <c r="AM396" s="1578"/>
      <c r="AN396" s="1578"/>
      <c r="AO396" s="1578"/>
      <c r="AP396" s="1578"/>
      <c r="AQ396" s="1578"/>
      <c r="AR396" s="1578"/>
      <c r="AS396" s="1578"/>
      <c r="AT396" s="1578"/>
      <c r="AU396" s="1578"/>
      <c r="AV396" s="1578"/>
      <c r="AW396" s="1578"/>
      <c r="AX396" s="1578"/>
      <c r="AY396" s="1578"/>
      <c r="AZ396" s="1578"/>
      <c r="BA396" s="1578"/>
      <c r="BB396" s="1578"/>
      <c r="BC396" s="1578"/>
      <c r="BD396" s="1578"/>
      <c r="BE396" s="1578"/>
      <c r="BF396" s="1578"/>
      <c r="BG396" s="1578"/>
      <c r="BH396" s="1578"/>
      <c r="BI396" s="1578"/>
      <c r="BJ396" s="1578"/>
      <c r="BK396" s="1578"/>
      <c r="BL396" s="1578"/>
      <c r="BM396" s="1578"/>
      <c r="BN396" s="1578"/>
      <c r="BO396" s="1578"/>
      <c r="BP396" s="1578"/>
      <c r="BQ396" s="1578"/>
      <c r="BR396" s="1578"/>
      <c r="BS396" s="1578"/>
      <c r="BT396" s="1578"/>
      <c r="BU396" s="1578"/>
      <c r="BV396" s="1578"/>
      <c r="BW396" s="1578"/>
      <c r="BX396" s="1578"/>
      <c r="BY396" s="1578"/>
      <c r="BZ396" s="1578"/>
      <c r="CA396" s="1578"/>
      <c r="CB396" s="1578"/>
      <c r="CC396" s="1578"/>
      <c r="CD396" s="1578"/>
      <c r="CE396" s="1578"/>
      <c r="CF396" s="1578"/>
      <c r="CG396" s="1578"/>
      <c r="CH396" s="1578"/>
      <c r="CI396" s="1578"/>
      <c r="CJ396" s="1578"/>
      <c r="CK396" s="1578"/>
      <c r="CL396" s="1578"/>
      <c r="CM396" s="1578"/>
      <c r="CN396" s="1578"/>
      <c r="CO396" s="1578"/>
      <c r="CP396" s="1578"/>
      <c r="CQ396" s="1578"/>
      <c r="CR396" s="1578"/>
      <c r="CS396" s="1578"/>
      <c r="CT396" s="1578"/>
      <c r="CU396" s="1578"/>
      <c r="CV396" s="1578"/>
      <c r="CW396" s="1578"/>
      <c r="CX396" s="1578"/>
      <c r="CY396" s="1578"/>
      <c r="CZ396" s="1578"/>
    </row>
    <row r="397" spans="1:104">
      <c r="A397" s="1466"/>
      <c r="B397" s="1576"/>
      <c r="C397" s="1576"/>
      <c r="D397" s="1576"/>
      <c r="E397" s="1578"/>
      <c r="F397" s="1578"/>
      <c r="G397" s="1578"/>
      <c r="H397" s="1578"/>
      <c r="I397" s="1578"/>
      <c r="J397" s="1578"/>
      <c r="K397" s="1578"/>
      <c r="L397" s="1578"/>
      <c r="M397" s="1578"/>
      <c r="N397" s="1578"/>
      <c r="O397" s="1578"/>
      <c r="P397" s="1578"/>
      <c r="Q397" s="1578"/>
      <c r="R397" s="1578"/>
      <c r="S397" s="1578"/>
      <c r="T397" s="1578"/>
      <c r="U397" s="1578"/>
      <c r="V397" s="1578"/>
      <c r="W397" s="1578"/>
      <c r="X397" s="1578"/>
      <c r="Y397" s="1578"/>
      <c r="Z397" s="1578"/>
      <c r="AA397" s="1578"/>
      <c r="AB397" s="1578"/>
      <c r="AC397" s="1578"/>
      <c r="AD397" s="1578"/>
      <c r="AE397" s="1578"/>
      <c r="AF397" s="1578"/>
      <c r="AG397" s="1578"/>
      <c r="AH397" s="1578"/>
      <c r="AI397" s="1578"/>
      <c r="AJ397" s="1578"/>
      <c r="AK397" s="1578"/>
      <c r="AL397" s="1578"/>
      <c r="AM397" s="1578"/>
      <c r="AN397" s="1578"/>
      <c r="AO397" s="1578"/>
      <c r="AP397" s="1578"/>
      <c r="AQ397" s="1578"/>
      <c r="AR397" s="1578"/>
      <c r="AS397" s="1578"/>
      <c r="AT397" s="1578"/>
      <c r="AU397" s="1578"/>
      <c r="AV397" s="1578"/>
      <c r="AW397" s="1578"/>
      <c r="AX397" s="1578"/>
      <c r="AY397" s="1578"/>
      <c r="AZ397" s="1578"/>
      <c r="BA397" s="1578"/>
      <c r="BB397" s="1578"/>
      <c r="BC397" s="1578"/>
      <c r="BD397" s="1578"/>
      <c r="BE397" s="1578"/>
      <c r="BF397" s="1578"/>
      <c r="BG397" s="1578"/>
      <c r="BH397" s="1578"/>
      <c r="BI397" s="1578"/>
      <c r="BJ397" s="1578"/>
      <c r="BK397" s="1578"/>
      <c r="BL397" s="1578"/>
      <c r="BM397" s="1578"/>
      <c r="BN397" s="1578"/>
      <c r="BO397" s="1578"/>
      <c r="BP397" s="1578"/>
      <c r="BQ397" s="1578"/>
      <c r="BR397" s="1578"/>
      <c r="BS397" s="1578"/>
      <c r="BT397" s="1578"/>
      <c r="BU397" s="1578"/>
      <c r="BV397" s="1578"/>
      <c r="BW397" s="1578"/>
      <c r="BX397" s="1578"/>
      <c r="BY397" s="1578"/>
      <c r="BZ397" s="1578"/>
      <c r="CA397" s="1578"/>
      <c r="CB397" s="1578"/>
      <c r="CC397" s="1578"/>
      <c r="CD397" s="1578"/>
      <c r="CE397" s="1578"/>
      <c r="CF397" s="1578"/>
      <c r="CG397" s="1578"/>
      <c r="CH397" s="1578"/>
      <c r="CI397" s="1578"/>
      <c r="CJ397" s="1578"/>
      <c r="CK397" s="1578"/>
      <c r="CL397" s="1578"/>
      <c r="CM397" s="1578"/>
      <c r="CN397" s="1578"/>
      <c r="CO397" s="1578"/>
      <c r="CP397" s="1578"/>
      <c r="CQ397" s="1578"/>
      <c r="CR397" s="1578"/>
      <c r="CS397" s="1578"/>
      <c r="CT397" s="1578"/>
      <c r="CU397" s="1578"/>
      <c r="CV397" s="1578"/>
      <c r="CW397" s="1578"/>
      <c r="CX397" s="1578"/>
      <c r="CY397" s="1578"/>
      <c r="CZ397" s="1578"/>
    </row>
    <row r="398" spans="1:104">
      <c r="A398" s="1466"/>
      <c r="B398" s="1576"/>
      <c r="C398" s="1576"/>
      <c r="D398" s="1576"/>
      <c r="E398" s="1578"/>
      <c r="F398" s="1578"/>
      <c r="G398" s="1578"/>
      <c r="H398" s="1578"/>
      <c r="I398" s="1578"/>
      <c r="J398" s="1578"/>
      <c r="K398" s="1578"/>
      <c r="L398" s="1578"/>
      <c r="M398" s="1578"/>
      <c r="N398" s="1578"/>
      <c r="O398" s="1578"/>
      <c r="P398" s="1578"/>
      <c r="Q398" s="1578"/>
      <c r="R398" s="1578"/>
      <c r="S398" s="1578"/>
      <c r="T398" s="1578"/>
      <c r="U398" s="1578"/>
      <c r="V398" s="1578"/>
      <c r="W398" s="1578"/>
      <c r="X398" s="1578"/>
      <c r="Y398" s="1578"/>
      <c r="Z398" s="1578"/>
      <c r="AA398" s="1578"/>
      <c r="AB398" s="1578"/>
      <c r="AC398" s="1578"/>
      <c r="AD398" s="1578"/>
      <c r="AE398" s="1578"/>
      <c r="AF398" s="1578"/>
      <c r="AG398" s="1578"/>
      <c r="AH398" s="1578"/>
      <c r="AI398" s="1578"/>
      <c r="AJ398" s="1578"/>
      <c r="AK398" s="1578"/>
      <c r="AL398" s="1578"/>
      <c r="AM398" s="1578"/>
      <c r="AN398" s="1578"/>
      <c r="AO398" s="1578"/>
      <c r="AP398" s="1578"/>
      <c r="AQ398" s="1578"/>
      <c r="AR398" s="1578"/>
      <c r="AS398" s="1578"/>
      <c r="AT398" s="1578"/>
      <c r="AU398" s="1578"/>
      <c r="AV398" s="1578"/>
      <c r="AW398" s="1578"/>
      <c r="AX398" s="1578"/>
      <c r="AY398" s="1578"/>
      <c r="AZ398" s="1578"/>
      <c r="BA398" s="1578"/>
      <c r="BB398" s="1578"/>
      <c r="BC398" s="1578"/>
      <c r="BD398" s="1578"/>
      <c r="BE398" s="1578"/>
      <c r="BF398" s="1578"/>
      <c r="BG398" s="1578"/>
      <c r="BH398" s="1578"/>
      <c r="BI398" s="1578"/>
      <c r="BJ398" s="1578"/>
      <c r="BK398" s="1578"/>
      <c r="BL398" s="1578"/>
      <c r="BM398" s="1578"/>
      <c r="BN398" s="1578"/>
      <c r="BO398" s="1578"/>
      <c r="BP398" s="1578"/>
      <c r="BQ398" s="1578"/>
      <c r="BR398" s="1578"/>
      <c r="BS398" s="1578"/>
      <c r="BT398" s="1578"/>
      <c r="BU398" s="1578"/>
      <c r="BV398" s="1578"/>
      <c r="BW398" s="1578"/>
      <c r="BX398" s="1578"/>
      <c r="BY398" s="1578"/>
      <c r="BZ398" s="1578"/>
      <c r="CA398" s="1578"/>
      <c r="CB398" s="1578"/>
      <c r="CC398" s="1578"/>
      <c r="CD398" s="1578"/>
      <c r="CE398" s="1578"/>
      <c r="CF398" s="1578"/>
      <c r="CG398" s="1578"/>
      <c r="CH398" s="1578"/>
      <c r="CI398" s="1578"/>
      <c r="CJ398" s="1578"/>
      <c r="CK398" s="1578"/>
      <c r="CL398" s="1578"/>
      <c r="CM398" s="1578"/>
      <c r="CN398" s="1578"/>
      <c r="CO398" s="1578"/>
      <c r="CP398" s="1578"/>
      <c r="CQ398" s="1578"/>
      <c r="CR398" s="1578"/>
      <c r="CS398" s="1578"/>
      <c r="CT398" s="1578"/>
      <c r="CU398" s="1578"/>
      <c r="CV398" s="1578"/>
      <c r="CW398" s="1578"/>
      <c r="CX398" s="1578"/>
      <c r="CY398" s="1578"/>
      <c r="CZ398" s="1578"/>
    </row>
    <row r="399" spans="1:104">
      <c r="A399" s="1466"/>
      <c r="B399" s="1576"/>
      <c r="C399" s="1576"/>
      <c r="D399" s="1576"/>
      <c r="E399" s="1578"/>
      <c r="F399" s="1578"/>
      <c r="G399" s="1578"/>
      <c r="H399" s="1578"/>
      <c r="I399" s="1578"/>
      <c r="J399" s="1578"/>
      <c r="K399" s="1578"/>
      <c r="L399" s="1578"/>
      <c r="M399" s="1578"/>
      <c r="N399" s="1578"/>
      <c r="O399" s="1578"/>
      <c r="P399" s="1578"/>
      <c r="Q399" s="1578"/>
      <c r="R399" s="1578"/>
      <c r="S399" s="1578"/>
      <c r="T399" s="1578"/>
      <c r="U399" s="1578"/>
      <c r="V399" s="1578"/>
      <c r="W399" s="1578"/>
      <c r="X399" s="1578"/>
      <c r="Y399" s="1578"/>
      <c r="Z399" s="1578"/>
      <c r="AA399" s="1578"/>
      <c r="AB399" s="1578"/>
      <c r="AC399" s="1578"/>
      <c r="AD399" s="1578"/>
      <c r="AE399" s="1578"/>
      <c r="AF399" s="1578"/>
      <c r="AG399" s="1578"/>
      <c r="AH399" s="1578"/>
      <c r="AI399" s="1578"/>
      <c r="AJ399" s="1578"/>
      <c r="AK399" s="1578"/>
      <c r="AL399" s="1578"/>
      <c r="AM399" s="1578"/>
      <c r="AN399" s="1578"/>
      <c r="AO399" s="1578"/>
      <c r="AP399" s="1578"/>
      <c r="AQ399" s="1578"/>
      <c r="AR399" s="1578"/>
      <c r="AS399" s="1578"/>
      <c r="AT399" s="1578"/>
      <c r="AU399" s="1578"/>
      <c r="AV399" s="1578"/>
      <c r="AW399" s="1578"/>
      <c r="AX399" s="1578"/>
      <c r="AY399" s="1578"/>
      <c r="AZ399" s="1578"/>
      <c r="BA399" s="1578"/>
      <c r="BB399" s="1578"/>
      <c r="BC399" s="1578"/>
      <c r="BD399" s="1578"/>
      <c r="BE399" s="1578"/>
      <c r="BF399" s="1578"/>
      <c r="BG399" s="1578"/>
      <c r="BH399" s="1578"/>
      <c r="BI399" s="1578"/>
      <c r="BJ399" s="1578"/>
      <c r="BK399" s="1578"/>
      <c r="BL399" s="1578"/>
      <c r="BM399" s="1578"/>
      <c r="BN399" s="1578"/>
      <c r="BO399" s="1578"/>
      <c r="BP399" s="1578"/>
      <c r="BQ399" s="1578"/>
      <c r="BR399" s="1578"/>
      <c r="BS399" s="1578"/>
      <c r="BT399" s="1578"/>
      <c r="BU399" s="1578"/>
      <c r="BV399" s="1578"/>
      <c r="BW399" s="1578"/>
      <c r="BX399" s="1578"/>
      <c r="BY399" s="1578"/>
      <c r="BZ399" s="1578"/>
      <c r="CA399" s="1578"/>
      <c r="CB399" s="1578"/>
      <c r="CC399" s="1578"/>
      <c r="CD399" s="1578"/>
      <c r="CE399" s="1578"/>
      <c r="CF399" s="1578"/>
      <c r="CG399" s="1578"/>
      <c r="CH399" s="1578"/>
      <c r="CI399" s="1578"/>
      <c r="CJ399" s="1578"/>
      <c r="CK399" s="1578"/>
      <c r="CL399" s="1578"/>
      <c r="CM399" s="1578"/>
      <c r="CN399" s="1578"/>
      <c r="CO399" s="1578"/>
      <c r="CP399" s="1578"/>
      <c r="CQ399" s="1578"/>
      <c r="CR399" s="1578"/>
      <c r="CS399" s="1578"/>
      <c r="CT399" s="1578"/>
      <c r="CU399" s="1578"/>
      <c r="CV399" s="1578"/>
      <c r="CW399" s="1578"/>
      <c r="CX399" s="1578"/>
      <c r="CY399" s="1578"/>
      <c r="CZ399" s="1578"/>
    </row>
    <row r="400" spans="1:104">
      <c r="A400" s="1466"/>
      <c r="B400" s="1576"/>
      <c r="C400" s="1576"/>
      <c r="D400" s="1576"/>
      <c r="E400" s="1578"/>
      <c r="F400" s="1578"/>
      <c r="G400" s="1578"/>
      <c r="H400" s="1578"/>
      <c r="I400" s="1578"/>
      <c r="J400" s="1578"/>
      <c r="K400" s="1578"/>
      <c r="L400" s="1578"/>
      <c r="M400" s="1578"/>
      <c r="N400" s="1578"/>
      <c r="O400" s="1578"/>
      <c r="P400" s="1578"/>
      <c r="Q400" s="1578"/>
      <c r="R400" s="1578"/>
      <c r="S400" s="1578"/>
      <c r="T400" s="1578"/>
      <c r="U400" s="1578"/>
      <c r="V400" s="1578"/>
      <c r="W400" s="1578"/>
      <c r="X400" s="1578"/>
      <c r="Y400" s="1578"/>
      <c r="Z400" s="1578"/>
      <c r="AA400" s="1578"/>
      <c r="AB400" s="1578"/>
      <c r="AC400" s="1578"/>
      <c r="AD400" s="1578"/>
      <c r="AE400" s="1578"/>
      <c r="AF400" s="1578"/>
      <c r="AG400" s="1578"/>
      <c r="AH400" s="1578"/>
      <c r="AI400" s="1578"/>
      <c r="AJ400" s="1578"/>
      <c r="AK400" s="1578"/>
      <c r="AL400" s="1578"/>
      <c r="AM400" s="1578"/>
      <c r="AN400" s="1578"/>
      <c r="AO400" s="1578"/>
      <c r="AP400" s="1578"/>
      <c r="AQ400" s="1578"/>
      <c r="AR400" s="1578"/>
      <c r="AS400" s="1578"/>
      <c r="AT400" s="1578"/>
      <c r="AU400" s="1578"/>
      <c r="AV400" s="1578"/>
      <c r="AW400" s="1578"/>
      <c r="AX400" s="1578"/>
      <c r="AY400" s="1578"/>
      <c r="AZ400" s="1578"/>
      <c r="BA400" s="1578"/>
      <c r="BB400" s="1578"/>
      <c r="BC400" s="1578"/>
      <c r="BD400" s="1578"/>
      <c r="BE400" s="1578"/>
      <c r="BF400" s="1578"/>
      <c r="BG400" s="1578"/>
      <c r="BH400" s="1578"/>
      <c r="BI400" s="1578"/>
      <c r="BJ400" s="1578"/>
      <c r="BK400" s="1578"/>
      <c r="BL400" s="1578"/>
      <c r="BM400" s="1578"/>
      <c r="BN400" s="1578"/>
      <c r="BO400" s="1578"/>
      <c r="BP400" s="1578"/>
      <c r="BQ400" s="1578"/>
      <c r="BR400" s="1578"/>
      <c r="BS400" s="1578"/>
      <c r="BT400" s="1578"/>
      <c r="BU400" s="1578"/>
      <c r="BV400" s="1578"/>
      <c r="BW400" s="1578"/>
      <c r="BX400" s="1578"/>
      <c r="BY400" s="1578"/>
      <c r="BZ400" s="1578"/>
      <c r="CA400" s="1578"/>
      <c r="CB400" s="1578"/>
      <c r="CC400" s="1578"/>
      <c r="CD400" s="1578"/>
      <c r="CE400" s="1578"/>
      <c r="CF400" s="1578"/>
      <c r="CG400" s="1578"/>
      <c r="CH400" s="1578"/>
      <c r="CI400" s="1578"/>
      <c r="CJ400" s="1578"/>
      <c r="CK400" s="1578"/>
      <c r="CL400" s="1578"/>
      <c r="CM400" s="1578"/>
      <c r="CN400" s="1578"/>
      <c r="CO400" s="1578"/>
      <c r="CP400" s="1578"/>
      <c r="CQ400" s="1578"/>
      <c r="CR400" s="1578"/>
      <c r="CS400" s="1578"/>
      <c r="CT400" s="1578"/>
      <c r="CU400" s="1578"/>
      <c r="CV400" s="1578"/>
      <c r="CW400" s="1578"/>
      <c r="CX400" s="1578"/>
      <c r="CY400" s="1578"/>
      <c r="CZ400" s="1578"/>
    </row>
    <row r="401" spans="1:104">
      <c r="A401" s="1466"/>
      <c r="B401" s="1576"/>
      <c r="C401" s="1576"/>
      <c r="D401" s="1576"/>
      <c r="E401" s="1578"/>
      <c r="F401" s="1578"/>
      <c r="G401" s="1578"/>
      <c r="H401" s="1578"/>
      <c r="I401" s="1578"/>
      <c r="J401" s="1578"/>
      <c r="K401" s="1578"/>
      <c r="L401" s="1578"/>
      <c r="M401" s="1578"/>
      <c r="N401" s="1578"/>
      <c r="O401" s="1578"/>
      <c r="P401" s="1578"/>
      <c r="Q401" s="1578"/>
      <c r="R401" s="1578"/>
      <c r="S401" s="1578"/>
      <c r="T401" s="1578"/>
      <c r="U401" s="1578"/>
      <c r="V401" s="1578"/>
      <c r="W401" s="1578"/>
      <c r="X401" s="1578"/>
      <c r="Y401" s="1578"/>
      <c r="Z401" s="1578"/>
      <c r="AA401" s="1578"/>
      <c r="AB401" s="1578"/>
      <c r="AC401" s="1578"/>
      <c r="AD401" s="1578"/>
      <c r="AE401" s="1578"/>
      <c r="AF401" s="1578"/>
      <c r="AG401" s="1578"/>
      <c r="AH401" s="1578"/>
      <c r="AI401" s="1578"/>
      <c r="AJ401" s="1578"/>
      <c r="AK401" s="1578"/>
      <c r="AL401" s="1578"/>
      <c r="AM401" s="1578"/>
      <c r="AN401" s="1578"/>
      <c r="AO401" s="1578"/>
      <c r="AP401" s="1578"/>
      <c r="AQ401" s="1578"/>
      <c r="AR401" s="1578"/>
      <c r="AS401" s="1578"/>
      <c r="AT401" s="1578"/>
      <c r="AU401" s="1578"/>
      <c r="AV401" s="1578"/>
      <c r="AW401" s="1578"/>
      <c r="AX401" s="1578"/>
      <c r="AY401" s="1578"/>
      <c r="AZ401" s="1578"/>
      <c r="BA401" s="1578"/>
      <c r="BB401" s="1578"/>
      <c r="BC401" s="1578"/>
      <c r="BD401" s="1578"/>
      <c r="BE401" s="1578"/>
      <c r="BF401" s="1578"/>
      <c r="BG401" s="1578"/>
      <c r="BH401" s="1578"/>
      <c r="BI401" s="1578"/>
      <c r="BJ401" s="1578"/>
      <c r="BK401" s="1578"/>
      <c r="BL401" s="1578"/>
      <c r="BM401" s="1578"/>
      <c r="BN401" s="1578"/>
      <c r="BO401" s="1578"/>
      <c r="BP401" s="1578"/>
      <c r="BQ401" s="1578"/>
      <c r="BR401" s="1578"/>
      <c r="BS401" s="1578"/>
      <c r="BT401" s="1578"/>
      <c r="BU401" s="1578"/>
      <c r="BV401" s="1578"/>
      <c r="BW401" s="1578"/>
      <c r="BX401" s="1578"/>
      <c r="BY401" s="1578"/>
      <c r="BZ401" s="1578"/>
      <c r="CA401" s="1578"/>
      <c r="CB401" s="1578"/>
      <c r="CC401" s="1578"/>
      <c r="CD401" s="1578"/>
      <c r="CE401" s="1578"/>
      <c r="CF401" s="1578"/>
      <c r="CG401" s="1578"/>
      <c r="CH401" s="1578"/>
      <c r="CI401" s="1578"/>
      <c r="CJ401" s="1578"/>
      <c r="CK401" s="1578"/>
      <c r="CL401" s="1578"/>
      <c r="CM401" s="1578"/>
      <c r="CN401" s="1578"/>
      <c r="CO401" s="1578"/>
      <c r="CP401" s="1578"/>
      <c r="CQ401" s="1578"/>
      <c r="CR401" s="1578"/>
      <c r="CS401" s="1578"/>
      <c r="CT401" s="1578"/>
      <c r="CU401" s="1578"/>
      <c r="CV401" s="1578"/>
      <c r="CW401" s="1578"/>
      <c r="CX401" s="1578"/>
      <c r="CY401" s="1578"/>
      <c r="CZ401" s="1578"/>
    </row>
    <row r="402" spans="1:104">
      <c r="A402" s="1466"/>
      <c r="B402" s="1576"/>
      <c r="C402" s="1576"/>
      <c r="D402" s="1576"/>
      <c r="E402" s="1578"/>
      <c r="F402" s="1578"/>
      <c r="G402" s="1578"/>
      <c r="H402" s="1578"/>
      <c r="I402" s="1578"/>
      <c r="J402" s="1578"/>
      <c r="K402" s="1578"/>
      <c r="L402" s="1578"/>
      <c r="M402" s="1578"/>
      <c r="N402" s="1578"/>
      <c r="O402" s="1578"/>
      <c r="P402" s="1578"/>
      <c r="Q402" s="1578"/>
      <c r="R402" s="1578"/>
      <c r="S402" s="1578"/>
      <c r="T402" s="1578"/>
      <c r="U402" s="1578"/>
      <c r="V402" s="1578"/>
      <c r="W402" s="1578"/>
      <c r="X402" s="1578"/>
      <c r="Y402" s="1578"/>
      <c r="Z402" s="1578"/>
      <c r="AA402" s="1578"/>
      <c r="AB402" s="1578"/>
      <c r="AC402" s="1578"/>
      <c r="AD402" s="1578"/>
      <c r="AE402" s="1578"/>
      <c r="AF402" s="1578"/>
      <c r="AG402" s="1578"/>
      <c r="AH402" s="1578"/>
      <c r="AI402" s="1578"/>
      <c r="AJ402" s="1578"/>
      <c r="AK402" s="1578"/>
      <c r="AL402" s="1578"/>
      <c r="AM402" s="1578"/>
      <c r="AN402" s="1578"/>
      <c r="AO402" s="1578"/>
      <c r="AP402" s="1578"/>
      <c r="AQ402" s="1578"/>
      <c r="AR402" s="1578"/>
      <c r="AS402" s="1578"/>
      <c r="AT402" s="1578"/>
      <c r="AU402" s="1578"/>
      <c r="AV402" s="1578"/>
      <c r="AW402" s="1578"/>
      <c r="AX402" s="1578"/>
      <c r="AY402" s="1578"/>
      <c r="AZ402" s="1578"/>
      <c r="BA402" s="1578"/>
      <c r="BB402" s="1578"/>
      <c r="BC402" s="1578"/>
      <c r="BD402" s="1578"/>
      <c r="BE402" s="1578"/>
      <c r="BF402" s="1578"/>
      <c r="BG402" s="1578"/>
      <c r="BH402" s="1578"/>
      <c r="BI402" s="1578"/>
      <c r="BJ402" s="1578"/>
      <c r="BK402" s="1578"/>
      <c r="BL402" s="1578"/>
      <c r="BM402" s="1578"/>
      <c r="BN402" s="1578"/>
      <c r="BO402" s="1578"/>
      <c r="BP402" s="1578"/>
      <c r="BQ402" s="1578"/>
      <c r="BR402" s="1578"/>
      <c r="BS402" s="1578"/>
      <c r="BT402" s="1578"/>
      <c r="BU402" s="1578"/>
      <c r="BV402" s="1578"/>
      <c r="BW402" s="1578"/>
      <c r="BX402" s="1578"/>
      <c r="BY402" s="1578"/>
      <c r="BZ402" s="1578"/>
      <c r="CA402" s="1578"/>
      <c r="CB402" s="1578"/>
      <c r="CC402" s="1578"/>
      <c r="CD402" s="1578"/>
      <c r="CE402" s="1578"/>
      <c r="CF402" s="1578"/>
      <c r="CG402" s="1578"/>
      <c r="CH402" s="1578"/>
      <c r="CI402" s="1578"/>
      <c r="CJ402" s="1578"/>
      <c r="CK402" s="1578"/>
      <c r="CL402" s="1578"/>
      <c r="CM402" s="1578"/>
      <c r="CN402" s="1578"/>
      <c r="CO402" s="1578"/>
      <c r="CP402" s="1578"/>
      <c r="CQ402" s="1578"/>
      <c r="CR402" s="1578"/>
      <c r="CS402" s="1578"/>
      <c r="CT402" s="1578"/>
      <c r="CU402" s="1578"/>
      <c r="CV402" s="1578"/>
      <c r="CW402" s="1578"/>
      <c r="CX402" s="1578"/>
      <c r="CY402" s="1578"/>
      <c r="CZ402" s="1578"/>
    </row>
    <row r="403" spans="1:104">
      <c r="A403" s="1466"/>
      <c r="B403" s="1576"/>
      <c r="C403" s="1576"/>
      <c r="D403" s="1576"/>
      <c r="E403" s="1578"/>
      <c r="F403" s="1578"/>
      <c r="G403" s="1578"/>
      <c r="H403" s="1578"/>
      <c r="I403" s="1578"/>
      <c r="J403" s="1578"/>
      <c r="K403" s="1578"/>
      <c r="L403" s="1578"/>
      <c r="M403" s="1578"/>
      <c r="N403" s="1578"/>
      <c r="O403" s="1578"/>
      <c r="P403" s="1578"/>
      <c r="Q403" s="1578"/>
      <c r="R403" s="1578"/>
      <c r="S403" s="1578"/>
      <c r="T403" s="1578"/>
      <c r="U403" s="1578"/>
      <c r="V403" s="1578"/>
      <c r="W403" s="1578"/>
      <c r="X403" s="1578"/>
      <c r="Y403" s="1578"/>
      <c r="Z403" s="1578"/>
      <c r="AA403" s="1578"/>
      <c r="AB403" s="1578"/>
      <c r="AC403" s="1578"/>
      <c r="AD403" s="1578"/>
      <c r="AE403" s="1578"/>
      <c r="AF403" s="1578"/>
      <c r="AG403" s="1578"/>
      <c r="AH403" s="1578"/>
      <c r="AI403" s="1578"/>
      <c r="AJ403" s="1578"/>
      <c r="AK403" s="1578"/>
      <c r="AL403" s="1578"/>
      <c r="AM403" s="1578"/>
      <c r="AN403" s="1578"/>
      <c r="AO403" s="1578"/>
      <c r="AP403" s="1578"/>
      <c r="AQ403" s="1578"/>
      <c r="AR403" s="1578"/>
      <c r="AS403" s="1578"/>
      <c r="AT403" s="1578"/>
      <c r="AU403" s="1578"/>
      <c r="AV403" s="1578"/>
      <c r="AW403" s="1578"/>
      <c r="AX403" s="1578"/>
      <c r="AY403" s="1578"/>
      <c r="AZ403" s="1578"/>
      <c r="BA403" s="1578"/>
      <c r="BB403" s="1578"/>
      <c r="BC403" s="1578"/>
      <c r="BD403" s="1578"/>
      <c r="BE403" s="1578"/>
      <c r="BF403" s="1578"/>
      <c r="BG403" s="1578"/>
      <c r="BH403" s="1578"/>
      <c r="BI403" s="1578"/>
      <c r="BJ403" s="1578"/>
      <c r="BK403" s="1578"/>
      <c r="BL403" s="1578"/>
      <c r="BM403" s="1578"/>
      <c r="BN403" s="1578"/>
      <c r="BO403" s="1578"/>
      <c r="BP403" s="1578"/>
      <c r="BQ403" s="1578"/>
      <c r="BR403" s="1578"/>
      <c r="BS403" s="1578"/>
      <c r="BT403" s="1578"/>
      <c r="BU403" s="1578"/>
      <c r="BV403" s="1578"/>
      <c r="BW403" s="1578"/>
      <c r="BX403" s="1578"/>
      <c r="BY403" s="1578"/>
      <c r="BZ403" s="1578"/>
      <c r="CA403" s="1578"/>
      <c r="CB403" s="1578"/>
      <c r="CC403" s="1578"/>
      <c r="CD403" s="1578"/>
      <c r="CE403" s="1578"/>
      <c r="CF403" s="1578"/>
      <c r="CG403" s="1578"/>
      <c r="CH403" s="1578"/>
      <c r="CI403" s="1578"/>
      <c r="CJ403" s="1578"/>
      <c r="CK403" s="1578"/>
      <c r="CL403" s="1578"/>
      <c r="CM403" s="1578"/>
      <c r="CN403" s="1578"/>
      <c r="CO403" s="1578"/>
      <c r="CP403" s="1578"/>
      <c r="CQ403" s="1578"/>
      <c r="CR403" s="1578"/>
      <c r="CS403" s="1578"/>
      <c r="CT403" s="1578"/>
      <c r="CU403" s="1578"/>
      <c r="CV403" s="1578"/>
      <c r="CW403" s="1578"/>
      <c r="CX403" s="1578"/>
      <c r="CY403" s="1578"/>
      <c r="CZ403" s="1578"/>
    </row>
    <row r="404" spans="1:104">
      <c r="A404" s="1466"/>
      <c r="B404" s="1576"/>
      <c r="C404" s="1576"/>
      <c r="D404" s="1576"/>
      <c r="E404" s="1578"/>
      <c r="F404" s="1578"/>
      <c r="G404" s="1578"/>
      <c r="H404" s="1578"/>
      <c r="I404" s="1578"/>
      <c r="J404" s="1578"/>
      <c r="K404" s="1578"/>
      <c r="L404" s="1578"/>
      <c r="M404" s="1578"/>
      <c r="N404" s="1578"/>
      <c r="O404" s="1578"/>
      <c r="P404" s="1578"/>
      <c r="Q404" s="1578"/>
      <c r="R404" s="1578"/>
      <c r="S404" s="1578"/>
      <c r="T404" s="1578"/>
      <c r="U404" s="1578"/>
      <c r="V404" s="1578"/>
      <c r="W404" s="1578"/>
      <c r="X404" s="1578"/>
      <c r="Y404" s="1578"/>
      <c r="Z404" s="1578"/>
      <c r="AA404" s="1578"/>
      <c r="AB404" s="1578"/>
      <c r="AC404" s="1578"/>
      <c r="AD404" s="1578"/>
      <c r="AE404" s="1578"/>
      <c r="AF404" s="1578"/>
      <c r="AG404" s="1578"/>
      <c r="AH404" s="1578"/>
      <c r="AI404" s="1578"/>
      <c r="AJ404" s="1578"/>
      <c r="AK404" s="1578"/>
      <c r="AL404" s="1578"/>
      <c r="AM404" s="1578"/>
      <c r="AN404" s="1578"/>
      <c r="AO404" s="1578"/>
      <c r="AP404" s="1578"/>
      <c r="AQ404" s="1578"/>
      <c r="AR404" s="1578"/>
      <c r="AS404" s="1578"/>
      <c r="AT404" s="1578"/>
      <c r="AU404" s="1578"/>
      <c r="AV404" s="1578"/>
      <c r="AW404" s="1578"/>
      <c r="AX404" s="1578"/>
      <c r="AY404" s="1578"/>
      <c r="AZ404" s="1578"/>
      <c r="BA404" s="1578"/>
      <c r="BB404" s="1578"/>
      <c r="BC404" s="1578"/>
      <c r="BD404" s="1578"/>
      <c r="BE404" s="1578"/>
      <c r="BF404" s="1578"/>
      <c r="BG404" s="1578"/>
      <c r="BH404" s="1578"/>
      <c r="BI404" s="1578"/>
      <c r="BJ404" s="1578"/>
      <c r="BK404" s="1578"/>
      <c r="BL404" s="1578"/>
      <c r="BM404" s="1578"/>
      <c r="BN404" s="1578"/>
      <c r="BO404" s="1578"/>
      <c r="BP404" s="1578"/>
      <c r="BQ404" s="1578"/>
      <c r="BR404" s="1578"/>
      <c r="BS404" s="1578"/>
      <c r="BT404" s="1578"/>
      <c r="BU404" s="1578"/>
      <c r="BV404" s="1578"/>
      <c r="BW404" s="1578"/>
      <c r="BX404" s="1578"/>
      <c r="BY404" s="1578"/>
      <c r="BZ404" s="1578"/>
      <c r="CA404" s="1578"/>
      <c r="CB404" s="1578"/>
      <c r="CC404" s="1578"/>
      <c r="CD404" s="1578"/>
      <c r="CE404" s="1578"/>
      <c r="CF404" s="1578"/>
      <c r="CG404" s="1578"/>
      <c r="CH404" s="1578"/>
      <c r="CI404" s="1578"/>
      <c r="CJ404" s="1578"/>
      <c r="CK404" s="1578"/>
      <c r="CL404" s="1578"/>
      <c r="CM404" s="1578"/>
      <c r="CN404" s="1578"/>
      <c r="CO404" s="1578"/>
      <c r="CP404" s="1578"/>
      <c r="CQ404" s="1578"/>
      <c r="CR404" s="1578"/>
      <c r="CS404" s="1578"/>
      <c r="CT404" s="1578"/>
      <c r="CU404" s="1578"/>
      <c r="CV404" s="1578"/>
      <c r="CW404" s="1578"/>
      <c r="CX404" s="1578"/>
      <c r="CY404" s="1578"/>
      <c r="CZ404" s="1578"/>
    </row>
    <row r="405" spans="1:104">
      <c r="A405" s="1466"/>
      <c r="B405" s="1576"/>
      <c r="C405" s="1576"/>
      <c r="D405" s="1576"/>
      <c r="E405" s="1578"/>
      <c r="F405" s="1578"/>
      <c r="G405" s="1578"/>
      <c r="H405" s="1578"/>
      <c r="I405" s="1578"/>
      <c r="J405" s="1578"/>
      <c r="K405" s="1578"/>
      <c r="L405" s="1578"/>
      <c r="M405" s="1578"/>
      <c r="N405" s="1578"/>
      <c r="O405" s="1578"/>
      <c r="P405" s="1578"/>
      <c r="Q405" s="1578"/>
      <c r="R405" s="1578"/>
      <c r="S405" s="1578"/>
      <c r="T405" s="1578"/>
      <c r="U405" s="1578"/>
      <c r="V405" s="1578"/>
      <c r="W405" s="1578"/>
      <c r="X405" s="1578"/>
      <c r="Y405" s="1578"/>
      <c r="Z405" s="1578"/>
      <c r="AA405" s="1578"/>
      <c r="AB405" s="1578"/>
      <c r="AC405" s="1578"/>
      <c r="AD405" s="1578"/>
      <c r="AE405" s="1578"/>
      <c r="AF405" s="1578"/>
      <c r="AG405" s="1578"/>
      <c r="AH405" s="1578"/>
      <c r="AI405" s="1578"/>
      <c r="AJ405" s="1578"/>
      <c r="AK405" s="1578"/>
      <c r="AL405" s="1578"/>
      <c r="AM405" s="1578"/>
      <c r="AN405" s="1578"/>
      <c r="AO405" s="1578"/>
      <c r="AP405" s="1578"/>
      <c r="AQ405" s="1578"/>
      <c r="AR405" s="1578"/>
      <c r="AS405" s="1578"/>
      <c r="AT405" s="1578"/>
      <c r="AU405" s="1578"/>
      <c r="AV405" s="1578"/>
      <c r="AW405" s="1578"/>
      <c r="AX405" s="1578"/>
      <c r="AY405" s="1578"/>
      <c r="AZ405" s="1578"/>
      <c r="BA405" s="1578"/>
      <c r="BB405" s="1578"/>
      <c r="BC405" s="1578"/>
      <c r="BD405" s="1578"/>
      <c r="BE405" s="1578"/>
      <c r="BF405" s="1578"/>
      <c r="BG405" s="1578"/>
      <c r="BH405" s="1578"/>
      <c r="BI405" s="1578"/>
      <c r="BJ405" s="1578"/>
      <c r="BK405" s="1578"/>
      <c r="BL405" s="1578"/>
      <c r="BM405" s="1578"/>
      <c r="BN405" s="1578"/>
      <c r="BO405" s="1578"/>
      <c r="BP405" s="1578"/>
      <c r="BQ405" s="1578"/>
      <c r="BR405" s="1578"/>
      <c r="BS405" s="1578"/>
      <c r="BT405" s="1578"/>
      <c r="BU405" s="1578"/>
      <c r="BV405" s="1578"/>
      <c r="BW405" s="1578"/>
      <c r="BX405" s="1578"/>
      <c r="BY405" s="1578"/>
      <c r="BZ405" s="1578"/>
      <c r="CA405" s="1578"/>
      <c r="CB405" s="1578"/>
      <c r="CC405" s="1578"/>
      <c r="CD405" s="1578"/>
      <c r="CE405" s="1578"/>
      <c r="CF405" s="1578"/>
      <c r="CG405" s="1578"/>
      <c r="CH405" s="1578"/>
      <c r="CI405" s="1578"/>
      <c r="CJ405" s="1578"/>
      <c r="CK405" s="1578"/>
      <c r="CL405" s="1578"/>
      <c r="CM405" s="1578"/>
      <c r="CN405" s="1578"/>
      <c r="CO405" s="1578"/>
      <c r="CP405" s="1578"/>
      <c r="CQ405" s="1578"/>
      <c r="CR405" s="1578"/>
      <c r="CS405" s="1578"/>
      <c r="CT405" s="1578"/>
      <c r="CU405" s="1578"/>
      <c r="CV405" s="1578"/>
      <c r="CW405" s="1578"/>
      <c r="CX405" s="1578"/>
      <c r="CY405" s="1578"/>
      <c r="CZ405" s="1578"/>
    </row>
    <row r="406" spans="1:104">
      <c r="A406" s="1466"/>
      <c r="B406" s="1576"/>
      <c r="C406" s="1576"/>
      <c r="D406" s="1576"/>
      <c r="E406" s="1578"/>
      <c r="F406" s="1578"/>
      <c r="G406" s="1578"/>
      <c r="H406" s="1578"/>
      <c r="I406" s="1578"/>
      <c r="J406" s="1578"/>
      <c r="K406" s="1578"/>
      <c r="L406" s="1578"/>
      <c r="M406" s="1578"/>
      <c r="N406" s="1578"/>
      <c r="O406" s="1578"/>
      <c r="P406" s="1578"/>
      <c r="Q406" s="1578"/>
      <c r="R406" s="1578"/>
      <c r="S406" s="1578"/>
      <c r="T406" s="1578"/>
      <c r="U406" s="1578"/>
      <c r="V406" s="1578"/>
      <c r="W406" s="1578"/>
      <c r="X406" s="1578"/>
      <c r="Y406" s="1578"/>
      <c r="Z406" s="1578"/>
      <c r="AA406" s="1578"/>
      <c r="AB406" s="1578"/>
      <c r="AC406" s="1578"/>
      <c r="AD406" s="1578"/>
      <c r="AE406" s="1578"/>
      <c r="AF406" s="1578"/>
      <c r="AG406" s="1578"/>
      <c r="AH406" s="1578"/>
      <c r="AI406" s="1578"/>
      <c r="AJ406" s="1578"/>
      <c r="AK406" s="1578"/>
      <c r="AL406" s="1578"/>
      <c r="AM406" s="1578"/>
      <c r="AN406" s="1578"/>
      <c r="AO406" s="1578"/>
      <c r="AP406" s="1578"/>
      <c r="AQ406" s="1578"/>
      <c r="AR406" s="1578"/>
      <c r="AS406" s="1578"/>
      <c r="AT406" s="1578"/>
      <c r="AU406" s="1578"/>
      <c r="AV406" s="1578"/>
      <c r="AW406" s="1578"/>
      <c r="AX406" s="1578"/>
      <c r="AY406" s="1578"/>
      <c r="AZ406" s="1578"/>
      <c r="BA406" s="1578"/>
      <c r="BB406" s="1578"/>
      <c r="BC406" s="1578"/>
      <c r="BD406" s="1578"/>
      <c r="BE406" s="1578"/>
      <c r="BF406" s="1578"/>
      <c r="BG406" s="1578"/>
      <c r="BH406" s="1578"/>
      <c r="BI406" s="1578"/>
      <c r="BJ406" s="1578"/>
      <c r="BK406" s="1578"/>
      <c r="BL406" s="1578"/>
      <c r="BM406" s="1578"/>
      <c r="BN406" s="1578"/>
      <c r="BO406" s="1578"/>
      <c r="BP406" s="1578"/>
      <c r="BQ406" s="1578"/>
      <c r="BR406" s="1578"/>
      <c r="BS406" s="1578"/>
      <c r="BT406" s="1578"/>
      <c r="BU406" s="1578"/>
      <c r="BV406" s="1578"/>
      <c r="BW406" s="1578"/>
      <c r="BX406" s="1578"/>
      <c r="BY406" s="1578"/>
      <c r="BZ406" s="1578"/>
      <c r="CA406" s="1578"/>
      <c r="CB406" s="1578"/>
      <c r="CC406" s="1578"/>
      <c r="CD406" s="1578"/>
      <c r="CE406" s="1578"/>
      <c r="CF406" s="1578"/>
      <c r="CG406" s="1578"/>
      <c r="CH406" s="1578"/>
      <c r="CI406" s="1578"/>
      <c r="CJ406" s="1578"/>
      <c r="CK406" s="1578"/>
      <c r="CL406" s="1578"/>
      <c r="CM406" s="1578"/>
      <c r="CN406" s="1578"/>
      <c r="CO406" s="1578"/>
      <c r="CP406" s="1578"/>
      <c r="CQ406" s="1578"/>
      <c r="CR406" s="1578"/>
      <c r="CS406" s="1578"/>
      <c r="CT406" s="1578"/>
      <c r="CU406" s="1578"/>
      <c r="CV406" s="1578"/>
      <c r="CW406" s="1578"/>
      <c r="CX406" s="1578"/>
      <c r="CY406" s="1578"/>
      <c r="CZ406" s="1578"/>
    </row>
    <row r="407" spans="1:104">
      <c r="A407" s="1466"/>
      <c r="B407" s="1576"/>
      <c r="C407" s="1576"/>
      <c r="D407" s="1576"/>
      <c r="E407" s="1578"/>
      <c r="F407" s="1578"/>
      <c r="G407" s="1578"/>
      <c r="H407" s="1578"/>
      <c r="I407" s="1578"/>
      <c r="J407" s="1578"/>
      <c r="K407" s="1578"/>
      <c r="L407" s="1578"/>
      <c r="M407" s="1578"/>
      <c r="N407" s="1578"/>
      <c r="O407" s="1578"/>
      <c r="P407" s="1578"/>
      <c r="Q407" s="1578"/>
      <c r="R407" s="1578"/>
      <c r="S407" s="1578"/>
      <c r="T407" s="1578"/>
      <c r="U407" s="1578"/>
      <c r="V407" s="1578"/>
      <c r="W407" s="1578"/>
      <c r="X407" s="1578"/>
      <c r="Y407" s="1578"/>
      <c r="Z407" s="1578"/>
      <c r="AA407" s="1578"/>
      <c r="AB407" s="1578"/>
      <c r="AC407" s="1578"/>
      <c r="AD407" s="1578"/>
      <c r="AE407" s="1578"/>
      <c r="AF407" s="1578"/>
      <c r="AG407" s="1578"/>
      <c r="AH407" s="1578"/>
      <c r="AI407" s="1578"/>
      <c r="AJ407" s="1578"/>
      <c r="AK407" s="1578"/>
      <c r="AL407" s="1578"/>
      <c r="AM407" s="1578"/>
      <c r="AN407" s="1578"/>
      <c r="AO407" s="1578"/>
      <c r="AP407" s="1578"/>
      <c r="AQ407" s="1578"/>
      <c r="AR407" s="1578"/>
      <c r="AS407" s="1578"/>
      <c r="AT407" s="1578"/>
      <c r="AU407" s="1578"/>
      <c r="AV407" s="1578"/>
      <c r="AW407" s="1578"/>
      <c r="AX407" s="1578"/>
      <c r="AY407" s="1578"/>
      <c r="AZ407" s="1578"/>
      <c r="BA407" s="1578"/>
      <c r="BB407" s="1578"/>
      <c r="BC407" s="1578"/>
      <c r="BD407" s="1578"/>
      <c r="BE407" s="1578"/>
      <c r="BF407" s="1578"/>
      <c r="BG407" s="1578"/>
      <c r="BH407" s="1578"/>
      <c r="BI407" s="1578"/>
      <c r="BJ407" s="1578"/>
      <c r="BK407" s="1578"/>
      <c r="BL407" s="1578"/>
      <c r="BM407" s="1578"/>
      <c r="BN407" s="1578"/>
      <c r="BO407" s="1578"/>
      <c r="BP407" s="1578"/>
      <c r="BQ407" s="1578"/>
      <c r="BR407" s="1578"/>
      <c r="BS407" s="1578"/>
      <c r="BT407" s="1578"/>
      <c r="BU407" s="1578"/>
      <c r="BV407" s="1578"/>
      <c r="BW407" s="1578"/>
      <c r="BX407" s="1578"/>
      <c r="BY407" s="1578"/>
      <c r="BZ407" s="1578"/>
      <c r="CA407" s="1578"/>
      <c r="CB407" s="1578"/>
      <c r="CC407" s="1578"/>
      <c r="CD407" s="1578"/>
      <c r="CE407" s="1578"/>
      <c r="CF407" s="1578"/>
      <c r="CG407" s="1578"/>
      <c r="CH407" s="1578"/>
      <c r="CI407" s="1578"/>
      <c r="CJ407" s="1578"/>
      <c r="CK407" s="1578"/>
      <c r="CL407" s="1578"/>
      <c r="CM407" s="1578"/>
      <c r="CN407" s="1578"/>
      <c r="CO407" s="1578"/>
      <c r="CP407" s="1578"/>
      <c r="CQ407" s="1578"/>
      <c r="CR407" s="1578"/>
      <c r="CS407" s="1578"/>
      <c r="CT407" s="1578"/>
      <c r="CU407" s="1578"/>
      <c r="CV407" s="1578"/>
      <c r="CW407" s="1578"/>
      <c r="CX407" s="1578"/>
      <c r="CY407" s="1578"/>
      <c r="CZ407" s="1578"/>
    </row>
    <row r="408" spans="1:104">
      <c r="A408" s="1466"/>
      <c r="B408" s="1576"/>
      <c r="C408" s="1576"/>
      <c r="D408" s="1576"/>
      <c r="E408" s="1578"/>
      <c r="F408" s="1578"/>
      <c r="G408" s="1578"/>
      <c r="H408" s="1578"/>
      <c r="I408" s="1578"/>
      <c r="J408" s="1578"/>
      <c r="K408" s="1578"/>
      <c r="L408" s="1578"/>
      <c r="M408" s="1578"/>
      <c r="N408" s="1578"/>
      <c r="O408" s="1578"/>
      <c r="P408" s="1578"/>
      <c r="Q408" s="1578"/>
      <c r="R408" s="1578"/>
      <c r="S408" s="1578"/>
      <c r="T408" s="1578"/>
      <c r="U408" s="1578"/>
      <c r="V408" s="1578"/>
      <c r="W408" s="1578"/>
      <c r="X408" s="1578"/>
      <c r="Y408" s="1578"/>
      <c r="Z408" s="1578"/>
      <c r="AA408" s="1578"/>
      <c r="AB408" s="1578"/>
      <c r="AC408" s="1578"/>
      <c r="AD408" s="1578"/>
      <c r="AE408" s="1578"/>
      <c r="AF408" s="1578"/>
      <c r="AG408" s="1578"/>
      <c r="AH408" s="1578"/>
      <c r="AI408" s="1578"/>
      <c r="AJ408" s="1578"/>
      <c r="AK408" s="1578"/>
      <c r="AL408" s="1578"/>
      <c r="AM408" s="1578"/>
      <c r="AN408" s="1578"/>
      <c r="AO408" s="1578"/>
      <c r="AP408" s="1578"/>
      <c r="AQ408" s="1578"/>
      <c r="AR408" s="1578"/>
      <c r="AS408" s="1578"/>
      <c r="AT408" s="1578"/>
      <c r="AU408" s="1578"/>
      <c r="AV408" s="1578"/>
      <c r="AW408" s="1578"/>
      <c r="AX408" s="1578"/>
      <c r="AY408" s="1578"/>
      <c r="AZ408" s="1578"/>
      <c r="BA408" s="1578"/>
      <c r="BB408" s="1578"/>
      <c r="BC408" s="1578"/>
      <c r="BD408" s="1578"/>
      <c r="BE408" s="1578"/>
      <c r="BF408" s="1578"/>
      <c r="BG408" s="1578"/>
      <c r="BH408" s="1578"/>
      <c r="BI408" s="1578"/>
      <c r="BJ408" s="1578"/>
      <c r="BK408" s="1578"/>
      <c r="BL408" s="1578"/>
      <c r="BM408" s="1578"/>
      <c r="BN408" s="1578"/>
      <c r="BO408" s="1578"/>
      <c r="BP408" s="1578"/>
      <c r="BQ408" s="1578"/>
      <c r="BR408" s="1578"/>
      <c r="BS408" s="1578"/>
      <c r="BT408" s="1578"/>
      <c r="BU408" s="1578"/>
      <c r="BV408" s="1578"/>
      <c r="BW408" s="1578"/>
      <c r="BX408" s="1578"/>
      <c r="BY408" s="1578"/>
      <c r="BZ408" s="1578"/>
      <c r="CA408" s="1578"/>
      <c r="CB408" s="1578"/>
      <c r="CC408" s="1578"/>
      <c r="CD408" s="1578"/>
      <c r="CE408" s="1578"/>
      <c r="CF408" s="1578"/>
      <c r="CG408" s="1578"/>
      <c r="CH408" s="1578"/>
      <c r="CI408" s="1578"/>
      <c r="CJ408" s="1578"/>
      <c r="CK408" s="1578"/>
      <c r="CL408" s="1578"/>
      <c r="CM408" s="1578"/>
      <c r="CN408" s="1578"/>
      <c r="CO408" s="1578"/>
      <c r="CP408" s="1578"/>
      <c r="CQ408" s="1578"/>
      <c r="CR408" s="1578"/>
      <c r="CS408" s="1578"/>
      <c r="CT408" s="1578"/>
      <c r="CU408" s="1578"/>
      <c r="CV408" s="1578"/>
      <c r="CW408" s="1578"/>
      <c r="CX408" s="1578"/>
      <c r="CY408" s="1578"/>
      <c r="CZ408" s="1578"/>
    </row>
    <row r="409" spans="1:104">
      <c r="A409" s="1466"/>
      <c r="B409" s="1576"/>
      <c r="C409" s="1576"/>
      <c r="D409" s="1576"/>
      <c r="E409" s="1578"/>
      <c r="F409" s="1578"/>
      <c r="G409" s="1578"/>
      <c r="H409" s="1578"/>
      <c r="I409" s="1578"/>
      <c r="J409" s="1578"/>
      <c r="K409" s="1578"/>
      <c r="L409" s="1578"/>
      <c r="M409" s="1578"/>
      <c r="N409" s="1578"/>
      <c r="O409" s="1578"/>
      <c r="P409" s="1578"/>
      <c r="Q409" s="1578"/>
      <c r="R409" s="1578"/>
      <c r="S409" s="1578"/>
      <c r="T409" s="1578"/>
      <c r="U409" s="1578"/>
      <c r="V409" s="1578"/>
      <c r="W409" s="1578"/>
      <c r="X409" s="1578"/>
      <c r="Y409" s="1578"/>
      <c r="Z409" s="1578"/>
      <c r="AA409" s="1578"/>
      <c r="AB409" s="1578"/>
      <c r="AC409" s="1578"/>
      <c r="AD409" s="1578"/>
      <c r="AE409" s="1578"/>
      <c r="AF409" s="1578"/>
      <c r="AG409" s="1578"/>
      <c r="AH409" s="1578"/>
      <c r="AI409" s="1578"/>
      <c r="AJ409" s="1578"/>
      <c r="AK409" s="1578"/>
      <c r="AL409" s="1578"/>
      <c r="AM409" s="1578"/>
      <c r="AN409" s="1578"/>
      <c r="AO409" s="1578"/>
      <c r="AP409" s="1578"/>
      <c r="AQ409" s="1578"/>
      <c r="AR409" s="1578"/>
      <c r="AS409" s="1578"/>
      <c r="AT409" s="1578"/>
      <c r="AU409" s="1578"/>
      <c r="AV409" s="1578"/>
      <c r="AW409" s="1578"/>
      <c r="AX409" s="1578"/>
      <c r="AY409" s="1578"/>
      <c r="AZ409" s="1578"/>
      <c r="BA409" s="1578"/>
      <c r="BB409" s="1578"/>
      <c r="BC409" s="1578"/>
      <c r="BD409" s="1578"/>
      <c r="BE409" s="1578"/>
      <c r="BF409" s="1578"/>
      <c r="BG409" s="1578"/>
      <c r="BH409" s="1578"/>
      <c r="BI409" s="1578"/>
      <c r="BJ409" s="1578"/>
      <c r="BK409" s="1578"/>
      <c r="BL409" s="1578"/>
      <c r="BM409" s="1578"/>
      <c r="BN409" s="1578"/>
      <c r="BO409" s="1578"/>
      <c r="BP409" s="1578"/>
      <c r="BQ409" s="1578"/>
      <c r="BR409" s="1578"/>
      <c r="BS409" s="1578"/>
      <c r="BT409" s="1578"/>
      <c r="BU409" s="1578"/>
      <c r="BV409" s="1578"/>
      <c r="BW409" s="1578"/>
      <c r="BX409" s="1578"/>
      <c r="BY409" s="1578"/>
      <c r="BZ409" s="1578"/>
      <c r="CA409" s="1578"/>
      <c r="CB409" s="1578"/>
      <c r="CC409" s="1578"/>
      <c r="CD409" s="1578"/>
      <c r="CE409" s="1578"/>
      <c r="CF409" s="1578"/>
      <c r="CG409" s="1578"/>
      <c r="CH409" s="1578"/>
      <c r="CI409" s="1578"/>
      <c r="CJ409" s="1578"/>
      <c r="CK409" s="1578"/>
      <c r="CL409" s="1578"/>
      <c r="CM409" s="1578"/>
      <c r="CN409" s="1578"/>
      <c r="CO409" s="1578"/>
      <c r="CP409" s="1578"/>
      <c r="CQ409" s="1578"/>
      <c r="CR409" s="1578"/>
      <c r="CS409" s="1578"/>
      <c r="CT409" s="1578"/>
      <c r="CU409" s="1578"/>
      <c r="CV409" s="1578"/>
      <c r="CW409" s="1578"/>
      <c r="CX409" s="1578"/>
      <c r="CY409" s="1578"/>
      <c r="CZ409" s="1578"/>
    </row>
    <row r="410" spans="1:104">
      <c r="A410" s="1466"/>
      <c r="B410" s="1576"/>
      <c r="C410" s="1576"/>
      <c r="D410" s="1576"/>
      <c r="E410" s="1578"/>
      <c r="F410" s="1578"/>
      <c r="G410" s="1578"/>
      <c r="H410" s="1578"/>
      <c r="I410" s="1578"/>
      <c r="J410" s="1578"/>
      <c r="K410" s="1578"/>
      <c r="L410" s="1578"/>
      <c r="M410" s="1578"/>
      <c r="N410" s="1578"/>
      <c r="O410" s="1578"/>
      <c r="P410" s="1578"/>
      <c r="Q410" s="1578"/>
      <c r="R410" s="1578"/>
      <c r="S410" s="1578"/>
      <c r="T410" s="1578"/>
      <c r="U410" s="1578"/>
      <c r="V410" s="1578"/>
      <c r="W410" s="1578"/>
      <c r="X410" s="1578"/>
      <c r="Y410" s="1578"/>
      <c r="Z410" s="1578"/>
      <c r="AA410" s="1578"/>
      <c r="AB410" s="1578"/>
      <c r="AC410" s="1578"/>
      <c r="AD410" s="1578"/>
      <c r="AE410" s="1578"/>
      <c r="AF410" s="1578"/>
      <c r="AG410" s="1578"/>
      <c r="AH410" s="1578"/>
      <c r="AI410" s="1578"/>
      <c r="AJ410" s="1578"/>
      <c r="AK410" s="1578"/>
      <c r="AL410" s="1578"/>
      <c r="AM410" s="1578"/>
      <c r="AN410" s="1578"/>
      <c r="AO410" s="1578"/>
      <c r="AP410" s="1578"/>
      <c r="AQ410" s="1578"/>
      <c r="AR410" s="1578"/>
      <c r="AS410" s="1578"/>
      <c r="AT410" s="1578"/>
      <c r="AU410" s="1578"/>
      <c r="AV410" s="1578"/>
      <c r="AW410" s="1578"/>
      <c r="AX410" s="1578"/>
      <c r="AY410" s="1578"/>
      <c r="AZ410" s="1578"/>
      <c r="BA410" s="1578"/>
      <c r="BB410" s="1578"/>
      <c r="BC410" s="1578"/>
      <c r="BD410" s="1578"/>
      <c r="BE410" s="1578"/>
      <c r="BF410" s="1578"/>
      <c r="BG410" s="1578"/>
      <c r="BH410" s="1578"/>
      <c r="BI410" s="1578"/>
      <c r="BJ410" s="1578"/>
      <c r="BK410" s="1578"/>
      <c r="BL410" s="1578"/>
      <c r="BM410" s="1578"/>
      <c r="BN410" s="1578"/>
      <c r="BO410" s="1578"/>
      <c r="BP410" s="1578"/>
      <c r="BQ410" s="1578"/>
      <c r="BR410" s="1578"/>
      <c r="BS410" s="1578"/>
      <c r="BT410" s="1578"/>
      <c r="BU410" s="1578"/>
      <c r="BV410" s="1578"/>
      <c r="BW410" s="1578"/>
      <c r="BX410" s="1578"/>
      <c r="BY410" s="1578"/>
      <c r="BZ410" s="1578"/>
      <c r="CA410" s="1578"/>
      <c r="CB410" s="1578"/>
      <c r="CC410" s="1578"/>
      <c r="CD410" s="1578"/>
      <c r="CE410" s="1578"/>
      <c r="CF410" s="1578"/>
      <c r="CG410" s="1578"/>
      <c r="CH410" s="1578"/>
      <c r="CI410" s="1578"/>
      <c r="CJ410" s="1578"/>
      <c r="CK410" s="1578"/>
      <c r="CL410" s="1578"/>
      <c r="CM410" s="1578"/>
      <c r="CN410" s="1578"/>
      <c r="CO410" s="1578"/>
      <c r="CP410" s="1578"/>
      <c r="CQ410" s="1578"/>
      <c r="CR410" s="1578"/>
      <c r="CS410" s="1578"/>
      <c r="CT410" s="1578"/>
      <c r="CU410" s="1578"/>
      <c r="CV410" s="1578"/>
      <c r="CW410" s="1578"/>
      <c r="CX410" s="1578"/>
      <c r="CY410" s="1578"/>
      <c r="CZ410" s="1578"/>
    </row>
    <row r="411" spans="1:104">
      <c r="A411" s="1466"/>
      <c r="B411" s="1576"/>
      <c r="C411" s="1576"/>
      <c r="D411" s="1576"/>
      <c r="E411" s="1578"/>
      <c r="F411" s="1578"/>
      <c r="G411" s="1578"/>
      <c r="H411" s="1578"/>
      <c r="I411" s="1578"/>
      <c r="J411" s="1578"/>
      <c r="K411" s="1578"/>
      <c r="L411" s="1578"/>
      <c r="M411" s="1578"/>
      <c r="N411" s="1578"/>
      <c r="O411" s="1578"/>
      <c r="P411" s="1578"/>
      <c r="Q411" s="1578"/>
      <c r="R411" s="1578"/>
      <c r="S411" s="1578"/>
      <c r="T411" s="1578"/>
      <c r="U411" s="1578"/>
      <c r="V411" s="1578"/>
      <c r="W411" s="1578"/>
      <c r="X411" s="1578"/>
      <c r="Y411" s="1578"/>
      <c r="Z411" s="1578"/>
      <c r="AA411" s="1578"/>
      <c r="AB411" s="1578"/>
      <c r="AC411" s="1578"/>
      <c r="AD411" s="1578"/>
      <c r="AE411" s="1578"/>
      <c r="AF411" s="1578"/>
      <c r="AG411" s="1578"/>
      <c r="AH411" s="1578"/>
      <c r="AI411" s="1578"/>
      <c r="AJ411" s="1578"/>
      <c r="AK411" s="1578"/>
      <c r="AL411" s="1578"/>
      <c r="AM411" s="1578"/>
      <c r="AN411" s="1578"/>
      <c r="AO411" s="1578"/>
      <c r="AP411" s="1578"/>
      <c r="AQ411" s="1578"/>
      <c r="AR411" s="1578"/>
      <c r="AS411" s="1578"/>
      <c r="AT411" s="1578"/>
      <c r="AU411" s="1578"/>
      <c r="AV411" s="1578"/>
      <c r="AW411" s="1578"/>
      <c r="AX411" s="1578"/>
      <c r="AY411" s="1578"/>
      <c r="AZ411" s="1578"/>
      <c r="BA411" s="1578"/>
      <c r="BB411" s="1578"/>
      <c r="BC411" s="1578"/>
      <c r="BD411" s="1578"/>
      <c r="BE411" s="1578"/>
      <c r="BF411" s="1578"/>
      <c r="BG411" s="1578"/>
      <c r="BH411" s="1578"/>
      <c r="BI411" s="1578"/>
      <c r="BJ411" s="1578"/>
      <c r="BK411" s="1578"/>
      <c r="BL411" s="1578"/>
      <c r="BM411" s="1578"/>
      <c r="BN411" s="1578"/>
      <c r="BO411" s="1578"/>
      <c r="BP411" s="1578"/>
      <c r="BQ411" s="1578"/>
      <c r="BR411" s="1578"/>
      <c r="BS411" s="1578"/>
      <c r="BT411" s="1578"/>
      <c r="BU411" s="1578"/>
      <c r="BV411" s="1578"/>
      <c r="BW411" s="1578"/>
      <c r="BX411" s="1578"/>
      <c r="BY411" s="1578"/>
      <c r="BZ411" s="1578"/>
      <c r="CA411" s="1578"/>
      <c r="CB411" s="1578"/>
      <c r="CC411" s="1578"/>
      <c r="CD411" s="1578"/>
      <c r="CE411" s="1578"/>
      <c r="CF411" s="1578"/>
      <c r="CG411" s="1578"/>
      <c r="CH411" s="1578"/>
      <c r="CI411" s="1578"/>
      <c r="CJ411" s="1578"/>
      <c r="CK411" s="1578"/>
      <c r="CL411" s="1578"/>
      <c r="CM411" s="1578"/>
      <c r="CN411" s="1578"/>
      <c r="CO411" s="1578"/>
      <c r="CP411" s="1578"/>
      <c r="CQ411" s="1578"/>
      <c r="CR411" s="1578"/>
      <c r="CS411" s="1578"/>
      <c r="CT411" s="1578"/>
      <c r="CU411" s="1578"/>
      <c r="CV411" s="1578"/>
      <c r="CW411" s="1578"/>
      <c r="CX411" s="1578"/>
      <c r="CY411" s="1578"/>
      <c r="CZ411" s="1578"/>
    </row>
    <row r="412" spans="1:104">
      <c r="A412" s="1466"/>
      <c r="B412" s="1576"/>
      <c r="C412" s="1576"/>
      <c r="D412" s="1576"/>
      <c r="E412" s="1578"/>
      <c r="F412" s="1578"/>
      <c r="G412" s="1578"/>
      <c r="H412" s="1578"/>
      <c r="I412" s="1578"/>
      <c r="J412" s="1578"/>
      <c r="K412" s="1578"/>
      <c r="L412" s="1578"/>
      <c r="M412" s="1578"/>
      <c r="N412" s="1578"/>
      <c r="O412" s="1578"/>
      <c r="P412" s="1578"/>
      <c r="Q412" s="1578"/>
      <c r="R412" s="1578"/>
      <c r="S412" s="1578"/>
      <c r="T412" s="1578"/>
      <c r="U412" s="1578"/>
      <c r="V412" s="1578"/>
      <c r="W412" s="1578"/>
      <c r="X412" s="1578"/>
      <c r="Y412" s="1578"/>
      <c r="Z412" s="1578"/>
      <c r="AA412" s="1578"/>
      <c r="AB412" s="1578"/>
      <c r="AC412" s="1578"/>
      <c r="AD412" s="1578"/>
      <c r="AE412" s="1578"/>
      <c r="AF412" s="1578"/>
      <c r="AG412" s="1578"/>
      <c r="AH412" s="1578"/>
      <c r="AI412" s="1578"/>
      <c r="AJ412" s="1578"/>
      <c r="AK412" s="1578"/>
      <c r="AL412" s="1578"/>
      <c r="AM412" s="1578"/>
      <c r="AN412" s="1578"/>
      <c r="AO412" s="1578"/>
      <c r="AP412" s="1578"/>
      <c r="AQ412" s="1578"/>
      <c r="AR412" s="1578"/>
      <c r="AS412" s="1578"/>
      <c r="AT412" s="1578"/>
      <c r="AU412" s="1578"/>
      <c r="AV412" s="1578"/>
      <c r="AW412" s="1578"/>
      <c r="AX412" s="1578"/>
      <c r="AY412" s="1578"/>
      <c r="AZ412" s="1578"/>
      <c r="BA412" s="1578"/>
      <c r="BB412" s="1578"/>
      <c r="BC412" s="1578"/>
      <c r="BD412" s="1578"/>
      <c r="BE412" s="1578"/>
      <c r="BF412" s="1578"/>
      <c r="BG412" s="1578"/>
      <c r="BH412" s="1578"/>
      <c r="BI412" s="1578"/>
      <c r="BJ412" s="1578"/>
      <c r="BK412" s="1578"/>
      <c r="BL412" s="1578"/>
      <c r="BM412" s="1578"/>
      <c r="BN412" s="1578"/>
      <c r="BO412" s="1578"/>
      <c r="BP412" s="1578"/>
      <c r="BQ412" s="1578"/>
      <c r="BR412" s="1578"/>
      <c r="BS412" s="1578"/>
      <c r="BT412" s="1578"/>
      <c r="BU412" s="1578"/>
      <c r="BV412" s="1578"/>
      <c r="BW412" s="1578"/>
      <c r="BX412" s="1578"/>
      <c r="BY412" s="1578"/>
      <c r="BZ412" s="1578"/>
      <c r="CA412" s="1578"/>
      <c r="CB412" s="1578"/>
      <c r="CC412" s="1578"/>
      <c r="CD412" s="1578"/>
      <c r="CE412" s="1578"/>
      <c r="CF412" s="1578"/>
      <c r="CG412" s="1578"/>
      <c r="CH412" s="1578"/>
      <c r="CI412" s="1578"/>
      <c r="CJ412" s="1578"/>
      <c r="CK412" s="1578"/>
      <c r="CL412" s="1578"/>
      <c r="CM412" s="1578"/>
      <c r="CN412" s="1578"/>
      <c r="CO412" s="1578"/>
      <c r="CP412" s="1578"/>
      <c r="CQ412" s="1578"/>
      <c r="CR412" s="1578"/>
      <c r="CS412" s="1578"/>
      <c r="CT412" s="1578"/>
      <c r="CU412" s="1578"/>
      <c r="CV412" s="1578"/>
      <c r="CW412" s="1578"/>
      <c r="CX412" s="1578"/>
      <c r="CY412" s="1578"/>
      <c r="CZ412" s="1578"/>
    </row>
    <row r="413" spans="1:104">
      <c r="A413" s="1466"/>
      <c r="B413" s="1576"/>
      <c r="C413" s="1576"/>
      <c r="D413" s="1576"/>
      <c r="E413" s="1578"/>
      <c r="F413" s="1578"/>
      <c r="G413" s="1578"/>
      <c r="H413" s="1578"/>
      <c r="I413" s="1578"/>
      <c r="J413" s="1578"/>
      <c r="K413" s="1578"/>
      <c r="L413" s="1578"/>
      <c r="M413" s="1578"/>
      <c r="N413" s="1578"/>
      <c r="O413" s="1578"/>
      <c r="P413" s="1578"/>
      <c r="Q413" s="1578"/>
      <c r="R413" s="1578"/>
      <c r="S413" s="1578"/>
      <c r="T413" s="1578"/>
      <c r="U413" s="1578"/>
      <c r="V413" s="1578"/>
      <c r="W413" s="1578"/>
      <c r="X413" s="1578"/>
      <c r="Y413" s="1578"/>
      <c r="Z413" s="1578"/>
      <c r="AA413" s="1578"/>
      <c r="AB413" s="1578"/>
      <c r="AC413" s="1578"/>
      <c r="AD413" s="1578"/>
      <c r="AE413" s="1578"/>
      <c r="AF413" s="1578"/>
      <c r="AG413" s="1578"/>
      <c r="AH413" s="1578"/>
      <c r="AI413" s="1578"/>
      <c r="AJ413" s="1578"/>
      <c r="AK413" s="1578"/>
      <c r="AL413" s="1578"/>
      <c r="AM413" s="1578"/>
      <c r="AN413" s="1578"/>
      <c r="AO413" s="1578"/>
      <c r="AP413" s="1578"/>
      <c r="AQ413" s="1578"/>
      <c r="AR413" s="1578"/>
      <c r="AS413" s="1578"/>
      <c r="AT413" s="1578"/>
      <c r="AU413" s="1578"/>
      <c r="AV413" s="1578"/>
      <c r="AW413" s="1578"/>
      <c r="AX413" s="1578"/>
      <c r="AY413" s="1578"/>
      <c r="AZ413" s="1578"/>
      <c r="BA413" s="1578"/>
      <c r="BB413" s="1578"/>
      <c r="BC413" s="1578"/>
      <c r="BD413" s="1578"/>
      <c r="BE413" s="1578"/>
      <c r="BF413" s="1578"/>
      <c r="BG413" s="1578"/>
      <c r="BH413" s="1578"/>
      <c r="BI413" s="1578"/>
      <c r="BJ413" s="1578"/>
      <c r="BK413" s="1578"/>
      <c r="BL413" s="1578"/>
      <c r="BM413" s="1578"/>
      <c r="BN413" s="1578"/>
      <c r="BO413" s="1578"/>
      <c r="BP413" s="1578"/>
      <c r="BQ413" s="1578"/>
      <c r="BR413" s="1578"/>
      <c r="BS413" s="1578"/>
      <c r="BT413" s="1578"/>
      <c r="BU413" s="1578"/>
      <c r="BV413" s="1578"/>
      <c r="BW413" s="1578"/>
      <c r="BX413" s="1578"/>
      <c r="BY413" s="1578"/>
      <c r="BZ413" s="1578"/>
      <c r="CA413" s="1578"/>
      <c r="CB413" s="1578"/>
      <c r="CC413" s="1578"/>
      <c r="CD413" s="1578"/>
      <c r="CE413" s="1578"/>
      <c r="CF413" s="1578"/>
      <c r="CG413" s="1578"/>
      <c r="CH413" s="1578"/>
      <c r="CI413" s="1578"/>
      <c r="CJ413" s="1578"/>
      <c r="CK413" s="1578"/>
      <c r="CL413" s="1578"/>
      <c r="CM413" s="1578"/>
      <c r="CN413" s="1578"/>
      <c r="CO413" s="1578"/>
      <c r="CP413" s="1578"/>
      <c r="CQ413" s="1578"/>
      <c r="CR413" s="1578"/>
      <c r="CS413" s="1578"/>
      <c r="CT413" s="1578"/>
      <c r="CU413" s="1578"/>
      <c r="CV413" s="1578"/>
      <c r="CW413" s="1578"/>
      <c r="CX413" s="1578"/>
      <c r="CY413" s="1578"/>
      <c r="CZ413" s="1578"/>
    </row>
    <row r="414" spans="1:104">
      <c r="A414" s="1466"/>
      <c r="B414" s="1576"/>
      <c r="C414" s="1576"/>
      <c r="D414" s="1576"/>
      <c r="E414" s="1578"/>
      <c r="F414" s="1578"/>
      <c r="G414" s="1578"/>
      <c r="H414" s="1578"/>
      <c r="I414" s="1578"/>
      <c r="J414" s="1578"/>
      <c r="K414" s="1578"/>
      <c r="L414" s="1578"/>
      <c r="M414" s="1578"/>
      <c r="N414" s="1578"/>
      <c r="O414" s="1578"/>
      <c r="P414" s="1578"/>
      <c r="Q414" s="1578"/>
      <c r="R414" s="1578"/>
      <c r="S414" s="1578"/>
      <c r="T414" s="1578"/>
      <c r="U414" s="1578"/>
      <c r="V414" s="1578"/>
      <c r="W414" s="1578"/>
      <c r="X414" s="1578"/>
      <c r="Y414" s="1578"/>
      <c r="Z414" s="1578"/>
      <c r="AA414" s="1578"/>
      <c r="AB414" s="1578"/>
      <c r="AC414" s="1578"/>
      <c r="AD414" s="1578"/>
      <c r="AE414" s="1578"/>
      <c r="AF414" s="1578"/>
      <c r="AG414" s="1578"/>
      <c r="AH414" s="1578"/>
      <c r="AI414" s="1578"/>
      <c r="AJ414" s="1578"/>
      <c r="AK414" s="1578"/>
      <c r="AL414" s="1578"/>
      <c r="AM414" s="1578"/>
      <c r="AN414" s="1578"/>
      <c r="AO414" s="1578"/>
      <c r="AP414" s="1578"/>
      <c r="AQ414" s="1578"/>
      <c r="AR414" s="1578"/>
      <c r="AS414" s="1578"/>
      <c r="AT414" s="1578"/>
      <c r="AU414" s="1578"/>
      <c r="AV414" s="1578"/>
      <c r="AW414" s="1578"/>
      <c r="AX414" s="1578"/>
      <c r="AY414" s="1578"/>
      <c r="AZ414" s="1578"/>
      <c r="BA414" s="1578"/>
      <c r="BB414" s="1578"/>
      <c r="BC414" s="1578"/>
      <c r="BD414" s="1578"/>
      <c r="BE414" s="1578"/>
      <c r="BF414" s="1578"/>
      <c r="BG414" s="1578"/>
      <c r="BH414" s="1578"/>
      <c r="BI414" s="1578"/>
      <c r="BJ414" s="1578"/>
      <c r="BK414" s="1578"/>
      <c r="BL414" s="1578"/>
      <c r="BM414" s="1578"/>
      <c r="BN414" s="1578"/>
      <c r="BO414" s="1578"/>
      <c r="BP414" s="1578"/>
      <c r="BQ414" s="1578"/>
      <c r="BR414" s="1578"/>
      <c r="BS414" s="1578"/>
      <c r="BT414" s="1578"/>
      <c r="BU414" s="1578"/>
      <c r="BV414" s="1578"/>
      <c r="BW414" s="1578"/>
      <c r="BX414" s="1578"/>
      <c r="BY414" s="1578"/>
      <c r="BZ414" s="1578"/>
      <c r="CA414" s="1578"/>
      <c r="CB414" s="1578"/>
      <c r="CC414" s="1578"/>
      <c r="CD414" s="1578"/>
      <c r="CE414" s="1578"/>
      <c r="CF414" s="1578"/>
      <c r="CG414" s="1578"/>
      <c r="CH414" s="1578"/>
      <c r="CI414" s="1578"/>
      <c r="CJ414" s="1578"/>
      <c r="CK414" s="1578"/>
      <c r="CL414" s="1578"/>
      <c r="CM414" s="1578"/>
      <c r="CN414" s="1578"/>
      <c r="CO414" s="1578"/>
      <c r="CP414" s="1578"/>
      <c r="CQ414" s="1578"/>
      <c r="CR414" s="1578"/>
      <c r="CS414" s="1578"/>
      <c r="CT414" s="1578"/>
      <c r="CU414" s="1578"/>
      <c r="CV414" s="1578"/>
      <c r="CW414" s="1578"/>
      <c r="CX414" s="1578"/>
      <c r="CY414" s="1578"/>
      <c r="CZ414" s="1578"/>
    </row>
    <row r="415" spans="1:104">
      <c r="A415" s="1466"/>
      <c r="B415" s="1576"/>
      <c r="C415" s="1576"/>
      <c r="D415" s="1576"/>
      <c r="E415" s="1578"/>
      <c r="F415" s="1578"/>
      <c r="G415" s="1578"/>
      <c r="H415" s="1578"/>
      <c r="I415" s="1578"/>
      <c r="J415" s="1578"/>
      <c r="K415" s="1578"/>
      <c r="L415" s="1578"/>
      <c r="M415" s="1578"/>
      <c r="N415" s="1578"/>
      <c r="O415" s="1578"/>
      <c r="P415" s="1578"/>
      <c r="Q415" s="1578"/>
      <c r="R415" s="1578"/>
      <c r="S415" s="1578"/>
      <c r="T415" s="1578"/>
      <c r="U415" s="1578"/>
      <c r="V415" s="1578"/>
      <c r="W415" s="1578"/>
      <c r="X415" s="1578"/>
      <c r="Y415" s="1578"/>
      <c r="Z415" s="1578"/>
      <c r="AA415" s="1578"/>
      <c r="AB415" s="1578"/>
      <c r="AC415" s="1578"/>
      <c r="AD415" s="1578"/>
      <c r="AE415" s="1578"/>
      <c r="AF415" s="1578"/>
      <c r="AG415" s="1578"/>
      <c r="AH415" s="1578"/>
      <c r="AI415" s="1578"/>
      <c r="AJ415" s="1578"/>
      <c r="AK415" s="1578"/>
      <c r="AL415" s="1578"/>
      <c r="AM415" s="1578"/>
      <c r="AN415" s="1578"/>
      <c r="AO415" s="1578"/>
      <c r="AP415" s="1578"/>
      <c r="AQ415" s="1578"/>
      <c r="AR415" s="1578"/>
      <c r="AS415" s="1578"/>
      <c r="AT415" s="1578"/>
      <c r="AU415" s="1578"/>
      <c r="AV415" s="1578"/>
      <c r="AW415" s="1578"/>
      <c r="AX415" s="1578"/>
      <c r="AY415" s="1578"/>
      <c r="AZ415" s="1578"/>
      <c r="BA415" s="1578"/>
      <c r="BB415" s="1578"/>
      <c r="BC415" s="1578"/>
      <c r="BD415" s="1578"/>
      <c r="BE415" s="1578"/>
      <c r="BF415" s="1578"/>
      <c r="BG415" s="1578"/>
      <c r="BH415" s="1578"/>
      <c r="BI415" s="1578"/>
      <c r="BJ415" s="1578"/>
      <c r="BK415" s="1578"/>
      <c r="BL415" s="1578"/>
      <c r="BM415" s="1578"/>
      <c r="BN415" s="1578"/>
      <c r="BO415" s="1578"/>
      <c r="BP415" s="1578"/>
      <c r="BQ415" s="1578"/>
      <c r="BR415" s="1578"/>
      <c r="BS415" s="1578"/>
      <c r="BT415" s="1578"/>
      <c r="BU415" s="1578"/>
      <c r="BV415" s="1578"/>
      <c r="BW415" s="1578"/>
      <c r="BX415" s="1578"/>
      <c r="BY415" s="1578"/>
      <c r="BZ415" s="1578"/>
      <c r="CA415" s="1578"/>
      <c r="CB415" s="1578"/>
      <c r="CC415" s="1578"/>
      <c r="CD415" s="1578"/>
      <c r="CE415" s="1578"/>
      <c r="CF415" s="1578"/>
      <c r="CG415" s="1578"/>
      <c r="CH415" s="1578"/>
      <c r="CI415" s="1578"/>
      <c r="CJ415" s="1578"/>
      <c r="CK415" s="1578"/>
      <c r="CL415" s="1578"/>
      <c r="CM415" s="1578"/>
      <c r="CN415" s="1578"/>
      <c r="CO415" s="1578"/>
      <c r="CP415" s="1578"/>
      <c r="CQ415" s="1578"/>
      <c r="CR415" s="1578"/>
      <c r="CS415" s="1578"/>
      <c r="CT415" s="1578"/>
      <c r="CU415" s="1578"/>
      <c r="CV415" s="1578"/>
      <c r="CW415" s="1578"/>
      <c r="CX415" s="1578"/>
      <c r="CY415" s="1578"/>
      <c r="CZ415" s="1578"/>
    </row>
    <row r="416" spans="1:104">
      <c r="A416" s="1466"/>
      <c r="B416" s="1576"/>
      <c r="C416" s="1576"/>
      <c r="D416" s="1576"/>
      <c r="E416" s="1578"/>
      <c r="F416" s="1578"/>
      <c r="G416" s="1578"/>
      <c r="H416" s="1578"/>
      <c r="I416" s="1578"/>
      <c r="J416" s="1578"/>
      <c r="K416" s="1578"/>
      <c r="L416" s="1578"/>
      <c r="M416" s="1578"/>
      <c r="N416" s="1578"/>
      <c r="O416" s="1578"/>
      <c r="P416" s="1578"/>
      <c r="Q416" s="1578"/>
      <c r="R416" s="1578"/>
      <c r="S416" s="1578"/>
      <c r="T416" s="1578"/>
      <c r="U416" s="1578"/>
      <c r="V416" s="1578"/>
      <c r="W416" s="1578"/>
      <c r="X416" s="1578"/>
      <c r="Y416" s="1578"/>
      <c r="Z416" s="1578"/>
      <c r="AA416" s="1578"/>
      <c r="AB416" s="1578"/>
      <c r="AC416" s="1578"/>
      <c r="AD416" s="1578"/>
      <c r="AE416" s="1578"/>
      <c r="AF416" s="1578"/>
      <c r="AG416" s="1578"/>
      <c r="AH416" s="1578"/>
      <c r="AI416" s="1578"/>
      <c r="AJ416" s="1578"/>
      <c r="AK416" s="1578"/>
      <c r="AL416" s="1578"/>
      <c r="AM416" s="1578"/>
      <c r="AN416" s="1578"/>
      <c r="AO416" s="1578"/>
      <c r="AP416" s="1578"/>
      <c r="AQ416" s="1578"/>
      <c r="AR416" s="1578"/>
      <c r="AS416" s="1578"/>
      <c r="AT416" s="1578"/>
      <c r="AU416" s="1578"/>
      <c r="AV416" s="1578"/>
      <c r="AW416" s="1578"/>
      <c r="AX416" s="1578"/>
      <c r="AY416" s="1578"/>
      <c r="AZ416" s="1578"/>
      <c r="BA416" s="1578"/>
      <c r="BB416" s="1578"/>
      <c r="BC416" s="1578"/>
      <c r="BD416" s="1578"/>
      <c r="BE416" s="1578"/>
      <c r="BF416" s="1578"/>
      <c r="BG416" s="1578"/>
      <c r="BH416" s="1578"/>
      <c r="BI416" s="1578"/>
      <c r="BJ416" s="1578"/>
      <c r="BK416" s="1578"/>
      <c r="BL416" s="1578"/>
      <c r="BM416" s="1578"/>
      <c r="BN416" s="1578"/>
      <c r="BO416" s="1578"/>
      <c r="BP416" s="1578"/>
      <c r="BQ416" s="1578"/>
      <c r="BR416" s="1578"/>
      <c r="BS416" s="1578"/>
      <c r="BT416" s="1578"/>
      <c r="BU416" s="1578"/>
      <c r="BV416" s="1578"/>
      <c r="BW416" s="1578"/>
      <c r="BX416" s="1578"/>
      <c r="BY416" s="1578"/>
      <c r="BZ416" s="1578"/>
      <c r="CA416" s="1578"/>
      <c r="CB416" s="1578"/>
      <c r="CC416" s="1578"/>
      <c r="CD416" s="1578"/>
      <c r="CE416" s="1578"/>
      <c r="CF416" s="1578"/>
      <c r="CG416" s="1578"/>
      <c r="CH416" s="1578"/>
      <c r="CI416" s="1578"/>
      <c r="CJ416" s="1578"/>
      <c r="CK416" s="1578"/>
      <c r="CL416" s="1578"/>
      <c r="CM416" s="1578"/>
      <c r="CN416" s="1578"/>
      <c r="CO416" s="1578"/>
      <c r="CP416" s="1578"/>
      <c r="CQ416" s="1578"/>
      <c r="CR416" s="1578"/>
      <c r="CS416" s="1578"/>
      <c r="CT416" s="1578"/>
      <c r="CU416" s="1578"/>
      <c r="CV416" s="1578"/>
      <c r="CW416" s="1578"/>
      <c r="CX416" s="1578"/>
      <c r="CY416" s="1578"/>
      <c r="CZ416" s="1578"/>
    </row>
    <row r="417" spans="1:407">
      <c r="A417" s="1466"/>
      <c r="B417" s="1576"/>
      <c r="C417" s="1576"/>
      <c r="D417" s="1576"/>
      <c r="E417" s="1578"/>
      <c r="F417" s="1578"/>
      <c r="G417" s="1578"/>
      <c r="H417" s="1578"/>
      <c r="I417" s="1578"/>
      <c r="J417" s="1578"/>
      <c r="K417" s="1578"/>
      <c r="L417" s="1578"/>
      <c r="M417" s="1578"/>
      <c r="N417" s="1578"/>
      <c r="O417" s="1578"/>
      <c r="P417" s="1578"/>
      <c r="Q417" s="1578"/>
      <c r="R417" s="1578"/>
      <c r="S417" s="1578"/>
      <c r="T417" s="1578"/>
      <c r="U417" s="1578"/>
      <c r="V417" s="1578"/>
      <c r="W417" s="1578"/>
      <c r="X417" s="1578"/>
      <c r="Y417" s="1578"/>
      <c r="Z417" s="1578"/>
      <c r="AA417" s="1578"/>
      <c r="AB417" s="1578"/>
      <c r="AC417" s="1578"/>
      <c r="AD417" s="1578"/>
      <c r="AE417" s="1578"/>
      <c r="AF417" s="1578"/>
      <c r="AG417" s="1578"/>
      <c r="AH417" s="1578"/>
      <c r="AI417" s="1578"/>
      <c r="AJ417" s="1578"/>
      <c r="AK417" s="1578"/>
      <c r="AL417" s="1578"/>
      <c r="AM417" s="1578"/>
      <c r="AN417" s="1578"/>
      <c r="AO417" s="1578"/>
      <c r="AP417" s="1578"/>
      <c r="AQ417" s="1578"/>
      <c r="AR417" s="1578"/>
      <c r="AS417" s="1578"/>
      <c r="AT417" s="1578"/>
      <c r="AU417" s="1578"/>
      <c r="AV417" s="1578"/>
      <c r="AW417" s="1578"/>
      <c r="AX417" s="1578"/>
      <c r="AY417" s="1578"/>
      <c r="AZ417" s="1578"/>
      <c r="BA417" s="1578"/>
      <c r="BB417" s="1578"/>
      <c r="BC417" s="1578"/>
      <c r="BD417" s="1578"/>
      <c r="BE417" s="1578"/>
      <c r="BF417" s="1578"/>
      <c r="BG417" s="1578"/>
      <c r="BH417" s="1578"/>
      <c r="BI417" s="1578"/>
      <c r="BJ417" s="1578"/>
      <c r="BK417" s="1578"/>
      <c r="BL417" s="1578"/>
      <c r="BM417" s="1578"/>
      <c r="BN417" s="1578"/>
      <c r="BO417" s="1578"/>
      <c r="BP417" s="1578"/>
      <c r="BQ417" s="1578"/>
      <c r="BR417" s="1578"/>
      <c r="BS417" s="1578"/>
      <c r="BT417" s="1578"/>
      <c r="BU417" s="1578"/>
      <c r="BV417" s="1578"/>
      <c r="BW417" s="1578"/>
      <c r="BX417" s="1578"/>
      <c r="BY417" s="1578"/>
      <c r="BZ417" s="1578"/>
      <c r="CA417" s="1578"/>
      <c r="CB417" s="1578"/>
      <c r="CC417" s="1578"/>
      <c r="CD417" s="1578"/>
      <c r="CE417" s="1578"/>
      <c r="CF417" s="1578"/>
      <c r="CG417" s="1578"/>
      <c r="CH417" s="1578"/>
      <c r="CI417" s="1578"/>
      <c r="CJ417" s="1578"/>
      <c r="CK417" s="1578"/>
      <c r="CL417" s="1578"/>
      <c r="CM417" s="1578"/>
      <c r="CN417" s="1578"/>
      <c r="CO417" s="1578"/>
      <c r="CP417" s="1578"/>
      <c r="CQ417" s="1578"/>
      <c r="CR417" s="1578"/>
      <c r="CS417" s="1578"/>
      <c r="CT417" s="1578"/>
      <c r="CU417" s="1578"/>
      <c r="CV417" s="1578"/>
      <c r="CW417" s="1578"/>
      <c r="CX417" s="1578"/>
      <c r="CY417" s="1578"/>
      <c r="CZ417" s="1578"/>
    </row>
    <row r="418" spans="1:407">
      <c r="A418" s="1466"/>
      <c r="B418" s="1576"/>
      <c r="C418" s="1576"/>
      <c r="D418" s="1576"/>
      <c r="E418" s="1578"/>
      <c r="F418" s="1578"/>
      <c r="G418" s="1578"/>
      <c r="H418" s="1578"/>
      <c r="I418" s="1578"/>
      <c r="J418" s="1578"/>
      <c r="K418" s="1578"/>
      <c r="L418" s="1578"/>
      <c r="M418" s="1578"/>
      <c r="N418" s="1578"/>
      <c r="O418" s="1578"/>
      <c r="P418" s="1578"/>
      <c r="Q418" s="1578"/>
      <c r="R418" s="1578"/>
      <c r="S418" s="1578"/>
      <c r="T418" s="1578"/>
      <c r="U418" s="1578"/>
      <c r="V418" s="1578"/>
      <c r="W418" s="1578"/>
      <c r="X418" s="1578"/>
      <c r="Y418" s="1578"/>
      <c r="Z418" s="1578"/>
      <c r="AA418" s="1578"/>
      <c r="AB418" s="1578"/>
      <c r="AC418" s="1578"/>
      <c r="AD418" s="1578"/>
      <c r="AE418" s="1578"/>
      <c r="AF418" s="1578"/>
      <c r="AG418" s="1578"/>
      <c r="AH418" s="1578"/>
      <c r="AI418" s="1578"/>
      <c r="AJ418" s="1578"/>
      <c r="AK418" s="1578"/>
      <c r="AL418" s="1578"/>
      <c r="AM418" s="1578"/>
      <c r="AN418" s="1578"/>
      <c r="AO418" s="1578"/>
      <c r="AP418" s="1578"/>
      <c r="AQ418" s="1578"/>
      <c r="AR418" s="1578"/>
      <c r="AS418" s="1578"/>
      <c r="AT418" s="1578"/>
      <c r="AU418" s="1578"/>
      <c r="AV418" s="1578"/>
      <c r="AW418" s="1578"/>
      <c r="AX418" s="1578"/>
      <c r="AY418" s="1578"/>
      <c r="AZ418" s="1578"/>
      <c r="BA418" s="1578"/>
      <c r="BB418" s="1578"/>
      <c r="BC418" s="1578"/>
      <c r="BD418" s="1578"/>
      <c r="BE418" s="1578"/>
      <c r="BF418" s="1578"/>
      <c r="BG418" s="1578"/>
      <c r="BH418" s="1578"/>
      <c r="BI418" s="1578"/>
      <c r="BJ418" s="1578"/>
      <c r="BK418" s="1578"/>
      <c r="BL418" s="1578"/>
      <c r="BM418" s="1578"/>
      <c r="BN418" s="1578"/>
      <c r="BO418" s="1578"/>
      <c r="BP418" s="1578"/>
      <c r="BQ418" s="1578"/>
      <c r="BR418" s="1578"/>
      <c r="BS418" s="1578"/>
      <c r="BT418" s="1578"/>
      <c r="BU418" s="1578"/>
      <c r="BV418" s="1578"/>
      <c r="BW418" s="1578"/>
      <c r="BX418" s="1578"/>
      <c r="BY418" s="1578"/>
      <c r="BZ418" s="1578"/>
      <c r="CA418" s="1578"/>
      <c r="CB418" s="1578"/>
      <c r="CC418" s="1578"/>
      <c r="CD418" s="1578"/>
      <c r="CE418" s="1578"/>
      <c r="CF418" s="1578"/>
      <c r="CG418" s="1578"/>
      <c r="CH418" s="1578"/>
      <c r="CI418" s="1578"/>
      <c r="CJ418" s="1578"/>
      <c r="CK418" s="1578"/>
      <c r="CL418" s="1578"/>
      <c r="CM418" s="1578"/>
      <c r="CN418" s="1578"/>
      <c r="CO418" s="1578"/>
      <c r="CP418" s="1578"/>
      <c r="CQ418" s="1578"/>
      <c r="CR418" s="1578"/>
      <c r="CS418" s="1578"/>
      <c r="CT418" s="1578"/>
      <c r="CU418" s="1578"/>
      <c r="CV418" s="1578"/>
      <c r="CW418" s="1578"/>
      <c r="CX418" s="1578"/>
      <c r="CY418" s="1578"/>
      <c r="CZ418" s="1578"/>
    </row>
    <row r="419" spans="1:407">
      <c r="A419" s="1466"/>
      <c r="B419" s="1576"/>
      <c r="C419" s="1576"/>
      <c r="D419" s="1576"/>
      <c r="E419" s="1578"/>
      <c r="F419" s="1578"/>
      <c r="G419" s="1578"/>
      <c r="H419" s="1578"/>
      <c r="I419" s="1578"/>
      <c r="J419" s="1578"/>
      <c r="K419" s="1578"/>
      <c r="L419" s="1578"/>
      <c r="M419" s="1578"/>
      <c r="N419" s="1578"/>
      <c r="O419" s="1578"/>
      <c r="P419" s="1578"/>
      <c r="Q419" s="1578"/>
      <c r="R419" s="1578"/>
      <c r="S419" s="1578"/>
      <c r="T419" s="1578"/>
      <c r="U419" s="1578"/>
      <c r="V419" s="1578"/>
      <c r="W419" s="1578"/>
      <c r="X419" s="1578"/>
      <c r="Y419" s="1578"/>
      <c r="Z419" s="1578"/>
      <c r="AA419" s="1578"/>
      <c r="AB419" s="1578"/>
      <c r="AC419" s="1578"/>
      <c r="AD419" s="1578"/>
      <c r="AE419" s="1578"/>
      <c r="AF419" s="1578"/>
      <c r="AG419" s="1578"/>
      <c r="AH419" s="1578"/>
      <c r="AI419" s="1578"/>
      <c r="AJ419" s="1578"/>
      <c r="AK419" s="1578"/>
      <c r="AL419" s="1578"/>
      <c r="AM419" s="1578"/>
      <c r="AN419" s="1578"/>
      <c r="AO419" s="1578"/>
      <c r="AP419" s="1578"/>
      <c r="AQ419" s="1578"/>
      <c r="AR419" s="1578"/>
      <c r="AS419" s="1578"/>
      <c r="AT419" s="1578"/>
      <c r="AU419" s="1578"/>
      <c r="AV419" s="1578"/>
      <c r="AW419" s="1578"/>
      <c r="AX419" s="1578"/>
      <c r="AY419" s="1578"/>
      <c r="AZ419" s="1578"/>
      <c r="BA419" s="1578"/>
      <c r="BB419" s="1578"/>
      <c r="BC419" s="1578"/>
      <c r="BD419" s="1578"/>
      <c r="BE419" s="1578"/>
      <c r="BF419" s="1578"/>
      <c r="BG419" s="1578"/>
      <c r="BH419" s="1578"/>
      <c r="BI419" s="1578"/>
      <c r="BJ419" s="1578"/>
      <c r="BK419" s="1578"/>
      <c r="BL419" s="1578"/>
      <c r="BM419" s="1578"/>
      <c r="BN419" s="1578"/>
      <c r="BO419" s="1578"/>
      <c r="BP419" s="1578"/>
      <c r="BQ419" s="1578"/>
      <c r="BR419" s="1578"/>
      <c r="BS419" s="1578"/>
      <c r="BT419" s="1578"/>
      <c r="BU419" s="1578"/>
      <c r="BV419" s="1578"/>
      <c r="BW419" s="1578"/>
      <c r="BX419" s="1578"/>
      <c r="BY419" s="1578"/>
      <c r="BZ419" s="1578"/>
      <c r="CA419" s="1578"/>
      <c r="CB419" s="1578"/>
      <c r="CC419" s="1578"/>
      <c r="CD419" s="1578"/>
      <c r="CE419" s="1578"/>
      <c r="CF419" s="1578"/>
      <c r="CG419" s="1578"/>
      <c r="CH419" s="1578"/>
      <c r="CI419" s="1578"/>
      <c r="CJ419" s="1578"/>
      <c r="CK419" s="1578"/>
      <c r="CL419" s="1578"/>
      <c r="CM419" s="1578"/>
      <c r="CN419" s="1578"/>
      <c r="CO419" s="1578"/>
      <c r="CP419" s="1578"/>
      <c r="CQ419" s="1578"/>
      <c r="CR419" s="1578"/>
      <c r="CS419" s="1578"/>
      <c r="CT419" s="1578"/>
      <c r="CU419" s="1578"/>
      <c r="CV419" s="1578"/>
      <c r="CW419" s="1578"/>
      <c r="CX419" s="1578"/>
      <c r="CY419" s="1578"/>
      <c r="CZ419" s="1578"/>
    </row>
    <row r="420" spans="1:407">
      <c r="A420" s="1466"/>
      <c r="B420" s="1576"/>
      <c r="C420" s="1576"/>
      <c r="D420" s="1576"/>
      <c r="E420" s="1578"/>
      <c r="F420" s="1578"/>
      <c r="G420" s="1578"/>
      <c r="H420" s="1578"/>
      <c r="I420" s="1578"/>
      <c r="J420" s="1578"/>
      <c r="K420" s="1578"/>
      <c r="L420" s="1578"/>
      <c r="M420" s="1578"/>
      <c r="N420" s="1578"/>
      <c r="O420" s="1578"/>
      <c r="P420" s="1578"/>
      <c r="Q420" s="1578"/>
      <c r="R420" s="1578"/>
      <c r="S420" s="1578"/>
      <c r="T420" s="1578"/>
      <c r="U420" s="1578"/>
      <c r="V420" s="1578"/>
      <c r="W420" s="1578"/>
      <c r="X420" s="1578"/>
      <c r="Y420" s="1578"/>
      <c r="Z420" s="1578"/>
      <c r="AA420" s="1578"/>
      <c r="AB420" s="1578"/>
      <c r="AC420" s="1578"/>
      <c r="AD420" s="1578"/>
      <c r="AE420" s="1578"/>
      <c r="AF420" s="1578"/>
      <c r="AG420" s="1578"/>
      <c r="AH420" s="1578"/>
      <c r="AI420" s="1578"/>
      <c r="AJ420" s="1578"/>
      <c r="AK420" s="1578"/>
      <c r="AL420" s="1578"/>
      <c r="AM420" s="1578"/>
      <c r="AN420" s="1578"/>
      <c r="AO420" s="1578"/>
      <c r="AP420" s="1578"/>
      <c r="AQ420" s="1578"/>
      <c r="AR420" s="1578"/>
      <c r="AS420" s="1578"/>
      <c r="AT420" s="1578"/>
      <c r="AU420" s="1578"/>
      <c r="AV420" s="1578"/>
      <c r="AW420" s="1578"/>
      <c r="AX420" s="1578"/>
      <c r="AY420" s="1578"/>
      <c r="AZ420" s="1578"/>
      <c r="BA420" s="1578"/>
      <c r="BB420" s="1578"/>
      <c r="BC420" s="1578"/>
      <c r="BD420" s="1578"/>
      <c r="BE420" s="1578"/>
      <c r="BF420" s="1578"/>
      <c r="BG420" s="1578"/>
      <c r="BH420" s="1578"/>
      <c r="BI420" s="1578"/>
      <c r="BJ420" s="1578"/>
      <c r="BK420" s="1578"/>
      <c r="BL420" s="1578"/>
      <c r="BM420" s="1578"/>
      <c r="BN420" s="1578"/>
      <c r="BO420" s="1578"/>
      <c r="BP420" s="1578"/>
      <c r="BQ420" s="1578"/>
      <c r="BR420" s="1578"/>
      <c r="BS420" s="1578"/>
      <c r="BT420" s="1578"/>
      <c r="BU420" s="1578"/>
      <c r="BV420" s="1578"/>
      <c r="BW420" s="1578"/>
      <c r="BX420" s="1578"/>
      <c r="BY420" s="1578"/>
      <c r="BZ420" s="1578"/>
      <c r="CA420" s="1578"/>
      <c r="CB420" s="1578"/>
      <c r="CC420" s="1578"/>
      <c r="CD420" s="1578"/>
      <c r="CE420" s="1578"/>
      <c r="CF420" s="1578"/>
      <c r="CG420" s="1578"/>
      <c r="CH420" s="1578"/>
      <c r="CI420" s="1578"/>
      <c r="CJ420" s="1578"/>
      <c r="CK420" s="1578"/>
      <c r="CL420" s="1578"/>
      <c r="CM420" s="1578"/>
      <c r="CN420" s="1578"/>
      <c r="CO420" s="1578"/>
      <c r="CP420" s="1578"/>
      <c r="CQ420" s="1578"/>
      <c r="CR420" s="1578"/>
      <c r="CS420" s="1578"/>
      <c r="CT420" s="1578"/>
      <c r="CU420" s="1578"/>
      <c r="CV420" s="1578"/>
      <c r="CW420" s="1578"/>
      <c r="CX420" s="1578"/>
      <c r="CY420" s="1578"/>
      <c r="CZ420" s="1578"/>
    </row>
    <row r="421" spans="1:407">
      <c r="A421" s="1466"/>
      <c r="B421" s="1576"/>
      <c r="C421" s="1576"/>
      <c r="D421" s="1576"/>
      <c r="E421" s="1578"/>
      <c r="F421" s="1578"/>
      <c r="G421" s="1578"/>
      <c r="H421" s="1578"/>
      <c r="I421" s="1578"/>
      <c r="J421" s="1578"/>
      <c r="K421" s="1578"/>
      <c r="L421" s="1578"/>
      <c r="M421" s="1578"/>
      <c r="N421" s="1578"/>
      <c r="O421" s="1578"/>
      <c r="P421" s="1578"/>
      <c r="Q421" s="1578"/>
      <c r="R421" s="1578"/>
      <c r="S421" s="1578"/>
      <c r="T421" s="1578"/>
      <c r="U421" s="1578"/>
      <c r="V421" s="1578"/>
      <c r="W421" s="1578"/>
      <c r="X421" s="1578"/>
      <c r="Y421" s="1578"/>
      <c r="Z421" s="1578"/>
      <c r="AA421" s="1578"/>
      <c r="AB421" s="1578"/>
      <c r="AC421" s="1578"/>
      <c r="AD421" s="1578"/>
      <c r="AE421" s="1578"/>
      <c r="AF421" s="1578"/>
      <c r="AG421" s="1578"/>
      <c r="AH421" s="1578"/>
      <c r="AI421" s="1578"/>
      <c r="AJ421" s="1578"/>
      <c r="AK421" s="1578"/>
      <c r="AL421" s="1578"/>
      <c r="AM421" s="1578"/>
      <c r="AN421" s="1578"/>
      <c r="AO421" s="1578"/>
      <c r="AP421" s="1578"/>
      <c r="AQ421" s="1578"/>
      <c r="AR421" s="1578"/>
      <c r="AS421" s="1578"/>
      <c r="AT421" s="1578"/>
      <c r="AU421" s="1578"/>
      <c r="AV421" s="1578"/>
      <c r="AW421" s="1578"/>
      <c r="AX421" s="1578"/>
      <c r="AY421" s="1578"/>
      <c r="AZ421" s="1578"/>
      <c r="BA421" s="1578"/>
      <c r="BB421" s="1578"/>
      <c r="BC421" s="1578"/>
      <c r="BD421" s="1578"/>
      <c r="BE421" s="1578"/>
      <c r="BF421" s="1578"/>
      <c r="BG421" s="1578"/>
      <c r="BH421" s="1578"/>
      <c r="BI421" s="1578"/>
      <c r="BJ421" s="1578"/>
      <c r="BK421" s="1578"/>
      <c r="BL421" s="1578"/>
      <c r="BM421" s="1578"/>
      <c r="BN421" s="1578"/>
      <c r="BO421" s="1578"/>
      <c r="BP421" s="1578"/>
      <c r="BQ421" s="1578"/>
      <c r="BR421" s="1578"/>
      <c r="BS421" s="1578"/>
      <c r="BT421" s="1578"/>
      <c r="BU421" s="1578"/>
      <c r="BV421" s="1578"/>
      <c r="BW421" s="1578"/>
      <c r="BX421" s="1578"/>
      <c r="BY421" s="1578"/>
      <c r="BZ421" s="1578"/>
      <c r="CA421" s="1578"/>
      <c r="CB421" s="1578"/>
      <c r="CC421" s="1578"/>
      <c r="CD421" s="1578"/>
      <c r="CE421" s="1578"/>
      <c r="CF421" s="1578"/>
      <c r="CG421" s="1578"/>
      <c r="CH421" s="1578"/>
      <c r="CI421" s="1578"/>
      <c r="CJ421" s="1578"/>
      <c r="CK421" s="1578"/>
      <c r="CL421" s="1578"/>
      <c r="CM421" s="1578"/>
      <c r="CN421" s="1578"/>
      <c r="CO421" s="1578"/>
      <c r="CP421" s="1578"/>
      <c r="CQ421" s="1578"/>
      <c r="CR421" s="1578"/>
      <c r="CS421" s="1578"/>
      <c r="CT421" s="1578"/>
      <c r="CU421" s="1578"/>
      <c r="CV421" s="1578"/>
      <c r="CW421" s="1578"/>
      <c r="CX421" s="1578"/>
      <c r="CY421" s="1578"/>
      <c r="CZ421" s="1578"/>
    </row>
    <row r="422" spans="1:407">
      <c r="A422" s="1466"/>
      <c r="B422" s="1576"/>
      <c r="C422" s="1576"/>
      <c r="D422" s="1576"/>
      <c r="E422" s="1578"/>
      <c r="F422" s="1578"/>
      <c r="G422" s="1578"/>
      <c r="H422" s="1578"/>
      <c r="I422" s="1578"/>
      <c r="J422" s="1578"/>
      <c r="K422" s="1578"/>
      <c r="L422" s="1578"/>
      <c r="M422" s="1578"/>
      <c r="N422" s="1578"/>
      <c r="O422" s="1578"/>
      <c r="P422" s="1578"/>
      <c r="Q422" s="1578"/>
      <c r="R422" s="1578"/>
      <c r="S422" s="1578"/>
      <c r="T422" s="1578"/>
      <c r="U422" s="1578"/>
      <c r="V422" s="1578"/>
      <c r="W422" s="1578"/>
      <c r="X422" s="1578"/>
      <c r="Y422" s="1578"/>
      <c r="Z422" s="1578"/>
      <c r="AA422" s="1578"/>
      <c r="AB422" s="1578"/>
      <c r="AC422" s="1578"/>
      <c r="AD422" s="1578"/>
      <c r="AE422" s="1578"/>
      <c r="AF422" s="1578"/>
      <c r="AG422" s="1578"/>
      <c r="AH422" s="1578"/>
      <c r="AI422" s="1578"/>
      <c r="AJ422" s="1578"/>
      <c r="AK422" s="1578"/>
      <c r="AL422" s="1578"/>
      <c r="AM422" s="1578"/>
      <c r="AN422" s="1578"/>
      <c r="AO422" s="1578"/>
      <c r="AP422" s="1578"/>
      <c r="AQ422" s="1578"/>
      <c r="AR422" s="1578"/>
      <c r="AS422" s="1578"/>
      <c r="AT422" s="1578"/>
      <c r="AU422" s="1578"/>
      <c r="AV422" s="1578"/>
      <c r="AW422" s="1578"/>
      <c r="AX422" s="1578"/>
      <c r="AY422" s="1578"/>
      <c r="AZ422" s="1578"/>
      <c r="BA422" s="1578"/>
      <c r="BB422" s="1578"/>
      <c r="BC422" s="1578"/>
      <c r="BD422" s="1578"/>
      <c r="BE422" s="1578"/>
      <c r="BF422" s="1578"/>
      <c r="BG422" s="1578"/>
      <c r="BH422" s="1578"/>
      <c r="BI422" s="1578"/>
      <c r="BJ422" s="1578"/>
      <c r="BK422" s="1578"/>
      <c r="BL422" s="1578"/>
      <c r="BM422" s="1578"/>
      <c r="BN422" s="1578"/>
      <c r="BO422" s="1578"/>
      <c r="BP422" s="1578"/>
      <c r="BQ422" s="1578"/>
      <c r="BR422" s="1578"/>
      <c r="BS422" s="1578"/>
      <c r="BT422" s="1578"/>
      <c r="BU422" s="1578"/>
      <c r="BV422" s="1578"/>
      <c r="BW422" s="1578"/>
      <c r="BX422" s="1578"/>
      <c r="BY422" s="1578"/>
      <c r="BZ422" s="1578"/>
      <c r="CA422" s="1578"/>
      <c r="CB422" s="1578"/>
      <c r="CC422" s="1578"/>
      <c r="CD422" s="1578"/>
      <c r="CE422" s="1578"/>
      <c r="CF422" s="1578"/>
      <c r="CG422" s="1578"/>
      <c r="CH422" s="1578"/>
      <c r="CI422" s="1578"/>
      <c r="CJ422" s="1578"/>
      <c r="CK422" s="1578"/>
      <c r="CL422" s="1578"/>
      <c r="CM422" s="1578"/>
      <c r="CN422" s="1578"/>
      <c r="CO422" s="1578"/>
      <c r="CP422" s="1578"/>
      <c r="CQ422" s="1578"/>
      <c r="CR422" s="1578"/>
      <c r="CS422" s="1578"/>
      <c r="CT422" s="1578"/>
      <c r="CU422" s="1578"/>
      <c r="CV422" s="1578"/>
      <c r="CW422" s="1578"/>
      <c r="CX422" s="1578"/>
      <c r="CY422" s="1578"/>
      <c r="CZ422" s="1578"/>
    </row>
    <row r="423" spans="1:407">
      <c r="A423" s="1466"/>
      <c r="B423" s="1576"/>
      <c r="C423" s="1576"/>
      <c r="D423" s="1576"/>
      <c r="E423" s="1578"/>
      <c r="F423" s="1578"/>
      <c r="G423" s="1578"/>
      <c r="H423" s="1578"/>
      <c r="I423" s="1578"/>
      <c r="J423" s="1578"/>
      <c r="K423" s="1578"/>
      <c r="L423" s="1578"/>
      <c r="M423" s="1578"/>
      <c r="N423" s="1578"/>
      <c r="O423" s="1578"/>
      <c r="P423" s="1578"/>
      <c r="Q423" s="1578"/>
      <c r="R423" s="1578"/>
      <c r="S423" s="1578"/>
      <c r="T423" s="1578"/>
      <c r="U423" s="1578"/>
      <c r="V423" s="1578"/>
      <c r="W423" s="1578"/>
      <c r="X423" s="1578"/>
      <c r="Y423" s="1578"/>
      <c r="Z423" s="1578"/>
      <c r="AA423" s="1578"/>
      <c r="AB423" s="1578"/>
      <c r="AC423" s="1578"/>
      <c r="AD423" s="1578"/>
      <c r="AE423" s="1578"/>
      <c r="AF423" s="1578"/>
      <c r="AG423" s="1578"/>
      <c r="AH423" s="1578"/>
      <c r="AI423" s="1578"/>
      <c r="AJ423" s="1578"/>
      <c r="AK423" s="1578"/>
      <c r="AL423" s="1578"/>
      <c r="AM423" s="1578"/>
      <c r="AN423" s="1578"/>
      <c r="AO423" s="1578"/>
      <c r="AP423" s="1578"/>
      <c r="AQ423" s="1578"/>
      <c r="AR423" s="1578"/>
      <c r="AS423" s="1578"/>
      <c r="AT423" s="1578"/>
      <c r="AU423" s="1578"/>
      <c r="AV423" s="1578"/>
      <c r="AW423" s="1578"/>
      <c r="AX423" s="1578"/>
      <c r="AY423" s="1578"/>
      <c r="AZ423" s="1578"/>
      <c r="BA423" s="1578"/>
      <c r="BB423" s="1578"/>
      <c r="BC423" s="1578"/>
      <c r="BD423" s="1578"/>
      <c r="BE423" s="1578"/>
      <c r="BF423" s="1578"/>
      <c r="BG423" s="1578"/>
      <c r="BH423" s="1578"/>
      <c r="BI423" s="1578"/>
      <c r="BJ423" s="1578"/>
      <c r="BK423" s="1578"/>
      <c r="BL423" s="1578"/>
      <c r="BM423" s="1578"/>
      <c r="BN423" s="1578"/>
      <c r="BO423" s="1578"/>
      <c r="BP423" s="1578"/>
      <c r="BQ423" s="1578"/>
      <c r="BR423" s="1578"/>
      <c r="BS423" s="1578"/>
      <c r="BT423" s="1578"/>
      <c r="BU423" s="1578"/>
      <c r="BV423" s="1578"/>
      <c r="BW423" s="1578"/>
      <c r="BX423" s="1578"/>
      <c r="BY423" s="1578"/>
      <c r="BZ423" s="1578"/>
      <c r="CA423" s="1578"/>
      <c r="CB423" s="1578"/>
      <c r="CC423" s="1578"/>
      <c r="CD423" s="1578"/>
      <c r="CE423" s="1578"/>
      <c r="CF423" s="1578"/>
      <c r="CG423" s="1578"/>
      <c r="CH423" s="1578"/>
      <c r="CI423" s="1578"/>
      <c r="CJ423" s="1578"/>
      <c r="CK423" s="1578"/>
      <c r="CL423" s="1578"/>
      <c r="CM423" s="1578"/>
      <c r="CN423" s="1578"/>
      <c r="CO423" s="1578"/>
      <c r="CP423" s="1578"/>
      <c r="CQ423" s="1578"/>
      <c r="CR423" s="1578"/>
      <c r="CS423" s="1578"/>
      <c r="CT423" s="1578"/>
      <c r="CU423" s="1578"/>
      <c r="CV423" s="1578"/>
      <c r="CW423" s="1578"/>
      <c r="CX423" s="1578"/>
      <c r="CY423" s="1578"/>
      <c r="CZ423" s="1578"/>
    </row>
    <row r="424" spans="1:407">
      <c r="A424" s="1466"/>
      <c r="B424" s="1576"/>
      <c r="C424" s="1576"/>
      <c r="D424" s="1576"/>
      <c r="E424" s="1578"/>
      <c r="F424" s="1578"/>
      <c r="G424" s="1578"/>
      <c r="H424" s="1578"/>
      <c r="I424" s="1578"/>
      <c r="J424" s="1578"/>
      <c r="K424" s="1578"/>
      <c r="L424" s="1578"/>
      <c r="M424" s="1578"/>
      <c r="N424" s="1578"/>
      <c r="O424" s="1578"/>
      <c r="P424" s="1578"/>
      <c r="Q424" s="1578"/>
      <c r="R424" s="1578"/>
      <c r="S424" s="1578"/>
      <c r="T424" s="1578"/>
      <c r="U424" s="1578"/>
      <c r="V424" s="1578"/>
      <c r="W424" s="1578"/>
      <c r="X424" s="1578"/>
      <c r="Y424" s="1578"/>
      <c r="Z424" s="1578"/>
      <c r="AA424" s="1578"/>
      <c r="AB424" s="1578"/>
      <c r="AC424" s="1578"/>
      <c r="AD424" s="1578"/>
      <c r="AE424" s="1578"/>
      <c r="AF424" s="1578"/>
      <c r="AG424" s="1578"/>
      <c r="AH424" s="1578"/>
      <c r="AI424" s="1578"/>
      <c r="AJ424" s="1578"/>
      <c r="AK424" s="1578"/>
      <c r="AL424" s="1578"/>
      <c r="AM424" s="1578"/>
      <c r="AN424" s="1578"/>
      <c r="AO424" s="1578"/>
      <c r="AP424" s="1578"/>
      <c r="AQ424" s="1578"/>
      <c r="AR424" s="1578"/>
      <c r="AS424" s="1578"/>
      <c r="AT424" s="1578"/>
      <c r="AU424" s="1578"/>
      <c r="AV424" s="1578"/>
      <c r="AW424" s="1578"/>
      <c r="AX424" s="1578"/>
      <c r="AY424" s="1578"/>
      <c r="AZ424" s="1578"/>
      <c r="BA424" s="1578"/>
      <c r="BB424" s="1578"/>
      <c r="BC424" s="1578"/>
      <c r="BD424" s="1578"/>
      <c r="BE424" s="1578"/>
      <c r="BF424" s="1578"/>
      <c r="BG424" s="1578"/>
      <c r="BH424" s="1578"/>
      <c r="BI424" s="1578"/>
      <c r="BJ424" s="1578"/>
      <c r="BK424" s="1578"/>
      <c r="BL424" s="1578"/>
      <c r="BM424" s="1578"/>
      <c r="BN424" s="1578"/>
      <c r="BO424" s="1578"/>
      <c r="BP424" s="1578"/>
      <c r="BQ424" s="1578"/>
      <c r="BR424" s="1578"/>
      <c r="BS424" s="1578"/>
      <c r="BT424" s="1578"/>
      <c r="BU424" s="1578"/>
      <c r="BV424" s="1578"/>
      <c r="BW424" s="1578"/>
      <c r="BX424" s="1578"/>
      <c r="BY424" s="1578"/>
      <c r="BZ424" s="1578"/>
      <c r="CA424" s="1578"/>
      <c r="CB424" s="1578"/>
      <c r="CC424" s="1578"/>
      <c r="CD424" s="1578"/>
      <c r="CE424" s="1578"/>
      <c r="CF424" s="1578"/>
      <c r="CG424" s="1578"/>
      <c r="CH424" s="1578"/>
      <c r="CI424" s="1578"/>
      <c r="CJ424" s="1578"/>
      <c r="CK424" s="1578"/>
      <c r="CL424" s="1578"/>
      <c r="CM424" s="1578"/>
      <c r="CN424" s="1578"/>
      <c r="CO424" s="1578"/>
      <c r="CP424" s="1578"/>
      <c r="CQ424" s="1578"/>
      <c r="CR424" s="1578"/>
      <c r="CS424" s="1578"/>
      <c r="CT424" s="1578"/>
      <c r="CU424" s="1578"/>
      <c r="CV424" s="1578"/>
      <c r="CW424" s="1578"/>
      <c r="CX424" s="1578"/>
      <c r="CY424" s="1578"/>
      <c r="CZ424" s="1578"/>
    </row>
    <row r="425" spans="1:407">
      <c r="A425" s="1466"/>
      <c r="B425" s="1576"/>
      <c r="C425" s="1576"/>
      <c r="D425" s="1576"/>
      <c r="E425" s="1578"/>
      <c r="F425" s="1578"/>
      <c r="G425" s="1578"/>
      <c r="H425" s="1578"/>
      <c r="I425" s="1578"/>
      <c r="J425" s="1578"/>
      <c r="K425" s="1578"/>
      <c r="L425" s="1578"/>
      <c r="M425" s="1578"/>
      <c r="N425" s="1578"/>
      <c r="O425" s="1578"/>
      <c r="P425" s="1578"/>
      <c r="Q425" s="1578"/>
      <c r="R425" s="1578"/>
      <c r="S425" s="1578"/>
      <c r="T425" s="1578"/>
      <c r="U425" s="1578"/>
      <c r="V425" s="1578"/>
      <c r="W425" s="1578"/>
      <c r="X425" s="1578"/>
      <c r="Y425" s="1578"/>
      <c r="Z425" s="1578"/>
      <c r="AA425" s="1578"/>
      <c r="AB425" s="1578"/>
      <c r="AC425" s="1578"/>
      <c r="AD425" s="1578"/>
      <c r="AE425" s="1578"/>
      <c r="AF425" s="1578"/>
      <c r="AG425" s="1578"/>
      <c r="AH425" s="1578"/>
      <c r="AI425" s="1578"/>
      <c r="AJ425" s="1578"/>
      <c r="AK425" s="1578"/>
      <c r="AL425" s="1578"/>
      <c r="AM425" s="1578"/>
      <c r="AN425" s="1578"/>
      <c r="AO425" s="1578"/>
      <c r="AP425" s="1578"/>
      <c r="AQ425" s="1578"/>
      <c r="AR425" s="1578"/>
      <c r="AS425" s="1578"/>
      <c r="AT425" s="1578"/>
      <c r="AU425" s="1578"/>
      <c r="AV425" s="1578"/>
      <c r="AW425" s="1578"/>
      <c r="AX425" s="1578"/>
      <c r="AY425" s="1578"/>
      <c r="AZ425" s="1578"/>
      <c r="BA425" s="1578"/>
      <c r="BB425" s="1578"/>
      <c r="BC425" s="1578"/>
      <c r="BD425" s="1578"/>
      <c r="BE425" s="1578"/>
      <c r="BF425" s="1578"/>
      <c r="BG425" s="1578"/>
      <c r="BH425" s="1578"/>
      <c r="BI425" s="1578"/>
      <c r="BJ425" s="1578"/>
      <c r="BK425" s="1578"/>
      <c r="BL425" s="1578"/>
      <c r="BM425" s="1578"/>
      <c r="BN425" s="1578"/>
      <c r="BO425" s="1578"/>
      <c r="BP425" s="1578"/>
      <c r="BQ425" s="1578"/>
      <c r="BR425" s="1578"/>
      <c r="BS425" s="1578"/>
      <c r="BT425" s="1578"/>
      <c r="BU425" s="1578"/>
      <c r="BV425" s="1578"/>
      <c r="BW425" s="1578"/>
      <c r="BX425" s="1578"/>
      <c r="BY425" s="1578"/>
      <c r="BZ425" s="1578"/>
      <c r="CA425" s="1578"/>
      <c r="CB425" s="1578"/>
      <c r="CC425" s="1578"/>
      <c r="CD425" s="1578"/>
      <c r="CE425" s="1578"/>
      <c r="CF425" s="1578"/>
      <c r="CG425" s="1578"/>
      <c r="CH425" s="1578"/>
      <c r="CI425" s="1578"/>
      <c r="CJ425" s="1578"/>
      <c r="CK425" s="1578"/>
      <c r="CL425" s="1578"/>
      <c r="CM425" s="1578"/>
      <c r="CN425" s="1578"/>
      <c r="CO425" s="1578"/>
      <c r="CP425" s="1578"/>
      <c r="CQ425" s="1578"/>
      <c r="CR425" s="1578"/>
      <c r="CS425" s="1578"/>
      <c r="CT425" s="1578"/>
      <c r="CU425" s="1578"/>
      <c r="CV425" s="1578"/>
      <c r="CW425" s="1578"/>
      <c r="CX425" s="1578"/>
      <c r="CY425" s="1578"/>
      <c r="CZ425" s="1578"/>
    </row>
    <row r="426" spans="1:407">
      <c r="A426" s="1466"/>
      <c r="B426" s="1576"/>
      <c r="C426" s="1576"/>
      <c r="D426" s="1576"/>
      <c r="E426" s="1578"/>
      <c r="F426" s="1578"/>
      <c r="G426" s="1578"/>
      <c r="H426" s="1578"/>
      <c r="I426" s="1578"/>
      <c r="J426" s="1578"/>
      <c r="K426" s="1578"/>
      <c r="L426" s="1578"/>
      <c r="M426" s="1578"/>
      <c r="N426" s="1578"/>
      <c r="O426" s="1578"/>
      <c r="P426" s="1578"/>
      <c r="Q426" s="1578"/>
      <c r="R426" s="1578"/>
      <c r="S426" s="1578"/>
      <c r="T426" s="1578"/>
      <c r="U426" s="1578"/>
      <c r="V426" s="1578"/>
      <c r="W426" s="1578"/>
      <c r="X426" s="1578"/>
      <c r="Y426" s="1578"/>
      <c r="Z426" s="1578"/>
      <c r="AA426" s="1578"/>
      <c r="AB426" s="1578"/>
      <c r="AC426" s="1578"/>
      <c r="AD426" s="1578"/>
      <c r="AE426" s="1578"/>
      <c r="AF426" s="1578"/>
      <c r="AG426" s="1578"/>
      <c r="AH426" s="1578"/>
      <c r="AI426" s="1578"/>
      <c r="AJ426" s="1578"/>
      <c r="AK426" s="1578"/>
      <c r="AL426" s="1578"/>
      <c r="AM426" s="1578"/>
      <c r="AN426" s="1578"/>
      <c r="AO426" s="1578"/>
      <c r="AP426" s="1578"/>
      <c r="AQ426" s="1578"/>
      <c r="AR426" s="1578"/>
      <c r="AS426" s="1578"/>
      <c r="AT426" s="1578"/>
      <c r="AU426" s="1578"/>
      <c r="AV426" s="1578"/>
      <c r="AW426" s="1578"/>
      <c r="AX426" s="1578"/>
      <c r="AY426" s="1578"/>
      <c r="AZ426" s="1578"/>
      <c r="BA426" s="1578"/>
      <c r="BB426" s="1578"/>
      <c r="BC426" s="1578"/>
      <c r="BD426" s="1578"/>
      <c r="BE426" s="1578"/>
      <c r="BF426" s="1578"/>
      <c r="BG426" s="1578"/>
      <c r="BH426" s="1578"/>
      <c r="BI426" s="1578"/>
      <c r="BJ426" s="1578"/>
      <c r="BK426" s="1578"/>
      <c r="BL426" s="1578"/>
      <c r="BM426" s="1578"/>
      <c r="BN426" s="1578"/>
      <c r="BO426" s="1578"/>
      <c r="BP426" s="1578"/>
      <c r="BQ426" s="1578"/>
      <c r="BR426" s="1578"/>
      <c r="BS426" s="1578"/>
      <c r="BT426" s="1578"/>
      <c r="BU426" s="1578"/>
      <c r="BV426" s="1578"/>
      <c r="BW426" s="1578"/>
      <c r="BX426" s="1578"/>
      <c r="BY426" s="1578"/>
      <c r="BZ426" s="1578"/>
      <c r="CA426" s="1578"/>
      <c r="CB426" s="1578"/>
      <c r="CC426" s="1578"/>
      <c r="CD426" s="1578"/>
      <c r="CE426" s="1578"/>
      <c r="CF426" s="1578"/>
      <c r="CG426" s="1578"/>
      <c r="CH426" s="1578"/>
      <c r="CI426" s="1578"/>
      <c r="CJ426" s="1578"/>
      <c r="CK426" s="1578"/>
      <c r="CL426" s="1578"/>
      <c r="CM426" s="1578"/>
      <c r="CN426" s="1578"/>
      <c r="CO426" s="1578"/>
      <c r="CP426" s="1578"/>
      <c r="CQ426" s="1578"/>
      <c r="CR426" s="1578"/>
      <c r="CS426" s="1578"/>
      <c r="CT426" s="1578"/>
      <c r="CU426" s="1578"/>
      <c r="CV426" s="1578"/>
      <c r="CW426" s="1578"/>
      <c r="CX426" s="1578"/>
      <c r="CY426" s="1578"/>
      <c r="CZ426" s="1578"/>
    </row>
    <row r="427" spans="1:407">
      <c r="A427" s="1466"/>
      <c r="B427" s="1576"/>
      <c r="C427" s="1576"/>
      <c r="D427" s="1576"/>
      <c r="E427" s="1578"/>
      <c r="F427" s="1578"/>
      <c r="G427" s="1578"/>
      <c r="H427" s="1578"/>
      <c r="I427" s="1578"/>
      <c r="J427" s="1578"/>
      <c r="K427" s="1578"/>
      <c r="L427" s="1578"/>
      <c r="M427" s="1578"/>
      <c r="N427" s="1578"/>
      <c r="O427" s="1578"/>
      <c r="P427" s="1578"/>
      <c r="Q427" s="1578"/>
      <c r="R427" s="1578"/>
      <c r="S427" s="1578"/>
      <c r="T427" s="1578"/>
      <c r="U427" s="1578"/>
      <c r="V427" s="1578"/>
      <c r="W427" s="1578"/>
      <c r="X427" s="1578"/>
      <c r="Y427" s="1578"/>
      <c r="Z427" s="1578"/>
      <c r="AA427" s="1578"/>
      <c r="AB427" s="1578"/>
      <c r="AC427" s="1578"/>
      <c r="AD427" s="1578"/>
      <c r="AE427" s="1578"/>
      <c r="AF427" s="1578"/>
      <c r="AG427" s="1578"/>
      <c r="AH427" s="1578"/>
      <c r="AI427" s="1578"/>
      <c r="AJ427" s="1578"/>
      <c r="AK427" s="1578"/>
      <c r="AL427" s="1578"/>
      <c r="AM427" s="1578"/>
      <c r="AN427" s="1578"/>
      <c r="AO427" s="1578"/>
      <c r="AP427" s="1578"/>
      <c r="AQ427" s="1578"/>
      <c r="AR427" s="1578"/>
      <c r="AS427" s="1578"/>
      <c r="AT427" s="1578"/>
      <c r="AU427" s="1578"/>
      <c r="AV427" s="1578"/>
      <c r="AW427" s="1578"/>
      <c r="AX427" s="1578"/>
      <c r="AY427" s="1578"/>
      <c r="AZ427" s="1578"/>
      <c r="BA427" s="1578"/>
      <c r="BB427" s="1578"/>
      <c r="BC427" s="1578"/>
      <c r="BD427" s="1578"/>
      <c r="BE427" s="1578"/>
      <c r="BF427" s="1578"/>
      <c r="BG427" s="1578"/>
      <c r="BH427" s="1578"/>
      <c r="BI427" s="1578"/>
      <c r="BJ427" s="1578"/>
      <c r="BK427" s="1578"/>
      <c r="BL427" s="1578"/>
      <c r="BM427" s="1578"/>
      <c r="BN427" s="1578"/>
      <c r="BO427" s="1578"/>
      <c r="BP427" s="1578"/>
      <c r="BQ427" s="1578"/>
      <c r="BR427" s="1578"/>
      <c r="BS427" s="1578"/>
      <c r="BT427" s="1578"/>
      <c r="BU427" s="1578"/>
      <c r="BV427" s="1578"/>
      <c r="BW427" s="1578"/>
      <c r="BX427" s="1578"/>
      <c r="BY427" s="1578"/>
      <c r="BZ427" s="1578"/>
      <c r="CA427" s="1578"/>
      <c r="CB427" s="1578"/>
      <c r="CC427" s="1578"/>
      <c r="CD427" s="1578"/>
      <c r="CE427" s="1578"/>
      <c r="CF427" s="1578"/>
      <c r="CG427" s="1578"/>
      <c r="CH427" s="1578"/>
      <c r="CI427" s="1578"/>
      <c r="CJ427" s="1578"/>
      <c r="CK427" s="1578"/>
      <c r="CL427" s="1578"/>
      <c r="CM427" s="1578"/>
      <c r="CN427" s="1578"/>
      <c r="CO427" s="1578"/>
      <c r="CP427" s="1578"/>
      <c r="CQ427" s="1578"/>
      <c r="CR427" s="1578"/>
      <c r="CS427" s="1578"/>
      <c r="CT427" s="1578"/>
      <c r="CU427" s="1578"/>
      <c r="CV427" s="1578"/>
      <c r="CW427" s="1578"/>
      <c r="CX427" s="1578"/>
      <c r="CY427" s="1578"/>
      <c r="CZ427" s="1578"/>
    </row>
    <row r="428" spans="1:407">
      <c r="A428" s="1466"/>
      <c r="B428" s="1576"/>
      <c r="C428" s="1576"/>
      <c r="D428" s="1576"/>
      <c r="E428" s="1578"/>
      <c r="F428" s="1578"/>
      <c r="G428" s="1578"/>
      <c r="H428" s="1578"/>
      <c r="I428" s="1578"/>
      <c r="J428" s="1578"/>
      <c r="K428" s="1578"/>
      <c r="L428" s="1578"/>
      <c r="M428" s="1578"/>
      <c r="N428" s="1578"/>
      <c r="O428" s="1578"/>
      <c r="P428" s="1578"/>
      <c r="Q428" s="1578"/>
      <c r="R428" s="1578"/>
      <c r="S428" s="1578"/>
      <c r="T428" s="1578"/>
      <c r="U428" s="1578"/>
      <c r="V428" s="1578"/>
      <c r="W428" s="1578"/>
      <c r="X428" s="1578"/>
      <c r="Y428" s="1578"/>
      <c r="Z428" s="1578"/>
      <c r="AA428" s="1578"/>
      <c r="AB428" s="1578"/>
      <c r="AC428" s="1578"/>
      <c r="AD428" s="1578"/>
      <c r="AE428" s="1578"/>
      <c r="AF428" s="1578"/>
      <c r="AG428" s="1578"/>
      <c r="AH428" s="1578"/>
      <c r="AI428" s="1578"/>
      <c r="AJ428" s="1578"/>
      <c r="AK428" s="1578"/>
      <c r="AL428" s="1578"/>
      <c r="AM428" s="1578"/>
      <c r="AN428" s="1578"/>
      <c r="AO428" s="1578"/>
      <c r="AP428" s="1578"/>
      <c r="AQ428" s="1578"/>
      <c r="AR428" s="1578"/>
      <c r="AS428" s="1578"/>
      <c r="AT428" s="1578"/>
      <c r="AU428" s="1578"/>
      <c r="AV428" s="1578"/>
      <c r="AW428" s="1578"/>
      <c r="AX428" s="1578"/>
      <c r="AY428" s="1578"/>
      <c r="AZ428" s="1578"/>
      <c r="BA428" s="1578"/>
      <c r="BB428" s="1578"/>
      <c r="BC428" s="1578"/>
      <c r="BD428" s="1578"/>
      <c r="BE428" s="1578"/>
      <c r="BF428" s="1578"/>
      <c r="BG428" s="1578"/>
      <c r="BH428" s="1578"/>
      <c r="BI428" s="1578"/>
      <c r="BJ428" s="1578"/>
      <c r="BK428" s="1578"/>
      <c r="BL428" s="1578"/>
      <c r="BM428" s="1578"/>
      <c r="BN428" s="1578"/>
      <c r="BO428" s="1578"/>
      <c r="BP428" s="1578"/>
      <c r="BQ428" s="1578"/>
      <c r="BR428" s="1578"/>
      <c r="BS428" s="1578"/>
      <c r="BT428" s="1578"/>
      <c r="BU428" s="1578"/>
      <c r="BV428" s="1578"/>
      <c r="BW428" s="1578"/>
      <c r="BX428" s="1578"/>
      <c r="BY428" s="1578"/>
      <c r="BZ428" s="1578"/>
      <c r="CA428" s="1578"/>
      <c r="CB428" s="1578"/>
      <c r="CC428" s="1578"/>
      <c r="CD428" s="1578"/>
      <c r="CE428" s="1578"/>
      <c r="CF428" s="1578"/>
      <c r="CG428" s="1578"/>
      <c r="CH428" s="1578"/>
      <c r="CI428" s="1578"/>
      <c r="CJ428" s="1578"/>
      <c r="CK428" s="1578"/>
      <c r="CL428" s="1578"/>
      <c r="CM428" s="1578"/>
      <c r="CN428" s="1578"/>
      <c r="CO428" s="1578"/>
      <c r="CP428" s="1578"/>
      <c r="CQ428" s="1578"/>
      <c r="CR428" s="1578"/>
      <c r="CS428" s="1578"/>
      <c r="CT428" s="1578"/>
      <c r="CU428" s="1578"/>
      <c r="CV428" s="1578"/>
      <c r="CW428" s="1578"/>
      <c r="CX428" s="1578"/>
      <c r="CY428" s="1578"/>
      <c r="CZ428" s="1578"/>
    </row>
    <row r="429" spans="1:407">
      <c r="A429" s="1466"/>
      <c r="B429" s="1576"/>
      <c r="C429" s="1576"/>
      <c r="D429" s="1576"/>
      <c r="E429" s="1578"/>
      <c r="F429" s="1578"/>
      <c r="G429" s="1578"/>
      <c r="H429" s="1578"/>
      <c r="I429" s="1578"/>
      <c r="J429" s="1578"/>
      <c r="K429" s="1578"/>
      <c r="L429" s="1578"/>
      <c r="M429" s="1578"/>
      <c r="N429" s="1578"/>
      <c r="O429" s="1578"/>
      <c r="P429" s="1578"/>
      <c r="Q429" s="1578"/>
      <c r="R429" s="1578"/>
      <c r="S429" s="1578"/>
      <c r="T429" s="1578"/>
      <c r="U429" s="1578"/>
      <c r="V429" s="1578"/>
      <c r="W429" s="1578"/>
      <c r="X429" s="1578"/>
      <c r="Y429" s="1578"/>
      <c r="Z429" s="1578"/>
      <c r="AA429" s="1578"/>
      <c r="AB429" s="1578"/>
      <c r="AC429" s="1578"/>
      <c r="AD429" s="1578"/>
      <c r="AE429" s="1578"/>
      <c r="AF429" s="1578"/>
      <c r="AG429" s="1578"/>
      <c r="AH429" s="1578"/>
      <c r="AI429" s="1578"/>
      <c r="AJ429" s="1578"/>
      <c r="AK429" s="1578"/>
      <c r="AL429" s="1578"/>
      <c r="AM429" s="1578"/>
      <c r="AN429" s="1578"/>
      <c r="AO429" s="1578"/>
      <c r="AP429" s="1578"/>
      <c r="AQ429" s="1578"/>
      <c r="AR429" s="1578"/>
      <c r="AS429" s="1578"/>
      <c r="AT429" s="1578"/>
      <c r="AU429" s="1578"/>
      <c r="AV429" s="1578"/>
      <c r="AW429" s="1578"/>
      <c r="AX429" s="1578"/>
      <c r="AY429" s="1578"/>
      <c r="AZ429" s="1578"/>
      <c r="BA429" s="1578"/>
      <c r="BB429" s="1578"/>
      <c r="BC429" s="1578"/>
      <c r="BD429" s="1578"/>
      <c r="BE429" s="1578"/>
      <c r="BF429" s="1578"/>
      <c r="BG429" s="1578"/>
      <c r="BH429" s="1578"/>
      <c r="BI429" s="1578"/>
      <c r="BJ429" s="1578"/>
      <c r="BK429" s="1578"/>
      <c r="BL429" s="1578"/>
      <c r="BM429" s="1578"/>
      <c r="BN429" s="1578"/>
      <c r="BO429" s="1578"/>
      <c r="BP429" s="1578"/>
      <c r="BQ429" s="1578"/>
      <c r="BR429" s="1578"/>
      <c r="BS429" s="1578"/>
      <c r="BT429" s="1578"/>
      <c r="BU429" s="1578"/>
      <c r="BV429" s="1578"/>
      <c r="BW429" s="1578"/>
      <c r="BX429" s="1578"/>
      <c r="BY429" s="1578"/>
      <c r="BZ429" s="1578"/>
      <c r="CA429" s="1578"/>
      <c r="CB429" s="1578"/>
      <c r="CC429" s="1578"/>
      <c r="CD429" s="1578"/>
      <c r="CE429" s="1578"/>
      <c r="CF429" s="1578"/>
      <c r="CG429" s="1578"/>
      <c r="CH429" s="1578"/>
      <c r="CI429" s="1578"/>
      <c r="CJ429" s="1578"/>
      <c r="CK429" s="1578"/>
      <c r="CL429" s="1578"/>
      <c r="CM429" s="1578"/>
      <c r="CN429" s="1578"/>
      <c r="CO429" s="1578"/>
      <c r="CP429" s="1578"/>
      <c r="CQ429" s="1578"/>
      <c r="CR429" s="1578"/>
      <c r="CS429" s="1578"/>
      <c r="CT429" s="1578"/>
      <c r="CU429" s="1578"/>
      <c r="CV429" s="1578"/>
      <c r="CW429" s="1578"/>
      <c r="CX429" s="1578"/>
      <c r="CY429" s="1578"/>
      <c r="CZ429" s="1578"/>
    </row>
    <row r="430" spans="1:407">
      <c r="A430" s="1466"/>
      <c r="B430" s="1576"/>
      <c r="C430" s="1576"/>
      <c r="D430" s="1576"/>
      <c r="E430" s="1578"/>
      <c r="F430" s="1578"/>
      <c r="G430" s="1578"/>
      <c r="H430" s="1578"/>
      <c r="I430" s="1578"/>
      <c r="J430" s="1578"/>
      <c r="K430" s="1578"/>
      <c r="L430" s="1578"/>
      <c r="M430" s="1578"/>
      <c r="N430" s="1578"/>
      <c r="O430" s="1578"/>
      <c r="P430" s="1578"/>
      <c r="Q430" s="1578"/>
      <c r="R430" s="1578"/>
      <c r="S430" s="1578"/>
      <c r="T430" s="1578"/>
      <c r="U430" s="1578"/>
      <c r="V430" s="1578"/>
      <c r="W430" s="1578"/>
      <c r="X430" s="1578"/>
      <c r="Y430" s="1578"/>
      <c r="Z430" s="1578"/>
      <c r="AA430" s="1578"/>
      <c r="AB430" s="1578"/>
      <c r="AC430" s="1578"/>
      <c r="AD430" s="1578"/>
      <c r="AE430" s="1578"/>
      <c r="AF430" s="1578"/>
      <c r="AG430" s="1578"/>
      <c r="AH430" s="1578"/>
      <c r="AI430" s="1578"/>
      <c r="AJ430" s="1578"/>
      <c r="AK430" s="1578"/>
      <c r="AL430" s="1578"/>
      <c r="AM430" s="1578"/>
      <c r="AN430" s="1578"/>
      <c r="AO430" s="1578"/>
      <c r="AP430" s="1578"/>
      <c r="AQ430" s="1578"/>
      <c r="AR430" s="1578"/>
      <c r="AS430" s="1578"/>
      <c r="AT430" s="1578"/>
      <c r="AU430" s="1578"/>
      <c r="AV430" s="1578"/>
      <c r="AW430" s="1578"/>
      <c r="AX430" s="1578"/>
      <c r="AY430" s="1578"/>
      <c r="AZ430" s="1578"/>
      <c r="BA430" s="1578"/>
      <c r="BB430" s="1578"/>
      <c r="BC430" s="1578"/>
      <c r="BD430" s="1578"/>
      <c r="BE430" s="1578"/>
      <c r="BF430" s="1578"/>
      <c r="BG430" s="1578"/>
      <c r="BH430" s="1578"/>
      <c r="BI430" s="1578"/>
      <c r="BJ430" s="1578"/>
      <c r="BK430" s="1578"/>
      <c r="BL430" s="1578"/>
      <c r="BM430" s="1578"/>
      <c r="BN430" s="1578"/>
      <c r="BO430" s="1578"/>
      <c r="BP430" s="1578"/>
      <c r="BQ430" s="1578"/>
      <c r="BR430" s="1578"/>
      <c r="BS430" s="1578"/>
      <c r="BT430" s="1578"/>
      <c r="BU430" s="1578"/>
      <c r="BV430" s="1578"/>
      <c r="BW430" s="1578"/>
      <c r="BX430" s="1578"/>
      <c r="BY430" s="1578"/>
      <c r="BZ430" s="1578"/>
      <c r="CA430" s="1578"/>
      <c r="CB430" s="1578"/>
      <c r="CC430" s="1578"/>
      <c r="CD430" s="1578"/>
      <c r="CE430" s="1578"/>
      <c r="CF430" s="1578"/>
      <c r="CG430" s="1578"/>
      <c r="CH430" s="1578"/>
      <c r="CI430" s="1578"/>
      <c r="CJ430" s="1578"/>
      <c r="CK430" s="1578"/>
      <c r="CL430" s="1578"/>
      <c r="CM430" s="1578"/>
      <c r="CN430" s="1578"/>
      <c r="CO430" s="1578"/>
      <c r="CP430" s="1578"/>
      <c r="CQ430" s="1578"/>
      <c r="CR430" s="1578"/>
      <c r="CS430" s="1578"/>
      <c r="CT430" s="1578"/>
      <c r="CU430" s="1578"/>
      <c r="CV430" s="1578"/>
      <c r="CW430" s="1578"/>
      <c r="CX430" s="1578"/>
      <c r="CY430" s="1578"/>
      <c r="CZ430" s="1578"/>
    </row>
    <row r="431" spans="1:407" ht="13" thickBot="1">
      <c r="A431" s="1466"/>
      <c r="B431" s="1579"/>
      <c r="C431" s="1579"/>
      <c r="D431" s="1579"/>
      <c r="E431" s="1580"/>
      <c r="F431" s="1580"/>
      <c r="G431" s="1580"/>
      <c r="H431" s="1580"/>
      <c r="I431" s="1580"/>
      <c r="J431" s="1580"/>
      <c r="K431" s="1580"/>
      <c r="L431" s="1580"/>
      <c r="M431" s="1580"/>
      <c r="N431" s="1580"/>
      <c r="O431" s="1580"/>
      <c r="P431" s="1580"/>
      <c r="Q431" s="1580"/>
      <c r="R431" s="1580"/>
      <c r="S431" s="1580"/>
      <c r="T431" s="1580"/>
      <c r="U431" s="1580"/>
      <c r="V431" s="1580"/>
      <c r="W431" s="1580"/>
      <c r="X431" s="1580"/>
      <c r="Y431" s="1580"/>
      <c r="Z431" s="1580"/>
      <c r="AA431" s="1580"/>
      <c r="AB431" s="1580"/>
      <c r="AC431" s="1580"/>
      <c r="AD431" s="1580"/>
      <c r="AE431" s="1580"/>
      <c r="AF431" s="1580"/>
      <c r="AG431" s="1580"/>
      <c r="AH431" s="1580"/>
      <c r="AI431" s="1580"/>
      <c r="AJ431" s="1580"/>
      <c r="AK431" s="1580"/>
      <c r="AL431" s="1580"/>
      <c r="AM431" s="1580"/>
      <c r="AN431" s="1580"/>
      <c r="AO431" s="1580"/>
      <c r="AP431" s="1580"/>
      <c r="AQ431" s="1580"/>
      <c r="AR431" s="1580"/>
      <c r="AS431" s="1580"/>
      <c r="AT431" s="1580"/>
      <c r="AU431" s="1580"/>
      <c r="AV431" s="1580"/>
      <c r="AW431" s="1580"/>
      <c r="AX431" s="1580"/>
      <c r="AY431" s="1580"/>
      <c r="AZ431" s="1580"/>
      <c r="BA431" s="1580"/>
      <c r="BB431" s="1580"/>
      <c r="BC431" s="1580"/>
      <c r="BD431" s="1580"/>
      <c r="BE431" s="1580"/>
      <c r="BF431" s="1580"/>
      <c r="BG431" s="1580"/>
      <c r="BH431" s="1580"/>
      <c r="BI431" s="1580"/>
      <c r="BJ431" s="1580"/>
      <c r="BK431" s="1580"/>
      <c r="BL431" s="1580"/>
      <c r="BM431" s="1580"/>
      <c r="BN431" s="1580"/>
      <c r="BO431" s="1580"/>
      <c r="BP431" s="1580"/>
      <c r="BQ431" s="1580"/>
      <c r="BR431" s="1580"/>
      <c r="BS431" s="1580"/>
      <c r="BT431" s="1580"/>
      <c r="BU431" s="1580"/>
      <c r="BV431" s="1580"/>
      <c r="BW431" s="1580"/>
      <c r="BX431" s="1580"/>
      <c r="BY431" s="1580"/>
      <c r="BZ431" s="1580"/>
      <c r="CA431" s="1580"/>
      <c r="CB431" s="1580"/>
      <c r="CC431" s="1580"/>
      <c r="CD431" s="1580"/>
      <c r="CE431" s="1580"/>
      <c r="CF431" s="1580"/>
      <c r="CG431" s="1580"/>
      <c r="CH431" s="1580"/>
      <c r="CI431" s="1580"/>
      <c r="CJ431" s="1580"/>
      <c r="CK431" s="1580"/>
      <c r="CL431" s="1580"/>
      <c r="CM431" s="1580"/>
      <c r="CN431" s="1580"/>
      <c r="CO431" s="1580"/>
      <c r="CP431" s="1580"/>
      <c r="CQ431" s="1580"/>
      <c r="CR431" s="1580"/>
      <c r="CS431" s="1580"/>
      <c r="CT431" s="1580"/>
      <c r="CU431" s="1580"/>
      <c r="CV431" s="1580"/>
      <c r="CW431" s="1580"/>
      <c r="CX431" s="1580"/>
      <c r="CY431" s="1580"/>
      <c r="CZ431" s="1580"/>
      <c r="DA431" s="1606"/>
      <c r="DB431" s="1607"/>
      <c r="DC431" s="1606"/>
      <c r="DD431" s="1606"/>
      <c r="DE431" s="1606"/>
      <c r="DF431" s="1606"/>
      <c r="DG431" s="1606"/>
      <c r="DH431" s="1606"/>
      <c r="DI431" s="1606"/>
      <c r="DJ431" s="1606"/>
      <c r="DK431" s="1606"/>
      <c r="DL431" s="1606"/>
      <c r="DM431" s="1606"/>
      <c r="DN431" s="1606"/>
      <c r="DO431" s="1606"/>
      <c r="DP431" s="1606"/>
      <c r="DQ431" s="1606"/>
      <c r="DR431" s="1606"/>
      <c r="DS431" s="1606"/>
      <c r="DT431" s="1606"/>
      <c r="DU431" s="1606"/>
      <c r="DV431" s="1606"/>
      <c r="DW431" s="1606"/>
      <c r="DX431" s="1606"/>
      <c r="DY431" s="1606"/>
      <c r="DZ431" s="1606"/>
      <c r="EA431" s="1606"/>
      <c r="EB431" s="1606"/>
      <c r="EC431" s="1606"/>
      <c r="ED431" s="1606"/>
      <c r="EE431" s="1606"/>
      <c r="EF431" s="1606"/>
      <c r="EG431" s="1606"/>
      <c r="EH431" s="1606"/>
      <c r="EI431" s="1606"/>
      <c r="EJ431" s="1606"/>
      <c r="EK431" s="1606"/>
      <c r="EL431" s="1606"/>
      <c r="EM431" s="1606"/>
      <c r="EN431" s="1606"/>
      <c r="EO431" s="1606"/>
      <c r="EP431" s="1606"/>
      <c r="EQ431" s="1606"/>
      <c r="ER431" s="1606"/>
      <c r="ES431" s="1606"/>
      <c r="ET431" s="1606"/>
      <c r="EU431" s="1606"/>
      <c r="EV431" s="1606"/>
      <c r="EW431" s="1606"/>
      <c r="EX431" s="1606"/>
      <c r="EY431" s="1606"/>
      <c r="EZ431" s="1606"/>
      <c r="FA431" s="1606"/>
      <c r="FB431" s="1606"/>
      <c r="FC431" s="1606"/>
      <c r="FD431" s="1606"/>
      <c r="FE431" s="1606"/>
      <c r="FF431" s="1606"/>
      <c r="FG431" s="1606"/>
      <c r="FH431" s="1606"/>
      <c r="FI431" s="1606"/>
      <c r="FJ431" s="1606"/>
      <c r="FK431" s="1606"/>
      <c r="FL431" s="1606"/>
      <c r="FM431" s="1606"/>
      <c r="FN431" s="1606"/>
      <c r="FO431" s="1606"/>
      <c r="FP431" s="1606"/>
      <c r="FQ431" s="1606"/>
      <c r="FR431" s="1606"/>
      <c r="FS431" s="1606"/>
      <c r="FT431" s="1606"/>
      <c r="FU431" s="1606"/>
      <c r="FV431" s="1606"/>
      <c r="FW431" s="1606"/>
      <c r="FX431" s="1606"/>
      <c r="FY431" s="1606"/>
      <c r="FZ431" s="1606"/>
      <c r="GA431" s="1606"/>
      <c r="GB431" s="1606"/>
      <c r="GC431" s="1606"/>
      <c r="GD431" s="1606"/>
      <c r="GE431" s="1606"/>
      <c r="GF431" s="1606"/>
      <c r="GG431" s="1606"/>
      <c r="GH431" s="1606"/>
      <c r="GI431" s="1606"/>
      <c r="GJ431" s="1606"/>
      <c r="GK431" s="1606"/>
      <c r="GL431" s="1606"/>
      <c r="GM431" s="1606"/>
      <c r="GN431" s="1606"/>
      <c r="GO431" s="1606"/>
      <c r="GP431" s="1606"/>
      <c r="GQ431" s="1606"/>
      <c r="GR431" s="1606"/>
      <c r="GS431" s="1606"/>
      <c r="GT431" s="1606"/>
      <c r="GU431" s="1606"/>
      <c r="GV431" s="1606"/>
      <c r="GW431" s="1606"/>
      <c r="GX431" s="1606"/>
      <c r="GY431" s="1606"/>
      <c r="GZ431" s="1606"/>
      <c r="HA431" s="1606"/>
      <c r="HB431" s="1606"/>
      <c r="HC431" s="1606"/>
      <c r="HD431" s="1606"/>
      <c r="HE431" s="1606"/>
      <c r="HF431" s="1606"/>
      <c r="HG431" s="1606"/>
      <c r="HH431" s="1606"/>
      <c r="HI431" s="1606"/>
      <c r="HJ431" s="1606"/>
      <c r="HK431" s="1606"/>
      <c r="HL431" s="1606"/>
      <c r="HM431" s="1606"/>
      <c r="HN431" s="1606"/>
      <c r="HO431" s="1606"/>
      <c r="HP431" s="1606"/>
      <c r="HQ431" s="1606"/>
      <c r="HR431" s="1606"/>
      <c r="HS431" s="1606"/>
      <c r="HT431" s="1606"/>
      <c r="HU431" s="1606"/>
      <c r="HV431" s="1606"/>
      <c r="HW431" s="1606"/>
      <c r="HX431" s="1606"/>
      <c r="HY431" s="1606"/>
      <c r="HZ431" s="1606"/>
      <c r="IA431" s="1606"/>
      <c r="IB431" s="1606"/>
      <c r="IC431" s="1606"/>
      <c r="ID431" s="1606"/>
      <c r="IE431" s="1606"/>
      <c r="IF431" s="1606"/>
      <c r="IG431" s="1606"/>
      <c r="IH431" s="1606"/>
      <c r="II431" s="1606"/>
      <c r="IJ431" s="1606"/>
      <c r="IK431" s="1606"/>
      <c r="IL431" s="1606"/>
      <c r="IM431" s="1606"/>
      <c r="IN431" s="1606"/>
      <c r="IO431" s="1606"/>
      <c r="IP431" s="1606"/>
      <c r="IQ431" s="1606"/>
      <c r="IR431" s="1606"/>
      <c r="IS431" s="1606"/>
      <c r="IT431" s="1606"/>
      <c r="IU431" s="1606"/>
      <c r="IV431" s="1606"/>
      <c r="IW431" s="1606"/>
      <c r="IX431" s="1606"/>
      <c r="IY431" s="1606"/>
      <c r="IZ431" s="1606"/>
      <c r="JA431" s="1606"/>
      <c r="JB431" s="1606"/>
      <c r="JC431" s="1606"/>
      <c r="JD431" s="1606"/>
      <c r="JE431" s="1606"/>
      <c r="JF431" s="1606"/>
      <c r="JG431" s="1606"/>
      <c r="JH431" s="1606"/>
      <c r="JI431" s="1606"/>
      <c r="JJ431" s="1606"/>
      <c r="JK431" s="1606"/>
      <c r="JL431" s="1606"/>
      <c r="JM431" s="1606"/>
      <c r="JN431" s="1606"/>
      <c r="JO431" s="1606"/>
      <c r="JP431" s="1606"/>
      <c r="JQ431" s="1606"/>
      <c r="JR431" s="1606"/>
      <c r="JS431" s="1606"/>
      <c r="JT431" s="1606"/>
      <c r="JU431" s="1606"/>
      <c r="JV431" s="1606"/>
      <c r="JW431" s="1606"/>
      <c r="JX431" s="1606"/>
      <c r="JY431" s="1606"/>
      <c r="JZ431" s="1606"/>
      <c r="KA431" s="1606"/>
      <c r="KB431" s="1606"/>
      <c r="KC431" s="1606"/>
      <c r="KD431" s="1606"/>
      <c r="KE431" s="1606"/>
      <c r="KF431" s="1606"/>
      <c r="KG431" s="1606"/>
      <c r="KH431" s="1606"/>
      <c r="KI431" s="1606"/>
      <c r="KJ431" s="1606"/>
      <c r="KK431" s="1606"/>
      <c r="KL431" s="1606"/>
      <c r="KM431" s="1606"/>
      <c r="KN431" s="1606"/>
      <c r="KO431" s="1606"/>
      <c r="KP431" s="1606"/>
      <c r="KQ431" s="1606"/>
      <c r="KR431" s="1606"/>
      <c r="KS431" s="1606"/>
      <c r="KT431" s="1606"/>
      <c r="KU431" s="1606"/>
      <c r="KV431" s="1606"/>
      <c r="KW431" s="1606"/>
      <c r="KX431" s="1606"/>
      <c r="KY431" s="1606"/>
      <c r="KZ431" s="1606"/>
      <c r="LA431" s="1606"/>
      <c r="LB431" s="1606"/>
      <c r="LC431" s="1606"/>
      <c r="LD431" s="1606"/>
      <c r="LE431" s="1606"/>
      <c r="LF431" s="1606"/>
      <c r="LG431" s="1606"/>
      <c r="LH431" s="1606"/>
      <c r="LI431" s="1606"/>
      <c r="LJ431" s="1606"/>
      <c r="LK431" s="1606"/>
      <c r="LL431" s="1606"/>
      <c r="LM431" s="1606"/>
      <c r="LN431" s="1606"/>
      <c r="LO431" s="1606"/>
      <c r="LP431" s="1606"/>
      <c r="LQ431" s="1606"/>
      <c r="LR431" s="1606"/>
      <c r="LS431" s="1606"/>
      <c r="LT431" s="1606"/>
      <c r="LU431" s="1606"/>
      <c r="LV431" s="1606"/>
      <c r="LW431" s="1606"/>
      <c r="LX431" s="1606"/>
      <c r="LY431" s="1606"/>
      <c r="LZ431" s="1606"/>
      <c r="MA431" s="1606"/>
      <c r="MB431" s="1606"/>
      <c r="MC431" s="1606"/>
      <c r="MD431" s="1606"/>
      <c r="ME431" s="1606"/>
      <c r="MF431" s="1606"/>
      <c r="MG431" s="1606"/>
      <c r="MH431" s="1606"/>
      <c r="MI431" s="1606"/>
      <c r="MJ431" s="1606"/>
      <c r="MK431" s="1606"/>
      <c r="ML431" s="1606"/>
      <c r="MM431" s="1606"/>
      <c r="MN431" s="1606"/>
      <c r="MO431" s="1606"/>
      <c r="MP431" s="1606"/>
      <c r="MQ431" s="1606"/>
      <c r="MR431" s="1606"/>
      <c r="MS431" s="1606"/>
      <c r="MT431" s="1606"/>
      <c r="MU431" s="1606"/>
      <c r="MV431" s="1606"/>
      <c r="MW431" s="1606"/>
      <c r="MX431" s="1606"/>
      <c r="MY431" s="1606"/>
      <c r="MZ431" s="1606"/>
      <c r="NA431" s="1606"/>
      <c r="NB431" s="1606"/>
      <c r="NC431" s="1606"/>
      <c r="ND431" s="1606"/>
      <c r="NE431" s="1606"/>
      <c r="NF431" s="1606"/>
      <c r="NG431" s="1606"/>
      <c r="NH431" s="1606"/>
      <c r="NI431" s="1606"/>
      <c r="NJ431" s="1606"/>
      <c r="NK431" s="1606"/>
      <c r="NL431" s="1606"/>
      <c r="NM431" s="1606"/>
      <c r="NN431" s="1606"/>
      <c r="NO431" s="1606"/>
      <c r="NP431" s="1606"/>
      <c r="NQ431" s="1606"/>
      <c r="NR431" s="1606"/>
      <c r="NS431" s="1606"/>
      <c r="NT431" s="1606"/>
      <c r="NU431" s="1606"/>
      <c r="NV431" s="1606"/>
      <c r="NW431" s="1606"/>
      <c r="NX431" s="1606"/>
      <c r="NY431" s="1606"/>
      <c r="NZ431" s="1606"/>
      <c r="OA431" s="1606"/>
      <c r="OB431" s="1606"/>
      <c r="OC431" s="1606"/>
      <c r="OD431" s="1606"/>
      <c r="OE431" s="1606"/>
      <c r="OF431" s="1606"/>
      <c r="OG431" s="1606"/>
      <c r="OH431" s="1606"/>
      <c r="OI431" s="1606"/>
      <c r="OJ431" s="1606"/>
      <c r="OK431" s="1606"/>
      <c r="OL431" s="1606"/>
      <c r="OM431" s="1606"/>
      <c r="ON431" s="1606"/>
      <c r="OO431" s="1606"/>
      <c r="OP431" s="1606"/>
      <c r="OQ431" s="1606"/>
    </row>
    <row r="432" spans="1:407" ht="13" thickTop="1"/>
  </sheetData>
  <autoFilter ref="A1:OQ431" xr:uid="{00000000-0001-0000-1600-000000000000}"/>
  <phoneticPr fontId="13" type="noConversion"/>
  <pageMargins left="0.75" right="0.75" top="1" bottom="1" header="0.5" footer="0.5"/>
  <pageSetup paperSize="9" orientation="portrait" r:id="rId1"/>
  <headerFooter alignWithMargins="0">
    <oddHeader>&amp;A</oddHeader>
    <oddFooter>&amp;C&amp;"Calibri"&amp;11&amp;K000000Page &amp;P_x000D_&amp;1#&amp;"Calibri"&amp;10&amp;K000000Internal</oddFoot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38DE9-EF24-4755-8390-DDD6474A27C3}">
  <sheetPr codeName="Sheet38">
    <pageSetUpPr fitToPage="1"/>
  </sheetPr>
  <dimension ref="A1:AA63"/>
  <sheetViews>
    <sheetView showGridLines="0" zoomScale="60" zoomScaleNormal="60" workbookViewId="0">
      <selection activeCell="C77" sqref="C77"/>
    </sheetView>
  </sheetViews>
  <sheetFormatPr defaultColWidth="9.09765625" defaultRowHeight="12.5"/>
  <cols>
    <col min="1" max="1" width="131.09765625" style="1775" customWidth="1"/>
    <col min="2" max="2" width="17.796875" style="1775" customWidth="1"/>
    <col min="3" max="3" width="32" style="1775" customWidth="1"/>
    <col min="4" max="4" width="31.59765625" style="1775" customWidth="1"/>
    <col min="5" max="5" width="3.8984375" style="1773" hidden="1" customWidth="1"/>
    <col min="6" max="6" width="19.8984375" style="1774" hidden="1" customWidth="1"/>
    <col min="7" max="8" width="14.69921875" style="1774" hidden="1" customWidth="1"/>
    <col min="9" max="26" width="14.3984375" style="1775" hidden="1" customWidth="1"/>
    <col min="27" max="27" width="9.09765625" style="1775" hidden="1" customWidth="1"/>
    <col min="28" max="28" width="9.09765625" style="1775" customWidth="1"/>
    <col min="29" max="16384" width="9.09765625" style="1775"/>
  </cols>
  <sheetData>
    <row r="1" spans="1:26" ht="5.15" customHeight="1">
      <c r="A1" s="947" t="str">
        <f ca="1">กรอกข้อมูล!$G$64</f>
        <v/>
      </c>
      <c r="B1" s="947"/>
      <c r="C1" s="948"/>
      <c r="D1" s="948"/>
      <c r="I1" s="1774"/>
    </row>
    <row r="2" spans="1:26" ht="35.15" customHeight="1">
      <c r="A2" s="2166" t="str">
        <f ca="1">IF(A1="Expire",กรอกข้อมูล!$A$1,"                 สรุปผลประโยชน์ของสัญญาเพิ่มเติมค่ารักษาพยาบาล โรคร้ายโซชิลด์ และบันทึกสลักหลัง")</f>
        <v xml:space="preserve">                 สรุปผลประโยชน์ของสัญญาเพิ่มเติมค่ารักษาพยาบาล โรคร้ายโซชิลด์ และบันทึกสลักหลัง</v>
      </c>
      <c r="B2" s="2166"/>
      <c r="C2" s="2166"/>
      <c r="D2" s="2166"/>
      <c r="F2" s="1774" t="s">
        <v>1138</v>
      </c>
      <c r="G2" s="1776" t="str">
        <f>IF(กรอกข้อมูล!$E$70="YES","OK","NO")</f>
        <v>OK</v>
      </c>
      <c r="I2" s="1774" t="str">
        <f>IF(กรอกข้อมูล!D31="Full Coverage","",IF(กรอกข้อมูล!D31="Deductible","D",IF(กรอกข้อมูล!D31="Co-Payment","C","")))</f>
        <v/>
      </c>
    </row>
    <row r="3" spans="1:26" ht="5.15" customHeight="1">
      <c r="A3" s="953"/>
      <c r="B3" s="953"/>
      <c r="C3" s="948"/>
      <c r="D3" s="948"/>
      <c r="I3" s="1774"/>
    </row>
    <row r="4" spans="1:26" ht="30" customHeight="1">
      <c r="A4" s="954" t="str">
        <f>"  ลูกค้าคนพิเศษ:   "&amp;กรอกข้อมูล!$C$4</f>
        <v xml:space="preserve">  ลูกค้าคนพิเศษ:   คุณคนพิเศษ</v>
      </c>
      <c r="B4" s="955" t="str">
        <f>"เพศ : "&amp;กรอกข้อมูล!C6</f>
        <v>เพศ : หญิง</v>
      </c>
      <c r="C4" s="956" t="str">
        <f>"อายุ  "&amp;กรอกข้อมูล!C5&amp;" ปี"</f>
        <v>อายุ  44 ปี</v>
      </c>
      <c r="D4" s="957"/>
      <c r="F4" s="1777" t="s">
        <v>1009</v>
      </c>
      <c r="G4" s="1778">
        <f>กรอกข้อมูล!$C$5</f>
        <v>44</v>
      </c>
      <c r="I4" s="1774"/>
    </row>
    <row r="5" spans="1:26" s="1781" customFormat="1" ht="29.25" customHeight="1" thickBot="1">
      <c r="A5" s="2162" t="str">
        <f>IF(G2="no","ไม่คุ้มครอง","ตารางผลประโยชน์ (สัญญาเพิ่มเติม โรคร้ายโซชิลด์)  "&amp;G5&amp;"")</f>
        <v>ตารางผลประโยชน์ (สัญญาเพิ่มเติม โรคร้ายโซชิลด์)  0</v>
      </c>
      <c r="B5" s="2162"/>
      <c r="C5" s="2167" t="s">
        <v>2455</v>
      </c>
      <c r="D5" s="2167"/>
      <c r="E5" s="1773"/>
      <c r="F5" s="1779" t="s">
        <v>2436</v>
      </c>
      <c r="G5" s="1780">
        <f>กรอกข้อมูล!D32</f>
        <v>0</v>
      </c>
      <c r="H5" s="1779" t="str">
        <f>IF(G4&lt;11,"C","A")&amp;กรอกข้อมูล!$Z$32</f>
        <v>A</v>
      </c>
      <c r="I5" s="2159" t="s">
        <v>2456</v>
      </c>
      <c r="J5" s="2160"/>
      <c r="K5" s="2161"/>
      <c r="L5" s="2159" t="s">
        <v>2457</v>
      </c>
      <c r="M5" s="2160"/>
      <c r="N5" s="2161"/>
      <c r="O5" s="2159" t="s">
        <v>2458</v>
      </c>
      <c r="P5" s="2160"/>
      <c r="Q5" s="2161"/>
      <c r="R5" s="2159" t="s">
        <v>2459</v>
      </c>
      <c r="S5" s="2160"/>
      <c r="T5" s="2161"/>
      <c r="U5" s="2159" t="s">
        <v>2460</v>
      </c>
      <c r="V5" s="2160"/>
      <c r="W5" s="2161"/>
      <c r="X5" s="2159" t="s">
        <v>2461</v>
      </c>
      <c r="Y5" s="2160"/>
      <c r="Z5" s="2161"/>
    </row>
    <row r="6" spans="1:26" s="1781" customFormat="1" ht="29.25" customHeight="1">
      <c r="A6" s="2162" t="s">
        <v>2462</v>
      </c>
      <c r="B6" s="2163"/>
      <c r="C6" s="1782" t="str">
        <f>F6</f>
        <v/>
      </c>
      <c r="D6" s="1783" t="s">
        <v>8</v>
      </c>
      <c r="E6" s="1773"/>
      <c r="F6" s="1779" t="str">
        <f>IF($H$5="C1",I6,IF($H$5="C2",L6,IF($H$5="A1",O6,IF($H$5="A2",R6,IF($H$5="A3",U6,IF($H$5="A4",X6,""))))))</f>
        <v/>
      </c>
      <c r="G6" s="1780"/>
      <c r="H6" s="1779"/>
      <c r="I6" s="1784">
        <v>500000</v>
      </c>
      <c r="J6" s="1785"/>
      <c r="K6" s="1786"/>
      <c r="L6" s="1784">
        <v>1000000</v>
      </c>
      <c r="M6" s="1785"/>
      <c r="N6" s="1786"/>
      <c r="O6" s="1784">
        <v>500000</v>
      </c>
      <c r="P6" s="1785"/>
      <c r="Q6" s="1786"/>
      <c r="R6" s="1784">
        <v>1000000</v>
      </c>
      <c r="S6" s="1785"/>
      <c r="T6" s="1786"/>
      <c r="U6" s="1784">
        <v>3000000</v>
      </c>
      <c r="V6" s="1785"/>
      <c r="W6" s="1786"/>
      <c r="X6" s="1784">
        <v>10000000</v>
      </c>
      <c r="Y6" s="1785"/>
      <c r="Z6" s="1786"/>
    </row>
    <row r="7" spans="1:26" s="1781" customFormat="1" ht="29.25" customHeight="1">
      <c r="A7" s="2162" t="s">
        <v>2463</v>
      </c>
      <c r="B7" s="2163"/>
      <c r="C7" s="1787" t="str">
        <f>F7</f>
        <v/>
      </c>
      <c r="D7" s="1783" t="s">
        <v>8</v>
      </c>
      <c r="E7" s="1773"/>
      <c r="F7" s="1779" t="str">
        <f t="shared" ref="F7:F8" si="0">IF($H$5="C1",I7,IF($H$5="C2",L7,IF($H$5="A1",O7,IF($H$5="A2",R7,IF($H$5="A3",U7,IF($H$5="A4",X7,""))))))</f>
        <v/>
      </c>
      <c r="G7" s="1780"/>
      <c r="H7" s="1779"/>
      <c r="I7" s="1788">
        <f>I6*3</f>
        <v>1500000</v>
      </c>
      <c r="J7" s="1788"/>
      <c r="K7" s="1788"/>
      <c r="L7" s="1788">
        <f t="shared" ref="L7:X7" si="1">L6*3</f>
        <v>3000000</v>
      </c>
      <c r="M7" s="1788"/>
      <c r="N7" s="1788"/>
      <c r="O7" s="1788">
        <f t="shared" si="1"/>
        <v>1500000</v>
      </c>
      <c r="P7" s="1788"/>
      <c r="Q7" s="1788"/>
      <c r="R7" s="1788">
        <f t="shared" si="1"/>
        <v>3000000</v>
      </c>
      <c r="S7" s="1788"/>
      <c r="T7" s="1788"/>
      <c r="U7" s="1788">
        <f t="shared" si="1"/>
        <v>9000000</v>
      </c>
      <c r="V7" s="1788"/>
      <c r="W7" s="1788"/>
      <c r="X7" s="1788">
        <f t="shared" si="1"/>
        <v>30000000</v>
      </c>
      <c r="Y7" s="1788"/>
      <c r="Z7" s="1788"/>
    </row>
    <row r="8" spans="1:26" s="1781" customFormat="1" ht="29.25" customHeight="1" thickBot="1">
      <c r="A8" s="2162" t="s">
        <v>2464</v>
      </c>
      <c r="B8" s="2163"/>
      <c r="C8" s="2164" t="str">
        <f>F8</f>
        <v/>
      </c>
      <c r="D8" s="2165"/>
      <c r="E8" s="1773"/>
      <c r="F8" s="1779" t="str">
        <f t="shared" si="0"/>
        <v/>
      </c>
      <c r="G8" s="1780"/>
      <c r="H8" s="1779"/>
      <c r="I8" s="1789" t="s">
        <v>2465</v>
      </c>
      <c r="J8" s="1790"/>
      <c r="K8" s="1791"/>
      <c r="L8" s="1789" t="s">
        <v>2465</v>
      </c>
      <c r="M8" s="1790"/>
      <c r="N8" s="1791"/>
      <c r="O8" s="1789" t="s">
        <v>2466</v>
      </c>
      <c r="P8" s="1790"/>
      <c r="Q8" s="1791"/>
      <c r="R8" s="1789" t="s">
        <v>2466</v>
      </c>
      <c r="S8" s="1790"/>
      <c r="T8" s="1791"/>
      <c r="U8" s="1789" t="s">
        <v>2466</v>
      </c>
      <c r="V8" s="1790"/>
      <c r="W8" s="1791"/>
      <c r="X8" s="1789" t="s">
        <v>2466</v>
      </c>
      <c r="Y8" s="1790"/>
      <c r="Z8" s="1791"/>
    </row>
    <row r="9" spans="1:26" s="1781" customFormat="1" ht="38" thickBot="1">
      <c r="A9" s="1792" t="s">
        <v>73</v>
      </c>
      <c r="B9" s="1792" t="s">
        <v>1180</v>
      </c>
      <c r="C9" s="1792" t="s">
        <v>1181</v>
      </c>
      <c r="D9" s="1792" t="s">
        <v>2467</v>
      </c>
      <c r="E9" s="1793"/>
      <c r="F9" s="1794" t="s">
        <v>1180</v>
      </c>
      <c r="G9" s="1794" t="s">
        <v>1181</v>
      </c>
      <c r="H9" s="1794" t="s">
        <v>1182</v>
      </c>
      <c r="I9" s="1795" t="s">
        <v>1180</v>
      </c>
      <c r="J9" s="1795" t="s">
        <v>1181</v>
      </c>
      <c r="K9" s="1795" t="s">
        <v>1182</v>
      </c>
      <c r="L9" s="1795" t="s">
        <v>1180</v>
      </c>
      <c r="M9" s="1795" t="s">
        <v>1181</v>
      </c>
      <c r="N9" s="1795" t="s">
        <v>1182</v>
      </c>
      <c r="O9" s="1795" t="s">
        <v>1180</v>
      </c>
      <c r="P9" s="1795" t="s">
        <v>1181</v>
      </c>
      <c r="Q9" s="1795" t="s">
        <v>1182</v>
      </c>
      <c r="R9" s="1795" t="s">
        <v>1180</v>
      </c>
      <c r="S9" s="1795" t="s">
        <v>1181</v>
      </c>
      <c r="T9" s="1795" t="s">
        <v>1182</v>
      </c>
      <c r="U9" s="1795" t="s">
        <v>1180</v>
      </c>
      <c r="V9" s="1795" t="s">
        <v>1181</v>
      </c>
      <c r="W9" s="1795" t="s">
        <v>1182</v>
      </c>
      <c r="X9" s="1795" t="s">
        <v>1180</v>
      </c>
      <c r="Y9" s="1795" t="s">
        <v>1181</v>
      </c>
      <c r="Z9" s="1795" t="s">
        <v>1182</v>
      </c>
    </row>
    <row r="10" spans="1:26" s="1781" customFormat="1" ht="24.75" customHeight="1" thickTop="1">
      <c r="A10" s="2150" t="s">
        <v>1014</v>
      </c>
      <c r="B10" s="2151"/>
      <c r="C10" s="2151"/>
      <c r="D10" s="2153"/>
      <c r="E10" s="1796"/>
      <c r="F10" s="1797"/>
      <c r="G10" s="1797"/>
      <c r="H10" s="1798"/>
      <c r="I10" s="1799"/>
      <c r="J10" s="1799"/>
      <c r="K10" s="1800"/>
      <c r="L10" s="1801"/>
      <c r="M10" s="1801"/>
      <c r="N10" s="1802"/>
      <c r="O10" s="1801"/>
      <c r="P10" s="1801"/>
      <c r="Q10" s="1802"/>
      <c r="R10" s="1801"/>
      <c r="S10" s="1801"/>
      <c r="T10" s="1802"/>
      <c r="U10" s="1801"/>
      <c r="V10" s="1801"/>
      <c r="W10" s="1802"/>
      <c r="X10" s="1801"/>
      <c r="Y10" s="1801"/>
      <c r="Z10" s="1802"/>
    </row>
    <row r="11" spans="1:26" s="1781" customFormat="1" ht="50.25" customHeight="1">
      <c r="A11" s="1803" t="s">
        <v>2468</v>
      </c>
      <c r="B11" s="1804" t="str">
        <f>IF($G$2="No","ไม่คุ้มครอง",F11)</f>
        <v>ไม่คุ้มครอง</v>
      </c>
      <c r="C11" s="1805" t="s">
        <v>561</v>
      </c>
      <c r="D11" s="2132" t="str">
        <f>IF($G$2="No","ไม่คุ้มครอง",H11)</f>
        <v>-</v>
      </c>
      <c r="E11" s="1806"/>
      <c r="F11" s="1807" t="str">
        <f>IF($H$5="C1",I11,IF($H$5="C2",L11,IF($H$5="A1",O11,IF($H$5="A2",R11,IF($H$5="A3",U11,IF($H$5="A4",X11,"ไม่คุ้มครอง"))))))</f>
        <v>ไม่คุ้มครอง</v>
      </c>
      <c r="G11" s="1807" t="s">
        <v>561</v>
      </c>
      <c r="H11" s="2156" t="str">
        <f>IF($H$5="C1",K11,IF($H$5="C2",N11,IF($H$5="A1",Q11,IF($H$5="A2",T11,IF($H$5="A3",W11,IF($H$5="A4",Z11,"-"))))))</f>
        <v>-</v>
      </c>
      <c r="I11" s="1808" t="s">
        <v>2469</v>
      </c>
      <c r="J11" s="1809" t="s">
        <v>561</v>
      </c>
      <c r="K11" s="2145" t="s">
        <v>2470</v>
      </c>
      <c r="L11" s="1808" t="s">
        <v>2471</v>
      </c>
      <c r="M11" s="1809" t="s">
        <v>561</v>
      </c>
      <c r="N11" s="2145" t="s">
        <v>2472</v>
      </c>
      <c r="O11" s="1808" t="s">
        <v>2473</v>
      </c>
      <c r="P11" s="1809" t="s">
        <v>561</v>
      </c>
      <c r="Q11" s="2152" t="s">
        <v>2474</v>
      </c>
      <c r="R11" s="1808" t="s">
        <v>1186</v>
      </c>
      <c r="S11" s="1809" t="s">
        <v>561</v>
      </c>
      <c r="T11" s="2145" t="s">
        <v>2472</v>
      </c>
      <c r="U11" s="1808" t="s">
        <v>2475</v>
      </c>
      <c r="V11" s="1809" t="s">
        <v>561</v>
      </c>
      <c r="W11" s="2145" t="s">
        <v>2476</v>
      </c>
      <c r="X11" s="1808" t="s">
        <v>2477</v>
      </c>
      <c r="Y11" s="1809" t="s">
        <v>561</v>
      </c>
      <c r="Z11" s="2145" t="s">
        <v>2478</v>
      </c>
    </row>
    <row r="12" spans="1:26" s="1781" customFormat="1" ht="40" customHeight="1">
      <c r="A12" s="2148" t="s">
        <v>1196</v>
      </c>
      <c r="B12" s="2149"/>
      <c r="C12" s="2149"/>
      <c r="D12" s="2154"/>
      <c r="E12" s="1810"/>
      <c r="F12" s="1811"/>
      <c r="G12" s="1812"/>
      <c r="H12" s="2157"/>
      <c r="I12" s="1813"/>
      <c r="J12" s="1814"/>
      <c r="K12" s="2146"/>
      <c r="L12" s="1815"/>
      <c r="M12" s="1815"/>
      <c r="N12" s="2146"/>
      <c r="O12" s="1815"/>
      <c r="P12" s="1815"/>
      <c r="Q12" s="2146"/>
      <c r="R12" s="1815"/>
      <c r="S12" s="1815"/>
      <c r="T12" s="2146"/>
      <c r="U12" s="1815"/>
      <c r="V12" s="1815"/>
      <c r="W12" s="2146"/>
      <c r="X12" s="1815"/>
      <c r="Y12" s="1815"/>
      <c r="Z12" s="2146"/>
    </row>
    <row r="13" spans="1:26" s="1781" customFormat="1" ht="20.149999999999999" customHeight="1">
      <c r="A13" s="1816" t="s">
        <v>1197</v>
      </c>
      <c r="B13" s="1817" t="str">
        <f>IF($G$2="No","ไม่คุ้มครอง",F13)</f>
        <v>ไม่คุ้มครอง</v>
      </c>
      <c r="C13" s="1818" t="s">
        <v>561</v>
      </c>
      <c r="D13" s="2154"/>
      <c r="E13" s="1819"/>
      <c r="F13" s="1807" t="str">
        <f>IF($H$5="C1",I13,IF($H$5="C2",L13,IF($H$5="A1",O13,IF($H$5="A2",R13,IF($H$5="A3",U13,IF($H$5="A4",X13,"ไม่คุ้มครอง"))))))</f>
        <v>ไม่คุ้มครอง</v>
      </c>
      <c r="G13" s="1820" t="s">
        <v>561</v>
      </c>
      <c r="H13" s="2157"/>
      <c r="I13" s="1821" t="s">
        <v>1198</v>
      </c>
      <c r="J13" s="1821" t="s">
        <v>561</v>
      </c>
      <c r="K13" s="2146"/>
      <c r="L13" s="1821" t="s">
        <v>1198</v>
      </c>
      <c r="M13" s="1821" t="s">
        <v>561</v>
      </c>
      <c r="N13" s="2146"/>
      <c r="O13" s="1821" t="s">
        <v>1198</v>
      </c>
      <c r="P13" s="1821" t="s">
        <v>561</v>
      </c>
      <c r="Q13" s="2146"/>
      <c r="R13" s="1821" t="s">
        <v>1198</v>
      </c>
      <c r="S13" s="1821" t="s">
        <v>561</v>
      </c>
      <c r="T13" s="2146"/>
      <c r="U13" s="1821" t="s">
        <v>1198</v>
      </c>
      <c r="V13" s="1821" t="s">
        <v>561</v>
      </c>
      <c r="W13" s="2146"/>
      <c r="X13" s="1821" t="s">
        <v>1198</v>
      </c>
      <c r="Y13" s="1821" t="s">
        <v>561</v>
      </c>
      <c r="Z13" s="2146"/>
    </row>
    <row r="14" spans="1:26" s="1781" customFormat="1" ht="20.149999999999999" customHeight="1">
      <c r="A14" s="1822" t="s">
        <v>1199</v>
      </c>
      <c r="B14" s="1817" t="str">
        <f t="shared" ref="B14:C17" si="2">IF($G$2="No","ไม่คุ้มครอง",F14)</f>
        <v>ไม่คุ้มครอง</v>
      </c>
      <c r="C14" s="1818" t="s">
        <v>561</v>
      </c>
      <c r="D14" s="2154"/>
      <c r="E14" s="1823"/>
      <c r="F14" s="1807" t="str">
        <f>IF($H$5="C1",I14,IF($H$5="C2",L14,IF($H$5="A1",O14,IF($H$5="A2",R14,IF($H$5="A3",U14,IF($H$5="A4",X14,"ไม่คุ้มครอง"))))))</f>
        <v>ไม่คุ้มครอง</v>
      </c>
      <c r="G14" s="1820" t="s">
        <v>561</v>
      </c>
      <c r="H14" s="2157"/>
      <c r="I14" s="1821" t="s">
        <v>1198</v>
      </c>
      <c r="J14" s="1821" t="s">
        <v>561</v>
      </c>
      <c r="K14" s="2146"/>
      <c r="L14" s="1821" t="s">
        <v>1198</v>
      </c>
      <c r="M14" s="1821" t="s">
        <v>561</v>
      </c>
      <c r="N14" s="2146"/>
      <c r="O14" s="1821" t="s">
        <v>1198</v>
      </c>
      <c r="P14" s="1821" t="s">
        <v>561</v>
      </c>
      <c r="Q14" s="2146"/>
      <c r="R14" s="1821" t="s">
        <v>1198</v>
      </c>
      <c r="S14" s="1821" t="s">
        <v>561</v>
      </c>
      <c r="T14" s="2146"/>
      <c r="U14" s="1821" t="s">
        <v>1198</v>
      </c>
      <c r="V14" s="1821" t="s">
        <v>561</v>
      </c>
      <c r="W14" s="2146"/>
      <c r="X14" s="1821" t="s">
        <v>1198</v>
      </c>
      <c r="Y14" s="1821" t="s">
        <v>561</v>
      </c>
      <c r="Z14" s="2146"/>
    </row>
    <row r="15" spans="1:26" s="1781" customFormat="1" ht="20.149999999999999" customHeight="1">
      <c r="A15" s="1816" t="s">
        <v>1200</v>
      </c>
      <c r="B15" s="1817" t="str">
        <f t="shared" si="2"/>
        <v>ไม่คุ้มครอง</v>
      </c>
      <c r="C15" s="1818" t="s">
        <v>561</v>
      </c>
      <c r="D15" s="2154"/>
      <c r="E15" s="1824"/>
      <c r="F15" s="1807" t="str">
        <f>IF($H$5="C1",I15,IF($H$5="C2",L15,IF($H$5="A1",O15,IF($H$5="A2",R15,IF($H$5="A3",U15,IF($H$5="A4",X15,"ไม่คุ้มครอง"))))))</f>
        <v>ไม่คุ้มครอง</v>
      </c>
      <c r="G15" s="1820" t="s">
        <v>561</v>
      </c>
      <c r="H15" s="2157"/>
      <c r="I15" s="1821" t="s">
        <v>1198</v>
      </c>
      <c r="J15" s="1821" t="s">
        <v>561</v>
      </c>
      <c r="K15" s="2146"/>
      <c r="L15" s="1821" t="s">
        <v>1198</v>
      </c>
      <c r="M15" s="1821" t="s">
        <v>561</v>
      </c>
      <c r="N15" s="2146"/>
      <c r="O15" s="1821" t="s">
        <v>1198</v>
      </c>
      <c r="P15" s="1821" t="s">
        <v>561</v>
      </c>
      <c r="Q15" s="2146"/>
      <c r="R15" s="1821" t="s">
        <v>1198</v>
      </c>
      <c r="S15" s="1821" t="s">
        <v>561</v>
      </c>
      <c r="T15" s="2146"/>
      <c r="U15" s="1821" t="s">
        <v>1198</v>
      </c>
      <c r="V15" s="1821" t="s">
        <v>561</v>
      </c>
      <c r="W15" s="2146"/>
      <c r="X15" s="1821" t="s">
        <v>1198</v>
      </c>
      <c r="Y15" s="1821" t="s">
        <v>561</v>
      </c>
      <c r="Z15" s="2146"/>
    </row>
    <row r="16" spans="1:26" s="1781" customFormat="1" ht="50.15" customHeight="1">
      <c r="A16" s="1825" t="s">
        <v>1201</v>
      </c>
      <c r="B16" s="1817" t="str">
        <f t="shared" si="2"/>
        <v>ไม่คุ้มครอง</v>
      </c>
      <c r="C16" s="1817" t="str">
        <f t="shared" si="2"/>
        <v>-</v>
      </c>
      <c r="D16" s="2154"/>
      <c r="E16" s="1823"/>
      <c r="F16" s="1807" t="str">
        <f>IF($H$5="C1",I16,IF($H$5="C2",L16,IF($H$5="A1",O16,IF($H$5="A2",R16,IF($H$5="A3",U16,IF($H$5="A4",X16,"ไม่คุ้มครอง"))))))</f>
        <v>ไม่คุ้มครอง</v>
      </c>
      <c r="G16" s="1820" t="str">
        <f>IF($H$5="C1",J16,IF($H$5="C2",M16,IF($H$5="A1",P16,IF($H$5="A2",S16,IF($H$5="A3",V16,IF($H$5="A4",Y16,"-"))))))</f>
        <v>-</v>
      </c>
      <c r="H16" s="2157"/>
      <c r="I16" s="1821" t="s">
        <v>1198</v>
      </c>
      <c r="J16" s="1821" t="s">
        <v>1038</v>
      </c>
      <c r="K16" s="2146"/>
      <c r="L16" s="1821" t="s">
        <v>1198</v>
      </c>
      <c r="M16" s="1821" t="s">
        <v>1038</v>
      </c>
      <c r="N16" s="2146"/>
      <c r="O16" s="1821" t="s">
        <v>1198</v>
      </c>
      <c r="P16" s="1821" t="s">
        <v>1038</v>
      </c>
      <c r="Q16" s="2146"/>
      <c r="R16" s="1821" t="s">
        <v>1198</v>
      </c>
      <c r="S16" s="1821" t="s">
        <v>1038</v>
      </c>
      <c r="T16" s="2146"/>
      <c r="U16" s="1821" t="s">
        <v>1198</v>
      </c>
      <c r="V16" s="1821" t="s">
        <v>1038</v>
      </c>
      <c r="W16" s="2146"/>
      <c r="X16" s="1821" t="s">
        <v>1198</v>
      </c>
      <c r="Y16" s="1821" t="s">
        <v>1038</v>
      </c>
      <c r="Z16" s="2146"/>
    </row>
    <row r="17" spans="1:26" s="1781" customFormat="1" ht="40" customHeight="1">
      <c r="A17" s="1826" t="s">
        <v>1202</v>
      </c>
      <c r="B17" s="1817" t="str">
        <f t="shared" si="2"/>
        <v>ไม่คุ้มครอง</v>
      </c>
      <c r="C17" s="1818" t="s">
        <v>561</v>
      </c>
      <c r="D17" s="2154"/>
      <c r="E17" s="1824"/>
      <c r="F17" s="1807" t="str">
        <f>IF($H$5="C1",I17,IF($H$5="C2",L17,IF($H$5="A1",O17,IF($H$5="A2",R17,IF($H$5="A3",U17,IF($H$5="A4",X17,"ไม่คุ้มครอง"))))))</f>
        <v>ไม่คุ้มครอง</v>
      </c>
      <c r="G17" s="1820" t="s">
        <v>561</v>
      </c>
      <c r="H17" s="2157"/>
      <c r="I17" s="1821" t="s">
        <v>1198</v>
      </c>
      <c r="J17" s="1821" t="s">
        <v>561</v>
      </c>
      <c r="K17" s="2146"/>
      <c r="L17" s="1821" t="s">
        <v>1198</v>
      </c>
      <c r="M17" s="1821" t="s">
        <v>561</v>
      </c>
      <c r="N17" s="2146"/>
      <c r="O17" s="1821" t="s">
        <v>1198</v>
      </c>
      <c r="P17" s="1821" t="s">
        <v>561</v>
      </c>
      <c r="Q17" s="2146"/>
      <c r="R17" s="1821" t="s">
        <v>1198</v>
      </c>
      <c r="S17" s="1821" t="s">
        <v>561</v>
      </c>
      <c r="T17" s="2146"/>
      <c r="U17" s="1821" t="s">
        <v>1198</v>
      </c>
      <c r="V17" s="1821" t="s">
        <v>561</v>
      </c>
      <c r="W17" s="2146"/>
      <c r="X17" s="1821" t="s">
        <v>1198</v>
      </c>
      <c r="Y17" s="1821" t="s">
        <v>561</v>
      </c>
      <c r="Z17" s="2146"/>
    </row>
    <row r="18" spans="1:26" s="1781" customFormat="1" ht="20.149999999999999" customHeight="1">
      <c r="A18" s="2148" t="s">
        <v>1205</v>
      </c>
      <c r="B18" s="2149"/>
      <c r="C18" s="2149"/>
      <c r="D18" s="2154"/>
      <c r="E18" s="1810"/>
      <c r="F18" s="1811"/>
      <c r="G18" s="1812"/>
      <c r="H18" s="2157"/>
      <c r="I18" s="1813"/>
      <c r="J18" s="1814"/>
      <c r="K18" s="2146"/>
      <c r="L18" s="1815"/>
      <c r="M18" s="1815"/>
      <c r="N18" s="2146"/>
      <c r="O18" s="1815"/>
      <c r="P18" s="1815"/>
      <c r="Q18" s="2146"/>
      <c r="R18" s="1815"/>
      <c r="S18" s="1815"/>
      <c r="T18" s="2146"/>
      <c r="U18" s="1815"/>
      <c r="V18" s="1815"/>
      <c r="W18" s="2146"/>
      <c r="X18" s="1815"/>
      <c r="Y18" s="1815"/>
      <c r="Z18" s="2146"/>
    </row>
    <row r="19" spans="1:26" s="1781" customFormat="1" ht="20.149999999999999" customHeight="1">
      <c r="A19" s="1816" t="s">
        <v>1206</v>
      </c>
      <c r="B19" s="1817" t="str">
        <f>IF($G$2="No","ไม่คุ้มครอง",F19)</f>
        <v>ไม่คุ้มครอง</v>
      </c>
      <c r="C19" s="1818" t="s">
        <v>561</v>
      </c>
      <c r="D19" s="2154"/>
      <c r="E19" s="1819"/>
      <c r="F19" s="1807" t="str">
        <f t="shared" ref="F19:F24" si="3">IF($H$5="C1",I19,IF($H$5="C2",L19,IF($H$5="A1",O19,IF($H$5="A2",R19,IF($H$5="A3",U19,IF($H$5="A4",X19,"ไม่คุ้มครอง"))))))</f>
        <v>ไม่คุ้มครอง</v>
      </c>
      <c r="G19" s="1820" t="s">
        <v>561</v>
      </c>
      <c r="H19" s="2157"/>
      <c r="I19" s="1821" t="s">
        <v>1198</v>
      </c>
      <c r="J19" s="1821" t="s">
        <v>561</v>
      </c>
      <c r="K19" s="2146"/>
      <c r="L19" s="1821" t="s">
        <v>1198</v>
      </c>
      <c r="M19" s="1821" t="s">
        <v>561</v>
      </c>
      <c r="N19" s="2146"/>
      <c r="O19" s="1821" t="s">
        <v>1198</v>
      </c>
      <c r="P19" s="1821" t="s">
        <v>561</v>
      </c>
      <c r="Q19" s="2146"/>
      <c r="R19" s="1821" t="s">
        <v>1198</v>
      </c>
      <c r="S19" s="1821" t="s">
        <v>561</v>
      </c>
      <c r="T19" s="2146"/>
      <c r="U19" s="1821" t="s">
        <v>1198</v>
      </c>
      <c r="V19" s="1821" t="s">
        <v>561</v>
      </c>
      <c r="W19" s="2146"/>
      <c r="X19" s="1821" t="s">
        <v>1198</v>
      </c>
      <c r="Y19" s="1821" t="s">
        <v>561</v>
      </c>
      <c r="Z19" s="2146"/>
    </row>
    <row r="20" spans="1:26" s="1781" customFormat="1" ht="20.149999999999999" customHeight="1">
      <c r="A20" s="1827" t="s">
        <v>1207</v>
      </c>
      <c r="B20" s="1817" t="str">
        <f t="shared" ref="B20:B24" si="4">IF($G$2="No","ไม่คุ้มครอง",F20)</f>
        <v>ไม่คุ้มครอง</v>
      </c>
      <c r="C20" s="1818" t="s">
        <v>561</v>
      </c>
      <c r="D20" s="2154"/>
      <c r="E20" s="1823"/>
      <c r="F20" s="1807" t="str">
        <f t="shared" si="3"/>
        <v>ไม่คุ้มครอง</v>
      </c>
      <c r="G20" s="1820" t="s">
        <v>561</v>
      </c>
      <c r="H20" s="2157"/>
      <c r="I20" s="1821" t="s">
        <v>1198</v>
      </c>
      <c r="J20" s="1821" t="s">
        <v>561</v>
      </c>
      <c r="K20" s="2146"/>
      <c r="L20" s="1821" t="s">
        <v>1198</v>
      </c>
      <c r="M20" s="1821" t="s">
        <v>561</v>
      </c>
      <c r="N20" s="2146"/>
      <c r="O20" s="1821" t="s">
        <v>1198</v>
      </c>
      <c r="P20" s="1821" t="s">
        <v>561</v>
      </c>
      <c r="Q20" s="2146"/>
      <c r="R20" s="1821" t="s">
        <v>1198</v>
      </c>
      <c r="S20" s="1821" t="s">
        <v>561</v>
      </c>
      <c r="T20" s="2146"/>
      <c r="U20" s="1821" t="s">
        <v>1198</v>
      </c>
      <c r="V20" s="1821" t="s">
        <v>561</v>
      </c>
      <c r="W20" s="2146"/>
      <c r="X20" s="1821" t="s">
        <v>1198</v>
      </c>
      <c r="Y20" s="1821" t="s">
        <v>561</v>
      </c>
      <c r="Z20" s="2146"/>
    </row>
    <row r="21" spans="1:26" s="1781" customFormat="1" ht="20.149999999999999" customHeight="1">
      <c r="A21" s="1827" t="s">
        <v>1208</v>
      </c>
      <c r="B21" s="1817" t="str">
        <f t="shared" si="4"/>
        <v>ไม่คุ้มครอง</v>
      </c>
      <c r="C21" s="1818" t="s">
        <v>561</v>
      </c>
      <c r="D21" s="2154"/>
      <c r="E21" s="1828"/>
      <c r="F21" s="1807" t="str">
        <f t="shared" si="3"/>
        <v>ไม่คุ้มครอง</v>
      </c>
      <c r="G21" s="1820" t="s">
        <v>561</v>
      </c>
      <c r="H21" s="2157"/>
      <c r="I21" s="1821" t="s">
        <v>1198</v>
      </c>
      <c r="J21" s="1821" t="s">
        <v>561</v>
      </c>
      <c r="K21" s="2146"/>
      <c r="L21" s="1821" t="s">
        <v>1198</v>
      </c>
      <c r="M21" s="1821" t="s">
        <v>561</v>
      </c>
      <c r="N21" s="2146"/>
      <c r="O21" s="1821" t="s">
        <v>1198</v>
      </c>
      <c r="P21" s="1821" t="s">
        <v>561</v>
      </c>
      <c r="Q21" s="2146"/>
      <c r="R21" s="1821" t="s">
        <v>1198</v>
      </c>
      <c r="S21" s="1821" t="s">
        <v>561</v>
      </c>
      <c r="T21" s="2146"/>
      <c r="U21" s="1821" t="s">
        <v>1198</v>
      </c>
      <c r="V21" s="1821" t="s">
        <v>561</v>
      </c>
      <c r="W21" s="2146"/>
      <c r="X21" s="1821" t="s">
        <v>1198</v>
      </c>
      <c r="Y21" s="1821" t="s">
        <v>561</v>
      </c>
      <c r="Z21" s="2146"/>
    </row>
    <row r="22" spans="1:26" s="1781" customFormat="1" ht="20.149999999999999" customHeight="1">
      <c r="A22" s="1816" t="s">
        <v>1209</v>
      </c>
      <c r="B22" s="1817" t="str">
        <f t="shared" si="4"/>
        <v>ไม่คุ้มครอง</v>
      </c>
      <c r="C22" s="1818" t="s">
        <v>561</v>
      </c>
      <c r="D22" s="2154"/>
      <c r="E22" s="1828"/>
      <c r="F22" s="1807" t="str">
        <f t="shared" si="3"/>
        <v>ไม่คุ้มครอง</v>
      </c>
      <c r="G22" s="1820" t="s">
        <v>561</v>
      </c>
      <c r="H22" s="2157"/>
      <c r="I22" s="1821" t="s">
        <v>1198</v>
      </c>
      <c r="J22" s="1821" t="s">
        <v>561</v>
      </c>
      <c r="K22" s="2146"/>
      <c r="L22" s="1821" t="s">
        <v>1198</v>
      </c>
      <c r="M22" s="1821" t="s">
        <v>561</v>
      </c>
      <c r="N22" s="2146"/>
      <c r="O22" s="1821" t="s">
        <v>1198</v>
      </c>
      <c r="P22" s="1821" t="s">
        <v>561</v>
      </c>
      <c r="Q22" s="2146"/>
      <c r="R22" s="1821" t="s">
        <v>1198</v>
      </c>
      <c r="S22" s="1821" t="s">
        <v>561</v>
      </c>
      <c r="T22" s="2146"/>
      <c r="U22" s="1821" t="s">
        <v>1198</v>
      </c>
      <c r="V22" s="1821" t="s">
        <v>561</v>
      </c>
      <c r="W22" s="2146"/>
      <c r="X22" s="1821" t="s">
        <v>1198</v>
      </c>
      <c r="Y22" s="1821" t="s">
        <v>561</v>
      </c>
      <c r="Z22" s="2146"/>
    </row>
    <row r="23" spans="1:26" s="1781" customFormat="1" ht="20.149999999999999" customHeight="1">
      <c r="A23" s="1816" t="s">
        <v>1210</v>
      </c>
      <c r="B23" s="1817" t="str">
        <f t="shared" si="4"/>
        <v>ไม่คุ้มครอง</v>
      </c>
      <c r="C23" s="1818" t="s">
        <v>561</v>
      </c>
      <c r="D23" s="2154"/>
      <c r="E23" s="1823"/>
      <c r="F23" s="1807" t="str">
        <f t="shared" si="3"/>
        <v>ไม่คุ้มครอง</v>
      </c>
      <c r="G23" s="1820" t="s">
        <v>561</v>
      </c>
      <c r="H23" s="2157"/>
      <c r="I23" s="1821" t="s">
        <v>1198</v>
      </c>
      <c r="J23" s="1821" t="s">
        <v>561</v>
      </c>
      <c r="K23" s="2146"/>
      <c r="L23" s="1821" t="s">
        <v>1198</v>
      </c>
      <c r="M23" s="1821" t="s">
        <v>561</v>
      </c>
      <c r="N23" s="2146"/>
      <c r="O23" s="1821" t="s">
        <v>1198</v>
      </c>
      <c r="P23" s="1821" t="s">
        <v>561</v>
      </c>
      <c r="Q23" s="2146"/>
      <c r="R23" s="1821" t="s">
        <v>1198</v>
      </c>
      <c r="S23" s="1821" t="s">
        <v>561</v>
      </c>
      <c r="T23" s="2146"/>
      <c r="U23" s="1821" t="s">
        <v>1198</v>
      </c>
      <c r="V23" s="1821" t="s">
        <v>561</v>
      </c>
      <c r="W23" s="2146"/>
      <c r="X23" s="1821" t="s">
        <v>1198</v>
      </c>
      <c r="Y23" s="1821" t="s">
        <v>561</v>
      </c>
      <c r="Z23" s="2146"/>
    </row>
    <row r="24" spans="1:26" s="1781" customFormat="1" ht="20.149999999999999" customHeight="1">
      <c r="A24" s="1829" t="s">
        <v>1211</v>
      </c>
      <c r="B24" s="1817" t="str">
        <f t="shared" si="4"/>
        <v>ไม่คุ้มครอง</v>
      </c>
      <c r="C24" s="1818" t="s">
        <v>561</v>
      </c>
      <c r="D24" s="2154"/>
      <c r="E24" s="1823"/>
      <c r="F24" s="1807" t="str">
        <f t="shared" si="3"/>
        <v>ไม่คุ้มครอง</v>
      </c>
      <c r="G24" s="1820" t="s">
        <v>561</v>
      </c>
      <c r="H24" s="2157"/>
      <c r="I24" s="1821" t="s">
        <v>1198</v>
      </c>
      <c r="J24" s="1821" t="s">
        <v>561</v>
      </c>
      <c r="K24" s="2146"/>
      <c r="L24" s="1821" t="s">
        <v>1198</v>
      </c>
      <c r="M24" s="1821" t="s">
        <v>561</v>
      </c>
      <c r="N24" s="2146"/>
      <c r="O24" s="1821" t="s">
        <v>1198</v>
      </c>
      <c r="P24" s="1821" t="s">
        <v>561</v>
      </c>
      <c r="Q24" s="2146"/>
      <c r="R24" s="1821" t="s">
        <v>1198</v>
      </c>
      <c r="S24" s="1821" t="s">
        <v>561</v>
      </c>
      <c r="T24" s="2146"/>
      <c r="U24" s="1821" t="s">
        <v>1198</v>
      </c>
      <c r="V24" s="1821" t="s">
        <v>561</v>
      </c>
      <c r="W24" s="2146"/>
      <c r="X24" s="1821" t="s">
        <v>1198</v>
      </c>
      <c r="Y24" s="1821" t="s">
        <v>561</v>
      </c>
      <c r="Z24" s="2146"/>
    </row>
    <row r="25" spans="1:26" s="1836" customFormat="1" ht="22.5" customHeight="1">
      <c r="A25" s="2150" t="s">
        <v>1022</v>
      </c>
      <c r="B25" s="2151"/>
      <c r="C25" s="2151"/>
      <c r="D25" s="2154"/>
      <c r="E25" s="1830"/>
      <c r="F25" s="1831"/>
      <c r="G25" s="1832"/>
      <c r="H25" s="2157"/>
      <c r="I25" s="1833"/>
      <c r="J25" s="1834"/>
      <c r="K25" s="2146"/>
      <c r="L25" s="1835"/>
      <c r="M25" s="1835"/>
      <c r="N25" s="2146"/>
      <c r="O25" s="1835"/>
      <c r="P25" s="1835"/>
      <c r="Q25" s="2146"/>
      <c r="R25" s="1835"/>
      <c r="S25" s="1835"/>
      <c r="T25" s="2146"/>
      <c r="U25" s="1835"/>
      <c r="V25" s="1835"/>
      <c r="W25" s="2146"/>
      <c r="X25" s="1835"/>
      <c r="Y25" s="1835"/>
      <c r="Z25" s="2146"/>
    </row>
    <row r="26" spans="1:26" s="1781" customFormat="1" ht="40" customHeight="1">
      <c r="A26" s="2148" t="s">
        <v>1212</v>
      </c>
      <c r="B26" s="2149"/>
      <c r="C26" s="2149"/>
      <c r="D26" s="2154"/>
      <c r="E26" s="1806"/>
      <c r="F26" s="1811"/>
      <c r="G26" s="1812"/>
      <c r="H26" s="2157"/>
      <c r="I26" s="1813"/>
      <c r="J26" s="1814"/>
      <c r="K26" s="2146"/>
      <c r="L26" s="1815"/>
      <c r="M26" s="1815"/>
      <c r="N26" s="2146"/>
      <c r="O26" s="1815"/>
      <c r="P26" s="1815"/>
      <c r="Q26" s="2146"/>
      <c r="R26" s="1815"/>
      <c r="S26" s="1815"/>
      <c r="T26" s="2146"/>
      <c r="U26" s="1815"/>
      <c r="V26" s="1815"/>
      <c r="W26" s="2146"/>
      <c r="X26" s="1815"/>
      <c r="Y26" s="1815"/>
      <c r="Z26" s="2146"/>
    </row>
    <row r="27" spans="1:26" s="1781" customFormat="1" ht="20.149999999999999" customHeight="1">
      <c r="A27" s="1827" t="s">
        <v>1213</v>
      </c>
      <c r="B27" s="1817" t="str">
        <f>IF($G$2="No","ไม่คุ้มครอง",F27)</f>
        <v>ไม่คุ้มครอง</v>
      </c>
      <c r="C27" s="1817" t="s">
        <v>561</v>
      </c>
      <c r="D27" s="2154"/>
      <c r="E27" s="1819"/>
      <c r="F27" s="1807" t="str">
        <f t="shared" ref="F27:F35" si="5">IF($H$5="C1",I27,IF($H$5="C2",L27,IF($H$5="A1",O27,IF($H$5="A2",R27,IF($H$5="A3",U27,IF($H$5="A4",X27,"ไม่คุ้มครอง"))))))</f>
        <v>ไม่คุ้มครอง</v>
      </c>
      <c r="G27" s="1820" t="s">
        <v>561</v>
      </c>
      <c r="H27" s="2157"/>
      <c r="I27" s="1821" t="s">
        <v>1198</v>
      </c>
      <c r="J27" s="1821" t="s">
        <v>561</v>
      </c>
      <c r="K27" s="2146"/>
      <c r="L27" s="1821" t="s">
        <v>1198</v>
      </c>
      <c r="M27" s="1821" t="s">
        <v>561</v>
      </c>
      <c r="N27" s="2146"/>
      <c r="O27" s="1821" t="s">
        <v>1198</v>
      </c>
      <c r="P27" s="1821" t="s">
        <v>561</v>
      </c>
      <c r="Q27" s="2146"/>
      <c r="R27" s="1821" t="s">
        <v>1198</v>
      </c>
      <c r="S27" s="1821" t="s">
        <v>561</v>
      </c>
      <c r="T27" s="2146"/>
      <c r="U27" s="1821" t="s">
        <v>1198</v>
      </c>
      <c r="V27" s="1821" t="s">
        <v>561</v>
      </c>
      <c r="W27" s="2146"/>
      <c r="X27" s="1821" t="s">
        <v>1198</v>
      </c>
      <c r="Y27" s="1821" t="s">
        <v>561</v>
      </c>
      <c r="Z27" s="2146"/>
    </row>
    <row r="28" spans="1:26" s="1781" customFormat="1" ht="40" customHeight="1">
      <c r="A28" s="1837" t="s">
        <v>1214</v>
      </c>
      <c r="B28" s="1817" t="str">
        <f t="shared" ref="B28:C35" si="6">IF($G$2="No","ไม่คุ้มครอง",F28)</f>
        <v>ไม่คุ้มครอง</v>
      </c>
      <c r="C28" s="1817" t="str">
        <f t="shared" si="6"/>
        <v>-</v>
      </c>
      <c r="D28" s="2154"/>
      <c r="E28" s="1828"/>
      <c r="F28" s="1807" t="str">
        <f t="shared" si="5"/>
        <v>ไม่คุ้มครอง</v>
      </c>
      <c r="G28" s="1820" t="str">
        <f>IF($H$5="C1",J28,IF($H$5="C2",M28,IF($H$5="A1",P28,IF($H$5="A2",S28,IF($H$5="A3",V28,IF($H$5="A4",Y28,"-"))))))</f>
        <v>-</v>
      </c>
      <c r="H28" s="2157"/>
      <c r="I28" s="1821" t="s">
        <v>1198</v>
      </c>
      <c r="J28" s="1821" t="s">
        <v>1215</v>
      </c>
      <c r="K28" s="2146"/>
      <c r="L28" s="1821" t="s">
        <v>1198</v>
      </c>
      <c r="M28" s="1821" t="s">
        <v>1215</v>
      </c>
      <c r="N28" s="2146"/>
      <c r="O28" s="1821" t="s">
        <v>1198</v>
      </c>
      <c r="P28" s="1821" t="s">
        <v>1215</v>
      </c>
      <c r="Q28" s="2146"/>
      <c r="R28" s="1821" t="s">
        <v>1198</v>
      </c>
      <c r="S28" s="1821" t="s">
        <v>1215</v>
      </c>
      <c r="T28" s="2146"/>
      <c r="U28" s="1821" t="s">
        <v>1198</v>
      </c>
      <c r="V28" s="1821" t="s">
        <v>1215</v>
      </c>
      <c r="W28" s="2146"/>
      <c r="X28" s="1821" t="s">
        <v>1198</v>
      </c>
      <c r="Y28" s="1821" t="s">
        <v>1215</v>
      </c>
      <c r="Z28" s="2146"/>
    </row>
    <row r="29" spans="1:26" s="1781" customFormat="1" ht="20.149999999999999" customHeight="1">
      <c r="A29" s="1829" t="s">
        <v>1216</v>
      </c>
      <c r="B29" s="1817" t="str">
        <f t="shared" si="6"/>
        <v>ไม่คุ้มครอง</v>
      </c>
      <c r="C29" s="1838" t="s">
        <v>561</v>
      </c>
      <c r="D29" s="2154"/>
      <c r="E29" s="1828"/>
      <c r="F29" s="1807" t="str">
        <f t="shared" si="5"/>
        <v>ไม่คุ้มครอง</v>
      </c>
      <c r="G29" s="1820" t="s">
        <v>561</v>
      </c>
      <c r="H29" s="2157"/>
      <c r="I29" s="1821" t="s">
        <v>538</v>
      </c>
      <c r="J29" s="1821" t="s">
        <v>561</v>
      </c>
      <c r="K29" s="2146"/>
      <c r="L29" s="1821" t="s">
        <v>538</v>
      </c>
      <c r="M29" s="1821" t="s">
        <v>561</v>
      </c>
      <c r="N29" s="2146"/>
      <c r="O29" s="1821" t="s">
        <v>538</v>
      </c>
      <c r="P29" s="1821" t="s">
        <v>561</v>
      </c>
      <c r="Q29" s="2146"/>
      <c r="R29" s="1821" t="s">
        <v>538</v>
      </c>
      <c r="S29" s="1821" t="s">
        <v>561</v>
      </c>
      <c r="T29" s="2146"/>
      <c r="U29" s="1821" t="s">
        <v>538</v>
      </c>
      <c r="V29" s="1821" t="s">
        <v>561</v>
      </c>
      <c r="W29" s="2146"/>
      <c r="X29" s="1821" t="s">
        <v>538</v>
      </c>
      <c r="Y29" s="1821" t="s">
        <v>561</v>
      </c>
      <c r="Z29" s="2146"/>
    </row>
    <row r="30" spans="1:26" s="1781" customFormat="1" ht="37.5">
      <c r="A30" s="1829" t="s">
        <v>1217</v>
      </c>
      <c r="B30" s="1817" t="str">
        <f t="shared" si="6"/>
        <v>ไม่คุ้มครอง</v>
      </c>
      <c r="C30" s="1839" t="str">
        <f>IF($G$2="No","ไม่คุ้มครอง",G30)</f>
        <v>-</v>
      </c>
      <c r="D30" s="2154"/>
      <c r="E30" s="1830"/>
      <c r="F30" s="1807" t="str">
        <f t="shared" si="5"/>
        <v>ไม่คุ้มครอง</v>
      </c>
      <c r="G30" s="1820" t="str">
        <f>IF($H$5="C1",J30,IF($H$5="C2",M30,IF($H$5="A1",P30,IF($H$5="A2",S30,IF($H$5="A3",V30,IF($H$5="A4",Y30,"-"))))))</f>
        <v>-</v>
      </c>
      <c r="H30" s="2157"/>
      <c r="I30" s="1821" t="s">
        <v>538</v>
      </c>
      <c r="J30" s="1821" t="s">
        <v>561</v>
      </c>
      <c r="K30" s="2146"/>
      <c r="L30" s="1821" t="s">
        <v>2479</v>
      </c>
      <c r="M30" s="1821" t="s">
        <v>2480</v>
      </c>
      <c r="N30" s="2146"/>
      <c r="O30" s="1821" t="s">
        <v>538</v>
      </c>
      <c r="P30" s="1821" t="s">
        <v>561</v>
      </c>
      <c r="Q30" s="2146"/>
      <c r="R30" s="1821" t="s">
        <v>2479</v>
      </c>
      <c r="S30" s="1821" t="s">
        <v>2480</v>
      </c>
      <c r="T30" s="2146"/>
      <c r="U30" s="1821" t="s">
        <v>2481</v>
      </c>
      <c r="V30" s="1821" t="s">
        <v>2480</v>
      </c>
      <c r="W30" s="2146"/>
      <c r="X30" s="1821" t="s">
        <v>1198</v>
      </c>
      <c r="Y30" s="1821" t="s">
        <v>2480</v>
      </c>
      <c r="Z30" s="2146"/>
    </row>
    <row r="31" spans="1:26" s="1781" customFormat="1" ht="20.149999999999999" customHeight="1">
      <c r="A31" s="1840" t="s">
        <v>1218</v>
      </c>
      <c r="B31" s="1817" t="str">
        <f t="shared" si="6"/>
        <v>ไม่คุ้มครอง</v>
      </c>
      <c r="C31" s="1838" t="s">
        <v>561</v>
      </c>
      <c r="D31" s="2154"/>
      <c r="E31" s="1830"/>
      <c r="F31" s="1807" t="str">
        <f t="shared" si="5"/>
        <v>ไม่คุ้มครอง</v>
      </c>
      <c r="G31" s="1820" t="s">
        <v>561</v>
      </c>
      <c r="H31" s="2157"/>
      <c r="I31" s="1821" t="s">
        <v>538</v>
      </c>
      <c r="J31" s="1821" t="s">
        <v>561</v>
      </c>
      <c r="K31" s="2146"/>
      <c r="L31" s="1821" t="s">
        <v>538</v>
      </c>
      <c r="M31" s="1821" t="s">
        <v>561</v>
      </c>
      <c r="N31" s="2146"/>
      <c r="O31" s="1821" t="s">
        <v>538</v>
      </c>
      <c r="P31" s="1821" t="s">
        <v>561</v>
      </c>
      <c r="Q31" s="2146"/>
      <c r="R31" s="1821" t="s">
        <v>538</v>
      </c>
      <c r="S31" s="1821" t="s">
        <v>561</v>
      </c>
      <c r="T31" s="2146"/>
      <c r="U31" s="1821" t="s">
        <v>538</v>
      </c>
      <c r="V31" s="1821" t="s">
        <v>561</v>
      </c>
      <c r="W31" s="2146"/>
      <c r="X31" s="1821" t="s">
        <v>538</v>
      </c>
      <c r="Y31" s="1821" t="s">
        <v>561</v>
      </c>
      <c r="Z31" s="2146"/>
    </row>
    <row r="32" spans="1:26" s="1781" customFormat="1" ht="40" customHeight="1">
      <c r="A32" s="1841" t="s">
        <v>1219</v>
      </c>
      <c r="B32" s="1817" t="str">
        <f t="shared" si="6"/>
        <v>ไม่คุ้มครอง</v>
      </c>
      <c r="C32" s="1838" t="s">
        <v>561</v>
      </c>
      <c r="D32" s="2154"/>
      <c r="E32" s="1842"/>
      <c r="F32" s="1807" t="str">
        <f t="shared" si="5"/>
        <v>ไม่คุ้มครอง</v>
      </c>
      <c r="G32" s="1820" t="s">
        <v>561</v>
      </c>
      <c r="H32" s="2157"/>
      <c r="I32" s="1821" t="s">
        <v>1198</v>
      </c>
      <c r="J32" s="1821" t="s">
        <v>561</v>
      </c>
      <c r="K32" s="2146"/>
      <c r="L32" s="1821" t="s">
        <v>1198</v>
      </c>
      <c r="M32" s="1821" t="s">
        <v>561</v>
      </c>
      <c r="N32" s="2146"/>
      <c r="O32" s="1821" t="s">
        <v>1198</v>
      </c>
      <c r="P32" s="1821" t="s">
        <v>561</v>
      </c>
      <c r="Q32" s="2146"/>
      <c r="R32" s="1821" t="s">
        <v>1198</v>
      </c>
      <c r="S32" s="1821" t="s">
        <v>561</v>
      </c>
      <c r="T32" s="2146"/>
      <c r="U32" s="1821" t="s">
        <v>1198</v>
      </c>
      <c r="V32" s="1821" t="s">
        <v>561</v>
      </c>
      <c r="W32" s="2146"/>
      <c r="X32" s="1821" t="s">
        <v>1198</v>
      </c>
      <c r="Y32" s="1821" t="s">
        <v>561</v>
      </c>
      <c r="Z32" s="2146"/>
    </row>
    <row r="33" spans="1:26" s="1781" customFormat="1" ht="20.149999999999999" customHeight="1">
      <c r="A33" s="1829" t="s">
        <v>1220</v>
      </c>
      <c r="B33" s="1817" t="str">
        <f t="shared" si="6"/>
        <v>ไม่คุ้มครอง</v>
      </c>
      <c r="C33" s="1838" t="s">
        <v>561</v>
      </c>
      <c r="D33" s="2154"/>
      <c r="E33" s="1842"/>
      <c r="F33" s="1807" t="str">
        <f t="shared" si="5"/>
        <v>ไม่คุ้มครอง</v>
      </c>
      <c r="G33" s="1820" t="s">
        <v>561</v>
      </c>
      <c r="H33" s="2157"/>
      <c r="I33" s="1821" t="s">
        <v>1198</v>
      </c>
      <c r="J33" s="1821" t="s">
        <v>561</v>
      </c>
      <c r="K33" s="2146"/>
      <c r="L33" s="1821" t="s">
        <v>1198</v>
      </c>
      <c r="M33" s="1821" t="s">
        <v>561</v>
      </c>
      <c r="N33" s="2146"/>
      <c r="O33" s="1821" t="s">
        <v>1198</v>
      </c>
      <c r="P33" s="1821" t="s">
        <v>561</v>
      </c>
      <c r="Q33" s="2146"/>
      <c r="R33" s="1821" t="s">
        <v>1198</v>
      </c>
      <c r="S33" s="1821" t="s">
        <v>561</v>
      </c>
      <c r="T33" s="2146"/>
      <c r="U33" s="1821" t="s">
        <v>1198</v>
      </c>
      <c r="V33" s="1821" t="s">
        <v>561</v>
      </c>
      <c r="W33" s="2146"/>
      <c r="X33" s="1821" t="s">
        <v>1198</v>
      </c>
      <c r="Y33" s="1821" t="s">
        <v>561</v>
      </c>
      <c r="Z33" s="2146"/>
    </row>
    <row r="34" spans="1:26" s="1781" customFormat="1" ht="20.149999999999999" customHeight="1">
      <c r="A34" s="1826" t="s">
        <v>1221</v>
      </c>
      <c r="B34" s="1817" t="str">
        <f>IF($G$2="No","ไม่คุ้มครอง",F34)</f>
        <v>ไม่คุ้มครอง</v>
      </c>
      <c r="C34" s="1838" t="s">
        <v>561</v>
      </c>
      <c r="D34" s="2154"/>
      <c r="E34" s="1830"/>
      <c r="F34" s="1807" t="str">
        <f t="shared" si="5"/>
        <v>ไม่คุ้มครอง</v>
      </c>
      <c r="G34" s="1820" t="s">
        <v>561</v>
      </c>
      <c r="H34" s="2157"/>
      <c r="I34" s="1821" t="s">
        <v>538</v>
      </c>
      <c r="J34" s="1821" t="s">
        <v>561</v>
      </c>
      <c r="K34" s="2146"/>
      <c r="L34" s="1821" t="s">
        <v>538</v>
      </c>
      <c r="M34" s="1821" t="s">
        <v>561</v>
      </c>
      <c r="N34" s="2146"/>
      <c r="O34" s="1821" t="s">
        <v>538</v>
      </c>
      <c r="P34" s="1821" t="s">
        <v>561</v>
      </c>
      <c r="Q34" s="2146"/>
      <c r="R34" s="1821" t="s">
        <v>538</v>
      </c>
      <c r="S34" s="1821" t="s">
        <v>561</v>
      </c>
      <c r="T34" s="2146"/>
      <c r="U34" s="1821" t="s">
        <v>538</v>
      </c>
      <c r="V34" s="1821" t="s">
        <v>561</v>
      </c>
      <c r="W34" s="2146"/>
      <c r="X34" s="1821" t="s">
        <v>538</v>
      </c>
      <c r="Y34" s="1821" t="s">
        <v>561</v>
      </c>
      <c r="Z34" s="2146"/>
    </row>
    <row r="35" spans="1:26" s="1781" customFormat="1" ht="20.149999999999999" customHeight="1" thickBot="1">
      <c r="A35" s="1843" t="s">
        <v>1222</v>
      </c>
      <c r="B35" s="1817" t="str">
        <f t="shared" si="6"/>
        <v>ไม่คุ้มครอง</v>
      </c>
      <c r="C35" s="1844" t="s">
        <v>561</v>
      </c>
      <c r="D35" s="2155"/>
      <c r="E35" s="1810"/>
      <c r="F35" s="1807" t="str">
        <f t="shared" si="5"/>
        <v>ไม่คุ้มครอง</v>
      </c>
      <c r="G35" s="1845" t="s">
        <v>561</v>
      </c>
      <c r="H35" s="2158"/>
      <c r="I35" s="1846" t="s">
        <v>1198</v>
      </c>
      <c r="J35" s="1846" t="s">
        <v>561</v>
      </c>
      <c r="K35" s="2147"/>
      <c r="L35" s="1846" t="s">
        <v>1198</v>
      </c>
      <c r="M35" s="1846" t="s">
        <v>561</v>
      </c>
      <c r="N35" s="2147"/>
      <c r="O35" s="1846" t="s">
        <v>1198</v>
      </c>
      <c r="P35" s="1846" t="s">
        <v>561</v>
      </c>
      <c r="Q35" s="2147"/>
      <c r="R35" s="1846" t="s">
        <v>1198</v>
      </c>
      <c r="S35" s="1846" t="s">
        <v>561</v>
      </c>
      <c r="T35" s="2147"/>
      <c r="U35" s="1846" t="s">
        <v>1198</v>
      </c>
      <c r="V35" s="1846" t="s">
        <v>561</v>
      </c>
      <c r="W35" s="2147"/>
      <c r="X35" s="1846" t="s">
        <v>1198</v>
      </c>
      <c r="Y35" s="1846" t="s">
        <v>561</v>
      </c>
      <c r="Z35" s="2147"/>
    </row>
    <row r="36" spans="1:26" s="1781" customFormat="1" ht="20.149999999999999" customHeight="1">
      <c r="A36" s="2139" t="s">
        <v>1023</v>
      </c>
      <c r="B36" s="2140"/>
      <c r="C36" s="2140"/>
      <c r="D36" s="2141"/>
      <c r="E36" s="1830"/>
      <c r="F36" s="1847"/>
      <c r="G36" s="1847"/>
      <c r="H36" s="1847"/>
      <c r="I36" s="1848"/>
      <c r="J36" s="1848"/>
      <c r="K36" s="1848"/>
      <c r="L36" s="1848"/>
      <c r="M36" s="1848"/>
      <c r="N36" s="1848"/>
      <c r="O36" s="1848"/>
      <c r="P36" s="1848"/>
      <c r="Q36" s="1848"/>
      <c r="R36" s="1848"/>
      <c r="S36" s="1848"/>
      <c r="T36" s="1848"/>
      <c r="U36" s="1848"/>
      <c r="V36" s="1848"/>
      <c r="W36" s="1848"/>
      <c r="X36" s="1848"/>
      <c r="Y36" s="1848"/>
      <c r="Z36" s="1848"/>
    </row>
    <row r="37" spans="1:26" s="1781" customFormat="1" ht="20.149999999999999" customHeight="1">
      <c r="A37" s="1816" t="s">
        <v>2431</v>
      </c>
      <c r="B37" s="2117" t="s">
        <v>2482</v>
      </c>
      <c r="C37" s="2118"/>
      <c r="D37" s="2119"/>
      <c r="E37" s="1849"/>
      <c r="F37" s="2144" t="s">
        <v>561</v>
      </c>
      <c r="G37" s="2144"/>
      <c r="H37" s="2144"/>
      <c r="I37" s="2117" t="s">
        <v>2482</v>
      </c>
      <c r="J37" s="2118"/>
      <c r="K37" s="2119"/>
      <c r="L37" s="2117" t="s">
        <v>2482</v>
      </c>
      <c r="M37" s="2118"/>
      <c r="N37" s="2119"/>
      <c r="O37" s="2117" t="s">
        <v>2482</v>
      </c>
      <c r="P37" s="2118"/>
      <c r="Q37" s="2119"/>
      <c r="R37" s="2117" t="s">
        <v>2482</v>
      </c>
      <c r="S37" s="2118"/>
      <c r="T37" s="2119"/>
      <c r="U37" s="2117" t="s">
        <v>2482</v>
      </c>
      <c r="V37" s="2118"/>
      <c r="W37" s="2119"/>
      <c r="X37" s="2117" t="s">
        <v>2482</v>
      </c>
      <c r="Y37" s="2118"/>
      <c r="Z37" s="2119"/>
    </row>
    <row r="38" spans="1:26" s="1781" customFormat="1" ht="20.149999999999999" customHeight="1">
      <c r="A38" s="1816" t="s">
        <v>2432</v>
      </c>
      <c r="B38" s="2117" t="s">
        <v>2482</v>
      </c>
      <c r="C38" s="2118"/>
      <c r="D38" s="2119"/>
      <c r="E38" s="1850"/>
      <c r="F38" s="2144" t="s">
        <v>561</v>
      </c>
      <c r="G38" s="2144"/>
      <c r="H38" s="2144"/>
      <c r="I38" s="2117" t="s">
        <v>2482</v>
      </c>
      <c r="J38" s="2118"/>
      <c r="K38" s="2119"/>
      <c r="L38" s="2117" t="s">
        <v>2482</v>
      </c>
      <c r="M38" s="2118"/>
      <c r="N38" s="2119"/>
      <c r="O38" s="2117" t="s">
        <v>2482</v>
      </c>
      <c r="P38" s="2118"/>
      <c r="Q38" s="2119"/>
      <c r="R38" s="2117" t="s">
        <v>2482</v>
      </c>
      <c r="S38" s="2118"/>
      <c r="T38" s="2119"/>
      <c r="U38" s="2117" t="s">
        <v>2482</v>
      </c>
      <c r="V38" s="2118"/>
      <c r="W38" s="2119"/>
      <c r="X38" s="2117" t="s">
        <v>2482</v>
      </c>
      <c r="Y38" s="2118"/>
      <c r="Z38" s="2119"/>
    </row>
    <row r="39" spans="1:26" s="1781" customFormat="1" ht="26.25" customHeight="1">
      <c r="A39" s="1781" t="s">
        <v>2483</v>
      </c>
      <c r="E39" s="1851"/>
      <c r="F39" s="2142" t="str">
        <f>"สำหรับแผน "&amp;G5</f>
        <v>สำหรับแผน 0</v>
      </c>
      <c r="G39" s="2142"/>
      <c r="H39" s="2142"/>
      <c r="I39" s="2129" t="s">
        <v>2484</v>
      </c>
      <c r="J39" s="2129"/>
      <c r="K39" s="2129"/>
      <c r="L39" s="2143" t="s">
        <v>2485</v>
      </c>
      <c r="M39" s="2143"/>
      <c r="N39" s="2143"/>
      <c r="O39" s="2129" t="s">
        <v>2484</v>
      </c>
      <c r="P39" s="2129"/>
      <c r="Q39" s="2129"/>
      <c r="R39" s="2129" t="s">
        <v>2485</v>
      </c>
      <c r="S39" s="2129"/>
      <c r="T39" s="2129"/>
      <c r="U39" s="2129" t="s">
        <v>2486</v>
      </c>
      <c r="V39" s="2129"/>
      <c r="W39" s="2129"/>
      <c r="X39" s="2129" t="s">
        <v>2487</v>
      </c>
      <c r="Y39" s="2129"/>
      <c r="Z39" s="2129"/>
    </row>
    <row r="40" spans="1:26" s="1781" customFormat="1" ht="26.25" customHeight="1">
      <c r="A40" s="2130" t="str">
        <f>IF(G4&lt;11,"**   สำหรับผู้เอาประกันภัยในช่วงระยะเวลาก่อนวันครบรอบปีกรมธรรม์ประกันภัย ที่ผู้เอาประกันภัยมีอายุน้อยกว่า 11 ปี","")</f>
        <v/>
      </c>
      <c r="B40" s="2130"/>
      <c r="C40" s="2130"/>
      <c r="D40" s="2130"/>
      <c r="E40" s="1852"/>
      <c r="F40" s="1853"/>
      <c r="G40" s="1853"/>
      <c r="H40" s="1853"/>
      <c r="I40" s="1854"/>
      <c r="J40" s="1854"/>
      <c r="K40" s="1854"/>
      <c r="L40" s="1855"/>
      <c r="M40" s="1855"/>
      <c r="N40" s="1855"/>
      <c r="O40" s="1785"/>
      <c r="P40" s="1785"/>
      <c r="Q40" s="1785"/>
      <c r="R40" s="1855"/>
      <c r="S40" s="1855"/>
      <c r="T40" s="1855"/>
      <c r="U40" s="1856"/>
      <c r="V40" s="1856"/>
      <c r="W40" s="1856"/>
      <c r="X40" s="1857"/>
      <c r="Y40" s="1857"/>
      <c r="Z40" s="1857"/>
    </row>
    <row r="41" spans="1:26" s="1781" customFormat="1" ht="29.15" customHeight="1">
      <c r="A41" s="2131" t="str">
        <f>IF(G2="no","ไม่คุ้มครอง","ตารางผลประโยชน์ (บันทึกสลักหลัง) "&amp;G5)</f>
        <v>ตารางผลประโยชน์ (บันทึกสลักหลัง) 0</v>
      </c>
      <c r="B41" s="2131"/>
      <c r="C41" s="2131"/>
      <c r="D41" s="2131"/>
      <c r="E41" s="1793"/>
      <c r="F41" s="1858" t="s">
        <v>73</v>
      </c>
      <c r="G41" s="1858" t="s">
        <v>1010</v>
      </c>
      <c r="H41" s="1858" t="s">
        <v>1011</v>
      </c>
      <c r="I41" s="1859" t="s">
        <v>73</v>
      </c>
      <c r="J41" s="1859" t="s">
        <v>1010</v>
      </c>
      <c r="K41" s="1859" t="s">
        <v>1011</v>
      </c>
      <c r="L41" s="1860" t="s">
        <v>73</v>
      </c>
      <c r="M41" s="1860" t="s">
        <v>1010</v>
      </c>
      <c r="N41" s="1860" t="s">
        <v>1011</v>
      </c>
      <c r="O41" s="1859" t="s">
        <v>73</v>
      </c>
      <c r="P41" s="1859" t="s">
        <v>1010</v>
      </c>
      <c r="Q41" s="1859" t="s">
        <v>1011</v>
      </c>
      <c r="R41" s="1860" t="s">
        <v>73</v>
      </c>
      <c r="S41" s="1860" t="s">
        <v>1010</v>
      </c>
      <c r="T41" s="1860" t="s">
        <v>1011</v>
      </c>
      <c r="U41" s="1861" t="s">
        <v>73</v>
      </c>
      <c r="V41" s="1861" t="s">
        <v>1010</v>
      </c>
      <c r="W41" s="1861" t="s">
        <v>1011</v>
      </c>
      <c r="X41" s="1862" t="s">
        <v>73</v>
      </c>
      <c r="Y41" s="1862" t="s">
        <v>1010</v>
      </c>
      <c r="Z41" s="1862" t="s">
        <v>1011</v>
      </c>
    </row>
    <row r="42" spans="1:26" s="1781" customFormat="1" ht="49.5" customHeight="1">
      <c r="A42" s="1792" t="s">
        <v>73</v>
      </c>
      <c r="B42" s="1792" t="s">
        <v>1180</v>
      </c>
      <c r="C42" s="1792" t="s">
        <v>1181</v>
      </c>
      <c r="D42" s="1792" t="s">
        <v>2467</v>
      </c>
      <c r="E42" s="1863"/>
      <c r="F42" s="1858" t="s">
        <v>1012</v>
      </c>
      <c r="G42" s="1858" t="s">
        <v>1013</v>
      </c>
      <c r="H42" s="1858" t="s">
        <v>1012</v>
      </c>
      <c r="I42" s="1859" t="s">
        <v>1012</v>
      </c>
      <c r="J42" s="1859" t="s">
        <v>1013</v>
      </c>
      <c r="K42" s="1859" t="s">
        <v>1012</v>
      </c>
      <c r="L42" s="1860" t="s">
        <v>1012</v>
      </c>
      <c r="M42" s="1860" t="s">
        <v>1013</v>
      </c>
      <c r="N42" s="1860" t="s">
        <v>1012</v>
      </c>
      <c r="O42" s="1859" t="s">
        <v>1012</v>
      </c>
      <c r="P42" s="1859" t="s">
        <v>1013</v>
      </c>
      <c r="Q42" s="1859" t="s">
        <v>1012</v>
      </c>
      <c r="R42" s="1860" t="s">
        <v>1012</v>
      </c>
      <c r="S42" s="1860" t="s">
        <v>1013</v>
      </c>
      <c r="T42" s="1860" t="s">
        <v>1012</v>
      </c>
      <c r="U42" s="1861" t="s">
        <v>1012</v>
      </c>
      <c r="V42" s="1861" t="s">
        <v>1013</v>
      </c>
      <c r="W42" s="1861" t="s">
        <v>1012</v>
      </c>
      <c r="X42" s="1862" t="s">
        <v>1012</v>
      </c>
      <c r="Y42" s="1862" t="s">
        <v>1013</v>
      </c>
      <c r="Z42" s="1862" t="s">
        <v>1012</v>
      </c>
    </row>
    <row r="43" spans="1:26" s="1867" customFormat="1" ht="60" customHeight="1">
      <c r="A43" s="1864" t="s">
        <v>2488</v>
      </c>
      <c r="B43" s="1865" t="str">
        <f>IF($G$2="No","ไม่คุ้มครอง",F43)</f>
        <v>ไม่คุ้มครอง</v>
      </c>
      <c r="C43" s="1866" t="str">
        <f>IF($G$2="No","ไม่คุ้มครอง",G43)</f>
        <v>-</v>
      </c>
      <c r="D43" s="2132" t="str">
        <f>IF($G$2="No","ไม่คุ้มครอง",H43)</f>
        <v>-</v>
      </c>
      <c r="E43" s="1863"/>
      <c r="F43" s="1807" t="str">
        <f>IF($H$5="C1",I43,IF($H$5="C2",L43,IF($H$5="A1",O43,IF($H$5="A2",R43,IF($H$5="A3",U43,IF($H$5="A4",X43,"ไม่คุ้มครอง"))))))</f>
        <v>ไม่คุ้มครอง</v>
      </c>
      <c r="G43" s="1820" t="str">
        <f>IF($H$5="C1",J43,IF($H$5="C2",M43,IF($H$5="A1",P43,IF($H$5="A2",S43,IF($H$5="A3",V43,IF($H$5="A4",Y43,"-"))))))</f>
        <v>-</v>
      </c>
      <c r="H43" s="2134" t="str">
        <f>IF($H$5="C1",K43,IF($H$5="C2",N11,IF($H$5="A1",Q43,IF($H$5="A2",T11,IF($H$5="A3",W11,IF($H$5="A4",Z11,"-"))))))</f>
        <v>-</v>
      </c>
      <c r="I43" s="1821" t="s">
        <v>538</v>
      </c>
      <c r="J43" s="1821" t="s">
        <v>561</v>
      </c>
      <c r="K43" s="2136" t="s">
        <v>561</v>
      </c>
      <c r="L43" s="1821" t="s">
        <v>2479</v>
      </c>
      <c r="M43" s="1821" t="s">
        <v>2489</v>
      </c>
      <c r="N43" s="2136" t="s">
        <v>561</v>
      </c>
      <c r="O43" s="1821" t="s">
        <v>538</v>
      </c>
      <c r="P43" s="1821" t="s">
        <v>561</v>
      </c>
      <c r="Q43" s="2136" t="s">
        <v>561</v>
      </c>
      <c r="R43" s="1821" t="s">
        <v>2479</v>
      </c>
      <c r="S43" s="1821" t="s">
        <v>2489</v>
      </c>
      <c r="T43" s="2136" t="s">
        <v>561</v>
      </c>
      <c r="U43" s="1821" t="s">
        <v>2490</v>
      </c>
      <c r="V43" s="1821" t="s">
        <v>2489</v>
      </c>
      <c r="W43" s="2137"/>
      <c r="X43" s="1821" t="s">
        <v>1198</v>
      </c>
      <c r="Y43" s="1821" t="s">
        <v>2480</v>
      </c>
      <c r="Z43" s="2137"/>
    </row>
    <row r="44" spans="1:26" s="1867" customFormat="1" ht="60" customHeight="1">
      <c r="A44" s="1864" t="s">
        <v>2491</v>
      </c>
      <c r="B44" s="1868" t="str">
        <f>IF($G$2="No","ไม่คุ้มครอง",F44)</f>
        <v>ไม่คุ้มครอง</v>
      </c>
      <c r="C44" s="1869" t="s">
        <v>561</v>
      </c>
      <c r="D44" s="2133"/>
      <c r="E44" s="1870"/>
      <c r="F44" s="1807" t="str">
        <f>IF($H$5="C1",I44,IF($H$5="C2",L44,IF($H$5="A1",O44,IF($H$5="A2",R44,IF($H$5="A3",U44,IF($H$5="A4",X44,"ไม่คุ้มครอง"))))))</f>
        <v>ไม่คุ้มครอง</v>
      </c>
      <c r="G44" s="1820" t="str">
        <f>IF($H$5="C1",J44,IF($H$5="C2",M44,IF($H$5="A1",P44,IF($H$5="A2",S44,IF($H$5="A3",V44,IF($H$5="A4",Y44,"-"))))))</f>
        <v>-</v>
      </c>
      <c r="H44" s="2135"/>
      <c r="I44" s="1821" t="s">
        <v>538</v>
      </c>
      <c r="J44" s="1821" t="s">
        <v>561</v>
      </c>
      <c r="K44" s="2133"/>
      <c r="L44" s="1804">
        <v>30000</v>
      </c>
      <c r="M44" s="1821" t="s">
        <v>561</v>
      </c>
      <c r="N44" s="2133"/>
      <c r="O44" s="1821" t="s">
        <v>538</v>
      </c>
      <c r="P44" s="1821" t="s">
        <v>561</v>
      </c>
      <c r="Q44" s="2133"/>
      <c r="R44" s="1804">
        <v>30000</v>
      </c>
      <c r="S44" s="1821" t="s">
        <v>561</v>
      </c>
      <c r="T44" s="2133"/>
      <c r="U44" s="1804">
        <v>50000</v>
      </c>
      <c r="V44" s="1821" t="s">
        <v>561</v>
      </c>
      <c r="W44" s="2138"/>
      <c r="X44" s="1804">
        <v>100000</v>
      </c>
      <c r="Y44" s="1821" t="s">
        <v>561</v>
      </c>
      <c r="Z44" s="2138"/>
    </row>
    <row r="45" spans="1:26" s="1867" customFormat="1" ht="60" customHeight="1" thickBot="1">
      <c r="A45" s="1864" t="s">
        <v>2492</v>
      </c>
      <c r="B45" s="1868" t="str">
        <f>IF($G$2="No","ไม่คุ้มครอง",F45)</f>
        <v>ไม่คุ้มครอง</v>
      </c>
      <c r="C45" s="1869" t="s">
        <v>561</v>
      </c>
      <c r="D45" s="2133"/>
      <c r="E45" s="1871"/>
      <c r="F45" s="1807" t="str">
        <f>IF($H$5="C1",I45,IF($H$5="C2",L45,IF($H$5="A1",O45,IF($H$5="A2",R45,IF($H$5="A3",U45,IF($H$5="A4",X45,"ไม่คุ้มครอง"))))))</f>
        <v>ไม่คุ้มครอง</v>
      </c>
      <c r="G45" s="1820" t="str">
        <f>IF($H$5="C1",J45,IF($H$5="C2",M45,IF($H$5="A1",P45,IF($H$5="A2",S45,IF($H$5="A3",V45,IF($H$5="A4",Y45,"-"))))))</f>
        <v>-</v>
      </c>
      <c r="H45" s="2135"/>
      <c r="I45" s="1821" t="s">
        <v>538</v>
      </c>
      <c r="J45" s="1821" t="s">
        <v>561</v>
      </c>
      <c r="K45" s="2133"/>
      <c r="L45" s="1804">
        <v>30000</v>
      </c>
      <c r="M45" s="1821" t="s">
        <v>561</v>
      </c>
      <c r="N45" s="2133"/>
      <c r="O45" s="1821" t="s">
        <v>538</v>
      </c>
      <c r="P45" s="1821" t="s">
        <v>561</v>
      </c>
      <c r="Q45" s="2133"/>
      <c r="R45" s="1804">
        <v>30000</v>
      </c>
      <c r="S45" s="1821" t="s">
        <v>561</v>
      </c>
      <c r="T45" s="2133"/>
      <c r="U45" s="1804">
        <v>50000</v>
      </c>
      <c r="V45" s="1821" t="s">
        <v>561</v>
      </c>
      <c r="W45" s="2138"/>
      <c r="X45" s="1804">
        <v>100000</v>
      </c>
      <c r="Y45" s="1821" t="s">
        <v>561</v>
      </c>
      <c r="Z45" s="2138"/>
    </row>
    <row r="46" spans="1:26" s="1867" customFormat="1" ht="20.149999999999999" customHeight="1">
      <c r="A46" s="2139" t="s">
        <v>1023</v>
      </c>
      <c r="B46" s="2140"/>
      <c r="C46" s="2140"/>
      <c r="D46" s="2141"/>
      <c r="E46" s="1819"/>
      <c r="F46" s="1872"/>
      <c r="G46" s="1872"/>
      <c r="H46" s="1872"/>
      <c r="I46" s="1873"/>
      <c r="J46" s="1873"/>
      <c r="K46" s="1873"/>
      <c r="L46" s="1873"/>
      <c r="M46" s="1873"/>
      <c r="N46" s="1873"/>
      <c r="O46" s="1873"/>
      <c r="P46" s="1873"/>
      <c r="Q46" s="1873"/>
      <c r="R46" s="1873"/>
      <c r="S46" s="1873"/>
      <c r="T46" s="1873"/>
      <c r="U46" s="1873"/>
      <c r="V46" s="1873"/>
      <c r="W46" s="1873"/>
      <c r="X46" s="1873"/>
      <c r="Y46" s="1873"/>
      <c r="Z46" s="1873"/>
    </row>
    <row r="47" spans="1:26" s="1867" customFormat="1" ht="20.149999999999999" customHeight="1">
      <c r="A47" s="1816" t="s">
        <v>2431</v>
      </c>
      <c r="B47" s="2117" t="s">
        <v>2482</v>
      </c>
      <c r="C47" s="2118"/>
      <c r="D47" s="2119"/>
      <c r="E47" s="1819"/>
      <c r="F47" s="1872"/>
      <c r="G47" s="1872"/>
      <c r="H47" s="1872"/>
      <c r="I47" s="1873"/>
      <c r="J47" s="1873"/>
      <c r="K47" s="1873"/>
      <c r="L47" s="1873"/>
      <c r="M47" s="1873"/>
      <c r="N47" s="1873"/>
      <c r="O47" s="1873"/>
      <c r="P47" s="1873"/>
      <c r="Q47" s="1873"/>
      <c r="R47" s="1873"/>
      <c r="S47" s="1873"/>
      <c r="T47" s="1873"/>
      <c r="U47" s="1873"/>
      <c r="V47" s="1873"/>
      <c r="W47" s="1873"/>
      <c r="X47" s="1873"/>
      <c r="Y47" s="1873"/>
      <c r="Z47" s="1873"/>
    </row>
    <row r="48" spans="1:26" s="1867" customFormat="1" ht="20.149999999999999" customHeight="1">
      <c r="A48" s="1816" t="s">
        <v>2432</v>
      </c>
      <c r="B48" s="2117" t="s">
        <v>2482</v>
      </c>
      <c r="C48" s="2118"/>
      <c r="D48" s="2119"/>
      <c r="E48" s="1819"/>
      <c r="F48" s="1872"/>
      <c r="G48" s="1872"/>
      <c r="H48" s="1872"/>
      <c r="I48" s="1873"/>
      <c r="J48" s="1873"/>
      <c r="K48" s="1873"/>
      <c r="L48" s="1873"/>
      <c r="M48" s="1873"/>
      <c r="N48" s="1873"/>
      <c r="O48" s="1873"/>
      <c r="P48" s="1873"/>
      <c r="Q48" s="1873"/>
      <c r="R48" s="1873"/>
      <c r="S48" s="1873"/>
      <c r="T48" s="1873"/>
      <c r="U48" s="1873"/>
      <c r="V48" s="1873"/>
      <c r="W48" s="1873"/>
      <c r="X48" s="1873"/>
      <c r="Y48" s="1873"/>
      <c r="Z48" s="1873"/>
    </row>
    <row r="49" spans="1:26" s="1867" customFormat="1" ht="20.149999999999999" customHeight="1">
      <c r="A49" s="1874"/>
      <c r="B49" s="1875"/>
      <c r="C49" s="1876"/>
      <c r="D49" s="1877"/>
      <c r="E49" s="1819"/>
      <c r="F49" s="1872"/>
      <c r="G49" s="1872"/>
      <c r="H49" s="1872"/>
      <c r="I49" s="1873"/>
      <c r="J49" s="1873"/>
      <c r="K49" s="1873"/>
      <c r="L49" s="1873"/>
      <c r="M49" s="1873"/>
      <c r="N49" s="1873"/>
      <c r="O49" s="1873"/>
      <c r="P49" s="1873"/>
      <c r="Q49" s="1873"/>
      <c r="R49" s="1873"/>
      <c r="S49" s="1873"/>
      <c r="T49" s="1873"/>
      <c r="U49" s="1873"/>
      <c r="V49" s="1873"/>
      <c r="W49" s="1873"/>
      <c r="X49" s="1873"/>
      <c r="Y49" s="1873"/>
      <c r="Z49" s="1873"/>
    </row>
    <row r="50" spans="1:26" s="1867" customFormat="1" ht="20.149999999999999" customHeight="1">
      <c r="A50" s="1867" t="s">
        <v>2483</v>
      </c>
      <c r="B50" s="1875"/>
      <c r="C50" s="1876"/>
      <c r="D50" s="1877"/>
      <c r="E50" s="1819"/>
      <c r="F50" s="1872"/>
      <c r="G50" s="1872"/>
      <c r="H50" s="1872"/>
      <c r="I50" s="1873"/>
      <c r="J50" s="1873"/>
      <c r="K50" s="1873"/>
      <c r="L50" s="1873"/>
      <c r="M50" s="1873"/>
      <c r="N50" s="1873"/>
      <c r="O50" s="1873"/>
      <c r="P50" s="1873"/>
      <c r="Q50" s="1873"/>
      <c r="R50" s="1873"/>
      <c r="S50" s="1873"/>
      <c r="T50" s="1873"/>
      <c r="U50" s="1873"/>
      <c r="V50" s="1873"/>
      <c r="W50" s="1873"/>
      <c r="X50" s="1873"/>
      <c r="Y50" s="1873"/>
      <c r="Z50" s="1873"/>
    </row>
    <row r="51" spans="1:26" s="1781" customFormat="1" ht="18" customHeight="1">
      <c r="A51" s="1867" t="str">
        <f>IF(G5&lt;&gt;"แผน S","*** บริษัทจะจ่ายผลประโยชน์นี้เพียงครั้งเดียวตลอดสัญญาประกันภัย","")</f>
        <v>*** บริษัทจะจ่ายผลประโยชน์นี้เพียงครั้งเดียวตลอดสัญญาประกันภัย</v>
      </c>
      <c r="B51" s="1867"/>
      <c r="C51" s="1867"/>
      <c r="D51" s="1867"/>
      <c r="E51" s="1878"/>
      <c r="F51" s="1879"/>
      <c r="G51" s="1879"/>
      <c r="H51" s="1879"/>
      <c r="I51" s="1867"/>
      <c r="J51" s="1867"/>
      <c r="K51" s="1867"/>
    </row>
    <row r="52" spans="1:26" s="1781" customFormat="1" ht="18" hidden="1" customHeight="1">
      <c r="A52" s="1880"/>
      <c r="B52" s="1881"/>
      <c r="C52" s="1881"/>
      <c r="D52" s="1881"/>
      <c r="E52" s="1878"/>
      <c r="F52" s="1882"/>
      <c r="G52" s="1882"/>
      <c r="H52" s="1882"/>
    </row>
    <row r="53" spans="1:26" s="1781" customFormat="1" ht="50.15" hidden="1" customHeight="1">
      <c r="A53" s="2120"/>
      <c r="B53" s="2121"/>
      <c r="C53" s="2121"/>
      <c r="D53" s="2121"/>
      <c r="E53" s="1878"/>
      <c r="F53" s="1882"/>
      <c r="G53" s="1882"/>
      <c r="H53" s="1882"/>
    </row>
    <row r="54" spans="1:26" s="1781" customFormat="1" ht="36" hidden="1" customHeight="1">
      <c r="A54" s="2122"/>
      <c r="B54" s="2122"/>
      <c r="C54" s="2122"/>
      <c r="D54" s="2122"/>
      <c r="E54" s="1883"/>
      <c r="F54" s="1884"/>
      <c r="G54" s="1884"/>
      <c r="H54" s="1884"/>
      <c r="I54" s="1885"/>
      <c r="J54" s="1885"/>
      <c r="K54" s="1885"/>
    </row>
    <row r="55" spans="1:26" ht="37.5" customHeight="1">
      <c r="A55" s="2123"/>
      <c r="B55" s="2123"/>
      <c r="C55" s="2123"/>
      <c r="D55" s="2123"/>
      <c r="E55" s="1806"/>
      <c r="F55" s="1886"/>
      <c r="G55" s="1886"/>
      <c r="H55" s="1886"/>
      <c r="I55" s="1887"/>
      <c r="J55" s="1887"/>
      <c r="K55" s="1887"/>
    </row>
    <row r="56" spans="1:26" ht="6" customHeight="1">
      <c r="A56" s="2124" t="str">
        <f>IF(กรอกข้อมูล!$D$37="เอเชีย",F56,"")</f>
        <v/>
      </c>
      <c r="B56" s="2125"/>
      <c r="C56" s="2125"/>
      <c r="D56" s="2125"/>
      <c r="E56" s="1806"/>
      <c r="F56" s="1888" t="s">
        <v>1252</v>
      </c>
      <c r="G56" s="1886"/>
      <c r="H56" s="1886"/>
      <c r="I56" s="1887"/>
      <c r="J56" s="1887"/>
      <c r="K56" s="1887"/>
    </row>
    <row r="57" spans="1:26" ht="19.5" customHeight="1">
      <c r="A57" s="1889"/>
      <c r="B57" s="1889"/>
      <c r="C57" s="1889"/>
      <c r="D57" s="1889"/>
      <c r="E57" s="1806"/>
      <c r="F57" s="1886"/>
      <c r="G57" s="1886"/>
      <c r="H57" s="1886"/>
      <c r="I57" s="1887"/>
      <c r="J57" s="1887"/>
      <c r="K57" s="1887"/>
    </row>
    <row r="58" spans="1:26" ht="39.75" customHeight="1">
      <c r="A58" s="2126" t="s">
        <v>1026</v>
      </c>
      <c r="B58" s="2127"/>
      <c r="C58" s="2127"/>
      <c r="D58" s="2128"/>
      <c r="E58" s="1890"/>
    </row>
    <row r="59" spans="1:26" ht="39.75" customHeight="1">
      <c r="A59" s="2115" t="s">
        <v>2428</v>
      </c>
      <c r="B59" s="2115"/>
      <c r="C59" s="2115"/>
      <c r="D59" s="2115"/>
      <c r="E59" s="1890"/>
    </row>
    <row r="60" spans="1:26" ht="30" customHeight="1">
      <c r="A60" s="2116" t="str">
        <f>ตารางแสดงผลประโยชน์!B76</f>
        <v>โปรแกรมใบข้อเสนอนี้ใช้สำหรับแบบประกัน ไอสมาร์ท 80/6 (ไม่มีเงินปันผล) ที่เสนอขายตั้งแต่ 1 มกราคม 2569 ถึง 31 มีนาคม 2570 หรือตามประกาศยกเลิกการใช้จากบริษัทฯ (แล้วแต่ระยะเวลาใดจะเกิดขึ้นก่อน)</v>
      </c>
      <c r="B60" s="2116"/>
      <c r="C60" s="2116"/>
      <c r="D60" s="2116"/>
      <c r="E60" s="1890"/>
      <c r="I60" s="1065"/>
      <c r="J60" s="1065"/>
      <c r="K60" s="1065"/>
      <c r="L60" s="1065"/>
    </row>
    <row r="61" spans="1:26" ht="21.5">
      <c r="A61" s="1066"/>
      <c r="B61" s="862"/>
      <c r="C61" s="862"/>
      <c r="D61" s="1067" t="str">
        <f>ตารางแสดงผลประโยชน์!I77</f>
        <v>ไอสมาร์ท 80/6 (ไม่มีเงินปันผล) เวอร์ชั่น A2026-1</v>
      </c>
      <c r="E61" s="1890"/>
      <c r="I61" s="862"/>
      <c r="J61" s="1066"/>
      <c r="K61" s="861"/>
    </row>
    <row r="62" spans="1:26">
      <c r="E62" s="1890"/>
    </row>
    <row r="63" spans="1:26">
      <c r="E63" s="1890"/>
    </row>
  </sheetData>
  <sheetProtection algorithmName="SHA-512" hashValue="fV2VJymiuDY/y9nzyHQ/u4IXvTXm5WrAHjczePfTp6NswwJqVvj11oMhvsoTGOyp/lmZxYb09GpDtIr5BzebRw==" saltValue="c3FJvfLD2IYvoCP4NUA9MA==" spinCount="100000" sheet="1" objects="1" scenarios="1"/>
  <mergeCells count="70">
    <mergeCell ref="A8:B8"/>
    <mergeCell ref="C8:D8"/>
    <mergeCell ref="A2:D2"/>
    <mergeCell ref="A5:B5"/>
    <mergeCell ref="C5:D5"/>
    <mergeCell ref="R5:T5"/>
    <mergeCell ref="U5:W5"/>
    <mergeCell ref="X5:Z5"/>
    <mergeCell ref="A6:B6"/>
    <mergeCell ref="A7:B7"/>
    <mergeCell ref="I5:K5"/>
    <mergeCell ref="L5:N5"/>
    <mergeCell ref="O5:Q5"/>
    <mergeCell ref="A10:D10"/>
    <mergeCell ref="D11:D35"/>
    <mergeCell ref="H11:H35"/>
    <mergeCell ref="K11:K35"/>
    <mergeCell ref="N11:N35"/>
    <mergeCell ref="T11:T35"/>
    <mergeCell ref="W11:W35"/>
    <mergeCell ref="Z11:Z35"/>
    <mergeCell ref="A12:C12"/>
    <mergeCell ref="A18:C18"/>
    <mergeCell ref="A25:C25"/>
    <mergeCell ref="A26:C26"/>
    <mergeCell ref="Q11:Q35"/>
    <mergeCell ref="A36:D36"/>
    <mergeCell ref="B37:D37"/>
    <mergeCell ref="F37:H37"/>
    <mergeCell ref="I37:K37"/>
    <mergeCell ref="L37:N37"/>
    <mergeCell ref="X37:Z37"/>
    <mergeCell ref="B38:D38"/>
    <mergeCell ref="F38:H38"/>
    <mergeCell ref="I38:K38"/>
    <mergeCell ref="L38:N38"/>
    <mergeCell ref="O38:Q38"/>
    <mergeCell ref="R38:T38"/>
    <mergeCell ref="U38:W38"/>
    <mergeCell ref="O37:Q37"/>
    <mergeCell ref="X38:Z38"/>
    <mergeCell ref="O39:Q39"/>
    <mergeCell ref="R39:T39"/>
    <mergeCell ref="R37:T37"/>
    <mergeCell ref="U37:W37"/>
    <mergeCell ref="U39:W39"/>
    <mergeCell ref="X39:Z39"/>
    <mergeCell ref="B47:D47"/>
    <mergeCell ref="A40:D40"/>
    <mergeCell ref="A41:D41"/>
    <mergeCell ref="D43:D45"/>
    <mergeCell ref="H43:H45"/>
    <mergeCell ref="Q43:Q45"/>
    <mergeCell ref="T43:T45"/>
    <mergeCell ref="W43:W45"/>
    <mergeCell ref="Z43:Z45"/>
    <mergeCell ref="A46:D46"/>
    <mergeCell ref="K43:K45"/>
    <mergeCell ref="N43:N45"/>
    <mergeCell ref="F39:H39"/>
    <mergeCell ref="I39:K39"/>
    <mergeCell ref="L39:N39"/>
    <mergeCell ref="A59:D59"/>
    <mergeCell ref="A60:D60"/>
    <mergeCell ref="B48:D48"/>
    <mergeCell ref="A53:D53"/>
    <mergeCell ref="A54:D54"/>
    <mergeCell ref="A55:D55"/>
    <mergeCell ref="A56:D56"/>
    <mergeCell ref="A58:D58"/>
  </mergeCells>
  <printOptions horizontalCentered="1"/>
  <pageMargins left="0.19685039370078741" right="0.19685039370078741" top="0.19685039370078741" bottom="0.19685039370078741" header="0.31496062992125984" footer="0.31496062992125984"/>
  <pageSetup paperSize="9" scale="51" orientation="portrait" r:id="rId1"/>
  <headerFooter>
    <oddFooter>&amp;C&amp;"Calibri,Regular"&amp;11 &amp;K0000003/17
&amp;1#&amp;10Internal</oddFoot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1F93E-B329-46AB-8CDF-16B0D9DE5DED}">
  <sheetPr codeName="Sheet31">
    <pageSetUpPr fitToPage="1"/>
  </sheetPr>
  <dimension ref="A1:AG72"/>
  <sheetViews>
    <sheetView showGridLines="0" zoomScale="70" zoomScaleNormal="70" workbookViewId="0">
      <pane ySplit="6" topLeftCell="A7" activePane="bottomLeft" state="frozen"/>
      <selection activeCell="F25" sqref="F25"/>
      <selection pane="bottomLeft" activeCell="A59" sqref="A59"/>
    </sheetView>
  </sheetViews>
  <sheetFormatPr defaultColWidth="9.09765625" defaultRowHeight="12.5"/>
  <cols>
    <col min="1" max="1" width="131.09765625" style="951" customWidth="1"/>
    <col min="2" max="2" width="25.69921875" style="951" customWidth="1"/>
    <col min="3" max="3" width="24.69921875" style="951" customWidth="1"/>
    <col min="4" max="4" width="25.69921875" style="951" customWidth="1"/>
    <col min="5" max="5" width="3.8984375" style="949" customWidth="1"/>
    <col min="6" max="6" width="19.8984375" style="950" hidden="1" customWidth="1"/>
    <col min="7" max="8" width="14.69921875" style="950" hidden="1" customWidth="1"/>
    <col min="9" max="32" width="14.3984375" style="951" hidden="1" customWidth="1"/>
    <col min="33" max="33" width="9.09765625" style="951" hidden="1" customWidth="1"/>
    <col min="34" max="34" width="9.09765625" style="951" customWidth="1"/>
    <col min="35" max="16384" width="9.09765625" style="951"/>
  </cols>
  <sheetData>
    <row r="1" spans="1:32" ht="5.15" customHeight="1">
      <c r="A1" s="947" t="str">
        <f ca="1">กรอกข้อมูล!$G$64</f>
        <v/>
      </c>
      <c r="B1" s="947"/>
      <c r="C1" s="948"/>
      <c r="D1" s="948"/>
    </row>
    <row r="2" spans="1:32" ht="35.15" customHeight="1">
      <c r="A2" s="2166" t="str">
        <f ca="1">IF(A1="Expire",กรอกข้อมูล!$A$1,"                 สรุปผลประโยชน์ของสัญญาเพิ่มเติมค่ารักษาพยาบาล ไอเฮลท์ตี้ อัลตร้า และบันทึกสลักหลัง")</f>
        <v xml:space="preserve">                 สรุปผลประโยชน์ของสัญญาเพิ่มเติมค่ารักษาพยาบาล ไอเฮลท์ตี้ อัลตร้า และบันทึกสลักหลัง</v>
      </c>
      <c r="B2" s="2166"/>
      <c r="C2" s="2166"/>
      <c r="D2" s="2166"/>
      <c r="F2" s="950" t="s">
        <v>1138</v>
      </c>
      <c r="G2" s="952" t="str">
        <f>IF(AND(กรอกข้อมูล!$E$70="YES",กรอกข้อมูล!$M$29="OK"),"OK","NO")</f>
        <v>NO</v>
      </c>
      <c r="H2" s="950" t="s">
        <v>2433</v>
      </c>
      <c r="I2" s="950" t="str">
        <f>IF(กรอกข้อมูล!D31="Full Coverage","",IF(กรอกข้อมูล!D31="Deductible","D",IF(กรอกข้อมูล!D31="Co-Payment","C","")))</f>
        <v/>
      </c>
    </row>
    <row r="3" spans="1:32" ht="5.15" customHeight="1">
      <c r="A3" s="953"/>
      <c r="B3" s="953"/>
      <c r="C3" s="948"/>
      <c r="D3" s="948"/>
      <c r="I3" s="950"/>
    </row>
    <row r="4" spans="1:32" ht="30" customHeight="1">
      <c r="A4" s="954" t="str">
        <f>"  ลูกค้าคนพิเศษ:   "&amp;กรอกข้อมูล!$C$4</f>
        <v xml:space="preserve">  ลูกค้าคนพิเศษ:   คุณคนพิเศษ</v>
      </c>
      <c r="B4" s="955" t="str">
        <f>"เพศ : "&amp;กรอกข้อมูล!C6</f>
        <v>เพศ : หญิง</v>
      </c>
      <c r="C4" s="956" t="str">
        <f>"อายุ  "&amp;กรอกข้อมูล!C5&amp;" ปี"</f>
        <v>อายุ  44 ปี</v>
      </c>
      <c r="D4" s="957"/>
      <c r="F4" s="958" t="s">
        <v>1009</v>
      </c>
      <c r="G4" s="959">
        <f>กรอกข้อมูล!$C$5</f>
        <v>44</v>
      </c>
      <c r="I4" s="950" t="str">
        <f>IF(I2="C","ผู้เอาประกันภัยร่วมรับผิดชอบ ร้อยละ 20 ของค่าใช้จ่ายที่ได้รับความคุ้มครอง",IF(OR(กรอกข้อมูล!$R$37=1,กรอกข้อมูล!$R$37=2),"30,000 บาท",IF(OR(กรอกข้อมูล!$R$37=3,กรอกข้อมูล!$R$37=4),"50,000 บาท",IF(OR(กรอกข้อมูล!$R$37=5,กรอกข้อมูล!$R$37=6),"100,000 บาท",""))))</f>
        <v/>
      </c>
    </row>
    <row r="5" spans="1:32" s="962" customFormat="1" ht="29.25" customHeight="1" thickBot="1">
      <c r="A5" s="2162" t="str">
        <f>IF(G2="no","ไม่คุ้มครอง","ตารางผลประโยชน์ (สัญญาเพิ่มเติม)  แผน "&amp;G5)</f>
        <v>ไม่คุ้มครอง</v>
      </c>
      <c r="B5" s="2162"/>
      <c r="C5" s="2217" t="str">
        <f>IF(G2="no","","อาณาเขตความคุ้มครอง "&amp;กรอกข้อมูล!$M$28)</f>
        <v/>
      </c>
      <c r="D5" s="2217"/>
      <c r="E5" s="949"/>
      <c r="F5" s="960" t="s">
        <v>1140</v>
      </c>
      <c r="G5" s="961">
        <f>กรอกข้อมูล!$M$27</f>
        <v>0</v>
      </c>
      <c r="H5" s="960" t="str">
        <f>IF(G4&lt;11,"C","A")&amp;กรอกข้อมูล!$R$37</f>
        <v>A</v>
      </c>
      <c r="I5" s="2200" t="s">
        <v>1172</v>
      </c>
      <c r="J5" s="2200"/>
      <c r="K5" s="2200"/>
      <c r="L5" s="2200" t="s">
        <v>1173</v>
      </c>
      <c r="M5" s="2200"/>
      <c r="N5" s="2200"/>
      <c r="O5" s="2200" t="s">
        <v>1174</v>
      </c>
      <c r="P5" s="2200"/>
      <c r="Q5" s="2200"/>
      <c r="R5" s="2200" t="s">
        <v>1175</v>
      </c>
      <c r="S5" s="2200"/>
      <c r="T5" s="2200"/>
      <c r="U5" s="2200" t="s">
        <v>1176</v>
      </c>
      <c r="V5" s="2200"/>
      <c r="W5" s="2200"/>
      <c r="X5" s="2200" t="s">
        <v>1177</v>
      </c>
      <c r="Y5" s="2200"/>
      <c r="Z5" s="2200"/>
      <c r="AA5" s="2200" t="s">
        <v>1178</v>
      </c>
      <c r="AB5" s="2200"/>
      <c r="AC5" s="2200"/>
      <c r="AD5" s="2200" t="s">
        <v>1179</v>
      </c>
      <c r="AE5" s="2200"/>
      <c r="AF5" s="2200"/>
    </row>
    <row r="6" spans="1:32" s="962" customFormat="1" ht="38" thickBot="1">
      <c r="A6" s="963" t="s">
        <v>73</v>
      </c>
      <c r="B6" s="963" t="s">
        <v>1180</v>
      </c>
      <c r="C6" s="963" t="s">
        <v>1181</v>
      </c>
      <c r="D6" s="963" t="s">
        <v>1182</v>
      </c>
      <c r="E6" s="964"/>
      <c r="F6" s="965" t="s">
        <v>1180</v>
      </c>
      <c r="G6" s="965" t="s">
        <v>1181</v>
      </c>
      <c r="H6" s="965" t="s">
        <v>1182</v>
      </c>
      <c r="I6" s="966" t="s">
        <v>1180</v>
      </c>
      <c r="J6" s="966" t="s">
        <v>1181</v>
      </c>
      <c r="K6" s="966" t="s">
        <v>1182</v>
      </c>
      <c r="L6" s="966" t="s">
        <v>1180</v>
      </c>
      <c r="M6" s="966" t="s">
        <v>1181</v>
      </c>
      <c r="N6" s="966" t="s">
        <v>1182</v>
      </c>
      <c r="O6" s="966" t="s">
        <v>1180</v>
      </c>
      <c r="P6" s="966" t="s">
        <v>1181</v>
      </c>
      <c r="Q6" s="966" t="s">
        <v>1182</v>
      </c>
      <c r="R6" s="966" t="s">
        <v>1180</v>
      </c>
      <c r="S6" s="966" t="s">
        <v>1181</v>
      </c>
      <c r="T6" s="966" t="s">
        <v>1182</v>
      </c>
      <c r="U6" s="966" t="s">
        <v>1180</v>
      </c>
      <c r="V6" s="966" t="s">
        <v>1181</v>
      </c>
      <c r="W6" s="966" t="s">
        <v>1182</v>
      </c>
      <c r="X6" s="966" t="s">
        <v>1180</v>
      </c>
      <c r="Y6" s="966" t="s">
        <v>1181</v>
      </c>
      <c r="Z6" s="966" t="s">
        <v>1182</v>
      </c>
      <c r="AA6" s="966" t="s">
        <v>1180</v>
      </c>
      <c r="AB6" s="966" t="s">
        <v>1181</v>
      </c>
      <c r="AC6" s="966" t="s">
        <v>1182</v>
      </c>
      <c r="AD6" s="966" t="s">
        <v>1180</v>
      </c>
      <c r="AE6" s="966" t="s">
        <v>1181</v>
      </c>
      <c r="AF6" s="966" t="s">
        <v>1182</v>
      </c>
    </row>
    <row r="7" spans="1:32" s="962" customFormat="1" ht="24.75" customHeight="1" thickTop="1">
      <c r="A7" s="2208" t="s">
        <v>1014</v>
      </c>
      <c r="B7" s="2209"/>
      <c r="C7" s="2209"/>
      <c r="D7" s="2216"/>
      <c r="E7" s="967"/>
      <c r="F7" s="968"/>
      <c r="G7" s="968"/>
      <c r="H7" s="969"/>
      <c r="I7" s="970"/>
      <c r="J7" s="970"/>
      <c r="K7" s="971"/>
      <c r="L7" s="972"/>
      <c r="M7" s="972"/>
      <c r="N7" s="973"/>
      <c r="O7" s="972"/>
      <c r="P7" s="972"/>
      <c r="Q7" s="973"/>
      <c r="R7" s="972"/>
      <c r="S7" s="972"/>
      <c r="T7" s="973"/>
      <c r="U7" s="972"/>
      <c r="V7" s="972"/>
      <c r="W7" s="973"/>
      <c r="X7" s="972"/>
      <c r="Y7" s="972"/>
      <c r="Z7" s="973"/>
      <c r="AA7" s="972"/>
      <c r="AB7" s="972"/>
      <c r="AC7" s="973"/>
      <c r="AD7" s="972"/>
      <c r="AE7" s="972"/>
      <c r="AF7" s="973"/>
    </row>
    <row r="8" spans="1:32" s="962" customFormat="1" ht="50.25" customHeight="1">
      <c r="A8" s="1393" t="s">
        <v>1183</v>
      </c>
      <c r="B8" s="974" t="str">
        <f>IF($G$2="No","ไม่คุ้มครอง",F8)</f>
        <v>ไม่คุ้มครอง</v>
      </c>
      <c r="C8" s="975" t="s">
        <v>561</v>
      </c>
      <c r="D8" s="2210" t="str">
        <f>IF($G$2="No","ไม่คุ้มครอง",H8)</f>
        <v>ไม่คุ้มครอง</v>
      </c>
      <c r="E8" s="976"/>
      <c r="F8" s="977" t="str">
        <f>IF($H$5="C1",I8,IF($H$5="C2",L8,IF($H$5="A1",O8,IF($H$5="A2",R8,IF($H$5="A3",U8,IF($H$5="A4",X8,IF($H$5="A5",AA8,IF($H$5="A6",AD8,""))))))))</f>
        <v/>
      </c>
      <c r="G8" s="977" t="s">
        <v>561</v>
      </c>
      <c r="H8" s="2213" t="str">
        <f>IF($H$5="C1",K8,IF($H$5="C2",N8,IF($H$5="A1",Q8,IF($H$5="A2",T8,IF($H$5="A3",W8,IF($H$5="A4",Z8,IF($H$5="A5",AC8,IF($H$5="A6",AF8,""))))))))</f>
        <v/>
      </c>
      <c r="I8" s="978" t="s">
        <v>1184</v>
      </c>
      <c r="J8" s="979" t="s">
        <v>561</v>
      </c>
      <c r="K8" s="2203" t="s">
        <v>1185</v>
      </c>
      <c r="L8" s="978" t="s">
        <v>1186</v>
      </c>
      <c r="M8" s="979" t="s">
        <v>561</v>
      </c>
      <c r="N8" s="2203" t="s">
        <v>1187</v>
      </c>
      <c r="O8" s="978" t="s">
        <v>1184</v>
      </c>
      <c r="P8" s="979" t="s">
        <v>561</v>
      </c>
      <c r="Q8" s="2203" t="s">
        <v>1185</v>
      </c>
      <c r="R8" s="978" t="s">
        <v>1186</v>
      </c>
      <c r="S8" s="979" t="s">
        <v>561</v>
      </c>
      <c r="T8" s="2203" t="s">
        <v>1187</v>
      </c>
      <c r="U8" s="978" t="s">
        <v>1188</v>
      </c>
      <c r="V8" s="979" t="s">
        <v>561</v>
      </c>
      <c r="W8" s="2203" t="s">
        <v>1189</v>
      </c>
      <c r="X8" s="978" t="s">
        <v>1190</v>
      </c>
      <c r="Y8" s="979" t="s">
        <v>561</v>
      </c>
      <c r="Z8" s="2203" t="s">
        <v>1191</v>
      </c>
      <c r="AA8" s="978" t="s">
        <v>1192</v>
      </c>
      <c r="AB8" s="979" t="s">
        <v>561</v>
      </c>
      <c r="AC8" s="2203" t="s">
        <v>1193</v>
      </c>
      <c r="AD8" s="978" t="s">
        <v>1194</v>
      </c>
      <c r="AE8" s="979" t="s">
        <v>561</v>
      </c>
      <c r="AF8" s="2203" t="s">
        <v>1195</v>
      </c>
    </row>
    <row r="9" spans="1:32" s="962" customFormat="1" ht="40" customHeight="1">
      <c r="A9" s="2206" t="s">
        <v>1196</v>
      </c>
      <c r="B9" s="2207"/>
      <c r="C9" s="2207"/>
      <c r="D9" s="2211"/>
      <c r="E9" s="980"/>
      <c r="F9" s="981"/>
      <c r="G9" s="982"/>
      <c r="H9" s="2214"/>
      <c r="I9" s="983"/>
      <c r="J9" s="984"/>
      <c r="K9" s="2204"/>
      <c r="L9" s="985"/>
      <c r="M9" s="985"/>
      <c r="N9" s="2204"/>
      <c r="O9" s="985"/>
      <c r="P9" s="985"/>
      <c r="Q9" s="2204"/>
      <c r="R9" s="985"/>
      <c r="S9" s="985"/>
      <c r="T9" s="2204"/>
      <c r="U9" s="985"/>
      <c r="V9" s="985"/>
      <c r="W9" s="2204"/>
      <c r="X9" s="985"/>
      <c r="Y9" s="985"/>
      <c r="Z9" s="2204"/>
      <c r="AA9" s="985"/>
      <c r="AB9" s="985"/>
      <c r="AC9" s="2204"/>
      <c r="AD9" s="985"/>
      <c r="AE9" s="985"/>
      <c r="AF9" s="2204"/>
    </row>
    <row r="10" spans="1:32" s="962" customFormat="1" ht="20.149999999999999" customHeight="1">
      <c r="A10" s="986" t="s">
        <v>1197</v>
      </c>
      <c r="B10" s="987" t="str">
        <f>IF($G$2="No","ไม่คุ้มครอง","ตามที่จ่ายจริง")</f>
        <v>ไม่คุ้มครอง</v>
      </c>
      <c r="C10" s="988" t="s">
        <v>561</v>
      </c>
      <c r="D10" s="2211"/>
      <c r="E10" s="989"/>
      <c r="F10" s="990" t="s">
        <v>1198</v>
      </c>
      <c r="G10" s="990" t="s">
        <v>561</v>
      </c>
      <c r="H10" s="2214"/>
      <c r="I10" s="991" t="s">
        <v>1198</v>
      </c>
      <c r="J10" s="991" t="s">
        <v>561</v>
      </c>
      <c r="K10" s="2204"/>
      <c r="L10" s="991" t="s">
        <v>1198</v>
      </c>
      <c r="M10" s="991" t="s">
        <v>561</v>
      </c>
      <c r="N10" s="2204"/>
      <c r="O10" s="991" t="s">
        <v>1198</v>
      </c>
      <c r="P10" s="991" t="s">
        <v>561</v>
      </c>
      <c r="Q10" s="2204"/>
      <c r="R10" s="991" t="s">
        <v>1198</v>
      </c>
      <c r="S10" s="991" t="s">
        <v>561</v>
      </c>
      <c r="T10" s="2204"/>
      <c r="U10" s="991" t="s">
        <v>1198</v>
      </c>
      <c r="V10" s="991" t="s">
        <v>561</v>
      </c>
      <c r="W10" s="2204"/>
      <c r="X10" s="991" t="s">
        <v>1198</v>
      </c>
      <c r="Y10" s="991" t="s">
        <v>561</v>
      </c>
      <c r="Z10" s="2204"/>
      <c r="AA10" s="991" t="s">
        <v>1198</v>
      </c>
      <c r="AB10" s="991" t="s">
        <v>561</v>
      </c>
      <c r="AC10" s="2204"/>
      <c r="AD10" s="991" t="s">
        <v>1198</v>
      </c>
      <c r="AE10" s="991" t="s">
        <v>561</v>
      </c>
      <c r="AF10" s="2204"/>
    </row>
    <row r="11" spans="1:32" s="962" customFormat="1" ht="20.149999999999999" customHeight="1">
      <c r="A11" s="992" t="s">
        <v>1199</v>
      </c>
      <c r="B11" s="987" t="str">
        <f>IF($G$2="No","ไม่คุ้มครอง","ตามที่จ่ายจริง")</f>
        <v>ไม่คุ้มครอง</v>
      </c>
      <c r="C11" s="988" t="s">
        <v>561</v>
      </c>
      <c r="D11" s="2211"/>
      <c r="E11" s="993"/>
      <c r="F11" s="990" t="s">
        <v>1198</v>
      </c>
      <c r="G11" s="990" t="s">
        <v>561</v>
      </c>
      <c r="H11" s="2214"/>
      <c r="I11" s="991" t="s">
        <v>1198</v>
      </c>
      <c r="J11" s="991" t="s">
        <v>561</v>
      </c>
      <c r="K11" s="2204"/>
      <c r="L11" s="991" t="s">
        <v>1198</v>
      </c>
      <c r="M11" s="991" t="s">
        <v>561</v>
      </c>
      <c r="N11" s="2204"/>
      <c r="O11" s="991" t="s">
        <v>1198</v>
      </c>
      <c r="P11" s="991" t="s">
        <v>561</v>
      </c>
      <c r="Q11" s="2204"/>
      <c r="R11" s="991" t="s">
        <v>1198</v>
      </c>
      <c r="S11" s="991" t="s">
        <v>561</v>
      </c>
      <c r="T11" s="2204"/>
      <c r="U11" s="991" t="s">
        <v>1198</v>
      </c>
      <c r="V11" s="991" t="s">
        <v>561</v>
      </c>
      <c r="W11" s="2204"/>
      <c r="X11" s="991" t="s">
        <v>1198</v>
      </c>
      <c r="Y11" s="991" t="s">
        <v>561</v>
      </c>
      <c r="Z11" s="2204"/>
      <c r="AA11" s="991" t="s">
        <v>1198</v>
      </c>
      <c r="AB11" s="991" t="s">
        <v>561</v>
      </c>
      <c r="AC11" s="2204"/>
      <c r="AD11" s="991" t="s">
        <v>1198</v>
      </c>
      <c r="AE11" s="991" t="s">
        <v>561</v>
      </c>
      <c r="AF11" s="2204"/>
    </row>
    <row r="12" spans="1:32" s="962" customFormat="1" ht="20.149999999999999" customHeight="1">
      <c r="A12" s="986" t="s">
        <v>1200</v>
      </c>
      <c r="B12" s="987" t="str">
        <f>IF($G$2="No","ไม่คุ้มครอง","ตามที่จ่ายจริง")</f>
        <v>ไม่คุ้มครอง</v>
      </c>
      <c r="C12" s="988" t="s">
        <v>561</v>
      </c>
      <c r="D12" s="2211"/>
      <c r="E12" s="994"/>
      <c r="F12" s="990" t="s">
        <v>1198</v>
      </c>
      <c r="G12" s="990" t="s">
        <v>561</v>
      </c>
      <c r="H12" s="2214"/>
      <c r="I12" s="991" t="s">
        <v>1198</v>
      </c>
      <c r="J12" s="991" t="s">
        <v>561</v>
      </c>
      <c r="K12" s="2204"/>
      <c r="L12" s="991" t="s">
        <v>1198</v>
      </c>
      <c r="M12" s="991" t="s">
        <v>561</v>
      </c>
      <c r="N12" s="2204"/>
      <c r="O12" s="991" t="s">
        <v>1198</v>
      </c>
      <c r="P12" s="991" t="s">
        <v>561</v>
      </c>
      <c r="Q12" s="2204"/>
      <c r="R12" s="991" t="s">
        <v>1198</v>
      </c>
      <c r="S12" s="991" t="s">
        <v>561</v>
      </c>
      <c r="T12" s="2204"/>
      <c r="U12" s="991" t="s">
        <v>1198</v>
      </c>
      <c r="V12" s="991" t="s">
        <v>561</v>
      </c>
      <c r="W12" s="2204"/>
      <c r="X12" s="991" t="s">
        <v>1198</v>
      </c>
      <c r="Y12" s="991" t="s">
        <v>561</v>
      </c>
      <c r="Z12" s="2204"/>
      <c r="AA12" s="991" t="s">
        <v>1198</v>
      </c>
      <c r="AB12" s="991" t="s">
        <v>561</v>
      </c>
      <c r="AC12" s="2204"/>
      <c r="AD12" s="991" t="s">
        <v>1198</v>
      </c>
      <c r="AE12" s="991" t="s">
        <v>561</v>
      </c>
      <c r="AF12" s="2204"/>
    </row>
    <row r="13" spans="1:32" s="962" customFormat="1" ht="50.15" customHeight="1">
      <c r="A13" s="995" t="s">
        <v>1201</v>
      </c>
      <c r="B13" s="987" t="str">
        <f>IF($G$2="No","ไม่คุ้มครอง","ตามที่จ่ายจริง")</f>
        <v>ไม่คุ้มครอง</v>
      </c>
      <c r="C13" s="996" t="str">
        <f>IF($G$2="No","ไม่คุ้มครอง","15 วัน ต่อการเข้าพักรักษาตัวเป็นผู้ป่วยในแต่ละครั้ง")</f>
        <v>ไม่คุ้มครอง</v>
      </c>
      <c r="D13" s="2211"/>
      <c r="E13" s="993"/>
      <c r="F13" s="990" t="s">
        <v>1198</v>
      </c>
      <c r="G13" s="990" t="s">
        <v>1038</v>
      </c>
      <c r="H13" s="2214"/>
      <c r="I13" s="991" t="s">
        <v>1198</v>
      </c>
      <c r="J13" s="991" t="s">
        <v>1038</v>
      </c>
      <c r="K13" s="2204"/>
      <c r="L13" s="991" t="s">
        <v>1198</v>
      </c>
      <c r="M13" s="991" t="s">
        <v>1038</v>
      </c>
      <c r="N13" s="2204"/>
      <c r="O13" s="991" t="s">
        <v>1198</v>
      </c>
      <c r="P13" s="991" t="s">
        <v>1038</v>
      </c>
      <c r="Q13" s="2204"/>
      <c r="R13" s="991" t="s">
        <v>1198</v>
      </c>
      <c r="S13" s="991" t="s">
        <v>1038</v>
      </c>
      <c r="T13" s="2204"/>
      <c r="U13" s="991" t="s">
        <v>1198</v>
      </c>
      <c r="V13" s="991" t="s">
        <v>1038</v>
      </c>
      <c r="W13" s="2204"/>
      <c r="X13" s="991" t="s">
        <v>1198</v>
      </c>
      <c r="Y13" s="991" t="s">
        <v>1038</v>
      </c>
      <c r="Z13" s="2204"/>
      <c r="AA13" s="991" t="s">
        <v>1198</v>
      </c>
      <c r="AB13" s="991" t="s">
        <v>1038</v>
      </c>
      <c r="AC13" s="2204"/>
      <c r="AD13" s="991" t="s">
        <v>1198</v>
      </c>
      <c r="AE13" s="991" t="s">
        <v>1038</v>
      </c>
      <c r="AF13" s="2204"/>
    </row>
    <row r="14" spans="1:32" s="962" customFormat="1" ht="40" customHeight="1">
      <c r="A14" s="997" t="s">
        <v>1202</v>
      </c>
      <c r="B14" s="998" t="str">
        <f>IF($G$2="No","ไม่คุ้มครอง",F14)</f>
        <v>ไม่คุ้มครอง</v>
      </c>
      <c r="C14" s="988" t="s">
        <v>561</v>
      </c>
      <c r="D14" s="2211"/>
      <c r="E14" s="994"/>
      <c r="F14" s="977" t="str">
        <f>IF($H$5="C1",I14,IF($H$5="C2",L14,IF($H$5="A1",O14,IF($H$5="A2",R14,IF($H$5="A3",U14,IF($H$5="A4",X14,IF($H$5="A5",AA14,IF($H$5="A6",AD14,""))))))))</f>
        <v/>
      </c>
      <c r="G14" s="990" t="s">
        <v>561</v>
      </c>
      <c r="H14" s="2214"/>
      <c r="I14" s="974" t="s">
        <v>1203</v>
      </c>
      <c r="J14" s="991" t="s">
        <v>561</v>
      </c>
      <c r="K14" s="2204"/>
      <c r="L14" s="974" t="s">
        <v>1204</v>
      </c>
      <c r="M14" s="991" t="s">
        <v>561</v>
      </c>
      <c r="N14" s="2204"/>
      <c r="O14" s="991" t="s">
        <v>1198</v>
      </c>
      <c r="P14" s="991" t="s">
        <v>561</v>
      </c>
      <c r="Q14" s="2204"/>
      <c r="R14" s="991" t="s">
        <v>1198</v>
      </c>
      <c r="S14" s="991" t="s">
        <v>561</v>
      </c>
      <c r="T14" s="2204"/>
      <c r="U14" s="991" t="s">
        <v>1198</v>
      </c>
      <c r="V14" s="991" t="s">
        <v>561</v>
      </c>
      <c r="W14" s="2204"/>
      <c r="X14" s="991" t="s">
        <v>1198</v>
      </c>
      <c r="Y14" s="991" t="s">
        <v>561</v>
      </c>
      <c r="Z14" s="2204"/>
      <c r="AA14" s="991" t="s">
        <v>1198</v>
      </c>
      <c r="AB14" s="991" t="s">
        <v>561</v>
      </c>
      <c r="AC14" s="2204"/>
      <c r="AD14" s="991" t="s">
        <v>1198</v>
      </c>
      <c r="AE14" s="991" t="s">
        <v>561</v>
      </c>
      <c r="AF14" s="2204"/>
    </row>
    <row r="15" spans="1:32" s="962" customFormat="1" ht="20.149999999999999" customHeight="1">
      <c r="A15" s="2206" t="s">
        <v>1205</v>
      </c>
      <c r="B15" s="2207"/>
      <c r="C15" s="2207"/>
      <c r="D15" s="2211"/>
      <c r="E15" s="980"/>
      <c r="F15" s="981"/>
      <c r="G15" s="982"/>
      <c r="H15" s="2214"/>
      <c r="I15" s="983"/>
      <c r="J15" s="984"/>
      <c r="K15" s="2204"/>
      <c r="L15" s="985"/>
      <c r="M15" s="985"/>
      <c r="N15" s="2204"/>
      <c r="O15" s="985"/>
      <c r="P15" s="985"/>
      <c r="Q15" s="2204"/>
      <c r="R15" s="985"/>
      <c r="S15" s="985"/>
      <c r="T15" s="2204"/>
      <c r="U15" s="985"/>
      <c r="V15" s="985"/>
      <c r="W15" s="2204"/>
      <c r="X15" s="985"/>
      <c r="Y15" s="985"/>
      <c r="Z15" s="2204"/>
      <c r="AA15" s="985"/>
      <c r="AB15" s="985"/>
      <c r="AC15" s="2204"/>
      <c r="AD15" s="985"/>
      <c r="AE15" s="985"/>
      <c r="AF15" s="2204"/>
    </row>
    <row r="16" spans="1:32" s="962" customFormat="1" ht="20.149999999999999" customHeight="1">
      <c r="A16" s="986" t="s">
        <v>1206</v>
      </c>
      <c r="B16" s="987" t="str">
        <f t="shared" ref="B16:B21" si="0">IF($G$2="No","ไม่คุ้มครอง","ตามที่จ่ายจริง")</f>
        <v>ไม่คุ้มครอง</v>
      </c>
      <c r="C16" s="988" t="s">
        <v>561</v>
      </c>
      <c r="D16" s="2211"/>
      <c r="E16" s="989"/>
      <c r="F16" s="990" t="s">
        <v>1198</v>
      </c>
      <c r="G16" s="990" t="s">
        <v>561</v>
      </c>
      <c r="H16" s="2214"/>
      <c r="I16" s="991" t="s">
        <v>1198</v>
      </c>
      <c r="J16" s="991" t="s">
        <v>561</v>
      </c>
      <c r="K16" s="2204"/>
      <c r="L16" s="991" t="s">
        <v>1198</v>
      </c>
      <c r="M16" s="991" t="s">
        <v>561</v>
      </c>
      <c r="N16" s="2204"/>
      <c r="O16" s="991" t="s">
        <v>1198</v>
      </c>
      <c r="P16" s="991" t="s">
        <v>561</v>
      </c>
      <c r="Q16" s="2204"/>
      <c r="R16" s="991" t="s">
        <v>1198</v>
      </c>
      <c r="S16" s="991" t="s">
        <v>561</v>
      </c>
      <c r="T16" s="2204"/>
      <c r="U16" s="991" t="s">
        <v>1198</v>
      </c>
      <c r="V16" s="991" t="s">
        <v>561</v>
      </c>
      <c r="W16" s="2204"/>
      <c r="X16" s="991" t="s">
        <v>1198</v>
      </c>
      <c r="Y16" s="991" t="s">
        <v>561</v>
      </c>
      <c r="Z16" s="2204"/>
      <c r="AA16" s="991" t="s">
        <v>1198</v>
      </c>
      <c r="AB16" s="991" t="s">
        <v>561</v>
      </c>
      <c r="AC16" s="2204"/>
      <c r="AD16" s="991" t="s">
        <v>1198</v>
      </c>
      <c r="AE16" s="991" t="s">
        <v>561</v>
      </c>
      <c r="AF16" s="2204"/>
    </row>
    <row r="17" spans="1:32" s="962" customFormat="1" ht="20.149999999999999" customHeight="1">
      <c r="A17" s="999" t="s">
        <v>1207</v>
      </c>
      <c r="B17" s="987" t="str">
        <f t="shared" si="0"/>
        <v>ไม่คุ้มครอง</v>
      </c>
      <c r="C17" s="988" t="s">
        <v>561</v>
      </c>
      <c r="D17" s="2211"/>
      <c r="E17" s="993"/>
      <c r="F17" s="990" t="s">
        <v>1198</v>
      </c>
      <c r="G17" s="990" t="s">
        <v>561</v>
      </c>
      <c r="H17" s="2214"/>
      <c r="I17" s="991" t="s">
        <v>1198</v>
      </c>
      <c r="J17" s="991" t="s">
        <v>561</v>
      </c>
      <c r="K17" s="2204"/>
      <c r="L17" s="991" t="s">
        <v>1198</v>
      </c>
      <c r="M17" s="991" t="s">
        <v>561</v>
      </c>
      <c r="N17" s="2204"/>
      <c r="O17" s="991" t="s">
        <v>1198</v>
      </c>
      <c r="P17" s="991" t="s">
        <v>561</v>
      </c>
      <c r="Q17" s="2204"/>
      <c r="R17" s="991" t="s">
        <v>1198</v>
      </c>
      <c r="S17" s="991" t="s">
        <v>561</v>
      </c>
      <c r="T17" s="2204"/>
      <c r="U17" s="991" t="s">
        <v>1198</v>
      </c>
      <c r="V17" s="991" t="s">
        <v>561</v>
      </c>
      <c r="W17" s="2204"/>
      <c r="X17" s="991" t="s">
        <v>1198</v>
      </c>
      <c r="Y17" s="991" t="s">
        <v>561</v>
      </c>
      <c r="Z17" s="2204"/>
      <c r="AA17" s="991" t="s">
        <v>1198</v>
      </c>
      <c r="AB17" s="991" t="s">
        <v>561</v>
      </c>
      <c r="AC17" s="2204"/>
      <c r="AD17" s="991" t="s">
        <v>1198</v>
      </c>
      <c r="AE17" s="991" t="s">
        <v>561</v>
      </c>
      <c r="AF17" s="2204"/>
    </row>
    <row r="18" spans="1:32" s="962" customFormat="1" ht="20.149999999999999" customHeight="1">
      <c r="A18" s="999" t="s">
        <v>1208</v>
      </c>
      <c r="B18" s="987" t="str">
        <f t="shared" si="0"/>
        <v>ไม่คุ้มครอง</v>
      </c>
      <c r="C18" s="988" t="s">
        <v>561</v>
      </c>
      <c r="D18" s="2211"/>
      <c r="E18" s="1000"/>
      <c r="F18" s="990" t="s">
        <v>1198</v>
      </c>
      <c r="G18" s="990" t="s">
        <v>561</v>
      </c>
      <c r="H18" s="2214"/>
      <c r="I18" s="991" t="s">
        <v>1198</v>
      </c>
      <c r="J18" s="991" t="s">
        <v>561</v>
      </c>
      <c r="K18" s="2204"/>
      <c r="L18" s="991" t="s">
        <v>1198</v>
      </c>
      <c r="M18" s="991" t="s">
        <v>561</v>
      </c>
      <c r="N18" s="2204"/>
      <c r="O18" s="991" t="s">
        <v>1198</v>
      </c>
      <c r="P18" s="991" t="s">
        <v>561</v>
      </c>
      <c r="Q18" s="2204"/>
      <c r="R18" s="991" t="s">
        <v>1198</v>
      </c>
      <c r="S18" s="991" t="s">
        <v>561</v>
      </c>
      <c r="T18" s="2204"/>
      <c r="U18" s="991" t="s">
        <v>1198</v>
      </c>
      <c r="V18" s="991" t="s">
        <v>561</v>
      </c>
      <c r="W18" s="2204"/>
      <c r="X18" s="991" t="s">
        <v>1198</v>
      </c>
      <c r="Y18" s="991" t="s">
        <v>561</v>
      </c>
      <c r="Z18" s="2204"/>
      <c r="AA18" s="991" t="s">
        <v>1198</v>
      </c>
      <c r="AB18" s="991" t="s">
        <v>561</v>
      </c>
      <c r="AC18" s="2204"/>
      <c r="AD18" s="991" t="s">
        <v>1198</v>
      </c>
      <c r="AE18" s="991" t="s">
        <v>561</v>
      </c>
      <c r="AF18" s="2204"/>
    </row>
    <row r="19" spans="1:32" s="962" customFormat="1" ht="20.149999999999999" customHeight="1">
      <c r="A19" s="986" t="s">
        <v>1209</v>
      </c>
      <c r="B19" s="987" t="str">
        <f t="shared" si="0"/>
        <v>ไม่คุ้มครอง</v>
      </c>
      <c r="C19" s="988" t="s">
        <v>561</v>
      </c>
      <c r="D19" s="2211"/>
      <c r="E19" s="1000"/>
      <c r="F19" s="990" t="s">
        <v>1198</v>
      </c>
      <c r="G19" s="990" t="s">
        <v>561</v>
      </c>
      <c r="H19" s="2214"/>
      <c r="I19" s="991" t="s">
        <v>1198</v>
      </c>
      <c r="J19" s="991" t="s">
        <v>561</v>
      </c>
      <c r="K19" s="2204"/>
      <c r="L19" s="991" t="s">
        <v>1198</v>
      </c>
      <c r="M19" s="991" t="s">
        <v>561</v>
      </c>
      <c r="N19" s="2204"/>
      <c r="O19" s="991" t="s">
        <v>1198</v>
      </c>
      <c r="P19" s="991" t="s">
        <v>561</v>
      </c>
      <c r="Q19" s="2204"/>
      <c r="R19" s="991" t="s">
        <v>1198</v>
      </c>
      <c r="S19" s="991" t="s">
        <v>561</v>
      </c>
      <c r="T19" s="2204"/>
      <c r="U19" s="991" t="s">
        <v>1198</v>
      </c>
      <c r="V19" s="991" t="s">
        <v>561</v>
      </c>
      <c r="W19" s="2204"/>
      <c r="X19" s="991" t="s">
        <v>1198</v>
      </c>
      <c r="Y19" s="991" t="s">
        <v>561</v>
      </c>
      <c r="Z19" s="2204"/>
      <c r="AA19" s="991" t="s">
        <v>1198</v>
      </c>
      <c r="AB19" s="991" t="s">
        <v>561</v>
      </c>
      <c r="AC19" s="2204"/>
      <c r="AD19" s="991" t="s">
        <v>1198</v>
      </c>
      <c r="AE19" s="991" t="s">
        <v>561</v>
      </c>
      <c r="AF19" s="2204"/>
    </row>
    <row r="20" spans="1:32" s="962" customFormat="1" ht="20.149999999999999" customHeight="1">
      <c r="A20" s="986" t="s">
        <v>1210</v>
      </c>
      <c r="B20" s="987" t="str">
        <f t="shared" si="0"/>
        <v>ไม่คุ้มครอง</v>
      </c>
      <c r="C20" s="988" t="s">
        <v>561</v>
      </c>
      <c r="D20" s="2211"/>
      <c r="E20" s="993"/>
      <c r="F20" s="990" t="s">
        <v>1198</v>
      </c>
      <c r="G20" s="990" t="s">
        <v>561</v>
      </c>
      <c r="H20" s="2214"/>
      <c r="I20" s="991" t="s">
        <v>1198</v>
      </c>
      <c r="J20" s="991" t="s">
        <v>561</v>
      </c>
      <c r="K20" s="2204"/>
      <c r="L20" s="991" t="s">
        <v>1198</v>
      </c>
      <c r="M20" s="991" t="s">
        <v>561</v>
      </c>
      <c r="N20" s="2204"/>
      <c r="O20" s="991" t="s">
        <v>1198</v>
      </c>
      <c r="P20" s="991" t="s">
        <v>561</v>
      </c>
      <c r="Q20" s="2204"/>
      <c r="R20" s="991" t="s">
        <v>1198</v>
      </c>
      <c r="S20" s="991" t="s">
        <v>561</v>
      </c>
      <c r="T20" s="2204"/>
      <c r="U20" s="991" t="s">
        <v>1198</v>
      </c>
      <c r="V20" s="991" t="s">
        <v>561</v>
      </c>
      <c r="W20" s="2204"/>
      <c r="X20" s="991" t="s">
        <v>1198</v>
      </c>
      <c r="Y20" s="991" t="s">
        <v>561</v>
      </c>
      <c r="Z20" s="2204"/>
      <c r="AA20" s="991" t="s">
        <v>1198</v>
      </c>
      <c r="AB20" s="991" t="s">
        <v>561</v>
      </c>
      <c r="AC20" s="2204"/>
      <c r="AD20" s="991" t="s">
        <v>1198</v>
      </c>
      <c r="AE20" s="991" t="s">
        <v>561</v>
      </c>
      <c r="AF20" s="2204"/>
    </row>
    <row r="21" spans="1:32" s="962" customFormat="1" ht="20.149999999999999" customHeight="1">
      <c r="A21" s="1001" t="s">
        <v>1211</v>
      </c>
      <c r="B21" s="987" t="str">
        <f t="shared" si="0"/>
        <v>ไม่คุ้มครอง</v>
      </c>
      <c r="C21" s="988" t="s">
        <v>561</v>
      </c>
      <c r="D21" s="2211"/>
      <c r="E21" s="993"/>
      <c r="F21" s="990" t="s">
        <v>1198</v>
      </c>
      <c r="G21" s="990" t="s">
        <v>561</v>
      </c>
      <c r="H21" s="2214"/>
      <c r="I21" s="991" t="s">
        <v>1198</v>
      </c>
      <c r="J21" s="991" t="s">
        <v>561</v>
      </c>
      <c r="K21" s="2204"/>
      <c r="L21" s="991" t="s">
        <v>1198</v>
      </c>
      <c r="M21" s="991" t="s">
        <v>561</v>
      </c>
      <c r="N21" s="2204"/>
      <c r="O21" s="991" t="s">
        <v>1198</v>
      </c>
      <c r="P21" s="991" t="s">
        <v>561</v>
      </c>
      <c r="Q21" s="2204"/>
      <c r="R21" s="991" t="s">
        <v>1198</v>
      </c>
      <c r="S21" s="991" t="s">
        <v>561</v>
      </c>
      <c r="T21" s="2204"/>
      <c r="U21" s="991" t="s">
        <v>1198</v>
      </c>
      <c r="V21" s="991" t="s">
        <v>561</v>
      </c>
      <c r="W21" s="2204"/>
      <c r="X21" s="991" t="s">
        <v>1198</v>
      </c>
      <c r="Y21" s="991" t="s">
        <v>561</v>
      </c>
      <c r="Z21" s="2204"/>
      <c r="AA21" s="991" t="s">
        <v>1198</v>
      </c>
      <c r="AB21" s="991" t="s">
        <v>561</v>
      </c>
      <c r="AC21" s="2204"/>
      <c r="AD21" s="991" t="s">
        <v>1198</v>
      </c>
      <c r="AE21" s="991" t="s">
        <v>561</v>
      </c>
      <c r="AF21" s="2204"/>
    </row>
    <row r="22" spans="1:32" s="1008" customFormat="1" ht="22.5" customHeight="1">
      <c r="A22" s="2208" t="s">
        <v>1022</v>
      </c>
      <c r="B22" s="2209"/>
      <c r="C22" s="2209"/>
      <c r="D22" s="2211"/>
      <c r="E22" s="1002"/>
      <c r="F22" s="1003"/>
      <c r="G22" s="1004"/>
      <c r="H22" s="2214"/>
      <c r="I22" s="1005"/>
      <c r="J22" s="1006"/>
      <c r="K22" s="2204"/>
      <c r="L22" s="1007"/>
      <c r="M22" s="1007"/>
      <c r="N22" s="2204"/>
      <c r="O22" s="1007"/>
      <c r="P22" s="1007"/>
      <c r="Q22" s="2204"/>
      <c r="R22" s="1007"/>
      <c r="S22" s="1007"/>
      <c r="T22" s="2204"/>
      <c r="U22" s="1007"/>
      <c r="V22" s="1007"/>
      <c r="W22" s="2204"/>
      <c r="X22" s="1007"/>
      <c r="Y22" s="1007"/>
      <c r="Z22" s="2204"/>
      <c r="AA22" s="1007"/>
      <c r="AB22" s="1007"/>
      <c r="AC22" s="2204"/>
      <c r="AD22" s="1007"/>
      <c r="AE22" s="1007"/>
      <c r="AF22" s="2204"/>
    </row>
    <row r="23" spans="1:32" s="962" customFormat="1" ht="40" customHeight="1">
      <c r="A23" s="2206" t="s">
        <v>1212</v>
      </c>
      <c r="B23" s="2207"/>
      <c r="C23" s="2207"/>
      <c r="D23" s="2211"/>
      <c r="E23" s="976"/>
      <c r="F23" s="981"/>
      <c r="G23" s="982"/>
      <c r="H23" s="2214"/>
      <c r="I23" s="983"/>
      <c r="J23" s="984"/>
      <c r="K23" s="2204"/>
      <c r="L23" s="985"/>
      <c r="M23" s="985"/>
      <c r="N23" s="2204"/>
      <c r="O23" s="985"/>
      <c r="P23" s="985"/>
      <c r="Q23" s="2204"/>
      <c r="R23" s="985"/>
      <c r="S23" s="985"/>
      <c r="T23" s="2204"/>
      <c r="U23" s="985"/>
      <c r="V23" s="985"/>
      <c r="W23" s="2204"/>
      <c r="X23" s="985"/>
      <c r="Y23" s="985"/>
      <c r="Z23" s="2204"/>
      <c r="AA23" s="985"/>
      <c r="AB23" s="985"/>
      <c r="AC23" s="2204"/>
      <c r="AD23" s="985"/>
      <c r="AE23" s="985"/>
      <c r="AF23" s="2204"/>
    </row>
    <row r="24" spans="1:32" s="962" customFormat="1" ht="20.149999999999999" customHeight="1">
      <c r="A24" s="999" t="s">
        <v>1213</v>
      </c>
      <c r="B24" s="987" t="str">
        <f>IF($G$2="No","ไม่คุ้มครอง","ตามที่จ่ายจริง")</f>
        <v>ไม่คุ้มครอง</v>
      </c>
      <c r="C24" s="987" t="s">
        <v>561</v>
      </c>
      <c r="D24" s="2211"/>
      <c r="E24" s="989"/>
      <c r="F24" s="990" t="s">
        <v>1198</v>
      </c>
      <c r="G24" s="990" t="s">
        <v>561</v>
      </c>
      <c r="H24" s="2214"/>
      <c r="I24" s="991" t="s">
        <v>1198</v>
      </c>
      <c r="J24" s="991" t="s">
        <v>561</v>
      </c>
      <c r="K24" s="2204"/>
      <c r="L24" s="991" t="s">
        <v>1198</v>
      </c>
      <c r="M24" s="991" t="s">
        <v>561</v>
      </c>
      <c r="N24" s="2204"/>
      <c r="O24" s="991" t="s">
        <v>1198</v>
      </c>
      <c r="P24" s="991" t="s">
        <v>561</v>
      </c>
      <c r="Q24" s="2204"/>
      <c r="R24" s="991" t="s">
        <v>1198</v>
      </c>
      <c r="S24" s="991" t="s">
        <v>561</v>
      </c>
      <c r="T24" s="2204"/>
      <c r="U24" s="991" t="s">
        <v>1198</v>
      </c>
      <c r="V24" s="991" t="s">
        <v>561</v>
      </c>
      <c r="W24" s="2204"/>
      <c r="X24" s="991" t="s">
        <v>1198</v>
      </c>
      <c r="Y24" s="991" t="s">
        <v>561</v>
      </c>
      <c r="Z24" s="2204"/>
      <c r="AA24" s="991" t="s">
        <v>1198</v>
      </c>
      <c r="AB24" s="991" t="s">
        <v>561</v>
      </c>
      <c r="AC24" s="2204"/>
      <c r="AD24" s="991" t="s">
        <v>1198</v>
      </c>
      <c r="AE24" s="991" t="s">
        <v>561</v>
      </c>
      <c r="AF24" s="2204"/>
    </row>
    <row r="25" spans="1:32" s="962" customFormat="1" ht="40" customHeight="1">
      <c r="A25" s="1009" t="s">
        <v>1214</v>
      </c>
      <c r="B25" s="987" t="str">
        <f>IF($G$2="No","ไม่คุ้มครอง","ตามที่จ่ายจริง")</f>
        <v>ไม่คุ้มครอง</v>
      </c>
      <c r="C25" s="987" t="str">
        <f>IF($G$2="No","ไม่คุ้มครอง","2 ครั้ง  ต่อการเข้าพักรักษาตัวเป็นผู้ป่วยในแต่ละครั้ง")</f>
        <v>ไม่คุ้มครอง</v>
      </c>
      <c r="D25" s="2211"/>
      <c r="E25" s="1000"/>
      <c r="F25" s="990" t="s">
        <v>1198</v>
      </c>
      <c r="G25" s="990" t="s">
        <v>1215</v>
      </c>
      <c r="H25" s="2214"/>
      <c r="I25" s="991" t="s">
        <v>1198</v>
      </c>
      <c r="J25" s="991" t="s">
        <v>1215</v>
      </c>
      <c r="K25" s="2204"/>
      <c r="L25" s="991" t="s">
        <v>1198</v>
      </c>
      <c r="M25" s="991" t="s">
        <v>1215</v>
      </c>
      <c r="N25" s="2204"/>
      <c r="O25" s="991" t="s">
        <v>1198</v>
      </c>
      <c r="P25" s="991" t="s">
        <v>1215</v>
      </c>
      <c r="Q25" s="2204"/>
      <c r="R25" s="991" t="s">
        <v>1198</v>
      </c>
      <c r="S25" s="991" t="s">
        <v>1215</v>
      </c>
      <c r="T25" s="2204"/>
      <c r="U25" s="991" t="s">
        <v>1198</v>
      </c>
      <c r="V25" s="991" t="s">
        <v>1215</v>
      </c>
      <c r="W25" s="2204"/>
      <c r="X25" s="991" t="s">
        <v>1198</v>
      </c>
      <c r="Y25" s="991" t="s">
        <v>1215</v>
      </c>
      <c r="Z25" s="2204"/>
      <c r="AA25" s="991" t="s">
        <v>1198</v>
      </c>
      <c r="AB25" s="991" t="s">
        <v>1215</v>
      </c>
      <c r="AC25" s="2204"/>
      <c r="AD25" s="991" t="s">
        <v>1198</v>
      </c>
      <c r="AE25" s="991" t="s">
        <v>1215</v>
      </c>
      <c r="AF25" s="2204"/>
    </row>
    <row r="26" spans="1:32" s="962" customFormat="1" ht="20.149999999999999" customHeight="1">
      <c r="A26" s="1001" t="s">
        <v>1216</v>
      </c>
      <c r="B26" s="987" t="str">
        <f>IF($G$2="No","ไม่คุ้มครอง","ตามที่จ่ายจริง")</f>
        <v>ไม่คุ้มครอง</v>
      </c>
      <c r="C26" s="1010" t="s">
        <v>561</v>
      </c>
      <c r="D26" s="2211"/>
      <c r="E26" s="1000"/>
      <c r="F26" s="990" t="s">
        <v>1198</v>
      </c>
      <c r="G26" s="990" t="s">
        <v>561</v>
      </c>
      <c r="H26" s="2214"/>
      <c r="I26" s="991" t="s">
        <v>1198</v>
      </c>
      <c r="J26" s="991" t="s">
        <v>561</v>
      </c>
      <c r="K26" s="2204"/>
      <c r="L26" s="991" t="s">
        <v>1198</v>
      </c>
      <c r="M26" s="991" t="s">
        <v>561</v>
      </c>
      <c r="N26" s="2204"/>
      <c r="O26" s="991" t="s">
        <v>1198</v>
      </c>
      <c r="P26" s="991" t="s">
        <v>561</v>
      </c>
      <c r="Q26" s="2204"/>
      <c r="R26" s="991" t="s">
        <v>1198</v>
      </c>
      <c r="S26" s="991" t="s">
        <v>561</v>
      </c>
      <c r="T26" s="2204"/>
      <c r="U26" s="991" t="s">
        <v>1198</v>
      </c>
      <c r="V26" s="991" t="s">
        <v>561</v>
      </c>
      <c r="W26" s="2204"/>
      <c r="X26" s="991" t="s">
        <v>1198</v>
      </c>
      <c r="Y26" s="991" t="s">
        <v>561</v>
      </c>
      <c r="Z26" s="2204"/>
      <c r="AA26" s="991" t="s">
        <v>1198</v>
      </c>
      <c r="AB26" s="991" t="s">
        <v>561</v>
      </c>
      <c r="AC26" s="2204"/>
      <c r="AD26" s="991" t="s">
        <v>1198</v>
      </c>
      <c r="AE26" s="991" t="s">
        <v>561</v>
      </c>
      <c r="AF26" s="2204"/>
    </row>
    <row r="27" spans="1:32" s="962" customFormat="1" ht="20.149999999999999" customHeight="1">
      <c r="A27" s="1001" t="s">
        <v>1217</v>
      </c>
      <c r="B27" s="987" t="s">
        <v>538</v>
      </c>
      <c r="C27" s="1010" t="s">
        <v>561</v>
      </c>
      <c r="D27" s="2211"/>
      <c r="E27" s="1002"/>
      <c r="F27" s="990" t="s">
        <v>538</v>
      </c>
      <c r="G27" s="990" t="s">
        <v>561</v>
      </c>
      <c r="H27" s="2214"/>
      <c r="I27" s="991" t="s">
        <v>538</v>
      </c>
      <c r="J27" s="991" t="s">
        <v>561</v>
      </c>
      <c r="K27" s="2204"/>
      <c r="L27" s="991" t="s">
        <v>538</v>
      </c>
      <c r="M27" s="991" t="s">
        <v>561</v>
      </c>
      <c r="N27" s="2204"/>
      <c r="O27" s="991" t="s">
        <v>538</v>
      </c>
      <c r="P27" s="991" t="s">
        <v>561</v>
      </c>
      <c r="Q27" s="2204"/>
      <c r="R27" s="991" t="s">
        <v>538</v>
      </c>
      <c r="S27" s="991" t="s">
        <v>561</v>
      </c>
      <c r="T27" s="2204"/>
      <c r="U27" s="991" t="s">
        <v>538</v>
      </c>
      <c r="V27" s="991" t="s">
        <v>561</v>
      </c>
      <c r="W27" s="2204"/>
      <c r="X27" s="991" t="s">
        <v>538</v>
      </c>
      <c r="Y27" s="991" t="s">
        <v>561</v>
      </c>
      <c r="Z27" s="2204"/>
      <c r="AA27" s="991" t="s">
        <v>538</v>
      </c>
      <c r="AB27" s="991" t="s">
        <v>561</v>
      </c>
      <c r="AC27" s="2204"/>
      <c r="AD27" s="991" t="s">
        <v>538</v>
      </c>
      <c r="AE27" s="991" t="s">
        <v>561</v>
      </c>
      <c r="AF27" s="2204"/>
    </row>
    <row r="28" spans="1:32" s="962" customFormat="1" ht="20.149999999999999" customHeight="1">
      <c r="A28" s="1011" t="s">
        <v>1218</v>
      </c>
      <c r="B28" s="987" t="str">
        <f>IF($G$2="No","ไม่คุ้มครอง","ตามที่จ่ายจริง")</f>
        <v>ไม่คุ้มครอง</v>
      </c>
      <c r="C28" s="1010" t="s">
        <v>561</v>
      </c>
      <c r="D28" s="2211"/>
      <c r="E28" s="1002"/>
      <c r="F28" s="990" t="s">
        <v>1198</v>
      </c>
      <c r="G28" s="990" t="s">
        <v>561</v>
      </c>
      <c r="H28" s="2214"/>
      <c r="I28" s="991" t="s">
        <v>1198</v>
      </c>
      <c r="J28" s="991" t="s">
        <v>561</v>
      </c>
      <c r="K28" s="2204"/>
      <c r="L28" s="991" t="s">
        <v>1198</v>
      </c>
      <c r="M28" s="991" t="s">
        <v>561</v>
      </c>
      <c r="N28" s="2204"/>
      <c r="O28" s="991" t="s">
        <v>1198</v>
      </c>
      <c r="P28" s="991" t="s">
        <v>561</v>
      </c>
      <c r="Q28" s="2204"/>
      <c r="R28" s="991" t="s">
        <v>1198</v>
      </c>
      <c r="S28" s="991" t="s">
        <v>561</v>
      </c>
      <c r="T28" s="2204"/>
      <c r="U28" s="991" t="s">
        <v>1198</v>
      </c>
      <c r="V28" s="991" t="s">
        <v>561</v>
      </c>
      <c r="W28" s="2204"/>
      <c r="X28" s="991" t="s">
        <v>1198</v>
      </c>
      <c r="Y28" s="991" t="s">
        <v>561</v>
      </c>
      <c r="Z28" s="2204"/>
      <c r="AA28" s="991" t="s">
        <v>1198</v>
      </c>
      <c r="AB28" s="991" t="s">
        <v>561</v>
      </c>
      <c r="AC28" s="2204"/>
      <c r="AD28" s="991" t="s">
        <v>1198</v>
      </c>
      <c r="AE28" s="991" t="s">
        <v>561</v>
      </c>
      <c r="AF28" s="2204"/>
    </row>
    <row r="29" spans="1:32" s="962" customFormat="1" ht="40" customHeight="1">
      <c r="A29" s="1012" t="s">
        <v>1219</v>
      </c>
      <c r="B29" s="987" t="str">
        <f>IF($G$2="No","ไม่คุ้มครอง","ตามที่จ่ายจริง")</f>
        <v>ไม่คุ้มครอง</v>
      </c>
      <c r="C29" s="1010" t="s">
        <v>561</v>
      </c>
      <c r="D29" s="2211"/>
      <c r="E29" s="1013"/>
      <c r="F29" s="990" t="s">
        <v>1198</v>
      </c>
      <c r="G29" s="990" t="s">
        <v>561</v>
      </c>
      <c r="H29" s="2214"/>
      <c r="I29" s="991" t="s">
        <v>1198</v>
      </c>
      <c r="J29" s="991" t="s">
        <v>561</v>
      </c>
      <c r="K29" s="2204"/>
      <c r="L29" s="991" t="s">
        <v>1198</v>
      </c>
      <c r="M29" s="991" t="s">
        <v>561</v>
      </c>
      <c r="N29" s="2204"/>
      <c r="O29" s="991" t="s">
        <v>1198</v>
      </c>
      <c r="P29" s="991" t="s">
        <v>561</v>
      </c>
      <c r="Q29" s="2204"/>
      <c r="R29" s="991" t="s">
        <v>1198</v>
      </c>
      <c r="S29" s="991" t="s">
        <v>561</v>
      </c>
      <c r="T29" s="2204"/>
      <c r="U29" s="991" t="s">
        <v>1198</v>
      </c>
      <c r="V29" s="991" t="s">
        <v>561</v>
      </c>
      <c r="W29" s="2204"/>
      <c r="X29" s="991" t="s">
        <v>1198</v>
      </c>
      <c r="Y29" s="991" t="s">
        <v>561</v>
      </c>
      <c r="Z29" s="2204"/>
      <c r="AA29" s="991" t="s">
        <v>1198</v>
      </c>
      <c r="AB29" s="991" t="s">
        <v>561</v>
      </c>
      <c r="AC29" s="2204"/>
      <c r="AD29" s="991" t="s">
        <v>1198</v>
      </c>
      <c r="AE29" s="991" t="s">
        <v>561</v>
      </c>
      <c r="AF29" s="2204"/>
    </row>
    <row r="30" spans="1:32" s="962" customFormat="1" ht="20.149999999999999" customHeight="1">
      <c r="A30" s="1001" t="s">
        <v>1220</v>
      </c>
      <c r="B30" s="987" t="str">
        <f>IF($G$2="No","ไม่คุ้มครอง","ตามที่จ่ายจริง")</f>
        <v>ไม่คุ้มครอง</v>
      </c>
      <c r="C30" s="1010" t="s">
        <v>561</v>
      </c>
      <c r="D30" s="2211"/>
      <c r="E30" s="1013"/>
      <c r="F30" s="990" t="s">
        <v>1198</v>
      </c>
      <c r="G30" s="990" t="s">
        <v>561</v>
      </c>
      <c r="H30" s="2214"/>
      <c r="I30" s="991" t="s">
        <v>1198</v>
      </c>
      <c r="J30" s="991" t="s">
        <v>561</v>
      </c>
      <c r="K30" s="2204"/>
      <c r="L30" s="991" t="s">
        <v>1198</v>
      </c>
      <c r="M30" s="991" t="s">
        <v>561</v>
      </c>
      <c r="N30" s="2204"/>
      <c r="O30" s="991" t="s">
        <v>1198</v>
      </c>
      <c r="P30" s="991" t="s">
        <v>561</v>
      </c>
      <c r="Q30" s="2204"/>
      <c r="R30" s="991" t="s">
        <v>1198</v>
      </c>
      <c r="S30" s="991" t="s">
        <v>561</v>
      </c>
      <c r="T30" s="2204"/>
      <c r="U30" s="991" t="s">
        <v>1198</v>
      </c>
      <c r="V30" s="991" t="s">
        <v>561</v>
      </c>
      <c r="W30" s="2204"/>
      <c r="X30" s="991" t="s">
        <v>1198</v>
      </c>
      <c r="Y30" s="991" t="s">
        <v>561</v>
      </c>
      <c r="Z30" s="2204"/>
      <c r="AA30" s="991" t="s">
        <v>1198</v>
      </c>
      <c r="AB30" s="991" t="s">
        <v>561</v>
      </c>
      <c r="AC30" s="2204"/>
      <c r="AD30" s="991" t="s">
        <v>1198</v>
      </c>
      <c r="AE30" s="991" t="s">
        <v>561</v>
      </c>
      <c r="AF30" s="2204"/>
    </row>
    <row r="31" spans="1:32" s="962" customFormat="1" ht="20.149999999999999" customHeight="1">
      <c r="A31" s="997" t="s">
        <v>1221</v>
      </c>
      <c r="B31" s="987" t="str">
        <f>IF($G$2="No","ไม่คุ้มครอง","ตามที่จ่ายจริง")</f>
        <v>ไม่คุ้มครอง</v>
      </c>
      <c r="C31" s="1010" t="s">
        <v>561</v>
      </c>
      <c r="D31" s="2211"/>
      <c r="E31" s="1002"/>
      <c r="F31" s="990" t="s">
        <v>1198</v>
      </c>
      <c r="G31" s="990" t="s">
        <v>561</v>
      </c>
      <c r="H31" s="2214"/>
      <c r="I31" s="991" t="s">
        <v>1198</v>
      </c>
      <c r="J31" s="991" t="s">
        <v>561</v>
      </c>
      <c r="K31" s="2204"/>
      <c r="L31" s="991" t="s">
        <v>1198</v>
      </c>
      <c r="M31" s="991" t="s">
        <v>561</v>
      </c>
      <c r="N31" s="2204"/>
      <c r="O31" s="991" t="s">
        <v>1198</v>
      </c>
      <c r="P31" s="991" t="s">
        <v>561</v>
      </c>
      <c r="Q31" s="2204"/>
      <c r="R31" s="991" t="s">
        <v>1198</v>
      </c>
      <c r="S31" s="991" t="s">
        <v>561</v>
      </c>
      <c r="T31" s="2204"/>
      <c r="U31" s="991" t="s">
        <v>1198</v>
      </c>
      <c r="V31" s="991" t="s">
        <v>561</v>
      </c>
      <c r="W31" s="2204"/>
      <c r="X31" s="991" t="s">
        <v>1198</v>
      </c>
      <c r="Y31" s="991" t="s">
        <v>561</v>
      </c>
      <c r="Z31" s="2204"/>
      <c r="AA31" s="991" t="s">
        <v>1198</v>
      </c>
      <c r="AB31" s="991" t="s">
        <v>561</v>
      </c>
      <c r="AC31" s="2204"/>
      <c r="AD31" s="991" t="s">
        <v>1198</v>
      </c>
      <c r="AE31" s="991" t="s">
        <v>561</v>
      </c>
      <c r="AF31" s="2204"/>
    </row>
    <row r="32" spans="1:32" s="962" customFormat="1" ht="20.149999999999999" customHeight="1" thickBot="1">
      <c r="A32" s="1014" t="s">
        <v>1222</v>
      </c>
      <c r="B32" s="1015" t="str">
        <f>IF($G$2="No","ไม่คุ้มครอง","ตามที่จ่ายจริง")</f>
        <v>ไม่คุ้มครอง</v>
      </c>
      <c r="C32" s="1016" t="s">
        <v>561</v>
      </c>
      <c r="D32" s="2212"/>
      <c r="E32" s="980"/>
      <c r="F32" s="1017" t="s">
        <v>1198</v>
      </c>
      <c r="G32" s="1017" t="s">
        <v>561</v>
      </c>
      <c r="H32" s="2215"/>
      <c r="I32" s="1018" t="s">
        <v>1198</v>
      </c>
      <c r="J32" s="1018" t="s">
        <v>561</v>
      </c>
      <c r="K32" s="2205"/>
      <c r="L32" s="1018" t="s">
        <v>1198</v>
      </c>
      <c r="M32" s="1018" t="s">
        <v>561</v>
      </c>
      <c r="N32" s="2205"/>
      <c r="O32" s="1018" t="s">
        <v>1198</v>
      </c>
      <c r="P32" s="1018" t="s">
        <v>561</v>
      </c>
      <c r="Q32" s="2205"/>
      <c r="R32" s="1018" t="s">
        <v>1198</v>
      </c>
      <c r="S32" s="1018" t="s">
        <v>561</v>
      </c>
      <c r="T32" s="2205"/>
      <c r="U32" s="1018" t="s">
        <v>1198</v>
      </c>
      <c r="V32" s="1018" t="s">
        <v>561</v>
      </c>
      <c r="W32" s="2205"/>
      <c r="X32" s="1018" t="s">
        <v>1198</v>
      </c>
      <c r="Y32" s="1018" t="s">
        <v>561</v>
      </c>
      <c r="Z32" s="2205"/>
      <c r="AA32" s="1018" t="s">
        <v>1198</v>
      </c>
      <c r="AB32" s="1018" t="s">
        <v>561</v>
      </c>
      <c r="AC32" s="2205"/>
      <c r="AD32" s="1018" t="s">
        <v>1198</v>
      </c>
      <c r="AE32" s="1018" t="s">
        <v>561</v>
      </c>
      <c r="AF32" s="2205"/>
    </row>
    <row r="33" spans="1:32" s="962" customFormat="1" ht="20.149999999999999" customHeight="1">
      <c r="A33" s="2177" t="s">
        <v>1023</v>
      </c>
      <c r="B33" s="2178"/>
      <c r="C33" s="2178"/>
      <c r="D33" s="2179"/>
      <c r="E33" s="1002"/>
      <c r="F33" s="1019"/>
      <c r="G33" s="1019"/>
      <c r="H33" s="1019"/>
      <c r="I33" s="1020"/>
      <c r="J33" s="1020"/>
      <c r="K33" s="1020"/>
      <c r="L33" s="1020"/>
      <c r="M33" s="1020"/>
      <c r="N33" s="1020"/>
      <c r="O33" s="1020"/>
      <c r="P33" s="1020"/>
      <c r="Q33" s="1020"/>
      <c r="R33" s="1020"/>
      <c r="S33" s="1020"/>
      <c r="T33" s="1020"/>
      <c r="U33" s="1020"/>
      <c r="V33" s="1020"/>
      <c r="W33" s="1020"/>
      <c r="X33" s="1020"/>
      <c r="Y33" s="1020"/>
      <c r="Z33" s="1020"/>
      <c r="AA33" s="1020"/>
      <c r="AB33" s="1020"/>
      <c r="AC33" s="1020"/>
      <c r="AD33" s="1020"/>
      <c r="AE33" s="1020"/>
      <c r="AF33" s="1020"/>
    </row>
    <row r="34" spans="1:32" s="962" customFormat="1" ht="20.149999999999999" customHeight="1">
      <c r="A34" s="986" t="s">
        <v>1223</v>
      </c>
      <c r="B34" s="2180" t="str">
        <f>IFERROR(IF(I2="D",I4,"-"),"-")</f>
        <v>-</v>
      </c>
      <c r="C34" s="2181"/>
      <c r="D34" s="2182"/>
      <c r="E34" s="1021"/>
      <c r="F34" s="2201" t="s">
        <v>561</v>
      </c>
      <c r="G34" s="2201"/>
      <c r="H34" s="2201"/>
      <c r="I34" s="2194" t="s">
        <v>561</v>
      </c>
      <c r="J34" s="2194"/>
      <c r="K34" s="2194"/>
      <c r="L34" s="2194" t="s">
        <v>561</v>
      </c>
      <c r="M34" s="2194"/>
      <c r="N34" s="2194"/>
      <c r="O34" s="2194" t="s">
        <v>561</v>
      </c>
      <c r="P34" s="2194"/>
      <c r="Q34" s="2194"/>
      <c r="R34" s="2194" t="s">
        <v>561</v>
      </c>
      <c r="S34" s="2194"/>
      <c r="T34" s="2194"/>
      <c r="U34" s="2194" t="s">
        <v>561</v>
      </c>
      <c r="V34" s="2194"/>
      <c r="W34" s="2194"/>
      <c r="X34" s="2194" t="s">
        <v>561</v>
      </c>
      <c r="Y34" s="2194"/>
      <c r="Z34" s="2194"/>
      <c r="AA34" s="2194" t="s">
        <v>561</v>
      </c>
      <c r="AB34" s="2194"/>
      <c r="AC34" s="2194"/>
      <c r="AD34" s="2194" t="s">
        <v>561</v>
      </c>
      <c r="AE34" s="2194"/>
      <c r="AF34" s="2194"/>
    </row>
    <row r="35" spans="1:32" s="962" customFormat="1" ht="20.149999999999999" customHeight="1">
      <c r="A35" s="986" t="s">
        <v>1024</v>
      </c>
      <c r="B35" s="2180" t="str">
        <f>IFERROR(IF(I2="C",I4,"-"),"-")</f>
        <v>-</v>
      </c>
      <c r="C35" s="2181"/>
      <c r="D35" s="2182"/>
      <c r="E35" s="1022"/>
      <c r="F35" s="2201" t="s">
        <v>561</v>
      </c>
      <c r="G35" s="2201"/>
      <c r="H35" s="2201"/>
      <c r="I35" s="2194" t="s">
        <v>561</v>
      </c>
      <c r="J35" s="2194"/>
      <c r="K35" s="2194"/>
      <c r="L35" s="2194" t="s">
        <v>561</v>
      </c>
      <c r="M35" s="2194"/>
      <c r="N35" s="2194"/>
      <c r="O35" s="2194" t="s">
        <v>561</v>
      </c>
      <c r="P35" s="2194"/>
      <c r="Q35" s="2194"/>
      <c r="R35" s="2194" t="s">
        <v>561</v>
      </c>
      <c r="S35" s="2194"/>
      <c r="T35" s="2194"/>
      <c r="U35" s="2194" t="s">
        <v>561</v>
      </c>
      <c r="V35" s="2194"/>
      <c r="W35" s="2194"/>
      <c r="X35" s="2194" t="s">
        <v>561</v>
      </c>
      <c r="Y35" s="2194"/>
      <c r="Z35" s="2194"/>
      <c r="AA35" s="2194" t="s">
        <v>561</v>
      </c>
      <c r="AB35" s="2194"/>
      <c r="AC35" s="2194"/>
      <c r="AD35" s="2194" t="s">
        <v>561</v>
      </c>
      <c r="AE35" s="2194"/>
      <c r="AF35" s="2194"/>
    </row>
    <row r="36" spans="1:32" s="962" customFormat="1" ht="26.25" customHeight="1">
      <c r="A36" s="2199" t="str">
        <f>IF(G4&lt;11,"*   สำหรับผู้เอาประกันภัยในช่วงระยะเวลาก่อนวันครบรอบปีกรมธรรม์ประกันภัย ที่ผู้เอาประกันภัยมีอายุน้อยกว่า 11 ปี","")</f>
        <v/>
      </c>
      <c r="B36" s="2199"/>
      <c r="C36" s="2199"/>
      <c r="D36" s="2199"/>
      <c r="E36" s="1023"/>
      <c r="F36" s="2198" t="str">
        <f>"สำหรับแผน "&amp;G5</f>
        <v>สำหรับแผน 0</v>
      </c>
      <c r="G36" s="2198"/>
      <c r="H36" s="2198"/>
      <c r="I36" s="2200" t="s">
        <v>1224</v>
      </c>
      <c r="J36" s="2200"/>
      <c r="K36" s="2200"/>
      <c r="L36" s="2195" t="s">
        <v>1225</v>
      </c>
      <c r="M36" s="2195"/>
      <c r="N36" s="2195"/>
      <c r="O36" s="2200" t="s">
        <v>1224</v>
      </c>
      <c r="P36" s="2200"/>
      <c r="Q36" s="2200"/>
      <c r="R36" s="2195" t="s">
        <v>1225</v>
      </c>
      <c r="S36" s="2195"/>
      <c r="T36" s="2195"/>
      <c r="U36" s="2196" t="s">
        <v>1226</v>
      </c>
      <c r="V36" s="2196"/>
      <c r="W36" s="2196"/>
      <c r="X36" s="2197" t="s">
        <v>1227</v>
      </c>
      <c r="Y36" s="2197"/>
      <c r="Z36" s="2197"/>
      <c r="AA36" s="2198" t="s">
        <v>1228</v>
      </c>
      <c r="AB36" s="2198"/>
      <c r="AC36" s="2198"/>
      <c r="AD36" s="2202" t="s">
        <v>1229</v>
      </c>
      <c r="AE36" s="2202"/>
      <c r="AF36" s="2202"/>
    </row>
    <row r="37" spans="1:32" s="962" customFormat="1" ht="29.15" customHeight="1">
      <c r="A37" s="2131" t="str">
        <f>IF(G2="no","ไม่คุ้มครอง","ตารางผลประโยชน์ (บันทึกสลักหลัง) แผน "&amp;G5)</f>
        <v>ไม่คุ้มครอง</v>
      </c>
      <c r="B37" s="2131"/>
      <c r="C37" s="2131"/>
      <c r="D37" s="2131"/>
      <c r="E37" s="964"/>
      <c r="F37" s="1024" t="s">
        <v>73</v>
      </c>
      <c r="G37" s="1024" t="s">
        <v>1010</v>
      </c>
      <c r="H37" s="1024" t="s">
        <v>1011</v>
      </c>
      <c r="I37" s="1025" t="s">
        <v>73</v>
      </c>
      <c r="J37" s="1025" t="s">
        <v>1010</v>
      </c>
      <c r="K37" s="1025" t="s">
        <v>1011</v>
      </c>
      <c r="L37" s="1026" t="s">
        <v>73</v>
      </c>
      <c r="M37" s="1026" t="s">
        <v>1010</v>
      </c>
      <c r="N37" s="1026" t="s">
        <v>1011</v>
      </c>
      <c r="O37" s="1025" t="s">
        <v>73</v>
      </c>
      <c r="P37" s="1025" t="s">
        <v>1010</v>
      </c>
      <c r="Q37" s="1025" t="s">
        <v>1011</v>
      </c>
      <c r="R37" s="1026" t="s">
        <v>73</v>
      </c>
      <c r="S37" s="1026" t="s">
        <v>1010</v>
      </c>
      <c r="T37" s="1026" t="s">
        <v>1011</v>
      </c>
      <c r="U37" s="1027" t="s">
        <v>73</v>
      </c>
      <c r="V37" s="1027" t="s">
        <v>1010</v>
      </c>
      <c r="W37" s="1027" t="s">
        <v>1011</v>
      </c>
      <c r="X37" s="1028" t="s">
        <v>73</v>
      </c>
      <c r="Y37" s="1028" t="s">
        <v>1010</v>
      </c>
      <c r="Z37" s="1028" t="s">
        <v>1011</v>
      </c>
      <c r="AA37" s="1024" t="s">
        <v>73</v>
      </c>
      <c r="AB37" s="1024" t="s">
        <v>1010</v>
      </c>
      <c r="AC37" s="1024" t="s">
        <v>1011</v>
      </c>
      <c r="AD37" s="1029" t="s">
        <v>73</v>
      </c>
      <c r="AE37" s="1029" t="s">
        <v>1010</v>
      </c>
      <c r="AF37" s="1029" t="s">
        <v>1011</v>
      </c>
    </row>
    <row r="38" spans="1:32" s="962" customFormat="1" ht="49.5" customHeight="1">
      <c r="A38" s="963" t="s">
        <v>73</v>
      </c>
      <c r="B38" s="963" t="s">
        <v>1180</v>
      </c>
      <c r="C38" s="963" t="s">
        <v>1181</v>
      </c>
      <c r="D38" s="963" t="s">
        <v>1182</v>
      </c>
      <c r="E38" s="1030"/>
      <c r="F38" s="1024" t="s">
        <v>1012</v>
      </c>
      <c r="G38" s="1024" t="s">
        <v>1013</v>
      </c>
      <c r="H38" s="1024" t="s">
        <v>1012</v>
      </c>
      <c r="I38" s="1025" t="s">
        <v>1012</v>
      </c>
      <c r="J38" s="1025" t="s">
        <v>1013</v>
      </c>
      <c r="K38" s="1025" t="s">
        <v>1012</v>
      </c>
      <c r="L38" s="1026" t="s">
        <v>1012</v>
      </c>
      <c r="M38" s="1026" t="s">
        <v>1013</v>
      </c>
      <c r="N38" s="1026" t="s">
        <v>1012</v>
      </c>
      <c r="O38" s="1025" t="s">
        <v>1012</v>
      </c>
      <c r="P38" s="1025" t="s">
        <v>1013</v>
      </c>
      <c r="Q38" s="1025" t="s">
        <v>1012</v>
      </c>
      <c r="R38" s="1026" t="s">
        <v>1012</v>
      </c>
      <c r="S38" s="1026" t="s">
        <v>1013</v>
      </c>
      <c r="T38" s="1026" t="s">
        <v>1012</v>
      </c>
      <c r="U38" s="1027" t="s">
        <v>1012</v>
      </c>
      <c r="V38" s="1027" t="s">
        <v>1013</v>
      </c>
      <c r="W38" s="1027" t="s">
        <v>1012</v>
      </c>
      <c r="X38" s="1028" t="s">
        <v>1012</v>
      </c>
      <c r="Y38" s="1028" t="s">
        <v>1013</v>
      </c>
      <c r="Z38" s="1028" t="s">
        <v>1012</v>
      </c>
      <c r="AA38" s="1024" t="s">
        <v>1012</v>
      </c>
      <c r="AB38" s="1024" t="s">
        <v>1013</v>
      </c>
      <c r="AC38" s="1024" t="s">
        <v>1012</v>
      </c>
      <c r="AD38" s="1029" t="s">
        <v>1012</v>
      </c>
      <c r="AE38" s="1029" t="s">
        <v>1013</v>
      </c>
      <c r="AF38" s="1029" t="s">
        <v>1012</v>
      </c>
    </row>
    <row r="39" spans="1:32" s="1034" customFormat="1" ht="20.149999999999999" customHeight="1">
      <c r="A39" s="1031" t="s">
        <v>1230</v>
      </c>
      <c r="B39" s="1032" t="str">
        <f>IF($G$2="No","ไม่คุ้มครอง",F39)</f>
        <v>ไม่คุ้มครอง</v>
      </c>
      <c r="C39" s="1033" t="s">
        <v>561</v>
      </c>
      <c r="D39" s="2184" t="str">
        <f>IF($G$2="No","ไม่คุ้มครอง",H39)</f>
        <v>ไม่คุ้มครอง</v>
      </c>
      <c r="E39" s="1030"/>
      <c r="F39" s="977" t="str">
        <f>IF($H$5="C1",I39,IF($H$5="C2",L39,IF($H$5="A1",O39,IF($H$5="A2",R39,IF($H$5="A3",U39,IF($H$5="A4",X39,IF($H$5="A5",AA39,IF($H$5="A6",AD39,""))))))))</f>
        <v/>
      </c>
      <c r="G39" s="990" t="s">
        <v>561</v>
      </c>
      <c r="H39" s="2191" t="str">
        <f>IF($H$5="C1",K39,IF($H$5="C2",N39,IF($H$5="A1",Q39,IF($H$5="A2",T39,IF($H$5="A3",W39,IF($H$5="A4",Z39,IF($H$5="A5",AC39,IF($H$5="A6",AF39,""))))))))</f>
        <v/>
      </c>
      <c r="I39" s="991" t="s">
        <v>561</v>
      </c>
      <c r="J39" s="991" t="s">
        <v>561</v>
      </c>
      <c r="K39" s="2174" t="s">
        <v>561</v>
      </c>
      <c r="L39" s="991" t="s">
        <v>561</v>
      </c>
      <c r="M39" s="991" t="s">
        <v>561</v>
      </c>
      <c r="N39" s="2174" t="s">
        <v>561</v>
      </c>
      <c r="O39" s="991" t="s">
        <v>561</v>
      </c>
      <c r="P39" s="991" t="s">
        <v>561</v>
      </c>
      <c r="Q39" s="2174" t="s">
        <v>561</v>
      </c>
      <c r="R39" s="991" t="s">
        <v>561</v>
      </c>
      <c r="S39" s="991" t="s">
        <v>561</v>
      </c>
      <c r="T39" s="2174" t="s">
        <v>561</v>
      </c>
      <c r="U39" s="991" t="s">
        <v>1198</v>
      </c>
      <c r="V39" s="991" t="s">
        <v>561</v>
      </c>
      <c r="W39" s="2184" t="s">
        <v>1231</v>
      </c>
      <c r="X39" s="991" t="s">
        <v>1198</v>
      </c>
      <c r="Y39" s="991" t="s">
        <v>561</v>
      </c>
      <c r="Z39" s="2184" t="s">
        <v>1232</v>
      </c>
      <c r="AA39" s="991" t="s">
        <v>1198</v>
      </c>
      <c r="AB39" s="991" t="s">
        <v>561</v>
      </c>
      <c r="AC39" s="2184" t="s">
        <v>1233</v>
      </c>
      <c r="AD39" s="991" t="s">
        <v>1198</v>
      </c>
      <c r="AE39" s="991" t="s">
        <v>561</v>
      </c>
      <c r="AF39" s="2184" t="s">
        <v>1234</v>
      </c>
    </row>
    <row r="40" spans="1:32" s="1034" customFormat="1" ht="20.149999999999999" customHeight="1">
      <c r="A40" s="1035" t="s">
        <v>1235</v>
      </c>
      <c r="B40" s="1032" t="str">
        <f>IF($G$2="No","ไม่คุ้มครอง",F40)</f>
        <v>ไม่คุ้มครอง</v>
      </c>
      <c r="C40" s="1033" t="s">
        <v>561</v>
      </c>
      <c r="D40" s="2185"/>
      <c r="E40" s="1036"/>
      <c r="F40" s="977" t="str">
        <f t="shared" ref="F40:H53" si="1">IF($H$5="C1",I40,IF($H$5="C2",L40,IF($H$5="A1",O40,IF($H$5="A2",R40,IF($H$5="A3",U40,IF($H$5="A4",X40,IF($H$5="A5",AA40,IF($H$5="A6",AD40,""))))))))</f>
        <v/>
      </c>
      <c r="G40" s="990" t="s">
        <v>561</v>
      </c>
      <c r="H40" s="2192"/>
      <c r="I40" s="991" t="s">
        <v>561</v>
      </c>
      <c r="J40" s="991" t="s">
        <v>561</v>
      </c>
      <c r="K40" s="2175"/>
      <c r="L40" s="991" t="s">
        <v>561</v>
      </c>
      <c r="M40" s="991" t="s">
        <v>561</v>
      </c>
      <c r="N40" s="2175"/>
      <c r="O40" s="991" t="s">
        <v>561</v>
      </c>
      <c r="P40" s="991" t="s">
        <v>561</v>
      </c>
      <c r="Q40" s="2175"/>
      <c r="R40" s="991" t="s">
        <v>561</v>
      </c>
      <c r="S40" s="991" t="s">
        <v>561</v>
      </c>
      <c r="T40" s="2175"/>
      <c r="U40" s="991" t="s">
        <v>1198</v>
      </c>
      <c r="V40" s="991" t="s">
        <v>561</v>
      </c>
      <c r="W40" s="2185"/>
      <c r="X40" s="991" t="s">
        <v>1198</v>
      </c>
      <c r="Y40" s="991" t="s">
        <v>561</v>
      </c>
      <c r="Z40" s="2185"/>
      <c r="AA40" s="991" t="s">
        <v>1198</v>
      </c>
      <c r="AB40" s="991" t="s">
        <v>561</v>
      </c>
      <c r="AC40" s="2185"/>
      <c r="AD40" s="991" t="s">
        <v>1198</v>
      </c>
      <c r="AE40" s="991" t="s">
        <v>561</v>
      </c>
      <c r="AF40" s="2185"/>
    </row>
    <row r="41" spans="1:32" s="1034" customFormat="1" ht="20.149999999999999" customHeight="1">
      <c r="A41" s="1035" t="s">
        <v>1236</v>
      </c>
      <c r="B41" s="1032" t="str">
        <f>IF($G$2="No","ไม่คุ้มครอง",F41)</f>
        <v>ไม่คุ้มครอง</v>
      </c>
      <c r="C41" s="1033" t="s">
        <v>561</v>
      </c>
      <c r="D41" s="2185"/>
      <c r="E41" s="1037"/>
      <c r="F41" s="977" t="str">
        <f t="shared" si="1"/>
        <v/>
      </c>
      <c r="G41" s="990" t="s">
        <v>561</v>
      </c>
      <c r="H41" s="2192"/>
      <c r="I41" s="991" t="s">
        <v>561</v>
      </c>
      <c r="J41" s="991" t="s">
        <v>561</v>
      </c>
      <c r="K41" s="2175"/>
      <c r="L41" s="991" t="s">
        <v>561</v>
      </c>
      <c r="M41" s="991" t="s">
        <v>561</v>
      </c>
      <c r="N41" s="2175"/>
      <c r="O41" s="991" t="s">
        <v>561</v>
      </c>
      <c r="P41" s="991" t="s">
        <v>561</v>
      </c>
      <c r="Q41" s="2175"/>
      <c r="R41" s="991" t="s">
        <v>561</v>
      </c>
      <c r="S41" s="991" t="s">
        <v>561</v>
      </c>
      <c r="T41" s="2175"/>
      <c r="U41" s="991" t="s">
        <v>1198</v>
      </c>
      <c r="V41" s="991" t="s">
        <v>561</v>
      </c>
      <c r="W41" s="2185"/>
      <c r="X41" s="991" t="s">
        <v>1198</v>
      </c>
      <c r="Y41" s="991" t="s">
        <v>561</v>
      </c>
      <c r="Z41" s="2185"/>
      <c r="AA41" s="991" t="s">
        <v>1198</v>
      </c>
      <c r="AB41" s="991" t="s">
        <v>561</v>
      </c>
      <c r="AC41" s="2185"/>
      <c r="AD41" s="991" t="s">
        <v>1198</v>
      </c>
      <c r="AE41" s="991" t="s">
        <v>561</v>
      </c>
      <c r="AF41" s="2185"/>
    </row>
    <row r="42" spans="1:32" s="1034" customFormat="1" ht="20.149999999999999" customHeight="1">
      <c r="A42" s="1035" t="s">
        <v>1237</v>
      </c>
      <c r="B42" s="1032" t="str">
        <f>IF($G$2="No","ไม่คุ้มครอง",F42)</f>
        <v>ไม่คุ้มครอง</v>
      </c>
      <c r="C42" s="1033" t="s">
        <v>561</v>
      </c>
      <c r="D42" s="2185"/>
      <c r="E42" s="1037"/>
      <c r="F42" s="977" t="str">
        <f t="shared" si="1"/>
        <v/>
      </c>
      <c r="G42" s="990" t="s">
        <v>561</v>
      </c>
      <c r="H42" s="2192"/>
      <c r="I42" s="991" t="s">
        <v>561</v>
      </c>
      <c r="J42" s="991" t="s">
        <v>561</v>
      </c>
      <c r="K42" s="2175"/>
      <c r="L42" s="991" t="s">
        <v>561</v>
      </c>
      <c r="M42" s="991" t="s">
        <v>561</v>
      </c>
      <c r="N42" s="2175"/>
      <c r="O42" s="991" t="s">
        <v>561</v>
      </c>
      <c r="P42" s="991" t="s">
        <v>561</v>
      </c>
      <c r="Q42" s="2175"/>
      <c r="R42" s="991" t="s">
        <v>561</v>
      </c>
      <c r="S42" s="991" t="s">
        <v>561</v>
      </c>
      <c r="T42" s="2175"/>
      <c r="U42" s="991" t="s">
        <v>1198</v>
      </c>
      <c r="V42" s="991" t="s">
        <v>561</v>
      </c>
      <c r="W42" s="2185"/>
      <c r="X42" s="991" t="s">
        <v>1198</v>
      </c>
      <c r="Y42" s="991" t="s">
        <v>561</v>
      </c>
      <c r="Z42" s="2185"/>
      <c r="AA42" s="991" t="s">
        <v>1198</v>
      </c>
      <c r="AB42" s="991" t="s">
        <v>561</v>
      </c>
      <c r="AC42" s="2185"/>
      <c r="AD42" s="991" t="s">
        <v>1198</v>
      </c>
      <c r="AE42" s="991" t="s">
        <v>561</v>
      </c>
      <c r="AF42" s="2185"/>
    </row>
    <row r="43" spans="1:32" s="1034" customFormat="1" ht="20.149999999999999" customHeight="1">
      <c r="A43" s="1035" t="s">
        <v>1238</v>
      </c>
      <c r="B43" s="2187" t="str">
        <f>IF($G$2="No","ไม่คุ้มครอง",F43)</f>
        <v>ไม่คุ้มครอง</v>
      </c>
      <c r="C43" s="1033" t="s">
        <v>561</v>
      </c>
      <c r="D43" s="2185"/>
      <c r="E43" s="1037"/>
      <c r="F43" s="2189" t="str">
        <f t="shared" si="1"/>
        <v/>
      </c>
      <c r="G43" s="990" t="s">
        <v>561</v>
      </c>
      <c r="H43" s="2192"/>
      <c r="I43" s="2171" t="s">
        <v>561</v>
      </c>
      <c r="J43" s="991" t="s">
        <v>561</v>
      </c>
      <c r="K43" s="2175"/>
      <c r="L43" s="2171" t="s">
        <v>561</v>
      </c>
      <c r="M43" s="991" t="s">
        <v>561</v>
      </c>
      <c r="N43" s="2175"/>
      <c r="O43" s="2171" t="s">
        <v>561</v>
      </c>
      <c r="P43" s="991" t="s">
        <v>561</v>
      </c>
      <c r="Q43" s="2175"/>
      <c r="R43" s="2171" t="s">
        <v>561</v>
      </c>
      <c r="S43" s="991" t="s">
        <v>561</v>
      </c>
      <c r="T43" s="2175"/>
      <c r="U43" s="2171">
        <v>6000</v>
      </c>
      <c r="V43" s="991" t="s">
        <v>561</v>
      </c>
      <c r="W43" s="2185"/>
      <c r="X43" s="2171">
        <v>12000</v>
      </c>
      <c r="Y43" s="991" t="s">
        <v>561</v>
      </c>
      <c r="Z43" s="2185"/>
      <c r="AA43" s="2171">
        <v>60000</v>
      </c>
      <c r="AB43" s="991" t="s">
        <v>561</v>
      </c>
      <c r="AC43" s="2185"/>
      <c r="AD43" s="2171" t="s">
        <v>1198</v>
      </c>
      <c r="AE43" s="991" t="s">
        <v>561</v>
      </c>
      <c r="AF43" s="2185"/>
    </row>
    <row r="44" spans="1:32" s="1034" customFormat="1" ht="20.149999999999999" customHeight="1">
      <c r="A44" s="1035" t="s">
        <v>1239</v>
      </c>
      <c r="B44" s="2188"/>
      <c r="C44" s="1033" t="s">
        <v>561</v>
      </c>
      <c r="D44" s="2185"/>
      <c r="E44" s="1037"/>
      <c r="F44" s="2190"/>
      <c r="G44" s="990" t="s">
        <v>561</v>
      </c>
      <c r="H44" s="2193"/>
      <c r="I44" s="2171"/>
      <c r="J44" s="991" t="s">
        <v>561</v>
      </c>
      <c r="K44" s="2176"/>
      <c r="L44" s="2171"/>
      <c r="M44" s="991" t="s">
        <v>561</v>
      </c>
      <c r="N44" s="2176"/>
      <c r="O44" s="2171"/>
      <c r="P44" s="991" t="s">
        <v>561</v>
      </c>
      <c r="Q44" s="2176"/>
      <c r="R44" s="2171"/>
      <c r="S44" s="991" t="s">
        <v>561</v>
      </c>
      <c r="T44" s="2176"/>
      <c r="U44" s="2171"/>
      <c r="V44" s="991" t="s">
        <v>561</v>
      </c>
      <c r="W44" s="2186"/>
      <c r="X44" s="2171"/>
      <c r="Y44" s="991" t="s">
        <v>561</v>
      </c>
      <c r="Z44" s="2186"/>
      <c r="AA44" s="2171"/>
      <c r="AB44" s="991" t="s">
        <v>561</v>
      </c>
      <c r="AC44" s="2185"/>
      <c r="AD44" s="2171"/>
      <c r="AE44" s="991" t="s">
        <v>561</v>
      </c>
      <c r="AF44" s="2185"/>
    </row>
    <row r="45" spans="1:32" s="1034" customFormat="1" ht="20.149999999999999" customHeight="1">
      <c r="A45" s="1031" t="s">
        <v>1240</v>
      </c>
      <c r="B45" s="1032" t="str">
        <f t="shared" ref="B45:B53" si="2">IF($G$2="No","ไม่คุ้มครอง",F45)</f>
        <v>ไม่คุ้มครอง</v>
      </c>
      <c r="C45" s="1033" t="s">
        <v>561</v>
      </c>
      <c r="D45" s="1038"/>
      <c r="E45" s="1037"/>
      <c r="F45" s="977" t="str">
        <f t="shared" si="1"/>
        <v/>
      </c>
      <c r="G45" s="990" t="s">
        <v>561</v>
      </c>
      <c r="H45" s="977" t="str">
        <f t="shared" si="1"/>
        <v/>
      </c>
      <c r="I45" s="991" t="s">
        <v>561</v>
      </c>
      <c r="J45" s="991" t="s">
        <v>561</v>
      </c>
      <c r="K45" s="991" t="s">
        <v>561</v>
      </c>
      <c r="L45" s="991" t="s">
        <v>561</v>
      </c>
      <c r="M45" s="991" t="s">
        <v>561</v>
      </c>
      <c r="N45" s="991" t="s">
        <v>561</v>
      </c>
      <c r="O45" s="991" t="s">
        <v>561</v>
      </c>
      <c r="P45" s="991" t="s">
        <v>561</v>
      </c>
      <c r="Q45" s="991" t="s">
        <v>561</v>
      </c>
      <c r="R45" s="991" t="s">
        <v>561</v>
      </c>
      <c r="S45" s="991" t="s">
        <v>561</v>
      </c>
      <c r="T45" s="991" t="s">
        <v>561</v>
      </c>
      <c r="U45" s="991" t="s">
        <v>561</v>
      </c>
      <c r="V45" s="991" t="s">
        <v>561</v>
      </c>
      <c r="W45" s="991" t="s">
        <v>561</v>
      </c>
      <c r="X45" s="991" t="s">
        <v>561</v>
      </c>
      <c r="Y45" s="991" t="s">
        <v>561</v>
      </c>
      <c r="Z45" s="991" t="s">
        <v>561</v>
      </c>
      <c r="AA45" s="991" t="s">
        <v>1198</v>
      </c>
      <c r="AB45" s="991" t="s">
        <v>561</v>
      </c>
      <c r="AC45" s="2185"/>
      <c r="AD45" s="991" t="s">
        <v>1198</v>
      </c>
      <c r="AE45" s="991" t="s">
        <v>561</v>
      </c>
      <c r="AF45" s="2185"/>
    </row>
    <row r="46" spans="1:32" s="1034" customFormat="1" ht="20.149999999999999" customHeight="1">
      <c r="A46" s="1031" t="s">
        <v>1241</v>
      </c>
      <c r="B46" s="1039" t="str">
        <f t="shared" si="2"/>
        <v>ไม่คุ้มครอง</v>
      </c>
      <c r="C46" s="1033" t="s">
        <v>561</v>
      </c>
      <c r="D46" s="1038"/>
      <c r="E46" s="1036"/>
      <c r="F46" s="977" t="str">
        <f t="shared" si="1"/>
        <v/>
      </c>
      <c r="G46" s="990" t="s">
        <v>561</v>
      </c>
      <c r="H46" s="977" t="str">
        <f t="shared" si="1"/>
        <v/>
      </c>
      <c r="I46" s="991" t="s">
        <v>561</v>
      </c>
      <c r="J46" s="991" t="s">
        <v>561</v>
      </c>
      <c r="K46" s="991" t="s">
        <v>561</v>
      </c>
      <c r="L46" s="991" t="s">
        <v>561</v>
      </c>
      <c r="M46" s="991" t="s">
        <v>561</v>
      </c>
      <c r="N46" s="991" t="s">
        <v>561</v>
      </c>
      <c r="O46" s="991" t="s">
        <v>561</v>
      </c>
      <c r="P46" s="991" t="s">
        <v>561</v>
      </c>
      <c r="Q46" s="991" t="s">
        <v>561</v>
      </c>
      <c r="R46" s="991" t="s">
        <v>561</v>
      </c>
      <c r="S46" s="991" t="s">
        <v>561</v>
      </c>
      <c r="T46" s="991" t="s">
        <v>561</v>
      </c>
      <c r="U46" s="991" t="s">
        <v>561</v>
      </c>
      <c r="V46" s="991" t="s">
        <v>561</v>
      </c>
      <c r="W46" s="991" t="s">
        <v>561</v>
      </c>
      <c r="X46" s="991" t="s">
        <v>561</v>
      </c>
      <c r="Y46" s="991" t="s">
        <v>561</v>
      </c>
      <c r="Z46" s="991" t="s">
        <v>561</v>
      </c>
      <c r="AA46" s="974">
        <v>5000</v>
      </c>
      <c r="AB46" s="991" t="s">
        <v>561</v>
      </c>
      <c r="AC46" s="2185"/>
      <c r="AD46" s="974">
        <v>35000</v>
      </c>
      <c r="AE46" s="991" t="s">
        <v>561</v>
      </c>
      <c r="AF46" s="2185"/>
    </row>
    <row r="47" spans="1:32" s="1034" customFormat="1" ht="20.149999999999999" customHeight="1">
      <c r="A47" s="1031" t="s">
        <v>1242</v>
      </c>
      <c r="B47" s="1039" t="str">
        <f t="shared" si="2"/>
        <v>ไม่คุ้มครอง</v>
      </c>
      <c r="C47" s="1033" t="s">
        <v>561</v>
      </c>
      <c r="D47" s="1038"/>
      <c r="E47" s="1036"/>
      <c r="F47" s="977" t="str">
        <f t="shared" si="1"/>
        <v/>
      </c>
      <c r="G47" s="990" t="s">
        <v>561</v>
      </c>
      <c r="H47" s="977" t="str">
        <f t="shared" si="1"/>
        <v/>
      </c>
      <c r="I47" s="991" t="s">
        <v>561</v>
      </c>
      <c r="J47" s="991" t="s">
        <v>561</v>
      </c>
      <c r="K47" s="991" t="s">
        <v>561</v>
      </c>
      <c r="L47" s="991" t="s">
        <v>561</v>
      </c>
      <c r="M47" s="991" t="s">
        <v>561</v>
      </c>
      <c r="N47" s="991" t="s">
        <v>561</v>
      </c>
      <c r="O47" s="991" t="s">
        <v>561</v>
      </c>
      <c r="P47" s="991" t="s">
        <v>561</v>
      </c>
      <c r="Q47" s="991" t="s">
        <v>561</v>
      </c>
      <c r="R47" s="991" t="s">
        <v>561</v>
      </c>
      <c r="S47" s="991" t="s">
        <v>561</v>
      </c>
      <c r="T47" s="991" t="s">
        <v>561</v>
      </c>
      <c r="U47" s="991" t="s">
        <v>561</v>
      </c>
      <c r="V47" s="991" t="s">
        <v>561</v>
      </c>
      <c r="W47" s="991" t="s">
        <v>561</v>
      </c>
      <c r="X47" s="991" t="s">
        <v>561</v>
      </c>
      <c r="Y47" s="991" t="s">
        <v>561</v>
      </c>
      <c r="Z47" s="991" t="s">
        <v>561</v>
      </c>
      <c r="AA47" s="974">
        <v>7500</v>
      </c>
      <c r="AB47" s="991" t="s">
        <v>561</v>
      </c>
      <c r="AC47" s="2185"/>
      <c r="AD47" s="974">
        <v>36000</v>
      </c>
      <c r="AE47" s="991" t="s">
        <v>561</v>
      </c>
      <c r="AF47" s="2185"/>
    </row>
    <row r="48" spans="1:32" s="1034" customFormat="1" ht="20.149999999999999" customHeight="1">
      <c r="A48" s="1031" t="s">
        <v>1243</v>
      </c>
      <c r="B48" s="1039" t="str">
        <f t="shared" si="2"/>
        <v>ไม่คุ้มครอง</v>
      </c>
      <c r="C48" s="1033" t="s">
        <v>561</v>
      </c>
      <c r="D48" s="1040"/>
      <c r="E48" s="1036"/>
      <c r="F48" s="977" t="str">
        <f t="shared" si="1"/>
        <v/>
      </c>
      <c r="G48" s="990" t="s">
        <v>561</v>
      </c>
      <c r="H48" s="977" t="str">
        <f t="shared" si="1"/>
        <v/>
      </c>
      <c r="I48" s="991" t="s">
        <v>561</v>
      </c>
      <c r="J48" s="991" t="s">
        <v>561</v>
      </c>
      <c r="K48" s="991" t="s">
        <v>561</v>
      </c>
      <c r="L48" s="991" t="s">
        <v>561</v>
      </c>
      <c r="M48" s="991" t="s">
        <v>561</v>
      </c>
      <c r="N48" s="991" t="s">
        <v>561</v>
      </c>
      <c r="O48" s="991" t="s">
        <v>561</v>
      </c>
      <c r="P48" s="991" t="s">
        <v>561</v>
      </c>
      <c r="Q48" s="991" t="s">
        <v>561</v>
      </c>
      <c r="R48" s="991" t="s">
        <v>561</v>
      </c>
      <c r="S48" s="991" t="s">
        <v>561</v>
      </c>
      <c r="T48" s="991" t="s">
        <v>561</v>
      </c>
      <c r="U48" s="991" t="s">
        <v>561</v>
      </c>
      <c r="V48" s="991" t="s">
        <v>561</v>
      </c>
      <c r="W48" s="991" t="s">
        <v>561</v>
      </c>
      <c r="X48" s="991" t="s">
        <v>561</v>
      </c>
      <c r="Y48" s="991" t="s">
        <v>561</v>
      </c>
      <c r="Z48" s="991" t="s">
        <v>561</v>
      </c>
      <c r="AA48" s="974">
        <v>5000</v>
      </c>
      <c r="AB48" s="991" t="s">
        <v>561</v>
      </c>
      <c r="AC48" s="2186"/>
      <c r="AD48" s="974">
        <v>200000</v>
      </c>
      <c r="AE48" s="991" t="s">
        <v>561</v>
      </c>
      <c r="AF48" s="2185"/>
    </row>
    <row r="49" spans="1:32" s="1034" customFormat="1" ht="20.149999999999999" customHeight="1">
      <c r="A49" s="1041" t="s">
        <v>1244</v>
      </c>
      <c r="B49" s="1042" t="str">
        <f t="shared" si="2"/>
        <v>ไม่คุ้มครอง</v>
      </c>
      <c r="C49" s="1043" t="s">
        <v>561</v>
      </c>
      <c r="D49" s="1038"/>
      <c r="E49" s="1036"/>
      <c r="F49" s="977" t="str">
        <f t="shared" si="1"/>
        <v/>
      </c>
      <c r="G49" s="990" t="s">
        <v>561</v>
      </c>
      <c r="H49" s="977" t="str">
        <f t="shared" si="1"/>
        <v/>
      </c>
      <c r="I49" s="991" t="s">
        <v>561</v>
      </c>
      <c r="J49" s="991" t="s">
        <v>561</v>
      </c>
      <c r="K49" s="991" t="s">
        <v>561</v>
      </c>
      <c r="L49" s="991" t="s">
        <v>561</v>
      </c>
      <c r="M49" s="991" t="s">
        <v>561</v>
      </c>
      <c r="N49" s="991" t="s">
        <v>561</v>
      </c>
      <c r="O49" s="991" t="s">
        <v>561</v>
      </c>
      <c r="P49" s="991" t="s">
        <v>561</v>
      </c>
      <c r="Q49" s="991" t="s">
        <v>561</v>
      </c>
      <c r="R49" s="991" t="s">
        <v>561</v>
      </c>
      <c r="S49" s="991" t="s">
        <v>561</v>
      </c>
      <c r="T49" s="991" t="s">
        <v>561</v>
      </c>
      <c r="U49" s="991" t="s">
        <v>561</v>
      </c>
      <c r="V49" s="991" t="s">
        <v>561</v>
      </c>
      <c r="W49" s="991" t="s">
        <v>561</v>
      </c>
      <c r="X49" s="991" t="s">
        <v>561</v>
      </c>
      <c r="Y49" s="991" t="s">
        <v>561</v>
      </c>
      <c r="Z49" s="991" t="s">
        <v>561</v>
      </c>
      <c r="AA49" s="991" t="s">
        <v>561</v>
      </c>
      <c r="AB49" s="991" t="s">
        <v>561</v>
      </c>
      <c r="AC49" s="991" t="s">
        <v>561</v>
      </c>
      <c r="AD49" s="974">
        <v>400000</v>
      </c>
      <c r="AE49" s="991" t="s">
        <v>561</v>
      </c>
      <c r="AF49" s="2185"/>
    </row>
    <row r="50" spans="1:32" s="1034" customFormat="1" ht="20.149999999999999" customHeight="1">
      <c r="A50" s="1031" t="s">
        <v>1245</v>
      </c>
      <c r="B50" s="1039" t="str">
        <f t="shared" si="2"/>
        <v>ไม่คุ้มครอง</v>
      </c>
      <c r="C50" s="1033" t="s">
        <v>561</v>
      </c>
      <c r="D50" s="1038"/>
      <c r="E50" s="1036"/>
      <c r="F50" s="977" t="str">
        <f t="shared" si="1"/>
        <v/>
      </c>
      <c r="G50" s="990" t="s">
        <v>561</v>
      </c>
      <c r="H50" s="977" t="str">
        <f t="shared" si="1"/>
        <v/>
      </c>
      <c r="I50" s="991" t="s">
        <v>561</v>
      </c>
      <c r="J50" s="991" t="s">
        <v>561</v>
      </c>
      <c r="K50" s="991" t="s">
        <v>561</v>
      </c>
      <c r="L50" s="991" t="s">
        <v>561</v>
      </c>
      <c r="M50" s="991" t="s">
        <v>561</v>
      </c>
      <c r="N50" s="991" t="s">
        <v>561</v>
      </c>
      <c r="O50" s="991" t="s">
        <v>561</v>
      </c>
      <c r="P50" s="991" t="s">
        <v>561</v>
      </c>
      <c r="Q50" s="991" t="s">
        <v>561</v>
      </c>
      <c r="R50" s="991" t="s">
        <v>561</v>
      </c>
      <c r="S50" s="991" t="s">
        <v>561</v>
      </c>
      <c r="T50" s="991" t="s">
        <v>561</v>
      </c>
      <c r="U50" s="991" t="s">
        <v>561</v>
      </c>
      <c r="V50" s="991" t="s">
        <v>561</v>
      </c>
      <c r="W50" s="991" t="s">
        <v>561</v>
      </c>
      <c r="X50" s="991" t="s">
        <v>561</v>
      </c>
      <c r="Y50" s="991" t="s">
        <v>561</v>
      </c>
      <c r="Z50" s="991" t="s">
        <v>561</v>
      </c>
      <c r="AA50" s="991" t="s">
        <v>561</v>
      </c>
      <c r="AB50" s="991" t="s">
        <v>561</v>
      </c>
      <c r="AC50" s="991" t="s">
        <v>561</v>
      </c>
      <c r="AD50" s="974">
        <v>25000</v>
      </c>
      <c r="AE50" s="991" t="s">
        <v>561</v>
      </c>
      <c r="AF50" s="2185"/>
    </row>
    <row r="51" spans="1:32" s="1034" customFormat="1" ht="20.149999999999999" customHeight="1">
      <c r="A51" s="1031" t="s">
        <v>1246</v>
      </c>
      <c r="B51" s="1039" t="str">
        <f t="shared" si="2"/>
        <v>ไม่คุ้มครอง</v>
      </c>
      <c r="C51" s="1033" t="s">
        <v>561</v>
      </c>
      <c r="D51" s="1038"/>
      <c r="E51" s="1036"/>
      <c r="F51" s="977" t="str">
        <f t="shared" si="1"/>
        <v/>
      </c>
      <c r="G51" s="990" t="s">
        <v>561</v>
      </c>
      <c r="H51" s="977" t="str">
        <f t="shared" si="1"/>
        <v/>
      </c>
      <c r="I51" s="991" t="s">
        <v>561</v>
      </c>
      <c r="J51" s="991" t="s">
        <v>561</v>
      </c>
      <c r="K51" s="991" t="s">
        <v>561</v>
      </c>
      <c r="L51" s="991" t="s">
        <v>561</v>
      </c>
      <c r="M51" s="991" t="s">
        <v>561</v>
      </c>
      <c r="N51" s="991" t="s">
        <v>561</v>
      </c>
      <c r="O51" s="991" t="s">
        <v>561</v>
      </c>
      <c r="P51" s="991" t="s">
        <v>561</v>
      </c>
      <c r="Q51" s="991" t="s">
        <v>561</v>
      </c>
      <c r="R51" s="991" t="s">
        <v>561</v>
      </c>
      <c r="S51" s="991" t="s">
        <v>561</v>
      </c>
      <c r="T51" s="991" t="s">
        <v>561</v>
      </c>
      <c r="U51" s="991" t="s">
        <v>561</v>
      </c>
      <c r="V51" s="991" t="s">
        <v>561</v>
      </c>
      <c r="W51" s="991" t="s">
        <v>561</v>
      </c>
      <c r="X51" s="991" t="s">
        <v>561</v>
      </c>
      <c r="Y51" s="991" t="s">
        <v>561</v>
      </c>
      <c r="Z51" s="991" t="s">
        <v>561</v>
      </c>
      <c r="AA51" s="991" t="s">
        <v>561</v>
      </c>
      <c r="AB51" s="991" t="s">
        <v>561</v>
      </c>
      <c r="AC51" s="991" t="s">
        <v>561</v>
      </c>
      <c r="AD51" s="974">
        <v>30000</v>
      </c>
      <c r="AE51" s="991" t="s">
        <v>561</v>
      </c>
      <c r="AF51" s="2185"/>
    </row>
    <row r="52" spans="1:32" s="1034" customFormat="1" ht="20.149999999999999" customHeight="1">
      <c r="A52" s="1031" t="s">
        <v>1247</v>
      </c>
      <c r="B52" s="1039" t="str">
        <f t="shared" si="2"/>
        <v>ไม่คุ้มครอง</v>
      </c>
      <c r="C52" s="1033" t="s">
        <v>561</v>
      </c>
      <c r="D52" s="1038"/>
      <c r="E52" s="1036"/>
      <c r="F52" s="977" t="str">
        <f t="shared" si="1"/>
        <v/>
      </c>
      <c r="G52" s="990" t="s">
        <v>561</v>
      </c>
      <c r="H52" s="977" t="str">
        <f t="shared" si="1"/>
        <v/>
      </c>
      <c r="I52" s="991" t="s">
        <v>561</v>
      </c>
      <c r="J52" s="991" t="s">
        <v>561</v>
      </c>
      <c r="K52" s="991" t="s">
        <v>561</v>
      </c>
      <c r="L52" s="991" t="s">
        <v>561</v>
      </c>
      <c r="M52" s="991" t="s">
        <v>561</v>
      </c>
      <c r="N52" s="991" t="s">
        <v>561</v>
      </c>
      <c r="O52" s="991" t="s">
        <v>561</v>
      </c>
      <c r="P52" s="991" t="s">
        <v>561</v>
      </c>
      <c r="Q52" s="991" t="s">
        <v>561</v>
      </c>
      <c r="R52" s="991" t="s">
        <v>561</v>
      </c>
      <c r="S52" s="991" t="s">
        <v>561</v>
      </c>
      <c r="T52" s="991" t="s">
        <v>561</v>
      </c>
      <c r="U52" s="991" t="s">
        <v>561</v>
      </c>
      <c r="V52" s="991" t="s">
        <v>561</v>
      </c>
      <c r="W52" s="991" t="s">
        <v>561</v>
      </c>
      <c r="X52" s="991" t="s">
        <v>561</v>
      </c>
      <c r="Y52" s="991" t="s">
        <v>561</v>
      </c>
      <c r="Z52" s="991" t="s">
        <v>561</v>
      </c>
      <c r="AA52" s="991" t="s">
        <v>561</v>
      </c>
      <c r="AB52" s="991" t="s">
        <v>561</v>
      </c>
      <c r="AC52" s="991" t="s">
        <v>561</v>
      </c>
      <c r="AD52" s="974">
        <v>45000</v>
      </c>
      <c r="AE52" s="991" t="s">
        <v>561</v>
      </c>
      <c r="AF52" s="2185"/>
    </row>
    <row r="53" spans="1:32" s="1034" customFormat="1" ht="20.149999999999999" customHeight="1" thickBot="1">
      <c r="A53" s="1044" t="s">
        <v>1248</v>
      </c>
      <c r="B53" s="1039" t="str">
        <f t="shared" si="2"/>
        <v>ไม่คุ้มครอง</v>
      </c>
      <c r="C53" s="1033" t="s">
        <v>561</v>
      </c>
      <c r="D53" s="1040"/>
      <c r="E53" s="1036"/>
      <c r="F53" s="990" t="str">
        <f t="shared" si="1"/>
        <v/>
      </c>
      <c r="G53" s="990" t="s">
        <v>561</v>
      </c>
      <c r="H53" s="990" t="str">
        <f>IF($H$5="C1",K53,IF($H$5="C2",N53,IF($H$5="A1",Q53,IF($H$5="A2",T53,IF($H$5="A3",W53,IF($H$5="A4",Z53,IF($H$5="A5",AC53,IF($H$5="A6",AF53,""))))))))</f>
        <v/>
      </c>
      <c r="I53" s="991" t="s">
        <v>561</v>
      </c>
      <c r="J53" s="991" t="s">
        <v>561</v>
      </c>
      <c r="K53" s="991" t="s">
        <v>561</v>
      </c>
      <c r="L53" s="991" t="s">
        <v>561</v>
      </c>
      <c r="M53" s="991" t="s">
        <v>561</v>
      </c>
      <c r="N53" s="991" t="s">
        <v>561</v>
      </c>
      <c r="O53" s="991" t="s">
        <v>561</v>
      </c>
      <c r="P53" s="991" t="s">
        <v>561</v>
      </c>
      <c r="Q53" s="991" t="s">
        <v>561</v>
      </c>
      <c r="R53" s="991" t="s">
        <v>561</v>
      </c>
      <c r="S53" s="991" t="s">
        <v>561</v>
      </c>
      <c r="T53" s="991" t="s">
        <v>561</v>
      </c>
      <c r="U53" s="991" t="s">
        <v>561</v>
      </c>
      <c r="V53" s="991" t="s">
        <v>561</v>
      </c>
      <c r="W53" s="991" t="s">
        <v>561</v>
      </c>
      <c r="X53" s="991" t="s">
        <v>561</v>
      </c>
      <c r="Y53" s="991" t="s">
        <v>561</v>
      </c>
      <c r="Z53" s="991" t="s">
        <v>561</v>
      </c>
      <c r="AA53" s="991" t="s">
        <v>561</v>
      </c>
      <c r="AB53" s="991" t="s">
        <v>561</v>
      </c>
      <c r="AC53" s="991" t="s">
        <v>561</v>
      </c>
      <c r="AD53" s="974">
        <v>1000000</v>
      </c>
      <c r="AE53" s="991" t="s">
        <v>561</v>
      </c>
      <c r="AF53" s="2186"/>
    </row>
    <row r="54" spans="1:32" s="1034" customFormat="1" ht="20.149999999999999" customHeight="1">
      <c r="A54" s="2177" t="s">
        <v>2430</v>
      </c>
      <c r="B54" s="2178"/>
      <c r="C54" s="2178"/>
      <c r="D54" s="2179"/>
      <c r="E54" s="1712"/>
      <c r="F54" s="1713"/>
      <c r="G54" s="1713"/>
      <c r="H54" s="1713"/>
      <c r="I54" s="1714"/>
      <c r="J54" s="1714"/>
      <c r="K54" s="1714"/>
      <c r="L54" s="1714"/>
      <c r="M54" s="1714"/>
      <c r="N54" s="1714"/>
      <c r="O54" s="1714"/>
      <c r="P54" s="1714"/>
      <c r="Q54" s="1714"/>
      <c r="R54" s="1714"/>
      <c r="S54" s="1714"/>
      <c r="T54" s="1714"/>
      <c r="U54" s="1714"/>
      <c r="V54" s="1714"/>
      <c r="W54" s="1714"/>
      <c r="X54" s="1714"/>
      <c r="Y54" s="1714"/>
      <c r="Z54" s="1714"/>
      <c r="AA54" s="1714"/>
      <c r="AB54" s="1714"/>
      <c r="AC54" s="1714"/>
      <c r="AD54" s="1715"/>
      <c r="AE54" s="1714"/>
      <c r="AF54" s="1714"/>
    </row>
    <row r="55" spans="1:32" s="1034" customFormat="1" ht="20.149999999999999" customHeight="1">
      <c r="A55" s="986" t="s">
        <v>2431</v>
      </c>
      <c r="B55" s="2180" t="s">
        <v>561</v>
      </c>
      <c r="C55" s="2181"/>
      <c r="D55" s="2182"/>
      <c r="E55" s="1712"/>
      <c r="F55" s="1713"/>
      <c r="G55" s="1713"/>
      <c r="H55" s="1713"/>
      <c r="I55" s="1714"/>
      <c r="J55" s="1714"/>
      <c r="K55" s="1714"/>
      <c r="L55" s="1714"/>
      <c r="M55" s="1714"/>
      <c r="N55" s="1714"/>
      <c r="O55" s="1714"/>
      <c r="P55" s="1714"/>
      <c r="Q55" s="1714"/>
      <c r="R55" s="1714"/>
      <c r="S55" s="1714"/>
      <c r="T55" s="1714"/>
      <c r="U55" s="1714"/>
      <c r="V55" s="1714"/>
      <c r="W55" s="1714"/>
      <c r="X55" s="1714"/>
      <c r="Y55" s="1714"/>
      <c r="Z55" s="1714"/>
      <c r="AA55" s="1714"/>
      <c r="AB55" s="1714"/>
      <c r="AC55" s="1714"/>
      <c r="AD55" s="1715"/>
      <c r="AE55" s="1714"/>
      <c r="AF55" s="1714"/>
    </row>
    <row r="56" spans="1:32" s="1034" customFormat="1" ht="20.149999999999999" customHeight="1">
      <c r="A56" s="986" t="s">
        <v>2432</v>
      </c>
      <c r="B56" s="2180" t="str">
        <f>IFERROR(IF(AND(I2="C",B39&lt;&gt;"-"),I4,"-"),"-")</f>
        <v>-</v>
      </c>
      <c r="C56" s="2181"/>
      <c r="D56" s="2182"/>
      <c r="E56" s="1712"/>
      <c r="F56" s="1713"/>
      <c r="G56" s="1713"/>
      <c r="H56" s="1713"/>
      <c r="I56" s="1714"/>
      <c r="J56" s="1714"/>
      <c r="K56" s="1714"/>
      <c r="L56" s="1714"/>
      <c r="M56" s="1714"/>
      <c r="N56" s="1714"/>
      <c r="O56" s="1714"/>
      <c r="P56" s="1714"/>
      <c r="Q56" s="1714"/>
      <c r="R56" s="1714"/>
      <c r="S56" s="1714"/>
      <c r="T56" s="1714"/>
      <c r="U56" s="1714"/>
      <c r="V56" s="1714"/>
      <c r="W56" s="1714"/>
      <c r="X56" s="1714"/>
      <c r="Y56" s="1714"/>
      <c r="Z56" s="1714"/>
      <c r="AA56" s="1714"/>
      <c r="AB56" s="1714"/>
      <c r="AC56" s="1714"/>
      <c r="AD56" s="1715"/>
      <c r="AE56" s="1714"/>
      <c r="AF56" s="1714"/>
    </row>
    <row r="57" spans="1:32" s="1034" customFormat="1" ht="20.149999999999999" customHeight="1">
      <c r="A57" s="1708"/>
      <c r="B57" s="1709"/>
      <c r="C57" s="1710"/>
      <c r="D57" s="1711"/>
      <c r="E57" s="1712"/>
      <c r="F57" s="1713"/>
      <c r="G57" s="1713"/>
      <c r="H57" s="1713"/>
      <c r="I57" s="1714"/>
      <c r="J57" s="1714"/>
      <c r="K57" s="1714"/>
      <c r="L57" s="1714"/>
      <c r="M57" s="1714"/>
      <c r="N57" s="1714"/>
      <c r="O57" s="1714"/>
      <c r="P57" s="1714"/>
      <c r="Q57" s="1714"/>
      <c r="R57" s="1714"/>
      <c r="S57" s="1714"/>
      <c r="T57" s="1714"/>
      <c r="U57" s="1714"/>
      <c r="V57" s="1714"/>
      <c r="W57" s="1714"/>
      <c r="X57" s="1714"/>
      <c r="Y57" s="1714"/>
      <c r="Z57" s="1714"/>
      <c r="AA57" s="1714"/>
      <c r="AB57" s="1714"/>
      <c r="AC57" s="1714"/>
      <c r="AD57" s="1715"/>
      <c r="AE57" s="1714"/>
      <c r="AF57" s="1714"/>
    </row>
    <row r="58" spans="1:32" s="1034" customFormat="1" ht="20.149999999999999" customHeight="1">
      <c r="A58" s="1716" t="s">
        <v>2434</v>
      </c>
      <c r="B58" s="1045"/>
      <c r="C58" s="1046"/>
      <c r="D58" s="1047"/>
      <c r="E58" s="989"/>
      <c r="F58" s="1048"/>
      <c r="G58" s="1048"/>
      <c r="H58" s="1048"/>
      <c r="I58" s="1049"/>
      <c r="J58" s="1049"/>
      <c r="K58" s="1049"/>
      <c r="L58" s="1049"/>
      <c r="M58" s="1049"/>
      <c r="N58" s="1049"/>
      <c r="O58" s="1049"/>
      <c r="P58" s="1049"/>
      <c r="Q58" s="1049"/>
      <c r="R58" s="1049"/>
      <c r="S58" s="1049"/>
      <c r="T58" s="1049"/>
      <c r="U58" s="1049"/>
      <c r="V58" s="1049"/>
      <c r="W58" s="1049"/>
      <c r="X58" s="1049"/>
      <c r="Y58" s="1049"/>
      <c r="Z58" s="1049"/>
      <c r="AA58" s="1049"/>
      <c r="AB58" s="1049"/>
      <c r="AC58" s="1049"/>
      <c r="AD58" s="1050"/>
      <c r="AE58" s="1049"/>
      <c r="AF58" s="1049"/>
    </row>
    <row r="59" spans="1:32" s="962" customFormat="1" ht="18" customHeight="1">
      <c r="A59" s="1716" t="str">
        <f>IF(OR(G5="smart",G5="bronze"),"",IF(OR(G5="DIAMOND",G5="PLATINUM"),"**   บริษัทฯ จะชดเชยเป็นจำนวนร้อยละ 80 ของค่ารักษาพยาบาลที่เกิดขึ้นจริง แต่ไม่เกินผลประโยชน์ตามที่ระบุไว้ในหน้าตารางผลประโยชน์","12MWP (12 months waiting period) หมายถึง ระยะเวลาที่ไม่คุ้มครอง 12 เดือน"))</f>
        <v>12MWP (12 months waiting period) หมายถึง ระยะเวลาที่ไม่คุ้มครอง 12 เดือน</v>
      </c>
      <c r="B59" s="1034"/>
      <c r="C59" s="1034"/>
      <c r="D59" s="1034"/>
      <c r="E59" s="1051"/>
      <c r="F59" s="1052"/>
      <c r="G59" s="1052"/>
      <c r="H59" s="1052"/>
      <c r="I59" s="1034"/>
      <c r="J59" s="1034"/>
      <c r="K59" s="1034"/>
    </row>
    <row r="60" spans="1:32" s="962" customFormat="1" ht="18" customHeight="1">
      <c r="A60" s="1716" t="str">
        <f>IF(G5="DIAMOND","12MWP (12 months waiting period) หมายถึง ระยะเวลาที่ไม่คุ้มครอง 12 เดือน",IF(G5="Platinum","***   ผลประโยชน์นี้ จำกัดใช้ได้ 1 ครั้ง ในช่วงชีวิตของผู้เอาประกันภัย",""))</f>
        <v/>
      </c>
      <c r="B60" s="1034"/>
      <c r="C60" s="1034"/>
      <c r="D60" s="1034"/>
      <c r="E60" s="1053"/>
      <c r="F60" s="1052"/>
      <c r="G60" s="1052"/>
      <c r="H60" s="1052"/>
      <c r="I60" s="1034"/>
      <c r="J60" s="1034"/>
      <c r="K60" s="1034"/>
    </row>
    <row r="61" spans="1:32" s="962" customFormat="1" ht="18" customHeight="1">
      <c r="A61" s="1054" t="str">
        <f>IF(G5="Platinum","12MWP (12 months waiting period) หมายถึง ระยะเวลาที่ไม่คุ้มครอง 12 เดือน","")</f>
        <v/>
      </c>
      <c r="B61" s="1055"/>
      <c r="C61" s="1055"/>
      <c r="D61" s="1055"/>
      <c r="E61" s="1053"/>
      <c r="F61" s="1056"/>
      <c r="G61" s="1056"/>
      <c r="H61" s="1056"/>
    </row>
    <row r="62" spans="1:32" s="962" customFormat="1" ht="50.15" customHeight="1">
      <c r="A62" s="2172" t="s">
        <v>1249</v>
      </c>
      <c r="B62" s="2173"/>
      <c r="C62" s="2173"/>
      <c r="D62" s="2173"/>
      <c r="E62" s="1053"/>
      <c r="F62" s="1056"/>
      <c r="G62" s="1056"/>
      <c r="H62" s="1056"/>
    </row>
    <row r="63" spans="1:32" s="962" customFormat="1" ht="36" customHeight="1">
      <c r="A63" s="2183" t="s">
        <v>1250</v>
      </c>
      <c r="B63" s="2183"/>
      <c r="C63" s="2183"/>
      <c r="D63" s="2183"/>
      <c r="E63" s="1057"/>
      <c r="F63" s="1058"/>
      <c r="G63" s="1058"/>
      <c r="H63" s="1058"/>
      <c r="I63" s="1059"/>
      <c r="J63" s="1059"/>
      <c r="K63" s="1059"/>
    </row>
    <row r="64" spans="1:32" ht="37.5" customHeight="1">
      <c r="A64" s="2168" t="s">
        <v>1251</v>
      </c>
      <c r="B64" s="2168"/>
      <c r="C64" s="2168"/>
      <c r="D64" s="2168"/>
      <c r="E64" s="976"/>
      <c r="F64" s="1060"/>
      <c r="G64" s="1060"/>
      <c r="H64" s="1060"/>
      <c r="I64" s="1061"/>
      <c r="J64" s="1061"/>
      <c r="K64" s="1061"/>
    </row>
    <row r="65" spans="1:12" ht="6" customHeight="1">
      <c r="A65" s="2169" t="str">
        <f>IF(กรอกข้อมูล!$D$37="เอเชีย",F65,"")</f>
        <v/>
      </c>
      <c r="B65" s="2170"/>
      <c r="C65" s="2170"/>
      <c r="D65" s="2170"/>
      <c r="E65" s="976"/>
      <c r="F65" s="1062" t="s">
        <v>1252</v>
      </c>
      <c r="G65" s="1060"/>
      <c r="H65" s="1060"/>
      <c r="I65" s="1061"/>
      <c r="J65" s="1061"/>
      <c r="K65" s="1061"/>
    </row>
    <row r="66" spans="1:12" ht="19.5" customHeight="1">
      <c r="A66" s="1063"/>
      <c r="B66" s="1063"/>
      <c r="C66" s="1063"/>
      <c r="D66" s="1063"/>
      <c r="E66" s="976"/>
      <c r="F66" s="1060"/>
      <c r="G66" s="1060"/>
      <c r="H66" s="1060"/>
      <c r="I66" s="1061"/>
      <c r="J66" s="1061"/>
      <c r="K66" s="1061"/>
    </row>
    <row r="67" spans="1:12" ht="39.75" customHeight="1">
      <c r="A67" s="2126" t="s">
        <v>1026</v>
      </c>
      <c r="B67" s="2127"/>
      <c r="C67" s="2127"/>
      <c r="D67" s="2128"/>
      <c r="E67" s="1064"/>
    </row>
    <row r="68" spans="1:12" ht="39.75" customHeight="1">
      <c r="A68" s="2116" t="s">
        <v>2428</v>
      </c>
      <c r="B68" s="2116"/>
      <c r="C68" s="2116"/>
      <c r="D68" s="2116"/>
      <c r="E68" s="1064"/>
    </row>
    <row r="69" spans="1:12" ht="30" customHeight="1">
      <c r="A69" s="2116" t="str">
        <f>ตารางแสดงผลประโยชน์!B76</f>
        <v>โปรแกรมใบข้อเสนอนี้ใช้สำหรับแบบประกัน ไอสมาร์ท 80/6 (ไม่มีเงินปันผล) ที่เสนอขายตั้งแต่ 1 มกราคม 2569 ถึง 31 มีนาคม 2570 หรือตามประกาศยกเลิกการใช้จากบริษัทฯ (แล้วแต่ระยะเวลาใดจะเกิดขึ้นก่อน)</v>
      </c>
      <c r="B69" s="2116"/>
      <c r="C69" s="2116"/>
      <c r="D69" s="2116"/>
      <c r="E69" s="1064"/>
      <c r="I69" s="1065"/>
      <c r="J69" s="1065"/>
      <c r="K69" s="1065"/>
      <c r="L69" s="1065"/>
    </row>
    <row r="70" spans="1:12" ht="21.5">
      <c r="A70" s="1066"/>
      <c r="B70" s="862"/>
      <c r="C70" s="862"/>
      <c r="D70" s="1067" t="str">
        <f>ตารางแสดงผลประโยชน์!I77</f>
        <v>ไอสมาร์ท 80/6 (ไม่มีเงินปันผล) เวอร์ชั่น A2026-1</v>
      </c>
      <c r="E70" s="1064"/>
      <c r="I70" s="862"/>
      <c r="J70" s="1066"/>
      <c r="K70" s="861"/>
    </row>
    <row r="71" spans="1:12">
      <c r="E71" s="1064"/>
    </row>
    <row r="72" spans="1:12">
      <c r="E72" s="1064"/>
    </row>
  </sheetData>
  <sheetProtection algorithmName="SHA-512" hashValue="/D0MbjjZHLLkhtCUv1WqdKXALBIVEQwg/xSr2FqOqwf72CxjaaE7yEPUBo4cyHoldMqW/Qor5CwYRB98ODAx3g==" saltValue="Fv+i7zyhzJzIuz04e/DHog==" spinCount="100000" sheet="1" objects="1" scenarios="1"/>
  <mergeCells count="88">
    <mergeCell ref="L5:N5"/>
    <mergeCell ref="O5:Q5"/>
    <mergeCell ref="A7:D7"/>
    <mergeCell ref="A2:D2"/>
    <mergeCell ref="A5:B5"/>
    <mergeCell ref="C5:D5"/>
    <mergeCell ref="I5:K5"/>
    <mergeCell ref="R5:T5"/>
    <mergeCell ref="U5:W5"/>
    <mergeCell ref="X5:Z5"/>
    <mergeCell ref="AA5:AC5"/>
    <mergeCell ref="AD5:AF5"/>
    <mergeCell ref="H8:H32"/>
    <mergeCell ref="K8:K32"/>
    <mergeCell ref="N8:N32"/>
    <mergeCell ref="Q8:Q32"/>
    <mergeCell ref="T8:T32"/>
    <mergeCell ref="A9:C9"/>
    <mergeCell ref="A15:C15"/>
    <mergeCell ref="A22:C22"/>
    <mergeCell ref="A23:C23"/>
    <mergeCell ref="D8:D32"/>
    <mergeCell ref="O34:Q34"/>
    <mergeCell ref="W8:W32"/>
    <mergeCell ref="Z8:Z32"/>
    <mergeCell ref="AC8:AC32"/>
    <mergeCell ref="AF8:AF32"/>
    <mergeCell ref="R34:T34"/>
    <mergeCell ref="U34:W34"/>
    <mergeCell ref="X34:Z34"/>
    <mergeCell ref="AA34:AC34"/>
    <mergeCell ref="AD34:AF34"/>
    <mergeCell ref="A33:D33"/>
    <mergeCell ref="B34:D34"/>
    <mergeCell ref="F34:H34"/>
    <mergeCell ref="I34:K34"/>
    <mergeCell ref="L34:N34"/>
    <mergeCell ref="AD35:AF35"/>
    <mergeCell ref="A36:D36"/>
    <mergeCell ref="F36:H36"/>
    <mergeCell ref="I36:K36"/>
    <mergeCell ref="L36:N36"/>
    <mergeCell ref="O36:Q36"/>
    <mergeCell ref="B35:D35"/>
    <mergeCell ref="F35:H35"/>
    <mergeCell ref="I35:K35"/>
    <mergeCell ref="L35:N35"/>
    <mergeCell ref="O35:Q35"/>
    <mergeCell ref="AD36:AF36"/>
    <mergeCell ref="A37:D37"/>
    <mergeCell ref="R35:T35"/>
    <mergeCell ref="U35:W35"/>
    <mergeCell ref="X35:Z35"/>
    <mergeCell ref="AA35:AC35"/>
    <mergeCell ref="R36:T36"/>
    <mergeCell ref="U36:W36"/>
    <mergeCell ref="X36:Z36"/>
    <mergeCell ref="AA36:AC36"/>
    <mergeCell ref="A63:D63"/>
    <mergeCell ref="W39:W44"/>
    <mergeCell ref="Z39:Z44"/>
    <mergeCell ref="AC39:AC48"/>
    <mergeCell ref="AF39:AF53"/>
    <mergeCell ref="B43:B44"/>
    <mergeCell ref="F43:F44"/>
    <mergeCell ref="I43:I44"/>
    <mergeCell ref="L43:L44"/>
    <mergeCell ref="O43:O44"/>
    <mergeCell ref="R43:R44"/>
    <mergeCell ref="D39:D44"/>
    <mergeCell ref="H39:H44"/>
    <mergeCell ref="K39:K44"/>
    <mergeCell ref="N39:N44"/>
    <mergeCell ref="Q39:Q44"/>
    <mergeCell ref="U43:U44"/>
    <mergeCell ref="X43:X44"/>
    <mergeCell ref="AA43:AA44"/>
    <mergeCell ref="AD43:AD44"/>
    <mergeCell ref="A62:D62"/>
    <mergeCell ref="T39:T44"/>
    <mergeCell ref="A54:D54"/>
    <mergeCell ref="B55:D55"/>
    <mergeCell ref="B56:D56"/>
    <mergeCell ref="A64:D64"/>
    <mergeCell ref="A65:D65"/>
    <mergeCell ref="A67:D67"/>
    <mergeCell ref="A68:D68"/>
    <mergeCell ref="A69:D69"/>
  </mergeCells>
  <conditionalFormatting sqref="A58">
    <cfRule type="expression" dxfId="32" priority="1">
      <formula>$I$2=""</formula>
    </cfRule>
  </conditionalFormatting>
  <conditionalFormatting sqref="A37:D53 A57:D61">
    <cfRule type="expression" dxfId="31" priority="9">
      <formula>$G$5="BRONZE"</formula>
    </cfRule>
    <cfRule type="expression" dxfId="30" priority="10">
      <formula>$G$5="SMART"</formula>
    </cfRule>
  </conditionalFormatting>
  <conditionalFormatting sqref="A45:D45">
    <cfRule type="expression" dxfId="29" priority="4">
      <formula>OR($G$5="SILVER",$G$5="GOLD")</formula>
    </cfRule>
  </conditionalFormatting>
  <conditionalFormatting sqref="A45:D53 A57:D58">
    <cfRule type="expression" dxfId="28" priority="5">
      <formula>OR($G$5="SILVER",$G$5="GOLD")</formula>
    </cfRule>
  </conditionalFormatting>
  <conditionalFormatting sqref="A49:D49">
    <cfRule type="expression" dxfId="27" priority="6">
      <formula>$G$5="DIAMOND"</formula>
    </cfRule>
  </conditionalFormatting>
  <conditionalFormatting sqref="A49:D53 A57:D58">
    <cfRule type="expression" dxfId="26" priority="8">
      <formula>$G$5="DIAMOND"</formula>
    </cfRule>
  </conditionalFormatting>
  <conditionalFormatting sqref="A4:XFD4">
    <cfRule type="expression" dxfId="25" priority="2">
      <formula>$A$1="Expire"</formula>
    </cfRule>
  </conditionalFormatting>
  <conditionalFormatting sqref="A5:XFD53 A57:XFD1005 E54:XFD56">
    <cfRule type="expression" dxfId="24" priority="11">
      <formula>$A$1="Expire"</formula>
    </cfRule>
  </conditionalFormatting>
  <conditionalFormatting sqref="D48">
    <cfRule type="expression" dxfId="23" priority="7">
      <formula>$G$5="Platinum"</formula>
    </cfRule>
  </conditionalFormatting>
  <pageMargins left="0.15748031496062992" right="0.19685039370078741" top="0.19685039370078741" bottom="0.19685039370078741" header="0.31496062992125984" footer="0.31496062992125984"/>
  <pageSetup paperSize="9" scale="51" orientation="portrait" r:id="rId1"/>
  <headerFooter>
    <oddFooter>&amp;C&amp;"Calibri"&amp;11&amp;K0000003/14_x000D_&amp;1#&amp;"Calibri"&amp;10&amp;K000000Internal</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AB945-6E88-47CA-801B-21493B674FB8}">
  <sheetPr codeName="Sheet23">
    <pageSetUpPr fitToPage="1"/>
  </sheetPr>
  <dimension ref="A1:W56"/>
  <sheetViews>
    <sheetView showGridLines="0" zoomScale="70" zoomScaleNormal="70" workbookViewId="0">
      <selection activeCell="A53" sqref="A53:D53"/>
    </sheetView>
  </sheetViews>
  <sheetFormatPr defaultColWidth="9.09765625" defaultRowHeight="12.5"/>
  <cols>
    <col min="1" max="1" width="120.69921875" style="788" customWidth="1"/>
    <col min="2" max="4" width="27.69921875" style="788" customWidth="1"/>
    <col min="5" max="5" width="2" style="789" hidden="1" customWidth="1"/>
    <col min="6" max="6" width="10.3984375" style="790" hidden="1" customWidth="1"/>
    <col min="7" max="7" width="10.3984375" style="791" hidden="1" customWidth="1"/>
    <col min="8" max="8" width="17.296875" style="790" hidden="1" customWidth="1"/>
    <col min="9" max="9" width="9.8984375" style="792" hidden="1" customWidth="1"/>
    <col min="10" max="10" width="9.09765625" style="793" hidden="1" customWidth="1"/>
    <col min="11" max="11" width="17.296875" style="792" hidden="1" customWidth="1"/>
    <col min="12" max="12" width="9.09765625" style="794" hidden="1" customWidth="1"/>
    <col min="13" max="13" width="9.09765625" style="795" hidden="1" customWidth="1"/>
    <col min="14" max="14" width="17.296875" style="794" hidden="1" customWidth="1"/>
    <col min="15" max="15" width="9.09765625" style="796" hidden="1" customWidth="1"/>
    <col min="16" max="16" width="9.09765625" style="797" hidden="1" customWidth="1"/>
    <col min="17" max="17" width="17.296875" style="796" hidden="1" customWidth="1"/>
    <col min="18" max="18" width="9.09765625" style="798" hidden="1" customWidth="1"/>
    <col min="19" max="19" width="9.09765625" style="799" hidden="1" customWidth="1"/>
    <col min="20" max="20" width="9.09765625" style="798" hidden="1" customWidth="1"/>
    <col min="21" max="21" width="9.09765625" style="800" hidden="1" customWidth="1"/>
    <col min="22" max="22" width="9.09765625" style="801" hidden="1" customWidth="1"/>
    <col min="23" max="23" width="10.8984375" style="800" hidden="1" customWidth="1"/>
    <col min="24" max="16384" width="9.09765625" style="802"/>
  </cols>
  <sheetData>
    <row r="1" spans="1:23" ht="5.15" customHeight="1">
      <c r="A1" s="787" t="str">
        <f ca="1">กรอกข้อมูล!$G$64</f>
        <v/>
      </c>
      <c r="B1" s="787"/>
    </row>
    <row r="2" spans="1:23" ht="35.15" customHeight="1">
      <c r="A2" s="2243" t="str">
        <f ca="1">IF(A1="Expire",กรอกข้อมูล!$A$1,"สรุปผลประโยชน์ของสัญญาเพิ่มเติมค่ารักษาพยาบาล เอ็กซ์ตร้า และบันทึกสลักหลัง")</f>
        <v>สรุปผลประโยชน์ของสัญญาเพิ่มเติมค่ารักษาพยาบาล เอ็กซ์ตร้า และบันทึกสลักหลัง</v>
      </c>
      <c r="B2" s="2243"/>
      <c r="C2" s="2243"/>
      <c r="D2" s="2243"/>
    </row>
    <row r="3" spans="1:23" ht="5.15" customHeight="1">
      <c r="A3" s="803"/>
      <c r="B3" s="803"/>
    </row>
    <row r="4" spans="1:23" s="818" customFormat="1" ht="30" customHeight="1">
      <c r="A4" s="1103" t="str">
        <f>" ลูกค้าคนพิเศษ: "&amp;กรอกข้อมูล!$C$4</f>
        <v xml:space="preserve"> ลูกค้าคนพิเศษ: คุณคนพิเศษ</v>
      </c>
      <c r="B4" s="1104" t="str">
        <f>"เพศ : "&amp;กรอกข้อมูล!C6</f>
        <v>เพศ : หญิง</v>
      </c>
      <c r="C4" s="1105" t="str">
        <f>"อายุ  "&amp;กรอกข้อมูล!C5&amp;" ปี"</f>
        <v>อายุ  44 ปี</v>
      </c>
      <c r="D4" s="804"/>
      <c r="E4" s="805"/>
      <c r="F4" s="806"/>
      <c r="G4" s="807"/>
      <c r="H4" s="806"/>
      <c r="I4" s="808"/>
      <c r="J4" s="809"/>
      <c r="K4" s="808"/>
      <c r="L4" s="810"/>
      <c r="M4" s="811"/>
      <c r="N4" s="811"/>
      <c r="O4" s="812"/>
      <c r="P4" s="813"/>
      <c r="Q4" s="812"/>
      <c r="R4" s="814"/>
      <c r="S4" s="815"/>
      <c r="T4" s="814"/>
      <c r="U4" s="816"/>
      <c r="V4" s="817"/>
      <c r="W4" s="816"/>
    </row>
    <row r="5" spans="1:23" ht="40.5" customHeight="1">
      <c r="A5" s="2245" t="str">
        <f>IF(F8="ไม่คุ้มครอง",F8,"ตารางผลประโยชน์ (สัญญาเพิ่มเติม) แผน "&amp;TEXT(F8,"####"))</f>
        <v>ไม่คุ้มครอง</v>
      </c>
      <c r="B5" s="2245"/>
      <c r="C5" s="2246" t="str">
        <f>IF(F8="ไม่คุ้มครอง","","อาณาเขตความคุ้มครอง ประเทศไทย")</f>
        <v/>
      </c>
      <c r="D5" s="2246"/>
      <c r="F5" s="819" t="s">
        <v>1009</v>
      </c>
      <c r="G5" s="820">
        <f>กรอกข้อมูล!$C$5</f>
        <v>44</v>
      </c>
    </row>
    <row r="6" spans="1:23" ht="20.149999999999999" customHeight="1">
      <c r="A6" s="2224" t="s">
        <v>73</v>
      </c>
      <c r="B6" s="1106" t="s">
        <v>73</v>
      </c>
      <c r="C6" s="1106" t="s">
        <v>1010</v>
      </c>
      <c r="D6" s="1106" t="s">
        <v>1011</v>
      </c>
    </row>
    <row r="7" spans="1:23" ht="20.149999999999999" customHeight="1" thickBot="1">
      <c r="A7" s="2225"/>
      <c r="B7" s="1107" t="s">
        <v>1012</v>
      </c>
      <c r="C7" s="1107" t="s">
        <v>1013</v>
      </c>
      <c r="D7" s="1107" t="s">
        <v>1012</v>
      </c>
    </row>
    <row r="8" spans="1:23" ht="30" customHeight="1">
      <c r="A8" s="2208" t="s">
        <v>1014</v>
      </c>
      <c r="B8" s="2209"/>
      <c r="C8" s="2209"/>
      <c r="D8" s="2216"/>
      <c r="F8" s="2244" t="str">
        <f>IF(OR(กรอกข้อมูล!$H$24="ไม่คุ้มครอง",กรอกข้อมูล!$E$70="No",กรอกข้อมูล!$D$24="ไม่ซื้อ",กรอกข้อมูล!$D$24="",กรอกข้อมูล!$F$24=0,กรอกข้อมูล!$F$24="MEX เกินกว่าที่กำหนด"),"ไม่คุ้มครอง",กรอกข้อมูล!$D$24)</f>
        <v>ไม่คุ้มครอง</v>
      </c>
      <c r="G8" s="2244"/>
      <c r="H8" s="2244"/>
      <c r="I8" s="2237" t="s">
        <v>1015</v>
      </c>
      <c r="J8" s="2237"/>
      <c r="K8" s="2237"/>
      <c r="L8" s="2230" t="s">
        <v>1016</v>
      </c>
      <c r="M8" s="2230"/>
      <c r="N8" s="2230"/>
      <c r="O8" s="2231" t="s">
        <v>1017</v>
      </c>
      <c r="P8" s="2231"/>
      <c r="Q8" s="2231"/>
      <c r="R8" s="2232" t="s">
        <v>1018</v>
      </c>
      <c r="S8" s="2232"/>
      <c r="T8" s="2232"/>
      <c r="U8" s="2233" t="s">
        <v>1019</v>
      </c>
      <c r="V8" s="2233"/>
      <c r="W8" s="2233"/>
    </row>
    <row r="9" spans="1:23" ht="96" customHeight="1">
      <c r="A9" s="855" t="s">
        <v>1035</v>
      </c>
      <c r="B9" s="821" t="str">
        <f>IF($F$8="ไม่คุ้มครอง","ไม่คุ้มครอง",TEXT(F9,"#,##0")&amp;" ต่อวัน")</f>
        <v>ไม่คุ้มครอง</v>
      </c>
      <c r="C9" s="821" t="str">
        <f>IF($F$8="ไม่คุ้มครอง","ไม่คุ้มครอง",TEXT(G9,"#,##0")&amp;" วัน 
(รวมจำนวนวันกรณีที่เข้าพักรักษาในห้องผู้ป่วยวิกฤติ 
(ถ้ามี)ด้วย)")</f>
        <v>ไม่คุ้มครอง</v>
      </c>
      <c r="D9" s="822" t="str">
        <f>IF($F$8="ไม่คุ้มครอง","ไม่คุ้มครอง",H9)</f>
        <v>ไม่คุ้มครอง</v>
      </c>
      <c r="F9" s="790">
        <f>IF($F$8=1200,I9,IF($F$8=2200,L9,IF($F$8=3200,O9,IF($F$8=4200,R9,U9))))</f>
        <v>6200</v>
      </c>
      <c r="G9" s="790">
        <f>IF($F$8=1200,J9,IF($F$8=2200,M9,IF($F$8=3200,P9,IF($F$8=4200,S9,V9))))</f>
        <v>75</v>
      </c>
      <c r="H9" s="790">
        <f>IF($F$8=1200,K9,IF($F$8=2200,N9,IF($F$8=3200,Q9,IF($F$8=4200,T9,W9))))</f>
        <v>589000</v>
      </c>
      <c r="I9" s="792">
        <v>1200</v>
      </c>
      <c r="J9" s="793">
        <v>75</v>
      </c>
      <c r="K9" s="792">
        <v>114000</v>
      </c>
      <c r="L9" s="794">
        <v>2200</v>
      </c>
      <c r="M9" s="795">
        <v>75</v>
      </c>
      <c r="N9" s="794">
        <v>209000</v>
      </c>
      <c r="O9" s="796">
        <v>3200</v>
      </c>
      <c r="P9" s="797">
        <v>75</v>
      </c>
      <c r="Q9" s="796">
        <v>304000</v>
      </c>
      <c r="R9" s="798">
        <v>4200</v>
      </c>
      <c r="S9" s="799">
        <v>75</v>
      </c>
      <c r="T9" s="798">
        <v>399000</v>
      </c>
      <c r="U9" s="800">
        <v>6200</v>
      </c>
      <c r="V9" s="801">
        <v>75</v>
      </c>
      <c r="W9" s="800">
        <v>589000</v>
      </c>
    </row>
    <row r="10" spans="1:23" s="1079" customFormat="1" ht="40" customHeight="1">
      <c r="A10" s="2234" t="s">
        <v>1036</v>
      </c>
      <c r="B10" s="2235"/>
      <c r="C10" s="2236"/>
      <c r="D10" s="938"/>
      <c r="E10" s="1068"/>
      <c r="F10" s="819"/>
      <c r="G10" s="820"/>
      <c r="H10" s="819"/>
      <c r="I10" s="1069"/>
      <c r="J10" s="1070"/>
      <c r="K10" s="1069"/>
      <c r="L10" s="1071"/>
      <c r="M10" s="1072"/>
      <c r="N10" s="1071"/>
      <c r="O10" s="1073"/>
      <c r="P10" s="1074"/>
      <c r="Q10" s="1073"/>
      <c r="R10" s="1075"/>
      <c r="S10" s="1076"/>
      <c r="T10" s="1075"/>
      <c r="U10" s="1077"/>
      <c r="V10" s="1078"/>
      <c r="W10" s="1077"/>
    </row>
    <row r="11" spans="1:23" s="1079" customFormat="1" ht="20.149999999999999" customHeight="1">
      <c r="A11" s="1080" t="s">
        <v>1028</v>
      </c>
      <c r="B11" s="2229" t="s">
        <v>561</v>
      </c>
      <c r="C11" s="2229" t="s">
        <v>561</v>
      </c>
      <c r="D11" s="2229" t="str">
        <f>IF($F$8="ไม่คุ้มครอง","ไม่คุ้มครอง",TEXT(H11,"#,##0")&amp;"
(รวมผลประโยชน์
หมวดที่ 2 และ12)")</f>
        <v>ไม่คุ้มครอง</v>
      </c>
      <c r="E11" s="1068"/>
      <c r="F11" s="819"/>
      <c r="G11" s="820"/>
      <c r="H11" s="819">
        <f>IF($F$8=1200,K11,IF($F$8=2200,N11,IF($F$8=3200,Q11,IF($F$8=4200,T11,W11))))</f>
        <v>45000</v>
      </c>
      <c r="I11" s="1069"/>
      <c r="J11" s="1070"/>
      <c r="K11" s="1069">
        <f>IF($G$5&lt;11,"12,000* / 16,000",16000)</f>
        <v>16000</v>
      </c>
      <c r="L11" s="1071"/>
      <c r="M11" s="1072"/>
      <c r="N11" s="1071">
        <f>IF($G$5&lt;11,"15,000* / 20,000",20000)</f>
        <v>20000</v>
      </c>
      <c r="O11" s="1073"/>
      <c r="P11" s="1074"/>
      <c r="Q11" s="1073">
        <f>IF($G$5&lt;11,"22,500* / 30,000",30000)</f>
        <v>30000</v>
      </c>
      <c r="R11" s="1075"/>
      <c r="S11" s="1076"/>
      <c r="T11" s="1075">
        <f>IF($G$5&lt;11,"-",35000)</f>
        <v>35000</v>
      </c>
      <c r="U11" s="1077"/>
      <c r="V11" s="1078"/>
      <c r="W11" s="1077">
        <f>IF($G$5&lt;11,"-",45000)</f>
        <v>45000</v>
      </c>
    </row>
    <row r="12" spans="1:23" s="1079" customFormat="1" ht="20.149999999999999" customHeight="1">
      <c r="A12" s="1080" t="s">
        <v>1029</v>
      </c>
      <c r="B12" s="2229"/>
      <c r="C12" s="2229"/>
      <c r="D12" s="2229"/>
      <c r="E12" s="1068"/>
      <c r="F12" s="819"/>
      <c r="G12" s="820"/>
      <c r="H12" s="819"/>
      <c r="I12" s="1069"/>
      <c r="J12" s="1070"/>
      <c r="K12" s="1069"/>
      <c r="L12" s="1071"/>
      <c r="M12" s="1072"/>
      <c r="N12" s="1071"/>
      <c r="O12" s="1073"/>
      <c r="P12" s="1074"/>
      <c r="Q12" s="1073"/>
      <c r="R12" s="1075"/>
      <c r="S12" s="1076"/>
      <c r="T12" s="1075"/>
      <c r="U12" s="1077"/>
      <c r="V12" s="1078"/>
      <c r="W12" s="1077"/>
    </row>
    <row r="13" spans="1:23" s="1079" customFormat="1" ht="20.149999999999999" customHeight="1">
      <c r="A13" s="1080" t="s">
        <v>1030</v>
      </c>
      <c r="B13" s="2229"/>
      <c r="C13" s="2229"/>
      <c r="D13" s="2229"/>
      <c r="E13" s="1068"/>
      <c r="F13" s="819"/>
      <c r="G13" s="820"/>
      <c r="H13" s="819"/>
      <c r="I13" s="1069"/>
      <c r="J13" s="1070"/>
      <c r="K13" s="1069"/>
      <c r="L13" s="1071"/>
      <c r="M13" s="1072"/>
      <c r="N13" s="1071"/>
      <c r="O13" s="1073"/>
      <c r="P13" s="1074"/>
      <c r="Q13" s="1073"/>
      <c r="R13" s="1075"/>
      <c r="S13" s="1076"/>
      <c r="T13" s="1075"/>
      <c r="U13" s="1077"/>
      <c r="V13" s="1078"/>
      <c r="W13" s="1077"/>
    </row>
    <row r="14" spans="1:23" s="1079" customFormat="1" ht="51" customHeight="1">
      <c r="A14" s="1080" t="s">
        <v>1037</v>
      </c>
      <c r="B14" s="938" t="str">
        <f>IF($F$8="ไม่คุ้มครอง","ไม่คุ้มครอง",TEXT(F14,"#,##0")&amp;" ต่อ การเข้าพักรักษาตัวเป็นผู้ป่วยในแต่ละครั้ง")</f>
        <v>ไม่คุ้มครอง</v>
      </c>
      <c r="C14" s="938" t="str">
        <f>IF($F$8="ไม่คุ้มครอง","ไม่คุ้มครอง","15 วัน ต่อการเข้าพักรักษาตัวเป็นผู้ป่วยในแต่ละครั้ง")</f>
        <v>ไม่คุ้มครอง</v>
      </c>
      <c r="D14" s="2229"/>
      <c r="E14" s="1068"/>
      <c r="F14" s="819">
        <v>3000</v>
      </c>
      <c r="G14" s="820"/>
      <c r="H14" s="819"/>
      <c r="I14" s="1069"/>
      <c r="J14" s="1070"/>
      <c r="K14" s="1069"/>
      <c r="L14" s="1071"/>
      <c r="M14" s="1072"/>
      <c r="N14" s="1071"/>
      <c r="O14" s="1073"/>
      <c r="P14" s="1074"/>
      <c r="Q14" s="1073"/>
      <c r="R14" s="1075"/>
      <c r="S14" s="1076"/>
      <c r="T14" s="1075"/>
      <c r="U14" s="1077"/>
      <c r="V14" s="1078"/>
      <c r="W14" s="1077"/>
    </row>
    <row r="15" spans="1:23" ht="20.149999999999999" customHeight="1">
      <c r="A15" s="855" t="s">
        <v>1039</v>
      </c>
      <c r="B15" s="821" t="str">
        <f>IF($F$8="ไม่คุ้มครอง","ไม่คุ้มครอง",TEXT(F15,"#,##0")&amp;" ต่อวัน")</f>
        <v>ไม่คุ้มครอง</v>
      </c>
      <c r="C15" s="821" t="str">
        <f>IF($F$8="ไม่คุ้มครอง","ไม่คุ้มครอง",TEXT(G15,"#,##0")&amp;" วัน")</f>
        <v>ไม่คุ้มครอง</v>
      </c>
      <c r="D15" s="822" t="str">
        <f>IF($F$8="ไม่คุ้มครอง","ไม่คุ้มครอง",H15)</f>
        <v>ไม่คุ้มครอง</v>
      </c>
      <c r="F15" s="790">
        <f>IF($F$8=1200,I15,IF($F$8=2200,L15,IF($F$8=3200,O15,IF($F$8=4200,R15,U15))))</f>
        <v>1200</v>
      </c>
      <c r="G15" s="790">
        <f>IF($F$8=1200,J15,IF($F$8=2200,M15,IF($F$8=3200,P15,IF($F$8=4200,S15,V15))))</f>
        <v>75</v>
      </c>
      <c r="H15" s="790">
        <f>IF($F$8=1200,K15,IF($F$8=2200,N15,IF($F$8=3200,Q15,IF($F$8=4200,T15,W15))))</f>
        <v>90000</v>
      </c>
      <c r="I15" s="792">
        <v>650</v>
      </c>
      <c r="J15" s="793">
        <v>75</v>
      </c>
      <c r="K15" s="792">
        <v>48750</v>
      </c>
      <c r="L15" s="794">
        <v>800</v>
      </c>
      <c r="M15" s="795">
        <v>75</v>
      </c>
      <c r="N15" s="794">
        <v>60000</v>
      </c>
      <c r="O15" s="796">
        <v>900</v>
      </c>
      <c r="P15" s="797">
        <v>75</v>
      </c>
      <c r="Q15" s="796">
        <v>67500</v>
      </c>
      <c r="R15" s="798">
        <v>1000</v>
      </c>
      <c r="S15" s="799">
        <v>75</v>
      </c>
      <c r="T15" s="798">
        <v>75000</v>
      </c>
      <c r="U15" s="800">
        <v>1200</v>
      </c>
      <c r="V15" s="801">
        <v>75</v>
      </c>
      <c r="W15" s="800">
        <v>90000</v>
      </c>
    </row>
    <row r="16" spans="1:23" ht="20.149999999999999" customHeight="1">
      <c r="A16" s="2238" t="s">
        <v>1040</v>
      </c>
      <c r="B16" s="2238"/>
      <c r="C16" s="2238"/>
      <c r="D16" s="823"/>
    </row>
    <row r="17" spans="1:23" ht="20.149999999999999" customHeight="1">
      <c r="A17" s="823" t="s">
        <v>1031</v>
      </c>
      <c r="B17" s="938" t="s">
        <v>561</v>
      </c>
      <c r="C17" s="938" t="s">
        <v>561</v>
      </c>
      <c r="D17" s="1082" t="str">
        <f>IF($F$8="ไม่คุ้มครอง","ไม่คุ้มครอง",H17)</f>
        <v>ไม่คุ้มครอง</v>
      </c>
      <c r="H17" s="790">
        <f>IF($F$8=1200,K17,IF($F$8=2200,N17,IF($F$8=3200,Q17,IF($F$8=4200,T17,W17))))</f>
        <v>36000</v>
      </c>
      <c r="K17" s="792">
        <v>14500</v>
      </c>
      <c r="N17" s="794">
        <v>19500</v>
      </c>
      <c r="Q17" s="796">
        <v>27000</v>
      </c>
      <c r="T17" s="798">
        <v>30000</v>
      </c>
      <c r="W17" s="800">
        <v>36000</v>
      </c>
    </row>
    <row r="18" spans="1:23" ht="96.75" customHeight="1">
      <c r="A18" s="1081" t="s">
        <v>1041</v>
      </c>
      <c r="B18" s="1132" t="str">
        <f>IF($F$8="ไม่คุ้มครอง","ไม่คุ้มครอง","-  ค่ายา ค่าสารอาหารทางหลอดเลือด ค่าเวชภัณฑ์ จ่ายรวมในผลประโยชน์หมวดย่อยที่ 2.3   และ
-  ค่าอุปกรณ์ การผ่าตัดและหัตถการ จ่ายรวมในผลประโยชน์ หมวดย่อยที่ 4.1")</f>
        <v>ไม่คุ้มครอง</v>
      </c>
      <c r="C18" s="938" t="s">
        <v>561</v>
      </c>
      <c r="D18" s="938" t="s">
        <v>561</v>
      </c>
    </row>
    <row r="19" spans="1:23" ht="20.149999999999999" customHeight="1">
      <c r="A19" s="831" t="s">
        <v>1042</v>
      </c>
      <c r="B19" s="821" t="s">
        <v>561</v>
      </c>
      <c r="C19" s="821" t="s">
        <v>561</v>
      </c>
      <c r="D19" s="822" t="str">
        <f>IF($F$8="ไม่คุ้มครอง","ไม่คุ้มครอง",H19)</f>
        <v>ไม่คุ้มครอง</v>
      </c>
      <c r="H19" s="790">
        <f>IF($F$8=1200,K19,IF($F$8=2200,N19,IF($F$8=3200,Q19,IF($F$8=4200,T19,W19))))</f>
        <v>120000</v>
      </c>
      <c r="K19" s="824">
        <v>45000</v>
      </c>
      <c r="N19" s="825" t="s">
        <v>1020</v>
      </c>
      <c r="Q19" s="826">
        <v>85000</v>
      </c>
      <c r="T19" s="827" t="s">
        <v>1021</v>
      </c>
      <c r="W19" s="800">
        <v>120000</v>
      </c>
    </row>
    <row r="20" spans="1:23" ht="20.149999999999999" customHeight="1">
      <c r="A20" s="831" t="s">
        <v>1043</v>
      </c>
      <c r="B20" s="821" t="s">
        <v>561</v>
      </c>
      <c r="C20" s="821" t="s">
        <v>561</v>
      </c>
      <c r="D20" s="822" t="str">
        <f>IF($F$8="ไม่คุ้มครอง","ไม่คุ้มครอง",H20)</f>
        <v>ไม่คุ้มครอง</v>
      </c>
      <c r="H20" s="790">
        <f>IF($F$8=1200,K20,IF($F$8=2200,N20,IF($F$8=3200,Q20,IF($F$8=4200,T20,W20))))</f>
        <v>18000</v>
      </c>
      <c r="K20" s="824">
        <v>7300</v>
      </c>
      <c r="N20" s="794">
        <v>9750</v>
      </c>
      <c r="Q20" s="796">
        <v>13500</v>
      </c>
      <c r="T20" s="798">
        <v>15000</v>
      </c>
      <c r="W20" s="800">
        <v>18000</v>
      </c>
    </row>
    <row r="21" spans="1:23" ht="40" customHeight="1">
      <c r="A21" s="831" t="s">
        <v>1032</v>
      </c>
      <c r="B21" s="821" t="s">
        <v>561</v>
      </c>
      <c r="C21" s="821" t="s">
        <v>561</v>
      </c>
      <c r="D21" s="854" t="str">
        <f>IF($F$8="ไม่คุ้มครอง","ไม่คุ้มครอง","2 เท่าของ
ผลประโยชน์หมวดย่อยที่
4.1, 4.3 และ 4.4")</f>
        <v>ไม่คุ้มครอง</v>
      </c>
    </row>
    <row r="22" spans="1:23" ht="40" customHeight="1" thickBot="1">
      <c r="A22" s="828" t="s">
        <v>1033</v>
      </c>
      <c r="B22" s="829" t="s">
        <v>561</v>
      </c>
      <c r="C22" s="829" t="s">
        <v>561</v>
      </c>
      <c r="D22" s="830" t="str">
        <f>IF($F$8="ไม่คุ้มครอง","ไม่คุ้มครอง","ตามที่ระบุในผลประโยชน์
หมวดที่ 2, 3, 4, 6, 12")</f>
        <v>ไม่คุ้มครอง</v>
      </c>
    </row>
    <row r="23" spans="1:23" ht="30" customHeight="1">
      <c r="A23" s="2208" t="s">
        <v>1022</v>
      </c>
      <c r="B23" s="2209"/>
      <c r="C23" s="2209"/>
      <c r="D23" s="2216"/>
    </row>
    <row r="24" spans="1:23" ht="35.15" customHeight="1">
      <c r="A24" s="2239" t="s">
        <v>1044</v>
      </c>
      <c r="B24" s="2239"/>
      <c r="C24" s="2239"/>
      <c r="D24" s="854"/>
    </row>
    <row r="25" spans="1:23" ht="35.15" customHeight="1">
      <c r="A25" s="831" t="s">
        <v>1045</v>
      </c>
      <c r="B25" s="821" t="s">
        <v>561</v>
      </c>
      <c r="C25" s="821" t="s">
        <v>561</v>
      </c>
      <c r="D25" s="822" t="str">
        <f>IF($F$8="ไม่คุ้มครอง","ไม่คุ้มครอง",H25)</f>
        <v>ไม่คุ้มครอง</v>
      </c>
      <c r="H25" s="790">
        <f>IF($F$8=1200,K25,IF($F$8=2200,N25,IF($F$8=3200,Q25,IF($F$8=4200,T25,W25))))</f>
        <v>14000</v>
      </c>
      <c r="K25" s="824">
        <v>4400</v>
      </c>
      <c r="N25" s="794">
        <v>6000</v>
      </c>
      <c r="Q25" s="796">
        <v>8000</v>
      </c>
      <c r="T25" s="798">
        <v>10000</v>
      </c>
      <c r="W25" s="800">
        <v>14000</v>
      </c>
    </row>
    <row r="26" spans="1:23" ht="50.15" customHeight="1">
      <c r="A26" s="831" t="s">
        <v>1046</v>
      </c>
      <c r="B26" s="821" t="s">
        <v>561</v>
      </c>
      <c r="C26" s="821" t="s">
        <v>561</v>
      </c>
      <c r="D26" s="854" t="str">
        <f>IF($F$8="ไม่คุ้มครอง","ไม่คุ้มครอง","ตามที่ระบุในผลประโยชน์
หมวดที่ 2, 3 และหมวดที่ 14 ของบันทึกสลักหลัง")</f>
        <v>ไม่คุ้มครอง</v>
      </c>
    </row>
    <row r="27" spans="1:23" ht="35.15" customHeight="1">
      <c r="A27" s="855" t="s">
        <v>1047</v>
      </c>
      <c r="B27" s="821" t="s">
        <v>561</v>
      </c>
      <c r="C27" s="821" t="s">
        <v>561</v>
      </c>
      <c r="D27" s="822" t="str">
        <f>IF($F$8="ไม่คุ้มครอง","ไม่คุ้มครอง",H27)</f>
        <v>ไม่คุ้มครอง</v>
      </c>
      <c r="H27" s="790">
        <f>IF($F$8=1200,K27,IF($F$8=2200,N27,IF($F$8=3200,Q27,IF($F$8=4200,T27,W27))))</f>
        <v>12000</v>
      </c>
      <c r="K27" s="792">
        <v>4000</v>
      </c>
      <c r="N27" s="825">
        <v>6000</v>
      </c>
      <c r="Q27" s="796">
        <v>9000</v>
      </c>
      <c r="T27" s="798">
        <v>10000</v>
      </c>
      <c r="W27" s="800">
        <v>12000</v>
      </c>
    </row>
    <row r="28" spans="1:23" ht="35.15" customHeight="1">
      <c r="A28" s="855" t="s">
        <v>1048</v>
      </c>
      <c r="B28" s="821" t="s">
        <v>538</v>
      </c>
      <c r="C28" s="821" t="s">
        <v>561</v>
      </c>
      <c r="D28" s="821" t="s">
        <v>561</v>
      </c>
    </row>
    <row r="29" spans="1:23" ht="35.15" customHeight="1">
      <c r="A29" s="855" t="s">
        <v>1049</v>
      </c>
      <c r="B29" s="821" t="s">
        <v>538</v>
      </c>
      <c r="C29" s="821" t="s">
        <v>561</v>
      </c>
      <c r="D29" s="821" t="s">
        <v>561</v>
      </c>
    </row>
    <row r="30" spans="1:23" ht="35.15" customHeight="1">
      <c r="A30" s="855" t="s">
        <v>1050</v>
      </c>
      <c r="B30" s="821" t="s">
        <v>538</v>
      </c>
      <c r="C30" s="821" t="s">
        <v>561</v>
      </c>
      <c r="D30" s="821" t="s">
        <v>561</v>
      </c>
    </row>
    <row r="31" spans="1:23" ht="35.15" customHeight="1">
      <c r="A31" s="855" t="s">
        <v>1051</v>
      </c>
      <c r="B31" s="821" t="s">
        <v>538</v>
      </c>
      <c r="C31" s="821" t="s">
        <v>561</v>
      </c>
      <c r="D31" s="821" t="s">
        <v>561</v>
      </c>
    </row>
    <row r="32" spans="1:23" ht="50.15" customHeight="1">
      <c r="A32" s="855" t="s">
        <v>1052</v>
      </c>
      <c r="B32" s="822" t="str">
        <f>IF($F$8="ไม่คุ้มครอง","ไม่คุ้มครอง",F32)</f>
        <v>ไม่คุ้มครอง</v>
      </c>
      <c r="C32" s="821" t="s">
        <v>561</v>
      </c>
      <c r="D32" s="821" t="str">
        <f>IF($F$8="ไม่คุ้มครอง","ไม่คุ้มครอง",TEXT(H32,"#,##0")&amp;"
(รวมผลประโยชน์ 
หมวดที่ 2 และ12)")</f>
        <v>ไม่คุ้มครอง</v>
      </c>
      <c r="F32" s="790">
        <f>IF($F$8=1200,I32,IF($F$8=2200,L32,IF($F$8=3200,O32,IF($F$8=4200,R32,U32))))</f>
        <v>6200</v>
      </c>
      <c r="H32" s="790">
        <f>IF($F$8=1200,K32,IF($F$8=2200,N32,IF($F$8=3200,Q32,IF($F$8=4200,T32,W32))))</f>
        <v>45000</v>
      </c>
      <c r="I32" s="792">
        <v>1200</v>
      </c>
      <c r="K32" s="792">
        <f>IF($G$5&lt;11,"12,000* / 16,000",16000)</f>
        <v>16000</v>
      </c>
      <c r="L32" s="794">
        <v>2200</v>
      </c>
      <c r="N32" s="794">
        <f>IF($G$5&lt;11,"15,000* / 20,000",20000)</f>
        <v>20000</v>
      </c>
      <c r="O32" s="796">
        <v>3200</v>
      </c>
      <c r="Q32" s="796">
        <f>IF($G$5&lt;11,"22,500* / 30,000",30000)</f>
        <v>30000</v>
      </c>
      <c r="R32" s="798">
        <v>4200</v>
      </c>
      <c r="T32" s="798">
        <f>IF($G$5&lt;11,"-",35000)</f>
        <v>35000</v>
      </c>
      <c r="U32" s="800">
        <v>6200</v>
      </c>
      <c r="W32" s="800">
        <f>IF($G$5&lt;11,"-",45000)</f>
        <v>45000</v>
      </c>
    </row>
    <row r="33" spans="1:23" ht="25.5" customHeight="1" thickBot="1">
      <c r="A33" s="852" t="s">
        <v>1053</v>
      </c>
      <c r="B33" s="830" t="s">
        <v>561</v>
      </c>
      <c r="C33" s="830" t="s">
        <v>561</v>
      </c>
      <c r="D33" s="832" t="str">
        <f>IF($F$8="ไม่คุ้มครอง","ไม่คุ้มครอง",TEXT(H33,"#,##0")&amp;"  ต่อครั้ง")</f>
        <v>ไม่คุ้มครอง</v>
      </c>
      <c r="H33" s="790">
        <f>IF($F$8=1200,K33,IF($F$8=2200,N33,IF($F$8=3200,Q33,IF($F$8=4200,T33,W33))))</f>
        <v>12000</v>
      </c>
      <c r="K33" s="792">
        <v>4500</v>
      </c>
      <c r="N33" s="794">
        <v>6500</v>
      </c>
      <c r="Q33" s="796">
        <v>8500</v>
      </c>
      <c r="T33" s="798">
        <v>10000</v>
      </c>
      <c r="W33" s="800">
        <v>12000</v>
      </c>
    </row>
    <row r="34" spans="1:23" ht="30" customHeight="1">
      <c r="A34" s="2240" t="s">
        <v>1023</v>
      </c>
      <c r="B34" s="2241"/>
      <c r="C34" s="2241"/>
      <c r="D34" s="2242"/>
    </row>
    <row r="35" spans="1:23" ht="45.75" customHeight="1">
      <c r="A35" s="1081" t="s">
        <v>1054</v>
      </c>
      <c r="B35" s="2229" t="str">
        <f>IF($F$8="ไม่คุ้มครอง","ไม่คุ้มครอง",IF(G5&gt;=11,"-",TEXT(H35,"#,##0")&amp;" บาท ต่อการเข้าพักรักษาตัวเป็นผู้ป่วยในครั้งใดครั้งหนึ่ง*
(เฉพาะกรณีการเข้าพักรักษาตัวเป็นผู้ป่วยในเท่านั้น 
โดยหักออกจากจำนวนเงินผลประโยชน์ที่ผู้เอาประกันภัยมีสิทธิได้รับ)"))</f>
        <v>ไม่คุ้มครอง</v>
      </c>
      <c r="C35" s="2229"/>
      <c r="D35" s="2229"/>
      <c r="H35" s="790">
        <f>IF($F$8=1200,K35,IF($F$8=2200,N35,IF($F$8=3200,Q35,IF($F$8=4200,T35,W35))))</f>
        <v>0</v>
      </c>
      <c r="K35" s="792">
        <v>3000</v>
      </c>
      <c r="N35" s="794">
        <v>5000</v>
      </c>
      <c r="Q35" s="796">
        <v>7000</v>
      </c>
      <c r="T35" s="798">
        <v>0</v>
      </c>
      <c r="W35" s="800">
        <v>0</v>
      </c>
    </row>
    <row r="36" spans="1:23" ht="17.149999999999999" customHeight="1">
      <c r="A36" s="823" t="s">
        <v>1024</v>
      </c>
      <c r="B36" s="2229" t="s">
        <v>561</v>
      </c>
      <c r="C36" s="2229"/>
      <c r="D36" s="2229"/>
    </row>
    <row r="38" spans="1:23" ht="18" customHeight="1">
      <c r="A38" s="2218" t="str">
        <f>IF(G5&gt;=11,"","*   สำหรับผู้เอาประกันภัยในช่วงระยะเวลาก่อนวันครบรอบปีกรมธรรม์ประกันภัย ที่ผู้เอาประกันภัยมีอายุน้อยกว่า 11 ปี")</f>
        <v/>
      </c>
      <c r="B38" s="2218"/>
      <c r="C38" s="2218"/>
      <c r="D38" s="2218"/>
    </row>
    <row r="39" spans="1:23" ht="45" customHeight="1">
      <c r="A39" s="2218"/>
      <c r="B39" s="2218"/>
      <c r="C39" s="2218"/>
      <c r="D39" s="2218"/>
    </row>
    <row r="40" spans="1:23" ht="25" customHeight="1">
      <c r="A40" s="2223" t="s">
        <v>1025</v>
      </c>
      <c r="B40" s="2223"/>
      <c r="C40" s="2223"/>
      <c r="D40" s="2223"/>
    </row>
    <row r="41" spans="1:23" ht="20.149999999999999" customHeight="1">
      <c r="A41" s="2224" t="s">
        <v>73</v>
      </c>
      <c r="B41" s="1106" t="s">
        <v>73</v>
      </c>
      <c r="C41" s="1106" t="s">
        <v>1010</v>
      </c>
      <c r="D41" s="1106" t="s">
        <v>1011</v>
      </c>
    </row>
    <row r="42" spans="1:23" ht="20.149999999999999" customHeight="1" thickBot="1">
      <c r="A42" s="2225"/>
      <c r="B42" s="1107" t="s">
        <v>1012</v>
      </c>
      <c r="C42" s="1107" t="s">
        <v>1013</v>
      </c>
      <c r="D42" s="1107" t="s">
        <v>1012</v>
      </c>
    </row>
    <row r="43" spans="1:23" ht="55.5" customHeight="1">
      <c r="A43" s="853" t="s">
        <v>1055</v>
      </c>
      <c r="B43" s="833" t="str">
        <f>IF($F$8="ไม่คุ้มครอง","ไม่คุ้มครอง",TEXT(F43,"#,##0")&amp;" ต่อการปรึกษาแต่ละครั้ง")</f>
        <v>ไม่คุ้มครอง</v>
      </c>
      <c r="C43" s="833" t="str">
        <f>IF($F$8="ไม่คุ้มครอง","ไม่คุ้มครอง",G43)</f>
        <v>ไม่คุ้มครอง</v>
      </c>
      <c r="D43" s="833" t="str">
        <f>IF($F$8="ไม่คุ้มครอง","ไม่คุ้มครอง",TEXT(H43,"#,##0")&amp;" ต่อรอบปีกรมธรรม์ประกันภัย")</f>
        <v>ไม่คุ้มครอง</v>
      </c>
      <c r="F43" s="790">
        <f>IF($F$8=1200,I43,IF($F$8=2200,L43,IF($F$8=3200,O43,IF($F$8=4200,R43,U43))))</f>
        <v>1600</v>
      </c>
      <c r="G43" s="857" t="s">
        <v>1056</v>
      </c>
      <c r="H43" s="790">
        <f>IF($F$8=1200,K43,IF($F$8=2200,N43,IF($F$8=3200,Q43,IF($F$8=4200,T43,W43))))</f>
        <v>32000</v>
      </c>
      <c r="I43" s="792">
        <v>1000</v>
      </c>
      <c r="J43" s="793">
        <v>20</v>
      </c>
      <c r="K43" s="792">
        <v>20000</v>
      </c>
      <c r="L43" s="794">
        <v>1200</v>
      </c>
      <c r="M43" s="795">
        <v>20</v>
      </c>
      <c r="N43" s="794">
        <v>24000</v>
      </c>
      <c r="O43" s="796">
        <v>1300</v>
      </c>
      <c r="P43" s="797">
        <v>20</v>
      </c>
      <c r="Q43" s="796">
        <v>26000</v>
      </c>
      <c r="R43" s="798">
        <v>1400</v>
      </c>
      <c r="S43" s="799">
        <v>20</v>
      </c>
      <c r="T43" s="798">
        <v>28000</v>
      </c>
      <c r="U43" s="800">
        <v>1600</v>
      </c>
      <c r="V43" s="801">
        <v>20</v>
      </c>
      <c r="W43" s="800">
        <v>32000</v>
      </c>
    </row>
    <row r="44" spans="1:23" ht="60" customHeight="1">
      <c r="A44" s="855" t="s">
        <v>1034</v>
      </c>
      <c r="B44" s="821" t="str">
        <f>IF($F$8="ไม่คุ้มครอง","ไม่คุ้มครอง","ร้อยละ 70 ของค่าใช้จ่ายส่วนที่เกินผลประโยชน์สูงสุดของหมวดย่อยที่ 4.3 ")</f>
        <v>ไม่คุ้มครอง</v>
      </c>
      <c r="C44" s="821" t="s">
        <v>561</v>
      </c>
      <c r="D44" s="821" t="s">
        <v>561</v>
      </c>
    </row>
    <row r="45" spans="1:23" ht="66.75" customHeight="1">
      <c r="A45" s="855" t="str">
        <f>"หมวดที่ 16 ผลประโยชน์เพิ่มเติมสำหรับผลประโยชน์ หมวดที่ 2 และหมวดที่ 12 ของสัญญาเพิ่มเติมค่ารักษาพยาบาล เอ็กซ์ตร้า"&amp;IF(G5&lt;11,"**","")</f>
        <v>หมวดที่ 16 ผลประโยชน์เพิ่มเติมสำหรับผลประโยชน์ หมวดที่ 2 และหมวดที่ 12 ของสัญญาเพิ่มเติมค่ารักษาพยาบาล เอ็กซ์ตร้า</v>
      </c>
      <c r="B45" s="821" t="str">
        <f>IF($F$8="ไม่คุ้มครอง","ไม่คุ้มครอง","ร้อยละ 70 ของค่าใช้จ่ายส่วนที่เกินผลประโยชน์สูงสุดของหมวดที่ 2 และหมวดที่ 12")</f>
        <v>ไม่คุ้มครอง</v>
      </c>
      <c r="C45" s="821" t="s">
        <v>561</v>
      </c>
      <c r="D45" s="821" t="s">
        <v>561</v>
      </c>
    </row>
    <row r="46" spans="1:23" ht="33" customHeight="1">
      <c r="A46" s="2228" t="str">
        <f>IF(G5&lt;11,"**สำหรับผู้เอาประกันภัยที่มีอายุน้อยกว่า 11 ปี จะจ่ายผลประโยชน์ เฉพาะกรณีที่ได้รับการรักษาพยาบาลเนื่องจากโรคร้ายแรง 80 โรค ตามที่ระบุไว้ในบันทึกสลักหลังแนบท้ายสัญญาเพิ่มเติมฯ หรือเนื่องจากการผ่าตัดและหัตถการ เท่านั้น","")</f>
        <v/>
      </c>
      <c r="B46" s="2228"/>
      <c r="C46" s="2228"/>
      <c r="D46" s="2228"/>
    </row>
    <row r="47" spans="1:23" ht="57" customHeight="1">
      <c r="A47" s="2226" t="s">
        <v>1057</v>
      </c>
      <c r="B47" s="2226"/>
      <c r="C47" s="2226"/>
      <c r="D47" s="2226"/>
    </row>
    <row r="48" spans="1:23" ht="40" customHeight="1">
      <c r="A48" s="2227" t="s">
        <v>1058</v>
      </c>
      <c r="B48" s="2227"/>
      <c r="C48" s="2227"/>
      <c r="D48" s="2227"/>
    </row>
    <row r="49" spans="1:23" ht="40" customHeight="1">
      <c r="A49" s="2218" t="str">
        <f>IF($F$8="ไม่คุ้มครอง","ไม่คุ้มครอง","การจ่ายผลประโยชน์ของสัญญาเพิ่มเติมนี้ และผลประโยชน์ในหมวดอื่นใดของบันทึกสลักหลังที่แนบท้ายสัญญาเพิ่มเติมนี้ รวมกันแล้วต้องไม่เกินผลประโยชน์สูงสุดต่อการเข้าพักรักษาตัวเป็นผู้ป่วยในครั้งใดครั้งหนึ่ง  " &amp;TEXT(H49,"#,##0")&amp;" บาท หักด้วยจำนวนเงินความรับผิดส่วนแรก (ถ้ามี)")</f>
        <v>ไม่คุ้มครอง</v>
      </c>
      <c r="B49" s="2218"/>
      <c r="C49" s="2218"/>
      <c r="D49" s="2218"/>
      <c r="H49" s="790">
        <f>IF($F$8=1200,K49,IF($F$8=2200,N49,IF($F$8=3200,Q49,IF($F$8=4200,T49,W49))))</f>
        <v>1100000</v>
      </c>
      <c r="K49" s="792">
        <v>320000</v>
      </c>
      <c r="N49" s="794">
        <v>480000</v>
      </c>
      <c r="Q49" s="796">
        <v>652000</v>
      </c>
      <c r="T49" s="798">
        <v>800000</v>
      </c>
      <c r="W49" s="800">
        <v>1100000</v>
      </c>
    </row>
    <row r="50" spans="1:23" ht="30" customHeight="1">
      <c r="A50" s="2219" t="s">
        <v>1026</v>
      </c>
      <c r="B50" s="2220"/>
      <c r="C50" s="2220"/>
      <c r="D50" s="2221"/>
    </row>
    <row r="51" spans="1:23" ht="12" customHeight="1">
      <c r="A51" s="834"/>
      <c r="B51" s="834"/>
      <c r="C51" s="834"/>
      <c r="D51" s="834"/>
    </row>
    <row r="52" spans="1:23">
      <c r="A52" s="2222" t="s">
        <v>2428</v>
      </c>
      <c r="B52" s="2222"/>
      <c r="C52" s="2222"/>
      <c r="D52" s="2222"/>
    </row>
    <row r="53" spans="1:23" ht="40" customHeight="1">
      <c r="A53" s="2222" t="str">
        <f>ตารางแสดงผลประโยชน์!B76</f>
        <v>โปรแกรมใบข้อเสนอนี้ใช้สำหรับแบบประกัน ไอสมาร์ท 80/6 (ไม่มีเงินปันผล) ที่เสนอขายตั้งแต่ 1 มกราคม 2569 ถึง 31 มีนาคม 2570 หรือตามประกาศยกเลิกการใช้จากบริษัทฯ (แล้วแต่ระยะเวลาใดจะเกิดขึ้นก่อน)</v>
      </c>
      <c r="B53" s="2222"/>
      <c r="C53" s="2222"/>
      <c r="D53" s="2222"/>
    </row>
    <row r="54" spans="1:23">
      <c r="D54" s="859" t="str">
        <f>ตารางแสดงผลประโยชน์!I77</f>
        <v>ไอสมาร์ท 80/6 (ไม่มีเงินปันผล) เวอร์ชั่น A2026-1</v>
      </c>
    </row>
    <row r="56" spans="1:23">
      <c r="A56" s="858"/>
    </row>
  </sheetData>
  <sheetProtection algorithmName="SHA-512" hashValue="CT2K1rwl3HVchSm3CuvZuJy1Ah3xmO7Ii+4A1JPOgmMAZWB0jADFLvKohrl3rN9IgjB0UTXvQsl4SRWYBwEYRw==" saltValue="FT7Nt2ODOxEPedBsXCavSA==" spinCount="100000" sheet="1" objects="1" scenarios="1"/>
  <mergeCells count="32">
    <mergeCell ref="A2:D2"/>
    <mergeCell ref="A6:A7"/>
    <mergeCell ref="A8:D8"/>
    <mergeCell ref="F8:H8"/>
    <mergeCell ref="A5:B5"/>
    <mergeCell ref="C5:D5"/>
    <mergeCell ref="B36:D36"/>
    <mergeCell ref="L8:N8"/>
    <mergeCell ref="O8:Q8"/>
    <mergeCell ref="R8:T8"/>
    <mergeCell ref="U8:W8"/>
    <mergeCell ref="A10:C10"/>
    <mergeCell ref="B11:B13"/>
    <mergeCell ref="C11:C13"/>
    <mergeCell ref="D11:D14"/>
    <mergeCell ref="I8:K8"/>
    <mergeCell ref="A16:C16"/>
    <mergeCell ref="A23:D23"/>
    <mergeCell ref="A24:C24"/>
    <mergeCell ref="A34:D34"/>
    <mergeCell ref="B35:D35"/>
    <mergeCell ref="A49:D49"/>
    <mergeCell ref="A50:D50"/>
    <mergeCell ref="A53:D53"/>
    <mergeCell ref="A38:D38"/>
    <mergeCell ref="A39:D39"/>
    <mergeCell ref="A40:D40"/>
    <mergeCell ref="A41:A42"/>
    <mergeCell ref="A47:D47"/>
    <mergeCell ref="A48:D48"/>
    <mergeCell ref="A46:D46"/>
    <mergeCell ref="A52:D52"/>
  </mergeCells>
  <conditionalFormatting sqref="A4:D54">
    <cfRule type="expression" dxfId="22" priority="19" stopIfTrue="1">
      <formula>$A$1="Expire"</formula>
    </cfRule>
  </conditionalFormatting>
  <printOptions horizontalCentered="1"/>
  <pageMargins left="0.19685039370078741" right="0.19685039370078741" top="0.19685039370078741" bottom="0.15748031496062992" header="0.31496062992125984" footer="0.15748031496062992"/>
  <pageSetup paperSize="9" scale="48" orientation="portrait" r:id="rId1"/>
  <headerFooter>
    <oddFooter>&amp;C&amp;"Calibri"&amp;11&amp;K0000004/14_x000D_&amp;1#&amp;"Calibri"&amp;10&amp;K000000Internal</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4">
    <pageSetUpPr fitToPage="1"/>
  </sheetPr>
  <dimension ref="A1:U99"/>
  <sheetViews>
    <sheetView showGridLines="0" zoomScale="90" zoomScaleNormal="90" workbookViewId="0">
      <selection activeCell="A54" sqref="A54:L54"/>
    </sheetView>
  </sheetViews>
  <sheetFormatPr defaultColWidth="9.09765625" defaultRowHeight="21.5"/>
  <cols>
    <col min="1" max="1" width="10.296875" style="3" customWidth="1"/>
    <col min="2" max="4" width="9.09765625" style="3"/>
    <col min="5" max="5" width="12" style="3" customWidth="1"/>
    <col min="6" max="7" width="9.09765625" style="3"/>
    <col min="8" max="8" width="10.3984375" style="3" customWidth="1"/>
    <col min="9" max="9" width="9.09765625" style="3"/>
    <col min="10" max="10" width="10.59765625" style="3" customWidth="1"/>
    <col min="11" max="11" width="27.69921875" style="3" customWidth="1"/>
    <col min="12" max="12" width="24.69921875" style="3" customWidth="1"/>
    <col min="13" max="13" width="6.69921875" style="1435" hidden="1" customWidth="1"/>
    <col min="14" max="14" width="9.09765625" style="3" hidden="1" customWidth="1"/>
    <col min="15" max="15" width="19.09765625" style="3" hidden="1" customWidth="1"/>
    <col min="16" max="16" width="15.09765625" style="3" hidden="1" customWidth="1"/>
    <col min="17" max="17" width="46.8984375" style="3" hidden="1" customWidth="1"/>
    <col min="18" max="18" width="48.296875" style="3" hidden="1" customWidth="1"/>
    <col min="19" max="20" width="9.09765625" style="3" customWidth="1"/>
    <col min="21" max="16384" width="9.09765625" style="3"/>
  </cols>
  <sheetData>
    <row r="1" spans="1:21" ht="3.75" customHeight="1">
      <c r="A1" s="3" t="str">
        <f ca="1">กรอกข้อมูล!G64</f>
        <v/>
      </c>
      <c r="O1" s="48"/>
      <c r="P1" s="48"/>
      <c r="Q1" s="48"/>
    </row>
    <row r="2" spans="1:21" s="662" customFormat="1" ht="36" customHeight="1">
      <c r="A2" s="2247" t="str">
        <f ca="1">IF(A1="Expire",กรอกข้อมูล!$A$1,"สรุปผลประโยชน์ของสัญญาเพิ่มเติม")</f>
        <v>สรุปผลประโยชน์ของสัญญาเพิ่มเติม</v>
      </c>
      <c r="B2" s="2247"/>
      <c r="C2" s="2247"/>
      <c r="D2" s="2247"/>
      <c r="E2" s="2247"/>
      <c r="F2" s="2247"/>
      <c r="G2" s="2247"/>
      <c r="H2" s="2247"/>
      <c r="I2" s="2247"/>
      <c r="J2" s="2247"/>
      <c r="K2" s="2247"/>
      <c r="L2" s="2247"/>
      <c r="M2" s="1436"/>
      <c r="N2" s="661"/>
      <c r="O2" s="1564" t="s">
        <v>1726</v>
      </c>
      <c r="P2" s="1565">
        <f>กรอกข้อมูล!D19</f>
        <v>1000000</v>
      </c>
      <c r="Q2" s="1566" t="s">
        <v>1725</v>
      </c>
      <c r="R2" s="1567"/>
      <c r="S2" s="1567"/>
    </row>
    <row r="3" spans="1:21" s="48" customFormat="1" ht="5.15" customHeight="1">
      <c r="A3" s="45"/>
      <c r="B3" s="45"/>
      <c r="C3" s="45"/>
      <c r="D3" s="45"/>
      <c r="E3" s="45"/>
      <c r="F3" s="45"/>
      <c r="G3" s="45"/>
      <c r="H3" s="45"/>
      <c r="I3" s="45"/>
      <c r="J3" s="45"/>
      <c r="K3" s="45"/>
      <c r="L3" s="45"/>
      <c r="M3" s="1437"/>
      <c r="N3" s="46"/>
      <c r="O3" s="47"/>
      <c r="P3" s="47"/>
    </row>
    <row r="4" spans="1:21" s="1430" customFormat="1" ht="30" customHeight="1">
      <c r="A4" s="1424" t="s">
        <v>37</v>
      </c>
      <c r="B4" s="1425"/>
      <c r="C4" s="1426" t="str">
        <f>กรอกข้อมูล!$C$4</f>
        <v>คุณคนพิเศษ</v>
      </c>
      <c r="D4" s="1425"/>
      <c r="E4" s="1426"/>
      <c r="F4" s="1427" t="str">
        <f>"เพศ "&amp;กรอกข้อมูล!C6</f>
        <v>เพศ หญิง</v>
      </c>
      <c r="G4" s="1425"/>
      <c r="H4" s="1425"/>
      <c r="I4" s="1425"/>
      <c r="J4" s="1427"/>
      <c r="K4" s="1427" t="str">
        <f>"อายุ  "&amp;กรอกข้อมูล!C5&amp;" ปี"</f>
        <v>อายุ  44 ปี</v>
      </c>
      <c r="L4" s="1428"/>
      <c r="M4" s="1438"/>
      <c r="N4" s="1429"/>
      <c r="O4" s="1560" t="s">
        <v>1597</v>
      </c>
      <c r="P4" s="1560" t="str">
        <f>กรอกข้อมูล!$J$23</f>
        <v/>
      </c>
      <c r="Q4" s="1568" t="str">
        <f>RIGHT(P4,3)</f>
        <v/>
      </c>
      <c r="R4" s="1569"/>
      <c r="S4" s="1569"/>
    </row>
    <row r="5" spans="1:21">
      <c r="A5" s="42"/>
      <c r="D5" s="43"/>
      <c r="E5" s="11"/>
      <c r="F5" s="44"/>
      <c r="H5" s="12"/>
      <c r="J5" s="12"/>
      <c r="K5" s="9"/>
      <c r="L5" s="9"/>
      <c r="M5" s="1437"/>
      <c r="N5" s="13"/>
      <c r="O5" s="1560"/>
      <c r="P5" s="1560" t="s">
        <v>1609</v>
      </c>
      <c r="Q5" s="1481" t="s">
        <v>1705</v>
      </c>
      <c r="R5" s="48"/>
      <c r="S5" s="48"/>
    </row>
    <row r="6" spans="1:21">
      <c r="A6" s="30" t="s">
        <v>94</v>
      </c>
      <c r="B6" s="22"/>
      <c r="C6" s="23"/>
      <c r="D6" s="23"/>
      <c r="E6" s="23"/>
      <c r="F6" s="23"/>
      <c r="G6" s="23"/>
      <c r="H6" s="23"/>
      <c r="I6" s="23"/>
      <c r="J6" s="23"/>
      <c r="K6" s="28"/>
      <c r="L6" s="23"/>
      <c r="M6" s="1439"/>
      <c r="N6" s="19"/>
      <c r="O6" s="1570" t="s">
        <v>1454</v>
      </c>
      <c r="P6" s="1570" t="s">
        <v>1319</v>
      </c>
      <c r="Q6" s="2261" t="s">
        <v>1480</v>
      </c>
      <c r="R6" s="2261"/>
      <c r="S6" s="48"/>
    </row>
    <row r="7" spans="1:21">
      <c r="A7" s="73" t="s">
        <v>84</v>
      </c>
      <c r="B7" s="22"/>
      <c r="C7" s="23"/>
      <c r="D7" s="23"/>
      <c r="E7" s="23"/>
      <c r="F7" s="23"/>
      <c r="G7" s="23"/>
      <c r="H7" s="23"/>
      <c r="I7" s="23"/>
      <c r="J7" s="23"/>
      <c r="K7" s="75" t="str">
        <f>IF(AND(กรอกข้อมูล!$D$22=0,กรอกข้อมูล!$D$23=0),"ไม่คุ้มครอง",$M7*(IF(กรอกข้อมูล!$B$22=100000,กรอกข้อมูล!$D$22,0)+IF(กรอกข้อมูล!$B$23=100000,กรอกข้อมูล!$D$23,0)))</f>
        <v>ไม่คุ้มครอง</v>
      </c>
      <c r="L7" s="9" t="str">
        <f>IF(K7="ไม่คุ้มครอง","","บาท")</f>
        <v/>
      </c>
      <c r="M7" s="1440">
        <v>1</v>
      </c>
      <c r="N7" s="88"/>
      <c r="O7" s="1571" t="s">
        <v>1455</v>
      </c>
      <c r="P7" s="1571" t="s">
        <v>1320</v>
      </c>
      <c r="Q7" s="2261" t="s">
        <v>1727</v>
      </c>
      <c r="R7" s="2261"/>
      <c r="S7" s="48"/>
    </row>
    <row r="8" spans="1:21">
      <c r="A8" s="73" t="s">
        <v>119</v>
      </c>
      <c r="B8" s="22"/>
      <c r="C8" s="23"/>
      <c r="D8" s="23"/>
      <c r="E8" s="23"/>
      <c r="F8" s="23"/>
      <c r="G8" s="23"/>
      <c r="H8" s="23"/>
      <c r="I8" s="23"/>
      <c r="J8" s="23"/>
      <c r="K8" s="75" t="str">
        <f>IF(AND(กรอกข้อมูล!$D$22=0,กรอกข้อมูล!$D$23=0),"ไม่คุ้มครอง",$M8*(IF(กรอกข้อมูล!$B$22=100000,กรอกข้อมูล!$D$22,0)+IF(กรอกข้อมูล!$B$23=100000,กรอกข้อมูล!$D$23,0)))</f>
        <v>ไม่คุ้มครอง</v>
      </c>
      <c r="L8" s="9" t="str">
        <f t="shared" ref="L8:L17" si="0">IF(K8="ไม่คุ้มครอง","","บาท")</f>
        <v/>
      </c>
      <c r="M8" s="1440">
        <v>1</v>
      </c>
      <c r="N8" s="88"/>
      <c r="O8" s="1571" t="s">
        <v>1532</v>
      </c>
      <c r="P8" s="1571" t="s">
        <v>1424</v>
      </c>
      <c r="Q8" s="2262" t="s">
        <v>1533</v>
      </c>
      <c r="R8" s="2262"/>
      <c r="S8" s="48"/>
      <c r="U8" s="76"/>
    </row>
    <row r="9" spans="1:21">
      <c r="A9" s="72" t="s">
        <v>85</v>
      </c>
      <c r="B9" s="18"/>
      <c r="C9" s="16"/>
      <c r="D9" s="16"/>
      <c r="E9" s="16"/>
      <c r="F9" s="16"/>
      <c r="G9" s="76"/>
      <c r="H9" s="16"/>
      <c r="I9" s="76"/>
      <c r="J9" s="76"/>
      <c r="K9" s="75" t="str">
        <f>IF(AND(กรอกข้อมูล!$D$22=0,กรอกข้อมูล!$D$23=0),"ไม่คุ้มครอง",$M9*(IF(กรอกข้อมูล!$B$22=100000,กรอกข้อมูล!$D$22,0)+IF(กรอกข้อมูล!$B$23=100000,กรอกข้อมูล!$D$23,0)))</f>
        <v>ไม่คุ้มครอง</v>
      </c>
      <c r="L9" s="9" t="str">
        <f t="shared" si="0"/>
        <v/>
      </c>
      <c r="M9" s="1440">
        <v>1</v>
      </c>
      <c r="N9" s="87"/>
      <c r="O9" s="1571" t="s">
        <v>1534</v>
      </c>
      <c r="P9" s="1571" t="s">
        <v>1540</v>
      </c>
      <c r="Q9" s="2262" t="s">
        <v>1728</v>
      </c>
      <c r="R9" s="2262"/>
      <c r="S9" s="48"/>
    </row>
    <row r="10" spans="1:21">
      <c r="A10" s="72" t="s">
        <v>86</v>
      </c>
      <c r="B10" s="18"/>
      <c r="C10" s="16"/>
      <c r="D10" s="16"/>
      <c r="E10" s="16"/>
      <c r="F10" s="16"/>
      <c r="G10" s="76"/>
      <c r="H10" s="16"/>
      <c r="I10" s="76"/>
      <c r="J10" s="76"/>
      <c r="K10" s="75" t="str">
        <f>IF(AND(กรอกข้อมูล!$D$22=0,กรอกข้อมูล!$D$23=0),"ไม่คุ้มครอง",$M10*(IF(กรอกข้อมูล!$B$22=100000,กรอกข้อมูล!$D$22,0)+IF(กรอกข้อมูล!$B$23=100000,กรอกข้อมูล!$D$23,0)))</f>
        <v>ไม่คุ้มครอง</v>
      </c>
      <c r="L10" s="9" t="str">
        <f t="shared" si="0"/>
        <v/>
      </c>
      <c r="M10" s="1440">
        <v>1</v>
      </c>
      <c r="N10" s="87"/>
      <c r="O10" s="1571" t="s">
        <v>1535</v>
      </c>
      <c r="P10" s="1571" t="s">
        <v>1427</v>
      </c>
      <c r="Q10" s="2261" t="s">
        <v>1536</v>
      </c>
      <c r="R10" s="2261"/>
      <c r="S10" s="48"/>
    </row>
    <row r="11" spans="1:21">
      <c r="A11" s="72" t="s">
        <v>87</v>
      </c>
      <c r="B11" s="18"/>
      <c r="C11" s="16"/>
      <c r="D11" s="16"/>
      <c r="E11" s="16"/>
      <c r="F11" s="16"/>
      <c r="G11" s="76"/>
      <c r="H11" s="16"/>
      <c r="I11" s="76"/>
      <c r="J11" s="76"/>
      <c r="K11" s="74" t="str">
        <f>IF(AND(กรอกข้อมูล!$D$22=0,กรอกข้อมูล!$D$23=0),"ไม่คุ้มครอง",TEXT($M11*(IF(กรอกข้อมูล!$B$22=100000,กรอกข้อมูล!$D$22,0)+IF(กรอกข้อมูล!$B$23=100000,กรอกข้อมูล!$D$23,0)),"0,000")&amp;"-"&amp;TEXT($N11*(IF(กรอกข้อมูล!$B$22=100000,กรอกข้อมูล!$D$22,0)+IF(กรอกข้อมูล!$B$23=100000,กรอกข้อมูล!$D$23,0)),"0,000"))</f>
        <v>ไม่คุ้มครอง</v>
      </c>
      <c r="L11" s="9" t="str">
        <f t="shared" si="0"/>
        <v/>
      </c>
      <c r="M11" s="1440">
        <v>0.15</v>
      </c>
      <c r="N11" s="87">
        <v>0.75</v>
      </c>
      <c r="O11" s="1570" t="s">
        <v>1537</v>
      </c>
      <c r="P11" s="1570" t="s">
        <v>1541</v>
      </c>
      <c r="Q11" s="2261" t="s">
        <v>1729</v>
      </c>
      <c r="R11" s="2261"/>
      <c r="S11" s="48"/>
    </row>
    <row r="12" spans="1:21">
      <c r="A12" s="72" t="s">
        <v>88</v>
      </c>
      <c r="B12" s="18"/>
      <c r="C12" s="16"/>
      <c r="D12" s="16"/>
      <c r="E12" s="16"/>
      <c r="F12" s="16"/>
      <c r="G12" s="76"/>
      <c r="H12" s="16"/>
      <c r="I12" s="76"/>
      <c r="J12" s="76"/>
      <c r="K12" s="75" t="str">
        <f>IF(AND(กรอกข้อมูล!$D$22=0,กรอกข้อมูล!$D$23=0),"ไม่คุ้มครอง",$M12*(IF(กรอกข้อมูล!$B$22=100000,กรอกข้อมูล!$D$22,0)+IF(กรอกข้อมูล!$B$23=100000,กรอกข้อมูล!$D$23,0)))</f>
        <v>ไม่คุ้มครอง</v>
      </c>
      <c r="L12" s="9" t="str">
        <f t="shared" si="0"/>
        <v/>
      </c>
      <c r="M12" s="1440">
        <v>0.5</v>
      </c>
      <c r="N12" s="87"/>
      <c r="O12" s="1572"/>
      <c r="P12" s="1572"/>
      <c r="Q12" s="2263" t="s">
        <v>1481</v>
      </c>
      <c r="R12" s="2263"/>
      <c r="S12" s="48"/>
    </row>
    <row r="13" spans="1:21">
      <c r="A13" s="72" t="s">
        <v>89</v>
      </c>
      <c r="B13" s="18"/>
      <c r="C13" s="16"/>
      <c r="D13" s="16"/>
      <c r="E13" s="16"/>
      <c r="F13" s="16"/>
      <c r="G13" s="76"/>
      <c r="H13" s="16"/>
      <c r="I13" s="76"/>
      <c r="J13" s="76"/>
      <c r="K13" s="75" t="str">
        <f>IF(AND(กรอกข้อมูล!$D$22=0,กรอกข้อมูล!$D$23=0),"ไม่คุ้มครอง",$M13*(IF(กรอกข้อมูล!$B$22=100000,กรอกข้อมูล!$D$22,0)+IF(กรอกข้อมูล!$B$23=100000,กรอกข้อมูล!$D$23,0)))</f>
        <v>ไม่คุ้มครอง</v>
      </c>
      <c r="L13" s="9" t="str">
        <f t="shared" si="0"/>
        <v/>
      </c>
      <c r="M13" s="1440">
        <v>0.5</v>
      </c>
      <c r="N13" s="87"/>
      <c r="O13" s="1573"/>
      <c r="P13" s="1573"/>
      <c r="Q13" s="1574" t="s">
        <v>1482</v>
      </c>
      <c r="R13" s="1574" t="s">
        <v>1483</v>
      </c>
      <c r="S13" s="48"/>
    </row>
    <row r="14" spans="1:21">
      <c r="A14" s="72" t="s">
        <v>90</v>
      </c>
      <c r="B14" s="18"/>
      <c r="C14" s="16"/>
      <c r="D14" s="16"/>
      <c r="E14" s="16"/>
      <c r="F14" s="16"/>
      <c r="G14" s="76"/>
      <c r="H14" s="16"/>
      <c r="I14" s="76"/>
      <c r="J14" s="76"/>
      <c r="K14" s="74" t="str">
        <f>IF(AND(กรอกข้อมูล!$D$22=0,กรอกข้อมูล!$D$23=0),"ไม่คุ้มครอง",TEXT($M14*(IF(กรอกข้อมูล!$B$22=100000,กรอกข้อมูล!$D$22,0)+IF(กรอกข้อมูล!$B$23=100000,กรอกข้อมูล!$D$23,0)),"0,000")&amp;"-"&amp;TEXT($N14*(IF(กรอกข้อมูล!$B$22=100000,กรอกข้อมูล!$D$22,0)+IF(กรอกข้อมูล!$B$23=100000,กรอกข้อมูล!$D$23,0)),"0,000"))</f>
        <v>ไม่คุ้มครอง</v>
      </c>
      <c r="L14" s="9" t="str">
        <f t="shared" si="0"/>
        <v/>
      </c>
      <c r="M14" s="1440">
        <v>0.02</v>
      </c>
      <c r="N14" s="87">
        <v>0.7</v>
      </c>
      <c r="O14" s="1573"/>
      <c r="P14" s="1573"/>
      <c r="Q14" s="1574" t="s">
        <v>1484</v>
      </c>
      <c r="R14" s="1574" t="s">
        <v>1485</v>
      </c>
      <c r="S14" s="48"/>
    </row>
    <row r="15" spans="1:21">
      <c r="A15" s="72" t="s">
        <v>91</v>
      </c>
      <c r="B15" s="18"/>
      <c r="C15" s="16"/>
      <c r="D15" s="16"/>
      <c r="E15" s="16"/>
      <c r="F15" s="16"/>
      <c r="G15" s="76"/>
      <c r="H15" s="16"/>
      <c r="I15" s="76"/>
      <c r="J15" s="76"/>
      <c r="K15" s="75" t="str">
        <f>IF(AND(กรอกข้อมูล!$D$22=0,กรอกข้อมูล!$D$23=0),"ไม่คุ้มครอง",$M15*(IF(กรอกข้อมูล!$B$22=100000,กรอกข้อมูล!$D$22,0)+IF(กรอกข้อมูล!$B$23=100000,กรอกข้อมูล!$D$23,0)))</f>
        <v>ไม่คุ้มครอง</v>
      </c>
      <c r="L15" s="9" t="str">
        <f t="shared" si="0"/>
        <v/>
      </c>
      <c r="M15" s="1440">
        <v>0.1</v>
      </c>
      <c r="N15" s="87"/>
      <c r="O15" s="1419"/>
      <c r="P15" s="1419"/>
      <c r="Q15" s="1420" t="s">
        <v>1486</v>
      </c>
      <c r="R15" s="1420" t="s">
        <v>1487</v>
      </c>
    </row>
    <row r="16" spans="1:21">
      <c r="A16" s="72" t="s">
        <v>92</v>
      </c>
      <c r="B16" s="18"/>
      <c r="C16" s="16"/>
      <c r="D16" s="16"/>
      <c r="E16" s="16"/>
      <c r="F16" s="16"/>
      <c r="G16" s="76"/>
      <c r="H16" s="16"/>
      <c r="I16" s="76"/>
      <c r="J16" s="76"/>
      <c r="K16" s="75" t="str">
        <f>IF(AND(กรอกข้อมูล!$D$22=0,กรอกข้อมูล!$D$23=0),"ไม่คุ้มครอง",$M16*(IF(กรอกข้อมูล!$B$22=100000,กรอกข้อมูล!$D$22,0)+IF(กรอกข้อมูล!$B$23=100000,กรอกข้อมูล!$D$23,0)))</f>
        <v>ไม่คุ้มครอง</v>
      </c>
      <c r="L16" s="9" t="str">
        <f t="shared" si="0"/>
        <v/>
      </c>
      <c r="M16" s="1440">
        <v>7.4999999999999997E-2</v>
      </c>
      <c r="N16" s="87"/>
      <c r="O16" s="1419"/>
      <c r="P16" s="1419"/>
      <c r="Q16" s="1420" t="s">
        <v>1488</v>
      </c>
      <c r="R16" s="1420" t="s">
        <v>1489</v>
      </c>
    </row>
    <row r="17" spans="1:20">
      <c r="A17" s="72" t="s">
        <v>93</v>
      </c>
      <c r="B17" s="18"/>
      <c r="C17" s="16"/>
      <c r="D17" s="16"/>
      <c r="E17" s="16"/>
      <c r="F17" s="16"/>
      <c r="G17" s="76"/>
      <c r="H17" s="16"/>
      <c r="I17" s="76"/>
      <c r="J17" s="76"/>
      <c r="K17" s="74" t="str">
        <f>IF(AND(กรอกข้อมูล!$D$22=0,กรอกข้อมูล!$D$23=0),"ไม่คุ้มครอง",TEXT($M17*(IF(กรอกข้อมูล!$B$22=100000,กรอกข้อมูล!$D$22,0)+IF(กรอกข้อมูล!$B$23=100000,กรอกข้อมูล!$D$23,0)),"0,000")&amp;"-"&amp;TEXT($N17*(IF(กรอกข้อมูล!$B$22=100000,กรอกข้อมูล!$D$22,0)+IF(กรอกข้อมูล!$B$23=100000,กรอกข้อมูล!$D$23,0)),"0,000"))</f>
        <v>ไม่คุ้มครอง</v>
      </c>
      <c r="L17" s="9" t="str">
        <f t="shared" si="0"/>
        <v/>
      </c>
      <c r="M17" s="1440">
        <v>0.25</v>
      </c>
      <c r="N17" s="87">
        <v>1</v>
      </c>
      <c r="O17" s="1419"/>
      <c r="P17" s="1419"/>
      <c r="Q17" s="1420" t="s">
        <v>1490</v>
      </c>
      <c r="R17" s="1420" t="s">
        <v>1491</v>
      </c>
    </row>
    <row r="18" spans="1:20">
      <c r="A18" s="30" t="s">
        <v>76</v>
      </c>
      <c r="B18" s="18"/>
      <c r="C18" s="16"/>
      <c r="D18" s="16"/>
      <c r="E18" s="16"/>
      <c r="F18" s="16"/>
      <c r="G18" s="76"/>
      <c r="H18" s="16"/>
      <c r="I18" s="76"/>
      <c r="J18" s="76"/>
      <c r="K18" s="74" t="str">
        <f>IF(กรอกข้อมูล!$F$23=0,"ไม่คุ้มครอง",TEXT($M18*IF(กรอกข้อมูล!$B$23=100000,กรอกข้อมูล!$D$23,0),IF(กรอกข้อมูล!D23&lt;400000,"000","0,000"))&amp;"-"&amp;TEXT($N18*IF(กรอกข้อมูล!$B$23=100000,กรอกข้อมูล!$D$23,0),"0,000"))</f>
        <v>ไม่คุ้มครอง</v>
      </c>
      <c r="L18" s="9" t="str">
        <f>IF(K18="ไม่คุ้มครอง","","บาท ต่อสัปดาห์")</f>
        <v/>
      </c>
      <c r="M18" s="1441">
        <v>2.5000000000000001E-3</v>
      </c>
      <c r="N18" s="87">
        <v>0.01</v>
      </c>
      <c r="O18" s="1419"/>
      <c r="P18" s="1419"/>
      <c r="Q18" s="1420" t="s">
        <v>1492</v>
      </c>
      <c r="R18" s="1420" t="s">
        <v>1493</v>
      </c>
    </row>
    <row r="19" spans="1:20">
      <c r="A19" s="30" t="s">
        <v>77</v>
      </c>
      <c r="B19" s="18"/>
      <c r="C19" s="16"/>
      <c r="D19" s="16"/>
      <c r="E19" s="16"/>
      <c r="F19" s="16"/>
      <c r="G19" s="76"/>
      <c r="H19" s="16"/>
      <c r="I19" s="76"/>
      <c r="J19" s="76"/>
      <c r="K19" s="75" t="str">
        <f>IF(กรอกข้อมูล!$F$23=0,"ไม่คุ้มครอง",$M19*IF(กรอกข้อมูล!$B$23=100000,กรอกข้อมูล!$D$23,0))</f>
        <v>ไม่คุ้มครอง</v>
      </c>
      <c r="L19" s="9" t="str">
        <f>IF(K19="ไม่คุ้มครอง","","บาท ต่อเดือน")</f>
        <v/>
      </c>
      <c r="M19" s="1440">
        <v>0.01</v>
      </c>
      <c r="N19" s="87"/>
      <c r="O19" s="1419"/>
      <c r="P19" s="1419"/>
      <c r="Q19" s="1420" t="s">
        <v>1494</v>
      </c>
      <c r="R19" s="1420" t="s">
        <v>1495</v>
      </c>
    </row>
    <row r="20" spans="1:20">
      <c r="A20" s="30" t="s">
        <v>78</v>
      </c>
      <c r="B20" s="18"/>
      <c r="C20" s="16"/>
      <c r="D20" s="16"/>
      <c r="E20" s="16"/>
      <c r="F20" s="16"/>
      <c r="G20" s="76"/>
      <c r="H20" s="16"/>
      <c r="I20" s="76"/>
      <c r="J20" s="76"/>
      <c r="K20" s="75" t="str">
        <f>IF(กรอกข้อมูล!$F$23=0,"ไม่คุ้มครอง",$M20*IF(กรอกข้อมูล!$B$23=100000,กรอกข้อมูล!$D$23,0))</f>
        <v>ไม่คุ้มครอง</v>
      </c>
      <c r="L20" s="9" t="str">
        <f>IF(K20="ไม่คุ้มครอง","","บาท ต่อสัปดาห์")</f>
        <v/>
      </c>
      <c r="M20" s="1440">
        <v>0.01</v>
      </c>
      <c r="N20" s="87"/>
      <c r="O20" s="1419"/>
      <c r="P20" s="1419"/>
      <c r="Q20" s="1420" t="s">
        <v>1496</v>
      </c>
      <c r="R20" s="1420" t="s">
        <v>1497</v>
      </c>
    </row>
    <row r="21" spans="1:20" ht="24">
      <c r="A21" s="30" t="s">
        <v>79</v>
      </c>
      <c r="B21" s="18"/>
      <c r="C21" s="16"/>
      <c r="D21" s="16"/>
      <c r="E21" s="16"/>
      <c r="F21" s="16"/>
      <c r="G21" s="76"/>
      <c r="H21" s="16"/>
      <c r="I21" s="76"/>
      <c r="J21" s="76"/>
      <c r="K21" s="75" t="str">
        <f>IF(กรอกข้อมูล!$F$23=0,"ไม่คุ้มครอง",$M21*IF(กรอกข้อมูล!$B$23=100000,กรอกข้อมูล!$D$23,0))</f>
        <v>ไม่คุ้มครอง</v>
      </c>
      <c r="L21" s="9" t="str">
        <f>IF(K21="ไม่คุ้มครอง","","บาท")</f>
        <v/>
      </c>
      <c r="M21" s="1440">
        <v>0.05</v>
      </c>
      <c r="N21" s="87"/>
      <c r="O21" s="1419"/>
      <c r="P21" s="1419"/>
      <c r="Q21" s="1420" t="s">
        <v>1498</v>
      </c>
      <c r="R21" s="1420" t="s">
        <v>1499</v>
      </c>
    </row>
    <row r="22" spans="1:20">
      <c r="A22" s="97" t="s">
        <v>1253</v>
      </c>
      <c r="B22" s="170"/>
      <c r="C22" s="171"/>
      <c r="D22" s="171"/>
      <c r="E22" s="171"/>
      <c r="F22" s="171"/>
      <c r="G22" s="171"/>
      <c r="H22" s="171"/>
      <c r="I22" s="171"/>
      <c r="J22" s="171"/>
      <c r="K22" s="171"/>
      <c r="L22" s="171"/>
      <c r="M22" s="1439"/>
      <c r="N22" s="19"/>
      <c r="O22" s="1419"/>
      <c r="P22" s="1419"/>
      <c r="Q22" s="1420" t="s">
        <v>1500</v>
      </c>
      <c r="R22" s="1420" t="s">
        <v>1501</v>
      </c>
    </row>
    <row r="23" spans="1:20">
      <c r="A23" s="172" t="s">
        <v>1254</v>
      </c>
      <c r="B23" s="170"/>
      <c r="C23" s="171"/>
      <c r="D23" s="171"/>
      <c r="E23" s="171"/>
      <c r="F23" s="171"/>
      <c r="G23" s="171"/>
      <c r="H23" s="171"/>
      <c r="I23" s="171"/>
      <c r="J23" s="171"/>
      <c r="K23" s="173">
        <f>IF(กรอกข้อมูล!$F$25=0,"ไม่คุ้มครอง",กรอกข้อมูล!$D$25)</f>
        <v>500</v>
      </c>
      <c r="L23" s="171" t="str">
        <f>IF(K23="ไม่คุ้มครอง","","บาท ต่อวัน")</f>
        <v>บาท ต่อวัน</v>
      </c>
      <c r="M23" s="1439"/>
      <c r="N23" s="19"/>
      <c r="O23" s="1419"/>
      <c r="P23" s="1419"/>
      <c r="Q23" s="1420" t="s">
        <v>1502</v>
      </c>
      <c r="R23" s="1420" t="s">
        <v>1503</v>
      </c>
    </row>
    <row r="24" spans="1:20">
      <c r="A24" s="172" t="s">
        <v>1255</v>
      </c>
      <c r="B24" s="170"/>
      <c r="C24" s="171"/>
      <c r="D24" s="171"/>
      <c r="E24" s="171"/>
      <c r="F24" s="171"/>
      <c r="G24" s="171"/>
      <c r="H24" s="171"/>
      <c r="I24" s="171"/>
      <c r="J24" s="171"/>
      <c r="K24" s="173">
        <f>IF(กรอกข้อมูล!$F$25=0,"ไม่คุ้มครอง",$K$23*2)</f>
        <v>1000</v>
      </c>
      <c r="L24" s="171" t="str">
        <f>IF(K24="ไม่คุ้มครอง","","บาท ต่อวัน")</f>
        <v>บาท ต่อวัน</v>
      </c>
      <c r="M24" s="1439"/>
      <c r="N24" s="19"/>
      <c r="O24" s="1419"/>
      <c r="P24" s="1419"/>
      <c r="Q24" s="1420" t="s">
        <v>1504</v>
      </c>
      <c r="R24" s="1420" t="s">
        <v>1505</v>
      </c>
    </row>
    <row r="25" spans="1:20">
      <c r="A25" s="172" t="s">
        <v>1256</v>
      </c>
      <c r="B25" s="170"/>
      <c r="C25" s="171"/>
      <c r="D25" s="171"/>
      <c r="E25" s="171"/>
      <c r="F25" s="171"/>
      <c r="G25" s="171"/>
      <c r="H25" s="171"/>
      <c r="I25" s="171"/>
      <c r="J25" s="171"/>
      <c r="K25" s="173">
        <f>IF(กรอกข้อมูล!$F$25=0,"ไม่คุ้มครอง",$K$23*2.5)</f>
        <v>1250</v>
      </c>
      <c r="L25" s="171" t="str">
        <f>IF(K25="ไม่คุ้มครอง","","บาท ต่อวัน")</f>
        <v>บาท ต่อวัน</v>
      </c>
      <c r="M25" s="1439"/>
      <c r="N25" s="19"/>
      <c r="O25" s="1419"/>
      <c r="P25" s="1419"/>
      <c r="Q25" s="1420" t="s">
        <v>1506</v>
      </c>
      <c r="R25" s="1420" t="s">
        <v>1507</v>
      </c>
    </row>
    <row r="26" spans="1:20">
      <c r="A26" s="97" t="s">
        <v>1257</v>
      </c>
      <c r="B26" s="170"/>
      <c r="C26" s="171"/>
      <c r="D26" s="171"/>
      <c r="E26" s="171"/>
      <c r="F26" s="171"/>
      <c r="G26" s="171"/>
      <c r="H26" s="171"/>
      <c r="I26" s="171"/>
      <c r="J26" s="171"/>
      <c r="K26" s="173" t="str">
        <f>IF(กรอกข้อมูล!F26=0,"ไม่คุ้มครอง",กรอกข้อมูล!D26)</f>
        <v>ไม่คุ้มครอง</v>
      </c>
      <c r="L26" s="171" t="str">
        <f>IF(K26="ไม่คุ้มครอง","","บาท")</f>
        <v/>
      </c>
      <c r="M26" s="1439"/>
      <c r="N26" s="19"/>
      <c r="O26" s="1419"/>
      <c r="P26" s="1419"/>
      <c r="Q26" s="1420" t="s">
        <v>1508</v>
      </c>
      <c r="R26" s="1420" t="s">
        <v>1509</v>
      </c>
    </row>
    <row r="27" spans="1:20" ht="115.5" customHeight="1">
      <c r="A27" s="2252" t="s">
        <v>862</v>
      </c>
      <c r="B27" s="2253"/>
      <c r="C27" s="2253"/>
      <c r="D27" s="2253"/>
      <c r="E27" s="2253"/>
      <c r="F27" s="2253"/>
      <c r="G27" s="2253"/>
      <c r="H27" s="2253"/>
      <c r="I27" s="2253"/>
      <c r="J27" s="2253"/>
      <c r="K27" s="2253"/>
      <c r="L27" s="2253"/>
      <c r="M27" s="1439"/>
      <c r="N27" s="19"/>
      <c r="O27" s="1419"/>
      <c r="P27" s="1419"/>
      <c r="Q27" s="1420" t="s">
        <v>1510</v>
      </c>
      <c r="R27" s="1420" t="s">
        <v>1511</v>
      </c>
    </row>
    <row r="28" spans="1:20">
      <c r="A28" s="97" t="str">
        <f>"8. ผลประโยชน์คุ้มครองการเสียชีวิตจากสัญญาเพิ่มเติม PLS "&amp;IF(กรอกข้อมูล!F27=0,"",TEXT(RIGHT(กรอกข้อมูล!$A$27,2),"##")&amp;" ปี")</f>
        <v xml:space="preserve">8. ผลประโยชน์คุ้มครองการเสียชีวิตจากสัญญาเพิ่มเติม PLS </v>
      </c>
      <c r="B28" s="170"/>
      <c r="C28" s="171"/>
      <c r="D28" s="171"/>
      <c r="E28" s="171"/>
      <c r="F28" s="171"/>
      <c r="G28" s="171"/>
      <c r="H28" s="171"/>
      <c r="I28" s="171"/>
      <c r="J28" s="171"/>
      <c r="K28" s="173" t="str">
        <f>IF(กรอกข้อมูล!H27="ไม่คุ้มครอง","ไม่คุ้มครอง",กรอกข้อมูล!D27)</f>
        <v>ไม่คุ้มครอง</v>
      </c>
      <c r="L28" s="171" t="str">
        <f>IF(K28="ไม่คุ้มครอง","","บาท")</f>
        <v/>
      </c>
      <c r="M28" s="1439"/>
      <c r="N28" s="19"/>
      <c r="O28" s="1419"/>
      <c r="P28" s="1419"/>
      <c r="Q28" s="1420" t="s">
        <v>1512</v>
      </c>
      <c r="R28" s="1420" t="s">
        <v>1513</v>
      </c>
    </row>
    <row r="29" spans="1:20">
      <c r="A29" s="97" t="str">
        <f>IF(AND(กรอกข้อมูล!H20="ไม่คุ้มครอง",กรอกข้อมูล!H21="ไม่คุ้มครอง"),"","9. ผลประโยชน์การยกเว้นเบี้ยประกันภัยของสัญญาหลัก")</f>
        <v/>
      </c>
      <c r="B29" s="170"/>
      <c r="C29" s="171"/>
      <c r="D29" s="171"/>
      <c r="E29" s="171"/>
      <c r="F29" s="171"/>
      <c r="G29" s="171"/>
      <c r="H29" s="171"/>
      <c r="I29" s="171"/>
      <c r="J29" s="171"/>
      <c r="K29" s="1447"/>
      <c r="L29" s="171"/>
      <c r="M29" s="1439"/>
      <c r="N29" s="19"/>
      <c r="O29" s="1419"/>
      <c r="P29" s="1419"/>
      <c r="Q29" s="1420" t="s">
        <v>1514</v>
      </c>
      <c r="R29" s="1420" t="s">
        <v>1515</v>
      </c>
    </row>
    <row r="30" spans="1:20" ht="95.25" customHeight="1">
      <c r="A30" s="2254" t="str">
        <f>IF(OR(P4="WPD01",P4="WPDD01"),Q5,IF(A29="","",VLOOKUP($P4,$P$6:$R$99,2,FALSE)))</f>
        <v/>
      </c>
      <c r="B30" s="2256"/>
      <c r="C30" s="2256"/>
      <c r="D30" s="2256"/>
      <c r="E30" s="2256"/>
      <c r="F30" s="2256"/>
      <c r="G30" s="2256"/>
      <c r="H30" s="2256"/>
      <c r="I30" s="2256"/>
      <c r="J30" s="2256"/>
      <c r="K30" s="2256"/>
      <c r="L30" s="2256"/>
      <c r="M30" s="1439"/>
      <c r="N30" s="19"/>
      <c r="O30" s="1419"/>
      <c r="P30" s="1419"/>
      <c r="Q30" s="1420" t="s">
        <v>1516</v>
      </c>
      <c r="R30" s="1420" t="s">
        <v>1517</v>
      </c>
    </row>
    <row r="31" spans="1:20" ht="12.75" customHeight="1">
      <c r="A31" s="2254" t="str">
        <f>IF(OR(A29="",P2&lt;=30000000),"",Q2)</f>
        <v/>
      </c>
      <c r="B31" s="2254"/>
      <c r="C31" s="2254"/>
      <c r="D31" s="2254"/>
      <c r="E31" s="2254"/>
      <c r="F31" s="2254"/>
      <c r="G31" s="2254"/>
      <c r="H31" s="2254"/>
      <c r="I31" s="2254"/>
      <c r="J31" s="2254"/>
      <c r="K31" s="2254"/>
      <c r="L31" s="2254"/>
      <c r="M31" s="1439"/>
      <c r="N31" s="19"/>
      <c r="O31" s="1419"/>
      <c r="P31" s="1419"/>
      <c r="Q31" s="1420" t="s">
        <v>1518</v>
      </c>
      <c r="R31" s="1420" t="s">
        <v>1519</v>
      </c>
    </row>
    <row r="32" spans="1:20" s="48" customFormat="1">
      <c r="A32" s="1454" t="s">
        <v>1481</v>
      </c>
      <c r="B32" s="1448"/>
      <c r="C32" s="1448"/>
      <c r="D32" s="1448"/>
      <c r="E32" s="1448"/>
      <c r="F32" s="1448"/>
      <c r="G32" s="1448"/>
      <c r="H32" s="1448"/>
      <c r="I32" s="1448"/>
      <c r="J32" s="1448"/>
      <c r="K32" s="1448"/>
      <c r="L32" s="1448"/>
      <c r="M32" s="1439"/>
      <c r="N32" s="1417"/>
      <c r="O32" s="1419"/>
      <c r="P32" s="1419"/>
      <c r="Q32" s="1420" t="s">
        <v>1520</v>
      </c>
      <c r="R32" s="1420" t="s">
        <v>1521</v>
      </c>
      <c r="S32" s="3"/>
      <c r="T32" s="3"/>
    </row>
    <row r="33" spans="1:20" s="48" customFormat="1" ht="21.75" customHeight="1">
      <c r="A33" s="1455" t="s">
        <v>1482</v>
      </c>
      <c r="B33" s="1456"/>
      <c r="C33" s="1457"/>
      <c r="D33" s="1457"/>
      <c r="E33" s="1458"/>
      <c r="F33" s="1433" t="s">
        <v>1514</v>
      </c>
      <c r="G33" s="1459"/>
      <c r="H33" s="1460"/>
      <c r="I33" s="1459"/>
      <c r="J33" s="1459"/>
      <c r="K33" s="1434" t="s">
        <v>1499</v>
      </c>
      <c r="L33" s="1448"/>
      <c r="M33" s="1439"/>
      <c r="N33" s="1417"/>
      <c r="O33" s="1419"/>
      <c r="P33" s="1419"/>
      <c r="Q33" s="1420" t="s">
        <v>1522</v>
      </c>
      <c r="R33" s="1420" t="s">
        <v>1523</v>
      </c>
      <c r="S33" s="3"/>
      <c r="T33" s="3"/>
    </row>
    <row r="34" spans="1:20" s="48" customFormat="1" ht="21.75" customHeight="1">
      <c r="A34" s="1455" t="s">
        <v>1484</v>
      </c>
      <c r="B34" s="1456"/>
      <c r="C34" s="1457"/>
      <c r="D34" s="1457"/>
      <c r="E34" s="1458"/>
      <c r="F34" s="1433" t="s">
        <v>1516</v>
      </c>
      <c r="G34" s="1459"/>
      <c r="H34" s="1460"/>
      <c r="I34" s="1459"/>
      <c r="J34" s="1459"/>
      <c r="K34" s="2248" t="s">
        <v>1501</v>
      </c>
      <c r="L34" s="2249"/>
      <c r="M34" s="1439"/>
      <c r="N34" s="1417"/>
      <c r="O34" s="1419"/>
      <c r="P34" s="1419"/>
      <c r="Q34" s="1420" t="s">
        <v>1524</v>
      </c>
      <c r="R34" s="1420" t="s">
        <v>1525</v>
      </c>
      <c r="S34" s="3"/>
      <c r="T34" s="3"/>
    </row>
    <row r="35" spans="1:20" s="48" customFormat="1" ht="21.75" customHeight="1">
      <c r="A35" s="2250" t="s">
        <v>1486</v>
      </c>
      <c r="B35" s="2251"/>
      <c r="C35" s="2251"/>
      <c r="D35" s="2251"/>
      <c r="E35" s="2251"/>
      <c r="F35" s="1433" t="s">
        <v>1518</v>
      </c>
      <c r="G35" s="1459"/>
      <c r="H35" s="1460"/>
      <c r="I35" s="1459"/>
      <c r="J35" s="1459"/>
      <c r="K35" s="2248" t="s">
        <v>1503</v>
      </c>
      <c r="L35" s="2249"/>
      <c r="M35" s="1439"/>
      <c r="N35" s="1417"/>
      <c r="O35" s="1419"/>
      <c r="P35" s="1419"/>
      <c r="Q35" s="1420" t="s">
        <v>1526</v>
      </c>
      <c r="R35" s="1420" t="s">
        <v>1527</v>
      </c>
    </row>
    <row r="36" spans="1:20" s="48" customFormat="1">
      <c r="A36" s="1455" t="s">
        <v>1488</v>
      </c>
      <c r="B36" s="1456"/>
      <c r="C36" s="1457"/>
      <c r="D36" s="1457"/>
      <c r="E36" s="1458"/>
      <c r="F36" s="1433" t="s">
        <v>1520</v>
      </c>
      <c r="G36" s="1459"/>
      <c r="H36" s="1460"/>
      <c r="I36" s="1459"/>
      <c r="J36" s="1459"/>
      <c r="K36" s="1434" t="s">
        <v>1505</v>
      </c>
      <c r="L36" s="1448"/>
      <c r="M36" s="1439"/>
      <c r="N36" s="1417"/>
      <c r="O36" s="1419"/>
      <c r="P36" s="1419"/>
      <c r="Q36" s="1420" t="s">
        <v>1528</v>
      </c>
      <c r="R36" s="1420" t="s">
        <v>1529</v>
      </c>
    </row>
    <row r="37" spans="1:20" s="48" customFormat="1" ht="21.75" customHeight="1">
      <c r="A37" s="1455" t="s">
        <v>1490</v>
      </c>
      <c r="B37" s="1456"/>
      <c r="C37" s="1457"/>
      <c r="D37" s="1457"/>
      <c r="E37" s="1458"/>
      <c r="F37" s="1433" t="s">
        <v>1522</v>
      </c>
      <c r="G37" s="1459"/>
      <c r="H37" s="1460"/>
      <c r="I37" s="1459"/>
      <c r="J37" s="1459"/>
      <c r="K37" s="1434" t="s">
        <v>1507</v>
      </c>
      <c r="L37" s="1448"/>
      <c r="M37" s="1439"/>
      <c r="N37" s="1417"/>
      <c r="O37" s="1419"/>
      <c r="P37" s="1419"/>
      <c r="Q37" s="1420" t="s">
        <v>1530</v>
      </c>
      <c r="R37" s="1420" t="s">
        <v>1531</v>
      </c>
    </row>
    <row r="38" spans="1:20" s="48" customFormat="1">
      <c r="A38" s="1455" t="s">
        <v>1492</v>
      </c>
      <c r="B38" s="1456"/>
      <c r="C38" s="1457"/>
      <c r="D38" s="1457"/>
      <c r="E38" s="1458"/>
      <c r="F38" s="1433" t="s">
        <v>1524</v>
      </c>
      <c r="G38" s="1459"/>
      <c r="H38" s="1460"/>
      <c r="I38" s="1459"/>
      <c r="J38" s="1459"/>
      <c r="K38" s="1434" t="s">
        <v>1509</v>
      </c>
      <c r="L38" s="1448"/>
      <c r="M38" s="1439"/>
      <c r="N38" s="1417"/>
      <c r="O38" s="1419"/>
      <c r="P38" s="1419"/>
    </row>
    <row r="39" spans="1:20" s="48" customFormat="1">
      <c r="A39" s="1455" t="s">
        <v>1494</v>
      </c>
      <c r="B39" s="1456"/>
      <c r="C39" s="1457"/>
      <c r="D39" s="1457"/>
      <c r="E39" s="1458"/>
      <c r="F39" s="1433" t="s">
        <v>1526</v>
      </c>
      <c r="G39" s="1459"/>
      <c r="H39" s="1460"/>
      <c r="I39" s="1459"/>
      <c r="J39" s="1459"/>
      <c r="K39" s="1434" t="s">
        <v>1511</v>
      </c>
      <c r="L39" s="1448"/>
      <c r="M39" s="1439"/>
      <c r="N39" s="1417"/>
      <c r="O39" s="1419"/>
      <c r="P39" s="1419"/>
      <c r="Q39" s="1420"/>
      <c r="R39" s="1420"/>
    </row>
    <row r="40" spans="1:20" s="48" customFormat="1">
      <c r="A40" s="1455" t="s">
        <v>1496</v>
      </c>
      <c r="B40" s="1456"/>
      <c r="C40" s="1457"/>
      <c r="D40" s="1457"/>
      <c r="E40" s="1458"/>
      <c r="F40" s="1433" t="s">
        <v>1528</v>
      </c>
      <c r="G40" s="1459"/>
      <c r="H40" s="1460"/>
      <c r="I40" s="1459"/>
      <c r="J40" s="1459"/>
      <c r="K40" s="1434" t="s">
        <v>1513</v>
      </c>
      <c r="L40" s="1448"/>
      <c r="M40" s="1439"/>
      <c r="N40" s="1417"/>
      <c r="O40" s="1419"/>
      <c r="P40" s="1419"/>
      <c r="Q40" s="1420"/>
      <c r="R40" s="1420"/>
    </row>
    <row r="41" spans="1:20" s="48" customFormat="1">
      <c r="A41" s="1455" t="s">
        <v>1598</v>
      </c>
      <c r="B41" s="1456"/>
      <c r="C41" s="1457"/>
      <c r="D41" s="1457"/>
      <c r="E41" s="1458"/>
      <c r="F41" s="1433" t="s">
        <v>1530</v>
      </c>
      <c r="G41" s="1459"/>
      <c r="H41" s="1460"/>
      <c r="I41" s="1459"/>
      <c r="J41" s="1459"/>
      <c r="K41" s="1434" t="s">
        <v>1515</v>
      </c>
      <c r="L41" s="1448"/>
      <c r="M41" s="1439"/>
      <c r="N41" s="1417"/>
      <c r="O41" s="1419"/>
      <c r="P41" s="1419"/>
      <c r="Q41" s="1420"/>
      <c r="R41" s="1420"/>
    </row>
    <row r="42" spans="1:20" s="48" customFormat="1">
      <c r="A42" s="1460" t="s">
        <v>1599</v>
      </c>
      <c r="B42" s="1456"/>
      <c r="C42" s="1448"/>
      <c r="D42" s="1448"/>
      <c r="E42" s="1459"/>
      <c r="F42" s="1433" t="s">
        <v>1483</v>
      </c>
      <c r="G42" s="1459"/>
      <c r="H42" s="1460"/>
      <c r="I42" s="1459"/>
      <c r="J42" s="1459"/>
      <c r="K42" s="2248" t="s">
        <v>1517</v>
      </c>
      <c r="L42" s="2249"/>
      <c r="M42" s="1439"/>
      <c r="N42" s="1417"/>
      <c r="O42" s="1419"/>
      <c r="P42" s="1419"/>
      <c r="Q42" s="1420"/>
      <c r="R42" s="1420"/>
    </row>
    <row r="43" spans="1:20" s="48" customFormat="1">
      <c r="A43" s="1433" t="s">
        <v>1500</v>
      </c>
      <c r="B43" s="1456"/>
      <c r="C43" s="1448"/>
      <c r="D43" s="1448"/>
      <c r="E43" s="1459"/>
      <c r="F43" s="1433" t="s">
        <v>1485</v>
      </c>
      <c r="G43" s="1459"/>
      <c r="H43" s="1460"/>
      <c r="I43" s="1459"/>
      <c r="J43" s="1459"/>
      <c r="K43" s="1434" t="s">
        <v>1519</v>
      </c>
      <c r="L43" s="1448"/>
      <c r="M43" s="1439"/>
      <c r="N43" s="1417"/>
      <c r="O43" s="1419"/>
      <c r="P43" s="1419"/>
      <c r="Q43" s="1420"/>
      <c r="R43" s="1420"/>
    </row>
    <row r="44" spans="1:20" s="48" customFormat="1">
      <c r="A44" s="1433" t="s">
        <v>1502</v>
      </c>
      <c r="B44" s="1456"/>
      <c r="C44" s="1448"/>
      <c r="D44" s="1448"/>
      <c r="E44" s="1459"/>
      <c r="F44" s="1433" t="s">
        <v>1487</v>
      </c>
      <c r="G44" s="1459"/>
      <c r="H44" s="1460"/>
      <c r="I44" s="1459"/>
      <c r="J44" s="1459"/>
      <c r="K44" s="1434" t="s">
        <v>1521</v>
      </c>
      <c r="L44" s="1448"/>
      <c r="M44" s="1439"/>
      <c r="N44" s="1417"/>
      <c r="O44" s="1419"/>
      <c r="P44" s="1419"/>
      <c r="Q44" s="1420"/>
      <c r="R44" s="1420"/>
    </row>
    <row r="45" spans="1:20" s="48" customFormat="1">
      <c r="A45" s="1433" t="s">
        <v>1504</v>
      </c>
      <c r="B45" s="1456"/>
      <c r="C45" s="1448"/>
      <c r="D45" s="1448"/>
      <c r="E45" s="1459"/>
      <c r="F45" s="1433" t="s">
        <v>1489</v>
      </c>
      <c r="G45" s="1459"/>
      <c r="H45" s="1460"/>
      <c r="I45" s="1459"/>
      <c r="J45" s="1459"/>
      <c r="K45" s="1434" t="s">
        <v>1523</v>
      </c>
      <c r="L45" s="1448"/>
      <c r="M45" s="1439"/>
      <c r="N45" s="1417"/>
      <c r="O45" s="1419"/>
      <c r="P45" s="1419"/>
      <c r="Q45" s="1420"/>
      <c r="R45" s="1420"/>
    </row>
    <row r="46" spans="1:20" s="48" customFormat="1">
      <c r="A46" s="1433" t="s">
        <v>1506</v>
      </c>
      <c r="B46" s="1456"/>
      <c r="C46" s="1448"/>
      <c r="D46" s="1448"/>
      <c r="E46" s="1459"/>
      <c r="F46" s="1433" t="s">
        <v>1491</v>
      </c>
      <c r="G46" s="1459"/>
      <c r="H46" s="1460"/>
      <c r="I46" s="1459"/>
      <c r="J46" s="1459"/>
      <c r="K46" s="1434" t="s">
        <v>1525</v>
      </c>
      <c r="L46" s="1448"/>
      <c r="M46" s="1439"/>
      <c r="N46" s="1417"/>
      <c r="O46" s="1419"/>
      <c r="P46" s="1419"/>
      <c r="Q46" s="1420"/>
      <c r="R46" s="1420"/>
    </row>
    <row r="47" spans="1:20" s="48" customFormat="1">
      <c r="A47" s="1433" t="s">
        <v>1508</v>
      </c>
      <c r="B47" s="1456"/>
      <c r="C47" s="1448"/>
      <c r="D47" s="1448"/>
      <c r="E47" s="1459"/>
      <c r="F47" s="1433" t="s">
        <v>1493</v>
      </c>
      <c r="G47" s="1459"/>
      <c r="H47" s="1460"/>
      <c r="I47" s="1459"/>
      <c r="J47" s="1459"/>
      <c r="K47" s="1434" t="s">
        <v>1600</v>
      </c>
      <c r="L47" s="1448"/>
      <c r="M47" s="1439"/>
      <c r="N47" s="1417"/>
      <c r="O47" s="1419"/>
      <c r="P47" s="1419"/>
      <c r="Q47" s="1420"/>
      <c r="R47" s="1420"/>
    </row>
    <row r="48" spans="1:20" s="48" customFormat="1">
      <c r="A48" s="1433" t="s">
        <v>1510</v>
      </c>
      <c r="B48" s="1456"/>
      <c r="C48" s="1448"/>
      <c r="D48" s="1448"/>
      <c r="E48" s="1459"/>
      <c r="F48" s="1433" t="s">
        <v>1495</v>
      </c>
      <c r="G48" s="1459"/>
      <c r="H48" s="1460"/>
      <c r="I48" s="1459"/>
      <c r="J48" s="1459"/>
      <c r="K48" s="1460" t="s">
        <v>1601</v>
      </c>
      <c r="L48" s="1448"/>
      <c r="M48" s="1439"/>
      <c r="N48" s="1417"/>
      <c r="O48" s="1418"/>
      <c r="P48" s="1418"/>
      <c r="Q48" s="1420"/>
      <c r="R48" s="1420"/>
    </row>
    <row r="49" spans="1:18" s="48" customFormat="1">
      <c r="A49" s="1433" t="s">
        <v>1512</v>
      </c>
      <c r="B49" s="1456"/>
      <c r="C49" s="1448"/>
      <c r="D49" s="1448"/>
      <c r="E49" s="1459"/>
      <c r="F49" s="1433" t="s">
        <v>1602</v>
      </c>
      <c r="G49" s="1459"/>
      <c r="H49" s="1460"/>
      <c r="I49" s="1459"/>
      <c r="J49" s="1459"/>
      <c r="K49" s="1434" t="s">
        <v>1529</v>
      </c>
      <c r="L49" s="1448"/>
      <c r="M49" s="1439"/>
      <c r="N49" s="1417"/>
      <c r="O49" s="1418"/>
      <c r="P49" s="1418"/>
      <c r="Q49" s="1420"/>
      <c r="R49" s="1420"/>
    </row>
    <row r="50" spans="1:18" ht="21" customHeight="1">
      <c r="A50" s="48"/>
      <c r="B50" s="48"/>
      <c r="C50" s="1448"/>
      <c r="D50" s="1448"/>
      <c r="E50" s="1448"/>
      <c r="F50" s="1433" t="s">
        <v>1603</v>
      </c>
      <c r="G50" s="1448"/>
      <c r="H50" s="48"/>
      <c r="I50" s="1448"/>
      <c r="J50" s="1448"/>
      <c r="K50" s="1434" t="s">
        <v>1531</v>
      </c>
      <c r="L50" s="1448"/>
      <c r="M50" s="1442"/>
      <c r="N50" s="409"/>
      <c r="O50" s="1418"/>
      <c r="P50" s="1418"/>
      <c r="Q50" s="1420"/>
      <c r="R50" s="1420"/>
    </row>
    <row r="51" spans="1:18" ht="9" customHeight="1" thickBot="1">
      <c r="A51" s="48"/>
      <c r="B51" s="48"/>
      <c r="C51" s="1416"/>
      <c r="D51" s="1416"/>
      <c r="E51" s="1416"/>
      <c r="F51" s="1433"/>
      <c r="G51" s="1416"/>
      <c r="H51" s="48"/>
      <c r="I51" s="1416"/>
      <c r="J51" s="1416"/>
      <c r="K51" s="1434"/>
      <c r="L51" s="1416"/>
      <c r="M51" s="1442"/>
      <c r="N51" s="409"/>
      <c r="O51" s="1418"/>
      <c r="P51" s="1418"/>
      <c r="Q51" s="1420"/>
      <c r="R51" s="1420"/>
    </row>
    <row r="52" spans="1:18" ht="54" customHeight="1" thickBot="1">
      <c r="A52" s="2257" t="s">
        <v>861</v>
      </c>
      <c r="B52" s="2258"/>
      <c r="C52" s="2258"/>
      <c r="D52" s="2258"/>
      <c r="E52" s="2258"/>
      <c r="F52" s="2258"/>
      <c r="G52" s="2258"/>
      <c r="H52" s="2258"/>
      <c r="I52" s="2258"/>
      <c r="J52" s="2258"/>
      <c r="K52" s="2258"/>
      <c r="L52" s="2259"/>
      <c r="M52" s="1236"/>
      <c r="N52" s="9"/>
      <c r="O52" s="1418"/>
      <c r="P52" s="1418"/>
      <c r="Q52" s="1420"/>
      <c r="R52" s="1420"/>
    </row>
    <row r="53" spans="1:18">
      <c r="A53" s="2260" t="s">
        <v>2428</v>
      </c>
      <c r="B53" s="2260"/>
      <c r="C53" s="2260"/>
      <c r="D53" s="2260"/>
      <c r="E53" s="2260"/>
      <c r="F53" s="2260"/>
      <c r="G53" s="2260"/>
      <c r="H53" s="2260"/>
      <c r="I53" s="2260"/>
      <c r="J53" s="2260"/>
      <c r="K53" s="2260"/>
      <c r="L53" s="2260"/>
      <c r="M53" s="1236"/>
      <c r="N53" s="9"/>
      <c r="O53" s="1418"/>
      <c r="P53" s="1418"/>
      <c r="Q53" s="1420"/>
      <c r="R53" s="1420"/>
    </row>
    <row r="54" spans="1:18">
      <c r="A54" s="2255" t="str">
        <f>ตารางแสดงผลประโยชน์!B76</f>
        <v>โปรแกรมใบข้อเสนอนี้ใช้สำหรับแบบประกัน ไอสมาร์ท 80/6 (ไม่มีเงินปันผล) ที่เสนอขายตั้งแต่ 1 มกราคม 2569 ถึง 31 มีนาคม 2570 หรือตามประกาศยกเลิกการใช้จากบริษัทฯ (แล้วแต่ระยะเวลาใดจะเกิดขึ้นก่อน)</v>
      </c>
      <c r="B54" s="2251"/>
      <c r="C54" s="2251"/>
      <c r="D54" s="2251"/>
      <c r="E54" s="2251"/>
      <c r="F54" s="2251"/>
      <c r="G54" s="2251"/>
      <c r="H54" s="2251"/>
      <c r="I54" s="2251"/>
      <c r="J54" s="2251"/>
      <c r="K54" s="2251"/>
      <c r="L54" s="2251"/>
      <c r="M54" s="1236"/>
      <c r="O54" s="1418"/>
      <c r="P54" s="1418"/>
      <c r="Q54" s="1420"/>
      <c r="R54" s="1420"/>
    </row>
    <row r="55" spans="1:18">
      <c r="A55" s="174"/>
      <c r="B55" s="47"/>
      <c r="C55" s="47"/>
      <c r="D55" s="47"/>
      <c r="E55" s="47"/>
      <c r="F55" s="47"/>
      <c r="G55" s="47"/>
      <c r="H55" s="47"/>
      <c r="I55" s="47"/>
      <c r="J55" s="175"/>
      <c r="K55" s="48"/>
      <c r="L55" s="602" t="str">
        <f>ตารางแสดงผลประโยชน์!I77</f>
        <v>ไอสมาร์ท 80/6 (ไม่มีเงินปันผล) เวอร์ชั่น A2026-1</v>
      </c>
      <c r="M55" s="1236"/>
      <c r="N55" s="9"/>
      <c r="O55" s="1418"/>
      <c r="P55" s="1418"/>
      <c r="Q55" s="1420"/>
      <c r="R55" s="1420"/>
    </row>
    <row r="56" spans="1:18">
      <c r="A56" s="9"/>
      <c r="B56" s="9"/>
      <c r="D56" s="9"/>
      <c r="E56" s="9"/>
      <c r="F56" s="9"/>
      <c r="G56" s="9"/>
      <c r="H56" s="9"/>
      <c r="I56" s="9"/>
      <c r="J56" s="9"/>
      <c r="O56" s="1418"/>
      <c r="P56" s="1418"/>
      <c r="Q56" s="1420"/>
      <c r="R56" s="1420"/>
    </row>
    <row r="57" spans="1:18">
      <c r="A57" s="9"/>
      <c r="B57" s="9"/>
      <c r="C57" s="9"/>
      <c r="D57" s="9"/>
      <c r="E57" s="9"/>
      <c r="F57" s="9"/>
      <c r="G57" s="9"/>
      <c r="H57" s="9"/>
      <c r="I57" s="9"/>
      <c r="J57" s="9"/>
      <c r="K57" s="9"/>
      <c r="L57" s="9"/>
      <c r="O57" s="1418"/>
      <c r="P57" s="1418"/>
      <c r="Q57" s="1420"/>
      <c r="R57" s="1420"/>
    </row>
    <row r="58" spans="1:18">
      <c r="O58" s="1418"/>
      <c r="P58" s="1418"/>
      <c r="Q58" s="1420"/>
      <c r="R58" s="1420"/>
    </row>
    <row r="59" spans="1:18">
      <c r="A59" s="76"/>
      <c r="O59" s="1418"/>
      <c r="P59" s="1418"/>
      <c r="Q59" s="1420"/>
      <c r="R59" s="1420"/>
    </row>
    <row r="60" spans="1:18">
      <c r="O60" s="1418"/>
      <c r="P60" s="1418"/>
      <c r="Q60" s="1420"/>
      <c r="R60" s="1420"/>
    </row>
    <row r="61" spans="1:18">
      <c r="O61" s="1418"/>
      <c r="P61" s="1418"/>
      <c r="Q61" s="1420"/>
      <c r="R61" s="1420"/>
    </row>
    <row r="62" spans="1:18">
      <c r="O62" s="1418"/>
      <c r="P62" s="1418"/>
      <c r="Q62" s="1420"/>
      <c r="R62" s="1420"/>
    </row>
    <row r="63" spans="1:18">
      <c r="O63" s="1418"/>
      <c r="P63" s="1418"/>
      <c r="Q63" s="1420"/>
      <c r="R63" s="1420"/>
    </row>
    <row r="64" spans="1:18">
      <c r="O64" s="1418"/>
      <c r="P64" s="1418"/>
      <c r="Q64" s="1420"/>
      <c r="R64" s="1420"/>
    </row>
    <row r="65" spans="15:18">
      <c r="O65" s="1418"/>
      <c r="P65" s="1418"/>
      <c r="Q65" s="1420"/>
      <c r="R65" s="1420"/>
    </row>
    <row r="66" spans="15:18">
      <c r="O66" s="1418"/>
      <c r="P66" s="1418"/>
      <c r="Q66" s="1420"/>
      <c r="R66" s="1420"/>
    </row>
    <row r="67" spans="15:18">
      <c r="O67" s="1418"/>
      <c r="P67" s="1418"/>
      <c r="Q67" s="1420"/>
      <c r="R67" s="1420"/>
    </row>
    <row r="68" spans="15:18">
      <c r="O68" s="1418"/>
      <c r="P68" s="1418"/>
      <c r="Q68" s="1420"/>
      <c r="R68" s="1420"/>
    </row>
    <row r="69" spans="15:18">
      <c r="O69" s="1418"/>
      <c r="P69" s="1418"/>
      <c r="Q69" s="1420"/>
      <c r="R69" s="1420"/>
    </row>
    <row r="70" spans="15:18">
      <c r="O70" s="1418"/>
      <c r="P70" s="1418"/>
      <c r="Q70" s="1420"/>
      <c r="R70" s="1420"/>
    </row>
    <row r="71" spans="15:18">
      <c r="O71" s="1418"/>
      <c r="P71" s="1418"/>
      <c r="Q71" s="1420"/>
      <c r="R71" s="1420"/>
    </row>
    <row r="72" spans="15:18">
      <c r="O72" s="1418"/>
      <c r="P72" s="1418"/>
      <c r="Q72" s="1421"/>
      <c r="R72" s="1421"/>
    </row>
    <row r="73" spans="15:18">
      <c r="O73" s="1418"/>
      <c r="P73" s="1418"/>
      <c r="Q73" s="1421"/>
      <c r="R73" s="1421"/>
    </row>
    <row r="74" spans="15:18">
      <c r="O74" s="1418"/>
      <c r="P74" s="1418"/>
      <c r="Q74" s="1421"/>
      <c r="R74" s="1421"/>
    </row>
    <row r="75" spans="15:18">
      <c r="O75" s="1423"/>
      <c r="P75" s="1423"/>
      <c r="Q75" s="1420"/>
      <c r="R75" s="1420"/>
    </row>
    <row r="76" spans="15:18">
      <c r="O76" s="1422"/>
      <c r="P76" s="1422"/>
      <c r="Q76" s="1420"/>
      <c r="R76" s="1420"/>
    </row>
    <row r="77" spans="15:18">
      <c r="O77" s="1422"/>
      <c r="P77" s="1422"/>
      <c r="Q77" s="1420"/>
      <c r="R77" s="1420"/>
    </row>
    <row r="78" spans="15:18">
      <c r="O78" s="1422"/>
      <c r="P78" s="1422"/>
      <c r="Q78" s="1420"/>
      <c r="R78" s="1420"/>
    </row>
    <row r="79" spans="15:18">
      <c r="O79" s="1422"/>
      <c r="P79" s="1422"/>
      <c r="Q79" s="1420"/>
      <c r="R79" s="1420"/>
    </row>
    <row r="80" spans="15:18">
      <c r="O80" s="1422"/>
      <c r="P80" s="1422"/>
      <c r="Q80" s="1420"/>
      <c r="R80" s="1420"/>
    </row>
    <row r="81" spans="15:18">
      <c r="O81" s="1422"/>
      <c r="P81" s="1422"/>
      <c r="Q81" s="1420"/>
      <c r="R81" s="1420"/>
    </row>
    <row r="82" spans="15:18">
      <c r="O82" s="1422"/>
      <c r="P82" s="1422"/>
      <c r="Q82" s="1420"/>
      <c r="R82" s="1420"/>
    </row>
    <row r="83" spans="15:18">
      <c r="O83" s="1422"/>
      <c r="P83" s="1422"/>
      <c r="Q83" s="1420"/>
      <c r="R83" s="1420"/>
    </row>
    <row r="84" spans="15:18">
      <c r="O84" s="1422"/>
      <c r="P84" s="1422"/>
      <c r="Q84" s="1420"/>
      <c r="R84" s="1420"/>
    </row>
    <row r="85" spans="15:18">
      <c r="O85" s="1422"/>
      <c r="P85" s="1422"/>
      <c r="Q85" s="1420"/>
      <c r="R85" s="1420"/>
    </row>
    <row r="86" spans="15:18">
      <c r="O86" s="1422"/>
      <c r="P86" s="1422"/>
      <c r="Q86" s="1420"/>
      <c r="R86" s="1420"/>
    </row>
    <row r="87" spans="15:18">
      <c r="O87" s="1422"/>
      <c r="P87" s="1422"/>
      <c r="Q87" s="1420"/>
      <c r="R87" s="1420"/>
    </row>
    <row r="88" spans="15:18">
      <c r="O88" s="1422"/>
      <c r="P88" s="1422"/>
      <c r="Q88" s="1420"/>
      <c r="R88" s="1420"/>
    </row>
    <row r="89" spans="15:18">
      <c r="O89" s="1422"/>
      <c r="P89" s="1422"/>
      <c r="Q89" s="1420"/>
      <c r="R89" s="1420"/>
    </row>
    <row r="90" spans="15:18">
      <c r="O90" s="1422"/>
      <c r="P90" s="1422"/>
      <c r="Q90" s="1420"/>
      <c r="R90" s="1420"/>
    </row>
    <row r="91" spans="15:18">
      <c r="O91" s="1422"/>
      <c r="P91" s="1422"/>
      <c r="Q91" s="1420"/>
      <c r="R91" s="1420"/>
    </row>
    <row r="92" spans="15:18">
      <c r="O92" s="1422"/>
      <c r="P92" s="1422"/>
      <c r="Q92" s="1420"/>
      <c r="R92" s="1420"/>
    </row>
    <row r="93" spans="15:18">
      <c r="O93" s="1422"/>
      <c r="P93" s="1422"/>
      <c r="Q93" s="1420"/>
      <c r="R93" s="1420"/>
    </row>
    <row r="94" spans="15:18">
      <c r="O94" s="1422"/>
      <c r="P94" s="1422"/>
      <c r="Q94" s="1420"/>
      <c r="R94" s="1420"/>
    </row>
    <row r="95" spans="15:18">
      <c r="O95" s="1422"/>
      <c r="P95" s="1422"/>
      <c r="Q95" s="1420"/>
      <c r="R95" s="1420"/>
    </row>
    <row r="96" spans="15:18">
      <c r="O96" s="1422"/>
      <c r="P96" s="1422"/>
      <c r="Q96" s="1420"/>
      <c r="R96" s="1420"/>
    </row>
    <row r="97" spans="15:18">
      <c r="O97" s="1422"/>
      <c r="P97" s="1422"/>
      <c r="Q97" s="1420"/>
      <c r="R97" s="1420"/>
    </row>
    <row r="98" spans="15:18">
      <c r="O98" s="1422"/>
      <c r="P98" s="1422"/>
      <c r="Q98" s="1420"/>
      <c r="R98" s="1420"/>
    </row>
    <row r="99" spans="15:18">
      <c r="O99" s="1422"/>
      <c r="P99" s="1422"/>
      <c r="Q99" s="1420"/>
      <c r="R99" s="1420"/>
    </row>
  </sheetData>
  <sheetProtection algorithmName="SHA-512" hashValue="i2G9RRq97Gde9HluyBLlrpz5MUho4yLwFrPCy7FVT2xIWC6ZBpsM4XzDkZq0xg51VYAwvXWIkCXTKUp/bkUUTA==" saltValue="L6UimD8P6ar6o5eDaBlNvg==" spinCount="100000" sheet="1" objects="1" scenarios="1"/>
  <mergeCells count="18">
    <mergeCell ref="A54:L54"/>
    <mergeCell ref="A30:L30"/>
    <mergeCell ref="A52:L52"/>
    <mergeCell ref="A53:L53"/>
    <mergeCell ref="Q6:R6"/>
    <mergeCell ref="Q7:R7"/>
    <mergeCell ref="Q8:R8"/>
    <mergeCell ref="Q9:R9"/>
    <mergeCell ref="Q10:R10"/>
    <mergeCell ref="Q11:R11"/>
    <mergeCell ref="Q12:R12"/>
    <mergeCell ref="A2:L2"/>
    <mergeCell ref="K42:L42"/>
    <mergeCell ref="A35:E35"/>
    <mergeCell ref="K34:L34"/>
    <mergeCell ref="K35:L35"/>
    <mergeCell ref="A27:L27"/>
    <mergeCell ref="A31:L31"/>
  </mergeCells>
  <phoneticPr fontId="28" type="noConversion"/>
  <conditionalFormatting sqref="A32:L50">
    <cfRule type="expression" dxfId="21" priority="1">
      <formula>$Q$4&lt;&gt;"DCI"</formula>
    </cfRule>
  </conditionalFormatting>
  <conditionalFormatting sqref="A32:L57 A3:L30 A31">
    <cfRule type="expression" dxfId="20" priority="12" stopIfTrue="1">
      <formula>$A$1="Expire"</formula>
    </cfRule>
  </conditionalFormatting>
  <printOptions horizontalCentered="1"/>
  <pageMargins left="0.19" right="0.11811023622047245" top="0.19685039370078741" bottom="0.23622047244094491" header="0.15748031496062992" footer="0.19685039370078741"/>
  <pageSetup paperSize="9" scale="63" orientation="portrait" r:id="rId1"/>
  <headerFooter alignWithMargins="0">
    <oddFooter>&amp;C&amp;"Calibri"&amp;11&amp;K000000&amp;"Calibri,Regular"&amp;11 5/14_x000D_&amp;1#&amp;"Calibri"&amp;10&amp;K000000Internal</oddFooter>
  </headerFooter>
  <ignoredErrors>
    <ignoredError sqref="L19" formula="1"/>
  </ignoredError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
    <pageSetUpPr fitToPage="1"/>
  </sheetPr>
  <dimension ref="A1:S42"/>
  <sheetViews>
    <sheetView showGridLines="0" zoomScale="70" zoomScaleNormal="70" workbookViewId="0">
      <selection activeCell="M43" sqref="M43"/>
    </sheetView>
  </sheetViews>
  <sheetFormatPr defaultColWidth="9.09765625" defaultRowHeight="24.5"/>
  <cols>
    <col min="1" max="1" width="2.69921875" style="204" customWidth="1"/>
    <col min="2" max="2" width="10.296875" style="204" customWidth="1"/>
    <col min="3" max="5" width="9.09765625" style="204"/>
    <col min="6" max="6" width="12" style="204" customWidth="1"/>
    <col min="7" max="8" width="9.09765625" style="204"/>
    <col min="9" max="9" width="10.3984375" style="204" customWidth="1"/>
    <col min="10" max="10" width="10.8984375" style="204" customWidth="1"/>
    <col min="11" max="11" width="22.59765625" style="204" customWidth="1"/>
    <col min="12" max="12" width="14.09765625" style="204" customWidth="1"/>
    <col min="13" max="13" width="20.59765625" style="204" customWidth="1"/>
    <col min="14" max="14" width="3.09765625" style="204" customWidth="1"/>
    <col min="15" max="15" width="9.296875" style="203" hidden="1" customWidth="1"/>
    <col min="16" max="16" width="9.09765625" style="204" hidden="1" customWidth="1"/>
    <col min="17" max="17" width="19.8984375" style="205" hidden="1" customWidth="1"/>
    <col min="18" max="20" width="9.09765625" style="204" customWidth="1"/>
    <col min="21" max="16384" width="9.09765625" style="204"/>
  </cols>
  <sheetData>
    <row r="1" spans="1:19" ht="6.75" customHeight="1">
      <c r="A1" s="128" t="str">
        <f ca="1">กรอกข้อมูล!G64</f>
        <v/>
      </c>
      <c r="B1" s="217"/>
      <c r="C1" s="217"/>
      <c r="D1" s="217"/>
      <c r="E1" s="217"/>
      <c r="F1" s="217"/>
      <c r="G1" s="217"/>
      <c r="H1" s="217"/>
      <c r="I1" s="217"/>
      <c r="J1" s="217"/>
      <c r="K1" s="217"/>
      <c r="L1" s="217"/>
      <c r="M1" s="217"/>
      <c r="N1" s="217"/>
    </row>
    <row r="2" spans="1:19" s="667" customFormat="1" ht="35.15" customHeight="1">
      <c r="A2" s="690"/>
      <c r="B2" s="663"/>
      <c r="C2" s="663"/>
      <c r="D2" s="2269" t="str">
        <f ca="1">IF(A1="Expire",กรอกข้อมูล!$A$1,"สรุปผลประโยชน์ของสัญญาเพิ่มเติม แคนเซอร์ โซลูชั่น")</f>
        <v>สรุปผลประโยชน์ของสัญญาเพิ่มเติม แคนเซอร์ โซลูชั่น</v>
      </c>
      <c r="E2" s="2269"/>
      <c r="F2" s="2269"/>
      <c r="G2" s="2269"/>
      <c r="H2" s="2269"/>
      <c r="I2" s="2269"/>
      <c r="J2" s="2269"/>
      <c r="K2" s="2269"/>
      <c r="L2" s="2269"/>
      <c r="M2" s="2269"/>
      <c r="N2" s="668"/>
      <c r="O2" s="664"/>
      <c r="P2" s="665"/>
      <c r="Q2" s="666"/>
    </row>
    <row r="3" spans="1:19" s="215" customFormat="1" ht="12" customHeight="1">
      <c r="A3" s="240"/>
      <c r="B3" s="210"/>
      <c r="C3" s="210"/>
      <c r="D3" s="210"/>
      <c r="E3" s="210"/>
      <c r="F3" s="210"/>
      <c r="G3" s="210"/>
      <c r="H3" s="210"/>
      <c r="I3" s="210"/>
      <c r="J3" s="210"/>
      <c r="K3" s="210"/>
      <c r="L3" s="210"/>
      <c r="M3" s="211"/>
      <c r="N3" s="691"/>
      <c r="O3" s="212"/>
      <c r="P3" s="213"/>
      <c r="Q3" s="214"/>
    </row>
    <row r="4" spans="1:19" s="209" customFormat="1" ht="30" customHeight="1">
      <c r="A4" s="229"/>
      <c r="B4" s="710" t="s">
        <v>530</v>
      </c>
      <c r="C4" s="711"/>
      <c r="D4" s="712" t="str">
        <f>กรอกข้อมูล!$C$4</f>
        <v>คุณคนพิเศษ</v>
      </c>
      <c r="E4" s="712"/>
      <c r="F4" s="713"/>
      <c r="G4" s="2270" t="str">
        <f>"เพศ : "&amp;กรอกข้อมูล!C6</f>
        <v>เพศ : หญิง</v>
      </c>
      <c r="H4" s="2270"/>
      <c r="I4" s="713"/>
      <c r="J4" s="713"/>
      <c r="K4" s="2270" t="str">
        <f>"อายุ  "&amp;กรอกข้อมูล!C5&amp;" ปี"</f>
        <v>อายุ  44 ปี</v>
      </c>
      <c r="L4" s="2270"/>
      <c r="M4" s="714"/>
      <c r="N4" s="692"/>
      <c r="O4" s="206"/>
      <c r="P4" s="207"/>
      <c r="Q4" s="208"/>
    </row>
    <row r="5" spans="1:19" ht="12.75" customHeight="1">
      <c r="A5" s="217"/>
      <c r="B5" s="216"/>
      <c r="C5" s="217"/>
      <c r="D5" s="217"/>
      <c r="E5" s="218"/>
      <c r="F5" s="218"/>
      <c r="G5" s="219"/>
      <c r="H5" s="217"/>
      <c r="I5" s="220"/>
      <c r="J5" s="217"/>
      <c r="K5" s="220"/>
      <c r="L5" s="217"/>
      <c r="M5" s="217"/>
      <c r="N5" s="693"/>
      <c r="O5" s="221"/>
      <c r="P5" s="222"/>
      <c r="R5" s="222"/>
      <c r="S5" s="222"/>
    </row>
    <row r="6" spans="1:19">
      <c r="A6" s="217"/>
      <c r="B6" s="223" t="s">
        <v>554</v>
      </c>
      <c r="C6" s="224"/>
      <c r="D6" s="225"/>
      <c r="E6" s="225"/>
      <c r="F6" s="225"/>
      <c r="G6" s="225"/>
      <c r="H6" s="225"/>
      <c r="I6" s="225"/>
      <c r="J6" s="225"/>
      <c r="K6" s="225"/>
      <c r="L6" s="410" t="str">
        <f>IF(กรอกข้อมูล!F28&gt;0,กรอกข้อมูล!D28,"ไม่คุ้มครอง")</f>
        <v>ไม่คุ้มครอง</v>
      </c>
      <c r="M6" s="217"/>
      <c r="N6" s="694"/>
      <c r="O6" s="206"/>
      <c r="P6" s="226"/>
      <c r="R6" s="222"/>
      <c r="S6" s="222"/>
    </row>
    <row r="7" spans="1:19" ht="15" customHeight="1">
      <c r="A7" s="217"/>
      <c r="B7" s="227"/>
      <c r="C7" s="228"/>
      <c r="D7" s="229"/>
      <c r="E7" s="229"/>
      <c r="F7" s="229"/>
      <c r="G7" s="229"/>
      <c r="H7" s="217"/>
      <c r="I7" s="229"/>
      <c r="J7" s="217"/>
      <c r="K7" s="217"/>
      <c r="L7" s="230"/>
      <c r="M7" s="217"/>
      <c r="N7" s="217"/>
      <c r="O7" s="688">
        <v>1</v>
      </c>
      <c r="P7" s="226"/>
      <c r="R7" s="222"/>
      <c r="S7" s="222"/>
    </row>
    <row r="8" spans="1:19" ht="21.75" customHeight="1">
      <c r="A8" s="217"/>
      <c r="B8" s="231" t="s">
        <v>855</v>
      </c>
      <c r="C8" s="228"/>
      <c r="D8" s="229"/>
      <c r="E8" s="229"/>
      <c r="F8" s="229"/>
      <c r="G8" s="229"/>
      <c r="H8" s="217"/>
      <c r="I8" s="229"/>
      <c r="J8" s="217"/>
      <c r="K8" s="217"/>
      <c r="L8" s="230" t="str">
        <f>IF(L6="ไม่คุ้มครอง","ไม่คุ้มครอง",MIN(กรอกข้อมูล!D28*10/100,"50,000"))</f>
        <v>ไม่คุ้มครอง</v>
      </c>
      <c r="M8" s="217" t="str">
        <f>IF(L8="ไม่คุ้มครอง","","บาท")</f>
        <v/>
      </c>
      <c r="N8" s="217"/>
      <c r="O8" s="688">
        <v>1</v>
      </c>
      <c r="P8" s="226"/>
      <c r="R8" s="222"/>
      <c r="S8" s="222"/>
    </row>
    <row r="9" spans="1:19" ht="21.75" customHeight="1">
      <c r="A9" s="217"/>
      <c r="B9" s="232" t="s">
        <v>867</v>
      </c>
      <c r="C9" s="228"/>
      <c r="D9" s="229"/>
      <c r="E9" s="229"/>
      <c r="F9" s="229"/>
      <c r="G9" s="229"/>
      <c r="H9" s="217"/>
      <c r="I9" s="229"/>
      <c r="J9" s="217"/>
      <c r="K9" s="217"/>
      <c r="L9" s="233"/>
      <c r="M9" s="217"/>
      <c r="N9" s="217"/>
      <c r="O9" s="688">
        <v>0.15</v>
      </c>
      <c r="P9" s="234">
        <v>0.75</v>
      </c>
      <c r="R9" s="222"/>
      <c r="S9" s="222"/>
    </row>
    <row r="10" spans="1:19" ht="13.5" customHeight="1">
      <c r="A10" s="217"/>
      <c r="B10" s="235"/>
      <c r="C10" s="228"/>
      <c r="D10" s="229"/>
      <c r="E10" s="229"/>
      <c r="F10" s="229"/>
      <c r="G10" s="229"/>
      <c r="H10" s="217"/>
      <c r="I10" s="229"/>
      <c r="J10" s="217"/>
      <c r="K10" s="217"/>
      <c r="L10" s="230"/>
      <c r="M10" s="217"/>
      <c r="N10" s="217"/>
      <c r="O10" s="688"/>
      <c r="P10" s="234"/>
      <c r="R10" s="222"/>
      <c r="S10" s="222"/>
    </row>
    <row r="11" spans="1:19">
      <c r="A11" s="217"/>
      <c r="B11" s="231" t="s">
        <v>531</v>
      </c>
      <c r="C11" s="228"/>
      <c r="D11" s="229"/>
      <c r="E11" s="229"/>
      <c r="F11" s="229"/>
      <c r="G11" s="229"/>
      <c r="H11" s="217"/>
      <c r="I11" s="229"/>
      <c r="J11" s="217"/>
      <c r="K11" s="217"/>
      <c r="L11" s="217"/>
      <c r="M11" s="217"/>
      <c r="N11" s="217"/>
      <c r="O11" s="688">
        <v>0.5</v>
      </c>
      <c r="P11" s="234"/>
      <c r="R11" s="222"/>
      <c r="S11" s="222"/>
    </row>
    <row r="12" spans="1:19" ht="24" customHeight="1">
      <c r="A12" s="217"/>
      <c r="B12" s="695" t="s">
        <v>532</v>
      </c>
      <c r="C12" s="217"/>
      <c r="D12" s="229"/>
      <c r="E12" s="229"/>
      <c r="F12" s="229"/>
      <c r="G12" s="229"/>
      <c r="H12" s="217"/>
      <c r="I12" s="229"/>
      <c r="J12" s="217"/>
      <c r="K12" s="217"/>
      <c r="L12" s="233"/>
      <c r="M12" s="217"/>
      <c r="N12" s="217"/>
      <c r="O12" s="688">
        <v>0.02</v>
      </c>
      <c r="P12" s="234">
        <v>0.7</v>
      </c>
      <c r="R12" s="222"/>
      <c r="S12" s="222"/>
    </row>
    <row r="13" spans="1:19" ht="24" customHeight="1">
      <c r="A13" s="217"/>
      <c r="B13" s="236" t="s">
        <v>533</v>
      </c>
      <c r="C13" s="228"/>
      <c r="D13" s="229"/>
      <c r="E13" s="229"/>
      <c r="F13" s="229"/>
      <c r="G13" s="229"/>
      <c r="H13" s="217"/>
      <c r="I13" s="229"/>
      <c r="J13" s="217"/>
      <c r="K13" s="217"/>
      <c r="L13" s="230" t="str">
        <f>IF(L6="ไม่คุ้มครอง","ไม่คุ้มครอง",กรอกข้อมูล!D28*15/100)</f>
        <v>ไม่คุ้มครอง</v>
      </c>
      <c r="M13" s="217" t="str">
        <f>IF(L13="ไม่คุ้มครอง","","บาท")</f>
        <v/>
      </c>
      <c r="N13" s="217"/>
      <c r="O13" s="688"/>
      <c r="P13" s="234"/>
      <c r="R13" s="222"/>
      <c r="S13" s="222"/>
    </row>
    <row r="14" spans="1:19" ht="24" customHeight="1">
      <c r="A14" s="217"/>
      <c r="B14" s="236" t="s">
        <v>859</v>
      </c>
      <c r="C14" s="228"/>
      <c r="D14" s="229"/>
      <c r="E14" s="229"/>
      <c r="F14" s="229"/>
      <c r="G14" s="229"/>
      <c r="H14" s="217"/>
      <c r="I14" s="229"/>
      <c r="J14" s="217"/>
      <c r="K14" s="217"/>
      <c r="L14" s="230" t="str">
        <f>IF(L6="ไม่คุ้มครอง","ไม่คุ้มครอง",MIN(100000,L13))</f>
        <v>ไม่คุ้มครอง</v>
      </c>
      <c r="M14" s="217" t="str">
        <f>IF(L14="ไม่คุ้มครอง","","บาท")</f>
        <v/>
      </c>
      <c r="N14" s="217"/>
      <c r="O14" s="688"/>
      <c r="P14" s="234"/>
      <c r="Q14" s="237" t="str">
        <f>IF(L6="ไม่คุ้มครอง","ไม่คุ้มครอง",L6*15%)</f>
        <v>ไม่คุ้มครอง</v>
      </c>
      <c r="R14" s="222"/>
      <c r="S14" s="222"/>
    </row>
    <row r="15" spans="1:19" ht="16.5" customHeight="1">
      <c r="A15" s="217"/>
      <c r="B15" s="232" t="s">
        <v>868</v>
      </c>
      <c r="C15" s="228"/>
      <c r="D15" s="229"/>
      <c r="E15" s="229"/>
      <c r="F15" s="229"/>
      <c r="G15" s="229"/>
      <c r="H15" s="217"/>
      <c r="I15" s="229"/>
      <c r="J15" s="217"/>
      <c r="K15" s="217"/>
      <c r="L15" s="233"/>
      <c r="M15" s="217"/>
      <c r="N15" s="217"/>
      <c r="O15" s="688"/>
      <c r="P15" s="234"/>
      <c r="R15" s="222"/>
      <c r="S15" s="222"/>
    </row>
    <row r="16" spans="1:19" ht="15" customHeight="1">
      <c r="A16" s="217"/>
      <c r="B16" s="227"/>
      <c r="C16" s="228"/>
      <c r="D16" s="229"/>
      <c r="E16" s="229"/>
      <c r="F16" s="229"/>
      <c r="G16" s="229"/>
      <c r="H16" s="217"/>
      <c r="I16" s="229"/>
      <c r="J16" s="217"/>
      <c r="K16" s="217"/>
      <c r="L16" s="230"/>
      <c r="M16" s="217"/>
      <c r="N16" s="217"/>
      <c r="O16" s="688">
        <v>7.4999999999999997E-2</v>
      </c>
      <c r="P16" s="234"/>
      <c r="R16" s="222"/>
      <c r="S16" s="222"/>
    </row>
    <row r="17" spans="1:19" ht="27" customHeight="1">
      <c r="A17" s="217"/>
      <c r="B17" s="231" t="s">
        <v>534</v>
      </c>
      <c r="C17" s="228"/>
      <c r="D17" s="229"/>
      <c r="E17" s="229"/>
      <c r="F17" s="229"/>
      <c r="G17" s="229"/>
      <c r="H17" s="217"/>
      <c r="I17" s="229"/>
      <c r="J17" s="217"/>
      <c r="K17" s="217"/>
      <c r="L17" s="217"/>
      <c r="M17" s="217"/>
      <c r="N17" s="217"/>
      <c r="O17" s="688">
        <v>0.25</v>
      </c>
      <c r="P17" s="234">
        <v>1</v>
      </c>
      <c r="R17" s="222"/>
      <c r="S17" s="222"/>
    </row>
    <row r="18" spans="1:19" ht="24" customHeight="1">
      <c r="A18" s="217"/>
      <c r="B18" s="695" t="s">
        <v>532</v>
      </c>
      <c r="C18" s="228"/>
      <c r="D18" s="229"/>
      <c r="E18" s="229"/>
      <c r="F18" s="229"/>
      <c r="G18" s="229"/>
      <c r="H18" s="217"/>
      <c r="I18" s="229"/>
      <c r="J18" s="217"/>
      <c r="K18" s="217"/>
      <c r="L18" s="230"/>
      <c r="M18" s="217"/>
      <c r="N18" s="217"/>
      <c r="O18" s="688"/>
      <c r="P18" s="234"/>
      <c r="R18" s="222"/>
      <c r="S18" s="222"/>
    </row>
    <row r="19" spans="1:19" ht="24" customHeight="1">
      <c r="A19" s="217"/>
      <c r="B19" s="236" t="s">
        <v>535</v>
      </c>
      <c r="C19" s="217"/>
      <c r="D19" s="229"/>
      <c r="E19" s="229"/>
      <c r="F19" s="229"/>
      <c r="G19" s="229"/>
      <c r="H19" s="217"/>
      <c r="I19" s="229"/>
      <c r="J19" s="217"/>
      <c r="K19" s="217"/>
      <c r="L19" s="230" t="str">
        <f>IF(L6="ไม่คุ้มครอง","ไม่คุ้มครอง",กรอกข้อมูล!D28*30/100)</f>
        <v>ไม่คุ้มครอง</v>
      </c>
      <c r="M19" s="217" t="str">
        <f>IF(L19="ไม่คุ้มครอง","","บาท")</f>
        <v/>
      </c>
      <c r="N19" s="217"/>
      <c r="O19" s="689">
        <v>2.5000000000000001E-3</v>
      </c>
      <c r="P19" s="234">
        <v>0.01</v>
      </c>
      <c r="R19" s="222"/>
      <c r="S19" s="222"/>
    </row>
    <row r="20" spans="1:19" ht="24" customHeight="1">
      <c r="A20" s="217"/>
      <c r="B20" s="238" t="s">
        <v>536</v>
      </c>
      <c r="C20" s="240"/>
      <c r="D20" s="239"/>
      <c r="E20" s="239"/>
      <c r="F20" s="239"/>
      <c r="G20" s="239"/>
      <c r="H20" s="240"/>
      <c r="I20" s="239"/>
      <c r="J20" s="240"/>
      <c r="K20" s="240"/>
      <c r="L20" s="230" t="str">
        <f>IF(L6="ไม่คุ้มครอง","ไม่คุ้มครอง",กรอกข้อมูล!D28*15/100)</f>
        <v>ไม่คุ้มครอง</v>
      </c>
      <c r="M20" s="217" t="str">
        <f>IF(L20="ไม่คุ้มครอง","","บาท")</f>
        <v/>
      </c>
      <c r="N20" s="217"/>
      <c r="O20" s="688">
        <v>0.01</v>
      </c>
      <c r="P20" s="226"/>
      <c r="R20" s="222"/>
      <c r="S20" s="222"/>
    </row>
    <row r="21" spans="1:19">
      <c r="A21" s="217"/>
      <c r="B21" s="241" t="s">
        <v>868</v>
      </c>
      <c r="C21" s="240"/>
      <c r="D21" s="239"/>
      <c r="E21" s="239"/>
      <c r="F21" s="239"/>
      <c r="G21" s="239"/>
      <c r="H21" s="240"/>
      <c r="I21" s="239"/>
      <c r="J21" s="240"/>
      <c r="K21" s="240"/>
      <c r="L21" s="230"/>
      <c r="M21" s="217"/>
      <c r="N21" s="217"/>
      <c r="O21" s="688"/>
      <c r="P21" s="226"/>
      <c r="R21" s="222"/>
      <c r="S21" s="222"/>
    </row>
    <row r="22" spans="1:19" ht="17.25" customHeight="1">
      <c r="A22" s="217"/>
      <c r="B22" s="235"/>
      <c r="C22" s="217"/>
      <c r="D22" s="229"/>
      <c r="E22" s="229"/>
      <c r="F22" s="229"/>
      <c r="G22" s="229"/>
      <c r="H22" s="217"/>
      <c r="I22" s="229"/>
      <c r="J22" s="217"/>
      <c r="K22" s="217"/>
      <c r="L22" s="230"/>
      <c r="M22" s="217"/>
      <c r="N22" s="217"/>
      <c r="O22" s="688">
        <v>0.01</v>
      </c>
      <c r="P22" s="226"/>
      <c r="R22" s="222"/>
      <c r="S22" s="222"/>
    </row>
    <row r="23" spans="1:19">
      <c r="A23" s="217"/>
      <c r="B23" s="231" t="s">
        <v>537</v>
      </c>
      <c r="C23" s="217"/>
      <c r="D23" s="229"/>
      <c r="E23" s="229"/>
      <c r="F23" s="229"/>
      <c r="G23" s="229"/>
      <c r="H23" s="217"/>
      <c r="I23" s="229"/>
      <c r="J23" s="217"/>
      <c r="K23" s="217"/>
      <c r="L23" s="230" t="str">
        <f>L6</f>
        <v>ไม่คุ้มครอง</v>
      </c>
      <c r="M23" s="217" t="str">
        <f>IF(L23="ไม่คุ้มครอง","","บาท")</f>
        <v/>
      </c>
      <c r="N23" s="217"/>
      <c r="O23" s="688">
        <v>0.05</v>
      </c>
      <c r="P23" s="226"/>
      <c r="R23" s="222"/>
      <c r="S23" s="222"/>
    </row>
    <row r="24" spans="1:19" ht="24" customHeight="1">
      <c r="A24" s="217"/>
      <c r="B24" s="2272" t="s">
        <v>869</v>
      </c>
      <c r="C24" s="2273"/>
      <c r="D24" s="2273"/>
      <c r="E24" s="2273"/>
      <c r="F24" s="2273"/>
      <c r="G24" s="2273"/>
      <c r="H24" s="2273"/>
      <c r="I24" s="2273"/>
      <c r="J24" s="2273"/>
      <c r="K24" s="2273"/>
      <c r="L24" s="2274" t="str">
        <f>IF(L23="ไม่คุ้มครอง","","100% ของจำนวนเงินเอาประกันภัย ")</f>
        <v/>
      </c>
      <c r="M24" s="2275"/>
      <c r="N24" s="696"/>
      <c r="O24" s="221"/>
      <c r="P24" s="226"/>
      <c r="R24" s="222"/>
      <c r="S24" s="222"/>
    </row>
    <row r="25" spans="1:19" ht="34.5" customHeight="1">
      <c r="A25" s="217"/>
      <c r="B25" s="235"/>
      <c r="C25" s="217"/>
      <c r="D25" s="229"/>
      <c r="E25" s="229"/>
      <c r="F25" s="229"/>
      <c r="G25" s="229"/>
      <c r="H25" s="217"/>
      <c r="I25" s="229"/>
      <c r="J25" s="217"/>
      <c r="K25" s="217"/>
      <c r="L25" s="2276" t="str">
        <f>IF(L23="ไม่คุ้มครอง","","หักด้วยผลประโยชน์ที่จ่ายมาแล้วทั้งหมด")</f>
        <v/>
      </c>
      <c r="M25" s="2276"/>
      <c r="N25" s="696"/>
      <c r="O25" s="221"/>
      <c r="P25" s="226"/>
      <c r="R25" s="222"/>
      <c r="S25" s="222"/>
    </row>
    <row r="26" spans="1:19" ht="23.25" customHeight="1">
      <c r="A26" s="217"/>
      <c r="B26" s="609" t="s">
        <v>878</v>
      </c>
      <c r="C26" s="228"/>
      <c r="D26" s="229"/>
      <c r="E26" s="229"/>
      <c r="F26" s="229"/>
      <c r="G26" s="229"/>
      <c r="H26" s="217"/>
      <c r="I26" s="229"/>
      <c r="J26" s="217"/>
      <c r="K26" s="240"/>
      <c r="L26" s="245"/>
      <c r="M26" s="245"/>
      <c r="N26" s="697"/>
      <c r="O26" s="221"/>
      <c r="P26" s="226"/>
      <c r="R26" s="222"/>
      <c r="S26" s="222"/>
    </row>
    <row r="27" spans="1:19" ht="11.25" customHeight="1">
      <c r="A27" s="217"/>
      <c r="B27" s="242"/>
      <c r="C27" s="243"/>
      <c r="D27" s="243"/>
      <c r="E27" s="243"/>
      <c r="F27" s="243"/>
      <c r="G27" s="243"/>
      <c r="H27" s="243"/>
      <c r="I27" s="243"/>
      <c r="J27" s="243"/>
      <c r="K27" s="243"/>
      <c r="L27" s="244"/>
      <c r="M27" s="245"/>
      <c r="N27" s="697"/>
      <c r="O27" s="221"/>
      <c r="P27" s="226"/>
      <c r="R27" s="222"/>
      <c r="S27" s="222"/>
    </row>
    <row r="28" spans="1:19" ht="32.25" customHeight="1">
      <c r="A28" s="217"/>
      <c r="B28" s="231" t="s">
        <v>857</v>
      </c>
      <c r="C28" s="246"/>
      <c r="D28" s="246"/>
      <c r="E28" s="246"/>
      <c r="F28" s="246"/>
      <c r="G28" s="246"/>
      <c r="H28" s="246"/>
      <c r="I28" s="246"/>
      <c r="J28" s="246"/>
      <c r="K28" s="246"/>
      <c r="L28" s="2271" t="s">
        <v>538</v>
      </c>
      <c r="M28" s="2271"/>
      <c r="N28" s="697"/>
      <c r="P28" s="209"/>
    </row>
    <row r="29" spans="1:19" ht="6" customHeight="1">
      <c r="A29" s="217"/>
      <c r="B29" s="231"/>
      <c r="C29" s="246"/>
      <c r="D29" s="246"/>
      <c r="E29" s="246"/>
      <c r="F29" s="246"/>
      <c r="G29" s="246"/>
      <c r="H29" s="246"/>
      <c r="I29" s="246"/>
      <c r="J29" s="246"/>
      <c r="K29" s="246"/>
      <c r="L29" s="698"/>
      <c r="M29" s="698"/>
      <c r="N29" s="697"/>
      <c r="P29" s="209"/>
    </row>
    <row r="30" spans="1:19" s="209" customFormat="1">
      <c r="A30" s="229"/>
      <c r="B30" s="247" t="s">
        <v>543</v>
      </c>
      <c r="C30" s="248"/>
      <c r="D30" s="239"/>
      <c r="E30" s="239"/>
      <c r="F30" s="239"/>
      <c r="G30" s="239"/>
      <c r="H30" s="239"/>
      <c r="I30" s="239"/>
      <c r="J30" s="239"/>
      <c r="K30" s="239"/>
      <c r="L30" s="244" t="str">
        <f>IF(กรอกข้อมูล!F29&gt;0,กรอกข้อมูล!D29,"ไม่คุ้มครอง")</f>
        <v>ไม่คุ้มครอง</v>
      </c>
      <c r="M30" s="249" t="str">
        <f>IF(L30="ไม่คุ้มครอง","","บาท/วัน สูงสุด 365 วัน")</f>
        <v/>
      </c>
      <c r="N30" s="697"/>
      <c r="O30" s="250"/>
      <c r="Q30" s="208"/>
    </row>
    <row r="31" spans="1:19" s="257" customFormat="1">
      <c r="A31" s="699"/>
      <c r="B31" s="251" t="s">
        <v>870</v>
      </c>
      <c r="C31" s="252"/>
      <c r="D31" s="253"/>
      <c r="E31" s="253"/>
      <c r="F31" s="253"/>
      <c r="G31" s="253"/>
      <c r="H31" s="253"/>
      <c r="I31" s="253"/>
      <c r="J31" s="253"/>
      <c r="K31" s="253"/>
      <c r="L31" s="254"/>
      <c r="M31" s="255"/>
      <c r="N31" s="700"/>
      <c r="O31" s="256"/>
      <c r="Q31" s="258"/>
    </row>
    <row r="32" spans="1:19" s="257" customFormat="1" ht="7.5" customHeight="1">
      <c r="A32" s="699"/>
      <c r="B32" s="251"/>
      <c r="C32" s="252"/>
      <c r="D32" s="253"/>
      <c r="E32" s="253"/>
      <c r="F32" s="253"/>
      <c r="G32" s="253"/>
      <c r="H32" s="253"/>
      <c r="I32" s="253"/>
      <c r="J32" s="253"/>
      <c r="K32" s="253"/>
      <c r="L32" s="254"/>
      <c r="M32" s="255"/>
      <c r="N32" s="700"/>
      <c r="O32" s="256"/>
      <c r="Q32" s="258"/>
    </row>
    <row r="33" spans="1:17" s="209" customFormat="1">
      <c r="A33" s="229"/>
      <c r="B33" s="247" t="s">
        <v>544</v>
      </c>
      <c r="C33" s="259"/>
      <c r="D33" s="259"/>
      <c r="E33" s="259"/>
      <c r="F33" s="259"/>
      <c r="G33" s="259"/>
      <c r="H33" s="259"/>
      <c r="I33" s="259"/>
      <c r="J33" s="259"/>
      <c r="K33" s="259"/>
      <c r="L33" s="244" t="str">
        <f>L30</f>
        <v>ไม่คุ้มครอง</v>
      </c>
      <c r="M33" s="249" t="str">
        <f>IF(L33="ไม่คุ้มครอง","","บาท/วัน สูงสุด 365 วัน")</f>
        <v/>
      </c>
      <c r="N33" s="697"/>
      <c r="O33" s="250"/>
      <c r="Q33" s="208"/>
    </row>
    <row r="34" spans="1:17" s="209" customFormat="1">
      <c r="A34" s="229"/>
      <c r="B34" s="251" t="s">
        <v>871</v>
      </c>
      <c r="C34" s="259"/>
      <c r="D34" s="259"/>
      <c r="E34" s="259"/>
      <c r="F34" s="259"/>
      <c r="G34" s="259"/>
      <c r="H34" s="259"/>
      <c r="I34" s="259"/>
      <c r="J34" s="259"/>
      <c r="K34" s="259"/>
      <c r="L34" s="244"/>
      <c r="M34" s="249"/>
      <c r="N34" s="697"/>
      <c r="O34" s="250"/>
      <c r="Q34" s="208"/>
    </row>
    <row r="35" spans="1:17" s="209" customFormat="1" ht="7.5" customHeight="1">
      <c r="A35" s="229"/>
      <c r="B35" s="251"/>
      <c r="C35" s="259"/>
      <c r="D35" s="259"/>
      <c r="E35" s="259"/>
      <c r="F35" s="259"/>
      <c r="G35" s="259"/>
      <c r="H35" s="259"/>
      <c r="I35" s="259"/>
      <c r="J35" s="259"/>
      <c r="K35" s="259"/>
      <c r="L35" s="244"/>
      <c r="M35" s="249"/>
      <c r="N35" s="697"/>
      <c r="O35" s="250"/>
      <c r="Q35" s="208"/>
    </row>
    <row r="36" spans="1:17" s="209" customFormat="1">
      <c r="A36" s="229"/>
      <c r="B36" s="247" t="s">
        <v>545</v>
      </c>
      <c r="C36" s="259"/>
      <c r="D36" s="259"/>
      <c r="E36" s="259"/>
      <c r="F36" s="259"/>
      <c r="G36" s="259"/>
      <c r="H36" s="259"/>
      <c r="I36" s="259"/>
      <c r="J36" s="259"/>
      <c r="K36" s="259"/>
      <c r="L36" s="244" t="str">
        <f>L30</f>
        <v>ไม่คุ้มครอง</v>
      </c>
      <c r="M36" s="249" t="str">
        <f>IF(L36="ไม่คุ้มครอง","","บาท/วัน สูงสุด 365 วัน")</f>
        <v/>
      </c>
      <c r="N36" s="697"/>
      <c r="O36" s="250"/>
      <c r="Q36" s="208"/>
    </row>
    <row r="37" spans="1:17" s="209" customFormat="1">
      <c r="A37" s="229"/>
      <c r="B37" s="251" t="s">
        <v>872</v>
      </c>
      <c r="C37" s="260"/>
      <c r="D37" s="261"/>
      <c r="E37" s="261"/>
      <c r="F37" s="261"/>
      <c r="G37" s="261"/>
      <c r="H37" s="261"/>
      <c r="I37" s="261"/>
      <c r="J37" s="261"/>
      <c r="K37" s="262"/>
      <c r="L37" s="263" t="str">
        <f>IF(L36="ไม่คุ้มครอง","","และขยายระยะเวลาการเคลมอีก 180 วัน")</f>
        <v/>
      </c>
      <c r="M37" s="249"/>
      <c r="N37" s="697"/>
      <c r="O37" s="250"/>
      <c r="Q37" s="208"/>
    </row>
    <row r="38" spans="1:17" ht="21.75" customHeight="1" thickBot="1">
      <c r="A38" s="217"/>
      <c r="B38" s="264"/>
      <c r="C38" s="228"/>
      <c r="D38" s="229"/>
      <c r="E38" s="229"/>
      <c r="F38" s="229"/>
      <c r="G38" s="229"/>
      <c r="H38" s="229"/>
      <c r="I38" s="229"/>
      <c r="J38" s="229"/>
      <c r="K38" s="229"/>
      <c r="L38" s="229"/>
      <c r="M38" s="229"/>
      <c r="N38" s="701"/>
      <c r="O38" s="250"/>
      <c r="P38" s="209"/>
    </row>
    <row r="39" spans="1:17" s="412" customFormat="1" ht="81" customHeight="1" thickBot="1">
      <c r="A39" s="164"/>
      <c r="B39" s="2266" t="s">
        <v>913</v>
      </c>
      <c r="C39" s="2267"/>
      <c r="D39" s="2267"/>
      <c r="E39" s="2267"/>
      <c r="F39" s="2267"/>
      <c r="G39" s="2267"/>
      <c r="H39" s="2267"/>
      <c r="I39" s="2267"/>
      <c r="J39" s="2267"/>
      <c r="K39" s="2267"/>
      <c r="L39" s="2267"/>
      <c r="M39" s="2268"/>
      <c r="N39" s="164"/>
      <c r="O39" s="206"/>
      <c r="P39" s="207"/>
      <c r="Q39" s="411"/>
    </row>
    <row r="40" spans="1:17" s="309" customFormat="1" ht="50.15" customHeight="1">
      <c r="A40" s="239"/>
      <c r="B40" s="2260" t="s">
        <v>2428</v>
      </c>
      <c r="C40" s="2260"/>
      <c r="D40" s="2260"/>
      <c r="E40" s="2260"/>
      <c r="F40" s="2260"/>
      <c r="G40" s="2260"/>
      <c r="H40" s="2260"/>
      <c r="I40" s="2260"/>
      <c r="J40" s="2260"/>
      <c r="K40" s="2260"/>
      <c r="L40" s="2260"/>
      <c r="M40" s="2260"/>
      <c r="N40" s="239"/>
      <c r="O40" s="306"/>
      <c r="P40" s="307"/>
      <c r="Q40" s="308"/>
    </row>
    <row r="41" spans="1:17" s="209" customFormat="1" ht="35.15" customHeight="1">
      <c r="A41" s="229"/>
      <c r="B41" s="2264" t="str">
        <f>ตารางแสดงผลประโยชน์!B76</f>
        <v>โปรแกรมใบข้อเสนอนี้ใช้สำหรับแบบประกัน ไอสมาร์ท 80/6 (ไม่มีเงินปันผล) ที่เสนอขายตั้งแต่ 1 มกราคม 2569 ถึง 31 มีนาคม 2570 หรือตามประกาศยกเลิกการใช้จากบริษัทฯ (แล้วแต่ระยะเวลาใดจะเกิดขึ้นก่อน)</v>
      </c>
      <c r="C41" s="2265"/>
      <c r="D41" s="2265"/>
      <c r="E41" s="2265"/>
      <c r="F41" s="2265"/>
      <c r="G41" s="2265"/>
      <c r="H41" s="2265"/>
      <c r="I41" s="2265"/>
      <c r="J41" s="2265"/>
      <c r="K41" s="2265"/>
      <c r="L41" s="2265"/>
      <c r="M41" s="2265"/>
      <c r="N41" s="259"/>
      <c r="O41" s="206"/>
      <c r="P41" s="226"/>
      <c r="Q41" s="265"/>
    </row>
    <row r="42" spans="1:17">
      <c r="B42" s="702"/>
      <c r="C42" s="702"/>
      <c r="D42" s="702"/>
      <c r="E42" s="702"/>
      <c r="F42" s="702"/>
      <c r="G42" s="702"/>
      <c r="H42" s="702"/>
      <c r="I42" s="702"/>
      <c r="J42" s="702"/>
      <c r="K42" s="259"/>
      <c r="L42" s="259"/>
      <c r="M42" s="703" t="str">
        <f>ตารางแสดงผลประโยชน์!I77</f>
        <v>ไอสมาร์ท 80/6 (ไม่มีเงินปันผล) เวอร์ชั่น A2026-1</v>
      </c>
    </row>
  </sheetData>
  <sheetProtection algorithmName="SHA-512" hashValue="gVZgzmkOfZvBRzj0Dc2qhCmu8nc76m9j4DFeWNfBXIXchv6/K5i2mQhKAI+dUhLhjIVfWCwoI8y88QHss9U/Dw==" saltValue="r5rt/PDYwAzJb+l+FgRkSA==" spinCount="100000" sheet="1" objects="1" scenarios="1"/>
  <mergeCells count="10">
    <mergeCell ref="B41:M41"/>
    <mergeCell ref="B39:M39"/>
    <mergeCell ref="D2:M2"/>
    <mergeCell ref="G4:H4"/>
    <mergeCell ref="K4:L4"/>
    <mergeCell ref="L28:M28"/>
    <mergeCell ref="B24:K24"/>
    <mergeCell ref="L24:M24"/>
    <mergeCell ref="L25:M25"/>
    <mergeCell ref="B40:M40"/>
  </mergeCells>
  <conditionalFormatting sqref="A3:XFD38 A39:A65534 N39:XFD65534">
    <cfRule type="expression" dxfId="19" priority="3" stopIfTrue="1">
      <formula>$A$1="Expire"</formula>
    </cfRule>
  </conditionalFormatting>
  <conditionalFormatting sqref="B39:M65535">
    <cfRule type="expression" dxfId="18" priority="1" stopIfTrue="1">
      <formula>$A$1="Expire"</formula>
    </cfRule>
  </conditionalFormatting>
  <pageMargins left="0.23622047244094491" right="0.23622047244094491" top="0.74803149606299213" bottom="0.74803149606299213" header="0.31496062992125984" footer="0.31496062992125984"/>
  <pageSetup paperSize="9" scale="71" orientation="portrait" r:id="rId1"/>
  <headerFooter>
    <oddFooter>&amp;C&amp;"Calibri"&amp;11&amp;K000000&amp;"Calibri,Regular"&amp;11 6/14_x000D_&amp;1#&amp;"Calibri"&amp;10&amp;K000000Internal</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9">
    <pageSetUpPr fitToPage="1"/>
  </sheetPr>
  <dimension ref="A1:IV56"/>
  <sheetViews>
    <sheetView showGridLines="0" zoomScaleNormal="100" workbookViewId="0">
      <selection activeCell="K9" sqref="K9:N9"/>
    </sheetView>
  </sheetViews>
  <sheetFormatPr defaultColWidth="9.09765625" defaultRowHeight="12.5"/>
  <cols>
    <col min="1" max="1" width="1.59765625" style="290" customWidth="1"/>
    <col min="2" max="2" width="1.09765625" style="290" customWidth="1"/>
    <col min="3" max="3" width="12.296875" style="290" customWidth="1"/>
    <col min="4" max="6" width="9.09765625" style="290"/>
    <col min="7" max="7" width="11.8984375" style="290" customWidth="1"/>
    <col min="8" max="9" width="9.09765625" style="290"/>
    <col min="10" max="10" width="15.59765625" style="290" customWidth="1"/>
    <col min="11" max="11" width="9.09765625" style="290"/>
    <col min="12" max="12" width="8.09765625" style="290" customWidth="1"/>
    <col min="13" max="13" width="34.69921875" style="290" customWidth="1"/>
    <col min="14" max="14" width="24.09765625" style="290" customWidth="1"/>
    <col min="15" max="15" width="1.3984375" style="290" customWidth="1"/>
    <col min="16" max="16" width="9.09765625" style="290"/>
    <col min="17" max="17" width="77.69921875" style="290" hidden="1" customWidth="1"/>
    <col min="18" max="18" width="65" style="290" hidden="1" customWidth="1"/>
    <col min="19" max="19" width="74.09765625" style="290" hidden="1" customWidth="1"/>
    <col min="20" max="20" width="66.69921875" style="290" hidden="1" customWidth="1"/>
    <col min="21" max="21" width="76.8984375" style="290" hidden="1" customWidth="1"/>
    <col min="22" max="22" width="66.69921875" style="290" hidden="1" customWidth="1"/>
    <col min="23" max="23" width="76.09765625" style="290" hidden="1" customWidth="1"/>
    <col min="24" max="24" width="66.69921875" style="290" hidden="1" customWidth="1"/>
    <col min="25" max="25" width="77.296875" style="290" hidden="1" customWidth="1"/>
    <col min="26" max="26" width="66.69921875" style="290" hidden="1" customWidth="1"/>
    <col min="27" max="29" width="10.296875" style="290" hidden="1" customWidth="1"/>
    <col min="30" max="30" width="25.8984375" style="290" hidden="1" customWidth="1"/>
    <col min="31" max="31" width="9.09765625" style="290" customWidth="1"/>
    <col min="32" max="16384" width="9.09765625" style="290"/>
  </cols>
  <sheetData>
    <row r="1" spans="1:256" ht="7.5" customHeight="1">
      <c r="B1" s="414"/>
      <c r="C1" s="415"/>
      <c r="D1" s="415"/>
      <c r="E1" s="415"/>
      <c r="F1" s="415"/>
      <c r="G1" s="415"/>
      <c r="H1" s="415"/>
      <c r="I1" s="415"/>
      <c r="J1" s="415"/>
      <c r="K1" s="415"/>
      <c r="L1" s="415"/>
      <c r="M1" s="415"/>
      <c r="N1" s="415"/>
      <c r="O1" s="416"/>
      <c r="Q1" s="417"/>
    </row>
    <row r="2" spans="1:256" ht="43.5" customHeight="1">
      <c r="B2" s="418"/>
      <c r="C2" s="296"/>
      <c r="D2" s="296"/>
      <c r="E2" s="2277" t="s">
        <v>822</v>
      </c>
      <c r="F2" s="2277"/>
      <c r="G2" s="2277"/>
      <c r="H2" s="2277"/>
      <c r="I2" s="2277"/>
      <c r="J2" s="2277"/>
      <c r="K2" s="2277"/>
      <c r="L2" s="2277"/>
      <c r="M2" s="2277"/>
      <c r="N2" s="2277"/>
      <c r="O2" s="419"/>
      <c r="P2" s="291"/>
      <c r="Q2" s="420" t="e">
        <f>VLOOKUP(R2,กรอกข้อมูล!#REF!,2,FALSE)</f>
        <v>#REF!</v>
      </c>
      <c r="R2" s="421" t="e">
        <f>กรอกข้อมูล!#REF!</f>
        <v>#REF!</v>
      </c>
    </row>
    <row r="3" spans="1:256" ht="7.5" customHeight="1">
      <c r="A3" s="422"/>
      <c r="B3" s="423"/>
      <c r="C3" s="424"/>
      <c r="D3" s="424"/>
      <c r="E3" s="424"/>
      <c r="F3" s="424"/>
      <c r="G3" s="424"/>
      <c r="H3" s="424"/>
      <c r="I3" s="424"/>
      <c r="J3" s="424"/>
      <c r="K3" s="424"/>
      <c r="L3" s="424"/>
      <c r="M3" s="424"/>
      <c r="N3" s="424"/>
      <c r="O3" s="425"/>
      <c r="P3" s="426"/>
      <c r="Q3" s="427"/>
      <c r="R3" s="427"/>
      <c r="S3" s="422"/>
      <c r="T3" s="422"/>
      <c r="U3" s="422"/>
      <c r="V3" s="422"/>
      <c r="W3" s="422"/>
      <c r="X3" s="422"/>
      <c r="Y3" s="422"/>
      <c r="Z3" s="422"/>
      <c r="AA3" s="422"/>
      <c r="AB3" s="422"/>
      <c r="AC3" s="422"/>
      <c r="AD3" s="422"/>
      <c r="AE3" s="422"/>
      <c r="AF3" s="422"/>
      <c r="AG3" s="422"/>
      <c r="AH3" s="422"/>
      <c r="AI3" s="422"/>
      <c r="AJ3" s="422"/>
      <c r="AK3" s="422"/>
      <c r="AL3" s="422"/>
      <c r="AM3" s="422"/>
      <c r="AN3" s="422"/>
      <c r="AO3" s="422"/>
      <c r="AP3" s="422"/>
      <c r="AQ3" s="422"/>
      <c r="AR3" s="422"/>
      <c r="AS3" s="422"/>
      <c r="AT3" s="422"/>
      <c r="AU3" s="422"/>
      <c r="AV3" s="422"/>
      <c r="AW3" s="422"/>
      <c r="AX3" s="422"/>
      <c r="AY3" s="422"/>
      <c r="AZ3" s="422"/>
      <c r="BA3" s="422"/>
      <c r="BB3" s="422"/>
      <c r="BC3" s="422"/>
      <c r="BD3" s="422"/>
      <c r="BE3" s="422"/>
      <c r="BF3" s="422"/>
      <c r="BG3" s="422"/>
      <c r="BH3" s="422"/>
      <c r="BI3" s="422"/>
      <c r="BJ3" s="422"/>
      <c r="BK3" s="422"/>
      <c r="BL3" s="422"/>
      <c r="BM3" s="422"/>
      <c r="BN3" s="422"/>
      <c r="BO3" s="422"/>
      <c r="BP3" s="422"/>
      <c r="BQ3" s="422"/>
      <c r="BR3" s="422"/>
      <c r="BS3" s="422"/>
      <c r="BT3" s="422"/>
      <c r="BU3" s="422"/>
      <c r="BV3" s="422"/>
      <c r="BW3" s="422"/>
      <c r="BX3" s="422"/>
      <c r="BY3" s="422"/>
      <c r="BZ3" s="422"/>
      <c r="CA3" s="422"/>
      <c r="CB3" s="422"/>
      <c r="CC3" s="422"/>
      <c r="CD3" s="422"/>
      <c r="CE3" s="422"/>
      <c r="CF3" s="422"/>
      <c r="CG3" s="422"/>
      <c r="CH3" s="422"/>
      <c r="CI3" s="422"/>
      <c r="CJ3" s="422"/>
      <c r="CK3" s="422"/>
      <c r="CL3" s="422"/>
      <c r="CM3" s="422"/>
      <c r="CN3" s="422"/>
      <c r="CO3" s="422"/>
      <c r="CP3" s="422"/>
      <c r="CQ3" s="422"/>
      <c r="CR3" s="422"/>
      <c r="CS3" s="422"/>
      <c r="CT3" s="422"/>
      <c r="CU3" s="422"/>
      <c r="CV3" s="422"/>
      <c r="CW3" s="422"/>
      <c r="CX3" s="422"/>
      <c r="CY3" s="422"/>
      <c r="CZ3" s="422"/>
      <c r="DA3" s="422"/>
      <c r="DB3" s="422"/>
      <c r="DC3" s="422"/>
      <c r="DD3" s="422"/>
      <c r="DE3" s="422"/>
      <c r="DF3" s="422"/>
      <c r="DG3" s="422"/>
      <c r="DH3" s="422"/>
      <c r="DI3" s="422"/>
      <c r="DJ3" s="422"/>
      <c r="DK3" s="422"/>
      <c r="DL3" s="422"/>
      <c r="DM3" s="422"/>
      <c r="DN3" s="422"/>
      <c r="DO3" s="422"/>
      <c r="DP3" s="422"/>
      <c r="DQ3" s="422"/>
      <c r="DR3" s="422"/>
      <c r="DS3" s="422"/>
      <c r="DT3" s="422"/>
      <c r="DU3" s="422"/>
      <c r="DV3" s="422"/>
      <c r="DW3" s="422"/>
      <c r="DX3" s="422"/>
      <c r="DY3" s="422"/>
      <c r="DZ3" s="422"/>
      <c r="EA3" s="422"/>
      <c r="EB3" s="422"/>
      <c r="EC3" s="422"/>
      <c r="ED3" s="422"/>
      <c r="EE3" s="422"/>
      <c r="EF3" s="422"/>
      <c r="EG3" s="422"/>
      <c r="EH3" s="422"/>
      <c r="EI3" s="422"/>
      <c r="EJ3" s="422"/>
      <c r="EK3" s="422"/>
      <c r="EL3" s="422"/>
      <c r="EM3" s="422"/>
      <c r="EN3" s="422"/>
      <c r="EO3" s="422"/>
      <c r="EP3" s="422"/>
      <c r="EQ3" s="422"/>
      <c r="ER3" s="422"/>
      <c r="ES3" s="422"/>
      <c r="ET3" s="422"/>
      <c r="EU3" s="422"/>
      <c r="EV3" s="422"/>
      <c r="EW3" s="422"/>
      <c r="EX3" s="422"/>
      <c r="EY3" s="422"/>
      <c r="EZ3" s="422"/>
      <c r="FA3" s="422"/>
      <c r="FB3" s="422"/>
      <c r="FC3" s="422"/>
      <c r="FD3" s="422"/>
      <c r="FE3" s="422"/>
      <c r="FF3" s="422"/>
      <c r="FG3" s="422"/>
      <c r="FH3" s="422"/>
      <c r="FI3" s="422"/>
      <c r="FJ3" s="422"/>
      <c r="FK3" s="422"/>
      <c r="FL3" s="422"/>
      <c r="FM3" s="422"/>
      <c r="FN3" s="422"/>
      <c r="FO3" s="422"/>
      <c r="FP3" s="422"/>
      <c r="FQ3" s="422"/>
      <c r="FR3" s="422"/>
      <c r="FS3" s="422"/>
      <c r="FT3" s="422"/>
      <c r="FU3" s="422"/>
      <c r="FV3" s="422"/>
      <c r="FW3" s="422"/>
      <c r="FX3" s="422"/>
      <c r="FY3" s="422"/>
      <c r="FZ3" s="422"/>
      <c r="GA3" s="422"/>
      <c r="GB3" s="422"/>
      <c r="GC3" s="422"/>
      <c r="GD3" s="422"/>
      <c r="GE3" s="422"/>
      <c r="GF3" s="422"/>
      <c r="GG3" s="422"/>
      <c r="GH3" s="422"/>
      <c r="GI3" s="422"/>
      <c r="GJ3" s="422"/>
      <c r="GK3" s="422"/>
      <c r="GL3" s="422"/>
      <c r="GM3" s="422"/>
      <c r="GN3" s="422"/>
      <c r="GO3" s="422"/>
      <c r="GP3" s="422"/>
      <c r="GQ3" s="422"/>
      <c r="GR3" s="422"/>
      <c r="GS3" s="422"/>
      <c r="GT3" s="422"/>
      <c r="GU3" s="422"/>
      <c r="GV3" s="422"/>
      <c r="GW3" s="422"/>
      <c r="GX3" s="422"/>
      <c r="GY3" s="422"/>
      <c r="GZ3" s="422"/>
      <c r="HA3" s="422"/>
      <c r="HB3" s="422"/>
      <c r="HC3" s="422"/>
      <c r="HD3" s="422"/>
      <c r="HE3" s="422"/>
      <c r="HF3" s="422"/>
      <c r="HG3" s="422"/>
      <c r="HH3" s="422"/>
      <c r="HI3" s="422"/>
      <c r="HJ3" s="422"/>
      <c r="HK3" s="422"/>
      <c r="HL3" s="422"/>
      <c r="HM3" s="422"/>
      <c r="HN3" s="422"/>
      <c r="HO3" s="422"/>
      <c r="HP3" s="422"/>
      <c r="HQ3" s="422"/>
      <c r="HR3" s="422"/>
      <c r="HS3" s="422"/>
      <c r="HT3" s="422"/>
      <c r="HU3" s="422"/>
      <c r="HV3" s="422"/>
      <c r="HW3" s="422"/>
      <c r="HX3" s="422"/>
      <c r="HY3" s="422"/>
      <c r="HZ3" s="422"/>
      <c r="IA3" s="422"/>
      <c r="IB3" s="422"/>
      <c r="IC3" s="422"/>
      <c r="ID3" s="422"/>
      <c r="IE3" s="422"/>
      <c r="IF3" s="422"/>
      <c r="IG3" s="422"/>
      <c r="IH3" s="422"/>
      <c r="II3" s="422"/>
      <c r="IJ3" s="422"/>
      <c r="IK3" s="422"/>
      <c r="IL3" s="422"/>
      <c r="IM3" s="422"/>
      <c r="IN3" s="422"/>
      <c r="IO3" s="422"/>
      <c r="IP3" s="422"/>
      <c r="IQ3" s="422"/>
      <c r="IR3" s="422"/>
      <c r="IS3" s="422"/>
      <c r="IT3" s="422"/>
      <c r="IU3" s="422"/>
      <c r="IV3" s="422"/>
    </row>
    <row r="4" spans="1:256" ht="26.25" customHeight="1">
      <c r="B4" s="418"/>
      <c r="C4" s="503" t="str">
        <f>"ลูกค้าคนพิเศษ: "&amp;กรอกข้อมูล!C4</f>
        <v>ลูกค้าคนพิเศษ: คุณคนพิเศษ</v>
      </c>
      <c r="D4" s="497"/>
      <c r="E4" s="498"/>
      <c r="F4" s="499"/>
      <c r="G4" s="500"/>
      <c r="H4" s="497"/>
      <c r="I4" s="501" t="str">
        <f>"เพศ "&amp;กรอกข้อมูล!C6</f>
        <v>เพศ หญิง</v>
      </c>
      <c r="J4" s="497"/>
      <c r="K4" s="501" t="str">
        <f>"อายุ  "&amp;กรอกข้อมูล!C5&amp;" ปี"</f>
        <v>อายุ  44 ปี</v>
      </c>
      <c r="L4" s="497"/>
      <c r="M4" s="501" t="str">
        <f>"อัตราภาษีเงินได้บุคคลธรรมดาร้อยละ "&amp;กรอกข้อมูล!C8*100</f>
        <v>อัตราภาษีเงินได้บุคคลธรรมดาร้อยละ 0</v>
      </c>
      <c r="N4" s="502"/>
      <c r="O4" s="419"/>
      <c r="P4" s="291"/>
      <c r="Q4" s="2278" t="s">
        <v>761</v>
      </c>
      <c r="R4" s="2279"/>
      <c r="S4" s="434" t="s">
        <v>762</v>
      </c>
      <c r="T4" s="435"/>
      <c r="U4" s="434" t="s">
        <v>763</v>
      </c>
      <c r="V4" s="435"/>
      <c r="W4" s="434" t="s">
        <v>764</v>
      </c>
      <c r="X4" s="435"/>
      <c r="Y4" s="434" t="s">
        <v>765</v>
      </c>
      <c r="Z4" s="435"/>
    </row>
    <row r="5" spans="1:256" ht="6.75" customHeight="1">
      <c r="B5" s="418"/>
      <c r="C5" s="428"/>
      <c r="D5" s="296"/>
      <c r="E5" s="296"/>
      <c r="F5" s="429"/>
      <c r="G5" s="430"/>
      <c r="H5" s="431"/>
      <c r="I5" s="296"/>
      <c r="J5" s="432"/>
      <c r="K5" s="296"/>
      <c r="L5" s="432"/>
      <c r="M5" s="433"/>
      <c r="N5" s="433"/>
      <c r="O5" s="419"/>
      <c r="P5" s="291"/>
      <c r="Q5" s="436"/>
      <c r="R5" s="437"/>
      <c r="S5" s="292"/>
      <c r="T5" s="438"/>
      <c r="U5" s="292"/>
      <c r="V5" s="438"/>
      <c r="W5" s="292"/>
      <c r="X5" s="438"/>
      <c r="Y5" s="292"/>
      <c r="Z5" s="438"/>
    </row>
    <row r="6" spans="1:256" ht="29.5" hidden="1" customHeight="1">
      <c r="B6" s="418"/>
      <c r="C6" s="2282"/>
      <c r="D6" s="2282"/>
      <c r="E6" s="2282"/>
      <c r="F6" s="2282"/>
      <c r="G6" s="2282"/>
      <c r="H6" s="2282"/>
      <c r="I6" s="2282"/>
      <c r="J6" s="2282"/>
      <c r="K6" s="2282"/>
      <c r="L6" s="432"/>
      <c r="M6" s="439"/>
      <c r="N6" s="299"/>
      <c r="O6" s="419"/>
      <c r="P6" s="291"/>
      <c r="Q6" s="436"/>
      <c r="R6" s="437"/>
      <c r="S6" s="292"/>
      <c r="T6" s="438"/>
      <c r="U6" s="292"/>
      <c r="V6" s="438"/>
      <c r="W6" s="292"/>
      <c r="X6" s="438"/>
      <c r="Y6" s="292"/>
      <c r="Z6" s="438"/>
    </row>
    <row r="7" spans="1:256" ht="29.5" hidden="1" customHeight="1">
      <c r="B7" s="418"/>
      <c r="C7" s="2282"/>
      <c r="D7" s="2282"/>
      <c r="E7" s="2282"/>
      <c r="F7" s="2282"/>
      <c r="G7" s="2282"/>
      <c r="H7" s="2282"/>
      <c r="I7" s="2282"/>
      <c r="J7" s="2282"/>
      <c r="K7" s="2282"/>
      <c r="L7" s="432"/>
      <c r="M7" s="439"/>
      <c r="N7" s="299"/>
      <c r="O7" s="419"/>
      <c r="P7" s="291"/>
      <c r="Q7" s="436"/>
      <c r="R7" s="437"/>
      <c r="S7" s="292"/>
      <c r="T7" s="438"/>
      <c r="U7" s="292"/>
      <c r="V7" s="438"/>
      <c r="W7" s="292"/>
      <c r="X7" s="438"/>
      <c r="Y7" s="292"/>
      <c r="Z7" s="438"/>
    </row>
    <row r="8" spans="1:256" ht="53.25" hidden="1" customHeight="1">
      <c r="B8" s="418"/>
      <c r="C8" s="2282"/>
      <c r="D8" s="2282"/>
      <c r="E8" s="2282"/>
      <c r="F8" s="2282"/>
      <c r="G8" s="2282"/>
      <c r="H8" s="2282"/>
      <c r="I8" s="2282"/>
      <c r="J8" s="2282"/>
      <c r="K8" s="2282"/>
      <c r="L8" s="432"/>
      <c r="M8" s="440"/>
      <c r="N8" s="441"/>
      <c r="O8" s="419"/>
      <c r="P8" s="291"/>
      <c r="Q8" s="436"/>
      <c r="R8" s="437"/>
      <c r="S8" s="292"/>
      <c r="T8" s="438"/>
      <c r="U8" s="292"/>
      <c r="V8" s="438"/>
      <c r="W8" s="292"/>
      <c r="X8" s="438"/>
      <c r="Y8" s="292"/>
      <c r="Z8" s="438"/>
    </row>
    <row r="9" spans="1:256" ht="21.75" customHeight="1">
      <c r="B9" s="418"/>
      <c r="C9" s="2286" t="s">
        <v>766</v>
      </c>
      <c r="D9" s="2287"/>
      <c r="E9" s="2287"/>
      <c r="F9" s="2287"/>
      <c r="G9" s="2287"/>
      <c r="H9" s="2287"/>
      <c r="I9" s="2287"/>
      <c r="J9" s="2288"/>
      <c r="K9" s="2289" t="e">
        <f>IF(OR(กรอกข้อมูล!#REF!&gt;0,กรอกข้อมูล!#REF!="ไม่ซื้อ",กรอกข้อมูล!#REF!=""),"ไม่คุ้มครอง",กรอกข้อมูล!#REF!)</f>
        <v>#REF!</v>
      </c>
      <c r="L9" s="2290"/>
      <c r="M9" s="2290"/>
      <c r="N9" s="2291"/>
      <c r="O9" s="442"/>
      <c r="P9" s="443"/>
      <c r="Q9" s="444"/>
      <c r="R9" s="445"/>
      <c r="S9" s="444"/>
      <c r="T9" s="446"/>
      <c r="U9" s="444"/>
      <c r="V9" s="446"/>
      <c r="W9" s="444"/>
      <c r="X9" s="446"/>
      <c r="Y9" s="444"/>
      <c r="Z9" s="446"/>
    </row>
    <row r="10" spans="1:256" ht="20.5">
      <c r="B10" s="418"/>
      <c r="C10" s="2286" t="s">
        <v>767</v>
      </c>
      <c r="D10" s="2287"/>
      <c r="E10" s="2287"/>
      <c r="F10" s="2287"/>
      <c r="G10" s="2287"/>
      <c r="H10" s="2287"/>
      <c r="I10" s="2287"/>
      <c r="J10" s="2288"/>
      <c r="K10" s="2292" t="e">
        <f>IF(K9="ไม่คุ้มครอง","",TEXT(VLOOKUP(กรอกข้อมูล!#REF!,$AC$11:$AD$17,2,FALSE),"#,##0")&amp;" บาท")</f>
        <v>#REF!</v>
      </c>
      <c r="L10" s="2293"/>
      <c r="M10" s="2293"/>
      <c r="N10" s="2294"/>
      <c r="O10" s="447"/>
      <c r="P10" s="448"/>
      <c r="Q10" s="449"/>
      <c r="R10" s="450"/>
      <c r="S10" s="449"/>
      <c r="T10" s="450"/>
      <c r="U10" s="449"/>
      <c r="V10" s="450"/>
      <c r="W10" s="449"/>
      <c r="X10" s="450"/>
      <c r="Y10" s="449"/>
      <c r="Z10" s="450"/>
      <c r="AC10" s="451" t="s">
        <v>768</v>
      </c>
      <c r="AD10" s="451" t="s">
        <v>769</v>
      </c>
      <c r="AE10" s="296"/>
    </row>
    <row r="11" spans="1:256" ht="56.25" customHeight="1">
      <c r="B11" s="418"/>
      <c r="C11" s="2283" t="e">
        <f>IF(OR(กรอกข้อมูล!#REF!="ไดมอนด์",กรอกข้อมูล!#REF!="แพลทินั่ม"),Q11,IF($Q$2="111",S11,IF($Q$2="110",U11,IF($Q$2="101",W11,Y11))))</f>
        <v>#REF!</v>
      </c>
      <c r="D11" s="2284"/>
      <c r="E11" s="2284"/>
      <c r="F11" s="2284"/>
      <c r="G11" s="2284"/>
      <c r="H11" s="2284"/>
      <c r="I11" s="2284"/>
      <c r="J11" s="2284"/>
      <c r="K11" s="2284"/>
      <c r="L11" s="2284"/>
      <c r="M11" s="2284"/>
      <c r="N11" s="2285"/>
      <c r="O11" s="447"/>
      <c r="P11" s="448"/>
      <c r="Q11" s="2280" t="s">
        <v>770</v>
      </c>
      <c r="R11" s="2281"/>
      <c r="S11" s="2280" t="s">
        <v>771</v>
      </c>
      <c r="T11" s="2281"/>
      <c r="U11" s="2280" t="s">
        <v>771</v>
      </c>
      <c r="V11" s="2281"/>
      <c r="W11" s="2280" t="s">
        <v>771</v>
      </c>
      <c r="X11" s="2281"/>
      <c r="Y11" s="2280" t="s">
        <v>771</v>
      </c>
      <c r="Z11" s="2281"/>
      <c r="AB11" s="2300" t="s">
        <v>772</v>
      </c>
      <c r="AC11" s="452" t="s">
        <v>583</v>
      </c>
      <c r="AD11" s="453">
        <v>3000000</v>
      </c>
      <c r="AE11" s="296"/>
    </row>
    <row r="12" spans="1:256" ht="21.5">
      <c r="B12" s="418"/>
      <c r="C12" s="2301" t="s">
        <v>73</v>
      </c>
      <c r="D12" s="2301"/>
      <c r="E12" s="2301"/>
      <c r="F12" s="2301"/>
      <c r="G12" s="2301"/>
      <c r="H12" s="2301"/>
      <c r="I12" s="2301"/>
      <c r="J12" s="2301"/>
      <c r="K12" s="2301" t="e">
        <f>IF(K9="ไม่คุ้มครอง",""," แผน "&amp;กรอกข้อมูล!#REF!)</f>
        <v>#REF!</v>
      </c>
      <c r="L12" s="2301"/>
      <c r="M12" s="2301"/>
      <c r="N12" s="2301"/>
      <c r="O12" s="447"/>
      <c r="P12" s="448"/>
      <c r="Q12" s="444" t="s">
        <v>773</v>
      </c>
      <c r="R12" s="454" t="e">
        <f>"ห้องพักเดี่ยวมาตรฐาน (ประเทศไทย ไม่เกิน " &amp; IF(OR(กรอกข้อมูล!#REF!="สมาร์ท คิดส์",กรอกข้อมูล!#REF!="สมาร์ท"),"6,000",IF(กรอกข้อมูล!#REF!="ซิลเวอร์","8,000",IF(OR(กรอกข้อมูล!#REF!="โกลด์ คิดส์",กรอกข้อมูล!#REF!="โกลด์"),"10,000",IF(กรอกข้อมูล!#REF!="ไดมอนด์","15,000","25,000")))) &amp; " บาทต่อวัน)"</f>
        <v>#REF!</v>
      </c>
      <c r="S12" s="444" t="s">
        <v>773</v>
      </c>
      <c r="T12" s="454" t="e">
        <f>"ห้องพักเดี่ยวมาตรฐาน (ประเทศไทย ไม่เกิน " &amp; IF(OR(กรอกข้อมูล!#REF!="สมาร์ท คิดส์",กรอกข้อมูล!#REF!="สมาร์ท"),"6,000",IF(กรอกข้อมูล!#REF!="ซิลเวอร์","8,000",IF(OR(กรอกข้อมูล!#REF!="โกลด์ คิดส์",กรอกข้อมูล!#REF!="โกลด์"),"10,000",IF(กรอกข้อมูล!#REF!="ไดมอนด์","15,000","25,000")))) &amp; " บาทต่อวัน)"</f>
        <v>#REF!</v>
      </c>
      <c r="U12" s="444" t="s">
        <v>773</v>
      </c>
      <c r="V12" s="454" t="e">
        <f>"ห้องพักเดี่ยวมาตรฐาน (ประเทศไทย ไม่เกิน " &amp; IF(OR(กรอกข้อมูล!#REF!="สมาร์ท คิดส์",กรอกข้อมูล!#REF!="สมาร์ท"),"6,000",IF(กรอกข้อมูล!#REF!="ซิลเวอร์","8,000",IF(OR(กรอกข้อมูล!#REF!="โกลด์ คิดส์",กรอกข้อมูล!#REF!="โกลด์"),"10,000",IF(กรอกข้อมูล!#REF!="ไดมอนด์","15,000","25,000")))) &amp; " บาทต่อวัน)"</f>
        <v>#REF!</v>
      </c>
      <c r="W12" s="444" t="s">
        <v>773</v>
      </c>
      <c r="X12" s="454" t="e">
        <f>"ห้องพักเดี่ยวมาตรฐาน (ประเทศไทย ไม่เกิน " &amp; IF(OR(กรอกข้อมูล!#REF!="สมาร์ท คิดส์",กรอกข้อมูล!#REF!="สมาร์ท"),"6,000",IF(กรอกข้อมูล!#REF!="ซิลเวอร์","8,000",IF(OR(กรอกข้อมูล!#REF!="โกลด์ คิดส์",กรอกข้อมูล!#REF!="โกลด์"),"10,000",IF(กรอกข้อมูล!#REF!="ไดมอนด์","15,000","25,000")))) &amp; " บาทต่อวัน)"</f>
        <v>#REF!</v>
      </c>
      <c r="Y12" s="444" t="s">
        <v>773</v>
      </c>
      <c r="Z12" s="454" t="e">
        <f>"ห้องพักเดี่ยวมาตรฐาน (ประเทศไทย ไม่เกิน " &amp; IF(OR(กรอกข้อมูล!#REF!="สมาร์ท คิดส์",กรอกข้อมูล!#REF!="สมาร์ท"),"6,000",IF(กรอกข้อมูล!#REF!="ซิลเวอร์","8,000",IF(OR(กรอกข้อมูล!#REF!="โกลด์ คิดส์",กรอกข้อมูล!#REF!="โกลด์"),"10,000",IF(กรอกข้อมูล!#REF!="ไดมอนด์","15,000","25,000")))) &amp; " บาทต่อวัน)"</f>
        <v>#REF!</v>
      </c>
      <c r="AB12" s="2300"/>
      <c r="AC12" s="452" t="s">
        <v>585</v>
      </c>
      <c r="AD12" s="453">
        <v>6000000</v>
      </c>
      <c r="AE12" s="296"/>
    </row>
    <row r="13" spans="1:256" ht="21.5">
      <c r="B13" s="418"/>
      <c r="C13" s="455" t="s">
        <v>773</v>
      </c>
      <c r="D13" s="456"/>
      <c r="E13" s="457"/>
      <c r="F13" s="457"/>
      <c r="G13" s="457"/>
      <c r="H13" s="457"/>
      <c r="I13" s="457"/>
      <c r="J13" s="458"/>
      <c r="K13" s="2298" t="e">
        <f>IF(K9="ไม่คุ้มครอง","",IF(OR(กรอกข้อมูล!#REF!="ไดมอนด์",กรอกข้อมูล!#REF!="แพลทินั่ม"),R12,IF($Q$2="111",T12,IF($Q$2="110",V12,IF($Q$2="101",X12,Z12)))))</f>
        <v>#REF!</v>
      </c>
      <c r="L13" s="2298"/>
      <c r="M13" s="2298"/>
      <c r="N13" s="2299"/>
      <c r="O13" s="447"/>
      <c r="P13" s="300"/>
      <c r="Q13" s="444" t="str">
        <f>" "</f>
        <v xml:space="preserve"> </v>
      </c>
      <c r="R13" s="454" t="s">
        <v>774</v>
      </c>
      <c r="S13" s="444" t="str">
        <f>" "</f>
        <v xml:space="preserve"> </v>
      </c>
      <c r="T13" s="454" t="s">
        <v>774</v>
      </c>
      <c r="U13" s="444" t="str">
        <f>" "</f>
        <v xml:space="preserve"> </v>
      </c>
      <c r="V13" s="454" t="s">
        <v>774</v>
      </c>
      <c r="W13" s="444" t="str">
        <f>" "</f>
        <v xml:space="preserve"> </v>
      </c>
      <c r="X13" s="454" t="s">
        <v>774</v>
      </c>
      <c r="Y13" s="444" t="str">
        <f>" "</f>
        <v xml:space="preserve"> </v>
      </c>
      <c r="Z13" s="454" t="s">
        <v>774</v>
      </c>
      <c r="AB13" s="2300"/>
      <c r="AC13" s="452" t="s">
        <v>587</v>
      </c>
      <c r="AD13" s="453">
        <v>10000000</v>
      </c>
      <c r="AE13" s="296"/>
    </row>
    <row r="14" spans="1:256" ht="21.5">
      <c r="B14" s="418"/>
      <c r="C14" s="455" t="s">
        <v>129</v>
      </c>
      <c r="D14" s="301"/>
      <c r="E14" s="302"/>
      <c r="F14" s="302"/>
      <c r="G14" s="302"/>
      <c r="H14" s="302"/>
      <c r="I14" s="303"/>
      <c r="J14" s="459"/>
      <c r="K14" s="2298" t="e">
        <f>IF(K9="ไม่คุ้มครอง","",IF(OR(กรอกข้อมูล!#REF!="ไดมอนด์",กรอกข้อมูล!#REF!="แพลทินั่ม"),R13,IF($Q$2="111",T13,IF($Q$2="110",V13,IF($Q$2="101",X13,Z13)))))</f>
        <v>#REF!</v>
      </c>
      <c r="L14" s="2298"/>
      <c r="M14" s="2298"/>
      <c r="N14" s="2299"/>
      <c r="O14" s="447"/>
      <c r="P14" s="300"/>
      <c r="Q14" s="444" t="s">
        <v>775</v>
      </c>
      <c r="R14" s="454" t="s">
        <v>776</v>
      </c>
      <c r="S14" s="444" t="s">
        <v>777</v>
      </c>
      <c r="T14" s="454" t="s">
        <v>776</v>
      </c>
      <c r="U14" s="444" t="s">
        <v>777</v>
      </c>
      <c r="V14" s="454" t="s">
        <v>776</v>
      </c>
      <c r="W14" s="444" t="s">
        <v>777</v>
      </c>
      <c r="X14" s="454" t="s">
        <v>776</v>
      </c>
      <c r="Y14" s="444" t="s">
        <v>777</v>
      </c>
      <c r="Z14" s="454" t="s">
        <v>776</v>
      </c>
      <c r="AB14" s="2300"/>
      <c r="AC14" s="452" t="s">
        <v>588</v>
      </c>
      <c r="AD14" s="453">
        <v>70000000</v>
      </c>
      <c r="AE14" s="296"/>
    </row>
    <row r="15" spans="1:256" ht="21.5">
      <c r="B15" s="418"/>
      <c r="C15" s="455" t="e">
        <f>IF(OR(กรอกข้อมูล!#REF!="ไดมอนด์",กรอกข้อมูล!#REF!="แพลทินั่ม"),"3.2 ค่าห้องผู้ป่วยวิกฤต (ICU, CCU) ต่อวัน","3.2 ค่าห้องผู้ป่วยวิกฤต (ICU, CCU และ PICU) ต่อวัน")</f>
        <v>#REF!</v>
      </c>
      <c r="D15" s="301"/>
      <c r="E15" s="302"/>
      <c r="F15" s="302"/>
      <c r="G15" s="302"/>
      <c r="H15" s="302"/>
      <c r="I15" s="303"/>
      <c r="J15" s="459"/>
      <c r="K15" s="2298" t="e">
        <f>IF(K9="ไม่คุ้มครอง","",IF(OR(กรอกข้อมูล!#REF!="ไดมอนด์",กรอกข้อมูล!#REF!="แพลทินั่ม"),R14,IF($Q$2="111",T14,IF($Q$2="110",V14,IF($Q$2="101",X14,Z14)))))</f>
        <v>#REF!</v>
      </c>
      <c r="L15" s="2298"/>
      <c r="M15" s="2298"/>
      <c r="N15" s="2299"/>
      <c r="O15" s="447"/>
      <c r="P15" s="300"/>
      <c r="Q15" s="444" t="s">
        <v>778</v>
      </c>
      <c r="R15" s="454" t="s">
        <v>776</v>
      </c>
      <c r="S15" s="444" t="s">
        <v>778</v>
      </c>
      <c r="T15" s="454" t="s">
        <v>776</v>
      </c>
      <c r="U15" s="444" t="s">
        <v>778</v>
      </c>
      <c r="V15" s="454" t="s">
        <v>776</v>
      </c>
      <c r="W15" s="444" t="s">
        <v>778</v>
      </c>
      <c r="X15" s="454" t="s">
        <v>776</v>
      </c>
      <c r="Y15" s="444" t="s">
        <v>778</v>
      </c>
      <c r="Z15" s="454" t="s">
        <v>776</v>
      </c>
      <c r="AB15" s="2300"/>
      <c r="AC15" s="452" t="s">
        <v>589</v>
      </c>
      <c r="AD15" s="460">
        <v>100000000</v>
      </c>
      <c r="AE15" s="296"/>
    </row>
    <row r="16" spans="1:256" ht="21.5">
      <c r="B16" s="418"/>
      <c r="C16" s="455" t="s">
        <v>778</v>
      </c>
      <c r="D16" s="301"/>
      <c r="E16" s="302"/>
      <c r="F16" s="302"/>
      <c r="G16" s="302"/>
      <c r="H16" s="302"/>
      <c r="I16" s="303"/>
      <c r="J16" s="459"/>
      <c r="K16" s="2298" t="e">
        <f>IF(K9="ไม่คุ้มครอง","",IF(OR(กรอกข้อมูล!#REF!="ไดมอนด์",กรอกข้อมูล!#REF!="แพลทินั่ม"),R15,IF($Q$2="111",T15,IF($Q$2="110",V15,IF($Q$2="101",X15,Z15)))))</f>
        <v>#REF!</v>
      </c>
      <c r="L16" s="2298"/>
      <c r="M16" s="2298"/>
      <c r="N16" s="2299"/>
      <c r="O16" s="447"/>
      <c r="P16" s="300"/>
      <c r="Q16" s="444" t="s">
        <v>779</v>
      </c>
      <c r="R16" s="454" t="s">
        <v>776</v>
      </c>
      <c r="S16" s="444" t="s">
        <v>779</v>
      </c>
      <c r="T16" s="454" t="s">
        <v>776</v>
      </c>
      <c r="U16" s="444" t="s">
        <v>779</v>
      </c>
      <c r="V16" s="454" t="s">
        <v>776</v>
      </c>
      <c r="W16" s="444" t="s">
        <v>779</v>
      </c>
      <c r="X16" s="454" t="s">
        <v>776</v>
      </c>
      <c r="Y16" s="444" t="s">
        <v>779</v>
      </c>
      <c r="Z16" s="454" t="s">
        <v>776</v>
      </c>
      <c r="AB16" s="2302" t="s">
        <v>780</v>
      </c>
      <c r="AC16" s="461" t="s">
        <v>573</v>
      </c>
      <c r="AD16" s="462">
        <v>3000000</v>
      </c>
      <c r="AE16" s="296"/>
    </row>
    <row r="17" spans="2:31" ht="21.75" customHeight="1">
      <c r="B17" s="418"/>
      <c r="C17" s="455" t="s">
        <v>779</v>
      </c>
      <c r="D17" s="301"/>
      <c r="E17" s="302"/>
      <c r="F17" s="302"/>
      <c r="G17" s="302"/>
      <c r="H17" s="302"/>
      <c r="I17" s="303"/>
      <c r="J17" s="459"/>
      <c r="K17" s="2298" t="e">
        <f>IF(K9="ไม่คุ้มครอง","",IF(OR(กรอกข้อมูล!#REF!="ไดมอนด์",กรอกข้อมูล!#REF!="แพลทินั่ม"),R16,IF($Q$2="111",T16,IF($Q$2="110",V16,IF($Q$2="101",X16,Z16)))))</f>
        <v>#REF!</v>
      </c>
      <c r="L17" s="2298"/>
      <c r="M17" s="2298"/>
      <c r="N17" s="2299"/>
      <c r="O17" s="447"/>
      <c r="P17" s="300"/>
      <c r="Q17" s="444" t="s">
        <v>781</v>
      </c>
      <c r="R17" s="454" t="s">
        <v>776</v>
      </c>
      <c r="S17" s="444" t="s">
        <v>781</v>
      </c>
      <c r="T17" s="454" t="s">
        <v>776</v>
      </c>
      <c r="U17" s="444" t="s">
        <v>781</v>
      </c>
      <c r="V17" s="454" t="s">
        <v>776</v>
      </c>
      <c r="W17" s="444" t="s">
        <v>781</v>
      </c>
      <c r="X17" s="454" t="s">
        <v>776</v>
      </c>
      <c r="Y17" s="444" t="s">
        <v>781</v>
      </c>
      <c r="Z17" s="454" t="s">
        <v>776</v>
      </c>
      <c r="AB17" s="2302"/>
      <c r="AC17" s="461" t="s">
        <v>579</v>
      </c>
      <c r="AD17" s="462">
        <v>10000000</v>
      </c>
      <c r="AE17" s="296"/>
    </row>
    <row r="18" spans="2:31" ht="21.75" customHeight="1">
      <c r="B18" s="418"/>
      <c r="C18" s="455" t="s">
        <v>781</v>
      </c>
      <c r="D18" s="301"/>
      <c r="E18" s="302"/>
      <c r="F18" s="302"/>
      <c r="G18" s="302"/>
      <c r="H18" s="302"/>
      <c r="I18" s="303"/>
      <c r="J18" s="459"/>
      <c r="K18" s="2298" t="e">
        <f>IF(K9="ไม่คุ้มครอง","",IF(OR(กรอกข้อมูล!#REF!="ไดมอนด์",กรอกข้อมูล!#REF!="แพลทินั่ม"),R17,IF($Q$2="111",T17,IF($Q$2="110",V17,IF($Q$2="101",X17,Z17)))))</f>
        <v>#REF!</v>
      </c>
      <c r="L18" s="2298"/>
      <c r="M18" s="2298"/>
      <c r="N18" s="2299"/>
      <c r="O18" s="447"/>
      <c r="P18" s="300"/>
      <c r="Q18" s="444" t="s">
        <v>782</v>
      </c>
      <c r="R18" s="454" t="s">
        <v>776</v>
      </c>
      <c r="S18" s="444" t="s">
        <v>782</v>
      </c>
      <c r="T18" s="454" t="s">
        <v>776</v>
      </c>
      <c r="U18" s="444" t="s">
        <v>782</v>
      </c>
      <c r="V18" s="454" t="s">
        <v>776</v>
      </c>
      <c r="W18" s="444" t="s">
        <v>782</v>
      </c>
      <c r="X18" s="454" t="s">
        <v>776</v>
      </c>
      <c r="Y18" s="444" t="s">
        <v>782</v>
      </c>
      <c r="Z18" s="454" t="s">
        <v>776</v>
      </c>
    </row>
    <row r="19" spans="2:31" ht="21.75" customHeight="1">
      <c r="B19" s="418"/>
      <c r="C19" s="455" t="s">
        <v>782</v>
      </c>
      <c r="D19" s="301"/>
      <c r="E19" s="302"/>
      <c r="F19" s="302"/>
      <c r="G19" s="302"/>
      <c r="H19" s="302"/>
      <c r="I19" s="303"/>
      <c r="J19" s="459"/>
      <c r="K19" s="2298" t="e">
        <f>IF(K9="ไม่คุ้มครอง","",IF(OR(กรอกข้อมูล!#REF!="ไดมอนด์",กรอกข้อมูล!#REF!="แพลทินั่ม"),R18,IF($Q$2="111",T18,IF($Q$2="110",V18,IF($Q$2="101",X18,Z18)))))</f>
        <v>#REF!</v>
      </c>
      <c r="L19" s="2298"/>
      <c r="M19" s="2298"/>
      <c r="N19" s="2299"/>
      <c r="O19" s="447"/>
      <c r="P19" s="300"/>
      <c r="Q19" s="444" t="s">
        <v>783</v>
      </c>
      <c r="R19" s="454" t="s">
        <v>776</v>
      </c>
      <c r="S19" s="444" t="s">
        <v>783</v>
      </c>
      <c r="T19" s="454" t="s">
        <v>776</v>
      </c>
      <c r="U19" s="444" t="s">
        <v>783</v>
      </c>
      <c r="V19" s="454" t="s">
        <v>776</v>
      </c>
      <c r="W19" s="444" t="s">
        <v>783</v>
      </c>
      <c r="X19" s="454" t="s">
        <v>776</v>
      </c>
      <c r="Y19" s="444" t="s">
        <v>783</v>
      </c>
      <c r="Z19" s="454" t="s">
        <v>776</v>
      </c>
      <c r="AD19" s="417"/>
    </row>
    <row r="20" spans="2:31" ht="21.75" customHeight="1">
      <c r="B20" s="418"/>
      <c r="C20" s="455" t="s">
        <v>784</v>
      </c>
      <c r="D20" s="301"/>
      <c r="E20" s="302"/>
      <c r="F20" s="302"/>
      <c r="G20" s="302"/>
      <c r="H20" s="302"/>
      <c r="I20" s="303"/>
      <c r="J20" s="459"/>
      <c r="K20" s="2298" t="e">
        <f>IF(K9="ไม่คุ้มครอง","",IF(OR(กรอกข้อมูล!#REF!="ไดมอนด์",กรอกข้อมูล!#REF!="แพลทินั่ม"),R19,IF($Q$2="111",T19,IF($Q$2="110",V19,IF($Q$2="101",X19,Z19)))))</f>
        <v>#REF!</v>
      </c>
      <c r="L20" s="2298"/>
      <c r="M20" s="2298"/>
      <c r="N20" s="2299"/>
      <c r="O20" s="447"/>
      <c r="P20" s="300"/>
      <c r="Q20" s="444" t="s">
        <v>785</v>
      </c>
      <c r="R20" s="454" t="str">
        <f>" "</f>
        <v xml:space="preserve"> </v>
      </c>
      <c r="S20" s="444" t="s">
        <v>785</v>
      </c>
      <c r="T20" s="454" t="str">
        <f t="shared" ref="T20:Z20" si="0">" "</f>
        <v xml:space="preserve"> </v>
      </c>
      <c r="U20" s="444" t="s">
        <v>785</v>
      </c>
      <c r="V20" s="454" t="str">
        <f t="shared" si="0"/>
        <v xml:space="preserve"> </v>
      </c>
      <c r="W20" s="444" t="s">
        <v>785</v>
      </c>
      <c r="X20" s="454" t="str">
        <f t="shared" si="0"/>
        <v xml:space="preserve"> </v>
      </c>
      <c r="Y20" s="444" t="s">
        <v>785</v>
      </c>
      <c r="Z20" s="454" t="str">
        <f t="shared" si="0"/>
        <v xml:space="preserve"> </v>
      </c>
      <c r="AC20" s="417"/>
      <c r="AD20" s="463"/>
    </row>
    <row r="21" spans="2:31" ht="21.75" customHeight="1">
      <c r="B21" s="418"/>
      <c r="C21" s="455" t="s">
        <v>785</v>
      </c>
      <c r="D21" s="301"/>
      <c r="E21" s="302"/>
      <c r="F21" s="302"/>
      <c r="G21" s="302"/>
      <c r="H21" s="302"/>
      <c r="I21" s="303"/>
      <c r="J21" s="459"/>
      <c r="K21" s="2298" t="e">
        <f>IF(K9="ไม่คุ้มครอง","",IF(OR(กรอกข้อมูล!#REF!="ไดมอนด์",กรอกข้อมูล!#REF!="แพลทินั่ม"),R20,IF($Q$2="111",T20,IF($Q$2="110",V20,IF($Q$2="101",X20,Z20)))))</f>
        <v>#REF!</v>
      </c>
      <c r="L21" s="2298"/>
      <c r="M21" s="2298"/>
      <c r="N21" s="2299"/>
      <c r="O21" s="447"/>
      <c r="P21" s="300"/>
      <c r="Q21" s="444" t="s">
        <v>786</v>
      </c>
      <c r="R21" s="454" t="s">
        <v>776</v>
      </c>
      <c r="S21" s="444" t="s">
        <v>786</v>
      </c>
      <c r="T21" s="454" t="s">
        <v>776</v>
      </c>
      <c r="U21" s="444" t="s">
        <v>786</v>
      </c>
      <c r="V21" s="454" t="s">
        <v>776</v>
      </c>
      <c r="W21" s="444" t="s">
        <v>786</v>
      </c>
      <c r="X21" s="454" t="s">
        <v>776</v>
      </c>
      <c r="Y21" s="444" t="s">
        <v>786</v>
      </c>
      <c r="Z21" s="454" t="s">
        <v>776</v>
      </c>
      <c r="AC21" s="417"/>
      <c r="AD21" s="464"/>
    </row>
    <row r="22" spans="2:31" ht="21.75" customHeight="1">
      <c r="B22" s="418"/>
      <c r="C22" s="455" t="s">
        <v>786</v>
      </c>
      <c r="D22" s="301"/>
      <c r="E22" s="302"/>
      <c r="F22" s="302"/>
      <c r="G22" s="302"/>
      <c r="H22" s="302"/>
      <c r="I22" s="303"/>
      <c r="J22" s="459"/>
      <c r="K22" s="2298" t="e">
        <f>IF(K9="ไม่คุ้มครอง","",IF(OR(กรอกข้อมูล!#REF!="ไดมอนด์",กรอกข้อมูล!#REF!="แพลทินั่ม"),R21,IF($Q$2="111",T21,IF($Q$2="110",V21,IF($Q$2="101",X21,Z21)))))</f>
        <v>#REF!</v>
      </c>
      <c r="L22" s="2298"/>
      <c r="M22" s="2298"/>
      <c r="N22" s="2299"/>
      <c r="O22" s="447"/>
      <c r="P22" s="300"/>
      <c r="Q22" s="444" t="s">
        <v>787</v>
      </c>
      <c r="R22" s="454" t="s">
        <v>776</v>
      </c>
      <c r="S22" s="444" t="s">
        <v>787</v>
      </c>
      <c r="T22" s="454" t="s">
        <v>776</v>
      </c>
      <c r="U22" s="444" t="s">
        <v>787</v>
      </c>
      <c r="V22" s="454" t="s">
        <v>776</v>
      </c>
      <c r="W22" s="444" t="s">
        <v>787</v>
      </c>
      <c r="X22" s="454" t="s">
        <v>776</v>
      </c>
      <c r="Y22" s="444" t="s">
        <v>787</v>
      </c>
      <c r="Z22" s="454" t="s">
        <v>776</v>
      </c>
    </row>
    <row r="23" spans="2:31" ht="21.75" customHeight="1">
      <c r="B23" s="418"/>
      <c r="C23" s="455" t="s">
        <v>787</v>
      </c>
      <c r="D23" s="301"/>
      <c r="E23" s="302"/>
      <c r="F23" s="302"/>
      <c r="G23" s="302"/>
      <c r="H23" s="302"/>
      <c r="I23" s="303"/>
      <c r="J23" s="459"/>
      <c r="K23" s="2298" t="e">
        <f>IF(K9="ไม่คุ้มครอง","",IF(OR(กรอกข้อมูล!#REF!="ไดมอนด์",กรอกข้อมูล!#REF!="แพลทินั่ม"),R22,IF($Q$2="111",T22,IF($Q$2="110",V22,IF($Q$2="101",X22,Z22)))))</f>
        <v>#REF!</v>
      </c>
      <c r="L23" s="2298"/>
      <c r="M23" s="2298"/>
      <c r="N23" s="2299"/>
      <c r="O23" s="447"/>
      <c r="P23" s="465"/>
      <c r="Q23" s="444" t="s">
        <v>788</v>
      </c>
      <c r="R23" s="454" t="str">
        <f>" "</f>
        <v xml:space="preserve"> </v>
      </c>
      <c r="S23" s="444" t="s">
        <v>788</v>
      </c>
      <c r="T23" s="454" t="str">
        <f>" "</f>
        <v xml:space="preserve"> </v>
      </c>
      <c r="U23" s="444" t="s">
        <v>788</v>
      </c>
      <c r="V23" s="454" t="str">
        <f>" "</f>
        <v xml:space="preserve"> </v>
      </c>
      <c r="W23" s="444" t="s">
        <v>788</v>
      </c>
      <c r="X23" s="454" t="str">
        <f>" "</f>
        <v xml:space="preserve"> </v>
      </c>
      <c r="Y23" s="444" t="s">
        <v>789</v>
      </c>
      <c r="Z23" s="454" t="str">
        <f t="shared" ref="Z23:Z45" si="1">" "</f>
        <v xml:space="preserve"> </v>
      </c>
    </row>
    <row r="24" spans="2:31" ht="21.75" customHeight="1">
      <c r="B24" s="418"/>
      <c r="C24" s="455" t="s">
        <v>788</v>
      </c>
      <c r="D24" s="301"/>
      <c r="E24" s="302"/>
      <c r="F24" s="302"/>
      <c r="G24" s="302"/>
      <c r="H24" s="302"/>
      <c r="I24" s="303"/>
      <c r="J24" s="459"/>
      <c r="K24" s="2298" t="e">
        <f>IF(K9="ไม่คุ้มครอง","",IF(OR(กรอกข้อมูล!#REF!="ไดมอนด์",กรอกข้อมูล!#REF!="แพลทินั่ม"),R23,IF($Q$2="111",T23,IF($Q$2="110",V23,IF($Q$2="101",X23,Z23)))))</f>
        <v>#REF!</v>
      </c>
      <c r="L24" s="2298"/>
      <c r="M24" s="2298"/>
      <c r="N24" s="2299"/>
      <c r="O24" s="447"/>
      <c r="P24" s="465"/>
      <c r="Q24" s="444" t="s">
        <v>790</v>
      </c>
      <c r="R24" s="454" t="str">
        <f>" "</f>
        <v xml:space="preserve"> </v>
      </c>
      <c r="S24" s="444" t="s">
        <v>790</v>
      </c>
      <c r="T24" s="454" t="str">
        <f>" "</f>
        <v xml:space="preserve"> </v>
      </c>
      <c r="U24" s="444" t="s">
        <v>790</v>
      </c>
      <c r="V24" s="454" t="str">
        <f>" "</f>
        <v xml:space="preserve"> </v>
      </c>
      <c r="W24" s="444" t="s">
        <v>790</v>
      </c>
      <c r="X24" s="454" t="str">
        <f>" "</f>
        <v xml:space="preserve"> </v>
      </c>
      <c r="Y24" s="444" t="s">
        <v>790</v>
      </c>
      <c r="Z24" s="450" t="str">
        <f t="shared" si="1"/>
        <v xml:space="preserve"> </v>
      </c>
    </row>
    <row r="25" spans="2:31" ht="21.75" customHeight="1">
      <c r="B25" s="418"/>
      <c r="C25" s="455" t="s">
        <v>790</v>
      </c>
      <c r="D25" s="301"/>
      <c r="E25" s="302"/>
      <c r="F25" s="302"/>
      <c r="G25" s="302"/>
      <c r="H25" s="302"/>
      <c r="I25" s="303"/>
      <c r="J25" s="459"/>
      <c r="K25" s="2298" t="e">
        <f>IF(K9="ไม่คุ้มครอง","",IF(OR(กรอกข้อมูล!#REF!="ไดมอนด์",กรอกข้อมูล!#REF!="แพลทินั่ม"),R24,IF($Q$2="111",T24,IF($Q$2="110",V24,IF($Q$2="101",X24,Z24)))))</f>
        <v>#REF!</v>
      </c>
      <c r="L25" s="2298"/>
      <c r="M25" s="2298"/>
      <c r="N25" s="2299"/>
      <c r="O25" s="447"/>
      <c r="P25" s="300"/>
      <c r="Q25" s="466" t="s">
        <v>791</v>
      </c>
      <c r="R25" s="467" t="str">
        <f>" "</f>
        <v xml:space="preserve"> </v>
      </c>
      <c r="S25" s="466" t="s">
        <v>792</v>
      </c>
      <c r="T25" s="435"/>
      <c r="U25" s="466" t="s">
        <v>792</v>
      </c>
      <c r="V25" s="468"/>
      <c r="W25" s="466" t="s">
        <v>793</v>
      </c>
      <c r="X25" s="435"/>
      <c r="Y25" s="466"/>
      <c r="Z25" s="435" t="str">
        <f t="shared" si="1"/>
        <v xml:space="preserve"> </v>
      </c>
    </row>
    <row r="26" spans="2:31" ht="50.15" customHeight="1">
      <c r="B26" s="418"/>
      <c r="C26" s="2295" t="e">
        <f>IF(OR(กรอกข้อมูล!#REF!="ไดมอนด์",กรอกข้อมูล!#REF!="แพลทินั่ม"),Q25,IF($Q$2="111",S25,IF($Q$2="110",U25,IF($Q$2="101",W25,""))))</f>
        <v>#REF!</v>
      </c>
      <c r="D26" s="2296"/>
      <c r="E26" s="2296"/>
      <c r="F26" s="2296"/>
      <c r="G26" s="2296"/>
      <c r="H26" s="2296"/>
      <c r="I26" s="2296"/>
      <c r="J26" s="2296"/>
      <c r="K26" s="2296"/>
      <c r="L26" s="2296"/>
      <c r="M26" s="2296"/>
      <c r="N26" s="2297"/>
      <c r="O26" s="469"/>
      <c r="P26" s="300"/>
      <c r="Q26" s="444" t="s">
        <v>794</v>
      </c>
      <c r="R26" s="454" t="e">
        <f>IF(OR(กรอกข้อมูล!#REF!="สมาร์ท คิดส์",กรอกข้อมูล!#REF!="สมาร์ท"),"12,000 บาทต่อปี และ",IF(กรอกข้อมูล!#REF!="ซิลเวอร์","35,000 บาทต่อปี และ",IF(OR(กรอกข้อมูล!#REF!="โกลด์ คิดส์",กรอกข้อมูล!#REF!="โกลด์"),"50,000 บาทต่อปี และ",IF(กรอกข้อมูล!#REF!="ไดมอนด์","100,000 บาทต่อปี และ","จ่ายตามจริง ")))) &amp;"ไม่เกินผลประโยชน์รวมสูงสุดต่อปี"</f>
        <v>#REF!</v>
      </c>
      <c r="S26" s="470" t="s">
        <v>795</v>
      </c>
      <c r="T26" s="438" t="e">
        <f>"ห้องพักเดี่ยวมาตรฐาน (ประเทศไทย ไม่เกิน " &amp; IF(OR(กรอกข้อมูล!#REF!="สมาร์ท คิดส์",กรอกข้อมูล!#REF!="สมาร์ท"),"6,000",IF(กรอกข้อมูล!#REF!="ซิลเวอร์","8,000",IF(OR(กรอกข้อมูล!#REF!="โกลด์ คิดส์",กรอกข้อมูล!#REF!="โกลด์"),"10,000",IF(กรอกข้อมูล!#REF!="ไดมอนด์","15,000","25,000")))) &amp; " บาทต่อวัน)"</f>
        <v>#REF!</v>
      </c>
      <c r="U26" s="470" t="s">
        <v>795</v>
      </c>
      <c r="V26" s="296" t="e">
        <f>"ห้องพักเดี่ยวมาตรฐาน (ประเทศไทย ไม่เกิน " &amp; IF(OR(กรอกข้อมูล!#REF!="สมาร์ท คิดส์",กรอกข้อมูล!#REF!="สมาร์ท"),"6,000",IF(กรอกข้อมูล!#REF!="ซิลเวอร์","8,000",IF(OR(กรอกข้อมูล!#REF!="โกลด์ คิดส์",กรอกข้อมูล!#REF!="โกลด์"),"10,000",IF(กรอกข้อมูล!#REF!="ไดมอนด์","15,000","25,000")))) &amp; " บาทต่อวัน)"</f>
        <v>#REF!</v>
      </c>
      <c r="W26" s="444" t="s">
        <v>794</v>
      </c>
      <c r="X26" s="454" t="e">
        <f>IF(OR(กรอกข้อมูล!#REF!="สมาร์ท คิดส์",กรอกข้อมูล!#REF!="สมาร์ท"),"12,000 บาทต่อปี และ",IF(กรอกข้อมูล!#REF!="ซิลเวอร์","35,000 บาทต่อปี และ",IF(OR(กรอกข้อมูล!#REF!="โกลด์ คิดส์",กรอกข้อมูล!#REF!="โกลด์"),"50,000 บาทต่อปี และ",IF(กรอกข้อมูล!#REF!="ไดมอนด์","100,000 บาทต่อปี และ","จ่ายตามจริง ")))) &amp;"ไม่เกินผลประโยชน์รวมสูงสุดต่อปี"</f>
        <v>#REF!</v>
      </c>
      <c r="Y26" s="444"/>
      <c r="Z26" s="454" t="str">
        <f t="shared" si="1"/>
        <v xml:space="preserve"> </v>
      </c>
    </row>
    <row r="27" spans="2:31" ht="21.5">
      <c r="B27" s="418"/>
      <c r="C27" s="455" t="e">
        <f>IF(OR(กรอกข้อมูล!#REF!="ไดมอนด์",กรอกข้อมูล!#REF!="แพลทินั่ม"),Q26,IF($Q$2="111",S26,IF($Q$2="110",U26,IF($Q$2="101",W26,""))))</f>
        <v>#REF!</v>
      </c>
      <c r="D27" s="301"/>
      <c r="E27" s="302"/>
      <c r="F27" s="302"/>
      <c r="G27" s="302"/>
      <c r="H27" s="302"/>
      <c r="I27" s="303"/>
      <c r="J27" s="459"/>
      <c r="K27" s="2298" t="e">
        <f>IF(K9="ไม่คุ้มครอง","",IF(OR(กรอกข้อมูล!#REF!="ไดมอนด์",กรอกข้อมูล!#REF!="แพลทินั่ม"),R26,IF($Q$2="111",T26,IF($Q$2="110",V26,IF($Q$2="101",X26,Z26)))))</f>
        <v>#REF!</v>
      </c>
      <c r="L27" s="2298"/>
      <c r="M27" s="2298"/>
      <c r="N27" s="2299"/>
      <c r="O27" s="469"/>
      <c r="P27" s="300"/>
      <c r="Q27" s="444" t="s">
        <v>796</v>
      </c>
      <c r="R27" s="454" t="e">
        <f>IF(OR(กรอกข้อมูล!#REF!="สมาร์ท คิดส์",กรอกข้อมูล!#REF!="สมาร์ท"),"5,000",IF(กรอกข้อมูล!#REF!="ซิลเวอร์","10,000",IF(OR(กรอกข้อมูล!#REF!="โกลด์ คิดส์",กรอกข้อมูล!#REF!="โกลด์"),"15,000",IF(กรอกข้อมูล!#REF!="ไดมอนด์","25,000","35,000")))) &amp;" บาทต่อปี และไม่เกินผลประโยชน์รวมสูงสุดต่อปี"</f>
        <v>#REF!</v>
      </c>
      <c r="S27" s="444" t="str">
        <f>" "</f>
        <v xml:space="preserve"> </v>
      </c>
      <c r="T27" s="438" t="s">
        <v>774</v>
      </c>
      <c r="U27" s="444" t="str">
        <f>" "</f>
        <v xml:space="preserve"> </v>
      </c>
      <c r="V27" s="296" t="s">
        <v>774</v>
      </c>
      <c r="W27" s="444" t="s">
        <v>796</v>
      </c>
      <c r="X27" s="454" t="e">
        <f>IF(OR(กรอกข้อมูล!#REF!="สมาร์ท คิดส์",กรอกข้อมูล!#REF!="สมาร์ท"),"5,000",IF(กรอกข้อมูล!#REF!="ซิลเวอร์","10,000",IF(OR(กรอกข้อมูล!#REF!="โกลด์ คิดส์",กรอกข้อมูล!#REF!="โกลด์"),"15,000",IF(กรอกข้อมูล!#REF!="ไดมอนด์","25,000","35,000")))) &amp;" บาทต่อปี และไม่เกินผลประโยชน์รวมสูงสุดต่อปี"</f>
        <v>#REF!</v>
      </c>
      <c r="Y27" s="444"/>
      <c r="Z27" s="454" t="str">
        <f t="shared" si="1"/>
        <v xml:space="preserve"> </v>
      </c>
    </row>
    <row r="28" spans="2:31" ht="21.5">
      <c r="B28" s="418"/>
      <c r="C28" s="455" t="e">
        <f>IF(OR(กรอกข้อมูล!#REF!="ไดมอนด์",กรอกข้อมูล!#REF!="แพลทินั่ม"),Q27,IF($Q$2="111",S27,IF($Q$2="110",U27,IF($Q$2="101",W27,""))))</f>
        <v>#REF!</v>
      </c>
      <c r="D28" s="301"/>
      <c r="E28" s="302"/>
      <c r="F28" s="302"/>
      <c r="G28" s="302"/>
      <c r="H28" s="302"/>
      <c r="I28" s="303"/>
      <c r="J28" s="459"/>
      <c r="K28" s="2298" t="e">
        <f>IF(K9="ไม่คุ้มครอง","",IF(OR(กรอกข้อมูล!#REF!="ไดมอนด์",กรอกข้อมูล!#REF!="แพลทินั่ม"),R27,IF($Q$2="111",T27,IF($Q$2="110",V27,IF($Q$2="101",X27,Z27)))))</f>
        <v>#REF!</v>
      </c>
      <c r="L28" s="2298"/>
      <c r="M28" s="2298"/>
      <c r="N28" s="2299"/>
      <c r="O28" s="469"/>
      <c r="P28" s="300"/>
      <c r="Q28" s="444" t="str">
        <f>" "</f>
        <v xml:space="preserve"> </v>
      </c>
      <c r="R28" s="454" t="e">
        <f>IF(กรอกข้อมูล!#REF!&lt;&gt;"แพลทินั่ม","(ผู้เอาประกันภัยมีส่วนร่วมจ่าย 20%)"," ")</f>
        <v>#REF!</v>
      </c>
      <c r="S28" s="292" t="s">
        <v>797</v>
      </c>
      <c r="T28" s="438" t="s">
        <v>776</v>
      </c>
      <c r="U28" s="292" t="s">
        <v>797</v>
      </c>
      <c r="V28" s="296" t="s">
        <v>776</v>
      </c>
      <c r="W28" s="444" t="str">
        <f>" "</f>
        <v xml:space="preserve"> </v>
      </c>
      <c r="X28" s="454" t="e">
        <f>IF(กรอกข้อมูล!#REF!&lt;&gt;"แพลทินั่ม","(ผู้เอาประกันภัยมีส่วนร่วมจ่าย 20%)"," ")</f>
        <v>#REF!</v>
      </c>
      <c r="Y28" s="444"/>
      <c r="Z28" s="454" t="str">
        <f t="shared" si="1"/>
        <v xml:space="preserve"> </v>
      </c>
    </row>
    <row r="29" spans="2:31" ht="21.5">
      <c r="B29" s="418"/>
      <c r="C29" s="455" t="e">
        <f>IF(OR(กรอกข้อมูล!#REF!="ไดมอนด์",กรอกข้อมูล!#REF!="แพลทินั่ม"),Q28,IF($Q$2="111",S28,IF($Q$2="110",U28,IF($Q$2="101",W28,""))))</f>
        <v>#REF!</v>
      </c>
      <c r="D29" s="301"/>
      <c r="E29" s="302"/>
      <c r="F29" s="302"/>
      <c r="G29" s="302"/>
      <c r="H29" s="302"/>
      <c r="I29" s="303"/>
      <c r="J29" s="459"/>
      <c r="K29" s="2298" t="e">
        <f>IF(K9="ไม่คุ้มครอง","",IF(OR(กรอกข้อมูล!#REF!="ไดมอนด์",กรอกข้อมูล!#REF!="แพลทินั่ม"),R28,IF($Q$2="111",T28,IF($Q$2="110",V28,IF($Q$2="101",X28,Z28)))))</f>
        <v>#REF!</v>
      </c>
      <c r="L29" s="2298"/>
      <c r="M29" s="2298"/>
      <c r="N29" s="2299"/>
      <c r="O29" s="469"/>
      <c r="P29" s="300"/>
      <c r="Q29" s="444" t="s">
        <v>798</v>
      </c>
      <c r="R29" s="454" t="e">
        <f>IF(OR(กรอกข้อมูล!#REF!="สมาร์ท คิดส์",กรอกข้อมูล!#REF!="สมาร์ท"),"5,000",IF(กรอกข้อมูล!#REF!="ซิลเวอร์","10,000",IF(OR(กรอกข้อมูล!#REF!="โกลด์ คิดส์",กรอกข้อมูล!#REF!="โกลด์"),"15,000",IF(กรอกข้อมูล!#REF!="ไดมอนด์","25,000","36,000")))) &amp;" บาทต่อปี และไม่เกินผลประโยชน์รวมสูงสุดต่อปี"</f>
        <v>#REF!</v>
      </c>
      <c r="S29" s="444" t="str">
        <f>" "</f>
        <v xml:space="preserve"> </v>
      </c>
      <c r="T29" s="471" t="e">
        <f>IF(กรอกข้อมูล!#REF!="สมาร์ท คิดส์","(สำหรับผู้เอาประกันภัยอายุ 0 - 15 ปี ผู้เอาประกันภัยจะมีส่วนร่วมจ่าย 30% **)"," ")</f>
        <v>#REF!</v>
      </c>
      <c r="U29" s="444" t="str">
        <f>" "</f>
        <v xml:space="preserve"> </v>
      </c>
      <c r="V29" s="298" t="e">
        <f>IF(กรอกข้อมูล!#REF!="สมาร์ท คิดส์","(สำหรับผู้เอาประกันภัยอายุ 0 - 15 ปี ผู้เอาประกันภัยจะมีส่วนร่วมจ่าย 30%)"," ")</f>
        <v>#REF!</v>
      </c>
      <c r="W29" s="444" t="s">
        <v>798</v>
      </c>
      <c r="X29" s="454" t="e">
        <f>IF(OR(กรอกข้อมูล!#REF!="สมาร์ท คิดส์",กรอกข้อมูล!#REF!="สมาร์ท"),"5,000",IF(กรอกข้อมูล!#REF!="ซิลเวอร์","10,000",IF(OR(กรอกข้อมูล!#REF!="โกลด์ คิดส์",กรอกข้อมูล!#REF!="โกลด์"),"15,000",IF(กรอกข้อมูล!#REF!="ไดมอนด์","25,000","36,000")))) &amp;" บาทต่อปี และไม่เกินผลประโยชน์รวมสูงสุดต่อปี"</f>
        <v>#REF!</v>
      </c>
      <c r="Y29" s="444"/>
      <c r="Z29" s="454" t="str">
        <f t="shared" si="1"/>
        <v xml:space="preserve"> </v>
      </c>
    </row>
    <row r="30" spans="2:31" ht="21.5">
      <c r="B30" s="418"/>
      <c r="C30" s="455" t="e">
        <f>IF(OR(กรอกข้อมูล!#REF!="ไดมอนด์",กรอกข้อมูล!#REF!="แพลทินั่ม"),Q29,IF($Q$2="111",S29,IF($Q$2="110",U29,IF($Q$2="101",W29,""))))</f>
        <v>#REF!</v>
      </c>
      <c r="D30" s="301"/>
      <c r="E30" s="302"/>
      <c r="F30" s="302"/>
      <c r="G30" s="302"/>
      <c r="H30" s="302"/>
      <c r="I30" s="303"/>
      <c r="J30" s="459"/>
      <c r="K30" s="2298" t="e">
        <f>IF(K9="ไม่คุ้มครอง","",IF(OR(กรอกข้อมูล!#REF!="ไดมอนด์",กรอกข้อมูล!#REF!="แพลทินั่ม"),R29,IF($Q$2="111",T29,IF($Q$2="110",V29,IF($Q$2="101",X29,Z29)))))</f>
        <v>#REF!</v>
      </c>
      <c r="L30" s="2298"/>
      <c r="M30" s="2298"/>
      <c r="N30" s="2299"/>
      <c r="O30" s="469"/>
      <c r="P30" s="300"/>
      <c r="Q30" s="444" t="str">
        <f>" "</f>
        <v xml:space="preserve"> </v>
      </c>
      <c r="R30" s="454" t="s">
        <v>799</v>
      </c>
      <c r="S30" s="292" t="s">
        <v>800</v>
      </c>
      <c r="T30" s="438" t="s">
        <v>776</v>
      </c>
      <c r="U30" s="292" t="s">
        <v>800</v>
      </c>
      <c r="V30" s="296" t="s">
        <v>776</v>
      </c>
      <c r="W30" s="444" t="str">
        <f>" "</f>
        <v xml:space="preserve"> </v>
      </c>
      <c r="X30" s="454" t="s">
        <v>799</v>
      </c>
      <c r="Y30" s="444"/>
      <c r="Z30" s="454" t="str">
        <f t="shared" si="1"/>
        <v xml:space="preserve"> </v>
      </c>
    </row>
    <row r="31" spans="2:31" ht="21.5">
      <c r="B31" s="418"/>
      <c r="C31" s="455" t="e">
        <f>IF(OR(กรอกข้อมูล!#REF!="ไดมอนด์",กรอกข้อมูล!#REF!="แพลทินั่ม"),Q30,IF($Q$2="111",S30,IF($Q$2="110",U30,IF($Q$2="101",W30,""))))</f>
        <v>#REF!</v>
      </c>
      <c r="D31" s="301"/>
      <c r="E31" s="302"/>
      <c r="F31" s="302"/>
      <c r="G31" s="302"/>
      <c r="H31" s="302"/>
      <c r="I31" s="303"/>
      <c r="J31" s="459"/>
      <c r="K31" s="2298" t="e">
        <f>IF(K9="ไม่คุ้มครอง","",IF(OR(กรอกข้อมูล!#REF!="ไดมอนด์",กรอกข้อมูล!#REF!="แพลทินั่ม"),R30,IF($Q$2="111",T30,IF($Q$2="110",V30,IF($Q$2="101",X30,Z30)))))</f>
        <v>#REF!</v>
      </c>
      <c r="L31" s="2298"/>
      <c r="M31" s="2298"/>
      <c r="N31" s="2299"/>
      <c r="O31" s="469"/>
      <c r="P31" s="300"/>
      <c r="Q31" s="444" t="str">
        <f t="shared" ref="Q31:R34" si="2">" "</f>
        <v xml:space="preserve"> </v>
      </c>
      <c r="R31" s="454" t="str">
        <f>" "</f>
        <v xml:space="preserve"> </v>
      </c>
      <c r="S31" s="444" t="str">
        <f>" "</f>
        <v xml:space="preserve"> </v>
      </c>
      <c r="T31" s="471" t="e">
        <f>IF(กรอกข้อมูล!#REF!="สมาร์ท คิดส์","(สำหรับผู้เอาประกันภัยอายุ 0 - 15 ปี ผู้เอาประกันภัยจะมีส่วนร่วมจ่าย 30% **)"," ")</f>
        <v>#REF!</v>
      </c>
      <c r="U31" s="444" t="str">
        <f>" "</f>
        <v xml:space="preserve"> </v>
      </c>
      <c r="V31" s="298" t="e">
        <f>IF(กรอกข้อมูล!#REF!="สมาร์ท คิดส์","(สำหรับผู้เอาประกันภัยอายุ 0 - 15 ปี ผู้เอาประกันภัยจะมีส่วนร่วมจ่าย 30%)"," ")</f>
        <v>#REF!</v>
      </c>
      <c r="W31" s="444" t="str">
        <f t="shared" ref="W31:X44" si="3">" "</f>
        <v xml:space="preserve"> </v>
      </c>
      <c r="X31" s="454" t="str">
        <f>" "</f>
        <v xml:space="preserve"> </v>
      </c>
      <c r="Y31" s="444"/>
      <c r="Z31" s="454" t="str">
        <f t="shared" si="1"/>
        <v xml:space="preserve"> </v>
      </c>
    </row>
    <row r="32" spans="2:31" ht="21.5">
      <c r="B32" s="418"/>
      <c r="C32" s="455" t="e">
        <f>IF(OR(กรอกข้อมูล!#REF!="ไดมอนด์",กรอกข้อมูล!#REF!="แพลทินั่ม"),Q31,IF($Q$2="111",S31,IF($Q$2="110",U31,IF($Q$2="101",W31,""))))</f>
        <v>#REF!</v>
      </c>
      <c r="D32" s="301"/>
      <c r="E32" s="302"/>
      <c r="F32" s="302"/>
      <c r="G32" s="302"/>
      <c r="H32" s="302"/>
      <c r="I32" s="303"/>
      <c r="J32" s="459"/>
      <c r="K32" s="2298" t="e">
        <f>IF(K9="ไม่คุ้มครอง","",IF(OR(กรอกข้อมูล!#REF!="ไดมอนด์",กรอกข้อมูล!#REF!="แพลทินั่ม"),R31,IF($Q$2="111",T31,IF($Q$2="110",V31,IF($Q$2="101",X31,Z31)))))</f>
        <v>#REF!</v>
      </c>
      <c r="L32" s="2298"/>
      <c r="M32" s="2298"/>
      <c r="N32" s="2299"/>
      <c r="O32" s="469"/>
      <c r="P32" s="300"/>
      <c r="Q32" s="444" t="str">
        <f t="shared" si="2"/>
        <v xml:space="preserve"> </v>
      </c>
      <c r="R32" s="454" t="str">
        <f t="shared" si="2"/>
        <v xml:space="preserve"> </v>
      </c>
      <c r="S32" s="292" t="s">
        <v>801</v>
      </c>
      <c r="T32" s="454" t="s">
        <v>776</v>
      </c>
      <c r="U32" s="292" t="s">
        <v>801</v>
      </c>
      <c r="V32" s="297" t="s">
        <v>776</v>
      </c>
      <c r="W32" s="444" t="str">
        <f t="shared" si="3"/>
        <v xml:space="preserve"> </v>
      </c>
      <c r="X32" s="454" t="str">
        <f t="shared" si="3"/>
        <v xml:space="preserve"> </v>
      </c>
      <c r="Y32" s="444"/>
      <c r="Z32" s="454" t="str">
        <f t="shared" si="1"/>
        <v xml:space="preserve"> </v>
      </c>
    </row>
    <row r="33" spans="2:26" ht="21.75" customHeight="1">
      <c r="B33" s="418"/>
      <c r="C33" s="455" t="e">
        <f>IF(OR(กรอกข้อมูล!#REF!="ไดมอนด์",กรอกข้อมูล!#REF!="แพลทินั่ม"),Q32,IF($Q$2="111",S32,IF($Q$2="110",U32,IF($Q$2="101",W32,""))))</f>
        <v>#REF!</v>
      </c>
      <c r="D33" s="301"/>
      <c r="E33" s="302"/>
      <c r="F33" s="302"/>
      <c r="G33" s="302"/>
      <c r="H33" s="302"/>
      <c r="I33" s="303"/>
      <c r="J33" s="459"/>
      <c r="K33" s="2298" t="e">
        <f>IF(K9="ไม่คุ้มครอง","",IF(OR(กรอกข้อมูล!#REF!="ไดมอนด์",กรอกข้อมูล!#REF!="แพลทินั่ม"),R32,IF($Q$2="111",T32,IF($Q$2="110",V32,IF($Q$2="101",X32,Z32)))))</f>
        <v>#REF!</v>
      </c>
      <c r="L33" s="2298"/>
      <c r="M33" s="2298"/>
      <c r="N33" s="2299"/>
      <c r="O33" s="469"/>
      <c r="P33" s="300"/>
      <c r="Q33" s="444" t="str">
        <f t="shared" si="2"/>
        <v xml:space="preserve"> </v>
      </c>
      <c r="R33" s="454" t="str">
        <f t="shared" si="2"/>
        <v xml:space="preserve"> </v>
      </c>
      <c r="S33" s="292" t="s">
        <v>788</v>
      </c>
      <c r="T33" s="471" t="e">
        <f>IF(กรอกข้อมูล!#REF!="สมาร์ท คิดส์","(สำหรับผู้เอาประกันภัยอายุ 0 - 15 ปี ผู้เอาประกันภัยจะมีส่วนร่วมจ่าย 30% **)"," ")</f>
        <v>#REF!</v>
      </c>
      <c r="U33" s="292" t="s">
        <v>788</v>
      </c>
      <c r="V33" s="298" t="e">
        <f>IF(กรอกข้อมูล!#REF!="สมาร์ท คิดส์","(สำหรับผู้เอาประกันภัยอายุ 0 - 15 ปี ผู้เอาประกันภัยจะมีส่วนร่วมจ่าย 30%)"," ")</f>
        <v>#REF!</v>
      </c>
      <c r="W33" s="444" t="str">
        <f t="shared" si="3"/>
        <v xml:space="preserve"> </v>
      </c>
      <c r="X33" s="454" t="str">
        <f t="shared" si="3"/>
        <v xml:space="preserve"> </v>
      </c>
      <c r="Y33" s="444"/>
      <c r="Z33" s="454" t="str">
        <f t="shared" si="1"/>
        <v xml:space="preserve"> </v>
      </c>
    </row>
    <row r="34" spans="2:26" ht="21.5">
      <c r="B34" s="418"/>
      <c r="C34" s="455" t="e">
        <f>IF(OR(กรอกข้อมูล!#REF!="ไดมอนด์",กรอกข้อมูล!#REF!="แพลทินั่ม"),Q33,IF($Q$2="111",S33,IF($Q$2="110",U33,IF($Q$2="101",W33,""))))</f>
        <v>#REF!</v>
      </c>
      <c r="D34" s="301"/>
      <c r="E34" s="302"/>
      <c r="F34" s="302"/>
      <c r="G34" s="302"/>
      <c r="H34" s="302"/>
      <c r="I34" s="303"/>
      <c r="J34" s="459"/>
      <c r="K34" s="2298" t="e">
        <f>IF(K9="ไม่คุ้มครอง","",IF(OR(กรอกข้อมูล!#REF!="ไดมอนด์",กรอกข้อมูล!#REF!="แพลทินั่ม"),R33,IF($Q$2="111",T33,IF($Q$2="110",V33,IF($Q$2="101",X33,Z33)))))</f>
        <v>#REF!</v>
      </c>
      <c r="L34" s="2298"/>
      <c r="M34" s="2298"/>
      <c r="N34" s="2299"/>
      <c r="O34" s="469"/>
      <c r="P34" s="300"/>
      <c r="Q34" s="444" t="str">
        <f t="shared" si="2"/>
        <v xml:space="preserve"> </v>
      </c>
      <c r="R34" s="454" t="str">
        <f t="shared" si="2"/>
        <v xml:space="preserve"> </v>
      </c>
      <c r="S34" s="470" t="s">
        <v>790</v>
      </c>
      <c r="T34" s="454" t="str">
        <f>" "</f>
        <v xml:space="preserve"> </v>
      </c>
      <c r="U34" s="470" t="s">
        <v>790</v>
      </c>
      <c r="V34" s="297" t="str">
        <f t="shared" ref="V34:V43" si="4">" "</f>
        <v xml:space="preserve"> </v>
      </c>
      <c r="W34" s="449" t="str">
        <f t="shared" si="3"/>
        <v xml:space="preserve"> </v>
      </c>
      <c r="X34" s="450" t="str">
        <f t="shared" si="3"/>
        <v xml:space="preserve"> </v>
      </c>
      <c r="Y34" s="449"/>
      <c r="Z34" s="454" t="str">
        <f t="shared" si="1"/>
        <v xml:space="preserve"> </v>
      </c>
    </row>
    <row r="35" spans="2:26" ht="21.5">
      <c r="B35" s="418"/>
      <c r="C35" s="455" t="e">
        <f>IF(OR(กรอกข้อมูล!#REF!="ไดมอนด์",กรอกข้อมูล!#REF!="แพลทินั่ม"),Q34,IF($Q$2="111",S34,IF($Q$2="110",U34,IF($Q$2="101",W34,""))))</f>
        <v>#REF!</v>
      </c>
      <c r="D35" s="301"/>
      <c r="E35" s="302"/>
      <c r="F35" s="302"/>
      <c r="G35" s="302"/>
      <c r="H35" s="302"/>
      <c r="I35" s="303"/>
      <c r="J35" s="459"/>
      <c r="K35" s="2298" t="e">
        <f>IF(K9="ไม่คุ้มครอง","",IF(OR(กรอกข้อมูล!#REF!="ไดมอนด์",กรอกข้อมูล!#REF!="แพลทินั่ม"),R34,IF($Q$2="111",T34,IF($Q$2="110",V34,IF($Q$2="101",X34,Z34)))))</f>
        <v>#REF!</v>
      </c>
      <c r="L35" s="2298"/>
      <c r="M35" s="2298"/>
      <c r="N35" s="2299"/>
      <c r="O35" s="469"/>
      <c r="P35" s="300"/>
      <c r="Q35" s="466" t="s">
        <v>802</v>
      </c>
      <c r="R35" s="467"/>
      <c r="S35" s="466" t="s">
        <v>803</v>
      </c>
      <c r="T35" s="435"/>
      <c r="U35" s="466" t="str">
        <f t="shared" ref="U35:U43" si="5">" "</f>
        <v xml:space="preserve"> </v>
      </c>
      <c r="V35" s="472" t="str">
        <f t="shared" si="4"/>
        <v xml:space="preserve"> </v>
      </c>
      <c r="W35" s="444" t="str">
        <f t="shared" si="3"/>
        <v xml:space="preserve"> </v>
      </c>
      <c r="X35" s="445" t="str">
        <f t="shared" ref="X35:Y43" si="6">" "</f>
        <v xml:space="preserve"> </v>
      </c>
      <c r="Y35" s="444" t="str">
        <f t="shared" si="6"/>
        <v xml:space="preserve"> </v>
      </c>
      <c r="Z35" s="472" t="str">
        <f t="shared" si="1"/>
        <v xml:space="preserve"> </v>
      </c>
    </row>
    <row r="36" spans="2:26" ht="25" customHeight="1">
      <c r="B36" s="418"/>
      <c r="C36" s="2295" t="e">
        <f>IF(OR(กรอกข้อมูล!#REF!="ไดมอนด์",กรอกข้อมูล!#REF!="แพลทินั่ม"),Q35,IF($Q$2="111",S35,IF($Q$2="110",U35,IF($Q$2="101",W35,Y35))))</f>
        <v>#REF!</v>
      </c>
      <c r="D36" s="2296"/>
      <c r="E36" s="2296"/>
      <c r="F36" s="2296"/>
      <c r="G36" s="2296"/>
      <c r="H36" s="2296"/>
      <c r="I36" s="2296"/>
      <c r="J36" s="2296"/>
      <c r="K36" s="2296"/>
      <c r="L36" s="2296"/>
      <c r="M36" s="2296"/>
      <c r="N36" s="2297"/>
      <c r="O36" s="469"/>
      <c r="P36" s="300"/>
      <c r="Q36" s="444" t="s">
        <v>804</v>
      </c>
      <c r="R36" s="454" t="e">
        <f>IF(กรอกข้อมูล!#REF!="แพลทินั่ม","จ่ายตามจริง ไม่เกินผลประโยชน์รวมสูงสุดต่อปี","ไม่คุ้มครอง")</f>
        <v>#REF!</v>
      </c>
      <c r="S36" s="444" t="s">
        <v>805</v>
      </c>
      <c r="T36" s="454" t="e">
        <f>IF(OR(กรอกข้อมูล!#REF!="สมาร์ท คิดส์",กรอกข้อมูล!#REF!="สมาร์ท"),"12,000 บาทต่อปี และ",IF(กรอกข้อมูล!#REF!="ซิลเวอร์","35,000 บาทต่อปี และ",IF(OR(กรอกข้อมูล!#REF!="โกลด์ คิดส์",กรอกข้อมูล!#REF!="โกลด์"),"50,000 บาทต่อปี และ",IF(กรอกข้อมูล!#REF!="ไดมอนด์","100,000 บาทต่อปี และ","จ่ายตามจริง ")))) &amp;"ไม่เกินผลประโยชน์รวมสูงสุดต่อปี"</f>
        <v>#REF!</v>
      </c>
      <c r="U36" s="444" t="str">
        <f t="shared" si="5"/>
        <v xml:space="preserve"> </v>
      </c>
      <c r="V36" s="454" t="str">
        <f t="shared" si="4"/>
        <v xml:space="preserve"> </v>
      </c>
      <c r="W36" s="444" t="str">
        <f t="shared" si="3"/>
        <v xml:space="preserve"> </v>
      </c>
      <c r="X36" s="454" t="str">
        <f t="shared" si="6"/>
        <v xml:space="preserve"> </v>
      </c>
      <c r="Y36" s="444" t="str">
        <f t="shared" si="6"/>
        <v xml:space="preserve"> </v>
      </c>
      <c r="Z36" s="454" t="str">
        <f t="shared" si="1"/>
        <v xml:space="preserve"> </v>
      </c>
    </row>
    <row r="37" spans="2:26" ht="21.5">
      <c r="B37" s="418"/>
      <c r="C37" s="455" t="e">
        <f>IF(OR(กรอกข้อมูล!#REF!="ไดมอนด์",กรอกข้อมูล!#REF!="แพลทินั่ม"),Q36,IF($Q$2="111",S36,IF($Q$2="110",U36,IF($Q$2="101",W36,Y36))))</f>
        <v>#REF!</v>
      </c>
      <c r="D37" s="301"/>
      <c r="E37" s="302"/>
      <c r="F37" s="302"/>
      <c r="G37" s="302"/>
      <c r="H37" s="302"/>
      <c r="I37" s="303"/>
      <c r="J37" s="459"/>
      <c r="K37" s="2298" t="e">
        <f>IF(K9="ไม่คุ้มครอง","",IF(OR(กรอกข้อมูล!#REF!="ไดมอนด์",กรอกข้อมูล!#REF!="แพลทินั่ม"),R36,IF($Q$2="111",T36,IF($Q$2="110",V36,IF($Q$2="101",X36,Z36)))))</f>
        <v>#REF!</v>
      </c>
      <c r="L37" s="2298"/>
      <c r="M37" s="2298"/>
      <c r="N37" s="2299"/>
      <c r="O37" s="469"/>
      <c r="P37" s="300"/>
      <c r="Q37" s="444" t="s">
        <v>806</v>
      </c>
      <c r="R37" s="454" t="e">
        <f>IF(กรอกข้อมูล!#REF!="แพลทินั่ม","จ่ายตามจริง ไม่เกินผลประโยชน์รวมสูงสุดต่อปี","ไม่คุ้มครอง")</f>
        <v>#REF!</v>
      </c>
      <c r="S37" s="444" t="s">
        <v>807</v>
      </c>
      <c r="T37" s="454" t="e">
        <f>IF(OR(กรอกข้อมูล!#REF!="สมาร์ท คิดส์",กรอกข้อมูล!#REF!="สมาร์ท"),"5,000",IF(กรอกข้อมูล!#REF!="ซิลเวอร์","10,000",IF(OR(กรอกข้อมูล!#REF!="โกลด์ คิดส์",กรอกข้อมูล!#REF!="โกลด์"),"15,000",IF(กรอกข้อมูล!#REF!="ไดมอนด์","25,000","35,000")))) &amp;" บาทต่อปี และไม่เกินผลประโยชน์รวมสูงสุดต่อปี"</f>
        <v>#REF!</v>
      </c>
      <c r="U37" s="444" t="str">
        <f t="shared" si="5"/>
        <v xml:space="preserve"> </v>
      </c>
      <c r="V37" s="454" t="str">
        <f t="shared" si="4"/>
        <v xml:space="preserve"> </v>
      </c>
      <c r="W37" s="444" t="str">
        <f t="shared" si="3"/>
        <v xml:space="preserve"> </v>
      </c>
      <c r="X37" s="454" t="str">
        <f t="shared" si="6"/>
        <v xml:space="preserve"> </v>
      </c>
      <c r="Y37" s="444" t="str">
        <f t="shared" si="6"/>
        <v xml:space="preserve"> </v>
      </c>
      <c r="Z37" s="454" t="str">
        <f t="shared" si="1"/>
        <v xml:space="preserve"> </v>
      </c>
    </row>
    <row r="38" spans="2:26" ht="21.5">
      <c r="B38" s="418"/>
      <c r="C38" s="455" t="e">
        <f>IF(OR(กรอกข้อมูล!#REF!="ไดมอนด์",กรอกข้อมูล!#REF!="แพลทินั่ม"),Q37,IF($Q$2="111",S37,IF($Q$2="110",U37,IF($Q$2="101",W37,Y37))))</f>
        <v>#REF!</v>
      </c>
      <c r="D38" s="301"/>
      <c r="E38" s="302"/>
      <c r="F38" s="302"/>
      <c r="G38" s="302"/>
      <c r="H38" s="302"/>
      <c r="I38" s="303"/>
      <c r="J38" s="459"/>
      <c r="K38" s="2298" t="e">
        <f>IF(K9="ไม่คุ้มครอง","",IF(OR(กรอกข้อมูล!#REF!="ไดมอนด์",กรอกข้อมูล!#REF!="แพลทินั่ม"),R37,IF($Q$2="111",T37,IF($Q$2="110",V37,IF($Q$2="101",X37,Z37)))))</f>
        <v>#REF!</v>
      </c>
      <c r="L38" s="2298"/>
      <c r="M38" s="2298"/>
      <c r="N38" s="2299"/>
      <c r="O38" s="469"/>
      <c r="P38" s="300"/>
      <c r="Q38" s="444" t="s">
        <v>808</v>
      </c>
      <c r="R38" s="438" t="e">
        <f>IF(กรอกข้อมูล!#REF!="แพลทินั่ม","400,000  บาทต่อปี และไม่เกินผลประโยชน์รวมสูงสุดต่อปี","ไม่คุ้มครอง")</f>
        <v>#REF!</v>
      </c>
      <c r="S38" s="444" t="str">
        <f>" "</f>
        <v xml:space="preserve"> </v>
      </c>
      <c r="T38" s="454" t="e">
        <f>IF(กรอกข้อมูล!#REF!&lt;&gt;"แพลทินั่ม","(ผู้เอาประกันภัยมีส่วนร่วมจ่าย 20%)"," ")</f>
        <v>#REF!</v>
      </c>
      <c r="U38" s="292" t="str">
        <f t="shared" si="5"/>
        <v xml:space="preserve"> </v>
      </c>
      <c r="V38" s="454" t="str">
        <f t="shared" si="4"/>
        <v xml:space="preserve"> </v>
      </c>
      <c r="W38" s="292" t="str">
        <f t="shared" si="3"/>
        <v xml:space="preserve"> </v>
      </c>
      <c r="X38" s="454" t="str">
        <f t="shared" si="6"/>
        <v xml:space="preserve"> </v>
      </c>
      <c r="Y38" s="444" t="str">
        <f t="shared" si="6"/>
        <v xml:space="preserve"> </v>
      </c>
      <c r="Z38" s="454" t="str">
        <f t="shared" si="1"/>
        <v xml:space="preserve"> </v>
      </c>
    </row>
    <row r="39" spans="2:26" ht="21.5">
      <c r="B39" s="418"/>
      <c r="C39" s="455" t="e">
        <f>IF(OR(กรอกข้อมูล!#REF!="ไดมอนด์",กรอกข้อมูล!#REF!="แพลทินั่ม"),Q38,IF($Q$2="111",S38,IF($Q$2="110",U38,IF($Q$2="101",W38,Y38))))</f>
        <v>#REF!</v>
      </c>
      <c r="D39" s="301"/>
      <c r="E39" s="302"/>
      <c r="F39" s="302"/>
      <c r="G39" s="302"/>
      <c r="H39" s="302"/>
      <c r="I39" s="303"/>
      <c r="J39" s="459"/>
      <c r="K39" s="2298" t="e">
        <f>IF(K9="ไม่คุ้มครอง","",IF(OR(กรอกข้อมูล!#REF!="ไดมอนด์",กรอกข้อมูล!#REF!="แพลทินั่ม"),R38,IF($Q$2="111",T38,IF($Q$2="110",V38,IF($Q$2="101",X38,Z38)))))</f>
        <v>#REF!</v>
      </c>
      <c r="L39" s="2298"/>
      <c r="M39" s="2298"/>
      <c r="N39" s="2299"/>
      <c r="O39" s="469"/>
      <c r="P39" s="300"/>
      <c r="Q39" s="470" t="s">
        <v>809</v>
      </c>
      <c r="R39" s="454" t="str">
        <f>" "</f>
        <v xml:space="preserve"> </v>
      </c>
      <c r="S39" s="444" t="s">
        <v>810</v>
      </c>
      <c r="T39" s="454" t="e">
        <f>IF(OR(กรอกข้อมูล!#REF!="สมาร์ท คิดส์",กรอกข้อมูล!#REF!="สมาร์ท"),"5,000",IF(กรอกข้อมูล!#REF!="ซิลเวอร์","10,000",IF(OR(กรอกข้อมูล!#REF!="โกลด์ คิดส์",กรอกข้อมูล!#REF!="โกลด์"),"15,000",IF(กรอกข้อมูล!#REF!="ไดมอนด์","25,000","36,000")))) &amp;" บาทต่อปี และไม่เกินผลประโยชน์รวมสูงสุดต่อปี"</f>
        <v>#REF!</v>
      </c>
      <c r="U39" s="444" t="str">
        <f t="shared" si="5"/>
        <v xml:space="preserve"> </v>
      </c>
      <c r="V39" s="454" t="str">
        <f t="shared" si="4"/>
        <v xml:space="preserve"> </v>
      </c>
      <c r="W39" s="444" t="str">
        <f t="shared" si="3"/>
        <v xml:space="preserve"> </v>
      </c>
      <c r="X39" s="454" t="str">
        <f t="shared" si="6"/>
        <v xml:space="preserve"> </v>
      </c>
      <c r="Y39" s="444" t="str">
        <f t="shared" si="6"/>
        <v xml:space="preserve"> </v>
      </c>
      <c r="Z39" s="454" t="str">
        <f t="shared" si="1"/>
        <v xml:space="preserve"> </v>
      </c>
    </row>
    <row r="40" spans="2:26" ht="21.5">
      <c r="B40" s="418"/>
      <c r="C40" s="455" t="e">
        <f>IF(OR(กรอกข้อมูล!#REF!="ไดมอนด์",กรอกข้อมูล!#REF!="แพลทินั่ม"),Q39,IF($Q$2="111",S39,IF($Q$2="110",U39,IF($Q$2="101",W39,Y39))))</f>
        <v>#REF!</v>
      </c>
      <c r="D40" s="301"/>
      <c r="E40" s="302"/>
      <c r="F40" s="302"/>
      <c r="G40" s="302"/>
      <c r="H40" s="302"/>
      <c r="I40" s="303"/>
      <c r="J40" s="459"/>
      <c r="K40" s="2298" t="e">
        <f>IF(K9="ไม่คุ้มครอง","",IF(OR(กรอกข้อมูล!#REF!="ไดมอนด์",กรอกข้อมูล!#REF!="แพลทินั่ม"),R39,IF($Q$2="111",T39,IF($Q$2="110",V39,IF($Q$2="101",X39,Z39)))))</f>
        <v>#REF!</v>
      </c>
      <c r="L40" s="2298"/>
      <c r="M40" s="2298"/>
      <c r="N40" s="2299"/>
      <c r="O40" s="447"/>
      <c r="P40" s="300"/>
      <c r="Q40" s="444" t="s">
        <v>811</v>
      </c>
      <c r="R40" s="454" t="e">
        <f>IF(กรอกข้อมูล!#REF!="แพลทินั่ม","200,000  บาทต่อปี และไม่เกินผลประโยชน์รวมสูงสุดต่อปี",IF(กรอกข้อมูล!#REF!="ไดมอนด์","7,500  บาทต่อปี และไม่เกินผลประโยชน์รวมสูงสุดต่อปี","ไม่คุ้มครอง"))</f>
        <v>#REF!</v>
      </c>
      <c r="S40" s="444" t="str">
        <f t="shared" ref="S40:Z47" si="7">" "</f>
        <v xml:space="preserve"> </v>
      </c>
      <c r="T40" s="454" t="s">
        <v>799</v>
      </c>
      <c r="U40" s="444" t="str">
        <f t="shared" si="5"/>
        <v xml:space="preserve"> </v>
      </c>
      <c r="V40" s="454" t="str">
        <f t="shared" si="4"/>
        <v xml:space="preserve"> </v>
      </c>
      <c r="W40" s="444" t="str">
        <f t="shared" si="3"/>
        <v xml:space="preserve"> </v>
      </c>
      <c r="X40" s="454" t="str">
        <f t="shared" si="6"/>
        <v xml:space="preserve"> </v>
      </c>
      <c r="Y40" s="444" t="str">
        <f t="shared" si="6"/>
        <v xml:space="preserve"> </v>
      </c>
      <c r="Z40" s="454" t="str">
        <f t="shared" si="1"/>
        <v xml:space="preserve"> </v>
      </c>
    </row>
    <row r="41" spans="2:26" ht="21.5">
      <c r="B41" s="418"/>
      <c r="C41" s="455" t="e">
        <f>IF(OR(กรอกข้อมูล!#REF!="ไดมอนด์",กรอกข้อมูล!#REF!="แพลทินั่ม"),Q40,IF($Q$2="111",S40,IF($Q$2="110",U40,IF($Q$2="101",W40,Y40))))</f>
        <v>#REF!</v>
      </c>
      <c r="D41" s="301"/>
      <c r="E41" s="302"/>
      <c r="F41" s="302"/>
      <c r="G41" s="302"/>
      <c r="H41" s="302"/>
      <c r="I41" s="303"/>
      <c r="J41" s="459"/>
      <c r="K41" s="2298" t="e">
        <f>IF(K9="ไม่คุ้มครอง","",IF(OR(กรอกข้อมูล!#REF!="ไดมอนด์",กรอกข้อมูล!#REF!="แพลทินั่ม"),R40,IF($Q$2="111",T40,IF($Q$2="110",V40,IF($Q$2="101",X40,Z40)))))</f>
        <v>#REF!</v>
      </c>
      <c r="L41" s="2298"/>
      <c r="M41" s="2298"/>
      <c r="N41" s="2299"/>
      <c r="O41" s="447"/>
      <c r="P41" s="300"/>
      <c r="Q41" s="444" t="s">
        <v>812</v>
      </c>
      <c r="R41" s="454" t="e">
        <f>IF(กรอกข้อมูล!#REF!="แพลทินั่ม","25,000 บาทต่อปี และไม่เกินผลประโยชน์รวมสูงสุดต่อปี","ไม่คุ้มครอง")</f>
        <v>#REF!</v>
      </c>
      <c r="S41" s="444" t="str">
        <f t="shared" si="7"/>
        <v xml:space="preserve"> </v>
      </c>
      <c r="T41" s="454" t="str">
        <f t="shared" si="7"/>
        <v xml:space="preserve"> </v>
      </c>
      <c r="U41" s="292" t="str">
        <f t="shared" si="5"/>
        <v xml:space="preserve"> </v>
      </c>
      <c r="V41" s="438" t="str">
        <f t="shared" si="4"/>
        <v xml:space="preserve"> </v>
      </c>
      <c r="W41" s="292" t="str">
        <f t="shared" si="3"/>
        <v xml:space="preserve"> </v>
      </c>
      <c r="X41" s="438" t="str">
        <f t="shared" si="6"/>
        <v xml:space="preserve"> </v>
      </c>
      <c r="Y41" s="444" t="str">
        <f t="shared" si="6"/>
        <v xml:space="preserve"> </v>
      </c>
      <c r="Z41" s="438" t="str">
        <f t="shared" si="1"/>
        <v xml:space="preserve"> </v>
      </c>
    </row>
    <row r="42" spans="2:26" ht="21.5">
      <c r="B42" s="418"/>
      <c r="C42" s="455" t="e">
        <f>IF(OR(กรอกข้อมูล!#REF!="ไดมอนด์",กรอกข้อมูล!#REF!="แพลทินั่ม"),Q41,IF($Q$2="111",S41,IF($Q$2="110",U41,IF($Q$2="101",W41,Y41))))</f>
        <v>#REF!</v>
      </c>
      <c r="D42" s="301"/>
      <c r="E42" s="302"/>
      <c r="F42" s="302"/>
      <c r="G42" s="302"/>
      <c r="H42" s="302"/>
      <c r="I42" s="303"/>
      <c r="J42" s="459"/>
      <c r="K42" s="2298" t="e">
        <f>IF(K9="ไม่คุ้มครอง","",IF(OR(กรอกข้อมูล!#REF!="ไดมอนด์",กรอกข้อมูล!#REF!="แพลทินั่ม"),R41,IF($Q$2="111",T41,IF($Q$2="110",V41,IF($Q$2="101",X41,Z41)))))</f>
        <v>#REF!</v>
      </c>
      <c r="L42" s="2298"/>
      <c r="M42" s="2298"/>
      <c r="N42" s="2299"/>
      <c r="O42" s="447"/>
      <c r="P42" s="473"/>
      <c r="Q42" s="444" t="s">
        <v>813</v>
      </c>
      <c r="R42" s="454" t="e">
        <f>IF(กรอกข้อมูล!#REF!="แพลทินั่ม","30,000 บาทต่อปี และไม่เกินผลประโยชน์รวมสูงสุดต่อปี","ไม่คุ้มครอง")</f>
        <v>#REF!</v>
      </c>
      <c r="S42" s="444" t="str">
        <f t="shared" si="7"/>
        <v xml:space="preserve"> </v>
      </c>
      <c r="T42" s="454" t="str">
        <f t="shared" si="7"/>
        <v xml:space="preserve"> </v>
      </c>
      <c r="U42" s="292" t="str">
        <f t="shared" si="5"/>
        <v xml:space="preserve"> </v>
      </c>
      <c r="V42" s="438" t="str">
        <f t="shared" si="4"/>
        <v xml:space="preserve"> </v>
      </c>
      <c r="W42" s="292" t="str">
        <f t="shared" si="3"/>
        <v xml:space="preserve"> </v>
      </c>
      <c r="X42" s="438" t="str">
        <f t="shared" si="6"/>
        <v xml:space="preserve"> </v>
      </c>
      <c r="Y42" s="444" t="str">
        <f t="shared" si="6"/>
        <v xml:space="preserve"> </v>
      </c>
      <c r="Z42" s="438" t="str">
        <f t="shared" si="1"/>
        <v xml:space="preserve"> </v>
      </c>
    </row>
    <row r="43" spans="2:26" ht="21.5">
      <c r="B43" s="418"/>
      <c r="C43" s="455" t="e">
        <f>IF(OR(กรอกข้อมูล!#REF!="ไดมอนด์",กรอกข้อมูล!#REF!="แพลทินั่ม"),Q42,IF($Q$2="111",S42,IF($Q$2="110",U42,IF($Q$2="101",W42,Y42))))</f>
        <v>#REF!</v>
      </c>
      <c r="D43" s="301"/>
      <c r="E43" s="302"/>
      <c r="F43" s="302"/>
      <c r="G43" s="302"/>
      <c r="H43" s="302"/>
      <c r="I43" s="303"/>
      <c r="J43" s="459"/>
      <c r="K43" s="2298" t="e">
        <f>IF(K9="ไม่คุ้มครอง","",IF(OR(กรอกข้อมูล!#REF!="ไดมอนด์",กรอกข้อมูล!#REF!="แพลทินั่ม"),R42,IF($Q$2="111",T42,IF($Q$2="110",V42,IF($Q$2="101",X42,Z42)))))</f>
        <v>#REF!</v>
      </c>
      <c r="L43" s="2298"/>
      <c r="M43" s="2298"/>
      <c r="N43" s="2299"/>
      <c r="O43" s="447"/>
      <c r="Q43" s="444" t="s">
        <v>814</v>
      </c>
      <c r="R43" s="454" t="e">
        <f>IF(กรอกข้อมูล!#REF!="แพลทินั่ม","45,000 บาทต่อปี และไม่เกินผลประโยชน์รวมสูงสุดต่อปี","ไม่คุ้มครอง")</f>
        <v>#REF!</v>
      </c>
      <c r="S43" s="444" t="str">
        <f t="shared" si="7"/>
        <v xml:space="preserve"> </v>
      </c>
      <c r="T43" s="454" t="str">
        <f t="shared" si="7"/>
        <v xml:space="preserve"> </v>
      </c>
      <c r="U43" s="292" t="str">
        <f t="shared" si="5"/>
        <v xml:space="preserve"> </v>
      </c>
      <c r="V43" s="438" t="str">
        <f t="shared" si="4"/>
        <v xml:space="preserve"> </v>
      </c>
      <c r="W43" s="292" t="str">
        <f t="shared" si="3"/>
        <v xml:space="preserve"> </v>
      </c>
      <c r="X43" s="438" t="str">
        <f t="shared" si="6"/>
        <v xml:space="preserve"> </v>
      </c>
      <c r="Y43" s="444" t="str">
        <f t="shared" si="6"/>
        <v xml:space="preserve"> </v>
      </c>
      <c r="Z43" s="438" t="str">
        <f t="shared" si="1"/>
        <v xml:space="preserve"> </v>
      </c>
    </row>
    <row r="44" spans="2:26" ht="21.75" customHeight="1">
      <c r="B44" s="418"/>
      <c r="C44" s="455" t="e">
        <f>IF(OR(กรอกข้อมูล!#REF!="ไดมอนด์",กรอกข้อมูล!#REF!="แพลทินั่ม"),Q43,IF($Q$2="111",S43,IF($Q$2="110",U43,IF($Q$2="101",W43,Y43))))</f>
        <v>#REF!</v>
      </c>
      <c r="D44" s="301"/>
      <c r="E44" s="302"/>
      <c r="F44" s="302"/>
      <c r="G44" s="302"/>
      <c r="H44" s="302"/>
      <c r="I44" s="303"/>
      <c r="J44" s="459"/>
      <c r="K44" s="2298" t="e">
        <f>IF(K9="ไม่คุ้มครอง","",IF(OR(กรอกข้อมูล!#REF!="ไดมอนด์",กรอกข้อมูล!#REF!="แพลทินั่ม"),R43,IF($Q$2="111",T43,IF($Q$2="110",V43,IF($Q$2="101",X43,Z43)))))</f>
        <v>#REF!</v>
      </c>
      <c r="L44" s="2298"/>
      <c r="M44" s="2298"/>
      <c r="N44" s="2299"/>
      <c r="O44" s="474"/>
      <c r="Q44" s="444" t="s">
        <v>815</v>
      </c>
      <c r="R44" s="454" t="e">
        <f>IF(กรอกข้อมูล!#REF!="แพลทินั่ม","1,000,000 บาทต่อปี และไม่เกินผลประโยชน์รวมสูงสุดต่อปี","ไม่คุ้มครอง")</f>
        <v>#REF!</v>
      </c>
      <c r="S44" s="444" t="str">
        <f t="shared" si="7"/>
        <v xml:space="preserve"> </v>
      </c>
      <c r="T44" s="454" t="str">
        <f t="shared" si="7"/>
        <v xml:space="preserve"> </v>
      </c>
      <c r="U44" s="292" t="str">
        <f t="shared" si="7"/>
        <v xml:space="preserve"> </v>
      </c>
      <c r="V44" s="438" t="str">
        <f t="shared" si="7"/>
        <v xml:space="preserve"> </v>
      </c>
      <c r="W44" s="292" t="str">
        <f t="shared" si="3"/>
        <v xml:space="preserve"> </v>
      </c>
      <c r="X44" s="438" t="str">
        <f t="shared" si="7"/>
        <v xml:space="preserve"> </v>
      </c>
      <c r="Y44" s="444" t="str">
        <f>" "</f>
        <v xml:space="preserve"> </v>
      </c>
      <c r="Z44" s="438" t="str">
        <f t="shared" si="1"/>
        <v xml:space="preserve"> </v>
      </c>
    </row>
    <row r="45" spans="2:26" ht="21.75" customHeight="1">
      <c r="B45" s="418"/>
      <c r="C45" s="455" t="e">
        <f>IF(OR(กรอกข้อมูล!#REF!="ไดมอนด์",กรอกข้อมูล!#REF!="แพลทินั่ม"),Q44,IF($Q$2="111",S44,IF($Q$2="110",U44,IF($Q$2="101",W44,Y44))))</f>
        <v>#REF!</v>
      </c>
      <c r="D45" s="301"/>
      <c r="E45" s="302"/>
      <c r="F45" s="302"/>
      <c r="G45" s="302"/>
      <c r="H45" s="302"/>
      <c r="I45" s="303"/>
      <c r="J45" s="459"/>
      <c r="K45" s="2298" t="e">
        <f>IF(K9="ไม่คุ้มครอง","",IF(OR(กรอกข้อมูล!#REF!="ไดมอนด์",กรอกข้อมูล!#REF!="แพลทินั่ม"),R44,IF($Q$2="111",T44,IF($Q$2="110",V44,IF($Q$2="101",X44,Z44)))))</f>
        <v>#REF!</v>
      </c>
      <c r="L45" s="2298"/>
      <c r="M45" s="2298"/>
      <c r="N45" s="2299"/>
      <c r="O45" s="474"/>
      <c r="Q45" s="449" t="s">
        <v>816</v>
      </c>
      <c r="R45" s="454" t="str">
        <f>" "</f>
        <v xml:space="preserve"> </v>
      </c>
      <c r="S45" s="449" t="str">
        <f t="shared" si="7"/>
        <v xml:space="preserve"> </v>
      </c>
      <c r="T45" s="450" t="str">
        <f t="shared" si="7"/>
        <v xml:space="preserve"> </v>
      </c>
      <c r="U45" s="475" t="str">
        <f t="shared" si="7"/>
        <v xml:space="preserve"> </v>
      </c>
      <c r="V45" s="476" t="str">
        <f t="shared" si="7"/>
        <v xml:space="preserve"> </v>
      </c>
      <c r="W45" s="475" t="str">
        <f t="shared" si="7"/>
        <v xml:space="preserve"> </v>
      </c>
      <c r="X45" s="476" t="str">
        <f t="shared" si="7"/>
        <v xml:space="preserve"> </v>
      </c>
      <c r="Y45" s="449" t="str">
        <f>" "</f>
        <v xml:space="preserve"> </v>
      </c>
      <c r="Z45" s="476" t="str">
        <f t="shared" si="1"/>
        <v xml:space="preserve"> </v>
      </c>
    </row>
    <row r="46" spans="2:26" ht="21.75" customHeight="1">
      <c r="B46" s="418"/>
      <c r="C46" s="455" t="e">
        <f>IF(OR(กรอกข้อมูล!#REF!="ไดมอนด์",กรอกข้อมูล!#REF!="แพลทินั่ม"),Q45,IF($Q$2="111",S45,IF($Q$2="110",U45,IF($Q$2="101",W45,Y45))))</f>
        <v>#REF!</v>
      </c>
      <c r="D46" s="301"/>
      <c r="E46" s="302"/>
      <c r="F46" s="302"/>
      <c r="G46" s="302"/>
      <c r="H46" s="302"/>
      <c r="I46" s="303"/>
      <c r="J46" s="459"/>
      <c r="K46" s="2298" t="e">
        <f>IF(K9="ไม่คุ้มครอง","",IF(OR(กรอกข้อมูล!#REF!="ไดมอนด์",กรอกข้อมูล!#REF!="แพลทินั่ม"),R45,IF($Q$2="111",T45,IF($Q$2="110",V45,IF($Q$2="101",X45,Z45)))))</f>
        <v>#REF!</v>
      </c>
      <c r="L46" s="2298"/>
      <c r="M46" s="2298"/>
      <c r="N46" s="2299"/>
      <c r="O46" s="474"/>
      <c r="P46" s="443"/>
      <c r="Q46" s="466"/>
      <c r="R46" s="467"/>
      <c r="S46" s="477" t="str">
        <f t="shared" si="7"/>
        <v xml:space="preserve"> </v>
      </c>
      <c r="T46" s="435" t="str">
        <f t="shared" si="7"/>
        <v xml:space="preserve"> </v>
      </c>
      <c r="U46" s="477" t="str">
        <f t="shared" si="7"/>
        <v xml:space="preserve"> </v>
      </c>
      <c r="V46" s="435" t="str">
        <f t="shared" si="7"/>
        <v xml:space="preserve"> </v>
      </c>
      <c r="W46" s="477" t="str">
        <f t="shared" si="7"/>
        <v xml:space="preserve"> </v>
      </c>
      <c r="X46" s="435" t="str">
        <f t="shared" si="7"/>
        <v xml:space="preserve"> </v>
      </c>
      <c r="Y46" s="444" t="str">
        <f>" "</f>
        <v xml:space="preserve"> </v>
      </c>
      <c r="Z46" s="435" t="str">
        <f t="shared" si="7"/>
        <v xml:space="preserve"> </v>
      </c>
    </row>
    <row r="47" spans="2:26" ht="25" customHeight="1">
      <c r="B47" s="423"/>
      <c r="C47" s="2295" t="s">
        <v>556</v>
      </c>
      <c r="D47" s="2296"/>
      <c r="E47" s="2296"/>
      <c r="F47" s="2296"/>
      <c r="G47" s="2296"/>
      <c r="H47" s="2296"/>
      <c r="I47" s="2296"/>
      <c r="J47" s="2296"/>
      <c r="K47" s="2296"/>
      <c r="L47" s="2296"/>
      <c r="M47" s="2296"/>
      <c r="N47" s="2297"/>
      <c r="O47" s="478"/>
      <c r="P47" s="443"/>
      <c r="Q47" s="449"/>
      <c r="R47" s="450"/>
      <c r="S47" s="475" t="str">
        <f t="shared" si="7"/>
        <v xml:space="preserve"> </v>
      </c>
      <c r="T47" s="476" t="str">
        <f t="shared" si="7"/>
        <v xml:space="preserve"> </v>
      </c>
      <c r="U47" s="475" t="str">
        <f t="shared" si="7"/>
        <v xml:space="preserve"> </v>
      </c>
      <c r="V47" s="476" t="str">
        <f t="shared" si="7"/>
        <v xml:space="preserve"> </v>
      </c>
      <c r="W47" s="475" t="str">
        <f t="shared" si="7"/>
        <v xml:space="preserve"> </v>
      </c>
      <c r="X47" s="476" t="str">
        <f t="shared" si="7"/>
        <v xml:space="preserve"> </v>
      </c>
      <c r="Y47" s="449" t="str">
        <f>" "</f>
        <v xml:space="preserve"> </v>
      </c>
      <c r="Z47" s="476" t="str">
        <f t="shared" si="7"/>
        <v xml:space="preserve"> </v>
      </c>
    </row>
    <row r="48" spans="2:26" ht="66.75" customHeight="1">
      <c r="B48" s="418"/>
      <c r="C48" s="479" t="s">
        <v>817</v>
      </c>
      <c r="D48" s="480"/>
      <c r="E48" s="481"/>
      <c r="F48" s="481"/>
      <c r="G48" s="481"/>
      <c r="H48" s="481"/>
      <c r="I48" s="482"/>
      <c r="J48" s="483"/>
      <c r="K48" s="2308" t="s">
        <v>818</v>
      </c>
      <c r="L48" s="2309"/>
      <c r="M48" s="2309"/>
      <c r="N48" s="2310"/>
      <c r="O48" s="442"/>
      <c r="P48" s="443"/>
      <c r="Q48" s="484" t="s">
        <v>851</v>
      </c>
      <c r="R48" s="465"/>
      <c r="S48" s="485" t="e">
        <f>IF(กรอกข้อมูล!#REF!="สมาร์ท คิดส์",S49,S50)</f>
        <v>#REF!</v>
      </c>
      <c r="U48" s="485" t="e">
        <f>IF(กรอกข้อมูล!#REF!="สมาร์ท คิดส์",U49,U50)</f>
        <v>#REF!</v>
      </c>
      <c r="W48" s="484" t="s">
        <v>849</v>
      </c>
      <c r="Y48" s="484" t="s">
        <v>849</v>
      </c>
    </row>
    <row r="49" spans="2:25" ht="32.25" customHeight="1">
      <c r="B49" s="418"/>
      <c r="C49" s="2311" t="s">
        <v>819</v>
      </c>
      <c r="D49" s="2312"/>
      <c r="E49" s="2312"/>
      <c r="F49" s="2312"/>
      <c r="G49" s="2312"/>
      <c r="H49" s="2312"/>
      <c r="I49" s="2312"/>
      <c r="J49" s="2313"/>
      <c r="K49" s="2317" t="s">
        <v>820</v>
      </c>
      <c r="L49" s="2317"/>
      <c r="M49" s="2317"/>
      <c r="N49" s="2318"/>
      <c r="O49" s="442"/>
      <c r="P49" s="420"/>
      <c r="Q49" s="486"/>
      <c r="R49" s="486"/>
      <c r="S49" s="485" t="s">
        <v>850</v>
      </c>
      <c r="U49" s="485" t="s">
        <v>850</v>
      </c>
      <c r="W49" s="420"/>
      <c r="Y49" s="420"/>
    </row>
    <row r="50" spans="2:25" ht="32.25" customHeight="1">
      <c r="B50" s="418"/>
      <c r="C50" s="2314"/>
      <c r="D50" s="2315"/>
      <c r="E50" s="2315"/>
      <c r="F50" s="2315"/>
      <c r="G50" s="2315"/>
      <c r="H50" s="2315"/>
      <c r="I50" s="2315"/>
      <c r="J50" s="2316"/>
      <c r="K50" s="2319" t="s">
        <v>821</v>
      </c>
      <c r="L50" s="2319"/>
      <c r="M50" s="2319"/>
      <c r="N50" s="2320"/>
      <c r="O50" s="442"/>
      <c r="P50" s="420"/>
      <c r="Q50" s="420"/>
      <c r="R50" s="420"/>
      <c r="S50" s="487" t="s">
        <v>849</v>
      </c>
      <c r="U50" s="487" t="s">
        <v>849</v>
      </c>
      <c r="W50" s="420"/>
      <c r="Y50" s="420"/>
    </row>
    <row r="51" spans="2:25" ht="14.5" thickBot="1">
      <c r="B51" s="418"/>
      <c r="C51" s="488"/>
      <c r="D51" s="489"/>
      <c r="E51" s="489"/>
      <c r="F51" s="489"/>
      <c r="G51" s="489"/>
      <c r="H51" s="489"/>
      <c r="I51" s="489"/>
      <c r="J51" s="489"/>
      <c r="K51" s="489"/>
      <c r="L51" s="489"/>
      <c r="M51" s="489"/>
      <c r="N51" s="489"/>
      <c r="O51" s="442"/>
      <c r="Q51" s="420"/>
      <c r="R51" s="420"/>
      <c r="S51" s="420"/>
      <c r="U51" s="420"/>
      <c r="W51" s="420"/>
      <c r="Y51" s="420"/>
    </row>
    <row r="52" spans="2:25" ht="56.25" customHeight="1" thickBot="1">
      <c r="B52" s="418"/>
      <c r="C52" s="2303" t="e">
        <f>IF(OR(กรอกข้อมูล!#REF!="ไดมอนด์",กรอกข้อมูล!#REF!="แพลทินั่ม"),Q48,IF($Q$2="111",S48,IF($Q$2="110",U48,IF($Q$2="101",W48,Y48))))</f>
        <v>#REF!</v>
      </c>
      <c r="D52" s="2304"/>
      <c r="E52" s="2304"/>
      <c r="F52" s="2304"/>
      <c r="G52" s="2304"/>
      <c r="H52" s="2304"/>
      <c r="I52" s="2304"/>
      <c r="J52" s="2304"/>
      <c r="K52" s="2304"/>
      <c r="L52" s="2304"/>
      <c r="M52" s="2304"/>
      <c r="N52" s="2305"/>
      <c r="O52" s="490"/>
      <c r="P52" s="420"/>
      <c r="Q52" s="420"/>
      <c r="R52" s="420"/>
      <c r="S52" s="420"/>
      <c r="U52" s="420"/>
      <c r="W52" s="420"/>
      <c r="Y52" s="420"/>
    </row>
    <row r="53" spans="2:25" ht="37.5" customHeight="1">
      <c r="B53" s="418"/>
      <c r="C53" s="2306" t="str">
        <f>ตารางแสดงผลประโยชน์!B76</f>
        <v>โปรแกรมใบข้อเสนอนี้ใช้สำหรับแบบประกัน ไอสมาร์ท 80/6 (ไม่มีเงินปันผล) ที่เสนอขายตั้งแต่ 1 มกราคม 2569 ถึง 31 มีนาคม 2570 หรือตามประกาศยกเลิกการใช้จากบริษัทฯ (แล้วแต่ระยะเวลาใดจะเกิดขึ้นก่อน)</v>
      </c>
      <c r="D53" s="2307"/>
      <c r="E53" s="2307"/>
      <c r="F53" s="2307"/>
      <c r="G53" s="2307"/>
      <c r="H53" s="2307"/>
      <c r="I53" s="2307"/>
      <c r="J53" s="2307"/>
      <c r="K53" s="2307"/>
      <c r="L53" s="2307"/>
      <c r="M53" s="2307"/>
      <c r="N53" s="2307"/>
      <c r="O53" s="490"/>
    </row>
    <row r="54" spans="2:25" ht="14.5" thickBot="1">
      <c r="B54" s="491"/>
      <c r="C54" s="492"/>
      <c r="D54" s="493"/>
      <c r="E54" s="493"/>
      <c r="F54" s="493"/>
      <c r="G54" s="493"/>
      <c r="H54" s="493"/>
      <c r="I54" s="493"/>
      <c r="J54" s="493"/>
      <c r="K54" s="493"/>
      <c r="L54" s="494"/>
      <c r="M54" s="495"/>
      <c r="N54" s="550" t="str">
        <f>ตารางแสดงผลประโยชน์!I77</f>
        <v>ไอสมาร์ท 80/6 (ไม่มีเงินปันผล) เวอร์ชั่น A2026-1</v>
      </c>
      <c r="O54" s="496"/>
    </row>
    <row r="55" spans="2:25">
      <c r="C55" s="420"/>
      <c r="D55" s="420"/>
      <c r="F55" s="420"/>
      <c r="G55" s="420"/>
      <c r="H55" s="420"/>
      <c r="I55" s="420"/>
      <c r="J55" s="420"/>
      <c r="K55" s="420"/>
      <c r="L55" s="420"/>
      <c r="O55" s="420"/>
    </row>
    <row r="56" spans="2:25">
      <c r="C56" s="420"/>
      <c r="D56" s="420"/>
      <c r="E56" s="420"/>
      <c r="F56" s="420"/>
      <c r="G56" s="420"/>
      <c r="H56" s="420"/>
      <c r="I56" s="420"/>
      <c r="J56" s="420"/>
      <c r="K56" s="420"/>
      <c r="L56" s="420"/>
      <c r="M56" s="420"/>
      <c r="N56" s="420"/>
      <c r="O56" s="420"/>
    </row>
  </sheetData>
  <mergeCells count="60">
    <mergeCell ref="C52:N52"/>
    <mergeCell ref="C53:N53"/>
    <mergeCell ref="K21:N21"/>
    <mergeCell ref="K22:N22"/>
    <mergeCell ref="K48:N48"/>
    <mergeCell ref="C49:J50"/>
    <mergeCell ref="K49:N49"/>
    <mergeCell ref="K50:N50"/>
    <mergeCell ref="K32:N32"/>
    <mergeCell ref="C26:N26"/>
    <mergeCell ref="K23:N23"/>
    <mergeCell ref="K44:N44"/>
    <mergeCell ref="K42:N42"/>
    <mergeCell ref="K43:N43"/>
    <mergeCell ref="K45:N45"/>
    <mergeCell ref="K46:N46"/>
    <mergeCell ref="K18:N18"/>
    <mergeCell ref="Y11:Z11"/>
    <mergeCell ref="AB11:AB15"/>
    <mergeCell ref="C12:J12"/>
    <mergeCell ref="AB16:AB17"/>
    <mergeCell ref="K16:N16"/>
    <mergeCell ref="K17:N17"/>
    <mergeCell ref="Q11:R11"/>
    <mergeCell ref="S11:T11"/>
    <mergeCell ref="K12:N12"/>
    <mergeCell ref="K19:N19"/>
    <mergeCell ref="K20:N20"/>
    <mergeCell ref="K13:N13"/>
    <mergeCell ref="K14:N14"/>
    <mergeCell ref="C36:N36"/>
    <mergeCell ref="K34:N34"/>
    <mergeCell ref="K35:N35"/>
    <mergeCell ref="K24:N24"/>
    <mergeCell ref="K25:N25"/>
    <mergeCell ref="K27:N27"/>
    <mergeCell ref="K28:N28"/>
    <mergeCell ref="K29:N29"/>
    <mergeCell ref="K33:N33"/>
    <mergeCell ref="K30:N30"/>
    <mergeCell ref="K31:N31"/>
    <mergeCell ref="K15:N15"/>
    <mergeCell ref="C47:N47"/>
    <mergeCell ref="K37:N37"/>
    <mergeCell ref="K38:N38"/>
    <mergeCell ref="K39:N39"/>
    <mergeCell ref="K40:N40"/>
    <mergeCell ref="K41:N41"/>
    <mergeCell ref="E2:N2"/>
    <mergeCell ref="Q4:R4"/>
    <mergeCell ref="U11:V11"/>
    <mergeCell ref="W11:X11"/>
    <mergeCell ref="C6:K6"/>
    <mergeCell ref="C7:K7"/>
    <mergeCell ref="C8:K8"/>
    <mergeCell ref="C11:N11"/>
    <mergeCell ref="C9:J9"/>
    <mergeCell ref="K9:N9"/>
    <mergeCell ref="K10:N10"/>
    <mergeCell ref="C10:J10"/>
  </mergeCells>
  <printOptions horizontalCentered="1"/>
  <pageMargins left="0" right="0" top="0" bottom="0" header="0.31496062992125984" footer="0.31496062992125984"/>
  <pageSetup paperSize="9" scale="71" orientation="portrait" horizontalDpi="300" verticalDpi="300" r:id="rId1"/>
  <headerFooter alignWithMargins="0">
    <oddFooter>&amp;C&amp;"Calibri"&amp;11&amp;K0000005/9_x000D_&amp;1#&amp;"Calibri"&amp;10&amp;K000000Internal</oddFoot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8">
    <pageSetUpPr fitToPage="1"/>
  </sheetPr>
  <dimension ref="B1:R31"/>
  <sheetViews>
    <sheetView showGridLines="0" topLeftCell="A27" zoomScaleNormal="100" workbookViewId="0">
      <selection activeCell="AY34" sqref="AY34"/>
    </sheetView>
  </sheetViews>
  <sheetFormatPr defaultColWidth="9.09765625" defaultRowHeight="21.5"/>
  <cols>
    <col min="1" max="1" width="2.296875" style="3" customWidth="1"/>
    <col min="2" max="2" width="1.69921875" style="3" customWidth="1"/>
    <col min="3" max="6" width="9.09765625" style="3"/>
    <col min="7" max="7" width="25.09765625" style="3" customWidth="1"/>
    <col min="8" max="11" width="8.69921875" style="3" customWidth="1"/>
    <col min="12" max="12" width="4.296875" style="3" customWidth="1"/>
    <col min="13" max="13" width="16.8984375" style="3" customWidth="1"/>
    <col min="14" max="14" width="19.59765625" style="3" customWidth="1"/>
    <col min="15" max="15" width="2.8984375" style="3" customWidth="1"/>
    <col min="16" max="16384" width="9.09765625" style="3"/>
  </cols>
  <sheetData>
    <row r="1" spans="2:18" ht="31.5" customHeight="1">
      <c r="B1" s="272"/>
      <c r="C1" s="2321" t="s">
        <v>823</v>
      </c>
      <c r="D1" s="2321"/>
      <c r="E1" s="2321"/>
      <c r="F1" s="2321"/>
      <c r="G1" s="2321"/>
      <c r="H1" s="2321"/>
      <c r="I1" s="2321"/>
      <c r="J1" s="2321"/>
      <c r="K1" s="2321"/>
      <c r="L1" s="2321"/>
      <c r="M1" s="2321"/>
      <c r="N1" s="2321"/>
      <c r="O1" s="273"/>
      <c r="P1" s="13"/>
      <c r="Q1" s="9"/>
    </row>
    <row r="2" spans="2:18" s="48" customFormat="1" ht="20.149999999999999" customHeight="1">
      <c r="B2" s="274"/>
      <c r="C2" s="275"/>
      <c r="D2" s="275"/>
      <c r="E2" s="275"/>
      <c r="F2" s="275"/>
      <c r="G2" s="275"/>
      <c r="H2" s="275"/>
      <c r="I2" s="275"/>
      <c r="J2" s="275"/>
      <c r="K2" s="275"/>
      <c r="L2" s="275"/>
      <c r="M2" s="275"/>
      <c r="N2" s="275"/>
      <c r="O2" s="276"/>
      <c r="P2" s="46"/>
      <c r="Q2" s="47"/>
    </row>
    <row r="3" spans="2:18" s="121" customFormat="1" ht="27" customHeight="1">
      <c r="B3" s="277"/>
      <c r="C3" s="163" t="s">
        <v>125</v>
      </c>
      <c r="D3" s="159"/>
      <c r="E3" s="191" t="str">
        <f>กรอกข้อมูล!$C$4</f>
        <v>คุณคนพิเศษ</v>
      </c>
      <c r="F3" s="160"/>
      <c r="G3" s="161"/>
      <c r="H3" s="160" t="str">
        <f>"เพศ: "&amp;กรอกข้อมูล!C6</f>
        <v>เพศ: หญิง</v>
      </c>
      <c r="I3" s="160"/>
      <c r="J3" s="160" t="str">
        <f>"อายุ:  "&amp;กรอกข้อมูล!C5&amp;" ปี"</f>
        <v>อายุ:  44 ปี</v>
      </c>
      <c r="K3" s="160"/>
      <c r="L3" s="160" t="str">
        <f>"อัตราภาษีเงินได้บุคคลธรรมดา "&amp;TEXT(กรอกข้อมูล!C8,"0%")</f>
        <v>อัตราภาษีเงินได้บุคคลธรรมดา 0%</v>
      </c>
      <c r="M3" s="160"/>
      <c r="N3" s="162"/>
      <c r="O3" s="278"/>
      <c r="P3" s="19"/>
      <c r="Q3" s="16"/>
    </row>
    <row r="4" spans="2:18" ht="20.149999999999999" customHeight="1">
      <c r="B4" s="279"/>
      <c r="C4" s="280"/>
      <c r="D4" s="281"/>
      <c r="E4" s="281"/>
      <c r="F4" s="281"/>
      <c r="G4" s="281"/>
      <c r="H4" s="281"/>
      <c r="I4" s="281"/>
      <c r="J4" s="39"/>
      <c r="K4" s="39"/>
      <c r="L4" s="40"/>
      <c r="M4" s="40"/>
      <c r="N4" s="41"/>
      <c r="O4" s="278"/>
      <c r="P4" s="19"/>
      <c r="Q4" s="16"/>
    </row>
    <row r="5" spans="2:18" ht="20.149999999999999" customHeight="1">
      <c r="B5" s="279"/>
      <c r="C5" s="2324" t="s">
        <v>838</v>
      </c>
      <c r="D5" s="2324"/>
      <c r="E5" s="2324"/>
      <c r="F5" s="2324"/>
      <c r="G5" s="2324"/>
      <c r="H5" s="2324"/>
      <c r="I5" s="2324"/>
      <c r="J5" s="2324"/>
      <c r="K5" s="2324"/>
      <c r="L5" s="2324"/>
      <c r="M5" s="2324"/>
      <c r="N5" s="2324"/>
      <c r="O5" s="278"/>
      <c r="P5" s="19"/>
      <c r="Q5" s="16"/>
    </row>
    <row r="6" spans="2:18" ht="20.149999999999999" customHeight="1">
      <c r="B6" s="279"/>
      <c r="C6" s="507" t="s">
        <v>839</v>
      </c>
      <c r="D6" s="507"/>
      <c r="E6" s="507"/>
      <c r="F6" s="507"/>
      <c r="G6" s="507"/>
      <c r="H6" s="507"/>
      <c r="I6" s="507"/>
      <c r="J6" s="507"/>
      <c r="K6" s="507"/>
      <c r="L6" s="507"/>
      <c r="M6" s="507"/>
      <c r="N6" s="507"/>
      <c r="O6" s="278"/>
      <c r="P6" s="19"/>
      <c r="Q6" s="16"/>
    </row>
    <row r="7" spans="2:18" ht="20.149999999999999" customHeight="1">
      <c r="B7" s="279"/>
      <c r="C7" s="507" t="s">
        <v>844</v>
      </c>
      <c r="D7" s="507"/>
      <c r="E7" s="507"/>
      <c r="F7" s="507"/>
      <c r="G7" s="507"/>
      <c r="H7" s="507"/>
      <c r="I7" s="507"/>
      <c r="J7" s="507"/>
      <c r="K7" s="507"/>
      <c r="L7" s="507"/>
      <c r="M7" s="507"/>
      <c r="N7" s="299"/>
      <c r="O7" s="278"/>
      <c r="P7" s="19"/>
      <c r="Q7" s="16"/>
    </row>
    <row r="8" spans="2:18" ht="20.149999999999999" customHeight="1">
      <c r="B8" s="279"/>
      <c r="C8" s="507" t="s">
        <v>845</v>
      </c>
      <c r="D8" s="507"/>
      <c r="E8" s="507"/>
      <c r="F8" s="507"/>
      <c r="G8" s="507"/>
      <c r="H8" s="507"/>
      <c r="I8" s="507"/>
      <c r="J8" s="507"/>
      <c r="K8" s="507"/>
      <c r="L8" s="507"/>
      <c r="M8" s="507"/>
      <c r="N8" s="299"/>
      <c r="O8" s="278"/>
      <c r="P8" s="19"/>
      <c r="Q8" s="16"/>
    </row>
    <row r="9" spans="2:18" ht="20.149999999999999" customHeight="1">
      <c r="B9" s="279"/>
      <c r="C9" s="2324" t="s">
        <v>840</v>
      </c>
      <c r="D9" s="2324"/>
      <c r="E9" s="2324"/>
      <c r="F9" s="2324"/>
      <c r="G9" s="2324"/>
      <c r="H9" s="2324"/>
      <c r="I9" s="2324"/>
      <c r="J9" s="2324"/>
      <c r="K9" s="2324"/>
      <c r="L9" s="2324"/>
      <c r="M9" s="2324"/>
      <c r="N9" s="2324"/>
      <c r="O9" s="278"/>
      <c r="P9" s="19"/>
      <c r="Q9" s="16"/>
    </row>
    <row r="10" spans="2:18" ht="20.149999999999999" customHeight="1">
      <c r="B10" s="279"/>
      <c r="C10" s="507" t="s">
        <v>841</v>
      </c>
      <c r="D10" s="507"/>
      <c r="E10" s="507"/>
      <c r="F10" s="507"/>
      <c r="G10" s="507"/>
      <c r="H10" s="507"/>
      <c r="I10" s="507"/>
      <c r="J10" s="507"/>
      <c r="K10" s="507"/>
      <c r="L10" s="507"/>
      <c r="M10" s="507"/>
      <c r="N10" s="507"/>
      <c r="O10" s="278"/>
      <c r="P10" s="19"/>
      <c r="Q10" s="16"/>
    </row>
    <row r="11" spans="2:18" ht="20.149999999999999" customHeight="1">
      <c r="B11" s="279"/>
      <c r="C11" s="507"/>
      <c r="D11" s="507" t="s">
        <v>824</v>
      </c>
      <c r="E11" s="507"/>
      <c r="F11" s="507"/>
      <c r="G11" s="507"/>
      <c r="H11" s="507"/>
      <c r="I11" s="507"/>
      <c r="J11" s="507"/>
      <c r="K11" s="507" t="s">
        <v>825</v>
      </c>
      <c r="L11" s="507"/>
      <c r="M11" s="507"/>
      <c r="N11" s="299"/>
      <c r="O11" s="278"/>
      <c r="P11" s="19"/>
      <c r="Q11" s="16"/>
    </row>
    <row r="12" spans="2:18" ht="20.149999999999999" customHeight="1">
      <c r="B12" s="279"/>
      <c r="C12" s="507"/>
      <c r="D12" s="507" t="s">
        <v>826</v>
      </c>
      <c r="E12" s="507"/>
      <c r="F12" s="507"/>
      <c r="G12" s="507"/>
      <c r="H12" s="507"/>
      <c r="I12" s="507"/>
      <c r="J12" s="507"/>
      <c r="K12" s="507" t="s">
        <v>827</v>
      </c>
      <c r="L12" s="507"/>
      <c r="M12" s="507"/>
      <c r="N12" s="299"/>
      <c r="O12" s="278"/>
      <c r="P12" s="19"/>
      <c r="Q12" s="16"/>
    </row>
    <row r="13" spans="2:18" ht="20.149999999999999" customHeight="1">
      <c r="B13" s="279"/>
      <c r="C13" s="507"/>
      <c r="D13" s="507" t="s">
        <v>828</v>
      </c>
      <c r="E13" s="507"/>
      <c r="F13" s="507"/>
      <c r="G13" s="507"/>
      <c r="H13" s="507"/>
      <c r="I13" s="507"/>
      <c r="J13" s="507"/>
      <c r="K13" s="507" t="s">
        <v>829</v>
      </c>
      <c r="L13" s="507"/>
      <c r="M13" s="507"/>
      <c r="N13" s="299"/>
      <c r="O13" s="150"/>
      <c r="P13" s="19"/>
      <c r="Q13" s="19"/>
      <c r="R13" s="16"/>
    </row>
    <row r="14" spans="2:18" ht="20.149999999999999" customHeight="1">
      <c r="B14" s="279"/>
      <c r="C14" s="507"/>
      <c r="D14" s="507" t="s">
        <v>830</v>
      </c>
      <c r="E14" s="507"/>
      <c r="F14" s="507"/>
      <c r="G14" s="507"/>
      <c r="H14" s="507"/>
      <c r="I14" s="507"/>
      <c r="J14" s="507"/>
      <c r="K14" s="507" t="s">
        <v>831</v>
      </c>
      <c r="L14" s="507"/>
      <c r="M14" s="507"/>
      <c r="N14" s="299"/>
      <c r="O14" s="150"/>
      <c r="P14" s="19"/>
      <c r="Q14" s="19"/>
      <c r="R14" s="16"/>
    </row>
    <row r="15" spans="2:18" ht="20.149999999999999" customHeight="1">
      <c r="B15" s="279"/>
      <c r="C15" s="2324" t="s">
        <v>842</v>
      </c>
      <c r="D15" s="2324"/>
      <c r="E15" s="2324"/>
      <c r="F15" s="2324"/>
      <c r="G15" s="2324"/>
      <c r="H15" s="2324"/>
      <c r="I15" s="2324"/>
      <c r="J15" s="2324"/>
      <c r="K15" s="2324"/>
      <c r="L15" s="2324"/>
      <c r="M15" s="2324"/>
      <c r="N15" s="2324"/>
      <c r="O15" s="150"/>
      <c r="P15" s="19"/>
      <c r="Q15" s="19"/>
      <c r="R15" s="16"/>
    </row>
    <row r="16" spans="2:18" ht="20.149999999999999" customHeight="1">
      <c r="B16" s="279"/>
      <c r="C16" s="507" t="s">
        <v>843</v>
      </c>
      <c r="D16" s="507"/>
      <c r="E16" s="507"/>
      <c r="F16" s="507"/>
      <c r="G16" s="507"/>
      <c r="H16" s="507"/>
      <c r="I16" s="507"/>
      <c r="J16" s="507"/>
      <c r="K16" s="507"/>
      <c r="L16" s="507"/>
      <c r="M16" s="507"/>
      <c r="N16" s="507"/>
      <c r="O16" s="150"/>
      <c r="P16" s="19"/>
      <c r="Q16" s="19"/>
      <c r="R16" s="16"/>
    </row>
    <row r="17" spans="2:18" ht="20.149999999999999" customHeight="1">
      <c r="B17" s="279"/>
      <c r="C17" s="507"/>
      <c r="D17" s="508" t="s">
        <v>832</v>
      </c>
      <c r="E17" s="507"/>
      <c r="F17" s="507"/>
      <c r="G17" s="507"/>
      <c r="H17" s="507"/>
      <c r="I17" s="507"/>
      <c r="J17" s="507"/>
      <c r="K17" s="290"/>
      <c r="L17" s="507"/>
      <c r="M17" s="507"/>
      <c r="N17" s="299"/>
      <c r="O17" s="137"/>
      <c r="P17" s="9"/>
      <c r="Q17" s="11"/>
      <c r="R17" s="9"/>
    </row>
    <row r="18" spans="2:18" ht="20.149999999999999" customHeight="1">
      <c r="B18" s="279"/>
      <c r="C18" s="507"/>
      <c r="D18" s="508" t="s">
        <v>833</v>
      </c>
      <c r="E18" s="507"/>
      <c r="F18" s="507"/>
      <c r="G18" s="507"/>
      <c r="H18" s="507"/>
      <c r="I18" s="507"/>
      <c r="J18" s="507"/>
      <c r="K18" s="417"/>
      <c r="L18" s="507"/>
      <c r="M18" s="507"/>
      <c r="N18" s="299"/>
      <c r="O18" s="137"/>
      <c r="P18" s="9"/>
      <c r="Q18" s="11"/>
      <c r="R18" s="9"/>
    </row>
    <row r="19" spans="2:18" ht="20.149999999999999" customHeight="1">
      <c r="B19" s="279"/>
      <c r="C19" s="507"/>
      <c r="D19" s="508" t="s">
        <v>834</v>
      </c>
      <c r="E19" s="507"/>
      <c r="F19" s="507"/>
      <c r="G19" s="507"/>
      <c r="H19" s="507"/>
      <c r="I19" s="507"/>
      <c r="J19" s="507"/>
      <c r="K19" s="508"/>
      <c r="L19" s="507"/>
      <c r="M19" s="507"/>
      <c r="N19" s="299"/>
      <c r="O19" s="137"/>
      <c r="P19" s="9"/>
      <c r="Q19" s="11"/>
      <c r="R19" s="9"/>
    </row>
    <row r="20" spans="2:18" ht="20.149999999999999" customHeight="1">
      <c r="B20" s="279"/>
      <c r="C20" s="507"/>
      <c r="D20" s="508" t="s">
        <v>835</v>
      </c>
      <c r="E20" s="507"/>
      <c r="F20" s="507"/>
      <c r="G20" s="507"/>
      <c r="H20" s="507"/>
      <c r="I20" s="507"/>
      <c r="J20" s="507"/>
      <c r="K20" s="508"/>
      <c r="L20" s="507"/>
      <c r="M20" s="507"/>
      <c r="N20" s="299"/>
      <c r="O20" s="137"/>
      <c r="P20" s="9"/>
      <c r="Q20" s="11"/>
      <c r="R20" s="9"/>
    </row>
    <row r="21" spans="2:18" ht="20.149999999999999" customHeight="1">
      <c r="B21" s="279"/>
      <c r="C21" s="2324" t="s">
        <v>846</v>
      </c>
      <c r="D21" s="2324"/>
      <c r="E21" s="2324"/>
      <c r="F21" s="2324"/>
      <c r="G21" s="2324"/>
      <c r="H21" s="2324"/>
      <c r="I21" s="2324"/>
      <c r="J21" s="2324"/>
      <c r="K21" s="2324"/>
      <c r="L21" s="2324"/>
      <c r="M21" s="2324"/>
      <c r="N21" s="2324"/>
      <c r="O21" s="137"/>
      <c r="P21" s="9"/>
      <c r="Q21" s="11"/>
      <c r="R21" s="9"/>
    </row>
    <row r="22" spans="2:18" ht="20.149999999999999" customHeight="1">
      <c r="B22" s="279"/>
      <c r="C22" s="507" t="s">
        <v>847</v>
      </c>
      <c r="D22" s="507"/>
      <c r="E22" s="507"/>
      <c r="F22" s="507"/>
      <c r="G22" s="507"/>
      <c r="H22" s="507"/>
      <c r="I22" s="507"/>
      <c r="J22" s="507"/>
      <c r="K22" s="507"/>
      <c r="L22" s="507"/>
      <c r="M22" s="507"/>
      <c r="N22" s="507"/>
      <c r="O22" s="137"/>
      <c r="P22" s="9"/>
      <c r="Q22" s="11"/>
      <c r="R22" s="9"/>
    </row>
    <row r="23" spans="2:18" ht="20.149999999999999" customHeight="1">
      <c r="B23" s="279"/>
      <c r="C23" s="507" t="s">
        <v>836</v>
      </c>
      <c r="D23" s="507"/>
      <c r="E23" s="507"/>
      <c r="F23" s="507"/>
      <c r="G23" s="507"/>
      <c r="H23" s="507"/>
      <c r="I23" s="507"/>
      <c r="J23" s="507"/>
      <c r="K23" s="507"/>
      <c r="L23" s="507"/>
      <c r="M23" s="507"/>
      <c r="N23" s="299"/>
      <c r="O23" s="137"/>
      <c r="P23" s="9"/>
      <c r="Q23" s="11"/>
      <c r="R23" s="9"/>
    </row>
    <row r="24" spans="2:18" ht="20.149999999999999" customHeight="1">
      <c r="B24" s="279"/>
      <c r="C24" s="507"/>
      <c r="D24" s="507"/>
      <c r="E24" s="507"/>
      <c r="F24" s="507"/>
      <c r="G24" s="507"/>
      <c r="H24" s="507"/>
      <c r="I24" s="507"/>
      <c r="J24" s="507"/>
      <c r="K24" s="507"/>
      <c r="L24" s="507"/>
      <c r="M24" s="507"/>
      <c r="N24" s="299"/>
      <c r="O24" s="137"/>
      <c r="P24" s="9"/>
      <c r="Q24" s="11"/>
      <c r="R24" s="9"/>
    </row>
    <row r="25" spans="2:18" ht="20.149999999999999" customHeight="1">
      <c r="B25" s="279"/>
      <c r="C25" s="2325" t="s">
        <v>837</v>
      </c>
      <c r="D25" s="2325"/>
      <c r="E25" s="2325"/>
      <c r="F25" s="2325"/>
      <c r="G25" s="2325"/>
      <c r="H25" s="2325"/>
      <c r="I25" s="2325"/>
      <c r="J25" s="2325"/>
      <c r="K25" s="2325"/>
      <c r="L25" s="2325"/>
      <c r="M25" s="2325"/>
      <c r="N25" s="2325"/>
      <c r="O25" s="137"/>
      <c r="P25" s="9"/>
      <c r="Q25" s="9"/>
      <c r="R25" s="9"/>
    </row>
    <row r="26" spans="2:18" ht="20.149999999999999" customHeight="1">
      <c r="B26" s="279"/>
      <c r="C26" s="270"/>
      <c r="D26" s="282"/>
      <c r="E26" s="282"/>
      <c r="F26" s="282"/>
      <c r="G26" s="282"/>
      <c r="H26" s="282"/>
      <c r="I26" s="282"/>
      <c r="J26" s="282"/>
      <c r="K26" s="282"/>
      <c r="L26" s="282"/>
      <c r="M26" s="282"/>
      <c r="N26" s="282"/>
      <c r="O26" s="137"/>
      <c r="P26" s="9"/>
      <c r="Q26" s="9"/>
      <c r="R26" s="9"/>
    </row>
    <row r="27" spans="2:18" ht="20.149999999999999" customHeight="1">
      <c r="B27" s="279"/>
      <c r="C27" s="270"/>
      <c r="D27" s="169"/>
      <c r="E27" s="169"/>
      <c r="F27" s="169"/>
      <c r="G27" s="169"/>
      <c r="H27" s="169"/>
      <c r="I27" s="169"/>
      <c r="J27" s="169"/>
      <c r="K27" s="169"/>
      <c r="L27" s="283"/>
      <c r="M27" s="284"/>
      <c r="N27" s="128"/>
      <c r="O27" s="137"/>
      <c r="Q27" s="9"/>
      <c r="R27" s="9"/>
    </row>
    <row r="28" spans="2:18" ht="20.149999999999999" customHeight="1">
      <c r="B28" s="279"/>
      <c r="C28" s="285"/>
      <c r="D28" s="169"/>
      <c r="E28" s="169"/>
      <c r="F28" s="169"/>
      <c r="G28" s="169"/>
      <c r="H28" s="169"/>
      <c r="I28" s="169"/>
      <c r="J28" s="169"/>
      <c r="K28" s="169"/>
      <c r="L28" s="283"/>
      <c r="M28" s="284"/>
      <c r="N28" s="286"/>
      <c r="O28" s="137"/>
      <c r="P28" s="9"/>
      <c r="Q28" s="9"/>
      <c r="R28" s="9"/>
    </row>
    <row r="29" spans="2:18" ht="20.149999999999999" customHeight="1">
      <c r="B29" s="279"/>
      <c r="C29" s="2322" t="str">
        <f>ตารางแสดงผลประโยชน์!B76</f>
        <v>โปรแกรมใบข้อเสนอนี้ใช้สำหรับแบบประกัน ไอสมาร์ท 80/6 (ไม่มีเงินปันผล) ที่เสนอขายตั้งแต่ 1 มกราคม 2569 ถึง 31 มีนาคม 2570 หรือตามประกาศยกเลิกการใช้จากบริษัทฯ (แล้วแต่ระยะเวลาใดจะเกิดขึ้นก่อน)</v>
      </c>
      <c r="D29" s="2323"/>
      <c r="E29" s="2323"/>
      <c r="F29" s="2323"/>
      <c r="G29" s="2323"/>
      <c r="H29" s="2323"/>
      <c r="I29" s="2323"/>
      <c r="J29" s="2323"/>
      <c r="K29" s="2323"/>
      <c r="L29" s="2323"/>
      <c r="M29" s="2323"/>
      <c r="N29" s="2323"/>
      <c r="O29" s="137"/>
      <c r="P29" s="9"/>
      <c r="Q29" s="11"/>
      <c r="R29" s="9"/>
    </row>
    <row r="30" spans="2:18" ht="22" thickBot="1">
      <c r="B30" s="287"/>
      <c r="C30" s="155"/>
      <c r="D30" s="155"/>
      <c r="E30" s="70"/>
      <c r="F30" s="155"/>
      <c r="G30" s="155"/>
      <c r="H30" s="155"/>
      <c r="I30" s="155"/>
      <c r="J30" s="155"/>
      <c r="K30" s="155"/>
      <c r="L30" s="155"/>
      <c r="M30" s="70"/>
      <c r="N30" s="288" t="str">
        <f>กรอกข้อมูล!E65&amp;" เวอร์ชั่น "&amp;กรอกข้อมูล!E64</f>
        <v>ไอสมาร์ท 80/6 (ไม่มีเงินปันผล) เวอร์ชั่น A2026-1</v>
      </c>
      <c r="O30" s="289"/>
    </row>
    <row r="31" spans="2:18">
      <c r="C31" s="9"/>
      <c r="D31" s="9"/>
      <c r="E31" s="9"/>
      <c r="F31" s="9"/>
      <c r="G31" s="9"/>
      <c r="H31" s="9"/>
      <c r="I31" s="9"/>
      <c r="J31" s="9"/>
      <c r="K31" s="9"/>
      <c r="L31" s="9"/>
      <c r="M31" s="9"/>
      <c r="N31" s="9"/>
    </row>
  </sheetData>
  <mergeCells count="7">
    <mergeCell ref="C1:N1"/>
    <mergeCell ref="C29:N29"/>
    <mergeCell ref="C5:N5"/>
    <mergeCell ref="C9:N9"/>
    <mergeCell ref="C15:N15"/>
    <mergeCell ref="C21:N21"/>
    <mergeCell ref="C25:N25"/>
  </mergeCells>
  <printOptions horizontalCentered="1"/>
  <pageMargins left="0.15748031496062992" right="0" top="0.35433070866141736" bottom="0.27559055118110237" header="0.27559055118110237" footer="0.15748031496062992"/>
  <pageSetup paperSize="9" scale="80" orientation="portrait" r:id="rId1"/>
  <headerFooter alignWithMargins="0">
    <oddFooter>&amp;C&amp;"Calibri"&amp;11&amp;K0000006/9_x000D_&amp;1#&amp;"Calibri"&amp;10&amp;K000000Internal</oddFooter>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7">
    <tabColor rgb="FF00B0F0"/>
  </sheetPr>
  <dimension ref="A1:P37"/>
  <sheetViews>
    <sheetView topLeftCell="D1" zoomScale="80" zoomScaleNormal="80" workbookViewId="0">
      <selection activeCell="B10" sqref="B10"/>
    </sheetView>
  </sheetViews>
  <sheetFormatPr defaultRowHeight="21.5"/>
  <cols>
    <col min="2" max="2" width="21.8984375" bestFit="1" customWidth="1"/>
    <col min="3" max="3" width="42.296875" customWidth="1"/>
    <col min="4" max="4" width="24" customWidth="1"/>
    <col min="5" max="5" width="25.59765625" customWidth="1"/>
    <col min="6" max="6" width="13.3984375" customWidth="1"/>
    <col min="7" max="7" width="11.8984375" customWidth="1"/>
    <col min="8" max="8" width="51.8984375" customWidth="1"/>
    <col min="9" max="9" width="48.3984375" customWidth="1"/>
    <col min="10" max="10" width="45.8984375" customWidth="1"/>
    <col min="11" max="11" width="30.09765625" customWidth="1"/>
    <col min="12" max="12" width="19" customWidth="1"/>
    <col min="13" max="13" width="19.8984375" bestFit="1" customWidth="1"/>
    <col min="14" max="14" width="14.09765625" bestFit="1" customWidth="1"/>
    <col min="15" max="16" width="12.69921875" bestFit="1" customWidth="1"/>
  </cols>
  <sheetData>
    <row r="1" spans="1:16">
      <c r="H1" t="s">
        <v>562</v>
      </c>
    </row>
    <row r="2" spans="1:16" ht="29">
      <c r="A2" s="368"/>
      <c r="B2" s="369" t="s">
        <v>563</v>
      </c>
      <c r="C2" s="311" t="s">
        <v>564</v>
      </c>
      <c r="D2" s="369" t="s">
        <v>565</v>
      </c>
      <c r="E2" s="369" t="s">
        <v>566</v>
      </c>
      <c r="F2" s="369" t="s">
        <v>567</v>
      </c>
      <c r="G2" s="370" t="s">
        <v>568</v>
      </c>
      <c r="H2" s="369" t="s">
        <v>116</v>
      </c>
      <c r="I2" s="371" t="s">
        <v>569</v>
      </c>
      <c r="J2" s="371" t="s">
        <v>565</v>
      </c>
      <c r="K2" s="371" t="s">
        <v>570</v>
      </c>
      <c r="L2" s="371" t="s">
        <v>753</v>
      </c>
      <c r="M2" s="371"/>
      <c r="N2" s="372" t="s">
        <v>571</v>
      </c>
    </row>
    <row r="3" spans="1:16">
      <c r="B3" t="s">
        <v>754</v>
      </c>
      <c r="C3" s="373" t="s">
        <v>572</v>
      </c>
      <c r="D3" t="s">
        <v>557</v>
      </c>
      <c r="E3" t="s">
        <v>32</v>
      </c>
      <c r="F3" t="s">
        <v>29</v>
      </c>
      <c r="G3" s="374">
        <v>1</v>
      </c>
      <c r="H3" s="194" t="s">
        <v>757</v>
      </c>
      <c r="I3" s="91" t="str">
        <f>IF( AND(กรอกข้อมูล!C5&gt;=0,กรอกข้อมูล!C5 &lt;= 15),"RiderJuvenile","RiderAdult")</f>
        <v>RiderAdult</v>
      </c>
      <c r="J3" t="e">
        <f>IF( OR(กรอกข้อมูล!#REF! = "สมาร์ท คิดส์",กรอกข้อมูล!#REF! = "โกลด์ คิดส์",กรอกข้อมูล!#REF! = "สมาร์ท",กรอกข้อมูล!#REF! = "ซิลเวอร์"),"Thailand",IF(กรอกข้อมูล!#REF! = "โกลด์","ThaiAsia","ThaiAsiaXUWW" ))</f>
        <v>#REF!</v>
      </c>
      <c r="K3" t="e">
        <f>IF(OR(กรอกข้อมูล!#REF!="สมาร์ท คิดส์",กรอกข้อมูล!#REF!="โกลด์ คิดส์"),IF(OR(กรอกข้อมูล!#REF!="-",กรอกข้อมูล!#REF!=""),"CannotBuy","BuyOnly"),IF(OR(กรอกข้อมูล!#REF!="-",กรอกข้อมูล!#REF!=""),"CannotBuy","OptionBuy"))</f>
        <v>#REF!</v>
      </c>
      <c r="L3" t="e">
        <f>IF(OR(กรอกข้อมูล!#REF!="สมาร์ท คิดส์",กรอกข้อมูล!#REF!="โกลด์ คิดส์"),IF(OR(กรอกข้อมูล!#REF!="-",กรอกข้อมูล!#REF!=""),"CannotBuy","BuyOnly"),IF(OR(กรอกข้อมูล!#REF!="-",กรอกข้อมูล!#REF!=""),"CannotBuy","OptionBuy"))</f>
        <v>#REF!</v>
      </c>
      <c r="M3" s="504"/>
      <c r="N3" s="375" t="s">
        <v>573</v>
      </c>
    </row>
    <row r="4" spans="1:16" ht="43">
      <c r="C4" s="373" t="s">
        <v>574</v>
      </c>
      <c r="D4" t="s">
        <v>575</v>
      </c>
      <c r="E4" t="s">
        <v>44</v>
      </c>
      <c r="F4" t="s">
        <v>47</v>
      </c>
      <c r="G4" s="374">
        <v>2</v>
      </c>
      <c r="N4" s="375" t="s">
        <v>573</v>
      </c>
    </row>
    <row r="5" spans="1:16" ht="64.5">
      <c r="C5" s="373" t="s">
        <v>555</v>
      </c>
      <c r="D5" t="s">
        <v>576</v>
      </c>
      <c r="E5" t="s">
        <v>45</v>
      </c>
      <c r="G5" s="374">
        <v>4</v>
      </c>
      <c r="N5" s="375" t="s">
        <v>573</v>
      </c>
    </row>
    <row r="6" spans="1:16">
      <c r="C6" s="373" t="s">
        <v>577</v>
      </c>
      <c r="D6" t="s">
        <v>578</v>
      </c>
      <c r="E6" t="s">
        <v>46</v>
      </c>
      <c r="G6" s="374">
        <v>12</v>
      </c>
      <c r="N6" s="375" t="s">
        <v>579</v>
      </c>
    </row>
    <row r="7" spans="1:16" ht="43">
      <c r="C7" s="373" t="s">
        <v>580</v>
      </c>
      <c r="N7" s="375" t="s">
        <v>579</v>
      </c>
    </row>
    <row r="8" spans="1:16" ht="64.5">
      <c r="C8" s="373" t="s">
        <v>581</v>
      </c>
      <c r="N8" s="375" t="s">
        <v>579</v>
      </c>
    </row>
    <row r="9" spans="1:16">
      <c r="C9" s="313" t="s">
        <v>582</v>
      </c>
      <c r="N9" s="375" t="s">
        <v>583</v>
      </c>
    </row>
    <row r="10" spans="1:16">
      <c r="C10" s="313" t="s">
        <v>584</v>
      </c>
      <c r="H10" s="91"/>
      <c r="I10" s="91"/>
      <c r="J10" s="91"/>
      <c r="K10" s="91"/>
      <c r="L10" s="91"/>
      <c r="N10" s="375" t="s">
        <v>585</v>
      </c>
    </row>
    <row r="11" spans="1:16">
      <c r="C11" s="313" t="s">
        <v>586</v>
      </c>
      <c r="H11" s="91"/>
      <c r="I11" s="91"/>
      <c r="J11" s="91"/>
      <c r="K11" s="91"/>
      <c r="L11" s="91"/>
      <c r="N11" s="375" t="s">
        <v>587</v>
      </c>
    </row>
    <row r="12" spans="1:16">
      <c r="C12" s="313" t="s">
        <v>588</v>
      </c>
      <c r="N12" s="375" t="s">
        <v>588</v>
      </c>
    </row>
    <row r="13" spans="1:16">
      <c r="C13" s="313" t="s">
        <v>589</v>
      </c>
      <c r="N13" s="375" t="s">
        <v>589</v>
      </c>
    </row>
    <row r="14" spans="1:16">
      <c r="B14" s="310" t="s">
        <v>558</v>
      </c>
      <c r="C14" s="310" t="s">
        <v>559</v>
      </c>
      <c r="D14" s="310" t="s">
        <v>755</v>
      </c>
      <c r="H14" s="312" t="s">
        <v>590</v>
      </c>
      <c r="I14" s="312" t="s">
        <v>591</v>
      </c>
      <c r="J14" s="312" t="s">
        <v>592</v>
      </c>
      <c r="K14" s="312" t="s">
        <v>593</v>
      </c>
      <c r="L14" s="312" t="s">
        <v>571</v>
      </c>
      <c r="M14" s="312" t="s">
        <v>594</v>
      </c>
      <c r="N14" s="314" t="s">
        <v>595</v>
      </c>
      <c r="O14" s="314" t="s">
        <v>596</v>
      </c>
      <c r="P14" s="314" t="s">
        <v>597</v>
      </c>
    </row>
    <row r="15" spans="1:16" ht="43">
      <c r="B15" t="s">
        <v>560</v>
      </c>
      <c r="C15" t="s">
        <v>561</v>
      </c>
      <c r="D15" s="376">
        <v>0</v>
      </c>
      <c r="H15" s="315" t="str">
        <f>C3&amp;" ประเทศไทย"</f>
        <v>สมาร์ท คิดส์ - สุขภาพแผนหลักผู้ป่วยในแบบพื้นฐาน ประเทศไทย</v>
      </c>
      <c r="I15" s="315" t="s">
        <v>598</v>
      </c>
      <c r="J15" s="315" t="s">
        <v>561</v>
      </c>
      <c r="K15" s="315" t="s">
        <v>561</v>
      </c>
      <c r="L15" s="313" t="s">
        <v>573</v>
      </c>
      <c r="M15" s="313" t="s">
        <v>599</v>
      </c>
      <c r="N15" s="316" t="s">
        <v>600</v>
      </c>
      <c r="O15" s="313"/>
      <c r="P15" s="313"/>
    </row>
    <row r="16" spans="1:16" ht="43">
      <c r="B16" t="s">
        <v>115</v>
      </c>
      <c r="C16" t="s">
        <v>541</v>
      </c>
      <c r="D16" s="376">
        <v>0.05</v>
      </c>
      <c r="H16" s="315" t="str">
        <f t="shared" ref="H16:H23" si="0">C4&amp;" ประเทศไทย"</f>
        <v>สมาร์ท คิดส์ - สุขภาพแผนหลักผู้ป่วยในแบบพื้นฐาน และสุขภาพแผนเพิ่มเติมผู้ป่วยนอก ประเทศไทย</v>
      </c>
      <c r="I16" s="315" t="s">
        <v>598</v>
      </c>
      <c r="J16" s="315" t="s">
        <v>601</v>
      </c>
      <c r="K16" s="315" t="s">
        <v>561</v>
      </c>
      <c r="L16" s="313" t="s">
        <v>573</v>
      </c>
      <c r="M16" s="313" t="s">
        <v>599</v>
      </c>
      <c r="N16" s="316" t="s">
        <v>600</v>
      </c>
      <c r="O16" s="316" t="s">
        <v>602</v>
      </c>
      <c r="P16" s="313"/>
    </row>
    <row r="17" spans="3:16" ht="64.5">
      <c r="C17" t="s">
        <v>120</v>
      </c>
      <c r="D17" s="376">
        <v>0.1</v>
      </c>
      <c r="H17" s="315" t="str">
        <f t="shared" si="0"/>
        <v>สมาร์ท คิดส์ - สุขภาพแผนหลักผู้ป่วยในแบบพื้นฐาน สุขภาพแผนเพิ่มเติมผู้ป่วยในแบบเติมเต็ม และสุขภาพแผนเพิ่มเติมผู้ป่วยนอก ประเทศไทย</v>
      </c>
      <c r="I17" s="315" t="s">
        <v>598</v>
      </c>
      <c r="J17" s="315" t="s">
        <v>603</v>
      </c>
      <c r="K17" s="315" t="s">
        <v>601</v>
      </c>
      <c r="L17" s="313" t="s">
        <v>573</v>
      </c>
      <c r="M17" s="313" t="s">
        <v>599</v>
      </c>
      <c r="N17" s="316" t="s">
        <v>600</v>
      </c>
      <c r="O17" s="316" t="s">
        <v>604</v>
      </c>
      <c r="P17" s="316" t="s">
        <v>602</v>
      </c>
    </row>
    <row r="18" spans="3:16" ht="43">
      <c r="D18" s="376">
        <v>0.15</v>
      </c>
      <c r="H18" s="315" t="str">
        <f t="shared" si="0"/>
        <v>โกลด์ คิดส์ - สุขภาพแผนหลักผู้ป่วยในแบบพื้นฐาน ประเทศไทย</v>
      </c>
      <c r="I18" s="315" t="s">
        <v>605</v>
      </c>
      <c r="J18" s="315" t="s">
        <v>561</v>
      </c>
      <c r="K18" s="315" t="s">
        <v>561</v>
      </c>
      <c r="L18" s="313" t="s">
        <v>579</v>
      </c>
      <c r="M18" s="316" t="s">
        <v>606</v>
      </c>
      <c r="N18" s="316" t="s">
        <v>607</v>
      </c>
      <c r="O18" s="313"/>
      <c r="P18" s="313"/>
    </row>
    <row r="19" spans="3:16" ht="43">
      <c r="D19" s="376">
        <v>0.2</v>
      </c>
      <c r="H19" s="315" t="str">
        <f t="shared" si="0"/>
        <v>โกลด์ คิดส์ - สุขภาพแผนหลักผู้ป่วยในแบบพื้นฐาน และสุขภาพแผนเพิ่มเติมผู้ป่วยนอก ประเทศไทย</v>
      </c>
      <c r="I19" s="315" t="s">
        <v>605</v>
      </c>
      <c r="J19" s="315" t="s">
        <v>608</v>
      </c>
      <c r="K19" s="315" t="s">
        <v>561</v>
      </c>
      <c r="L19" s="313" t="s">
        <v>579</v>
      </c>
      <c r="M19" s="313" t="s">
        <v>606</v>
      </c>
      <c r="N19" s="313" t="s">
        <v>607</v>
      </c>
      <c r="O19" s="313" t="s">
        <v>609</v>
      </c>
      <c r="P19" s="313"/>
    </row>
    <row r="20" spans="3:16" ht="64.5">
      <c r="D20" s="376">
        <v>0.25</v>
      </c>
      <c r="H20" s="315" t="str">
        <f t="shared" si="0"/>
        <v>โกลด์ คิดส์ - สุขภาพแผนหลักผู้ป่วยในแบบพื้นฐาน สุขภาพแผนเพิ่มเติมผู้ป่วยในแบบเติมเต็ม และสุขภาพแผนเพิ่มเติมผู้ป่วยนอก ประเทศไทย</v>
      </c>
      <c r="I20" s="315" t="s">
        <v>605</v>
      </c>
      <c r="J20" s="315" t="s">
        <v>610</v>
      </c>
      <c r="K20" s="315" t="s">
        <v>608</v>
      </c>
      <c r="L20" s="313" t="s">
        <v>579</v>
      </c>
      <c r="M20" s="313" t="s">
        <v>606</v>
      </c>
      <c r="N20" s="313" t="s">
        <v>607</v>
      </c>
      <c r="O20" s="313" t="s">
        <v>611</v>
      </c>
      <c r="P20" s="313" t="s">
        <v>609</v>
      </c>
    </row>
    <row r="21" spans="3:16" ht="64.5">
      <c r="D21" s="376">
        <v>0.3</v>
      </c>
      <c r="H21" s="315" t="str">
        <f t="shared" si="0"/>
        <v>สมาร์ท - สุขภาพแผนหลักผู้ป่วยในแบบพื้นฐาน ประเทศไทย</v>
      </c>
      <c r="I21" s="315" t="s">
        <v>612</v>
      </c>
      <c r="J21" s="315" t="s">
        <v>613</v>
      </c>
      <c r="K21" s="315" t="s">
        <v>614</v>
      </c>
      <c r="L21" s="313" t="s">
        <v>583</v>
      </c>
      <c r="M21" s="313" t="s">
        <v>615</v>
      </c>
      <c r="N21" s="313" t="s">
        <v>616</v>
      </c>
      <c r="O21" s="313" t="s">
        <v>617</v>
      </c>
      <c r="P21" s="313" t="s">
        <v>618</v>
      </c>
    </row>
    <row r="22" spans="3:16" ht="64.5">
      <c r="D22" s="376">
        <v>0.35</v>
      </c>
      <c r="H22" s="315" t="str">
        <f t="shared" si="0"/>
        <v>ซิลเวอร์ - สุขภาพแผนหลักผู้ป่วยในแบบพื้นฐาน ประเทศไทย</v>
      </c>
      <c r="I22" s="315" t="s">
        <v>619</v>
      </c>
      <c r="J22" s="315" t="s">
        <v>620</v>
      </c>
      <c r="K22" s="315" t="s">
        <v>621</v>
      </c>
      <c r="L22" s="313" t="s">
        <v>585</v>
      </c>
      <c r="M22" s="313" t="s">
        <v>622</v>
      </c>
      <c r="N22" s="313" t="s">
        <v>623</v>
      </c>
      <c r="O22" s="313" t="s">
        <v>624</v>
      </c>
      <c r="P22" s="313" t="s">
        <v>625</v>
      </c>
    </row>
    <row r="23" spans="3:16" ht="64.5">
      <c r="H23" s="315" t="str">
        <f t="shared" si="0"/>
        <v>โกลด์ - สุขภาพแผนหลักผู้ป่วยในแบบพื้นฐาน ประเทศไทย</v>
      </c>
      <c r="I23" s="315" t="s">
        <v>626</v>
      </c>
      <c r="J23" s="315" t="s">
        <v>627</v>
      </c>
      <c r="K23" s="315" t="s">
        <v>628</v>
      </c>
      <c r="L23" s="313" t="s">
        <v>587</v>
      </c>
      <c r="M23" s="316" t="s">
        <v>629</v>
      </c>
      <c r="N23" s="313" t="s">
        <v>630</v>
      </c>
      <c r="O23" s="313" t="s">
        <v>631</v>
      </c>
      <c r="P23" s="313" t="s">
        <v>632</v>
      </c>
    </row>
    <row r="24" spans="3:16" ht="64.5">
      <c r="H24" s="315" t="str">
        <f>C11&amp;" เอเชีย"</f>
        <v>โกลด์ - สุขภาพแผนหลักผู้ป่วยในแบบพื้นฐาน เอเชีย</v>
      </c>
      <c r="I24" s="315" t="s">
        <v>633</v>
      </c>
      <c r="J24" s="315" t="s">
        <v>634</v>
      </c>
      <c r="K24" s="315" t="s">
        <v>635</v>
      </c>
      <c r="L24" s="313" t="s">
        <v>587</v>
      </c>
      <c r="M24" s="316" t="s">
        <v>636</v>
      </c>
      <c r="N24" s="313" t="s">
        <v>637</v>
      </c>
      <c r="O24" s="316" t="s">
        <v>638</v>
      </c>
      <c r="P24" s="316" t="s">
        <v>639</v>
      </c>
    </row>
    <row r="25" spans="3:16" ht="43">
      <c r="H25" s="315" t="s">
        <v>671</v>
      </c>
      <c r="I25" s="315" t="s">
        <v>640</v>
      </c>
      <c r="J25" s="315" t="s">
        <v>561</v>
      </c>
      <c r="K25" s="315" t="s">
        <v>561</v>
      </c>
      <c r="L25" s="313" t="s">
        <v>588</v>
      </c>
      <c r="M25" s="316" t="s">
        <v>641</v>
      </c>
      <c r="N25" s="313" t="s">
        <v>642</v>
      </c>
      <c r="O25" s="313"/>
      <c r="P25" s="313"/>
    </row>
    <row r="26" spans="3:16" ht="43">
      <c r="H26" s="315" t="s">
        <v>643</v>
      </c>
      <c r="I26" s="315" t="s">
        <v>644</v>
      </c>
      <c r="J26" s="315" t="s">
        <v>561</v>
      </c>
      <c r="K26" s="315" t="s">
        <v>561</v>
      </c>
      <c r="L26" s="313" t="s">
        <v>588</v>
      </c>
      <c r="M26" s="316" t="s">
        <v>645</v>
      </c>
      <c r="N26" s="313" t="s">
        <v>646</v>
      </c>
      <c r="O26" s="313"/>
      <c r="P26" s="313"/>
    </row>
    <row r="27" spans="3:16" ht="43">
      <c r="H27" s="315" t="s">
        <v>647</v>
      </c>
      <c r="I27" s="315" t="s">
        <v>648</v>
      </c>
      <c r="J27" s="315" t="s">
        <v>561</v>
      </c>
      <c r="K27" s="315" t="s">
        <v>561</v>
      </c>
      <c r="L27" s="313" t="s">
        <v>588</v>
      </c>
      <c r="M27" s="316" t="s">
        <v>649</v>
      </c>
      <c r="N27" s="313" t="s">
        <v>650</v>
      </c>
      <c r="O27" s="313"/>
      <c r="P27" s="313"/>
    </row>
    <row r="28" spans="3:16" ht="43">
      <c r="H28" s="315" t="s">
        <v>651</v>
      </c>
      <c r="I28" s="315" t="s">
        <v>652</v>
      </c>
      <c r="J28" s="315" t="s">
        <v>561</v>
      </c>
      <c r="K28" s="315" t="s">
        <v>561</v>
      </c>
      <c r="L28" s="313" t="s">
        <v>588</v>
      </c>
      <c r="M28" s="316" t="s">
        <v>653</v>
      </c>
      <c r="N28" s="313" t="s">
        <v>654</v>
      </c>
      <c r="O28" s="313"/>
      <c r="P28" s="313"/>
    </row>
    <row r="29" spans="3:16" ht="43">
      <c r="H29" s="315" t="s">
        <v>655</v>
      </c>
      <c r="I29" s="315" t="s">
        <v>656</v>
      </c>
      <c r="J29" s="315" t="s">
        <v>561</v>
      </c>
      <c r="K29" s="315" t="s">
        <v>561</v>
      </c>
      <c r="L29" s="313" t="s">
        <v>589</v>
      </c>
      <c r="M29" s="316" t="s">
        <v>657</v>
      </c>
      <c r="N29" s="313" t="s">
        <v>658</v>
      </c>
      <c r="O29" s="313"/>
      <c r="P29" s="313"/>
    </row>
    <row r="30" spans="3:16" ht="43">
      <c r="H30" s="315" t="s">
        <v>659</v>
      </c>
      <c r="I30" s="315" t="s">
        <v>660</v>
      </c>
      <c r="J30" s="315" t="s">
        <v>561</v>
      </c>
      <c r="K30" s="315" t="s">
        <v>561</v>
      </c>
      <c r="L30" s="313" t="s">
        <v>589</v>
      </c>
      <c r="M30" s="313" t="s">
        <v>661</v>
      </c>
      <c r="N30" s="313" t="s">
        <v>662</v>
      </c>
      <c r="O30" s="313"/>
      <c r="P30" s="313"/>
    </row>
    <row r="31" spans="3:16" ht="43">
      <c r="H31" s="315" t="s">
        <v>663</v>
      </c>
      <c r="I31" s="315" t="s">
        <v>664</v>
      </c>
      <c r="J31" s="315" t="s">
        <v>561</v>
      </c>
      <c r="K31" s="315" t="s">
        <v>561</v>
      </c>
      <c r="L31" s="313" t="s">
        <v>589</v>
      </c>
      <c r="M31" s="313" t="s">
        <v>665</v>
      </c>
      <c r="N31" s="313" t="s">
        <v>666</v>
      </c>
      <c r="O31" s="313"/>
      <c r="P31" s="313"/>
    </row>
    <row r="32" spans="3:16" ht="43">
      <c r="H32" s="315" t="s">
        <v>667</v>
      </c>
      <c r="I32" s="315" t="s">
        <v>668</v>
      </c>
      <c r="J32" s="315" t="s">
        <v>561</v>
      </c>
      <c r="K32" s="315" t="s">
        <v>561</v>
      </c>
      <c r="L32" s="313" t="s">
        <v>589</v>
      </c>
      <c r="M32" s="313" t="s">
        <v>669</v>
      </c>
      <c r="N32" s="313" t="s">
        <v>670</v>
      </c>
      <c r="O32" s="313"/>
      <c r="P32" s="313"/>
    </row>
    <row r="34" spans="8:8">
      <c r="H34" t="s">
        <v>756</v>
      </c>
    </row>
    <row r="35" spans="8:8">
      <c r="H35" t="s">
        <v>672</v>
      </c>
    </row>
    <row r="36" spans="8:8">
      <c r="H36" t="s">
        <v>673</v>
      </c>
    </row>
    <row r="37" spans="8:8">
      <c r="H37" t="s">
        <v>674</v>
      </c>
    </row>
  </sheetData>
  <pageMargins left="0.7" right="0.7" top="0.75" bottom="0.75" header="0.3" footer="0.3"/>
  <pageSetup paperSize="9" orientation="portrait" horizontalDpi="300" verticalDpi="300" r:id="rId1"/>
  <headerFooter>
    <oddFooter>&amp;C&amp;1#&amp;"Calibri"&amp;10&amp;K000000Internal</oddFooter>
  </headerFooter>
  <legacy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6">
    <tabColor rgb="FF00B0F0"/>
  </sheetPr>
  <dimension ref="A1:BA274"/>
  <sheetViews>
    <sheetView showGridLines="0" topLeftCell="AI1" zoomScale="80" zoomScaleNormal="80" workbookViewId="0">
      <selection activeCell="L13" sqref="L13"/>
    </sheetView>
  </sheetViews>
  <sheetFormatPr defaultColWidth="10.296875" defaultRowHeight="13"/>
  <cols>
    <col min="1" max="1" width="12" style="25" customWidth="1"/>
    <col min="2" max="3" width="10.69921875" style="25" bestFit="1" customWidth="1"/>
    <col min="4" max="5" width="10.69921875" style="25" customWidth="1"/>
    <col min="6" max="7" width="11.296875" style="25" customWidth="1"/>
    <col min="8" max="9" width="11.09765625" style="102" bestFit="1" customWidth="1"/>
    <col min="10" max="15" width="11.09765625" style="25" bestFit="1" customWidth="1"/>
    <col min="16" max="16" width="12.296875" style="25" bestFit="1" customWidth="1"/>
    <col min="17" max="17" width="11" style="25" bestFit="1" customWidth="1"/>
    <col min="18" max="21" width="12.69921875" style="25" bestFit="1" customWidth="1"/>
    <col min="22" max="23" width="11.09765625" style="25" bestFit="1" customWidth="1"/>
    <col min="24" max="29" width="12.69921875" style="25" bestFit="1" customWidth="1"/>
    <col min="30" max="32" width="10.296875" style="25"/>
    <col min="33" max="33" width="1.3984375" style="318" customWidth="1"/>
    <col min="34" max="34" width="84.3984375" style="25" customWidth="1"/>
    <col min="35" max="35" width="65.59765625" style="25" customWidth="1"/>
    <col min="36" max="36" width="10.296875" style="25"/>
    <col min="37" max="37" width="12.09765625" style="25" customWidth="1"/>
    <col min="38" max="42" width="10.296875" style="25"/>
    <col min="43" max="43" width="4.09765625" style="25" customWidth="1"/>
    <col min="44" max="44" width="7.296875" style="321" customWidth="1"/>
    <col min="45" max="45" width="26.69921875" style="359" customWidth="1"/>
    <col min="46" max="47" width="26.59765625" style="359" customWidth="1"/>
    <col min="48" max="48" width="4.3984375" style="319" customWidth="1"/>
    <col min="49" max="50" width="12.69921875" style="359" bestFit="1" customWidth="1"/>
    <col min="51" max="51" width="11.59765625" style="359" bestFit="1" customWidth="1"/>
    <col min="52" max="52" width="14" style="359" customWidth="1"/>
    <col min="53" max="53" width="17.296875" style="359" customWidth="1"/>
    <col min="54" max="16384" width="10.296875" style="25"/>
  </cols>
  <sheetData>
    <row r="1" spans="1:53" ht="15" customHeight="1">
      <c r="A1" s="317" t="s">
        <v>675</v>
      </c>
      <c r="B1" s="317"/>
      <c r="AR1" s="2332" t="s">
        <v>676</v>
      </c>
      <c r="AS1" s="2331" t="e">
        <f>IF(OR(กรอกข้อมูล!#REF!&gt;0,กรอกข้อมูล!#REF!="ไม่ซื้อ",กรอกข้อมูล!#REF!=""),"",กรอกข้อมูล!#REF!)</f>
        <v>#REF!</v>
      </c>
      <c r="AT1" s="2335" t="e">
        <f>IF(กรอกข้อมูล!#REF!&gt;0,กรอกข้อมูล!#REF!,"")</f>
        <v>#REF!</v>
      </c>
      <c r="AU1" s="2331" t="e">
        <f>IF(กรอกข้อมูล!#REF!&gt;0,กรอกข้อมูล!#REF!,"")</f>
        <v>#REF!</v>
      </c>
      <c r="AW1" s="2338" t="s">
        <v>677</v>
      </c>
      <c r="AX1" s="2328" t="s">
        <v>677</v>
      </c>
      <c r="AY1" s="2328" t="s">
        <v>677</v>
      </c>
      <c r="AZ1" s="2331" t="s">
        <v>678</v>
      </c>
      <c r="BA1" s="2331" t="s">
        <v>679</v>
      </c>
    </row>
    <row r="2" spans="1:53" s="320" customFormat="1" ht="13.5" thickBot="1">
      <c r="B2" s="321" t="s">
        <v>680</v>
      </c>
      <c r="C2" s="321" t="s">
        <v>681</v>
      </c>
      <c r="D2" s="321" t="s">
        <v>682</v>
      </c>
      <c r="E2" s="321" t="s">
        <v>683</v>
      </c>
      <c r="F2" s="321" t="s">
        <v>684</v>
      </c>
      <c r="G2" s="321" t="s">
        <v>685</v>
      </c>
      <c r="H2" s="322" t="s">
        <v>686</v>
      </c>
      <c r="I2" s="322" t="s">
        <v>687</v>
      </c>
      <c r="J2" s="321" t="s">
        <v>688</v>
      </c>
      <c r="K2" s="321" t="s">
        <v>689</v>
      </c>
      <c r="L2" s="321" t="s">
        <v>690</v>
      </c>
      <c r="M2" s="321" t="s">
        <v>691</v>
      </c>
      <c r="N2" s="321" t="s">
        <v>692</v>
      </c>
      <c r="O2" s="321" t="s">
        <v>693</v>
      </c>
      <c r="P2" s="321" t="s">
        <v>694</v>
      </c>
      <c r="Q2" s="321" t="s">
        <v>695</v>
      </c>
      <c r="R2" s="321" t="s">
        <v>696</v>
      </c>
      <c r="S2" s="321" t="s">
        <v>697</v>
      </c>
      <c r="T2" s="321" t="s">
        <v>698</v>
      </c>
      <c r="U2" s="321" t="s">
        <v>699</v>
      </c>
      <c r="V2" s="321" t="s">
        <v>700</v>
      </c>
      <c r="W2" s="321" t="s">
        <v>701</v>
      </c>
      <c r="X2" s="321" t="s">
        <v>702</v>
      </c>
      <c r="Y2" s="321" t="s">
        <v>703</v>
      </c>
      <c r="Z2" s="321" t="s">
        <v>704</v>
      </c>
      <c r="AA2" s="321" t="s">
        <v>705</v>
      </c>
      <c r="AB2" s="321" t="s">
        <v>706</v>
      </c>
      <c r="AC2" s="321" t="s">
        <v>707</v>
      </c>
      <c r="AG2" s="323"/>
      <c r="AR2" s="2333"/>
      <c r="AS2" s="2331"/>
      <c r="AT2" s="2336"/>
      <c r="AU2" s="2331"/>
      <c r="AV2" s="324"/>
      <c r="AW2" s="2338"/>
      <c r="AX2" s="2329"/>
      <c r="AY2" s="2329"/>
      <c r="AZ2" s="2331"/>
      <c r="BA2" s="2331"/>
    </row>
    <row r="3" spans="1:53" ht="21" customHeight="1" thickBot="1">
      <c r="A3" s="325" t="s">
        <v>591</v>
      </c>
      <c r="B3" s="2326" t="s">
        <v>599</v>
      </c>
      <c r="C3" s="2327"/>
      <c r="D3" s="2326" t="s">
        <v>606</v>
      </c>
      <c r="E3" s="2327"/>
      <c r="F3" s="2326" t="s">
        <v>615</v>
      </c>
      <c r="G3" s="2327"/>
      <c r="H3" s="2326" t="s">
        <v>622</v>
      </c>
      <c r="I3" s="2327"/>
      <c r="J3" s="2326" t="s">
        <v>629</v>
      </c>
      <c r="K3" s="2327"/>
      <c r="L3" s="2326" t="s">
        <v>636</v>
      </c>
      <c r="M3" s="2327"/>
      <c r="N3" s="2326" t="s">
        <v>641</v>
      </c>
      <c r="O3" s="2327"/>
      <c r="P3" s="2326" t="s">
        <v>645</v>
      </c>
      <c r="Q3" s="2327"/>
      <c r="R3" s="2326" t="s">
        <v>649</v>
      </c>
      <c r="S3" s="2327"/>
      <c r="T3" s="2326" t="s">
        <v>653</v>
      </c>
      <c r="U3" s="2327"/>
      <c r="V3" s="2326" t="s">
        <v>657</v>
      </c>
      <c r="W3" s="2327"/>
      <c r="X3" s="2326" t="s">
        <v>661</v>
      </c>
      <c r="Y3" s="2327"/>
      <c r="Z3" s="2326" t="s">
        <v>665</v>
      </c>
      <c r="AA3" s="2327"/>
      <c r="AB3" s="2326" t="s">
        <v>669</v>
      </c>
      <c r="AC3" s="2327"/>
      <c r="AE3" s="25" t="s">
        <v>708</v>
      </c>
      <c r="AR3" s="2333"/>
      <c r="AS3" s="2331"/>
      <c r="AT3" s="2337"/>
      <c r="AU3" s="2331"/>
      <c r="AW3" s="2338"/>
      <c r="AX3" s="2330"/>
      <c r="AY3" s="2330"/>
      <c r="AZ3" s="2331"/>
      <c r="BA3" s="2331"/>
    </row>
    <row r="4" spans="1:53" ht="17.25" customHeight="1" thickBot="1">
      <c r="A4" s="326" t="s">
        <v>2</v>
      </c>
      <c r="B4" s="327" t="s">
        <v>23</v>
      </c>
      <c r="C4" s="327" t="s">
        <v>28</v>
      </c>
      <c r="D4" s="327" t="s">
        <v>23</v>
      </c>
      <c r="E4" s="327" t="s">
        <v>28</v>
      </c>
      <c r="F4" s="327" t="s">
        <v>23</v>
      </c>
      <c r="G4" s="327" t="s">
        <v>28</v>
      </c>
      <c r="H4" s="327" t="s">
        <v>23</v>
      </c>
      <c r="I4" s="327" t="s">
        <v>28</v>
      </c>
      <c r="J4" s="327" t="s">
        <v>23</v>
      </c>
      <c r="K4" s="327" t="s">
        <v>28</v>
      </c>
      <c r="L4" s="327" t="s">
        <v>23</v>
      </c>
      <c r="M4" s="327" t="s">
        <v>28</v>
      </c>
      <c r="N4" s="327" t="s">
        <v>23</v>
      </c>
      <c r="O4" s="327" t="s">
        <v>28</v>
      </c>
      <c r="P4" s="327" t="s">
        <v>23</v>
      </c>
      <c r="Q4" s="327" t="s">
        <v>28</v>
      </c>
      <c r="R4" s="327" t="s">
        <v>23</v>
      </c>
      <c r="S4" s="327" t="s">
        <v>28</v>
      </c>
      <c r="T4" s="327" t="s">
        <v>23</v>
      </c>
      <c r="U4" s="327" t="s">
        <v>28</v>
      </c>
      <c r="V4" s="327" t="s">
        <v>23</v>
      </c>
      <c r="W4" s="327" t="s">
        <v>28</v>
      </c>
      <c r="X4" s="327" t="s">
        <v>23</v>
      </c>
      <c r="Y4" s="327" t="s">
        <v>28</v>
      </c>
      <c r="Z4" s="327" t="s">
        <v>23</v>
      </c>
      <c r="AA4" s="327" t="s">
        <v>28</v>
      </c>
      <c r="AB4" s="327" t="s">
        <v>23</v>
      </c>
      <c r="AC4" s="327" t="s">
        <v>28</v>
      </c>
      <c r="AD4" s="328" t="s">
        <v>709</v>
      </c>
      <c r="AE4" s="328" t="s">
        <v>23</v>
      </c>
      <c r="AF4" s="328" t="s">
        <v>28</v>
      </c>
      <c r="AH4" s="329" t="s">
        <v>710</v>
      </c>
      <c r="AI4" s="329"/>
      <c r="AJ4" s="329"/>
      <c r="AK4" s="329"/>
      <c r="AL4" s="329"/>
      <c r="AO4" s="25" t="s">
        <v>711</v>
      </c>
      <c r="AR4" s="2334"/>
      <c r="AS4" s="330" t="str">
        <f>IFERROR(VLOOKUP($AS1,List!$I$15:$N$32,6,FALSE),"")&amp;"-"&amp;AI5</f>
        <v>-F</v>
      </c>
      <c r="AT4" s="330" t="str">
        <f>IFERROR(VLOOKUP($AT1,List!$J$15:$P$32,6,FALSE),"")&amp;"-"&amp;AI5</f>
        <v>-F</v>
      </c>
      <c r="AU4" s="330" t="str">
        <f>IFERROR(VLOOKUP($AU1,List!$K$14:$P$32,6,FALSE),"")&amp;"-"&amp;AI5</f>
        <v>-F</v>
      </c>
      <c r="AW4" s="331" t="str">
        <f>AS4</f>
        <v>-F</v>
      </c>
      <c r="AX4" s="331" t="str">
        <f>AT4</f>
        <v>-F</v>
      </c>
      <c r="AY4" s="331" t="str">
        <f>AU4</f>
        <v>-F</v>
      </c>
      <c r="AZ4" s="2331"/>
      <c r="BA4" s="2331"/>
    </row>
    <row r="5" spans="1:53" ht="21.5">
      <c r="A5" s="332">
        <v>0</v>
      </c>
      <c r="B5" s="333">
        <v>12431</v>
      </c>
      <c r="C5" s="333">
        <v>12137</v>
      </c>
      <c r="D5" s="333">
        <v>17246</v>
      </c>
      <c r="E5" s="333">
        <v>16838</v>
      </c>
      <c r="F5" s="334"/>
      <c r="G5" s="334"/>
      <c r="H5" s="334"/>
      <c r="I5" s="334"/>
      <c r="J5" s="334"/>
      <c r="K5" s="334"/>
      <c r="L5" s="334"/>
      <c r="M5" s="334"/>
      <c r="N5" s="334"/>
      <c r="O5" s="334"/>
      <c r="P5" s="334"/>
      <c r="Q5" s="334"/>
      <c r="R5" s="334"/>
      <c r="S5" s="334"/>
      <c r="T5" s="334"/>
      <c r="U5" s="334"/>
      <c r="V5" s="334"/>
      <c r="W5" s="334"/>
      <c r="X5" s="334"/>
      <c r="Y5" s="334"/>
      <c r="Z5" s="334"/>
      <c r="AA5" s="334"/>
      <c r="AB5" s="334"/>
      <c r="AC5" s="334"/>
      <c r="AD5" s="25">
        <v>1000</v>
      </c>
      <c r="AE5" s="25" t="s">
        <v>712</v>
      </c>
      <c r="AF5" s="25" t="s">
        <v>712</v>
      </c>
      <c r="AH5" s="335" t="s">
        <v>713</v>
      </c>
      <c r="AI5" s="336" t="str">
        <f>VLOOKUP(กรอกข้อมูล!$C$6,$AK$5:$AL$6,2,FALSE)</f>
        <v>F</v>
      </c>
      <c r="AJ5" s="329"/>
      <c r="AK5" s="337" t="s">
        <v>29</v>
      </c>
      <c r="AL5" s="337" t="s">
        <v>13</v>
      </c>
      <c r="AM5" s="338">
        <v>1</v>
      </c>
      <c r="AO5" s="339">
        <v>1</v>
      </c>
      <c r="AP5" s="339">
        <v>1</v>
      </c>
      <c r="AR5" s="340">
        <f>+AI6</f>
        <v>44</v>
      </c>
      <c r="AS5" s="341" t="e">
        <f t="shared" ref="AS5:AS68" si="0">IFERROR(INDEX($A$2:$AC$90,MATCH($AR5,$A$5:$A$90,)+3,MATCH($AS$4,$B$2:$AC$2,)+1),0)*$AI$11</f>
        <v>#REF!</v>
      </c>
      <c r="AT5" s="341" t="e">
        <f t="shared" ref="AT5:AT68" si="1">IFERROR(IF(MID($AT$4,5,1)="1",(INDEX($A$95:$AC$183,MATCH($AR5,$A$98:$A$183,)+3,MATCH($AT$4,$B$95:$AC$95,)+1)),IF(MID($AT$4,5,1)="2",(INDEX($A$186:$AC$274,MATCH($AR5,$A$189:$A$274,)+3,MATCH($AT$4,$B$186:$AC$186,)+1)),0)),0)*$AI$11</f>
        <v>#REF!</v>
      </c>
      <c r="AU5" s="341" t="e">
        <f t="shared" ref="AU5:AU68" si="2">IFERROR(INDEX($A$186:$AC$274,MATCH($AR5,$A$189:$A$274,)+3,MATCH($AU$4,$B$186:$AC$186,)+1),0)*$AI$11</f>
        <v>#REF!</v>
      </c>
      <c r="AW5" s="341" t="e">
        <f>ROUNDDOWN(AS5*$AJ$13,2)</f>
        <v>#REF!</v>
      </c>
      <c r="AX5" s="341" t="e">
        <f>ROUNDDOWN(AT5*$AJ$13,2)</f>
        <v>#REF!</v>
      </c>
      <c r="AY5" s="341" t="e">
        <f>ROUNDDOWN(AU5*$AJ$13,2)</f>
        <v>#REF!</v>
      </c>
      <c r="AZ5" s="341" t="e">
        <f>SUM(AW5:AY5)</f>
        <v>#REF!</v>
      </c>
      <c r="BA5" s="342" t="e">
        <f>AZ5*$AK$13</f>
        <v>#REF!</v>
      </c>
    </row>
    <row r="6" spans="1:53" ht="21.5">
      <c r="A6" s="332">
        <v>1</v>
      </c>
      <c r="B6" s="343">
        <v>12431</v>
      </c>
      <c r="C6" s="343">
        <v>12137</v>
      </c>
      <c r="D6" s="343">
        <v>17246</v>
      </c>
      <c r="E6" s="343">
        <v>16838</v>
      </c>
      <c r="F6" s="344"/>
      <c r="G6" s="344"/>
      <c r="H6" s="344"/>
      <c r="I6" s="344"/>
      <c r="J6" s="344"/>
      <c r="K6" s="344"/>
      <c r="L6" s="344"/>
      <c r="M6" s="344"/>
      <c r="N6" s="344"/>
      <c r="O6" s="344"/>
      <c r="P6" s="344"/>
      <c r="Q6" s="344"/>
      <c r="R6" s="344"/>
      <c r="S6" s="344"/>
      <c r="T6" s="344"/>
      <c r="U6" s="344"/>
      <c r="V6" s="344"/>
      <c r="W6" s="344"/>
      <c r="X6" s="344"/>
      <c r="Y6" s="344"/>
      <c r="Z6" s="344"/>
      <c r="AA6" s="344"/>
      <c r="AB6" s="344"/>
      <c r="AC6" s="344"/>
      <c r="AD6" s="25">
        <v>1000</v>
      </c>
      <c r="AE6" s="25" t="s">
        <v>712</v>
      </c>
      <c r="AF6" s="25" t="s">
        <v>712</v>
      </c>
      <c r="AH6" s="335" t="s">
        <v>17</v>
      </c>
      <c r="AI6" s="336">
        <f>กรอกข้อมูล!$C$5</f>
        <v>44</v>
      </c>
      <c r="AJ6" s="329"/>
      <c r="AK6" s="337" t="s">
        <v>47</v>
      </c>
      <c r="AL6" s="337" t="s">
        <v>14</v>
      </c>
      <c r="AM6" s="338">
        <v>2</v>
      </c>
      <c r="AO6" s="339">
        <v>2</v>
      </c>
      <c r="AP6" s="339">
        <v>1</v>
      </c>
      <c r="AR6" s="345">
        <f>IFERROR(IF(AR5+1&gt;=85,"",AR5+1),"")</f>
        <v>45</v>
      </c>
      <c r="AS6" s="341" t="e">
        <f t="shared" si="0"/>
        <v>#REF!</v>
      </c>
      <c r="AT6" s="341" t="e">
        <f t="shared" si="1"/>
        <v>#REF!</v>
      </c>
      <c r="AU6" s="341" t="e">
        <f t="shared" si="2"/>
        <v>#REF!</v>
      </c>
      <c r="AW6" s="341" t="e">
        <f t="shared" ref="AW6:AY69" si="3">ROUNDDOWN(AS6*$AJ$13,2)</f>
        <v>#REF!</v>
      </c>
      <c r="AX6" s="341" t="e">
        <f t="shared" si="3"/>
        <v>#REF!</v>
      </c>
      <c r="AY6" s="341" t="e">
        <f t="shared" si="3"/>
        <v>#REF!</v>
      </c>
      <c r="AZ6" s="341" t="e">
        <f t="shared" ref="AZ6:AZ69" si="4">SUM(AW6:AY6)</f>
        <v>#REF!</v>
      </c>
      <c r="BA6" s="342" t="e">
        <f t="shared" ref="BA6:BA69" si="5">AZ6*$AK$13</f>
        <v>#REF!</v>
      </c>
    </row>
    <row r="7" spans="1:53" ht="21.5">
      <c r="A7" s="332">
        <v>2</v>
      </c>
      <c r="B7" s="343">
        <v>12431</v>
      </c>
      <c r="C7" s="343">
        <v>12137</v>
      </c>
      <c r="D7" s="343">
        <v>17246</v>
      </c>
      <c r="E7" s="343">
        <v>16838</v>
      </c>
      <c r="F7" s="344"/>
      <c r="G7" s="344"/>
      <c r="H7" s="344"/>
      <c r="I7" s="344"/>
      <c r="J7" s="344"/>
      <c r="K7" s="344"/>
      <c r="L7" s="344"/>
      <c r="M7" s="344"/>
      <c r="N7" s="344"/>
      <c r="O7" s="344"/>
      <c r="P7" s="344"/>
      <c r="Q7" s="344"/>
      <c r="R7" s="344"/>
      <c r="S7" s="344"/>
      <c r="T7" s="344"/>
      <c r="U7" s="344"/>
      <c r="V7" s="344"/>
      <c r="W7" s="344"/>
      <c r="X7" s="344"/>
      <c r="Y7" s="344"/>
      <c r="Z7" s="344"/>
      <c r="AA7" s="344"/>
      <c r="AB7" s="344"/>
      <c r="AC7" s="344"/>
      <c r="AD7" s="25">
        <v>1000</v>
      </c>
      <c r="AE7" s="25" t="s">
        <v>712</v>
      </c>
      <c r="AF7" s="25" t="s">
        <v>712</v>
      </c>
      <c r="AH7" s="335" t="s">
        <v>571</v>
      </c>
      <c r="AI7" s="364" t="e">
        <f>CONCATENATE(กรอกข้อมูล!#REF!," ",กรอกข้อมูล!#REF!)</f>
        <v>#REF!</v>
      </c>
      <c r="AJ7" s="329"/>
      <c r="AK7" s="329"/>
      <c r="AL7" s="329"/>
      <c r="AO7" s="339">
        <v>3</v>
      </c>
      <c r="AP7" s="339">
        <v>1</v>
      </c>
      <c r="AR7" s="345">
        <f>IFERROR(IF(AR6+1&gt;=85,"",AR6+1),"")</f>
        <v>46</v>
      </c>
      <c r="AS7" s="341" t="e">
        <f t="shared" si="0"/>
        <v>#REF!</v>
      </c>
      <c r="AT7" s="341" t="e">
        <f t="shared" si="1"/>
        <v>#REF!</v>
      </c>
      <c r="AU7" s="341" t="e">
        <f t="shared" si="2"/>
        <v>#REF!</v>
      </c>
      <c r="AW7" s="341" t="e">
        <f t="shared" si="3"/>
        <v>#REF!</v>
      </c>
      <c r="AX7" s="341" t="e">
        <f t="shared" si="3"/>
        <v>#REF!</v>
      </c>
      <c r="AY7" s="341" t="e">
        <f t="shared" si="3"/>
        <v>#REF!</v>
      </c>
      <c r="AZ7" s="341" t="e">
        <f t="shared" si="4"/>
        <v>#REF!</v>
      </c>
      <c r="BA7" s="342" t="e">
        <f t="shared" si="5"/>
        <v>#REF!</v>
      </c>
    </row>
    <row r="8" spans="1:53" ht="21.5">
      <c r="A8" s="332">
        <v>3</v>
      </c>
      <c r="B8" s="343">
        <v>11820</v>
      </c>
      <c r="C8" s="343">
        <v>11555</v>
      </c>
      <c r="D8" s="343">
        <v>16388</v>
      </c>
      <c r="E8" s="343">
        <v>16020</v>
      </c>
      <c r="F8" s="344"/>
      <c r="G8" s="344"/>
      <c r="H8" s="344"/>
      <c r="I8" s="344"/>
      <c r="J8" s="344"/>
      <c r="K8" s="344"/>
      <c r="L8" s="344"/>
      <c r="M8" s="344"/>
      <c r="N8" s="344"/>
      <c r="O8" s="344"/>
      <c r="P8" s="344"/>
      <c r="Q8" s="344"/>
      <c r="R8" s="344"/>
      <c r="S8" s="344"/>
      <c r="T8" s="344"/>
      <c r="U8" s="344"/>
      <c r="V8" s="344"/>
      <c r="W8" s="344"/>
      <c r="X8" s="344"/>
      <c r="Y8" s="344"/>
      <c r="Z8" s="344"/>
      <c r="AA8" s="344"/>
      <c r="AB8" s="344"/>
      <c r="AC8" s="344"/>
      <c r="AD8" s="25">
        <v>1000</v>
      </c>
      <c r="AE8" s="25" t="s">
        <v>712</v>
      </c>
      <c r="AF8" s="25" t="s">
        <v>712</v>
      </c>
      <c r="AH8" s="335" t="s">
        <v>714</v>
      </c>
      <c r="AI8" s="336" t="e">
        <f>VLOOKUP(AI6,$A$5:$AC$90,VLOOKUP(AI7,$AH$16:$AJ$33,IF(AI5="F",3,2),FALSE),FALSE)</f>
        <v>#REF!</v>
      </c>
      <c r="AJ8" s="329"/>
      <c r="AK8" s="339" t="s">
        <v>32</v>
      </c>
      <c r="AL8" s="339" t="s">
        <v>715</v>
      </c>
      <c r="AM8" s="338">
        <v>1</v>
      </c>
      <c r="AN8" s="338">
        <v>1</v>
      </c>
      <c r="AO8" s="346">
        <v>4</v>
      </c>
      <c r="AP8" s="339">
        <v>1.5</v>
      </c>
      <c r="AR8" s="345">
        <f>IFERROR(IF(AR7+1&gt;=85,"",AR7+1),"")</f>
        <v>47</v>
      </c>
      <c r="AS8" s="341" t="e">
        <f t="shared" si="0"/>
        <v>#REF!</v>
      </c>
      <c r="AT8" s="341" t="e">
        <f t="shared" si="1"/>
        <v>#REF!</v>
      </c>
      <c r="AU8" s="341" t="e">
        <f t="shared" si="2"/>
        <v>#REF!</v>
      </c>
      <c r="AW8" s="341" t="e">
        <f t="shared" si="3"/>
        <v>#REF!</v>
      </c>
      <c r="AX8" s="341" t="e">
        <f t="shared" si="3"/>
        <v>#REF!</v>
      </c>
      <c r="AY8" s="341" t="e">
        <f t="shared" si="3"/>
        <v>#REF!</v>
      </c>
      <c r="AZ8" s="341" t="e">
        <f t="shared" si="4"/>
        <v>#REF!</v>
      </c>
      <c r="BA8" s="342" t="e">
        <f t="shared" si="5"/>
        <v>#REF!</v>
      </c>
    </row>
    <row r="9" spans="1:53" ht="21.5">
      <c r="A9" s="332">
        <v>4</v>
      </c>
      <c r="B9" s="343">
        <v>11820</v>
      </c>
      <c r="C9" s="343">
        <v>11555</v>
      </c>
      <c r="D9" s="343">
        <v>16388</v>
      </c>
      <c r="E9" s="343">
        <v>16020</v>
      </c>
      <c r="F9" s="344"/>
      <c r="G9" s="344"/>
      <c r="H9" s="344"/>
      <c r="I9" s="344"/>
      <c r="J9" s="344"/>
      <c r="K9" s="344"/>
      <c r="L9" s="344"/>
      <c r="M9" s="344"/>
      <c r="N9" s="344"/>
      <c r="O9" s="344"/>
      <c r="P9" s="344"/>
      <c r="Q9" s="344"/>
      <c r="R9" s="344"/>
      <c r="S9" s="344"/>
      <c r="T9" s="344"/>
      <c r="U9" s="344"/>
      <c r="V9" s="344"/>
      <c r="W9" s="344"/>
      <c r="X9" s="344"/>
      <c r="Y9" s="344"/>
      <c r="Z9" s="344"/>
      <c r="AA9" s="344"/>
      <c r="AB9" s="344"/>
      <c r="AC9" s="344"/>
      <c r="AD9" s="25">
        <v>1000</v>
      </c>
      <c r="AE9" s="25" t="s">
        <v>712</v>
      </c>
      <c r="AF9" s="25" t="s">
        <v>712</v>
      </c>
      <c r="AH9" s="335" t="s">
        <v>716</v>
      </c>
      <c r="AI9" s="347">
        <v>0</v>
      </c>
      <c r="AJ9" s="329"/>
      <c r="AK9" s="339" t="s">
        <v>44</v>
      </c>
      <c r="AL9" s="339" t="s">
        <v>717</v>
      </c>
      <c r="AM9" s="338">
        <v>2</v>
      </c>
      <c r="AN9" s="338">
        <v>0.52</v>
      </c>
      <c r="AR9" s="345">
        <f>IFERROR(IF(AR8+1&gt;=85,"",AR8+1),"")</f>
        <v>48</v>
      </c>
      <c r="AS9" s="341" t="e">
        <f t="shared" si="0"/>
        <v>#REF!</v>
      </c>
      <c r="AT9" s="341" t="e">
        <f t="shared" si="1"/>
        <v>#REF!</v>
      </c>
      <c r="AU9" s="341" t="e">
        <f t="shared" si="2"/>
        <v>#REF!</v>
      </c>
      <c r="AW9" s="341" t="e">
        <f t="shared" si="3"/>
        <v>#REF!</v>
      </c>
      <c r="AX9" s="341" t="e">
        <f t="shared" si="3"/>
        <v>#REF!</v>
      </c>
      <c r="AY9" s="341" t="e">
        <f t="shared" si="3"/>
        <v>#REF!</v>
      </c>
      <c r="AZ9" s="341" t="e">
        <f t="shared" si="4"/>
        <v>#REF!</v>
      </c>
      <c r="BA9" s="342" t="e">
        <f t="shared" si="5"/>
        <v>#REF!</v>
      </c>
    </row>
    <row r="10" spans="1:53" ht="21.5">
      <c r="A10" s="332">
        <v>5</v>
      </c>
      <c r="B10" s="343">
        <v>11820</v>
      </c>
      <c r="C10" s="343">
        <v>11555</v>
      </c>
      <c r="D10" s="343">
        <v>16388</v>
      </c>
      <c r="E10" s="343">
        <v>16020</v>
      </c>
      <c r="F10" s="344"/>
      <c r="G10" s="344"/>
      <c r="H10" s="344"/>
      <c r="I10" s="344"/>
      <c r="J10" s="344"/>
      <c r="K10" s="344"/>
      <c r="L10" s="344"/>
      <c r="M10" s="344"/>
      <c r="N10" s="344"/>
      <c r="O10" s="344"/>
      <c r="P10" s="344"/>
      <c r="Q10" s="344"/>
      <c r="R10" s="344"/>
      <c r="S10" s="344"/>
      <c r="T10" s="344"/>
      <c r="U10" s="344"/>
      <c r="V10" s="344"/>
      <c r="W10" s="344"/>
      <c r="X10" s="344"/>
      <c r="Y10" s="344"/>
      <c r="Z10" s="344"/>
      <c r="AA10" s="344"/>
      <c r="AB10" s="344"/>
      <c r="AC10" s="344"/>
      <c r="AD10" s="25">
        <v>1000</v>
      </c>
      <c r="AE10" s="25" t="s">
        <v>712</v>
      </c>
      <c r="AF10" s="25" t="s">
        <v>712</v>
      </c>
      <c r="AH10" s="335" t="s">
        <v>718</v>
      </c>
      <c r="AI10" s="336" t="e">
        <f>AI8-AI9</f>
        <v>#REF!</v>
      </c>
      <c r="AJ10" s="329"/>
      <c r="AK10" s="339" t="s">
        <v>45</v>
      </c>
      <c r="AL10" s="339" t="s">
        <v>719</v>
      </c>
      <c r="AM10" s="338">
        <v>4</v>
      </c>
      <c r="AN10" s="338">
        <v>0.27</v>
      </c>
      <c r="AR10" s="345">
        <f>IFERROR(IF(AR9+1&gt;=85,"",AR9+1),"")</f>
        <v>49</v>
      </c>
      <c r="AS10" s="341" t="e">
        <f t="shared" si="0"/>
        <v>#REF!</v>
      </c>
      <c r="AT10" s="341" t="e">
        <f t="shared" si="1"/>
        <v>#REF!</v>
      </c>
      <c r="AU10" s="341" t="e">
        <f t="shared" si="2"/>
        <v>#REF!</v>
      </c>
      <c r="AW10" s="341" t="e">
        <f t="shared" si="3"/>
        <v>#REF!</v>
      </c>
      <c r="AX10" s="341" t="e">
        <f t="shared" si="3"/>
        <v>#REF!</v>
      </c>
      <c r="AY10" s="341" t="e">
        <f t="shared" si="3"/>
        <v>#REF!</v>
      </c>
      <c r="AZ10" s="341" t="e">
        <f t="shared" si="4"/>
        <v>#REF!</v>
      </c>
      <c r="BA10" s="342" t="e">
        <f t="shared" si="5"/>
        <v>#REF!</v>
      </c>
    </row>
    <row r="11" spans="1:53" ht="21.5">
      <c r="A11" s="332">
        <v>6</v>
      </c>
      <c r="B11" s="343">
        <v>10153</v>
      </c>
      <c r="C11" s="343">
        <v>10572</v>
      </c>
      <c r="D11" s="343">
        <v>14081</v>
      </c>
      <c r="E11" s="343">
        <v>14662</v>
      </c>
      <c r="F11" s="344"/>
      <c r="G11" s="344"/>
      <c r="H11" s="344"/>
      <c r="I11" s="344"/>
      <c r="J11" s="344"/>
      <c r="K11" s="344"/>
      <c r="L11" s="344"/>
      <c r="M11" s="344"/>
      <c r="N11" s="344"/>
      <c r="O11" s="344"/>
      <c r="P11" s="344"/>
      <c r="Q11" s="344"/>
      <c r="R11" s="344"/>
      <c r="S11" s="344"/>
      <c r="T11" s="344"/>
      <c r="U11" s="344"/>
      <c r="V11" s="344"/>
      <c r="W11" s="344"/>
      <c r="X11" s="344"/>
      <c r="Y11" s="344"/>
      <c r="Z11" s="344"/>
      <c r="AA11" s="344"/>
      <c r="AB11" s="344"/>
      <c r="AC11" s="344"/>
      <c r="AD11" s="25">
        <v>1000</v>
      </c>
      <c r="AE11" s="25" t="s">
        <v>712</v>
      </c>
      <c r="AF11" s="25" t="s">
        <v>712</v>
      </c>
      <c r="AH11" s="335" t="s">
        <v>720</v>
      </c>
      <c r="AI11" s="347" t="e">
        <f>กรอกข้อมูล!#REF!</f>
        <v>#REF!</v>
      </c>
      <c r="AK11" s="339" t="s">
        <v>46</v>
      </c>
      <c r="AL11" s="339" t="s">
        <v>13</v>
      </c>
      <c r="AM11" s="338">
        <v>12</v>
      </c>
      <c r="AN11" s="338">
        <v>0.09</v>
      </c>
      <c r="AR11" s="345">
        <f t="shared" ref="AR11:AR74" si="6">IFERROR(IF(AR10+1&gt;=85,"",AR10+1),"")</f>
        <v>50</v>
      </c>
      <c r="AS11" s="341" t="e">
        <f t="shared" si="0"/>
        <v>#REF!</v>
      </c>
      <c r="AT11" s="341" t="e">
        <f t="shared" si="1"/>
        <v>#REF!</v>
      </c>
      <c r="AU11" s="341" t="e">
        <f t="shared" si="2"/>
        <v>#REF!</v>
      </c>
      <c r="AW11" s="341" t="e">
        <f t="shared" si="3"/>
        <v>#REF!</v>
      </c>
      <c r="AX11" s="341" t="e">
        <f t="shared" si="3"/>
        <v>#REF!</v>
      </c>
      <c r="AY11" s="341" t="e">
        <f t="shared" si="3"/>
        <v>#REF!</v>
      </c>
      <c r="AZ11" s="341" t="e">
        <f t="shared" si="4"/>
        <v>#REF!</v>
      </c>
      <c r="BA11" s="342" t="e">
        <f t="shared" si="5"/>
        <v>#REF!</v>
      </c>
    </row>
    <row r="12" spans="1:53" ht="21.5">
      <c r="A12" s="332">
        <v>7</v>
      </c>
      <c r="B12" s="343">
        <v>10153</v>
      </c>
      <c r="C12" s="343">
        <v>10572</v>
      </c>
      <c r="D12" s="343">
        <v>14081</v>
      </c>
      <c r="E12" s="343">
        <v>14662</v>
      </c>
      <c r="F12" s="344"/>
      <c r="G12" s="344"/>
      <c r="H12" s="344"/>
      <c r="I12" s="344"/>
      <c r="J12" s="344"/>
      <c r="K12" s="344"/>
      <c r="L12" s="344"/>
      <c r="M12" s="344"/>
      <c r="N12" s="344"/>
      <c r="O12" s="344"/>
      <c r="P12" s="344"/>
      <c r="Q12" s="344"/>
      <c r="R12" s="344"/>
      <c r="S12" s="344"/>
      <c r="T12" s="344"/>
      <c r="U12" s="344"/>
      <c r="V12" s="344"/>
      <c r="W12" s="344"/>
      <c r="X12" s="344"/>
      <c r="Y12" s="344"/>
      <c r="Z12" s="344"/>
      <c r="AA12" s="344"/>
      <c r="AB12" s="344"/>
      <c r="AC12" s="344"/>
      <c r="AD12" s="25">
        <v>1000</v>
      </c>
      <c r="AE12" s="25" t="s">
        <v>712</v>
      </c>
      <c r="AF12" s="25" t="s">
        <v>712</v>
      </c>
      <c r="AH12" s="335" t="s">
        <v>721</v>
      </c>
      <c r="AI12" s="348" t="e">
        <f>AI10*AI11</f>
        <v>#REF!</v>
      </c>
      <c r="AJ12" s="349" t="s">
        <v>722</v>
      </c>
      <c r="AK12" s="329"/>
      <c r="AL12" s="329"/>
      <c r="AR12" s="345">
        <f t="shared" si="6"/>
        <v>51</v>
      </c>
      <c r="AS12" s="341" t="e">
        <f t="shared" si="0"/>
        <v>#REF!</v>
      </c>
      <c r="AT12" s="341" t="e">
        <f t="shared" si="1"/>
        <v>#REF!</v>
      </c>
      <c r="AU12" s="341" t="e">
        <f t="shared" si="2"/>
        <v>#REF!</v>
      </c>
      <c r="AW12" s="341" t="e">
        <f t="shared" si="3"/>
        <v>#REF!</v>
      </c>
      <c r="AX12" s="341" t="e">
        <f t="shared" si="3"/>
        <v>#REF!</v>
      </c>
      <c r="AY12" s="341" t="e">
        <f t="shared" si="3"/>
        <v>#REF!</v>
      </c>
      <c r="AZ12" s="341" t="e">
        <f t="shared" si="4"/>
        <v>#REF!</v>
      </c>
      <c r="BA12" s="342" t="e">
        <f t="shared" si="5"/>
        <v>#REF!</v>
      </c>
    </row>
    <row r="13" spans="1:53" ht="21.5">
      <c r="A13" s="332">
        <v>8</v>
      </c>
      <c r="B13" s="343">
        <v>10153</v>
      </c>
      <c r="C13" s="343">
        <v>10572</v>
      </c>
      <c r="D13" s="343">
        <v>14081</v>
      </c>
      <c r="E13" s="343">
        <v>14662</v>
      </c>
      <c r="F13" s="344"/>
      <c r="G13" s="344"/>
      <c r="H13" s="344"/>
      <c r="I13" s="344"/>
      <c r="J13" s="344"/>
      <c r="K13" s="344"/>
      <c r="L13" s="344"/>
      <c r="M13" s="344"/>
      <c r="N13" s="344"/>
      <c r="O13" s="344"/>
      <c r="P13" s="344"/>
      <c r="Q13" s="344"/>
      <c r="R13" s="344"/>
      <c r="S13" s="344"/>
      <c r="T13" s="344"/>
      <c r="U13" s="344"/>
      <c r="V13" s="344"/>
      <c r="W13" s="344"/>
      <c r="X13" s="344"/>
      <c r="Y13" s="344"/>
      <c r="Z13" s="344"/>
      <c r="AA13" s="344"/>
      <c r="AB13" s="344"/>
      <c r="AC13" s="344"/>
      <c r="AD13" s="25">
        <v>1000</v>
      </c>
      <c r="AE13" s="25" t="s">
        <v>712</v>
      </c>
      <c r="AF13" s="25" t="s">
        <v>712</v>
      </c>
      <c r="AH13" s="335" t="s">
        <v>723</v>
      </c>
      <c r="AI13" s="350" t="str">
        <f>VLOOKUP(กรอกข้อมูล!$C$7,$AK$8:$AL$11,2,FALSE)</f>
        <v>A</v>
      </c>
      <c r="AJ13" s="350">
        <f>VLOOKUP(กรอกข้อมูล!$C$7,$AK$8:$AN$11,4,FALSE)</f>
        <v>1</v>
      </c>
      <c r="AK13" s="350">
        <f>VLOOKUP(กรอกข้อมูล!$C$7,$AK$8:$AN$11,3,FALSE)</f>
        <v>1</v>
      </c>
      <c r="AL13" s="329"/>
      <c r="AR13" s="345">
        <f t="shared" si="6"/>
        <v>52</v>
      </c>
      <c r="AS13" s="341" t="e">
        <f t="shared" si="0"/>
        <v>#REF!</v>
      </c>
      <c r="AT13" s="341" t="e">
        <f t="shared" si="1"/>
        <v>#REF!</v>
      </c>
      <c r="AU13" s="341" t="e">
        <f t="shared" si="2"/>
        <v>#REF!</v>
      </c>
      <c r="AW13" s="341" t="e">
        <f t="shared" si="3"/>
        <v>#REF!</v>
      </c>
      <c r="AX13" s="341" t="e">
        <f t="shared" si="3"/>
        <v>#REF!</v>
      </c>
      <c r="AY13" s="341" t="e">
        <f t="shared" si="3"/>
        <v>#REF!</v>
      </c>
      <c r="AZ13" s="341" t="e">
        <f t="shared" si="4"/>
        <v>#REF!</v>
      </c>
      <c r="BA13" s="342" t="e">
        <f t="shared" si="5"/>
        <v>#REF!</v>
      </c>
    </row>
    <row r="14" spans="1:53" ht="21.5">
      <c r="A14" s="332">
        <v>9</v>
      </c>
      <c r="B14" s="343">
        <v>10153</v>
      </c>
      <c r="C14" s="343">
        <v>10572</v>
      </c>
      <c r="D14" s="343">
        <v>14081</v>
      </c>
      <c r="E14" s="343">
        <v>14662</v>
      </c>
      <c r="F14" s="344"/>
      <c r="G14" s="344"/>
      <c r="H14" s="344"/>
      <c r="I14" s="344"/>
      <c r="J14" s="344"/>
      <c r="K14" s="344"/>
      <c r="L14" s="344"/>
      <c r="M14" s="344"/>
      <c r="N14" s="344"/>
      <c r="O14" s="344"/>
      <c r="P14" s="344"/>
      <c r="Q14" s="344"/>
      <c r="R14" s="344"/>
      <c r="S14" s="344"/>
      <c r="T14" s="344"/>
      <c r="U14" s="344"/>
      <c r="V14" s="344"/>
      <c r="W14" s="344"/>
      <c r="X14" s="344"/>
      <c r="Y14" s="344"/>
      <c r="Z14" s="344"/>
      <c r="AA14" s="344"/>
      <c r="AB14" s="344"/>
      <c r="AC14" s="344"/>
      <c r="AD14" s="25">
        <v>1000</v>
      </c>
      <c r="AE14" s="25" t="s">
        <v>712</v>
      </c>
      <c r="AF14" s="25" t="s">
        <v>712</v>
      </c>
      <c r="AH14" s="335" t="s">
        <v>724</v>
      </c>
      <c r="AI14" s="348" t="e">
        <f>ROUNDDOWN($AI$12*AJ13,2)</f>
        <v>#REF!</v>
      </c>
      <c r="AJ14" s="349" t="s">
        <v>722</v>
      </c>
      <c r="AK14" s="329"/>
      <c r="AL14" s="329"/>
      <c r="AR14" s="345">
        <f t="shared" si="6"/>
        <v>53</v>
      </c>
      <c r="AS14" s="341" t="e">
        <f t="shared" si="0"/>
        <v>#REF!</v>
      </c>
      <c r="AT14" s="341" t="e">
        <f t="shared" si="1"/>
        <v>#REF!</v>
      </c>
      <c r="AU14" s="341" t="e">
        <f t="shared" si="2"/>
        <v>#REF!</v>
      </c>
      <c r="AW14" s="341" t="e">
        <f t="shared" si="3"/>
        <v>#REF!</v>
      </c>
      <c r="AX14" s="341" t="e">
        <f t="shared" si="3"/>
        <v>#REF!</v>
      </c>
      <c r="AY14" s="341" t="e">
        <f t="shared" si="3"/>
        <v>#REF!</v>
      </c>
      <c r="AZ14" s="341" t="e">
        <f t="shared" si="4"/>
        <v>#REF!</v>
      </c>
      <c r="BA14" s="342" t="e">
        <f t="shared" si="5"/>
        <v>#REF!</v>
      </c>
    </row>
    <row r="15" spans="1:53" ht="21.5">
      <c r="A15" s="332">
        <v>10</v>
      </c>
      <c r="B15" s="343">
        <v>10153</v>
      </c>
      <c r="C15" s="343">
        <v>10572</v>
      </c>
      <c r="D15" s="343">
        <v>14081</v>
      </c>
      <c r="E15" s="343">
        <v>14662</v>
      </c>
      <c r="F15" s="344"/>
      <c r="G15" s="344"/>
      <c r="H15" s="344"/>
      <c r="I15" s="344"/>
      <c r="J15" s="344"/>
      <c r="K15" s="344"/>
      <c r="L15" s="344"/>
      <c r="M15" s="344"/>
      <c r="N15" s="344"/>
      <c r="O15" s="344"/>
      <c r="P15" s="344"/>
      <c r="Q15" s="344"/>
      <c r="R15" s="344"/>
      <c r="S15" s="344"/>
      <c r="T15" s="344"/>
      <c r="U15" s="344"/>
      <c r="V15" s="344"/>
      <c r="W15" s="344"/>
      <c r="X15" s="344"/>
      <c r="Y15" s="344"/>
      <c r="Z15" s="344"/>
      <c r="AA15" s="344"/>
      <c r="AB15" s="344"/>
      <c r="AC15" s="344"/>
      <c r="AD15" s="25">
        <v>1000</v>
      </c>
      <c r="AE15" s="25" t="s">
        <v>712</v>
      </c>
      <c r="AF15" s="25" t="s">
        <v>712</v>
      </c>
      <c r="AH15" s="329" t="s">
        <v>571</v>
      </c>
      <c r="AI15" s="351" t="s">
        <v>13</v>
      </c>
      <c r="AJ15" s="351" t="s">
        <v>14</v>
      </c>
      <c r="AK15" s="329"/>
      <c r="AL15" s="329"/>
      <c r="AR15" s="345">
        <f t="shared" si="6"/>
        <v>54</v>
      </c>
      <c r="AS15" s="341" t="e">
        <f t="shared" si="0"/>
        <v>#REF!</v>
      </c>
      <c r="AT15" s="341" t="e">
        <f t="shared" si="1"/>
        <v>#REF!</v>
      </c>
      <c r="AU15" s="341" t="e">
        <f t="shared" si="2"/>
        <v>#REF!</v>
      </c>
      <c r="AW15" s="341" t="e">
        <f t="shared" si="3"/>
        <v>#REF!</v>
      </c>
      <c r="AX15" s="341" t="e">
        <f t="shared" si="3"/>
        <v>#REF!</v>
      </c>
      <c r="AY15" s="341" t="e">
        <f t="shared" si="3"/>
        <v>#REF!</v>
      </c>
      <c r="AZ15" s="341" t="e">
        <f t="shared" si="4"/>
        <v>#REF!</v>
      </c>
      <c r="BA15" s="342" t="e">
        <f t="shared" si="5"/>
        <v>#REF!</v>
      </c>
    </row>
    <row r="16" spans="1:53" ht="21.5">
      <c r="A16" s="332">
        <v>11</v>
      </c>
      <c r="B16" s="343">
        <v>8487</v>
      </c>
      <c r="C16" s="343">
        <v>9590</v>
      </c>
      <c r="D16" s="343">
        <v>11774</v>
      </c>
      <c r="E16" s="343">
        <v>13304</v>
      </c>
      <c r="F16" s="344"/>
      <c r="G16" s="344"/>
      <c r="H16" s="344"/>
      <c r="I16" s="344"/>
      <c r="J16" s="344"/>
      <c r="K16" s="344"/>
      <c r="L16" s="344"/>
      <c r="M16" s="344"/>
      <c r="N16" s="344"/>
      <c r="O16" s="344"/>
      <c r="P16" s="344"/>
      <c r="Q16" s="344"/>
      <c r="R16" s="344"/>
      <c r="S16" s="344"/>
      <c r="T16" s="344"/>
      <c r="U16" s="344"/>
      <c r="V16" s="344"/>
      <c r="W16" s="344"/>
      <c r="X16" s="344"/>
      <c r="Y16" s="344"/>
      <c r="Z16" s="344"/>
      <c r="AA16" s="344"/>
      <c r="AB16" s="344"/>
      <c r="AC16" s="344"/>
      <c r="AD16" s="25">
        <v>1000</v>
      </c>
      <c r="AE16" s="25" t="s">
        <v>712</v>
      </c>
      <c r="AF16" s="25" t="s">
        <v>712</v>
      </c>
      <c r="AH16" s="352" t="str">
        <f>List!H15</f>
        <v>สมาร์ท คิดส์ - สุขภาพแผนหลักผู้ป่วยในแบบพื้นฐาน ประเทศไทย</v>
      </c>
      <c r="AI16" s="352">
        <v>2</v>
      </c>
      <c r="AJ16" s="352">
        <v>3</v>
      </c>
      <c r="AR16" s="345">
        <f t="shared" si="6"/>
        <v>55</v>
      </c>
      <c r="AS16" s="341" t="e">
        <f t="shared" si="0"/>
        <v>#REF!</v>
      </c>
      <c r="AT16" s="341" t="e">
        <f t="shared" si="1"/>
        <v>#REF!</v>
      </c>
      <c r="AU16" s="341" t="e">
        <f t="shared" si="2"/>
        <v>#REF!</v>
      </c>
      <c r="AW16" s="341" t="e">
        <f t="shared" si="3"/>
        <v>#REF!</v>
      </c>
      <c r="AX16" s="341" t="e">
        <f t="shared" si="3"/>
        <v>#REF!</v>
      </c>
      <c r="AY16" s="341" t="e">
        <f t="shared" si="3"/>
        <v>#REF!</v>
      </c>
      <c r="AZ16" s="341" t="e">
        <f t="shared" si="4"/>
        <v>#REF!</v>
      </c>
      <c r="BA16" s="342" t="e">
        <f t="shared" si="5"/>
        <v>#REF!</v>
      </c>
    </row>
    <row r="17" spans="1:53" ht="21.5">
      <c r="A17" s="332">
        <v>12</v>
      </c>
      <c r="B17" s="343">
        <v>8487</v>
      </c>
      <c r="C17" s="343">
        <v>9590</v>
      </c>
      <c r="D17" s="343">
        <v>11774</v>
      </c>
      <c r="E17" s="343">
        <v>13304</v>
      </c>
      <c r="F17" s="344"/>
      <c r="G17" s="344"/>
      <c r="H17" s="344"/>
      <c r="I17" s="344"/>
      <c r="J17" s="344"/>
      <c r="K17" s="344"/>
      <c r="L17" s="344"/>
      <c r="M17" s="344"/>
      <c r="N17" s="344"/>
      <c r="O17" s="344"/>
      <c r="P17" s="344"/>
      <c r="Q17" s="344"/>
      <c r="R17" s="344"/>
      <c r="S17" s="344"/>
      <c r="T17" s="344"/>
      <c r="U17" s="344"/>
      <c r="V17" s="344"/>
      <c r="W17" s="344"/>
      <c r="X17" s="344"/>
      <c r="Y17" s="344"/>
      <c r="Z17" s="344"/>
      <c r="AA17" s="344"/>
      <c r="AB17" s="344"/>
      <c r="AC17" s="344"/>
      <c r="AD17" s="25">
        <v>1000</v>
      </c>
      <c r="AE17" s="25" t="s">
        <v>712</v>
      </c>
      <c r="AF17" s="25" t="s">
        <v>712</v>
      </c>
      <c r="AH17" s="352" t="str">
        <f>List!H16</f>
        <v>สมาร์ท คิดส์ - สุขภาพแผนหลักผู้ป่วยในแบบพื้นฐาน และสุขภาพแผนเพิ่มเติมผู้ป่วยนอก ประเทศไทย</v>
      </c>
      <c r="AI17" s="352">
        <v>2</v>
      </c>
      <c r="AJ17" s="352">
        <v>3</v>
      </c>
      <c r="AR17" s="345">
        <f t="shared" si="6"/>
        <v>56</v>
      </c>
      <c r="AS17" s="341" t="e">
        <f t="shared" si="0"/>
        <v>#REF!</v>
      </c>
      <c r="AT17" s="341" t="e">
        <f t="shared" si="1"/>
        <v>#REF!</v>
      </c>
      <c r="AU17" s="341" t="e">
        <f t="shared" si="2"/>
        <v>#REF!</v>
      </c>
      <c r="AW17" s="341" t="e">
        <f t="shared" si="3"/>
        <v>#REF!</v>
      </c>
      <c r="AX17" s="341" t="e">
        <f t="shared" si="3"/>
        <v>#REF!</v>
      </c>
      <c r="AY17" s="341" t="e">
        <f t="shared" si="3"/>
        <v>#REF!</v>
      </c>
      <c r="AZ17" s="341" t="e">
        <f t="shared" si="4"/>
        <v>#REF!</v>
      </c>
      <c r="BA17" s="342" t="e">
        <f t="shared" si="5"/>
        <v>#REF!</v>
      </c>
    </row>
    <row r="18" spans="1:53" ht="21.5">
      <c r="A18" s="332">
        <v>13</v>
      </c>
      <c r="B18" s="343">
        <v>8487</v>
      </c>
      <c r="C18" s="343">
        <v>9590</v>
      </c>
      <c r="D18" s="343">
        <v>11774</v>
      </c>
      <c r="E18" s="343">
        <v>13304</v>
      </c>
      <c r="F18" s="344"/>
      <c r="G18" s="344"/>
      <c r="H18" s="344"/>
      <c r="I18" s="344"/>
      <c r="J18" s="344"/>
      <c r="K18" s="344"/>
      <c r="L18" s="344"/>
      <c r="M18" s="344"/>
      <c r="N18" s="344"/>
      <c r="O18" s="344"/>
      <c r="P18" s="344"/>
      <c r="Q18" s="344"/>
      <c r="R18" s="344"/>
      <c r="S18" s="344"/>
      <c r="T18" s="344"/>
      <c r="U18" s="344"/>
      <c r="V18" s="344"/>
      <c r="W18" s="344"/>
      <c r="X18" s="344"/>
      <c r="Y18" s="344"/>
      <c r="Z18" s="344"/>
      <c r="AA18" s="344"/>
      <c r="AB18" s="344"/>
      <c r="AC18" s="344"/>
      <c r="AD18" s="25">
        <v>1000</v>
      </c>
      <c r="AE18" s="25" t="s">
        <v>712</v>
      </c>
      <c r="AF18" s="25" t="s">
        <v>712</v>
      </c>
      <c r="AH18" s="352" t="str">
        <f>List!H17</f>
        <v>สมาร์ท คิดส์ - สุขภาพแผนหลักผู้ป่วยในแบบพื้นฐาน สุขภาพแผนเพิ่มเติมผู้ป่วยในแบบเติมเต็ม และสุขภาพแผนเพิ่มเติมผู้ป่วยนอก ประเทศไทย</v>
      </c>
      <c r="AI18" s="352">
        <v>2</v>
      </c>
      <c r="AJ18" s="352">
        <v>3</v>
      </c>
      <c r="AR18" s="345">
        <f t="shared" si="6"/>
        <v>57</v>
      </c>
      <c r="AS18" s="341" t="e">
        <f t="shared" si="0"/>
        <v>#REF!</v>
      </c>
      <c r="AT18" s="341" t="e">
        <f t="shared" si="1"/>
        <v>#REF!</v>
      </c>
      <c r="AU18" s="341" t="e">
        <f t="shared" si="2"/>
        <v>#REF!</v>
      </c>
      <c r="AW18" s="341" t="e">
        <f t="shared" si="3"/>
        <v>#REF!</v>
      </c>
      <c r="AX18" s="341" t="e">
        <f t="shared" si="3"/>
        <v>#REF!</v>
      </c>
      <c r="AY18" s="341" t="e">
        <f t="shared" si="3"/>
        <v>#REF!</v>
      </c>
      <c r="AZ18" s="341" t="e">
        <f t="shared" si="4"/>
        <v>#REF!</v>
      </c>
      <c r="BA18" s="342" t="e">
        <f t="shared" si="5"/>
        <v>#REF!</v>
      </c>
    </row>
    <row r="19" spans="1:53" ht="21.5">
      <c r="A19" s="332">
        <v>14</v>
      </c>
      <c r="B19" s="343">
        <v>8487</v>
      </c>
      <c r="C19" s="343">
        <v>9590</v>
      </c>
      <c r="D19" s="343">
        <v>11774</v>
      </c>
      <c r="E19" s="343">
        <v>13304</v>
      </c>
      <c r="F19" s="344"/>
      <c r="G19" s="344"/>
      <c r="H19" s="344"/>
      <c r="I19" s="344"/>
      <c r="J19" s="344"/>
      <c r="K19" s="344"/>
      <c r="L19" s="344"/>
      <c r="M19" s="344"/>
      <c r="N19" s="344"/>
      <c r="O19" s="344"/>
      <c r="P19" s="344"/>
      <c r="Q19" s="344"/>
      <c r="R19" s="344"/>
      <c r="S19" s="344"/>
      <c r="T19" s="344"/>
      <c r="U19" s="344"/>
      <c r="V19" s="344"/>
      <c r="W19" s="344"/>
      <c r="X19" s="344"/>
      <c r="Y19" s="344"/>
      <c r="Z19" s="344"/>
      <c r="AA19" s="344"/>
      <c r="AB19" s="344"/>
      <c r="AC19" s="344"/>
      <c r="AD19" s="25">
        <v>1000</v>
      </c>
      <c r="AE19" s="25" t="s">
        <v>712</v>
      </c>
      <c r="AF19" s="25" t="s">
        <v>712</v>
      </c>
      <c r="AH19" s="352" t="str">
        <f>List!H18</f>
        <v>โกลด์ คิดส์ - สุขภาพแผนหลักผู้ป่วยในแบบพื้นฐาน ประเทศไทย</v>
      </c>
      <c r="AI19" s="352">
        <v>4</v>
      </c>
      <c r="AJ19" s="352">
        <v>5</v>
      </c>
      <c r="AR19" s="345">
        <f t="shared" si="6"/>
        <v>58</v>
      </c>
      <c r="AS19" s="341" t="e">
        <f t="shared" si="0"/>
        <v>#REF!</v>
      </c>
      <c r="AT19" s="341" t="e">
        <f t="shared" si="1"/>
        <v>#REF!</v>
      </c>
      <c r="AU19" s="341" t="e">
        <f t="shared" si="2"/>
        <v>#REF!</v>
      </c>
      <c r="AW19" s="341" t="e">
        <f t="shared" si="3"/>
        <v>#REF!</v>
      </c>
      <c r="AX19" s="341" t="e">
        <f t="shared" si="3"/>
        <v>#REF!</v>
      </c>
      <c r="AY19" s="341" t="e">
        <f t="shared" si="3"/>
        <v>#REF!</v>
      </c>
      <c r="AZ19" s="341" t="e">
        <f t="shared" si="4"/>
        <v>#REF!</v>
      </c>
      <c r="BA19" s="342" t="e">
        <f t="shared" si="5"/>
        <v>#REF!</v>
      </c>
    </row>
    <row r="20" spans="1:53" ht="21.5">
      <c r="A20" s="332">
        <v>15</v>
      </c>
      <c r="B20" s="343">
        <v>8487</v>
      </c>
      <c r="C20" s="343">
        <v>9590</v>
      </c>
      <c r="D20" s="343">
        <v>11774</v>
      </c>
      <c r="E20" s="343">
        <v>13304</v>
      </c>
      <c r="F20" s="344"/>
      <c r="G20" s="344"/>
      <c r="H20" s="344"/>
      <c r="I20" s="344"/>
      <c r="J20" s="344"/>
      <c r="K20" s="344"/>
      <c r="L20" s="344"/>
      <c r="M20" s="344"/>
      <c r="N20" s="344"/>
      <c r="O20" s="344"/>
      <c r="P20" s="344"/>
      <c r="Q20" s="344"/>
      <c r="R20" s="344"/>
      <c r="S20" s="344"/>
      <c r="T20" s="344"/>
      <c r="U20" s="344"/>
      <c r="V20" s="344"/>
      <c r="W20" s="344"/>
      <c r="X20" s="344"/>
      <c r="Y20" s="344"/>
      <c r="Z20" s="344"/>
      <c r="AA20" s="344"/>
      <c r="AB20" s="344"/>
      <c r="AC20" s="344"/>
      <c r="AD20" s="25">
        <v>1000</v>
      </c>
      <c r="AE20" s="25" t="s">
        <v>712</v>
      </c>
      <c r="AF20" s="25" t="s">
        <v>712</v>
      </c>
      <c r="AH20" s="352" t="str">
        <f>List!H19</f>
        <v>โกลด์ คิดส์ - สุขภาพแผนหลักผู้ป่วยในแบบพื้นฐาน และสุขภาพแผนเพิ่มเติมผู้ป่วยนอก ประเทศไทย</v>
      </c>
      <c r="AI20" s="352">
        <v>4</v>
      </c>
      <c r="AJ20" s="352">
        <v>5</v>
      </c>
      <c r="AR20" s="345">
        <f t="shared" si="6"/>
        <v>59</v>
      </c>
      <c r="AS20" s="341" t="e">
        <f t="shared" si="0"/>
        <v>#REF!</v>
      </c>
      <c r="AT20" s="341" t="e">
        <f t="shared" si="1"/>
        <v>#REF!</v>
      </c>
      <c r="AU20" s="341" t="e">
        <f t="shared" si="2"/>
        <v>#REF!</v>
      </c>
      <c r="AW20" s="341" t="e">
        <f t="shared" si="3"/>
        <v>#REF!</v>
      </c>
      <c r="AX20" s="341" t="e">
        <f t="shared" si="3"/>
        <v>#REF!</v>
      </c>
      <c r="AY20" s="341" t="e">
        <f t="shared" si="3"/>
        <v>#REF!</v>
      </c>
      <c r="AZ20" s="341" t="e">
        <f t="shared" si="4"/>
        <v>#REF!</v>
      </c>
      <c r="BA20" s="342" t="e">
        <f t="shared" si="5"/>
        <v>#REF!</v>
      </c>
    </row>
    <row r="21" spans="1:53" ht="21.5">
      <c r="A21" s="332">
        <v>16</v>
      </c>
      <c r="B21" s="343">
        <v>8487</v>
      </c>
      <c r="C21" s="343">
        <v>9590</v>
      </c>
      <c r="D21" s="343">
        <v>11774</v>
      </c>
      <c r="E21" s="343">
        <v>13304</v>
      </c>
      <c r="F21" s="343">
        <v>8487</v>
      </c>
      <c r="G21" s="343">
        <v>9590</v>
      </c>
      <c r="H21" s="353">
        <v>10126</v>
      </c>
      <c r="I21" s="353">
        <v>11442</v>
      </c>
      <c r="J21" s="343">
        <v>11774</v>
      </c>
      <c r="K21" s="343">
        <v>13304</v>
      </c>
      <c r="L21" s="343">
        <v>38066</v>
      </c>
      <c r="M21" s="343">
        <v>40791</v>
      </c>
      <c r="N21" s="343">
        <v>68122</v>
      </c>
      <c r="O21" s="343">
        <v>76977</v>
      </c>
      <c r="P21" s="343">
        <v>121311</v>
      </c>
      <c r="Q21" s="343">
        <v>137081</v>
      </c>
      <c r="R21" s="343">
        <v>134158</v>
      </c>
      <c r="S21" s="343">
        <v>151598</v>
      </c>
      <c r="T21" s="343">
        <v>241209</v>
      </c>
      <c r="U21" s="343">
        <v>272566</v>
      </c>
      <c r="V21" s="343">
        <v>110369</v>
      </c>
      <c r="W21" s="343">
        <v>124717</v>
      </c>
      <c r="X21" s="343">
        <v>183107</v>
      </c>
      <c r="Y21" s="343">
        <v>206911</v>
      </c>
      <c r="Z21" s="343">
        <v>202735</v>
      </c>
      <c r="AA21" s="343">
        <v>229091</v>
      </c>
      <c r="AB21" s="343">
        <v>360310</v>
      </c>
      <c r="AC21" s="343">
        <v>407151</v>
      </c>
      <c r="AD21" s="25">
        <v>1000</v>
      </c>
      <c r="AE21" s="25" t="s">
        <v>712</v>
      </c>
      <c r="AF21" s="25" t="s">
        <v>712</v>
      </c>
      <c r="AH21" s="352" t="str">
        <f>List!H20</f>
        <v>โกลด์ คิดส์ - สุขภาพแผนหลักผู้ป่วยในแบบพื้นฐาน สุขภาพแผนเพิ่มเติมผู้ป่วยในแบบเติมเต็ม และสุขภาพแผนเพิ่มเติมผู้ป่วยนอก ประเทศไทย</v>
      </c>
      <c r="AI21" s="352">
        <v>4</v>
      </c>
      <c r="AJ21" s="352">
        <v>5</v>
      </c>
      <c r="AR21" s="345">
        <f t="shared" si="6"/>
        <v>60</v>
      </c>
      <c r="AS21" s="341" t="e">
        <f t="shared" si="0"/>
        <v>#REF!</v>
      </c>
      <c r="AT21" s="341" t="e">
        <f t="shared" si="1"/>
        <v>#REF!</v>
      </c>
      <c r="AU21" s="341" t="e">
        <f t="shared" si="2"/>
        <v>#REF!</v>
      </c>
      <c r="AW21" s="341" t="e">
        <f t="shared" si="3"/>
        <v>#REF!</v>
      </c>
      <c r="AX21" s="341" t="e">
        <f t="shared" si="3"/>
        <v>#REF!</v>
      </c>
      <c r="AY21" s="341" t="e">
        <f t="shared" si="3"/>
        <v>#REF!</v>
      </c>
      <c r="AZ21" s="341" t="e">
        <f t="shared" si="4"/>
        <v>#REF!</v>
      </c>
      <c r="BA21" s="342" t="e">
        <f t="shared" si="5"/>
        <v>#REF!</v>
      </c>
    </row>
    <row r="22" spans="1:53" ht="21.5">
      <c r="A22" s="332">
        <v>17</v>
      </c>
      <c r="B22" s="343">
        <v>8487</v>
      </c>
      <c r="C22" s="343">
        <v>9590</v>
      </c>
      <c r="D22" s="343">
        <v>11774</v>
      </c>
      <c r="E22" s="343">
        <v>13304</v>
      </c>
      <c r="F22" s="343">
        <v>8487</v>
      </c>
      <c r="G22" s="343">
        <v>9590</v>
      </c>
      <c r="H22" s="353">
        <v>10126</v>
      </c>
      <c r="I22" s="353">
        <v>11442</v>
      </c>
      <c r="J22" s="343">
        <v>11774</v>
      </c>
      <c r="K22" s="343">
        <v>13304</v>
      </c>
      <c r="L22" s="343">
        <v>38066</v>
      </c>
      <c r="M22" s="343">
        <v>40791</v>
      </c>
      <c r="N22" s="343">
        <v>68122</v>
      </c>
      <c r="O22" s="343">
        <v>76977</v>
      </c>
      <c r="P22" s="343">
        <v>121311</v>
      </c>
      <c r="Q22" s="343">
        <v>137081</v>
      </c>
      <c r="R22" s="343">
        <v>134158</v>
      </c>
      <c r="S22" s="343">
        <v>151598</v>
      </c>
      <c r="T22" s="343">
        <v>241209</v>
      </c>
      <c r="U22" s="343">
        <v>272566</v>
      </c>
      <c r="V22" s="343">
        <v>110369</v>
      </c>
      <c r="W22" s="343">
        <v>124717</v>
      </c>
      <c r="X22" s="343">
        <v>183107</v>
      </c>
      <c r="Y22" s="343">
        <v>206911</v>
      </c>
      <c r="Z22" s="343">
        <v>202735</v>
      </c>
      <c r="AA22" s="343">
        <v>229091</v>
      </c>
      <c r="AB22" s="343">
        <v>360310</v>
      </c>
      <c r="AC22" s="343">
        <v>407151</v>
      </c>
      <c r="AD22" s="25">
        <v>1000</v>
      </c>
      <c r="AE22" s="25" t="s">
        <v>712</v>
      </c>
      <c r="AF22" s="25" t="s">
        <v>712</v>
      </c>
      <c r="AH22" s="352" t="str">
        <f>List!H21</f>
        <v>สมาร์ท - สุขภาพแผนหลักผู้ป่วยในแบบพื้นฐาน ประเทศไทย</v>
      </c>
      <c r="AI22" s="352">
        <v>6</v>
      </c>
      <c r="AJ22" s="352">
        <v>7</v>
      </c>
      <c r="AR22" s="345">
        <f t="shared" si="6"/>
        <v>61</v>
      </c>
      <c r="AS22" s="341" t="e">
        <f t="shared" si="0"/>
        <v>#REF!</v>
      </c>
      <c r="AT22" s="341" t="e">
        <f t="shared" si="1"/>
        <v>#REF!</v>
      </c>
      <c r="AU22" s="341" t="e">
        <f t="shared" si="2"/>
        <v>#REF!</v>
      </c>
      <c r="AW22" s="341" t="e">
        <f t="shared" si="3"/>
        <v>#REF!</v>
      </c>
      <c r="AX22" s="341" t="e">
        <f t="shared" si="3"/>
        <v>#REF!</v>
      </c>
      <c r="AY22" s="341" t="e">
        <f t="shared" si="3"/>
        <v>#REF!</v>
      </c>
      <c r="AZ22" s="341" t="e">
        <f t="shared" si="4"/>
        <v>#REF!</v>
      </c>
      <c r="BA22" s="342" t="e">
        <f t="shared" si="5"/>
        <v>#REF!</v>
      </c>
    </row>
    <row r="23" spans="1:53" ht="21.5">
      <c r="A23" s="332">
        <v>18</v>
      </c>
      <c r="B23" s="343">
        <v>8487</v>
      </c>
      <c r="C23" s="343">
        <v>9590</v>
      </c>
      <c r="D23" s="343">
        <v>11774</v>
      </c>
      <c r="E23" s="343">
        <v>13304</v>
      </c>
      <c r="F23" s="343">
        <v>8487</v>
      </c>
      <c r="G23" s="343">
        <v>9590</v>
      </c>
      <c r="H23" s="353">
        <v>10126</v>
      </c>
      <c r="I23" s="353">
        <v>11442</v>
      </c>
      <c r="J23" s="343">
        <v>11774</v>
      </c>
      <c r="K23" s="343">
        <v>13304</v>
      </c>
      <c r="L23" s="343">
        <v>38066</v>
      </c>
      <c r="M23" s="343">
        <v>40791</v>
      </c>
      <c r="N23" s="343">
        <v>68122</v>
      </c>
      <c r="O23" s="343">
        <v>76977</v>
      </c>
      <c r="P23" s="343">
        <v>121311</v>
      </c>
      <c r="Q23" s="343">
        <v>137081</v>
      </c>
      <c r="R23" s="343">
        <v>134158</v>
      </c>
      <c r="S23" s="343">
        <v>151598</v>
      </c>
      <c r="T23" s="343">
        <v>241209</v>
      </c>
      <c r="U23" s="343">
        <v>272566</v>
      </c>
      <c r="V23" s="343">
        <v>110369</v>
      </c>
      <c r="W23" s="343">
        <v>124717</v>
      </c>
      <c r="X23" s="343">
        <v>183107</v>
      </c>
      <c r="Y23" s="343">
        <v>206911</v>
      </c>
      <c r="Z23" s="343">
        <v>202735</v>
      </c>
      <c r="AA23" s="343">
        <v>229091</v>
      </c>
      <c r="AB23" s="343">
        <v>360310</v>
      </c>
      <c r="AC23" s="343">
        <v>407151</v>
      </c>
      <c r="AD23" s="25">
        <v>1000</v>
      </c>
      <c r="AE23" s="25" t="s">
        <v>712</v>
      </c>
      <c r="AF23" s="25" t="s">
        <v>712</v>
      </c>
      <c r="AH23" s="352" t="str">
        <f>List!H22</f>
        <v>ซิลเวอร์ - สุขภาพแผนหลักผู้ป่วยในแบบพื้นฐาน ประเทศไทย</v>
      </c>
      <c r="AI23" s="352">
        <v>8</v>
      </c>
      <c r="AJ23" s="352">
        <v>9</v>
      </c>
      <c r="AR23" s="345">
        <f t="shared" si="6"/>
        <v>62</v>
      </c>
      <c r="AS23" s="341" t="e">
        <f t="shared" si="0"/>
        <v>#REF!</v>
      </c>
      <c r="AT23" s="341" t="e">
        <f t="shared" si="1"/>
        <v>#REF!</v>
      </c>
      <c r="AU23" s="341" t="e">
        <f t="shared" si="2"/>
        <v>#REF!</v>
      </c>
      <c r="AW23" s="341" t="e">
        <f t="shared" si="3"/>
        <v>#REF!</v>
      </c>
      <c r="AX23" s="341" t="e">
        <f t="shared" si="3"/>
        <v>#REF!</v>
      </c>
      <c r="AY23" s="341" t="e">
        <f t="shared" si="3"/>
        <v>#REF!</v>
      </c>
      <c r="AZ23" s="341" t="e">
        <f t="shared" si="4"/>
        <v>#REF!</v>
      </c>
      <c r="BA23" s="342" t="e">
        <f t="shared" si="5"/>
        <v>#REF!</v>
      </c>
    </row>
    <row r="24" spans="1:53" ht="21.5">
      <c r="A24" s="332">
        <v>19</v>
      </c>
      <c r="B24" s="343">
        <v>8487</v>
      </c>
      <c r="C24" s="343">
        <v>9590</v>
      </c>
      <c r="D24" s="343">
        <v>11774</v>
      </c>
      <c r="E24" s="343">
        <v>13304</v>
      </c>
      <c r="F24" s="343">
        <v>8487</v>
      </c>
      <c r="G24" s="343">
        <v>9590</v>
      </c>
      <c r="H24" s="353">
        <v>10126</v>
      </c>
      <c r="I24" s="353">
        <v>11442</v>
      </c>
      <c r="J24" s="343">
        <v>11774</v>
      </c>
      <c r="K24" s="343">
        <v>13304</v>
      </c>
      <c r="L24" s="343">
        <v>38066</v>
      </c>
      <c r="M24" s="343">
        <v>40791</v>
      </c>
      <c r="N24" s="343">
        <v>68122</v>
      </c>
      <c r="O24" s="343">
        <v>76977</v>
      </c>
      <c r="P24" s="343">
        <v>121311</v>
      </c>
      <c r="Q24" s="343">
        <v>137081</v>
      </c>
      <c r="R24" s="343">
        <v>134158</v>
      </c>
      <c r="S24" s="343">
        <v>151598</v>
      </c>
      <c r="T24" s="343">
        <v>241209</v>
      </c>
      <c r="U24" s="343">
        <v>272566</v>
      </c>
      <c r="V24" s="343">
        <v>110369</v>
      </c>
      <c r="W24" s="343">
        <v>124717</v>
      </c>
      <c r="X24" s="343">
        <v>183107</v>
      </c>
      <c r="Y24" s="343">
        <v>206911</v>
      </c>
      <c r="Z24" s="343">
        <v>202735</v>
      </c>
      <c r="AA24" s="343">
        <v>229091</v>
      </c>
      <c r="AB24" s="343">
        <v>360310</v>
      </c>
      <c r="AC24" s="343">
        <v>407151</v>
      </c>
      <c r="AD24" s="25">
        <v>1000</v>
      </c>
      <c r="AE24" s="25" t="s">
        <v>712</v>
      </c>
      <c r="AF24" s="25" t="s">
        <v>712</v>
      </c>
      <c r="AH24" s="352" t="str">
        <f>List!H23</f>
        <v>โกลด์ - สุขภาพแผนหลักผู้ป่วยในแบบพื้นฐาน ประเทศไทย</v>
      </c>
      <c r="AI24" s="352">
        <v>10</v>
      </c>
      <c r="AJ24" s="352">
        <v>11</v>
      </c>
      <c r="AR24" s="345">
        <f t="shared" si="6"/>
        <v>63</v>
      </c>
      <c r="AS24" s="341" t="e">
        <f t="shared" si="0"/>
        <v>#REF!</v>
      </c>
      <c r="AT24" s="341" t="e">
        <f t="shared" si="1"/>
        <v>#REF!</v>
      </c>
      <c r="AU24" s="341" t="e">
        <f t="shared" si="2"/>
        <v>#REF!</v>
      </c>
      <c r="AW24" s="341" t="e">
        <f t="shared" si="3"/>
        <v>#REF!</v>
      </c>
      <c r="AX24" s="341" t="e">
        <f t="shared" si="3"/>
        <v>#REF!</v>
      </c>
      <c r="AY24" s="341" t="e">
        <f t="shared" si="3"/>
        <v>#REF!</v>
      </c>
      <c r="AZ24" s="341" t="e">
        <f t="shared" si="4"/>
        <v>#REF!</v>
      </c>
      <c r="BA24" s="342" t="e">
        <f t="shared" si="5"/>
        <v>#REF!</v>
      </c>
    </row>
    <row r="25" spans="1:53" ht="21.5">
      <c r="A25" s="332">
        <v>20</v>
      </c>
      <c r="B25" s="343">
        <v>8487</v>
      </c>
      <c r="C25" s="343">
        <v>9590</v>
      </c>
      <c r="D25" s="343">
        <v>11774</v>
      </c>
      <c r="E25" s="343">
        <v>13304</v>
      </c>
      <c r="F25" s="343">
        <v>8487</v>
      </c>
      <c r="G25" s="343">
        <v>9590</v>
      </c>
      <c r="H25" s="353">
        <v>10126</v>
      </c>
      <c r="I25" s="353">
        <v>11442</v>
      </c>
      <c r="J25" s="343">
        <v>11774</v>
      </c>
      <c r="K25" s="343">
        <v>13304</v>
      </c>
      <c r="L25" s="343">
        <v>38066</v>
      </c>
      <c r="M25" s="343">
        <v>40791</v>
      </c>
      <c r="N25" s="343">
        <v>68122</v>
      </c>
      <c r="O25" s="343">
        <v>76977</v>
      </c>
      <c r="P25" s="343">
        <v>121311</v>
      </c>
      <c r="Q25" s="343">
        <v>137081</v>
      </c>
      <c r="R25" s="343">
        <v>134158</v>
      </c>
      <c r="S25" s="343">
        <v>151598</v>
      </c>
      <c r="T25" s="343">
        <v>241209</v>
      </c>
      <c r="U25" s="343">
        <v>272566</v>
      </c>
      <c r="V25" s="343">
        <v>110369</v>
      </c>
      <c r="W25" s="343">
        <v>124717</v>
      </c>
      <c r="X25" s="343">
        <v>183107</v>
      </c>
      <c r="Y25" s="343">
        <v>206911</v>
      </c>
      <c r="Z25" s="343">
        <v>202735</v>
      </c>
      <c r="AA25" s="343">
        <v>229091</v>
      </c>
      <c r="AB25" s="343">
        <v>360310</v>
      </c>
      <c r="AC25" s="343">
        <v>407151</v>
      </c>
      <c r="AD25" s="25">
        <v>1000</v>
      </c>
      <c r="AE25" s="25" t="s">
        <v>712</v>
      </c>
      <c r="AF25" s="25" t="s">
        <v>712</v>
      </c>
      <c r="AH25" s="352" t="str">
        <f>List!H24</f>
        <v>โกลด์ - สุขภาพแผนหลักผู้ป่วยในแบบพื้นฐาน เอเชีย</v>
      </c>
      <c r="AI25" s="352">
        <v>12</v>
      </c>
      <c r="AJ25" s="352">
        <v>13</v>
      </c>
      <c r="AR25" s="345">
        <f t="shared" si="6"/>
        <v>64</v>
      </c>
      <c r="AS25" s="341" t="e">
        <f t="shared" si="0"/>
        <v>#REF!</v>
      </c>
      <c r="AT25" s="341" t="e">
        <f t="shared" si="1"/>
        <v>#REF!</v>
      </c>
      <c r="AU25" s="341" t="e">
        <f t="shared" si="2"/>
        <v>#REF!</v>
      </c>
      <c r="AW25" s="341" t="e">
        <f t="shared" si="3"/>
        <v>#REF!</v>
      </c>
      <c r="AX25" s="341" t="e">
        <f t="shared" si="3"/>
        <v>#REF!</v>
      </c>
      <c r="AY25" s="341" t="e">
        <f t="shared" si="3"/>
        <v>#REF!</v>
      </c>
      <c r="AZ25" s="341" t="e">
        <f t="shared" si="4"/>
        <v>#REF!</v>
      </c>
      <c r="BA25" s="342" t="e">
        <f t="shared" si="5"/>
        <v>#REF!</v>
      </c>
    </row>
    <row r="26" spans="1:53" ht="21.5">
      <c r="A26" s="332">
        <v>21</v>
      </c>
      <c r="B26" s="343">
        <v>8553</v>
      </c>
      <c r="C26" s="343">
        <v>10226</v>
      </c>
      <c r="D26" s="343">
        <v>11859</v>
      </c>
      <c r="E26" s="343">
        <v>14177</v>
      </c>
      <c r="F26" s="343">
        <v>8553</v>
      </c>
      <c r="G26" s="343">
        <v>10226</v>
      </c>
      <c r="H26" s="353">
        <v>10202</v>
      </c>
      <c r="I26" s="353">
        <v>12196</v>
      </c>
      <c r="J26" s="343">
        <v>11859</v>
      </c>
      <c r="K26" s="343">
        <v>14177</v>
      </c>
      <c r="L26" s="343">
        <v>38218</v>
      </c>
      <c r="M26" s="343">
        <v>42347</v>
      </c>
      <c r="N26" s="343">
        <v>70721</v>
      </c>
      <c r="O26" s="343">
        <v>82037</v>
      </c>
      <c r="P26" s="343">
        <v>125938</v>
      </c>
      <c r="Q26" s="343">
        <v>146089</v>
      </c>
      <c r="R26" s="343">
        <v>137919</v>
      </c>
      <c r="S26" s="343">
        <v>159986</v>
      </c>
      <c r="T26" s="343">
        <v>249235</v>
      </c>
      <c r="U26" s="343">
        <v>289113</v>
      </c>
      <c r="V26" s="343">
        <v>114581</v>
      </c>
      <c r="W26" s="343">
        <v>132914</v>
      </c>
      <c r="X26" s="343">
        <v>190093</v>
      </c>
      <c r="Y26" s="343">
        <v>220507</v>
      </c>
      <c r="Z26" s="343">
        <v>210491</v>
      </c>
      <c r="AA26" s="343">
        <v>244170</v>
      </c>
      <c r="AB26" s="343">
        <v>374613</v>
      </c>
      <c r="AC26" s="343">
        <v>434551</v>
      </c>
      <c r="AD26" s="25">
        <v>1000</v>
      </c>
      <c r="AE26" s="25" t="s">
        <v>712</v>
      </c>
      <c r="AF26" s="25" t="s">
        <v>712</v>
      </c>
      <c r="AH26" s="352" t="str">
        <f>List!H25</f>
        <v>ไดมอนด์ ประเทศไทย</v>
      </c>
      <c r="AI26" s="352">
        <v>14</v>
      </c>
      <c r="AJ26" s="352">
        <v>15</v>
      </c>
      <c r="AR26" s="345">
        <f t="shared" si="6"/>
        <v>65</v>
      </c>
      <c r="AS26" s="341" t="e">
        <f t="shared" si="0"/>
        <v>#REF!</v>
      </c>
      <c r="AT26" s="341" t="e">
        <f t="shared" si="1"/>
        <v>#REF!</v>
      </c>
      <c r="AU26" s="341" t="e">
        <f t="shared" si="2"/>
        <v>#REF!</v>
      </c>
      <c r="AW26" s="341" t="e">
        <f t="shared" si="3"/>
        <v>#REF!</v>
      </c>
      <c r="AX26" s="341" t="e">
        <f t="shared" si="3"/>
        <v>#REF!</v>
      </c>
      <c r="AY26" s="341" t="e">
        <f t="shared" si="3"/>
        <v>#REF!</v>
      </c>
      <c r="AZ26" s="341" t="e">
        <f t="shared" si="4"/>
        <v>#REF!</v>
      </c>
      <c r="BA26" s="342" t="e">
        <f t="shared" si="5"/>
        <v>#REF!</v>
      </c>
    </row>
    <row r="27" spans="1:53" ht="21.5">
      <c r="A27" s="332">
        <v>22</v>
      </c>
      <c r="B27" s="343">
        <v>8553</v>
      </c>
      <c r="C27" s="343">
        <v>10226</v>
      </c>
      <c r="D27" s="343">
        <v>11859</v>
      </c>
      <c r="E27" s="343">
        <v>14177</v>
      </c>
      <c r="F27" s="343">
        <v>8553</v>
      </c>
      <c r="G27" s="343">
        <v>10226</v>
      </c>
      <c r="H27" s="353">
        <v>10202</v>
      </c>
      <c r="I27" s="353">
        <v>12196</v>
      </c>
      <c r="J27" s="343">
        <v>11859</v>
      </c>
      <c r="K27" s="343">
        <v>14177</v>
      </c>
      <c r="L27" s="343">
        <v>38218</v>
      </c>
      <c r="M27" s="343">
        <v>42347</v>
      </c>
      <c r="N27" s="343">
        <v>70721</v>
      </c>
      <c r="O27" s="343">
        <v>82037</v>
      </c>
      <c r="P27" s="343">
        <v>125938</v>
      </c>
      <c r="Q27" s="343">
        <v>146089</v>
      </c>
      <c r="R27" s="343">
        <v>137919</v>
      </c>
      <c r="S27" s="343">
        <v>159986</v>
      </c>
      <c r="T27" s="343">
        <v>249235</v>
      </c>
      <c r="U27" s="343">
        <v>289113</v>
      </c>
      <c r="V27" s="343">
        <v>114581</v>
      </c>
      <c r="W27" s="343">
        <v>132914</v>
      </c>
      <c r="X27" s="343">
        <v>190093</v>
      </c>
      <c r="Y27" s="343">
        <v>220507</v>
      </c>
      <c r="Z27" s="343">
        <v>210491</v>
      </c>
      <c r="AA27" s="343">
        <v>244170</v>
      </c>
      <c r="AB27" s="343">
        <v>374613</v>
      </c>
      <c r="AC27" s="343">
        <v>434551</v>
      </c>
      <c r="AD27" s="25">
        <v>1000</v>
      </c>
      <c r="AE27" s="25" t="s">
        <v>712</v>
      </c>
      <c r="AF27" s="25" t="s">
        <v>712</v>
      </c>
      <c r="AH27" s="352" t="str">
        <f>List!H26</f>
        <v>ไดมอนด์ เอเชีย</v>
      </c>
      <c r="AI27" s="352">
        <v>16</v>
      </c>
      <c r="AJ27" s="352">
        <v>17</v>
      </c>
      <c r="AR27" s="345">
        <f t="shared" si="6"/>
        <v>66</v>
      </c>
      <c r="AS27" s="341" t="e">
        <f t="shared" si="0"/>
        <v>#REF!</v>
      </c>
      <c r="AT27" s="341" t="e">
        <f t="shared" si="1"/>
        <v>#REF!</v>
      </c>
      <c r="AU27" s="341" t="e">
        <f t="shared" si="2"/>
        <v>#REF!</v>
      </c>
      <c r="AW27" s="341" t="e">
        <f t="shared" si="3"/>
        <v>#REF!</v>
      </c>
      <c r="AX27" s="341" t="e">
        <f t="shared" si="3"/>
        <v>#REF!</v>
      </c>
      <c r="AY27" s="341" t="e">
        <f t="shared" si="3"/>
        <v>#REF!</v>
      </c>
      <c r="AZ27" s="341" t="e">
        <f t="shared" si="4"/>
        <v>#REF!</v>
      </c>
      <c r="BA27" s="342" t="e">
        <f t="shared" si="5"/>
        <v>#REF!</v>
      </c>
    </row>
    <row r="28" spans="1:53" ht="21.5">
      <c r="A28" s="332">
        <v>23</v>
      </c>
      <c r="B28" s="343">
        <v>8553</v>
      </c>
      <c r="C28" s="343">
        <v>10226</v>
      </c>
      <c r="D28" s="343">
        <v>11859</v>
      </c>
      <c r="E28" s="343">
        <v>14177</v>
      </c>
      <c r="F28" s="343">
        <v>8553</v>
      </c>
      <c r="G28" s="343">
        <v>10226</v>
      </c>
      <c r="H28" s="353">
        <v>10202</v>
      </c>
      <c r="I28" s="353">
        <v>12196</v>
      </c>
      <c r="J28" s="343">
        <v>11859</v>
      </c>
      <c r="K28" s="343">
        <v>14177</v>
      </c>
      <c r="L28" s="343">
        <v>38218</v>
      </c>
      <c r="M28" s="343">
        <v>42347</v>
      </c>
      <c r="N28" s="343">
        <v>70721</v>
      </c>
      <c r="O28" s="343">
        <v>82037</v>
      </c>
      <c r="P28" s="343">
        <v>125938</v>
      </c>
      <c r="Q28" s="343">
        <v>146089</v>
      </c>
      <c r="R28" s="343">
        <v>137919</v>
      </c>
      <c r="S28" s="343">
        <v>159986</v>
      </c>
      <c r="T28" s="343">
        <v>249235</v>
      </c>
      <c r="U28" s="343">
        <v>289113</v>
      </c>
      <c r="V28" s="343">
        <v>114581</v>
      </c>
      <c r="W28" s="343">
        <v>132914</v>
      </c>
      <c r="X28" s="343">
        <v>190093</v>
      </c>
      <c r="Y28" s="343">
        <v>220507</v>
      </c>
      <c r="Z28" s="343">
        <v>210491</v>
      </c>
      <c r="AA28" s="343">
        <v>244170</v>
      </c>
      <c r="AB28" s="343">
        <v>374613</v>
      </c>
      <c r="AC28" s="343">
        <v>434551</v>
      </c>
      <c r="AD28" s="25">
        <v>1000</v>
      </c>
      <c r="AE28" s="25" t="s">
        <v>712</v>
      </c>
      <c r="AF28" s="25" t="s">
        <v>712</v>
      </c>
      <c r="AH28" s="352" t="str">
        <f>List!H27</f>
        <v>ไดมอนด์ ทั่วโลกยกเว้นสหรัฐอเมริกา</v>
      </c>
      <c r="AI28" s="352">
        <v>18</v>
      </c>
      <c r="AJ28" s="352">
        <v>19</v>
      </c>
      <c r="AR28" s="345">
        <f t="shared" si="6"/>
        <v>67</v>
      </c>
      <c r="AS28" s="341" t="e">
        <f t="shared" si="0"/>
        <v>#REF!</v>
      </c>
      <c r="AT28" s="341" t="e">
        <f t="shared" si="1"/>
        <v>#REF!</v>
      </c>
      <c r="AU28" s="341" t="e">
        <f t="shared" si="2"/>
        <v>#REF!</v>
      </c>
      <c r="AW28" s="341" t="e">
        <f t="shared" si="3"/>
        <v>#REF!</v>
      </c>
      <c r="AX28" s="341" t="e">
        <f t="shared" si="3"/>
        <v>#REF!</v>
      </c>
      <c r="AY28" s="341" t="e">
        <f t="shared" si="3"/>
        <v>#REF!</v>
      </c>
      <c r="AZ28" s="341" t="e">
        <f t="shared" si="4"/>
        <v>#REF!</v>
      </c>
      <c r="BA28" s="342" t="e">
        <f t="shared" si="5"/>
        <v>#REF!</v>
      </c>
    </row>
    <row r="29" spans="1:53" ht="21.5">
      <c r="A29" s="332">
        <v>24</v>
      </c>
      <c r="B29" s="343">
        <v>8553</v>
      </c>
      <c r="C29" s="343">
        <v>10226</v>
      </c>
      <c r="D29" s="343">
        <v>11859</v>
      </c>
      <c r="E29" s="343">
        <v>14177</v>
      </c>
      <c r="F29" s="343">
        <v>8553</v>
      </c>
      <c r="G29" s="343">
        <v>10226</v>
      </c>
      <c r="H29" s="353">
        <v>10202</v>
      </c>
      <c r="I29" s="353">
        <v>12196</v>
      </c>
      <c r="J29" s="343">
        <v>11859</v>
      </c>
      <c r="K29" s="343">
        <v>14177</v>
      </c>
      <c r="L29" s="343">
        <v>38218</v>
      </c>
      <c r="M29" s="343">
        <v>42347</v>
      </c>
      <c r="N29" s="343">
        <v>70721</v>
      </c>
      <c r="O29" s="343">
        <v>82037</v>
      </c>
      <c r="P29" s="343">
        <v>125938</v>
      </c>
      <c r="Q29" s="343">
        <v>146089</v>
      </c>
      <c r="R29" s="343">
        <v>137919</v>
      </c>
      <c r="S29" s="343">
        <v>159986</v>
      </c>
      <c r="T29" s="343">
        <v>249235</v>
      </c>
      <c r="U29" s="343">
        <v>289113</v>
      </c>
      <c r="V29" s="343">
        <v>114581</v>
      </c>
      <c r="W29" s="343">
        <v>132914</v>
      </c>
      <c r="X29" s="343">
        <v>190093</v>
      </c>
      <c r="Y29" s="343">
        <v>220507</v>
      </c>
      <c r="Z29" s="343">
        <v>210491</v>
      </c>
      <c r="AA29" s="343">
        <v>244170</v>
      </c>
      <c r="AB29" s="343">
        <v>374613</v>
      </c>
      <c r="AC29" s="343">
        <v>434551</v>
      </c>
      <c r="AD29" s="25">
        <v>1000</v>
      </c>
      <c r="AE29" s="25" t="s">
        <v>712</v>
      </c>
      <c r="AF29" s="25" t="s">
        <v>712</v>
      </c>
      <c r="AH29" s="352" t="str">
        <f>List!H28</f>
        <v>ไดมอนด์ ทั่วโลก</v>
      </c>
      <c r="AI29" s="352">
        <v>20</v>
      </c>
      <c r="AJ29" s="352">
        <v>21</v>
      </c>
      <c r="AR29" s="345">
        <f t="shared" si="6"/>
        <v>68</v>
      </c>
      <c r="AS29" s="341" t="e">
        <f t="shared" si="0"/>
        <v>#REF!</v>
      </c>
      <c r="AT29" s="341" t="e">
        <f t="shared" si="1"/>
        <v>#REF!</v>
      </c>
      <c r="AU29" s="341" t="e">
        <f t="shared" si="2"/>
        <v>#REF!</v>
      </c>
      <c r="AW29" s="341" t="e">
        <f t="shared" si="3"/>
        <v>#REF!</v>
      </c>
      <c r="AX29" s="341" t="e">
        <f t="shared" si="3"/>
        <v>#REF!</v>
      </c>
      <c r="AY29" s="341" t="e">
        <f t="shared" si="3"/>
        <v>#REF!</v>
      </c>
      <c r="AZ29" s="341" t="e">
        <f t="shared" si="4"/>
        <v>#REF!</v>
      </c>
      <c r="BA29" s="342" t="e">
        <f t="shared" si="5"/>
        <v>#REF!</v>
      </c>
    </row>
    <row r="30" spans="1:53" ht="21.5">
      <c r="A30" s="332">
        <v>25</v>
      </c>
      <c r="B30" s="343">
        <v>8553</v>
      </c>
      <c r="C30" s="343">
        <v>10226</v>
      </c>
      <c r="D30" s="343">
        <v>11859</v>
      </c>
      <c r="E30" s="343">
        <v>14177</v>
      </c>
      <c r="F30" s="343">
        <v>8553</v>
      </c>
      <c r="G30" s="343">
        <v>10226</v>
      </c>
      <c r="H30" s="353">
        <v>10202</v>
      </c>
      <c r="I30" s="353">
        <v>12196</v>
      </c>
      <c r="J30" s="343">
        <v>11859</v>
      </c>
      <c r="K30" s="343">
        <v>14177</v>
      </c>
      <c r="L30" s="343">
        <v>38218</v>
      </c>
      <c r="M30" s="343">
        <v>42347</v>
      </c>
      <c r="N30" s="343">
        <v>70721</v>
      </c>
      <c r="O30" s="343">
        <v>82037</v>
      </c>
      <c r="P30" s="343">
        <v>125938</v>
      </c>
      <c r="Q30" s="343">
        <v>146089</v>
      </c>
      <c r="R30" s="343">
        <v>137919</v>
      </c>
      <c r="S30" s="343">
        <v>159986</v>
      </c>
      <c r="T30" s="343">
        <v>249235</v>
      </c>
      <c r="U30" s="343">
        <v>289113</v>
      </c>
      <c r="V30" s="343">
        <v>114581</v>
      </c>
      <c r="W30" s="343">
        <v>132914</v>
      </c>
      <c r="X30" s="343">
        <v>190093</v>
      </c>
      <c r="Y30" s="343">
        <v>220507</v>
      </c>
      <c r="Z30" s="343">
        <v>210491</v>
      </c>
      <c r="AA30" s="343">
        <v>244170</v>
      </c>
      <c r="AB30" s="343">
        <v>374613</v>
      </c>
      <c r="AC30" s="343">
        <v>434551</v>
      </c>
      <c r="AD30" s="25">
        <v>1000</v>
      </c>
      <c r="AE30" s="25" t="s">
        <v>712</v>
      </c>
      <c r="AF30" s="25" t="s">
        <v>712</v>
      </c>
      <c r="AH30" s="352" t="str">
        <f>List!H29</f>
        <v>แพลทินั่ม ประเทศไทย</v>
      </c>
      <c r="AI30" s="352">
        <v>22</v>
      </c>
      <c r="AJ30" s="352">
        <v>23</v>
      </c>
      <c r="AR30" s="345">
        <f t="shared" si="6"/>
        <v>69</v>
      </c>
      <c r="AS30" s="341" t="e">
        <f t="shared" si="0"/>
        <v>#REF!</v>
      </c>
      <c r="AT30" s="341" t="e">
        <f t="shared" si="1"/>
        <v>#REF!</v>
      </c>
      <c r="AU30" s="341" t="e">
        <f t="shared" si="2"/>
        <v>#REF!</v>
      </c>
      <c r="AW30" s="341" t="e">
        <f t="shared" si="3"/>
        <v>#REF!</v>
      </c>
      <c r="AX30" s="341" t="e">
        <f t="shared" si="3"/>
        <v>#REF!</v>
      </c>
      <c r="AY30" s="341" t="e">
        <f t="shared" si="3"/>
        <v>#REF!</v>
      </c>
      <c r="AZ30" s="341" t="e">
        <f t="shared" si="4"/>
        <v>#REF!</v>
      </c>
      <c r="BA30" s="342" t="e">
        <f t="shared" si="5"/>
        <v>#REF!</v>
      </c>
    </row>
    <row r="31" spans="1:53" ht="21.5">
      <c r="A31" s="332">
        <v>26</v>
      </c>
      <c r="B31" s="343">
        <v>8716</v>
      </c>
      <c r="C31" s="343">
        <v>10740</v>
      </c>
      <c r="D31" s="343">
        <v>12081</v>
      </c>
      <c r="E31" s="343">
        <v>14887</v>
      </c>
      <c r="F31" s="343">
        <v>8716</v>
      </c>
      <c r="G31" s="343">
        <v>10740</v>
      </c>
      <c r="H31" s="353">
        <v>10395</v>
      </c>
      <c r="I31" s="353">
        <v>12808</v>
      </c>
      <c r="J31" s="343">
        <v>12081</v>
      </c>
      <c r="K31" s="343">
        <v>14887</v>
      </c>
      <c r="L31" s="343">
        <v>38614</v>
      </c>
      <c r="M31" s="343">
        <v>43610</v>
      </c>
      <c r="N31" s="343">
        <v>71600</v>
      </c>
      <c r="O31" s="343">
        <v>86178</v>
      </c>
      <c r="P31" s="343">
        <v>127502</v>
      </c>
      <c r="Q31" s="343">
        <v>153462</v>
      </c>
      <c r="R31" s="343">
        <v>138419</v>
      </c>
      <c r="S31" s="343">
        <v>166601</v>
      </c>
      <c r="T31" s="343">
        <v>251187</v>
      </c>
      <c r="U31" s="343">
        <v>302329</v>
      </c>
      <c r="V31" s="343">
        <v>116004</v>
      </c>
      <c r="W31" s="343">
        <v>139623</v>
      </c>
      <c r="X31" s="343">
        <v>192457</v>
      </c>
      <c r="Y31" s="343">
        <v>231642</v>
      </c>
      <c r="Z31" s="343">
        <v>213128</v>
      </c>
      <c r="AA31" s="343">
        <v>256520</v>
      </c>
      <c r="AB31" s="343">
        <v>379773</v>
      </c>
      <c r="AC31" s="343">
        <v>457094</v>
      </c>
      <c r="AD31" s="25">
        <v>1000</v>
      </c>
      <c r="AE31" s="25" t="s">
        <v>712</v>
      </c>
      <c r="AF31" s="25" t="s">
        <v>712</v>
      </c>
      <c r="AH31" s="352" t="str">
        <f>List!H30</f>
        <v>แพลทินั่ม เอเชีย</v>
      </c>
      <c r="AI31" s="352">
        <v>24</v>
      </c>
      <c r="AJ31" s="352">
        <v>25</v>
      </c>
      <c r="AR31" s="345">
        <f t="shared" si="6"/>
        <v>70</v>
      </c>
      <c r="AS31" s="341" t="e">
        <f t="shared" si="0"/>
        <v>#REF!</v>
      </c>
      <c r="AT31" s="341" t="e">
        <f t="shared" si="1"/>
        <v>#REF!</v>
      </c>
      <c r="AU31" s="341" t="e">
        <f t="shared" si="2"/>
        <v>#REF!</v>
      </c>
      <c r="AW31" s="341" t="e">
        <f t="shared" si="3"/>
        <v>#REF!</v>
      </c>
      <c r="AX31" s="341" t="e">
        <f t="shared" si="3"/>
        <v>#REF!</v>
      </c>
      <c r="AY31" s="341" t="e">
        <f t="shared" si="3"/>
        <v>#REF!</v>
      </c>
      <c r="AZ31" s="341" t="e">
        <f t="shared" si="4"/>
        <v>#REF!</v>
      </c>
      <c r="BA31" s="342" t="e">
        <f t="shared" si="5"/>
        <v>#REF!</v>
      </c>
    </row>
    <row r="32" spans="1:53" ht="21.5">
      <c r="A32" s="332">
        <v>27</v>
      </c>
      <c r="B32" s="343">
        <v>8716</v>
      </c>
      <c r="C32" s="343">
        <v>10740</v>
      </c>
      <c r="D32" s="343">
        <v>12081</v>
      </c>
      <c r="E32" s="343">
        <v>14887</v>
      </c>
      <c r="F32" s="343">
        <v>8716</v>
      </c>
      <c r="G32" s="343">
        <v>10740</v>
      </c>
      <c r="H32" s="353">
        <v>10395</v>
      </c>
      <c r="I32" s="353">
        <v>12808</v>
      </c>
      <c r="J32" s="343">
        <v>12081</v>
      </c>
      <c r="K32" s="343">
        <v>14887</v>
      </c>
      <c r="L32" s="343">
        <v>38614</v>
      </c>
      <c r="M32" s="343">
        <v>43610</v>
      </c>
      <c r="N32" s="343">
        <v>71600</v>
      </c>
      <c r="O32" s="343">
        <v>86178</v>
      </c>
      <c r="P32" s="343">
        <v>127502</v>
      </c>
      <c r="Q32" s="343">
        <v>153462</v>
      </c>
      <c r="R32" s="343">
        <v>138419</v>
      </c>
      <c r="S32" s="343">
        <v>166601</v>
      </c>
      <c r="T32" s="343">
        <v>251187</v>
      </c>
      <c r="U32" s="343">
        <v>302329</v>
      </c>
      <c r="V32" s="343">
        <v>116004</v>
      </c>
      <c r="W32" s="343">
        <v>139623</v>
      </c>
      <c r="X32" s="343">
        <v>192457</v>
      </c>
      <c r="Y32" s="343">
        <v>231642</v>
      </c>
      <c r="Z32" s="343">
        <v>213128</v>
      </c>
      <c r="AA32" s="343">
        <v>256520</v>
      </c>
      <c r="AB32" s="343">
        <v>379773</v>
      </c>
      <c r="AC32" s="343">
        <v>457094</v>
      </c>
      <c r="AD32" s="25">
        <v>1000</v>
      </c>
      <c r="AE32" s="25" t="s">
        <v>712</v>
      </c>
      <c r="AF32" s="25" t="s">
        <v>712</v>
      </c>
      <c r="AH32" s="352" t="str">
        <f>List!H31</f>
        <v>แพลทินั่ม ทั่วโลกยกเว้นสหรัฐอเมริกา</v>
      </c>
      <c r="AI32" s="352">
        <v>26</v>
      </c>
      <c r="AJ32" s="352">
        <v>27</v>
      </c>
      <c r="AR32" s="345">
        <f t="shared" si="6"/>
        <v>71</v>
      </c>
      <c r="AS32" s="341" t="e">
        <f t="shared" si="0"/>
        <v>#REF!</v>
      </c>
      <c r="AT32" s="341" t="e">
        <f t="shared" si="1"/>
        <v>#REF!</v>
      </c>
      <c r="AU32" s="341" t="e">
        <f t="shared" si="2"/>
        <v>#REF!</v>
      </c>
      <c r="AW32" s="341" t="e">
        <f t="shared" si="3"/>
        <v>#REF!</v>
      </c>
      <c r="AX32" s="341" t="e">
        <f t="shared" si="3"/>
        <v>#REF!</v>
      </c>
      <c r="AY32" s="341" t="e">
        <f t="shared" si="3"/>
        <v>#REF!</v>
      </c>
      <c r="AZ32" s="341" t="e">
        <f t="shared" si="4"/>
        <v>#REF!</v>
      </c>
      <c r="BA32" s="342" t="e">
        <f t="shared" si="5"/>
        <v>#REF!</v>
      </c>
    </row>
    <row r="33" spans="1:53" ht="21.5">
      <c r="A33" s="332">
        <v>28</v>
      </c>
      <c r="B33" s="343">
        <v>8716</v>
      </c>
      <c r="C33" s="343">
        <v>10740</v>
      </c>
      <c r="D33" s="343">
        <v>12081</v>
      </c>
      <c r="E33" s="343">
        <v>14887</v>
      </c>
      <c r="F33" s="343">
        <v>8716</v>
      </c>
      <c r="G33" s="343">
        <v>10740</v>
      </c>
      <c r="H33" s="353">
        <v>10395</v>
      </c>
      <c r="I33" s="353">
        <v>12808</v>
      </c>
      <c r="J33" s="343">
        <v>12081</v>
      </c>
      <c r="K33" s="343">
        <v>14887</v>
      </c>
      <c r="L33" s="343">
        <v>38614</v>
      </c>
      <c r="M33" s="343">
        <v>43610</v>
      </c>
      <c r="N33" s="343">
        <v>71600</v>
      </c>
      <c r="O33" s="343">
        <v>86178</v>
      </c>
      <c r="P33" s="343">
        <v>127502</v>
      </c>
      <c r="Q33" s="343">
        <v>153462</v>
      </c>
      <c r="R33" s="343">
        <v>138419</v>
      </c>
      <c r="S33" s="343">
        <v>166601</v>
      </c>
      <c r="T33" s="343">
        <v>251187</v>
      </c>
      <c r="U33" s="343">
        <v>302329</v>
      </c>
      <c r="V33" s="343">
        <v>116004</v>
      </c>
      <c r="W33" s="343">
        <v>139623</v>
      </c>
      <c r="X33" s="343">
        <v>192457</v>
      </c>
      <c r="Y33" s="343">
        <v>231642</v>
      </c>
      <c r="Z33" s="343">
        <v>213128</v>
      </c>
      <c r="AA33" s="343">
        <v>256520</v>
      </c>
      <c r="AB33" s="343">
        <v>379773</v>
      </c>
      <c r="AC33" s="343">
        <v>457094</v>
      </c>
      <c r="AD33" s="25">
        <v>1000</v>
      </c>
      <c r="AE33" s="25" t="s">
        <v>712</v>
      </c>
      <c r="AF33" s="25" t="s">
        <v>712</v>
      </c>
      <c r="AH33" s="352" t="str">
        <f>List!H32</f>
        <v>แพลทินั่ม ทั่วโลก</v>
      </c>
      <c r="AI33" s="352">
        <v>28</v>
      </c>
      <c r="AJ33" s="352">
        <v>29</v>
      </c>
      <c r="AR33" s="345">
        <f t="shared" si="6"/>
        <v>72</v>
      </c>
      <c r="AS33" s="341" t="e">
        <f t="shared" si="0"/>
        <v>#REF!</v>
      </c>
      <c r="AT33" s="341" t="e">
        <f t="shared" si="1"/>
        <v>#REF!</v>
      </c>
      <c r="AU33" s="341" t="e">
        <f t="shared" si="2"/>
        <v>#REF!</v>
      </c>
      <c r="AW33" s="341" t="e">
        <f t="shared" si="3"/>
        <v>#REF!</v>
      </c>
      <c r="AX33" s="341" t="e">
        <f t="shared" si="3"/>
        <v>#REF!</v>
      </c>
      <c r="AY33" s="341" t="e">
        <f t="shared" si="3"/>
        <v>#REF!</v>
      </c>
      <c r="AZ33" s="341" t="e">
        <f t="shared" si="4"/>
        <v>#REF!</v>
      </c>
      <c r="BA33" s="342" t="e">
        <f t="shared" si="5"/>
        <v>#REF!</v>
      </c>
    </row>
    <row r="34" spans="1:53" ht="21.5">
      <c r="A34" s="332">
        <v>29</v>
      </c>
      <c r="B34" s="343">
        <v>8716</v>
      </c>
      <c r="C34" s="343">
        <v>10740</v>
      </c>
      <c r="D34" s="343">
        <v>12081</v>
      </c>
      <c r="E34" s="343">
        <v>14887</v>
      </c>
      <c r="F34" s="343">
        <v>8716</v>
      </c>
      <c r="G34" s="343">
        <v>10740</v>
      </c>
      <c r="H34" s="353">
        <v>10395</v>
      </c>
      <c r="I34" s="353">
        <v>12808</v>
      </c>
      <c r="J34" s="343">
        <v>12081</v>
      </c>
      <c r="K34" s="343">
        <v>14887</v>
      </c>
      <c r="L34" s="343">
        <v>38614</v>
      </c>
      <c r="M34" s="343">
        <v>43610</v>
      </c>
      <c r="N34" s="343">
        <v>71600</v>
      </c>
      <c r="O34" s="343">
        <v>86178</v>
      </c>
      <c r="P34" s="343">
        <v>127502</v>
      </c>
      <c r="Q34" s="343">
        <v>153462</v>
      </c>
      <c r="R34" s="343">
        <v>138419</v>
      </c>
      <c r="S34" s="343">
        <v>166601</v>
      </c>
      <c r="T34" s="343">
        <v>251187</v>
      </c>
      <c r="U34" s="343">
        <v>302329</v>
      </c>
      <c r="V34" s="343">
        <v>116004</v>
      </c>
      <c r="W34" s="343">
        <v>139623</v>
      </c>
      <c r="X34" s="343">
        <v>192457</v>
      </c>
      <c r="Y34" s="343">
        <v>231642</v>
      </c>
      <c r="Z34" s="343">
        <v>213128</v>
      </c>
      <c r="AA34" s="343">
        <v>256520</v>
      </c>
      <c r="AB34" s="343">
        <v>379773</v>
      </c>
      <c r="AC34" s="343">
        <v>457094</v>
      </c>
      <c r="AD34" s="25">
        <v>1000</v>
      </c>
      <c r="AE34" s="25" t="s">
        <v>712</v>
      </c>
      <c r="AF34" s="25" t="s">
        <v>712</v>
      </c>
      <c r="AR34" s="345">
        <f t="shared" si="6"/>
        <v>73</v>
      </c>
      <c r="AS34" s="341" t="e">
        <f t="shared" si="0"/>
        <v>#REF!</v>
      </c>
      <c r="AT34" s="341" t="e">
        <f t="shared" si="1"/>
        <v>#REF!</v>
      </c>
      <c r="AU34" s="341" t="e">
        <f t="shared" si="2"/>
        <v>#REF!</v>
      </c>
      <c r="AW34" s="341" t="e">
        <f t="shared" si="3"/>
        <v>#REF!</v>
      </c>
      <c r="AX34" s="341" t="e">
        <f t="shared" si="3"/>
        <v>#REF!</v>
      </c>
      <c r="AY34" s="341" t="e">
        <f t="shared" si="3"/>
        <v>#REF!</v>
      </c>
      <c r="AZ34" s="341" t="e">
        <f t="shared" si="4"/>
        <v>#REF!</v>
      </c>
      <c r="BA34" s="342" t="e">
        <f t="shared" si="5"/>
        <v>#REF!</v>
      </c>
    </row>
    <row r="35" spans="1:53" ht="21.5">
      <c r="A35" s="332">
        <v>30</v>
      </c>
      <c r="B35" s="343">
        <v>8716</v>
      </c>
      <c r="C35" s="343">
        <v>10740</v>
      </c>
      <c r="D35" s="343">
        <v>12081</v>
      </c>
      <c r="E35" s="343">
        <v>14887</v>
      </c>
      <c r="F35" s="343">
        <v>8716</v>
      </c>
      <c r="G35" s="343">
        <v>10740</v>
      </c>
      <c r="H35" s="353">
        <v>10395</v>
      </c>
      <c r="I35" s="353">
        <v>12808</v>
      </c>
      <c r="J35" s="343">
        <v>12081</v>
      </c>
      <c r="K35" s="343">
        <v>14887</v>
      </c>
      <c r="L35" s="343">
        <v>38614</v>
      </c>
      <c r="M35" s="343">
        <v>43610</v>
      </c>
      <c r="N35" s="343">
        <v>71600</v>
      </c>
      <c r="O35" s="343">
        <v>86178</v>
      </c>
      <c r="P35" s="343">
        <v>127502</v>
      </c>
      <c r="Q35" s="343">
        <v>153462</v>
      </c>
      <c r="R35" s="343">
        <v>138419</v>
      </c>
      <c r="S35" s="343">
        <v>166601</v>
      </c>
      <c r="T35" s="343">
        <v>251187</v>
      </c>
      <c r="U35" s="343">
        <v>302329</v>
      </c>
      <c r="V35" s="343">
        <v>116004</v>
      </c>
      <c r="W35" s="343">
        <v>139623</v>
      </c>
      <c r="X35" s="343">
        <v>192457</v>
      </c>
      <c r="Y35" s="343">
        <v>231642</v>
      </c>
      <c r="Z35" s="343">
        <v>213128</v>
      </c>
      <c r="AA35" s="343">
        <v>256520</v>
      </c>
      <c r="AB35" s="343">
        <v>379773</v>
      </c>
      <c r="AC35" s="343">
        <v>457094</v>
      </c>
      <c r="AD35" s="25">
        <v>1000</v>
      </c>
      <c r="AE35" s="25" t="s">
        <v>712</v>
      </c>
      <c r="AF35" s="25" t="s">
        <v>712</v>
      </c>
      <c r="AR35" s="345">
        <f t="shared" si="6"/>
        <v>74</v>
      </c>
      <c r="AS35" s="341" t="e">
        <f t="shared" si="0"/>
        <v>#REF!</v>
      </c>
      <c r="AT35" s="341" t="e">
        <f t="shared" si="1"/>
        <v>#REF!</v>
      </c>
      <c r="AU35" s="341" t="e">
        <f t="shared" si="2"/>
        <v>#REF!</v>
      </c>
      <c r="AW35" s="341" t="e">
        <f t="shared" si="3"/>
        <v>#REF!</v>
      </c>
      <c r="AX35" s="341" t="e">
        <f t="shared" si="3"/>
        <v>#REF!</v>
      </c>
      <c r="AY35" s="341" t="e">
        <f t="shared" si="3"/>
        <v>#REF!</v>
      </c>
      <c r="AZ35" s="341" t="e">
        <f t="shared" si="4"/>
        <v>#REF!</v>
      </c>
      <c r="BA35" s="342" t="e">
        <f t="shared" si="5"/>
        <v>#REF!</v>
      </c>
    </row>
    <row r="36" spans="1:53" ht="21.5">
      <c r="A36" s="332">
        <v>31</v>
      </c>
      <c r="B36" s="343">
        <v>8748</v>
      </c>
      <c r="C36" s="343">
        <v>11110</v>
      </c>
      <c r="D36" s="343">
        <v>12132</v>
      </c>
      <c r="E36" s="343">
        <v>15408</v>
      </c>
      <c r="F36" s="343">
        <v>8748</v>
      </c>
      <c r="G36" s="343">
        <v>11110</v>
      </c>
      <c r="H36" s="353">
        <v>10440</v>
      </c>
      <c r="I36" s="353">
        <v>13259</v>
      </c>
      <c r="J36" s="343">
        <v>12132</v>
      </c>
      <c r="K36" s="343">
        <v>15408</v>
      </c>
      <c r="L36" s="343">
        <v>38705</v>
      </c>
      <c r="M36" s="343">
        <v>44538</v>
      </c>
      <c r="N36" s="343">
        <v>72025</v>
      </c>
      <c r="O36" s="343">
        <v>89176</v>
      </c>
      <c r="P36" s="343">
        <v>128259</v>
      </c>
      <c r="Q36" s="343">
        <v>158802</v>
      </c>
      <c r="R36" s="343">
        <v>138763</v>
      </c>
      <c r="S36" s="343">
        <v>171807</v>
      </c>
      <c r="T36" s="343">
        <v>250767</v>
      </c>
      <c r="U36" s="343">
        <v>310483</v>
      </c>
      <c r="V36" s="343">
        <v>116693</v>
      </c>
      <c r="W36" s="343">
        <v>144481</v>
      </c>
      <c r="X36" s="343">
        <v>193596</v>
      </c>
      <c r="Y36" s="343">
        <v>239698</v>
      </c>
      <c r="Z36" s="343">
        <v>214373</v>
      </c>
      <c r="AA36" s="343">
        <v>265423</v>
      </c>
      <c r="AB36" s="343">
        <v>381212</v>
      </c>
      <c r="AC36" s="343">
        <v>471992</v>
      </c>
      <c r="AD36" s="25">
        <v>1000</v>
      </c>
      <c r="AE36" s="25" t="s">
        <v>712</v>
      </c>
      <c r="AF36" s="25" t="s">
        <v>712</v>
      </c>
      <c r="AR36" s="345">
        <f t="shared" si="6"/>
        <v>75</v>
      </c>
      <c r="AS36" s="341" t="e">
        <f t="shared" si="0"/>
        <v>#REF!</v>
      </c>
      <c r="AT36" s="341" t="e">
        <f t="shared" si="1"/>
        <v>#REF!</v>
      </c>
      <c r="AU36" s="341" t="e">
        <f t="shared" si="2"/>
        <v>#REF!</v>
      </c>
      <c r="AW36" s="341" t="e">
        <f t="shared" si="3"/>
        <v>#REF!</v>
      </c>
      <c r="AX36" s="341" t="e">
        <f t="shared" si="3"/>
        <v>#REF!</v>
      </c>
      <c r="AY36" s="341" t="e">
        <f t="shared" si="3"/>
        <v>#REF!</v>
      </c>
      <c r="AZ36" s="341" t="e">
        <f t="shared" si="4"/>
        <v>#REF!</v>
      </c>
      <c r="BA36" s="342" t="e">
        <f t="shared" si="5"/>
        <v>#REF!</v>
      </c>
    </row>
    <row r="37" spans="1:53" ht="21.5">
      <c r="A37" s="332">
        <v>32</v>
      </c>
      <c r="B37" s="343">
        <v>8748</v>
      </c>
      <c r="C37" s="343">
        <v>11110</v>
      </c>
      <c r="D37" s="343">
        <v>12132</v>
      </c>
      <c r="E37" s="343">
        <v>15408</v>
      </c>
      <c r="F37" s="343">
        <v>8748</v>
      </c>
      <c r="G37" s="343">
        <v>11110</v>
      </c>
      <c r="H37" s="353">
        <v>10440</v>
      </c>
      <c r="I37" s="353">
        <v>13259</v>
      </c>
      <c r="J37" s="343">
        <v>12132</v>
      </c>
      <c r="K37" s="343">
        <v>15408</v>
      </c>
      <c r="L37" s="343">
        <v>38705</v>
      </c>
      <c r="M37" s="343">
        <v>44538</v>
      </c>
      <c r="N37" s="343">
        <v>72025</v>
      </c>
      <c r="O37" s="343">
        <v>89176</v>
      </c>
      <c r="P37" s="343">
        <v>128259</v>
      </c>
      <c r="Q37" s="343">
        <v>158802</v>
      </c>
      <c r="R37" s="343">
        <v>138763</v>
      </c>
      <c r="S37" s="343">
        <v>171807</v>
      </c>
      <c r="T37" s="343">
        <v>250767</v>
      </c>
      <c r="U37" s="343">
        <v>310483</v>
      </c>
      <c r="V37" s="343">
        <v>116693</v>
      </c>
      <c r="W37" s="343">
        <v>144481</v>
      </c>
      <c r="X37" s="343">
        <v>193596</v>
      </c>
      <c r="Y37" s="343">
        <v>239698</v>
      </c>
      <c r="Z37" s="343">
        <v>214373</v>
      </c>
      <c r="AA37" s="343">
        <v>265423</v>
      </c>
      <c r="AB37" s="343">
        <v>381212</v>
      </c>
      <c r="AC37" s="343">
        <v>471992</v>
      </c>
      <c r="AD37" s="25">
        <v>1000</v>
      </c>
      <c r="AE37" s="25" t="s">
        <v>712</v>
      </c>
      <c r="AF37" s="25" t="s">
        <v>712</v>
      </c>
      <c r="AR37" s="345">
        <f t="shared" si="6"/>
        <v>76</v>
      </c>
      <c r="AS37" s="341" t="e">
        <f t="shared" si="0"/>
        <v>#REF!</v>
      </c>
      <c r="AT37" s="341" t="e">
        <f t="shared" si="1"/>
        <v>#REF!</v>
      </c>
      <c r="AU37" s="341" t="e">
        <f t="shared" si="2"/>
        <v>#REF!</v>
      </c>
      <c r="AW37" s="341" t="e">
        <f t="shared" si="3"/>
        <v>#REF!</v>
      </c>
      <c r="AX37" s="341" t="e">
        <f t="shared" si="3"/>
        <v>#REF!</v>
      </c>
      <c r="AY37" s="341" t="e">
        <f t="shared" si="3"/>
        <v>#REF!</v>
      </c>
      <c r="AZ37" s="341" t="e">
        <f t="shared" si="4"/>
        <v>#REF!</v>
      </c>
      <c r="BA37" s="342" t="e">
        <f t="shared" si="5"/>
        <v>#REF!</v>
      </c>
    </row>
    <row r="38" spans="1:53" ht="21.5">
      <c r="A38" s="332">
        <v>33</v>
      </c>
      <c r="B38" s="343">
        <v>8748</v>
      </c>
      <c r="C38" s="343">
        <v>11110</v>
      </c>
      <c r="D38" s="343">
        <v>12132</v>
      </c>
      <c r="E38" s="343">
        <v>15408</v>
      </c>
      <c r="F38" s="343">
        <v>8748</v>
      </c>
      <c r="G38" s="343">
        <v>11110</v>
      </c>
      <c r="H38" s="353">
        <v>10440</v>
      </c>
      <c r="I38" s="353">
        <v>13259</v>
      </c>
      <c r="J38" s="343">
        <v>12132</v>
      </c>
      <c r="K38" s="343">
        <v>15408</v>
      </c>
      <c r="L38" s="343">
        <v>38705</v>
      </c>
      <c r="M38" s="343">
        <v>44538</v>
      </c>
      <c r="N38" s="343">
        <v>72025</v>
      </c>
      <c r="O38" s="343">
        <v>89176</v>
      </c>
      <c r="P38" s="343">
        <v>128259</v>
      </c>
      <c r="Q38" s="343">
        <v>158802</v>
      </c>
      <c r="R38" s="343">
        <v>138763</v>
      </c>
      <c r="S38" s="343">
        <v>171807</v>
      </c>
      <c r="T38" s="343">
        <v>250767</v>
      </c>
      <c r="U38" s="343">
        <v>310483</v>
      </c>
      <c r="V38" s="343">
        <v>116693</v>
      </c>
      <c r="W38" s="343">
        <v>144481</v>
      </c>
      <c r="X38" s="343">
        <v>193596</v>
      </c>
      <c r="Y38" s="343">
        <v>239698</v>
      </c>
      <c r="Z38" s="343">
        <v>214373</v>
      </c>
      <c r="AA38" s="343">
        <v>265423</v>
      </c>
      <c r="AB38" s="343">
        <v>381212</v>
      </c>
      <c r="AC38" s="343">
        <v>471992</v>
      </c>
      <c r="AD38" s="25">
        <v>1000</v>
      </c>
      <c r="AE38" s="25" t="s">
        <v>712</v>
      </c>
      <c r="AF38" s="25" t="s">
        <v>712</v>
      </c>
      <c r="AR38" s="345">
        <f t="shared" si="6"/>
        <v>77</v>
      </c>
      <c r="AS38" s="341" t="e">
        <f t="shared" si="0"/>
        <v>#REF!</v>
      </c>
      <c r="AT38" s="341" t="e">
        <f t="shared" si="1"/>
        <v>#REF!</v>
      </c>
      <c r="AU38" s="341" t="e">
        <f t="shared" si="2"/>
        <v>#REF!</v>
      </c>
      <c r="AW38" s="341" t="e">
        <f t="shared" si="3"/>
        <v>#REF!</v>
      </c>
      <c r="AX38" s="341" t="e">
        <f t="shared" si="3"/>
        <v>#REF!</v>
      </c>
      <c r="AY38" s="341" t="e">
        <f t="shared" si="3"/>
        <v>#REF!</v>
      </c>
      <c r="AZ38" s="341" t="e">
        <f t="shared" si="4"/>
        <v>#REF!</v>
      </c>
      <c r="BA38" s="342" t="e">
        <f t="shared" si="5"/>
        <v>#REF!</v>
      </c>
    </row>
    <row r="39" spans="1:53" ht="21.5">
      <c r="A39" s="332">
        <v>34</v>
      </c>
      <c r="B39" s="343">
        <v>8748</v>
      </c>
      <c r="C39" s="343">
        <v>11110</v>
      </c>
      <c r="D39" s="343">
        <v>12132</v>
      </c>
      <c r="E39" s="343">
        <v>15408</v>
      </c>
      <c r="F39" s="343">
        <v>8748</v>
      </c>
      <c r="G39" s="343">
        <v>11110</v>
      </c>
      <c r="H39" s="353">
        <v>10440</v>
      </c>
      <c r="I39" s="353">
        <v>13259</v>
      </c>
      <c r="J39" s="343">
        <v>12132</v>
      </c>
      <c r="K39" s="343">
        <v>15408</v>
      </c>
      <c r="L39" s="343">
        <v>38705</v>
      </c>
      <c r="M39" s="343">
        <v>44538</v>
      </c>
      <c r="N39" s="343">
        <v>72025</v>
      </c>
      <c r="O39" s="343">
        <v>89176</v>
      </c>
      <c r="P39" s="343">
        <v>128259</v>
      </c>
      <c r="Q39" s="343">
        <v>158802</v>
      </c>
      <c r="R39" s="343">
        <v>138763</v>
      </c>
      <c r="S39" s="343">
        <v>171807</v>
      </c>
      <c r="T39" s="343">
        <v>250767</v>
      </c>
      <c r="U39" s="343">
        <v>310483</v>
      </c>
      <c r="V39" s="343">
        <v>116693</v>
      </c>
      <c r="W39" s="343">
        <v>144481</v>
      </c>
      <c r="X39" s="343">
        <v>193596</v>
      </c>
      <c r="Y39" s="343">
        <v>239698</v>
      </c>
      <c r="Z39" s="343">
        <v>214373</v>
      </c>
      <c r="AA39" s="343">
        <v>265423</v>
      </c>
      <c r="AB39" s="343">
        <v>381212</v>
      </c>
      <c r="AC39" s="343">
        <v>471992</v>
      </c>
      <c r="AD39" s="25">
        <v>1000</v>
      </c>
      <c r="AE39" s="25" t="s">
        <v>712</v>
      </c>
      <c r="AF39" s="25" t="s">
        <v>712</v>
      </c>
      <c r="AR39" s="345">
        <f t="shared" si="6"/>
        <v>78</v>
      </c>
      <c r="AS39" s="341" t="e">
        <f t="shared" si="0"/>
        <v>#REF!</v>
      </c>
      <c r="AT39" s="341" t="e">
        <f t="shared" si="1"/>
        <v>#REF!</v>
      </c>
      <c r="AU39" s="341" t="e">
        <f t="shared" si="2"/>
        <v>#REF!</v>
      </c>
      <c r="AW39" s="341" t="e">
        <f t="shared" si="3"/>
        <v>#REF!</v>
      </c>
      <c r="AX39" s="341" t="e">
        <f t="shared" si="3"/>
        <v>#REF!</v>
      </c>
      <c r="AY39" s="341" t="e">
        <f t="shared" si="3"/>
        <v>#REF!</v>
      </c>
      <c r="AZ39" s="341" t="e">
        <f t="shared" si="4"/>
        <v>#REF!</v>
      </c>
      <c r="BA39" s="342" t="e">
        <f t="shared" si="5"/>
        <v>#REF!</v>
      </c>
    </row>
    <row r="40" spans="1:53" ht="21.5">
      <c r="A40" s="332">
        <v>35</v>
      </c>
      <c r="B40" s="343">
        <v>8748</v>
      </c>
      <c r="C40" s="343">
        <v>11110</v>
      </c>
      <c r="D40" s="343">
        <v>12132</v>
      </c>
      <c r="E40" s="343">
        <v>15408</v>
      </c>
      <c r="F40" s="343">
        <v>8748</v>
      </c>
      <c r="G40" s="343">
        <v>11110</v>
      </c>
      <c r="H40" s="353">
        <v>10440</v>
      </c>
      <c r="I40" s="353">
        <v>13259</v>
      </c>
      <c r="J40" s="343">
        <v>12132</v>
      </c>
      <c r="K40" s="343">
        <v>15408</v>
      </c>
      <c r="L40" s="343">
        <v>38705</v>
      </c>
      <c r="M40" s="343">
        <v>44538</v>
      </c>
      <c r="N40" s="343">
        <v>72025</v>
      </c>
      <c r="O40" s="343">
        <v>89176</v>
      </c>
      <c r="P40" s="343">
        <v>128259</v>
      </c>
      <c r="Q40" s="343">
        <v>158802</v>
      </c>
      <c r="R40" s="343">
        <v>138763</v>
      </c>
      <c r="S40" s="343">
        <v>171807</v>
      </c>
      <c r="T40" s="343">
        <v>250767</v>
      </c>
      <c r="U40" s="343">
        <v>310483</v>
      </c>
      <c r="V40" s="343">
        <v>116693</v>
      </c>
      <c r="W40" s="343">
        <v>144481</v>
      </c>
      <c r="X40" s="343">
        <v>193596</v>
      </c>
      <c r="Y40" s="343">
        <v>239698</v>
      </c>
      <c r="Z40" s="343">
        <v>214373</v>
      </c>
      <c r="AA40" s="343">
        <v>265423</v>
      </c>
      <c r="AB40" s="343">
        <v>381212</v>
      </c>
      <c r="AC40" s="343">
        <v>471992</v>
      </c>
      <c r="AD40" s="25">
        <v>1000</v>
      </c>
      <c r="AE40" s="25" t="s">
        <v>712</v>
      </c>
      <c r="AF40" s="25" t="s">
        <v>712</v>
      </c>
      <c r="AR40" s="345">
        <f t="shared" si="6"/>
        <v>79</v>
      </c>
      <c r="AS40" s="341" t="e">
        <f t="shared" si="0"/>
        <v>#REF!</v>
      </c>
      <c r="AT40" s="341" t="e">
        <f t="shared" si="1"/>
        <v>#REF!</v>
      </c>
      <c r="AU40" s="341" t="e">
        <f t="shared" si="2"/>
        <v>#REF!</v>
      </c>
      <c r="AW40" s="341" t="e">
        <f t="shared" si="3"/>
        <v>#REF!</v>
      </c>
      <c r="AX40" s="341" t="e">
        <f t="shared" si="3"/>
        <v>#REF!</v>
      </c>
      <c r="AY40" s="341" t="e">
        <f t="shared" si="3"/>
        <v>#REF!</v>
      </c>
      <c r="AZ40" s="341" t="e">
        <f t="shared" si="4"/>
        <v>#REF!</v>
      </c>
      <c r="BA40" s="342" t="e">
        <f t="shared" si="5"/>
        <v>#REF!</v>
      </c>
    </row>
    <row r="41" spans="1:53" ht="21.5">
      <c r="A41" s="332">
        <v>36</v>
      </c>
      <c r="B41" s="343">
        <v>10201</v>
      </c>
      <c r="C41" s="343">
        <v>13819</v>
      </c>
      <c r="D41" s="343">
        <v>14806</v>
      </c>
      <c r="E41" s="343">
        <v>20387</v>
      </c>
      <c r="F41" s="343">
        <v>10201</v>
      </c>
      <c r="G41" s="343">
        <v>13819</v>
      </c>
      <c r="H41" s="353">
        <v>12727</v>
      </c>
      <c r="I41" s="353">
        <v>17257</v>
      </c>
      <c r="J41" s="343">
        <v>14806</v>
      </c>
      <c r="K41" s="343">
        <v>20387</v>
      </c>
      <c r="L41" s="343">
        <v>43466</v>
      </c>
      <c r="M41" s="343">
        <v>53406</v>
      </c>
      <c r="N41" s="343">
        <v>78854</v>
      </c>
      <c r="O41" s="343">
        <v>102159</v>
      </c>
      <c r="P41" s="343">
        <v>140422</v>
      </c>
      <c r="Q41" s="343">
        <v>181922</v>
      </c>
      <c r="R41" s="343">
        <v>151710</v>
      </c>
      <c r="S41" s="343">
        <v>196545</v>
      </c>
      <c r="T41" s="343">
        <v>272808</v>
      </c>
      <c r="U41" s="343">
        <v>353433</v>
      </c>
      <c r="V41" s="343">
        <v>123010</v>
      </c>
      <c r="W41" s="343">
        <v>156404</v>
      </c>
      <c r="X41" s="343">
        <v>204078</v>
      </c>
      <c r="Y41" s="343">
        <v>259481</v>
      </c>
      <c r="Z41" s="343">
        <v>225965</v>
      </c>
      <c r="AA41" s="343">
        <v>287310</v>
      </c>
      <c r="AB41" s="343">
        <v>403333</v>
      </c>
      <c r="AC41" s="343">
        <v>512828</v>
      </c>
      <c r="AD41" s="25">
        <v>1000</v>
      </c>
      <c r="AE41" s="25" t="s">
        <v>712</v>
      </c>
      <c r="AF41" s="25" t="s">
        <v>712</v>
      </c>
      <c r="AH41" s="354"/>
      <c r="AR41" s="345">
        <f t="shared" si="6"/>
        <v>80</v>
      </c>
      <c r="AS41" s="341" t="e">
        <f t="shared" si="0"/>
        <v>#REF!</v>
      </c>
      <c r="AT41" s="341" t="e">
        <f t="shared" si="1"/>
        <v>#REF!</v>
      </c>
      <c r="AU41" s="341" t="e">
        <f t="shared" si="2"/>
        <v>#REF!</v>
      </c>
      <c r="AW41" s="341" t="e">
        <f t="shared" si="3"/>
        <v>#REF!</v>
      </c>
      <c r="AX41" s="341" t="e">
        <f t="shared" si="3"/>
        <v>#REF!</v>
      </c>
      <c r="AY41" s="341" t="e">
        <f t="shared" si="3"/>
        <v>#REF!</v>
      </c>
      <c r="AZ41" s="341" t="e">
        <f t="shared" si="4"/>
        <v>#REF!</v>
      </c>
      <c r="BA41" s="342" t="e">
        <f t="shared" si="5"/>
        <v>#REF!</v>
      </c>
    </row>
    <row r="42" spans="1:53" ht="21.5">
      <c r="A42" s="332">
        <v>37</v>
      </c>
      <c r="B42" s="343">
        <v>10201</v>
      </c>
      <c r="C42" s="343">
        <v>13819</v>
      </c>
      <c r="D42" s="343">
        <v>14806</v>
      </c>
      <c r="E42" s="343">
        <v>20387</v>
      </c>
      <c r="F42" s="343">
        <v>10201</v>
      </c>
      <c r="G42" s="343">
        <v>13819</v>
      </c>
      <c r="H42" s="353">
        <v>12727</v>
      </c>
      <c r="I42" s="353">
        <v>17257</v>
      </c>
      <c r="J42" s="343">
        <v>14806</v>
      </c>
      <c r="K42" s="343">
        <v>20387</v>
      </c>
      <c r="L42" s="343">
        <v>43466</v>
      </c>
      <c r="M42" s="343">
        <v>53406</v>
      </c>
      <c r="N42" s="343">
        <v>78854</v>
      </c>
      <c r="O42" s="343">
        <v>102159</v>
      </c>
      <c r="P42" s="343">
        <v>140422</v>
      </c>
      <c r="Q42" s="343">
        <v>181922</v>
      </c>
      <c r="R42" s="343">
        <v>151710</v>
      </c>
      <c r="S42" s="343">
        <v>196545</v>
      </c>
      <c r="T42" s="343">
        <v>272808</v>
      </c>
      <c r="U42" s="343">
        <v>353433</v>
      </c>
      <c r="V42" s="343">
        <v>123010</v>
      </c>
      <c r="W42" s="343">
        <v>156404</v>
      </c>
      <c r="X42" s="343">
        <v>204078</v>
      </c>
      <c r="Y42" s="343">
        <v>259481</v>
      </c>
      <c r="Z42" s="343">
        <v>225965</v>
      </c>
      <c r="AA42" s="343">
        <v>287310</v>
      </c>
      <c r="AB42" s="343">
        <v>403333</v>
      </c>
      <c r="AC42" s="343">
        <v>512828</v>
      </c>
      <c r="AD42" s="25">
        <v>1000</v>
      </c>
      <c r="AE42" s="25" t="s">
        <v>712</v>
      </c>
      <c r="AF42" s="25" t="s">
        <v>712</v>
      </c>
      <c r="AH42" s="355"/>
      <c r="AR42" s="345">
        <f t="shared" si="6"/>
        <v>81</v>
      </c>
      <c r="AS42" s="341" t="e">
        <f t="shared" si="0"/>
        <v>#REF!</v>
      </c>
      <c r="AT42" s="341" t="e">
        <f t="shared" si="1"/>
        <v>#REF!</v>
      </c>
      <c r="AU42" s="341" t="e">
        <f t="shared" si="2"/>
        <v>#REF!</v>
      </c>
      <c r="AW42" s="341" t="e">
        <f t="shared" si="3"/>
        <v>#REF!</v>
      </c>
      <c r="AX42" s="341" t="e">
        <f t="shared" si="3"/>
        <v>#REF!</v>
      </c>
      <c r="AY42" s="341" t="e">
        <f t="shared" si="3"/>
        <v>#REF!</v>
      </c>
      <c r="AZ42" s="341" t="e">
        <f t="shared" si="4"/>
        <v>#REF!</v>
      </c>
      <c r="BA42" s="342" t="e">
        <f t="shared" si="5"/>
        <v>#REF!</v>
      </c>
    </row>
    <row r="43" spans="1:53" ht="21.5">
      <c r="A43" s="332">
        <v>38</v>
      </c>
      <c r="B43" s="343">
        <v>10201</v>
      </c>
      <c r="C43" s="343">
        <v>13819</v>
      </c>
      <c r="D43" s="343">
        <v>14806</v>
      </c>
      <c r="E43" s="343">
        <v>20387</v>
      </c>
      <c r="F43" s="343">
        <v>10201</v>
      </c>
      <c r="G43" s="343">
        <v>13819</v>
      </c>
      <c r="H43" s="353">
        <v>12727</v>
      </c>
      <c r="I43" s="353">
        <v>17257</v>
      </c>
      <c r="J43" s="343">
        <v>14806</v>
      </c>
      <c r="K43" s="343">
        <v>20387</v>
      </c>
      <c r="L43" s="343">
        <v>43466</v>
      </c>
      <c r="M43" s="343">
        <v>53406</v>
      </c>
      <c r="N43" s="343">
        <v>78854</v>
      </c>
      <c r="O43" s="343">
        <v>102159</v>
      </c>
      <c r="P43" s="343">
        <v>140422</v>
      </c>
      <c r="Q43" s="343">
        <v>181922</v>
      </c>
      <c r="R43" s="343">
        <v>151710</v>
      </c>
      <c r="S43" s="343">
        <v>196545</v>
      </c>
      <c r="T43" s="343">
        <v>272808</v>
      </c>
      <c r="U43" s="343">
        <v>353433</v>
      </c>
      <c r="V43" s="343">
        <v>123010</v>
      </c>
      <c r="W43" s="343">
        <v>156404</v>
      </c>
      <c r="X43" s="343">
        <v>204078</v>
      </c>
      <c r="Y43" s="343">
        <v>259481</v>
      </c>
      <c r="Z43" s="343">
        <v>225965</v>
      </c>
      <c r="AA43" s="343">
        <v>287310</v>
      </c>
      <c r="AB43" s="343">
        <v>403333</v>
      </c>
      <c r="AC43" s="343">
        <v>512828</v>
      </c>
      <c r="AD43" s="25">
        <v>1000</v>
      </c>
      <c r="AE43" s="25" t="s">
        <v>712</v>
      </c>
      <c r="AF43" s="25" t="s">
        <v>712</v>
      </c>
      <c r="AH43" s="355"/>
      <c r="AR43" s="345">
        <f t="shared" si="6"/>
        <v>82</v>
      </c>
      <c r="AS43" s="341" t="e">
        <f t="shared" si="0"/>
        <v>#REF!</v>
      </c>
      <c r="AT43" s="341" t="e">
        <f t="shared" si="1"/>
        <v>#REF!</v>
      </c>
      <c r="AU43" s="341" t="e">
        <f t="shared" si="2"/>
        <v>#REF!</v>
      </c>
      <c r="AW43" s="341" t="e">
        <f t="shared" si="3"/>
        <v>#REF!</v>
      </c>
      <c r="AX43" s="341" t="e">
        <f t="shared" si="3"/>
        <v>#REF!</v>
      </c>
      <c r="AY43" s="341" t="e">
        <f t="shared" si="3"/>
        <v>#REF!</v>
      </c>
      <c r="AZ43" s="341" t="e">
        <f t="shared" si="4"/>
        <v>#REF!</v>
      </c>
      <c r="BA43" s="342" t="e">
        <f t="shared" si="5"/>
        <v>#REF!</v>
      </c>
    </row>
    <row r="44" spans="1:53" ht="21.5">
      <c r="A44" s="332">
        <v>39</v>
      </c>
      <c r="B44" s="343">
        <v>10201</v>
      </c>
      <c r="C44" s="343">
        <v>13819</v>
      </c>
      <c r="D44" s="343">
        <v>14806</v>
      </c>
      <c r="E44" s="343">
        <v>20387</v>
      </c>
      <c r="F44" s="343">
        <v>10201</v>
      </c>
      <c r="G44" s="343">
        <v>13819</v>
      </c>
      <c r="H44" s="353">
        <v>12727</v>
      </c>
      <c r="I44" s="353">
        <v>17257</v>
      </c>
      <c r="J44" s="343">
        <v>14806</v>
      </c>
      <c r="K44" s="343">
        <v>20387</v>
      </c>
      <c r="L44" s="343">
        <v>43466</v>
      </c>
      <c r="M44" s="343">
        <v>53406</v>
      </c>
      <c r="N44" s="343">
        <v>78854</v>
      </c>
      <c r="O44" s="343">
        <v>102159</v>
      </c>
      <c r="P44" s="343">
        <v>140422</v>
      </c>
      <c r="Q44" s="343">
        <v>181922</v>
      </c>
      <c r="R44" s="343">
        <v>151710</v>
      </c>
      <c r="S44" s="343">
        <v>196545</v>
      </c>
      <c r="T44" s="343">
        <v>272808</v>
      </c>
      <c r="U44" s="343">
        <v>353433</v>
      </c>
      <c r="V44" s="343">
        <v>123010</v>
      </c>
      <c r="W44" s="343">
        <v>156404</v>
      </c>
      <c r="X44" s="343">
        <v>204078</v>
      </c>
      <c r="Y44" s="343">
        <v>259481</v>
      </c>
      <c r="Z44" s="343">
        <v>225965</v>
      </c>
      <c r="AA44" s="343">
        <v>287310</v>
      </c>
      <c r="AB44" s="343">
        <v>403333</v>
      </c>
      <c r="AC44" s="343">
        <v>512828</v>
      </c>
      <c r="AD44" s="25">
        <v>1000</v>
      </c>
      <c r="AE44" s="25" t="s">
        <v>712</v>
      </c>
      <c r="AF44" s="25" t="s">
        <v>712</v>
      </c>
      <c r="AH44" s="355"/>
      <c r="AR44" s="345">
        <f t="shared" si="6"/>
        <v>83</v>
      </c>
      <c r="AS44" s="341" t="e">
        <f t="shared" si="0"/>
        <v>#REF!</v>
      </c>
      <c r="AT44" s="341" t="e">
        <f t="shared" si="1"/>
        <v>#REF!</v>
      </c>
      <c r="AU44" s="341" t="e">
        <f t="shared" si="2"/>
        <v>#REF!</v>
      </c>
      <c r="AW44" s="341" t="e">
        <f t="shared" si="3"/>
        <v>#REF!</v>
      </c>
      <c r="AX44" s="341" t="e">
        <f t="shared" si="3"/>
        <v>#REF!</v>
      </c>
      <c r="AY44" s="341" t="e">
        <f t="shared" si="3"/>
        <v>#REF!</v>
      </c>
      <c r="AZ44" s="341" t="e">
        <f t="shared" si="4"/>
        <v>#REF!</v>
      </c>
      <c r="BA44" s="342" t="e">
        <f t="shared" si="5"/>
        <v>#REF!</v>
      </c>
    </row>
    <row r="45" spans="1:53" ht="21.5">
      <c r="A45" s="332">
        <v>40</v>
      </c>
      <c r="B45" s="343">
        <v>10201</v>
      </c>
      <c r="C45" s="343">
        <v>13819</v>
      </c>
      <c r="D45" s="343">
        <v>14806</v>
      </c>
      <c r="E45" s="343">
        <v>20387</v>
      </c>
      <c r="F45" s="343">
        <v>10201</v>
      </c>
      <c r="G45" s="343">
        <v>13819</v>
      </c>
      <c r="H45" s="353">
        <v>12727</v>
      </c>
      <c r="I45" s="353">
        <v>17257</v>
      </c>
      <c r="J45" s="343">
        <v>14806</v>
      </c>
      <c r="K45" s="343">
        <v>20387</v>
      </c>
      <c r="L45" s="343">
        <v>43466</v>
      </c>
      <c r="M45" s="343">
        <v>53406</v>
      </c>
      <c r="N45" s="343">
        <v>78854</v>
      </c>
      <c r="O45" s="343">
        <v>102159</v>
      </c>
      <c r="P45" s="343">
        <v>140422</v>
      </c>
      <c r="Q45" s="343">
        <v>181922</v>
      </c>
      <c r="R45" s="343">
        <v>151710</v>
      </c>
      <c r="S45" s="343">
        <v>196545</v>
      </c>
      <c r="T45" s="343">
        <v>272808</v>
      </c>
      <c r="U45" s="343">
        <v>353433</v>
      </c>
      <c r="V45" s="343">
        <v>123010</v>
      </c>
      <c r="W45" s="343">
        <v>156404</v>
      </c>
      <c r="X45" s="343">
        <v>204078</v>
      </c>
      <c r="Y45" s="343">
        <v>259481</v>
      </c>
      <c r="Z45" s="343">
        <v>225965</v>
      </c>
      <c r="AA45" s="343">
        <v>287310</v>
      </c>
      <c r="AB45" s="343">
        <v>403333</v>
      </c>
      <c r="AC45" s="343">
        <v>512828</v>
      </c>
      <c r="AD45" s="25">
        <v>1000</v>
      </c>
      <c r="AE45" s="25" t="s">
        <v>712</v>
      </c>
      <c r="AF45" s="25" t="s">
        <v>712</v>
      </c>
      <c r="AR45" s="345">
        <f t="shared" si="6"/>
        <v>84</v>
      </c>
      <c r="AS45" s="341" t="e">
        <f t="shared" si="0"/>
        <v>#REF!</v>
      </c>
      <c r="AT45" s="341" t="e">
        <f t="shared" si="1"/>
        <v>#REF!</v>
      </c>
      <c r="AU45" s="341" t="e">
        <f t="shared" si="2"/>
        <v>#REF!</v>
      </c>
      <c r="AW45" s="341" t="e">
        <f t="shared" si="3"/>
        <v>#REF!</v>
      </c>
      <c r="AX45" s="341" t="e">
        <f t="shared" si="3"/>
        <v>#REF!</v>
      </c>
      <c r="AY45" s="341" t="e">
        <f t="shared" si="3"/>
        <v>#REF!</v>
      </c>
      <c r="AZ45" s="341" t="e">
        <f t="shared" si="4"/>
        <v>#REF!</v>
      </c>
      <c r="BA45" s="342" t="e">
        <f t="shared" si="5"/>
        <v>#REF!</v>
      </c>
    </row>
    <row r="46" spans="1:53" ht="21.5">
      <c r="A46" s="332">
        <v>41</v>
      </c>
      <c r="B46" s="343">
        <v>11654</v>
      </c>
      <c r="C46" s="343">
        <v>14334</v>
      </c>
      <c r="D46" s="343">
        <v>17480</v>
      </c>
      <c r="E46" s="343">
        <v>21500</v>
      </c>
      <c r="F46" s="343">
        <v>11654</v>
      </c>
      <c r="G46" s="343">
        <v>14334</v>
      </c>
      <c r="H46" s="353">
        <v>15013</v>
      </c>
      <c r="I46" s="353">
        <v>18466</v>
      </c>
      <c r="J46" s="343">
        <v>17480</v>
      </c>
      <c r="K46" s="343">
        <v>21500</v>
      </c>
      <c r="L46" s="343">
        <v>48227</v>
      </c>
      <c r="M46" s="343">
        <v>55387</v>
      </c>
      <c r="N46" s="343">
        <v>85684</v>
      </c>
      <c r="O46" s="343">
        <v>105391</v>
      </c>
      <c r="P46" s="343">
        <v>152584</v>
      </c>
      <c r="Q46" s="343">
        <v>187679</v>
      </c>
      <c r="R46" s="343">
        <v>164840</v>
      </c>
      <c r="S46" s="343">
        <v>202754</v>
      </c>
      <c r="T46" s="343">
        <v>295580</v>
      </c>
      <c r="U46" s="343">
        <v>363564</v>
      </c>
      <c r="V46" s="343">
        <v>129327</v>
      </c>
      <c r="W46" s="343">
        <v>159072</v>
      </c>
      <c r="X46" s="343">
        <v>214559</v>
      </c>
      <c r="Y46" s="343">
        <v>263907</v>
      </c>
      <c r="Z46" s="343">
        <v>237584</v>
      </c>
      <c r="AA46" s="343">
        <v>292229</v>
      </c>
      <c r="AB46" s="343">
        <v>432930</v>
      </c>
      <c r="AC46" s="343">
        <v>532504</v>
      </c>
      <c r="AD46" s="25">
        <v>1000</v>
      </c>
      <c r="AE46" s="25" t="s">
        <v>712</v>
      </c>
      <c r="AF46" s="25" t="s">
        <v>712</v>
      </c>
      <c r="AR46" s="345" t="str">
        <f t="shared" si="6"/>
        <v/>
      </c>
      <c r="AS46" s="341" t="e">
        <f t="shared" si="0"/>
        <v>#REF!</v>
      </c>
      <c r="AT46" s="341" t="e">
        <f t="shared" si="1"/>
        <v>#REF!</v>
      </c>
      <c r="AU46" s="341" t="e">
        <f t="shared" si="2"/>
        <v>#REF!</v>
      </c>
      <c r="AW46" s="341" t="e">
        <f t="shared" si="3"/>
        <v>#REF!</v>
      </c>
      <c r="AX46" s="341" t="e">
        <f t="shared" si="3"/>
        <v>#REF!</v>
      </c>
      <c r="AY46" s="341" t="e">
        <f t="shared" si="3"/>
        <v>#REF!</v>
      </c>
      <c r="AZ46" s="341" t="e">
        <f t="shared" si="4"/>
        <v>#REF!</v>
      </c>
      <c r="BA46" s="342" t="e">
        <f t="shared" si="5"/>
        <v>#REF!</v>
      </c>
    </row>
    <row r="47" spans="1:53" ht="21.5">
      <c r="A47" s="332">
        <v>42</v>
      </c>
      <c r="B47" s="343">
        <v>11654</v>
      </c>
      <c r="C47" s="343">
        <v>14334</v>
      </c>
      <c r="D47" s="343">
        <v>17480</v>
      </c>
      <c r="E47" s="343">
        <v>21500</v>
      </c>
      <c r="F47" s="343">
        <v>11654</v>
      </c>
      <c r="G47" s="343">
        <v>14334</v>
      </c>
      <c r="H47" s="353">
        <v>15013</v>
      </c>
      <c r="I47" s="353">
        <v>18466</v>
      </c>
      <c r="J47" s="343">
        <v>17480</v>
      </c>
      <c r="K47" s="343">
        <v>21500</v>
      </c>
      <c r="L47" s="343">
        <v>48227</v>
      </c>
      <c r="M47" s="343">
        <v>55387</v>
      </c>
      <c r="N47" s="343">
        <v>85684</v>
      </c>
      <c r="O47" s="343">
        <v>105391</v>
      </c>
      <c r="P47" s="343">
        <v>152584</v>
      </c>
      <c r="Q47" s="343">
        <v>187679</v>
      </c>
      <c r="R47" s="343">
        <v>164840</v>
      </c>
      <c r="S47" s="343">
        <v>202754</v>
      </c>
      <c r="T47" s="343">
        <v>295580</v>
      </c>
      <c r="U47" s="343">
        <v>363564</v>
      </c>
      <c r="V47" s="343">
        <v>129327</v>
      </c>
      <c r="W47" s="343">
        <v>159072</v>
      </c>
      <c r="X47" s="343">
        <v>214559</v>
      </c>
      <c r="Y47" s="343">
        <v>263907</v>
      </c>
      <c r="Z47" s="343">
        <v>237584</v>
      </c>
      <c r="AA47" s="343">
        <v>292229</v>
      </c>
      <c r="AB47" s="343">
        <v>432930</v>
      </c>
      <c r="AC47" s="343">
        <v>532504</v>
      </c>
      <c r="AD47" s="25">
        <v>1000</v>
      </c>
      <c r="AE47" s="25" t="s">
        <v>712</v>
      </c>
      <c r="AF47" s="25" t="s">
        <v>712</v>
      </c>
      <c r="AR47" s="345" t="str">
        <f t="shared" si="6"/>
        <v/>
      </c>
      <c r="AS47" s="341" t="e">
        <f t="shared" si="0"/>
        <v>#REF!</v>
      </c>
      <c r="AT47" s="341" t="e">
        <f t="shared" si="1"/>
        <v>#REF!</v>
      </c>
      <c r="AU47" s="341" t="e">
        <f t="shared" si="2"/>
        <v>#REF!</v>
      </c>
      <c r="AW47" s="341" t="e">
        <f t="shared" si="3"/>
        <v>#REF!</v>
      </c>
      <c r="AX47" s="341" t="e">
        <f t="shared" si="3"/>
        <v>#REF!</v>
      </c>
      <c r="AY47" s="341" t="e">
        <f t="shared" si="3"/>
        <v>#REF!</v>
      </c>
      <c r="AZ47" s="341" t="e">
        <f t="shared" si="4"/>
        <v>#REF!</v>
      </c>
      <c r="BA47" s="342" t="e">
        <f t="shared" si="5"/>
        <v>#REF!</v>
      </c>
    </row>
    <row r="48" spans="1:53" ht="21.5">
      <c r="A48" s="332">
        <v>43</v>
      </c>
      <c r="B48" s="343">
        <v>11654</v>
      </c>
      <c r="C48" s="343">
        <v>14334</v>
      </c>
      <c r="D48" s="343">
        <v>17480</v>
      </c>
      <c r="E48" s="343">
        <v>21500</v>
      </c>
      <c r="F48" s="343">
        <v>11654</v>
      </c>
      <c r="G48" s="343">
        <v>14334</v>
      </c>
      <c r="H48" s="353">
        <v>15013</v>
      </c>
      <c r="I48" s="353">
        <v>18466</v>
      </c>
      <c r="J48" s="343">
        <v>17480</v>
      </c>
      <c r="K48" s="343">
        <v>21500</v>
      </c>
      <c r="L48" s="343">
        <v>48227</v>
      </c>
      <c r="M48" s="343">
        <v>55387</v>
      </c>
      <c r="N48" s="343">
        <v>85684</v>
      </c>
      <c r="O48" s="343">
        <v>105391</v>
      </c>
      <c r="P48" s="343">
        <v>152584</v>
      </c>
      <c r="Q48" s="343">
        <v>187679</v>
      </c>
      <c r="R48" s="343">
        <v>164840</v>
      </c>
      <c r="S48" s="343">
        <v>202754</v>
      </c>
      <c r="T48" s="343">
        <v>295580</v>
      </c>
      <c r="U48" s="343">
        <v>363564</v>
      </c>
      <c r="V48" s="343">
        <v>129327</v>
      </c>
      <c r="W48" s="343">
        <v>159072</v>
      </c>
      <c r="X48" s="343">
        <v>214559</v>
      </c>
      <c r="Y48" s="343">
        <v>263907</v>
      </c>
      <c r="Z48" s="343">
        <v>237584</v>
      </c>
      <c r="AA48" s="343">
        <v>292229</v>
      </c>
      <c r="AB48" s="343">
        <v>432930</v>
      </c>
      <c r="AC48" s="343">
        <v>532504</v>
      </c>
      <c r="AD48" s="25">
        <v>1000</v>
      </c>
      <c r="AE48" s="25" t="s">
        <v>712</v>
      </c>
      <c r="AF48" s="25" t="s">
        <v>712</v>
      </c>
      <c r="AR48" s="345" t="str">
        <f t="shared" si="6"/>
        <v/>
      </c>
      <c r="AS48" s="341" t="e">
        <f t="shared" si="0"/>
        <v>#REF!</v>
      </c>
      <c r="AT48" s="341" t="e">
        <f t="shared" si="1"/>
        <v>#REF!</v>
      </c>
      <c r="AU48" s="341" t="e">
        <f t="shared" si="2"/>
        <v>#REF!</v>
      </c>
      <c r="AW48" s="341" t="e">
        <f t="shared" si="3"/>
        <v>#REF!</v>
      </c>
      <c r="AX48" s="341" t="e">
        <f t="shared" si="3"/>
        <v>#REF!</v>
      </c>
      <c r="AY48" s="341" t="e">
        <f t="shared" si="3"/>
        <v>#REF!</v>
      </c>
      <c r="AZ48" s="341" t="e">
        <f t="shared" si="4"/>
        <v>#REF!</v>
      </c>
      <c r="BA48" s="342" t="e">
        <f t="shared" si="5"/>
        <v>#REF!</v>
      </c>
    </row>
    <row r="49" spans="1:53" ht="21.5">
      <c r="A49" s="332">
        <v>44</v>
      </c>
      <c r="B49" s="343">
        <v>11654</v>
      </c>
      <c r="C49" s="343">
        <v>14334</v>
      </c>
      <c r="D49" s="343">
        <v>17480</v>
      </c>
      <c r="E49" s="343">
        <v>21500</v>
      </c>
      <c r="F49" s="343">
        <v>11654</v>
      </c>
      <c r="G49" s="343">
        <v>14334</v>
      </c>
      <c r="H49" s="353">
        <v>15013</v>
      </c>
      <c r="I49" s="353">
        <v>18466</v>
      </c>
      <c r="J49" s="343">
        <v>17480</v>
      </c>
      <c r="K49" s="343">
        <v>21500</v>
      </c>
      <c r="L49" s="343">
        <v>48227</v>
      </c>
      <c r="M49" s="343">
        <v>55387</v>
      </c>
      <c r="N49" s="343">
        <v>85684</v>
      </c>
      <c r="O49" s="343">
        <v>105391</v>
      </c>
      <c r="P49" s="343">
        <v>152584</v>
      </c>
      <c r="Q49" s="343">
        <v>187679</v>
      </c>
      <c r="R49" s="343">
        <v>164840</v>
      </c>
      <c r="S49" s="343">
        <v>202754</v>
      </c>
      <c r="T49" s="343">
        <v>295580</v>
      </c>
      <c r="U49" s="343">
        <v>363564</v>
      </c>
      <c r="V49" s="343">
        <v>129327</v>
      </c>
      <c r="W49" s="343">
        <v>159072</v>
      </c>
      <c r="X49" s="343">
        <v>214559</v>
      </c>
      <c r="Y49" s="343">
        <v>263907</v>
      </c>
      <c r="Z49" s="343">
        <v>237584</v>
      </c>
      <c r="AA49" s="343">
        <v>292229</v>
      </c>
      <c r="AB49" s="343">
        <v>432930</v>
      </c>
      <c r="AC49" s="343">
        <v>532504</v>
      </c>
      <c r="AD49" s="25">
        <v>1000</v>
      </c>
      <c r="AE49" s="25" t="s">
        <v>712</v>
      </c>
      <c r="AF49" s="25" t="s">
        <v>712</v>
      </c>
      <c r="AR49" s="345" t="str">
        <f t="shared" si="6"/>
        <v/>
      </c>
      <c r="AS49" s="341" t="e">
        <f t="shared" si="0"/>
        <v>#REF!</v>
      </c>
      <c r="AT49" s="341" t="e">
        <f t="shared" si="1"/>
        <v>#REF!</v>
      </c>
      <c r="AU49" s="341" t="e">
        <f t="shared" si="2"/>
        <v>#REF!</v>
      </c>
      <c r="AW49" s="341" t="e">
        <f t="shared" si="3"/>
        <v>#REF!</v>
      </c>
      <c r="AX49" s="341" t="e">
        <f t="shared" si="3"/>
        <v>#REF!</v>
      </c>
      <c r="AY49" s="341" t="e">
        <f t="shared" si="3"/>
        <v>#REF!</v>
      </c>
      <c r="AZ49" s="341" t="e">
        <f t="shared" si="4"/>
        <v>#REF!</v>
      </c>
      <c r="BA49" s="342" t="e">
        <f t="shared" si="5"/>
        <v>#REF!</v>
      </c>
    </row>
    <row r="50" spans="1:53" ht="21.5">
      <c r="A50" s="332">
        <v>45</v>
      </c>
      <c r="B50" s="343">
        <v>11654</v>
      </c>
      <c r="C50" s="343">
        <v>14334</v>
      </c>
      <c r="D50" s="343">
        <v>17480</v>
      </c>
      <c r="E50" s="343">
        <v>21500</v>
      </c>
      <c r="F50" s="343">
        <v>11654</v>
      </c>
      <c r="G50" s="343">
        <v>14334</v>
      </c>
      <c r="H50" s="353">
        <v>15013</v>
      </c>
      <c r="I50" s="353">
        <v>18466</v>
      </c>
      <c r="J50" s="343">
        <v>17480</v>
      </c>
      <c r="K50" s="343">
        <v>21500</v>
      </c>
      <c r="L50" s="343">
        <v>48227</v>
      </c>
      <c r="M50" s="343">
        <v>55387</v>
      </c>
      <c r="N50" s="343">
        <v>85684</v>
      </c>
      <c r="O50" s="343">
        <v>105391</v>
      </c>
      <c r="P50" s="343">
        <v>152584</v>
      </c>
      <c r="Q50" s="343">
        <v>187679</v>
      </c>
      <c r="R50" s="343">
        <v>164840</v>
      </c>
      <c r="S50" s="343">
        <v>202754</v>
      </c>
      <c r="T50" s="343">
        <v>295580</v>
      </c>
      <c r="U50" s="343">
        <v>363564</v>
      </c>
      <c r="V50" s="343">
        <v>129327</v>
      </c>
      <c r="W50" s="343">
        <v>159072</v>
      </c>
      <c r="X50" s="343">
        <v>214559</v>
      </c>
      <c r="Y50" s="343">
        <v>263907</v>
      </c>
      <c r="Z50" s="343">
        <v>237584</v>
      </c>
      <c r="AA50" s="343">
        <v>292229</v>
      </c>
      <c r="AB50" s="343">
        <v>432930</v>
      </c>
      <c r="AC50" s="343">
        <v>532504</v>
      </c>
      <c r="AD50" s="25">
        <v>1000</v>
      </c>
      <c r="AE50" s="25" t="s">
        <v>712</v>
      </c>
      <c r="AF50" s="25" t="s">
        <v>712</v>
      </c>
      <c r="AR50" s="345" t="str">
        <f t="shared" si="6"/>
        <v/>
      </c>
      <c r="AS50" s="341" t="e">
        <f t="shared" si="0"/>
        <v>#REF!</v>
      </c>
      <c r="AT50" s="341" t="e">
        <f t="shared" si="1"/>
        <v>#REF!</v>
      </c>
      <c r="AU50" s="341" t="e">
        <f t="shared" si="2"/>
        <v>#REF!</v>
      </c>
      <c r="AW50" s="341" t="e">
        <f t="shared" si="3"/>
        <v>#REF!</v>
      </c>
      <c r="AX50" s="341" t="e">
        <f t="shared" si="3"/>
        <v>#REF!</v>
      </c>
      <c r="AY50" s="341" t="e">
        <f t="shared" si="3"/>
        <v>#REF!</v>
      </c>
      <c r="AZ50" s="341" t="e">
        <f t="shared" si="4"/>
        <v>#REF!</v>
      </c>
      <c r="BA50" s="342" t="e">
        <f t="shared" si="5"/>
        <v>#REF!</v>
      </c>
    </row>
    <row r="51" spans="1:53" ht="21.5">
      <c r="A51" s="332">
        <v>46</v>
      </c>
      <c r="B51" s="343">
        <v>13853</v>
      </c>
      <c r="C51" s="343">
        <v>16762</v>
      </c>
      <c r="D51" s="343">
        <v>23239</v>
      </c>
      <c r="E51" s="343">
        <v>28119</v>
      </c>
      <c r="F51" s="343">
        <v>13853</v>
      </c>
      <c r="G51" s="343">
        <v>16762</v>
      </c>
      <c r="H51" s="353">
        <v>19898</v>
      </c>
      <c r="I51" s="353">
        <v>24077</v>
      </c>
      <c r="J51" s="343">
        <v>23239</v>
      </c>
      <c r="K51" s="343">
        <v>28119</v>
      </c>
      <c r="L51" s="343">
        <v>58483</v>
      </c>
      <c r="M51" s="343">
        <v>67173</v>
      </c>
      <c r="N51" s="343">
        <v>101876</v>
      </c>
      <c r="O51" s="343">
        <v>123270</v>
      </c>
      <c r="P51" s="343">
        <v>181418</v>
      </c>
      <c r="Q51" s="343">
        <v>219516</v>
      </c>
      <c r="R51" s="343">
        <v>195989</v>
      </c>
      <c r="S51" s="343">
        <v>237147</v>
      </c>
      <c r="T51" s="343">
        <v>350724</v>
      </c>
      <c r="U51" s="343">
        <v>424376</v>
      </c>
      <c r="V51" s="343">
        <v>133270</v>
      </c>
      <c r="W51" s="343">
        <v>161257</v>
      </c>
      <c r="X51" s="343">
        <v>221099</v>
      </c>
      <c r="Y51" s="343">
        <v>267530</v>
      </c>
      <c r="Z51" s="343">
        <v>244842</v>
      </c>
      <c r="AA51" s="343">
        <v>296259</v>
      </c>
      <c r="AB51" s="343">
        <v>454456</v>
      </c>
      <c r="AC51" s="343">
        <v>549892</v>
      </c>
      <c r="AD51" s="25">
        <v>1000</v>
      </c>
      <c r="AE51" s="25" t="s">
        <v>712</v>
      </c>
      <c r="AF51" s="25" t="s">
        <v>712</v>
      </c>
      <c r="AR51" s="345" t="str">
        <f t="shared" si="6"/>
        <v/>
      </c>
      <c r="AS51" s="341" t="e">
        <f t="shared" si="0"/>
        <v>#REF!</v>
      </c>
      <c r="AT51" s="341" t="e">
        <f t="shared" si="1"/>
        <v>#REF!</v>
      </c>
      <c r="AU51" s="341" t="e">
        <f t="shared" si="2"/>
        <v>#REF!</v>
      </c>
      <c r="AW51" s="341" t="e">
        <f t="shared" si="3"/>
        <v>#REF!</v>
      </c>
      <c r="AX51" s="341" t="e">
        <f t="shared" si="3"/>
        <v>#REF!</v>
      </c>
      <c r="AY51" s="341" t="e">
        <f t="shared" si="3"/>
        <v>#REF!</v>
      </c>
      <c r="AZ51" s="341" t="e">
        <f t="shared" si="4"/>
        <v>#REF!</v>
      </c>
      <c r="BA51" s="342" t="e">
        <f t="shared" si="5"/>
        <v>#REF!</v>
      </c>
    </row>
    <row r="52" spans="1:53" ht="21.5">
      <c r="A52" s="332">
        <v>47</v>
      </c>
      <c r="B52" s="343">
        <v>13853</v>
      </c>
      <c r="C52" s="343">
        <v>16762</v>
      </c>
      <c r="D52" s="343">
        <v>23239</v>
      </c>
      <c r="E52" s="343">
        <v>28119</v>
      </c>
      <c r="F52" s="343">
        <v>13853</v>
      </c>
      <c r="G52" s="343">
        <v>16762</v>
      </c>
      <c r="H52" s="353">
        <v>19898</v>
      </c>
      <c r="I52" s="353">
        <v>24077</v>
      </c>
      <c r="J52" s="343">
        <v>23239</v>
      </c>
      <c r="K52" s="343">
        <v>28119</v>
      </c>
      <c r="L52" s="343">
        <v>58483</v>
      </c>
      <c r="M52" s="343">
        <v>67173</v>
      </c>
      <c r="N52" s="343">
        <v>101876</v>
      </c>
      <c r="O52" s="343">
        <v>123270</v>
      </c>
      <c r="P52" s="343">
        <v>181418</v>
      </c>
      <c r="Q52" s="343">
        <v>219516</v>
      </c>
      <c r="R52" s="343">
        <v>195989</v>
      </c>
      <c r="S52" s="343">
        <v>237147</v>
      </c>
      <c r="T52" s="343">
        <v>350724</v>
      </c>
      <c r="U52" s="343">
        <v>424376</v>
      </c>
      <c r="V52" s="343">
        <v>133270</v>
      </c>
      <c r="W52" s="343">
        <v>161257</v>
      </c>
      <c r="X52" s="343">
        <v>221099</v>
      </c>
      <c r="Y52" s="343">
        <v>267530</v>
      </c>
      <c r="Z52" s="343">
        <v>244842</v>
      </c>
      <c r="AA52" s="343">
        <v>296259</v>
      </c>
      <c r="AB52" s="343">
        <v>454456</v>
      </c>
      <c r="AC52" s="343">
        <v>549892</v>
      </c>
      <c r="AD52" s="25">
        <v>1000</v>
      </c>
      <c r="AE52" s="25" t="s">
        <v>712</v>
      </c>
      <c r="AF52" s="25" t="s">
        <v>712</v>
      </c>
      <c r="AR52" s="345" t="str">
        <f t="shared" si="6"/>
        <v/>
      </c>
      <c r="AS52" s="341" t="e">
        <f t="shared" si="0"/>
        <v>#REF!</v>
      </c>
      <c r="AT52" s="341" t="e">
        <f t="shared" si="1"/>
        <v>#REF!</v>
      </c>
      <c r="AU52" s="341" t="e">
        <f t="shared" si="2"/>
        <v>#REF!</v>
      </c>
      <c r="AW52" s="341" t="e">
        <f t="shared" si="3"/>
        <v>#REF!</v>
      </c>
      <c r="AX52" s="341" t="e">
        <f t="shared" si="3"/>
        <v>#REF!</v>
      </c>
      <c r="AY52" s="341" t="e">
        <f t="shared" si="3"/>
        <v>#REF!</v>
      </c>
      <c r="AZ52" s="341" t="e">
        <f t="shared" si="4"/>
        <v>#REF!</v>
      </c>
      <c r="BA52" s="342" t="e">
        <f t="shared" si="5"/>
        <v>#REF!</v>
      </c>
    </row>
    <row r="53" spans="1:53" ht="21.5">
      <c r="A53" s="332">
        <v>48</v>
      </c>
      <c r="B53" s="343">
        <v>13853</v>
      </c>
      <c r="C53" s="343">
        <v>16762</v>
      </c>
      <c r="D53" s="343">
        <v>23239</v>
      </c>
      <c r="E53" s="343">
        <v>28119</v>
      </c>
      <c r="F53" s="343">
        <v>13853</v>
      </c>
      <c r="G53" s="343">
        <v>16762</v>
      </c>
      <c r="H53" s="353">
        <v>19898</v>
      </c>
      <c r="I53" s="353">
        <v>24077</v>
      </c>
      <c r="J53" s="343">
        <v>23239</v>
      </c>
      <c r="K53" s="343">
        <v>28119</v>
      </c>
      <c r="L53" s="343">
        <v>58483</v>
      </c>
      <c r="M53" s="343">
        <v>67173</v>
      </c>
      <c r="N53" s="343">
        <v>101876</v>
      </c>
      <c r="O53" s="343">
        <v>123270</v>
      </c>
      <c r="P53" s="343">
        <v>181418</v>
      </c>
      <c r="Q53" s="343">
        <v>219516</v>
      </c>
      <c r="R53" s="343">
        <v>195989</v>
      </c>
      <c r="S53" s="343">
        <v>237147</v>
      </c>
      <c r="T53" s="343">
        <v>350724</v>
      </c>
      <c r="U53" s="343">
        <v>424376</v>
      </c>
      <c r="V53" s="343">
        <v>133270</v>
      </c>
      <c r="W53" s="343">
        <v>161257</v>
      </c>
      <c r="X53" s="343">
        <v>221099</v>
      </c>
      <c r="Y53" s="343">
        <v>267530</v>
      </c>
      <c r="Z53" s="343">
        <v>244842</v>
      </c>
      <c r="AA53" s="343">
        <v>296259</v>
      </c>
      <c r="AB53" s="343">
        <v>454456</v>
      </c>
      <c r="AC53" s="343">
        <v>549892</v>
      </c>
      <c r="AD53" s="25">
        <v>1000</v>
      </c>
      <c r="AE53" s="25" t="s">
        <v>712</v>
      </c>
      <c r="AF53" s="25" t="s">
        <v>712</v>
      </c>
      <c r="AR53" s="345" t="str">
        <f t="shared" si="6"/>
        <v/>
      </c>
      <c r="AS53" s="341" t="e">
        <f t="shared" si="0"/>
        <v>#REF!</v>
      </c>
      <c r="AT53" s="341" t="e">
        <f t="shared" si="1"/>
        <v>#REF!</v>
      </c>
      <c r="AU53" s="341" t="e">
        <f t="shared" si="2"/>
        <v>#REF!</v>
      </c>
      <c r="AW53" s="341" t="e">
        <f t="shared" si="3"/>
        <v>#REF!</v>
      </c>
      <c r="AX53" s="341" t="e">
        <f t="shared" si="3"/>
        <v>#REF!</v>
      </c>
      <c r="AY53" s="341" t="e">
        <f t="shared" si="3"/>
        <v>#REF!</v>
      </c>
      <c r="AZ53" s="341" t="e">
        <f t="shared" si="4"/>
        <v>#REF!</v>
      </c>
      <c r="BA53" s="342" t="e">
        <f t="shared" si="5"/>
        <v>#REF!</v>
      </c>
    </row>
    <row r="54" spans="1:53" ht="21.5">
      <c r="A54" s="332">
        <v>49</v>
      </c>
      <c r="B54" s="343">
        <v>13853</v>
      </c>
      <c r="C54" s="343">
        <v>16762</v>
      </c>
      <c r="D54" s="343">
        <v>23239</v>
      </c>
      <c r="E54" s="343">
        <v>28119</v>
      </c>
      <c r="F54" s="343">
        <v>13853</v>
      </c>
      <c r="G54" s="343">
        <v>16762</v>
      </c>
      <c r="H54" s="353">
        <v>19898</v>
      </c>
      <c r="I54" s="353">
        <v>24077</v>
      </c>
      <c r="J54" s="343">
        <v>23239</v>
      </c>
      <c r="K54" s="343">
        <v>28119</v>
      </c>
      <c r="L54" s="343">
        <v>58483</v>
      </c>
      <c r="M54" s="343">
        <v>67173</v>
      </c>
      <c r="N54" s="343">
        <v>101876</v>
      </c>
      <c r="O54" s="343">
        <v>123270</v>
      </c>
      <c r="P54" s="343">
        <v>181418</v>
      </c>
      <c r="Q54" s="343">
        <v>219516</v>
      </c>
      <c r="R54" s="343">
        <v>195989</v>
      </c>
      <c r="S54" s="343">
        <v>237147</v>
      </c>
      <c r="T54" s="343">
        <v>350724</v>
      </c>
      <c r="U54" s="343">
        <v>424376</v>
      </c>
      <c r="V54" s="343">
        <v>133270</v>
      </c>
      <c r="W54" s="343">
        <v>161257</v>
      </c>
      <c r="X54" s="343">
        <v>221099</v>
      </c>
      <c r="Y54" s="343">
        <v>267530</v>
      </c>
      <c r="Z54" s="343">
        <v>244842</v>
      </c>
      <c r="AA54" s="343">
        <v>296259</v>
      </c>
      <c r="AB54" s="343">
        <v>454456</v>
      </c>
      <c r="AC54" s="343">
        <v>549892</v>
      </c>
      <c r="AD54" s="25">
        <v>1000</v>
      </c>
      <c r="AE54" s="25" t="s">
        <v>712</v>
      </c>
      <c r="AF54" s="25" t="s">
        <v>712</v>
      </c>
      <c r="AR54" s="345" t="str">
        <f t="shared" si="6"/>
        <v/>
      </c>
      <c r="AS54" s="341" t="e">
        <f t="shared" si="0"/>
        <v>#REF!</v>
      </c>
      <c r="AT54" s="341" t="e">
        <f t="shared" si="1"/>
        <v>#REF!</v>
      </c>
      <c r="AU54" s="341" t="e">
        <f t="shared" si="2"/>
        <v>#REF!</v>
      </c>
      <c r="AW54" s="341" t="e">
        <f t="shared" si="3"/>
        <v>#REF!</v>
      </c>
      <c r="AX54" s="341" t="e">
        <f t="shared" si="3"/>
        <v>#REF!</v>
      </c>
      <c r="AY54" s="341" t="e">
        <f t="shared" si="3"/>
        <v>#REF!</v>
      </c>
      <c r="AZ54" s="341" t="e">
        <f t="shared" si="4"/>
        <v>#REF!</v>
      </c>
      <c r="BA54" s="342" t="e">
        <f t="shared" si="5"/>
        <v>#REF!</v>
      </c>
    </row>
    <row r="55" spans="1:53" ht="21.5">
      <c r="A55" s="332">
        <v>50</v>
      </c>
      <c r="B55" s="343">
        <v>13853</v>
      </c>
      <c r="C55" s="343">
        <v>16762</v>
      </c>
      <c r="D55" s="343">
        <v>23239</v>
      </c>
      <c r="E55" s="343">
        <v>28119</v>
      </c>
      <c r="F55" s="343">
        <v>13853</v>
      </c>
      <c r="G55" s="343">
        <v>16762</v>
      </c>
      <c r="H55" s="353">
        <v>19898</v>
      </c>
      <c r="I55" s="353">
        <v>24077</v>
      </c>
      <c r="J55" s="343">
        <v>23239</v>
      </c>
      <c r="K55" s="343">
        <v>28119</v>
      </c>
      <c r="L55" s="343">
        <v>58483</v>
      </c>
      <c r="M55" s="343">
        <v>67173</v>
      </c>
      <c r="N55" s="343">
        <v>101876</v>
      </c>
      <c r="O55" s="343">
        <v>123270</v>
      </c>
      <c r="P55" s="343">
        <v>181418</v>
      </c>
      <c r="Q55" s="343">
        <v>219516</v>
      </c>
      <c r="R55" s="343">
        <v>195989</v>
      </c>
      <c r="S55" s="343">
        <v>237147</v>
      </c>
      <c r="T55" s="343">
        <v>350724</v>
      </c>
      <c r="U55" s="343">
        <v>424376</v>
      </c>
      <c r="V55" s="343">
        <v>133270</v>
      </c>
      <c r="W55" s="343">
        <v>161257</v>
      </c>
      <c r="X55" s="343">
        <v>221099</v>
      </c>
      <c r="Y55" s="343">
        <v>267530</v>
      </c>
      <c r="Z55" s="343">
        <v>244842</v>
      </c>
      <c r="AA55" s="343">
        <v>296259</v>
      </c>
      <c r="AB55" s="343">
        <v>454456</v>
      </c>
      <c r="AC55" s="343">
        <v>549892</v>
      </c>
      <c r="AD55" s="25">
        <v>1000</v>
      </c>
      <c r="AE55" s="25" t="s">
        <v>712</v>
      </c>
      <c r="AF55" s="25" t="s">
        <v>712</v>
      </c>
      <c r="AR55" s="345" t="str">
        <f t="shared" si="6"/>
        <v/>
      </c>
      <c r="AS55" s="341" t="e">
        <f t="shared" si="0"/>
        <v>#REF!</v>
      </c>
      <c r="AT55" s="341" t="e">
        <f t="shared" si="1"/>
        <v>#REF!</v>
      </c>
      <c r="AU55" s="341" t="e">
        <f t="shared" si="2"/>
        <v>#REF!</v>
      </c>
      <c r="AW55" s="341" t="e">
        <f t="shared" si="3"/>
        <v>#REF!</v>
      </c>
      <c r="AX55" s="341" t="e">
        <f t="shared" si="3"/>
        <v>#REF!</v>
      </c>
      <c r="AY55" s="341" t="e">
        <f t="shared" si="3"/>
        <v>#REF!</v>
      </c>
      <c r="AZ55" s="341" t="e">
        <f t="shared" si="4"/>
        <v>#REF!</v>
      </c>
      <c r="BA55" s="342" t="e">
        <f t="shared" si="5"/>
        <v>#REF!</v>
      </c>
    </row>
    <row r="56" spans="1:53" ht="21.5">
      <c r="A56" s="332">
        <v>51</v>
      </c>
      <c r="B56" s="343">
        <v>17986</v>
      </c>
      <c r="C56" s="343">
        <v>20324</v>
      </c>
      <c r="D56" s="343">
        <v>32994</v>
      </c>
      <c r="E56" s="343">
        <v>37283</v>
      </c>
      <c r="F56" s="343">
        <v>17986</v>
      </c>
      <c r="G56" s="343">
        <v>20324</v>
      </c>
      <c r="H56" s="353">
        <v>27191</v>
      </c>
      <c r="I56" s="353">
        <v>30726</v>
      </c>
      <c r="J56" s="343">
        <v>32994</v>
      </c>
      <c r="K56" s="343">
        <v>37283</v>
      </c>
      <c r="L56" s="343">
        <v>75855</v>
      </c>
      <c r="M56" s="343">
        <v>83493</v>
      </c>
      <c r="N56" s="343">
        <v>127342</v>
      </c>
      <c r="O56" s="343">
        <v>143897</v>
      </c>
      <c r="P56" s="343">
        <v>226768</v>
      </c>
      <c r="Q56" s="343">
        <v>256248</v>
      </c>
      <c r="R56" s="343">
        <v>244981</v>
      </c>
      <c r="S56" s="343">
        <v>276828</v>
      </c>
      <c r="T56" s="343">
        <v>439384</v>
      </c>
      <c r="U56" s="343">
        <v>496504</v>
      </c>
      <c r="V56" s="343">
        <v>148863</v>
      </c>
      <c r="W56" s="343">
        <v>168215</v>
      </c>
      <c r="X56" s="343">
        <v>246969</v>
      </c>
      <c r="Y56" s="343">
        <v>279075</v>
      </c>
      <c r="Z56" s="343">
        <v>273499</v>
      </c>
      <c r="AA56" s="343">
        <v>309053</v>
      </c>
      <c r="AB56" s="343">
        <v>515032</v>
      </c>
      <c r="AC56" s="343">
        <v>581986</v>
      </c>
      <c r="AD56" s="25">
        <v>1000</v>
      </c>
      <c r="AE56" s="25" t="s">
        <v>712</v>
      </c>
      <c r="AF56" s="25" t="s">
        <v>712</v>
      </c>
      <c r="AR56" s="345" t="str">
        <f t="shared" si="6"/>
        <v/>
      </c>
      <c r="AS56" s="341" t="e">
        <f t="shared" si="0"/>
        <v>#REF!</v>
      </c>
      <c r="AT56" s="341" t="e">
        <f t="shared" si="1"/>
        <v>#REF!</v>
      </c>
      <c r="AU56" s="341" t="e">
        <f t="shared" si="2"/>
        <v>#REF!</v>
      </c>
      <c r="AW56" s="341" t="e">
        <f t="shared" si="3"/>
        <v>#REF!</v>
      </c>
      <c r="AX56" s="341" t="e">
        <f t="shared" si="3"/>
        <v>#REF!</v>
      </c>
      <c r="AY56" s="341" t="e">
        <f t="shared" si="3"/>
        <v>#REF!</v>
      </c>
      <c r="AZ56" s="341" t="e">
        <f t="shared" si="4"/>
        <v>#REF!</v>
      </c>
      <c r="BA56" s="342" t="e">
        <f t="shared" si="5"/>
        <v>#REF!</v>
      </c>
    </row>
    <row r="57" spans="1:53" ht="21.5">
      <c r="A57" s="332">
        <v>52</v>
      </c>
      <c r="B57" s="343">
        <v>17986</v>
      </c>
      <c r="C57" s="343">
        <v>20324</v>
      </c>
      <c r="D57" s="343">
        <v>32994</v>
      </c>
      <c r="E57" s="343">
        <v>37283</v>
      </c>
      <c r="F57" s="343">
        <v>17986</v>
      </c>
      <c r="G57" s="343">
        <v>20324</v>
      </c>
      <c r="H57" s="353">
        <v>27191</v>
      </c>
      <c r="I57" s="353">
        <v>30726</v>
      </c>
      <c r="J57" s="343">
        <v>32994</v>
      </c>
      <c r="K57" s="343">
        <v>37283</v>
      </c>
      <c r="L57" s="343">
        <v>75855</v>
      </c>
      <c r="M57" s="343">
        <v>83493</v>
      </c>
      <c r="N57" s="343">
        <v>127342</v>
      </c>
      <c r="O57" s="343">
        <v>143897</v>
      </c>
      <c r="P57" s="343">
        <v>226768</v>
      </c>
      <c r="Q57" s="343">
        <v>256248</v>
      </c>
      <c r="R57" s="343">
        <v>244981</v>
      </c>
      <c r="S57" s="343">
        <v>276828</v>
      </c>
      <c r="T57" s="343">
        <v>439384</v>
      </c>
      <c r="U57" s="343">
        <v>496504</v>
      </c>
      <c r="V57" s="343">
        <v>148863</v>
      </c>
      <c r="W57" s="343">
        <v>168215</v>
      </c>
      <c r="X57" s="343">
        <v>246969</v>
      </c>
      <c r="Y57" s="343">
        <v>279075</v>
      </c>
      <c r="Z57" s="343">
        <v>273499</v>
      </c>
      <c r="AA57" s="343">
        <v>309053</v>
      </c>
      <c r="AB57" s="343">
        <v>515032</v>
      </c>
      <c r="AC57" s="343">
        <v>581986</v>
      </c>
      <c r="AD57" s="25">
        <v>1000</v>
      </c>
      <c r="AE57" s="25" t="s">
        <v>712</v>
      </c>
      <c r="AF57" s="25" t="s">
        <v>712</v>
      </c>
      <c r="AR57" s="345" t="str">
        <f t="shared" si="6"/>
        <v/>
      </c>
      <c r="AS57" s="341" t="e">
        <f t="shared" si="0"/>
        <v>#REF!</v>
      </c>
      <c r="AT57" s="341" t="e">
        <f t="shared" si="1"/>
        <v>#REF!</v>
      </c>
      <c r="AU57" s="341" t="e">
        <f t="shared" si="2"/>
        <v>#REF!</v>
      </c>
      <c r="AW57" s="341" t="e">
        <f t="shared" si="3"/>
        <v>#REF!</v>
      </c>
      <c r="AX57" s="341" t="e">
        <f t="shared" si="3"/>
        <v>#REF!</v>
      </c>
      <c r="AY57" s="341" t="e">
        <f t="shared" si="3"/>
        <v>#REF!</v>
      </c>
      <c r="AZ57" s="341" t="e">
        <f t="shared" si="4"/>
        <v>#REF!</v>
      </c>
      <c r="BA57" s="342" t="e">
        <f t="shared" si="5"/>
        <v>#REF!</v>
      </c>
    </row>
    <row r="58" spans="1:53" ht="21.5">
      <c r="A58" s="332">
        <v>53</v>
      </c>
      <c r="B58" s="343">
        <v>17986</v>
      </c>
      <c r="C58" s="343">
        <v>20324</v>
      </c>
      <c r="D58" s="343">
        <v>32994</v>
      </c>
      <c r="E58" s="343">
        <v>37283</v>
      </c>
      <c r="F58" s="343">
        <v>17986</v>
      </c>
      <c r="G58" s="343">
        <v>20324</v>
      </c>
      <c r="H58" s="353">
        <v>27191</v>
      </c>
      <c r="I58" s="353">
        <v>30726</v>
      </c>
      <c r="J58" s="343">
        <v>32994</v>
      </c>
      <c r="K58" s="343">
        <v>37283</v>
      </c>
      <c r="L58" s="343">
        <v>75855</v>
      </c>
      <c r="M58" s="343">
        <v>83493</v>
      </c>
      <c r="N58" s="343">
        <v>127342</v>
      </c>
      <c r="O58" s="343">
        <v>143897</v>
      </c>
      <c r="P58" s="343">
        <v>226768</v>
      </c>
      <c r="Q58" s="343">
        <v>256248</v>
      </c>
      <c r="R58" s="343">
        <v>244981</v>
      </c>
      <c r="S58" s="343">
        <v>276828</v>
      </c>
      <c r="T58" s="343">
        <v>439384</v>
      </c>
      <c r="U58" s="343">
        <v>496504</v>
      </c>
      <c r="V58" s="343">
        <v>148863</v>
      </c>
      <c r="W58" s="343">
        <v>168215</v>
      </c>
      <c r="X58" s="343">
        <v>246969</v>
      </c>
      <c r="Y58" s="343">
        <v>279075</v>
      </c>
      <c r="Z58" s="343">
        <v>273499</v>
      </c>
      <c r="AA58" s="343">
        <v>309053</v>
      </c>
      <c r="AB58" s="343">
        <v>515032</v>
      </c>
      <c r="AC58" s="343">
        <v>581986</v>
      </c>
      <c r="AD58" s="25">
        <v>1000</v>
      </c>
      <c r="AE58" s="25" t="s">
        <v>712</v>
      </c>
      <c r="AF58" s="25" t="s">
        <v>712</v>
      </c>
      <c r="AR58" s="345" t="str">
        <f t="shared" si="6"/>
        <v/>
      </c>
      <c r="AS58" s="341" t="e">
        <f t="shared" si="0"/>
        <v>#REF!</v>
      </c>
      <c r="AT58" s="341" t="e">
        <f t="shared" si="1"/>
        <v>#REF!</v>
      </c>
      <c r="AU58" s="341" t="e">
        <f t="shared" si="2"/>
        <v>#REF!</v>
      </c>
      <c r="AW58" s="341" t="e">
        <f t="shared" si="3"/>
        <v>#REF!</v>
      </c>
      <c r="AX58" s="341" t="e">
        <f t="shared" si="3"/>
        <v>#REF!</v>
      </c>
      <c r="AY58" s="341" t="e">
        <f t="shared" si="3"/>
        <v>#REF!</v>
      </c>
      <c r="AZ58" s="341" t="e">
        <f t="shared" si="4"/>
        <v>#REF!</v>
      </c>
      <c r="BA58" s="342" t="e">
        <f t="shared" si="5"/>
        <v>#REF!</v>
      </c>
    </row>
    <row r="59" spans="1:53" ht="21.5">
      <c r="A59" s="332">
        <v>54</v>
      </c>
      <c r="B59" s="343">
        <v>17986</v>
      </c>
      <c r="C59" s="343">
        <v>20324</v>
      </c>
      <c r="D59" s="343">
        <v>32994</v>
      </c>
      <c r="E59" s="343">
        <v>37283</v>
      </c>
      <c r="F59" s="343">
        <v>17986</v>
      </c>
      <c r="G59" s="343">
        <v>20324</v>
      </c>
      <c r="H59" s="353">
        <v>27191</v>
      </c>
      <c r="I59" s="353">
        <v>30726</v>
      </c>
      <c r="J59" s="343">
        <v>32994</v>
      </c>
      <c r="K59" s="343">
        <v>37283</v>
      </c>
      <c r="L59" s="343">
        <v>75855</v>
      </c>
      <c r="M59" s="343">
        <v>83493</v>
      </c>
      <c r="N59" s="343">
        <v>127342</v>
      </c>
      <c r="O59" s="343">
        <v>143897</v>
      </c>
      <c r="P59" s="343">
        <v>226768</v>
      </c>
      <c r="Q59" s="343">
        <v>256248</v>
      </c>
      <c r="R59" s="343">
        <v>244981</v>
      </c>
      <c r="S59" s="343">
        <v>276828</v>
      </c>
      <c r="T59" s="343">
        <v>439384</v>
      </c>
      <c r="U59" s="343">
        <v>496504</v>
      </c>
      <c r="V59" s="343">
        <v>148863</v>
      </c>
      <c r="W59" s="343">
        <v>168215</v>
      </c>
      <c r="X59" s="343">
        <v>246969</v>
      </c>
      <c r="Y59" s="343">
        <v>279075</v>
      </c>
      <c r="Z59" s="343">
        <v>273499</v>
      </c>
      <c r="AA59" s="343">
        <v>309053</v>
      </c>
      <c r="AB59" s="343">
        <v>515032</v>
      </c>
      <c r="AC59" s="343">
        <v>581986</v>
      </c>
      <c r="AD59" s="25">
        <v>1000</v>
      </c>
      <c r="AE59" s="25" t="s">
        <v>712</v>
      </c>
      <c r="AF59" s="25" t="s">
        <v>712</v>
      </c>
      <c r="AR59" s="345" t="str">
        <f t="shared" si="6"/>
        <v/>
      </c>
      <c r="AS59" s="341" t="e">
        <f t="shared" si="0"/>
        <v>#REF!</v>
      </c>
      <c r="AT59" s="341" t="e">
        <f t="shared" si="1"/>
        <v>#REF!</v>
      </c>
      <c r="AU59" s="341" t="e">
        <f t="shared" si="2"/>
        <v>#REF!</v>
      </c>
      <c r="AW59" s="341" t="e">
        <f t="shared" si="3"/>
        <v>#REF!</v>
      </c>
      <c r="AX59" s="341" t="e">
        <f t="shared" si="3"/>
        <v>#REF!</v>
      </c>
      <c r="AY59" s="341" t="e">
        <f t="shared" si="3"/>
        <v>#REF!</v>
      </c>
      <c r="AZ59" s="341" t="e">
        <f t="shared" si="4"/>
        <v>#REF!</v>
      </c>
      <c r="BA59" s="342" t="e">
        <f t="shared" si="5"/>
        <v>#REF!</v>
      </c>
    </row>
    <row r="60" spans="1:53" ht="21.5">
      <c r="A60" s="332">
        <v>55</v>
      </c>
      <c r="B60" s="343">
        <v>17986</v>
      </c>
      <c r="C60" s="343">
        <v>20324</v>
      </c>
      <c r="D60" s="343">
        <v>32994</v>
      </c>
      <c r="E60" s="343">
        <v>37283</v>
      </c>
      <c r="F60" s="343">
        <v>17986</v>
      </c>
      <c r="G60" s="343">
        <v>20324</v>
      </c>
      <c r="H60" s="353">
        <v>27191</v>
      </c>
      <c r="I60" s="353">
        <v>30726</v>
      </c>
      <c r="J60" s="343">
        <v>32994</v>
      </c>
      <c r="K60" s="343">
        <v>37283</v>
      </c>
      <c r="L60" s="343">
        <v>75855</v>
      </c>
      <c r="M60" s="343">
        <v>83493</v>
      </c>
      <c r="N60" s="343">
        <v>127342</v>
      </c>
      <c r="O60" s="343">
        <v>143897</v>
      </c>
      <c r="P60" s="343">
        <v>226768</v>
      </c>
      <c r="Q60" s="343">
        <v>256248</v>
      </c>
      <c r="R60" s="343">
        <v>244981</v>
      </c>
      <c r="S60" s="343">
        <v>276828</v>
      </c>
      <c r="T60" s="343">
        <v>439384</v>
      </c>
      <c r="U60" s="343">
        <v>496504</v>
      </c>
      <c r="V60" s="343">
        <v>148863</v>
      </c>
      <c r="W60" s="343">
        <v>168215</v>
      </c>
      <c r="X60" s="343">
        <v>246969</v>
      </c>
      <c r="Y60" s="343">
        <v>279075</v>
      </c>
      <c r="Z60" s="343">
        <v>273499</v>
      </c>
      <c r="AA60" s="343">
        <v>309053</v>
      </c>
      <c r="AB60" s="343">
        <v>515032</v>
      </c>
      <c r="AC60" s="343">
        <v>581986</v>
      </c>
      <c r="AD60" s="25">
        <v>1000</v>
      </c>
      <c r="AE60" s="25" t="s">
        <v>712</v>
      </c>
      <c r="AF60" s="25" t="s">
        <v>712</v>
      </c>
      <c r="AR60" s="345" t="str">
        <f t="shared" si="6"/>
        <v/>
      </c>
      <c r="AS60" s="341" t="e">
        <f t="shared" si="0"/>
        <v>#REF!</v>
      </c>
      <c r="AT60" s="341" t="e">
        <f t="shared" si="1"/>
        <v>#REF!</v>
      </c>
      <c r="AU60" s="341" t="e">
        <f t="shared" si="2"/>
        <v>#REF!</v>
      </c>
      <c r="AW60" s="341" t="e">
        <f t="shared" si="3"/>
        <v>#REF!</v>
      </c>
      <c r="AX60" s="341" t="e">
        <f t="shared" si="3"/>
        <v>#REF!</v>
      </c>
      <c r="AY60" s="341" t="e">
        <f t="shared" si="3"/>
        <v>#REF!</v>
      </c>
      <c r="AZ60" s="341" t="e">
        <f t="shared" si="4"/>
        <v>#REF!</v>
      </c>
      <c r="BA60" s="342" t="e">
        <f t="shared" si="5"/>
        <v>#REF!</v>
      </c>
    </row>
    <row r="61" spans="1:53" ht="21.5">
      <c r="A61" s="332">
        <v>56</v>
      </c>
      <c r="B61" s="343">
        <v>22970</v>
      </c>
      <c r="C61" s="343">
        <v>24348</v>
      </c>
      <c r="D61" s="343">
        <v>39558</v>
      </c>
      <c r="E61" s="343">
        <v>41931</v>
      </c>
      <c r="F61" s="343">
        <v>22970</v>
      </c>
      <c r="G61" s="343">
        <v>24348</v>
      </c>
      <c r="H61" s="353">
        <v>33364</v>
      </c>
      <c r="I61" s="353">
        <v>35366</v>
      </c>
      <c r="J61" s="343">
        <v>39558</v>
      </c>
      <c r="K61" s="343">
        <v>41931</v>
      </c>
      <c r="L61" s="343">
        <v>87545</v>
      </c>
      <c r="M61" s="343">
        <v>91771</v>
      </c>
      <c r="N61" s="343">
        <v>153100</v>
      </c>
      <c r="O61" s="343">
        <v>162286</v>
      </c>
      <c r="P61" s="343">
        <v>272636</v>
      </c>
      <c r="Q61" s="343">
        <v>288994</v>
      </c>
      <c r="R61" s="343">
        <v>294078</v>
      </c>
      <c r="S61" s="343">
        <v>311722</v>
      </c>
      <c r="T61" s="343">
        <v>539408</v>
      </c>
      <c r="U61" s="343">
        <v>571772</v>
      </c>
      <c r="V61" s="343">
        <v>178602</v>
      </c>
      <c r="W61" s="343">
        <v>189318</v>
      </c>
      <c r="X61" s="343">
        <v>296305</v>
      </c>
      <c r="Y61" s="343">
        <v>314084</v>
      </c>
      <c r="Z61" s="343">
        <v>328124</v>
      </c>
      <c r="AA61" s="343">
        <v>347811</v>
      </c>
      <c r="AB61" s="343">
        <v>622485</v>
      </c>
      <c r="AC61" s="343">
        <v>659834</v>
      </c>
      <c r="AD61" s="25">
        <v>1000</v>
      </c>
      <c r="AE61" s="25" t="s">
        <v>712</v>
      </c>
      <c r="AF61" s="25" t="s">
        <v>712</v>
      </c>
      <c r="AR61" s="345" t="str">
        <f t="shared" si="6"/>
        <v/>
      </c>
      <c r="AS61" s="341" t="e">
        <f t="shared" si="0"/>
        <v>#REF!</v>
      </c>
      <c r="AT61" s="341" t="e">
        <f t="shared" si="1"/>
        <v>#REF!</v>
      </c>
      <c r="AU61" s="341" t="e">
        <f t="shared" si="2"/>
        <v>#REF!</v>
      </c>
      <c r="AW61" s="341" t="e">
        <f t="shared" si="3"/>
        <v>#REF!</v>
      </c>
      <c r="AX61" s="341" t="e">
        <f t="shared" si="3"/>
        <v>#REF!</v>
      </c>
      <c r="AY61" s="341" t="e">
        <f t="shared" si="3"/>
        <v>#REF!</v>
      </c>
      <c r="AZ61" s="341" t="e">
        <f t="shared" si="4"/>
        <v>#REF!</v>
      </c>
      <c r="BA61" s="342" t="e">
        <f t="shared" si="5"/>
        <v>#REF!</v>
      </c>
    </row>
    <row r="62" spans="1:53" ht="21.5">
      <c r="A62" s="332">
        <v>57</v>
      </c>
      <c r="B62" s="343">
        <v>22970</v>
      </c>
      <c r="C62" s="343">
        <v>24348</v>
      </c>
      <c r="D62" s="343">
        <v>39558</v>
      </c>
      <c r="E62" s="343">
        <v>41931</v>
      </c>
      <c r="F62" s="343">
        <v>22970</v>
      </c>
      <c r="G62" s="343">
        <v>24348</v>
      </c>
      <c r="H62" s="353">
        <v>33364</v>
      </c>
      <c r="I62" s="353">
        <v>35366</v>
      </c>
      <c r="J62" s="343">
        <v>39558</v>
      </c>
      <c r="K62" s="343">
        <v>41931</v>
      </c>
      <c r="L62" s="343">
        <v>87545</v>
      </c>
      <c r="M62" s="343">
        <v>91771</v>
      </c>
      <c r="N62" s="343">
        <v>153100</v>
      </c>
      <c r="O62" s="343">
        <v>162286</v>
      </c>
      <c r="P62" s="343">
        <v>272636</v>
      </c>
      <c r="Q62" s="343">
        <v>288994</v>
      </c>
      <c r="R62" s="343">
        <v>294078</v>
      </c>
      <c r="S62" s="343">
        <v>311722</v>
      </c>
      <c r="T62" s="343">
        <v>539408</v>
      </c>
      <c r="U62" s="343">
        <v>571772</v>
      </c>
      <c r="V62" s="343">
        <v>178602</v>
      </c>
      <c r="W62" s="343">
        <v>189318</v>
      </c>
      <c r="X62" s="343">
        <v>296305</v>
      </c>
      <c r="Y62" s="343">
        <v>314084</v>
      </c>
      <c r="Z62" s="343">
        <v>328124</v>
      </c>
      <c r="AA62" s="343">
        <v>347811</v>
      </c>
      <c r="AB62" s="343">
        <v>622485</v>
      </c>
      <c r="AC62" s="343">
        <v>659834</v>
      </c>
      <c r="AD62" s="25">
        <v>1000</v>
      </c>
      <c r="AE62" s="25" t="s">
        <v>712</v>
      </c>
      <c r="AF62" s="25" t="s">
        <v>712</v>
      </c>
      <c r="AR62" s="345" t="str">
        <f t="shared" si="6"/>
        <v/>
      </c>
      <c r="AS62" s="341" t="e">
        <f t="shared" si="0"/>
        <v>#REF!</v>
      </c>
      <c r="AT62" s="341" t="e">
        <f t="shared" si="1"/>
        <v>#REF!</v>
      </c>
      <c r="AU62" s="341" t="e">
        <f t="shared" si="2"/>
        <v>#REF!</v>
      </c>
      <c r="AW62" s="341" t="e">
        <f t="shared" si="3"/>
        <v>#REF!</v>
      </c>
      <c r="AX62" s="341" t="e">
        <f t="shared" si="3"/>
        <v>#REF!</v>
      </c>
      <c r="AY62" s="341" t="e">
        <f t="shared" si="3"/>
        <v>#REF!</v>
      </c>
      <c r="AZ62" s="341" t="e">
        <f t="shared" si="4"/>
        <v>#REF!</v>
      </c>
      <c r="BA62" s="342" t="e">
        <f t="shared" si="5"/>
        <v>#REF!</v>
      </c>
    </row>
    <row r="63" spans="1:53" ht="21.5">
      <c r="A63" s="332">
        <v>58</v>
      </c>
      <c r="B63" s="343">
        <v>22970</v>
      </c>
      <c r="C63" s="343">
        <v>24348</v>
      </c>
      <c r="D63" s="343">
        <v>39558</v>
      </c>
      <c r="E63" s="343">
        <v>41931</v>
      </c>
      <c r="F63" s="343">
        <v>22970</v>
      </c>
      <c r="G63" s="343">
        <v>24348</v>
      </c>
      <c r="H63" s="353">
        <v>33364</v>
      </c>
      <c r="I63" s="353">
        <v>35366</v>
      </c>
      <c r="J63" s="343">
        <v>39558</v>
      </c>
      <c r="K63" s="343">
        <v>41931</v>
      </c>
      <c r="L63" s="343">
        <v>87545</v>
      </c>
      <c r="M63" s="343">
        <v>91771</v>
      </c>
      <c r="N63" s="343">
        <v>153100</v>
      </c>
      <c r="O63" s="343">
        <v>162286</v>
      </c>
      <c r="P63" s="343">
        <v>272636</v>
      </c>
      <c r="Q63" s="343">
        <v>288994</v>
      </c>
      <c r="R63" s="343">
        <v>294078</v>
      </c>
      <c r="S63" s="343">
        <v>311722</v>
      </c>
      <c r="T63" s="343">
        <v>539408</v>
      </c>
      <c r="U63" s="343">
        <v>571772</v>
      </c>
      <c r="V63" s="343">
        <v>178602</v>
      </c>
      <c r="W63" s="343">
        <v>189318</v>
      </c>
      <c r="X63" s="343">
        <v>296305</v>
      </c>
      <c r="Y63" s="343">
        <v>314084</v>
      </c>
      <c r="Z63" s="343">
        <v>328124</v>
      </c>
      <c r="AA63" s="343">
        <v>347811</v>
      </c>
      <c r="AB63" s="343">
        <v>622485</v>
      </c>
      <c r="AC63" s="343">
        <v>659834</v>
      </c>
      <c r="AD63" s="25">
        <v>1000</v>
      </c>
      <c r="AE63" s="25" t="s">
        <v>712</v>
      </c>
      <c r="AF63" s="25" t="s">
        <v>712</v>
      </c>
      <c r="AR63" s="345" t="str">
        <f t="shared" si="6"/>
        <v/>
      </c>
      <c r="AS63" s="341" t="e">
        <f t="shared" si="0"/>
        <v>#REF!</v>
      </c>
      <c r="AT63" s="341" t="e">
        <f t="shared" si="1"/>
        <v>#REF!</v>
      </c>
      <c r="AU63" s="341" t="e">
        <f t="shared" si="2"/>
        <v>#REF!</v>
      </c>
      <c r="AW63" s="341" t="e">
        <f t="shared" si="3"/>
        <v>#REF!</v>
      </c>
      <c r="AX63" s="341" t="e">
        <f t="shared" si="3"/>
        <v>#REF!</v>
      </c>
      <c r="AY63" s="341" t="e">
        <f t="shared" si="3"/>
        <v>#REF!</v>
      </c>
      <c r="AZ63" s="341" t="e">
        <f t="shared" si="4"/>
        <v>#REF!</v>
      </c>
      <c r="BA63" s="342" t="e">
        <f t="shared" si="5"/>
        <v>#REF!</v>
      </c>
    </row>
    <row r="64" spans="1:53" ht="21.5">
      <c r="A64" s="332">
        <v>59</v>
      </c>
      <c r="B64" s="343">
        <v>22970</v>
      </c>
      <c r="C64" s="343">
        <v>24348</v>
      </c>
      <c r="D64" s="343">
        <v>39558</v>
      </c>
      <c r="E64" s="343">
        <v>41931</v>
      </c>
      <c r="F64" s="343">
        <v>22970</v>
      </c>
      <c r="G64" s="343">
        <v>24348</v>
      </c>
      <c r="H64" s="353">
        <v>33364</v>
      </c>
      <c r="I64" s="353">
        <v>35366</v>
      </c>
      <c r="J64" s="343">
        <v>39558</v>
      </c>
      <c r="K64" s="343">
        <v>41931</v>
      </c>
      <c r="L64" s="343">
        <v>87545</v>
      </c>
      <c r="M64" s="343">
        <v>91771</v>
      </c>
      <c r="N64" s="343">
        <v>153100</v>
      </c>
      <c r="O64" s="343">
        <v>162286</v>
      </c>
      <c r="P64" s="343">
        <v>272636</v>
      </c>
      <c r="Q64" s="343">
        <v>288994</v>
      </c>
      <c r="R64" s="343">
        <v>294078</v>
      </c>
      <c r="S64" s="343">
        <v>311722</v>
      </c>
      <c r="T64" s="343">
        <v>539408</v>
      </c>
      <c r="U64" s="343">
        <v>571772</v>
      </c>
      <c r="V64" s="343">
        <v>178602</v>
      </c>
      <c r="W64" s="343">
        <v>189318</v>
      </c>
      <c r="X64" s="343">
        <v>296305</v>
      </c>
      <c r="Y64" s="343">
        <v>314084</v>
      </c>
      <c r="Z64" s="343">
        <v>328124</v>
      </c>
      <c r="AA64" s="343">
        <v>347811</v>
      </c>
      <c r="AB64" s="343">
        <v>622485</v>
      </c>
      <c r="AC64" s="343">
        <v>659834</v>
      </c>
      <c r="AD64" s="25">
        <v>1000</v>
      </c>
      <c r="AE64" s="25" t="s">
        <v>712</v>
      </c>
      <c r="AF64" s="25" t="s">
        <v>712</v>
      </c>
      <c r="AR64" s="345" t="str">
        <f t="shared" si="6"/>
        <v/>
      </c>
      <c r="AS64" s="341" t="e">
        <f t="shared" si="0"/>
        <v>#REF!</v>
      </c>
      <c r="AT64" s="341" t="e">
        <f t="shared" si="1"/>
        <v>#REF!</v>
      </c>
      <c r="AU64" s="341" t="e">
        <f t="shared" si="2"/>
        <v>#REF!</v>
      </c>
      <c r="AW64" s="341" t="e">
        <f t="shared" si="3"/>
        <v>#REF!</v>
      </c>
      <c r="AX64" s="341" t="e">
        <f t="shared" si="3"/>
        <v>#REF!</v>
      </c>
      <c r="AY64" s="341" t="e">
        <f t="shared" si="3"/>
        <v>#REF!</v>
      </c>
      <c r="AZ64" s="341" t="e">
        <f t="shared" si="4"/>
        <v>#REF!</v>
      </c>
      <c r="BA64" s="342" t="e">
        <f t="shared" si="5"/>
        <v>#REF!</v>
      </c>
    </row>
    <row r="65" spans="1:53" ht="21.5">
      <c r="A65" s="332">
        <v>60</v>
      </c>
      <c r="B65" s="343">
        <v>22970</v>
      </c>
      <c r="C65" s="343">
        <v>24348</v>
      </c>
      <c r="D65" s="343">
        <v>39558</v>
      </c>
      <c r="E65" s="343">
        <v>41931</v>
      </c>
      <c r="F65" s="343">
        <v>22970</v>
      </c>
      <c r="G65" s="343">
        <v>24348</v>
      </c>
      <c r="H65" s="353">
        <v>33364</v>
      </c>
      <c r="I65" s="353">
        <v>35366</v>
      </c>
      <c r="J65" s="343">
        <v>39558</v>
      </c>
      <c r="K65" s="343">
        <v>41931</v>
      </c>
      <c r="L65" s="343">
        <v>87545</v>
      </c>
      <c r="M65" s="343">
        <v>91771</v>
      </c>
      <c r="N65" s="343">
        <v>153100</v>
      </c>
      <c r="O65" s="343">
        <v>162286</v>
      </c>
      <c r="P65" s="343">
        <v>272636</v>
      </c>
      <c r="Q65" s="343">
        <v>288994</v>
      </c>
      <c r="R65" s="343">
        <v>294078</v>
      </c>
      <c r="S65" s="343">
        <v>311722</v>
      </c>
      <c r="T65" s="343">
        <v>539408</v>
      </c>
      <c r="U65" s="343">
        <v>571772</v>
      </c>
      <c r="V65" s="343">
        <v>178602</v>
      </c>
      <c r="W65" s="343">
        <v>189318</v>
      </c>
      <c r="X65" s="343">
        <v>296305</v>
      </c>
      <c r="Y65" s="343">
        <v>314084</v>
      </c>
      <c r="Z65" s="343">
        <v>328124</v>
      </c>
      <c r="AA65" s="343">
        <v>347811</v>
      </c>
      <c r="AB65" s="343">
        <v>622485</v>
      </c>
      <c r="AC65" s="343">
        <v>659834</v>
      </c>
      <c r="AD65" s="25">
        <v>1000</v>
      </c>
      <c r="AE65" s="25" t="s">
        <v>712</v>
      </c>
      <c r="AF65" s="25" t="s">
        <v>712</v>
      </c>
      <c r="AR65" s="345" t="str">
        <f t="shared" si="6"/>
        <v/>
      </c>
      <c r="AS65" s="341" t="e">
        <f t="shared" si="0"/>
        <v>#REF!</v>
      </c>
      <c r="AT65" s="341" t="e">
        <f t="shared" si="1"/>
        <v>#REF!</v>
      </c>
      <c r="AU65" s="341" t="e">
        <f t="shared" si="2"/>
        <v>#REF!</v>
      </c>
      <c r="AW65" s="341" t="e">
        <f t="shared" si="3"/>
        <v>#REF!</v>
      </c>
      <c r="AX65" s="341" t="e">
        <f t="shared" si="3"/>
        <v>#REF!</v>
      </c>
      <c r="AY65" s="341" t="e">
        <f t="shared" si="3"/>
        <v>#REF!</v>
      </c>
      <c r="AZ65" s="341" t="e">
        <f t="shared" si="4"/>
        <v>#REF!</v>
      </c>
      <c r="BA65" s="342" t="e">
        <f t="shared" si="5"/>
        <v>#REF!</v>
      </c>
    </row>
    <row r="66" spans="1:53" ht="21.5">
      <c r="A66" s="332">
        <v>61</v>
      </c>
      <c r="B66" s="343">
        <v>33773</v>
      </c>
      <c r="C66" s="343">
        <v>32790</v>
      </c>
      <c r="D66" s="343">
        <v>54348</v>
      </c>
      <c r="E66" s="343">
        <v>52765</v>
      </c>
      <c r="F66" s="343">
        <v>33773</v>
      </c>
      <c r="G66" s="343">
        <v>32790</v>
      </c>
      <c r="H66" s="353">
        <v>46589</v>
      </c>
      <c r="I66" s="353">
        <v>45232</v>
      </c>
      <c r="J66" s="343">
        <v>54348</v>
      </c>
      <c r="K66" s="343">
        <v>52765</v>
      </c>
      <c r="L66" s="343">
        <v>113882</v>
      </c>
      <c r="M66" s="343">
        <v>111063</v>
      </c>
      <c r="N66" s="343">
        <v>217262</v>
      </c>
      <c r="O66" s="343">
        <v>210934</v>
      </c>
      <c r="P66" s="343">
        <v>386893</v>
      </c>
      <c r="Q66" s="343">
        <v>375625</v>
      </c>
      <c r="R66" s="343">
        <v>417649</v>
      </c>
      <c r="S66" s="343">
        <v>405485</v>
      </c>
      <c r="T66" s="343">
        <v>770735</v>
      </c>
      <c r="U66" s="343">
        <v>748287</v>
      </c>
      <c r="V66" s="343">
        <v>263644</v>
      </c>
      <c r="W66" s="343">
        <v>255965</v>
      </c>
      <c r="X66" s="343">
        <v>437393</v>
      </c>
      <c r="Y66" s="343">
        <v>424654</v>
      </c>
      <c r="Z66" s="343">
        <v>484360</v>
      </c>
      <c r="AA66" s="343">
        <v>470253</v>
      </c>
      <c r="AB66" s="343">
        <v>915625</v>
      </c>
      <c r="AC66" s="343">
        <v>888956</v>
      </c>
      <c r="AD66" s="25">
        <v>1000</v>
      </c>
      <c r="AE66" s="25" t="s">
        <v>712</v>
      </c>
      <c r="AF66" s="25" t="s">
        <v>712</v>
      </c>
      <c r="AR66" s="345" t="str">
        <f t="shared" si="6"/>
        <v/>
      </c>
      <c r="AS66" s="341" t="e">
        <f t="shared" si="0"/>
        <v>#REF!</v>
      </c>
      <c r="AT66" s="341" t="e">
        <f t="shared" si="1"/>
        <v>#REF!</v>
      </c>
      <c r="AU66" s="341" t="e">
        <f t="shared" si="2"/>
        <v>#REF!</v>
      </c>
      <c r="AW66" s="341" t="e">
        <f t="shared" si="3"/>
        <v>#REF!</v>
      </c>
      <c r="AX66" s="341" t="e">
        <f t="shared" si="3"/>
        <v>#REF!</v>
      </c>
      <c r="AY66" s="341" t="e">
        <f t="shared" si="3"/>
        <v>#REF!</v>
      </c>
      <c r="AZ66" s="341" t="e">
        <f t="shared" si="4"/>
        <v>#REF!</v>
      </c>
      <c r="BA66" s="342" t="e">
        <f t="shared" si="5"/>
        <v>#REF!</v>
      </c>
    </row>
    <row r="67" spans="1:53" ht="21.5">
      <c r="A67" s="332">
        <v>62</v>
      </c>
      <c r="B67" s="343">
        <v>33773</v>
      </c>
      <c r="C67" s="343">
        <v>32790</v>
      </c>
      <c r="D67" s="343">
        <v>54348</v>
      </c>
      <c r="E67" s="343">
        <v>52765</v>
      </c>
      <c r="F67" s="343">
        <v>33773</v>
      </c>
      <c r="G67" s="343">
        <v>32790</v>
      </c>
      <c r="H67" s="353">
        <v>46589</v>
      </c>
      <c r="I67" s="353">
        <v>45232</v>
      </c>
      <c r="J67" s="343">
        <v>54348</v>
      </c>
      <c r="K67" s="343">
        <v>52765</v>
      </c>
      <c r="L67" s="343">
        <v>113882</v>
      </c>
      <c r="M67" s="343">
        <v>111063</v>
      </c>
      <c r="N67" s="343">
        <v>217262</v>
      </c>
      <c r="O67" s="343">
        <v>210934</v>
      </c>
      <c r="P67" s="343">
        <v>386893</v>
      </c>
      <c r="Q67" s="343">
        <v>375625</v>
      </c>
      <c r="R67" s="343">
        <v>417649</v>
      </c>
      <c r="S67" s="343">
        <v>405485</v>
      </c>
      <c r="T67" s="343">
        <v>770735</v>
      </c>
      <c r="U67" s="343">
        <v>748287</v>
      </c>
      <c r="V67" s="343">
        <v>263644</v>
      </c>
      <c r="W67" s="343">
        <v>255965</v>
      </c>
      <c r="X67" s="343">
        <v>437393</v>
      </c>
      <c r="Y67" s="343">
        <v>424654</v>
      </c>
      <c r="Z67" s="343">
        <v>484360</v>
      </c>
      <c r="AA67" s="343">
        <v>470253</v>
      </c>
      <c r="AB67" s="343">
        <v>915625</v>
      </c>
      <c r="AC67" s="343">
        <v>888956</v>
      </c>
      <c r="AD67" s="25">
        <v>1000</v>
      </c>
      <c r="AE67" s="25" t="s">
        <v>712</v>
      </c>
      <c r="AF67" s="25" t="s">
        <v>712</v>
      </c>
      <c r="AR67" s="345" t="str">
        <f t="shared" si="6"/>
        <v/>
      </c>
      <c r="AS67" s="341" t="e">
        <f t="shared" si="0"/>
        <v>#REF!</v>
      </c>
      <c r="AT67" s="341" t="e">
        <f t="shared" si="1"/>
        <v>#REF!</v>
      </c>
      <c r="AU67" s="341" t="e">
        <f t="shared" si="2"/>
        <v>#REF!</v>
      </c>
      <c r="AW67" s="341" t="e">
        <f t="shared" si="3"/>
        <v>#REF!</v>
      </c>
      <c r="AX67" s="341" t="e">
        <f t="shared" si="3"/>
        <v>#REF!</v>
      </c>
      <c r="AY67" s="341" t="e">
        <f t="shared" si="3"/>
        <v>#REF!</v>
      </c>
      <c r="AZ67" s="341" t="e">
        <f t="shared" si="4"/>
        <v>#REF!</v>
      </c>
      <c r="BA67" s="342" t="e">
        <f t="shared" si="5"/>
        <v>#REF!</v>
      </c>
    </row>
    <row r="68" spans="1:53" ht="21.5">
      <c r="A68" s="332">
        <v>63</v>
      </c>
      <c r="B68" s="343">
        <v>33773</v>
      </c>
      <c r="C68" s="343">
        <v>32790</v>
      </c>
      <c r="D68" s="343">
        <v>54348</v>
      </c>
      <c r="E68" s="343">
        <v>52765</v>
      </c>
      <c r="F68" s="343">
        <v>33773</v>
      </c>
      <c r="G68" s="343">
        <v>32790</v>
      </c>
      <c r="H68" s="353">
        <v>46589</v>
      </c>
      <c r="I68" s="353">
        <v>45232</v>
      </c>
      <c r="J68" s="343">
        <v>54348</v>
      </c>
      <c r="K68" s="343">
        <v>52765</v>
      </c>
      <c r="L68" s="343">
        <v>113882</v>
      </c>
      <c r="M68" s="343">
        <v>111063</v>
      </c>
      <c r="N68" s="343">
        <v>217262</v>
      </c>
      <c r="O68" s="343">
        <v>210934</v>
      </c>
      <c r="P68" s="343">
        <v>386893</v>
      </c>
      <c r="Q68" s="343">
        <v>375625</v>
      </c>
      <c r="R68" s="343">
        <v>417649</v>
      </c>
      <c r="S68" s="343">
        <v>405485</v>
      </c>
      <c r="T68" s="343">
        <v>770735</v>
      </c>
      <c r="U68" s="343">
        <v>748287</v>
      </c>
      <c r="V68" s="343">
        <v>263644</v>
      </c>
      <c r="W68" s="343">
        <v>255965</v>
      </c>
      <c r="X68" s="343">
        <v>437393</v>
      </c>
      <c r="Y68" s="343">
        <v>424654</v>
      </c>
      <c r="Z68" s="343">
        <v>484360</v>
      </c>
      <c r="AA68" s="343">
        <v>470253</v>
      </c>
      <c r="AB68" s="343">
        <v>915625</v>
      </c>
      <c r="AC68" s="343">
        <v>888956</v>
      </c>
      <c r="AD68" s="25">
        <v>1000</v>
      </c>
      <c r="AE68" s="25" t="s">
        <v>712</v>
      </c>
      <c r="AF68" s="25" t="s">
        <v>712</v>
      </c>
      <c r="AR68" s="345" t="str">
        <f t="shared" si="6"/>
        <v/>
      </c>
      <c r="AS68" s="341" t="e">
        <f t="shared" si="0"/>
        <v>#REF!</v>
      </c>
      <c r="AT68" s="341" t="e">
        <f t="shared" si="1"/>
        <v>#REF!</v>
      </c>
      <c r="AU68" s="341" t="e">
        <f t="shared" si="2"/>
        <v>#REF!</v>
      </c>
      <c r="AW68" s="341" t="e">
        <f t="shared" si="3"/>
        <v>#REF!</v>
      </c>
      <c r="AX68" s="341" t="e">
        <f t="shared" si="3"/>
        <v>#REF!</v>
      </c>
      <c r="AY68" s="341" t="e">
        <f t="shared" si="3"/>
        <v>#REF!</v>
      </c>
      <c r="AZ68" s="341" t="e">
        <f t="shared" si="4"/>
        <v>#REF!</v>
      </c>
      <c r="BA68" s="342" t="e">
        <f t="shared" si="5"/>
        <v>#REF!</v>
      </c>
    </row>
    <row r="69" spans="1:53" ht="21.5">
      <c r="A69" s="332">
        <v>64</v>
      </c>
      <c r="B69" s="343">
        <v>33773</v>
      </c>
      <c r="C69" s="343">
        <v>32790</v>
      </c>
      <c r="D69" s="343">
        <v>54348</v>
      </c>
      <c r="E69" s="343">
        <v>52765</v>
      </c>
      <c r="F69" s="343">
        <v>33773</v>
      </c>
      <c r="G69" s="343">
        <v>32790</v>
      </c>
      <c r="H69" s="353">
        <v>46589</v>
      </c>
      <c r="I69" s="353">
        <v>45232</v>
      </c>
      <c r="J69" s="343">
        <v>54348</v>
      </c>
      <c r="K69" s="343">
        <v>52765</v>
      </c>
      <c r="L69" s="343">
        <v>113882</v>
      </c>
      <c r="M69" s="343">
        <v>111063</v>
      </c>
      <c r="N69" s="343">
        <v>217262</v>
      </c>
      <c r="O69" s="343">
        <v>210934</v>
      </c>
      <c r="P69" s="343">
        <v>386893</v>
      </c>
      <c r="Q69" s="343">
        <v>375625</v>
      </c>
      <c r="R69" s="343">
        <v>417649</v>
      </c>
      <c r="S69" s="343">
        <v>405485</v>
      </c>
      <c r="T69" s="343">
        <v>770735</v>
      </c>
      <c r="U69" s="343">
        <v>748287</v>
      </c>
      <c r="V69" s="343">
        <v>263644</v>
      </c>
      <c r="W69" s="343">
        <v>255965</v>
      </c>
      <c r="X69" s="343">
        <v>437393</v>
      </c>
      <c r="Y69" s="343">
        <v>424654</v>
      </c>
      <c r="Z69" s="343">
        <v>484360</v>
      </c>
      <c r="AA69" s="343">
        <v>470253</v>
      </c>
      <c r="AB69" s="343">
        <v>915625</v>
      </c>
      <c r="AC69" s="343">
        <v>888956</v>
      </c>
      <c r="AD69" s="25">
        <v>1000</v>
      </c>
      <c r="AE69" s="25" t="s">
        <v>712</v>
      </c>
      <c r="AF69" s="25" t="s">
        <v>712</v>
      </c>
      <c r="AR69" s="345" t="str">
        <f t="shared" si="6"/>
        <v/>
      </c>
      <c r="AS69" s="341" t="e">
        <f t="shared" ref="AS69:AS89" si="7">IFERROR(INDEX($A$2:$AC$90,MATCH($AR69,$A$5:$A$90,)+3,MATCH($AS$4,$B$2:$AC$2,)+1),0)*$AI$11</f>
        <v>#REF!</v>
      </c>
      <c r="AT69" s="341" t="e">
        <f t="shared" ref="AT69:AT89" si="8">IFERROR(IF(MID($AT$4,5,1)="1",(INDEX($A$95:$AC$183,MATCH($AR69,$A$98:$A$183,)+3,MATCH($AT$4,$B$95:$AC$95,)+1)),IF(MID($AT$4,5,1)="2",(INDEX($A$186:$AC$274,MATCH($AR69,$A$189:$A$274,)+3,MATCH($AT$4,$B$186:$AC$186,)+1)),0)),0)*$AI$11</f>
        <v>#REF!</v>
      </c>
      <c r="AU69" s="341" t="e">
        <f t="shared" ref="AU69:AU89" si="9">IFERROR(INDEX($A$186:$AC$274,MATCH($AR69,$A$189:$A$274,)+3,MATCH($AU$4,$B$186:$AC$186,)+1),0)*$AI$11</f>
        <v>#REF!</v>
      </c>
      <c r="AW69" s="341" t="e">
        <f t="shared" si="3"/>
        <v>#REF!</v>
      </c>
      <c r="AX69" s="341" t="e">
        <f t="shared" si="3"/>
        <v>#REF!</v>
      </c>
      <c r="AY69" s="341" t="e">
        <f t="shared" si="3"/>
        <v>#REF!</v>
      </c>
      <c r="AZ69" s="341" t="e">
        <f t="shared" si="4"/>
        <v>#REF!</v>
      </c>
      <c r="BA69" s="342" t="e">
        <f t="shared" si="5"/>
        <v>#REF!</v>
      </c>
    </row>
    <row r="70" spans="1:53" ht="21.5">
      <c r="A70" s="332">
        <v>65</v>
      </c>
      <c r="B70" s="343">
        <v>33773</v>
      </c>
      <c r="C70" s="343">
        <v>32790</v>
      </c>
      <c r="D70" s="343">
        <v>54348</v>
      </c>
      <c r="E70" s="343">
        <v>52765</v>
      </c>
      <c r="F70" s="343">
        <v>33773</v>
      </c>
      <c r="G70" s="343">
        <v>32790</v>
      </c>
      <c r="H70" s="353">
        <v>46589</v>
      </c>
      <c r="I70" s="353">
        <v>45232</v>
      </c>
      <c r="J70" s="343">
        <v>54348</v>
      </c>
      <c r="K70" s="343">
        <v>52765</v>
      </c>
      <c r="L70" s="343">
        <v>113882</v>
      </c>
      <c r="M70" s="343">
        <v>111063</v>
      </c>
      <c r="N70" s="343">
        <v>217262</v>
      </c>
      <c r="O70" s="343">
        <v>210934</v>
      </c>
      <c r="P70" s="343">
        <v>386893</v>
      </c>
      <c r="Q70" s="343">
        <v>375625</v>
      </c>
      <c r="R70" s="343">
        <v>417649</v>
      </c>
      <c r="S70" s="343">
        <v>405485</v>
      </c>
      <c r="T70" s="343">
        <v>770735</v>
      </c>
      <c r="U70" s="343">
        <v>748287</v>
      </c>
      <c r="V70" s="343">
        <v>263644</v>
      </c>
      <c r="W70" s="343">
        <v>255965</v>
      </c>
      <c r="X70" s="343">
        <v>437393</v>
      </c>
      <c r="Y70" s="343">
        <v>424654</v>
      </c>
      <c r="Z70" s="343">
        <v>484360</v>
      </c>
      <c r="AA70" s="343">
        <v>470253</v>
      </c>
      <c r="AB70" s="343">
        <v>915625</v>
      </c>
      <c r="AC70" s="343">
        <v>888956</v>
      </c>
      <c r="AD70" s="25">
        <v>1000</v>
      </c>
      <c r="AE70" s="25" t="s">
        <v>712</v>
      </c>
      <c r="AF70" s="25" t="s">
        <v>712</v>
      </c>
      <c r="AR70" s="345" t="str">
        <f t="shared" si="6"/>
        <v/>
      </c>
      <c r="AS70" s="341" t="e">
        <f t="shared" si="7"/>
        <v>#REF!</v>
      </c>
      <c r="AT70" s="341" t="e">
        <f t="shared" si="8"/>
        <v>#REF!</v>
      </c>
      <c r="AU70" s="341" t="e">
        <f t="shared" si="9"/>
        <v>#REF!</v>
      </c>
      <c r="AW70" s="341" t="e">
        <f t="shared" ref="AW70:AY89" si="10">ROUNDDOWN(AS70*$AJ$13,2)</f>
        <v>#REF!</v>
      </c>
      <c r="AX70" s="341" t="e">
        <f t="shared" si="10"/>
        <v>#REF!</v>
      </c>
      <c r="AY70" s="341" t="e">
        <f t="shared" si="10"/>
        <v>#REF!</v>
      </c>
      <c r="AZ70" s="341" t="e">
        <f t="shared" ref="AZ70:AZ89" si="11">SUM(AW70:AY70)</f>
        <v>#REF!</v>
      </c>
      <c r="BA70" s="342" t="e">
        <f t="shared" ref="BA70:BA89" si="12">AZ70*$AK$13</f>
        <v>#REF!</v>
      </c>
    </row>
    <row r="71" spans="1:53" ht="21.5">
      <c r="A71" s="332">
        <v>66</v>
      </c>
      <c r="B71" s="343">
        <v>43450</v>
      </c>
      <c r="C71" s="343">
        <v>41381</v>
      </c>
      <c r="D71" s="343">
        <v>67037</v>
      </c>
      <c r="E71" s="343">
        <v>63845</v>
      </c>
      <c r="F71" s="343">
        <v>43450</v>
      </c>
      <c r="G71" s="343">
        <v>41381</v>
      </c>
      <c r="H71" s="353">
        <v>58202</v>
      </c>
      <c r="I71" s="353">
        <v>55430</v>
      </c>
      <c r="J71" s="343">
        <v>67037</v>
      </c>
      <c r="K71" s="343">
        <v>63845</v>
      </c>
      <c r="L71" s="343">
        <v>136478</v>
      </c>
      <c r="M71" s="343">
        <v>130793</v>
      </c>
      <c r="N71" s="343">
        <v>278303</v>
      </c>
      <c r="O71" s="343">
        <v>265050</v>
      </c>
      <c r="P71" s="343">
        <v>495594</v>
      </c>
      <c r="Q71" s="343">
        <v>471994</v>
      </c>
      <c r="R71" s="343">
        <v>536004</v>
      </c>
      <c r="S71" s="343">
        <v>510480</v>
      </c>
      <c r="T71" s="343">
        <v>987309</v>
      </c>
      <c r="U71" s="343">
        <v>940294</v>
      </c>
      <c r="V71" s="343">
        <v>334603</v>
      </c>
      <c r="W71" s="343">
        <v>318669</v>
      </c>
      <c r="X71" s="343">
        <v>555115</v>
      </c>
      <c r="Y71" s="343">
        <v>528681</v>
      </c>
      <c r="Z71" s="343">
        <v>614730</v>
      </c>
      <c r="AA71" s="343">
        <v>585457</v>
      </c>
      <c r="AB71" s="343">
        <v>1156806</v>
      </c>
      <c r="AC71" s="343">
        <v>1101720</v>
      </c>
      <c r="AD71" s="25">
        <v>1001</v>
      </c>
      <c r="AE71" s="25" t="s">
        <v>712</v>
      </c>
      <c r="AF71" s="25" t="s">
        <v>712</v>
      </c>
      <c r="AR71" s="345" t="str">
        <f t="shared" si="6"/>
        <v/>
      </c>
      <c r="AS71" s="341" t="e">
        <f t="shared" si="7"/>
        <v>#REF!</v>
      </c>
      <c r="AT71" s="341" t="e">
        <f t="shared" si="8"/>
        <v>#REF!</v>
      </c>
      <c r="AU71" s="341" t="e">
        <f t="shared" si="9"/>
        <v>#REF!</v>
      </c>
      <c r="AW71" s="341" t="e">
        <f t="shared" si="10"/>
        <v>#REF!</v>
      </c>
      <c r="AX71" s="341" t="e">
        <f t="shared" si="10"/>
        <v>#REF!</v>
      </c>
      <c r="AY71" s="341" t="e">
        <f t="shared" si="10"/>
        <v>#REF!</v>
      </c>
      <c r="AZ71" s="341" t="e">
        <f t="shared" si="11"/>
        <v>#REF!</v>
      </c>
      <c r="BA71" s="342" t="e">
        <f t="shared" si="12"/>
        <v>#REF!</v>
      </c>
    </row>
    <row r="72" spans="1:53" ht="21.5">
      <c r="A72" s="332">
        <v>67</v>
      </c>
      <c r="B72" s="343">
        <v>43450</v>
      </c>
      <c r="C72" s="343">
        <v>41381</v>
      </c>
      <c r="D72" s="343">
        <v>67037</v>
      </c>
      <c r="E72" s="343">
        <v>63845</v>
      </c>
      <c r="F72" s="343">
        <v>43450</v>
      </c>
      <c r="G72" s="343">
        <v>41381</v>
      </c>
      <c r="H72" s="353">
        <v>58202</v>
      </c>
      <c r="I72" s="353">
        <v>55430</v>
      </c>
      <c r="J72" s="343">
        <v>67037</v>
      </c>
      <c r="K72" s="343">
        <v>63845</v>
      </c>
      <c r="L72" s="343">
        <v>136478</v>
      </c>
      <c r="M72" s="343">
        <v>130793</v>
      </c>
      <c r="N72" s="343">
        <v>278303</v>
      </c>
      <c r="O72" s="343">
        <v>265050</v>
      </c>
      <c r="P72" s="343">
        <v>495594</v>
      </c>
      <c r="Q72" s="343">
        <v>471994</v>
      </c>
      <c r="R72" s="343">
        <v>536004</v>
      </c>
      <c r="S72" s="343">
        <v>510480</v>
      </c>
      <c r="T72" s="343">
        <v>987309</v>
      </c>
      <c r="U72" s="343">
        <v>940294</v>
      </c>
      <c r="V72" s="343">
        <v>334603</v>
      </c>
      <c r="W72" s="343">
        <v>318669</v>
      </c>
      <c r="X72" s="343">
        <v>555115</v>
      </c>
      <c r="Y72" s="343">
        <v>528681</v>
      </c>
      <c r="Z72" s="343">
        <v>614730</v>
      </c>
      <c r="AA72" s="343">
        <v>585457</v>
      </c>
      <c r="AB72" s="343">
        <v>1156806</v>
      </c>
      <c r="AC72" s="343">
        <v>1101720</v>
      </c>
      <c r="AD72" s="25">
        <v>1002</v>
      </c>
      <c r="AE72" s="25" t="s">
        <v>712</v>
      </c>
      <c r="AF72" s="25" t="s">
        <v>712</v>
      </c>
      <c r="AR72" s="345" t="str">
        <f t="shared" si="6"/>
        <v/>
      </c>
      <c r="AS72" s="341" t="e">
        <f t="shared" si="7"/>
        <v>#REF!</v>
      </c>
      <c r="AT72" s="341" t="e">
        <f t="shared" si="8"/>
        <v>#REF!</v>
      </c>
      <c r="AU72" s="341" t="e">
        <f t="shared" si="9"/>
        <v>#REF!</v>
      </c>
      <c r="AW72" s="341" t="e">
        <f t="shared" si="10"/>
        <v>#REF!</v>
      </c>
      <c r="AX72" s="341" t="e">
        <f t="shared" si="10"/>
        <v>#REF!</v>
      </c>
      <c r="AY72" s="341" t="e">
        <f t="shared" si="10"/>
        <v>#REF!</v>
      </c>
      <c r="AZ72" s="341" t="e">
        <f t="shared" si="11"/>
        <v>#REF!</v>
      </c>
      <c r="BA72" s="342" t="e">
        <f t="shared" si="12"/>
        <v>#REF!</v>
      </c>
    </row>
    <row r="73" spans="1:53" ht="21.5">
      <c r="A73" s="332">
        <v>68</v>
      </c>
      <c r="B73" s="343">
        <v>43450</v>
      </c>
      <c r="C73" s="343">
        <v>41381</v>
      </c>
      <c r="D73" s="343">
        <v>67037</v>
      </c>
      <c r="E73" s="343">
        <v>63845</v>
      </c>
      <c r="F73" s="343">
        <v>43450</v>
      </c>
      <c r="G73" s="343">
        <v>41381</v>
      </c>
      <c r="H73" s="353">
        <v>58202</v>
      </c>
      <c r="I73" s="353">
        <v>55430</v>
      </c>
      <c r="J73" s="343">
        <v>67037</v>
      </c>
      <c r="K73" s="343">
        <v>63845</v>
      </c>
      <c r="L73" s="343">
        <v>136478</v>
      </c>
      <c r="M73" s="343">
        <v>130793</v>
      </c>
      <c r="N73" s="343">
        <v>278303</v>
      </c>
      <c r="O73" s="343">
        <v>265050</v>
      </c>
      <c r="P73" s="343">
        <v>495594</v>
      </c>
      <c r="Q73" s="343">
        <v>471994</v>
      </c>
      <c r="R73" s="343">
        <v>536004</v>
      </c>
      <c r="S73" s="343">
        <v>510480</v>
      </c>
      <c r="T73" s="343">
        <v>987309</v>
      </c>
      <c r="U73" s="343">
        <v>940294</v>
      </c>
      <c r="V73" s="343">
        <v>334603</v>
      </c>
      <c r="W73" s="343">
        <v>318669</v>
      </c>
      <c r="X73" s="343">
        <v>555115</v>
      </c>
      <c r="Y73" s="343">
        <v>528681</v>
      </c>
      <c r="Z73" s="343">
        <v>614730</v>
      </c>
      <c r="AA73" s="343">
        <v>585457</v>
      </c>
      <c r="AB73" s="343">
        <v>1156806</v>
      </c>
      <c r="AC73" s="343">
        <v>1101720</v>
      </c>
      <c r="AD73" s="25">
        <v>1003</v>
      </c>
      <c r="AE73" s="25" t="s">
        <v>712</v>
      </c>
      <c r="AF73" s="25" t="s">
        <v>712</v>
      </c>
      <c r="AR73" s="345" t="str">
        <f t="shared" si="6"/>
        <v/>
      </c>
      <c r="AS73" s="341" t="e">
        <f t="shared" si="7"/>
        <v>#REF!</v>
      </c>
      <c r="AT73" s="341" t="e">
        <f t="shared" si="8"/>
        <v>#REF!</v>
      </c>
      <c r="AU73" s="341" t="e">
        <f t="shared" si="9"/>
        <v>#REF!</v>
      </c>
      <c r="AW73" s="341" t="e">
        <f t="shared" si="10"/>
        <v>#REF!</v>
      </c>
      <c r="AX73" s="341" t="e">
        <f t="shared" si="10"/>
        <v>#REF!</v>
      </c>
      <c r="AY73" s="341" t="e">
        <f t="shared" si="10"/>
        <v>#REF!</v>
      </c>
      <c r="AZ73" s="341" t="e">
        <f t="shared" si="11"/>
        <v>#REF!</v>
      </c>
      <c r="BA73" s="342" t="e">
        <f t="shared" si="12"/>
        <v>#REF!</v>
      </c>
    </row>
    <row r="74" spans="1:53" ht="21.5">
      <c r="A74" s="332">
        <v>69</v>
      </c>
      <c r="B74" s="343">
        <v>43450</v>
      </c>
      <c r="C74" s="343">
        <v>41381</v>
      </c>
      <c r="D74" s="343">
        <v>67037</v>
      </c>
      <c r="E74" s="343">
        <v>63845</v>
      </c>
      <c r="F74" s="343">
        <v>43450</v>
      </c>
      <c r="G74" s="343">
        <v>41381</v>
      </c>
      <c r="H74" s="353">
        <v>58202</v>
      </c>
      <c r="I74" s="353">
        <v>55430</v>
      </c>
      <c r="J74" s="343">
        <v>67037</v>
      </c>
      <c r="K74" s="343">
        <v>63845</v>
      </c>
      <c r="L74" s="343">
        <v>136478</v>
      </c>
      <c r="M74" s="343">
        <v>130793</v>
      </c>
      <c r="N74" s="343">
        <v>278303</v>
      </c>
      <c r="O74" s="343">
        <v>265050</v>
      </c>
      <c r="P74" s="343">
        <v>495594</v>
      </c>
      <c r="Q74" s="343">
        <v>471994</v>
      </c>
      <c r="R74" s="343">
        <v>536004</v>
      </c>
      <c r="S74" s="343">
        <v>510480</v>
      </c>
      <c r="T74" s="343">
        <v>987309</v>
      </c>
      <c r="U74" s="343">
        <v>940294</v>
      </c>
      <c r="V74" s="343">
        <v>334603</v>
      </c>
      <c r="W74" s="343">
        <v>318669</v>
      </c>
      <c r="X74" s="343">
        <v>555115</v>
      </c>
      <c r="Y74" s="343">
        <v>528681</v>
      </c>
      <c r="Z74" s="343">
        <v>614730</v>
      </c>
      <c r="AA74" s="343">
        <v>585457</v>
      </c>
      <c r="AB74" s="343">
        <v>1156806</v>
      </c>
      <c r="AC74" s="343">
        <v>1101720</v>
      </c>
      <c r="AD74" s="25">
        <v>1004</v>
      </c>
      <c r="AE74" s="25" t="s">
        <v>712</v>
      </c>
      <c r="AF74" s="25" t="s">
        <v>712</v>
      </c>
      <c r="AR74" s="345" t="str">
        <f t="shared" si="6"/>
        <v/>
      </c>
      <c r="AS74" s="341" t="e">
        <f t="shared" si="7"/>
        <v>#REF!</v>
      </c>
      <c r="AT74" s="341" t="e">
        <f t="shared" si="8"/>
        <v>#REF!</v>
      </c>
      <c r="AU74" s="341" t="e">
        <f t="shared" si="9"/>
        <v>#REF!</v>
      </c>
      <c r="AW74" s="341" t="e">
        <f t="shared" si="10"/>
        <v>#REF!</v>
      </c>
      <c r="AX74" s="341" t="e">
        <f t="shared" si="10"/>
        <v>#REF!</v>
      </c>
      <c r="AY74" s="341" t="e">
        <f t="shared" si="10"/>
        <v>#REF!</v>
      </c>
      <c r="AZ74" s="341" t="e">
        <f t="shared" si="11"/>
        <v>#REF!</v>
      </c>
      <c r="BA74" s="342" t="e">
        <f t="shared" si="12"/>
        <v>#REF!</v>
      </c>
    </row>
    <row r="75" spans="1:53" ht="21.5">
      <c r="A75" s="332">
        <v>70</v>
      </c>
      <c r="B75" s="343">
        <v>43450</v>
      </c>
      <c r="C75" s="343">
        <v>41381</v>
      </c>
      <c r="D75" s="343">
        <v>67037</v>
      </c>
      <c r="E75" s="343">
        <v>63845</v>
      </c>
      <c r="F75" s="343">
        <v>43450</v>
      </c>
      <c r="G75" s="343">
        <v>41381</v>
      </c>
      <c r="H75" s="353">
        <v>58202</v>
      </c>
      <c r="I75" s="353">
        <v>55430</v>
      </c>
      <c r="J75" s="343">
        <v>67037</v>
      </c>
      <c r="K75" s="343">
        <v>63845</v>
      </c>
      <c r="L75" s="343">
        <v>136478</v>
      </c>
      <c r="M75" s="343">
        <v>130793</v>
      </c>
      <c r="N75" s="343">
        <v>278303</v>
      </c>
      <c r="O75" s="343">
        <v>265050</v>
      </c>
      <c r="P75" s="343">
        <v>495594</v>
      </c>
      <c r="Q75" s="343">
        <v>471994</v>
      </c>
      <c r="R75" s="343">
        <v>536004</v>
      </c>
      <c r="S75" s="343">
        <v>510480</v>
      </c>
      <c r="T75" s="343">
        <v>987309</v>
      </c>
      <c r="U75" s="343">
        <v>940294</v>
      </c>
      <c r="V75" s="343">
        <v>334603</v>
      </c>
      <c r="W75" s="343">
        <v>318669</v>
      </c>
      <c r="X75" s="343">
        <v>555115</v>
      </c>
      <c r="Y75" s="343">
        <v>528681</v>
      </c>
      <c r="Z75" s="343">
        <v>614730</v>
      </c>
      <c r="AA75" s="343">
        <v>585457</v>
      </c>
      <c r="AB75" s="343">
        <v>1156806</v>
      </c>
      <c r="AC75" s="343">
        <v>1101720</v>
      </c>
      <c r="AD75" s="25">
        <v>1005</v>
      </c>
      <c r="AE75" s="25" t="s">
        <v>712</v>
      </c>
      <c r="AF75" s="25" t="s">
        <v>712</v>
      </c>
      <c r="AR75" s="345" t="str">
        <f t="shared" ref="AR75:AR89" si="13">IFERROR(IF(AR74+1&gt;=85,"",AR74+1),"")</f>
        <v/>
      </c>
      <c r="AS75" s="341" t="e">
        <f t="shared" si="7"/>
        <v>#REF!</v>
      </c>
      <c r="AT75" s="341" t="e">
        <f t="shared" si="8"/>
        <v>#REF!</v>
      </c>
      <c r="AU75" s="341" t="e">
        <f t="shared" si="9"/>
        <v>#REF!</v>
      </c>
      <c r="AW75" s="341" t="e">
        <f t="shared" si="10"/>
        <v>#REF!</v>
      </c>
      <c r="AX75" s="341" t="e">
        <f t="shared" si="10"/>
        <v>#REF!</v>
      </c>
      <c r="AY75" s="341" t="e">
        <f t="shared" si="10"/>
        <v>#REF!</v>
      </c>
      <c r="AZ75" s="341" t="e">
        <f t="shared" si="11"/>
        <v>#REF!</v>
      </c>
      <c r="BA75" s="342" t="e">
        <f t="shared" si="12"/>
        <v>#REF!</v>
      </c>
    </row>
    <row r="76" spans="1:53" ht="21.5">
      <c r="A76" s="332">
        <v>71</v>
      </c>
      <c r="B76" s="343">
        <v>57688</v>
      </c>
      <c r="C76" s="343">
        <v>54941</v>
      </c>
      <c r="D76" s="343">
        <v>85422</v>
      </c>
      <c r="E76" s="343">
        <v>81354</v>
      </c>
      <c r="F76" s="343">
        <v>57688</v>
      </c>
      <c r="G76" s="343">
        <v>54941</v>
      </c>
      <c r="H76" s="353">
        <v>75198</v>
      </c>
      <c r="I76" s="353">
        <v>71617</v>
      </c>
      <c r="J76" s="343">
        <v>85422</v>
      </c>
      <c r="K76" s="343">
        <v>81354</v>
      </c>
      <c r="L76" s="343">
        <v>169218</v>
      </c>
      <c r="M76" s="343">
        <v>161975</v>
      </c>
      <c r="N76" s="343">
        <v>368224</v>
      </c>
      <c r="O76" s="343">
        <v>350690</v>
      </c>
      <c r="P76" s="343">
        <v>655724</v>
      </c>
      <c r="Q76" s="343">
        <v>624499</v>
      </c>
      <c r="R76" s="343">
        <v>710334</v>
      </c>
      <c r="S76" s="343">
        <v>676509</v>
      </c>
      <c r="T76" s="343">
        <v>1306322</v>
      </c>
      <c r="U76" s="343">
        <v>1244116</v>
      </c>
      <c r="V76" s="343">
        <v>441169</v>
      </c>
      <c r="W76" s="343">
        <v>420161</v>
      </c>
      <c r="X76" s="343">
        <v>731911</v>
      </c>
      <c r="Y76" s="343">
        <v>697058</v>
      </c>
      <c r="Z76" s="343">
        <v>810516</v>
      </c>
      <c r="AA76" s="343">
        <v>771920</v>
      </c>
      <c r="AB76" s="343">
        <v>1519315</v>
      </c>
      <c r="AC76" s="343">
        <v>1446966</v>
      </c>
      <c r="AD76" s="25">
        <v>1006</v>
      </c>
      <c r="AE76" s="25" t="s">
        <v>712</v>
      </c>
      <c r="AF76" s="25" t="s">
        <v>712</v>
      </c>
      <c r="AR76" s="345" t="str">
        <f t="shared" si="13"/>
        <v/>
      </c>
      <c r="AS76" s="341" t="e">
        <f t="shared" si="7"/>
        <v>#REF!</v>
      </c>
      <c r="AT76" s="341" t="e">
        <f t="shared" si="8"/>
        <v>#REF!</v>
      </c>
      <c r="AU76" s="341" t="e">
        <f t="shared" si="9"/>
        <v>#REF!</v>
      </c>
      <c r="AW76" s="341" t="e">
        <f t="shared" si="10"/>
        <v>#REF!</v>
      </c>
      <c r="AX76" s="341" t="e">
        <f t="shared" si="10"/>
        <v>#REF!</v>
      </c>
      <c r="AY76" s="341" t="e">
        <f t="shared" si="10"/>
        <v>#REF!</v>
      </c>
      <c r="AZ76" s="341" t="e">
        <f t="shared" si="11"/>
        <v>#REF!</v>
      </c>
      <c r="BA76" s="342" t="e">
        <f t="shared" si="12"/>
        <v>#REF!</v>
      </c>
    </row>
    <row r="77" spans="1:53" ht="21.5">
      <c r="A77" s="332">
        <v>72</v>
      </c>
      <c r="B77" s="343">
        <v>57688</v>
      </c>
      <c r="C77" s="343">
        <v>54941</v>
      </c>
      <c r="D77" s="343">
        <v>85422</v>
      </c>
      <c r="E77" s="343">
        <v>81354</v>
      </c>
      <c r="F77" s="343">
        <v>57688</v>
      </c>
      <c r="G77" s="343">
        <v>54941</v>
      </c>
      <c r="H77" s="353">
        <v>75198</v>
      </c>
      <c r="I77" s="353">
        <v>71617</v>
      </c>
      <c r="J77" s="343">
        <v>85422</v>
      </c>
      <c r="K77" s="343">
        <v>81354</v>
      </c>
      <c r="L77" s="343">
        <v>169218</v>
      </c>
      <c r="M77" s="343">
        <v>161975</v>
      </c>
      <c r="N77" s="343">
        <v>368224</v>
      </c>
      <c r="O77" s="343">
        <v>350690</v>
      </c>
      <c r="P77" s="343">
        <v>655724</v>
      </c>
      <c r="Q77" s="343">
        <v>624499</v>
      </c>
      <c r="R77" s="343">
        <v>710334</v>
      </c>
      <c r="S77" s="343">
        <v>676509</v>
      </c>
      <c r="T77" s="343">
        <v>1306322</v>
      </c>
      <c r="U77" s="343">
        <v>1244116</v>
      </c>
      <c r="V77" s="343">
        <v>441169</v>
      </c>
      <c r="W77" s="343">
        <v>420161</v>
      </c>
      <c r="X77" s="343">
        <v>731911</v>
      </c>
      <c r="Y77" s="343">
        <v>697058</v>
      </c>
      <c r="Z77" s="343">
        <v>810516</v>
      </c>
      <c r="AA77" s="343">
        <v>771920</v>
      </c>
      <c r="AB77" s="343">
        <v>1519315</v>
      </c>
      <c r="AC77" s="343">
        <v>1446966</v>
      </c>
      <c r="AD77" s="25">
        <v>1007</v>
      </c>
      <c r="AE77" s="25" t="s">
        <v>712</v>
      </c>
      <c r="AF77" s="25" t="s">
        <v>712</v>
      </c>
      <c r="AR77" s="345" t="str">
        <f t="shared" si="13"/>
        <v/>
      </c>
      <c r="AS77" s="341" t="e">
        <f t="shared" si="7"/>
        <v>#REF!</v>
      </c>
      <c r="AT77" s="341" t="e">
        <f t="shared" si="8"/>
        <v>#REF!</v>
      </c>
      <c r="AU77" s="341" t="e">
        <f t="shared" si="9"/>
        <v>#REF!</v>
      </c>
      <c r="AW77" s="341" t="e">
        <f t="shared" si="10"/>
        <v>#REF!</v>
      </c>
      <c r="AX77" s="341" t="e">
        <f t="shared" si="10"/>
        <v>#REF!</v>
      </c>
      <c r="AY77" s="341" t="e">
        <f t="shared" si="10"/>
        <v>#REF!</v>
      </c>
      <c r="AZ77" s="341" t="e">
        <f t="shared" si="11"/>
        <v>#REF!</v>
      </c>
      <c r="BA77" s="342" t="e">
        <f t="shared" si="12"/>
        <v>#REF!</v>
      </c>
    </row>
    <row r="78" spans="1:53" ht="21.5">
      <c r="A78" s="332">
        <v>73</v>
      </c>
      <c r="B78" s="343">
        <v>57688</v>
      </c>
      <c r="C78" s="343">
        <v>54941</v>
      </c>
      <c r="D78" s="343">
        <v>85422</v>
      </c>
      <c r="E78" s="343">
        <v>81354</v>
      </c>
      <c r="F78" s="343">
        <v>57688</v>
      </c>
      <c r="G78" s="343">
        <v>54941</v>
      </c>
      <c r="H78" s="353">
        <v>75198</v>
      </c>
      <c r="I78" s="353">
        <v>71617</v>
      </c>
      <c r="J78" s="343">
        <v>85422</v>
      </c>
      <c r="K78" s="343">
        <v>81354</v>
      </c>
      <c r="L78" s="343">
        <v>169218</v>
      </c>
      <c r="M78" s="343">
        <v>161975</v>
      </c>
      <c r="N78" s="343">
        <v>368224</v>
      </c>
      <c r="O78" s="343">
        <v>350690</v>
      </c>
      <c r="P78" s="343">
        <v>655724</v>
      </c>
      <c r="Q78" s="343">
        <v>624499</v>
      </c>
      <c r="R78" s="343">
        <v>710334</v>
      </c>
      <c r="S78" s="343">
        <v>676509</v>
      </c>
      <c r="T78" s="343">
        <v>1306322</v>
      </c>
      <c r="U78" s="343">
        <v>1244116</v>
      </c>
      <c r="V78" s="343">
        <v>441169</v>
      </c>
      <c r="W78" s="343">
        <v>420161</v>
      </c>
      <c r="X78" s="343">
        <v>731911</v>
      </c>
      <c r="Y78" s="343">
        <v>697058</v>
      </c>
      <c r="Z78" s="343">
        <v>810516</v>
      </c>
      <c r="AA78" s="343">
        <v>771920</v>
      </c>
      <c r="AB78" s="343">
        <v>1519315</v>
      </c>
      <c r="AC78" s="343">
        <v>1446966</v>
      </c>
      <c r="AD78" s="25">
        <v>1008</v>
      </c>
      <c r="AE78" s="25" t="s">
        <v>712</v>
      </c>
      <c r="AF78" s="25" t="s">
        <v>712</v>
      </c>
      <c r="AR78" s="345" t="str">
        <f t="shared" si="13"/>
        <v/>
      </c>
      <c r="AS78" s="341" t="e">
        <f t="shared" si="7"/>
        <v>#REF!</v>
      </c>
      <c r="AT78" s="341" t="e">
        <f t="shared" si="8"/>
        <v>#REF!</v>
      </c>
      <c r="AU78" s="341" t="e">
        <f t="shared" si="9"/>
        <v>#REF!</v>
      </c>
      <c r="AW78" s="341" t="e">
        <f t="shared" si="10"/>
        <v>#REF!</v>
      </c>
      <c r="AX78" s="341" t="e">
        <f t="shared" si="10"/>
        <v>#REF!</v>
      </c>
      <c r="AY78" s="341" t="e">
        <f t="shared" si="10"/>
        <v>#REF!</v>
      </c>
      <c r="AZ78" s="341" t="e">
        <f t="shared" si="11"/>
        <v>#REF!</v>
      </c>
      <c r="BA78" s="342" t="e">
        <f t="shared" si="12"/>
        <v>#REF!</v>
      </c>
    </row>
    <row r="79" spans="1:53" ht="21.5">
      <c r="A79" s="332">
        <v>74</v>
      </c>
      <c r="B79" s="343">
        <v>57688</v>
      </c>
      <c r="C79" s="343">
        <v>54941</v>
      </c>
      <c r="D79" s="343">
        <v>85422</v>
      </c>
      <c r="E79" s="343">
        <v>81354</v>
      </c>
      <c r="F79" s="343">
        <v>57688</v>
      </c>
      <c r="G79" s="343">
        <v>54941</v>
      </c>
      <c r="H79" s="353">
        <v>75198</v>
      </c>
      <c r="I79" s="353">
        <v>71617</v>
      </c>
      <c r="J79" s="343">
        <v>85422</v>
      </c>
      <c r="K79" s="343">
        <v>81354</v>
      </c>
      <c r="L79" s="343">
        <v>169218</v>
      </c>
      <c r="M79" s="343">
        <v>161975</v>
      </c>
      <c r="N79" s="343">
        <v>368224</v>
      </c>
      <c r="O79" s="343">
        <v>350690</v>
      </c>
      <c r="P79" s="343">
        <v>655724</v>
      </c>
      <c r="Q79" s="343">
        <v>624499</v>
      </c>
      <c r="R79" s="343">
        <v>710334</v>
      </c>
      <c r="S79" s="343">
        <v>676509</v>
      </c>
      <c r="T79" s="343">
        <v>1306322</v>
      </c>
      <c r="U79" s="343">
        <v>1244116</v>
      </c>
      <c r="V79" s="343">
        <v>441169</v>
      </c>
      <c r="W79" s="343">
        <v>420161</v>
      </c>
      <c r="X79" s="343">
        <v>731911</v>
      </c>
      <c r="Y79" s="343">
        <v>697058</v>
      </c>
      <c r="Z79" s="343">
        <v>810516</v>
      </c>
      <c r="AA79" s="343">
        <v>771920</v>
      </c>
      <c r="AB79" s="343">
        <v>1519315</v>
      </c>
      <c r="AC79" s="343">
        <v>1446966</v>
      </c>
      <c r="AD79" s="25">
        <v>1009</v>
      </c>
      <c r="AE79" s="25" t="s">
        <v>712</v>
      </c>
      <c r="AF79" s="25" t="s">
        <v>712</v>
      </c>
      <c r="AR79" s="345" t="str">
        <f t="shared" si="13"/>
        <v/>
      </c>
      <c r="AS79" s="341" t="e">
        <f t="shared" si="7"/>
        <v>#REF!</v>
      </c>
      <c r="AT79" s="341" t="e">
        <f t="shared" si="8"/>
        <v>#REF!</v>
      </c>
      <c r="AU79" s="341" t="e">
        <f t="shared" si="9"/>
        <v>#REF!</v>
      </c>
      <c r="AW79" s="341" t="e">
        <f t="shared" si="10"/>
        <v>#REF!</v>
      </c>
      <c r="AX79" s="341" t="e">
        <f t="shared" si="10"/>
        <v>#REF!</v>
      </c>
      <c r="AY79" s="341" t="e">
        <f t="shared" si="10"/>
        <v>#REF!</v>
      </c>
      <c r="AZ79" s="341" t="e">
        <f t="shared" si="11"/>
        <v>#REF!</v>
      </c>
      <c r="BA79" s="342" t="e">
        <f t="shared" si="12"/>
        <v>#REF!</v>
      </c>
    </row>
    <row r="80" spans="1:53" ht="21.5">
      <c r="A80" s="332">
        <v>75</v>
      </c>
      <c r="B80" s="343">
        <v>57688</v>
      </c>
      <c r="C80" s="343">
        <v>54941</v>
      </c>
      <c r="D80" s="343">
        <v>85422</v>
      </c>
      <c r="E80" s="343">
        <v>81354</v>
      </c>
      <c r="F80" s="343">
        <v>57688</v>
      </c>
      <c r="G80" s="343">
        <v>54941</v>
      </c>
      <c r="H80" s="353">
        <v>75198</v>
      </c>
      <c r="I80" s="353">
        <v>71617</v>
      </c>
      <c r="J80" s="343">
        <v>85422</v>
      </c>
      <c r="K80" s="343">
        <v>81354</v>
      </c>
      <c r="L80" s="343">
        <v>169218</v>
      </c>
      <c r="M80" s="343">
        <v>161975</v>
      </c>
      <c r="N80" s="343">
        <v>368224</v>
      </c>
      <c r="O80" s="343">
        <v>350690</v>
      </c>
      <c r="P80" s="343">
        <v>655724</v>
      </c>
      <c r="Q80" s="343">
        <v>624499</v>
      </c>
      <c r="R80" s="343">
        <v>710334</v>
      </c>
      <c r="S80" s="343">
        <v>676509</v>
      </c>
      <c r="T80" s="343">
        <v>1306322</v>
      </c>
      <c r="U80" s="343">
        <v>1244116</v>
      </c>
      <c r="V80" s="343">
        <v>441169</v>
      </c>
      <c r="W80" s="343">
        <v>420161</v>
      </c>
      <c r="X80" s="343">
        <v>731911</v>
      </c>
      <c r="Y80" s="343">
        <v>697058</v>
      </c>
      <c r="Z80" s="343">
        <v>810516</v>
      </c>
      <c r="AA80" s="343">
        <v>771920</v>
      </c>
      <c r="AB80" s="343">
        <v>1519315</v>
      </c>
      <c r="AC80" s="343">
        <v>1446966</v>
      </c>
      <c r="AD80" s="25">
        <v>1010</v>
      </c>
      <c r="AE80" s="25" t="s">
        <v>712</v>
      </c>
      <c r="AF80" s="25" t="s">
        <v>712</v>
      </c>
      <c r="AR80" s="345" t="str">
        <f t="shared" si="13"/>
        <v/>
      </c>
      <c r="AS80" s="341" t="e">
        <f t="shared" si="7"/>
        <v>#REF!</v>
      </c>
      <c r="AT80" s="341" t="e">
        <f t="shared" si="8"/>
        <v>#REF!</v>
      </c>
      <c r="AU80" s="341" t="e">
        <f t="shared" si="9"/>
        <v>#REF!</v>
      </c>
      <c r="AW80" s="341" t="e">
        <f t="shared" si="10"/>
        <v>#REF!</v>
      </c>
      <c r="AX80" s="341" t="e">
        <f t="shared" si="10"/>
        <v>#REF!</v>
      </c>
      <c r="AY80" s="341" t="e">
        <f t="shared" si="10"/>
        <v>#REF!</v>
      </c>
      <c r="AZ80" s="341" t="e">
        <f t="shared" si="11"/>
        <v>#REF!</v>
      </c>
      <c r="BA80" s="342" t="e">
        <f t="shared" si="12"/>
        <v>#REF!</v>
      </c>
    </row>
    <row r="81" spans="1:53" ht="21.5">
      <c r="A81" s="332">
        <v>76</v>
      </c>
      <c r="B81" s="343">
        <v>74773</v>
      </c>
      <c r="C81" s="343">
        <v>71212</v>
      </c>
      <c r="D81" s="343">
        <v>107582</v>
      </c>
      <c r="E81" s="343">
        <v>102459</v>
      </c>
      <c r="F81" s="343">
        <v>74773</v>
      </c>
      <c r="G81" s="343">
        <v>71212</v>
      </c>
      <c r="H81" s="353">
        <v>95588</v>
      </c>
      <c r="I81" s="353">
        <v>91036</v>
      </c>
      <c r="J81" s="343">
        <v>107582</v>
      </c>
      <c r="K81" s="343">
        <v>102459</v>
      </c>
      <c r="L81" s="343">
        <v>208680</v>
      </c>
      <c r="M81" s="343">
        <v>199557</v>
      </c>
      <c r="N81" s="343">
        <v>475299</v>
      </c>
      <c r="O81" s="343">
        <v>452666</v>
      </c>
      <c r="P81" s="343">
        <v>846399</v>
      </c>
      <c r="Q81" s="343">
        <v>806094</v>
      </c>
      <c r="R81" s="343">
        <v>918171</v>
      </c>
      <c r="S81" s="343">
        <v>874448</v>
      </c>
      <c r="T81" s="343">
        <v>1686106</v>
      </c>
      <c r="U81" s="343">
        <v>1605815</v>
      </c>
      <c r="V81" s="343">
        <v>569504</v>
      </c>
      <c r="W81" s="343">
        <v>542385</v>
      </c>
      <c r="X81" s="343">
        <v>944824</v>
      </c>
      <c r="Y81" s="343">
        <v>899832</v>
      </c>
      <c r="Z81" s="343">
        <v>1046282</v>
      </c>
      <c r="AA81" s="343">
        <v>996459</v>
      </c>
      <c r="AB81" s="343">
        <v>1954593</v>
      </c>
      <c r="AC81" s="343">
        <v>1861518</v>
      </c>
      <c r="AD81" s="25">
        <v>1011</v>
      </c>
      <c r="AE81" s="25" t="s">
        <v>712</v>
      </c>
      <c r="AF81" s="25" t="s">
        <v>712</v>
      </c>
      <c r="AR81" s="345" t="str">
        <f t="shared" si="13"/>
        <v/>
      </c>
      <c r="AS81" s="341" t="e">
        <f t="shared" si="7"/>
        <v>#REF!</v>
      </c>
      <c r="AT81" s="341" t="e">
        <f t="shared" si="8"/>
        <v>#REF!</v>
      </c>
      <c r="AU81" s="341" t="e">
        <f t="shared" si="9"/>
        <v>#REF!</v>
      </c>
      <c r="AW81" s="341" t="e">
        <f t="shared" si="10"/>
        <v>#REF!</v>
      </c>
      <c r="AX81" s="341" t="e">
        <f t="shared" si="10"/>
        <v>#REF!</v>
      </c>
      <c r="AY81" s="341" t="e">
        <f t="shared" si="10"/>
        <v>#REF!</v>
      </c>
      <c r="AZ81" s="341" t="e">
        <f t="shared" si="11"/>
        <v>#REF!</v>
      </c>
      <c r="BA81" s="342" t="e">
        <f t="shared" si="12"/>
        <v>#REF!</v>
      </c>
    </row>
    <row r="82" spans="1:53" ht="21.5">
      <c r="A82" s="332">
        <v>77</v>
      </c>
      <c r="B82" s="343">
        <v>74773</v>
      </c>
      <c r="C82" s="343">
        <v>71212</v>
      </c>
      <c r="D82" s="343">
        <v>107582</v>
      </c>
      <c r="E82" s="343">
        <v>102459</v>
      </c>
      <c r="F82" s="343">
        <v>74773</v>
      </c>
      <c r="G82" s="343">
        <v>71212</v>
      </c>
      <c r="H82" s="353">
        <v>95588</v>
      </c>
      <c r="I82" s="353">
        <v>91036</v>
      </c>
      <c r="J82" s="343">
        <v>107582</v>
      </c>
      <c r="K82" s="343">
        <v>102459</v>
      </c>
      <c r="L82" s="343">
        <v>208680</v>
      </c>
      <c r="M82" s="343">
        <v>199557</v>
      </c>
      <c r="N82" s="343">
        <v>475299</v>
      </c>
      <c r="O82" s="343">
        <v>452666</v>
      </c>
      <c r="P82" s="343">
        <v>846399</v>
      </c>
      <c r="Q82" s="343">
        <v>806094</v>
      </c>
      <c r="R82" s="343">
        <v>918171</v>
      </c>
      <c r="S82" s="343">
        <v>874448</v>
      </c>
      <c r="T82" s="343">
        <v>1686106</v>
      </c>
      <c r="U82" s="343">
        <v>1605815</v>
      </c>
      <c r="V82" s="343">
        <v>569504</v>
      </c>
      <c r="W82" s="343">
        <v>542385</v>
      </c>
      <c r="X82" s="343">
        <v>944824</v>
      </c>
      <c r="Y82" s="343">
        <v>899832</v>
      </c>
      <c r="Z82" s="343">
        <v>1046282</v>
      </c>
      <c r="AA82" s="343">
        <v>996459</v>
      </c>
      <c r="AB82" s="343">
        <v>1954593</v>
      </c>
      <c r="AC82" s="343">
        <v>1861518</v>
      </c>
      <c r="AD82" s="25">
        <v>1012</v>
      </c>
      <c r="AE82" s="25" t="s">
        <v>712</v>
      </c>
      <c r="AF82" s="25" t="s">
        <v>712</v>
      </c>
      <c r="AR82" s="345" t="str">
        <f t="shared" si="13"/>
        <v/>
      </c>
      <c r="AS82" s="341" t="e">
        <f t="shared" si="7"/>
        <v>#REF!</v>
      </c>
      <c r="AT82" s="341" t="e">
        <f t="shared" si="8"/>
        <v>#REF!</v>
      </c>
      <c r="AU82" s="341" t="e">
        <f t="shared" si="9"/>
        <v>#REF!</v>
      </c>
      <c r="AW82" s="341" t="e">
        <f t="shared" si="10"/>
        <v>#REF!</v>
      </c>
      <c r="AX82" s="341" t="e">
        <f t="shared" si="10"/>
        <v>#REF!</v>
      </c>
      <c r="AY82" s="341" t="e">
        <f t="shared" si="10"/>
        <v>#REF!</v>
      </c>
      <c r="AZ82" s="341" t="e">
        <f t="shared" si="11"/>
        <v>#REF!</v>
      </c>
      <c r="BA82" s="342" t="e">
        <f t="shared" si="12"/>
        <v>#REF!</v>
      </c>
    </row>
    <row r="83" spans="1:53" ht="21.5">
      <c r="A83" s="332">
        <v>78</v>
      </c>
      <c r="B83" s="343">
        <v>74773</v>
      </c>
      <c r="C83" s="343">
        <v>71212</v>
      </c>
      <c r="D83" s="343">
        <v>107582</v>
      </c>
      <c r="E83" s="343">
        <v>102459</v>
      </c>
      <c r="F83" s="343">
        <v>74773</v>
      </c>
      <c r="G83" s="343">
        <v>71212</v>
      </c>
      <c r="H83" s="353">
        <v>95588</v>
      </c>
      <c r="I83" s="353">
        <v>91036</v>
      </c>
      <c r="J83" s="343">
        <v>107582</v>
      </c>
      <c r="K83" s="343">
        <v>102459</v>
      </c>
      <c r="L83" s="343">
        <v>208680</v>
      </c>
      <c r="M83" s="343">
        <v>199557</v>
      </c>
      <c r="N83" s="343">
        <v>475299</v>
      </c>
      <c r="O83" s="343">
        <v>452666</v>
      </c>
      <c r="P83" s="343">
        <v>846399</v>
      </c>
      <c r="Q83" s="343">
        <v>806094</v>
      </c>
      <c r="R83" s="343">
        <v>918171</v>
      </c>
      <c r="S83" s="343">
        <v>874448</v>
      </c>
      <c r="T83" s="343">
        <v>1686106</v>
      </c>
      <c r="U83" s="343">
        <v>1605815</v>
      </c>
      <c r="V83" s="343">
        <v>569504</v>
      </c>
      <c r="W83" s="343">
        <v>542385</v>
      </c>
      <c r="X83" s="343">
        <v>944824</v>
      </c>
      <c r="Y83" s="343">
        <v>899832</v>
      </c>
      <c r="Z83" s="343">
        <v>1046282</v>
      </c>
      <c r="AA83" s="343">
        <v>996459</v>
      </c>
      <c r="AB83" s="343">
        <v>1954593</v>
      </c>
      <c r="AC83" s="343">
        <v>1861518</v>
      </c>
      <c r="AD83" s="25">
        <v>1013</v>
      </c>
      <c r="AE83" s="25" t="s">
        <v>712</v>
      </c>
      <c r="AF83" s="25" t="s">
        <v>712</v>
      </c>
      <c r="AR83" s="345" t="str">
        <f t="shared" si="13"/>
        <v/>
      </c>
      <c r="AS83" s="341" t="e">
        <f t="shared" si="7"/>
        <v>#REF!</v>
      </c>
      <c r="AT83" s="341" t="e">
        <f t="shared" si="8"/>
        <v>#REF!</v>
      </c>
      <c r="AU83" s="341" t="e">
        <f t="shared" si="9"/>
        <v>#REF!</v>
      </c>
      <c r="AW83" s="341" t="e">
        <f t="shared" si="10"/>
        <v>#REF!</v>
      </c>
      <c r="AX83" s="341" t="e">
        <f t="shared" si="10"/>
        <v>#REF!</v>
      </c>
      <c r="AY83" s="341" t="e">
        <f t="shared" si="10"/>
        <v>#REF!</v>
      </c>
      <c r="AZ83" s="341" t="e">
        <f t="shared" si="11"/>
        <v>#REF!</v>
      </c>
      <c r="BA83" s="342" t="e">
        <f t="shared" si="12"/>
        <v>#REF!</v>
      </c>
    </row>
    <row r="84" spans="1:53" ht="21.5">
      <c r="A84" s="332">
        <v>79</v>
      </c>
      <c r="B84" s="343">
        <v>74773</v>
      </c>
      <c r="C84" s="343">
        <v>71212</v>
      </c>
      <c r="D84" s="343">
        <v>107582</v>
      </c>
      <c r="E84" s="343">
        <v>102459</v>
      </c>
      <c r="F84" s="343">
        <v>74773</v>
      </c>
      <c r="G84" s="343">
        <v>71212</v>
      </c>
      <c r="H84" s="353">
        <v>95588</v>
      </c>
      <c r="I84" s="353">
        <v>91036</v>
      </c>
      <c r="J84" s="343">
        <v>107582</v>
      </c>
      <c r="K84" s="343">
        <v>102459</v>
      </c>
      <c r="L84" s="343">
        <v>208680</v>
      </c>
      <c r="M84" s="343">
        <v>199557</v>
      </c>
      <c r="N84" s="343">
        <v>475299</v>
      </c>
      <c r="O84" s="343">
        <v>452666</v>
      </c>
      <c r="P84" s="343">
        <v>846399</v>
      </c>
      <c r="Q84" s="343">
        <v>806094</v>
      </c>
      <c r="R84" s="343">
        <v>918171</v>
      </c>
      <c r="S84" s="343">
        <v>874448</v>
      </c>
      <c r="T84" s="343">
        <v>1686106</v>
      </c>
      <c r="U84" s="343">
        <v>1605815</v>
      </c>
      <c r="V84" s="343">
        <v>569504</v>
      </c>
      <c r="W84" s="343">
        <v>542385</v>
      </c>
      <c r="X84" s="343">
        <v>944824</v>
      </c>
      <c r="Y84" s="343">
        <v>899832</v>
      </c>
      <c r="Z84" s="343">
        <v>1046282</v>
      </c>
      <c r="AA84" s="343">
        <v>996459</v>
      </c>
      <c r="AB84" s="343">
        <v>1954593</v>
      </c>
      <c r="AC84" s="343">
        <v>1861518</v>
      </c>
      <c r="AD84" s="25">
        <v>1014</v>
      </c>
      <c r="AE84" s="25" t="s">
        <v>712</v>
      </c>
      <c r="AF84" s="25" t="s">
        <v>712</v>
      </c>
      <c r="AR84" s="345" t="str">
        <f t="shared" si="13"/>
        <v/>
      </c>
      <c r="AS84" s="341" t="e">
        <f t="shared" si="7"/>
        <v>#REF!</v>
      </c>
      <c r="AT84" s="341" t="e">
        <f t="shared" si="8"/>
        <v>#REF!</v>
      </c>
      <c r="AU84" s="341" t="e">
        <f t="shared" si="9"/>
        <v>#REF!</v>
      </c>
      <c r="AW84" s="341" t="e">
        <f t="shared" si="10"/>
        <v>#REF!</v>
      </c>
      <c r="AX84" s="341" t="e">
        <f t="shared" si="10"/>
        <v>#REF!</v>
      </c>
      <c r="AY84" s="341" t="e">
        <f t="shared" si="10"/>
        <v>#REF!</v>
      </c>
      <c r="AZ84" s="341" t="e">
        <f t="shared" si="11"/>
        <v>#REF!</v>
      </c>
      <c r="BA84" s="342" t="e">
        <f t="shared" si="12"/>
        <v>#REF!</v>
      </c>
    </row>
    <row r="85" spans="1:53" ht="21.5">
      <c r="A85" s="332">
        <v>80</v>
      </c>
      <c r="B85" s="343">
        <v>74773</v>
      </c>
      <c r="C85" s="343">
        <v>71212</v>
      </c>
      <c r="D85" s="343">
        <v>107582</v>
      </c>
      <c r="E85" s="343">
        <v>102459</v>
      </c>
      <c r="F85" s="343">
        <v>74773</v>
      </c>
      <c r="G85" s="343">
        <v>71212</v>
      </c>
      <c r="H85" s="353">
        <v>95588</v>
      </c>
      <c r="I85" s="353">
        <v>91036</v>
      </c>
      <c r="J85" s="343">
        <v>107582</v>
      </c>
      <c r="K85" s="343">
        <v>102459</v>
      </c>
      <c r="L85" s="343">
        <v>208680</v>
      </c>
      <c r="M85" s="343">
        <v>199557</v>
      </c>
      <c r="N85" s="343">
        <v>475299</v>
      </c>
      <c r="O85" s="343">
        <v>452666</v>
      </c>
      <c r="P85" s="343">
        <v>846399</v>
      </c>
      <c r="Q85" s="343">
        <v>806094</v>
      </c>
      <c r="R85" s="343">
        <v>918171</v>
      </c>
      <c r="S85" s="343">
        <v>874448</v>
      </c>
      <c r="T85" s="343">
        <v>1686106</v>
      </c>
      <c r="U85" s="343">
        <v>1605815</v>
      </c>
      <c r="V85" s="343">
        <v>569504</v>
      </c>
      <c r="W85" s="343">
        <v>542385</v>
      </c>
      <c r="X85" s="343">
        <v>944824</v>
      </c>
      <c r="Y85" s="343">
        <v>899832</v>
      </c>
      <c r="Z85" s="343">
        <v>1046282</v>
      </c>
      <c r="AA85" s="343">
        <v>996459</v>
      </c>
      <c r="AB85" s="343">
        <v>1954593</v>
      </c>
      <c r="AC85" s="343">
        <v>1861518</v>
      </c>
      <c r="AD85" s="25">
        <v>1015</v>
      </c>
      <c r="AE85" s="25" t="s">
        <v>712</v>
      </c>
      <c r="AF85" s="25" t="s">
        <v>712</v>
      </c>
      <c r="AR85" s="345" t="str">
        <f t="shared" si="13"/>
        <v/>
      </c>
      <c r="AS85" s="341" t="e">
        <f t="shared" si="7"/>
        <v>#REF!</v>
      </c>
      <c r="AT85" s="341" t="e">
        <f t="shared" si="8"/>
        <v>#REF!</v>
      </c>
      <c r="AU85" s="341" t="e">
        <f t="shared" si="9"/>
        <v>#REF!</v>
      </c>
      <c r="AW85" s="341" t="e">
        <f t="shared" si="10"/>
        <v>#REF!</v>
      </c>
      <c r="AX85" s="341" t="e">
        <f t="shared" si="10"/>
        <v>#REF!</v>
      </c>
      <c r="AY85" s="341" t="e">
        <f t="shared" si="10"/>
        <v>#REF!</v>
      </c>
      <c r="AZ85" s="341" t="e">
        <f t="shared" si="11"/>
        <v>#REF!</v>
      </c>
      <c r="BA85" s="342" t="e">
        <f t="shared" si="12"/>
        <v>#REF!</v>
      </c>
    </row>
    <row r="86" spans="1:53" ht="21.5">
      <c r="A86" s="332">
        <v>81</v>
      </c>
      <c r="B86" s="343">
        <v>85843</v>
      </c>
      <c r="C86" s="343">
        <v>81756</v>
      </c>
      <c r="D86" s="343">
        <v>122027</v>
      </c>
      <c r="E86" s="343">
        <v>116216</v>
      </c>
      <c r="F86" s="343">
        <v>85843</v>
      </c>
      <c r="G86" s="343">
        <v>81756</v>
      </c>
      <c r="H86" s="353">
        <v>108800</v>
      </c>
      <c r="I86" s="353">
        <v>103619</v>
      </c>
      <c r="J86" s="343">
        <v>122027</v>
      </c>
      <c r="K86" s="343">
        <v>116216</v>
      </c>
      <c r="L86" s="343">
        <v>234402</v>
      </c>
      <c r="M86" s="343">
        <v>224054</v>
      </c>
      <c r="N86" s="343">
        <v>546601</v>
      </c>
      <c r="O86" s="343">
        <v>520572</v>
      </c>
      <c r="P86" s="343">
        <v>973373</v>
      </c>
      <c r="Q86" s="343">
        <v>927021</v>
      </c>
      <c r="R86" s="343">
        <v>1055910</v>
      </c>
      <c r="S86" s="343">
        <v>1005629</v>
      </c>
      <c r="T86" s="343">
        <v>1939049</v>
      </c>
      <c r="U86" s="343">
        <v>1846713</v>
      </c>
      <c r="V86" s="343">
        <v>654927</v>
      </c>
      <c r="W86" s="343">
        <v>623740</v>
      </c>
      <c r="X86" s="343">
        <v>1086542</v>
      </c>
      <c r="Y86" s="343">
        <v>1034802</v>
      </c>
      <c r="Z86" s="343">
        <v>1203221</v>
      </c>
      <c r="AA86" s="343">
        <v>1145924</v>
      </c>
      <c r="AB86" s="343">
        <v>2247774</v>
      </c>
      <c r="AC86" s="343">
        <v>2140737</v>
      </c>
      <c r="AD86" s="25">
        <v>1016</v>
      </c>
      <c r="AE86" s="25" t="s">
        <v>712</v>
      </c>
      <c r="AF86" s="25" t="s">
        <v>712</v>
      </c>
      <c r="AR86" s="345" t="str">
        <f t="shared" si="13"/>
        <v/>
      </c>
      <c r="AS86" s="341" t="e">
        <f t="shared" si="7"/>
        <v>#REF!</v>
      </c>
      <c r="AT86" s="341" t="e">
        <f t="shared" si="8"/>
        <v>#REF!</v>
      </c>
      <c r="AU86" s="341" t="e">
        <f t="shared" si="9"/>
        <v>#REF!</v>
      </c>
      <c r="AW86" s="341" t="e">
        <f t="shared" si="10"/>
        <v>#REF!</v>
      </c>
      <c r="AX86" s="341" t="e">
        <f t="shared" si="10"/>
        <v>#REF!</v>
      </c>
      <c r="AY86" s="341" t="e">
        <f t="shared" si="10"/>
        <v>#REF!</v>
      </c>
      <c r="AZ86" s="341" t="e">
        <f t="shared" si="11"/>
        <v>#REF!</v>
      </c>
      <c r="BA86" s="342" t="e">
        <f t="shared" si="12"/>
        <v>#REF!</v>
      </c>
    </row>
    <row r="87" spans="1:53" ht="21.5">
      <c r="A87" s="332">
        <v>82</v>
      </c>
      <c r="B87" s="343">
        <v>85843</v>
      </c>
      <c r="C87" s="343">
        <v>81756</v>
      </c>
      <c r="D87" s="343">
        <v>122027</v>
      </c>
      <c r="E87" s="343">
        <v>116216</v>
      </c>
      <c r="F87" s="343">
        <v>85843</v>
      </c>
      <c r="G87" s="343">
        <v>81756</v>
      </c>
      <c r="H87" s="353">
        <v>108800</v>
      </c>
      <c r="I87" s="353">
        <v>103619</v>
      </c>
      <c r="J87" s="343">
        <v>122027</v>
      </c>
      <c r="K87" s="343">
        <v>116216</v>
      </c>
      <c r="L87" s="343">
        <v>234402</v>
      </c>
      <c r="M87" s="343">
        <v>224054</v>
      </c>
      <c r="N87" s="343">
        <v>546601</v>
      </c>
      <c r="O87" s="343">
        <v>520572</v>
      </c>
      <c r="P87" s="343">
        <v>973373</v>
      </c>
      <c r="Q87" s="343">
        <v>927021</v>
      </c>
      <c r="R87" s="343">
        <v>1055910</v>
      </c>
      <c r="S87" s="343">
        <v>1005629</v>
      </c>
      <c r="T87" s="343">
        <v>1939049</v>
      </c>
      <c r="U87" s="343">
        <v>1846713</v>
      </c>
      <c r="V87" s="343">
        <v>654927</v>
      </c>
      <c r="W87" s="343">
        <v>623740</v>
      </c>
      <c r="X87" s="343">
        <v>1086542</v>
      </c>
      <c r="Y87" s="343">
        <v>1034802</v>
      </c>
      <c r="Z87" s="343">
        <v>1203221</v>
      </c>
      <c r="AA87" s="343">
        <v>1145924</v>
      </c>
      <c r="AB87" s="343">
        <v>2247774</v>
      </c>
      <c r="AC87" s="343">
        <v>2140737</v>
      </c>
      <c r="AD87" s="25">
        <v>1017</v>
      </c>
      <c r="AE87" s="25" t="s">
        <v>712</v>
      </c>
      <c r="AF87" s="25" t="s">
        <v>712</v>
      </c>
      <c r="AR87" s="345" t="str">
        <f t="shared" si="13"/>
        <v/>
      </c>
      <c r="AS87" s="341" t="e">
        <f t="shared" si="7"/>
        <v>#REF!</v>
      </c>
      <c r="AT87" s="341" t="e">
        <f t="shared" si="8"/>
        <v>#REF!</v>
      </c>
      <c r="AU87" s="341" t="e">
        <f t="shared" si="9"/>
        <v>#REF!</v>
      </c>
      <c r="AW87" s="341" t="e">
        <f t="shared" si="10"/>
        <v>#REF!</v>
      </c>
      <c r="AX87" s="341" t="e">
        <f t="shared" si="10"/>
        <v>#REF!</v>
      </c>
      <c r="AY87" s="341" t="e">
        <f t="shared" si="10"/>
        <v>#REF!</v>
      </c>
      <c r="AZ87" s="341" t="e">
        <f t="shared" si="11"/>
        <v>#REF!</v>
      </c>
      <c r="BA87" s="342" t="e">
        <f t="shared" si="12"/>
        <v>#REF!</v>
      </c>
    </row>
    <row r="88" spans="1:53" ht="21.5">
      <c r="A88" s="332">
        <v>83</v>
      </c>
      <c r="B88" s="343">
        <v>85843</v>
      </c>
      <c r="C88" s="343">
        <v>81756</v>
      </c>
      <c r="D88" s="343">
        <v>122027</v>
      </c>
      <c r="E88" s="343">
        <v>116216</v>
      </c>
      <c r="F88" s="343">
        <v>85843</v>
      </c>
      <c r="G88" s="343">
        <v>81756</v>
      </c>
      <c r="H88" s="353">
        <v>108800</v>
      </c>
      <c r="I88" s="353">
        <v>103619</v>
      </c>
      <c r="J88" s="343">
        <v>122027</v>
      </c>
      <c r="K88" s="343">
        <v>116216</v>
      </c>
      <c r="L88" s="343">
        <v>234402</v>
      </c>
      <c r="M88" s="343">
        <v>224054</v>
      </c>
      <c r="N88" s="343">
        <v>546601</v>
      </c>
      <c r="O88" s="343">
        <v>520572</v>
      </c>
      <c r="P88" s="343">
        <v>973373</v>
      </c>
      <c r="Q88" s="343">
        <v>927021</v>
      </c>
      <c r="R88" s="343">
        <v>1055910</v>
      </c>
      <c r="S88" s="343">
        <v>1005629</v>
      </c>
      <c r="T88" s="343">
        <v>1939049</v>
      </c>
      <c r="U88" s="343">
        <v>1846713</v>
      </c>
      <c r="V88" s="343">
        <v>654927</v>
      </c>
      <c r="W88" s="343">
        <v>623740</v>
      </c>
      <c r="X88" s="343">
        <v>1086542</v>
      </c>
      <c r="Y88" s="343">
        <v>1034802</v>
      </c>
      <c r="Z88" s="343">
        <v>1203221</v>
      </c>
      <c r="AA88" s="343">
        <v>1145924</v>
      </c>
      <c r="AB88" s="343">
        <v>2247774</v>
      </c>
      <c r="AC88" s="343">
        <v>2140737</v>
      </c>
      <c r="AD88" s="25">
        <v>1018</v>
      </c>
      <c r="AE88" s="25" t="s">
        <v>712</v>
      </c>
      <c r="AF88" s="25" t="s">
        <v>712</v>
      </c>
      <c r="AR88" s="345" t="str">
        <f t="shared" si="13"/>
        <v/>
      </c>
      <c r="AS88" s="341" t="e">
        <f t="shared" si="7"/>
        <v>#REF!</v>
      </c>
      <c r="AT88" s="341" t="e">
        <f t="shared" si="8"/>
        <v>#REF!</v>
      </c>
      <c r="AU88" s="341" t="e">
        <f t="shared" si="9"/>
        <v>#REF!</v>
      </c>
      <c r="AW88" s="341" t="e">
        <f t="shared" si="10"/>
        <v>#REF!</v>
      </c>
      <c r="AX88" s="341" t="e">
        <f t="shared" si="10"/>
        <v>#REF!</v>
      </c>
      <c r="AY88" s="341" t="e">
        <f t="shared" si="10"/>
        <v>#REF!</v>
      </c>
      <c r="AZ88" s="341" t="e">
        <f t="shared" si="11"/>
        <v>#REF!</v>
      </c>
      <c r="BA88" s="342" t="e">
        <f t="shared" si="12"/>
        <v>#REF!</v>
      </c>
    </row>
    <row r="89" spans="1:53" ht="21.5">
      <c r="A89" s="332">
        <v>84</v>
      </c>
      <c r="B89" s="343">
        <v>85843</v>
      </c>
      <c r="C89" s="343">
        <v>81756</v>
      </c>
      <c r="D89" s="343">
        <v>122027</v>
      </c>
      <c r="E89" s="343">
        <v>116216</v>
      </c>
      <c r="F89" s="343">
        <v>85843</v>
      </c>
      <c r="G89" s="343">
        <v>81756</v>
      </c>
      <c r="H89" s="353">
        <v>108800</v>
      </c>
      <c r="I89" s="353">
        <v>103619</v>
      </c>
      <c r="J89" s="343">
        <v>122027</v>
      </c>
      <c r="K89" s="343">
        <v>116216</v>
      </c>
      <c r="L89" s="343">
        <v>234402</v>
      </c>
      <c r="M89" s="343">
        <v>224054</v>
      </c>
      <c r="N89" s="343">
        <v>546601</v>
      </c>
      <c r="O89" s="343">
        <v>520572</v>
      </c>
      <c r="P89" s="343">
        <v>973373</v>
      </c>
      <c r="Q89" s="343">
        <v>927021</v>
      </c>
      <c r="R89" s="343">
        <v>1055910</v>
      </c>
      <c r="S89" s="343">
        <v>1005629</v>
      </c>
      <c r="T89" s="343">
        <v>1939049</v>
      </c>
      <c r="U89" s="343">
        <v>1846713</v>
      </c>
      <c r="V89" s="343">
        <v>654927</v>
      </c>
      <c r="W89" s="343">
        <v>623740</v>
      </c>
      <c r="X89" s="343">
        <v>1086542</v>
      </c>
      <c r="Y89" s="343">
        <v>1034802</v>
      </c>
      <c r="Z89" s="343">
        <v>1203221</v>
      </c>
      <c r="AA89" s="343">
        <v>1145924</v>
      </c>
      <c r="AB89" s="343">
        <v>2247774</v>
      </c>
      <c r="AC89" s="343">
        <v>2140737</v>
      </c>
      <c r="AD89" s="25">
        <v>1019</v>
      </c>
      <c r="AE89" s="25" t="s">
        <v>712</v>
      </c>
      <c r="AF89" s="25" t="s">
        <v>712</v>
      </c>
      <c r="AR89" s="345" t="str">
        <f t="shared" si="13"/>
        <v/>
      </c>
      <c r="AS89" s="341" t="e">
        <f t="shared" si="7"/>
        <v>#REF!</v>
      </c>
      <c r="AT89" s="341" t="e">
        <f t="shared" si="8"/>
        <v>#REF!</v>
      </c>
      <c r="AU89" s="341" t="e">
        <f t="shared" si="9"/>
        <v>#REF!</v>
      </c>
      <c r="AW89" s="341" t="e">
        <f t="shared" si="10"/>
        <v>#REF!</v>
      </c>
      <c r="AX89" s="341" t="e">
        <f t="shared" si="10"/>
        <v>#REF!</v>
      </c>
      <c r="AY89" s="341" t="e">
        <f t="shared" si="10"/>
        <v>#REF!</v>
      </c>
      <c r="AZ89" s="341" t="e">
        <f t="shared" si="11"/>
        <v>#REF!</v>
      </c>
      <c r="BA89" s="342" t="e">
        <f t="shared" si="12"/>
        <v>#REF!</v>
      </c>
    </row>
    <row r="90" spans="1:53" ht="22" thickBot="1">
      <c r="A90" s="356">
        <v>85</v>
      </c>
      <c r="B90" s="357">
        <v>85843</v>
      </c>
      <c r="C90" s="357">
        <v>81756</v>
      </c>
      <c r="D90" s="357">
        <v>122027</v>
      </c>
      <c r="E90" s="357">
        <v>116216</v>
      </c>
      <c r="F90" s="357">
        <v>85843</v>
      </c>
      <c r="G90" s="357">
        <v>81756</v>
      </c>
      <c r="H90" s="358">
        <v>108800</v>
      </c>
      <c r="I90" s="358">
        <v>103619</v>
      </c>
      <c r="J90" s="357">
        <v>122027</v>
      </c>
      <c r="K90" s="357">
        <v>116216</v>
      </c>
      <c r="L90" s="357">
        <v>234402</v>
      </c>
      <c r="M90" s="357">
        <v>224054</v>
      </c>
      <c r="N90" s="357">
        <v>546601</v>
      </c>
      <c r="O90" s="357">
        <v>520572</v>
      </c>
      <c r="P90" s="357">
        <v>973373</v>
      </c>
      <c r="Q90" s="357">
        <v>927021</v>
      </c>
      <c r="R90" s="357">
        <v>1055910</v>
      </c>
      <c r="S90" s="357">
        <v>1005629</v>
      </c>
      <c r="T90" s="357">
        <v>1939049</v>
      </c>
      <c r="U90" s="357">
        <v>1846713</v>
      </c>
      <c r="V90" s="357">
        <v>654927</v>
      </c>
      <c r="W90" s="357">
        <v>623740</v>
      </c>
      <c r="X90" s="357">
        <v>1086542</v>
      </c>
      <c r="Y90" s="357">
        <v>1034802</v>
      </c>
      <c r="Z90" s="357">
        <v>1203221</v>
      </c>
      <c r="AA90" s="357">
        <v>1145924</v>
      </c>
      <c r="AB90" s="357">
        <v>2247774</v>
      </c>
      <c r="AC90" s="357">
        <v>2140737</v>
      </c>
      <c r="AD90" s="25">
        <v>1020</v>
      </c>
      <c r="AE90" s="25" t="s">
        <v>712</v>
      </c>
      <c r="AF90" s="25" t="s">
        <v>712</v>
      </c>
    </row>
    <row r="95" spans="1:53" ht="13.5" thickBot="1">
      <c r="B95" s="359" t="s">
        <v>725</v>
      </c>
      <c r="C95" s="359" t="s">
        <v>726</v>
      </c>
      <c r="D95" s="359" t="s">
        <v>727</v>
      </c>
      <c r="E95" s="359" t="s">
        <v>728</v>
      </c>
      <c r="F95" s="359" t="s">
        <v>729</v>
      </c>
      <c r="G95" s="359" t="s">
        <v>730</v>
      </c>
      <c r="H95" s="359" t="s">
        <v>731</v>
      </c>
      <c r="I95" s="359" t="s">
        <v>732</v>
      </c>
      <c r="J95" s="359" t="s">
        <v>733</v>
      </c>
      <c r="K95" s="359" t="s">
        <v>734</v>
      </c>
      <c r="L95" s="359" t="s">
        <v>735</v>
      </c>
      <c r="M95" s="359" t="s">
        <v>736</v>
      </c>
    </row>
    <row r="96" spans="1:53" ht="19.5" customHeight="1" thickBot="1">
      <c r="A96" s="360" t="s">
        <v>737</v>
      </c>
      <c r="B96" s="2326" t="s">
        <v>738</v>
      </c>
      <c r="C96" s="2327"/>
      <c r="D96" s="2326" t="s">
        <v>606</v>
      </c>
      <c r="E96" s="2327"/>
      <c r="F96" s="2326" t="s">
        <v>615</v>
      </c>
      <c r="G96" s="2327"/>
      <c r="H96" s="2326" t="s">
        <v>622</v>
      </c>
      <c r="I96" s="2327"/>
      <c r="J96" s="2326" t="s">
        <v>629</v>
      </c>
      <c r="K96" s="2327"/>
      <c r="L96" s="2326" t="s">
        <v>636</v>
      </c>
      <c r="M96" s="2327"/>
      <c r="N96" s="2326" t="s">
        <v>641</v>
      </c>
      <c r="O96" s="2327"/>
      <c r="P96" s="2326" t="s">
        <v>645</v>
      </c>
      <c r="Q96" s="2327"/>
      <c r="R96" s="2326" t="s">
        <v>649</v>
      </c>
      <c r="S96" s="2327"/>
      <c r="T96" s="2326" t="s">
        <v>653</v>
      </c>
      <c r="U96" s="2327"/>
      <c r="V96" s="2326" t="s">
        <v>657</v>
      </c>
      <c r="W96" s="2327"/>
      <c r="X96" s="2326" t="s">
        <v>661</v>
      </c>
      <c r="Y96" s="2327"/>
      <c r="Z96" s="2326" t="s">
        <v>665</v>
      </c>
      <c r="AA96" s="2327"/>
      <c r="AB96" s="2326" t="s">
        <v>669</v>
      </c>
      <c r="AC96" s="2327"/>
      <c r="AE96" s="25" t="s">
        <v>708</v>
      </c>
    </row>
    <row r="97" spans="1:36" ht="21.75" customHeight="1" thickBot="1">
      <c r="A97" s="327" t="s">
        <v>2</v>
      </c>
      <c r="B97" s="327" t="s">
        <v>23</v>
      </c>
      <c r="C97" s="327" t="s">
        <v>28</v>
      </c>
      <c r="D97" s="327" t="s">
        <v>23</v>
      </c>
      <c r="E97" s="327" t="s">
        <v>28</v>
      </c>
      <c r="F97" s="327" t="s">
        <v>23</v>
      </c>
      <c r="G97" s="327" t="s">
        <v>28</v>
      </c>
      <c r="H97" s="327" t="s">
        <v>23</v>
      </c>
      <c r="I97" s="327" t="s">
        <v>28</v>
      </c>
      <c r="J97" s="327" t="s">
        <v>23</v>
      </c>
      <c r="K97" s="327" t="s">
        <v>28</v>
      </c>
      <c r="L97" s="327" t="s">
        <v>23</v>
      </c>
      <c r="M97" s="327" t="s">
        <v>28</v>
      </c>
      <c r="N97" s="327" t="s">
        <v>23</v>
      </c>
      <c r="O97" s="327" t="s">
        <v>28</v>
      </c>
      <c r="P97" s="327" t="s">
        <v>23</v>
      </c>
      <c r="Q97" s="327" t="s">
        <v>28</v>
      </c>
      <c r="R97" s="327" t="s">
        <v>23</v>
      </c>
      <c r="S97" s="327" t="s">
        <v>28</v>
      </c>
      <c r="T97" s="327" t="s">
        <v>23</v>
      </c>
      <c r="U97" s="327" t="s">
        <v>28</v>
      </c>
      <c r="V97" s="327" t="s">
        <v>23</v>
      </c>
      <c r="W97" s="327" t="s">
        <v>28</v>
      </c>
      <c r="X97" s="327" t="s">
        <v>23</v>
      </c>
      <c r="Y97" s="327" t="s">
        <v>28</v>
      </c>
      <c r="Z97" s="327" t="s">
        <v>23</v>
      </c>
      <c r="AA97" s="327" t="s">
        <v>28</v>
      </c>
      <c r="AB97" s="327" t="s">
        <v>23</v>
      </c>
      <c r="AC97" s="327" t="s">
        <v>28</v>
      </c>
      <c r="AD97" s="25" t="s">
        <v>709</v>
      </c>
      <c r="AE97" s="25" t="s">
        <v>23</v>
      </c>
      <c r="AF97" s="25" t="s">
        <v>28</v>
      </c>
    </row>
    <row r="98" spans="1:36" ht="21.5">
      <c r="A98" s="332">
        <v>0</v>
      </c>
      <c r="B98" s="333">
        <v>59788</v>
      </c>
      <c r="C98" s="333">
        <v>56667</v>
      </c>
      <c r="D98" s="333">
        <v>101478</v>
      </c>
      <c r="E98" s="333">
        <v>101886</v>
      </c>
      <c r="F98" s="334"/>
      <c r="G98" s="334"/>
      <c r="H98" s="361"/>
      <c r="I98" s="334"/>
      <c r="J98" s="334"/>
      <c r="K98" s="334"/>
      <c r="L98" s="334"/>
      <c r="M98" s="334"/>
      <c r="N98" s="362"/>
      <c r="O98" s="362"/>
      <c r="P98" s="362"/>
      <c r="Q98" s="362"/>
      <c r="R98" s="362"/>
      <c r="S98" s="362"/>
      <c r="T98" s="362"/>
      <c r="U98" s="362"/>
      <c r="V98" s="362"/>
      <c r="W98" s="362"/>
      <c r="X98" s="362"/>
      <c r="Y98" s="362"/>
      <c r="Z98" s="362"/>
      <c r="AA98" s="362"/>
      <c r="AB98" s="362"/>
      <c r="AC98" s="362"/>
      <c r="AD98" s="25">
        <v>1000</v>
      </c>
      <c r="AE98" s="25" t="s">
        <v>712</v>
      </c>
      <c r="AF98" s="25" t="s">
        <v>712</v>
      </c>
      <c r="AH98" s="329" t="s">
        <v>710</v>
      </c>
      <c r="AI98" s="329"/>
    </row>
    <row r="99" spans="1:36" ht="21.5">
      <c r="A99" s="332">
        <v>1</v>
      </c>
      <c r="B99" s="343">
        <v>59788</v>
      </c>
      <c r="C99" s="343">
        <v>56667</v>
      </c>
      <c r="D99" s="343">
        <v>101478</v>
      </c>
      <c r="E99" s="343">
        <v>101886</v>
      </c>
      <c r="F99" s="344"/>
      <c r="G99" s="344"/>
      <c r="H99" s="361"/>
      <c r="I99" s="344"/>
      <c r="J99" s="344"/>
      <c r="K99" s="344"/>
      <c r="L99" s="344"/>
      <c r="M99" s="344"/>
      <c r="N99" s="363"/>
      <c r="O99" s="363"/>
      <c r="P99" s="363"/>
      <c r="Q99" s="363"/>
      <c r="R99" s="363"/>
      <c r="S99" s="363"/>
      <c r="T99" s="363"/>
      <c r="U99" s="363"/>
      <c r="V99" s="363"/>
      <c r="W99" s="363"/>
      <c r="X99" s="363"/>
      <c r="Y99" s="363"/>
      <c r="Z99" s="363"/>
      <c r="AA99" s="363"/>
      <c r="AB99" s="363"/>
      <c r="AC99" s="363"/>
      <c r="AD99" s="25">
        <v>1000</v>
      </c>
      <c r="AE99" s="25" t="s">
        <v>712</v>
      </c>
      <c r="AF99" s="25" t="s">
        <v>712</v>
      </c>
      <c r="AH99" s="335" t="s">
        <v>713</v>
      </c>
      <c r="AI99" s="336" t="str">
        <f>AI5</f>
        <v>F</v>
      </c>
    </row>
    <row r="100" spans="1:36" ht="21.5">
      <c r="A100" s="332">
        <v>2</v>
      </c>
      <c r="B100" s="343">
        <v>59788</v>
      </c>
      <c r="C100" s="343">
        <v>56667</v>
      </c>
      <c r="D100" s="343">
        <v>101478</v>
      </c>
      <c r="E100" s="343">
        <v>101886</v>
      </c>
      <c r="F100" s="344"/>
      <c r="G100" s="344"/>
      <c r="H100" s="361"/>
      <c r="I100" s="344"/>
      <c r="J100" s="344"/>
      <c r="K100" s="344"/>
      <c r="L100" s="344"/>
      <c r="M100" s="344"/>
      <c r="N100" s="363"/>
      <c r="O100" s="363"/>
      <c r="P100" s="363"/>
      <c r="Q100" s="363"/>
      <c r="R100" s="363"/>
      <c r="S100" s="363"/>
      <c r="T100" s="363"/>
      <c r="U100" s="363"/>
      <c r="V100" s="363"/>
      <c r="W100" s="363"/>
      <c r="X100" s="363"/>
      <c r="Y100" s="363"/>
      <c r="Z100" s="363"/>
      <c r="AA100" s="363"/>
      <c r="AB100" s="363"/>
      <c r="AC100" s="363"/>
      <c r="AD100" s="25">
        <v>1000</v>
      </c>
      <c r="AE100" s="25" t="s">
        <v>712</v>
      </c>
      <c r="AF100" s="25" t="s">
        <v>712</v>
      </c>
      <c r="AH100" s="335" t="s">
        <v>17</v>
      </c>
      <c r="AI100" s="336">
        <f>AI6</f>
        <v>44</v>
      </c>
    </row>
    <row r="101" spans="1:36" ht="21.5">
      <c r="A101" s="332">
        <v>3</v>
      </c>
      <c r="B101" s="343">
        <v>53304</v>
      </c>
      <c r="C101" s="343">
        <v>50492</v>
      </c>
      <c r="D101" s="343">
        <v>102336</v>
      </c>
      <c r="E101" s="343">
        <v>102704</v>
      </c>
      <c r="F101" s="344"/>
      <c r="G101" s="344"/>
      <c r="H101" s="361"/>
      <c r="I101" s="344"/>
      <c r="J101" s="344"/>
      <c r="K101" s="344"/>
      <c r="L101" s="344"/>
      <c r="M101" s="344"/>
      <c r="N101" s="363"/>
      <c r="O101" s="363"/>
      <c r="P101" s="363"/>
      <c r="Q101" s="363"/>
      <c r="R101" s="363"/>
      <c r="S101" s="363"/>
      <c r="T101" s="363"/>
      <c r="U101" s="363"/>
      <c r="V101" s="363"/>
      <c r="W101" s="363"/>
      <c r="X101" s="363"/>
      <c r="Y101" s="363"/>
      <c r="Z101" s="363"/>
      <c r="AA101" s="363"/>
      <c r="AB101" s="363"/>
      <c r="AC101" s="363"/>
      <c r="AD101" s="25">
        <v>1000</v>
      </c>
      <c r="AE101" s="25" t="s">
        <v>712</v>
      </c>
      <c r="AF101" s="25" t="s">
        <v>712</v>
      </c>
      <c r="AH101" s="335" t="s">
        <v>571</v>
      </c>
      <c r="AI101" s="336" t="e">
        <f>AI7</f>
        <v>#REF!</v>
      </c>
    </row>
    <row r="102" spans="1:36" ht="21.5">
      <c r="A102" s="332">
        <v>4</v>
      </c>
      <c r="B102" s="343">
        <v>53304</v>
      </c>
      <c r="C102" s="343">
        <v>50492</v>
      </c>
      <c r="D102" s="343">
        <v>102336</v>
      </c>
      <c r="E102" s="343">
        <v>102704</v>
      </c>
      <c r="F102" s="344"/>
      <c r="G102" s="344"/>
      <c r="H102" s="361"/>
      <c r="I102" s="344"/>
      <c r="J102" s="344"/>
      <c r="K102" s="344"/>
      <c r="L102" s="344"/>
      <c r="M102" s="344"/>
      <c r="N102" s="363"/>
      <c r="O102" s="363"/>
      <c r="P102" s="363"/>
      <c r="Q102" s="363"/>
      <c r="R102" s="363"/>
      <c r="S102" s="363"/>
      <c r="T102" s="363"/>
      <c r="U102" s="363"/>
      <c r="V102" s="363"/>
      <c r="W102" s="363"/>
      <c r="X102" s="363"/>
      <c r="Y102" s="363"/>
      <c r="Z102" s="363"/>
      <c r="AA102" s="363"/>
      <c r="AB102" s="363"/>
      <c r="AC102" s="363"/>
      <c r="AD102" s="25">
        <v>1000</v>
      </c>
      <c r="AE102" s="25" t="s">
        <v>712</v>
      </c>
      <c r="AF102" s="25" t="s">
        <v>712</v>
      </c>
      <c r="AH102" s="335" t="s">
        <v>714</v>
      </c>
      <c r="AI102" s="336" t="e">
        <f>VLOOKUP(AI100,$A$98:$AC$183,VLOOKUP(AI101,$AH$16:$AJ$33,IF(AI99="F",3,2),FALSE),FALSE)</f>
        <v>#REF!</v>
      </c>
    </row>
    <row r="103" spans="1:36" ht="21.5">
      <c r="A103" s="332">
        <v>5</v>
      </c>
      <c r="B103" s="343">
        <v>53304</v>
      </c>
      <c r="C103" s="343">
        <v>50492</v>
      </c>
      <c r="D103" s="343">
        <v>102336</v>
      </c>
      <c r="E103" s="343">
        <v>102704</v>
      </c>
      <c r="F103" s="344"/>
      <c r="G103" s="344"/>
      <c r="H103" s="361"/>
      <c r="I103" s="344"/>
      <c r="J103" s="344"/>
      <c r="K103" s="344"/>
      <c r="L103" s="344"/>
      <c r="M103" s="344"/>
      <c r="N103" s="363"/>
      <c r="O103" s="363"/>
      <c r="P103" s="363"/>
      <c r="Q103" s="363"/>
      <c r="R103" s="363"/>
      <c r="S103" s="363"/>
      <c r="T103" s="363"/>
      <c r="U103" s="363"/>
      <c r="V103" s="363"/>
      <c r="W103" s="363"/>
      <c r="X103" s="363"/>
      <c r="Y103" s="363"/>
      <c r="Z103" s="363"/>
      <c r="AA103" s="363"/>
      <c r="AB103" s="363"/>
      <c r="AC103" s="363"/>
      <c r="AD103" s="25">
        <v>1000</v>
      </c>
      <c r="AE103" s="25" t="s">
        <v>712</v>
      </c>
      <c r="AF103" s="25" t="s">
        <v>712</v>
      </c>
      <c r="AH103" s="335" t="s">
        <v>716</v>
      </c>
      <c r="AI103" s="347">
        <v>0</v>
      </c>
    </row>
    <row r="104" spans="1:36" ht="21.5">
      <c r="A104" s="332">
        <v>6</v>
      </c>
      <c r="B104" s="343">
        <v>22335</v>
      </c>
      <c r="C104" s="343">
        <v>20233</v>
      </c>
      <c r="D104" s="343">
        <v>69164</v>
      </c>
      <c r="E104" s="343">
        <v>64135</v>
      </c>
      <c r="F104" s="344"/>
      <c r="G104" s="344"/>
      <c r="H104" s="361"/>
      <c r="I104" s="344"/>
      <c r="J104" s="344"/>
      <c r="K104" s="344"/>
      <c r="L104" s="344"/>
      <c r="M104" s="344"/>
      <c r="N104" s="363"/>
      <c r="O104" s="363"/>
      <c r="P104" s="363"/>
      <c r="Q104" s="363"/>
      <c r="R104" s="363"/>
      <c r="S104" s="363"/>
      <c r="T104" s="363"/>
      <c r="U104" s="363"/>
      <c r="V104" s="363"/>
      <c r="W104" s="363"/>
      <c r="X104" s="363"/>
      <c r="Y104" s="363"/>
      <c r="Z104" s="363"/>
      <c r="AA104" s="363"/>
      <c r="AB104" s="363"/>
      <c r="AC104" s="363"/>
      <c r="AD104" s="25">
        <v>1000</v>
      </c>
      <c r="AE104" s="25" t="s">
        <v>712</v>
      </c>
      <c r="AF104" s="25" t="s">
        <v>712</v>
      </c>
      <c r="AH104" s="335" t="s">
        <v>718</v>
      </c>
      <c r="AI104" s="336" t="e">
        <f>AI102-AI103</f>
        <v>#REF!</v>
      </c>
    </row>
    <row r="105" spans="1:36" ht="21.5">
      <c r="A105" s="332">
        <v>7</v>
      </c>
      <c r="B105" s="343">
        <v>22335</v>
      </c>
      <c r="C105" s="343">
        <v>20233</v>
      </c>
      <c r="D105" s="343">
        <v>69164</v>
      </c>
      <c r="E105" s="343">
        <v>64135</v>
      </c>
      <c r="F105" s="344"/>
      <c r="G105" s="344"/>
      <c r="H105" s="361"/>
      <c r="I105" s="344"/>
      <c r="J105" s="344"/>
      <c r="K105" s="344"/>
      <c r="L105" s="344"/>
      <c r="M105" s="344"/>
      <c r="N105" s="363"/>
      <c r="O105" s="363"/>
      <c r="P105" s="363"/>
      <c r="Q105" s="363"/>
      <c r="R105" s="363"/>
      <c r="S105" s="363"/>
      <c r="T105" s="363"/>
      <c r="U105" s="363"/>
      <c r="V105" s="363"/>
      <c r="W105" s="363"/>
      <c r="X105" s="363"/>
      <c r="Y105" s="363"/>
      <c r="Z105" s="363"/>
      <c r="AA105" s="363"/>
      <c r="AB105" s="363"/>
      <c r="AC105" s="363"/>
      <c r="AD105" s="25">
        <v>1000</v>
      </c>
      <c r="AE105" s="25" t="s">
        <v>712</v>
      </c>
      <c r="AF105" s="25" t="s">
        <v>712</v>
      </c>
      <c r="AH105" s="335" t="s">
        <v>720</v>
      </c>
      <c r="AI105" s="336" t="e">
        <f>AI11</f>
        <v>#REF!</v>
      </c>
    </row>
    <row r="106" spans="1:36" ht="21.5">
      <c r="A106" s="332">
        <v>8</v>
      </c>
      <c r="B106" s="343">
        <v>22335</v>
      </c>
      <c r="C106" s="343">
        <v>20233</v>
      </c>
      <c r="D106" s="343">
        <v>69164</v>
      </c>
      <c r="E106" s="343">
        <v>64135</v>
      </c>
      <c r="F106" s="344"/>
      <c r="G106" s="344"/>
      <c r="H106" s="361"/>
      <c r="I106" s="344"/>
      <c r="J106" s="344"/>
      <c r="K106" s="344"/>
      <c r="L106" s="344"/>
      <c r="M106" s="344"/>
      <c r="N106" s="363"/>
      <c r="O106" s="363"/>
      <c r="P106" s="363"/>
      <c r="Q106" s="363"/>
      <c r="R106" s="363"/>
      <c r="S106" s="363"/>
      <c r="T106" s="363"/>
      <c r="U106" s="363"/>
      <c r="V106" s="363"/>
      <c r="W106" s="363"/>
      <c r="X106" s="363"/>
      <c r="Y106" s="363"/>
      <c r="Z106" s="363"/>
      <c r="AA106" s="363"/>
      <c r="AB106" s="363"/>
      <c r="AC106" s="363"/>
      <c r="AD106" s="25">
        <v>1000</v>
      </c>
      <c r="AE106" s="25" t="s">
        <v>712</v>
      </c>
      <c r="AF106" s="25" t="s">
        <v>712</v>
      </c>
      <c r="AH106" s="335" t="s">
        <v>721</v>
      </c>
      <c r="AI106" s="348" t="e">
        <f>AI104*AI105</f>
        <v>#REF!</v>
      </c>
    </row>
    <row r="107" spans="1:36" ht="21.5">
      <c r="A107" s="332">
        <v>9</v>
      </c>
      <c r="B107" s="343">
        <v>22335</v>
      </c>
      <c r="C107" s="343">
        <v>20233</v>
      </c>
      <c r="D107" s="343">
        <v>69164</v>
      </c>
      <c r="E107" s="343">
        <v>64135</v>
      </c>
      <c r="F107" s="344"/>
      <c r="G107" s="344"/>
      <c r="H107" s="361"/>
      <c r="I107" s="344"/>
      <c r="J107" s="344"/>
      <c r="K107" s="344"/>
      <c r="L107" s="344"/>
      <c r="M107" s="344"/>
      <c r="N107" s="363"/>
      <c r="O107" s="363"/>
      <c r="P107" s="363"/>
      <c r="Q107" s="363"/>
      <c r="R107" s="363"/>
      <c r="S107" s="363"/>
      <c r="T107" s="363"/>
      <c r="U107" s="363"/>
      <c r="V107" s="363"/>
      <c r="W107" s="363"/>
      <c r="X107" s="363"/>
      <c r="Y107" s="363"/>
      <c r="Z107" s="363"/>
      <c r="AA107" s="363"/>
      <c r="AB107" s="363"/>
      <c r="AC107" s="363"/>
      <c r="AD107" s="25">
        <v>1000</v>
      </c>
      <c r="AE107" s="25" t="s">
        <v>712</v>
      </c>
      <c r="AF107" s="25" t="s">
        <v>712</v>
      </c>
      <c r="AH107" s="335" t="s">
        <v>723</v>
      </c>
      <c r="AI107" s="350" t="str">
        <f>VLOOKUP(กรอกข้อมูล!$C$7,$AK$8:$AL$11,2,FALSE)</f>
        <v>A</v>
      </c>
      <c r="AJ107" s="347">
        <f>VLOOKUP(กรอกข้อมูล!$C$7,$AK$8:$AN$11,4,FALSE)</f>
        <v>1</v>
      </c>
    </row>
    <row r="108" spans="1:36" ht="21.5">
      <c r="A108" s="332">
        <v>10</v>
      </c>
      <c r="B108" s="343">
        <v>22335</v>
      </c>
      <c r="C108" s="343">
        <v>20233</v>
      </c>
      <c r="D108" s="343">
        <v>69164</v>
      </c>
      <c r="E108" s="343">
        <v>64135</v>
      </c>
      <c r="F108" s="344"/>
      <c r="G108" s="344"/>
      <c r="H108" s="361"/>
      <c r="I108" s="344"/>
      <c r="J108" s="344"/>
      <c r="K108" s="344"/>
      <c r="L108" s="344"/>
      <c r="M108" s="344"/>
      <c r="N108" s="363"/>
      <c r="O108" s="363"/>
      <c r="P108" s="363"/>
      <c r="Q108" s="363"/>
      <c r="R108" s="363"/>
      <c r="S108" s="363"/>
      <c r="T108" s="363"/>
      <c r="U108" s="363"/>
      <c r="V108" s="363"/>
      <c r="W108" s="363"/>
      <c r="X108" s="363"/>
      <c r="Y108" s="363"/>
      <c r="Z108" s="363"/>
      <c r="AA108" s="363"/>
      <c r="AB108" s="363"/>
      <c r="AC108" s="363"/>
      <c r="AD108" s="25">
        <v>1000</v>
      </c>
      <c r="AE108" s="25" t="s">
        <v>712</v>
      </c>
      <c r="AF108" s="25" t="s">
        <v>712</v>
      </c>
      <c r="AH108" s="335" t="s">
        <v>724</v>
      </c>
      <c r="AI108" s="348" t="e">
        <f>ROUNDDOWN($AI$106*AJ107,2)</f>
        <v>#REF!</v>
      </c>
    </row>
    <row r="109" spans="1:36" ht="21.5">
      <c r="A109" s="332">
        <v>11</v>
      </c>
      <c r="B109" s="343">
        <v>9070</v>
      </c>
      <c r="C109" s="343">
        <v>7096</v>
      </c>
      <c r="D109" s="343">
        <v>24214</v>
      </c>
      <c r="E109" s="343">
        <v>20450</v>
      </c>
      <c r="F109" s="344"/>
      <c r="G109" s="344"/>
      <c r="H109" s="361"/>
      <c r="I109" s="344"/>
      <c r="J109" s="344"/>
      <c r="K109" s="344"/>
      <c r="L109" s="344"/>
      <c r="M109" s="344"/>
      <c r="N109" s="363"/>
      <c r="O109" s="363"/>
      <c r="P109" s="363"/>
      <c r="Q109" s="363"/>
      <c r="R109" s="363"/>
      <c r="S109" s="363"/>
      <c r="T109" s="363"/>
      <c r="U109" s="363"/>
      <c r="V109" s="363"/>
      <c r="W109" s="363"/>
      <c r="X109" s="363"/>
      <c r="Y109" s="363"/>
      <c r="Z109" s="363"/>
      <c r="AA109" s="363"/>
      <c r="AB109" s="363"/>
      <c r="AC109" s="363"/>
      <c r="AD109" s="25">
        <v>1000</v>
      </c>
      <c r="AE109" s="25" t="s">
        <v>712</v>
      </c>
      <c r="AF109" s="25" t="s">
        <v>712</v>
      </c>
    </row>
    <row r="110" spans="1:36" ht="21.5">
      <c r="A110" s="332">
        <v>12</v>
      </c>
      <c r="B110" s="343">
        <v>9070</v>
      </c>
      <c r="C110" s="343">
        <v>7096</v>
      </c>
      <c r="D110" s="343">
        <v>24214</v>
      </c>
      <c r="E110" s="343">
        <v>20450</v>
      </c>
      <c r="F110" s="344"/>
      <c r="G110" s="344"/>
      <c r="H110" s="361"/>
      <c r="I110" s="344"/>
      <c r="J110" s="344"/>
      <c r="K110" s="344"/>
      <c r="L110" s="344"/>
      <c r="M110" s="344"/>
      <c r="N110" s="363"/>
      <c r="O110" s="363"/>
      <c r="P110" s="363"/>
      <c r="Q110" s="363"/>
      <c r="R110" s="363"/>
      <c r="S110" s="363"/>
      <c r="T110" s="363"/>
      <c r="U110" s="363"/>
      <c r="V110" s="363"/>
      <c r="W110" s="363"/>
      <c r="X110" s="363"/>
      <c r="Y110" s="363"/>
      <c r="Z110" s="363"/>
      <c r="AA110" s="363"/>
      <c r="AB110" s="363"/>
      <c r="AC110" s="363"/>
      <c r="AD110" s="25">
        <v>1000</v>
      </c>
      <c r="AE110" s="25" t="s">
        <v>712</v>
      </c>
      <c r="AF110" s="25" t="s">
        <v>712</v>
      </c>
    </row>
    <row r="111" spans="1:36" ht="21.5">
      <c r="A111" s="332">
        <v>13</v>
      </c>
      <c r="B111" s="343">
        <v>9070</v>
      </c>
      <c r="C111" s="343">
        <v>7096</v>
      </c>
      <c r="D111" s="343">
        <v>24214</v>
      </c>
      <c r="E111" s="343">
        <v>20450</v>
      </c>
      <c r="F111" s="344"/>
      <c r="G111" s="344"/>
      <c r="H111" s="361"/>
      <c r="I111" s="344"/>
      <c r="J111" s="344"/>
      <c r="K111" s="344"/>
      <c r="L111" s="344"/>
      <c r="M111" s="344"/>
      <c r="N111" s="363"/>
      <c r="O111" s="363"/>
      <c r="P111" s="363"/>
      <c r="Q111" s="363"/>
      <c r="R111" s="363"/>
      <c r="S111" s="363"/>
      <c r="T111" s="363"/>
      <c r="U111" s="363"/>
      <c r="V111" s="363"/>
      <c r="W111" s="363"/>
      <c r="X111" s="363"/>
      <c r="Y111" s="363"/>
      <c r="Z111" s="363"/>
      <c r="AA111" s="363"/>
      <c r="AB111" s="363"/>
      <c r="AC111" s="363"/>
      <c r="AD111" s="25">
        <v>1000</v>
      </c>
      <c r="AE111" s="25" t="s">
        <v>712</v>
      </c>
      <c r="AF111" s="25" t="s">
        <v>712</v>
      </c>
    </row>
    <row r="112" spans="1:36" ht="21.5">
      <c r="A112" s="332">
        <v>14</v>
      </c>
      <c r="B112" s="343">
        <v>9070</v>
      </c>
      <c r="C112" s="343">
        <v>7096</v>
      </c>
      <c r="D112" s="343">
        <v>24214</v>
      </c>
      <c r="E112" s="343">
        <v>20450</v>
      </c>
      <c r="F112" s="344"/>
      <c r="G112" s="344"/>
      <c r="H112" s="361"/>
      <c r="I112" s="344"/>
      <c r="J112" s="344"/>
      <c r="K112" s="344"/>
      <c r="L112" s="344"/>
      <c r="M112" s="344"/>
      <c r="N112" s="363"/>
      <c r="O112" s="363"/>
      <c r="P112" s="363"/>
      <c r="Q112" s="363"/>
      <c r="R112" s="363"/>
      <c r="S112" s="363"/>
      <c r="T112" s="363"/>
      <c r="U112" s="363"/>
      <c r="V112" s="363"/>
      <c r="W112" s="363"/>
      <c r="X112" s="363"/>
      <c r="Y112" s="363"/>
      <c r="Z112" s="363"/>
      <c r="AA112" s="363"/>
      <c r="AB112" s="363"/>
      <c r="AC112" s="363"/>
      <c r="AD112" s="25">
        <v>1000</v>
      </c>
      <c r="AE112" s="25" t="s">
        <v>712</v>
      </c>
      <c r="AF112" s="25" t="s">
        <v>712</v>
      </c>
    </row>
    <row r="113" spans="1:32" ht="21.5">
      <c r="A113" s="332">
        <v>15</v>
      </c>
      <c r="B113" s="343">
        <v>9070</v>
      </c>
      <c r="C113" s="343">
        <v>7096</v>
      </c>
      <c r="D113" s="343">
        <v>24214</v>
      </c>
      <c r="E113" s="343">
        <v>20450</v>
      </c>
      <c r="F113" s="344"/>
      <c r="G113" s="344"/>
      <c r="H113" s="361"/>
      <c r="I113" s="344"/>
      <c r="J113" s="344"/>
      <c r="K113" s="344"/>
      <c r="L113" s="344"/>
      <c r="M113" s="344"/>
      <c r="N113" s="363"/>
      <c r="O113" s="363"/>
      <c r="P113" s="363"/>
      <c r="Q113" s="363"/>
      <c r="R113" s="363"/>
      <c r="S113" s="363"/>
      <c r="T113" s="363"/>
      <c r="U113" s="363"/>
      <c r="V113" s="363"/>
      <c r="W113" s="363"/>
      <c r="X113" s="363"/>
      <c r="Y113" s="363"/>
      <c r="Z113" s="363"/>
      <c r="AA113" s="363"/>
      <c r="AB113" s="363"/>
      <c r="AC113" s="363"/>
      <c r="AD113" s="25">
        <v>1000</v>
      </c>
      <c r="AE113" s="25" t="s">
        <v>712</v>
      </c>
      <c r="AF113" s="25" t="s">
        <v>712</v>
      </c>
    </row>
    <row r="114" spans="1:32" ht="21.5">
      <c r="A114" s="332">
        <v>16</v>
      </c>
      <c r="B114" s="344">
        <v>18145</v>
      </c>
      <c r="C114" s="344">
        <v>20504</v>
      </c>
      <c r="D114" s="344">
        <v>24631</v>
      </c>
      <c r="E114" s="344">
        <v>27833</v>
      </c>
      <c r="F114" s="343">
        <v>18145</v>
      </c>
      <c r="G114" s="343">
        <v>20504</v>
      </c>
      <c r="H114" s="353">
        <v>21388</v>
      </c>
      <c r="I114" s="353">
        <v>24169</v>
      </c>
      <c r="J114" s="343">
        <v>24631</v>
      </c>
      <c r="K114" s="343">
        <v>27833</v>
      </c>
      <c r="L114" s="343">
        <v>43861</v>
      </c>
      <c r="M114" s="343">
        <v>49563</v>
      </c>
      <c r="N114" s="363"/>
      <c r="O114" s="363"/>
      <c r="P114" s="363"/>
      <c r="Q114" s="363"/>
      <c r="R114" s="363"/>
      <c r="S114" s="363"/>
      <c r="T114" s="363"/>
      <c r="U114" s="363"/>
      <c r="V114" s="363"/>
      <c r="W114" s="363"/>
      <c r="X114" s="363"/>
      <c r="Y114" s="363"/>
      <c r="Z114" s="363"/>
      <c r="AA114" s="363"/>
      <c r="AB114" s="363"/>
      <c r="AC114" s="363"/>
      <c r="AD114" s="25">
        <v>1000</v>
      </c>
      <c r="AE114" s="25" t="s">
        <v>712</v>
      </c>
      <c r="AF114" s="25" t="s">
        <v>712</v>
      </c>
    </row>
    <row r="115" spans="1:32" ht="21.5">
      <c r="A115" s="332">
        <v>17</v>
      </c>
      <c r="B115" s="344">
        <v>18145</v>
      </c>
      <c r="C115" s="344">
        <v>20504</v>
      </c>
      <c r="D115" s="344">
        <v>24631</v>
      </c>
      <c r="E115" s="344">
        <v>27833</v>
      </c>
      <c r="F115" s="343">
        <v>18145</v>
      </c>
      <c r="G115" s="343">
        <v>20504</v>
      </c>
      <c r="H115" s="353">
        <v>21388</v>
      </c>
      <c r="I115" s="353">
        <v>24169</v>
      </c>
      <c r="J115" s="343">
        <v>24631</v>
      </c>
      <c r="K115" s="343">
        <v>27833</v>
      </c>
      <c r="L115" s="343">
        <v>43861</v>
      </c>
      <c r="M115" s="343">
        <v>49563</v>
      </c>
      <c r="N115" s="363"/>
      <c r="O115" s="363"/>
      <c r="P115" s="363"/>
      <c r="Q115" s="363"/>
      <c r="R115" s="363"/>
      <c r="S115" s="363"/>
      <c r="T115" s="363"/>
      <c r="U115" s="363"/>
      <c r="V115" s="363"/>
      <c r="W115" s="363"/>
      <c r="X115" s="363"/>
      <c r="Y115" s="363"/>
      <c r="Z115" s="363"/>
      <c r="AA115" s="363"/>
      <c r="AB115" s="363"/>
      <c r="AC115" s="363"/>
      <c r="AD115" s="25">
        <v>1000</v>
      </c>
      <c r="AE115" s="25" t="s">
        <v>712</v>
      </c>
      <c r="AF115" s="25" t="s">
        <v>712</v>
      </c>
    </row>
    <row r="116" spans="1:32" ht="21.5">
      <c r="A116" s="332">
        <v>18</v>
      </c>
      <c r="B116" s="344">
        <v>18145</v>
      </c>
      <c r="C116" s="344">
        <v>20504</v>
      </c>
      <c r="D116" s="344">
        <v>24631</v>
      </c>
      <c r="E116" s="344">
        <v>27833</v>
      </c>
      <c r="F116" s="343">
        <v>18145</v>
      </c>
      <c r="G116" s="343">
        <v>20504</v>
      </c>
      <c r="H116" s="353">
        <v>21388</v>
      </c>
      <c r="I116" s="353">
        <v>24169</v>
      </c>
      <c r="J116" s="343">
        <v>24631</v>
      </c>
      <c r="K116" s="343">
        <v>27833</v>
      </c>
      <c r="L116" s="343">
        <v>43861</v>
      </c>
      <c r="M116" s="343">
        <v>49563</v>
      </c>
      <c r="N116" s="363"/>
      <c r="O116" s="363"/>
      <c r="P116" s="363"/>
      <c r="Q116" s="363"/>
      <c r="R116" s="363"/>
      <c r="S116" s="363"/>
      <c r="T116" s="363"/>
      <c r="U116" s="363"/>
      <c r="V116" s="363"/>
      <c r="W116" s="363"/>
      <c r="X116" s="363"/>
      <c r="Y116" s="363"/>
      <c r="Z116" s="363"/>
      <c r="AA116" s="363"/>
      <c r="AB116" s="363"/>
      <c r="AC116" s="363"/>
      <c r="AD116" s="25">
        <v>1000</v>
      </c>
      <c r="AE116" s="25" t="s">
        <v>712</v>
      </c>
      <c r="AF116" s="25" t="s">
        <v>712</v>
      </c>
    </row>
    <row r="117" spans="1:32" ht="21.5">
      <c r="A117" s="332">
        <v>19</v>
      </c>
      <c r="B117" s="344">
        <v>18145</v>
      </c>
      <c r="C117" s="344">
        <v>20504</v>
      </c>
      <c r="D117" s="344">
        <v>24631</v>
      </c>
      <c r="E117" s="344">
        <v>27833</v>
      </c>
      <c r="F117" s="343">
        <v>18145</v>
      </c>
      <c r="G117" s="343">
        <v>20504</v>
      </c>
      <c r="H117" s="353">
        <v>21388</v>
      </c>
      <c r="I117" s="353">
        <v>24169</v>
      </c>
      <c r="J117" s="343">
        <v>24631</v>
      </c>
      <c r="K117" s="343">
        <v>27833</v>
      </c>
      <c r="L117" s="343">
        <v>43861</v>
      </c>
      <c r="M117" s="343">
        <v>49563</v>
      </c>
      <c r="N117" s="363"/>
      <c r="O117" s="363"/>
      <c r="P117" s="363"/>
      <c r="Q117" s="363"/>
      <c r="R117" s="363"/>
      <c r="S117" s="363"/>
      <c r="T117" s="363"/>
      <c r="U117" s="363"/>
      <c r="V117" s="363"/>
      <c r="W117" s="363"/>
      <c r="X117" s="363"/>
      <c r="Y117" s="363"/>
      <c r="Z117" s="363"/>
      <c r="AA117" s="363"/>
      <c r="AB117" s="363"/>
      <c r="AC117" s="363"/>
      <c r="AD117" s="25">
        <v>1000</v>
      </c>
      <c r="AE117" s="25" t="s">
        <v>712</v>
      </c>
      <c r="AF117" s="25" t="s">
        <v>712</v>
      </c>
    </row>
    <row r="118" spans="1:32" ht="21.5">
      <c r="A118" s="332">
        <v>20</v>
      </c>
      <c r="B118" s="344">
        <v>18145</v>
      </c>
      <c r="C118" s="344">
        <v>20504</v>
      </c>
      <c r="D118" s="344">
        <v>24631</v>
      </c>
      <c r="E118" s="344">
        <v>27833</v>
      </c>
      <c r="F118" s="343">
        <v>18145</v>
      </c>
      <c r="G118" s="343">
        <v>20504</v>
      </c>
      <c r="H118" s="353">
        <v>21388</v>
      </c>
      <c r="I118" s="353">
        <v>24169</v>
      </c>
      <c r="J118" s="343">
        <v>24631</v>
      </c>
      <c r="K118" s="343">
        <v>27833</v>
      </c>
      <c r="L118" s="343">
        <v>43861</v>
      </c>
      <c r="M118" s="343">
        <v>49563</v>
      </c>
      <c r="N118" s="363"/>
      <c r="O118" s="363"/>
      <c r="P118" s="363"/>
      <c r="Q118" s="363"/>
      <c r="R118" s="363"/>
      <c r="S118" s="363"/>
      <c r="T118" s="363"/>
      <c r="U118" s="363"/>
      <c r="V118" s="363"/>
      <c r="W118" s="363"/>
      <c r="X118" s="363"/>
      <c r="Y118" s="363"/>
      <c r="Z118" s="363"/>
      <c r="AA118" s="363"/>
      <c r="AB118" s="363"/>
      <c r="AC118" s="363"/>
      <c r="AD118" s="25">
        <v>1000</v>
      </c>
      <c r="AE118" s="25" t="s">
        <v>712</v>
      </c>
      <c r="AF118" s="25" t="s">
        <v>712</v>
      </c>
    </row>
    <row r="119" spans="1:32" ht="21.5">
      <c r="A119" s="332">
        <v>21</v>
      </c>
      <c r="B119" s="344">
        <v>18276</v>
      </c>
      <c r="C119" s="344">
        <v>21849</v>
      </c>
      <c r="D119" s="344">
        <v>24819</v>
      </c>
      <c r="E119" s="344">
        <v>29672</v>
      </c>
      <c r="F119" s="343">
        <v>18276</v>
      </c>
      <c r="G119" s="343">
        <v>21849</v>
      </c>
      <c r="H119" s="353">
        <v>21547</v>
      </c>
      <c r="I119" s="353">
        <v>25760</v>
      </c>
      <c r="J119" s="343">
        <v>24819</v>
      </c>
      <c r="K119" s="343">
        <v>29672</v>
      </c>
      <c r="L119" s="343">
        <v>44198</v>
      </c>
      <c r="M119" s="343">
        <v>52839</v>
      </c>
      <c r="N119" s="363"/>
      <c r="O119" s="363"/>
      <c r="P119" s="363"/>
      <c r="Q119" s="363"/>
      <c r="R119" s="363"/>
      <c r="S119" s="363"/>
      <c r="T119" s="363"/>
      <c r="U119" s="363"/>
      <c r="V119" s="363"/>
      <c r="W119" s="363"/>
      <c r="X119" s="363"/>
      <c r="Y119" s="363"/>
      <c r="Z119" s="363"/>
      <c r="AA119" s="363"/>
      <c r="AB119" s="363"/>
      <c r="AC119" s="363"/>
      <c r="AD119" s="25">
        <v>1000</v>
      </c>
      <c r="AE119" s="25" t="s">
        <v>712</v>
      </c>
      <c r="AF119" s="25" t="s">
        <v>712</v>
      </c>
    </row>
    <row r="120" spans="1:32" ht="21.5">
      <c r="A120" s="332">
        <v>22</v>
      </c>
      <c r="B120" s="344">
        <v>18276</v>
      </c>
      <c r="C120" s="344">
        <v>21849</v>
      </c>
      <c r="D120" s="344">
        <v>24819</v>
      </c>
      <c r="E120" s="344">
        <v>29672</v>
      </c>
      <c r="F120" s="343">
        <v>18276</v>
      </c>
      <c r="G120" s="343">
        <v>21849</v>
      </c>
      <c r="H120" s="353">
        <v>21547</v>
      </c>
      <c r="I120" s="353">
        <v>25760</v>
      </c>
      <c r="J120" s="343">
        <v>24819</v>
      </c>
      <c r="K120" s="343">
        <v>29672</v>
      </c>
      <c r="L120" s="343">
        <v>44198</v>
      </c>
      <c r="M120" s="343">
        <v>52839</v>
      </c>
      <c r="N120" s="363"/>
      <c r="O120" s="363"/>
      <c r="P120" s="363"/>
      <c r="Q120" s="363"/>
      <c r="R120" s="363"/>
      <c r="S120" s="363"/>
      <c r="T120" s="363"/>
      <c r="U120" s="363"/>
      <c r="V120" s="363"/>
      <c r="W120" s="363"/>
      <c r="X120" s="363"/>
      <c r="Y120" s="363"/>
      <c r="Z120" s="363"/>
      <c r="AA120" s="363"/>
      <c r="AB120" s="363"/>
      <c r="AC120" s="363"/>
      <c r="AD120" s="25">
        <v>1000</v>
      </c>
      <c r="AE120" s="25" t="s">
        <v>712</v>
      </c>
      <c r="AF120" s="25" t="s">
        <v>712</v>
      </c>
    </row>
    <row r="121" spans="1:32" ht="21.5">
      <c r="A121" s="332">
        <v>23</v>
      </c>
      <c r="B121" s="344">
        <v>18276</v>
      </c>
      <c r="C121" s="344">
        <v>21849</v>
      </c>
      <c r="D121" s="344">
        <v>24819</v>
      </c>
      <c r="E121" s="344">
        <v>29672</v>
      </c>
      <c r="F121" s="343">
        <v>18276</v>
      </c>
      <c r="G121" s="343">
        <v>21849</v>
      </c>
      <c r="H121" s="353">
        <v>21547</v>
      </c>
      <c r="I121" s="353">
        <v>25760</v>
      </c>
      <c r="J121" s="343">
        <v>24819</v>
      </c>
      <c r="K121" s="343">
        <v>29672</v>
      </c>
      <c r="L121" s="343">
        <v>44198</v>
      </c>
      <c r="M121" s="343">
        <v>52839</v>
      </c>
      <c r="N121" s="363"/>
      <c r="O121" s="363"/>
      <c r="P121" s="363"/>
      <c r="Q121" s="363"/>
      <c r="R121" s="363"/>
      <c r="S121" s="363"/>
      <c r="T121" s="363"/>
      <c r="U121" s="363"/>
      <c r="V121" s="363"/>
      <c r="W121" s="363"/>
      <c r="X121" s="363"/>
      <c r="Y121" s="363"/>
      <c r="Z121" s="363"/>
      <c r="AA121" s="363"/>
      <c r="AB121" s="363"/>
      <c r="AC121" s="363"/>
      <c r="AD121" s="25">
        <v>1000</v>
      </c>
      <c r="AE121" s="25" t="s">
        <v>712</v>
      </c>
      <c r="AF121" s="25" t="s">
        <v>712</v>
      </c>
    </row>
    <row r="122" spans="1:32" ht="21.5">
      <c r="A122" s="332">
        <v>24</v>
      </c>
      <c r="B122" s="344">
        <v>18276</v>
      </c>
      <c r="C122" s="344">
        <v>21849</v>
      </c>
      <c r="D122" s="344">
        <v>24819</v>
      </c>
      <c r="E122" s="344">
        <v>29672</v>
      </c>
      <c r="F122" s="343">
        <v>18276</v>
      </c>
      <c r="G122" s="343">
        <v>21849</v>
      </c>
      <c r="H122" s="353">
        <v>21547</v>
      </c>
      <c r="I122" s="353">
        <v>25760</v>
      </c>
      <c r="J122" s="343">
        <v>24819</v>
      </c>
      <c r="K122" s="343">
        <v>29672</v>
      </c>
      <c r="L122" s="343">
        <v>44198</v>
      </c>
      <c r="M122" s="343">
        <v>52839</v>
      </c>
      <c r="N122" s="363"/>
      <c r="O122" s="363"/>
      <c r="P122" s="363"/>
      <c r="Q122" s="363"/>
      <c r="R122" s="363"/>
      <c r="S122" s="363"/>
      <c r="T122" s="363"/>
      <c r="U122" s="363"/>
      <c r="V122" s="363"/>
      <c r="W122" s="363"/>
      <c r="X122" s="363"/>
      <c r="Y122" s="363"/>
      <c r="Z122" s="363"/>
      <c r="AA122" s="363"/>
      <c r="AB122" s="363"/>
      <c r="AC122" s="363"/>
      <c r="AD122" s="25">
        <v>1000</v>
      </c>
      <c r="AE122" s="25" t="s">
        <v>712</v>
      </c>
      <c r="AF122" s="25" t="s">
        <v>712</v>
      </c>
    </row>
    <row r="123" spans="1:32" ht="21.5">
      <c r="A123" s="332">
        <v>25</v>
      </c>
      <c r="B123" s="344">
        <v>18276</v>
      </c>
      <c r="C123" s="344">
        <v>21849</v>
      </c>
      <c r="D123" s="344">
        <v>24819</v>
      </c>
      <c r="E123" s="344">
        <v>29672</v>
      </c>
      <c r="F123" s="343">
        <v>18276</v>
      </c>
      <c r="G123" s="343">
        <v>21849</v>
      </c>
      <c r="H123" s="353">
        <v>21547</v>
      </c>
      <c r="I123" s="353">
        <v>25760</v>
      </c>
      <c r="J123" s="343">
        <v>24819</v>
      </c>
      <c r="K123" s="343">
        <v>29672</v>
      </c>
      <c r="L123" s="343">
        <v>44198</v>
      </c>
      <c r="M123" s="343">
        <v>52839</v>
      </c>
      <c r="N123" s="363"/>
      <c r="O123" s="363"/>
      <c r="P123" s="363"/>
      <c r="Q123" s="363"/>
      <c r="R123" s="363"/>
      <c r="S123" s="363"/>
      <c r="T123" s="363"/>
      <c r="U123" s="363"/>
      <c r="V123" s="363"/>
      <c r="W123" s="363"/>
      <c r="X123" s="363"/>
      <c r="Y123" s="363"/>
      <c r="Z123" s="363"/>
      <c r="AA123" s="363"/>
      <c r="AB123" s="363"/>
      <c r="AC123" s="363"/>
      <c r="AD123" s="25">
        <v>1000</v>
      </c>
      <c r="AE123" s="25" t="s">
        <v>712</v>
      </c>
      <c r="AF123" s="25" t="s">
        <v>712</v>
      </c>
    </row>
    <row r="124" spans="1:32" ht="21.5">
      <c r="A124" s="332">
        <v>26</v>
      </c>
      <c r="B124" s="344">
        <v>18629</v>
      </c>
      <c r="C124" s="344">
        <v>22955</v>
      </c>
      <c r="D124" s="344">
        <v>25293</v>
      </c>
      <c r="E124" s="344">
        <v>31166</v>
      </c>
      <c r="F124" s="343">
        <v>18629</v>
      </c>
      <c r="G124" s="343">
        <v>22955</v>
      </c>
      <c r="H124" s="353">
        <v>21961</v>
      </c>
      <c r="I124" s="353">
        <v>27060</v>
      </c>
      <c r="J124" s="343">
        <v>25293</v>
      </c>
      <c r="K124" s="343">
        <v>31166</v>
      </c>
      <c r="L124" s="343">
        <v>45041</v>
      </c>
      <c r="M124" s="343">
        <v>55500</v>
      </c>
      <c r="N124" s="363"/>
      <c r="O124" s="363"/>
      <c r="P124" s="363"/>
      <c r="Q124" s="363"/>
      <c r="R124" s="363"/>
      <c r="S124" s="363"/>
      <c r="T124" s="363"/>
      <c r="U124" s="363"/>
      <c r="V124" s="363"/>
      <c r="W124" s="363"/>
      <c r="X124" s="363"/>
      <c r="Y124" s="363"/>
      <c r="Z124" s="363"/>
      <c r="AA124" s="363"/>
      <c r="AB124" s="363"/>
      <c r="AC124" s="363"/>
      <c r="AD124" s="25">
        <v>1000</v>
      </c>
      <c r="AE124" s="25" t="s">
        <v>712</v>
      </c>
      <c r="AF124" s="25" t="s">
        <v>712</v>
      </c>
    </row>
    <row r="125" spans="1:32" ht="21.5">
      <c r="A125" s="332">
        <v>27</v>
      </c>
      <c r="B125" s="344">
        <v>18629</v>
      </c>
      <c r="C125" s="344">
        <v>22955</v>
      </c>
      <c r="D125" s="344">
        <v>25293</v>
      </c>
      <c r="E125" s="344">
        <v>31166</v>
      </c>
      <c r="F125" s="343">
        <v>18629</v>
      </c>
      <c r="G125" s="343">
        <v>22955</v>
      </c>
      <c r="H125" s="353">
        <v>21961</v>
      </c>
      <c r="I125" s="353">
        <v>27060</v>
      </c>
      <c r="J125" s="343">
        <v>25293</v>
      </c>
      <c r="K125" s="343">
        <v>31166</v>
      </c>
      <c r="L125" s="343">
        <v>45041</v>
      </c>
      <c r="M125" s="343">
        <v>55500</v>
      </c>
      <c r="N125" s="363"/>
      <c r="O125" s="363"/>
      <c r="P125" s="363"/>
      <c r="Q125" s="363"/>
      <c r="R125" s="363"/>
      <c r="S125" s="363"/>
      <c r="T125" s="363"/>
      <c r="U125" s="363"/>
      <c r="V125" s="363"/>
      <c r="W125" s="363"/>
      <c r="X125" s="363"/>
      <c r="Y125" s="363"/>
      <c r="Z125" s="363"/>
      <c r="AA125" s="363"/>
      <c r="AB125" s="363"/>
      <c r="AC125" s="363"/>
      <c r="AD125" s="25">
        <v>1000</v>
      </c>
      <c r="AE125" s="25" t="s">
        <v>712</v>
      </c>
      <c r="AF125" s="25" t="s">
        <v>712</v>
      </c>
    </row>
    <row r="126" spans="1:32" ht="21.5">
      <c r="A126" s="332">
        <v>28</v>
      </c>
      <c r="B126" s="344">
        <v>18629</v>
      </c>
      <c r="C126" s="344">
        <v>22955</v>
      </c>
      <c r="D126" s="344">
        <v>25293</v>
      </c>
      <c r="E126" s="344">
        <v>31166</v>
      </c>
      <c r="F126" s="343">
        <v>18629</v>
      </c>
      <c r="G126" s="343">
        <v>22955</v>
      </c>
      <c r="H126" s="353">
        <v>21961</v>
      </c>
      <c r="I126" s="353">
        <v>27060</v>
      </c>
      <c r="J126" s="343">
        <v>25293</v>
      </c>
      <c r="K126" s="343">
        <v>31166</v>
      </c>
      <c r="L126" s="343">
        <v>45041</v>
      </c>
      <c r="M126" s="343">
        <v>55500</v>
      </c>
      <c r="N126" s="363"/>
      <c r="O126" s="363"/>
      <c r="P126" s="363"/>
      <c r="Q126" s="363"/>
      <c r="R126" s="363"/>
      <c r="S126" s="363"/>
      <c r="T126" s="363"/>
      <c r="U126" s="363"/>
      <c r="V126" s="363"/>
      <c r="W126" s="363"/>
      <c r="X126" s="363"/>
      <c r="Y126" s="363"/>
      <c r="Z126" s="363"/>
      <c r="AA126" s="363"/>
      <c r="AB126" s="363"/>
      <c r="AC126" s="363"/>
      <c r="AD126" s="25">
        <v>1000</v>
      </c>
      <c r="AE126" s="25" t="s">
        <v>712</v>
      </c>
      <c r="AF126" s="25" t="s">
        <v>712</v>
      </c>
    </row>
    <row r="127" spans="1:32" ht="21.5">
      <c r="A127" s="332">
        <v>29</v>
      </c>
      <c r="B127" s="344">
        <v>18629</v>
      </c>
      <c r="C127" s="344">
        <v>22955</v>
      </c>
      <c r="D127" s="344">
        <v>25293</v>
      </c>
      <c r="E127" s="344">
        <v>31166</v>
      </c>
      <c r="F127" s="343">
        <v>18629</v>
      </c>
      <c r="G127" s="343">
        <v>22955</v>
      </c>
      <c r="H127" s="353">
        <v>21961</v>
      </c>
      <c r="I127" s="353">
        <v>27060</v>
      </c>
      <c r="J127" s="343">
        <v>25293</v>
      </c>
      <c r="K127" s="343">
        <v>31166</v>
      </c>
      <c r="L127" s="343">
        <v>45041</v>
      </c>
      <c r="M127" s="343">
        <v>55500</v>
      </c>
      <c r="N127" s="363"/>
      <c r="O127" s="363"/>
      <c r="P127" s="363"/>
      <c r="Q127" s="363"/>
      <c r="R127" s="363"/>
      <c r="S127" s="363"/>
      <c r="T127" s="363"/>
      <c r="U127" s="363"/>
      <c r="V127" s="363"/>
      <c r="W127" s="363"/>
      <c r="X127" s="363"/>
      <c r="Y127" s="363"/>
      <c r="Z127" s="363"/>
      <c r="AA127" s="363"/>
      <c r="AB127" s="363"/>
      <c r="AC127" s="363"/>
      <c r="AD127" s="25">
        <v>1000</v>
      </c>
      <c r="AE127" s="25" t="s">
        <v>712</v>
      </c>
      <c r="AF127" s="25" t="s">
        <v>712</v>
      </c>
    </row>
    <row r="128" spans="1:32" ht="21.5">
      <c r="A128" s="332">
        <v>30</v>
      </c>
      <c r="B128" s="344">
        <v>18629</v>
      </c>
      <c r="C128" s="344">
        <v>22955</v>
      </c>
      <c r="D128" s="344">
        <v>25293</v>
      </c>
      <c r="E128" s="344">
        <v>31166</v>
      </c>
      <c r="F128" s="343">
        <v>18629</v>
      </c>
      <c r="G128" s="343">
        <v>22955</v>
      </c>
      <c r="H128" s="353">
        <v>21961</v>
      </c>
      <c r="I128" s="353">
        <v>27060</v>
      </c>
      <c r="J128" s="343">
        <v>25293</v>
      </c>
      <c r="K128" s="343">
        <v>31166</v>
      </c>
      <c r="L128" s="343">
        <v>45041</v>
      </c>
      <c r="M128" s="343">
        <v>55500</v>
      </c>
      <c r="N128" s="363"/>
      <c r="O128" s="363"/>
      <c r="P128" s="363"/>
      <c r="Q128" s="363"/>
      <c r="R128" s="363"/>
      <c r="S128" s="363"/>
      <c r="T128" s="363"/>
      <c r="U128" s="363"/>
      <c r="V128" s="363"/>
      <c r="W128" s="363"/>
      <c r="X128" s="363"/>
      <c r="Y128" s="363"/>
      <c r="Z128" s="363"/>
      <c r="AA128" s="363"/>
      <c r="AB128" s="363"/>
      <c r="AC128" s="363"/>
      <c r="AD128" s="25">
        <v>1000</v>
      </c>
      <c r="AE128" s="25" t="s">
        <v>712</v>
      </c>
      <c r="AF128" s="25" t="s">
        <v>712</v>
      </c>
    </row>
    <row r="129" spans="1:32" ht="21.5">
      <c r="A129" s="332">
        <v>31</v>
      </c>
      <c r="B129" s="344">
        <v>18700</v>
      </c>
      <c r="C129" s="344">
        <v>23748</v>
      </c>
      <c r="D129" s="344">
        <v>25393</v>
      </c>
      <c r="E129" s="344">
        <v>32249</v>
      </c>
      <c r="F129" s="343">
        <v>18700</v>
      </c>
      <c r="G129" s="343">
        <v>23748</v>
      </c>
      <c r="H129" s="353">
        <v>22046</v>
      </c>
      <c r="I129" s="353">
        <v>27999</v>
      </c>
      <c r="J129" s="343">
        <v>25393</v>
      </c>
      <c r="K129" s="343">
        <v>32249</v>
      </c>
      <c r="L129" s="343">
        <v>45220</v>
      </c>
      <c r="M129" s="343">
        <v>57429</v>
      </c>
      <c r="N129" s="363"/>
      <c r="O129" s="363"/>
      <c r="P129" s="363"/>
      <c r="Q129" s="363"/>
      <c r="R129" s="363"/>
      <c r="S129" s="363"/>
      <c r="T129" s="363"/>
      <c r="U129" s="363"/>
      <c r="V129" s="363"/>
      <c r="W129" s="363"/>
      <c r="X129" s="363"/>
      <c r="Y129" s="363"/>
      <c r="Z129" s="363"/>
      <c r="AA129" s="363"/>
      <c r="AB129" s="363"/>
      <c r="AC129" s="363"/>
      <c r="AD129" s="25">
        <v>1000</v>
      </c>
      <c r="AE129" s="25" t="s">
        <v>712</v>
      </c>
      <c r="AF129" s="25" t="s">
        <v>712</v>
      </c>
    </row>
    <row r="130" spans="1:32" ht="21.5">
      <c r="A130" s="332">
        <v>32</v>
      </c>
      <c r="B130" s="344">
        <v>18700</v>
      </c>
      <c r="C130" s="344">
        <v>23748</v>
      </c>
      <c r="D130" s="344">
        <v>25393</v>
      </c>
      <c r="E130" s="344">
        <v>32249</v>
      </c>
      <c r="F130" s="343">
        <v>18700</v>
      </c>
      <c r="G130" s="343">
        <v>23748</v>
      </c>
      <c r="H130" s="353">
        <v>22046</v>
      </c>
      <c r="I130" s="353">
        <v>27999</v>
      </c>
      <c r="J130" s="343">
        <v>25393</v>
      </c>
      <c r="K130" s="343">
        <v>32249</v>
      </c>
      <c r="L130" s="343">
        <v>45220</v>
      </c>
      <c r="M130" s="343">
        <v>57429</v>
      </c>
      <c r="N130" s="363"/>
      <c r="O130" s="363"/>
      <c r="P130" s="363"/>
      <c r="Q130" s="363"/>
      <c r="R130" s="363"/>
      <c r="S130" s="363"/>
      <c r="T130" s="363"/>
      <c r="U130" s="363"/>
      <c r="V130" s="363"/>
      <c r="W130" s="363"/>
      <c r="X130" s="363"/>
      <c r="Y130" s="363"/>
      <c r="Z130" s="363"/>
      <c r="AA130" s="363"/>
      <c r="AB130" s="363"/>
      <c r="AC130" s="363"/>
      <c r="AD130" s="25">
        <v>1000</v>
      </c>
      <c r="AE130" s="25" t="s">
        <v>712</v>
      </c>
      <c r="AF130" s="25" t="s">
        <v>712</v>
      </c>
    </row>
    <row r="131" spans="1:32" ht="21.5">
      <c r="A131" s="332">
        <v>33</v>
      </c>
      <c r="B131" s="344">
        <v>18700</v>
      </c>
      <c r="C131" s="344">
        <v>23748</v>
      </c>
      <c r="D131" s="344">
        <v>25393</v>
      </c>
      <c r="E131" s="344">
        <v>32249</v>
      </c>
      <c r="F131" s="343">
        <v>18700</v>
      </c>
      <c r="G131" s="343">
        <v>23748</v>
      </c>
      <c r="H131" s="353">
        <v>22046</v>
      </c>
      <c r="I131" s="353">
        <v>27999</v>
      </c>
      <c r="J131" s="343">
        <v>25393</v>
      </c>
      <c r="K131" s="343">
        <v>32249</v>
      </c>
      <c r="L131" s="343">
        <v>45220</v>
      </c>
      <c r="M131" s="343">
        <v>57429</v>
      </c>
      <c r="N131" s="363"/>
      <c r="O131" s="363"/>
      <c r="P131" s="363"/>
      <c r="Q131" s="363"/>
      <c r="R131" s="363"/>
      <c r="S131" s="363"/>
      <c r="T131" s="363"/>
      <c r="U131" s="363"/>
      <c r="V131" s="363"/>
      <c r="W131" s="363"/>
      <c r="X131" s="363"/>
      <c r="Y131" s="363"/>
      <c r="Z131" s="363"/>
      <c r="AA131" s="363"/>
      <c r="AB131" s="363"/>
      <c r="AC131" s="363"/>
      <c r="AD131" s="25">
        <v>1000</v>
      </c>
      <c r="AE131" s="25" t="s">
        <v>712</v>
      </c>
      <c r="AF131" s="25" t="s">
        <v>712</v>
      </c>
    </row>
    <row r="132" spans="1:32" ht="21.5">
      <c r="A132" s="332">
        <v>34</v>
      </c>
      <c r="B132" s="344">
        <v>18700</v>
      </c>
      <c r="C132" s="344">
        <v>23748</v>
      </c>
      <c r="D132" s="344">
        <v>25393</v>
      </c>
      <c r="E132" s="344">
        <v>32249</v>
      </c>
      <c r="F132" s="343">
        <v>18700</v>
      </c>
      <c r="G132" s="343">
        <v>23748</v>
      </c>
      <c r="H132" s="353">
        <v>22046</v>
      </c>
      <c r="I132" s="353">
        <v>27999</v>
      </c>
      <c r="J132" s="343">
        <v>25393</v>
      </c>
      <c r="K132" s="343">
        <v>32249</v>
      </c>
      <c r="L132" s="343">
        <v>45220</v>
      </c>
      <c r="M132" s="343">
        <v>57429</v>
      </c>
      <c r="N132" s="363"/>
      <c r="O132" s="363"/>
      <c r="P132" s="363"/>
      <c r="Q132" s="363"/>
      <c r="R132" s="363"/>
      <c r="S132" s="363"/>
      <c r="T132" s="363"/>
      <c r="U132" s="363"/>
      <c r="V132" s="363"/>
      <c r="W132" s="363"/>
      <c r="X132" s="363"/>
      <c r="Y132" s="363"/>
      <c r="Z132" s="363"/>
      <c r="AA132" s="363"/>
      <c r="AB132" s="363"/>
      <c r="AC132" s="363"/>
      <c r="AD132" s="25">
        <v>1000</v>
      </c>
      <c r="AE132" s="25" t="s">
        <v>712</v>
      </c>
      <c r="AF132" s="25" t="s">
        <v>712</v>
      </c>
    </row>
    <row r="133" spans="1:32" ht="21.5">
      <c r="A133" s="332">
        <v>35</v>
      </c>
      <c r="B133" s="344">
        <v>18700</v>
      </c>
      <c r="C133" s="344">
        <v>23748</v>
      </c>
      <c r="D133" s="344">
        <v>25393</v>
      </c>
      <c r="E133" s="344">
        <v>32249</v>
      </c>
      <c r="F133" s="343">
        <v>18700</v>
      </c>
      <c r="G133" s="343">
        <v>23748</v>
      </c>
      <c r="H133" s="353">
        <v>22046</v>
      </c>
      <c r="I133" s="353">
        <v>27999</v>
      </c>
      <c r="J133" s="343">
        <v>25393</v>
      </c>
      <c r="K133" s="343">
        <v>32249</v>
      </c>
      <c r="L133" s="343">
        <v>45220</v>
      </c>
      <c r="M133" s="343">
        <v>57429</v>
      </c>
      <c r="N133" s="363"/>
      <c r="O133" s="363"/>
      <c r="P133" s="363"/>
      <c r="Q133" s="363"/>
      <c r="R133" s="363"/>
      <c r="S133" s="363"/>
      <c r="T133" s="363"/>
      <c r="U133" s="363"/>
      <c r="V133" s="363"/>
      <c r="W133" s="363"/>
      <c r="X133" s="363"/>
      <c r="Y133" s="363"/>
      <c r="Z133" s="363"/>
      <c r="AA133" s="363"/>
      <c r="AB133" s="363"/>
      <c r="AC133" s="363"/>
      <c r="AD133" s="25">
        <v>1000</v>
      </c>
      <c r="AE133" s="25" t="s">
        <v>712</v>
      </c>
      <c r="AF133" s="25" t="s">
        <v>712</v>
      </c>
    </row>
    <row r="134" spans="1:32" ht="21.5">
      <c r="A134" s="332">
        <v>36</v>
      </c>
      <c r="B134" s="344">
        <v>21346</v>
      </c>
      <c r="C134" s="344">
        <v>28410</v>
      </c>
      <c r="D134" s="344">
        <v>29530</v>
      </c>
      <c r="E134" s="344">
        <v>39736</v>
      </c>
      <c r="F134" s="343">
        <v>21346</v>
      </c>
      <c r="G134" s="343">
        <v>28410</v>
      </c>
      <c r="H134" s="353">
        <v>25726</v>
      </c>
      <c r="I134" s="353">
        <v>34279</v>
      </c>
      <c r="J134" s="343">
        <v>29530</v>
      </c>
      <c r="K134" s="343">
        <v>39736</v>
      </c>
      <c r="L134" s="343">
        <v>52586</v>
      </c>
      <c r="M134" s="343">
        <v>70761</v>
      </c>
      <c r="N134" s="363"/>
      <c r="O134" s="363"/>
      <c r="P134" s="363"/>
      <c r="Q134" s="363"/>
      <c r="R134" s="363"/>
      <c r="S134" s="363"/>
      <c r="T134" s="363"/>
      <c r="U134" s="363"/>
      <c r="V134" s="363"/>
      <c r="W134" s="363"/>
      <c r="X134" s="363"/>
      <c r="Y134" s="363"/>
      <c r="Z134" s="363"/>
      <c r="AA134" s="363"/>
      <c r="AB134" s="363"/>
      <c r="AC134" s="363"/>
      <c r="AD134" s="25">
        <v>1000</v>
      </c>
      <c r="AE134" s="25" t="s">
        <v>712</v>
      </c>
      <c r="AF134" s="25" t="s">
        <v>712</v>
      </c>
    </row>
    <row r="135" spans="1:32" ht="21.5">
      <c r="A135" s="332">
        <v>37</v>
      </c>
      <c r="B135" s="344">
        <v>21346</v>
      </c>
      <c r="C135" s="344">
        <v>28410</v>
      </c>
      <c r="D135" s="344">
        <v>29530</v>
      </c>
      <c r="E135" s="344">
        <v>39736</v>
      </c>
      <c r="F135" s="343">
        <v>21346</v>
      </c>
      <c r="G135" s="343">
        <v>28410</v>
      </c>
      <c r="H135" s="353">
        <v>25726</v>
      </c>
      <c r="I135" s="353">
        <v>34279</v>
      </c>
      <c r="J135" s="343">
        <v>29530</v>
      </c>
      <c r="K135" s="343">
        <v>39736</v>
      </c>
      <c r="L135" s="343">
        <v>52586</v>
      </c>
      <c r="M135" s="343">
        <v>70761</v>
      </c>
      <c r="N135" s="363"/>
      <c r="O135" s="363"/>
      <c r="P135" s="363"/>
      <c r="Q135" s="363"/>
      <c r="R135" s="363"/>
      <c r="S135" s="363"/>
      <c r="T135" s="363"/>
      <c r="U135" s="363"/>
      <c r="V135" s="363"/>
      <c r="W135" s="363"/>
      <c r="X135" s="363"/>
      <c r="Y135" s="363"/>
      <c r="Z135" s="363"/>
      <c r="AA135" s="363"/>
      <c r="AB135" s="363"/>
      <c r="AC135" s="363"/>
      <c r="AD135" s="25">
        <v>1000</v>
      </c>
      <c r="AE135" s="25" t="s">
        <v>712</v>
      </c>
      <c r="AF135" s="25" t="s">
        <v>712</v>
      </c>
    </row>
    <row r="136" spans="1:32" ht="21.5">
      <c r="A136" s="332">
        <v>38</v>
      </c>
      <c r="B136" s="344">
        <v>21346</v>
      </c>
      <c r="C136" s="344">
        <v>28410</v>
      </c>
      <c r="D136" s="344">
        <v>29530</v>
      </c>
      <c r="E136" s="344">
        <v>39736</v>
      </c>
      <c r="F136" s="343">
        <v>21346</v>
      </c>
      <c r="G136" s="343">
        <v>28410</v>
      </c>
      <c r="H136" s="353">
        <v>25726</v>
      </c>
      <c r="I136" s="353">
        <v>34279</v>
      </c>
      <c r="J136" s="343">
        <v>29530</v>
      </c>
      <c r="K136" s="343">
        <v>39736</v>
      </c>
      <c r="L136" s="343">
        <v>52586</v>
      </c>
      <c r="M136" s="343">
        <v>70761</v>
      </c>
      <c r="N136" s="363"/>
      <c r="O136" s="363"/>
      <c r="P136" s="363"/>
      <c r="Q136" s="363"/>
      <c r="R136" s="363"/>
      <c r="S136" s="363"/>
      <c r="T136" s="363"/>
      <c r="U136" s="363"/>
      <c r="V136" s="363"/>
      <c r="W136" s="363"/>
      <c r="X136" s="363"/>
      <c r="Y136" s="363"/>
      <c r="Z136" s="363"/>
      <c r="AA136" s="363"/>
      <c r="AB136" s="363"/>
      <c r="AC136" s="363"/>
      <c r="AD136" s="25">
        <v>1000</v>
      </c>
      <c r="AE136" s="25" t="s">
        <v>712</v>
      </c>
      <c r="AF136" s="25" t="s">
        <v>712</v>
      </c>
    </row>
    <row r="137" spans="1:32" ht="21.5">
      <c r="A137" s="332">
        <v>39</v>
      </c>
      <c r="B137" s="344">
        <v>21346</v>
      </c>
      <c r="C137" s="344">
        <v>28410</v>
      </c>
      <c r="D137" s="344">
        <v>29530</v>
      </c>
      <c r="E137" s="344">
        <v>39736</v>
      </c>
      <c r="F137" s="343">
        <v>21346</v>
      </c>
      <c r="G137" s="343">
        <v>28410</v>
      </c>
      <c r="H137" s="353">
        <v>25726</v>
      </c>
      <c r="I137" s="353">
        <v>34279</v>
      </c>
      <c r="J137" s="343">
        <v>29530</v>
      </c>
      <c r="K137" s="343">
        <v>39736</v>
      </c>
      <c r="L137" s="343">
        <v>52586</v>
      </c>
      <c r="M137" s="343">
        <v>70761</v>
      </c>
      <c r="N137" s="363"/>
      <c r="O137" s="363"/>
      <c r="P137" s="363"/>
      <c r="Q137" s="363"/>
      <c r="R137" s="363"/>
      <c r="S137" s="363"/>
      <c r="T137" s="363"/>
      <c r="U137" s="363"/>
      <c r="V137" s="363"/>
      <c r="W137" s="363"/>
      <c r="X137" s="363"/>
      <c r="Y137" s="363"/>
      <c r="Z137" s="363"/>
      <c r="AA137" s="363"/>
      <c r="AB137" s="363"/>
      <c r="AC137" s="363"/>
      <c r="AD137" s="25">
        <v>1000</v>
      </c>
      <c r="AE137" s="25" t="s">
        <v>712</v>
      </c>
      <c r="AF137" s="25" t="s">
        <v>712</v>
      </c>
    </row>
    <row r="138" spans="1:32" ht="21.5">
      <c r="A138" s="332">
        <v>40</v>
      </c>
      <c r="B138" s="344">
        <v>21346</v>
      </c>
      <c r="C138" s="344">
        <v>28410</v>
      </c>
      <c r="D138" s="344">
        <v>29530</v>
      </c>
      <c r="E138" s="344">
        <v>39736</v>
      </c>
      <c r="F138" s="343">
        <v>21346</v>
      </c>
      <c r="G138" s="343">
        <v>28410</v>
      </c>
      <c r="H138" s="353">
        <v>25726</v>
      </c>
      <c r="I138" s="353">
        <v>34279</v>
      </c>
      <c r="J138" s="343">
        <v>29530</v>
      </c>
      <c r="K138" s="343">
        <v>39736</v>
      </c>
      <c r="L138" s="343">
        <v>52586</v>
      </c>
      <c r="M138" s="343">
        <v>70761</v>
      </c>
      <c r="N138" s="363"/>
      <c r="O138" s="363"/>
      <c r="P138" s="363"/>
      <c r="Q138" s="363"/>
      <c r="R138" s="363"/>
      <c r="S138" s="363"/>
      <c r="T138" s="363"/>
      <c r="U138" s="363"/>
      <c r="V138" s="363"/>
      <c r="W138" s="363"/>
      <c r="X138" s="363"/>
      <c r="Y138" s="363"/>
      <c r="Z138" s="363"/>
      <c r="AA138" s="363"/>
      <c r="AB138" s="363"/>
      <c r="AC138" s="363"/>
      <c r="AD138" s="25">
        <v>1000</v>
      </c>
      <c r="AE138" s="25" t="s">
        <v>712</v>
      </c>
      <c r="AF138" s="25" t="s">
        <v>712</v>
      </c>
    </row>
    <row r="139" spans="1:32" ht="21.5">
      <c r="A139" s="332">
        <v>41</v>
      </c>
      <c r="B139" s="344">
        <v>23992</v>
      </c>
      <c r="C139" s="344">
        <v>29510</v>
      </c>
      <c r="D139" s="344">
        <v>33667</v>
      </c>
      <c r="E139" s="344">
        <v>41410</v>
      </c>
      <c r="F139" s="343">
        <v>23992</v>
      </c>
      <c r="G139" s="343">
        <v>29510</v>
      </c>
      <c r="H139" s="353">
        <v>29405</v>
      </c>
      <c r="I139" s="353">
        <v>36168</v>
      </c>
      <c r="J139" s="343">
        <v>33667</v>
      </c>
      <c r="K139" s="343">
        <v>41410</v>
      </c>
      <c r="L139" s="343">
        <v>59952</v>
      </c>
      <c r="M139" s="343">
        <v>73741</v>
      </c>
      <c r="N139" s="363"/>
      <c r="O139" s="363"/>
      <c r="P139" s="363"/>
      <c r="Q139" s="363"/>
      <c r="R139" s="363"/>
      <c r="S139" s="363"/>
      <c r="T139" s="363"/>
      <c r="U139" s="363"/>
      <c r="V139" s="363"/>
      <c r="W139" s="363"/>
      <c r="X139" s="363"/>
      <c r="Y139" s="363"/>
      <c r="Z139" s="363"/>
      <c r="AA139" s="363"/>
      <c r="AB139" s="363"/>
      <c r="AC139" s="363"/>
      <c r="AD139" s="25">
        <v>1000</v>
      </c>
      <c r="AE139" s="25" t="s">
        <v>712</v>
      </c>
      <c r="AF139" s="25" t="s">
        <v>712</v>
      </c>
    </row>
    <row r="140" spans="1:32" ht="21.5">
      <c r="A140" s="332">
        <v>42</v>
      </c>
      <c r="B140" s="344">
        <v>23992</v>
      </c>
      <c r="C140" s="344">
        <v>29510</v>
      </c>
      <c r="D140" s="344">
        <v>33667</v>
      </c>
      <c r="E140" s="344">
        <v>41410</v>
      </c>
      <c r="F140" s="343">
        <v>23992</v>
      </c>
      <c r="G140" s="343">
        <v>29510</v>
      </c>
      <c r="H140" s="353">
        <v>29405</v>
      </c>
      <c r="I140" s="353">
        <v>36168</v>
      </c>
      <c r="J140" s="343">
        <v>33667</v>
      </c>
      <c r="K140" s="343">
        <v>41410</v>
      </c>
      <c r="L140" s="343">
        <v>59952</v>
      </c>
      <c r="M140" s="343">
        <v>73741</v>
      </c>
      <c r="N140" s="363"/>
      <c r="O140" s="363"/>
      <c r="P140" s="363"/>
      <c r="Q140" s="363"/>
      <c r="R140" s="363"/>
      <c r="S140" s="363"/>
      <c r="T140" s="363"/>
      <c r="U140" s="363"/>
      <c r="V140" s="363"/>
      <c r="W140" s="363"/>
      <c r="X140" s="363"/>
      <c r="Y140" s="363"/>
      <c r="Z140" s="363"/>
      <c r="AA140" s="363"/>
      <c r="AB140" s="363"/>
      <c r="AC140" s="363"/>
      <c r="AD140" s="25">
        <v>1000</v>
      </c>
      <c r="AE140" s="25" t="s">
        <v>712</v>
      </c>
      <c r="AF140" s="25" t="s">
        <v>712</v>
      </c>
    </row>
    <row r="141" spans="1:32" ht="21.5">
      <c r="A141" s="332">
        <v>43</v>
      </c>
      <c r="B141" s="344">
        <v>23992</v>
      </c>
      <c r="C141" s="344">
        <v>29510</v>
      </c>
      <c r="D141" s="344">
        <v>33667</v>
      </c>
      <c r="E141" s="344">
        <v>41410</v>
      </c>
      <c r="F141" s="343">
        <v>23992</v>
      </c>
      <c r="G141" s="343">
        <v>29510</v>
      </c>
      <c r="H141" s="353">
        <v>29405</v>
      </c>
      <c r="I141" s="353">
        <v>36168</v>
      </c>
      <c r="J141" s="343">
        <v>33667</v>
      </c>
      <c r="K141" s="343">
        <v>41410</v>
      </c>
      <c r="L141" s="343">
        <v>59952</v>
      </c>
      <c r="M141" s="343">
        <v>73741</v>
      </c>
      <c r="N141" s="363"/>
      <c r="O141" s="363"/>
      <c r="P141" s="363"/>
      <c r="Q141" s="363"/>
      <c r="R141" s="363"/>
      <c r="S141" s="363"/>
      <c r="T141" s="363"/>
      <c r="U141" s="363"/>
      <c r="V141" s="363"/>
      <c r="W141" s="363"/>
      <c r="X141" s="363"/>
      <c r="Y141" s="363"/>
      <c r="Z141" s="363"/>
      <c r="AA141" s="363"/>
      <c r="AB141" s="363"/>
      <c r="AC141" s="363"/>
      <c r="AD141" s="25">
        <v>1000</v>
      </c>
      <c r="AE141" s="25" t="s">
        <v>712</v>
      </c>
      <c r="AF141" s="25" t="s">
        <v>712</v>
      </c>
    </row>
    <row r="142" spans="1:32" ht="21.5">
      <c r="A142" s="332">
        <v>44</v>
      </c>
      <c r="B142" s="344">
        <v>23992</v>
      </c>
      <c r="C142" s="344">
        <v>29510</v>
      </c>
      <c r="D142" s="344">
        <v>33667</v>
      </c>
      <c r="E142" s="344">
        <v>41410</v>
      </c>
      <c r="F142" s="343">
        <v>23992</v>
      </c>
      <c r="G142" s="343">
        <v>29510</v>
      </c>
      <c r="H142" s="353">
        <v>29405</v>
      </c>
      <c r="I142" s="353">
        <v>36168</v>
      </c>
      <c r="J142" s="343">
        <v>33667</v>
      </c>
      <c r="K142" s="343">
        <v>41410</v>
      </c>
      <c r="L142" s="343">
        <v>59952</v>
      </c>
      <c r="M142" s="343">
        <v>73741</v>
      </c>
      <c r="N142" s="363"/>
      <c r="O142" s="363"/>
      <c r="P142" s="363"/>
      <c r="Q142" s="363"/>
      <c r="R142" s="363"/>
      <c r="S142" s="363"/>
      <c r="T142" s="363"/>
      <c r="U142" s="363"/>
      <c r="V142" s="363"/>
      <c r="W142" s="363"/>
      <c r="X142" s="363"/>
      <c r="Y142" s="363"/>
      <c r="Z142" s="363"/>
      <c r="AA142" s="363"/>
      <c r="AB142" s="363"/>
      <c r="AC142" s="363"/>
      <c r="AD142" s="25">
        <v>1000</v>
      </c>
      <c r="AE142" s="25" t="s">
        <v>712</v>
      </c>
      <c r="AF142" s="25" t="s">
        <v>712</v>
      </c>
    </row>
    <row r="143" spans="1:32" ht="21.5">
      <c r="A143" s="332">
        <v>45</v>
      </c>
      <c r="B143" s="344">
        <v>23992</v>
      </c>
      <c r="C143" s="344">
        <v>29510</v>
      </c>
      <c r="D143" s="344">
        <v>33667</v>
      </c>
      <c r="E143" s="344">
        <v>41410</v>
      </c>
      <c r="F143" s="343">
        <v>23992</v>
      </c>
      <c r="G143" s="343">
        <v>29510</v>
      </c>
      <c r="H143" s="353">
        <v>29405</v>
      </c>
      <c r="I143" s="353">
        <v>36168</v>
      </c>
      <c r="J143" s="343">
        <v>33667</v>
      </c>
      <c r="K143" s="343">
        <v>41410</v>
      </c>
      <c r="L143" s="343">
        <v>59952</v>
      </c>
      <c r="M143" s="343">
        <v>73741</v>
      </c>
      <c r="N143" s="363"/>
      <c r="O143" s="363"/>
      <c r="P143" s="363"/>
      <c r="Q143" s="363"/>
      <c r="R143" s="363"/>
      <c r="S143" s="363"/>
      <c r="T143" s="363"/>
      <c r="U143" s="363"/>
      <c r="V143" s="363"/>
      <c r="W143" s="363"/>
      <c r="X143" s="363"/>
      <c r="Y143" s="363"/>
      <c r="Z143" s="363"/>
      <c r="AA143" s="363"/>
      <c r="AB143" s="363"/>
      <c r="AC143" s="363"/>
      <c r="AD143" s="25">
        <v>1000</v>
      </c>
      <c r="AE143" s="25" t="s">
        <v>712</v>
      </c>
      <c r="AF143" s="25" t="s">
        <v>712</v>
      </c>
    </row>
    <row r="144" spans="1:32" ht="21.5">
      <c r="A144" s="332">
        <v>46</v>
      </c>
      <c r="B144" s="344">
        <v>28677</v>
      </c>
      <c r="C144" s="344">
        <v>34699</v>
      </c>
      <c r="D144" s="344">
        <v>42483</v>
      </c>
      <c r="E144" s="344">
        <v>51405</v>
      </c>
      <c r="F144" s="343">
        <v>28677</v>
      </c>
      <c r="G144" s="343">
        <v>34699</v>
      </c>
      <c r="H144" s="353">
        <v>37185</v>
      </c>
      <c r="I144" s="353">
        <v>44994</v>
      </c>
      <c r="J144" s="343">
        <v>42483</v>
      </c>
      <c r="K144" s="343">
        <v>51405</v>
      </c>
      <c r="L144" s="343">
        <v>75653</v>
      </c>
      <c r="M144" s="343">
        <v>91540</v>
      </c>
      <c r="N144" s="363"/>
      <c r="O144" s="363"/>
      <c r="P144" s="363"/>
      <c r="Q144" s="363"/>
      <c r="R144" s="363"/>
      <c r="S144" s="363"/>
      <c r="T144" s="363"/>
      <c r="U144" s="363"/>
      <c r="V144" s="363"/>
      <c r="W144" s="363"/>
      <c r="X144" s="363"/>
      <c r="Y144" s="363"/>
      <c r="Z144" s="363"/>
      <c r="AA144" s="363"/>
      <c r="AB144" s="363"/>
      <c r="AC144" s="363"/>
      <c r="AD144" s="25">
        <v>1000</v>
      </c>
      <c r="AE144" s="25" t="s">
        <v>712</v>
      </c>
      <c r="AF144" s="25" t="s">
        <v>712</v>
      </c>
    </row>
    <row r="145" spans="1:32" ht="21.5">
      <c r="A145" s="332">
        <v>47</v>
      </c>
      <c r="B145" s="344">
        <v>28677</v>
      </c>
      <c r="C145" s="344">
        <v>34699</v>
      </c>
      <c r="D145" s="344">
        <v>42483</v>
      </c>
      <c r="E145" s="344">
        <v>51405</v>
      </c>
      <c r="F145" s="343">
        <v>28677</v>
      </c>
      <c r="G145" s="343">
        <v>34699</v>
      </c>
      <c r="H145" s="353">
        <v>37185</v>
      </c>
      <c r="I145" s="353">
        <v>44994</v>
      </c>
      <c r="J145" s="343">
        <v>42483</v>
      </c>
      <c r="K145" s="343">
        <v>51405</v>
      </c>
      <c r="L145" s="343">
        <v>75653</v>
      </c>
      <c r="M145" s="343">
        <v>91540</v>
      </c>
      <c r="N145" s="363"/>
      <c r="O145" s="363"/>
      <c r="P145" s="363"/>
      <c r="Q145" s="363"/>
      <c r="R145" s="363"/>
      <c r="S145" s="363"/>
      <c r="T145" s="363"/>
      <c r="U145" s="363"/>
      <c r="V145" s="363"/>
      <c r="W145" s="363"/>
      <c r="X145" s="363"/>
      <c r="Y145" s="363"/>
      <c r="Z145" s="363"/>
      <c r="AA145" s="363"/>
      <c r="AB145" s="363"/>
      <c r="AC145" s="363"/>
      <c r="AD145" s="25">
        <v>1000</v>
      </c>
      <c r="AE145" s="25" t="s">
        <v>712</v>
      </c>
      <c r="AF145" s="25" t="s">
        <v>712</v>
      </c>
    </row>
    <row r="146" spans="1:32" ht="21.5">
      <c r="A146" s="332">
        <v>48</v>
      </c>
      <c r="B146" s="344">
        <v>28677</v>
      </c>
      <c r="C146" s="344">
        <v>34699</v>
      </c>
      <c r="D146" s="344">
        <v>42483</v>
      </c>
      <c r="E146" s="344">
        <v>51405</v>
      </c>
      <c r="F146" s="343">
        <v>28677</v>
      </c>
      <c r="G146" s="343">
        <v>34699</v>
      </c>
      <c r="H146" s="353">
        <v>37185</v>
      </c>
      <c r="I146" s="353">
        <v>44994</v>
      </c>
      <c r="J146" s="343">
        <v>42483</v>
      </c>
      <c r="K146" s="343">
        <v>51405</v>
      </c>
      <c r="L146" s="343">
        <v>75653</v>
      </c>
      <c r="M146" s="343">
        <v>91540</v>
      </c>
      <c r="N146" s="363"/>
      <c r="O146" s="363"/>
      <c r="P146" s="363"/>
      <c r="Q146" s="363"/>
      <c r="R146" s="363"/>
      <c r="S146" s="363"/>
      <c r="T146" s="363"/>
      <c r="U146" s="363"/>
      <c r="V146" s="363"/>
      <c r="W146" s="363"/>
      <c r="X146" s="363"/>
      <c r="Y146" s="363"/>
      <c r="Z146" s="363"/>
      <c r="AA146" s="363"/>
      <c r="AB146" s="363"/>
      <c r="AC146" s="363"/>
      <c r="AD146" s="25">
        <v>1000</v>
      </c>
      <c r="AE146" s="25" t="s">
        <v>712</v>
      </c>
      <c r="AF146" s="25" t="s">
        <v>712</v>
      </c>
    </row>
    <row r="147" spans="1:32" ht="21.5">
      <c r="A147" s="332">
        <v>49</v>
      </c>
      <c r="B147" s="344">
        <v>28677</v>
      </c>
      <c r="C147" s="344">
        <v>34699</v>
      </c>
      <c r="D147" s="344">
        <v>42483</v>
      </c>
      <c r="E147" s="344">
        <v>51405</v>
      </c>
      <c r="F147" s="343">
        <v>28677</v>
      </c>
      <c r="G147" s="343">
        <v>34699</v>
      </c>
      <c r="H147" s="353">
        <v>37185</v>
      </c>
      <c r="I147" s="353">
        <v>44994</v>
      </c>
      <c r="J147" s="343">
        <v>42483</v>
      </c>
      <c r="K147" s="343">
        <v>51405</v>
      </c>
      <c r="L147" s="343">
        <v>75653</v>
      </c>
      <c r="M147" s="343">
        <v>91540</v>
      </c>
      <c r="N147" s="363"/>
      <c r="O147" s="363"/>
      <c r="P147" s="363"/>
      <c r="Q147" s="363"/>
      <c r="R147" s="363"/>
      <c r="S147" s="363"/>
      <c r="T147" s="363"/>
      <c r="U147" s="363"/>
      <c r="V147" s="363"/>
      <c r="W147" s="363"/>
      <c r="X147" s="363"/>
      <c r="Y147" s="363"/>
      <c r="Z147" s="363"/>
      <c r="AA147" s="363"/>
      <c r="AB147" s="363"/>
      <c r="AC147" s="363"/>
      <c r="AD147" s="25">
        <v>1000</v>
      </c>
      <c r="AE147" s="25" t="s">
        <v>712</v>
      </c>
      <c r="AF147" s="25" t="s">
        <v>712</v>
      </c>
    </row>
    <row r="148" spans="1:32" ht="21.5">
      <c r="A148" s="332">
        <v>50</v>
      </c>
      <c r="B148" s="344">
        <v>28677</v>
      </c>
      <c r="C148" s="344">
        <v>34699</v>
      </c>
      <c r="D148" s="344">
        <v>42483</v>
      </c>
      <c r="E148" s="344">
        <v>51405</v>
      </c>
      <c r="F148" s="343">
        <v>28677</v>
      </c>
      <c r="G148" s="343">
        <v>34699</v>
      </c>
      <c r="H148" s="353">
        <v>37185</v>
      </c>
      <c r="I148" s="353">
        <v>44994</v>
      </c>
      <c r="J148" s="343">
        <v>42483</v>
      </c>
      <c r="K148" s="343">
        <v>51405</v>
      </c>
      <c r="L148" s="343">
        <v>75653</v>
      </c>
      <c r="M148" s="343">
        <v>91540</v>
      </c>
      <c r="N148" s="363"/>
      <c r="O148" s="363"/>
      <c r="P148" s="363"/>
      <c r="Q148" s="363"/>
      <c r="R148" s="363"/>
      <c r="S148" s="363"/>
      <c r="T148" s="363"/>
      <c r="U148" s="363"/>
      <c r="V148" s="363"/>
      <c r="W148" s="363"/>
      <c r="X148" s="363"/>
      <c r="Y148" s="363"/>
      <c r="Z148" s="363"/>
      <c r="AA148" s="363"/>
      <c r="AB148" s="363"/>
      <c r="AC148" s="363"/>
      <c r="AD148" s="25">
        <v>1000</v>
      </c>
      <c r="AE148" s="25" t="s">
        <v>712</v>
      </c>
      <c r="AF148" s="25" t="s">
        <v>712</v>
      </c>
    </row>
    <row r="149" spans="1:32" ht="21.5">
      <c r="A149" s="332">
        <v>51</v>
      </c>
      <c r="B149" s="344">
        <v>37471</v>
      </c>
      <c r="C149" s="344">
        <v>42342</v>
      </c>
      <c r="D149" s="344">
        <v>57942</v>
      </c>
      <c r="E149" s="344">
        <v>65475</v>
      </c>
      <c r="F149" s="343">
        <v>37471</v>
      </c>
      <c r="G149" s="343">
        <v>42342</v>
      </c>
      <c r="H149" s="353">
        <v>49910</v>
      </c>
      <c r="I149" s="353">
        <v>56398</v>
      </c>
      <c r="J149" s="343">
        <v>57942</v>
      </c>
      <c r="K149" s="343">
        <v>65475</v>
      </c>
      <c r="L149" s="343">
        <v>103183</v>
      </c>
      <c r="M149" s="343">
        <v>116596</v>
      </c>
      <c r="N149" s="363"/>
      <c r="O149" s="363"/>
      <c r="P149" s="363"/>
      <c r="Q149" s="363"/>
      <c r="R149" s="363"/>
      <c r="S149" s="363"/>
      <c r="T149" s="363"/>
      <c r="U149" s="363"/>
      <c r="V149" s="363"/>
      <c r="W149" s="363"/>
      <c r="X149" s="363"/>
      <c r="Y149" s="363"/>
      <c r="Z149" s="363"/>
      <c r="AA149" s="363"/>
      <c r="AB149" s="363"/>
      <c r="AC149" s="363"/>
      <c r="AD149" s="25">
        <v>1000</v>
      </c>
      <c r="AE149" s="25" t="s">
        <v>712</v>
      </c>
      <c r="AF149" s="25" t="s">
        <v>712</v>
      </c>
    </row>
    <row r="150" spans="1:32" ht="21.5">
      <c r="A150" s="332">
        <v>52</v>
      </c>
      <c r="B150" s="344">
        <v>37471</v>
      </c>
      <c r="C150" s="344">
        <v>42342</v>
      </c>
      <c r="D150" s="344">
        <v>57942</v>
      </c>
      <c r="E150" s="344">
        <v>65475</v>
      </c>
      <c r="F150" s="343">
        <v>37471</v>
      </c>
      <c r="G150" s="343">
        <v>42342</v>
      </c>
      <c r="H150" s="353">
        <v>49910</v>
      </c>
      <c r="I150" s="353">
        <v>56398</v>
      </c>
      <c r="J150" s="343">
        <v>57942</v>
      </c>
      <c r="K150" s="343">
        <v>65475</v>
      </c>
      <c r="L150" s="343">
        <v>103183</v>
      </c>
      <c r="M150" s="343">
        <v>116596</v>
      </c>
      <c r="N150" s="363"/>
      <c r="O150" s="363"/>
      <c r="P150" s="363"/>
      <c r="Q150" s="363"/>
      <c r="R150" s="363"/>
      <c r="S150" s="363"/>
      <c r="T150" s="363"/>
      <c r="U150" s="363"/>
      <c r="V150" s="363"/>
      <c r="W150" s="363"/>
      <c r="X150" s="363"/>
      <c r="Y150" s="363"/>
      <c r="Z150" s="363"/>
      <c r="AA150" s="363"/>
      <c r="AB150" s="363"/>
      <c r="AC150" s="363"/>
      <c r="AD150" s="25">
        <v>1000</v>
      </c>
      <c r="AE150" s="25" t="s">
        <v>712</v>
      </c>
      <c r="AF150" s="25" t="s">
        <v>712</v>
      </c>
    </row>
    <row r="151" spans="1:32" ht="21.5">
      <c r="A151" s="332">
        <v>53</v>
      </c>
      <c r="B151" s="344">
        <v>37471</v>
      </c>
      <c r="C151" s="344">
        <v>42342</v>
      </c>
      <c r="D151" s="344">
        <v>57942</v>
      </c>
      <c r="E151" s="344">
        <v>65475</v>
      </c>
      <c r="F151" s="343">
        <v>37471</v>
      </c>
      <c r="G151" s="343">
        <v>42342</v>
      </c>
      <c r="H151" s="353">
        <v>49910</v>
      </c>
      <c r="I151" s="353">
        <v>56398</v>
      </c>
      <c r="J151" s="343">
        <v>57942</v>
      </c>
      <c r="K151" s="343">
        <v>65475</v>
      </c>
      <c r="L151" s="343">
        <v>103183</v>
      </c>
      <c r="M151" s="343">
        <v>116596</v>
      </c>
      <c r="N151" s="363"/>
      <c r="O151" s="363"/>
      <c r="P151" s="363"/>
      <c r="Q151" s="363"/>
      <c r="R151" s="363"/>
      <c r="S151" s="363"/>
      <c r="T151" s="363"/>
      <c r="U151" s="363"/>
      <c r="V151" s="363"/>
      <c r="W151" s="363"/>
      <c r="X151" s="363"/>
      <c r="Y151" s="363"/>
      <c r="Z151" s="363"/>
      <c r="AA151" s="363"/>
      <c r="AB151" s="363"/>
      <c r="AC151" s="363"/>
      <c r="AD151" s="25">
        <v>1000</v>
      </c>
      <c r="AE151" s="25" t="s">
        <v>712</v>
      </c>
      <c r="AF151" s="25" t="s">
        <v>712</v>
      </c>
    </row>
    <row r="152" spans="1:32" ht="21.5">
      <c r="A152" s="332">
        <v>54</v>
      </c>
      <c r="B152" s="344">
        <v>37471</v>
      </c>
      <c r="C152" s="344">
        <v>42342</v>
      </c>
      <c r="D152" s="344">
        <v>57942</v>
      </c>
      <c r="E152" s="344">
        <v>65475</v>
      </c>
      <c r="F152" s="343">
        <v>37471</v>
      </c>
      <c r="G152" s="343">
        <v>42342</v>
      </c>
      <c r="H152" s="353">
        <v>49910</v>
      </c>
      <c r="I152" s="353">
        <v>56398</v>
      </c>
      <c r="J152" s="343">
        <v>57942</v>
      </c>
      <c r="K152" s="343">
        <v>65475</v>
      </c>
      <c r="L152" s="343">
        <v>103183</v>
      </c>
      <c r="M152" s="343">
        <v>116596</v>
      </c>
      <c r="N152" s="363"/>
      <c r="O152" s="363"/>
      <c r="P152" s="363"/>
      <c r="Q152" s="363"/>
      <c r="R152" s="363"/>
      <c r="S152" s="363"/>
      <c r="T152" s="363"/>
      <c r="U152" s="363"/>
      <c r="V152" s="363"/>
      <c r="W152" s="363"/>
      <c r="X152" s="363"/>
      <c r="Y152" s="363"/>
      <c r="Z152" s="363"/>
      <c r="AA152" s="363"/>
      <c r="AB152" s="363"/>
      <c r="AC152" s="363"/>
      <c r="AD152" s="25">
        <v>1000</v>
      </c>
      <c r="AE152" s="25" t="s">
        <v>712</v>
      </c>
      <c r="AF152" s="25" t="s">
        <v>712</v>
      </c>
    </row>
    <row r="153" spans="1:32" ht="21.5">
      <c r="A153" s="332">
        <v>55</v>
      </c>
      <c r="B153" s="344">
        <v>37471</v>
      </c>
      <c r="C153" s="344">
        <v>42342</v>
      </c>
      <c r="D153" s="344">
        <v>57942</v>
      </c>
      <c r="E153" s="344">
        <v>65475</v>
      </c>
      <c r="F153" s="343">
        <v>37471</v>
      </c>
      <c r="G153" s="343">
        <v>42342</v>
      </c>
      <c r="H153" s="353">
        <v>49910</v>
      </c>
      <c r="I153" s="353">
        <v>56398</v>
      </c>
      <c r="J153" s="343">
        <v>57942</v>
      </c>
      <c r="K153" s="343">
        <v>65475</v>
      </c>
      <c r="L153" s="343">
        <v>103183</v>
      </c>
      <c r="M153" s="343">
        <v>116596</v>
      </c>
      <c r="N153" s="363"/>
      <c r="O153" s="363"/>
      <c r="P153" s="363"/>
      <c r="Q153" s="363"/>
      <c r="R153" s="363"/>
      <c r="S153" s="363"/>
      <c r="T153" s="363"/>
      <c r="U153" s="363"/>
      <c r="V153" s="363"/>
      <c r="W153" s="363"/>
      <c r="X153" s="363"/>
      <c r="Y153" s="363"/>
      <c r="Z153" s="363"/>
      <c r="AA153" s="363"/>
      <c r="AB153" s="363"/>
      <c r="AC153" s="363"/>
      <c r="AD153" s="25">
        <v>1000</v>
      </c>
      <c r="AE153" s="25" t="s">
        <v>712</v>
      </c>
      <c r="AF153" s="25" t="s">
        <v>712</v>
      </c>
    </row>
    <row r="154" spans="1:32" ht="21.5">
      <c r="A154" s="332">
        <v>56</v>
      </c>
      <c r="B154" s="344">
        <v>48077</v>
      </c>
      <c r="C154" s="344">
        <v>50962</v>
      </c>
      <c r="D154" s="344">
        <v>71222</v>
      </c>
      <c r="E154" s="344">
        <v>75495</v>
      </c>
      <c r="F154" s="343">
        <v>48077</v>
      </c>
      <c r="G154" s="343">
        <v>50962</v>
      </c>
      <c r="H154" s="353">
        <v>62653</v>
      </c>
      <c r="I154" s="353">
        <v>66412</v>
      </c>
      <c r="J154" s="343">
        <v>71222</v>
      </c>
      <c r="K154" s="343">
        <v>75495</v>
      </c>
      <c r="L154" s="343">
        <v>126831</v>
      </c>
      <c r="M154" s="343">
        <v>134441</v>
      </c>
      <c r="N154" s="363"/>
      <c r="O154" s="363"/>
      <c r="P154" s="363"/>
      <c r="Q154" s="363"/>
      <c r="R154" s="363"/>
      <c r="S154" s="363"/>
      <c r="T154" s="363"/>
      <c r="U154" s="363"/>
      <c r="V154" s="363"/>
      <c r="W154" s="363"/>
      <c r="X154" s="363"/>
      <c r="Y154" s="363"/>
      <c r="Z154" s="363"/>
      <c r="AA154" s="363"/>
      <c r="AB154" s="363"/>
      <c r="AC154" s="363"/>
      <c r="AD154" s="25">
        <v>1000</v>
      </c>
      <c r="AE154" s="25" t="s">
        <v>712</v>
      </c>
      <c r="AF154" s="25" t="s">
        <v>712</v>
      </c>
    </row>
    <row r="155" spans="1:32" ht="21.5">
      <c r="A155" s="332">
        <v>57</v>
      </c>
      <c r="B155" s="344">
        <v>48077</v>
      </c>
      <c r="C155" s="344">
        <v>50962</v>
      </c>
      <c r="D155" s="344">
        <v>71222</v>
      </c>
      <c r="E155" s="344">
        <v>75495</v>
      </c>
      <c r="F155" s="343">
        <v>48077</v>
      </c>
      <c r="G155" s="343">
        <v>50962</v>
      </c>
      <c r="H155" s="353">
        <v>62653</v>
      </c>
      <c r="I155" s="353">
        <v>66412</v>
      </c>
      <c r="J155" s="343">
        <v>71222</v>
      </c>
      <c r="K155" s="343">
        <v>75495</v>
      </c>
      <c r="L155" s="343">
        <v>126831</v>
      </c>
      <c r="M155" s="343">
        <v>134441</v>
      </c>
      <c r="N155" s="363"/>
      <c r="O155" s="363"/>
      <c r="P155" s="363"/>
      <c r="Q155" s="363"/>
      <c r="R155" s="363"/>
      <c r="S155" s="363"/>
      <c r="T155" s="363"/>
      <c r="U155" s="363"/>
      <c r="V155" s="363"/>
      <c r="W155" s="363"/>
      <c r="X155" s="363"/>
      <c r="Y155" s="363"/>
      <c r="Z155" s="363"/>
      <c r="AA155" s="363"/>
      <c r="AB155" s="363"/>
      <c r="AC155" s="363"/>
      <c r="AD155" s="25">
        <v>1000</v>
      </c>
      <c r="AE155" s="25" t="s">
        <v>712</v>
      </c>
      <c r="AF155" s="25" t="s">
        <v>712</v>
      </c>
    </row>
    <row r="156" spans="1:32" ht="21.5">
      <c r="A156" s="332">
        <v>58</v>
      </c>
      <c r="B156" s="344">
        <v>48077</v>
      </c>
      <c r="C156" s="344">
        <v>50962</v>
      </c>
      <c r="D156" s="344">
        <v>71222</v>
      </c>
      <c r="E156" s="344">
        <v>75495</v>
      </c>
      <c r="F156" s="343">
        <v>48077</v>
      </c>
      <c r="G156" s="343">
        <v>50962</v>
      </c>
      <c r="H156" s="353">
        <v>62653</v>
      </c>
      <c r="I156" s="353">
        <v>66412</v>
      </c>
      <c r="J156" s="343">
        <v>71222</v>
      </c>
      <c r="K156" s="343">
        <v>75495</v>
      </c>
      <c r="L156" s="343">
        <v>126831</v>
      </c>
      <c r="M156" s="343">
        <v>134441</v>
      </c>
      <c r="N156" s="363"/>
      <c r="O156" s="363"/>
      <c r="P156" s="363"/>
      <c r="Q156" s="363"/>
      <c r="R156" s="363"/>
      <c r="S156" s="363"/>
      <c r="T156" s="363"/>
      <c r="U156" s="363"/>
      <c r="V156" s="363"/>
      <c r="W156" s="363"/>
      <c r="X156" s="363"/>
      <c r="Y156" s="363"/>
      <c r="Z156" s="363"/>
      <c r="AA156" s="363"/>
      <c r="AB156" s="363"/>
      <c r="AC156" s="363"/>
      <c r="AD156" s="25">
        <v>1000</v>
      </c>
      <c r="AE156" s="25" t="s">
        <v>712</v>
      </c>
      <c r="AF156" s="25" t="s">
        <v>712</v>
      </c>
    </row>
    <row r="157" spans="1:32" ht="21.5">
      <c r="A157" s="332">
        <v>59</v>
      </c>
      <c r="B157" s="344">
        <v>48077</v>
      </c>
      <c r="C157" s="344">
        <v>50962</v>
      </c>
      <c r="D157" s="344">
        <v>71222</v>
      </c>
      <c r="E157" s="344">
        <v>75495</v>
      </c>
      <c r="F157" s="343">
        <v>48077</v>
      </c>
      <c r="G157" s="343">
        <v>50962</v>
      </c>
      <c r="H157" s="353">
        <v>62653</v>
      </c>
      <c r="I157" s="353">
        <v>66412</v>
      </c>
      <c r="J157" s="343">
        <v>71222</v>
      </c>
      <c r="K157" s="343">
        <v>75495</v>
      </c>
      <c r="L157" s="343">
        <v>126831</v>
      </c>
      <c r="M157" s="343">
        <v>134441</v>
      </c>
      <c r="N157" s="363"/>
      <c r="O157" s="363"/>
      <c r="P157" s="363"/>
      <c r="Q157" s="363"/>
      <c r="R157" s="363"/>
      <c r="S157" s="363"/>
      <c r="T157" s="363"/>
      <c r="U157" s="363"/>
      <c r="V157" s="363"/>
      <c r="W157" s="363"/>
      <c r="X157" s="363"/>
      <c r="Y157" s="363"/>
      <c r="Z157" s="363"/>
      <c r="AA157" s="363"/>
      <c r="AB157" s="363"/>
      <c r="AC157" s="363"/>
      <c r="AD157" s="25">
        <v>1000</v>
      </c>
      <c r="AE157" s="25" t="s">
        <v>712</v>
      </c>
      <c r="AF157" s="25" t="s">
        <v>712</v>
      </c>
    </row>
    <row r="158" spans="1:32" ht="21.5">
      <c r="A158" s="332">
        <v>60</v>
      </c>
      <c r="B158" s="344">
        <v>48077</v>
      </c>
      <c r="C158" s="344">
        <v>50962</v>
      </c>
      <c r="D158" s="344">
        <v>71222</v>
      </c>
      <c r="E158" s="344">
        <v>75495</v>
      </c>
      <c r="F158" s="343">
        <v>48077</v>
      </c>
      <c r="G158" s="343">
        <v>50962</v>
      </c>
      <c r="H158" s="353">
        <v>62653</v>
      </c>
      <c r="I158" s="353">
        <v>66412</v>
      </c>
      <c r="J158" s="343">
        <v>71222</v>
      </c>
      <c r="K158" s="343">
        <v>75495</v>
      </c>
      <c r="L158" s="343">
        <v>126831</v>
      </c>
      <c r="M158" s="343">
        <v>134441</v>
      </c>
      <c r="N158" s="363"/>
      <c r="O158" s="363"/>
      <c r="P158" s="363"/>
      <c r="Q158" s="363"/>
      <c r="R158" s="363"/>
      <c r="S158" s="363"/>
      <c r="T158" s="363"/>
      <c r="U158" s="363"/>
      <c r="V158" s="363"/>
      <c r="W158" s="363"/>
      <c r="X158" s="363"/>
      <c r="Y158" s="363"/>
      <c r="Z158" s="363"/>
      <c r="AA158" s="363"/>
      <c r="AB158" s="363"/>
      <c r="AC158" s="363"/>
      <c r="AD158" s="25">
        <v>1000</v>
      </c>
      <c r="AE158" s="25" t="s">
        <v>712</v>
      </c>
      <c r="AF158" s="25" t="s">
        <v>712</v>
      </c>
    </row>
    <row r="159" spans="1:32" ht="21.5">
      <c r="A159" s="332">
        <v>61</v>
      </c>
      <c r="B159" s="344">
        <v>71125</v>
      </c>
      <c r="C159" s="344">
        <v>69053</v>
      </c>
      <c r="D159" s="344">
        <v>101552</v>
      </c>
      <c r="E159" s="344">
        <v>98594</v>
      </c>
      <c r="F159" s="343">
        <v>71125</v>
      </c>
      <c r="G159" s="343">
        <v>69053</v>
      </c>
      <c r="H159" s="353">
        <v>90158</v>
      </c>
      <c r="I159" s="353">
        <v>87532</v>
      </c>
      <c r="J159" s="343">
        <v>101552</v>
      </c>
      <c r="K159" s="343">
        <v>98594</v>
      </c>
      <c r="L159" s="343">
        <v>180842</v>
      </c>
      <c r="M159" s="343">
        <v>175574</v>
      </c>
      <c r="N159" s="363"/>
      <c r="O159" s="363"/>
      <c r="P159" s="363"/>
      <c r="Q159" s="363"/>
      <c r="R159" s="363"/>
      <c r="S159" s="363"/>
      <c r="T159" s="363"/>
      <c r="U159" s="363"/>
      <c r="V159" s="363"/>
      <c r="W159" s="363"/>
      <c r="X159" s="363"/>
      <c r="Y159" s="363"/>
      <c r="Z159" s="363"/>
      <c r="AA159" s="363"/>
      <c r="AB159" s="363"/>
      <c r="AC159" s="363"/>
      <c r="AD159" s="25">
        <v>1000</v>
      </c>
      <c r="AE159" s="25" t="s">
        <v>712</v>
      </c>
      <c r="AF159" s="25" t="s">
        <v>712</v>
      </c>
    </row>
    <row r="160" spans="1:32" ht="21.5">
      <c r="A160" s="332">
        <v>62</v>
      </c>
      <c r="B160" s="344">
        <v>71125</v>
      </c>
      <c r="C160" s="344">
        <v>69053</v>
      </c>
      <c r="D160" s="344">
        <v>101552</v>
      </c>
      <c r="E160" s="344">
        <v>98594</v>
      </c>
      <c r="F160" s="343">
        <v>71125</v>
      </c>
      <c r="G160" s="343">
        <v>69053</v>
      </c>
      <c r="H160" s="353">
        <v>90158</v>
      </c>
      <c r="I160" s="353">
        <v>87532</v>
      </c>
      <c r="J160" s="343">
        <v>101552</v>
      </c>
      <c r="K160" s="343">
        <v>98594</v>
      </c>
      <c r="L160" s="343">
        <v>180842</v>
      </c>
      <c r="M160" s="343">
        <v>175574</v>
      </c>
      <c r="N160" s="363"/>
      <c r="O160" s="363"/>
      <c r="P160" s="363"/>
      <c r="Q160" s="363"/>
      <c r="R160" s="363"/>
      <c r="S160" s="363"/>
      <c r="T160" s="363"/>
      <c r="U160" s="363"/>
      <c r="V160" s="363"/>
      <c r="W160" s="363"/>
      <c r="X160" s="363"/>
      <c r="Y160" s="363"/>
      <c r="Z160" s="363"/>
      <c r="AA160" s="363"/>
      <c r="AB160" s="363"/>
      <c r="AC160" s="363"/>
      <c r="AD160" s="25">
        <v>1000</v>
      </c>
      <c r="AE160" s="25" t="s">
        <v>712</v>
      </c>
      <c r="AF160" s="25" t="s">
        <v>712</v>
      </c>
    </row>
    <row r="161" spans="1:32" ht="21.5">
      <c r="A161" s="332">
        <v>63</v>
      </c>
      <c r="B161" s="344">
        <v>71125</v>
      </c>
      <c r="C161" s="344">
        <v>69053</v>
      </c>
      <c r="D161" s="344">
        <v>101552</v>
      </c>
      <c r="E161" s="344">
        <v>98594</v>
      </c>
      <c r="F161" s="343">
        <v>71125</v>
      </c>
      <c r="G161" s="343">
        <v>69053</v>
      </c>
      <c r="H161" s="353">
        <v>90158</v>
      </c>
      <c r="I161" s="353">
        <v>87532</v>
      </c>
      <c r="J161" s="343">
        <v>101552</v>
      </c>
      <c r="K161" s="343">
        <v>98594</v>
      </c>
      <c r="L161" s="343">
        <v>180842</v>
      </c>
      <c r="M161" s="343">
        <v>175574</v>
      </c>
      <c r="N161" s="363"/>
      <c r="O161" s="363"/>
      <c r="P161" s="363"/>
      <c r="Q161" s="363"/>
      <c r="R161" s="363"/>
      <c r="S161" s="363"/>
      <c r="T161" s="363"/>
      <c r="U161" s="363"/>
      <c r="V161" s="363"/>
      <c r="W161" s="363"/>
      <c r="X161" s="363"/>
      <c r="Y161" s="363"/>
      <c r="Z161" s="363"/>
      <c r="AA161" s="363"/>
      <c r="AB161" s="363"/>
      <c r="AC161" s="363"/>
      <c r="AD161" s="25">
        <v>1000</v>
      </c>
      <c r="AE161" s="25" t="s">
        <v>712</v>
      </c>
      <c r="AF161" s="25" t="s">
        <v>712</v>
      </c>
    </row>
    <row r="162" spans="1:32" ht="21.5">
      <c r="A162" s="332">
        <v>64</v>
      </c>
      <c r="B162" s="344">
        <v>71125</v>
      </c>
      <c r="C162" s="344">
        <v>69053</v>
      </c>
      <c r="D162" s="344">
        <v>101552</v>
      </c>
      <c r="E162" s="344">
        <v>98594</v>
      </c>
      <c r="F162" s="343">
        <v>71125</v>
      </c>
      <c r="G162" s="343">
        <v>69053</v>
      </c>
      <c r="H162" s="353">
        <v>90158</v>
      </c>
      <c r="I162" s="353">
        <v>87532</v>
      </c>
      <c r="J162" s="343">
        <v>101552</v>
      </c>
      <c r="K162" s="343">
        <v>98594</v>
      </c>
      <c r="L162" s="343">
        <v>180842</v>
      </c>
      <c r="M162" s="343">
        <v>175574</v>
      </c>
      <c r="N162" s="363"/>
      <c r="O162" s="363"/>
      <c r="P162" s="363"/>
      <c r="Q162" s="363"/>
      <c r="R162" s="363"/>
      <c r="S162" s="363"/>
      <c r="T162" s="363"/>
      <c r="U162" s="363"/>
      <c r="V162" s="363"/>
      <c r="W162" s="363"/>
      <c r="X162" s="363"/>
      <c r="Y162" s="363"/>
      <c r="Z162" s="363"/>
      <c r="AA162" s="363"/>
      <c r="AB162" s="363"/>
      <c r="AC162" s="363"/>
      <c r="AD162" s="25">
        <v>1000</v>
      </c>
      <c r="AE162" s="25" t="s">
        <v>712</v>
      </c>
      <c r="AF162" s="25" t="s">
        <v>712</v>
      </c>
    </row>
    <row r="163" spans="1:32" ht="21.5">
      <c r="A163" s="332">
        <v>65</v>
      </c>
      <c r="B163" s="344">
        <v>71125</v>
      </c>
      <c r="C163" s="344">
        <v>69053</v>
      </c>
      <c r="D163" s="344">
        <v>101552</v>
      </c>
      <c r="E163" s="344">
        <v>98594</v>
      </c>
      <c r="F163" s="343">
        <v>71125</v>
      </c>
      <c r="G163" s="343">
        <v>69053</v>
      </c>
      <c r="H163" s="353">
        <v>90158</v>
      </c>
      <c r="I163" s="353">
        <v>87532</v>
      </c>
      <c r="J163" s="343">
        <v>101552</v>
      </c>
      <c r="K163" s="343">
        <v>98594</v>
      </c>
      <c r="L163" s="343">
        <v>180842</v>
      </c>
      <c r="M163" s="343">
        <v>175574</v>
      </c>
      <c r="N163" s="363"/>
      <c r="O163" s="363"/>
      <c r="P163" s="363"/>
      <c r="Q163" s="363"/>
      <c r="R163" s="363"/>
      <c r="S163" s="363"/>
      <c r="T163" s="363"/>
      <c r="U163" s="363"/>
      <c r="V163" s="363"/>
      <c r="W163" s="363"/>
      <c r="X163" s="363"/>
      <c r="Y163" s="363"/>
      <c r="Z163" s="363"/>
      <c r="AA163" s="363"/>
      <c r="AB163" s="363"/>
      <c r="AC163" s="363"/>
      <c r="AD163" s="25">
        <v>1000</v>
      </c>
      <c r="AE163" s="25" t="s">
        <v>712</v>
      </c>
      <c r="AF163" s="25" t="s">
        <v>712</v>
      </c>
    </row>
    <row r="164" spans="1:32" ht="21.5">
      <c r="A164" s="332">
        <v>66</v>
      </c>
      <c r="B164" s="344">
        <v>91799</v>
      </c>
      <c r="C164" s="344">
        <v>87428</v>
      </c>
      <c r="D164" s="344">
        <v>127972</v>
      </c>
      <c r="E164" s="344">
        <v>121878</v>
      </c>
      <c r="F164" s="343">
        <v>91799</v>
      </c>
      <c r="G164" s="343">
        <v>87428</v>
      </c>
      <c r="H164" s="353">
        <v>114590</v>
      </c>
      <c r="I164" s="353">
        <v>109133</v>
      </c>
      <c r="J164" s="343">
        <v>127972</v>
      </c>
      <c r="K164" s="343">
        <v>121878</v>
      </c>
      <c r="L164" s="343">
        <v>227890</v>
      </c>
      <c r="M164" s="343">
        <v>217038</v>
      </c>
      <c r="N164" s="363"/>
      <c r="O164" s="363"/>
      <c r="P164" s="363"/>
      <c r="Q164" s="363"/>
      <c r="R164" s="363"/>
      <c r="S164" s="363"/>
      <c r="T164" s="363"/>
      <c r="U164" s="363"/>
      <c r="V164" s="363"/>
      <c r="W164" s="363"/>
      <c r="X164" s="363"/>
      <c r="Y164" s="363"/>
      <c r="Z164" s="363"/>
      <c r="AA164" s="363"/>
      <c r="AB164" s="363"/>
      <c r="AC164" s="363"/>
      <c r="AD164" s="25">
        <v>1001</v>
      </c>
      <c r="AE164" s="25" t="s">
        <v>712</v>
      </c>
      <c r="AF164" s="25" t="s">
        <v>712</v>
      </c>
    </row>
    <row r="165" spans="1:32" ht="21.5">
      <c r="A165" s="332">
        <v>67</v>
      </c>
      <c r="B165" s="344">
        <v>91799</v>
      </c>
      <c r="C165" s="344">
        <v>87428</v>
      </c>
      <c r="D165" s="344">
        <v>127972</v>
      </c>
      <c r="E165" s="344">
        <v>121878</v>
      </c>
      <c r="F165" s="343">
        <v>91799</v>
      </c>
      <c r="G165" s="343">
        <v>87428</v>
      </c>
      <c r="H165" s="353">
        <v>114590</v>
      </c>
      <c r="I165" s="353">
        <v>109133</v>
      </c>
      <c r="J165" s="343">
        <v>127972</v>
      </c>
      <c r="K165" s="343">
        <v>121878</v>
      </c>
      <c r="L165" s="343">
        <v>227890</v>
      </c>
      <c r="M165" s="343">
        <v>217038</v>
      </c>
      <c r="N165" s="363"/>
      <c r="O165" s="363"/>
      <c r="P165" s="363"/>
      <c r="Q165" s="363"/>
      <c r="R165" s="363"/>
      <c r="S165" s="363"/>
      <c r="T165" s="363"/>
      <c r="U165" s="363"/>
      <c r="V165" s="363"/>
      <c r="W165" s="363"/>
      <c r="X165" s="363"/>
      <c r="Y165" s="363"/>
      <c r="Z165" s="363"/>
      <c r="AA165" s="363"/>
      <c r="AB165" s="363"/>
      <c r="AC165" s="363"/>
      <c r="AD165" s="25">
        <v>1002</v>
      </c>
      <c r="AE165" s="25" t="s">
        <v>712</v>
      </c>
      <c r="AF165" s="25" t="s">
        <v>712</v>
      </c>
    </row>
    <row r="166" spans="1:32" ht="21.5">
      <c r="A166" s="332">
        <v>68</v>
      </c>
      <c r="B166" s="344">
        <v>91799</v>
      </c>
      <c r="C166" s="344">
        <v>87428</v>
      </c>
      <c r="D166" s="344">
        <v>127972</v>
      </c>
      <c r="E166" s="344">
        <v>121878</v>
      </c>
      <c r="F166" s="343">
        <v>91799</v>
      </c>
      <c r="G166" s="343">
        <v>87428</v>
      </c>
      <c r="H166" s="353">
        <v>114590</v>
      </c>
      <c r="I166" s="353">
        <v>109133</v>
      </c>
      <c r="J166" s="343">
        <v>127972</v>
      </c>
      <c r="K166" s="343">
        <v>121878</v>
      </c>
      <c r="L166" s="343">
        <v>227890</v>
      </c>
      <c r="M166" s="343">
        <v>217038</v>
      </c>
      <c r="N166" s="363"/>
      <c r="O166" s="363"/>
      <c r="P166" s="363"/>
      <c r="Q166" s="363"/>
      <c r="R166" s="363"/>
      <c r="S166" s="363"/>
      <c r="T166" s="363"/>
      <c r="U166" s="363"/>
      <c r="V166" s="363"/>
      <c r="W166" s="363"/>
      <c r="X166" s="363"/>
      <c r="Y166" s="363"/>
      <c r="Z166" s="363"/>
      <c r="AA166" s="363"/>
      <c r="AB166" s="363"/>
      <c r="AC166" s="363"/>
      <c r="AD166" s="25">
        <v>1003</v>
      </c>
      <c r="AE166" s="25" t="s">
        <v>712</v>
      </c>
      <c r="AF166" s="25" t="s">
        <v>712</v>
      </c>
    </row>
    <row r="167" spans="1:32" ht="21.5">
      <c r="A167" s="332">
        <v>69</v>
      </c>
      <c r="B167" s="344">
        <v>91799</v>
      </c>
      <c r="C167" s="344">
        <v>87428</v>
      </c>
      <c r="D167" s="344">
        <v>127972</v>
      </c>
      <c r="E167" s="344">
        <v>121878</v>
      </c>
      <c r="F167" s="343">
        <v>91799</v>
      </c>
      <c r="G167" s="343">
        <v>87428</v>
      </c>
      <c r="H167" s="353">
        <v>114590</v>
      </c>
      <c r="I167" s="353">
        <v>109133</v>
      </c>
      <c r="J167" s="343">
        <v>127972</v>
      </c>
      <c r="K167" s="343">
        <v>121878</v>
      </c>
      <c r="L167" s="343">
        <v>227890</v>
      </c>
      <c r="M167" s="343">
        <v>217038</v>
      </c>
      <c r="N167" s="363"/>
      <c r="O167" s="363"/>
      <c r="P167" s="363"/>
      <c r="Q167" s="363"/>
      <c r="R167" s="363"/>
      <c r="S167" s="363"/>
      <c r="T167" s="363"/>
      <c r="U167" s="363"/>
      <c r="V167" s="363"/>
      <c r="W167" s="363"/>
      <c r="X167" s="363"/>
      <c r="Y167" s="363"/>
      <c r="Z167" s="363"/>
      <c r="AA167" s="363"/>
      <c r="AB167" s="363"/>
      <c r="AC167" s="363"/>
      <c r="AD167" s="25">
        <v>1004</v>
      </c>
      <c r="AE167" s="25" t="s">
        <v>712</v>
      </c>
      <c r="AF167" s="25" t="s">
        <v>712</v>
      </c>
    </row>
    <row r="168" spans="1:32" ht="21.5">
      <c r="A168" s="332">
        <v>70</v>
      </c>
      <c r="B168" s="344">
        <v>91799</v>
      </c>
      <c r="C168" s="344">
        <v>87428</v>
      </c>
      <c r="D168" s="344">
        <v>127972</v>
      </c>
      <c r="E168" s="344">
        <v>121878</v>
      </c>
      <c r="F168" s="343">
        <v>91799</v>
      </c>
      <c r="G168" s="343">
        <v>87428</v>
      </c>
      <c r="H168" s="353">
        <v>114590</v>
      </c>
      <c r="I168" s="353">
        <v>109133</v>
      </c>
      <c r="J168" s="343">
        <v>127972</v>
      </c>
      <c r="K168" s="343">
        <v>121878</v>
      </c>
      <c r="L168" s="343">
        <v>227890</v>
      </c>
      <c r="M168" s="343">
        <v>217038</v>
      </c>
      <c r="N168" s="363"/>
      <c r="O168" s="363"/>
      <c r="P168" s="363"/>
      <c r="Q168" s="363"/>
      <c r="R168" s="363"/>
      <c r="S168" s="363"/>
      <c r="T168" s="363"/>
      <c r="U168" s="363"/>
      <c r="V168" s="363"/>
      <c r="W168" s="363"/>
      <c r="X168" s="363"/>
      <c r="Y168" s="363"/>
      <c r="Z168" s="363"/>
      <c r="AA168" s="363"/>
      <c r="AB168" s="363"/>
      <c r="AC168" s="363"/>
      <c r="AD168" s="25">
        <v>1005</v>
      </c>
      <c r="AE168" s="25" t="s">
        <v>712</v>
      </c>
      <c r="AF168" s="25" t="s">
        <v>712</v>
      </c>
    </row>
    <row r="169" spans="1:32" ht="21.5">
      <c r="A169" s="332">
        <v>71</v>
      </c>
      <c r="B169" s="344">
        <v>122233</v>
      </c>
      <c r="C169" s="344">
        <v>116412</v>
      </c>
      <c r="D169" s="344">
        <v>166464</v>
      </c>
      <c r="E169" s="344">
        <v>158537</v>
      </c>
      <c r="F169" s="343">
        <v>122233</v>
      </c>
      <c r="G169" s="343">
        <v>116412</v>
      </c>
      <c r="H169" s="353">
        <v>150480</v>
      </c>
      <c r="I169" s="353">
        <v>143314</v>
      </c>
      <c r="J169" s="343">
        <v>166464</v>
      </c>
      <c r="K169" s="343">
        <v>158537</v>
      </c>
      <c r="L169" s="343">
        <v>296437</v>
      </c>
      <c r="M169" s="343">
        <v>282321</v>
      </c>
      <c r="N169" s="363"/>
      <c r="O169" s="363"/>
      <c r="P169" s="363"/>
      <c r="Q169" s="363"/>
      <c r="R169" s="363"/>
      <c r="S169" s="363"/>
      <c r="T169" s="363"/>
      <c r="U169" s="363"/>
      <c r="V169" s="363"/>
      <c r="W169" s="363"/>
      <c r="X169" s="363"/>
      <c r="Y169" s="363"/>
      <c r="Z169" s="363"/>
      <c r="AA169" s="363"/>
      <c r="AB169" s="363"/>
      <c r="AC169" s="363"/>
      <c r="AD169" s="25">
        <v>1006</v>
      </c>
      <c r="AE169" s="25" t="s">
        <v>712</v>
      </c>
      <c r="AF169" s="25" t="s">
        <v>712</v>
      </c>
    </row>
    <row r="170" spans="1:32" ht="21.5">
      <c r="A170" s="332">
        <v>72</v>
      </c>
      <c r="B170" s="344">
        <v>122233</v>
      </c>
      <c r="C170" s="344">
        <v>116412</v>
      </c>
      <c r="D170" s="344">
        <v>166464</v>
      </c>
      <c r="E170" s="344">
        <v>158537</v>
      </c>
      <c r="F170" s="343">
        <v>122233</v>
      </c>
      <c r="G170" s="343">
        <v>116412</v>
      </c>
      <c r="H170" s="353">
        <v>150480</v>
      </c>
      <c r="I170" s="353">
        <v>143314</v>
      </c>
      <c r="J170" s="343">
        <v>166464</v>
      </c>
      <c r="K170" s="343">
        <v>158537</v>
      </c>
      <c r="L170" s="343">
        <v>296437</v>
      </c>
      <c r="M170" s="343">
        <v>282321</v>
      </c>
      <c r="N170" s="363"/>
      <c r="O170" s="363"/>
      <c r="P170" s="363"/>
      <c r="Q170" s="363"/>
      <c r="R170" s="363"/>
      <c r="S170" s="363"/>
      <c r="T170" s="363"/>
      <c r="U170" s="363"/>
      <c r="V170" s="363"/>
      <c r="W170" s="363"/>
      <c r="X170" s="363"/>
      <c r="Y170" s="363"/>
      <c r="Z170" s="363"/>
      <c r="AA170" s="363"/>
      <c r="AB170" s="363"/>
      <c r="AC170" s="363"/>
      <c r="AD170" s="25">
        <v>1007</v>
      </c>
      <c r="AE170" s="25" t="s">
        <v>712</v>
      </c>
      <c r="AF170" s="25" t="s">
        <v>712</v>
      </c>
    </row>
    <row r="171" spans="1:32" ht="21.5">
      <c r="A171" s="332">
        <v>73</v>
      </c>
      <c r="B171" s="344">
        <v>122233</v>
      </c>
      <c r="C171" s="344">
        <v>116412</v>
      </c>
      <c r="D171" s="344">
        <v>166464</v>
      </c>
      <c r="E171" s="344">
        <v>158537</v>
      </c>
      <c r="F171" s="343">
        <v>122233</v>
      </c>
      <c r="G171" s="343">
        <v>116412</v>
      </c>
      <c r="H171" s="353">
        <v>150480</v>
      </c>
      <c r="I171" s="353">
        <v>143314</v>
      </c>
      <c r="J171" s="343">
        <v>166464</v>
      </c>
      <c r="K171" s="343">
        <v>158537</v>
      </c>
      <c r="L171" s="343">
        <v>296437</v>
      </c>
      <c r="M171" s="343">
        <v>282321</v>
      </c>
      <c r="N171" s="363"/>
      <c r="O171" s="363"/>
      <c r="P171" s="363"/>
      <c r="Q171" s="363"/>
      <c r="R171" s="363"/>
      <c r="S171" s="363"/>
      <c r="T171" s="363"/>
      <c r="U171" s="363"/>
      <c r="V171" s="363"/>
      <c r="W171" s="363"/>
      <c r="X171" s="363"/>
      <c r="Y171" s="363"/>
      <c r="Z171" s="363"/>
      <c r="AA171" s="363"/>
      <c r="AB171" s="363"/>
      <c r="AC171" s="363"/>
      <c r="AD171" s="25">
        <v>1008</v>
      </c>
      <c r="AE171" s="25" t="s">
        <v>712</v>
      </c>
      <c r="AF171" s="25" t="s">
        <v>712</v>
      </c>
    </row>
    <row r="172" spans="1:32" ht="21.5">
      <c r="A172" s="332">
        <v>74</v>
      </c>
      <c r="B172" s="344">
        <v>122233</v>
      </c>
      <c r="C172" s="344">
        <v>116412</v>
      </c>
      <c r="D172" s="344">
        <v>166464</v>
      </c>
      <c r="E172" s="344">
        <v>158537</v>
      </c>
      <c r="F172" s="343">
        <v>122233</v>
      </c>
      <c r="G172" s="343">
        <v>116412</v>
      </c>
      <c r="H172" s="353">
        <v>150480</v>
      </c>
      <c r="I172" s="353">
        <v>143314</v>
      </c>
      <c r="J172" s="343">
        <v>166464</v>
      </c>
      <c r="K172" s="343">
        <v>158537</v>
      </c>
      <c r="L172" s="343">
        <v>296437</v>
      </c>
      <c r="M172" s="343">
        <v>282321</v>
      </c>
      <c r="N172" s="363"/>
      <c r="O172" s="363"/>
      <c r="P172" s="363"/>
      <c r="Q172" s="363"/>
      <c r="R172" s="363"/>
      <c r="S172" s="363"/>
      <c r="T172" s="363"/>
      <c r="U172" s="363"/>
      <c r="V172" s="363"/>
      <c r="W172" s="363"/>
      <c r="X172" s="363"/>
      <c r="Y172" s="363"/>
      <c r="Z172" s="363"/>
      <c r="AA172" s="363"/>
      <c r="AB172" s="363"/>
      <c r="AC172" s="363"/>
      <c r="AD172" s="25">
        <v>1009</v>
      </c>
      <c r="AE172" s="25" t="s">
        <v>712</v>
      </c>
      <c r="AF172" s="25" t="s">
        <v>712</v>
      </c>
    </row>
    <row r="173" spans="1:32" ht="21.5">
      <c r="A173" s="332">
        <v>75</v>
      </c>
      <c r="B173" s="344">
        <v>122233</v>
      </c>
      <c r="C173" s="344">
        <v>116412</v>
      </c>
      <c r="D173" s="344">
        <v>166464</v>
      </c>
      <c r="E173" s="344">
        <v>158537</v>
      </c>
      <c r="F173" s="343">
        <v>122233</v>
      </c>
      <c r="G173" s="343">
        <v>116412</v>
      </c>
      <c r="H173" s="353">
        <v>150480</v>
      </c>
      <c r="I173" s="353">
        <v>143314</v>
      </c>
      <c r="J173" s="343">
        <v>166464</v>
      </c>
      <c r="K173" s="343">
        <v>158537</v>
      </c>
      <c r="L173" s="343">
        <v>296437</v>
      </c>
      <c r="M173" s="343">
        <v>282321</v>
      </c>
      <c r="N173" s="363"/>
      <c r="O173" s="363"/>
      <c r="P173" s="363"/>
      <c r="Q173" s="363"/>
      <c r="R173" s="363"/>
      <c r="S173" s="363"/>
      <c r="T173" s="363"/>
      <c r="U173" s="363"/>
      <c r="V173" s="363"/>
      <c r="W173" s="363"/>
      <c r="X173" s="363"/>
      <c r="Y173" s="363"/>
      <c r="Z173" s="363"/>
      <c r="AA173" s="363"/>
      <c r="AB173" s="363"/>
      <c r="AC173" s="363"/>
      <c r="AD173" s="25">
        <v>1010</v>
      </c>
      <c r="AE173" s="25" t="s">
        <v>712</v>
      </c>
      <c r="AF173" s="25" t="s">
        <v>712</v>
      </c>
    </row>
    <row r="174" spans="1:32" ht="21.5">
      <c r="A174" s="332">
        <v>76</v>
      </c>
      <c r="B174" s="344">
        <v>158749</v>
      </c>
      <c r="C174" s="344">
        <v>151189</v>
      </c>
      <c r="D174" s="344">
        <v>212838</v>
      </c>
      <c r="E174" s="344">
        <v>202703</v>
      </c>
      <c r="F174" s="343">
        <v>158749</v>
      </c>
      <c r="G174" s="343">
        <v>151189</v>
      </c>
      <c r="H174" s="353">
        <v>193529</v>
      </c>
      <c r="I174" s="353">
        <v>184313</v>
      </c>
      <c r="J174" s="343">
        <v>212838</v>
      </c>
      <c r="K174" s="343">
        <v>202703</v>
      </c>
      <c r="L174" s="343">
        <v>379017</v>
      </c>
      <c r="M174" s="343">
        <v>360968</v>
      </c>
      <c r="N174" s="363"/>
      <c r="O174" s="363"/>
      <c r="P174" s="363"/>
      <c r="Q174" s="363"/>
      <c r="R174" s="363"/>
      <c r="S174" s="363"/>
      <c r="T174" s="363"/>
      <c r="U174" s="363"/>
      <c r="V174" s="363"/>
      <c r="W174" s="363"/>
      <c r="X174" s="363"/>
      <c r="Y174" s="363"/>
      <c r="Z174" s="363"/>
      <c r="AA174" s="363"/>
      <c r="AB174" s="363"/>
      <c r="AC174" s="363"/>
      <c r="AD174" s="25">
        <v>1011</v>
      </c>
      <c r="AE174" s="25" t="s">
        <v>712</v>
      </c>
      <c r="AF174" s="25" t="s">
        <v>712</v>
      </c>
    </row>
    <row r="175" spans="1:32" ht="21.5">
      <c r="A175" s="332">
        <v>77</v>
      </c>
      <c r="B175" s="344">
        <v>158749</v>
      </c>
      <c r="C175" s="344">
        <v>151189</v>
      </c>
      <c r="D175" s="344">
        <v>212838</v>
      </c>
      <c r="E175" s="344">
        <v>202703</v>
      </c>
      <c r="F175" s="343">
        <v>158749</v>
      </c>
      <c r="G175" s="343">
        <v>151189</v>
      </c>
      <c r="H175" s="353">
        <v>193529</v>
      </c>
      <c r="I175" s="353">
        <v>184313</v>
      </c>
      <c r="J175" s="343">
        <v>212838</v>
      </c>
      <c r="K175" s="343">
        <v>202703</v>
      </c>
      <c r="L175" s="343">
        <v>379017</v>
      </c>
      <c r="M175" s="343">
        <v>360968</v>
      </c>
      <c r="N175" s="363"/>
      <c r="O175" s="363"/>
      <c r="P175" s="363"/>
      <c r="Q175" s="363"/>
      <c r="R175" s="363"/>
      <c r="S175" s="363"/>
      <c r="T175" s="363"/>
      <c r="U175" s="363"/>
      <c r="V175" s="363"/>
      <c r="W175" s="363"/>
      <c r="X175" s="363"/>
      <c r="Y175" s="363"/>
      <c r="Z175" s="363"/>
      <c r="AA175" s="363"/>
      <c r="AB175" s="363"/>
      <c r="AC175" s="363"/>
      <c r="AD175" s="25">
        <v>1012</v>
      </c>
      <c r="AE175" s="25" t="s">
        <v>712</v>
      </c>
      <c r="AF175" s="25" t="s">
        <v>712</v>
      </c>
    </row>
    <row r="176" spans="1:32" ht="21.5">
      <c r="A176" s="332">
        <v>78</v>
      </c>
      <c r="B176" s="344">
        <v>158749</v>
      </c>
      <c r="C176" s="344">
        <v>151189</v>
      </c>
      <c r="D176" s="344">
        <v>212838</v>
      </c>
      <c r="E176" s="344">
        <v>202703</v>
      </c>
      <c r="F176" s="343">
        <v>158749</v>
      </c>
      <c r="G176" s="343">
        <v>151189</v>
      </c>
      <c r="H176" s="353">
        <v>193529</v>
      </c>
      <c r="I176" s="353">
        <v>184313</v>
      </c>
      <c r="J176" s="343">
        <v>212838</v>
      </c>
      <c r="K176" s="343">
        <v>202703</v>
      </c>
      <c r="L176" s="343">
        <v>379017</v>
      </c>
      <c r="M176" s="343">
        <v>360968</v>
      </c>
      <c r="N176" s="363"/>
      <c r="O176" s="363"/>
      <c r="P176" s="363"/>
      <c r="Q176" s="363"/>
      <c r="R176" s="363"/>
      <c r="S176" s="363"/>
      <c r="T176" s="363"/>
      <c r="U176" s="363"/>
      <c r="V176" s="363"/>
      <c r="W176" s="363"/>
      <c r="X176" s="363"/>
      <c r="Y176" s="363"/>
      <c r="Z176" s="363"/>
      <c r="AA176" s="363"/>
      <c r="AB176" s="363"/>
      <c r="AC176" s="363"/>
      <c r="AD176" s="25">
        <v>1013</v>
      </c>
      <c r="AE176" s="25" t="s">
        <v>712</v>
      </c>
      <c r="AF176" s="25" t="s">
        <v>712</v>
      </c>
    </row>
    <row r="177" spans="1:35" ht="21.5">
      <c r="A177" s="332">
        <v>79</v>
      </c>
      <c r="B177" s="344">
        <v>158749</v>
      </c>
      <c r="C177" s="344">
        <v>151189</v>
      </c>
      <c r="D177" s="344">
        <v>212838</v>
      </c>
      <c r="E177" s="344">
        <v>202703</v>
      </c>
      <c r="F177" s="343">
        <v>158749</v>
      </c>
      <c r="G177" s="343">
        <v>151189</v>
      </c>
      <c r="H177" s="353">
        <v>193529</v>
      </c>
      <c r="I177" s="353">
        <v>184313</v>
      </c>
      <c r="J177" s="343">
        <v>212838</v>
      </c>
      <c r="K177" s="343">
        <v>202703</v>
      </c>
      <c r="L177" s="343">
        <v>379017</v>
      </c>
      <c r="M177" s="343">
        <v>360968</v>
      </c>
      <c r="N177" s="363"/>
      <c r="O177" s="363"/>
      <c r="P177" s="363"/>
      <c r="Q177" s="363"/>
      <c r="R177" s="363"/>
      <c r="S177" s="363"/>
      <c r="T177" s="363"/>
      <c r="U177" s="363"/>
      <c r="V177" s="363"/>
      <c r="W177" s="363"/>
      <c r="X177" s="363"/>
      <c r="Y177" s="363"/>
      <c r="Z177" s="363"/>
      <c r="AA177" s="363"/>
      <c r="AB177" s="363"/>
      <c r="AC177" s="363"/>
      <c r="AD177" s="25">
        <v>1014</v>
      </c>
      <c r="AE177" s="25" t="s">
        <v>712</v>
      </c>
      <c r="AF177" s="25" t="s">
        <v>712</v>
      </c>
    </row>
    <row r="178" spans="1:35" ht="21.5">
      <c r="A178" s="332">
        <v>80</v>
      </c>
      <c r="B178" s="344">
        <v>158749</v>
      </c>
      <c r="C178" s="344">
        <v>151189</v>
      </c>
      <c r="D178" s="344">
        <v>212838</v>
      </c>
      <c r="E178" s="344">
        <v>202703</v>
      </c>
      <c r="F178" s="343">
        <v>158749</v>
      </c>
      <c r="G178" s="343">
        <v>151189</v>
      </c>
      <c r="H178" s="353">
        <v>193529</v>
      </c>
      <c r="I178" s="353">
        <v>184313</v>
      </c>
      <c r="J178" s="343">
        <v>212838</v>
      </c>
      <c r="K178" s="343">
        <v>202703</v>
      </c>
      <c r="L178" s="343">
        <v>379017</v>
      </c>
      <c r="M178" s="343">
        <v>360968</v>
      </c>
      <c r="N178" s="363"/>
      <c r="O178" s="363"/>
      <c r="P178" s="363"/>
      <c r="Q178" s="363"/>
      <c r="R178" s="363"/>
      <c r="S178" s="363"/>
      <c r="T178" s="363"/>
      <c r="U178" s="363"/>
      <c r="V178" s="363"/>
      <c r="W178" s="363"/>
      <c r="X178" s="363"/>
      <c r="Y178" s="363"/>
      <c r="Z178" s="363"/>
      <c r="AA178" s="363"/>
      <c r="AB178" s="363"/>
      <c r="AC178" s="363"/>
      <c r="AD178" s="25">
        <v>1015</v>
      </c>
      <c r="AE178" s="25" t="s">
        <v>712</v>
      </c>
      <c r="AF178" s="25" t="s">
        <v>712</v>
      </c>
    </row>
    <row r="179" spans="1:35" ht="21.5">
      <c r="A179" s="332">
        <v>81</v>
      </c>
      <c r="B179" s="344">
        <v>182425</v>
      </c>
      <c r="C179" s="344">
        <v>173738</v>
      </c>
      <c r="D179" s="344">
        <v>243066</v>
      </c>
      <c r="E179" s="344">
        <v>231492</v>
      </c>
      <c r="F179" s="343">
        <v>182425</v>
      </c>
      <c r="G179" s="343">
        <v>173738</v>
      </c>
      <c r="H179" s="353">
        <v>221439</v>
      </c>
      <c r="I179" s="353">
        <v>210895</v>
      </c>
      <c r="J179" s="343">
        <v>243066</v>
      </c>
      <c r="K179" s="343">
        <v>231492</v>
      </c>
      <c r="L179" s="343">
        <v>432847</v>
      </c>
      <c r="M179" s="343">
        <v>412235</v>
      </c>
      <c r="N179" s="363"/>
      <c r="O179" s="363"/>
      <c r="P179" s="363"/>
      <c r="Q179" s="363"/>
      <c r="R179" s="363"/>
      <c r="S179" s="363"/>
      <c r="T179" s="363"/>
      <c r="U179" s="363"/>
      <c r="V179" s="363"/>
      <c r="W179" s="363"/>
      <c r="X179" s="363"/>
      <c r="Y179" s="363"/>
      <c r="Z179" s="363"/>
      <c r="AA179" s="363"/>
      <c r="AB179" s="363"/>
      <c r="AC179" s="363"/>
      <c r="AD179" s="25">
        <v>1016</v>
      </c>
      <c r="AE179" s="25" t="s">
        <v>712</v>
      </c>
      <c r="AF179" s="25" t="s">
        <v>712</v>
      </c>
    </row>
    <row r="180" spans="1:35" ht="21.5">
      <c r="A180" s="332">
        <v>82</v>
      </c>
      <c r="B180" s="344">
        <v>182425</v>
      </c>
      <c r="C180" s="344">
        <v>173738</v>
      </c>
      <c r="D180" s="344">
        <v>243066</v>
      </c>
      <c r="E180" s="344">
        <v>231492</v>
      </c>
      <c r="F180" s="343">
        <v>182425</v>
      </c>
      <c r="G180" s="343">
        <v>173738</v>
      </c>
      <c r="H180" s="353">
        <v>221439</v>
      </c>
      <c r="I180" s="353">
        <v>210895</v>
      </c>
      <c r="J180" s="343">
        <v>243066</v>
      </c>
      <c r="K180" s="343">
        <v>231492</v>
      </c>
      <c r="L180" s="343">
        <v>432847</v>
      </c>
      <c r="M180" s="343">
        <v>412235</v>
      </c>
      <c r="N180" s="363"/>
      <c r="O180" s="363"/>
      <c r="P180" s="363"/>
      <c r="Q180" s="363"/>
      <c r="R180" s="363"/>
      <c r="S180" s="363"/>
      <c r="T180" s="363"/>
      <c r="U180" s="363"/>
      <c r="V180" s="363"/>
      <c r="W180" s="363"/>
      <c r="X180" s="363"/>
      <c r="Y180" s="363"/>
      <c r="Z180" s="363"/>
      <c r="AA180" s="363"/>
      <c r="AB180" s="363"/>
      <c r="AC180" s="363"/>
      <c r="AD180" s="25">
        <v>1017</v>
      </c>
      <c r="AE180" s="25" t="s">
        <v>712</v>
      </c>
      <c r="AF180" s="25" t="s">
        <v>712</v>
      </c>
    </row>
    <row r="181" spans="1:35" ht="21.5">
      <c r="A181" s="332">
        <v>83</v>
      </c>
      <c r="B181" s="344">
        <v>182425</v>
      </c>
      <c r="C181" s="344">
        <v>173738</v>
      </c>
      <c r="D181" s="344">
        <v>243066</v>
      </c>
      <c r="E181" s="344">
        <v>231492</v>
      </c>
      <c r="F181" s="343">
        <v>182425</v>
      </c>
      <c r="G181" s="343">
        <v>173738</v>
      </c>
      <c r="H181" s="353">
        <v>221439</v>
      </c>
      <c r="I181" s="353">
        <v>210895</v>
      </c>
      <c r="J181" s="343">
        <v>243066</v>
      </c>
      <c r="K181" s="343">
        <v>231492</v>
      </c>
      <c r="L181" s="343">
        <v>432847</v>
      </c>
      <c r="M181" s="343">
        <v>412235</v>
      </c>
      <c r="N181" s="363"/>
      <c r="O181" s="363"/>
      <c r="P181" s="363"/>
      <c r="Q181" s="363"/>
      <c r="R181" s="363"/>
      <c r="S181" s="363"/>
      <c r="T181" s="363"/>
      <c r="U181" s="363"/>
      <c r="V181" s="363"/>
      <c r="W181" s="363"/>
      <c r="X181" s="363"/>
      <c r="Y181" s="363"/>
      <c r="Z181" s="363"/>
      <c r="AA181" s="363"/>
      <c r="AB181" s="363"/>
      <c r="AC181" s="363"/>
      <c r="AD181" s="25">
        <v>1018</v>
      </c>
      <c r="AE181" s="25" t="s">
        <v>712</v>
      </c>
      <c r="AF181" s="25" t="s">
        <v>712</v>
      </c>
    </row>
    <row r="182" spans="1:35" ht="21.5">
      <c r="A182" s="332">
        <v>84</v>
      </c>
      <c r="B182" s="344">
        <v>182425</v>
      </c>
      <c r="C182" s="344">
        <v>173738</v>
      </c>
      <c r="D182" s="344">
        <v>243066</v>
      </c>
      <c r="E182" s="344">
        <v>231492</v>
      </c>
      <c r="F182" s="343">
        <v>182425</v>
      </c>
      <c r="G182" s="343">
        <v>173738</v>
      </c>
      <c r="H182" s="353">
        <v>221439</v>
      </c>
      <c r="I182" s="353">
        <v>210895</v>
      </c>
      <c r="J182" s="343">
        <v>243066</v>
      </c>
      <c r="K182" s="343">
        <v>231492</v>
      </c>
      <c r="L182" s="343">
        <v>432847</v>
      </c>
      <c r="M182" s="343">
        <v>412235</v>
      </c>
      <c r="N182" s="363"/>
      <c r="O182" s="363"/>
      <c r="P182" s="363"/>
      <c r="Q182" s="363"/>
      <c r="R182" s="363"/>
      <c r="S182" s="363"/>
      <c r="T182" s="363"/>
      <c r="U182" s="363"/>
      <c r="V182" s="363"/>
      <c r="W182" s="363"/>
      <c r="X182" s="363"/>
      <c r="Y182" s="363"/>
      <c r="Z182" s="363"/>
      <c r="AA182" s="363"/>
      <c r="AB182" s="363"/>
      <c r="AC182" s="363"/>
      <c r="AD182" s="25">
        <v>1019</v>
      </c>
      <c r="AE182" s="25" t="s">
        <v>712</v>
      </c>
      <c r="AF182" s="25" t="s">
        <v>712</v>
      </c>
    </row>
    <row r="183" spans="1:35" ht="22" thickBot="1">
      <c r="A183" s="356">
        <v>85</v>
      </c>
      <c r="B183" s="365">
        <v>182425</v>
      </c>
      <c r="C183" s="365">
        <v>173738</v>
      </c>
      <c r="D183" s="365">
        <v>243066</v>
      </c>
      <c r="E183" s="365">
        <v>231492</v>
      </c>
      <c r="F183" s="357">
        <v>182425</v>
      </c>
      <c r="G183" s="357">
        <v>173738</v>
      </c>
      <c r="H183" s="358">
        <v>221439</v>
      </c>
      <c r="I183" s="358">
        <v>210895</v>
      </c>
      <c r="J183" s="357">
        <v>243066</v>
      </c>
      <c r="K183" s="357">
        <v>231492</v>
      </c>
      <c r="L183" s="357">
        <v>432847</v>
      </c>
      <c r="M183" s="357">
        <v>412235</v>
      </c>
      <c r="N183" s="366"/>
      <c r="O183" s="366"/>
      <c r="P183" s="366"/>
      <c r="Q183" s="366"/>
      <c r="R183" s="366"/>
      <c r="S183" s="366"/>
      <c r="T183" s="366"/>
      <c r="U183" s="366"/>
      <c r="V183" s="366"/>
      <c r="W183" s="366"/>
      <c r="X183" s="366"/>
      <c r="Y183" s="366"/>
      <c r="Z183" s="366"/>
      <c r="AA183" s="366"/>
      <c r="AB183" s="366"/>
      <c r="AC183" s="366"/>
      <c r="AD183" s="25">
        <v>1020</v>
      </c>
      <c r="AE183" s="25" t="s">
        <v>712</v>
      </c>
      <c r="AF183" s="25" t="s">
        <v>712</v>
      </c>
    </row>
    <row r="186" spans="1:35" ht="13.5" thickBot="1">
      <c r="B186" s="359" t="s">
        <v>739</v>
      </c>
      <c r="C186" s="359" t="s">
        <v>740</v>
      </c>
      <c r="D186" s="359" t="s">
        <v>741</v>
      </c>
      <c r="E186" s="359" t="s">
        <v>742</v>
      </c>
      <c r="F186" s="359" t="s">
        <v>743</v>
      </c>
      <c r="G186" s="359" t="s">
        <v>744</v>
      </c>
      <c r="H186" s="359" t="s">
        <v>745</v>
      </c>
      <c r="I186" s="359" t="s">
        <v>746</v>
      </c>
      <c r="J186" s="367" t="s">
        <v>747</v>
      </c>
      <c r="K186" s="367" t="s">
        <v>748</v>
      </c>
      <c r="L186" s="367" t="s">
        <v>749</v>
      </c>
      <c r="M186" s="367" t="s">
        <v>750</v>
      </c>
    </row>
    <row r="187" spans="1:35" ht="21" customHeight="1" thickBot="1">
      <c r="A187" s="360" t="s">
        <v>751</v>
      </c>
      <c r="B187" s="2326" t="s">
        <v>738</v>
      </c>
      <c r="C187" s="2327"/>
      <c r="D187" s="2326" t="s">
        <v>606</v>
      </c>
      <c r="E187" s="2327"/>
      <c r="F187" s="2326" t="s">
        <v>615</v>
      </c>
      <c r="G187" s="2327"/>
      <c r="H187" s="2326" t="s">
        <v>622</v>
      </c>
      <c r="I187" s="2327"/>
      <c r="J187" s="2326" t="s">
        <v>629</v>
      </c>
      <c r="K187" s="2327"/>
      <c r="L187" s="2326" t="s">
        <v>636</v>
      </c>
      <c r="M187" s="2327"/>
      <c r="N187" s="2326" t="s">
        <v>641</v>
      </c>
      <c r="O187" s="2327"/>
      <c r="P187" s="2326" t="s">
        <v>645</v>
      </c>
      <c r="Q187" s="2327"/>
      <c r="R187" s="2326" t="s">
        <v>649</v>
      </c>
      <c r="S187" s="2327"/>
      <c r="T187" s="2326" t="s">
        <v>653</v>
      </c>
      <c r="U187" s="2327"/>
      <c r="V187" s="2326" t="s">
        <v>657</v>
      </c>
      <c r="W187" s="2327"/>
      <c r="X187" s="2326" t="s">
        <v>661</v>
      </c>
      <c r="Y187" s="2327"/>
      <c r="Z187" s="2326" t="s">
        <v>665</v>
      </c>
      <c r="AA187" s="2327"/>
      <c r="AB187" s="2326" t="s">
        <v>669</v>
      </c>
      <c r="AC187" s="2327"/>
      <c r="AE187" s="25" t="s">
        <v>708</v>
      </c>
    </row>
    <row r="188" spans="1:35" ht="21" customHeight="1" thickBot="1">
      <c r="A188" s="327" t="s">
        <v>2</v>
      </c>
      <c r="B188" s="327" t="s">
        <v>23</v>
      </c>
      <c r="C188" s="327" t="s">
        <v>28</v>
      </c>
      <c r="D188" s="327" t="s">
        <v>23</v>
      </c>
      <c r="E188" s="327" t="s">
        <v>28</v>
      </c>
      <c r="F188" s="327" t="s">
        <v>23</v>
      </c>
      <c r="G188" s="327" t="s">
        <v>28</v>
      </c>
      <c r="H188" s="327" t="s">
        <v>23</v>
      </c>
      <c r="I188" s="327" t="s">
        <v>28</v>
      </c>
      <c r="J188" s="327" t="s">
        <v>23</v>
      </c>
      <c r="K188" s="327" t="s">
        <v>28</v>
      </c>
      <c r="L188" s="327" t="s">
        <v>23</v>
      </c>
      <c r="M188" s="327" t="s">
        <v>28</v>
      </c>
      <c r="N188" s="327" t="s">
        <v>23</v>
      </c>
      <c r="O188" s="327" t="s">
        <v>28</v>
      </c>
      <c r="P188" s="327" t="s">
        <v>23</v>
      </c>
      <c r="Q188" s="327" t="s">
        <v>28</v>
      </c>
      <c r="R188" s="327" t="s">
        <v>23</v>
      </c>
      <c r="S188" s="327" t="s">
        <v>28</v>
      </c>
      <c r="T188" s="327" t="s">
        <v>23</v>
      </c>
      <c r="U188" s="327" t="s">
        <v>28</v>
      </c>
      <c r="V188" s="327" t="s">
        <v>23</v>
      </c>
      <c r="W188" s="327" t="s">
        <v>28</v>
      </c>
      <c r="X188" s="327" t="s">
        <v>23</v>
      </c>
      <c r="Y188" s="327" t="s">
        <v>28</v>
      </c>
      <c r="Z188" s="327" t="s">
        <v>23</v>
      </c>
      <c r="AA188" s="327" t="s">
        <v>28</v>
      </c>
      <c r="AB188" s="327" t="s">
        <v>23</v>
      </c>
      <c r="AC188" s="327" t="s">
        <v>28</v>
      </c>
      <c r="AD188" s="25" t="s">
        <v>709</v>
      </c>
      <c r="AE188" s="25" t="s">
        <v>23</v>
      </c>
      <c r="AF188" s="25" t="s">
        <v>28</v>
      </c>
    </row>
    <row r="189" spans="1:35" ht="21.5">
      <c r="A189" s="332">
        <v>0</v>
      </c>
      <c r="B189" s="333">
        <v>12788</v>
      </c>
      <c r="C189" s="333">
        <v>12788</v>
      </c>
      <c r="D189" s="333">
        <v>31276</v>
      </c>
      <c r="E189" s="333">
        <v>31276</v>
      </c>
      <c r="F189" s="334"/>
      <c r="G189" s="334"/>
      <c r="H189" s="361"/>
      <c r="I189" s="334"/>
      <c r="J189" s="334"/>
      <c r="K189" s="334"/>
      <c r="L189" s="334"/>
      <c r="M189" s="334"/>
      <c r="N189" s="362"/>
      <c r="O189" s="362"/>
      <c r="P189" s="362"/>
      <c r="Q189" s="362"/>
      <c r="R189" s="362"/>
      <c r="S189" s="362"/>
      <c r="T189" s="362"/>
      <c r="U189" s="362"/>
      <c r="V189" s="362"/>
      <c r="W189" s="362"/>
      <c r="X189" s="362"/>
      <c r="Y189" s="362"/>
      <c r="Z189" s="362"/>
      <c r="AA189" s="362"/>
      <c r="AB189" s="362"/>
      <c r="AC189" s="362"/>
      <c r="AD189" s="25">
        <v>1000</v>
      </c>
      <c r="AE189" s="25" t="s">
        <v>712</v>
      </c>
      <c r="AF189" s="25" t="s">
        <v>712</v>
      </c>
      <c r="AH189" s="329" t="s">
        <v>710</v>
      </c>
      <c r="AI189" s="329"/>
    </row>
    <row r="190" spans="1:35" ht="21.5">
      <c r="A190" s="332">
        <v>1</v>
      </c>
      <c r="B190" s="343">
        <v>12788</v>
      </c>
      <c r="C190" s="343">
        <v>12788</v>
      </c>
      <c r="D190" s="343">
        <v>31276</v>
      </c>
      <c r="E190" s="343">
        <v>31276</v>
      </c>
      <c r="F190" s="344"/>
      <c r="G190" s="344"/>
      <c r="H190" s="361"/>
      <c r="I190" s="344"/>
      <c r="J190" s="344"/>
      <c r="K190" s="344"/>
      <c r="L190" s="344"/>
      <c r="M190" s="344"/>
      <c r="N190" s="363"/>
      <c r="O190" s="363"/>
      <c r="P190" s="363"/>
      <c r="Q190" s="363"/>
      <c r="R190" s="363"/>
      <c r="S190" s="363"/>
      <c r="T190" s="363"/>
      <c r="U190" s="363"/>
      <c r="V190" s="363"/>
      <c r="W190" s="363"/>
      <c r="X190" s="363"/>
      <c r="Y190" s="363"/>
      <c r="Z190" s="363"/>
      <c r="AA190" s="363"/>
      <c r="AB190" s="363"/>
      <c r="AC190" s="363"/>
      <c r="AD190" s="25">
        <v>1000</v>
      </c>
      <c r="AE190" s="25" t="s">
        <v>712</v>
      </c>
      <c r="AF190" s="25" t="s">
        <v>712</v>
      </c>
      <c r="AH190" s="335" t="s">
        <v>713</v>
      </c>
      <c r="AI190" s="336" t="str">
        <f>AI5</f>
        <v>F</v>
      </c>
    </row>
    <row r="191" spans="1:35" ht="21.5">
      <c r="A191" s="332">
        <v>2</v>
      </c>
      <c r="B191" s="343">
        <v>12788</v>
      </c>
      <c r="C191" s="343">
        <v>12788</v>
      </c>
      <c r="D191" s="343">
        <v>31276</v>
      </c>
      <c r="E191" s="343">
        <v>31276</v>
      </c>
      <c r="F191" s="344"/>
      <c r="G191" s="344"/>
      <c r="H191" s="361"/>
      <c r="I191" s="344"/>
      <c r="J191" s="344"/>
      <c r="K191" s="344"/>
      <c r="L191" s="344"/>
      <c r="M191" s="344"/>
      <c r="N191" s="363"/>
      <c r="O191" s="363"/>
      <c r="P191" s="363"/>
      <c r="Q191" s="363"/>
      <c r="R191" s="363"/>
      <c r="S191" s="363"/>
      <c r="T191" s="363"/>
      <c r="U191" s="363"/>
      <c r="V191" s="363"/>
      <c r="W191" s="363"/>
      <c r="X191" s="363"/>
      <c r="Y191" s="363"/>
      <c r="Z191" s="363"/>
      <c r="AA191" s="363"/>
      <c r="AB191" s="363"/>
      <c r="AC191" s="363"/>
      <c r="AD191" s="25">
        <v>1000</v>
      </c>
      <c r="AE191" s="25" t="s">
        <v>712</v>
      </c>
      <c r="AF191" s="25" t="s">
        <v>712</v>
      </c>
      <c r="AH191" s="335" t="s">
        <v>17</v>
      </c>
      <c r="AI191" s="336">
        <f>AI6</f>
        <v>44</v>
      </c>
    </row>
    <row r="192" spans="1:35" ht="21.5">
      <c r="A192" s="332">
        <v>3</v>
      </c>
      <c r="B192" s="343">
        <v>12788</v>
      </c>
      <c r="C192" s="343">
        <v>12788</v>
      </c>
      <c r="D192" s="343">
        <v>31276</v>
      </c>
      <c r="E192" s="343">
        <v>31276</v>
      </c>
      <c r="F192" s="344"/>
      <c r="G192" s="344"/>
      <c r="H192" s="361"/>
      <c r="I192" s="344"/>
      <c r="J192" s="344"/>
      <c r="K192" s="344"/>
      <c r="L192" s="344"/>
      <c r="M192" s="344"/>
      <c r="N192" s="363"/>
      <c r="O192" s="363"/>
      <c r="P192" s="363"/>
      <c r="Q192" s="363"/>
      <c r="R192" s="363"/>
      <c r="S192" s="363"/>
      <c r="T192" s="363"/>
      <c r="U192" s="363"/>
      <c r="V192" s="363"/>
      <c r="W192" s="363"/>
      <c r="X192" s="363"/>
      <c r="Y192" s="363"/>
      <c r="Z192" s="363"/>
      <c r="AA192" s="363"/>
      <c r="AB192" s="363"/>
      <c r="AC192" s="363"/>
      <c r="AD192" s="25">
        <v>1000</v>
      </c>
      <c r="AE192" s="25" t="s">
        <v>712</v>
      </c>
      <c r="AF192" s="25" t="s">
        <v>712</v>
      </c>
      <c r="AH192" s="335" t="s">
        <v>571</v>
      </c>
      <c r="AI192" s="336" t="e">
        <f>AI7</f>
        <v>#REF!</v>
      </c>
    </row>
    <row r="193" spans="1:36" ht="21.5">
      <c r="A193" s="332">
        <v>4</v>
      </c>
      <c r="B193" s="343">
        <v>12788</v>
      </c>
      <c r="C193" s="343">
        <v>12788</v>
      </c>
      <c r="D193" s="343">
        <v>31276</v>
      </c>
      <c r="E193" s="343">
        <v>31276</v>
      </c>
      <c r="F193" s="344"/>
      <c r="G193" s="344"/>
      <c r="H193" s="361"/>
      <c r="I193" s="344"/>
      <c r="J193" s="344"/>
      <c r="K193" s="344"/>
      <c r="L193" s="344"/>
      <c r="M193" s="344"/>
      <c r="N193" s="363"/>
      <c r="O193" s="363"/>
      <c r="P193" s="363"/>
      <c r="Q193" s="363"/>
      <c r="R193" s="363"/>
      <c r="S193" s="363"/>
      <c r="T193" s="363"/>
      <c r="U193" s="363"/>
      <c r="V193" s="363"/>
      <c r="W193" s="363"/>
      <c r="X193" s="363"/>
      <c r="Y193" s="363"/>
      <c r="Z193" s="363"/>
      <c r="AA193" s="363"/>
      <c r="AB193" s="363"/>
      <c r="AC193" s="363"/>
      <c r="AD193" s="25">
        <v>1000</v>
      </c>
      <c r="AE193" s="25" t="s">
        <v>712</v>
      </c>
      <c r="AF193" s="25" t="s">
        <v>712</v>
      </c>
      <c r="AH193" s="335" t="s">
        <v>714</v>
      </c>
      <c r="AI193" s="336" t="e">
        <f>VLOOKUP(AI191,A189:AC274,VLOOKUP(AI192,$AH$16:$AJ$33,IF(AI190="F",3,2),FALSE),FALSE)</f>
        <v>#REF!</v>
      </c>
    </row>
    <row r="194" spans="1:36" ht="21.5">
      <c r="A194" s="332">
        <v>5</v>
      </c>
      <c r="B194" s="343">
        <v>12788</v>
      </c>
      <c r="C194" s="343">
        <v>12788</v>
      </c>
      <c r="D194" s="343">
        <v>31276</v>
      </c>
      <c r="E194" s="343">
        <v>31276</v>
      </c>
      <c r="F194" s="344"/>
      <c r="G194" s="344"/>
      <c r="H194" s="361"/>
      <c r="I194" s="344"/>
      <c r="J194" s="344"/>
      <c r="K194" s="344"/>
      <c r="L194" s="344"/>
      <c r="M194" s="344"/>
      <c r="N194" s="363"/>
      <c r="O194" s="363"/>
      <c r="P194" s="363"/>
      <c r="Q194" s="363"/>
      <c r="R194" s="363"/>
      <c r="S194" s="363"/>
      <c r="T194" s="363"/>
      <c r="U194" s="363"/>
      <c r="V194" s="363"/>
      <c r="W194" s="363"/>
      <c r="X194" s="363"/>
      <c r="Y194" s="363"/>
      <c r="Z194" s="363"/>
      <c r="AA194" s="363"/>
      <c r="AB194" s="363"/>
      <c r="AC194" s="363"/>
      <c r="AD194" s="25">
        <v>1000</v>
      </c>
      <c r="AE194" s="25" t="s">
        <v>712</v>
      </c>
      <c r="AF194" s="25" t="s">
        <v>712</v>
      </c>
      <c r="AH194" s="335" t="s">
        <v>716</v>
      </c>
      <c r="AI194" s="347">
        <v>0</v>
      </c>
    </row>
    <row r="195" spans="1:36" ht="21.5">
      <c r="A195" s="332">
        <v>6</v>
      </c>
      <c r="B195" s="343">
        <v>12788</v>
      </c>
      <c r="C195" s="343">
        <v>12788</v>
      </c>
      <c r="D195" s="343">
        <v>31276</v>
      </c>
      <c r="E195" s="343">
        <v>31276</v>
      </c>
      <c r="F195" s="344"/>
      <c r="G195" s="344"/>
      <c r="H195" s="361"/>
      <c r="I195" s="344"/>
      <c r="J195" s="344"/>
      <c r="K195" s="344"/>
      <c r="L195" s="344"/>
      <c r="M195" s="344"/>
      <c r="N195" s="363"/>
      <c r="O195" s="363"/>
      <c r="P195" s="363"/>
      <c r="Q195" s="363"/>
      <c r="R195" s="363"/>
      <c r="S195" s="363"/>
      <c r="T195" s="363"/>
      <c r="U195" s="363"/>
      <c r="V195" s="363"/>
      <c r="W195" s="363"/>
      <c r="X195" s="363"/>
      <c r="Y195" s="363"/>
      <c r="Z195" s="363"/>
      <c r="AA195" s="363"/>
      <c r="AB195" s="363"/>
      <c r="AC195" s="363"/>
      <c r="AD195" s="25">
        <v>1000</v>
      </c>
      <c r="AE195" s="25" t="s">
        <v>712</v>
      </c>
      <c r="AF195" s="25" t="s">
        <v>712</v>
      </c>
      <c r="AH195" s="335" t="s">
        <v>718</v>
      </c>
      <c r="AI195" s="336" t="e">
        <f>AI193-AI194</f>
        <v>#REF!</v>
      </c>
    </row>
    <row r="196" spans="1:36" ht="21.5">
      <c r="A196" s="332">
        <v>7</v>
      </c>
      <c r="B196" s="343">
        <v>12788</v>
      </c>
      <c r="C196" s="343">
        <v>12788</v>
      </c>
      <c r="D196" s="343">
        <v>31276</v>
      </c>
      <c r="E196" s="343">
        <v>31276</v>
      </c>
      <c r="F196" s="344"/>
      <c r="G196" s="344"/>
      <c r="H196" s="361"/>
      <c r="I196" s="344"/>
      <c r="J196" s="344"/>
      <c r="K196" s="344"/>
      <c r="L196" s="344"/>
      <c r="M196" s="344"/>
      <c r="N196" s="363"/>
      <c r="O196" s="363"/>
      <c r="P196" s="363"/>
      <c r="Q196" s="363"/>
      <c r="R196" s="363"/>
      <c r="S196" s="363"/>
      <c r="T196" s="363"/>
      <c r="U196" s="363"/>
      <c r="V196" s="363"/>
      <c r="W196" s="363"/>
      <c r="X196" s="363"/>
      <c r="Y196" s="363"/>
      <c r="Z196" s="363"/>
      <c r="AA196" s="363"/>
      <c r="AB196" s="363"/>
      <c r="AC196" s="363"/>
      <c r="AD196" s="25">
        <v>1000</v>
      </c>
      <c r="AE196" s="25" t="s">
        <v>712</v>
      </c>
      <c r="AF196" s="25" t="s">
        <v>712</v>
      </c>
      <c r="AH196" s="335" t="s">
        <v>720</v>
      </c>
      <c r="AI196" s="336" t="e">
        <f>AI11</f>
        <v>#REF!</v>
      </c>
    </row>
    <row r="197" spans="1:36" ht="21.5">
      <c r="A197" s="332">
        <v>8</v>
      </c>
      <c r="B197" s="343">
        <v>12788</v>
      </c>
      <c r="C197" s="343">
        <v>12788</v>
      </c>
      <c r="D197" s="343">
        <v>31276</v>
      </c>
      <c r="E197" s="343">
        <v>31276</v>
      </c>
      <c r="F197" s="344"/>
      <c r="G197" s="344"/>
      <c r="H197" s="361"/>
      <c r="I197" s="344"/>
      <c r="J197" s="344"/>
      <c r="K197" s="344"/>
      <c r="L197" s="344"/>
      <c r="M197" s="344"/>
      <c r="N197" s="363"/>
      <c r="O197" s="363"/>
      <c r="P197" s="363"/>
      <c r="Q197" s="363"/>
      <c r="R197" s="363"/>
      <c r="S197" s="363"/>
      <c r="T197" s="363"/>
      <c r="U197" s="363"/>
      <c r="V197" s="363"/>
      <c r="W197" s="363"/>
      <c r="X197" s="363"/>
      <c r="Y197" s="363"/>
      <c r="Z197" s="363"/>
      <c r="AA197" s="363"/>
      <c r="AB197" s="363"/>
      <c r="AC197" s="363"/>
      <c r="AD197" s="25">
        <v>1000</v>
      </c>
      <c r="AE197" s="25" t="s">
        <v>712</v>
      </c>
      <c r="AF197" s="25" t="s">
        <v>712</v>
      </c>
      <c r="AH197" s="335" t="s">
        <v>721</v>
      </c>
      <c r="AI197" s="348" t="e">
        <f>AI195*AI196</f>
        <v>#REF!</v>
      </c>
    </row>
    <row r="198" spans="1:36" ht="21.5">
      <c r="A198" s="332">
        <v>9</v>
      </c>
      <c r="B198" s="343">
        <v>12788</v>
      </c>
      <c r="C198" s="343">
        <v>12788</v>
      </c>
      <c r="D198" s="343">
        <v>31276</v>
      </c>
      <c r="E198" s="343">
        <v>31276</v>
      </c>
      <c r="F198" s="344"/>
      <c r="G198" s="344"/>
      <c r="H198" s="361"/>
      <c r="I198" s="344"/>
      <c r="J198" s="344"/>
      <c r="K198" s="344"/>
      <c r="L198" s="344"/>
      <c r="M198" s="344"/>
      <c r="N198" s="363"/>
      <c r="O198" s="363"/>
      <c r="P198" s="363"/>
      <c r="Q198" s="363"/>
      <c r="R198" s="363"/>
      <c r="S198" s="363"/>
      <c r="T198" s="363"/>
      <c r="U198" s="363"/>
      <c r="V198" s="363"/>
      <c r="W198" s="363"/>
      <c r="X198" s="363"/>
      <c r="Y198" s="363"/>
      <c r="Z198" s="363"/>
      <c r="AA198" s="363"/>
      <c r="AB198" s="363"/>
      <c r="AC198" s="363"/>
      <c r="AD198" s="25">
        <v>1000</v>
      </c>
      <c r="AE198" s="25" t="s">
        <v>712</v>
      </c>
      <c r="AF198" s="25" t="s">
        <v>712</v>
      </c>
      <c r="AH198" s="335" t="s">
        <v>723</v>
      </c>
      <c r="AI198" s="350" t="str">
        <f>VLOOKUP(กรอกข้อมูล!$C$7,$AK$8:$AL$11,2,FALSE)</f>
        <v>A</v>
      </c>
      <c r="AJ198" s="347">
        <f>VLOOKUP(กรอกข้อมูล!$C$7,$AK$8:$AN$11,4,FALSE)</f>
        <v>1</v>
      </c>
    </row>
    <row r="199" spans="1:36" ht="21.5">
      <c r="A199" s="332">
        <v>10</v>
      </c>
      <c r="B199" s="343">
        <v>12788</v>
      </c>
      <c r="C199" s="343">
        <v>12788</v>
      </c>
      <c r="D199" s="343">
        <v>31276</v>
      </c>
      <c r="E199" s="343">
        <v>31276</v>
      </c>
      <c r="F199" s="344"/>
      <c r="G199" s="344"/>
      <c r="H199" s="361"/>
      <c r="I199" s="344"/>
      <c r="J199" s="344"/>
      <c r="K199" s="344"/>
      <c r="L199" s="344"/>
      <c r="M199" s="344"/>
      <c r="N199" s="363"/>
      <c r="O199" s="363"/>
      <c r="P199" s="363"/>
      <c r="Q199" s="363"/>
      <c r="R199" s="363"/>
      <c r="S199" s="363"/>
      <c r="T199" s="363"/>
      <c r="U199" s="363"/>
      <c r="V199" s="363"/>
      <c r="W199" s="363"/>
      <c r="X199" s="363"/>
      <c r="Y199" s="363"/>
      <c r="Z199" s="363"/>
      <c r="AA199" s="363"/>
      <c r="AB199" s="363"/>
      <c r="AC199" s="363"/>
      <c r="AD199" s="25">
        <v>1000</v>
      </c>
      <c r="AE199" s="25" t="s">
        <v>712</v>
      </c>
      <c r="AF199" s="25" t="s">
        <v>712</v>
      </c>
      <c r="AH199" s="335" t="s">
        <v>724</v>
      </c>
      <c r="AI199" s="348" t="e">
        <f>ROUNDDOWN($AI$197*AJ198,2)</f>
        <v>#REF!</v>
      </c>
    </row>
    <row r="200" spans="1:36" ht="21.5">
      <c r="A200" s="332">
        <v>11</v>
      </c>
      <c r="B200" s="343">
        <v>12788</v>
      </c>
      <c r="C200" s="343">
        <v>12788</v>
      </c>
      <c r="D200" s="343">
        <v>31276</v>
      </c>
      <c r="E200" s="343">
        <v>31276</v>
      </c>
      <c r="F200" s="344"/>
      <c r="G200" s="344"/>
      <c r="H200" s="361"/>
      <c r="I200" s="344"/>
      <c r="J200" s="344"/>
      <c r="K200" s="344"/>
      <c r="L200" s="344"/>
      <c r="M200" s="344"/>
      <c r="N200" s="363"/>
      <c r="O200" s="363"/>
      <c r="P200" s="363"/>
      <c r="Q200" s="363"/>
      <c r="R200" s="363"/>
      <c r="S200" s="363"/>
      <c r="T200" s="363"/>
      <c r="U200" s="363"/>
      <c r="V200" s="363"/>
      <c r="W200" s="363"/>
      <c r="X200" s="363"/>
      <c r="Y200" s="363"/>
      <c r="Z200" s="363"/>
      <c r="AA200" s="363"/>
      <c r="AB200" s="363"/>
      <c r="AC200" s="363"/>
      <c r="AD200" s="25">
        <v>1000</v>
      </c>
      <c r="AE200" s="25" t="s">
        <v>712</v>
      </c>
      <c r="AF200" s="25" t="s">
        <v>712</v>
      </c>
    </row>
    <row r="201" spans="1:36" ht="21.5">
      <c r="A201" s="332">
        <v>12</v>
      </c>
      <c r="B201" s="343">
        <v>12788</v>
      </c>
      <c r="C201" s="343">
        <v>12788</v>
      </c>
      <c r="D201" s="343">
        <v>31276</v>
      </c>
      <c r="E201" s="343">
        <v>31276</v>
      </c>
      <c r="F201" s="344"/>
      <c r="G201" s="344"/>
      <c r="H201" s="361"/>
      <c r="I201" s="344"/>
      <c r="J201" s="344"/>
      <c r="K201" s="344"/>
      <c r="L201" s="344"/>
      <c r="M201" s="344"/>
      <c r="N201" s="363"/>
      <c r="O201" s="363"/>
      <c r="P201" s="363"/>
      <c r="Q201" s="363"/>
      <c r="R201" s="363"/>
      <c r="S201" s="363"/>
      <c r="T201" s="363"/>
      <c r="U201" s="363"/>
      <c r="V201" s="363"/>
      <c r="W201" s="363"/>
      <c r="X201" s="363"/>
      <c r="Y201" s="363"/>
      <c r="Z201" s="363"/>
      <c r="AA201" s="363"/>
      <c r="AB201" s="363"/>
      <c r="AC201" s="363"/>
      <c r="AD201" s="25">
        <v>1000</v>
      </c>
      <c r="AE201" s="25" t="s">
        <v>712</v>
      </c>
      <c r="AF201" s="25" t="s">
        <v>712</v>
      </c>
    </row>
    <row r="202" spans="1:36" ht="21.5">
      <c r="A202" s="332">
        <v>13</v>
      </c>
      <c r="B202" s="343">
        <v>12788</v>
      </c>
      <c r="C202" s="343">
        <v>12788</v>
      </c>
      <c r="D202" s="343">
        <v>31276</v>
      </c>
      <c r="E202" s="343">
        <v>31276</v>
      </c>
      <c r="F202" s="344"/>
      <c r="G202" s="344"/>
      <c r="H202" s="361"/>
      <c r="I202" s="344"/>
      <c r="J202" s="344"/>
      <c r="K202" s="344"/>
      <c r="L202" s="344"/>
      <c r="M202" s="344"/>
      <c r="N202" s="363"/>
      <c r="O202" s="363"/>
      <c r="P202" s="363"/>
      <c r="Q202" s="363"/>
      <c r="R202" s="363"/>
      <c r="S202" s="363"/>
      <c r="T202" s="363"/>
      <c r="U202" s="363"/>
      <c r="V202" s="363"/>
      <c r="W202" s="363"/>
      <c r="X202" s="363"/>
      <c r="Y202" s="363"/>
      <c r="Z202" s="363"/>
      <c r="AA202" s="363"/>
      <c r="AB202" s="363"/>
      <c r="AC202" s="363"/>
      <c r="AD202" s="25">
        <v>1000</v>
      </c>
      <c r="AE202" s="25" t="s">
        <v>712</v>
      </c>
      <c r="AF202" s="25" t="s">
        <v>712</v>
      </c>
    </row>
    <row r="203" spans="1:36" ht="21.5">
      <c r="A203" s="332">
        <v>14</v>
      </c>
      <c r="B203" s="343">
        <v>12788</v>
      </c>
      <c r="C203" s="343">
        <v>12788</v>
      </c>
      <c r="D203" s="343">
        <v>31276</v>
      </c>
      <c r="E203" s="343">
        <v>31276</v>
      </c>
      <c r="F203" s="344"/>
      <c r="G203" s="344"/>
      <c r="H203" s="361"/>
      <c r="I203" s="344"/>
      <c r="J203" s="344"/>
      <c r="K203" s="344"/>
      <c r="L203" s="344"/>
      <c r="M203" s="344"/>
      <c r="N203" s="363"/>
      <c r="O203" s="363"/>
      <c r="P203" s="363"/>
      <c r="Q203" s="363"/>
      <c r="R203" s="363"/>
      <c r="S203" s="363"/>
      <c r="T203" s="363"/>
      <c r="U203" s="363"/>
      <c r="V203" s="363"/>
      <c r="W203" s="363"/>
      <c r="X203" s="363"/>
      <c r="Y203" s="363"/>
      <c r="Z203" s="363"/>
      <c r="AA203" s="363"/>
      <c r="AB203" s="363"/>
      <c r="AC203" s="363"/>
      <c r="AD203" s="25">
        <v>1000</v>
      </c>
      <c r="AE203" s="25" t="s">
        <v>712</v>
      </c>
      <c r="AF203" s="25" t="s">
        <v>712</v>
      </c>
    </row>
    <row r="204" spans="1:36" ht="21.5">
      <c r="A204" s="332">
        <v>15</v>
      </c>
      <c r="B204" s="343">
        <v>12788</v>
      </c>
      <c r="C204" s="343">
        <v>12788</v>
      </c>
      <c r="D204" s="343">
        <v>31276</v>
      </c>
      <c r="E204" s="343">
        <v>31276</v>
      </c>
      <c r="F204" s="344"/>
      <c r="G204" s="344"/>
      <c r="H204" s="361"/>
      <c r="I204" s="344"/>
      <c r="J204" s="344"/>
      <c r="K204" s="344"/>
      <c r="L204" s="344"/>
      <c r="M204" s="344"/>
      <c r="N204" s="363"/>
      <c r="O204" s="363"/>
      <c r="P204" s="363"/>
      <c r="Q204" s="363"/>
      <c r="R204" s="363"/>
      <c r="S204" s="363"/>
      <c r="T204" s="363"/>
      <c r="U204" s="363"/>
      <c r="V204" s="363"/>
      <c r="W204" s="363"/>
      <c r="X204" s="363"/>
      <c r="Y204" s="363"/>
      <c r="Z204" s="363"/>
      <c r="AA204" s="363"/>
      <c r="AB204" s="363"/>
      <c r="AC204" s="363"/>
      <c r="AD204" s="25">
        <v>1000</v>
      </c>
      <c r="AE204" s="25" t="s">
        <v>712</v>
      </c>
      <c r="AF204" s="25" t="s">
        <v>712</v>
      </c>
    </row>
    <row r="205" spans="1:36" ht="21.5">
      <c r="A205" s="332">
        <v>16</v>
      </c>
      <c r="B205" s="344">
        <v>12788</v>
      </c>
      <c r="C205" s="344">
        <v>12788</v>
      </c>
      <c r="D205" s="344">
        <v>31276</v>
      </c>
      <c r="E205" s="344">
        <v>31276</v>
      </c>
      <c r="F205" s="343">
        <v>12788</v>
      </c>
      <c r="G205" s="343">
        <v>12788</v>
      </c>
      <c r="H205" s="353">
        <v>22032</v>
      </c>
      <c r="I205" s="353">
        <v>22032</v>
      </c>
      <c r="J205" s="344">
        <v>31276</v>
      </c>
      <c r="K205" s="344">
        <v>31276</v>
      </c>
      <c r="L205" s="343">
        <v>38595</v>
      </c>
      <c r="M205" s="343">
        <v>38595</v>
      </c>
      <c r="N205" s="363"/>
      <c r="O205" s="363"/>
      <c r="P205" s="363"/>
      <c r="Q205" s="363"/>
      <c r="R205" s="363"/>
      <c r="S205" s="363"/>
      <c r="T205" s="363"/>
      <c r="U205" s="363"/>
      <c r="V205" s="363"/>
      <c r="W205" s="363"/>
      <c r="X205" s="363"/>
      <c r="Y205" s="363"/>
      <c r="Z205" s="363"/>
      <c r="AA205" s="363"/>
      <c r="AB205" s="363"/>
      <c r="AC205" s="363"/>
      <c r="AD205" s="25">
        <v>1000</v>
      </c>
      <c r="AE205" s="25" t="s">
        <v>712</v>
      </c>
      <c r="AF205" s="25" t="s">
        <v>712</v>
      </c>
    </row>
    <row r="206" spans="1:36" ht="21.5">
      <c r="A206" s="332">
        <v>17</v>
      </c>
      <c r="B206" s="344">
        <v>12788</v>
      </c>
      <c r="C206" s="344">
        <v>12788</v>
      </c>
      <c r="D206" s="344">
        <v>31276</v>
      </c>
      <c r="E206" s="344">
        <v>31276</v>
      </c>
      <c r="F206" s="343">
        <v>12788</v>
      </c>
      <c r="G206" s="343">
        <v>12788</v>
      </c>
      <c r="H206" s="353">
        <v>22032</v>
      </c>
      <c r="I206" s="353">
        <v>22032</v>
      </c>
      <c r="J206" s="344">
        <v>31276</v>
      </c>
      <c r="K206" s="344">
        <v>31276</v>
      </c>
      <c r="L206" s="343">
        <v>38595</v>
      </c>
      <c r="M206" s="343">
        <v>38595</v>
      </c>
      <c r="N206" s="363"/>
      <c r="O206" s="363"/>
      <c r="P206" s="363"/>
      <c r="Q206" s="363"/>
      <c r="R206" s="363"/>
      <c r="S206" s="363"/>
      <c r="T206" s="363"/>
      <c r="U206" s="363"/>
      <c r="V206" s="363"/>
      <c r="W206" s="363"/>
      <c r="X206" s="363"/>
      <c r="Y206" s="363"/>
      <c r="Z206" s="363"/>
      <c r="AA206" s="363"/>
      <c r="AB206" s="363"/>
      <c r="AC206" s="363"/>
      <c r="AD206" s="25">
        <v>1000</v>
      </c>
      <c r="AE206" s="25" t="s">
        <v>712</v>
      </c>
      <c r="AF206" s="25" t="s">
        <v>712</v>
      </c>
    </row>
    <row r="207" spans="1:36" ht="21.5">
      <c r="A207" s="332">
        <v>18</v>
      </c>
      <c r="B207" s="344">
        <v>12788</v>
      </c>
      <c r="C207" s="344">
        <v>12788</v>
      </c>
      <c r="D207" s="344">
        <v>31276</v>
      </c>
      <c r="E207" s="344">
        <v>31276</v>
      </c>
      <c r="F207" s="343">
        <v>12788</v>
      </c>
      <c r="G207" s="343">
        <v>12788</v>
      </c>
      <c r="H207" s="353">
        <v>22032</v>
      </c>
      <c r="I207" s="353">
        <v>22032</v>
      </c>
      <c r="J207" s="344">
        <v>31276</v>
      </c>
      <c r="K207" s="344">
        <v>31276</v>
      </c>
      <c r="L207" s="343">
        <v>38595</v>
      </c>
      <c r="M207" s="343">
        <v>38595</v>
      </c>
      <c r="N207" s="363"/>
      <c r="O207" s="363"/>
      <c r="P207" s="363"/>
      <c r="Q207" s="363"/>
      <c r="R207" s="363"/>
      <c r="S207" s="363"/>
      <c r="T207" s="363"/>
      <c r="U207" s="363"/>
      <c r="V207" s="363"/>
      <c r="W207" s="363"/>
      <c r="X207" s="363"/>
      <c r="Y207" s="363"/>
      <c r="Z207" s="363"/>
      <c r="AA207" s="363"/>
      <c r="AB207" s="363"/>
      <c r="AC207" s="363"/>
      <c r="AD207" s="25">
        <v>1000</v>
      </c>
      <c r="AE207" s="25" t="s">
        <v>712</v>
      </c>
      <c r="AF207" s="25" t="s">
        <v>712</v>
      </c>
    </row>
    <row r="208" spans="1:36" ht="21.5">
      <c r="A208" s="332">
        <v>19</v>
      </c>
      <c r="B208" s="344">
        <v>12788</v>
      </c>
      <c r="C208" s="344">
        <v>12788</v>
      </c>
      <c r="D208" s="344">
        <v>31276</v>
      </c>
      <c r="E208" s="344">
        <v>31276</v>
      </c>
      <c r="F208" s="343">
        <v>12788</v>
      </c>
      <c r="G208" s="343">
        <v>12788</v>
      </c>
      <c r="H208" s="353">
        <v>22032</v>
      </c>
      <c r="I208" s="353">
        <v>22032</v>
      </c>
      <c r="J208" s="344">
        <v>31276</v>
      </c>
      <c r="K208" s="344">
        <v>31276</v>
      </c>
      <c r="L208" s="343">
        <v>38595</v>
      </c>
      <c r="M208" s="343">
        <v>38595</v>
      </c>
      <c r="N208" s="363"/>
      <c r="O208" s="363"/>
      <c r="P208" s="363"/>
      <c r="Q208" s="363"/>
      <c r="R208" s="363"/>
      <c r="S208" s="363"/>
      <c r="T208" s="363"/>
      <c r="U208" s="363"/>
      <c r="V208" s="363"/>
      <c r="W208" s="363"/>
      <c r="X208" s="363"/>
      <c r="Y208" s="363"/>
      <c r="Z208" s="363"/>
      <c r="AA208" s="363"/>
      <c r="AB208" s="363"/>
      <c r="AC208" s="363"/>
      <c r="AD208" s="25">
        <v>1000</v>
      </c>
      <c r="AE208" s="25" t="s">
        <v>712</v>
      </c>
      <c r="AF208" s="25" t="s">
        <v>712</v>
      </c>
    </row>
    <row r="209" spans="1:32" ht="21.5">
      <c r="A209" s="332">
        <v>20</v>
      </c>
      <c r="B209" s="344">
        <v>12788</v>
      </c>
      <c r="C209" s="344">
        <v>12788</v>
      </c>
      <c r="D209" s="344">
        <v>31276</v>
      </c>
      <c r="E209" s="344">
        <v>31276</v>
      </c>
      <c r="F209" s="343">
        <v>12788</v>
      </c>
      <c r="G209" s="343">
        <v>12788</v>
      </c>
      <c r="H209" s="353">
        <v>22032</v>
      </c>
      <c r="I209" s="353">
        <v>22032</v>
      </c>
      <c r="J209" s="344">
        <v>31276</v>
      </c>
      <c r="K209" s="344">
        <v>31276</v>
      </c>
      <c r="L209" s="343">
        <v>38595</v>
      </c>
      <c r="M209" s="343">
        <v>38595</v>
      </c>
      <c r="N209" s="363"/>
      <c r="O209" s="363"/>
      <c r="P209" s="363"/>
      <c r="Q209" s="363"/>
      <c r="R209" s="363"/>
      <c r="S209" s="363"/>
      <c r="T209" s="363"/>
      <c r="U209" s="363"/>
      <c r="V209" s="363"/>
      <c r="W209" s="363"/>
      <c r="X209" s="363"/>
      <c r="Y209" s="363"/>
      <c r="Z209" s="363"/>
      <c r="AA209" s="363"/>
      <c r="AB209" s="363"/>
      <c r="AC209" s="363"/>
      <c r="AD209" s="25">
        <v>1000</v>
      </c>
      <c r="AE209" s="25" t="s">
        <v>712</v>
      </c>
      <c r="AF209" s="25" t="s">
        <v>712</v>
      </c>
    </row>
    <row r="210" spans="1:32" ht="21.5">
      <c r="A210" s="332">
        <v>21</v>
      </c>
      <c r="B210" s="344">
        <v>12788</v>
      </c>
      <c r="C210" s="344">
        <v>12788</v>
      </c>
      <c r="D210" s="344">
        <v>31276</v>
      </c>
      <c r="E210" s="344">
        <v>31276</v>
      </c>
      <c r="F210" s="343">
        <v>12788</v>
      </c>
      <c r="G210" s="343">
        <v>12788</v>
      </c>
      <c r="H210" s="353">
        <v>22032</v>
      </c>
      <c r="I210" s="353">
        <v>22032</v>
      </c>
      <c r="J210" s="344">
        <v>31276</v>
      </c>
      <c r="K210" s="344">
        <v>31276</v>
      </c>
      <c r="L210" s="343">
        <v>38595</v>
      </c>
      <c r="M210" s="343">
        <v>38595</v>
      </c>
      <c r="N210" s="363"/>
      <c r="O210" s="363"/>
      <c r="P210" s="363"/>
      <c r="Q210" s="363"/>
      <c r="R210" s="363"/>
      <c r="S210" s="363"/>
      <c r="T210" s="363"/>
      <c r="U210" s="363"/>
      <c r="V210" s="363"/>
      <c r="W210" s="363"/>
      <c r="X210" s="363"/>
      <c r="Y210" s="363"/>
      <c r="Z210" s="363"/>
      <c r="AA210" s="363"/>
      <c r="AB210" s="363"/>
      <c r="AC210" s="363"/>
      <c r="AD210" s="25">
        <v>1000</v>
      </c>
      <c r="AE210" s="25" t="s">
        <v>712</v>
      </c>
      <c r="AF210" s="25" t="s">
        <v>712</v>
      </c>
    </row>
    <row r="211" spans="1:32" ht="21.5">
      <c r="A211" s="332">
        <v>22</v>
      </c>
      <c r="B211" s="344">
        <v>12788</v>
      </c>
      <c r="C211" s="344">
        <v>12788</v>
      </c>
      <c r="D211" s="344">
        <v>31276</v>
      </c>
      <c r="E211" s="344">
        <v>31276</v>
      </c>
      <c r="F211" s="343">
        <v>12788</v>
      </c>
      <c r="G211" s="343">
        <v>12788</v>
      </c>
      <c r="H211" s="353">
        <v>22032</v>
      </c>
      <c r="I211" s="353">
        <v>22032</v>
      </c>
      <c r="J211" s="344">
        <v>31276</v>
      </c>
      <c r="K211" s="344">
        <v>31276</v>
      </c>
      <c r="L211" s="343">
        <v>38595</v>
      </c>
      <c r="M211" s="343">
        <v>38595</v>
      </c>
      <c r="N211" s="363"/>
      <c r="O211" s="363"/>
      <c r="P211" s="363"/>
      <c r="Q211" s="363"/>
      <c r="R211" s="363"/>
      <c r="S211" s="363"/>
      <c r="T211" s="363"/>
      <c r="U211" s="363"/>
      <c r="V211" s="363"/>
      <c r="W211" s="363"/>
      <c r="X211" s="363"/>
      <c r="Y211" s="363"/>
      <c r="Z211" s="363"/>
      <c r="AA211" s="363"/>
      <c r="AB211" s="363"/>
      <c r="AC211" s="363"/>
      <c r="AD211" s="25">
        <v>1000</v>
      </c>
      <c r="AE211" s="25" t="s">
        <v>712</v>
      </c>
      <c r="AF211" s="25" t="s">
        <v>712</v>
      </c>
    </row>
    <row r="212" spans="1:32" ht="21.5">
      <c r="A212" s="332">
        <v>23</v>
      </c>
      <c r="B212" s="344">
        <v>12788</v>
      </c>
      <c r="C212" s="344">
        <v>12788</v>
      </c>
      <c r="D212" s="344">
        <v>31276</v>
      </c>
      <c r="E212" s="344">
        <v>31276</v>
      </c>
      <c r="F212" s="343">
        <v>12788</v>
      </c>
      <c r="G212" s="343">
        <v>12788</v>
      </c>
      <c r="H212" s="353">
        <v>22032</v>
      </c>
      <c r="I212" s="353">
        <v>22032</v>
      </c>
      <c r="J212" s="344">
        <v>31276</v>
      </c>
      <c r="K212" s="344">
        <v>31276</v>
      </c>
      <c r="L212" s="343">
        <v>38595</v>
      </c>
      <c r="M212" s="343">
        <v>38595</v>
      </c>
      <c r="N212" s="363"/>
      <c r="O212" s="363"/>
      <c r="P212" s="363"/>
      <c r="Q212" s="363"/>
      <c r="R212" s="363"/>
      <c r="S212" s="363"/>
      <c r="T212" s="363"/>
      <c r="U212" s="363"/>
      <c r="V212" s="363"/>
      <c r="W212" s="363"/>
      <c r="X212" s="363"/>
      <c r="Y212" s="363"/>
      <c r="Z212" s="363"/>
      <c r="AA212" s="363"/>
      <c r="AB212" s="363"/>
      <c r="AC212" s="363"/>
      <c r="AD212" s="25">
        <v>1000</v>
      </c>
      <c r="AE212" s="25" t="s">
        <v>712</v>
      </c>
      <c r="AF212" s="25" t="s">
        <v>712</v>
      </c>
    </row>
    <row r="213" spans="1:32" ht="21.5">
      <c r="A213" s="332">
        <v>24</v>
      </c>
      <c r="B213" s="344">
        <v>12788</v>
      </c>
      <c r="C213" s="344">
        <v>12788</v>
      </c>
      <c r="D213" s="344">
        <v>31276</v>
      </c>
      <c r="E213" s="344">
        <v>31276</v>
      </c>
      <c r="F213" s="343">
        <v>12788</v>
      </c>
      <c r="G213" s="343">
        <v>12788</v>
      </c>
      <c r="H213" s="353">
        <v>22032</v>
      </c>
      <c r="I213" s="353">
        <v>22032</v>
      </c>
      <c r="J213" s="344">
        <v>31276</v>
      </c>
      <c r="K213" s="344">
        <v>31276</v>
      </c>
      <c r="L213" s="343">
        <v>38595</v>
      </c>
      <c r="M213" s="343">
        <v>38595</v>
      </c>
      <c r="N213" s="363"/>
      <c r="O213" s="363"/>
      <c r="P213" s="363"/>
      <c r="Q213" s="363"/>
      <c r="R213" s="363"/>
      <c r="S213" s="363"/>
      <c r="T213" s="363"/>
      <c r="U213" s="363"/>
      <c r="V213" s="363"/>
      <c r="W213" s="363"/>
      <c r="X213" s="363"/>
      <c r="Y213" s="363"/>
      <c r="Z213" s="363"/>
      <c r="AA213" s="363"/>
      <c r="AB213" s="363"/>
      <c r="AC213" s="363"/>
      <c r="AD213" s="25">
        <v>1000</v>
      </c>
      <c r="AE213" s="25" t="s">
        <v>712</v>
      </c>
      <c r="AF213" s="25" t="s">
        <v>712</v>
      </c>
    </row>
    <row r="214" spans="1:32" ht="21.5">
      <c r="A214" s="332">
        <v>25</v>
      </c>
      <c r="B214" s="344">
        <v>12788</v>
      </c>
      <c r="C214" s="344">
        <v>12788</v>
      </c>
      <c r="D214" s="344">
        <v>31276</v>
      </c>
      <c r="E214" s="344">
        <v>31276</v>
      </c>
      <c r="F214" s="343">
        <v>12788</v>
      </c>
      <c r="G214" s="343">
        <v>12788</v>
      </c>
      <c r="H214" s="353">
        <v>22032</v>
      </c>
      <c r="I214" s="353">
        <v>22032</v>
      </c>
      <c r="J214" s="344">
        <v>31276</v>
      </c>
      <c r="K214" s="344">
        <v>31276</v>
      </c>
      <c r="L214" s="343">
        <v>38595</v>
      </c>
      <c r="M214" s="343">
        <v>38595</v>
      </c>
      <c r="N214" s="363"/>
      <c r="O214" s="363"/>
      <c r="P214" s="363"/>
      <c r="Q214" s="363"/>
      <c r="R214" s="363"/>
      <c r="S214" s="363"/>
      <c r="T214" s="363"/>
      <c r="U214" s="363"/>
      <c r="V214" s="363"/>
      <c r="W214" s="363"/>
      <c r="X214" s="363"/>
      <c r="Y214" s="363"/>
      <c r="Z214" s="363"/>
      <c r="AA214" s="363"/>
      <c r="AB214" s="363"/>
      <c r="AC214" s="363"/>
      <c r="AD214" s="25">
        <v>1000</v>
      </c>
      <c r="AE214" s="25" t="s">
        <v>712</v>
      </c>
      <c r="AF214" s="25" t="s">
        <v>712</v>
      </c>
    </row>
    <row r="215" spans="1:32" ht="21.5">
      <c r="A215" s="332">
        <v>26</v>
      </c>
      <c r="B215" s="344">
        <v>12788</v>
      </c>
      <c r="C215" s="344">
        <v>12788</v>
      </c>
      <c r="D215" s="344">
        <v>31276</v>
      </c>
      <c r="E215" s="344">
        <v>31276</v>
      </c>
      <c r="F215" s="343">
        <v>12788</v>
      </c>
      <c r="G215" s="343">
        <v>12788</v>
      </c>
      <c r="H215" s="353">
        <v>22032</v>
      </c>
      <c r="I215" s="353">
        <v>22032</v>
      </c>
      <c r="J215" s="344">
        <v>31276</v>
      </c>
      <c r="K215" s="344">
        <v>31276</v>
      </c>
      <c r="L215" s="343">
        <v>38595</v>
      </c>
      <c r="M215" s="343">
        <v>38595</v>
      </c>
      <c r="N215" s="363"/>
      <c r="O215" s="363"/>
      <c r="P215" s="363"/>
      <c r="Q215" s="363"/>
      <c r="R215" s="363"/>
      <c r="S215" s="363"/>
      <c r="T215" s="363"/>
      <c r="U215" s="363"/>
      <c r="V215" s="363"/>
      <c r="W215" s="363"/>
      <c r="X215" s="363"/>
      <c r="Y215" s="363"/>
      <c r="Z215" s="363"/>
      <c r="AA215" s="363"/>
      <c r="AB215" s="363"/>
      <c r="AC215" s="363"/>
      <c r="AD215" s="25">
        <v>1000</v>
      </c>
      <c r="AE215" s="25" t="s">
        <v>712</v>
      </c>
      <c r="AF215" s="25" t="s">
        <v>712</v>
      </c>
    </row>
    <row r="216" spans="1:32" ht="21.5">
      <c r="A216" s="332">
        <v>27</v>
      </c>
      <c r="B216" s="344">
        <v>12788</v>
      </c>
      <c r="C216" s="344">
        <v>12788</v>
      </c>
      <c r="D216" s="344">
        <v>31276</v>
      </c>
      <c r="E216" s="344">
        <v>31276</v>
      </c>
      <c r="F216" s="343">
        <v>12788</v>
      </c>
      <c r="G216" s="343">
        <v>12788</v>
      </c>
      <c r="H216" s="353">
        <v>22032</v>
      </c>
      <c r="I216" s="353">
        <v>22032</v>
      </c>
      <c r="J216" s="344">
        <v>31276</v>
      </c>
      <c r="K216" s="344">
        <v>31276</v>
      </c>
      <c r="L216" s="343">
        <v>38595</v>
      </c>
      <c r="M216" s="343">
        <v>38595</v>
      </c>
      <c r="N216" s="363"/>
      <c r="O216" s="363"/>
      <c r="P216" s="363"/>
      <c r="Q216" s="363"/>
      <c r="R216" s="363"/>
      <c r="S216" s="363"/>
      <c r="T216" s="363"/>
      <c r="U216" s="363"/>
      <c r="V216" s="363"/>
      <c r="W216" s="363"/>
      <c r="X216" s="363"/>
      <c r="Y216" s="363"/>
      <c r="Z216" s="363"/>
      <c r="AA216" s="363"/>
      <c r="AB216" s="363"/>
      <c r="AC216" s="363"/>
      <c r="AD216" s="25">
        <v>1000</v>
      </c>
      <c r="AE216" s="25" t="s">
        <v>712</v>
      </c>
      <c r="AF216" s="25" t="s">
        <v>712</v>
      </c>
    </row>
    <row r="217" spans="1:32" ht="21.5">
      <c r="A217" s="332">
        <v>28</v>
      </c>
      <c r="B217" s="344">
        <v>12788</v>
      </c>
      <c r="C217" s="344">
        <v>12788</v>
      </c>
      <c r="D217" s="344">
        <v>31276</v>
      </c>
      <c r="E217" s="344">
        <v>31276</v>
      </c>
      <c r="F217" s="343">
        <v>12788</v>
      </c>
      <c r="G217" s="343">
        <v>12788</v>
      </c>
      <c r="H217" s="353">
        <v>22032</v>
      </c>
      <c r="I217" s="353">
        <v>22032</v>
      </c>
      <c r="J217" s="344">
        <v>31276</v>
      </c>
      <c r="K217" s="344">
        <v>31276</v>
      </c>
      <c r="L217" s="343">
        <v>38595</v>
      </c>
      <c r="M217" s="343">
        <v>38595</v>
      </c>
      <c r="N217" s="363"/>
      <c r="O217" s="363"/>
      <c r="P217" s="363"/>
      <c r="Q217" s="363"/>
      <c r="R217" s="363"/>
      <c r="S217" s="363"/>
      <c r="T217" s="363"/>
      <c r="U217" s="363"/>
      <c r="V217" s="363"/>
      <c r="W217" s="363"/>
      <c r="X217" s="363"/>
      <c r="Y217" s="363"/>
      <c r="Z217" s="363"/>
      <c r="AA217" s="363"/>
      <c r="AB217" s="363"/>
      <c r="AC217" s="363"/>
      <c r="AD217" s="25">
        <v>1000</v>
      </c>
      <c r="AE217" s="25" t="s">
        <v>712</v>
      </c>
      <c r="AF217" s="25" t="s">
        <v>712</v>
      </c>
    </row>
    <row r="218" spans="1:32" ht="21.5">
      <c r="A218" s="332">
        <v>29</v>
      </c>
      <c r="B218" s="344">
        <v>12788</v>
      </c>
      <c r="C218" s="344">
        <v>12788</v>
      </c>
      <c r="D218" s="344">
        <v>31276</v>
      </c>
      <c r="E218" s="344">
        <v>31276</v>
      </c>
      <c r="F218" s="343">
        <v>12788</v>
      </c>
      <c r="G218" s="343">
        <v>12788</v>
      </c>
      <c r="H218" s="353">
        <v>22032</v>
      </c>
      <c r="I218" s="353">
        <v>22032</v>
      </c>
      <c r="J218" s="344">
        <v>31276</v>
      </c>
      <c r="K218" s="344">
        <v>31276</v>
      </c>
      <c r="L218" s="343">
        <v>38595</v>
      </c>
      <c r="M218" s="343">
        <v>38595</v>
      </c>
      <c r="N218" s="363"/>
      <c r="O218" s="363"/>
      <c r="P218" s="363"/>
      <c r="Q218" s="363"/>
      <c r="R218" s="363"/>
      <c r="S218" s="363"/>
      <c r="T218" s="363"/>
      <c r="U218" s="363"/>
      <c r="V218" s="363"/>
      <c r="W218" s="363"/>
      <c r="X218" s="363"/>
      <c r="Y218" s="363"/>
      <c r="Z218" s="363"/>
      <c r="AA218" s="363"/>
      <c r="AB218" s="363"/>
      <c r="AC218" s="363"/>
      <c r="AD218" s="25">
        <v>1000</v>
      </c>
      <c r="AE218" s="25" t="s">
        <v>712</v>
      </c>
      <c r="AF218" s="25" t="s">
        <v>712</v>
      </c>
    </row>
    <row r="219" spans="1:32" ht="21.5">
      <c r="A219" s="332">
        <v>30</v>
      </c>
      <c r="B219" s="344">
        <v>12788</v>
      </c>
      <c r="C219" s="344">
        <v>12788</v>
      </c>
      <c r="D219" s="344">
        <v>31276</v>
      </c>
      <c r="E219" s="344">
        <v>31276</v>
      </c>
      <c r="F219" s="343">
        <v>12788</v>
      </c>
      <c r="G219" s="343">
        <v>12788</v>
      </c>
      <c r="H219" s="353">
        <v>22032</v>
      </c>
      <c r="I219" s="353">
        <v>22032</v>
      </c>
      <c r="J219" s="344">
        <v>31276</v>
      </c>
      <c r="K219" s="344">
        <v>31276</v>
      </c>
      <c r="L219" s="343">
        <v>38595</v>
      </c>
      <c r="M219" s="343">
        <v>38595</v>
      </c>
      <c r="N219" s="363"/>
      <c r="O219" s="363"/>
      <c r="P219" s="363"/>
      <c r="Q219" s="363"/>
      <c r="R219" s="363"/>
      <c r="S219" s="363"/>
      <c r="T219" s="363"/>
      <c r="U219" s="363"/>
      <c r="V219" s="363"/>
      <c r="W219" s="363"/>
      <c r="X219" s="363"/>
      <c r="Y219" s="363"/>
      <c r="Z219" s="363"/>
      <c r="AA219" s="363"/>
      <c r="AB219" s="363"/>
      <c r="AC219" s="363"/>
      <c r="AD219" s="25">
        <v>1000</v>
      </c>
      <c r="AE219" s="25" t="s">
        <v>712</v>
      </c>
      <c r="AF219" s="25" t="s">
        <v>712</v>
      </c>
    </row>
    <row r="220" spans="1:32" ht="21.5">
      <c r="A220" s="332">
        <v>31</v>
      </c>
      <c r="B220" s="344">
        <v>12788</v>
      </c>
      <c r="C220" s="344">
        <v>12788</v>
      </c>
      <c r="D220" s="344">
        <v>31276</v>
      </c>
      <c r="E220" s="344">
        <v>31276</v>
      </c>
      <c r="F220" s="343">
        <v>12788</v>
      </c>
      <c r="G220" s="343">
        <v>12788</v>
      </c>
      <c r="H220" s="353">
        <v>22032</v>
      </c>
      <c r="I220" s="353">
        <v>22032</v>
      </c>
      <c r="J220" s="344">
        <v>31276</v>
      </c>
      <c r="K220" s="344">
        <v>31276</v>
      </c>
      <c r="L220" s="343">
        <v>38595</v>
      </c>
      <c r="M220" s="343">
        <v>38595</v>
      </c>
      <c r="N220" s="363"/>
      <c r="O220" s="363"/>
      <c r="P220" s="363"/>
      <c r="Q220" s="363"/>
      <c r="R220" s="363"/>
      <c r="S220" s="363"/>
      <c r="T220" s="363"/>
      <c r="U220" s="363"/>
      <c r="V220" s="363"/>
      <c r="W220" s="363"/>
      <c r="X220" s="363"/>
      <c r="Y220" s="363"/>
      <c r="Z220" s="363"/>
      <c r="AA220" s="363"/>
      <c r="AB220" s="363"/>
      <c r="AC220" s="363"/>
      <c r="AD220" s="25">
        <v>1000</v>
      </c>
      <c r="AE220" s="25" t="s">
        <v>712</v>
      </c>
      <c r="AF220" s="25" t="s">
        <v>712</v>
      </c>
    </row>
    <row r="221" spans="1:32" ht="21.5">
      <c r="A221" s="332">
        <v>32</v>
      </c>
      <c r="B221" s="344">
        <v>12788</v>
      </c>
      <c r="C221" s="344">
        <v>12788</v>
      </c>
      <c r="D221" s="344">
        <v>31276</v>
      </c>
      <c r="E221" s="344">
        <v>31276</v>
      </c>
      <c r="F221" s="343">
        <v>12788</v>
      </c>
      <c r="G221" s="343">
        <v>12788</v>
      </c>
      <c r="H221" s="353">
        <v>22032</v>
      </c>
      <c r="I221" s="353">
        <v>22032</v>
      </c>
      <c r="J221" s="344">
        <v>31276</v>
      </c>
      <c r="K221" s="344">
        <v>31276</v>
      </c>
      <c r="L221" s="343">
        <v>38595</v>
      </c>
      <c r="M221" s="343">
        <v>38595</v>
      </c>
      <c r="N221" s="363"/>
      <c r="O221" s="363"/>
      <c r="P221" s="363"/>
      <c r="Q221" s="363"/>
      <c r="R221" s="363"/>
      <c r="S221" s="363"/>
      <c r="T221" s="363"/>
      <c r="U221" s="363"/>
      <c r="V221" s="363"/>
      <c r="W221" s="363"/>
      <c r="X221" s="363"/>
      <c r="Y221" s="363"/>
      <c r="Z221" s="363"/>
      <c r="AA221" s="363"/>
      <c r="AB221" s="363"/>
      <c r="AC221" s="363"/>
      <c r="AD221" s="25">
        <v>1000</v>
      </c>
      <c r="AE221" s="25" t="s">
        <v>712</v>
      </c>
      <c r="AF221" s="25" t="s">
        <v>712</v>
      </c>
    </row>
    <row r="222" spans="1:32" ht="21.5">
      <c r="A222" s="332">
        <v>33</v>
      </c>
      <c r="B222" s="344">
        <v>12788</v>
      </c>
      <c r="C222" s="344">
        <v>12788</v>
      </c>
      <c r="D222" s="344">
        <v>31276</v>
      </c>
      <c r="E222" s="344">
        <v>31276</v>
      </c>
      <c r="F222" s="343">
        <v>12788</v>
      </c>
      <c r="G222" s="343">
        <v>12788</v>
      </c>
      <c r="H222" s="353">
        <v>22032</v>
      </c>
      <c r="I222" s="353">
        <v>22032</v>
      </c>
      <c r="J222" s="344">
        <v>31276</v>
      </c>
      <c r="K222" s="344">
        <v>31276</v>
      </c>
      <c r="L222" s="343">
        <v>38595</v>
      </c>
      <c r="M222" s="343">
        <v>38595</v>
      </c>
      <c r="N222" s="363"/>
      <c r="O222" s="363"/>
      <c r="P222" s="363"/>
      <c r="Q222" s="363"/>
      <c r="R222" s="363"/>
      <c r="S222" s="363"/>
      <c r="T222" s="363"/>
      <c r="U222" s="363"/>
      <c r="V222" s="363"/>
      <c r="W222" s="363"/>
      <c r="X222" s="363"/>
      <c r="Y222" s="363"/>
      <c r="Z222" s="363"/>
      <c r="AA222" s="363"/>
      <c r="AB222" s="363"/>
      <c r="AC222" s="363"/>
      <c r="AD222" s="25">
        <v>1000</v>
      </c>
      <c r="AE222" s="25" t="s">
        <v>712</v>
      </c>
      <c r="AF222" s="25" t="s">
        <v>712</v>
      </c>
    </row>
    <row r="223" spans="1:32" ht="21.5">
      <c r="A223" s="332">
        <v>34</v>
      </c>
      <c r="B223" s="344">
        <v>12788</v>
      </c>
      <c r="C223" s="344">
        <v>12788</v>
      </c>
      <c r="D223" s="344">
        <v>31276</v>
      </c>
      <c r="E223" s="344">
        <v>31276</v>
      </c>
      <c r="F223" s="343">
        <v>12788</v>
      </c>
      <c r="G223" s="343">
        <v>12788</v>
      </c>
      <c r="H223" s="353">
        <v>22032</v>
      </c>
      <c r="I223" s="353">
        <v>22032</v>
      </c>
      <c r="J223" s="344">
        <v>31276</v>
      </c>
      <c r="K223" s="344">
        <v>31276</v>
      </c>
      <c r="L223" s="343">
        <v>38595</v>
      </c>
      <c r="M223" s="343">
        <v>38595</v>
      </c>
      <c r="N223" s="363"/>
      <c r="O223" s="363"/>
      <c r="P223" s="363"/>
      <c r="Q223" s="363"/>
      <c r="R223" s="363"/>
      <c r="S223" s="363"/>
      <c r="T223" s="363"/>
      <c r="U223" s="363"/>
      <c r="V223" s="363"/>
      <c r="W223" s="363"/>
      <c r="X223" s="363"/>
      <c r="Y223" s="363"/>
      <c r="Z223" s="363"/>
      <c r="AA223" s="363"/>
      <c r="AB223" s="363"/>
      <c r="AC223" s="363"/>
      <c r="AD223" s="25">
        <v>1000</v>
      </c>
      <c r="AE223" s="25" t="s">
        <v>712</v>
      </c>
      <c r="AF223" s="25" t="s">
        <v>712</v>
      </c>
    </row>
    <row r="224" spans="1:32" ht="21.5">
      <c r="A224" s="332">
        <v>35</v>
      </c>
      <c r="B224" s="344">
        <v>12788</v>
      </c>
      <c r="C224" s="344">
        <v>12788</v>
      </c>
      <c r="D224" s="344">
        <v>31276</v>
      </c>
      <c r="E224" s="344">
        <v>31276</v>
      </c>
      <c r="F224" s="343">
        <v>12788</v>
      </c>
      <c r="G224" s="343">
        <v>12788</v>
      </c>
      <c r="H224" s="353">
        <v>22032</v>
      </c>
      <c r="I224" s="353">
        <v>22032</v>
      </c>
      <c r="J224" s="344">
        <v>31276</v>
      </c>
      <c r="K224" s="344">
        <v>31276</v>
      </c>
      <c r="L224" s="343">
        <v>38595</v>
      </c>
      <c r="M224" s="343">
        <v>38595</v>
      </c>
      <c r="N224" s="363"/>
      <c r="O224" s="363"/>
      <c r="P224" s="363"/>
      <c r="Q224" s="363"/>
      <c r="R224" s="363"/>
      <c r="S224" s="363"/>
      <c r="T224" s="363"/>
      <c r="U224" s="363"/>
      <c r="V224" s="363"/>
      <c r="W224" s="363"/>
      <c r="X224" s="363"/>
      <c r="Y224" s="363"/>
      <c r="Z224" s="363"/>
      <c r="AA224" s="363"/>
      <c r="AB224" s="363"/>
      <c r="AC224" s="363"/>
      <c r="AD224" s="25">
        <v>1000</v>
      </c>
      <c r="AE224" s="25" t="s">
        <v>712</v>
      </c>
      <c r="AF224" s="25" t="s">
        <v>712</v>
      </c>
    </row>
    <row r="225" spans="1:32" ht="21.5">
      <c r="A225" s="332">
        <v>36</v>
      </c>
      <c r="B225" s="344">
        <v>12788</v>
      </c>
      <c r="C225" s="344">
        <v>12788</v>
      </c>
      <c r="D225" s="344">
        <v>31276</v>
      </c>
      <c r="E225" s="344">
        <v>31276</v>
      </c>
      <c r="F225" s="343">
        <v>12788</v>
      </c>
      <c r="G225" s="343">
        <v>12788</v>
      </c>
      <c r="H225" s="353">
        <v>22032</v>
      </c>
      <c r="I225" s="353">
        <v>22032</v>
      </c>
      <c r="J225" s="344">
        <v>31276</v>
      </c>
      <c r="K225" s="344">
        <v>31276</v>
      </c>
      <c r="L225" s="343">
        <v>38595</v>
      </c>
      <c r="M225" s="343">
        <v>38595</v>
      </c>
      <c r="N225" s="363"/>
      <c r="O225" s="363"/>
      <c r="P225" s="363"/>
      <c r="Q225" s="363"/>
      <c r="R225" s="363"/>
      <c r="S225" s="363"/>
      <c r="T225" s="363"/>
      <c r="U225" s="363"/>
      <c r="V225" s="363"/>
      <c r="W225" s="363"/>
      <c r="X225" s="363"/>
      <c r="Y225" s="363"/>
      <c r="Z225" s="363"/>
      <c r="AA225" s="363"/>
      <c r="AB225" s="363"/>
      <c r="AC225" s="363"/>
      <c r="AD225" s="25">
        <v>1000</v>
      </c>
      <c r="AE225" s="25" t="s">
        <v>712</v>
      </c>
      <c r="AF225" s="25" t="s">
        <v>712</v>
      </c>
    </row>
    <row r="226" spans="1:32" ht="21.5">
      <c r="A226" s="332">
        <v>37</v>
      </c>
      <c r="B226" s="344">
        <v>12788</v>
      </c>
      <c r="C226" s="344">
        <v>12788</v>
      </c>
      <c r="D226" s="344">
        <v>31276</v>
      </c>
      <c r="E226" s="344">
        <v>31276</v>
      </c>
      <c r="F226" s="343">
        <v>12788</v>
      </c>
      <c r="G226" s="343">
        <v>12788</v>
      </c>
      <c r="H226" s="353">
        <v>22032</v>
      </c>
      <c r="I226" s="353">
        <v>22032</v>
      </c>
      <c r="J226" s="344">
        <v>31276</v>
      </c>
      <c r="K226" s="344">
        <v>31276</v>
      </c>
      <c r="L226" s="343">
        <v>38595</v>
      </c>
      <c r="M226" s="343">
        <v>38595</v>
      </c>
      <c r="N226" s="363"/>
      <c r="O226" s="363"/>
      <c r="P226" s="363"/>
      <c r="Q226" s="363"/>
      <c r="R226" s="363"/>
      <c r="S226" s="363"/>
      <c r="T226" s="363"/>
      <c r="U226" s="363"/>
      <c r="V226" s="363"/>
      <c r="W226" s="363"/>
      <c r="X226" s="363"/>
      <c r="Y226" s="363"/>
      <c r="Z226" s="363"/>
      <c r="AA226" s="363"/>
      <c r="AB226" s="363"/>
      <c r="AC226" s="363"/>
      <c r="AD226" s="25">
        <v>1000</v>
      </c>
      <c r="AE226" s="25" t="s">
        <v>712</v>
      </c>
      <c r="AF226" s="25" t="s">
        <v>712</v>
      </c>
    </row>
    <row r="227" spans="1:32" ht="21.5">
      <c r="A227" s="332">
        <v>38</v>
      </c>
      <c r="B227" s="344">
        <v>12788</v>
      </c>
      <c r="C227" s="344">
        <v>12788</v>
      </c>
      <c r="D227" s="344">
        <v>31276</v>
      </c>
      <c r="E227" s="344">
        <v>31276</v>
      </c>
      <c r="F227" s="343">
        <v>12788</v>
      </c>
      <c r="G227" s="343">
        <v>12788</v>
      </c>
      <c r="H227" s="353">
        <v>22032</v>
      </c>
      <c r="I227" s="353">
        <v>22032</v>
      </c>
      <c r="J227" s="344">
        <v>31276</v>
      </c>
      <c r="K227" s="344">
        <v>31276</v>
      </c>
      <c r="L227" s="343">
        <v>38595</v>
      </c>
      <c r="M227" s="343">
        <v>38595</v>
      </c>
      <c r="N227" s="363"/>
      <c r="O227" s="363"/>
      <c r="P227" s="363"/>
      <c r="Q227" s="363"/>
      <c r="R227" s="363"/>
      <c r="S227" s="363"/>
      <c r="T227" s="363"/>
      <c r="U227" s="363"/>
      <c r="V227" s="363"/>
      <c r="W227" s="363"/>
      <c r="X227" s="363"/>
      <c r="Y227" s="363"/>
      <c r="Z227" s="363"/>
      <c r="AA227" s="363"/>
      <c r="AB227" s="363"/>
      <c r="AC227" s="363"/>
      <c r="AD227" s="25">
        <v>1000</v>
      </c>
      <c r="AE227" s="25" t="s">
        <v>712</v>
      </c>
      <c r="AF227" s="25" t="s">
        <v>712</v>
      </c>
    </row>
    <row r="228" spans="1:32" ht="21.5">
      <c r="A228" s="332">
        <v>39</v>
      </c>
      <c r="B228" s="344">
        <v>12788</v>
      </c>
      <c r="C228" s="344">
        <v>12788</v>
      </c>
      <c r="D228" s="344">
        <v>31276</v>
      </c>
      <c r="E228" s="344">
        <v>31276</v>
      </c>
      <c r="F228" s="343">
        <v>12788</v>
      </c>
      <c r="G228" s="343">
        <v>12788</v>
      </c>
      <c r="H228" s="353">
        <v>22032</v>
      </c>
      <c r="I228" s="353">
        <v>22032</v>
      </c>
      <c r="J228" s="344">
        <v>31276</v>
      </c>
      <c r="K228" s="344">
        <v>31276</v>
      </c>
      <c r="L228" s="343">
        <v>38595</v>
      </c>
      <c r="M228" s="343">
        <v>38595</v>
      </c>
      <c r="N228" s="363"/>
      <c r="O228" s="363"/>
      <c r="P228" s="363"/>
      <c r="Q228" s="363"/>
      <c r="R228" s="363"/>
      <c r="S228" s="363"/>
      <c r="T228" s="363"/>
      <c r="U228" s="363"/>
      <c r="V228" s="363"/>
      <c r="W228" s="363"/>
      <c r="X228" s="363"/>
      <c r="Y228" s="363"/>
      <c r="Z228" s="363"/>
      <c r="AA228" s="363"/>
      <c r="AB228" s="363"/>
      <c r="AC228" s="363"/>
      <c r="AD228" s="25">
        <v>1000</v>
      </c>
      <c r="AE228" s="25" t="s">
        <v>712</v>
      </c>
      <c r="AF228" s="25" t="s">
        <v>712</v>
      </c>
    </row>
    <row r="229" spans="1:32" ht="21.5">
      <c r="A229" s="332">
        <v>40</v>
      </c>
      <c r="B229" s="344">
        <v>12788</v>
      </c>
      <c r="C229" s="344">
        <v>12788</v>
      </c>
      <c r="D229" s="344">
        <v>31276</v>
      </c>
      <c r="E229" s="344">
        <v>31276</v>
      </c>
      <c r="F229" s="343">
        <v>12788</v>
      </c>
      <c r="G229" s="343">
        <v>12788</v>
      </c>
      <c r="H229" s="353">
        <v>22032</v>
      </c>
      <c r="I229" s="353">
        <v>22032</v>
      </c>
      <c r="J229" s="344">
        <v>31276</v>
      </c>
      <c r="K229" s="344">
        <v>31276</v>
      </c>
      <c r="L229" s="343">
        <v>38595</v>
      </c>
      <c r="M229" s="343">
        <v>38595</v>
      </c>
      <c r="N229" s="363"/>
      <c r="O229" s="363"/>
      <c r="P229" s="363"/>
      <c r="Q229" s="363"/>
      <c r="R229" s="363"/>
      <c r="S229" s="363"/>
      <c r="T229" s="363"/>
      <c r="U229" s="363"/>
      <c r="V229" s="363"/>
      <c r="W229" s="363"/>
      <c r="X229" s="363"/>
      <c r="Y229" s="363"/>
      <c r="Z229" s="363"/>
      <c r="AA229" s="363"/>
      <c r="AB229" s="363"/>
      <c r="AC229" s="363"/>
      <c r="AD229" s="25">
        <v>1000</v>
      </c>
      <c r="AE229" s="25" t="s">
        <v>712</v>
      </c>
      <c r="AF229" s="25" t="s">
        <v>712</v>
      </c>
    </row>
    <row r="230" spans="1:32" ht="21.5">
      <c r="A230" s="332">
        <v>41</v>
      </c>
      <c r="B230" s="344">
        <v>12788</v>
      </c>
      <c r="C230" s="344">
        <v>12788</v>
      </c>
      <c r="D230" s="344">
        <v>31276</v>
      </c>
      <c r="E230" s="344">
        <v>31276</v>
      </c>
      <c r="F230" s="343">
        <v>12788</v>
      </c>
      <c r="G230" s="343">
        <v>12788</v>
      </c>
      <c r="H230" s="353">
        <v>22032</v>
      </c>
      <c r="I230" s="353">
        <v>22032</v>
      </c>
      <c r="J230" s="344">
        <v>31276</v>
      </c>
      <c r="K230" s="344">
        <v>31276</v>
      </c>
      <c r="L230" s="343">
        <v>38595</v>
      </c>
      <c r="M230" s="343">
        <v>38595</v>
      </c>
      <c r="N230" s="363"/>
      <c r="O230" s="363"/>
      <c r="P230" s="363"/>
      <c r="Q230" s="363"/>
      <c r="R230" s="363"/>
      <c r="S230" s="363"/>
      <c r="T230" s="363"/>
      <c r="U230" s="363"/>
      <c r="V230" s="363"/>
      <c r="W230" s="363"/>
      <c r="X230" s="363"/>
      <c r="Y230" s="363"/>
      <c r="Z230" s="363"/>
      <c r="AA230" s="363"/>
      <c r="AB230" s="363"/>
      <c r="AC230" s="363"/>
      <c r="AD230" s="25">
        <v>1000</v>
      </c>
      <c r="AE230" s="25" t="s">
        <v>712</v>
      </c>
      <c r="AF230" s="25" t="s">
        <v>712</v>
      </c>
    </row>
    <row r="231" spans="1:32" ht="21.5">
      <c r="A231" s="332">
        <v>42</v>
      </c>
      <c r="B231" s="344">
        <v>12788</v>
      </c>
      <c r="C231" s="344">
        <v>12788</v>
      </c>
      <c r="D231" s="344">
        <v>31276</v>
      </c>
      <c r="E231" s="344">
        <v>31276</v>
      </c>
      <c r="F231" s="343">
        <v>12788</v>
      </c>
      <c r="G231" s="343">
        <v>12788</v>
      </c>
      <c r="H231" s="353">
        <v>22032</v>
      </c>
      <c r="I231" s="353">
        <v>22032</v>
      </c>
      <c r="J231" s="344">
        <v>31276</v>
      </c>
      <c r="K231" s="344">
        <v>31276</v>
      </c>
      <c r="L231" s="343">
        <v>38595</v>
      </c>
      <c r="M231" s="343">
        <v>38595</v>
      </c>
      <c r="N231" s="363"/>
      <c r="O231" s="363"/>
      <c r="P231" s="363"/>
      <c r="Q231" s="363"/>
      <c r="R231" s="363"/>
      <c r="S231" s="363"/>
      <c r="T231" s="363"/>
      <c r="U231" s="363"/>
      <c r="V231" s="363"/>
      <c r="W231" s="363"/>
      <c r="X231" s="363"/>
      <c r="Y231" s="363"/>
      <c r="Z231" s="363"/>
      <c r="AA231" s="363"/>
      <c r="AB231" s="363"/>
      <c r="AC231" s="363"/>
      <c r="AD231" s="25">
        <v>1000</v>
      </c>
      <c r="AE231" s="25" t="s">
        <v>712</v>
      </c>
      <c r="AF231" s="25" t="s">
        <v>712</v>
      </c>
    </row>
    <row r="232" spans="1:32" ht="21.5">
      <c r="A232" s="332">
        <v>43</v>
      </c>
      <c r="B232" s="344">
        <v>12788</v>
      </c>
      <c r="C232" s="344">
        <v>12788</v>
      </c>
      <c r="D232" s="344">
        <v>31276</v>
      </c>
      <c r="E232" s="344">
        <v>31276</v>
      </c>
      <c r="F232" s="343">
        <v>12788</v>
      </c>
      <c r="G232" s="343">
        <v>12788</v>
      </c>
      <c r="H232" s="353">
        <v>22032</v>
      </c>
      <c r="I232" s="353">
        <v>22032</v>
      </c>
      <c r="J232" s="344">
        <v>31276</v>
      </c>
      <c r="K232" s="344">
        <v>31276</v>
      </c>
      <c r="L232" s="343">
        <v>38595</v>
      </c>
      <c r="M232" s="343">
        <v>38595</v>
      </c>
      <c r="N232" s="363"/>
      <c r="O232" s="363"/>
      <c r="P232" s="363"/>
      <c r="Q232" s="363"/>
      <c r="R232" s="363"/>
      <c r="S232" s="363"/>
      <c r="T232" s="363"/>
      <c r="U232" s="363"/>
      <c r="V232" s="363"/>
      <c r="W232" s="363"/>
      <c r="X232" s="363"/>
      <c r="Y232" s="363"/>
      <c r="Z232" s="363"/>
      <c r="AA232" s="363"/>
      <c r="AB232" s="363"/>
      <c r="AC232" s="363"/>
      <c r="AD232" s="25">
        <v>1000</v>
      </c>
      <c r="AE232" s="25" t="s">
        <v>712</v>
      </c>
      <c r="AF232" s="25" t="s">
        <v>712</v>
      </c>
    </row>
    <row r="233" spans="1:32" ht="21.5">
      <c r="A233" s="332">
        <v>44</v>
      </c>
      <c r="B233" s="344">
        <v>12788</v>
      </c>
      <c r="C233" s="344">
        <v>12788</v>
      </c>
      <c r="D233" s="344">
        <v>31276</v>
      </c>
      <c r="E233" s="344">
        <v>31276</v>
      </c>
      <c r="F233" s="343">
        <v>12788</v>
      </c>
      <c r="G233" s="343">
        <v>12788</v>
      </c>
      <c r="H233" s="353">
        <v>22032</v>
      </c>
      <c r="I233" s="353">
        <v>22032</v>
      </c>
      <c r="J233" s="344">
        <v>31276</v>
      </c>
      <c r="K233" s="344">
        <v>31276</v>
      </c>
      <c r="L233" s="343">
        <v>38595</v>
      </c>
      <c r="M233" s="343">
        <v>38595</v>
      </c>
      <c r="N233" s="363"/>
      <c r="O233" s="363"/>
      <c r="P233" s="363"/>
      <c r="Q233" s="363"/>
      <c r="R233" s="363"/>
      <c r="S233" s="363"/>
      <c r="T233" s="363"/>
      <c r="U233" s="363"/>
      <c r="V233" s="363"/>
      <c r="W233" s="363"/>
      <c r="X233" s="363"/>
      <c r="Y233" s="363"/>
      <c r="Z233" s="363"/>
      <c r="AA233" s="363"/>
      <c r="AB233" s="363"/>
      <c r="AC233" s="363"/>
      <c r="AD233" s="25">
        <v>1000</v>
      </c>
      <c r="AE233" s="25" t="s">
        <v>712</v>
      </c>
      <c r="AF233" s="25" t="s">
        <v>712</v>
      </c>
    </row>
    <row r="234" spans="1:32" ht="21.5">
      <c r="A234" s="332">
        <v>45</v>
      </c>
      <c r="B234" s="344">
        <v>12788</v>
      </c>
      <c r="C234" s="344">
        <v>12788</v>
      </c>
      <c r="D234" s="344">
        <v>31276</v>
      </c>
      <c r="E234" s="344">
        <v>31276</v>
      </c>
      <c r="F234" s="343">
        <v>12788</v>
      </c>
      <c r="G234" s="343">
        <v>12788</v>
      </c>
      <c r="H234" s="353">
        <v>22032</v>
      </c>
      <c r="I234" s="353">
        <v>22032</v>
      </c>
      <c r="J234" s="344">
        <v>31276</v>
      </c>
      <c r="K234" s="344">
        <v>31276</v>
      </c>
      <c r="L234" s="343">
        <v>38595</v>
      </c>
      <c r="M234" s="343">
        <v>38595</v>
      </c>
      <c r="N234" s="363"/>
      <c r="O234" s="363"/>
      <c r="P234" s="363"/>
      <c r="Q234" s="363"/>
      <c r="R234" s="363"/>
      <c r="S234" s="363"/>
      <c r="T234" s="363"/>
      <c r="U234" s="363"/>
      <c r="V234" s="363"/>
      <c r="W234" s="363"/>
      <c r="X234" s="363"/>
      <c r="Y234" s="363"/>
      <c r="Z234" s="363"/>
      <c r="AA234" s="363"/>
      <c r="AB234" s="363"/>
      <c r="AC234" s="363"/>
      <c r="AD234" s="25">
        <v>1000</v>
      </c>
      <c r="AE234" s="25" t="s">
        <v>712</v>
      </c>
      <c r="AF234" s="25" t="s">
        <v>712</v>
      </c>
    </row>
    <row r="235" spans="1:32" ht="21.5">
      <c r="A235" s="332">
        <v>46</v>
      </c>
      <c r="B235" s="344">
        <v>12788</v>
      </c>
      <c r="C235" s="344">
        <v>12788</v>
      </c>
      <c r="D235" s="344">
        <v>31276</v>
      </c>
      <c r="E235" s="344">
        <v>31276</v>
      </c>
      <c r="F235" s="343">
        <v>12788</v>
      </c>
      <c r="G235" s="343">
        <v>12788</v>
      </c>
      <c r="H235" s="353">
        <v>22032</v>
      </c>
      <c r="I235" s="353">
        <v>22032</v>
      </c>
      <c r="J235" s="344">
        <v>31276</v>
      </c>
      <c r="K235" s="344">
        <v>31276</v>
      </c>
      <c r="L235" s="343">
        <v>38595</v>
      </c>
      <c r="M235" s="343">
        <v>38595</v>
      </c>
      <c r="N235" s="363"/>
      <c r="O235" s="363"/>
      <c r="P235" s="363"/>
      <c r="Q235" s="363"/>
      <c r="R235" s="363"/>
      <c r="S235" s="363"/>
      <c r="T235" s="363"/>
      <c r="U235" s="363"/>
      <c r="V235" s="363"/>
      <c r="W235" s="363"/>
      <c r="X235" s="363"/>
      <c r="Y235" s="363"/>
      <c r="Z235" s="363"/>
      <c r="AA235" s="363"/>
      <c r="AB235" s="363"/>
      <c r="AC235" s="363"/>
      <c r="AD235" s="25">
        <v>1000</v>
      </c>
      <c r="AE235" s="25" t="s">
        <v>712</v>
      </c>
      <c r="AF235" s="25" t="s">
        <v>712</v>
      </c>
    </row>
    <row r="236" spans="1:32" ht="21.5">
      <c r="A236" s="332">
        <v>47</v>
      </c>
      <c r="B236" s="344">
        <v>12788</v>
      </c>
      <c r="C236" s="344">
        <v>12788</v>
      </c>
      <c r="D236" s="344">
        <v>31276</v>
      </c>
      <c r="E236" s="344">
        <v>31276</v>
      </c>
      <c r="F236" s="343">
        <v>12788</v>
      </c>
      <c r="G236" s="343">
        <v>12788</v>
      </c>
      <c r="H236" s="353">
        <v>22032</v>
      </c>
      <c r="I236" s="353">
        <v>22032</v>
      </c>
      <c r="J236" s="344">
        <v>31276</v>
      </c>
      <c r="K236" s="344">
        <v>31276</v>
      </c>
      <c r="L236" s="343">
        <v>38595</v>
      </c>
      <c r="M236" s="343">
        <v>38595</v>
      </c>
      <c r="N236" s="363"/>
      <c r="O236" s="363"/>
      <c r="P236" s="363"/>
      <c r="Q236" s="363"/>
      <c r="R236" s="363"/>
      <c r="S236" s="363"/>
      <c r="T236" s="363"/>
      <c r="U236" s="363"/>
      <c r="V236" s="363"/>
      <c r="W236" s="363"/>
      <c r="X236" s="363"/>
      <c r="Y236" s="363"/>
      <c r="Z236" s="363"/>
      <c r="AA236" s="363"/>
      <c r="AB236" s="363"/>
      <c r="AC236" s="363"/>
      <c r="AD236" s="25">
        <v>1000</v>
      </c>
      <c r="AE236" s="25" t="s">
        <v>712</v>
      </c>
      <c r="AF236" s="25" t="s">
        <v>712</v>
      </c>
    </row>
    <row r="237" spans="1:32" ht="21.5">
      <c r="A237" s="332">
        <v>48</v>
      </c>
      <c r="B237" s="344">
        <v>12788</v>
      </c>
      <c r="C237" s="344">
        <v>12788</v>
      </c>
      <c r="D237" s="344">
        <v>31276</v>
      </c>
      <c r="E237" s="344">
        <v>31276</v>
      </c>
      <c r="F237" s="343">
        <v>12788</v>
      </c>
      <c r="G237" s="343">
        <v>12788</v>
      </c>
      <c r="H237" s="353">
        <v>22032</v>
      </c>
      <c r="I237" s="353">
        <v>22032</v>
      </c>
      <c r="J237" s="344">
        <v>31276</v>
      </c>
      <c r="K237" s="344">
        <v>31276</v>
      </c>
      <c r="L237" s="343">
        <v>38595</v>
      </c>
      <c r="M237" s="343">
        <v>38595</v>
      </c>
      <c r="N237" s="363"/>
      <c r="O237" s="363"/>
      <c r="P237" s="363"/>
      <c r="Q237" s="363"/>
      <c r="R237" s="363"/>
      <c r="S237" s="363"/>
      <c r="T237" s="363"/>
      <c r="U237" s="363"/>
      <c r="V237" s="363"/>
      <c r="W237" s="363"/>
      <c r="X237" s="363"/>
      <c r="Y237" s="363"/>
      <c r="Z237" s="363"/>
      <c r="AA237" s="363"/>
      <c r="AB237" s="363"/>
      <c r="AC237" s="363"/>
      <c r="AD237" s="25">
        <v>1000</v>
      </c>
      <c r="AE237" s="25" t="s">
        <v>712</v>
      </c>
      <c r="AF237" s="25" t="s">
        <v>712</v>
      </c>
    </row>
    <row r="238" spans="1:32" ht="21.5">
      <c r="A238" s="332">
        <v>49</v>
      </c>
      <c r="B238" s="344">
        <v>12788</v>
      </c>
      <c r="C238" s="344">
        <v>12788</v>
      </c>
      <c r="D238" s="344">
        <v>31276</v>
      </c>
      <c r="E238" s="344">
        <v>31276</v>
      </c>
      <c r="F238" s="343">
        <v>12788</v>
      </c>
      <c r="G238" s="343">
        <v>12788</v>
      </c>
      <c r="H238" s="353">
        <v>22032</v>
      </c>
      <c r="I238" s="353">
        <v>22032</v>
      </c>
      <c r="J238" s="344">
        <v>31276</v>
      </c>
      <c r="K238" s="344">
        <v>31276</v>
      </c>
      <c r="L238" s="343">
        <v>38595</v>
      </c>
      <c r="M238" s="343">
        <v>38595</v>
      </c>
      <c r="N238" s="363"/>
      <c r="O238" s="363"/>
      <c r="P238" s="363"/>
      <c r="Q238" s="363"/>
      <c r="R238" s="363"/>
      <c r="S238" s="363"/>
      <c r="T238" s="363"/>
      <c r="U238" s="363"/>
      <c r="V238" s="363"/>
      <c r="W238" s="363"/>
      <c r="X238" s="363"/>
      <c r="Y238" s="363"/>
      <c r="Z238" s="363"/>
      <c r="AA238" s="363"/>
      <c r="AB238" s="363"/>
      <c r="AC238" s="363"/>
      <c r="AD238" s="25">
        <v>1000</v>
      </c>
      <c r="AE238" s="25" t="s">
        <v>712</v>
      </c>
      <c r="AF238" s="25" t="s">
        <v>712</v>
      </c>
    </row>
    <row r="239" spans="1:32" ht="21.5">
      <c r="A239" s="332">
        <v>50</v>
      </c>
      <c r="B239" s="344">
        <v>12788</v>
      </c>
      <c r="C239" s="344">
        <v>12788</v>
      </c>
      <c r="D239" s="344">
        <v>31276</v>
      </c>
      <c r="E239" s="344">
        <v>31276</v>
      </c>
      <c r="F239" s="343">
        <v>12788</v>
      </c>
      <c r="G239" s="343">
        <v>12788</v>
      </c>
      <c r="H239" s="353">
        <v>22032</v>
      </c>
      <c r="I239" s="353">
        <v>22032</v>
      </c>
      <c r="J239" s="344">
        <v>31276</v>
      </c>
      <c r="K239" s="344">
        <v>31276</v>
      </c>
      <c r="L239" s="343">
        <v>38595</v>
      </c>
      <c r="M239" s="343">
        <v>38595</v>
      </c>
      <c r="N239" s="363"/>
      <c r="O239" s="363"/>
      <c r="P239" s="363"/>
      <c r="Q239" s="363"/>
      <c r="R239" s="363"/>
      <c r="S239" s="363"/>
      <c r="T239" s="363"/>
      <c r="U239" s="363"/>
      <c r="V239" s="363"/>
      <c r="W239" s="363"/>
      <c r="X239" s="363"/>
      <c r="Y239" s="363"/>
      <c r="Z239" s="363"/>
      <c r="AA239" s="363"/>
      <c r="AB239" s="363"/>
      <c r="AC239" s="363"/>
      <c r="AD239" s="25">
        <v>1000</v>
      </c>
      <c r="AE239" s="25" t="s">
        <v>712</v>
      </c>
      <c r="AF239" s="25" t="s">
        <v>712</v>
      </c>
    </row>
    <row r="240" spans="1:32" ht="21.5">
      <c r="A240" s="332">
        <v>51</v>
      </c>
      <c r="B240" s="344">
        <v>12788</v>
      </c>
      <c r="C240" s="344">
        <v>12788</v>
      </c>
      <c r="D240" s="344">
        <v>31276</v>
      </c>
      <c r="E240" s="344">
        <v>31276</v>
      </c>
      <c r="F240" s="343">
        <v>12788</v>
      </c>
      <c r="G240" s="343">
        <v>12788</v>
      </c>
      <c r="H240" s="353">
        <v>22032</v>
      </c>
      <c r="I240" s="353">
        <v>22032</v>
      </c>
      <c r="J240" s="344">
        <v>31276</v>
      </c>
      <c r="K240" s="344">
        <v>31276</v>
      </c>
      <c r="L240" s="343">
        <v>38595</v>
      </c>
      <c r="M240" s="343">
        <v>38595</v>
      </c>
      <c r="N240" s="363"/>
      <c r="O240" s="363"/>
      <c r="P240" s="363"/>
      <c r="Q240" s="363"/>
      <c r="R240" s="363"/>
      <c r="S240" s="363"/>
      <c r="T240" s="363"/>
      <c r="U240" s="363"/>
      <c r="V240" s="363"/>
      <c r="W240" s="363"/>
      <c r="X240" s="363"/>
      <c r="Y240" s="363"/>
      <c r="Z240" s="363"/>
      <c r="AA240" s="363"/>
      <c r="AB240" s="363"/>
      <c r="AC240" s="363"/>
      <c r="AD240" s="25">
        <v>1000</v>
      </c>
      <c r="AE240" s="25" t="s">
        <v>712</v>
      </c>
      <c r="AF240" s="25" t="s">
        <v>712</v>
      </c>
    </row>
    <row r="241" spans="1:32" ht="21.5">
      <c r="A241" s="332">
        <v>52</v>
      </c>
      <c r="B241" s="344">
        <v>12788</v>
      </c>
      <c r="C241" s="344">
        <v>12788</v>
      </c>
      <c r="D241" s="344">
        <v>31276</v>
      </c>
      <c r="E241" s="344">
        <v>31276</v>
      </c>
      <c r="F241" s="343">
        <v>12788</v>
      </c>
      <c r="G241" s="343">
        <v>12788</v>
      </c>
      <c r="H241" s="353">
        <v>22032</v>
      </c>
      <c r="I241" s="353">
        <v>22032</v>
      </c>
      <c r="J241" s="344">
        <v>31276</v>
      </c>
      <c r="K241" s="344">
        <v>31276</v>
      </c>
      <c r="L241" s="343">
        <v>38595</v>
      </c>
      <c r="M241" s="343">
        <v>38595</v>
      </c>
      <c r="N241" s="363"/>
      <c r="O241" s="363"/>
      <c r="P241" s="363"/>
      <c r="Q241" s="363"/>
      <c r="R241" s="363"/>
      <c r="S241" s="363"/>
      <c r="T241" s="363"/>
      <c r="U241" s="363"/>
      <c r="V241" s="363"/>
      <c r="W241" s="363"/>
      <c r="X241" s="363"/>
      <c r="Y241" s="363"/>
      <c r="Z241" s="363"/>
      <c r="AA241" s="363"/>
      <c r="AB241" s="363"/>
      <c r="AC241" s="363"/>
      <c r="AD241" s="25">
        <v>1000</v>
      </c>
      <c r="AE241" s="25" t="s">
        <v>712</v>
      </c>
      <c r="AF241" s="25" t="s">
        <v>712</v>
      </c>
    </row>
    <row r="242" spans="1:32" ht="21.5">
      <c r="A242" s="332">
        <v>53</v>
      </c>
      <c r="B242" s="344">
        <v>12788</v>
      </c>
      <c r="C242" s="344">
        <v>12788</v>
      </c>
      <c r="D242" s="344">
        <v>31276</v>
      </c>
      <c r="E242" s="344">
        <v>31276</v>
      </c>
      <c r="F242" s="343">
        <v>12788</v>
      </c>
      <c r="G242" s="343">
        <v>12788</v>
      </c>
      <c r="H242" s="353">
        <v>22032</v>
      </c>
      <c r="I242" s="353">
        <v>22032</v>
      </c>
      <c r="J242" s="344">
        <v>31276</v>
      </c>
      <c r="K242" s="344">
        <v>31276</v>
      </c>
      <c r="L242" s="343">
        <v>38595</v>
      </c>
      <c r="M242" s="343">
        <v>38595</v>
      </c>
      <c r="N242" s="363"/>
      <c r="O242" s="363"/>
      <c r="P242" s="363"/>
      <c r="Q242" s="363"/>
      <c r="R242" s="363"/>
      <c r="S242" s="363"/>
      <c r="T242" s="363"/>
      <c r="U242" s="363"/>
      <c r="V242" s="363"/>
      <c r="W242" s="363"/>
      <c r="X242" s="363"/>
      <c r="Y242" s="363"/>
      <c r="Z242" s="363"/>
      <c r="AA242" s="363"/>
      <c r="AB242" s="363"/>
      <c r="AC242" s="363"/>
      <c r="AD242" s="25">
        <v>1000</v>
      </c>
      <c r="AE242" s="25" t="s">
        <v>712</v>
      </c>
      <c r="AF242" s="25" t="s">
        <v>712</v>
      </c>
    </row>
    <row r="243" spans="1:32" ht="21.5">
      <c r="A243" s="332">
        <v>54</v>
      </c>
      <c r="B243" s="344">
        <v>12788</v>
      </c>
      <c r="C243" s="344">
        <v>12788</v>
      </c>
      <c r="D243" s="344">
        <v>31276</v>
      </c>
      <c r="E243" s="344">
        <v>31276</v>
      </c>
      <c r="F243" s="343">
        <v>12788</v>
      </c>
      <c r="G243" s="343">
        <v>12788</v>
      </c>
      <c r="H243" s="353">
        <v>22032</v>
      </c>
      <c r="I243" s="353">
        <v>22032</v>
      </c>
      <c r="J243" s="344">
        <v>31276</v>
      </c>
      <c r="K243" s="344">
        <v>31276</v>
      </c>
      <c r="L243" s="343">
        <v>38595</v>
      </c>
      <c r="M243" s="343">
        <v>38595</v>
      </c>
      <c r="N243" s="363"/>
      <c r="O243" s="363"/>
      <c r="P243" s="363"/>
      <c r="Q243" s="363"/>
      <c r="R243" s="363"/>
      <c r="S243" s="363"/>
      <c r="T243" s="363"/>
      <c r="U243" s="363"/>
      <c r="V243" s="363"/>
      <c r="W243" s="363"/>
      <c r="X243" s="363"/>
      <c r="Y243" s="363"/>
      <c r="Z243" s="363"/>
      <c r="AA243" s="363"/>
      <c r="AB243" s="363"/>
      <c r="AC243" s="363"/>
      <c r="AD243" s="25">
        <v>1000</v>
      </c>
      <c r="AE243" s="25" t="s">
        <v>712</v>
      </c>
      <c r="AF243" s="25" t="s">
        <v>712</v>
      </c>
    </row>
    <row r="244" spans="1:32" ht="21.5">
      <c r="A244" s="332">
        <v>55</v>
      </c>
      <c r="B244" s="344">
        <v>12788</v>
      </c>
      <c r="C244" s="344">
        <v>12788</v>
      </c>
      <c r="D244" s="344">
        <v>31276</v>
      </c>
      <c r="E244" s="344">
        <v>31276</v>
      </c>
      <c r="F244" s="343">
        <v>12788</v>
      </c>
      <c r="G244" s="343">
        <v>12788</v>
      </c>
      <c r="H244" s="353">
        <v>22032</v>
      </c>
      <c r="I244" s="353">
        <v>22032</v>
      </c>
      <c r="J244" s="344">
        <v>31276</v>
      </c>
      <c r="K244" s="344">
        <v>31276</v>
      </c>
      <c r="L244" s="343">
        <v>38595</v>
      </c>
      <c r="M244" s="343">
        <v>38595</v>
      </c>
      <c r="N244" s="363"/>
      <c r="O244" s="363"/>
      <c r="P244" s="363"/>
      <c r="Q244" s="363"/>
      <c r="R244" s="363"/>
      <c r="S244" s="363"/>
      <c r="T244" s="363"/>
      <c r="U244" s="363"/>
      <c r="V244" s="363"/>
      <c r="W244" s="363"/>
      <c r="X244" s="363"/>
      <c r="Y244" s="363"/>
      <c r="Z244" s="363"/>
      <c r="AA244" s="363"/>
      <c r="AB244" s="363"/>
      <c r="AC244" s="363"/>
      <c r="AD244" s="25">
        <v>1000</v>
      </c>
      <c r="AE244" s="25" t="s">
        <v>712</v>
      </c>
      <c r="AF244" s="25" t="s">
        <v>712</v>
      </c>
    </row>
    <row r="245" spans="1:32" ht="21.5">
      <c r="A245" s="332">
        <v>56</v>
      </c>
      <c r="B245" s="344">
        <v>12788</v>
      </c>
      <c r="C245" s="344">
        <v>12788</v>
      </c>
      <c r="D245" s="344">
        <v>31276</v>
      </c>
      <c r="E245" s="344">
        <v>31276</v>
      </c>
      <c r="F245" s="343">
        <v>12788</v>
      </c>
      <c r="G245" s="343">
        <v>12788</v>
      </c>
      <c r="H245" s="353">
        <v>22032</v>
      </c>
      <c r="I245" s="353">
        <v>22032</v>
      </c>
      <c r="J245" s="344">
        <v>31276</v>
      </c>
      <c r="K245" s="344">
        <v>31276</v>
      </c>
      <c r="L245" s="343">
        <v>38595</v>
      </c>
      <c r="M245" s="343">
        <v>38595</v>
      </c>
      <c r="N245" s="363"/>
      <c r="O245" s="363"/>
      <c r="P245" s="363"/>
      <c r="Q245" s="363"/>
      <c r="R245" s="363"/>
      <c r="S245" s="363"/>
      <c r="T245" s="363"/>
      <c r="U245" s="363"/>
      <c r="V245" s="363"/>
      <c r="W245" s="363"/>
      <c r="X245" s="363"/>
      <c r="Y245" s="363"/>
      <c r="Z245" s="363"/>
      <c r="AA245" s="363"/>
      <c r="AB245" s="363"/>
      <c r="AC245" s="363"/>
      <c r="AD245" s="25">
        <v>1000</v>
      </c>
      <c r="AE245" s="25" t="s">
        <v>712</v>
      </c>
      <c r="AF245" s="25" t="s">
        <v>712</v>
      </c>
    </row>
    <row r="246" spans="1:32" ht="21.5">
      <c r="A246" s="332">
        <v>57</v>
      </c>
      <c r="B246" s="344">
        <v>12788</v>
      </c>
      <c r="C246" s="344">
        <v>12788</v>
      </c>
      <c r="D246" s="344">
        <v>31276</v>
      </c>
      <c r="E246" s="344">
        <v>31276</v>
      </c>
      <c r="F246" s="343">
        <v>12788</v>
      </c>
      <c r="G246" s="343">
        <v>12788</v>
      </c>
      <c r="H246" s="353">
        <v>22032</v>
      </c>
      <c r="I246" s="353">
        <v>22032</v>
      </c>
      <c r="J246" s="344">
        <v>31276</v>
      </c>
      <c r="K246" s="344">
        <v>31276</v>
      </c>
      <c r="L246" s="343">
        <v>38595</v>
      </c>
      <c r="M246" s="343">
        <v>38595</v>
      </c>
      <c r="N246" s="363"/>
      <c r="O246" s="363"/>
      <c r="P246" s="363"/>
      <c r="Q246" s="363"/>
      <c r="R246" s="363"/>
      <c r="S246" s="363"/>
      <c r="T246" s="363"/>
      <c r="U246" s="363"/>
      <c r="V246" s="363"/>
      <c r="W246" s="363"/>
      <c r="X246" s="363"/>
      <c r="Y246" s="363"/>
      <c r="Z246" s="363"/>
      <c r="AA246" s="363"/>
      <c r="AB246" s="363"/>
      <c r="AC246" s="363"/>
      <c r="AD246" s="25">
        <v>1000</v>
      </c>
      <c r="AE246" s="25" t="s">
        <v>712</v>
      </c>
      <c r="AF246" s="25" t="s">
        <v>712</v>
      </c>
    </row>
    <row r="247" spans="1:32" ht="21.5">
      <c r="A247" s="332">
        <v>58</v>
      </c>
      <c r="B247" s="344">
        <v>12788</v>
      </c>
      <c r="C247" s="344">
        <v>12788</v>
      </c>
      <c r="D247" s="344">
        <v>31276</v>
      </c>
      <c r="E247" s="344">
        <v>31276</v>
      </c>
      <c r="F247" s="343">
        <v>12788</v>
      </c>
      <c r="G247" s="343">
        <v>12788</v>
      </c>
      <c r="H247" s="353">
        <v>22032</v>
      </c>
      <c r="I247" s="353">
        <v>22032</v>
      </c>
      <c r="J247" s="344">
        <v>31276</v>
      </c>
      <c r="K247" s="344">
        <v>31276</v>
      </c>
      <c r="L247" s="343">
        <v>38595</v>
      </c>
      <c r="M247" s="343">
        <v>38595</v>
      </c>
      <c r="N247" s="363"/>
      <c r="O247" s="363"/>
      <c r="P247" s="363"/>
      <c r="Q247" s="363"/>
      <c r="R247" s="363"/>
      <c r="S247" s="363"/>
      <c r="T247" s="363"/>
      <c r="U247" s="363"/>
      <c r="V247" s="363"/>
      <c r="W247" s="363"/>
      <c r="X247" s="363"/>
      <c r="Y247" s="363"/>
      <c r="Z247" s="363"/>
      <c r="AA247" s="363"/>
      <c r="AB247" s="363"/>
      <c r="AC247" s="363"/>
      <c r="AD247" s="25">
        <v>1000</v>
      </c>
      <c r="AE247" s="25" t="s">
        <v>712</v>
      </c>
      <c r="AF247" s="25" t="s">
        <v>712</v>
      </c>
    </row>
    <row r="248" spans="1:32" ht="21.5">
      <c r="A248" s="332">
        <v>59</v>
      </c>
      <c r="B248" s="344">
        <v>12788</v>
      </c>
      <c r="C248" s="344">
        <v>12788</v>
      </c>
      <c r="D248" s="344">
        <v>31276</v>
      </c>
      <c r="E248" s="344">
        <v>31276</v>
      </c>
      <c r="F248" s="343">
        <v>12788</v>
      </c>
      <c r="G248" s="343">
        <v>12788</v>
      </c>
      <c r="H248" s="353">
        <v>22032</v>
      </c>
      <c r="I248" s="353">
        <v>22032</v>
      </c>
      <c r="J248" s="344">
        <v>31276</v>
      </c>
      <c r="K248" s="344">
        <v>31276</v>
      </c>
      <c r="L248" s="343">
        <v>38595</v>
      </c>
      <c r="M248" s="343">
        <v>38595</v>
      </c>
      <c r="N248" s="363"/>
      <c r="O248" s="363"/>
      <c r="P248" s="363"/>
      <c r="Q248" s="363"/>
      <c r="R248" s="363"/>
      <c r="S248" s="363"/>
      <c r="T248" s="363"/>
      <c r="U248" s="363"/>
      <c r="V248" s="363"/>
      <c r="W248" s="363"/>
      <c r="X248" s="363"/>
      <c r="Y248" s="363"/>
      <c r="Z248" s="363"/>
      <c r="AA248" s="363"/>
      <c r="AB248" s="363"/>
      <c r="AC248" s="363"/>
      <c r="AD248" s="25">
        <v>1000</v>
      </c>
      <c r="AE248" s="25" t="s">
        <v>712</v>
      </c>
      <c r="AF248" s="25" t="s">
        <v>712</v>
      </c>
    </row>
    <row r="249" spans="1:32" ht="21.5">
      <c r="A249" s="332">
        <v>60</v>
      </c>
      <c r="B249" s="344">
        <v>12788</v>
      </c>
      <c r="C249" s="344">
        <v>12788</v>
      </c>
      <c r="D249" s="344">
        <v>31276</v>
      </c>
      <c r="E249" s="344">
        <v>31276</v>
      </c>
      <c r="F249" s="343">
        <v>12788</v>
      </c>
      <c r="G249" s="343">
        <v>12788</v>
      </c>
      <c r="H249" s="353">
        <v>22032</v>
      </c>
      <c r="I249" s="353">
        <v>22032</v>
      </c>
      <c r="J249" s="344">
        <v>31276</v>
      </c>
      <c r="K249" s="344">
        <v>31276</v>
      </c>
      <c r="L249" s="343">
        <v>38595</v>
      </c>
      <c r="M249" s="343">
        <v>38595</v>
      </c>
      <c r="N249" s="363"/>
      <c r="O249" s="363"/>
      <c r="P249" s="363"/>
      <c r="Q249" s="363"/>
      <c r="R249" s="363"/>
      <c r="S249" s="363"/>
      <c r="T249" s="363"/>
      <c r="U249" s="363"/>
      <c r="V249" s="363"/>
      <c r="W249" s="363"/>
      <c r="X249" s="363"/>
      <c r="Y249" s="363"/>
      <c r="Z249" s="363"/>
      <c r="AA249" s="363"/>
      <c r="AB249" s="363"/>
      <c r="AC249" s="363"/>
      <c r="AD249" s="25">
        <v>1000</v>
      </c>
      <c r="AE249" s="25" t="s">
        <v>712</v>
      </c>
      <c r="AF249" s="25" t="s">
        <v>712</v>
      </c>
    </row>
    <row r="250" spans="1:32" ht="21.5">
      <c r="A250" s="332">
        <v>61</v>
      </c>
      <c r="B250" s="344">
        <v>12788</v>
      </c>
      <c r="C250" s="344">
        <v>12788</v>
      </c>
      <c r="D250" s="344">
        <v>31276</v>
      </c>
      <c r="E250" s="344">
        <v>31276</v>
      </c>
      <c r="F250" s="343">
        <v>12788</v>
      </c>
      <c r="G250" s="343">
        <v>12788</v>
      </c>
      <c r="H250" s="353">
        <v>22032</v>
      </c>
      <c r="I250" s="353">
        <v>22032</v>
      </c>
      <c r="J250" s="344">
        <v>31276</v>
      </c>
      <c r="K250" s="344">
        <v>31276</v>
      </c>
      <c r="L250" s="343">
        <v>38595</v>
      </c>
      <c r="M250" s="343">
        <v>38595</v>
      </c>
      <c r="N250" s="363"/>
      <c r="O250" s="363"/>
      <c r="P250" s="363"/>
      <c r="Q250" s="363"/>
      <c r="R250" s="363"/>
      <c r="S250" s="363"/>
      <c r="T250" s="363"/>
      <c r="U250" s="363"/>
      <c r="V250" s="363"/>
      <c r="W250" s="363"/>
      <c r="X250" s="363"/>
      <c r="Y250" s="363"/>
      <c r="Z250" s="363"/>
      <c r="AA250" s="363"/>
      <c r="AB250" s="363"/>
      <c r="AC250" s="363"/>
      <c r="AD250" s="25">
        <v>1000</v>
      </c>
      <c r="AE250" s="25" t="s">
        <v>712</v>
      </c>
      <c r="AF250" s="25" t="s">
        <v>712</v>
      </c>
    </row>
    <row r="251" spans="1:32" ht="21.5">
      <c r="A251" s="332">
        <v>62</v>
      </c>
      <c r="B251" s="344">
        <v>12788</v>
      </c>
      <c r="C251" s="344">
        <v>12788</v>
      </c>
      <c r="D251" s="344">
        <v>31276</v>
      </c>
      <c r="E251" s="344">
        <v>31276</v>
      </c>
      <c r="F251" s="343">
        <v>12788</v>
      </c>
      <c r="G251" s="343">
        <v>12788</v>
      </c>
      <c r="H251" s="353">
        <v>22032</v>
      </c>
      <c r="I251" s="353">
        <v>22032</v>
      </c>
      <c r="J251" s="344">
        <v>31276</v>
      </c>
      <c r="K251" s="344">
        <v>31276</v>
      </c>
      <c r="L251" s="343">
        <v>38595</v>
      </c>
      <c r="M251" s="343">
        <v>38595</v>
      </c>
      <c r="N251" s="363"/>
      <c r="O251" s="363"/>
      <c r="P251" s="363"/>
      <c r="Q251" s="363"/>
      <c r="R251" s="363"/>
      <c r="S251" s="363"/>
      <c r="T251" s="363"/>
      <c r="U251" s="363"/>
      <c r="V251" s="363"/>
      <c r="W251" s="363"/>
      <c r="X251" s="363"/>
      <c r="Y251" s="363"/>
      <c r="Z251" s="363"/>
      <c r="AA251" s="363"/>
      <c r="AB251" s="363"/>
      <c r="AC251" s="363"/>
      <c r="AD251" s="25">
        <v>1000</v>
      </c>
      <c r="AE251" s="25" t="s">
        <v>712</v>
      </c>
      <c r="AF251" s="25" t="s">
        <v>712</v>
      </c>
    </row>
    <row r="252" spans="1:32" ht="21.5">
      <c r="A252" s="332">
        <v>63</v>
      </c>
      <c r="B252" s="344">
        <v>12788</v>
      </c>
      <c r="C252" s="344">
        <v>12788</v>
      </c>
      <c r="D252" s="344">
        <v>31276</v>
      </c>
      <c r="E252" s="344">
        <v>31276</v>
      </c>
      <c r="F252" s="343">
        <v>12788</v>
      </c>
      <c r="G252" s="343">
        <v>12788</v>
      </c>
      <c r="H252" s="353">
        <v>22032</v>
      </c>
      <c r="I252" s="353">
        <v>22032</v>
      </c>
      <c r="J252" s="344">
        <v>31276</v>
      </c>
      <c r="K252" s="344">
        <v>31276</v>
      </c>
      <c r="L252" s="343">
        <v>38595</v>
      </c>
      <c r="M252" s="343">
        <v>38595</v>
      </c>
      <c r="N252" s="363"/>
      <c r="O252" s="363"/>
      <c r="P252" s="363"/>
      <c r="Q252" s="363"/>
      <c r="R252" s="363"/>
      <c r="S252" s="363"/>
      <c r="T252" s="363"/>
      <c r="U252" s="363"/>
      <c r="V252" s="363"/>
      <c r="W252" s="363"/>
      <c r="X252" s="363"/>
      <c r="Y252" s="363"/>
      <c r="Z252" s="363"/>
      <c r="AA252" s="363"/>
      <c r="AB252" s="363"/>
      <c r="AC252" s="363"/>
      <c r="AD252" s="25">
        <v>1000</v>
      </c>
      <c r="AE252" s="25" t="s">
        <v>712</v>
      </c>
      <c r="AF252" s="25" t="s">
        <v>712</v>
      </c>
    </row>
    <row r="253" spans="1:32" ht="21.5">
      <c r="A253" s="332">
        <v>64</v>
      </c>
      <c r="B253" s="344">
        <v>12788</v>
      </c>
      <c r="C253" s="344">
        <v>12788</v>
      </c>
      <c r="D253" s="344">
        <v>31276</v>
      </c>
      <c r="E253" s="344">
        <v>31276</v>
      </c>
      <c r="F253" s="343">
        <v>12788</v>
      </c>
      <c r="G253" s="343">
        <v>12788</v>
      </c>
      <c r="H253" s="353">
        <v>22032</v>
      </c>
      <c r="I253" s="353">
        <v>22032</v>
      </c>
      <c r="J253" s="344">
        <v>31276</v>
      </c>
      <c r="K253" s="344">
        <v>31276</v>
      </c>
      <c r="L253" s="343">
        <v>38595</v>
      </c>
      <c r="M253" s="343">
        <v>38595</v>
      </c>
      <c r="N253" s="363"/>
      <c r="O253" s="363"/>
      <c r="P253" s="363"/>
      <c r="Q253" s="363"/>
      <c r="R253" s="363"/>
      <c r="S253" s="363"/>
      <c r="T253" s="363"/>
      <c r="U253" s="363"/>
      <c r="V253" s="363"/>
      <c r="W253" s="363"/>
      <c r="X253" s="363"/>
      <c r="Y253" s="363"/>
      <c r="Z253" s="363"/>
      <c r="AA253" s="363"/>
      <c r="AB253" s="363"/>
      <c r="AC253" s="363"/>
      <c r="AD253" s="25">
        <v>1000</v>
      </c>
      <c r="AE253" s="25" t="s">
        <v>712</v>
      </c>
      <c r="AF253" s="25" t="s">
        <v>712</v>
      </c>
    </row>
    <row r="254" spans="1:32" ht="21.5">
      <c r="A254" s="332">
        <v>65</v>
      </c>
      <c r="B254" s="344">
        <v>12788</v>
      </c>
      <c r="C254" s="344">
        <v>12788</v>
      </c>
      <c r="D254" s="344">
        <v>31276</v>
      </c>
      <c r="E254" s="344">
        <v>31276</v>
      </c>
      <c r="F254" s="343">
        <v>12788</v>
      </c>
      <c r="G254" s="343">
        <v>12788</v>
      </c>
      <c r="H254" s="353">
        <v>22032</v>
      </c>
      <c r="I254" s="353">
        <v>22032</v>
      </c>
      <c r="J254" s="344">
        <v>31276</v>
      </c>
      <c r="K254" s="344">
        <v>31276</v>
      </c>
      <c r="L254" s="343">
        <v>38595</v>
      </c>
      <c r="M254" s="343">
        <v>38595</v>
      </c>
      <c r="N254" s="363"/>
      <c r="O254" s="363"/>
      <c r="P254" s="363"/>
      <c r="Q254" s="363"/>
      <c r="R254" s="363"/>
      <c r="S254" s="363"/>
      <c r="T254" s="363"/>
      <c r="U254" s="363"/>
      <c r="V254" s="363"/>
      <c r="W254" s="363"/>
      <c r="X254" s="363"/>
      <c r="Y254" s="363"/>
      <c r="Z254" s="363"/>
      <c r="AA254" s="363"/>
      <c r="AB254" s="363"/>
      <c r="AC254" s="363"/>
      <c r="AD254" s="25">
        <v>1000</v>
      </c>
      <c r="AE254" s="25" t="s">
        <v>712</v>
      </c>
      <c r="AF254" s="25" t="s">
        <v>712</v>
      </c>
    </row>
    <row r="255" spans="1:32" ht="21.5">
      <c r="A255" s="332">
        <v>66</v>
      </c>
      <c r="B255" s="344">
        <v>12788</v>
      </c>
      <c r="C255" s="344">
        <v>12788</v>
      </c>
      <c r="D255" s="344">
        <v>31276</v>
      </c>
      <c r="E255" s="344">
        <v>31276</v>
      </c>
      <c r="F255" s="343">
        <v>12788</v>
      </c>
      <c r="G255" s="343">
        <v>12788</v>
      </c>
      <c r="H255" s="353">
        <v>22032</v>
      </c>
      <c r="I255" s="353">
        <v>22032</v>
      </c>
      <c r="J255" s="344">
        <v>31276</v>
      </c>
      <c r="K255" s="344">
        <v>31276</v>
      </c>
      <c r="L255" s="343">
        <v>38595</v>
      </c>
      <c r="M255" s="343">
        <v>38595</v>
      </c>
      <c r="N255" s="363"/>
      <c r="O255" s="363"/>
      <c r="P255" s="363"/>
      <c r="Q255" s="363"/>
      <c r="R255" s="363"/>
      <c r="S255" s="363"/>
      <c r="T255" s="363"/>
      <c r="U255" s="363"/>
      <c r="V255" s="363"/>
      <c r="W255" s="363"/>
      <c r="X255" s="363"/>
      <c r="Y255" s="363"/>
      <c r="Z255" s="363"/>
      <c r="AA255" s="363"/>
      <c r="AB255" s="363"/>
      <c r="AC255" s="363"/>
      <c r="AD255" s="25">
        <v>1001</v>
      </c>
      <c r="AE255" s="25" t="s">
        <v>712</v>
      </c>
      <c r="AF255" s="25" t="s">
        <v>712</v>
      </c>
    </row>
    <row r="256" spans="1:32" ht="21.5">
      <c r="A256" s="332">
        <v>67</v>
      </c>
      <c r="B256" s="344">
        <v>12788</v>
      </c>
      <c r="C256" s="344">
        <v>12788</v>
      </c>
      <c r="D256" s="344">
        <v>31276</v>
      </c>
      <c r="E256" s="344">
        <v>31276</v>
      </c>
      <c r="F256" s="343">
        <v>12788</v>
      </c>
      <c r="G256" s="343">
        <v>12788</v>
      </c>
      <c r="H256" s="353">
        <v>22032</v>
      </c>
      <c r="I256" s="353">
        <v>22032</v>
      </c>
      <c r="J256" s="344">
        <v>31276</v>
      </c>
      <c r="K256" s="344">
        <v>31276</v>
      </c>
      <c r="L256" s="343">
        <v>38595</v>
      </c>
      <c r="M256" s="343">
        <v>38595</v>
      </c>
      <c r="N256" s="363"/>
      <c r="O256" s="363"/>
      <c r="P256" s="363"/>
      <c r="Q256" s="363"/>
      <c r="R256" s="363"/>
      <c r="S256" s="363"/>
      <c r="T256" s="363"/>
      <c r="U256" s="363"/>
      <c r="V256" s="363"/>
      <c r="W256" s="363"/>
      <c r="X256" s="363"/>
      <c r="Y256" s="363"/>
      <c r="Z256" s="363"/>
      <c r="AA256" s="363"/>
      <c r="AB256" s="363"/>
      <c r="AC256" s="363"/>
      <c r="AD256" s="25">
        <v>1002</v>
      </c>
      <c r="AE256" s="25" t="s">
        <v>712</v>
      </c>
      <c r="AF256" s="25" t="s">
        <v>712</v>
      </c>
    </row>
    <row r="257" spans="1:32" ht="21.5">
      <c r="A257" s="332">
        <v>68</v>
      </c>
      <c r="B257" s="344">
        <v>12788</v>
      </c>
      <c r="C257" s="344">
        <v>12788</v>
      </c>
      <c r="D257" s="344">
        <v>31276</v>
      </c>
      <c r="E257" s="344">
        <v>31276</v>
      </c>
      <c r="F257" s="343">
        <v>12788</v>
      </c>
      <c r="G257" s="343">
        <v>12788</v>
      </c>
      <c r="H257" s="353">
        <v>22032</v>
      </c>
      <c r="I257" s="353">
        <v>22032</v>
      </c>
      <c r="J257" s="344">
        <v>31276</v>
      </c>
      <c r="K257" s="344">
        <v>31276</v>
      </c>
      <c r="L257" s="343">
        <v>38595</v>
      </c>
      <c r="M257" s="343">
        <v>38595</v>
      </c>
      <c r="N257" s="363"/>
      <c r="O257" s="363"/>
      <c r="P257" s="363"/>
      <c r="Q257" s="363"/>
      <c r="R257" s="363"/>
      <c r="S257" s="363"/>
      <c r="T257" s="363"/>
      <c r="U257" s="363"/>
      <c r="V257" s="363"/>
      <c r="W257" s="363"/>
      <c r="X257" s="363"/>
      <c r="Y257" s="363"/>
      <c r="Z257" s="363"/>
      <c r="AA257" s="363"/>
      <c r="AB257" s="363"/>
      <c r="AC257" s="363"/>
      <c r="AD257" s="25">
        <v>1003</v>
      </c>
      <c r="AE257" s="25" t="s">
        <v>712</v>
      </c>
      <c r="AF257" s="25" t="s">
        <v>712</v>
      </c>
    </row>
    <row r="258" spans="1:32" ht="21.5">
      <c r="A258" s="332">
        <v>69</v>
      </c>
      <c r="B258" s="344">
        <v>12788</v>
      </c>
      <c r="C258" s="344">
        <v>12788</v>
      </c>
      <c r="D258" s="344">
        <v>31276</v>
      </c>
      <c r="E258" s="344">
        <v>31276</v>
      </c>
      <c r="F258" s="343">
        <v>12788</v>
      </c>
      <c r="G258" s="343">
        <v>12788</v>
      </c>
      <c r="H258" s="353">
        <v>22032</v>
      </c>
      <c r="I258" s="353">
        <v>22032</v>
      </c>
      <c r="J258" s="344">
        <v>31276</v>
      </c>
      <c r="K258" s="344">
        <v>31276</v>
      </c>
      <c r="L258" s="343">
        <v>38595</v>
      </c>
      <c r="M258" s="343">
        <v>38595</v>
      </c>
      <c r="N258" s="363"/>
      <c r="O258" s="363"/>
      <c r="P258" s="363"/>
      <c r="Q258" s="363"/>
      <c r="R258" s="363"/>
      <c r="S258" s="363"/>
      <c r="T258" s="363"/>
      <c r="U258" s="363"/>
      <c r="V258" s="363"/>
      <c r="W258" s="363"/>
      <c r="X258" s="363"/>
      <c r="Y258" s="363"/>
      <c r="Z258" s="363"/>
      <c r="AA258" s="363"/>
      <c r="AB258" s="363"/>
      <c r="AC258" s="363"/>
      <c r="AD258" s="25">
        <v>1004</v>
      </c>
      <c r="AE258" s="25" t="s">
        <v>712</v>
      </c>
      <c r="AF258" s="25" t="s">
        <v>712</v>
      </c>
    </row>
    <row r="259" spans="1:32" ht="21.5">
      <c r="A259" s="332">
        <v>70</v>
      </c>
      <c r="B259" s="344">
        <v>12788</v>
      </c>
      <c r="C259" s="344">
        <v>12788</v>
      </c>
      <c r="D259" s="344">
        <v>31276</v>
      </c>
      <c r="E259" s="344">
        <v>31276</v>
      </c>
      <c r="F259" s="343">
        <v>12788</v>
      </c>
      <c r="G259" s="343">
        <v>12788</v>
      </c>
      <c r="H259" s="353">
        <v>22032</v>
      </c>
      <c r="I259" s="353">
        <v>22032</v>
      </c>
      <c r="J259" s="344">
        <v>31276</v>
      </c>
      <c r="K259" s="344">
        <v>31276</v>
      </c>
      <c r="L259" s="343">
        <v>38595</v>
      </c>
      <c r="M259" s="343">
        <v>38595</v>
      </c>
      <c r="N259" s="363"/>
      <c r="O259" s="363"/>
      <c r="P259" s="363"/>
      <c r="Q259" s="363"/>
      <c r="R259" s="363"/>
      <c r="S259" s="363"/>
      <c r="T259" s="363"/>
      <c r="U259" s="363"/>
      <c r="V259" s="363"/>
      <c r="W259" s="363"/>
      <c r="X259" s="363"/>
      <c r="Y259" s="363"/>
      <c r="Z259" s="363"/>
      <c r="AA259" s="363"/>
      <c r="AB259" s="363"/>
      <c r="AC259" s="363"/>
      <c r="AD259" s="25">
        <v>1005</v>
      </c>
      <c r="AE259" s="25" t="s">
        <v>712</v>
      </c>
      <c r="AF259" s="25" t="s">
        <v>712</v>
      </c>
    </row>
    <row r="260" spans="1:32" ht="21.5">
      <c r="A260" s="332">
        <v>71</v>
      </c>
      <c r="B260" s="344">
        <v>12788</v>
      </c>
      <c r="C260" s="344">
        <v>12788</v>
      </c>
      <c r="D260" s="344">
        <v>31276</v>
      </c>
      <c r="E260" s="344">
        <v>31276</v>
      </c>
      <c r="F260" s="343">
        <v>12788</v>
      </c>
      <c r="G260" s="343">
        <v>12788</v>
      </c>
      <c r="H260" s="353">
        <v>22032</v>
      </c>
      <c r="I260" s="353">
        <v>22032</v>
      </c>
      <c r="J260" s="344">
        <v>31276</v>
      </c>
      <c r="K260" s="344">
        <v>31276</v>
      </c>
      <c r="L260" s="343">
        <v>38595</v>
      </c>
      <c r="M260" s="343">
        <v>38595</v>
      </c>
      <c r="N260" s="363"/>
      <c r="O260" s="363"/>
      <c r="P260" s="363"/>
      <c r="Q260" s="363"/>
      <c r="R260" s="363"/>
      <c r="S260" s="363"/>
      <c r="T260" s="363"/>
      <c r="U260" s="363"/>
      <c r="V260" s="363"/>
      <c r="W260" s="363"/>
      <c r="X260" s="363"/>
      <c r="Y260" s="363"/>
      <c r="Z260" s="363"/>
      <c r="AA260" s="363"/>
      <c r="AB260" s="363"/>
      <c r="AC260" s="363"/>
      <c r="AD260" s="25">
        <v>1006</v>
      </c>
      <c r="AE260" s="25" t="s">
        <v>712</v>
      </c>
      <c r="AF260" s="25" t="s">
        <v>712</v>
      </c>
    </row>
    <row r="261" spans="1:32" ht="21.5">
      <c r="A261" s="332">
        <v>72</v>
      </c>
      <c r="B261" s="344">
        <v>12788</v>
      </c>
      <c r="C261" s="344">
        <v>12788</v>
      </c>
      <c r="D261" s="344">
        <v>31276</v>
      </c>
      <c r="E261" s="344">
        <v>31276</v>
      </c>
      <c r="F261" s="343">
        <v>12788</v>
      </c>
      <c r="G261" s="343">
        <v>12788</v>
      </c>
      <c r="H261" s="353">
        <v>22032</v>
      </c>
      <c r="I261" s="353">
        <v>22032</v>
      </c>
      <c r="J261" s="344">
        <v>31276</v>
      </c>
      <c r="K261" s="344">
        <v>31276</v>
      </c>
      <c r="L261" s="343">
        <v>38595</v>
      </c>
      <c r="M261" s="343">
        <v>38595</v>
      </c>
      <c r="N261" s="363"/>
      <c r="O261" s="363"/>
      <c r="P261" s="363"/>
      <c r="Q261" s="363"/>
      <c r="R261" s="363"/>
      <c r="S261" s="363"/>
      <c r="T261" s="363"/>
      <c r="U261" s="363"/>
      <c r="V261" s="363"/>
      <c r="W261" s="363"/>
      <c r="X261" s="363"/>
      <c r="Y261" s="363"/>
      <c r="Z261" s="363"/>
      <c r="AA261" s="363"/>
      <c r="AB261" s="363"/>
      <c r="AC261" s="363"/>
      <c r="AD261" s="25">
        <v>1007</v>
      </c>
      <c r="AE261" s="25" t="s">
        <v>712</v>
      </c>
      <c r="AF261" s="25" t="s">
        <v>712</v>
      </c>
    </row>
    <row r="262" spans="1:32" ht="21.5">
      <c r="A262" s="332">
        <v>73</v>
      </c>
      <c r="B262" s="344">
        <v>12788</v>
      </c>
      <c r="C262" s="344">
        <v>12788</v>
      </c>
      <c r="D262" s="344">
        <v>31276</v>
      </c>
      <c r="E262" s="344">
        <v>31276</v>
      </c>
      <c r="F262" s="343">
        <v>12788</v>
      </c>
      <c r="G262" s="343">
        <v>12788</v>
      </c>
      <c r="H262" s="353">
        <v>22032</v>
      </c>
      <c r="I262" s="353">
        <v>22032</v>
      </c>
      <c r="J262" s="344">
        <v>31276</v>
      </c>
      <c r="K262" s="344">
        <v>31276</v>
      </c>
      <c r="L262" s="343">
        <v>38595</v>
      </c>
      <c r="M262" s="343">
        <v>38595</v>
      </c>
      <c r="N262" s="363"/>
      <c r="O262" s="363"/>
      <c r="P262" s="363"/>
      <c r="Q262" s="363"/>
      <c r="R262" s="363"/>
      <c r="S262" s="363"/>
      <c r="T262" s="363"/>
      <c r="U262" s="363"/>
      <c r="V262" s="363"/>
      <c r="W262" s="363"/>
      <c r="X262" s="363"/>
      <c r="Y262" s="363"/>
      <c r="Z262" s="363"/>
      <c r="AA262" s="363"/>
      <c r="AB262" s="363"/>
      <c r="AC262" s="363"/>
      <c r="AD262" s="25">
        <v>1008</v>
      </c>
      <c r="AE262" s="25" t="s">
        <v>712</v>
      </c>
      <c r="AF262" s="25" t="s">
        <v>712</v>
      </c>
    </row>
    <row r="263" spans="1:32" ht="21.5">
      <c r="A263" s="332">
        <v>74</v>
      </c>
      <c r="B263" s="344">
        <v>12788</v>
      </c>
      <c r="C263" s="344">
        <v>12788</v>
      </c>
      <c r="D263" s="344">
        <v>31276</v>
      </c>
      <c r="E263" s="344">
        <v>31276</v>
      </c>
      <c r="F263" s="343">
        <v>12788</v>
      </c>
      <c r="G263" s="343">
        <v>12788</v>
      </c>
      <c r="H263" s="353">
        <v>22032</v>
      </c>
      <c r="I263" s="353">
        <v>22032</v>
      </c>
      <c r="J263" s="344">
        <v>31276</v>
      </c>
      <c r="K263" s="344">
        <v>31276</v>
      </c>
      <c r="L263" s="343">
        <v>38595</v>
      </c>
      <c r="M263" s="343">
        <v>38595</v>
      </c>
      <c r="N263" s="363"/>
      <c r="O263" s="363"/>
      <c r="P263" s="363"/>
      <c r="Q263" s="363"/>
      <c r="R263" s="363"/>
      <c r="S263" s="363"/>
      <c r="T263" s="363"/>
      <c r="U263" s="363"/>
      <c r="V263" s="363"/>
      <c r="W263" s="363"/>
      <c r="X263" s="363"/>
      <c r="Y263" s="363"/>
      <c r="Z263" s="363"/>
      <c r="AA263" s="363"/>
      <c r="AB263" s="363"/>
      <c r="AC263" s="363"/>
      <c r="AD263" s="25">
        <v>1009</v>
      </c>
      <c r="AE263" s="25" t="s">
        <v>712</v>
      </c>
      <c r="AF263" s="25" t="s">
        <v>712</v>
      </c>
    </row>
    <row r="264" spans="1:32" ht="21.5">
      <c r="A264" s="332">
        <v>75</v>
      </c>
      <c r="B264" s="344">
        <v>12788</v>
      </c>
      <c r="C264" s="344">
        <v>12788</v>
      </c>
      <c r="D264" s="344">
        <v>31276</v>
      </c>
      <c r="E264" s="344">
        <v>31276</v>
      </c>
      <c r="F264" s="343">
        <v>12788</v>
      </c>
      <c r="G264" s="343">
        <v>12788</v>
      </c>
      <c r="H264" s="353">
        <v>22032</v>
      </c>
      <c r="I264" s="353">
        <v>22032</v>
      </c>
      <c r="J264" s="344">
        <v>31276</v>
      </c>
      <c r="K264" s="344">
        <v>31276</v>
      </c>
      <c r="L264" s="343">
        <v>38595</v>
      </c>
      <c r="M264" s="343">
        <v>38595</v>
      </c>
      <c r="N264" s="363"/>
      <c r="O264" s="363"/>
      <c r="P264" s="363"/>
      <c r="Q264" s="363"/>
      <c r="R264" s="363"/>
      <c r="S264" s="363"/>
      <c r="T264" s="363"/>
      <c r="U264" s="363"/>
      <c r="V264" s="363"/>
      <c r="W264" s="363"/>
      <c r="X264" s="363"/>
      <c r="Y264" s="363"/>
      <c r="Z264" s="363"/>
      <c r="AA264" s="363"/>
      <c r="AB264" s="363"/>
      <c r="AC264" s="363"/>
      <c r="AD264" s="25">
        <v>1010</v>
      </c>
      <c r="AE264" s="25" t="s">
        <v>712</v>
      </c>
      <c r="AF264" s="25" t="s">
        <v>712</v>
      </c>
    </row>
    <row r="265" spans="1:32" ht="21.5">
      <c r="A265" s="332">
        <v>76</v>
      </c>
      <c r="B265" s="344">
        <v>12788</v>
      </c>
      <c r="C265" s="344">
        <v>12788</v>
      </c>
      <c r="D265" s="344">
        <v>31276</v>
      </c>
      <c r="E265" s="344">
        <v>31276</v>
      </c>
      <c r="F265" s="343">
        <v>12788</v>
      </c>
      <c r="G265" s="343">
        <v>12788</v>
      </c>
      <c r="H265" s="353">
        <v>22032</v>
      </c>
      <c r="I265" s="353">
        <v>22032</v>
      </c>
      <c r="J265" s="344">
        <v>31276</v>
      </c>
      <c r="K265" s="344">
        <v>31276</v>
      </c>
      <c r="L265" s="343">
        <v>38595</v>
      </c>
      <c r="M265" s="343">
        <v>38595</v>
      </c>
      <c r="N265" s="363"/>
      <c r="O265" s="363"/>
      <c r="P265" s="363"/>
      <c r="Q265" s="363"/>
      <c r="R265" s="363"/>
      <c r="S265" s="363"/>
      <c r="T265" s="363"/>
      <c r="U265" s="363"/>
      <c r="V265" s="363"/>
      <c r="W265" s="363"/>
      <c r="X265" s="363"/>
      <c r="Y265" s="363"/>
      <c r="Z265" s="363"/>
      <c r="AA265" s="363"/>
      <c r="AB265" s="363"/>
      <c r="AC265" s="363"/>
      <c r="AD265" s="25">
        <v>1011</v>
      </c>
      <c r="AE265" s="25" t="s">
        <v>712</v>
      </c>
      <c r="AF265" s="25" t="s">
        <v>712</v>
      </c>
    </row>
    <row r="266" spans="1:32" ht="21.5">
      <c r="A266" s="332">
        <v>77</v>
      </c>
      <c r="B266" s="344">
        <v>12788</v>
      </c>
      <c r="C266" s="344">
        <v>12788</v>
      </c>
      <c r="D266" s="344">
        <v>31276</v>
      </c>
      <c r="E266" s="344">
        <v>31276</v>
      </c>
      <c r="F266" s="343">
        <v>12788</v>
      </c>
      <c r="G266" s="343">
        <v>12788</v>
      </c>
      <c r="H266" s="353">
        <v>22032</v>
      </c>
      <c r="I266" s="353">
        <v>22032</v>
      </c>
      <c r="J266" s="344">
        <v>31276</v>
      </c>
      <c r="K266" s="344">
        <v>31276</v>
      </c>
      <c r="L266" s="343">
        <v>38595</v>
      </c>
      <c r="M266" s="343">
        <v>38595</v>
      </c>
      <c r="N266" s="363"/>
      <c r="O266" s="363"/>
      <c r="P266" s="363"/>
      <c r="Q266" s="363"/>
      <c r="R266" s="363"/>
      <c r="S266" s="363"/>
      <c r="T266" s="363"/>
      <c r="U266" s="363"/>
      <c r="V266" s="363"/>
      <c r="W266" s="363"/>
      <c r="X266" s="363"/>
      <c r="Y266" s="363"/>
      <c r="Z266" s="363"/>
      <c r="AA266" s="363"/>
      <c r="AB266" s="363"/>
      <c r="AC266" s="363"/>
      <c r="AD266" s="25">
        <v>1012</v>
      </c>
      <c r="AE266" s="25" t="s">
        <v>712</v>
      </c>
      <c r="AF266" s="25" t="s">
        <v>712</v>
      </c>
    </row>
    <row r="267" spans="1:32" ht="21.5">
      <c r="A267" s="332">
        <v>78</v>
      </c>
      <c r="B267" s="344">
        <v>12788</v>
      </c>
      <c r="C267" s="344">
        <v>12788</v>
      </c>
      <c r="D267" s="344">
        <v>31276</v>
      </c>
      <c r="E267" s="344">
        <v>31276</v>
      </c>
      <c r="F267" s="343">
        <v>12788</v>
      </c>
      <c r="G267" s="343">
        <v>12788</v>
      </c>
      <c r="H267" s="353">
        <v>22032</v>
      </c>
      <c r="I267" s="353">
        <v>22032</v>
      </c>
      <c r="J267" s="344">
        <v>31276</v>
      </c>
      <c r="K267" s="344">
        <v>31276</v>
      </c>
      <c r="L267" s="343">
        <v>38595</v>
      </c>
      <c r="M267" s="343">
        <v>38595</v>
      </c>
      <c r="N267" s="363"/>
      <c r="O267" s="363"/>
      <c r="P267" s="363"/>
      <c r="Q267" s="363"/>
      <c r="R267" s="363"/>
      <c r="S267" s="363"/>
      <c r="T267" s="363"/>
      <c r="U267" s="363"/>
      <c r="V267" s="363"/>
      <c r="W267" s="363"/>
      <c r="X267" s="363"/>
      <c r="Y267" s="363"/>
      <c r="Z267" s="363"/>
      <c r="AA267" s="363"/>
      <c r="AB267" s="363"/>
      <c r="AC267" s="363"/>
      <c r="AD267" s="25">
        <v>1013</v>
      </c>
      <c r="AE267" s="25" t="s">
        <v>712</v>
      </c>
      <c r="AF267" s="25" t="s">
        <v>712</v>
      </c>
    </row>
    <row r="268" spans="1:32" ht="21.5">
      <c r="A268" s="332">
        <v>79</v>
      </c>
      <c r="B268" s="344">
        <v>12788</v>
      </c>
      <c r="C268" s="344">
        <v>12788</v>
      </c>
      <c r="D268" s="344">
        <v>31276</v>
      </c>
      <c r="E268" s="344">
        <v>31276</v>
      </c>
      <c r="F268" s="343">
        <v>12788</v>
      </c>
      <c r="G268" s="343">
        <v>12788</v>
      </c>
      <c r="H268" s="353">
        <v>22032</v>
      </c>
      <c r="I268" s="353">
        <v>22032</v>
      </c>
      <c r="J268" s="344">
        <v>31276</v>
      </c>
      <c r="K268" s="344">
        <v>31276</v>
      </c>
      <c r="L268" s="343">
        <v>38595</v>
      </c>
      <c r="M268" s="343">
        <v>38595</v>
      </c>
      <c r="N268" s="363"/>
      <c r="O268" s="363"/>
      <c r="P268" s="363"/>
      <c r="Q268" s="363"/>
      <c r="R268" s="363"/>
      <c r="S268" s="363"/>
      <c r="T268" s="363"/>
      <c r="U268" s="363"/>
      <c r="V268" s="363"/>
      <c r="W268" s="363"/>
      <c r="X268" s="363"/>
      <c r="Y268" s="363"/>
      <c r="Z268" s="363"/>
      <c r="AA268" s="363"/>
      <c r="AB268" s="363"/>
      <c r="AC268" s="363"/>
      <c r="AD268" s="25">
        <v>1014</v>
      </c>
      <c r="AE268" s="25" t="s">
        <v>712</v>
      </c>
      <c r="AF268" s="25" t="s">
        <v>712</v>
      </c>
    </row>
    <row r="269" spans="1:32" ht="21.5">
      <c r="A269" s="332">
        <v>80</v>
      </c>
      <c r="B269" s="344">
        <v>12788</v>
      </c>
      <c r="C269" s="344">
        <v>12788</v>
      </c>
      <c r="D269" s="344">
        <v>31276</v>
      </c>
      <c r="E269" s="344">
        <v>31276</v>
      </c>
      <c r="F269" s="343">
        <v>12788</v>
      </c>
      <c r="G269" s="343">
        <v>12788</v>
      </c>
      <c r="H269" s="353">
        <v>22032</v>
      </c>
      <c r="I269" s="353">
        <v>22032</v>
      </c>
      <c r="J269" s="344">
        <v>31276</v>
      </c>
      <c r="K269" s="344">
        <v>31276</v>
      </c>
      <c r="L269" s="343">
        <v>38595</v>
      </c>
      <c r="M269" s="343">
        <v>38595</v>
      </c>
      <c r="N269" s="363"/>
      <c r="O269" s="363"/>
      <c r="P269" s="363"/>
      <c r="Q269" s="363"/>
      <c r="R269" s="363"/>
      <c r="S269" s="363"/>
      <c r="T269" s="363"/>
      <c r="U269" s="363"/>
      <c r="V269" s="363"/>
      <c r="W269" s="363"/>
      <c r="X269" s="363"/>
      <c r="Y269" s="363"/>
      <c r="Z269" s="363"/>
      <c r="AA269" s="363"/>
      <c r="AB269" s="363"/>
      <c r="AC269" s="363"/>
      <c r="AD269" s="25">
        <v>1015</v>
      </c>
      <c r="AE269" s="25" t="s">
        <v>712</v>
      </c>
      <c r="AF269" s="25" t="s">
        <v>712</v>
      </c>
    </row>
    <row r="270" spans="1:32" ht="21.5">
      <c r="A270" s="332">
        <v>81</v>
      </c>
      <c r="B270" s="344">
        <v>12788</v>
      </c>
      <c r="C270" s="344">
        <v>12788</v>
      </c>
      <c r="D270" s="344">
        <v>31276</v>
      </c>
      <c r="E270" s="344">
        <v>31276</v>
      </c>
      <c r="F270" s="343">
        <v>12788</v>
      </c>
      <c r="G270" s="343">
        <v>12788</v>
      </c>
      <c r="H270" s="353">
        <v>22032</v>
      </c>
      <c r="I270" s="353">
        <v>22032</v>
      </c>
      <c r="J270" s="344">
        <v>31276</v>
      </c>
      <c r="K270" s="344">
        <v>31276</v>
      </c>
      <c r="L270" s="343">
        <v>38595</v>
      </c>
      <c r="M270" s="343">
        <v>38595</v>
      </c>
      <c r="N270" s="363"/>
      <c r="O270" s="363"/>
      <c r="P270" s="363"/>
      <c r="Q270" s="363"/>
      <c r="R270" s="363"/>
      <c r="S270" s="363"/>
      <c r="T270" s="363"/>
      <c r="U270" s="363"/>
      <c r="V270" s="363"/>
      <c r="W270" s="363"/>
      <c r="X270" s="363"/>
      <c r="Y270" s="363"/>
      <c r="Z270" s="363"/>
      <c r="AA270" s="363"/>
      <c r="AB270" s="363"/>
      <c r="AC270" s="363"/>
      <c r="AD270" s="25">
        <v>1016</v>
      </c>
      <c r="AE270" s="25" t="s">
        <v>712</v>
      </c>
      <c r="AF270" s="25" t="s">
        <v>712</v>
      </c>
    </row>
    <row r="271" spans="1:32" ht="21.5">
      <c r="A271" s="332">
        <v>82</v>
      </c>
      <c r="B271" s="344">
        <v>12788</v>
      </c>
      <c r="C271" s="344">
        <v>12788</v>
      </c>
      <c r="D271" s="344">
        <v>31276</v>
      </c>
      <c r="E271" s="344">
        <v>31276</v>
      </c>
      <c r="F271" s="343">
        <v>12788</v>
      </c>
      <c r="G271" s="343">
        <v>12788</v>
      </c>
      <c r="H271" s="353">
        <v>22032</v>
      </c>
      <c r="I271" s="353">
        <v>22032</v>
      </c>
      <c r="J271" s="344">
        <v>31276</v>
      </c>
      <c r="K271" s="344">
        <v>31276</v>
      </c>
      <c r="L271" s="343">
        <v>38595</v>
      </c>
      <c r="M271" s="343">
        <v>38595</v>
      </c>
      <c r="N271" s="363"/>
      <c r="O271" s="363"/>
      <c r="P271" s="363"/>
      <c r="Q271" s="363"/>
      <c r="R271" s="363"/>
      <c r="S271" s="363"/>
      <c r="T271" s="363"/>
      <c r="U271" s="363"/>
      <c r="V271" s="363"/>
      <c r="W271" s="363"/>
      <c r="X271" s="363"/>
      <c r="Y271" s="363"/>
      <c r="Z271" s="363"/>
      <c r="AA271" s="363"/>
      <c r="AB271" s="363"/>
      <c r="AC271" s="363"/>
      <c r="AD271" s="25">
        <v>1017</v>
      </c>
      <c r="AE271" s="25" t="s">
        <v>712</v>
      </c>
      <c r="AF271" s="25" t="s">
        <v>712</v>
      </c>
    </row>
    <row r="272" spans="1:32" ht="21.5">
      <c r="A272" s="332">
        <v>83</v>
      </c>
      <c r="B272" s="344">
        <v>12788</v>
      </c>
      <c r="C272" s="344">
        <v>12788</v>
      </c>
      <c r="D272" s="344">
        <v>31276</v>
      </c>
      <c r="E272" s="344">
        <v>31276</v>
      </c>
      <c r="F272" s="343">
        <v>12788</v>
      </c>
      <c r="G272" s="343">
        <v>12788</v>
      </c>
      <c r="H272" s="353">
        <v>22032</v>
      </c>
      <c r="I272" s="353">
        <v>22032</v>
      </c>
      <c r="J272" s="344">
        <v>31276</v>
      </c>
      <c r="K272" s="344">
        <v>31276</v>
      </c>
      <c r="L272" s="343">
        <v>38595</v>
      </c>
      <c r="M272" s="343">
        <v>38595</v>
      </c>
      <c r="N272" s="363"/>
      <c r="O272" s="363"/>
      <c r="P272" s="363"/>
      <c r="Q272" s="363"/>
      <c r="R272" s="363"/>
      <c r="S272" s="363"/>
      <c r="T272" s="363"/>
      <c r="U272" s="363"/>
      <c r="V272" s="363"/>
      <c r="W272" s="363"/>
      <c r="X272" s="363"/>
      <c r="Y272" s="363"/>
      <c r="Z272" s="363"/>
      <c r="AA272" s="363"/>
      <c r="AB272" s="363"/>
      <c r="AC272" s="363"/>
      <c r="AD272" s="25">
        <v>1018</v>
      </c>
      <c r="AE272" s="25" t="s">
        <v>712</v>
      </c>
      <c r="AF272" s="25" t="s">
        <v>712</v>
      </c>
    </row>
    <row r="273" spans="1:32" ht="21.5">
      <c r="A273" s="332">
        <v>84</v>
      </c>
      <c r="B273" s="344">
        <v>12788</v>
      </c>
      <c r="C273" s="344">
        <v>12788</v>
      </c>
      <c r="D273" s="344">
        <v>31276</v>
      </c>
      <c r="E273" s="344">
        <v>31276</v>
      </c>
      <c r="F273" s="343">
        <v>12788</v>
      </c>
      <c r="G273" s="343">
        <v>12788</v>
      </c>
      <c r="H273" s="353">
        <v>22032</v>
      </c>
      <c r="I273" s="353">
        <v>22032</v>
      </c>
      <c r="J273" s="344">
        <v>31276</v>
      </c>
      <c r="K273" s="344">
        <v>31276</v>
      </c>
      <c r="L273" s="343">
        <v>38595</v>
      </c>
      <c r="M273" s="343">
        <v>38595</v>
      </c>
      <c r="N273" s="363"/>
      <c r="O273" s="363"/>
      <c r="P273" s="363"/>
      <c r="Q273" s="363"/>
      <c r="R273" s="363"/>
      <c r="S273" s="363"/>
      <c r="T273" s="363"/>
      <c r="U273" s="363"/>
      <c r="V273" s="363"/>
      <c r="W273" s="363"/>
      <c r="X273" s="363"/>
      <c r="Y273" s="363"/>
      <c r="Z273" s="363"/>
      <c r="AA273" s="363"/>
      <c r="AB273" s="363"/>
      <c r="AC273" s="363"/>
      <c r="AD273" s="25">
        <v>1019</v>
      </c>
      <c r="AE273" s="25" t="s">
        <v>712</v>
      </c>
      <c r="AF273" s="25" t="s">
        <v>712</v>
      </c>
    </row>
    <row r="274" spans="1:32" ht="22" thickBot="1">
      <c r="A274" s="356">
        <v>85</v>
      </c>
      <c r="B274" s="365">
        <v>12788</v>
      </c>
      <c r="C274" s="365">
        <v>12788</v>
      </c>
      <c r="D274" s="365">
        <v>31276</v>
      </c>
      <c r="E274" s="365">
        <v>31276</v>
      </c>
      <c r="F274" s="357">
        <v>12788</v>
      </c>
      <c r="G274" s="357">
        <v>12788</v>
      </c>
      <c r="H274" s="358">
        <v>22032</v>
      </c>
      <c r="I274" s="358">
        <v>22032</v>
      </c>
      <c r="J274" s="365">
        <v>31276</v>
      </c>
      <c r="K274" s="365">
        <v>31276</v>
      </c>
      <c r="L274" s="357">
        <v>38595</v>
      </c>
      <c r="M274" s="357">
        <v>38595</v>
      </c>
      <c r="N274" s="366"/>
      <c r="O274" s="366"/>
      <c r="P274" s="366"/>
      <c r="Q274" s="366"/>
      <c r="R274" s="366"/>
      <c r="S274" s="366"/>
      <c r="T274" s="366"/>
      <c r="U274" s="366"/>
      <c r="V274" s="366"/>
      <c r="W274" s="366"/>
      <c r="X274" s="366"/>
      <c r="Y274" s="366"/>
      <c r="Z274" s="366"/>
      <c r="AA274" s="366"/>
      <c r="AB274" s="366"/>
      <c r="AC274" s="366"/>
      <c r="AD274" s="25">
        <v>1020</v>
      </c>
      <c r="AE274" s="25" t="s">
        <v>712</v>
      </c>
      <c r="AF274" s="25" t="s">
        <v>712</v>
      </c>
    </row>
  </sheetData>
  <mergeCells count="51">
    <mergeCell ref="AR1:AR4"/>
    <mergeCell ref="AS1:AS3"/>
    <mergeCell ref="AT1:AT3"/>
    <mergeCell ref="AU1:AU3"/>
    <mergeCell ref="AW1:AW3"/>
    <mergeCell ref="AX1:AX3"/>
    <mergeCell ref="AY1:AY3"/>
    <mergeCell ref="AZ1:AZ4"/>
    <mergeCell ref="BA1:BA4"/>
    <mergeCell ref="B3:C3"/>
    <mergeCell ref="D3:E3"/>
    <mergeCell ref="F3:G3"/>
    <mergeCell ref="H3:I3"/>
    <mergeCell ref="J3:K3"/>
    <mergeCell ref="L3:M3"/>
    <mergeCell ref="N3:O3"/>
    <mergeCell ref="P3:Q3"/>
    <mergeCell ref="R3:S3"/>
    <mergeCell ref="T3:U3"/>
    <mergeCell ref="V3:W3"/>
    <mergeCell ref="X3:Y3"/>
    <mergeCell ref="Z3:AA3"/>
    <mergeCell ref="AB3:AC3"/>
    <mergeCell ref="B96:C96"/>
    <mergeCell ref="D96:E96"/>
    <mergeCell ref="F96:G96"/>
    <mergeCell ref="H96:I96"/>
    <mergeCell ref="J96:K96"/>
    <mergeCell ref="L96:M96"/>
    <mergeCell ref="N96:O96"/>
    <mergeCell ref="P96:Q96"/>
    <mergeCell ref="R96:S96"/>
    <mergeCell ref="T96:U96"/>
    <mergeCell ref="V96:W96"/>
    <mergeCell ref="X96:Y96"/>
    <mergeCell ref="Z96:AA96"/>
    <mergeCell ref="AB96:AC96"/>
    <mergeCell ref="B187:C187"/>
    <mergeCell ref="D187:E187"/>
    <mergeCell ref="F187:G187"/>
    <mergeCell ref="H187:I187"/>
    <mergeCell ref="J187:K187"/>
    <mergeCell ref="X187:Y187"/>
    <mergeCell ref="Z187:AA187"/>
    <mergeCell ref="AB187:AC187"/>
    <mergeCell ref="L187:M187"/>
    <mergeCell ref="N187:O187"/>
    <mergeCell ref="P187:Q187"/>
    <mergeCell ref="R187:S187"/>
    <mergeCell ref="T187:U187"/>
    <mergeCell ref="V187:W187"/>
  </mergeCells>
  <pageMargins left="0.7" right="0.7" top="0.75" bottom="0.75" header="0.3" footer="0.3"/>
  <pageSetup paperSize="9" orientation="portrait" horizontalDpi="300" verticalDpi="300" r:id="rId1"/>
  <headerFooter>
    <oddFooter>&amp;C&amp;1#&amp;"Calibri"&amp;10&amp;K000000Internal</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A5F5E-FFAE-4C1D-A869-9700911E1BCB}">
  <sheetPr codeName="Sheet39">
    <tabColor rgb="FFFFFF00"/>
    <pageSetUpPr fitToPage="1"/>
  </sheetPr>
  <dimension ref="A1:S40"/>
  <sheetViews>
    <sheetView showGridLines="0" zoomScale="90" zoomScaleNormal="90" workbookViewId="0">
      <selection activeCell="M41" sqref="M41"/>
    </sheetView>
  </sheetViews>
  <sheetFormatPr defaultColWidth="9.09765625" defaultRowHeight="24.5"/>
  <cols>
    <col min="1" max="1" width="2.69921875" style="1902" customWidth="1"/>
    <col min="2" max="2" width="10.296875" style="1902" customWidth="1"/>
    <col min="3" max="5" width="9.09765625" style="1902"/>
    <col min="6" max="6" width="12" style="1902" customWidth="1"/>
    <col min="7" max="8" width="9.09765625" style="1902"/>
    <col min="9" max="9" width="10.3984375" style="1902" customWidth="1"/>
    <col min="10" max="10" width="10.8984375" style="1902" customWidth="1"/>
    <col min="11" max="11" width="22.59765625" style="1902" customWidth="1"/>
    <col min="12" max="12" width="14.09765625" style="1902" customWidth="1"/>
    <col min="13" max="13" width="20.59765625" style="1902" customWidth="1"/>
    <col min="14" max="14" width="3.09765625" style="1902" customWidth="1"/>
    <col min="15" max="15" width="9.296875" style="1903" hidden="1" customWidth="1"/>
    <col min="16" max="16" width="9.09765625" style="1902" hidden="1" customWidth="1"/>
    <col min="17" max="17" width="19.8984375" style="1904" hidden="1" customWidth="1"/>
    <col min="18" max="20" width="9.09765625" style="1902" customWidth="1"/>
    <col min="21" max="16384" width="9.09765625" style="1902"/>
  </cols>
  <sheetData>
    <row r="1" spans="1:19" ht="6.75" customHeight="1">
      <c r="A1" s="3" t="str">
        <f ca="1">กรอกข้อมูล!G64</f>
        <v/>
      </c>
    </row>
    <row r="2" spans="1:19" s="1905" customFormat="1" ht="35.15" customHeight="1">
      <c r="B2" s="1906"/>
      <c r="C2" s="1906"/>
      <c r="D2" s="2341" t="str">
        <f ca="1">IF(A1="Expire",กรอกข้อมูล!$A$1,"สัญญาเพิ่มเติมคุ้มครองโรคร้ายแรงและบันทึกสลักหลังฯ (CI 123)")</f>
        <v>สัญญาเพิ่มเติมคุ้มครองโรคร้ายแรงและบันทึกสลักหลังฯ (CI 123)</v>
      </c>
      <c r="E2" s="2341"/>
      <c r="F2" s="2341"/>
      <c r="G2" s="2341"/>
      <c r="H2" s="2341"/>
      <c r="I2" s="2341"/>
      <c r="J2" s="2341"/>
      <c r="K2" s="2341"/>
      <c r="L2" s="2341"/>
      <c r="M2" s="2341"/>
      <c r="N2" s="1907"/>
      <c r="O2" s="1908"/>
      <c r="P2" s="1909"/>
      <c r="Q2" s="1910"/>
    </row>
    <row r="3" spans="1:19" ht="12" customHeight="1">
      <c r="B3" s="1911"/>
      <c r="C3" s="1911"/>
      <c r="D3" s="1911"/>
      <c r="E3" s="1911"/>
      <c r="F3" s="1911"/>
      <c r="G3" s="1911"/>
      <c r="H3" s="1911"/>
      <c r="I3" s="1911"/>
      <c r="J3" s="1911"/>
      <c r="K3" s="1911"/>
      <c r="L3" s="1911"/>
      <c r="M3" s="1912"/>
      <c r="N3" s="1913"/>
      <c r="O3" s="1914"/>
      <c r="P3" s="1915"/>
    </row>
    <row r="4" spans="1:19" s="1916" customFormat="1" ht="30" customHeight="1">
      <c r="B4" s="1917" t="s">
        <v>530</v>
      </c>
      <c r="C4" s="1918"/>
      <c r="D4" s="1919" t="str">
        <f>กรอกข้อมูล!$C$4</f>
        <v>คุณคนพิเศษ</v>
      </c>
      <c r="E4" s="1919"/>
      <c r="F4" s="1920"/>
      <c r="G4" s="2342" t="str">
        <f>"เพศ : "&amp;กรอกข้อมูล!C6</f>
        <v>เพศ : หญิง</v>
      </c>
      <c r="H4" s="2342"/>
      <c r="I4" s="1920"/>
      <c r="J4" s="1920"/>
      <c r="K4" s="2342" t="str">
        <f>"อายุ  "&amp;กรอกข้อมูล!C5&amp;" ปี"</f>
        <v>อายุ  44 ปี</v>
      </c>
      <c r="L4" s="2342"/>
      <c r="M4" s="1921"/>
      <c r="N4" s="1922"/>
      <c r="O4" s="1923"/>
      <c r="P4" s="1924"/>
      <c r="Q4" s="1925"/>
    </row>
    <row r="5" spans="1:19" ht="12.75" customHeight="1">
      <c r="B5" s="1926"/>
      <c r="E5" s="1927"/>
      <c r="F5" s="1927"/>
      <c r="G5" s="1928"/>
      <c r="I5" s="1929"/>
      <c r="K5" s="1929"/>
      <c r="N5" s="1930"/>
      <c r="O5" s="1931"/>
      <c r="P5" s="1915"/>
      <c r="R5" s="1915"/>
      <c r="S5" s="1915"/>
    </row>
    <row r="6" spans="1:19" ht="12.75" customHeight="1">
      <c r="B6" s="1926"/>
      <c r="E6" s="1927"/>
      <c r="F6" s="1927"/>
      <c r="G6" s="1928"/>
      <c r="I6" s="1929"/>
      <c r="K6" s="1929"/>
      <c r="N6" s="1930"/>
      <c r="O6" s="1931"/>
      <c r="P6" s="1915"/>
      <c r="R6" s="1915"/>
      <c r="S6" s="1915"/>
    </row>
    <row r="7" spans="1:19">
      <c r="B7" s="1932" t="s">
        <v>2522</v>
      </c>
      <c r="C7" s="1933"/>
      <c r="D7" s="1934"/>
      <c r="E7" s="1934"/>
      <c r="F7" s="1934"/>
      <c r="G7" s="1934"/>
      <c r="H7" s="1934"/>
      <c r="I7" s="1934"/>
      <c r="J7" s="1934"/>
      <c r="K7" s="1934"/>
      <c r="L7" s="1935"/>
      <c r="N7" s="1936"/>
      <c r="O7" s="1923"/>
      <c r="P7" s="1937"/>
      <c r="R7" s="1915"/>
      <c r="S7" s="1915"/>
    </row>
    <row r="8" spans="1:19" ht="15" customHeight="1">
      <c r="B8" s="1938"/>
      <c r="C8" s="1939"/>
      <c r="D8" s="1916"/>
      <c r="E8" s="1916"/>
      <c r="F8" s="1916"/>
      <c r="G8" s="1916"/>
      <c r="I8" s="1916"/>
      <c r="L8" s="1940"/>
      <c r="O8" s="1941">
        <v>1</v>
      </c>
      <c r="P8" s="1937"/>
      <c r="R8" s="1915"/>
      <c r="S8" s="1915"/>
    </row>
    <row r="9" spans="1:19" ht="21.75" customHeight="1">
      <c r="B9" s="1942" t="s">
        <v>2523</v>
      </c>
      <c r="C9" s="1939"/>
      <c r="D9" s="1916"/>
      <c r="E9" s="1916"/>
      <c r="F9" s="1916"/>
      <c r="G9" s="1916"/>
      <c r="I9" s="1916"/>
      <c r="L9" s="1940">
        <f>IF(OR(กรอกข้อมูล!D33="",กรอกข้อมูล!AK24=""),"ไม่คุ้มครอง",กรอกข้อมูล!AJ28)</f>
        <v>5000000</v>
      </c>
      <c r="M9" s="1902" t="str">
        <f>IF(L9="ไม่คุ้มครอง","","บาท")</f>
        <v>บาท</v>
      </c>
      <c r="O9" s="1941">
        <v>1</v>
      </c>
      <c r="P9" s="1937"/>
      <c r="R9" s="1915"/>
      <c r="S9" s="1915"/>
    </row>
    <row r="10" spans="1:19" ht="21.5" customHeight="1">
      <c r="B10" s="1943" t="s">
        <v>2524</v>
      </c>
      <c r="C10" s="1939"/>
      <c r="D10" s="1916"/>
      <c r="E10" s="1916"/>
      <c r="F10" s="1916"/>
      <c r="G10" s="1916"/>
      <c r="I10" s="1916"/>
      <c r="L10" s="1944"/>
      <c r="O10" s="1941">
        <v>0.15</v>
      </c>
      <c r="P10" s="1945">
        <v>0.75</v>
      </c>
      <c r="R10" s="1915"/>
      <c r="S10" s="1915"/>
    </row>
    <row r="11" spans="1:19" ht="27" customHeight="1">
      <c r="B11" s="1943" t="s">
        <v>2525</v>
      </c>
      <c r="C11" s="1939"/>
      <c r="D11" s="1916"/>
      <c r="E11" s="1916"/>
      <c r="F11" s="1916"/>
      <c r="G11" s="1916"/>
      <c r="I11" s="1916"/>
      <c r="L11" s="1940"/>
      <c r="O11" s="1941"/>
      <c r="P11" s="1945"/>
      <c r="R11" s="1915"/>
      <c r="S11" s="1915"/>
    </row>
    <row r="12" spans="1:19" ht="27" customHeight="1">
      <c r="B12" s="1943" t="s">
        <v>2526</v>
      </c>
      <c r="C12" s="1939"/>
      <c r="D12" s="1916"/>
      <c r="E12" s="1916"/>
      <c r="F12" s="1916"/>
      <c r="G12" s="1916"/>
      <c r="I12" s="1916"/>
      <c r="L12" s="1940"/>
      <c r="O12" s="1941"/>
      <c r="P12" s="1945"/>
      <c r="R12" s="1915"/>
      <c r="S12" s="1915"/>
    </row>
    <row r="13" spans="1:19" ht="27" customHeight="1">
      <c r="B13" s="1943" t="s">
        <v>2527</v>
      </c>
      <c r="C13" s="1939"/>
      <c r="D13" s="1916"/>
      <c r="E13" s="1916"/>
      <c r="F13" s="1916"/>
      <c r="G13" s="1916"/>
      <c r="I13" s="1916"/>
      <c r="L13" s="1940"/>
      <c r="O13" s="1941"/>
      <c r="P13" s="1945"/>
      <c r="R13" s="1915"/>
      <c r="S13" s="1915"/>
    </row>
    <row r="14" spans="1:19" ht="27" customHeight="1">
      <c r="B14" s="1943" t="s">
        <v>2528</v>
      </c>
      <c r="C14" s="1939"/>
      <c r="D14" s="1916"/>
      <c r="E14" s="1916"/>
      <c r="F14" s="1916"/>
      <c r="G14" s="1916"/>
      <c r="I14" s="1916"/>
      <c r="L14" s="1940"/>
      <c r="O14" s="1941"/>
      <c r="P14" s="1945"/>
      <c r="R14" s="1915"/>
      <c r="S14" s="1915"/>
    </row>
    <row r="15" spans="1:19" ht="27" customHeight="1">
      <c r="B15" s="1943" t="s">
        <v>2529</v>
      </c>
      <c r="C15" s="1939"/>
      <c r="D15" s="1916"/>
      <c r="E15" s="1916"/>
      <c r="F15" s="1916"/>
      <c r="G15" s="1916"/>
      <c r="I15" s="1916"/>
      <c r="L15" s="1940"/>
      <c r="O15" s="1941"/>
      <c r="P15" s="1945"/>
      <c r="R15" s="1915"/>
      <c r="S15" s="1915"/>
    </row>
    <row r="16" spans="1:19">
      <c r="B16" s="1942" t="s">
        <v>2530</v>
      </c>
      <c r="C16" s="1939"/>
      <c r="D16" s="1916"/>
      <c r="E16" s="1916"/>
      <c r="F16" s="1916"/>
      <c r="G16" s="1916"/>
      <c r="I16" s="1916"/>
      <c r="L16" s="1940">
        <f>IF(OR(กรอกข้อมูล!D33="",กรอกข้อมูล!AK24=""),"ไม่คุ้มครอง",กรอกข้อมูล!AJ29)</f>
        <v>1250000</v>
      </c>
      <c r="M16" s="1902" t="str">
        <f>IF(L16="ไม่คุ้มครอง","","บาท")</f>
        <v>บาท</v>
      </c>
      <c r="O16" s="1941">
        <v>0.5</v>
      </c>
      <c r="P16" s="1945"/>
      <c r="R16" s="1915"/>
      <c r="S16" s="1915"/>
    </row>
    <row r="17" spans="2:19" ht="24" customHeight="1">
      <c r="B17" s="1946" t="s">
        <v>2531</v>
      </c>
      <c r="D17" s="1916"/>
      <c r="E17" s="1916"/>
      <c r="F17" s="1916"/>
      <c r="G17" s="1916"/>
      <c r="I17" s="1916"/>
      <c r="L17" s="1944"/>
      <c r="O17" s="1941">
        <v>0.02</v>
      </c>
      <c r="P17" s="1945">
        <v>0.7</v>
      </c>
      <c r="R17" s="1915"/>
      <c r="S17" s="1915"/>
    </row>
    <row r="18" spans="2:19" ht="24" customHeight="1">
      <c r="B18" s="1947" t="s">
        <v>2532</v>
      </c>
      <c r="C18" s="1939"/>
      <c r="D18" s="1916"/>
      <c r="E18" s="1916"/>
      <c r="F18" s="1916"/>
      <c r="G18" s="1916"/>
      <c r="I18" s="1916"/>
      <c r="L18" s="1940"/>
      <c r="O18" s="1941"/>
      <c r="P18" s="1945"/>
      <c r="R18" s="1915"/>
      <c r="S18" s="1915"/>
    </row>
    <row r="19" spans="2:19" ht="24" customHeight="1">
      <c r="B19" s="1947" t="s">
        <v>2533</v>
      </c>
      <c r="C19" s="1939"/>
      <c r="D19" s="1916"/>
      <c r="E19" s="1916"/>
      <c r="F19" s="1916"/>
      <c r="G19" s="1916"/>
      <c r="I19" s="1916"/>
      <c r="L19" s="1940"/>
      <c r="O19" s="1941"/>
      <c r="P19" s="1945"/>
      <c r="Q19" s="1948">
        <f>IF(L7="ไม่คุ้มครอง","ไม่คุ้มครอง",L7*15%)</f>
        <v>0</v>
      </c>
      <c r="R19" s="1915"/>
      <c r="S19" s="1915"/>
    </row>
    <row r="20" spans="2:19" ht="16.5" customHeight="1">
      <c r="B20" s="1943" t="s">
        <v>2534</v>
      </c>
      <c r="C20" s="1939"/>
      <c r="D20" s="1916"/>
      <c r="E20" s="1916"/>
      <c r="F20" s="1916"/>
      <c r="G20" s="1916"/>
      <c r="I20" s="1916"/>
      <c r="L20" s="1944"/>
      <c r="O20" s="1941"/>
      <c r="P20" s="1945"/>
      <c r="R20" s="1915"/>
      <c r="S20" s="1915"/>
    </row>
    <row r="21" spans="2:19" ht="15" customHeight="1">
      <c r="B21" s="1938"/>
      <c r="C21" s="1939"/>
      <c r="D21" s="1916"/>
      <c r="E21" s="1916"/>
      <c r="F21" s="1916"/>
      <c r="G21" s="1916"/>
      <c r="I21" s="1916"/>
      <c r="L21" s="1940"/>
      <c r="O21" s="1941">
        <v>7.4999999999999997E-2</v>
      </c>
      <c r="P21" s="1945"/>
      <c r="R21" s="1915"/>
      <c r="S21" s="1915"/>
    </row>
    <row r="22" spans="2:19" ht="27" customHeight="1">
      <c r="B22" s="1942" t="s">
        <v>2535</v>
      </c>
      <c r="C22" s="1939"/>
      <c r="D22" s="1916"/>
      <c r="E22" s="1916"/>
      <c r="F22" s="1916"/>
      <c r="G22" s="1916"/>
      <c r="I22" s="1916"/>
      <c r="L22" s="1940" t="str">
        <f>IF(กรอกข้อมูล!AL30=0,"ไม่คุ้มครอง",กรอกข้อมูล!AJ30)</f>
        <v>ไม่คุ้มครอง</v>
      </c>
      <c r="M22" s="1902" t="str">
        <f>IF(L22="ไม่คุ้มครอง","","บาท")</f>
        <v/>
      </c>
      <c r="O22" s="1941">
        <v>0.25</v>
      </c>
      <c r="P22" s="1945">
        <v>1</v>
      </c>
      <c r="R22" s="1915"/>
      <c r="S22" s="1915"/>
    </row>
    <row r="23" spans="2:19" ht="24" customHeight="1">
      <c r="B23" s="1949" t="s">
        <v>2536</v>
      </c>
      <c r="C23" s="1939"/>
      <c r="D23" s="1916"/>
      <c r="E23" s="1916"/>
      <c r="F23" s="1916"/>
      <c r="G23" s="1916"/>
      <c r="I23" s="1916"/>
      <c r="L23" s="1940"/>
      <c r="O23" s="1941"/>
      <c r="P23" s="1945"/>
      <c r="R23" s="1915"/>
      <c r="S23" s="1915"/>
    </row>
    <row r="24" spans="2:19" ht="17.25" customHeight="1">
      <c r="B24" s="1943" t="s">
        <v>2537</v>
      </c>
      <c r="D24" s="1916"/>
      <c r="E24" s="1916"/>
      <c r="F24" s="1916"/>
      <c r="G24" s="1916"/>
      <c r="I24" s="1916"/>
      <c r="L24" s="1940"/>
      <c r="O24" s="1941">
        <v>0.01</v>
      </c>
      <c r="P24" s="1937"/>
      <c r="R24" s="1915"/>
      <c r="S24" s="1915"/>
    </row>
    <row r="25" spans="2:19" ht="23.25" customHeight="1">
      <c r="B25" s="1950" t="s">
        <v>2538</v>
      </c>
      <c r="C25" s="1939"/>
      <c r="D25" s="1916"/>
      <c r="E25" s="1916"/>
      <c r="F25" s="1916"/>
      <c r="G25" s="1916"/>
      <c r="I25" s="1916"/>
      <c r="L25" s="1904"/>
      <c r="M25" s="1904"/>
      <c r="N25" s="1951"/>
      <c r="O25" s="1931"/>
      <c r="P25" s="1937"/>
      <c r="R25" s="1915"/>
      <c r="S25" s="1915"/>
    </row>
    <row r="26" spans="2:19" ht="11.25" customHeight="1">
      <c r="B26" s="1952"/>
      <c r="C26" s="1953"/>
      <c r="D26" s="1953"/>
      <c r="E26" s="1953"/>
      <c r="F26" s="1953"/>
      <c r="G26" s="1953"/>
      <c r="H26" s="1953"/>
      <c r="I26" s="1953"/>
      <c r="J26" s="1953"/>
      <c r="K26" s="1953"/>
      <c r="L26" s="1954"/>
      <c r="M26" s="1904"/>
      <c r="N26" s="1951"/>
      <c r="O26" s="1931"/>
      <c r="P26" s="1937"/>
      <c r="R26" s="1915"/>
      <c r="S26" s="1915"/>
    </row>
    <row r="27" spans="2:19" ht="32.25" customHeight="1">
      <c r="B27" s="1942" t="s">
        <v>2539</v>
      </c>
      <c r="C27" s="1955"/>
      <c r="D27" s="1955"/>
      <c r="E27" s="1955"/>
      <c r="F27" s="1955"/>
      <c r="G27" s="1955"/>
      <c r="H27" s="1955"/>
      <c r="I27" s="1955"/>
      <c r="J27" s="1955"/>
      <c r="K27" s="1955"/>
      <c r="L27" s="1940">
        <f>IF(กรอกข้อมูล!$AH$21="แผน S","ไม่คุ้มครอง",กรอกข้อมูล!AJ31)</f>
        <v>100000</v>
      </c>
      <c r="M27" s="1902" t="str">
        <f>IF(L27="ไม่คุ้มครอง","","บาท")</f>
        <v>บาท</v>
      </c>
      <c r="N27" s="1951"/>
      <c r="P27" s="1916"/>
    </row>
    <row r="28" spans="2:19" ht="17.25" customHeight="1">
      <c r="B28" s="1943" t="s">
        <v>2540</v>
      </c>
      <c r="D28" s="1916"/>
      <c r="E28" s="1916"/>
      <c r="F28" s="1916"/>
      <c r="G28" s="1916"/>
      <c r="I28" s="1916"/>
      <c r="L28" s="1940"/>
      <c r="O28" s="1941">
        <v>0.01</v>
      </c>
      <c r="P28" s="1937"/>
      <c r="R28" s="1915"/>
      <c r="S28" s="1915"/>
    </row>
    <row r="29" spans="2:19" ht="6" customHeight="1">
      <c r="B29" s="1942"/>
      <c r="C29" s="1955"/>
      <c r="D29" s="1955"/>
      <c r="E29" s="1955"/>
      <c r="F29" s="1955"/>
      <c r="G29" s="1955"/>
      <c r="H29" s="1955"/>
      <c r="I29" s="1955"/>
      <c r="J29" s="1955"/>
      <c r="K29" s="1955"/>
      <c r="L29" s="1956"/>
      <c r="M29" s="1956"/>
      <c r="N29" s="1951"/>
      <c r="P29" s="1916"/>
    </row>
    <row r="30" spans="2:19" s="1916" customFormat="1">
      <c r="B30" s="1957" t="s">
        <v>2541</v>
      </c>
      <c r="C30" s="1939"/>
      <c r="L30" s="1940">
        <f>IF(กรอกข้อมูล!$AH$21="แผน S","ไม่คุ้มครอง",กรอกข้อมูล!AJ32)</f>
        <v>1250000</v>
      </c>
      <c r="M30" s="1902" t="str">
        <f>IF(L30="ไม่คุ้มครอง","","บาท")</f>
        <v>บาท</v>
      </c>
      <c r="N30" s="1951"/>
      <c r="O30" s="1958"/>
      <c r="Q30" s="1925"/>
    </row>
    <row r="31" spans="2:19" ht="17.25" customHeight="1">
      <c r="B31" s="1943" t="s">
        <v>2542</v>
      </c>
      <c r="D31" s="1916"/>
      <c r="E31" s="1916"/>
      <c r="F31" s="1916"/>
      <c r="G31" s="1916"/>
      <c r="I31" s="1916"/>
      <c r="L31" s="1940"/>
      <c r="O31" s="1941">
        <v>0.01</v>
      </c>
      <c r="P31" s="1937"/>
      <c r="R31" s="1915"/>
      <c r="S31" s="1915"/>
    </row>
    <row r="32" spans="2:19" s="1959" customFormat="1" ht="7.5" customHeight="1">
      <c r="B32" s="1960"/>
      <c r="C32" s="1961"/>
      <c r="L32" s="1962"/>
      <c r="M32" s="1963"/>
      <c r="N32" s="1964"/>
      <c r="O32" s="1965"/>
      <c r="Q32" s="1963"/>
    </row>
    <row r="33" spans="2:19" s="1916" customFormat="1">
      <c r="B33" s="1957" t="s">
        <v>2543</v>
      </c>
      <c r="C33" s="1955"/>
      <c r="D33" s="1955"/>
      <c r="E33" s="1955"/>
      <c r="F33" s="1955"/>
      <c r="G33" s="1955"/>
      <c r="H33" s="1955"/>
      <c r="I33" s="1955"/>
      <c r="J33" s="1955"/>
      <c r="K33" s="1955"/>
      <c r="L33" s="1940">
        <f>IF(กรอกข้อมูล!$AH$21="แผน S","ไม่คุ้มครอง",กรอกข้อมูล!AJ33)</f>
        <v>500000</v>
      </c>
      <c r="M33" s="1902" t="str">
        <f>IF(L33="ไม่คุ้มครอง","","บาท")</f>
        <v>บาท</v>
      </c>
      <c r="N33" s="1951"/>
      <c r="O33" s="1958"/>
      <c r="Q33" s="1925"/>
    </row>
    <row r="34" spans="2:19" ht="17.25" customHeight="1">
      <c r="B34" s="1943" t="s">
        <v>2544</v>
      </c>
      <c r="D34" s="1916"/>
      <c r="E34" s="1916"/>
      <c r="F34" s="1916"/>
      <c r="G34" s="1916"/>
      <c r="I34" s="1916"/>
      <c r="L34" s="1940"/>
      <c r="O34" s="1941">
        <v>0.01</v>
      </c>
      <c r="P34" s="1937"/>
      <c r="R34" s="1915"/>
      <c r="S34" s="1915"/>
    </row>
    <row r="35" spans="2:19" s="1916" customFormat="1" ht="7.5" customHeight="1">
      <c r="B35" s="1960"/>
      <c r="C35" s="1955"/>
      <c r="D35" s="1955"/>
      <c r="E35" s="1955"/>
      <c r="F35" s="1955"/>
      <c r="G35" s="1955"/>
      <c r="H35" s="1955"/>
      <c r="I35" s="1955"/>
      <c r="J35" s="1955"/>
      <c r="K35" s="1955"/>
      <c r="L35" s="1954"/>
      <c r="M35" s="1925"/>
      <c r="N35" s="1951"/>
      <c r="O35" s="1958"/>
      <c r="Q35" s="1925"/>
    </row>
    <row r="36" spans="2:19" ht="21.75" customHeight="1" thickBot="1">
      <c r="B36" s="1966"/>
      <c r="C36" s="1939"/>
      <c r="D36" s="1916"/>
      <c r="E36" s="1916"/>
      <c r="F36" s="1916"/>
      <c r="G36" s="1916"/>
      <c r="H36" s="1916"/>
      <c r="I36" s="1916"/>
      <c r="J36" s="1916"/>
      <c r="K36" s="1916"/>
      <c r="L36" s="1916"/>
      <c r="M36" s="1916"/>
      <c r="N36" s="1967"/>
      <c r="O36" s="1958"/>
      <c r="P36" s="1916"/>
    </row>
    <row r="37" spans="2:19" s="412" customFormat="1" ht="57.5" customHeight="1" thickBot="1">
      <c r="B37" s="2266" t="s">
        <v>2545</v>
      </c>
      <c r="C37" s="2267"/>
      <c r="D37" s="2267"/>
      <c r="E37" s="2267"/>
      <c r="F37" s="2267"/>
      <c r="G37" s="2267"/>
      <c r="H37" s="2267"/>
      <c r="I37" s="2267"/>
      <c r="J37" s="2267"/>
      <c r="K37" s="2267"/>
      <c r="L37" s="2267"/>
      <c r="M37" s="2268"/>
      <c r="O37" s="1923"/>
      <c r="P37" s="1924"/>
      <c r="Q37" s="411"/>
    </row>
    <row r="38" spans="2:19" s="1916" customFormat="1" ht="50.15" customHeight="1">
      <c r="B38" s="2343" t="s">
        <v>2428</v>
      </c>
      <c r="C38" s="2343"/>
      <c r="D38" s="2343"/>
      <c r="E38" s="2343"/>
      <c r="F38" s="2343"/>
      <c r="G38" s="2343"/>
      <c r="H38" s="2343"/>
      <c r="I38" s="2343"/>
      <c r="J38" s="2343"/>
      <c r="K38" s="2343"/>
      <c r="L38" s="2343"/>
      <c r="M38" s="2343"/>
      <c r="O38" s="1968"/>
      <c r="P38" s="1969"/>
      <c r="Q38" s="1925"/>
    </row>
    <row r="39" spans="2:19" s="1916" customFormat="1" ht="35.15" customHeight="1">
      <c r="B39" s="2339" t="str">
        <f>ตารางแสดงผลประโยชน์!B76</f>
        <v>โปรแกรมใบข้อเสนอนี้ใช้สำหรับแบบประกัน ไอสมาร์ท 80/6 (ไม่มีเงินปันผล) ที่เสนอขายตั้งแต่ 1 มกราคม 2569 ถึง 31 มีนาคม 2570 หรือตามประกาศยกเลิกการใช้จากบริษัทฯ (แล้วแต่ระยะเวลาใดจะเกิดขึ้นก่อน)</v>
      </c>
      <c r="C39" s="2340"/>
      <c r="D39" s="2340"/>
      <c r="E39" s="2340"/>
      <c r="F39" s="2340"/>
      <c r="G39" s="2340"/>
      <c r="H39" s="2340"/>
      <c r="I39" s="2340"/>
      <c r="J39" s="2340"/>
      <c r="K39" s="2340"/>
      <c r="L39" s="2340"/>
      <c r="M39" s="2340"/>
      <c r="N39" s="1955"/>
      <c r="O39" s="1923"/>
      <c r="P39" s="1937"/>
      <c r="Q39" s="1970"/>
    </row>
    <row r="40" spans="2:19">
      <c r="B40" s="1971"/>
      <c r="C40" s="1971"/>
      <c r="D40" s="1971"/>
      <c r="E40" s="1971"/>
      <c r="F40" s="1971"/>
      <c r="G40" s="1971"/>
      <c r="H40" s="1971"/>
      <c r="I40" s="1971"/>
      <c r="J40" s="1971"/>
      <c r="K40" s="1955"/>
      <c r="L40" s="1955"/>
      <c r="M40" s="1972" t="str">
        <f>ตารางแสดงผลประโยชน์!I77</f>
        <v>ไอสมาร์ท 80/6 (ไม่มีเงินปันผล) เวอร์ชั่น A2026-1</v>
      </c>
    </row>
  </sheetData>
  <sheetProtection algorithmName="SHA-512" hashValue="bEYBRcJqL4Sn/b3tyOltMcs8h7hIznWTCN1c122z5QOvVDJPqkl42f1Z615F5S5zQca/9XYJIuZGnkEpc4MUEw==" saltValue="EqGNUoIuJhtB7cm9dL/CEA==" spinCount="100000" sheet="1" objects="1" scenarios="1"/>
  <mergeCells count="6">
    <mergeCell ref="B39:M39"/>
    <mergeCell ref="D2:M2"/>
    <mergeCell ref="G4:H4"/>
    <mergeCell ref="K4:L4"/>
    <mergeCell ref="B37:M37"/>
    <mergeCell ref="B38:M38"/>
  </mergeCells>
  <conditionalFormatting sqref="A3:XFD36 A37:A65532 N37:XFD65532">
    <cfRule type="expression" dxfId="17" priority="2" stopIfTrue="1">
      <formula>$A$1="Expire"</formula>
    </cfRule>
  </conditionalFormatting>
  <conditionalFormatting sqref="B37:M65533">
    <cfRule type="expression" dxfId="16" priority="1" stopIfTrue="1">
      <formula>$A$1="Expire"</formula>
    </cfRule>
  </conditionalFormatting>
  <pageMargins left="0.23622047244094491" right="0.23622047244094491" top="0.74803149606299213" bottom="0.74803149606299213" header="0.31496062992125984" footer="0.31496062992125984"/>
  <pageSetup paperSize="9" scale="71" orientation="portrait" r:id="rId1"/>
  <headerFooter>
    <oddFooter>&amp;C&amp;"Calibri,Regular"&amp;11&amp;K000000 7/17
&amp;1#&amp;10Internal</oddFoot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tabColor rgb="FFFFFF00"/>
    <pageSetUpPr fitToPage="1"/>
  </sheetPr>
  <dimension ref="A1:IT56"/>
  <sheetViews>
    <sheetView showGridLines="0" tabSelected="1" topLeftCell="A25" zoomScale="80" zoomScaleNormal="80" workbookViewId="0">
      <selection activeCell="L42" sqref="L42"/>
    </sheetView>
  </sheetViews>
  <sheetFormatPr defaultColWidth="9.09765625" defaultRowHeight="21.5"/>
  <cols>
    <col min="1" max="1" width="11.69921875" style="3" bestFit="1" customWidth="1"/>
    <col min="2" max="4" width="9.09765625" style="3"/>
    <col min="5" max="5" width="52.69921875" style="3" customWidth="1"/>
    <col min="6" max="9" width="11.09765625" style="3" customWidth="1"/>
    <col min="10" max="10" width="4.296875" style="3" customWidth="1"/>
    <col min="11" max="11" width="26.09765625" style="3" customWidth="1"/>
    <col min="12" max="12" width="20.296875" style="3" customWidth="1"/>
    <col min="13" max="13" width="4.69921875" style="3" bestFit="1" customWidth="1"/>
    <col min="14" max="14" width="80.59765625" style="775" hidden="1" customWidth="1"/>
    <col min="15" max="25" width="9.09765625" style="3" customWidth="1"/>
    <col min="26" max="16384" width="9.09765625" style="3"/>
  </cols>
  <sheetData>
    <row r="1" spans="1:26" ht="5.15" customHeight="1">
      <c r="A1" s="3" t="str">
        <f ca="1">กรอกข้อมูล!G64</f>
        <v/>
      </c>
    </row>
    <row r="2" spans="1:26" ht="31.5" customHeight="1">
      <c r="A2" s="2393" t="str">
        <f ca="1">IF(A1="Expire",กรอกข้อมูล!$A$1,"              สรุปผลประโยชน์สำหรับแบบ "&amp;กรอกข้อมูล!E65&amp;"   และสัญญาเพิ่มเติม")</f>
        <v xml:space="preserve">              สรุปผลประโยชน์สำหรับแบบ ไอสมาร์ท 80/6 (ไม่มีเงินปันผล)   และสัญญาเพิ่มเติม</v>
      </c>
      <c r="B2" s="2393"/>
      <c r="C2" s="2393"/>
      <c r="D2" s="2393"/>
      <c r="E2" s="2393"/>
      <c r="F2" s="2393"/>
      <c r="G2" s="2393"/>
      <c r="H2" s="2393"/>
      <c r="I2" s="2393"/>
      <c r="J2" s="2393"/>
      <c r="K2" s="2393"/>
      <c r="L2" s="2393"/>
      <c r="M2" s="13"/>
      <c r="N2" s="776"/>
      <c r="O2" s="9"/>
    </row>
    <row r="3" spans="1:26" s="48" customFormat="1" ht="5.25" customHeight="1">
      <c r="A3" s="45"/>
      <c r="B3" s="45"/>
      <c r="C3" s="45"/>
      <c r="D3" s="45"/>
      <c r="E3" s="45"/>
      <c r="F3" s="45"/>
      <c r="G3" s="45"/>
      <c r="H3" s="45"/>
      <c r="I3" s="45"/>
      <c r="J3" s="45"/>
      <c r="K3" s="45"/>
      <c r="L3" s="45"/>
      <c r="M3" s="46"/>
      <c r="N3" s="776"/>
      <c r="O3" s="47"/>
    </row>
    <row r="4" spans="1:26" s="121" customFormat="1" ht="27.75" customHeight="1">
      <c r="A4" s="163" t="str">
        <f>" ลูกค้าคนพิเศษ: "&amp;กรอกข้อมูล!$C$4</f>
        <v xml:space="preserve"> ลูกค้าคนพิเศษ: คุณคนพิเศษ</v>
      </c>
      <c r="B4" s="159"/>
      <c r="C4" s="191"/>
      <c r="D4" s="160"/>
      <c r="E4" s="161"/>
      <c r="F4" s="160" t="str">
        <f>"เพศ: "&amp;กรอกข้อมูล!C6</f>
        <v>เพศ: หญิง</v>
      </c>
      <c r="G4" s="160"/>
      <c r="H4" s="160" t="str">
        <f>"อายุ:  "&amp;กรอกข้อมูล!C5&amp;" ปี"</f>
        <v>อายุ:  44 ปี</v>
      </c>
      <c r="I4" s="160"/>
      <c r="J4" s="160"/>
      <c r="K4" s="160"/>
      <c r="L4" s="162"/>
      <c r="M4" s="19"/>
      <c r="N4" s="777"/>
      <c r="O4" s="16"/>
    </row>
    <row r="5" spans="1:26" ht="5.25" customHeight="1">
      <c r="A5" s="42"/>
      <c r="D5" s="43"/>
      <c r="E5" s="11"/>
      <c r="F5" s="44"/>
      <c r="H5" s="12"/>
      <c r="J5" s="12"/>
      <c r="K5" s="9"/>
      <c r="L5" s="9"/>
      <c r="M5" s="13"/>
      <c r="N5" s="776"/>
      <c r="O5" s="9"/>
    </row>
    <row r="6" spans="1:26">
      <c r="A6" s="266" t="s">
        <v>83</v>
      </c>
      <c r="B6" s="10"/>
      <c r="C6" s="9"/>
      <c r="D6" s="9"/>
      <c r="E6" s="9"/>
      <c r="F6" s="9"/>
      <c r="G6" s="9"/>
      <c r="H6" s="9"/>
      <c r="I6" s="9"/>
      <c r="J6" s="9"/>
      <c r="K6" s="184">
        <f>IF(กรอกข้อมูล!E70="No",0,2*กรอกข้อมูล!D19)</f>
        <v>2000000</v>
      </c>
      <c r="L6" s="516" t="s">
        <v>8</v>
      </c>
      <c r="M6" s="13"/>
      <c r="N6" s="778"/>
      <c r="O6" s="9"/>
    </row>
    <row r="7" spans="1:26">
      <c r="A7" s="79" t="s">
        <v>992</v>
      </c>
      <c r="B7" s="22"/>
      <c r="C7" s="23"/>
      <c r="D7" s="23"/>
      <c r="E7" s="23"/>
      <c r="F7" s="23"/>
      <c r="G7" s="23"/>
      <c r="H7" s="23"/>
      <c r="I7" s="23"/>
      <c r="J7" s="23"/>
      <c r="K7" s="173" t="str">
        <f>IF(SUM(กรอกข้อมูล!F20:F21)=0,"ไม่คุ้มครอง","คุ้มครองตามเงื่อนไขกรมธรรม์")</f>
        <v>ไม่คุ้มครอง</v>
      </c>
      <c r="L7" s="516"/>
      <c r="M7" s="19"/>
      <c r="N7" s="779"/>
      <c r="O7" s="16"/>
    </row>
    <row r="8" spans="1:26">
      <c r="A8" s="79" t="s">
        <v>993</v>
      </c>
      <c r="B8" s="18"/>
      <c r="C8" s="16"/>
      <c r="D8" s="16"/>
      <c r="E8" s="16"/>
      <c r="F8" s="16"/>
      <c r="G8" s="16"/>
      <c r="H8" s="16"/>
      <c r="I8" s="16"/>
      <c r="J8" s="16"/>
      <c r="K8" s="75" t="str">
        <f>IF(OR(AND(กรอกข้อมูล!$D$22=0,กรอกข้อมูล!$D$23=0),กรอกข้อมูล!F22="AP+ECARE เกินกว่าที่กำหนด",กรอกข้อมูล!F23="AP+ECARE เกินกว่าที่กำหนด"),"ไม่คุ้มครอง",$M8*(IF(กรอกข้อมูล!$B$22=100000,กรอกข้อมูล!$D$22,0)+IF(กรอกข้อมูล!$B$23=100000,กรอกข้อมูล!$D$23,0)))</f>
        <v>ไม่คุ้มครอง</v>
      </c>
      <c r="L8" s="517" t="str">
        <f>IF(K8="ไม่คุ้มครอง","","บาท")</f>
        <v/>
      </c>
      <c r="M8" s="100">
        <v>1</v>
      </c>
      <c r="N8" s="779"/>
      <c r="O8" s="16"/>
    </row>
    <row r="9" spans="1:26">
      <c r="A9" s="79" t="s">
        <v>1258</v>
      </c>
      <c r="B9" s="18"/>
      <c r="C9" s="16"/>
      <c r="D9" s="16"/>
      <c r="E9" s="16"/>
      <c r="F9" s="16"/>
      <c r="G9" s="16"/>
      <c r="H9" s="16"/>
      <c r="I9" s="16"/>
      <c r="J9" s="16"/>
      <c r="K9" s="75" t="str">
        <f>IF(กรอกข้อมูล!$H$30="ไม่คุ้มครอง","ไม่คุ้มครอง","แผน "&amp;กรอกข้อมูล!$M$27)</f>
        <v>ไม่คุ้มครอง</v>
      </c>
      <c r="L9" s="517"/>
      <c r="M9" s="100"/>
      <c r="N9" s="779"/>
      <c r="O9" s="16"/>
    </row>
    <row r="10" spans="1:26">
      <c r="A10" s="79" t="s">
        <v>1259</v>
      </c>
      <c r="B10" s="18"/>
      <c r="C10" s="16"/>
      <c r="D10" s="16"/>
      <c r="E10" s="16"/>
      <c r="F10" s="16"/>
      <c r="G10" s="7"/>
      <c r="H10" s="16"/>
      <c r="I10" s="7"/>
      <c r="J10" s="7"/>
      <c r="K10" s="75" t="str">
        <f>IF(OR(กรอกข้อมูล!$F$24="MEX เกินกว่าที่กำหนด",กรอกข้อมูล!$F$24=0,กรอกข้อมูล!$H$24="ไม่คุ้มครอง"),"ไม่คุ้มครอง",กรอกข้อมูล!D24)</f>
        <v>ไม่คุ้มครอง</v>
      </c>
      <c r="L10" s="516" t="str">
        <f>IF(K10="ไม่คุ้มครอง","","บาทต่อวัน")</f>
        <v/>
      </c>
      <c r="M10" s="71"/>
      <c r="N10" s="779"/>
      <c r="O10" s="16"/>
      <c r="Z10" s="116"/>
    </row>
    <row r="11" spans="1:26">
      <c r="A11" s="79" t="str">
        <f>"6. ผลประโยชน์ค่าชดเชยรายวัน"&amp; IF(กรอกข้อมูล!F25&lt;&gt;0,"(กรณีเข้ารักษาตัวในโรงพยาบาล)", IF(กรอกข้อมูล!F29&lt;&gt;0,"(เนื่องจากโรคมะเร็ง)",""))</f>
        <v>6. ผลประโยชน์ค่าชดเชยรายวัน(กรณีเข้ารักษาตัวในโรงพยาบาล)</v>
      </c>
      <c r="B11" s="18"/>
      <c r="C11" s="16"/>
      <c r="D11" s="16"/>
      <c r="E11" s="16"/>
      <c r="F11" s="16"/>
      <c r="G11" s="16"/>
      <c r="H11" s="16"/>
      <c r="I11" s="16"/>
      <c r="J11" s="16"/>
      <c r="K11" s="27">
        <f>IF(กรอกข้อมูล!F25&lt;&gt;0,กรอกข้อมูล!D25,IF(กรอกข้อมูล!F29&lt;&gt;0,กรอกข้อมูล!D29,"ไม่คุ้มครอง"))</f>
        <v>500</v>
      </c>
      <c r="L11" s="517" t="str">
        <f>IF(K11="ไม่คุ้มครอง","","บาทต่อวัน")</f>
        <v>บาทต่อวัน</v>
      </c>
      <c r="M11" s="19"/>
      <c r="N11" s="779"/>
      <c r="O11" s="16"/>
    </row>
    <row r="12" spans="1:26">
      <c r="A12" s="79" t="s">
        <v>1081</v>
      </c>
      <c r="B12" s="18"/>
      <c r="C12" s="16"/>
      <c r="D12" s="16"/>
      <c r="E12" s="16"/>
      <c r="F12" s="16"/>
      <c r="G12" s="16"/>
      <c r="H12" s="16"/>
      <c r="I12" s="16"/>
      <c r="J12" s="16"/>
      <c r="K12" s="27" t="str">
        <f>IF(กรอกข้อมูล!F26=0,"ไม่คุ้มครอง",กรอกข้อมูล!D26)</f>
        <v>ไม่คุ้มครอง</v>
      </c>
      <c r="L12" s="517" t="str">
        <f>IF(K12="ไม่คุ้มครอง","","บาท")</f>
        <v/>
      </c>
      <c r="M12" s="19"/>
      <c r="N12" s="779"/>
      <c r="O12" s="16"/>
    </row>
    <row r="13" spans="1:26">
      <c r="A13" s="79" t="str">
        <f>"8. ผลประโยชน์คุ้มครองการเสียชีวิตจากสัญญาเพิ่มเติม PLS "&amp;IF(กรอกข้อมูล!H27="ไม่คุ้มครอง","",TEXT(RIGHT(กรอกข้อมูล!$A$27,2),"##")&amp;" ปี")</f>
        <v xml:space="preserve">8. ผลประโยชน์คุ้มครองการเสียชีวิตจากสัญญาเพิ่มเติม PLS </v>
      </c>
      <c r="B13" s="18"/>
      <c r="C13" s="16"/>
      <c r="D13" s="16"/>
      <c r="E13" s="16"/>
      <c r="F13" s="16"/>
      <c r="G13" s="16"/>
      <c r="H13" s="16"/>
      <c r="I13" s="16"/>
      <c r="J13" s="16"/>
      <c r="K13" s="27" t="str">
        <f>IF(กรอกข้อมูล!H27="ไม่คุ้มครอง","ไม่คุ้มครอง",กรอกข้อมูล!D27)</f>
        <v>ไม่คุ้มครอง</v>
      </c>
      <c r="L13" s="517" t="str">
        <f>IF(K13="ไม่คุ้มครอง","","บาท")</f>
        <v/>
      </c>
      <c r="M13" s="19"/>
      <c r="N13" s="779"/>
      <c r="O13" s="16"/>
    </row>
    <row r="14" spans="1:26" ht="22" customHeight="1">
      <c r="A14" s="96" t="s">
        <v>1082</v>
      </c>
      <c r="B14" s="18"/>
      <c r="C14" s="16"/>
      <c r="D14" s="16"/>
      <c r="E14" s="16"/>
      <c r="F14" s="16"/>
      <c r="G14" s="16"/>
      <c r="H14" s="16"/>
      <c r="I14" s="16"/>
      <c r="J14" s="16"/>
      <c r="K14" s="27" t="str">
        <f>IF(กรอกข้อมูล!F28=0,"ไม่คุ้มครอง",กรอกข้อมูล!D28)</f>
        <v>ไม่คุ้มครอง</v>
      </c>
      <c r="L14" s="517" t="str">
        <f>IF(K14="ไม่คุ้มครอง","","บาท")</f>
        <v/>
      </c>
      <c r="M14" s="19"/>
      <c r="N14" s="779"/>
      <c r="O14" s="16"/>
    </row>
    <row r="15" spans="1:26" ht="22" customHeight="1">
      <c r="A15" s="79" t="s">
        <v>2453</v>
      </c>
      <c r="B15" s="18"/>
      <c r="C15" s="16"/>
      <c r="D15" s="16"/>
      <c r="E15" s="16"/>
      <c r="F15" s="16"/>
      <c r="G15" s="16"/>
      <c r="H15" s="16"/>
      <c r="I15" s="16"/>
      <c r="J15" s="16"/>
      <c r="K15" s="27" t="str">
        <f>IF(กรอกข้อมูล!$H$32="ไม่คุ้มครอง","ไม่คุ้มครอง",กรอกข้อมูล!$X$32)</f>
        <v>ไม่คุ้มครอง</v>
      </c>
      <c r="L15" s="516"/>
      <c r="M15" s="19"/>
      <c r="N15" s="779"/>
      <c r="O15" s="16"/>
    </row>
    <row r="16" spans="1:26" ht="22" customHeight="1">
      <c r="A16" s="79" t="s">
        <v>2903</v>
      </c>
      <c r="B16" s="18"/>
      <c r="C16" s="16"/>
      <c r="D16" s="16"/>
      <c r="E16" s="16"/>
      <c r="F16" s="16"/>
      <c r="G16" s="16"/>
      <c r="H16" s="16"/>
      <c r="I16" s="16"/>
      <c r="J16" s="16"/>
      <c r="K16" s="27">
        <f>IF(กรอกข้อมูล!F33=0,"ไม่คุ้มครอง",กรอกข้อมูล!D33)</f>
        <v>5000000</v>
      </c>
      <c r="L16" s="516" t="str">
        <f>IF(K16="ไม่คุ้มครอง","","บาท")</f>
        <v>บาท</v>
      </c>
      <c r="M16" s="19"/>
      <c r="N16" s="779"/>
      <c r="O16" s="16"/>
    </row>
    <row r="17" spans="1:254" ht="22" customHeight="1">
      <c r="A17" s="79" t="s">
        <v>2904</v>
      </c>
      <c r="B17" s="18"/>
      <c r="C17" s="16"/>
      <c r="D17" s="16"/>
      <c r="E17" s="16"/>
      <c r="F17" s="16"/>
      <c r="G17" s="16"/>
      <c r="H17" s="16"/>
      <c r="I17" s="16"/>
      <c r="J17" s="16"/>
      <c r="K17" s="27">
        <f>IF($K$16="ไม่คุ้มครอง","ไม่คุ้มครอง",กรอกข้อมูล!D34)</f>
        <v>100000</v>
      </c>
      <c r="L17" s="516" t="str">
        <f>IF(K17="ไม่คุ้มครอง","","บาท")</f>
        <v>บาท</v>
      </c>
      <c r="M17" s="19"/>
      <c r="N17" s="779"/>
      <c r="O17" s="16"/>
    </row>
    <row r="18" spans="1:254" ht="22" customHeight="1">
      <c r="A18" s="79" t="s">
        <v>2905</v>
      </c>
      <c r="B18" s="18"/>
      <c r="C18" s="16"/>
      <c r="D18" s="16"/>
      <c r="E18" s="16"/>
      <c r="F18" s="16"/>
      <c r="G18" s="16"/>
      <c r="H18" s="16"/>
      <c r="I18" s="16"/>
      <c r="J18" s="16"/>
      <c r="K18" s="27">
        <f>IF($K$16="ไม่คุ้มครอง","ไม่คุ้มครอง",กรอกข้อมูล!D35)</f>
        <v>1250000</v>
      </c>
      <c r="L18" s="516" t="str">
        <f>IF(K18="ไม่คุ้มครอง","","บาท")</f>
        <v>บาท</v>
      </c>
      <c r="M18" s="19"/>
      <c r="N18" s="779"/>
      <c r="O18" s="16"/>
    </row>
    <row r="19" spans="1:254" ht="22" customHeight="1">
      <c r="A19" s="79" t="s">
        <v>2906</v>
      </c>
      <c r="B19" s="18"/>
      <c r="C19" s="16"/>
      <c r="D19" s="16"/>
      <c r="E19" s="16"/>
      <c r="F19" s="16"/>
      <c r="G19" s="16"/>
      <c r="H19" s="16"/>
      <c r="I19" s="16"/>
      <c r="J19" s="16"/>
      <c r="K19" s="27">
        <f>IF($K$16="ไม่คุ้มครอง","ไม่คุ้มครอง",กรอกข้อมูล!D36)</f>
        <v>500000</v>
      </c>
      <c r="L19" s="516" t="str">
        <f>IF(K19="ไม่คุ้มครอง","","บาท")</f>
        <v>บาท</v>
      </c>
      <c r="M19" s="19"/>
      <c r="N19" s="779"/>
      <c r="O19" s="16"/>
    </row>
    <row r="20" spans="1:254" ht="24.75" customHeight="1">
      <c r="A20" s="2403" t="s">
        <v>546</v>
      </c>
      <c r="B20" s="2404"/>
      <c r="C20" s="2404"/>
      <c r="D20" s="2404"/>
      <c r="E20" s="2404"/>
      <c r="F20" s="2404"/>
      <c r="G20" s="2404"/>
      <c r="H20" s="2404"/>
      <c r="I20" s="2404"/>
      <c r="J20" s="2404"/>
      <c r="K20" s="2404"/>
      <c r="L20" s="2405"/>
      <c r="M20" s="295"/>
      <c r="N20" s="780"/>
      <c r="O20" s="290"/>
      <c r="P20" s="290"/>
      <c r="Q20" s="290"/>
      <c r="R20" s="290"/>
      <c r="S20" s="290"/>
      <c r="T20" s="290"/>
      <c r="U20" s="290"/>
      <c r="V20" s="290"/>
      <c r="W20" s="290"/>
      <c r="X20" s="290"/>
      <c r="Y20" s="290"/>
      <c r="Z20" s="290"/>
      <c r="AA20" s="290"/>
      <c r="AB20" s="290"/>
      <c r="AC20" s="290"/>
      <c r="AD20" s="290"/>
      <c r="AE20" s="290"/>
      <c r="AF20" s="290"/>
      <c r="AG20" s="290"/>
      <c r="AH20" s="290"/>
      <c r="AI20" s="290"/>
      <c r="AJ20" s="290"/>
      <c r="AK20" s="290"/>
      <c r="AL20" s="290"/>
      <c r="AM20" s="290"/>
      <c r="AN20" s="290"/>
      <c r="AO20" s="290"/>
      <c r="AP20" s="290"/>
      <c r="AQ20" s="290"/>
      <c r="AR20" s="290"/>
      <c r="AS20" s="290"/>
      <c r="AT20" s="290"/>
      <c r="AU20" s="290"/>
      <c r="AV20" s="290"/>
      <c r="AW20" s="290"/>
      <c r="AX20" s="290"/>
      <c r="AY20" s="290"/>
      <c r="AZ20" s="290"/>
      <c r="BA20" s="290"/>
      <c r="BB20" s="290"/>
      <c r="BC20" s="290"/>
      <c r="BD20" s="290"/>
      <c r="BE20" s="290"/>
      <c r="BF20" s="290"/>
      <c r="BG20" s="290"/>
      <c r="BH20" s="290"/>
      <c r="BI20" s="290"/>
      <c r="BJ20" s="290"/>
      <c r="BK20" s="290"/>
      <c r="BL20" s="290"/>
      <c r="BM20" s="290"/>
      <c r="BN20" s="290"/>
      <c r="BO20" s="290"/>
      <c r="BP20" s="290"/>
      <c r="BQ20" s="290"/>
      <c r="BR20" s="290"/>
      <c r="BS20" s="290"/>
      <c r="BT20" s="290"/>
      <c r="BU20" s="290"/>
      <c r="BV20" s="290"/>
      <c r="BW20" s="290"/>
      <c r="BX20" s="290"/>
      <c r="BY20" s="290"/>
      <c r="BZ20" s="290"/>
      <c r="CA20" s="290"/>
      <c r="CB20" s="290"/>
      <c r="CC20" s="290"/>
      <c r="CD20" s="290"/>
      <c r="CE20" s="290"/>
      <c r="CF20" s="290"/>
      <c r="CG20" s="290"/>
      <c r="CH20" s="290"/>
      <c r="CI20" s="290"/>
      <c r="CJ20" s="290"/>
      <c r="CK20" s="290"/>
      <c r="CL20" s="290"/>
      <c r="CM20" s="290"/>
      <c r="CN20" s="290"/>
      <c r="CO20" s="290"/>
      <c r="CP20" s="290"/>
      <c r="CQ20" s="290"/>
      <c r="CR20" s="290"/>
      <c r="CS20" s="290"/>
      <c r="CT20" s="290"/>
      <c r="CU20" s="290"/>
      <c r="CV20" s="290"/>
      <c r="CW20" s="290"/>
      <c r="CX20" s="290"/>
      <c r="CY20" s="290"/>
      <c r="CZ20" s="290"/>
      <c r="DA20" s="290"/>
      <c r="DB20" s="290"/>
      <c r="DC20" s="290"/>
      <c r="DD20" s="290"/>
      <c r="DE20" s="290"/>
      <c r="DF20" s="290"/>
      <c r="DG20" s="290"/>
      <c r="DH20" s="290"/>
      <c r="DI20" s="290"/>
      <c r="DJ20" s="290"/>
      <c r="DK20" s="290"/>
      <c r="DL20" s="290"/>
      <c r="DM20" s="290"/>
      <c r="DN20" s="290"/>
      <c r="DO20" s="290"/>
      <c r="DP20" s="290"/>
      <c r="DQ20" s="290"/>
      <c r="DR20" s="290"/>
      <c r="DS20" s="290"/>
      <c r="DT20" s="290"/>
      <c r="DU20" s="290"/>
      <c r="DV20" s="290"/>
      <c r="DW20" s="290"/>
      <c r="DX20" s="290"/>
      <c r="DY20" s="290"/>
      <c r="DZ20" s="290"/>
      <c r="EA20" s="290"/>
      <c r="EB20" s="290"/>
      <c r="EC20" s="290"/>
      <c r="ED20" s="290"/>
      <c r="EE20" s="290"/>
      <c r="EF20" s="290"/>
      <c r="EG20" s="290"/>
      <c r="EH20" s="290"/>
      <c r="EI20" s="290"/>
      <c r="EJ20" s="290"/>
      <c r="EK20" s="290"/>
      <c r="EL20" s="290"/>
      <c r="EM20" s="290"/>
      <c r="EN20" s="290"/>
      <c r="EO20" s="290"/>
      <c r="EP20" s="290"/>
      <c r="EQ20" s="290"/>
      <c r="ER20" s="290"/>
      <c r="ES20" s="290"/>
      <c r="ET20" s="290"/>
      <c r="EU20" s="290"/>
      <c r="EV20" s="290"/>
      <c r="EW20" s="290"/>
      <c r="EX20" s="290"/>
      <c r="EY20" s="290"/>
      <c r="EZ20" s="290"/>
      <c r="FA20" s="290"/>
      <c r="FB20" s="290"/>
      <c r="FC20" s="290"/>
      <c r="FD20" s="290"/>
      <c r="FE20" s="290"/>
      <c r="FF20" s="290"/>
      <c r="FG20" s="290"/>
      <c r="FH20" s="290"/>
      <c r="FI20" s="290"/>
      <c r="FJ20" s="290"/>
      <c r="FK20" s="290"/>
      <c r="FL20" s="290"/>
      <c r="FM20" s="290"/>
      <c r="FN20" s="290"/>
      <c r="FO20" s="290"/>
      <c r="FP20" s="290"/>
      <c r="FQ20" s="290"/>
      <c r="FR20" s="290"/>
      <c r="FS20" s="290"/>
      <c r="FT20" s="290"/>
      <c r="FU20" s="290"/>
      <c r="FV20" s="290"/>
      <c r="FW20" s="290"/>
      <c r="FX20" s="290"/>
      <c r="FY20" s="290"/>
      <c r="FZ20" s="290"/>
      <c r="GA20" s="290"/>
      <c r="GB20" s="290"/>
      <c r="GC20" s="290"/>
      <c r="GD20" s="290"/>
      <c r="GE20" s="290"/>
      <c r="GF20" s="290"/>
      <c r="GG20" s="290"/>
      <c r="GH20" s="290"/>
      <c r="GI20" s="290"/>
      <c r="GJ20" s="290"/>
      <c r="GK20" s="290"/>
      <c r="GL20" s="290"/>
      <c r="GM20" s="290"/>
      <c r="GN20" s="290"/>
      <c r="GO20" s="290"/>
      <c r="GP20" s="290"/>
      <c r="GQ20" s="290"/>
      <c r="GR20" s="290"/>
      <c r="GS20" s="290"/>
      <c r="GT20" s="290"/>
      <c r="GU20" s="290"/>
      <c r="GV20" s="290"/>
      <c r="GW20" s="290"/>
      <c r="GX20" s="290"/>
      <c r="GY20" s="290"/>
      <c r="GZ20" s="290"/>
      <c r="HA20" s="290"/>
      <c r="HB20" s="290"/>
      <c r="HC20" s="290"/>
      <c r="HD20" s="290"/>
      <c r="HE20" s="290"/>
      <c r="HF20" s="290"/>
      <c r="HG20" s="290"/>
      <c r="HH20" s="290"/>
      <c r="HI20" s="290"/>
      <c r="HJ20" s="290"/>
      <c r="HK20" s="290"/>
      <c r="HL20" s="290"/>
      <c r="HM20" s="290"/>
      <c r="HN20" s="290"/>
      <c r="HO20" s="290"/>
      <c r="HP20" s="290"/>
      <c r="HQ20" s="290"/>
      <c r="HR20" s="290"/>
      <c r="HS20" s="290"/>
      <c r="HT20" s="290"/>
      <c r="HU20" s="290"/>
      <c r="HV20" s="290"/>
      <c r="HW20" s="290"/>
      <c r="HX20" s="290"/>
      <c r="HY20" s="290"/>
      <c r="HZ20" s="290"/>
      <c r="IA20" s="290"/>
      <c r="IB20" s="290"/>
      <c r="IC20" s="290"/>
      <c r="ID20" s="290"/>
      <c r="IE20" s="290"/>
      <c r="IF20" s="290"/>
      <c r="IG20" s="290"/>
      <c r="IH20" s="290"/>
      <c r="II20" s="290"/>
      <c r="IJ20" s="290"/>
      <c r="IK20" s="290"/>
      <c r="IL20" s="290"/>
      <c r="IM20" s="290"/>
      <c r="IN20" s="290"/>
      <c r="IO20" s="290"/>
      <c r="IP20" s="290"/>
      <c r="IQ20" s="290"/>
      <c r="IR20" s="290"/>
      <c r="IS20" s="290"/>
      <c r="IT20" s="290"/>
    </row>
    <row r="21" spans="1:254" ht="21.75" customHeight="1">
      <c r="A21" s="2400" t="s">
        <v>1260</v>
      </c>
      <c r="B21" s="2401"/>
      <c r="C21" s="2401"/>
      <c r="D21" s="2401"/>
      <c r="E21" s="2401"/>
      <c r="F21" s="2401"/>
      <c r="G21" s="2401"/>
      <c r="H21" s="2401"/>
      <c r="I21" s="2401"/>
      <c r="J21" s="2401"/>
      <c r="K21" s="2401"/>
      <c r="L21" s="2402"/>
      <c r="M21" s="295"/>
      <c r="N21" s="780"/>
      <c r="O21" s="290"/>
      <c r="P21" s="290"/>
      <c r="Q21" s="290"/>
      <c r="R21" s="290"/>
      <c r="S21" s="290"/>
      <c r="T21" s="290"/>
      <c r="U21" s="290"/>
      <c r="V21" s="290"/>
      <c r="W21" s="290"/>
      <c r="X21" s="290"/>
      <c r="Y21" s="290"/>
      <c r="Z21" s="290"/>
      <c r="AA21" s="290"/>
      <c r="AB21" s="290"/>
      <c r="AC21" s="290"/>
      <c r="AD21" s="290"/>
      <c r="AE21" s="290"/>
      <c r="AF21" s="290"/>
      <c r="AG21" s="290"/>
      <c r="AH21" s="290"/>
      <c r="AI21" s="290"/>
      <c r="AJ21" s="290"/>
      <c r="AK21" s="290"/>
      <c r="AL21" s="290"/>
      <c r="AM21" s="290"/>
      <c r="AN21" s="290"/>
      <c r="AO21" s="290"/>
      <c r="AP21" s="290"/>
      <c r="AQ21" s="290"/>
      <c r="AR21" s="290"/>
      <c r="AS21" s="290"/>
      <c r="AT21" s="290"/>
      <c r="AU21" s="290"/>
      <c r="AV21" s="290"/>
      <c r="AW21" s="290"/>
      <c r="AX21" s="290"/>
      <c r="AY21" s="290"/>
      <c r="AZ21" s="290"/>
      <c r="BA21" s="290"/>
      <c r="BB21" s="290"/>
      <c r="BC21" s="290"/>
      <c r="BD21" s="290"/>
      <c r="BE21" s="290"/>
      <c r="BF21" s="290"/>
      <c r="BG21" s="290"/>
      <c r="BH21" s="290"/>
      <c r="BI21" s="290"/>
      <c r="BJ21" s="290"/>
      <c r="BK21" s="290"/>
      <c r="BL21" s="290"/>
      <c r="BM21" s="290"/>
      <c r="BN21" s="290"/>
      <c r="BO21" s="290"/>
      <c r="BP21" s="290"/>
      <c r="BQ21" s="290"/>
      <c r="BR21" s="290"/>
      <c r="BS21" s="290"/>
      <c r="BT21" s="290"/>
      <c r="BU21" s="290"/>
      <c r="BV21" s="290"/>
      <c r="BW21" s="290"/>
      <c r="BX21" s="290"/>
      <c r="BY21" s="290"/>
      <c r="BZ21" s="290"/>
      <c r="CA21" s="290"/>
      <c r="CB21" s="290"/>
      <c r="CC21" s="290"/>
      <c r="CD21" s="290"/>
      <c r="CE21" s="290"/>
      <c r="CF21" s="290"/>
      <c r="CG21" s="290"/>
      <c r="CH21" s="290"/>
      <c r="CI21" s="290"/>
      <c r="CJ21" s="290"/>
      <c r="CK21" s="290"/>
      <c r="CL21" s="290"/>
      <c r="CM21" s="290"/>
      <c r="CN21" s="290"/>
      <c r="CO21" s="290"/>
      <c r="CP21" s="290"/>
      <c r="CQ21" s="290"/>
      <c r="CR21" s="290"/>
      <c r="CS21" s="290"/>
      <c r="CT21" s="290"/>
      <c r="CU21" s="290"/>
      <c r="CV21" s="290"/>
      <c r="CW21" s="290"/>
      <c r="CX21" s="290"/>
      <c r="CY21" s="290"/>
      <c r="CZ21" s="290"/>
      <c r="DA21" s="290"/>
      <c r="DB21" s="290"/>
      <c r="DC21" s="290"/>
      <c r="DD21" s="290"/>
      <c r="DE21" s="290"/>
      <c r="DF21" s="290"/>
      <c r="DG21" s="290"/>
      <c r="DH21" s="290"/>
      <c r="DI21" s="290"/>
      <c r="DJ21" s="290"/>
      <c r="DK21" s="290"/>
      <c r="DL21" s="290"/>
      <c r="DM21" s="290"/>
      <c r="DN21" s="290"/>
      <c r="DO21" s="290"/>
      <c r="DP21" s="290"/>
      <c r="DQ21" s="290"/>
      <c r="DR21" s="290"/>
      <c r="DS21" s="290"/>
      <c r="DT21" s="290"/>
      <c r="DU21" s="290"/>
      <c r="DV21" s="290"/>
      <c r="DW21" s="290"/>
      <c r="DX21" s="290"/>
      <c r="DY21" s="290"/>
      <c r="DZ21" s="290"/>
      <c r="EA21" s="290"/>
      <c r="EB21" s="290"/>
      <c r="EC21" s="290"/>
      <c r="ED21" s="290"/>
      <c r="EE21" s="290"/>
      <c r="EF21" s="290"/>
      <c r="EG21" s="290"/>
      <c r="EH21" s="290"/>
      <c r="EI21" s="290"/>
      <c r="EJ21" s="290"/>
      <c r="EK21" s="290"/>
      <c r="EL21" s="290"/>
      <c r="EM21" s="290"/>
      <c r="EN21" s="290"/>
      <c r="EO21" s="290"/>
      <c r="EP21" s="290"/>
      <c r="EQ21" s="290"/>
      <c r="ER21" s="290"/>
      <c r="ES21" s="290"/>
      <c r="ET21" s="290"/>
      <c r="EU21" s="290"/>
      <c r="EV21" s="290"/>
      <c r="EW21" s="290"/>
      <c r="EX21" s="290"/>
      <c r="EY21" s="290"/>
      <c r="EZ21" s="290"/>
      <c r="FA21" s="290"/>
      <c r="FB21" s="290"/>
      <c r="FC21" s="290"/>
      <c r="FD21" s="290"/>
      <c r="FE21" s="290"/>
      <c r="FF21" s="290"/>
      <c r="FG21" s="290"/>
      <c r="FH21" s="290"/>
      <c r="FI21" s="290"/>
      <c r="FJ21" s="290"/>
      <c r="FK21" s="290"/>
      <c r="FL21" s="290"/>
      <c r="FM21" s="290"/>
      <c r="FN21" s="290"/>
      <c r="FO21" s="290"/>
      <c r="FP21" s="290"/>
      <c r="FQ21" s="290"/>
      <c r="FR21" s="290"/>
      <c r="FS21" s="290"/>
      <c r="FT21" s="290"/>
      <c r="FU21" s="290"/>
      <c r="FV21" s="290"/>
      <c r="FW21" s="290"/>
      <c r="FX21" s="290"/>
      <c r="FY21" s="290"/>
      <c r="FZ21" s="290"/>
      <c r="GA21" s="290"/>
      <c r="GB21" s="290"/>
      <c r="GC21" s="290"/>
      <c r="GD21" s="290"/>
      <c r="GE21" s="290"/>
      <c r="GF21" s="290"/>
      <c r="GG21" s="290"/>
      <c r="GH21" s="290"/>
      <c r="GI21" s="290"/>
      <c r="GJ21" s="290"/>
      <c r="GK21" s="290"/>
      <c r="GL21" s="290"/>
      <c r="GM21" s="290"/>
      <c r="GN21" s="290"/>
      <c r="GO21" s="290"/>
      <c r="GP21" s="290"/>
      <c r="GQ21" s="290"/>
      <c r="GR21" s="290"/>
      <c r="GS21" s="290"/>
      <c r="GT21" s="290"/>
      <c r="GU21" s="290"/>
      <c r="GV21" s="290"/>
      <c r="GW21" s="290"/>
      <c r="GX21" s="290"/>
      <c r="GY21" s="290"/>
      <c r="GZ21" s="290"/>
      <c r="HA21" s="290"/>
      <c r="HB21" s="290"/>
      <c r="HC21" s="290"/>
      <c r="HD21" s="290"/>
      <c r="HE21" s="290"/>
      <c r="HF21" s="290"/>
      <c r="HG21" s="290"/>
      <c r="HH21" s="290"/>
      <c r="HI21" s="290"/>
      <c r="HJ21" s="290"/>
      <c r="HK21" s="290"/>
      <c r="HL21" s="290"/>
      <c r="HM21" s="290"/>
      <c r="HN21" s="290"/>
      <c r="HO21" s="290"/>
      <c r="HP21" s="290"/>
      <c r="HQ21" s="290"/>
      <c r="HR21" s="290"/>
      <c r="HS21" s="290"/>
      <c r="HT21" s="290"/>
      <c r="HU21" s="290"/>
      <c r="HV21" s="290"/>
      <c r="HW21" s="290"/>
      <c r="HX21" s="290"/>
      <c r="HY21" s="290"/>
      <c r="HZ21" s="290"/>
      <c r="IA21" s="290"/>
      <c r="IB21" s="290"/>
      <c r="IC21" s="290"/>
      <c r="ID21" s="290"/>
      <c r="IE21" s="290"/>
      <c r="IF21" s="290"/>
      <c r="IG21" s="290"/>
      <c r="IH21" s="290"/>
      <c r="II21" s="290"/>
      <c r="IJ21" s="290"/>
      <c r="IK21" s="290"/>
      <c r="IL21" s="290"/>
      <c r="IM21" s="290"/>
      <c r="IN21" s="290"/>
      <c r="IO21" s="290"/>
      <c r="IP21" s="290"/>
      <c r="IQ21" s="290"/>
      <c r="IR21" s="290"/>
      <c r="IS21" s="290"/>
      <c r="IT21" s="290"/>
    </row>
    <row r="22" spans="1:254">
      <c r="A22" s="292"/>
      <c r="B22" s="296"/>
      <c r="C22" s="746" t="s">
        <v>864</v>
      </c>
      <c r="D22" s="293"/>
      <c r="E22" s="293"/>
      <c r="F22" s="293"/>
      <c r="G22" s="293"/>
      <c r="H22" s="293"/>
      <c r="I22" s="293"/>
      <c r="J22" s="293"/>
      <c r="K22" s="1415">
        <f>'Product Category Tax Deduct'!$I$3</f>
        <v>287000</v>
      </c>
      <c r="L22" s="294" t="s">
        <v>8</v>
      </c>
      <c r="M22" s="295"/>
      <c r="N22" s="780"/>
      <c r="O22" s="290"/>
      <c r="P22" s="290"/>
      <c r="Q22" s="290"/>
      <c r="R22" s="290"/>
      <c r="S22" s="290"/>
      <c r="T22" s="290"/>
      <c r="U22" s="290"/>
      <c r="V22" s="290"/>
      <c r="W22" s="290"/>
      <c r="X22" s="290"/>
      <c r="Y22" s="290"/>
      <c r="Z22" s="290"/>
      <c r="AA22" s="290"/>
      <c r="AB22" s="290"/>
      <c r="AC22" s="290"/>
      <c r="AD22" s="290"/>
      <c r="AE22" s="290"/>
      <c r="AF22" s="290"/>
      <c r="AG22" s="290"/>
      <c r="AH22" s="290"/>
      <c r="AI22" s="290"/>
      <c r="AJ22" s="290"/>
      <c r="AK22" s="290"/>
      <c r="AL22" s="290"/>
      <c r="AM22" s="290"/>
      <c r="AN22" s="290"/>
      <c r="AO22" s="290"/>
      <c r="AP22" s="290"/>
      <c r="AQ22" s="290"/>
      <c r="AR22" s="290"/>
      <c r="AS22" s="290"/>
      <c r="AT22" s="290"/>
      <c r="AU22" s="290"/>
      <c r="AV22" s="290"/>
      <c r="AW22" s="290"/>
      <c r="AX22" s="290"/>
      <c r="AY22" s="290"/>
      <c r="AZ22" s="290"/>
      <c r="BA22" s="290"/>
      <c r="BB22" s="290"/>
      <c r="BC22" s="290"/>
      <c r="BD22" s="290"/>
      <c r="BE22" s="290"/>
      <c r="BF22" s="290"/>
      <c r="BG22" s="290"/>
      <c r="BH22" s="290"/>
      <c r="BI22" s="290"/>
      <c r="BJ22" s="290"/>
      <c r="BK22" s="290"/>
      <c r="BL22" s="290"/>
      <c r="BM22" s="290"/>
      <c r="BN22" s="290"/>
      <c r="BO22" s="290"/>
      <c r="BP22" s="290"/>
      <c r="BQ22" s="290"/>
      <c r="BR22" s="290"/>
      <c r="BS22" s="290"/>
      <c r="BT22" s="290"/>
      <c r="BU22" s="290"/>
      <c r="BV22" s="290"/>
      <c r="BW22" s="290"/>
      <c r="BX22" s="290"/>
      <c r="BY22" s="290"/>
      <c r="BZ22" s="290"/>
      <c r="CA22" s="290"/>
      <c r="CB22" s="290"/>
      <c r="CC22" s="290"/>
      <c r="CD22" s="290"/>
      <c r="CE22" s="290"/>
      <c r="CF22" s="290"/>
      <c r="CG22" s="290"/>
      <c r="CH22" s="290"/>
      <c r="CI22" s="290"/>
      <c r="CJ22" s="290"/>
      <c r="CK22" s="290"/>
      <c r="CL22" s="290"/>
      <c r="CM22" s="290"/>
      <c r="CN22" s="290"/>
      <c r="CO22" s="290"/>
      <c r="CP22" s="290"/>
      <c r="CQ22" s="290"/>
      <c r="CR22" s="290"/>
      <c r="CS22" s="290"/>
      <c r="CT22" s="290"/>
      <c r="CU22" s="290"/>
      <c r="CV22" s="290"/>
      <c r="CW22" s="290"/>
      <c r="CX22" s="290"/>
      <c r="CY22" s="290"/>
      <c r="CZ22" s="290"/>
      <c r="DA22" s="290"/>
      <c r="DB22" s="290"/>
      <c r="DC22" s="290"/>
      <c r="DD22" s="290"/>
      <c r="DE22" s="290"/>
      <c r="DF22" s="290"/>
      <c r="DG22" s="290"/>
      <c r="DH22" s="290"/>
      <c r="DI22" s="290"/>
      <c r="DJ22" s="290"/>
      <c r="DK22" s="290"/>
      <c r="DL22" s="290"/>
      <c r="DM22" s="290"/>
      <c r="DN22" s="290"/>
      <c r="DO22" s="290"/>
      <c r="DP22" s="290"/>
      <c r="DQ22" s="290"/>
      <c r="DR22" s="290"/>
      <c r="DS22" s="290"/>
      <c r="DT22" s="290"/>
      <c r="DU22" s="290"/>
      <c r="DV22" s="290"/>
      <c r="DW22" s="290"/>
      <c r="DX22" s="290"/>
      <c r="DY22" s="290"/>
      <c r="DZ22" s="290"/>
      <c r="EA22" s="290"/>
      <c r="EB22" s="290"/>
      <c r="EC22" s="290"/>
      <c r="ED22" s="290"/>
      <c r="EE22" s="290"/>
      <c r="EF22" s="290"/>
      <c r="EG22" s="290"/>
      <c r="EH22" s="290"/>
      <c r="EI22" s="290"/>
      <c r="EJ22" s="290"/>
      <c r="EK22" s="290"/>
      <c r="EL22" s="290"/>
      <c r="EM22" s="290"/>
      <c r="EN22" s="290"/>
      <c r="EO22" s="290"/>
      <c r="EP22" s="290"/>
      <c r="EQ22" s="290"/>
      <c r="ER22" s="290"/>
      <c r="ES22" s="290"/>
      <c r="ET22" s="290"/>
      <c r="EU22" s="290"/>
      <c r="EV22" s="290"/>
      <c r="EW22" s="290"/>
      <c r="EX22" s="290"/>
      <c r="EY22" s="290"/>
      <c r="EZ22" s="290"/>
      <c r="FA22" s="290"/>
      <c r="FB22" s="290"/>
      <c r="FC22" s="290"/>
      <c r="FD22" s="290"/>
      <c r="FE22" s="290"/>
      <c r="FF22" s="290"/>
      <c r="FG22" s="290"/>
      <c r="FH22" s="290"/>
      <c r="FI22" s="290"/>
      <c r="FJ22" s="290"/>
      <c r="FK22" s="290"/>
      <c r="FL22" s="290"/>
      <c r="FM22" s="290"/>
      <c r="FN22" s="290"/>
      <c r="FO22" s="290"/>
      <c r="FP22" s="290"/>
      <c r="FQ22" s="290"/>
      <c r="FR22" s="290"/>
      <c r="FS22" s="290"/>
      <c r="FT22" s="290"/>
      <c r="FU22" s="290"/>
      <c r="FV22" s="290"/>
      <c r="FW22" s="290"/>
      <c r="FX22" s="290"/>
      <c r="FY22" s="290"/>
      <c r="FZ22" s="290"/>
      <c r="GA22" s="290"/>
      <c r="GB22" s="290"/>
      <c r="GC22" s="290"/>
      <c r="GD22" s="290"/>
      <c r="GE22" s="290"/>
      <c r="GF22" s="290"/>
      <c r="GG22" s="290"/>
      <c r="GH22" s="290"/>
      <c r="GI22" s="290"/>
      <c r="GJ22" s="290"/>
      <c r="GK22" s="290"/>
      <c r="GL22" s="290"/>
      <c r="GM22" s="290"/>
      <c r="GN22" s="290"/>
      <c r="GO22" s="290"/>
      <c r="GP22" s="290"/>
      <c r="GQ22" s="290"/>
      <c r="GR22" s="290"/>
      <c r="GS22" s="290"/>
      <c r="GT22" s="290"/>
      <c r="GU22" s="290"/>
      <c r="GV22" s="290"/>
      <c r="GW22" s="290"/>
      <c r="GX22" s="290"/>
      <c r="GY22" s="290"/>
      <c r="GZ22" s="290"/>
      <c r="HA22" s="290"/>
      <c r="HB22" s="290"/>
      <c r="HC22" s="290"/>
      <c r="HD22" s="290"/>
      <c r="HE22" s="290"/>
      <c r="HF22" s="290"/>
      <c r="HG22" s="290"/>
      <c r="HH22" s="290"/>
      <c r="HI22" s="290"/>
      <c r="HJ22" s="290"/>
      <c r="HK22" s="290"/>
      <c r="HL22" s="290"/>
      <c r="HM22" s="290"/>
      <c r="HN22" s="290"/>
      <c r="HO22" s="290"/>
      <c r="HP22" s="290"/>
      <c r="HQ22" s="290"/>
      <c r="HR22" s="290"/>
      <c r="HS22" s="290"/>
      <c r="HT22" s="290"/>
      <c r="HU22" s="290"/>
      <c r="HV22" s="290"/>
      <c r="HW22" s="290"/>
      <c r="HX22" s="290"/>
      <c r="HY22" s="290"/>
      <c r="HZ22" s="290"/>
      <c r="IA22" s="290"/>
      <c r="IB22" s="290"/>
      <c r="IC22" s="290"/>
      <c r="ID22" s="290"/>
      <c r="IE22" s="290"/>
      <c r="IF22" s="290"/>
      <c r="IG22" s="290"/>
      <c r="IH22" s="290"/>
      <c r="II22" s="290"/>
      <c r="IJ22" s="290"/>
      <c r="IK22" s="290"/>
      <c r="IL22" s="290"/>
      <c r="IM22" s="290"/>
      <c r="IN22" s="290"/>
      <c r="IO22" s="290"/>
      <c r="IP22" s="290"/>
      <c r="IQ22" s="290"/>
      <c r="IR22" s="290"/>
      <c r="IS22" s="290"/>
      <c r="IT22" s="290"/>
    </row>
    <row r="23" spans="1:254" s="48" customFormat="1">
      <c r="A23" s="715"/>
      <c r="B23" s="716"/>
      <c r="C23" s="747" t="s">
        <v>990</v>
      </c>
      <c r="D23" s="293"/>
      <c r="E23" s="293"/>
      <c r="F23" s="293"/>
      <c r="G23" s="293"/>
      <c r="H23" s="293"/>
      <c r="I23" s="293"/>
      <c r="J23" s="293"/>
      <c r="K23" s="1415">
        <f>'Product Category Tax Deduct'!$J$3</f>
        <v>44789.5</v>
      </c>
      <c r="L23" s="717" t="s">
        <v>8</v>
      </c>
      <c r="M23" s="718"/>
      <c r="N23" s="780"/>
      <c r="O23" s="422"/>
      <c r="P23" s="422"/>
      <c r="Q23" s="422"/>
      <c r="R23" s="422"/>
      <c r="S23" s="422"/>
      <c r="T23" s="422"/>
      <c r="U23" s="422"/>
      <c r="V23" s="422"/>
      <c r="W23" s="422"/>
      <c r="X23" s="422"/>
      <c r="Y23" s="422"/>
      <c r="Z23" s="422"/>
      <c r="AA23" s="422"/>
      <c r="AB23" s="422"/>
      <c r="AC23" s="422"/>
      <c r="AD23" s="422"/>
      <c r="AE23" s="422"/>
      <c r="AF23" s="422"/>
      <c r="AG23" s="422"/>
      <c r="AH23" s="422"/>
      <c r="AI23" s="422"/>
      <c r="AJ23" s="422"/>
      <c r="AK23" s="422"/>
      <c r="AL23" s="422"/>
      <c r="AM23" s="422"/>
      <c r="AN23" s="422"/>
      <c r="AO23" s="422"/>
      <c r="AP23" s="422"/>
      <c r="AQ23" s="422"/>
      <c r="AR23" s="422"/>
      <c r="AS23" s="422"/>
      <c r="AT23" s="422"/>
      <c r="AU23" s="422"/>
      <c r="AV23" s="422"/>
      <c r="AW23" s="422"/>
      <c r="AX23" s="422"/>
      <c r="AY23" s="422"/>
      <c r="AZ23" s="422"/>
      <c r="BA23" s="422"/>
      <c r="BB23" s="422"/>
      <c r="BC23" s="422"/>
      <c r="BD23" s="422"/>
      <c r="BE23" s="422"/>
      <c r="BF23" s="422"/>
      <c r="BG23" s="422"/>
      <c r="BH23" s="422"/>
      <c r="BI23" s="422"/>
      <c r="BJ23" s="422"/>
      <c r="BK23" s="422"/>
      <c r="BL23" s="422"/>
      <c r="BM23" s="422"/>
      <c r="BN23" s="422"/>
      <c r="BO23" s="422"/>
      <c r="BP23" s="422"/>
      <c r="BQ23" s="422"/>
      <c r="BR23" s="422"/>
      <c r="BS23" s="422"/>
      <c r="BT23" s="422"/>
      <c r="BU23" s="422"/>
      <c r="BV23" s="422"/>
      <c r="BW23" s="422"/>
      <c r="BX23" s="422"/>
      <c r="BY23" s="422"/>
      <c r="BZ23" s="422"/>
      <c r="CA23" s="422"/>
      <c r="CB23" s="422"/>
      <c r="CC23" s="422"/>
      <c r="CD23" s="422"/>
      <c r="CE23" s="422"/>
      <c r="CF23" s="422"/>
      <c r="CG23" s="422"/>
      <c r="CH23" s="422"/>
      <c r="CI23" s="422"/>
      <c r="CJ23" s="422"/>
      <c r="CK23" s="422"/>
      <c r="CL23" s="422"/>
      <c r="CM23" s="422"/>
      <c r="CN23" s="422"/>
      <c r="CO23" s="422"/>
      <c r="CP23" s="422"/>
      <c r="CQ23" s="422"/>
      <c r="CR23" s="422"/>
      <c r="CS23" s="422"/>
      <c r="CT23" s="422"/>
      <c r="CU23" s="422"/>
      <c r="CV23" s="422"/>
      <c r="CW23" s="422"/>
      <c r="CX23" s="422"/>
      <c r="CY23" s="422"/>
      <c r="CZ23" s="422"/>
      <c r="DA23" s="422"/>
      <c r="DB23" s="422"/>
      <c r="DC23" s="422"/>
      <c r="DD23" s="422"/>
      <c r="DE23" s="422"/>
      <c r="DF23" s="422"/>
      <c r="DG23" s="422"/>
      <c r="DH23" s="422"/>
      <c r="DI23" s="422"/>
      <c r="DJ23" s="422"/>
      <c r="DK23" s="422"/>
      <c r="DL23" s="422"/>
      <c r="DM23" s="422"/>
      <c r="DN23" s="422"/>
      <c r="DO23" s="422"/>
      <c r="DP23" s="422"/>
      <c r="DQ23" s="422"/>
      <c r="DR23" s="422"/>
      <c r="DS23" s="422"/>
      <c r="DT23" s="422"/>
      <c r="DU23" s="422"/>
      <c r="DV23" s="422"/>
      <c r="DW23" s="422"/>
      <c r="DX23" s="422"/>
      <c r="DY23" s="422"/>
      <c r="DZ23" s="422"/>
      <c r="EA23" s="422"/>
      <c r="EB23" s="422"/>
      <c r="EC23" s="422"/>
      <c r="ED23" s="422"/>
      <c r="EE23" s="422"/>
      <c r="EF23" s="422"/>
      <c r="EG23" s="422"/>
      <c r="EH23" s="422"/>
      <c r="EI23" s="422"/>
      <c r="EJ23" s="422"/>
      <c r="EK23" s="422"/>
      <c r="EL23" s="422"/>
      <c r="EM23" s="422"/>
      <c r="EN23" s="422"/>
      <c r="EO23" s="422"/>
      <c r="EP23" s="422"/>
      <c r="EQ23" s="422"/>
      <c r="ER23" s="422"/>
      <c r="ES23" s="422"/>
      <c r="ET23" s="422"/>
      <c r="EU23" s="422"/>
      <c r="EV23" s="422"/>
      <c r="EW23" s="422"/>
      <c r="EX23" s="422"/>
      <c r="EY23" s="422"/>
      <c r="EZ23" s="422"/>
      <c r="FA23" s="422"/>
      <c r="FB23" s="422"/>
      <c r="FC23" s="422"/>
      <c r="FD23" s="422"/>
      <c r="FE23" s="422"/>
      <c r="FF23" s="422"/>
      <c r="FG23" s="422"/>
      <c r="FH23" s="422"/>
      <c r="FI23" s="422"/>
      <c r="FJ23" s="422"/>
      <c r="FK23" s="422"/>
      <c r="FL23" s="422"/>
      <c r="FM23" s="422"/>
      <c r="FN23" s="422"/>
      <c r="FO23" s="422"/>
      <c r="FP23" s="422"/>
      <c r="FQ23" s="422"/>
      <c r="FR23" s="422"/>
      <c r="FS23" s="422"/>
      <c r="FT23" s="422"/>
      <c r="FU23" s="422"/>
      <c r="FV23" s="422"/>
      <c r="FW23" s="422"/>
      <c r="FX23" s="422"/>
      <c r="FY23" s="422"/>
      <c r="FZ23" s="422"/>
      <c r="GA23" s="422"/>
      <c r="GB23" s="422"/>
      <c r="GC23" s="422"/>
      <c r="GD23" s="422"/>
      <c r="GE23" s="422"/>
      <c r="GF23" s="422"/>
      <c r="GG23" s="422"/>
      <c r="GH23" s="422"/>
      <c r="GI23" s="422"/>
      <c r="GJ23" s="422"/>
      <c r="GK23" s="422"/>
      <c r="GL23" s="422"/>
      <c r="GM23" s="422"/>
      <c r="GN23" s="422"/>
      <c r="GO23" s="422"/>
      <c r="GP23" s="422"/>
      <c r="GQ23" s="422"/>
      <c r="GR23" s="422"/>
      <c r="GS23" s="422"/>
      <c r="GT23" s="422"/>
      <c r="GU23" s="422"/>
      <c r="GV23" s="422"/>
      <c r="GW23" s="422"/>
      <c r="GX23" s="422"/>
      <c r="GY23" s="422"/>
      <c r="GZ23" s="422"/>
      <c r="HA23" s="422"/>
      <c r="HB23" s="422"/>
      <c r="HC23" s="422"/>
      <c r="HD23" s="422"/>
      <c r="HE23" s="422"/>
      <c r="HF23" s="422"/>
      <c r="HG23" s="422"/>
      <c r="HH23" s="422"/>
      <c r="HI23" s="422"/>
      <c r="HJ23" s="422"/>
      <c r="HK23" s="422"/>
      <c r="HL23" s="422"/>
      <c r="HM23" s="422"/>
      <c r="HN23" s="422"/>
      <c r="HO23" s="422"/>
      <c r="HP23" s="422"/>
      <c r="HQ23" s="422"/>
      <c r="HR23" s="422"/>
      <c r="HS23" s="422"/>
      <c r="HT23" s="422"/>
      <c r="HU23" s="422"/>
      <c r="HV23" s="422"/>
      <c r="HW23" s="422"/>
      <c r="HX23" s="422"/>
      <c r="HY23" s="422"/>
      <c r="HZ23" s="422"/>
      <c r="IA23" s="422"/>
      <c r="IB23" s="422"/>
      <c r="IC23" s="422"/>
      <c r="ID23" s="422"/>
      <c r="IE23" s="422"/>
      <c r="IF23" s="422"/>
      <c r="IG23" s="422"/>
      <c r="IH23" s="422"/>
      <c r="II23" s="422"/>
      <c r="IJ23" s="422"/>
      <c r="IK23" s="422"/>
      <c r="IL23" s="422"/>
      <c r="IM23" s="422"/>
      <c r="IN23" s="422"/>
      <c r="IO23" s="422"/>
      <c r="IP23" s="422"/>
      <c r="IQ23" s="422"/>
      <c r="IR23" s="422"/>
      <c r="IS23" s="422"/>
      <c r="IT23" s="422"/>
    </row>
    <row r="24" spans="1:254" ht="40" customHeight="1">
      <c r="A24" s="2400" t="s">
        <v>991</v>
      </c>
      <c r="B24" s="2401"/>
      <c r="C24" s="2401"/>
      <c r="D24" s="2401"/>
      <c r="E24" s="2401"/>
      <c r="F24" s="2401"/>
      <c r="G24" s="2401"/>
      <c r="H24" s="2401"/>
      <c r="I24" s="2401"/>
      <c r="J24" s="2401"/>
      <c r="K24" s="2401"/>
      <c r="L24" s="2402"/>
      <c r="M24" s="295"/>
      <c r="N24" s="780"/>
      <c r="O24" s="290"/>
      <c r="P24" s="290"/>
      <c r="Q24" s="290"/>
      <c r="R24" s="290"/>
      <c r="S24" s="290"/>
      <c r="T24" s="290"/>
      <c r="U24" s="290"/>
      <c r="V24" s="290"/>
      <c r="W24" s="290"/>
      <c r="X24" s="290"/>
      <c r="Y24" s="290"/>
      <c r="Z24" s="290"/>
      <c r="AA24" s="290"/>
      <c r="AB24" s="290"/>
      <c r="AC24" s="290"/>
      <c r="AD24" s="290"/>
      <c r="AE24" s="290"/>
      <c r="AF24" s="290"/>
      <c r="AG24" s="290"/>
      <c r="AH24" s="290"/>
      <c r="AI24" s="290"/>
      <c r="AJ24" s="290"/>
      <c r="AK24" s="290"/>
      <c r="AL24" s="290"/>
      <c r="AM24" s="290"/>
      <c r="AN24" s="290"/>
      <c r="AO24" s="290"/>
      <c r="AP24" s="290"/>
      <c r="AQ24" s="290"/>
      <c r="AR24" s="290"/>
      <c r="AS24" s="290"/>
      <c r="AT24" s="290"/>
      <c r="AU24" s="290"/>
      <c r="AV24" s="290"/>
      <c r="AW24" s="290"/>
      <c r="AX24" s="290"/>
      <c r="AY24" s="290"/>
      <c r="AZ24" s="290"/>
      <c r="BA24" s="290"/>
      <c r="BB24" s="290"/>
      <c r="BC24" s="290"/>
      <c r="BD24" s="290"/>
      <c r="BE24" s="290"/>
      <c r="BF24" s="290"/>
      <c r="BG24" s="290"/>
      <c r="BH24" s="290"/>
      <c r="BI24" s="290"/>
      <c r="BJ24" s="290"/>
      <c r="BK24" s="290"/>
      <c r="BL24" s="290"/>
      <c r="BM24" s="290"/>
      <c r="BN24" s="290"/>
      <c r="BO24" s="290"/>
      <c r="BP24" s="290"/>
      <c r="BQ24" s="290"/>
      <c r="BR24" s="290"/>
      <c r="BS24" s="290"/>
      <c r="BT24" s="290"/>
      <c r="BU24" s="290"/>
      <c r="BV24" s="290"/>
      <c r="BW24" s="290"/>
      <c r="BX24" s="290"/>
      <c r="BY24" s="290"/>
      <c r="BZ24" s="290"/>
      <c r="CA24" s="290"/>
      <c r="CB24" s="290"/>
      <c r="CC24" s="290"/>
      <c r="CD24" s="290"/>
      <c r="CE24" s="290"/>
      <c r="CF24" s="290"/>
      <c r="CG24" s="290"/>
      <c r="CH24" s="290"/>
      <c r="CI24" s="290"/>
      <c r="CJ24" s="290"/>
      <c r="CK24" s="290"/>
      <c r="CL24" s="290"/>
      <c r="CM24" s="290"/>
      <c r="CN24" s="290"/>
      <c r="CO24" s="290"/>
      <c r="CP24" s="290"/>
      <c r="CQ24" s="290"/>
      <c r="CR24" s="290"/>
      <c r="CS24" s="290"/>
      <c r="CT24" s="290"/>
      <c r="CU24" s="290"/>
      <c r="CV24" s="290"/>
      <c r="CW24" s="290"/>
      <c r="CX24" s="290"/>
      <c r="CY24" s="290"/>
      <c r="CZ24" s="290"/>
      <c r="DA24" s="290"/>
      <c r="DB24" s="290"/>
      <c r="DC24" s="290"/>
      <c r="DD24" s="290"/>
      <c r="DE24" s="290"/>
      <c r="DF24" s="290"/>
      <c r="DG24" s="290"/>
      <c r="DH24" s="290"/>
      <c r="DI24" s="290"/>
      <c r="DJ24" s="290"/>
      <c r="DK24" s="290"/>
      <c r="DL24" s="290"/>
      <c r="DM24" s="290"/>
      <c r="DN24" s="290"/>
      <c r="DO24" s="290"/>
      <c r="DP24" s="290"/>
      <c r="DQ24" s="290"/>
      <c r="DR24" s="290"/>
      <c r="DS24" s="290"/>
      <c r="DT24" s="290"/>
      <c r="DU24" s="290"/>
      <c r="DV24" s="290"/>
      <c r="DW24" s="290"/>
      <c r="DX24" s="290"/>
      <c r="DY24" s="290"/>
      <c r="DZ24" s="290"/>
      <c r="EA24" s="290"/>
      <c r="EB24" s="290"/>
      <c r="EC24" s="290"/>
      <c r="ED24" s="290"/>
      <c r="EE24" s="290"/>
      <c r="EF24" s="290"/>
      <c r="EG24" s="290"/>
      <c r="EH24" s="290"/>
      <c r="EI24" s="290"/>
      <c r="EJ24" s="290"/>
      <c r="EK24" s="290"/>
      <c r="EL24" s="290"/>
      <c r="EM24" s="290"/>
      <c r="EN24" s="290"/>
      <c r="EO24" s="290"/>
      <c r="EP24" s="290"/>
      <c r="EQ24" s="290"/>
      <c r="ER24" s="290"/>
      <c r="ES24" s="290"/>
      <c r="ET24" s="290"/>
      <c r="EU24" s="290"/>
      <c r="EV24" s="290"/>
      <c r="EW24" s="290"/>
      <c r="EX24" s="290"/>
      <c r="EY24" s="290"/>
      <c r="EZ24" s="290"/>
      <c r="FA24" s="290"/>
      <c r="FB24" s="290"/>
      <c r="FC24" s="290"/>
      <c r="FD24" s="290"/>
      <c r="FE24" s="290"/>
      <c r="FF24" s="290"/>
      <c r="FG24" s="290"/>
      <c r="FH24" s="290"/>
      <c r="FI24" s="290"/>
      <c r="FJ24" s="290"/>
      <c r="FK24" s="290"/>
      <c r="FL24" s="290"/>
      <c r="FM24" s="290"/>
      <c r="FN24" s="290"/>
      <c r="FO24" s="290"/>
      <c r="FP24" s="290"/>
      <c r="FQ24" s="290"/>
      <c r="FR24" s="290"/>
      <c r="FS24" s="290"/>
      <c r="FT24" s="290"/>
      <c r="FU24" s="290"/>
      <c r="FV24" s="290"/>
      <c r="FW24" s="290"/>
      <c r="FX24" s="290"/>
      <c r="FY24" s="290"/>
      <c r="FZ24" s="290"/>
      <c r="GA24" s="290"/>
      <c r="GB24" s="290"/>
      <c r="GC24" s="290"/>
      <c r="GD24" s="290"/>
      <c r="GE24" s="290"/>
      <c r="GF24" s="290"/>
      <c r="GG24" s="290"/>
      <c r="GH24" s="290"/>
      <c r="GI24" s="290"/>
      <c r="GJ24" s="290"/>
      <c r="GK24" s="290"/>
      <c r="GL24" s="290"/>
      <c r="GM24" s="290"/>
      <c r="GN24" s="290"/>
      <c r="GO24" s="290"/>
      <c r="GP24" s="290"/>
      <c r="GQ24" s="290"/>
      <c r="GR24" s="290"/>
      <c r="GS24" s="290"/>
      <c r="GT24" s="290"/>
      <c r="GU24" s="290"/>
      <c r="GV24" s="290"/>
      <c r="GW24" s="290"/>
      <c r="GX24" s="290"/>
      <c r="GY24" s="290"/>
      <c r="GZ24" s="290"/>
      <c r="HA24" s="290"/>
      <c r="HB24" s="290"/>
      <c r="HC24" s="290"/>
      <c r="HD24" s="290"/>
      <c r="HE24" s="290"/>
      <c r="HF24" s="290"/>
      <c r="HG24" s="290"/>
      <c r="HH24" s="290"/>
      <c r="HI24" s="290"/>
      <c r="HJ24" s="290"/>
      <c r="HK24" s="290"/>
      <c r="HL24" s="290"/>
      <c r="HM24" s="290"/>
      <c r="HN24" s="290"/>
      <c r="HO24" s="290"/>
      <c r="HP24" s="290"/>
      <c r="HQ24" s="290"/>
      <c r="HR24" s="290"/>
      <c r="HS24" s="290"/>
      <c r="HT24" s="290"/>
      <c r="HU24" s="290"/>
      <c r="HV24" s="290"/>
      <c r="HW24" s="290"/>
      <c r="HX24" s="290"/>
      <c r="HY24" s="290"/>
      <c r="HZ24" s="290"/>
      <c r="IA24" s="290"/>
      <c r="IB24" s="290"/>
      <c r="IC24" s="290"/>
      <c r="ID24" s="290"/>
      <c r="IE24" s="290"/>
      <c r="IF24" s="290"/>
      <c r="IG24" s="290"/>
      <c r="IH24" s="290"/>
      <c r="II24" s="290"/>
      <c r="IJ24" s="290"/>
      <c r="IK24" s="290"/>
      <c r="IL24" s="290"/>
      <c r="IM24" s="290"/>
      <c r="IN24" s="290"/>
      <c r="IO24" s="290"/>
      <c r="IP24" s="290"/>
      <c r="IQ24" s="290"/>
      <c r="IR24" s="290"/>
      <c r="IS24" s="290"/>
      <c r="IT24" s="290"/>
    </row>
    <row r="25" spans="1:254" ht="31.5" customHeight="1">
      <c r="A25" s="706" t="s">
        <v>911</v>
      </c>
      <c r="B25" s="719"/>
      <c r="C25" s="719"/>
      <c r="D25" s="719"/>
      <c r="E25" s="719"/>
      <c r="F25" s="719"/>
      <c r="G25" s="719"/>
      <c r="H25" s="719"/>
      <c r="I25" s="719"/>
      <c r="J25" s="719"/>
      <c r="K25" s="719"/>
      <c r="L25" s="720"/>
      <c r="M25" s="295"/>
      <c r="N25" s="780"/>
      <c r="O25" s="290"/>
      <c r="P25" s="290"/>
      <c r="Q25" s="290"/>
      <c r="R25" s="290"/>
      <c r="S25" s="290"/>
      <c r="T25" s="290"/>
      <c r="U25" s="290"/>
      <c r="V25" s="290"/>
      <c r="W25" s="290"/>
      <c r="X25" s="290"/>
      <c r="Y25" s="290"/>
      <c r="Z25" s="290"/>
      <c r="AA25" s="290"/>
      <c r="AB25" s="290"/>
      <c r="AC25" s="290"/>
      <c r="AD25" s="290"/>
      <c r="AE25" s="290"/>
      <c r="AF25" s="290"/>
      <c r="AG25" s="290"/>
      <c r="AH25" s="290"/>
      <c r="AI25" s="290"/>
      <c r="AJ25" s="290"/>
      <c r="AK25" s="290"/>
      <c r="AL25" s="290"/>
      <c r="AM25" s="290"/>
      <c r="AN25" s="290"/>
      <c r="AO25" s="290"/>
      <c r="AP25" s="290"/>
      <c r="AQ25" s="290"/>
      <c r="AR25" s="290"/>
      <c r="AS25" s="290"/>
      <c r="AT25" s="290"/>
      <c r="AU25" s="290"/>
      <c r="AV25" s="290"/>
      <c r="AW25" s="290"/>
      <c r="AX25" s="290"/>
      <c r="AY25" s="290"/>
      <c r="AZ25" s="290"/>
      <c r="BA25" s="290"/>
      <c r="BB25" s="290"/>
      <c r="BC25" s="290"/>
      <c r="BD25" s="290"/>
      <c r="BE25" s="290"/>
      <c r="BF25" s="290"/>
      <c r="BG25" s="290"/>
      <c r="BH25" s="290"/>
      <c r="BI25" s="290"/>
      <c r="BJ25" s="290"/>
      <c r="BK25" s="290"/>
      <c r="BL25" s="290"/>
      <c r="BM25" s="290"/>
      <c r="BN25" s="290"/>
      <c r="BO25" s="290"/>
      <c r="BP25" s="290"/>
      <c r="BQ25" s="290"/>
      <c r="BR25" s="290"/>
      <c r="BS25" s="290"/>
      <c r="BT25" s="290"/>
      <c r="BU25" s="290"/>
      <c r="BV25" s="290"/>
      <c r="BW25" s="290"/>
      <c r="BX25" s="290"/>
      <c r="BY25" s="290"/>
      <c r="BZ25" s="290"/>
      <c r="CA25" s="290"/>
      <c r="CB25" s="290"/>
      <c r="CC25" s="290"/>
      <c r="CD25" s="290"/>
      <c r="CE25" s="290"/>
      <c r="CF25" s="290"/>
      <c r="CG25" s="290"/>
      <c r="CH25" s="290"/>
      <c r="CI25" s="290"/>
      <c r="CJ25" s="290"/>
      <c r="CK25" s="290"/>
      <c r="CL25" s="290"/>
      <c r="CM25" s="290"/>
      <c r="CN25" s="290"/>
      <c r="CO25" s="290"/>
      <c r="CP25" s="290"/>
      <c r="CQ25" s="290"/>
      <c r="CR25" s="290"/>
      <c r="CS25" s="290"/>
      <c r="CT25" s="290"/>
      <c r="CU25" s="290"/>
      <c r="CV25" s="290"/>
      <c r="CW25" s="290"/>
      <c r="CX25" s="290"/>
      <c r="CY25" s="290"/>
      <c r="CZ25" s="290"/>
      <c r="DA25" s="290"/>
      <c r="DB25" s="290"/>
      <c r="DC25" s="290"/>
      <c r="DD25" s="290"/>
      <c r="DE25" s="290"/>
      <c r="DF25" s="290"/>
      <c r="DG25" s="290"/>
      <c r="DH25" s="290"/>
      <c r="DI25" s="290"/>
      <c r="DJ25" s="290"/>
      <c r="DK25" s="290"/>
      <c r="DL25" s="290"/>
      <c r="DM25" s="290"/>
      <c r="DN25" s="290"/>
      <c r="DO25" s="290"/>
      <c r="DP25" s="290"/>
      <c r="DQ25" s="290"/>
      <c r="DR25" s="290"/>
      <c r="DS25" s="290"/>
      <c r="DT25" s="290"/>
      <c r="DU25" s="290"/>
      <c r="DV25" s="290"/>
      <c r="DW25" s="290"/>
      <c r="DX25" s="290"/>
      <c r="DY25" s="290"/>
      <c r="DZ25" s="290"/>
      <c r="EA25" s="290"/>
      <c r="EB25" s="290"/>
      <c r="EC25" s="290"/>
      <c r="ED25" s="290"/>
      <c r="EE25" s="290"/>
      <c r="EF25" s="290"/>
      <c r="EG25" s="290"/>
      <c r="EH25" s="290"/>
      <c r="EI25" s="290"/>
      <c r="EJ25" s="290"/>
      <c r="EK25" s="290"/>
      <c r="EL25" s="290"/>
      <c r="EM25" s="290"/>
      <c r="EN25" s="290"/>
      <c r="EO25" s="290"/>
      <c r="EP25" s="290"/>
      <c r="EQ25" s="290"/>
      <c r="ER25" s="290"/>
      <c r="ES25" s="290"/>
      <c r="ET25" s="290"/>
      <c r="EU25" s="290"/>
      <c r="EV25" s="290"/>
      <c r="EW25" s="290"/>
      <c r="EX25" s="290"/>
      <c r="EY25" s="290"/>
      <c r="EZ25" s="290"/>
      <c r="FA25" s="290"/>
      <c r="FB25" s="290"/>
      <c r="FC25" s="290"/>
      <c r="FD25" s="290"/>
      <c r="FE25" s="290"/>
      <c r="FF25" s="290"/>
      <c r="FG25" s="290"/>
      <c r="FH25" s="290"/>
      <c r="FI25" s="290"/>
      <c r="FJ25" s="290"/>
      <c r="FK25" s="290"/>
      <c r="FL25" s="290"/>
      <c r="FM25" s="290"/>
      <c r="FN25" s="290"/>
      <c r="FO25" s="290"/>
      <c r="FP25" s="290"/>
      <c r="FQ25" s="290"/>
      <c r="FR25" s="290"/>
      <c r="FS25" s="290"/>
      <c r="FT25" s="290"/>
      <c r="FU25" s="290"/>
      <c r="FV25" s="290"/>
      <c r="FW25" s="290"/>
      <c r="FX25" s="290"/>
      <c r="FY25" s="290"/>
      <c r="FZ25" s="290"/>
      <c r="GA25" s="290"/>
      <c r="GB25" s="290"/>
      <c r="GC25" s="290"/>
      <c r="GD25" s="290"/>
      <c r="GE25" s="290"/>
      <c r="GF25" s="290"/>
      <c r="GG25" s="290"/>
      <c r="GH25" s="290"/>
      <c r="GI25" s="290"/>
      <c r="GJ25" s="290"/>
      <c r="GK25" s="290"/>
      <c r="GL25" s="290"/>
      <c r="GM25" s="290"/>
      <c r="GN25" s="290"/>
      <c r="GO25" s="290"/>
      <c r="GP25" s="290"/>
      <c r="GQ25" s="290"/>
      <c r="GR25" s="290"/>
      <c r="GS25" s="290"/>
      <c r="GT25" s="290"/>
      <c r="GU25" s="290"/>
      <c r="GV25" s="290"/>
      <c r="GW25" s="290"/>
      <c r="GX25" s="290"/>
      <c r="GY25" s="290"/>
      <c r="GZ25" s="290"/>
      <c r="HA25" s="290"/>
      <c r="HB25" s="290"/>
      <c r="HC25" s="290"/>
      <c r="HD25" s="290"/>
      <c r="HE25" s="290"/>
      <c r="HF25" s="290"/>
      <c r="HG25" s="290"/>
      <c r="HH25" s="290"/>
      <c r="HI25" s="290"/>
      <c r="HJ25" s="290"/>
      <c r="HK25" s="290"/>
      <c r="HL25" s="290"/>
      <c r="HM25" s="290"/>
      <c r="HN25" s="290"/>
      <c r="HO25" s="290"/>
      <c r="HP25" s="290"/>
      <c r="HQ25" s="290"/>
      <c r="HR25" s="290"/>
      <c r="HS25" s="290"/>
      <c r="HT25" s="290"/>
      <c r="HU25" s="290"/>
      <c r="HV25" s="290"/>
      <c r="HW25" s="290"/>
      <c r="HX25" s="290"/>
      <c r="HY25" s="290"/>
      <c r="HZ25" s="290"/>
      <c r="IA25" s="290"/>
      <c r="IB25" s="290"/>
      <c r="IC25" s="290"/>
      <c r="ID25" s="290"/>
      <c r="IE25" s="290"/>
      <c r="IF25" s="290"/>
      <c r="IG25" s="290"/>
      <c r="IH25" s="290"/>
      <c r="II25" s="290"/>
      <c r="IJ25" s="290"/>
      <c r="IK25" s="290"/>
      <c r="IL25" s="290"/>
      <c r="IM25" s="290"/>
      <c r="IN25" s="290"/>
      <c r="IO25" s="290"/>
      <c r="IP25" s="290"/>
      <c r="IQ25" s="290"/>
      <c r="IR25" s="290"/>
      <c r="IS25" s="290"/>
      <c r="IT25" s="290"/>
    </row>
    <row r="26" spans="1:254" ht="35.15" customHeight="1">
      <c r="A26" s="2390" t="s">
        <v>912</v>
      </c>
      <c r="B26" s="2391"/>
      <c r="C26" s="2391"/>
      <c r="D26" s="2391"/>
      <c r="E26" s="2391"/>
      <c r="F26" s="2391"/>
      <c r="G26" s="2391"/>
      <c r="H26" s="2391"/>
      <c r="I26" s="2391"/>
      <c r="J26" s="2391"/>
      <c r="K26" s="2391"/>
      <c r="L26" s="2392"/>
      <c r="M26" s="295"/>
      <c r="N26" s="780"/>
      <c r="O26" s="290"/>
      <c r="P26" s="290"/>
      <c r="Q26" s="290"/>
      <c r="R26" s="290"/>
      <c r="S26" s="290"/>
      <c r="T26" s="290"/>
      <c r="U26" s="290"/>
      <c r="V26" s="290"/>
      <c r="W26" s="290"/>
      <c r="X26" s="290"/>
      <c r="Y26" s="290"/>
      <c r="Z26" s="290"/>
      <c r="AA26" s="290"/>
      <c r="AB26" s="290"/>
      <c r="AC26" s="290"/>
      <c r="AD26" s="290"/>
      <c r="AE26" s="290"/>
      <c r="AF26" s="290"/>
      <c r="AG26" s="290"/>
      <c r="AH26" s="290"/>
      <c r="AI26" s="290"/>
      <c r="AJ26" s="290"/>
      <c r="AK26" s="290"/>
      <c r="AL26" s="290"/>
      <c r="AM26" s="290"/>
      <c r="AN26" s="290"/>
      <c r="AO26" s="290"/>
      <c r="AP26" s="290"/>
      <c r="AQ26" s="290"/>
      <c r="AR26" s="290"/>
      <c r="AS26" s="290"/>
      <c r="AT26" s="290"/>
      <c r="AU26" s="290"/>
      <c r="AV26" s="290"/>
      <c r="AW26" s="290"/>
      <c r="AX26" s="290"/>
      <c r="AY26" s="290"/>
      <c r="AZ26" s="290"/>
      <c r="BA26" s="290"/>
      <c r="BB26" s="290"/>
      <c r="BC26" s="290"/>
      <c r="BD26" s="290"/>
      <c r="BE26" s="290"/>
      <c r="BF26" s="290"/>
      <c r="BG26" s="290"/>
      <c r="BH26" s="290"/>
      <c r="BI26" s="290"/>
      <c r="BJ26" s="290"/>
      <c r="BK26" s="290"/>
      <c r="BL26" s="290"/>
      <c r="BM26" s="290"/>
      <c r="BN26" s="290"/>
      <c r="BO26" s="290"/>
      <c r="BP26" s="290"/>
      <c r="BQ26" s="290"/>
      <c r="BR26" s="290"/>
      <c r="BS26" s="290"/>
      <c r="BT26" s="290"/>
      <c r="BU26" s="290"/>
      <c r="BV26" s="290"/>
      <c r="BW26" s="290"/>
      <c r="BX26" s="290"/>
      <c r="BY26" s="290"/>
      <c r="BZ26" s="290"/>
      <c r="CA26" s="290"/>
      <c r="CB26" s="290"/>
      <c r="CC26" s="290"/>
      <c r="CD26" s="290"/>
      <c r="CE26" s="290"/>
      <c r="CF26" s="290"/>
      <c r="CG26" s="290"/>
      <c r="CH26" s="290"/>
      <c r="CI26" s="290"/>
      <c r="CJ26" s="290"/>
      <c r="CK26" s="290"/>
      <c r="CL26" s="290"/>
      <c r="CM26" s="290"/>
      <c r="CN26" s="290"/>
      <c r="CO26" s="290"/>
      <c r="CP26" s="290"/>
      <c r="CQ26" s="290"/>
      <c r="CR26" s="290"/>
      <c r="CS26" s="290"/>
      <c r="CT26" s="290"/>
      <c r="CU26" s="290"/>
      <c r="CV26" s="290"/>
      <c r="CW26" s="290"/>
      <c r="CX26" s="290"/>
      <c r="CY26" s="290"/>
      <c r="CZ26" s="290"/>
      <c r="DA26" s="290"/>
      <c r="DB26" s="290"/>
      <c r="DC26" s="290"/>
      <c r="DD26" s="290"/>
      <c r="DE26" s="290"/>
      <c r="DF26" s="290"/>
      <c r="DG26" s="290"/>
      <c r="DH26" s="290"/>
      <c r="DI26" s="290"/>
      <c r="DJ26" s="290"/>
      <c r="DK26" s="290"/>
      <c r="DL26" s="290"/>
      <c r="DM26" s="290"/>
      <c r="DN26" s="290"/>
      <c r="DO26" s="290"/>
      <c r="DP26" s="290"/>
      <c r="DQ26" s="290"/>
      <c r="DR26" s="290"/>
      <c r="DS26" s="290"/>
      <c r="DT26" s="290"/>
      <c r="DU26" s="290"/>
      <c r="DV26" s="290"/>
      <c r="DW26" s="290"/>
      <c r="DX26" s="290"/>
      <c r="DY26" s="290"/>
      <c r="DZ26" s="290"/>
      <c r="EA26" s="290"/>
      <c r="EB26" s="290"/>
      <c r="EC26" s="290"/>
      <c r="ED26" s="290"/>
      <c r="EE26" s="290"/>
      <c r="EF26" s="290"/>
      <c r="EG26" s="290"/>
      <c r="EH26" s="290"/>
      <c r="EI26" s="290"/>
      <c r="EJ26" s="290"/>
      <c r="EK26" s="290"/>
      <c r="EL26" s="290"/>
      <c r="EM26" s="290"/>
      <c r="EN26" s="290"/>
      <c r="EO26" s="290"/>
      <c r="EP26" s="290"/>
      <c r="EQ26" s="290"/>
      <c r="ER26" s="290"/>
      <c r="ES26" s="290"/>
      <c r="ET26" s="290"/>
      <c r="EU26" s="290"/>
      <c r="EV26" s="290"/>
      <c r="EW26" s="290"/>
      <c r="EX26" s="290"/>
      <c r="EY26" s="290"/>
      <c r="EZ26" s="290"/>
      <c r="FA26" s="290"/>
      <c r="FB26" s="290"/>
      <c r="FC26" s="290"/>
      <c r="FD26" s="290"/>
      <c r="FE26" s="290"/>
      <c r="FF26" s="290"/>
      <c r="FG26" s="290"/>
      <c r="FH26" s="290"/>
      <c r="FI26" s="290"/>
      <c r="FJ26" s="290"/>
      <c r="FK26" s="290"/>
      <c r="FL26" s="290"/>
      <c r="FM26" s="290"/>
      <c r="FN26" s="290"/>
      <c r="FO26" s="290"/>
      <c r="FP26" s="290"/>
      <c r="FQ26" s="290"/>
      <c r="FR26" s="290"/>
      <c r="FS26" s="290"/>
      <c r="FT26" s="290"/>
      <c r="FU26" s="290"/>
      <c r="FV26" s="290"/>
      <c r="FW26" s="290"/>
      <c r="FX26" s="290"/>
      <c r="FY26" s="290"/>
      <c r="FZ26" s="290"/>
      <c r="GA26" s="290"/>
      <c r="GB26" s="290"/>
      <c r="GC26" s="290"/>
      <c r="GD26" s="290"/>
      <c r="GE26" s="290"/>
      <c r="GF26" s="290"/>
      <c r="GG26" s="290"/>
      <c r="GH26" s="290"/>
      <c r="GI26" s="290"/>
      <c r="GJ26" s="290"/>
      <c r="GK26" s="290"/>
      <c r="GL26" s="290"/>
      <c r="GM26" s="290"/>
      <c r="GN26" s="290"/>
      <c r="GO26" s="290"/>
      <c r="GP26" s="290"/>
      <c r="GQ26" s="290"/>
      <c r="GR26" s="290"/>
      <c r="GS26" s="290"/>
      <c r="GT26" s="290"/>
      <c r="GU26" s="290"/>
      <c r="GV26" s="290"/>
      <c r="GW26" s="290"/>
      <c r="GX26" s="290"/>
      <c r="GY26" s="290"/>
      <c r="GZ26" s="290"/>
      <c r="HA26" s="290"/>
      <c r="HB26" s="290"/>
      <c r="HC26" s="290"/>
      <c r="HD26" s="290"/>
      <c r="HE26" s="290"/>
      <c r="HF26" s="290"/>
      <c r="HG26" s="290"/>
      <c r="HH26" s="290"/>
      <c r="HI26" s="290"/>
      <c r="HJ26" s="290"/>
      <c r="HK26" s="290"/>
      <c r="HL26" s="290"/>
      <c r="HM26" s="290"/>
      <c r="HN26" s="290"/>
      <c r="HO26" s="290"/>
      <c r="HP26" s="290"/>
      <c r="HQ26" s="290"/>
      <c r="HR26" s="290"/>
      <c r="HS26" s="290"/>
      <c r="HT26" s="290"/>
      <c r="HU26" s="290"/>
      <c r="HV26" s="290"/>
      <c r="HW26" s="290"/>
      <c r="HX26" s="290"/>
      <c r="HY26" s="290"/>
      <c r="HZ26" s="290"/>
      <c r="IA26" s="290"/>
      <c r="IB26" s="290"/>
      <c r="IC26" s="290"/>
      <c r="ID26" s="290"/>
      <c r="IE26" s="290"/>
      <c r="IF26" s="290"/>
      <c r="IG26" s="290"/>
      <c r="IH26" s="290"/>
      <c r="II26" s="290"/>
      <c r="IJ26" s="290"/>
      <c r="IK26" s="290"/>
      <c r="IL26" s="290"/>
      <c r="IM26" s="290"/>
      <c r="IN26" s="290"/>
      <c r="IO26" s="290"/>
      <c r="IP26" s="290"/>
      <c r="IQ26" s="290"/>
      <c r="IR26" s="290"/>
      <c r="IS26" s="290"/>
      <c r="IT26" s="290"/>
    </row>
    <row r="27" spans="1:254" ht="35.15" customHeight="1">
      <c r="A27" s="2415" t="s">
        <v>1261</v>
      </c>
      <c r="B27" s="2416"/>
      <c r="C27" s="2416"/>
      <c r="D27" s="2416"/>
      <c r="E27" s="2416"/>
      <c r="F27" s="2416"/>
      <c r="G27" s="2416"/>
      <c r="H27" s="2416"/>
      <c r="I27" s="2416"/>
      <c r="J27" s="2416"/>
      <c r="K27" s="2416"/>
      <c r="L27" s="2417"/>
      <c r="M27" s="295"/>
      <c r="N27" s="780"/>
      <c r="O27" s="290"/>
      <c r="P27" s="290"/>
      <c r="Q27" s="290"/>
      <c r="R27" s="290"/>
      <c r="S27" s="290"/>
      <c r="T27" s="290"/>
      <c r="U27" s="290"/>
      <c r="V27" s="290"/>
      <c r="W27" s="290"/>
      <c r="X27" s="290"/>
      <c r="Y27" s="290"/>
      <c r="Z27" s="290"/>
      <c r="AA27" s="290"/>
      <c r="AB27" s="290"/>
      <c r="AC27" s="290"/>
      <c r="AD27" s="290"/>
      <c r="AE27" s="290"/>
      <c r="AF27" s="290"/>
      <c r="AG27" s="290"/>
      <c r="AH27" s="290"/>
      <c r="AI27" s="290"/>
      <c r="AJ27" s="290"/>
      <c r="AK27" s="290"/>
      <c r="AL27" s="290"/>
      <c r="AM27" s="290"/>
      <c r="AN27" s="290"/>
      <c r="AO27" s="290"/>
      <c r="AP27" s="290"/>
      <c r="AQ27" s="290"/>
      <c r="AR27" s="290"/>
      <c r="AS27" s="290"/>
      <c r="AT27" s="290"/>
      <c r="AU27" s="290"/>
      <c r="AV27" s="290"/>
      <c r="AW27" s="290"/>
      <c r="AX27" s="290"/>
      <c r="AY27" s="290"/>
      <c r="AZ27" s="290"/>
      <c r="BA27" s="290"/>
      <c r="BB27" s="290"/>
      <c r="BC27" s="290"/>
      <c r="BD27" s="290"/>
      <c r="BE27" s="290"/>
      <c r="BF27" s="290"/>
      <c r="BG27" s="290"/>
      <c r="BH27" s="290"/>
      <c r="BI27" s="290"/>
      <c r="BJ27" s="290"/>
      <c r="BK27" s="290"/>
      <c r="BL27" s="290"/>
      <c r="BM27" s="290"/>
      <c r="BN27" s="290"/>
      <c r="BO27" s="290"/>
      <c r="BP27" s="290"/>
      <c r="BQ27" s="290"/>
      <c r="BR27" s="290"/>
      <c r="BS27" s="290"/>
      <c r="BT27" s="290"/>
      <c r="BU27" s="290"/>
      <c r="BV27" s="290"/>
      <c r="BW27" s="290"/>
      <c r="BX27" s="290"/>
      <c r="BY27" s="290"/>
      <c r="BZ27" s="290"/>
      <c r="CA27" s="290"/>
      <c r="CB27" s="290"/>
      <c r="CC27" s="290"/>
      <c r="CD27" s="290"/>
      <c r="CE27" s="290"/>
      <c r="CF27" s="290"/>
      <c r="CG27" s="290"/>
      <c r="CH27" s="290"/>
      <c r="CI27" s="290"/>
      <c r="CJ27" s="290"/>
      <c r="CK27" s="290"/>
      <c r="CL27" s="290"/>
      <c r="CM27" s="290"/>
      <c r="CN27" s="290"/>
      <c r="CO27" s="290"/>
      <c r="CP27" s="290"/>
      <c r="CQ27" s="290"/>
      <c r="CR27" s="290"/>
      <c r="CS27" s="290"/>
      <c r="CT27" s="290"/>
      <c r="CU27" s="290"/>
      <c r="CV27" s="290"/>
      <c r="CW27" s="290"/>
      <c r="CX27" s="290"/>
      <c r="CY27" s="290"/>
      <c r="CZ27" s="290"/>
      <c r="DA27" s="290"/>
      <c r="DB27" s="290"/>
      <c r="DC27" s="290"/>
      <c r="DD27" s="290"/>
      <c r="DE27" s="290"/>
      <c r="DF27" s="290"/>
      <c r="DG27" s="290"/>
      <c r="DH27" s="290"/>
      <c r="DI27" s="290"/>
      <c r="DJ27" s="290"/>
      <c r="DK27" s="290"/>
      <c r="DL27" s="290"/>
      <c r="DM27" s="290"/>
      <c r="DN27" s="290"/>
      <c r="DO27" s="290"/>
      <c r="DP27" s="290"/>
      <c r="DQ27" s="290"/>
      <c r="DR27" s="290"/>
      <c r="DS27" s="290"/>
      <c r="DT27" s="290"/>
      <c r="DU27" s="290"/>
      <c r="DV27" s="290"/>
      <c r="DW27" s="290"/>
      <c r="DX27" s="290"/>
      <c r="DY27" s="290"/>
      <c r="DZ27" s="290"/>
      <c r="EA27" s="290"/>
      <c r="EB27" s="290"/>
      <c r="EC27" s="290"/>
      <c r="ED27" s="290"/>
      <c r="EE27" s="290"/>
      <c r="EF27" s="290"/>
      <c r="EG27" s="290"/>
      <c r="EH27" s="290"/>
      <c r="EI27" s="290"/>
      <c r="EJ27" s="290"/>
      <c r="EK27" s="290"/>
      <c r="EL27" s="290"/>
      <c r="EM27" s="290"/>
      <c r="EN27" s="290"/>
      <c r="EO27" s="290"/>
      <c r="EP27" s="290"/>
      <c r="EQ27" s="290"/>
      <c r="ER27" s="290"/>
      <c r="ES27" s="290"/>
      <c r="ET27" s="290"/>
      <c r="EU27" s="290"/>
      <c r="EV27" s="290"/>
      <c r="EW27" s="290"/>
      <c r="EX27" s="290"/>
      <c r="EY27" s="290"/>
      <c r="EZ27" s="290"/>
      <c r="FA27" s="290"/>
      <c r="FB27" s="290"/>
      <c r="FC27" s="290"/>
      <c r="FD27" s="290"/>
      <c r="FE27" s="290"/>
      <c r="FF27" s="290"/>
      <c r="FG27" s="290"/>
      <c r="FH27" s="290"/>
      <c r="FI27" s="290"/>
      <c r="FJ27" s="290"/>
      <c r="FK27" s="290"/>
      <c r="FL27" s="290"/>
      <c r="FM27" s="290"/>
      <c r="FN27" s="290"/>
      <c r="FO27" s="290"/>
      <c r="FP27" s="290"/>
      <c r="FQ27" s="290"/>
      <c r="FR27" s="290"/>
      <c r="FS27" s="290"/>
      <c r="FT27" s="290"/>
      <c r="FU27" s="290"/>
      <c r="FV27" s="290"/>
      <c r="FW27" s="290"/>
      <c r="FX27" s="290"/>
      <c r="FY27" s="290"/>
      <c r="FZ27" s="290"/>
      <c r="GA27" s="290"/>
      <c r="GB27" s="290"/>
      <c r="GC27" s="290"/>
      <c r="GD27" s="290"/>
      <c r="GE27" s="290"/>
      <c r="GF27" s="290"/>
      <c r="GG27" s="290"/>
      <c r="GH27" s="290"/>
      <c r="GI27" s="290"/>
      <c r="GJ27" s="290"/>
      <c r="GK27" s="290"/>
      <c r="GL27" s="290"/>
      <c r="GM27" s="290"/>
      <c r="GN27" s="290"/>
      <c r="GO27" s="290"/>
      <c r="GP27" s="290"/>
      <c r="GQ27" s="290"/>
      <c r="GR27" s="290"/>
      <c r="GS27" s="290"/>
      <c r="GT27" s="290"/>
      <c r="GU27" s="290"/>
      <c r="GV27" s="290"/>
      <c r="GW27" s="290"/>
      <c r="GX27" s="290"/>
      <c r="GY27" s="290"/>
      <c r="GZ27" s="290"/>
      <c r="HA27" s="290"/>
      <c r="HB27" s="290"/>
      <c r="HC27" s="290"/>
      <c r="HD27" s="290"/>
      <c r="HE27" s="290"/>
      <c r="HF27" s="290"/>
      <c r="HG27" s="290"/>
      <c r="HH27" s="290"/>
      <c r="HI27" s="290"/>
      <c r="HJ27" s="290"/>
      <c r="HK27" s="290"/>
      <c r="HL27" s="290"/>
      <c r="HM27" s="290"/>
      <c r="HN27" s="290"/>
      <c r="HO27" s="290"/>
      <c r="HP27" s="290"/>
      <c r="HQ27" s="290"/>
      <c r="HR27" s="290"/>
      <c r="HS27" s="290"/>
      <c r="HT27" s="290"/>
      <c r="HU27" s="290"/>
      <c r="HV27" s="290"/>
      <c r="HW27" s="290"/>
      <c r="HX27" s="290"/>
      <c r="HY27" s="290"/>
      <c r="HZ27" s="290"/>
      <c r="IA27" s="290"/>
      <c r="IB27" s="290"/>
      <c r="IC27" s="290"/>
      <c r="ID27" s="290"/>
      <c r="IE27" s="290"/>
      <c r="IF27" s="290"/>
      <c r="IG27" s="290"/>
      <c r="IH27" s="290"/>
      <c r="II27" s="290"/>
      <c r="IJ27" s="290"/>
      <c r="IK27" s="290"/>
      <c r="IL27" s="290"/>
      <c r="IM27" s="290"/>
      <c r="IN27" s="290"/>
      <c r="IO27" s="290"/>
      <c r="IP27" s="290"/>
      <c r="IQ27" s="290"/>
      <c r="IR27" s="290"/>
      <c r="IS27" s="290"/>
      <c r="IT27" s="290"/>
    </row>
    <row r="28" spans="1:254" ht="6.75" customHeight="1">
      <c r="A28" s="21"/>
      <c r="B28" s="18"/>
      <c r="C28" s="16"/>
      <c r="D28" s="16"/>
      <c r="E28" s="16"/>
      <c r="F28" s="16"/>
      <c r="G28" s="16"/>
      <c r="H28" s="16"/>
      <c r="I28" s="16"/>
      <c r="J28" s="16"/>
      <c r="K28" s="86"/>
      <c r="L28" s="20"/>
      <c r="M28" s="19"/>
      <c r="N28" s="777"/>
      <c r="O28" s="16"/>
    </row>
    <row r="29" spans="1:254" ht="39.75" customHeight="1">
      <c r="A29" s="2406" t="s">
        <v>25</v>
      </c>
      <c r="B29" s="2407"/>
      <c r="C29" s="2407"/>
      <c r="D29" s="2407"/>
      <c r="E29" s="2408"/>
      <c r="F29" s="2368" t="s">
        <v>1270</v>
      </c>
      <c r="G29" s="2369"/>
      <c r="H29" s="2368" t="s">
        <v>1271</v>
      </c>
      <c r="I29" s="2369"/>
      <c r="J29" s="2368" t="s">
        <v>126</v>
      </c>
      <c r="K29" s="2369"/>
      <c r="L29" s="165" t="str">
        <f>"เบี้ยประกันภัย
("&amp;กรอกข้อมูล!C7&amp;")"</f>
        <v>เบี้ยประกันภัย
(รายปี)</v>
      </c>
      <c r="M29" s="16"/>
      <c r="N29" s="781"/>
      <c r="O29" s="16"/>
      <c r="P29" s="24"/>
      <c r="Q29" s="20"/>
      <c r="R29" s="19"/>
      <c r="S29" s="19"/>
      <c r="T29" s="16"/>
    </row>
    <row r="30" spans="1:254" s="121" customFormat="1" ht="23.25" customHeight="1">
      <c r="A30" s="2409" t="str">
        <f>"แบบ "&amp;กรอกข้อมูล!A19</f>
        <v>แบบ ไอสมาร์ท 80/6 (W80F06)</v>
      </c>
      <c r="B30" s="2410"/>
      <c r="C30" s="2410"/>
      <c r="D30" s="2410"/>
      <c r="E30" s="2411"/>
      <c r="F30" s="2370">
        <f>80-กรอกข้อมูล!C5</f>
        <v>36</v>
      </c>
      <c r="G30" s="2371"/>
      <c r="H30" s="2370">
        <f>กรอกข้อมูล!K14</f>
        <v>6</v>
      </c>
      <c r="I30" s="2371"/>
      <c r="J30" s="2396">
        <f>กรอกข้อมูล!C40</f>
        <v>1000000</v>
      </c>
      <c r="K30" s="2397"/>
      <c r="L30" s="584">
        <f>กรอกข้อมูล!F19</f>
        <v>287000</v>
      </c>
      <c r="M30" s="17"/>
      <c r="N30" s="781" t="s">
        <v>1710</v>
      </c>
      <c r="O30" s="16"/>
      <c r="P30" s="24"/>
      <c r="Q30" s="29"/>
      <c r="R30" s="19"/>
      <c r="S30" s="19"/>
      <c r="T30" s="16"/>
    </row>
    <row r="31" spans="1:254" s="121" customFormat="1" ht="23.25" customHeight="1">
      <c r="A31" s="2412" t="str">
        <f>IF(AND(กรอกข้อมูล!$H$20="ไม่คุ้มครอง",กรอกข้อมูล!$H$21="ไม่คุ้มครอง"),"สัญญาเพิ่มเติมยกเว้นเบี้ยประกันภัยของสัญญาหลัก",IF(กรอกข้อมูล!$H$20="",กรอกข้อมูล!$M$20,IF(กรอกข้อมูล!$H$21="",กรอกข้อมูล!$M$21)))</f>
        <v>สัญญาเพิ่มเติมยกเว้นเบี้ยประกันภัยของสัญญาหลัก</v>
      </c>
      <c r="B31" s="2413"/>
      <c r="C31" s="2413"/>
      <c r="D31" s="2413"/>
      <c r="E31" s="2414"/>
      <c r="F31" s="2394" t="str">
        <f>IF(กรอกข้อมูล!$H$21="",Cal!$D$11,IF(กรอกข้อมูล!$H$20="",Cal!$D$10,"ไม่คุ้มครอง"))</f>
        <v>ไม่คุ้มครอง</v>
      </c>
      <c r="G31" s="2395"/>
      <c r="H31" s="2394" t="str">
        <f>F31</f>
        <v>ไม่คุ้มครอง</v>
      </c>
      <c r="I31" s="2395"/>
      <c r="J31" s="2398" t="str">
        <f>IF(F31="ไม่คุ้มครอง",F31,"ตามเงื่อนไขกรมธรรม์")</f>
        <v>ไม่คุ้มครอง</v>
      </c>
      <c r="K31" s="2399"/>
      <c r="L31" s="585" t="str">
        <f>IF(F31="ไม่คุ้มครอง",F31,SUM(กรอกข้อมูล!F20:F21))</f>
        <v>ไม่คุ้มครอง</v>
      </c>
      <c r="M31" s="17"/>
      <c r="N31" s="782" t="s">
        <v>1008</v>
      </c>
      <c r="O31" s="16"/>
      <c r="P31" s="24"/>
      <c r="Q31" s="29"/>
      <c r="R31" s="19"/>
      <c r="S31" s="19"/>
      <c r="T31" s="16"/>
    </row>
    <row r="32" spans="1:254" s="121" customFormat="1" ht="23.25" customHeight="1">
      <c r="A32" s="2380" t="s">
        <v>547</v>
      </c>
      <c r="B32" s="2381"/>
      <c r="C32" s="2381"/>
      <c r="D32" s="2381"/>
      <c r="E32" s="2382"/>
      <c r="F32" s="2365" t="str">
        <f>IF(กรอกข้อมูล!H22="ไม่คุ้มครอง","ไม่คุ้มครอง",1)</f>
        <v>ไม่คุ้มครอง</v>
      </c>
      <c r="G32" s="2366"/>
      <c r="H32" s="2365" t="str">
        <f>IF(F32="ไม่คุ้มครอง","ไม่คุ้มครอง","1*")</f>
        <v>ไม่คุ้มครอง</v>
      </c>
      <c r="I32" s="2366"/>
      <c r="J32" s="2374" t="str">
        <f>IF(F32="ไม่คุ้มครอง","ไม่คุ้มครอง",กรอกข้อมูล!D22)</f>
        <v>ไม่คุ้มครอง</v>
      </c>
      <c r="K32" s="2375"/>
      <c r="L32" s="585" t="str">
        <f>IF(F32="ไม่คุ้มครอง","ไม่คุ้มครอง",กรอกข้อมูล!F22)</f>
        <v>ไม่คุ้มครอง</v>
      </c>
      <c r="M32" s="17"/>
      <c r="N32" s="783">
        <f>IF(L32="ไม่คุ้มครอง",0,1)</f>
        <v>0</v>
      </c>
      <c r="O32" s="16"/>
      <c r="P32" s="24"/>
      <c r="Q32" s="29"/>
      <c r="R32" s="19"/>
      <c r="S32" s="19"/>
      <c r="T32" s="16"/>
    </row>
    <row r="33" spans="1:20" s="121" customFormat="1" ht="23.25" customHeight="1">
      <c r="A33" s="2380" t="s">
        <v>548</v>
      </c>
      <c r="B33" s="2381"/>
      <c r="C33" s="2381"/>
      <c r="D33" s="2381"/>
      <c r="E33" s="2382"/>
      <c r="F33" s="2365" t="str">
        <f>IF(กรอกข้อมูล!H23="ไม่คุ้มครอง","ไม่คุ้มครอง",1)</f>
        <v>ไม่คุ้มครอง</v>
      </c>
      <c r="G33" s="2366"/>
      <c r="H33" s="2365" t="str">
        <f>IF(F33="ไม่คุ้มครอง","ไม่คุ้มครอง","1*")</f>
        <v>ไม่คุ้มครอง</v>
      </c>
      <c r="I33" s="2366"/>
      <c r="J33" s="2374" t="str">
        <f>IF(F33="ไม่คุ้มครอง","ไม่คุ้มครอง",กรอกข้อมูล!D23)</f>
        <v>ไม่คุ้มครอง</v>
      </c>
      <c r="K33" s="2375"/>
      <c r="L33" s="585" t="str">
        <f>IF(F33="ไม่คุ้มครอง","ไม่คุ้มครอง",กรอกข้อมูล!F23)</f>
        <v>ไม่คุ้มครอง</v>
      </c>
      <c r="M33" s="17"/>
      <c r="N33" s="783">
        <f t="shared" ref="N33:N40" si="0">IF(L33="ไม่คุ้มครอง",0,1)</f>
        <v>0</v>
      </c>
      <c r="O33" s="16"/>
      <c r="P33" s="24"/>
      <c r="Q33" s="29"/>
      <c r="R33" s="19"/>
      <c r="S33" s="19"/>
      <c r="T33" s="16"/>
    </row>
    <row r="34" spans="1:20" s="121" customFormat="1" ht="23.25" customHeight="1">
      <c r="A34" s="2388" t="str">
        <f>"สัญญาเพิ่มเติมค่ารักษาพยาบาล ไอเฮลท์ตี้ อัลตร้า (iHealthy Ultra)"&amp;IF(L34="ไม่คุ้มครอง","","***")</f>
        <v>สัญญาเพิ่มเติมค่ารักษาพยาบาล ไอเฮลท์ตี้ อัลตร้า (iHealthy Ultra)</v>
      </c>
      <c r="B34" s="2389"/>
      <c r="C34" s="2389"/>
      <c r="D34" s="2389"/>
      <c r="E34" s="2389"/>
      <c r="F34" s="2364" t="str">
        <f>IF(กรอกข้อมูล!H30="ไม่คุ้มครอง","ไม่คุ้มครอง",1)</f>
        <v>ไม่คุ้มครอง</v>
      </c>
      <c r="G34" s="2364"/>
      <c r="H34" s="2365" t="str">
        <f t="shared" ref="H34" si="1">IF(F34="ไม่คุ้มครอง",F34,F34&amp;"*")</f>
        <v>ไม่คุ้มครอง</v>
      </c>
      <c r="I34" s="2366"/>
      <c r="J34" s="2367" t="str">
        <f>K9</f>
        <v>ไม่คุ้มครอง</v>
      </c>
      <c r="K34" s="2367"/>
      <c r="L34" s="774" t="str">
        <f>IF(F34="ไม่คุ้มครอง",F34,กรอกข้อมูล!F30)</f>
        <v>ไม่คุ้มครอง</v>
      </c>
      <c r="M34" s="17"/>
      <c r="N34" s="783">
        <f t="shared" si="0"/>
        <v>0</v>
      </c>
      <c r="O34" s="16"/>
      <c r="P34" s="24"/>
      <c r="Q34" s="29"/>
      <c r="R34" s="19"/>
      <c r="S34" s="19"/>
      <c r="T34" s="16"/>
    </row>
    <row r="35" spans="1:20" s="121" customFormat="1" ht="23.25" customHeight="1">
      <c r="A35" s="2386" t="str">
        <f>"สัญญาเพิ่มเติมค่ารักษาพยาบาล เอ็กซ์ตร้า (MEX)"&amp;IF(L35="ไม่คุ้มครอง","","***")</f>
        <v>สัญญาเพิ่มเติมค่ารักษาพยาบาล เอ็กซ์ตร้า (MEX)</v>
      </c>
      <c r="B35" s="2387"/>
      <c r="C35" s="2387"/>
      <c r="D35" s="2387"/>
      <c r="E35" s="2387"/>
      <c r="F35" s="2364" t="str">
        <f>IF(กรอกข้อมูล!H24="ไม่คุ้มครอง","ไม่คุ้มครอง",1)</f>
        <v>ไม่คุ้มครอง</v>
      </c>
      <c r="G35" s="2364"/>
      <c r="H35" s="2365" t="str">
        <f t="shared" ref="H35" si="2">IF(F35="ไม่คุ้มครอง",F35,F35&amp;"*")</f>
        <v>ไม่คุ้มครอง</v>
      </c>
      <c r="I35" s="2366"/>
      <c r="J35" s="2367" t="str">
        <f>IF(F35="ไม่คุ้มครอง",F35,กรอกข้อมูล!D24)</f>
        <v>ไม่คุ้มครอง</v>
      </c>
      <c r="K35" s="2367"/>
      <c r="L35" s="774" t="str">
        <f>IF(F35="ไม่คุ้มครอง",F35,กรอกข้อมูล!F24)</f>
        <v>ไม่คุ้มครอง</v>
      </c>
      <c r="M35" s="17"/>
      <c r="N35" s="783">
        <f t="shared" si="0"/>
        <v>0</v>
      </c>
      <c r="O35" s="16"/>
      <c r="P35" s="24"/>
      <c r="Q35" s="29"/>
      <c r="R35" s="19"/>
      <c r="S35" s="19"/>
      <c r="T35" s="16"/>
    </row>
    <row r="36" spans="1:20" s="121" customFormat="1" ht="23.25" customHeight="1">
      <c r="A36" s="2380" t="str">
        <f>"สัญญาเพิ่มเติมค่าชดเชยรายวัน (MEB)"&amp;IF(L36="ไม่คุ้มครอง","","**")</f>
        <v>สัญญาเพิ่มเติมค่าชดเชยรายวัน (MEB)**</v>
      </c>
      <c r="B36" s="2381"/>
      <c r="C36" s="2381"/>
      <c r="D36" s="2381"/>
      <c r="E36" s="2382"/>
      <c r="F36" s="2365">
        <f>IF(กรอกข้อมูล!F25=0,"ไม่คุ้มครอง",1)</f>
        <v>1</v>
      </c>
      <c r="G36" s="2366"/>
      <c r="H36" s="2365" t="str">
        <f>IF(F36="ไม่คุ้มครอง","ไม่คุ้มครอง","1*")</f>
        <v>1*</v>
      </c>
      <c r="I36" s="2366"/>
      <c r="J36" s="2374">
        <f>IF(กรอกข้อมูล!$F25=0,"ไม่คุ้มครอง",กรอกข้อมูล!D25)</f>
        <v>500</v>
      </c>
      <c r="K36" s="2375"/>
      <c r="L36" s="585">
        <f>IF(กรอกข้อมูล!F25=0,"ไม่คุ้มครอง",กรอกข้อมูล!F25)</f>
        <v>750</v>
      </c>
      <c r="M36" s="17"/>
      <c r="N36" s="783">
        <f t="shared" si="0"/>
        <v>1</v>
      </c>
      <c r="O36" s="16"/>
      <c r="P36" s="24"/>
      <c r="Q36" s="29"/>
      <c r="R36" s="19"/>
      <c r="S36" s="19"/>
      <c r="T36" s="16"/>
    </row>
    <row r="37" spans="1:20" s="121" customFormat="1" ht="23.25" customHeight="1">
      <c r="A37" s="2380" t="s">
        <v>550</v>
      </c>
      <c r="B37" s="2381"/>
      <c r="C37" s="2381"/>
      <c r="D37" s="2381"/>
      <c r="E37" s="2382"/>
      <c r="F37" s="2365" t="str">
        <f>IF(กรอกข้อมูล!F26=0,"ไม่คุ้มครอง",1)</f>
        <v>ไม่คุ้มครอง</v>
      </c>
      <c r="G37" s="2366"/>
      <c r="H37" s="2365" t="str">
        <f>IF(F37="ไม่คุ้มครอง","ไม่คุ้มครอง","1*")</f>
        <v>ไม่คุ้มครอง</v>
      </c>
      <c r="I37" s="2366"/>
      <c r="J37" s="2374" t="str">
        <f>IF(กรอกข้อมูล!$F26=0,"ไม่คุ้มครอง",กรอกข้อมูล!D26)</f>
        <v>ไม่คุ้มครอง</v>
      </c>
      <c r="K37" s="2375"/>
      <c r="L37" s="585" t="str">
        <f>IF(กรอกข้อมูล!F26=0,"ไม่คุ้มครอง",กรอกข้อมูล!F26)</f>
        <v>ไม่คุ้มครอง</v>
      </c>
      <c r="M37" s="17"/>
      <c r="N37" s="783">
        <f t="shared" si="0"/>
        <v>0</v>
      </c>
      <c r="O37" s="16"/>
      <c r="P37" s="24"/>
      <c r="Q37" s="29"/>
      <c r="R37" s="19"/>
      <c r="S37" s="19"/>
      <c r="T37" s="16"/>
    </row>
    <row r="38" spans="1:20" s="121" customFormat="1" ht="23.25" customHeight="1">
      <c r="A38" s="2383" t="s">
        <v>352</v>
      </c>
      <c r="B38" s="2384"/>
      <c r="C38" s="2384"/>
      <c r="D38" s="2384"/>
      <c r="E38" s="2385"/>
      <c r="F38" s="2365" t="str">
        <f>IF(กรอกข้อมูล!H27="ไม่คุ้มครอง","ไม่คุ้มครอง",Cal!J21)</f>
        <v>ไม่คุ้มครอง</v>
      </c>
      <c r="G38" s="2366"/>
      <c r="H38" s="2365" t="str">
        <f>F38</f>
        <v>ไม่คุ้มครอง</v>
      </c>
      <c r="I38" s="2366"/>
      <c r="J38" s="2374" t="str">
        <f>IF(กรอกข้อมูล!H27="ไม่คุ้มครอง","ไม่คุ้มครอง",กรอกข้อมูล!D27)</f>
        <v>ไม่คุ้มครอง</v>
      </c>
      <c r="K38" s="2375"/>
      <c r="L38" s="585" t="str">
        <f>IF(F38="ไม่คุ้มครอง",F38,กรอกข้อมูล!F27)</f>
        <v>ไม่คุ้มครอง</v>
      </c>
      <c r="M38" s="17"/>
      <c r="N38" s="783">
        <f t="shared" si="0"/>
        <v>0</v>
      </c>
      <c r="O38" s="16"/>
      <c r="P38" s="24"/>
      <c r="Q38" s="29"/>
      <c r="R38" s="19"/>
      <c r="S38" s="19"/>
      <c r="T38" s="16"/>
    </row>
    <row r="39" spans="1:20" ht="21.75" customHeight="1">
      <c r="A39" s="586" t="s">
        <v>551</v>
      </c>
      <c r="B39" s="597"/>
      <c r="C39" s="597"/>
      <c r="D39" s="597"/>
      <c r="E39" s="598"/>
      <c r="F39" s="2365" t="str">
        <f>IF(กรอกข้อมูล!F28=0,"ไม่คุ้มครอง",1)</f>
        <v>ไม่คุ้มครอง</v>
      </c>
      <c r="G39" s="2366"/>
      <c r="H39" s="2365" t="str">
        <f>IF(F39="ไม่คุ้มครอง","ไม่คุ้มครอง","1*")</f>
        <v>ไม่คุ้มครอง</v>
      </c>
      <c r="I39" s="2366"/>
      <c r="J39" s="2374" t="str">
        <f>IF(กรอกข้อมูล!$F28=0,"ไม่คุ้มครอง",กรอกข้อมูล!D28)</f>
        <v>ไม่คุ้มครอง</v>
      </c>
      <c r="K39" s="2375"/>
      <c r="L39" s="585" t="str">
        <f>IF(กรอกข้อมูล!$F28=0,"ไม่คุ้มครอง",กรอกข้อมูล!F28)</f>
        <v>ไม่คุ้มครอง</v>
      </c>
      <c r="M39" s="17"/>
      <c r="N39" s="783">
        <f t="shared" si="0"/>
        <v>0</v>
      </c>
      <c r="O39" s="16"/>
      <c r="P39" s="24"/>
      <c r="Q39" s="20"/>
      <c r="R39" s="19"/>
      <c r="S39" s="19"/>
      <c r="T39" s="16"/>
    </row>
    <row r="40" spans="1:20">
      <c r="A40" s="592" t="s">
        <v>552</v>
      </c>
      <c r="B40" s="599"/>
      <c r="C40" s="599"/>
      <c r="D40" s="599"/>
      <c r="E40" s="600"/>
      <c r="F40" s="2354" t="str">
        <f>IF(กรอกข้อมูล!F29=0,"ไม่คุ้มครอง",1)</f>
        <v>ไม่คุ้มครอง</v>
      </c>
      <c r="G40" s="2355"/>
      <c r="H40" s="2379" t="str">
        <f>IF(F40="ไม่คุ้มครอง","ไม่คุ้มครอง","1*")</f>
        <v>ไม่คุ้มครอง</v>
      </c>
      <c r="I40" s="2355"/>
      <c r="J40" s="2356" t="str">
        <f>IF(กรอกข้อมูล!$F29=0,"ไม่คุ้มครอง",กรอกข้อมูล!D29)</f>
        <v>ไม่คุ้มครอง</v>
      </c>
      <c r="K40" s="2357"/>
      <c r="L40" s="587" t="str">
        <f>IF(กรอกข้อมูล!$F29=0,"ไม่คุ้มครอง",กรอกข้อมูล!F29)</f>
        <v>ไม่คุ้มครอง</v>
      </c>
      <c r="M40" s="17"/>
      <c r="N40" s="783">
        <f t="shared" si="0"/>
        <v>0</v>
      </c>
      <c r="O40" s="16"/>
      <c r="P40" s="24"/>
      <c r="Q40" s="20"/>
      <c r="R40" s="19"/>
      <c r="S40" s="19"/>
      <c r="T40" s="16"/>
    </row>
    <row r="41" spans="1:20">
      <c r="A41" s="1769" t="s">
        <v>2454</v>
      </c>
      <c r="B41" s="1770"/>
      <c r="C41" s="1770"/>
      <c r="D41" s="1770"/>
      <c r="E41" s="1771"/>
      <c r="F41" s="2354" t="str">
        <f>IF(กรอกข้อมูล!H32="ไม่คุ้มครอง","ไม่คุ้มครอง",1)</f>
        <v>ไม่คุ้มครอง</v>
      </c>
      <c r="G41" s="2355"/>
      <c r="H41" s="2354" t="str">
        <f>IF(F41="ไม่คุ้มครอง",F41,F41&amp;"*")</f>
        <v>ไม่คุ้มครอง</v>
      </c>
      <c r="I41" s="2355"/>
      <c r="J41" s="2356" t="str">
        <f>K15 &amp; " " &amp;L15</f>
        <v xml:space="preserve">ไม่คุ้มครอง </v>
      </c>
      <c r="K41" s="2357"/>
      <c r="L41" s="1772" t="str">
        <f>IF(F41="ไม่คุ้มครอง",F41,กรอกข้อมูล!F32)</f>
        <v>ไม่คุ้มครอง</v>
      </c>
      <c r="M41" s="17"/>
      <c r="N41" s="783"/>
      <c r="O41" s="16"/>
      <c r="P41" s="24"/>
      <c r="Q41" s="20"/>
      <c r="R41" s="19"/>
      <c r="S41" s="19"/>
      <c r="T41" s="16"/>
    </row>
    <row r="42" spans="1:20">
      <c r="A42" s="2345" t="s">
        <v>2891</v>
      </c>
      <c r="B42" s="2362"/>
      <c r="C42" s="2362"/>
      <c r="D42" s="2362"/>
      <c r="E42" s="2363"/>
      <c r="F42" s="2348">
        <f>IF([4]กรอกข้อมูล!F33=0,"ไม่คุ้มครอง",1)</f>
        <v>1</v>
      </c>
      <c r="G42" s="2349"/>
      <c r="H42" s="2350" t="str">
        <f>IF([4]กรอกข้อมูล!F33=0,"ไม่คุ้มครอง","1****")</f>
        <v>1****</v>
      </c>
      <c r="I42" s="2351"/>
      <c r="J42" s="2350">
        <f>IF([4]กรอกข้อมูล!F33=0,"ไม่คุ้มครอง",[4]กรอกข้อมูล!D33)</f>
        <v>5000000</v>
      </c>
      <c r="K42" s="2351"/>
      <c r="L42" s="2015">
        <f>IF([4]กรอกข้อมูล!F33=0,"ไม่คุ้มครอง",[4]กรอกข้อมูล!F33)</f>
        <v>13950</v>
      </c>
      <c r="M42" s="17"/>
      <c r="N42" s="783">
        <f>IF(L42="ไม่คุ้มครอง",0,1)</f>
        <v>1</v>
      </c>
      <c r="O42" s="16"/>
      <c r="P42" s="24"/>
      <c r="Q42" s="20"/>
      <c r="R42" s="19"/>
      <c r="S42" s="19"/>
      <c r="T42" s="16"/>
    </row>
    <row r="43" spans="1:20">
      <c r="A43" s="2345" t="s">
        <v>2907</v>
      </c>
      <c r="B43" s="2346"/>
      <c r="C43" s="2346"/>
      <c r="D43" s="2346"/>
      <c r="E43" s="2347"/>
      <c r="F43" s="2348">
        <f>IF([4]กรอกข้อมูล!F33=0,"ไม่คุ้มครอง",1)</f>
        <v>1</v>
      </c>
      <c r="G43" s="2349"/>
      <c r="H43" s="2350" t="str">
        <f>IF([4]กรอกข้อมูล!F33=0,"ไม่คุ้มครอง","1****")</f>
        <v>1****</v>
      </c>
      <c r="I43" s="2351"/>
      <c r="J43" s="2350">
        <f>IF($K$16="ไม่คุ้มครอง","ไม่คุ้มครอง",[4]กรอกข้อมูล!D34)</f>
        <v>100000</v>
      </c>
      <c r="K43" s="2351"/>
      <c r="L43" s="2015">
        <f>IF([4]กรอกข้อมูล!F33=0,"ไม่คุ้มครอง",[4]กรอกข้อมูล!F34)</f>
        <v>72</v>
      </c>
      <c r="M43" s="17"/>
      <c r="N43" s="783"/>
      <c r="O43" s="16"/>
      <c r="P43" s="24"/>
      <c r="Q43" s="20"/>
      <c r="R43" s="19"/>
      <c r="S43" s="19"/>
      <c r="T43" s="16"/>
    </row>
    <row r="44" spans="1:20">
      <c r="A44" s="2345" t="s">
        <v>2908</v>
      </c>
      <c r="B44" s="2346"/>
      <c r="C44" s="2346"/>
      <c r="D44" s="2346"/>
      <c r="E44" s="2347"/>
      <c r="F44" s="2348">
        <f>IF([4]กรอกข้อมูล!F33=0,"ไม่คุ้มครอง",1)</f>
        <v>1</v>
      </c>
      <c r="G44" s="2349"/>
      <c r="H44" s="2350" t="str">
        <f>IF([4]กรอกข้อมูล!F33=0,"ไม่คุ้มครอง","1****")</f>
        <v>1****</v>
      </c>
      <c r="I44" s="2351"/>
      <c r="J44" s="2350">
        <f>IF($K$16="ไม่คุ้มครอง","ไม่คุ้มครอง",[4]กรอกข้อมูล!D35)</f>
        <v>1250000</v>
      </c>
      <c r="K44" s="2351"/>
      <c r="L44" s="2015">
        <f>IF([4]กรอกข้อมูล!F33=0,"ไม่คุ้มครอง",[4]กรอกข้อมูล!F35)</f>
        <v>2137.5</v>
      </c>
      <c r="M44" s="17"/>
      <c r="N44" s="783"/>
      <c r="O44" s="16"/>
      <c r="P44" s="24"/>
      <c r="Q44" s="20"/>
      <c r="R44" s="19"/>
      <c r="S44" s="19"/>
      <c r="T44" s="16"/>
    </row>
    <row r="45" spans="1:20">
      <c r="A45" s="2345" t="s">
        <v>2909</v>
      </c>
      <c r="B45" s="2346"/>
      <c r="C45" s="2346"/>
      <c r="D45" s="2346"/>
      <c r="E45" s="2347"/>
      <c r="F45" s="2348">
        <f>IF([4]กรอกข้อมูล!F33=0,"ไม่คุ้มครอง",1)</f>
        <v>1</v>
      </c>
      <c r="G45" s="2349"/>
      <c r="H45" s="2350" t="str">
        <f>IF([4]กรอกข้อมูล!F33=0,"ไม่คุ้มครอง","1****")</f>
        <v>1****</v>
      </c>
      <c r="I45" s="2351"/>
      <c r="J45" s="2352">
        <f>IF($K$16="ไม่คุ้มครอง","ไม่คุ้มครอง",[4]กรอกข้อมูล!D36)</f>
        <v>500000</v>
      </c>
      <c r="K45" s="2353"/>
      <c r="L45" s="2015">
        <f>IF([4]กรอกข้อมูล!F33=0,"ไม่คุ้มครอง",[4]กรอกข้อมูล!F36)</f>
        <v>875</v>
      </c>
      <c r="M45" s="17"/>
      <c r="N45" s="783"/>
      <c r="O45" s="16"/>
      <c r="P45" s="24"/>
      <c r="Q45" s="20"/>
      <c r="R45" s="19"/>
      <c r="S45" s="19"/>
      <c r="T45" s="16"/>
    </row>
    <row r="46" spans="1:20" ht="29.25" customHeight="1" thickBot="1">
      <c r="A46" s="38"/>
      <c r="B46" s="38"/>
      <c r="C46" s="38"/>
      <c r="D46" s="38"/>
      <c r="E46" s="38"/>
      <c r="F46" s="166"/>
      <c r="G46" s="167"/>
      <c r="H46" s="505"/>
      <c r="I46" s="506"/>
      <c r="J46" s="2360" t="s">
        <v>36</v>
      </c>
      <c r="K46" s="2361"/>
      <c r="L46" s="591">
        <f>SUM(L30:L41)</f>
        <v>287750</v>
      </c>
      <c r="M46" s="16"/>
      <c r="N46" s="784"/>
      <c r="O46" s="16"/>
      <c r="P46" s="24"/>
      <c r="Q46" s="20"/>
      <c r="R46" s="19"/>
      <c r="S46" s="19"/>
      <c r="T46" s="16"/>
    </row>
    <row r="47" spans="1:20" ht="57.75" customHeight="1" thickTop="1">
      <c r="A47" s="2359" t="str">
        <f>IF(N32+N33+N34+N35+N36=0,"",N47)</f>
        <v>*  สัญญาเพิ่มเติมนี้มีระยะเวลาเอาประกันภัย 1 ปี สามารถต่อสัญญาได้ตามระยะเวลาชำระเบี้ยประกันภัยที่ระบุข้างต้น โดยเบี้ยประกันภัยปีต่ออายุของสัญญาเพิ่มเติมนี้ อาจมีการเปลี่ยนแปลงอันเนื่องมาจาก อายุ ขั้นอาชีพ ค่าใช้จ่ายในการรักษาพยาบาลที่สูงขึ้น หรือจากประสบการณ์การจ่ายค่าสินไหมทดแทนโดยรวมของสัญญาเพิ่มเติมนี้ แต่ทั้งนี้ขึ้นอยู่กับเงื่อนไขในกรมธรรม์</v>
      </c>
      <c r="B47" s="2359"/>
      <c r="C47" s="2359"/>
      <c r="D47" s="2359"/>
      <c r="E47" s="2359"/>
      <c r="F47" s="2359"/>
      <c r="G47" s="2359"/>
      <c r="H47" s="2359"/>
      <c r="I47" s="2359"/>
      <c r="J47" s="2359"/>
      <c r="K47" s="2359"/>
      <c r="L47" s="2359"/>
      <c r="M47" s="16"/>
      <c r="N47" s="784" t="s">
        <v>854</v>
      </c>
      <c r="O47" s="16"/>
      <c r="P47" s="413"/>
      <c r="Q47" s="20"/>
      <c r="R47" s="409"/>
      <c r="S47" s="409"/>
      <c r="T47" s="16"/>
    </row>
    <row r="48" spans="1:20" ht="34.5" customHeight="1">
      <c r="A48" s="2359" t="str">
        <f>IF(N36=0,"",N48)</f>
        <v xml:space="preserve">** บริษัทฯ ขอสงวนสิทธิ์ไม่ต่ออายุสัญญาเพิ่มเติมนี้ในวันครบรอบปีกรมธรรม์ โดยแจ้งให้ผู้เอาประกันภัยทราบล่วงหน้าเป็นลายลักษณ์อักษรไม่น้อยกว่า 30 วัน </v>
      </c>
      <c r="B48" s="2359"/>
      <c r="C48" s="2359"/>
      <c r="D48" s="2359"/>
      <c r="E48" s="2359"/>
      <c r="F48" s="2359"/>
      <c r="G48" s="2359"/>
      <c r="H48" s="2359"/>
      <c r="I48" s="2359"/>
      <c r="J48" s="2359"/>
      <c r="K48" s="2359"/>
      <c r="L48" s="2359"/>
      <c r="M48" s="16"/>
      <c r="N48" s="784" t="s">
        <v>760</v>
      </c>
      <c r="O48" s="16"/>
      <c r="P48" s="413"/>
      <c r="Q48" s="20"/>
      <c r="R48" s="409"/>
      <c r="S48" s="409"/>
      <c r="T48" s="16"/>
    </row>
    <row r="49" spans="1:20" ht="117" customHeight="1">
      <c r="A49" s="2344" t="str">
        <f>IF(N34+N35=0,"",N49)</f>
        <v/>
      </c>
      <c r="B49" s="2344"/>
      <c r="C49" s="2344"/>
      <c r="D49" s="2344"/>
      <c r="E49" s="2344"/>
      <c r="F49" s="2344"/>
      <c r="G49" s="2344"/>
      <c r="H49" s="2344"/>
      <c r="I49" s="2344"/>
      <c r="J49" s="2344"/>
      <c r="K49" s="2344"/>
      <c r="L49" s="2344"/>
      <c r="M49" s="16"/>
      <c r="N49" s="785" t="s">
        <v>1059</v>
      </c>
      <c r="O49" s="16"/>
      <c r="P49" s="24"/>
      <c r="Q49" s="20"/>
      <c r="R49" s="19"/>
      <c r="S49" s="19"/>
      <c r="T49" s="16"/>
    </row>
    <row r="50" spans="1:20" ht="117" customHeight="1" thickBot="1">
      <c r="A50" s="2344" t="str">
        <f>IF(N37+N39+N40+N42=0,"",N50)</f>
        <v>**** สัญญาเพิ่มเติมนี้มีระยะเวลาเอาประกันภัย 1 ปี บริษัทอาจปรับเบี้ยประกันภัย ณ วันครบรอบปีกรมธรรม์ประกันภัย อันเนื่องมากจากอายุ และ/หรือ ชั้นอาชีพ ของแต่ละบุคคล หรือจากประสบการณ์การจ่ายสินไหมทดแทนโดยรวมของพอร์ตโฟลิโอ (Portfolio) ของสัญญาเพิ่มเติมนี้ ตามที่นายทะเบียนได้ให้ความเห็นชอบแล้ว</v>
      </c>
      <c r="B50" s="2344"/>
      <c r="C50" s="2344"/>
      <c r="D50" s="2344"/>
      <c r="E50" s="2344"/>
      <c r="F50" s="2344"/>
      <c r="G50" s="2344"/>
      <c r="H50" s="2344"/>
      <c r="I50" s="2344"/>
      <c r="J50" s="2344"/>
      <c r="K50" s="2344"/>
      <c r="L50" s="2344"/>
      <c r="M50" s="16"/>
      <c r="N50" s="785" t="s">
        <v>2910</v>
      </c>
      <c r="O50" s="16"/>
      <c r="P50" s="24"/>
      <c r="Q50" s="20"/>
      <c r="R50" s="19"/>
      <c r="S50" s="19"/>
      <c r="T50" s="16"/>
    </row>
    <row r="51" spans="1:20" ht="41.25" customHeight="1" thickBot="1">
      <c r="A51" s="2376" t="s">
        <v>858</v>
      </c>
      <c r="B51" s="2377"/>
      <c r="C51" s="2377"/>
      <c r="D51" s="2377"/>
      <c r="E51" s="2377"/>
      <c r="F51" s="2377"/>
      <c r="G51" s="2377"/>
      <c r="H51" s="2377"/>
      <c r="I51" s="2377"/>
      <c r="J51" s="2377"/>
      <c r="K51" s="2377"/>
      <c r="L51" s="2378"/>
      <c r="M51" s="16"/>
      <c r="N51" s="781"/>
      <c r="O51" s="16"/>
      <c r="P51" s="413"/>
      <c r="Q51" s="20"/>
      <c r="R51" s="409"/>
      <c r="S51" s="409"/>
      <c r="T51" s="16"/>
    </row>
    <row r="52" spans="1:20" ht="27.75" customHeight="1">
      <c r="A52" s="304"/>
      <c r="B52" s="305"/>
      <c r="C52" s="305"/>
      <c r="D52" s="305"/>
      <c r="E52" s="305"/>
      <c r="F52" s="305"/>
      <c r="G52" s="305"/>
      <c r="H52" s="305"/>
      <c r="I52" s="305"/>
      <c r="J52" s="305"/>
      <c r="K52" s="305"/>
      <c r="L52" s="305"/>
      <c r="M52" s="9"/>
      <c r="N52" s="781"/>
      <c r="O52" s="9"/>
      <c r="P52" s="9"/>
    </row>
    <row r="53" spans="1:20">
      <c r="A53" s="2358" t="s">
        <v>2428</v>
      </c>
      <c r="B53" s="2358"/>
      <c r="C53" s="2358"/>
      <c r="D53" s="2358"/>
      <c r="E53" s="2358"/>
      <c r="F53" s="2358"/>
      <c r="G53" s="2358"/>
      <c r="H53" s="2358"/>
      <c r="I53" s="2358"/>
      <c r="J53" s="2358"/>
      <c r="K53" s="2358"/>
      <c r="L53" s="2358"/>
      <c r="M53" s="9"/>
      <c r="N53" s="781"/>
      <c r="O53" s="11"/>
      <c r="P53" s="9"/>
    </row>
    <row r="54" spans="1:20">
      <c r="A54" s="2372" t="str">
        <f>ตารางแสดงผลประโยชน์!B76</f>
        <v>โปรแกรมใบข้อเสนอนี้ใช้สำหรับแบบประกัน ไอสมาร์ท 80/6 (ไม่มีเงินปันผล) ที่เสนอขายตั้งแต่ 1 มกราคม 2569 ถึง 31 มีนาคม 2570 หรือตามประกาศยกเลิกการใช้จากบริษัทฯ (แล้วแต่ระยะเวลาใดจะเกิดขึ้นก่อน)</v>
      </c>
      <c r="B54" s="2373"/>
      <c r="C54" s="2373"/>
      <c r="D54" s="2373"/>
      <c r="E54" s="2373"/>
      <c r="F54" s="2373"/>
      <c r="G54" s="2373"/>
      <c r="H54" s="2373"/>
      <c r="I54" s="2373"/>
      <c r="J54" s="2373"/>
      <c r="K54" s="2373"/>
      <c r="L54" s="2373"/>
      <c r="N54" s="786"/>
    </row>
    <row r="55" spans="1:20">
      <c r="A55" s="9"/>
      <c r="B55" s="9"/>
      <c r="D55" s="9"/>
      <c r="E55" s="9"/>
      <c r="F55" s="9"/>
      <c r="G55" s="9"/>
      <c r="H55" s="9"/>
      <c r="I55" s="9"/>
      <c r="J55" s="9"/>
      <c r="L55" s="603" t="str">
        <f>ตารางแสดงผลประโยชน์!I77</f>
        <v>ไอสมาร์ท 80/6 (ไม่มีเงินปันผล) เวอร์ชั่น A2026-1</v>
      </c>
    </row>
    <row r="56" spans="1:20">
      <c r="A56" s="9"/>
      <c r="B56" s="9"/>
      <c r="C56" s="9"/>
      <c r="D56" s="9"/>
      <c r="E56" s="9"/>
      <c r="F56" s="9"/>
      <c r="G56" s="9"/>
      <c r="H56" s="9"/>
      <c r="I56" s="9"/>
      <c r="J56" s="9"/>
      <c r="K56" s="9"/>
      <c r="L56" s="9"/>
      <c r="N56" s="786"/>
    </row>
  </sheetData>
  <mergeCells count="79">
    <mergeCell ref="A26:L26"/>
    <mergeCell ref="A2:L2"/>
    <mergeCell ref="H31:I31"/>
    <mergeCell ref="H30:I30"/>
    <mergeCell ref="J30:K30"/>
    <mergeCell ref="J31:K31"/>
    <mergeCell ref="A24:L24"/>
    <mergeCell ref="A20:L20"/>
    <mergeCell ref="A21:L21"/>
    <mergeCell ref="F31:G31"/>
    <mergeCell ref="A29:E29"/>
    <mergeCell ref="A30:E30"/>
    <mergeCell ref="A31:E31"/>
    <mergeCell ref="A27:L27"/>
    <mergeCell ref="F29:G29"/>
    <mergeCell ref="H29:I29"/>
    <mergeCell ref="A32:E32"/>
    <mergeCell ref="A38:E38"/>
    <mergeCell ref="J37:K37"/>
    <mergeCell ref="H37:I37"/>
    <mergeCell ref="J32:K32"/>
    <mergeCell ref="A33:E33"/>
    <mergeCell ref="F32:G32"/>
    <mergeCell ref="A35:E35"/>
    <mergeCell ref="F35:G35"/>
    <mergeCell ref="A36:E36"/>
    <mergeCell ref="A37:E37"/>
    <mergeCell ref="F37:G37"/>
    <mergeCell ref="F33:G33"/>
    <mergeCell ref="J33:K33"/>
    <mergeCell ref="H36:I36"/>
    <mergeCell ref="A34:E34"/>
    <mergeCell ref="J29:K29"/>
    <mergeCell ref="F30:G30"/>
    <mergeCell ref="H32:I32"/>
    <mergeCell ref="F38:G38"/>
    <mergeCell ref="A54:L54"/>
    <mergeCell ref="F36:G36"/>
    <mergeCell ref="J36:K36"/>
    <mergeCell ref="A51:L51"/>
    <mergeCell ref="F39:G39"/>
    <mergeCell ref="H39:I39"/>
    <mergeCell ref="J39:K39"/>
    <mergeCell ref="F40:G40"/>
    <mergeCell ref="H40:I40"/>
    <mergeCell ref="J40:K40"/>
    <mergeCell ref="H33:I33"/>
    <mergeCell ref="J38:K38"/>
    <mergeCell ref="F34:G34"/>
    <mergeCell ref="H34:I34"/>
    <mergeCell ref="J34:K34"/>
    <mergeCell ref="H38:I38"/>
    <mergeCell ref="H35:I35"/>
    <mergeCell ref="J35:K35"/>
    <mergeCell ref="F41:G41"/>
    <mergeCell ref="H41:I41"/>
    <mergeCell ref="J41:K41"/>
    <mergeCell ref="A53:L53"/>
    <mergeCell ref="A49:L49"/>
    <mergeCell ref="A48:L48"/>
    <mergeCell ref="J46:K46"/>
    <mergeCell ref="A47:L47"/>
    <mergeCell ref="A42:E42"/>
    <mergeCell ref="F42:G42"/>
    <mergeCell ref="H42:I42"/>
    <mergeCell ref="J42:K42"/>
    <mergeCell ref="A43:E43"/>
    <mergeCell ref="F43:G43"/>
    <mergeCell ref="H43:I43"/>
    <mergeCell ref="J43:K43"/>
    <mergeCell ref="A50:L50"/>
    <mergeCell ref="A44:E44"/>
    <mergeCell ref="F44:G44"/>
    <mergeCell ref="H44:I44"/>
    <mergeCell ref="J44:K44"/>
    <mergeCell ref="A45:E45"/>
    <mergeCell ref="F45:G45"/>
    <mergeCell ref="H45:I45"/>
    <mergeCell ref="J45:K45"/>
  </mergeCells>
  <phoneticPr fontId="28" type="noConversion"/>
  <conditionalFormatting sqref="A41:F41 H41 J41 L41:XFD41">
    <cfRule type="expression" dxfId="15" priority="4" stopIfTrue="1">
      <formula>$A$1="Expire"</formula>
    </cfRule>
  </conditionalFormatting>
  <conditionalFormatting sqref="A53:L1006">
    <cfRule type="expression" dxfId="14" priority="6" stopIfTrue="1">
      <formula>$A$1="Expire"</formula>
    </cfRule>
  </conditionalFormatting>
  <conditionalFormatting sqref="A4:XFD40">
    <cfRule type="expression" dxfId="13" priority="3" stopIfTrue="1">
      <formula>$A$1="Expire"</formula>
    </cfRule>
  </conditionalFormatting>
  <conditionalFormatting sqref="A42:XFD52">
    <cfRule type="expression" dxfId="12" priority="1" stopIfTrue="1">
      <formula>$A$1="Expire"</formula>
    </cfRule>
  </conditionalFormatting>
  <conditionalFormatting sqref="M53:XFD1005">
    <cfRule type="expression" dxfId="11" priority="63" stopIfTrue="1">
      <formula>$A$1="Expire"</formula>
    </cfRule>
  </conditionalFormatting>
  <printOptions horizontalCentered="1"/>
  <pageMargins left="0" right="0" top="0" bottom="0" header="0.27559055118110237" footer="0.15748031496062992"/>
  <pageSetup paperSize="9" scale="67" orientation="portrait" r:id="rId1"/>
  <headerFooter alignWithMargins="0">
    <oddFooter>&amp;C&amp;"Calibri"&amp;11&amp;K000000&amp;"Calibri,Regular"&amp;11 7/14_x000D_&amp;1#&amp;"Calibri"&amp;10&amp;K000000Internal</oddFooter>
  </headerFooter>
  <ignoredErrors>
    <ignoredError sqref="H38" formula="1"/>
  </ignoredError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24"/>
  <dimension ref="A1:D21"/>
  <sheetViews>
    <sheetView showGridLines="0" zoomScaleNormal="100" workbookViewId="0">
      <selection activeCell="A21" sqref="A21"/>
    </sheetView>
  </sheetViews>
  <sheetFormatPr defaultColWidth="9.09765625" defaultRowHeight="21.5"/>
  <cols>
    <col min="1" max="1" width="118.69921875" style="672" customWidth="1"/>
    <col min="2" max="16384" width="9.09765625" style="672"/>
  </cols>
  <sheetData>
    <row r="1" spans="1:4" s="616" customFormat="1" ht="5.15" customHeight="1">
      <c r="A1" s="670" t="str">
        <f ca="1">กรอกข้อมูล!G64</f>
        <v/>
      </c>
    </row>
    <row r="2" spans="1:4" s="616" customFormat="1" ht="28" customHeight="1">
      <c r="A2" s="686" t="str">
        <f ca="1">IF(A1="Expire",กรอกข้อมูล!$A$1,"                  เงื่อนไขทั่วไปของแบบประกัน "&amp;กรอกข้อมูล!E65)</f>
        <v xml:space="preserve">                  เงื่อนไขทั่วไปของแบบประกัน ไอสมาร์ท 80/6 (ไม่มีเงินปันผล)</v>
      </c>
      <c r="B2" s="671"/>
      <c r="C2" s="671"/>
      <c r="D2" s="627"/>
    </row>
    <row r="3" spans="1:4" ht="12" customHeight="1"/>
    <row r="4" spans="1:4">
      <c r="A4" s="673" t="s">
        <v>894</v>
      </c>
    </row>
    <row r="5" spans="1:4" ht="119.5" customHeight="1">
      <c r="A5" s="1413" t="s">
        <v>2378</v>
      </c>
    </row>
    <row r="6" spans="1:4">
      <c r="A6" s="1414" t="s">
        <v>895</v>
      </c>
    </row>
    <row r="7" spans="1:4" ht="170.25" customHeight="1">
      <c r="A7" s="1413" t="s">
        <v>2379</v>
      </c>
    </row>
    <row r="8" spans="1:4">
      <c r="A8" s="675" t="s">
        <v>896</v>
      </c>
    </row>
    <row r="9" spans="1:4" ht="57.75" customHeight="1">
      <c r="A9" s="674" t="s">
        <v>897</v>
      </c>
    </row>
    <row r="10" spans="1:4">
      <c r="A10" s="675" t="s">
        <v>898</v>
      </c>
    </row>
    <row r="11" spans="1:4" ht="60.75" customHeight="1">
      <c r="A11" s="674" t="s">
        <v>899</v>
      </c>
    </row>
    <row r="12" spans="1:4">
      <c r="A12" s="675" t="s">
        <v>900</v>
      </c>
    </row>
    <row r="13" spans="1:4" ht="44.25" customHeight="1">
      <c r="A13" s="674" t="s">
        <v>901</v>
      </c>
    </row>
    <row r="14" spans="1:4">
      <c r="A14" s="675" t="s">
        <v>902</v>
      </c>
    </row>
    <row r="15" spans="1:4" ht="33.75" customHeight="1">
      <c r="A15" s="674" t="s">
        <v>903</v>
      </c>
    </row>
    <row r="16" spans="1:4">
      <c r="A16" s="676"/>
    </row>
    <row r="17" spans="1:1">
      <c r="A17" s="676"/>
    </row>
    <row r="18" spans="1:1">
      <c r="A18" s="676"/>
    </row>
    <row r="19" spans="1:1">
      <c r="A19" s="939" t="s">
        <v>2428</v>
      </c>
    </row>
    <row r="20" spans="1:1">
      <c r="A20" s="687" t="str">
        <f>ตารางแสดงผลประโยชน์!$B$76</f>
        <v>โปรแกรมใบข้อเสนอนี้ใช้สำหรับแบบประกัน ไอสมาร์ท 80/6 (ไม่มีเงินปันผล) ที่เสนอขายตั้งแต่ 1 มกราคม 2569 ถึง 31 มีนาคม 2570 หรือตามประกาศยกเลิกการใช้จากบริษัทฯ (แล้วแต่ระยะเวลาใดจะเกิดขึ้นก่อน)</v>
      </c>
    </row>
    <row r="21" spans="1:1">
      <c r="A21" s="644" t="str">
        <f>ตารางแสดงผลประโยชน์!$I$77</f>
        <v>ไอสมาร์ท 80/6 (ไม่มีเงินปันผล) เวอร์ชั่น A2026-1</v>
      </c>
    </row>
  </sheetData>
  <sheetProtection algorithmName="SHA-512" hashValue="rVZ3BxL+fdQD4omaIh3iHA0lcN+mjmTqtKVBBERLDt/pf9ifoV/f5GINDVhX8UQ7P9iORcpn01cyiopMya0ffA==" saltValue="Fx+Fp0ueeHl5nYPQpBnvEg==" spinCount="100000" sheet="1" objects="1" scenarios="1"/>
  <conditionalFormatting sqref="A3:XFD65535">
    <cfRule type="expression" dxfId="10" priority="1" stopIfTrue="1">
      <formula>$A$1="Expire"</formula>
    </cfRule>
  </conditionalFormatting>
  <pageMargins left="0" right="0" top="0" bottom="0" header="0.31496062992125984" footer="0.31496062992125984"/>
  <pageSetup paperSize="9" orientation="portrait" r:id="rId1"/>
  <headerFooter>
    <oddFooter>&amp;C&amp;"Calibri"&amp;11&amp;K000000&amp;"CordiaUPC,Regular"&amp;11 8/14_x000D_&amp;1#&amp;"Calibri"&amp;10&amp;K000000Internal</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C7A25-F397-4D12-932C-9852FFC5A97F}">
  <sheetPr codeName="Sheet40">
    <tabColor rgb="FFFFFF00"/>
    <pageSetUpPr fitToPage="1"/>
  </sheetPr>
  <dimension ref="A1:L16"/>
  <sheetViews>
    <sheetView showGridLines="0" zoomScale="110" zoomScaleNormal="110" workbookViewId="0">
      <selection activeCell="A8" sqref="A8:B8"/>
    </sheetView>
  </sheetViews>
  <sheetFormatPr defaultColWidth="9.09765625" defaultRowHeight="21.5"/>
  <cols>
    <col min="1" max="1" width="53.796875" style="1087" customWidth="1"/>
    <col min="2" max="2" width="70.69921875" style="1088" customWidth="1"/>
    <col min="3" max="16384" width="9.09765625" style="1087"/>
  </cols>
  <sheetData>
    <row r="1" spans="1:12" s="1083" customFormat="1" ht="5.15" customHeight="1">
      <c r="A1" s="1083" t="str">
        <f ca="1">กรอกข้อมูล!G64</f>
        <v/>
      </c>
      <c r="B1" s="1084"/>
    </row>
    <row r="2" spans="1:12" s="1083" customFormat="1" ht="28" customHeight="1">
      <c r="A2" s="2418" t="str">
        <f ca="1">IF(A1="Expire",กรอกข้อมูล!$A$1,"ข้อยกเว้นทั่วไปของสัญญาเพิ่มเติมคุ้มครองโรคร้ายแรงและบันทึกสลักหลังฯ (CI123)")</f>
        <v>ข้อยกเว้นทั่วไปของสัญญาเพิ่มเติมคุ้มครองโรคร้ายแรงและบันทึกสลักหลังฯ (CI123)</v>
      </c>
      <c r="B2" s="2418"/>
      <c r="C2" s="1085"/>
      <c r="D2" s="1086"/>
    </row>
    <row r="3" spans="1:12" ht="14.25" customHeight="1"/>
    <row r="4" spans="1:12" s="845" customFormat="1" ht="22" customHeight="1">
      <c r="A4" s="1089" t="s">
        <v>1027</v>
      </c>
      <c r="B4" s="1096"/>
    </row>
    <row r="5" spans="1:12" s="847" customFormat="1" ht="367" customHeight="1">
      <c r="A5" s="2419" t="s">
        <v>2912</v>
      </c>
      <c r="B5" s="2419"/>
      <c r="C5" s="846"/>
      <c r="D5" s="846"/>
      <c r="E5" s="846"/>
      <c r="F5" s="846"/>
      <c r="G5" s="846"/>
      <c r="H5" s="846"/>
      <c r="I5" s="846"/>
      <c r="J5" s="846"/>
      <c r="K5" s="846"/>
      <c r="L5" s="846"/>
    </row>
    <row r="6" spans="1:12" s="847" customFormat="1" ht="367" customHeight="1">
      <c r="A6" s="2419" t="s">
        <v>2546</v>
      </c>
      <c r="B6" s="2419"/>
      <c r="C6" s="846"/>
      <c r="D6" s="846"/>
      <c r="E6" s="846"/>
      <c r="F6" s="846"/>
      <c r="G6" s="846"/>
      <c r="H6" s="846"/>
      <c r="I6" s="846"/>
      <c r="J6" s="846"/>
      <c r="K6" s="846"/>
      <c r="L6" s="846"/>
    </row>
    <row r="7" spans="1:12" s="847" customFormat="1" ht="30" customHeight="1">
      <c r="A7" s="2420" t="s">
        <v>2428</v>
      </c>
      <c r="B7" s="2420"/>
      <c r="C7" s="846"/>
      <c r="D7" s="846"/>
      <c r="E7" s="846"/>
      <c r="F7" s="846"/>
      <c r="G7" s="846"/>
      <c r="H7" s="846"/>
      <c r="I7" s="846"/>
      <c r="J7" s="846"/>
      <c r="K7" s="846"/>
      <c r="L7" s="846"/>
    </row>
    <row r="8" spans="1:12" ht="40" customHeight="1">
      <c r="A8" s="2420" t="str">
        <f>ตารางแสดงผลประโยชน์!$B$76</f>
        <v>โปรแกรมใบข้อเสนอนี้ใช้สำหรับแบบประกัน ไอสมาร์ท 80/6 (ไม่มีเงินปันผล) ที่เสนอขายตั้งแต่ 1 มกราคม 2569 ถึง 31 มีนาคม 2570 หรือตามประกาศยกเลิกการใช้จากบริษัทฯ (แล้วแต่ระยะเวลาใดจะเกิดขึ้นก่อน)</v>
      </c>
      <c r="B8" s="2420"/>
    </row>
    <row r="9" spans="1:12">
      <c r="B9" s="1067" t="str">
        <f>ตารางแสดงผลประโยชน์!$I$77</f>
        <v>ไอสมาร์ท 80/6 (ไม่มีเงินปันผล) เวอร์ชั่น A2026-1</v>
      </c>
    </row>
    <row r="11" spans="1:12">
      <c r="A11" s="1097"/>
    </row>
    <row r="12" spans="1:12">
      <c r="A12" s="1098"/>
    </row>
    <row r="13" spans="1:12">
      <c r="A13" s="1098"/>
    </row>
    <row r="14" spans="1:12">
      <c r="A14" s="1098"/>
    </row>
    <row r="15" spans="1:12">
      <c r="A15" s="1098"/>
    </row>
    <row r="16" spans="1:12" s="1088" customFormat="1">
      <c r="A16" s="1098"/>
      <c r="C16" s="1087"/>
      <c r="D16" s="1087"/>
      <c r="E16" s="1087"/>
      <c r="F16" s="1087"/>
      <c r="G16" s="1087"/>
      <c r="H16" s="1087"/>
      <c r="I16" s="1087"/>
      <c r="J16" s="1087"/>
      <c r="K16" s="1087"/>
      <c r="L16" s="1087"/>
    </row>
  </sheetData>
  <sheetProtection algorithmName="SHA-512" hashValue="V6RdaxapzRtXFkQKYWK0gCFhtRe0ASqrTBxJFVozVYiRLTRzg0ACpKRL394cosktdpce30jSB3T2p9aDlPXNZw==" saltValue="wv0TTdYXS8u87mgQSnMQJQ==" spinCount="100000" sheet="1" objects="1" scenarios="1"/>
  <mergeCells count="5">
    <mergeCell ref="A2:B2"/>
    <mergeCell ref="A5:B5"/>
    <mergeCell ref="A6:B6"/>
    <mergeCell ref="A7:B7"/>
    <mergeCell ref="A8:B8"/>
  </mergeCells>
  <conditionalFormatting sqref="A3:XFD5 A6 C6:XFD6 A7:XFD984">
    <cfRule type="expression" dxfId="9" priority="2">
      <formula>#REF!=""</formula>
    </cfRule>
  </conditionalFormatting>
  <conditionalFormatting sqref="A4:XFD5 A6 C6:XFD6 A7:XFD984">
    <cfRule type="expression" dxfId="8" priority="1" stopIfTrue="1">
      <formula>$A$1="Expire"</formula>
    </cfRule>
  </conditionalFormatting>
  <pageMargins left="0" right="0" top="0" bottom="0" header="0.31496062992125984" footer="0.31496062992125984"/>
  <pageSetup paperSize="9" scale="89" orientation="portrait" r:id="rId1"/>
  <headerFooter>
    <oddFooter>&amp;C&amp;"CordiaUPC,Regular"&amp;11 &amp;K00000010/17
&amp;1#&amp;"Calibri,Regular"&amp;10Internal</oddFooter>
  </headerFooter>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54F27-6E97-4B79-97A3-B16FA12DBDAC}">
  <sheetPr codeName="Sheet41">
    <tabColor rgb="FFFFFF00"/>
    <pageSetUpPr fitToPage="1"/>
  </sheetPr>
  <dimension ref="A1:L73"/>
  <sheetViews>
    <sheetView showGridLines="0" zoomScale="80" zoomScaleNormal="80" workbookViewId="0">
      <selection activeCell="D60" sqref="D60"/>
    </sheetView>
  </sheetViews>
  <sheetFormatPr defaultColWidth="9.09765625" defaultRowHeight="21.5"/>
  <cols>
    <col min="1" max="1" width="70.69921875" style="1087" customWidth="1"/>
    <col min="2" max="2" width="70.69921875" style="1088" customWidth="1"/>
    <col min="3" max="4" width="70.69921875" style="1087" customWidth="1"/>
    <col min="5" max="16384" width="9.09765625" style="1087"/>
  </cols>
  <sheetData>
    <row r="1" spans="1:4" s="1083" customFormat="1" ht="5.15" customHeight="1">
      <c r="A1" s="1083" t="str">
        <f ca="1">กรอกข้อมูล!G64</f>
        <v/>
      </c>
      <c r="B1" s="1084"/>
    </row>
    <row r="2" spans="1:4" s="1083" customFormat="1" ht="28" customHeight="1">
      <c r="A2" s="2421" t="str">
        <f ca="1">IF(A1="Expire",กรอกข้อมูล!$A$1,"รายชื่อโรคร้ายแรงภายใต้สัญญาเพิ่มเติมคุ้มครองโรคร้ายแรงและบันทึกสลักหลังฯ (CI 123)")</f>
        <v>รายชื่อโรคร้ายแรงภายใต้สัญญาเพิ่มเติมคุ้มครองโรคร้ายแรงและบันทึกสลักหลังฯ (CI 123)</v>
      </c>
      <c r="B2" s="2421"/>
      <c r="C2" s="2421"/>
      <c r="D2" s="2421"/>
    </row>
    <row r="3" spans="1:4" ht="14.25" customHeight="1"/>
    <row r="4" spans="1:4" s="837" customFormat="1" ht="25" customHeight="1">
      <c r="A4" s="2422" t="s">
        <v>2547</v>
      </c>
      <c r="B4" s="2422"/>
      <c r="C4" s="2422"/>
      <c r="D4" s="2422"/>
    </row>
    <row r="5" spans="1:4" s="837" customFormat="1" ht="40" customHeight="1">
      <c r="A5" s="1973" t="s">
        <v>2548</v>
      </c>
      <c r="B5" s="863"/>
    </row>
    <row r="6" spans="1:4" s="837" customFormat="1" ht="20" customHeight="1">
      <c r="A6" s="1974" t="s">
        <v>2549</v>
      </c>
      <c r="B6" s="1974" t="s">
        <v>2550</v>
      </c>
      <c r="C6" s="1974" t="s">
        <v>1489</v>
      </c>
      <c r="D6" s="1974" t="s">
        <v>2551</v>
      </c>
    </row>
    <row r="7" spans="1:4" s="837" customFormat="1" ht="20" customHeight="1">
      <c r="A7" s="1974" t="s">
        <v>1484</v>
      </c>
      <c r="B7" s="1974" t="s">
        <v>2552</v>
      </c>
      <c r="C7" s="1974" t="s">
        <v>2553</v>
      </c>
      <c r="D7" s="1974" t="s">
        <v>2554</v>
      </c>
    </row>
    <row r="8" spans="1:4" s="837" customFormat="1" ht="20" customHeight="1">
      <c r="A8" s="1974" t="s">
        <v>2555</v>
      </c>
      <c r="B8" s="1974" t="s">
        <v>1514</v>
      </c>
      <c r="C8" s="1974" t="s">
        <v>2556</v>
      </c>
      <c r="D8" s="1974" t="s">
        <v>2557</v>
      </c>
    </row>
    <row r="9" spans="1:4" s="837" customFormat="1" ht="20" customHeight="1">
      <c r="A9" s="1974" t="s">
        <v>1488</v>
      </c>
      <c r="B9" s="1974" t="s">
        <v>2558</v>
      </c>
      <c r="C9" s="1974" t="s">
        <v>2559</v>
      </c>
      <c r="D9" s="1974" t="s">
        <v>2560</v>
      </c>
    </row>
    <row r="10" spans="1:4" s="837" customFormat="1" ht="20" customHeight="1">
      <c r="A10" s="1974" t="s">
        <v>1490</v>
      </c>
      <c r="B10" s="1974" t="s">
        <v>1518</v>
      </c>
      <c r="C10" s="1974" t="s">
        <v>2561</v>
      </c>
      <c r="D10" s="1974" t="s">
        <v>2562</v>
      </c>
    </row>
    <row r="11" spans="1:4" s="837" customFormat="1" ht="20" customHeight="1">
      <c r="A11" s="1974" t="s">
        <v>2563</v>
      </c>
      <c r="B11" s="1974" t="s">
        <v>2564</v>
      </c>
      <c r="C11" s="1974" t="s">
        <v>2565</v>
      </c>
      <c r="D11" s="1974" t="s">
        <v>2566</v>
      </c>
    </row>
    <row r="12" spans="1:4" s="837" customFormat="1" ht="20" customHeight="1">
      <c r="A12" s="1974" t="s">
        <v>2567</v>
      </c>
      <c r="B12" s="1974" t="s">
        <v>2568</v>
      </c>
      <c r="C12" s="1974" t="s">
        <v>2569</v>
      </c>
      <c r="D12" s="1974" t="s">
        <v>2570</v>
      </c>
    </row>
    <row r="13" spans="1:4" s="837" customFormat="1" ht="20" customHeight="1">
      <c r="A13" s="1974" t="s">
        <v>2571</v>
      </c>
      <c r="B13" s="1974" t="s">
        <v>2572</v>
      </c>
      <c r="C13" s="1974" t="s">
        <v>2573</v>
      </c>
      <c r="D13" s="1974" t="s">
        <v>2574</v>
      </c>
    </row>
    <row r="14" spans="1:4" s="837" customFormat="1" ht="20" customHeight="1">
      <c r="A14" s="1974" t="s">
        <v>2575</v>
      </c>
      <c r="B14" s="1974" t="s">
        <v>2576</v>
      </c>
      <c r="C14" s="1974" t="s">
        <v>1505</v>
      </c>
      <c r="D14" s="1974" t="s">
        <v>2577</v>
      </c>
    </row>
    <row r="15" spans="1:4" s="837" customFormat="1" ht="20" customHeight="1">
      <c r="A15" s="1974" t="s">
        <v>2578</v>
      </c>
      <c r="B15" s="1974" t="s">
        <v>2579</v>
      </c>
      <c r="C15" s="1974" t="s">
        <v>2580</v>
      </c>
      <c r="D15" s="1974" t="s">
        <v>2581</v>
      </c>
    </row>
    <row r="16" spans="1:4" s="837" customFormat="1" ht="20" customHeight="1">
      <c r="A16" s="1974" t="s">
        <v>2582</v>
      </c>
      <c r="B16" s="1974" t="s">
        <v>2583</v>
      </c>
      <c r="C16" s="1974" t="s">
        <v>1509</v>
      </c>
      <c r="D16" s="1974" t="s">
        <v>2584</v>
      </c>
    </row>
    <row r="17" spans="1:12" s="837" customFormat="1" ht="20" customHeight="1">
      <c r="A17" s="1974" t="s">
        <v>2585</v>
      </c>
      <c r="B17" s="1974" t="s">
        <v>2586</v>
      </c>
      <c r="C17" s="1974" t="s">
        <v>2587</v>
      </c>
      <c r="D17" s="1974"/>
    </row>
    <row r="18" spans="1:12" s="837" customFormat="1" ht="20" customHeight="1">
      <c r="A18" s="1974" t="s">
        <v>2588</v>
      </c>
      <c r="B18" s="1974" t="s">
        <v>2589</v>
      </c>
      <c r="C18" s="1974" t="s">
        <v>2590</v>
      </c>
      <c r="D18" s="1974"/>
    </row>
    <row r="19" spans="1:12" s="837" customFormat="1" ht="20" customHeight="1">
      <c r="A19" s="1974" t="s">
        <v>2591</v>
      </c>
      <c r="B19" s="1974" t="s">
        <v>2592</v>
      </c>
      <c r="C19" s="1974" t="s">
        <v>2593</v>
      </c>
      <c r="D19" s="1974"/>
    </row>
    <row r="20" spans="1:12" s="837" customFormat="1" ht="40" customHeight="1">
      <c r="A20" s="1973" t="s">
        <v>2594</v>
      </c>
      <c r="B20" s="1975"/>
      <c r="C20" s="1976"/>
      <c r="D20" s="1976"/>
    </row>
    <row r="21" spans="1:12" s="1093" customFormat="1" ht="20" customHeight="1">
      <c r="A21" s="1974" t="s">
        <v>2595</v>
      </c>
      <c r="B21" s="1974" t="s">
        <v>2596</v>
      </c>
      <c r="C21" s="1091"/>
      <c r="D21" s="1091"/>
      <c r="E21" s="1091"/>
      <c r="F21" s="1092"/>
      <c r="G21" s="1092"/>
      <c r="H21" s="1092"/>
      <c r="I21" s="1092"/>
      <c r="J21" s="1092"/>
      <c r="K21" s="1092"/>
      <c r="L21" s="1092"/>
    </row>
    <row r="22" spans="1:12" s="1093" customFormat="1" ht="20" customHeight="1">
      <c r="B22" s="1974" t="s">
        <v>2597</v>
      </c>
      <c r="C22" s="1091"/>
      <c r="D22" s="1091"/>
      <c r="E22" s="1091"/>
      <c r="F22" s="1092"/>
      <c r="G22" s="1092"/>
      <c r="H22" s="1092"/>
      <c r="I22" s="1092"/>
      <c r="J22" s="1092"/>
      <c r="K22" s="1092"/>
      <c r="L22" s="1092"/>
    </row>
    <row r="23" spans="1:12" s="1980" customFormat="1" ht="40" customHeight="1">
      <c r="A23" s="1973" t="s">
        <v>2598</v>
      </c>
      <c r="B23" s="1977"/>
      <c r="C23" s="1978"/>
      <c r="D23" s="1978"/>
      <c r="E23" s="1978"/>
      <c r="F23" s="1979"/>
      <c r="G23" s="1979"/>
      <c r="H23" s="1979"/>
      <c r="I23" s="1979"/>
      <c r="J23" s="1979"/>
      <c r="K23" s="1979"/>
      <c r="L23" s="1979"/>
    </row>
    <row r="24" spans="1:12" s="1093" customFormat="1" ht="20" customHeight="1">
      <c r="A24" s="1974" t="s">
        <v>2599</v>
      </c>
      <c r="B24" s="1974" t="s">
        <v>2600</v>
      </c>
      <c r="C24" s="1974" t="s">
        <v>2601</v>
      </c>
      <c r="D24" s="1974" t="s">
        <v>2602</v>
      </c>
      <c r="E24" s="1091"/>
      <c r="F24" s="1092"/>
      <c r="G24" s="1092"/>
      <c r="H24" s="1092"/>
      <c r="I24" s="1092"/>
      <c r="J24" s="1092"/>
      <c r="K24" s="1092"/>
      <c r="L24" s="1092"/>
    </row>
    <row r="25" spans="1:12" s="1093" customFormat="1" ht="20" customHeight="1">
      <c r="A25" s="1974" t="s">
        <v>2603</v>
      </c>
      <c r="B25" s="1974" t="s">
        <v>2604</v>
      </c>
      <c r="C25" s="1974" t="s">
        <v>2605</v>
      </c>
      <c r="D25" s="1974" t="s">
        <v>2606</v>
      </c>
      <c r="E25" s="1091"/>
      <c r="F25" s="1092"/>
      <c r="G25" s="1092"/>
      <c r="H25" s="1092"/>
      <c r="I25" s="1092"/>
      <c r="J25" s="1092"/>
      <c r="K25" s="1092"/>
      <c r="L25" s="1092"/>
    </row>
    <row r="26" spans="1:12" s="1093" customFormat="1" ht="20" customHeight="1">
      <c r="A26" s="1974" t="s">
        <v>2607</v>
      </c>
      <c r="B26" s="1974" t="s">
        <v>2608</v>
      </c>
      <c r="C26" s="1974" t="s">
        <v>2609</v>
      </c>
      <c r="D26" s="1974"/>
      <c r="E26" s="1091"/>
      <c r="F26" s="1092"/>
      <c r="G26" s="1092"/>
      <c r="H26" s="1092"/>
      <c r="I26" s="1092"/>
      <c r="J26" s="1092"/>
      <c r="K26" s="1092"/>
      <c r="L26" s="1092"/>
    </row>
    <row r="27" spans="1:12" s="1093" customFormat="1" ht="20" customHeight="1">
      <c r="A27" s="1974" t="s">
        <v>2610</v>
      </c>
      <c r="B27" s="1974" t="s">
        <v>2611</v>
      </c>
      <c r="C27" s="1974" t="s">
        <v>2612</v>
      </c>
      <c r="D27" s="1974"/>
      <c r="E27" s="1091"/>
      <c r="F27" s="1092"/>
      <c r="G27" s="1092"/>
      <c r="H27" s="1092"/>
      <c r="I27" s="1092"/>
      <c r="J27" s="1092"/>
      <c r="K27" s="1092"/>
      <c r="L27" s="1092"/>
    </row>
    <row r="28" spans="1:12" s="1093" customFormat="1" ht="20" customHeight="1">
      <c r="A28" s="1974" t="s">
        <v>2613</v>
      </c>
      <c r="B28" s="1974" t="s">
        <v>2614</v>
      </c>
      <c r="C28" s="1974" t="s">
        <v>2615</v>
      </c>
      <c r="D28" s="1974"/>
      <c r="E28" s="1091"/>
      <c r="F28" s="1092"/>
      <c r="G28" s="1092"/>
      <c r="H28" s="1092"/>
      <c r="I28" s="1092"/>
      <c r="J28" s="1092"/>
      <c r="K28" s="1092"/>
      <c r="L28" s="1092"/>
    </row>
    <row r="29" spans="1:12" s="1095" customFormat="1" ht="20" customHeight="1">
      <c r="B29" s="873"/>
    </row>
    <row r="30" spans="1:12" s="845" customFormat="1" ht="25" customHeight="1">
      <c r="A30" s="2422" t="s">
        <v>2616</v>
      </c>
      <c r="B30" s="2422"/>
      <c r="C30" s="2422"/>
      <c r="D30" s="2422"/>
    </row>
    <row r="31" spans="1:12" s="845" customFormat="1" ht="40" customHeight="1">
      <c r="A31" s="1973" t="s">
        <v>2617</v>
      </c>
      <c r="B31" s="1981"/>
      <c r="C31" s="1981"/>
      <c r="D31" s="1981"/>
    </row>
    <row r="32" spans="1:12" s="845" customFormat="1" ht="20" customHeight="1">
      <c r="A32" s="1974" t="s">
        <v>2618</v>
      </c>
      <c r="B32" s="1974" t="s">
        <v>2619</v>
      </c>
      <c r="C32" s="1974"/>
      <c r="D32" s="1974"/>
    </row>
    <row r="33" spans="1:4" s="845" customFormat="1" ht="20" customHeight="1">
      <c r="A33" s="1974" t="s">
        <v>2620</v>
      </c>
      <c r="B33" s="1974" t="s">
        <v>2621</v>
      </c>
      <c r="C33" s="1974"/>
      <c r="D33" s="1974"/>
    </row>
    <row r="34" spans="1:4" s="845" customFormat="1" ht="20" customHeight="1">
      <c r="A34" s="1974" t="s">
        <v>2622</v>
      </c>
      <c r="B34" s="1974" t="s">
        <v>2623</v>
      </c>
      <c r="C34" s="1974"/>
      <c r="D34" s="1974"/>
    </row>
    <row r="35" spans="1:4" s="845" customFormat="1" ht="40" customHeight="1">
      <c r="A35" s="1973" t="s">
        <v>2624</v>
      </c>
      <c r="B35" s="1974"/>
      <c r="C35" s="1974"/>
      <c r="D35" s="1974"/>
    </row>
    <row r="36" spans="1:4" s="845" customFormat="1" ht="40" customHeight="1">
      <c r="A36" s="1974" t="s">
        <v>2625</v>
      </c>
      <c r="B36" s="1974" t="s">
        <v>2626</v>
      </c>
      <c r="C36" s="1982" t="s">
        <v>2627</v>
      </c>
      <c r="D36" s="1974" t="s">
        <v>2628</v>
      </c>
    </row>
    <row r="37" spans="1:4" s="845" customFormat="1" ht="20" customHeight="1">
      <c r="A37" s="1974" t="s">
        <v>2629</v>
      </c>
      <c r="B37" s="1974" t="s">
        <v>2630</v>
      </c>
      <c r="C37" s="1974" t="s">
        <v>2631</v>
      </c>
      <c r="D37" s="1974" t="s">
        <v>2632</v>
      </c>
    </row>
    <row r="38" spans="1:4" s="845" customFormat="1" ht="20" customHeight="1">
      <c r="A38" s="1974" t="s">
        <v>2633</v>
      </c>
      <c r="B38" s="1974" t="s">
        <v>2634</v>
      </c>
      <c r="C38" s="1974" t="s">
        <v>2635</v>
      </c>
      <c r="D38" s="1974" t="s">
        <v>2636</v>
      </c>
    </row>
    <row r="39" spans="1:4" s="845" customFormat="1" ht="20" customHeight="1">
      <c r="A39" s="1974" t="s">
        <v>2637</v>
      </c>
      <c r="B39" s="1974" t="s">
        <v>2638</v>
      </c>
      <c r="C39" s="1974" t="s">
        <v>2639</v>
      </c>
      <c r="D39" s="1974" t="s">
        <v>2640</v>
      </c>
    </row>
    <row r="40" spans="1:4" s="845" customFormat="1" ht="20" customHeight="1">
      <c r="A40" s="1974" t="s">
        <v>2641</v>
      </c>
      <c r="B40" s="1974" t="s">
        <v>2642</v>
      </c>
      <c r="C40" s="1974" t="s">
        <v>2643</v>
      </c>
      <c r="D40" s="1974" t="s">
        <v>2644</v>
      </c>
    </row>
    <row r="41" spans="1:4" s="845" customFormat="1" ht="20" customHeight="1">
      <c r="A41" s="1974" t="s">
        <v>2645</v>
      </c>
      <c r="B41" s="1974" t="s">
        <v>2646</v>
      </c>
      <c r="C41" s="1974" t="s">
        <v>2647</v>
      </c>
      <c r="D41" s="1974" t="s">
        <v>2648</v>
      </c>
    </row>
    <row r="42" spans="1:4" s="845" customFormat="1" ht="20" customHeight="1">
      <c r="A42" s="1974" t="s">
        <v>2649</v>
      </c>
      <c r="B42" s="1974" t="s">
        <v>2650</v>
      </c>
      <c r="C42" s="1974" t="s">
        <v>2651</v>
      </c>
      <c r="D42" s="1974" t="s">
        <v>2652</v>
      </c>
    </row>
    <row r="43" spans="1:4" s="845" customFormat="1" ht="20" customHeight="1">
      <c r="A43" s="1974" t="s">
        <v>2653</v>
      </c>
      <c r="B43" s="1974" t="s">
        <v>2654</v>
      </c>
      <c r="C43" s="1974" t="s">
        <v>2655</v>
      </c>
      <c r="D43" s="1974" t="s">
        <v>2656</v>
      </c>
    </row>
    <row r="44" spans="1:4" s="845" customFormat="1" ht="47.5" customHeight="1">
      <c r="A44" s="1974" t="s">
        <v>2657</v>
      </c>
      <c r="B44" s="1974" t="s">
        <v>2658</v>
      </c>
      <c r="C44" s="1974" t="s">
        <v>2659</v>
      </c>
      <c r="D44" s="1982" t="s">
        <v>2660</v>
      </c>
    </row>
    <row r="45" spans="1:4" s="845" customFormat="1" ht="40" customHeight="1">
      <c r="A45" s="1974" t="s">
        <v>2661</v>
      </c>
      <c r="B45" s="1982" t="s">
        <v>2662</v>
      </c>
      <c r="C45" s="1974" t="s">
        <v>2663</v>
      </c>
      <c r="D45" s="1981"/>
    </row>
    <row r="46" spans="1:4" s="845" customFormat="1" ht="20" customHeight="1">
      <c r="A46" s="1974" t="s">
        <v>2664</v>
      </c>
      <c r="B46" s="1974" t="s">
        <v>2665</v>
      </c>
      <c r="C46" s="1974" t="s">
        <v>2666</v>
      </c>
      <c r="D46" s="1981"/>
    </row>
    <row r="47" spans="1:4" s="845" customFormat="1" ht="40" customHeight="1">
      <c r="A47" s="1973" t="s">
        <v>2667</v>
      </c>
      <c r="B47" s="1981"/>
      <c r="C47" s="1981"/>
      <c r="D47" s="1981"/>
    </row>
    <row r="48" spans="1:4" s="845" customFormat="1" ht="20" customHeight="1">
      <c r="A48" s="1983" t="s">
        <v>2668</v>
      </c>
      <c r="B48" s="1983" t="s">
        <v>2669</v>
      </c>
      <c r="C48" s="1981"/>
      <c r="D48" s="1981"/>
    </row>
    <row r="49" spans="1:12" s="845" customFormat="1" ht="20" customHeight="1">
      <c r="A49" s="1983" t="s">
        <v>2670</v>
      </c>
      <c r="B49" s="1983" t="s">
        <v>2671</v>
      </c>
      <c r="C49" s="1981"/>
      <c r="D49" s="1981"/>
    </row>
    <row r="50" spans="1:12" s="845" customFormat="1" ht="40" hidden="1" customHeight="1">
      <c r="B50" s="1981"/>
      <c r="C50" s="1981"/>
      <c r="D50" s="1981"/>
    </row>
    <row r="51" spans="1:12" s="845" customFormat="1" ht="40" hidden="1" customHeight="1">
      <c r="B51" s="1981"/>
      <c r="C51" s="1981"/>
      <c r="D51" s="1981"/>
    </row>
    <row r="52" spans="1:12" s="845" customFormat="1" ht="40" hidden="1" customHeight="1">
      <c r="A52" s="1973"/>
      <c r="B52" s="1981"/>
      <c r="C52" s="1981"/>
      <c r="D52" s="1981"/>
    </row>
    <row r="53" spans="1:12" s="845" customFormat="1" ht="40" hidden="1" customHeight="1">
      <c r="A53" s="1973"/>
      <c r="B53" s="1981"/>
      <c r="C53" s="1981"/>
      <c r="D53" s="1981"/>
    </row>
    <row r="54" spans="1:12" s="845" customFormat="1" ht="40" hidden="1" customHeight="1">
      <c r="A54" s="1973"/>
      <c r="B54" s="1981"/>
      <c r="C54" s="1981"/>
      <c r="D54" s="1981"/>
    </row>
    <row r="55" spans="1:12" s="847" customFormat="1" ht="20" hidden="1" customHeight="1">
      <c r="A55" s="2423"/>
      <c r="B55" s="2423"/>
      <c r="C55" s="846"/>
      <c r="D55" s="846"/>
      <c r="E55" s="846"/>
      <c r="F55" s="846"/>
      <c r="G55" s="846"/>
      <c r="H55" s="846"/>
      <c r="I55" s="846"/>
      <c r="J55" s="846"/>
      <c r="K55" s="846"/>
      <c r="L55" s="846"/>
    </row>
    <row r="56" spans="1:12" s="847" customFormat="1" ht="67.5" customHeight="1">
      <c r="A56" s="2424" t="s">
        <v>2672</v>
      </c>
      <c r="B56" s="2424"/>
      <c r="C56" s="2424"/>
      <c r="D56" s="2424"/>
      <c r="E56" s="846"/>
      <c r="F56" s="846"/>
      <c r="G56" s="846"/>
      <c r="H56" s="846"/>
      <c r="I56" s="846"/>
      <c r="J56" s="846"/>
      <c r="K56" s="846"/>
      <c r="L56" s="846"/>
    </row>
    <row r="57" spans="1:12" s="847" customFormat="1" ht="25" customHeight="1">
      <c r="A57" s="2420" t="s">
        <v>2428</v>
      </c>
      <c r="B57" s="2420"/>
      <c r="C57" s="2420"/>
      <c r="D57" s="2420"/>
      <c r="E57" s="846"/>
      <c r="F57" s="846"/>
      <c r="G57" s="846"/>
      <c r="H57" s="846"/>
      <c r="I57" s="846"/>
      <c r="J57" s="846"/>
      <c r="K57" s="846"/>
      <c r="L57" s="846"/>
    </row>
    <row r="58" spans="1:12" ht="25" customHeight="1">
      <c r="A58" s="2420" t="str">
        <f>ตารางแสดงผลประโยชน์!$B$76</f>
        <v>โปรแกรมใบข้อเสนอนี้ใช้สำหรับแบบประกัน ไอสมาร์ท 80/6 (ไม่มีเงินปันผล) ที่เสนอขายตั้งแต่ 1 มกราคม 2569 ถึง 31 มีนาคม 2570 หรือตามประกาศยกเลิกการใช้จากบริษัทฯ (แล้วแต่ระยะเวลาใดจะเกิดขึ้นก่อน)</v>
      </c>
      <c r="B58" s="2420"/>
      <c r="C58" s="2420"/>
      <c r="D58" s="2420"/>
    </row>
    <row r="59" spans="1:12" ht="34.5" customHeight="1">
      <c r="B59" s="1087"/>
      <c r="D59" s="1067" t="str">
        <f>ตารางแสดงผลประโยชน์!$I$77</f>
        <v>ไอสมาร์ท 80/6 (ไม่มีเงินปันผล) เวอร์ชั่น A2026-1</v>
      </c>
    </row>
    <row r="60" spans="1:12" ht="15" customHeight="1"/>
    <row r="61" spans="1:12" ht="15" customHeight="1">
      <c r="A61" s="1097"/>
    </row>
    <row r="62" spans="1:12" ht="15" customHeight="1">
      <c r="A62" s="1098"/>
    </row>
    <row r="63" spans="1:12" ht="15" customHeight="1">
      <c r="A63" s="1098"/>
    </row>
    <row r="64" spans="1:12" ht="15" customHeight="1">
      <c r="A64" s="1098"/>
    </row>
    <row r="65" spans="1:12" ht="15" customHeight="1">
      <c r="A65" s="1098"/>
    </row>
    <row r="66" spans="1:12" s="1088" customFormat="1" ht="15" customHeight="1">
      <c r="A66" s="1098"/>
      <c r="C66" s="1087"/>
      <c r="D66" s="1087"/>
      <c r="E66" s="1087"/>
      <c r="F66" s="1087"/>
      <c r="G66" s="1087"/>
      <c r="H66" s="1087"/>
      <c r="I66" s="1087"/>
      <c r="J66" s="1087"/>
      <c r="K66" s="1087"/>
      <c r="L66" s="1087"/>
    </row>
    <row r="67" spans="1:12" ht="15" customHeight="1"/>
    <row r="68" spans="1:12" ht="15" customHeight="1"/>
    <row r="69" spans="1:12" ht="15" customHeight="1"/>
    <row r="70" spans="1:12" ht="15" customHeight="1"/>
    <row r="71" spans="1:12" ht="15" customHeight="1"/>
    <row r="72" spans="1:12" ht="15" customHeight="1"/>
    <row r="73" spans="1:12" ht="15" customHeight="1"/>
  </sheetData>
  <sheetProtection algorithmName="SHA-512" hashValue="PTRAL5m5tzGjve01Qg4Wa1YnqXAhHkLiQ0nVTA5iF4djWAfbZ3q2LjGL6niLhVoIzNSE6RMuBYO5zTPyAQuprw==" saltValue="kjYtEAF/jvDfE0+Ahbl0wQ==" spinCount="100000" sheet="1" objects="1" scenarios="1"/>
  <mergeCells count="7">
    <mergeCell ref="A58:D58"/>
    <mergeCell ref="A2:D2"/>
    <mergeCell ref="A4:D4"/>
    <mergeCell ref="A30:D30"/>
    <mergeCell ref="A55:B55"/>
    <mergeCell ref="A56:D56"/>
    <mergeCell ref="A57:D57"/>
  </mergeCells>
  <conditionalFormatting sqref="A4 E4:XFD4 A5:XFD21 B22:XFD23 A24:XFD29 A30 E30 I30 M30 Q30 U30 Y30 AC30 AG30 AK30 AO30 AS30 AW30 BA30 BE30 BI30 BM30 BQ30 BU30 BY30 CC30 CG30 CK30 CO30 CS30 CW30 DA30 DE30 DI30 DM30 DQ30 DU30 DY30 EC30 EG30 EK30 EO30 ES30 EW30 FA30 FE30 FI30 FM30 FQ30 FU30 FY30 GC30 GG30 GK30 GO30 GS30 GW30 HA30 HE30 HI30 HM30 HQ30 HU30 HY30 IC30 IG30 IK30 IO30 IS30 IW30 JA30 JE30 JI30 JM30 JQ30 JU30 JY30 KC30 KG30 KK30 KO30 KS30 KW30 LA30 LE30 LI30 LM30 LQ30 LU30 LY30 MC30 MG30 MK30 MO30 MS30 MW30 NA30 NE30 NI30 NM30 NQ30 NU30 NY30 OC30 OG30 OK30 OO30 OS30 OW30 PA30 PE30 PI30 PM30 PQ30 PU30 PY30 QC30 QG30 QK30 QO30 QS30 QW30 RA30 RE30 RI30 RM30 RQ30 RU30 RY30 SC30 SG30 SK30 SO30 SS30 SW30 TA30 TE30 TI30 TM30 TQ30 TU30 TY30 UC30 UG30 UK30 UO30 US30 UW30 VA30 VE30 VI30 VM30 VQ30 VU30 VY30 WC30 WG30 WK30 WO30 WS30 WW30 XA30 XE30 XI30 XM30 XQ30 XU30 XY30 YC30 YG30 YK30 YO30 YS30 YW30 ZA30 ZE30 ZI30 ZM30 ZQ30 ZU30 ZY30 AAC30 AAG30 AAK30 AAO30 AAS30 AAW30 ABA30 ABE30 ABI30 ABM30 ABQ30 ABU30 ABY30 ACC30 ACG30 ACK30 ACO30 ACS30 ACW30 ADA30 ADE30 ADI30 ADM30 ADQ30 ADU30 ADY30 AEC30 AEG30 AEK30 AEO30 AES30 AEW30 AFA30 AFE30 AFI30 AFM30 AFQ30 AFU30 AFY30 AGC30 AGG30 AGK30 AGO30 AGS30 AGW30 AHA30 AHE30 AHI30 AHM30 AHQ30 AHU30 AHY30 AIC30 AIG30 AIK30 AIO30 AIS30 AIW30 AJA30 AJE30 AJI30 AJM30 AJQ30 AJU30 AJY30 AKC30 AKG30 AKK30 AKO30 AKS30 AKW30 ALA30 ALE30 ALI30 ALM30 ALQ30 ALU30 ALY30 AMC30 AMG30 AMK30 AMO30 AMS30 AMW30 ANA30 ANE30 ANI30 ANM30 ANQ30 ANU30 ANY30 AOC30 AOG30 AOK30 AOO30 AOS30 AOW30 APA30 APE30 API30 APM30 APQ30 APU30 APY30 AQC30 AQG30 AQK30 AQO30 AQS30 AQW30 ARA30 ARE30 ARI30 ARM30 ARQ30 ARU30 ARY30 ASC30 ASG30 ASK30 ASO30 ASS30 ASW30 ATA30 ATE30 ATI30 ATM30 ATQ30 ATU30 ATY30 AUC30 AUG30 AUK30 AUO30 AUS30 AUW30 AVA30 AVE30 AVI30 AVM30 AVQ30 AVU30 AVY30 AWC30 AWG30 AWK30 AWO30 AWS30 AWW30 AXA30 AXE30 AXI30 AXM30 AXQ30 AXU30 AXY30 AYC30 AYG30 AYK30 AYO30 AYS30 AYW30 AZA30 AZE30 AZI30 AZM30 AZQ30 AZU30 AZY30 BAC30 BAG30 BAK30 BAO30 BAS30 BAW30 BBA30 BBE30 BBI30 BBM30 BBQ30 BBU30 BBY30 BCC30 BCG30 BCK30 BCO30 BCS30 BCW30 BDA30 BDE30 BDI30 BDM30 BDQ30 BDU30 BDY30 BEC30 BEG30 BEK30 BEO30 BES30 BEW30 BFA30 BFE30 BFI30 BFM30 BFQ30 BFU30 BFY30 BGC30 BGG30 BGK30 BGO30 BGS30 BGW30 BHA30 BHE30 BHI30 BHM30 BHQ30 BHU30 BHY30 BIC30 BIG30 BIK30 BIO30 BIS30 BIW30 BJA30 BJE30 BJI30 BJM30 BJQ30 BJU30 BJY30 BKC30 BKG30 BKK30 BKO30 BKS30 BKW30 BLA30 BLE30 BLI30 BLM30 BLQ30 BLU30 BLY30 BMC30 BMG30 BMK30 BMO30 BMS30 BMW30 BNA30 BNE30 BNI30 BNM30 BNQ30 BNU30 BNY30 BOC30 BOG30 BOK30 BOO30 BOS30 BOW30 BPA30 BPE30 BPI30 BPM30 BPQ30 BPU30 BPY30 BQC30 BQG30 BQK30 BQO30 BQS30 BQW30 BRA30 BRE30 BRI30 BRM30 BRQ30 BRU30 BRY30 BSC30 BSG30 BSK30 BSO30 BSS30 BSW30 BTA30 BTE30 BTI30 BTM30 BTQ30 BTU30 BTY30 BUC30 BUG30 BUK30 BUO30 BUS30 BUW30 BVA30 BVE30 BVI30 BVM30 BVQ30 BVU30 BVY30 BWC30 BWG30 BWK30 BWO30 BWS30 BWW30 BXA30 BXE30 BXI30 BXM30 BXQ30 BXU30 BXY30 BYC30 BYG30 BYK30 BYO30 BYS30 BYW30 BZA30 BZE30 BZI30 BZM30 BZQ30 BZU30 BZY30 CAC30 CAG30 CAK30 CAO30 CAS30 CAW30 CBA30 CBE30 CBI30 CBM30 CBQ30 CBU30 CBY30 CCC30 CCG30 CCK30 CCO30 CCS30 CCW30 CDA30 CDE30 CDI30 CDM30 CDQ30 CDU30 CDY30 CEC30 CEG30 CEK30 CEO30 CES30 CEW30 CFA30 CFE30 CFI30 CFM30 CFQ30 CFU30 CFY30 CGC30 CGG30 CGK30 CGO30 CGS30 CGW30 CHA30 CHE30 CHI30 CHM30 CHQ30 CHU30 CHY30 CIC30 CIG30 CIK30 CIO30 CIS30 CIW30 CJA30 CJE30 CJI30 CJM30 CJQ30 CJU30 CJY30 CKC30 CKG30 CKK30 CKO30 CKS30 CKW30 CLA30 CLE30 CLI30 CLM30 CLQ30 CLU30 CLY30 CMC30 CMG30 CMK30 CMO30 CMS30 CMW30 CNA30 CNE30 CNI30 CNM30 CNQ30 CNU30 CNY30 COC30 COG30 COK30 COO30 COS30 COW30 CPA30 CPE30 CPI30 CPM30 CPQ30 CPU30 CPY30 CQC30 CQG30 CQK30 CQO30 CQS30 CQW30 CRA30 CRE30 CRI30 CRM30 CRQ30 CRU30 CRY30 CSC30 CSG30 CSK30 CSO30 CSS30 CSW30 CTA30 CTE30 CTI30 CTM30 CTQ30 CTU30 CTY30 CUC30 CUG30 CUK30 CUO30 CUS30 CUW30 CVA30 CVE30 CVI30 CVM30 CVQ30 CVU30 CVY30 CWC30 CWG30 CWK30 CWO30 CWS30 CWW30 CXA30 CXE30 CXI30 CXM30 CXQ30 CXU30 CXY30 CYC30 CYG30 CYK30 CYO30 CYS30 CYW30 CZA30 CZE30 CZI30 CZM30 CZQ30 CZU30 CZY30 DAC30 DAG30 DAK30 DAO30 DAS30 DAW30 DBA30 DBE30 DBI30 DBM30 DBQ30 DBU30 DBY30 DCC30 DCG30 DCK30 DCO30 DCS30 DCW30 DDA30 DDE30 DDI30 DDM30 DDQ30 DDU30 DDY30 DEC30 DEG30 DEK30 DEO30 DES30 DEW30 DFA30 DFE30 DFI30 DFM30 DFQ30 DFU30 DFY30 DGC30 DGG30 DGK30 DGO30 DGS30 DGW30 DHA30 DHE30 DHI30 DHM30 DHQ30 DHU30 DHY30 DIC30 DIG30 DIK30 DIO30 DIS30 DIW30 DJA30 DJE30 DJI30 DJM30 DJQ30 DJU30 DJY30 DKC30 DKG30 DKK30 DKO30 DKS30 DKW30 DLA30 DLE30 DLI30 DLM30 DLQ30 DLU30 DLY30 DMC30 DMG30 DMK30 DMO30 DMS30 DMW30 DNA30 DNE30 DNI30 DNM30 DNQ30 DNU30 DNY30 DOC30 DOG30 DOK30 DOO30 DOS30 DOW30 DPA30 DPE30 DPI30 DPM30 DPQ30 DPU30 DPY30 DQC30 DQG30 DQK30 DQO30 DQS30 DQW30 DRA30 DRE30 DRI30 DRM30 DRQ30 DRU30 DRY30 DSC30 DSG30 DSK30 DSO30 DSS30 DSW30 DTA30 DTE30 DTI30 DTM30 DTQ30 DTU30 DTY30 DUC30 DUG30 DUK30 DUO30 DUS30 DUW30 DVA30 DVE30 DVI30 DVM30 DVQ30 DVU30 DVY30 DWC30 DWG30 DWK30 DWO30 DWS30 DWW30 DXA30 DXE30 DXI30 DXM30 DXQ30 DXU30 DXY30 DYC30 DYG30 DYK30 DYO30 DYS30 DYW30 DZA30 DZE30 DZI30 DZM30 DZQ30 DZU30 DZY30 EAC30 EAG30 EAK30 EAO30 EAS30 EAW30 EBA30 EBE30 EBI30 EBM30 EBQ30 EBU30 EBY30 ECC30 ECG30 ECK30 ECO30 ECS30 ECW30 EDA30 EDE30 EDI30 EDM30 EDQ30 EDU30 EDY30 EEC30 EEG30 EEK30 EEO30 EES30 EEW30 EFA30 EFE30 EFI30 EFM30 EFQ30 EFU30 EFY30 EGC30 EGG30 EGK30 EGO30 EGS30 EGW30 EHA30 EHE30 EHI30 EHM30 EHQ30 EHU30 EHY30 EIC30 EIG30 EIK30 EIO30 EIS30 EIW30 EJA30 EJE30 EJI30 EJM30 EJQ30 EJU30 EJY30 EKC30 EKG30 EKK30 EKO30 EKS30 EKW30 ELA30 ELE30 ELI30 ELM30 ELQ30 ELU30 ELY30 EMC30 EMG30 EMK30 EMO30 EMS30 EMW30 ENA30 ENE30 ENI30 ENM30 ENQ30 ENU30 ENY30 EOC30 EOG30 EOK30 EOO30 EOS30 EOW30 EPA30 EPE30 EPI30 EPM30 EPQ30 EPU30 EPY30 EQC30 EQG30 EQK30 EQO30 EQS30 EQW30 ERA30 ERE30 ERI30 ERM30 ERQ30 ERU30 ERY30 ESC30 ESG30 ESK30 ESO30 ESS30 ESW30 ETA30 ETE30 ETI30 ETM30 ETQ30 ETU30 ETY30 EUC30 EUG30 EUK30 EUO30 EUS30 EUW30 EVA30 EVE30 EVI30 EVM30 EVQ30 EVU30 EVY30 EWC30 EWG30 EWK30 EWO30 EWS30 EWW30 EXA30 EXE30 EXI30 EXM30 EXQ30 EXU30 EXY30 EYC30 EYG30 EYK30 EYO30 EYS30 EYW30 EZA30 EZE30 EZI30 EZM30 EZQ30 EZU30 EZY30 FAC30 FAG30 FAK30 FAO30 FAS30 FAW30 FBA30 FBE30 FBI30 FBM30 FBQ30 FBU30 FBY30 FCC30 FCG30 FCK30 FCO30 FCS30 FCW30 FDA30 FDE30 FDI30 FDM30 FDQ30 FDU30 FDY30 FEC30 FEG30 FEK30 FEO30 FES30 FEW30 FFA30 FFE30 FFI30 FFM30 FFQ30 FFU30 FFY30 FGC30 FGG30 FGK30 FGO30 FGS30 FGW30 FHA30 FHE30 FHI30 FHM30 FHQ30 FHU30 FHY30 FIC30 FIG30 FIK30 FIO30 FIS30 FIW30 FJA30 FJE30 FJI30 FJM30 FJQ30 FJU30 FJY30 FKC30 FKG30 FKK30 FKO30 FKS30 FKW30 FLA30 FLE30 FLI30 FLM30 FLQ30 FLU30 FLY30 FMC30 FMG30 FMK30 FMO30 FMS30 FMW30 FNA30 FNE30 FNI30 FNM30 FNQ30 FNU30 FNY30 FOC30 FOG30 FOK30 FOO30 FOS30 FOW30 FPA30 FPE30 FPI30 FPM30 FPQ30 FPU30 FPY30 FQC30 FQG30 FQK30 FQO30 FQS30 FQW30 FRA30 FRE30 FRI30 FRM30 FRQ30 FRU30 FRY30 FSC30 FSG30 FSK30 FSO30 FSS30 FSW30 FTA30 FTE30 FTI30 FTM30 FTQ30 FTU30 FTY30 FUC30 FUG30 FUK30 FUO30 FUS30 FUW30 FVA30 FVE30 FVI30 FVM30 FVQ30 FVU30 FVY30 FWC30 FWG30 FWK30 FWO30 FWS30 FWW30 FXA30 FXE30 FXI30 FXM30 FXQ30 FXU30 FXY30 FYC30 FYG30 FYK30 FYO30 FYS30 FYW30 FZA30 FZE30 FZI30 FZM30 FZQ30 FZU30 FZY30 GAC30 GAG30 GAK30 GAO30 GAS30 GAW30 GBA30 GBE30 GBI30 GBM30 GBQ30 GBU30 GBY30 GCC30 GCG30 GCK30 GCO30 GCS30 GCW30 GDA30 GDE30 GDI30 GDM30 GDQ30 GDU30 GDY30 GEC30 GEG30 GEK30 GEO30 GES30 GEW30 GFA30 GFE30 GFI30 GFM30 GFQ30 GFU30 GFY30 GGC30 GGG30 GGK30 GGO30 GGS30 GGW30 GHA30 GHE30 GHI30 GHM30 GHQ30 GHU30 GHY30 GIC30 GIG30 GIK30 GIO30 GIS30 GIW30 GJA30 GJE30 GJI30 GJM30 GJQ30 GJU30 GJY30 GKC30 GKG30 GKK30 GKO30 GKS30 GKW30 GLA30 GLE30 GLI30 GLM30 GLQ30 GLU30 GLY30 GMC30 GMG30 GMK30 GMO30 GMS30 GMW30 GNA30 GNE30 GNI30 GNM30 GNQ30 GNU30 GNY30 GOC30 GOG30 GOK30 GOO30 GOS30 GOW30 GPA30 GPE30 GPI30 GPM30 GPQ30 GPU30 GPY30 GQC30 GQG30 GQK30 GQO30 GQS30 GQW30 GRA30 GRE30 GRI30 GRM30 GRQ30 GRU30 GRY30 GSC30 GSG30 GSK30 GSO30 GSS30 GSW30 GTA30 GTE30 GTI30 GTM30 GTQ30 GTU30 GTY30 GUC30 GUG30 GUK30 GUO30 GUS30 GUW30 GVA30 GVE30 GVI30 GVM30 GVQ30 GVU30 GVY30 GWC30 GWG30 GWK30 GWO30 GWS30 GWW30 GXA30 GXE30 GXI30 GXM30 GXQ30 GXU30 GXY30 GYC30 GYG30 GYK30 GYO30 GYS30 GYW30 GZA30 GZE30 GZI30 GZM30 GZQ30 GZU30 GZY30 HAC30 HAG30 HAK30 HAO30 HAS30 HAW30 HBA30 HBE30 HBI30 HBM30 HBQ30 HBU30 HBY30 HCC30 HCG30 HCK30 HCO30 HCS30 HCW30 HDA30 HDE30 HDI30 HDM30 HDQ30 HDU30 HDY30 HEC30 HEG30 HEK30 HEO30 HES30 HEW30 HFA30 HFE30 HFI30 HFM30 HFQ30 HFU30 HFY30 HGC30 HGG30 HGK30 HGO30 HGS30 HGW30 HHA30 HHE30 HHI30 HHM30 HHQ30 HHU30 HHY30 HIC30 HIG30 HIK30 HIO30 HIS30 HIW30 HJA30 HJE30 HJI30 HJM30 HJQ30 HJU30 HJY30 HKC30 HKG30 HKK30 HKO30 HKS30 HKW30 HLA30 HLE30 HLI30 HLM30 HLQ30 HLU30 HLY30 HMC30 HMG30 HMK30 HMO30 HMS30 HMW30 HNA30 HNE30 HNI30 HNM30 HNQ30 HNU30 HNY30 HOC30 HOG30 HOK30 HOO30 HOS30 HOW30 HPA30 HPE30 HPI30 HPM30 HPQ30 HPU30 HPY30 HQC30 HQG30 HQK30 HQO30 HQS30 HQW30 HRA30 HRE30 HRI30 HRM30 HRQ30 HRU30 HRY30 HSC30 HSG30 HSK30 HSO30 HSS30 HSW30 HTA30 HTE30 HTI30 HTM30 HTQ30 HTU30 HTY30 HUC30 HUG30 HUK30 HUO30 HUS30 HUW30 HVA30 HVE30 HVI30 HVM30 HVQ30 HVU30 HVY30 HWC30 HWG30 HWK30 HWO30 HWS30 HWW30 HXA30 HXE30 HXI30 HXM30 HXQ30 HXU30 HXY30 HYC30 HYG30 HYK30 HYO30 HYS30 HYW30 HZA30 HZE30 HZI30 HZM30 HZQ30 HZU30 HZY30 IAC30 IAG30 IAK30 IAO30 IAS30 IAW30 IBA30 IBE30 IBI30 IBM30 IBQ30 IBU30 IBY30 ICC30 ICG30 ICK30 ICO30 ICS30 ICW30 IDA30 IDE30 IDI30 IDM30 IDQ30 IDU30 IDY30 IEC30 IEG30 IEK30 IEO30 IES30 IEW30 IFA30 IFE30 IFI30 IFM30 IFQ30 IFU30 IFY30 IGC30 IGG30 IGK30 IGO30 IGS30 IGW30 IHA30 IHE30 IHI30 IHM30 IHQ30 IHU30 IHY30 IIC30 IIG30 IIK30 IIO30 IIS30 IIW30 IJA30 IJE30 IJI30 IJM30 IJQ30 IJU30 IJY30 IKC30 IKG30 IKK30 IKO30 IKS30 IKW30 ILA30 ILE30 ILI30 ILM30 ILQ30 ILU30 ILY30 IMC30 IMG30 IMK30 IMO30 IMS30 IMW30 INA30 INE30 INI30 INM30 INQ30 INU30 INY30 IOC30 IOG30 IOK30 IOO30 IOS30 IOW30 IPA30 IPE30 IPI30 IPM30 IPQ30 IPU30 IPY30 IQC30 IQG30 IQK30 IQO30 IQS30 IQW30 IRA30 IRE30 IRI30 IRM30 IRQ30 IRU30 IRY30 ISC30 ISG30 ISK30 ISO30 ISS30 ISW30 ITA30 ITE30 ITI30 ITM30 ITQ30 ITU30 ITY30 IUC30 IUG30 IUK30 IUO30 IUS30 IUW30 IVA30 IVE30 IVI30 IVM30 IVQ30 IVU30 IVY30 IWC30 IWG30 IWK30 IWO30 IWS30 IWW30 IXA30 IXE30 IXI30 IXM30 IXQ30 IXU30 IXY30 IYC30 IYG30 IYK30 IYO30 IYS30 IYW30 IZA30 IZE30 IZI30 IZM30 IZQ30 IZU30 IZY30 JAC30 JAG30 JAK30 JAO30 JAS30 JAW30 JBA30 JBE30 JBI30 JBM30 JBQ30 JBU30 JBY30 JCC30 JCG30 JCK30 JCO30 JCS30 JCW30 JDA30 JDE30 JDI30 JDM30 JDQ30 JDU30 JDY30 JEC30 JEG30 JEK30 JEO30 JES30 JEW30 JFA30 JFE30 JFI30 JFM30 JFQ30 JFU30 JFY30 JGC30 JGG30 JGK30 JGO30 JGS30 JGW30 JHA30 JHE30 JHI30 JHM30 JHQ30 JHU30 JHY30 JIC30 JIG30 JIK30 JIO30 JIS30 JIW30 JJA30 JJE30 JJI30 JJM30 JJQ30 JJU30 JJY30 JKC30 JKG30 JKK30 JKO30 JKS30 JKW30 JLA30 JLE30 JLI30 JLM30 JLQ30 JLU30 JLY30 JMC30 JMG30 JMK30 JMO30 JMS30 JMW30 JNA30 JNE30 JNI30 JNM30 JNQ30 JNU30 JNY30 JOC30 JOG30 JOK30 JOO30 JOS30 JOW30 JPA30 JPE30 JPI30 JPM30 JPQ30 JPU30 JPY30 JQC30 JQG30 JQK30 JQO30 JQS30 JQW30 JRA30 JRE30 JRI30 JRM30 JRQ30 JRU30 JRY30 JSC30 JSG30 JSK30 JSO30 JSS30 JSW30 JTA30 JTE30 JTI30 JTM30 JTQ30 JTU30 JTY30 JUC30 JUG30 JUK30 JUO30 JUS30 JUW30 JVA30 JVE30 JVI30 JVM30 JVQ30 JVU30 JVY30 JWC30 JWG30 JWK30 JWO30 JWS30 JWW30 JXA30 JXE30 JXI30 JXM30 JXQ30 JXU30 JXY30 JYC30 JYG30 JYK30 JYO30 JYS30 JYW30 JZA30 JZE30 JZI30 JZM30 JZQ30 JZU30 JZY30 KAC30 KAG30 KAK30 KAO30 KAS30 KAW30 KBA30 KBE30 KBI30 KBM30 KBQ30 KBU30 KBY30 KCC30 KCG30 KCK30 KCO30 KCS30 KCW30 KDA30 KDE30 KDI30 KDM30 KDQ30 KDU30 KDY30 KEC30 KEG30 KEK30 KEO30 KES30 KEW30 KFA30 KFE30 KFI30 KFM30 KFQ30 KFU30 KFY30 KGC30 KGG30 KGK30 KGO30 KGS30 KGW30 KHA30 KHE30 KHI30 KHM30 KHQ30 KHU30 KHY30 KIC30 KIG30 KIK30 KIO30 KIS30 KIW30 KJA30 KJE30 KJI30 KJM30 KJQ30 KJU30 KJY30 KKC30 KKG30 KKK30 KKO30 KKS30 KKW30 KLA30 KLE30 KLI30 KLM30 KLQ30 KLU30 KLY30 KMC30 KMG30 KMK30 KMO30 KMS30 KMW30 KNA30 KNE30 KNI30 KNM30 KNQ30 KNU30 KNY30 KOC30 KOG30 KOK30 KOO30 KOS30 KOW30 KPA30 KPE30 KPI30 KPM30 KPQ30 KPU30 KPY30 KQC30 KQG30 KQK30 KQO30 KQS30 KQW30 KRA30 KRE30 KRI30 KRM30 KRQ30 KRU30 KRY30 KSC30 KSG30 KSK30 KSO30 KSS30 KSW30 KTA30 KTE30 KTI30 KTM30 KTQ30 KTU30 KTY30 KUC30 KUG30 KUK30 KUO30 KUS30 KUW30 KVA30 KVE30 KVI30 KVM30 KVQ30 KVU30 KVY30 KWC30 KWG30 KWK30 KWO30 KWS30 KWW30 KXA30 KXE30 KXI30 KXM30 KXQ30 KXU30 KXY30 KYC30 KYG30 KYK30 KYO30 KYS30 KYW30 KZA30 KZE30 KZI30 KZM30 KZQ30 KZU30 KZY30 LAC30 LAG30 LAK30 LAO30 LAS30 LAW30 LBA30 LBE30 LBI30 LBM30 LBQ30 LBU30 LBY30 LCC30 LCG30 LCK30 LCO30 LCS30 LCW30 LDA30 LDE30 LDI30 LDM30 LDQ30 LDU30 LDY30 LEC30 LEG30 LEK30 LEO30 LES30 LEW30 LFA30 LFE30 LFI30 LFM30 LFQ30 LFU30 LFY30 LGC30 LGG30 LGK30 LGO30 LGS30 LGW30 LHA30 LHE30 LHI30 LHM30 LHQ30 LHU30 LHY30 LIC30 LIG30 LIK30 LIO30 LIS30 LIW30 LJA30 LJE30 LJI30 LJM30 LJQ30 LJU30 LJY30 LKC30 LKG30 LKK30 LKO30 LKS30 LKW30 LLA30 LLE30 LLI30 LLM30 LLQ30 LLU30 LLY30 LMC30 LMG30 LMK30 LMO30 LMS30 LMW30 LNA30 LNE30 LNI30 LNM30 LNQ30 LNU30 LNY30 LOC30 LOG30 LOK30 LOO30 LOS30 LOW30 LPA30 LPE30 LPI30 LPM30 LPQ30 LPU30 LPY30 LQC30 LQG30 LQK30 LQO30 LQS30 LQW30 LRA30 LRE30 LRI30 LRM30 LRQ30 LRU30 LRY30 LSC30 LSG30 LSK30 LSO30 LSS30 LSW30 LTA30 LTE30 LTI30 LTM30 LTQ30 LTU30 LTY30 LUC30 LUG30 LUK30 LUO30 LUS30 LUW30 LVA30 LVE30 LVI30 LVM30 LVQ30 LVU30 LVY30 LWC30 LWG30 LWK30 LWO30 LWS30 LWW30 LXA30 LXE30 LXI30 LXM30 LXQ30 LXU30 LXY30 LYC30 LYG30 LYK30 LYO30 LYS30 LYW30 LZA30 LZE30 LZI30 LZM30 LZQ30 LZU30 LZY30 MAC30 MAG30 MAK30 MAO30 MAS30 MAW30 MBA30 MBE30 MBI30 MBM30 MBQ30 MBU30 MBY30 MCC30 MCG30 MCK30 MCO30 MCS30 MCW30 MDA30 MDE30 MDI30 MDM30 MDQ30 MDU30 MDY30 MEC30 MEG30 MEK30 MEO30 MES30 MEW30 MFA30 MFE30 MFI30 MFM30 MFQ30 MFU30 MFY30 MGC30 MGG30 MGK30 MGO30 MGS30 MGW30 MHA30 MHE30 MHI30 MHM30 MHQ30 MHU30 MHY30 MIC30 MIG30 MIK30 MIO30 MIS30 MIW30 MJA30 MJE30 MJI30 MJM30 MJQ30 MJU30 MJY30 MKC30 MKG30 MKK30 MKO30 MKS30 MKW30 MLA30 MLE30 MLI30 MLM30 MLQ30 MLU30 MLY30 MMC30 MMG30 MMK30 MMO30 MMS30 MMW30 MNA30 MNE30 MNI30 MNM30 MNQ30 MNU30 MNY30 MOC30 MOG30 MOK30 MOO30 MOS30 MOW30 MPA30 MPE30 MPI30 MPM30 MPQ30 MPU30 MPY30 MQC30 MQG30 MQK30 MQO30 MQS30 MQW30 MRA30 MRE30 MRI30 MRM30 MRQ30 MRU30 MRY30 MSC30 MSG30 MSK30 MSO30 MSS30 MSW30 MTA30 MTE30 MTI30 MTM30 MTQ30 MTU30 MTY30 MUC30 MUG30 MUK30 MUO30 MUS30 MUW30 MVA30 MVE30 MVI30 MVM30 MVQ30 MVU30 MVY30 MWC30 MWG30 MWK30 MWO30 MWS30 MWW30 MXA30 MXE30 MXI30 MXM30 MXQ30 MXU30 MXY30 MYC30 MYG30 MYK30 MYO30 MYS30 MYW30 MZA30 MZE30 MZI30 MZM30 MZQ30 MZU30 MZY30 NAC30 NAG30 NAK30 NAO30 NAS30 NAW30 NBA30 NBE30 NBI30 NBM30 NBQ30 NBU30 NBY30 NCC30 NCG30 NCK30 NCO30 NCS30 NCW30 NDA30 NDE30 NDI30 NDM30 NDQ30 NDU30 NDY30 NEC30 NEG30 NEK30 NEO30 NES30 NEW30 NFA30 NFE30 NFI30 NFM30 NFQ30 NFU30 NFY30 NGC30 NGG30 NGK30 NGO30 NGS30 NGW30 NHA30 NHE30 NHI30 NHM30 NHQ30 NHU30 NHY30 NIC30 NIG30 NIK30 NIO30 NIS30 NIW30 NJA30 NJE30 NJI30 NJM30 NJQ30 NJU30 NJY30 NKC30 NKG30 NKK30 NKO30 NKS30 NKW30 NLA30 NLE30 NLI30 NLM30 NLQ30 NLU30 NLY30 NMC30 NMG30 NMK30 NMO30 NMS30 NMW30 NNA30 NNE30 NNI30 NNM30 NNQ30 NNU30 NNY30 NOC30 NOG30 NOK30 NOO30 NOS30 NOW30 NPA30 NPE30 NPI30 NPM30 NPQ30 NPU30 NPY30 NQC30 NQG30 NQK30 NQO30 NQS30 NQW30 NRA30 NRE30 NRI30 NRM30 NRQ30 NRU30 NRY30 NSC30 NSG30 NSK30 NSO30 NSS30 NSW30 NTA30 NTE30 NTI30 NTM30 NTQ30 NTU30 NTY30 NUC30 NUG30 NUK30 NUO30 NUS30 NUW30 NVA30 NVE30 NVI30 NVM30 NVQ30 NVU30 NVY30 NWC30 NWG30 NWK30 NWO30 NWS30 NWW30 NXA30 NXE30 NXI30 NXM30 NXQ30 NXU30 NXY30 NYC30 NYG30 NYK30 NYO30 NYS30 NYW30 NZA30 NZE30 NZI30 NZM30 NZQ30 NZU30 NZY30 OAC30 OAG30 OAK30 OAO30 OAS30 OAW30 OBA30 OBE30 OBI30 OBM30 OBQ30 OBU30 OBY30 OCC30 OCG30 OCK30 OCO30 OCS30 OCW30 ODA30 ODE30 ODI30 ODM30 ODQ30 ODU30 ODY30 OEC30 OEG30 OEK30 OEO30 OES30 OEW30 OFA30 OFE30 OFI30 OFM30 OFQ30 OFU30 OFY30 OGC30 OGG30 OGK30 OGO30 OGS30 OGW30 OHA30 OHE30 OHI30 OHM30 OHQ30 OHU30 OHY30 OIC30 OIG30 OIK30 OIO30 OIS30 OIW30 OJA30 OJE30 OJI30 OJM30 OJQ30 OJU30 OJY30 OKC30 OKG30 OKK30 OKO30 OKS30 OKW30 OLA30 OLE30 OLI30 OLM30 OLQ30 OLU30 OLY30 OMC30 OMG30 OMK30 OMO30 OMS30 OMW30 ONA30 ONE30 ONI30 ONM30 ONQ30 ONU30 ONY30 OOC30 OOG30 OOK30 OOO30 OOS30 OOW30 OPA30 OPE30 OPI30 OPM30 OPQ30 OPU30 OPY30 OQC30 OQG30 OQK30 OQO30 OQS30 OQW30 ORA30 ORE30 ORI30 ORM30 ORQ30 ORU30 ORY30 OSC30 OSG30 OSK30 OSO30 OSS30 OSW30 OTA30 OTE30 OTI30 OTM30 OTQ30 OTU30 OTY30 OUC30 OUG30 OUK30 OUO30 OUS30 OUW30 OVA30 OVE30 OVI30 OVM30 OVQ30 OVU30 OVY30 OWC30 OWG30 OWK30 OWO30 OWS30 OWW30 OXA30 OXE30 OXI30 OXM30 OXQ30 OXU30 OXY30 OYC30 OYG30 OYK30 OYO30 OYS30 OYW30 OZA30 OZE30 OZI30 OZM30 OZQ30 OZU30 OZY30 PAC30 PAG30 PAK30 PAO30 PAS30 PAW30 PBA30 PBE30 PBI30 PBM30 PBQ30 PBU30 PBY30 PCC30 PCG30 PCK30 PCO30 PCS30 PCW30 PDA30 PDE30 PDI30 PDM30 PDQ30 PDU30 PDY30 PEC30 PEG30 PEK30 PEO30 PES30 PEW30 PFA30 PFE30 PFI30 PFM30 PFQ30 PFU30 PFY30 PGC30 PGG30 PGK30 PGO30 PGS30 PGW30 PHA30 PHE30 PHI30 PHM30 PHQ30 PHU30 PHY30 PIC30 PIG30 PIK30 PIO30 PIS30 PIW30 PJA30 PJE30 PJI30 PJM30 PJQ30 PJU30 PJY30 PKC30 PKG30 PKK30 PKO30 PKS30 PKW30 PLA30 PLE30 PLI30 PLM30 PLQ30 PLU30 PLY30 PMC30 PMG30 PMK30 PMO30 PMS30 PMW30 PNA30 PNE30 PNI30 PNM30 PNQ30 PNU30 PNY30 POC30 POG30 POK30 POO30 POS30 POW30 PPA30 PPE30 PPI30 PPM30 PPQ30 PPU30 PPY30 PQC30 PQG30 PQK30 PQO30 PQS30 PQW30 PRA30 PRE30 PRI30 PRM30 PRQ30 PRU30 PRY30 PSC30 PSG30 PSK30 PSO30 PSS30 PSW30 PTA30 PTE30 PTI30 PTM30 PTQ30 PTU30 PTY30 PUC30 PUG30 PUK30 PUO30 PUS30 PUW30 PVA30 PVE30 PVI30 PVM30 PVQ30 PVU30 PVY30 PWC30 PWG30 PWK30 PWO30 PWS30 PWW30 PXA30 PXE30 PXI30 PXM30 PXQ30 PXU30 PXY30 PYC30 PYG30 PYK30 PYO30 PYS30 PYW30 PZA30 PZE30 PZI30 PZM30 PZQ30 PZU30 PZY30 QAC30 QAG30 QAK30 QAO30 QAS30 QAW30 QBA30 QBE30 QBI30 QBM30 QBQ30 QBU30 QBY30 QCC30 QCG30 QCK30 QCO30 QCS30 QCW30 QDA30 QDE30 QDI30 QDM30 QDQ30 QDU30 QDY30 QEC30 QEG30 QEK30 QEO30 QES30 QEW30 QFA30 QFE30 QFI30 QFM30 QFQ30 QFU30 QFY30 QGC30 QGG30 QGK30 QGO30 QGS30 QGW30 QHA30 QHE30 QHI30 QHM30 QHQ30 QHU30 QHY30 QIC30 QIG30 QIK30 QIO30 QIS30 QIW30 QJA30 QJE30 QJI30 QJM30 QJQ30 QJU30 QJY30 QKC30 QKG30 QKK30 QKO30 QKS30 QKW30 QLA30 QLE30 QLI30 QLM30 QLQ30 QLU30 QLY30 QMC30 QMG30 QMK30 QMO30 QMS30 QMW30 QNA30 QNE30 QNI30 QNM30 QNQ30 QNU30 QNY30 QOC30 QOG30 QOK30 QOO30 QOS30 QOW30 QPA30 QPE30 QPI30 QPM30 QPQ30 QPU30 QPY30 QQC30 QQG30 QQK30 QQO30 QQS30 QQW30 QRA30 QRE30 QRI30 QRM30 QRQ30 QRU30 QRY30 QSC30 QSG30 QSK30 QSO30 QSS30 QSW30 QTA30 QTE30 QTI30 QTM30 QTQ30 QTU30 QTY30 QUC30 QUG30 QUK30 QUO30 QUS30 QUW30 QVA30 QVE30 QVI30 QVM30 QVQ30 QVU30 QVY30 QWC30 QWG30 QWK30 QWO30 QWS30 QWW30 QXA30 QXE30 QXI30 QXM30 QXQ30 QXU30 QXY30 QYC30 QYG30 QYK30 QYO30 QYS30 QYW30 QZA30 QZE30 QZI30 QZM30 QZQ30 QZU30 QZY30 RAC30 RAG30 RAK30 RAO30 RAS30 RAW30 RBA30 RBE30 RBI30 RBM30 RBQ30 RBU30 RBY30 RCC30 RCG30 RCK30 RCO30 RCS30 RCW30 RDA30 RDE30 RDI30 RDM30 RDQ30 RDU30 RDY30 REC30 REG30 REK30 REO30 RES30 REW30 RFA30 RFE30 RFI30 RFM30 RFQ30 RFU30 RFY30 RGC30 RGG30 RGK30 RGO30 RGS30 RGW30 RHA30 RHE30 RHI30 RHM30 RHQ30 RHU30 RHY30 RIC30 RIG30 RIK30 RIO30 RIS30 RIW30 RJA30 RJE30 RJI30 RJM30 RJQ30 RJU30 RJY30 RKC30 RKG30 RKK30 RKO30 RKS30 RKW30 RLA30 RLE30 RLI30 RLM30 RLQ30 RLU30 RLY30 RMC30 RMG30 RMK30 RMO30 RMS30 RMW30 RNA30 RNE30 RNI30 RNM30 RNQ30 RNU30 RNY30 ROC30 ROG30 ROK30 ROO30 ROS30 ROW30 RPA30 RPE30 RPI30 RPM30 RPQ30 RPU30 RPY30 RQC30 RQG30 RQK30 RQO30 RQS30 RQW30 RRA30 RRE30 RRI30 RRM30 RRQ30 RRU30 RRY30 RSC30 RSG30 RSK30 RSO30 RSS30 RSW30 RTA30 RTE30 RTI30 RTM30 RTQ30 RTU30 RTY30 RUC30 RUG30 RUK30 RUO30 RUS30 RUW30 RVA30 RVE30 RVI30 RVM30 RVQ30 RVU30 RVY30 RWC30 RWG30 RWK30 RWO30 RWS30 RWW30 RXA30 RXE30 RXI30 RXM30 RXQ30 RXU30 RXY30 RYC30 RYG30 RYK30 RYO30 RYS30 RYW30 RZA30 RZE30 RZI30 RZM30 RZQ30 RZU30 RZY30 SAC30 SAG30 SAK30 SAO30 SAS30 SAW30 SBA30 SBE30 SBI30 SBM30 SBQ30 SBU30 SBY30 SCC30 SCG30 SCK30 SCO30 SCS30 SCW30 SDA30 SDE30 SDI30 SDM30 SDQ30 SDU30 SDY30 SEC30 SEG30 SEK30 SEO30 SES30 SEW30 SFA30 SFE30 SFI30 SFM30 SFQ30 SFU30 SFY30 SGC30 SGG30 SGK30 SGO30 SGS30 SGW30 SHA30 SHE30 SHI30 SHM30 SHQ30 SHU30 SHY30 SIC30 SIG30 SIK30 SIO30 SIS30 SIW30 SJA30 SJE30 SJI30 SJM30 SJQ30 SJU30 SJY30 SKC30 SKG30 SKK30 SKO30 SKS30 SKW30 SLA30 SLE30 SLI30 SLM30 SLQ30 SLU30 SLY30 SMC30 SMG30 SMK30 SMO30 SMS30 SMW30 SNA30 SNE30 SNI30 SNM30 SNQ30 SNU30 SNY30 SOC30 SOG30 SOK30 SOO30 SOS30 SOW30 SPA30 SPE30 SPI30 SPM30 SPQ30 SPU30 SPY30 SQC30 SQG30 SQK30 SQO30 SQS30 SQW30 SRA30 SRE30 SRI30 SRM30 SRQ30 SRU30 SRY30 SSC30 SSG30 SSK30 SSO30 SSS30 SSW30 STA30 STE30 STI30 STM30 STQ30 STU30 STY30 SUC30 SUG30 SUK30 SUO30 SUS30 SUW30 SVA30 SVE30 SVI30 SVM30 SVQ30 SVU30 SVY30 SWC30 SWG30 SWK30 SWO30 SWS30 SWW30 SXA30 SXE30 SXI30 SXM30 SXQ30 SXU30 SXY30 SYC30 SYG30 SYK30 SYO30 SYS30 SYW30 SZA30 SZE30 SZI30 SZM30 SZQ30 SZU30 SZY30 TAC30 TAG30 TAK30 TAO30 TAS30 TAW30 TBA30 TBE30 TBI30 TBM30 TBQ30 TBU30 TBY30 TCC30 TCG30 TCK30 TCO30 TCS30 TCW30 TDA30 TDE30 TDI30 TDM30 TDQ30 TDU30 TDY30 TEC30 TEG30 TEK30 TEO30 TES30 TEW30 TFA30 TFE30 TFI30 TFM30 TFQ30 TFU30 TFY30 TGC30 TGG30 TGK30 TGO30 TGS30 TGW30 THA30 THE30 THI30 THM30 THQ30 THU30 THY30 TIC30 TIG30 TIK30 TIO30 TIS30 TIW30 TJA30 TJE30 TJI30 TJM30 TJQ30 TJU30 TJY30 TKC30 TKG30 TKK30 TKO30 TKS30 TKW30 TLA30 TLE30 TLI30 TLM30 TLQ30 TLU30 TLY30 TMC30 TMG30 TMK30 TMO30 TMS30 TMW30 TNA30 TNE30 TNI30 TNM30 TNQ30 TNU30 TNY30 TOC30 TOG30 TOK30 TOO30 TOS30 TOW30 TPA30 TPE30 TPI30 TPM30 TPQ30 TPU30 TPY30 TQC30 TQG30 TQK30 TQO30 TQS30 TQW30 TRA30 TRE30 TRI30 TRM30 TRQ30 TRU30 TRY30 TSC30 TSG30 TSK30 TSO30 TSS30 TSW30 TTA30 TTE30 TTI30 TTM30 TTQ30 TTU30 TTY30 TUC30 TUG30 TUK30 TUO30 TUS30 TUW30 TVA30 TVE30 TVI30 TVM30 TVQ30 TVU30 TVY30 TWC30 TWG30 TWK30 TWO30 TWS30 TWW30 TXA30 TXE30 TXI30 TXM30 TXQ30 TXU30 TXY30 TYC30 TYG30 TYK30 TYO30 TYS30 TYW30 TZA30 TZE30 TZI30 TZM30 TZQ30 TZU30 TZY30 UAC30 UAG30 UAK30 UAO30 UAS30 UAW30 UBA30 UBE30 UBI30 UBM30 UBQ30 UBU30 UBY30 UCC30 UCG30 UCK30 UCO30 UCS30 UCW30 UDA30 UDE30 UDI30 UDM30 UDQ30 UDU30 UDY30 UEC30 UEG30 UEK30 UEO30 UES30 UEW30 UFA30 UFE30 UFI30 UFM30 UFQ30 UFU30 UFY30 UGC30 UGG30 UGK30 UGO30 UGS30 UGW30 UHA30 UHE30 UHI30 UHM30 UHQ30 UHU30 UHY30 UIC30 UIG30 UIK30 UIO30 UIS30 UIW30 UJA30 UJE30 UJI30 UJM30 UJQ30 UJU30 UJY30 UKC30 UKG30 UKK30 UKO30 UKS30 UKW30 ULA30 ULE30 ULI30 ULM30 ULQ30 ULU30 ULY30 UMC30 UMG30 UMK30 UMO30 UMS30 UMW30 UNA30 UNE30 UNI30 UNM30 UNQ30 UNU30 UNY30 UOC30 UOG30 UOK30 UOO30 UOS30 UOW30 UPA30 UPE30 UPI30 UPM30 UPQ30 UPU30 UPY30 UQC30 UQG30 UQK30 UQO30 UQS30 UQW30 URA30 URE30 URI30 URM30 URQ30 URU30 URY30 USC30 USG30 USK30 USO30 USS30 USW30 UTA30 UTE30 UTI30 UTM30 UTQ30 UTU30 UTY30 UUC30 UUG30 UUK30 UUO30 UUS30 UUW30 UVA30 UVE30 UVI30 UVM30 UVQ30 UVU30 UVY30 UWC30 UWG30 UWK30 UWO30 UWS30 UWW30 UXA30 UXE30 UXI30 UXM30 UXQ30 UXU30 UXY30 UYC30 UYG30 UYK30 UYO30 UYS30 UYW30 UZA30 UZE30 UZI30 UZM30 UZQ30 UZU30 UZY30 VAC30 VAG30 VAK30 VAO30 VAS30 VAW30 VBA30 VBE30 VBI30 VBM30 VBQ30 VBU30 VBY30 VCC30 VCG30 VCK30 VCO30 VCS30 VCW30 VDA30 VDE30 VDI30 VDM30 VDQ30 VDU30 VDY30 VEC30 VEG30 VEK30 VEO30 VES30 VEW30 VFA30 VFE30 VFI30 VFM30 VFQ30 VFU30 VFY30 VGC30 VGG30 VGK30 VGO30 VGS30 VGW30 VHA30 VHE30 VHI30 VHM30 VHQ30 VHU30 VHY30 VIC30 VIG30 VIK30 VIO30 VIS30 VIW30 VJA30 VJE30 VJI30 VJM30 VJQ30 VJU30 VJY30 VKC30 VKG30 VKK30 VKO30 VKS30 VKW30 VLA30 VLE30 VLI30 VLM30 VLQ30 VLU30 VLY30 VMC30 VMG30 VMK30 VMO30 VMS30 VMW30 VNA30 VNE30 VNI30 VNM30 VNQ30 VNU30 VNY30 VOC30 VOG30 VOK30 VOO30 VOS30 VOW30 VPA30 VPE30 VPI30 VPM30 VPQ30 VPU30 VPY30 VQC30 VQG30 VQK30 VQO30 VQS30 VQW30 VRA30 VRE30 VRI30 VRM30 VRQ30 VRU30 VRY30 VSC30 VSG30 VSK30 VSO30 VSS30 VSW30 VTA30 VTE30 VTI30 VTM30 VTQ30 VTU30 VTY30 VUC30 VUG30 VUK30 VUO30 VUS30 VUW30 VVA30 VVE30 VVI30 VVM30 VVQ30 VVU30 VVY30 VWC30 VWG30 VWK30 VWO30 VWS30 VWW30 VXA30 VXE30 VXI30 VXM30 VXQ30 VXU30 VXY30 VYC30 VYG30 VYK30 VYO30 VYS30 VYW30 VZA30 VZE30 VZI30 VZM30 VZQ30 VZU30 VZY30 WAC30 WAG30 WAK30 WAO30 WAS30 WAW30 WBA30 WBE30 WBI30 WBM30 WBQ30 WBU30 WBY30 WCC30 WCG30 WCK30 WCO30 WCS30 WCW30 WDA30 WDE30 WDI30 WDM30 WDQ30 WDU30 WDY30 WEC30 WEG30 WEK30 WEO30 WES30 WEW30 WFA30 WFE30 WFI30 WFM30 WFQ30 WFU30 WFY30 WGC30 WGG30 WGK30 WGO30 WGS30 WGW30 WHA30 WHE30 WHI30 WHM30 WHQ30 WHU30 WHY30 WIC30 WIG30 WIK30 WIO30 WIS30 WIW30 WJA30 WJE30 WJI30 WJM30 WJQ30 WJU30 WJY30 WKC30 WKG30 WKK30 WKO30 WKS30 WKW30 WLA30 WLE30 WLI30 WLM30 WLQ30 WLU30 WLY30 WMC30 WMG30 WMK30 WMO30 WMS30 WMW30 WNA30 WNE30 WNI30 WNM30 WNQ30 WNU30 WNY30 WOC30 WOG30 WOK30 WOO30 WOS30 WOW30 WPA30 WPE30 WPI30 WPM30 WPQ30 WPU30 WPY30 WQC30 WQG30 WQK30 WQO30 WQS30 WQW30 WRA30 WRE30 WRI30 WRM30 WRQ30 WRU30 WRY30 WSC30 WSG30 WSK30 WSO30 WSS30 WSW30 WTA30 WTE30 WTI30 WTM30 WTQ30 WTU30 WTY30 WUC30 WUG30 WUK30 WUO30 WUS30 WUW30 WVA30 WVE30 WVI30 WVM30 WVQ30 WVU30 WVY30 WWC30 WWG30 WWK30 WWO30 WWS30 WWW30 WXA30 WXE30 WXI30 WXM30 WXQ30 WXU30 WXY30 WYC30 WYG30 WYK30 WYO30 WYS30 WYW30 WZA30 WZE30 WZI30 WZM30 WZQ30 WZU30 WZY30 XAC30 XAG30 XAK30 XAO30 XAS30 XAW30 XBA30 XBE30 XBI30 XBM30 XBQ30 XBU30 XBY30 XCC30 XCG30 XCK30 XCO30 XCS30 XCW30 XDA30 XDE30 XDI30 XDM30 XDQ30 XDU30 XDY30 XEC30 XEG30 XEK30 XEO30 XES30 XEW30 XFA30 A31:XFD31 A32:D35 E32:XFD54 A36:A49 B48:B49 A52:A54 A55:XFD55 E56:XFD58 A56:A59 C59:XFD59 A60:XFD1034 A3:XFD3">
    <cfRule type="expression" dxfId="7" priority="8">
      <formula>#REF!=""</formula>
    </cfRule>
  </conditionalFormatting>
  <conditionalFormatting sqref="A4 E4:XFD4 A5:XFD21 B22:XFD23 A24:XFD29 A30 E30 I30 M30 Q30 U30 Y30 AC30 AG30 AK30 AO30 AS30 AW30 BA30 BE30 BI30 BM30 BQ30 BU30 BY30 CC30 CG30 CK30 CO30 CS30 CW30 DA30 DE30 DI30 DM30 DQ30 DU30 DY30 EC30 EG30 EK30 EO30 ES30 EW30 FA30 FE30 FI30 FM30 FQ30 FU30 FY30 GC30 GG30 GK30 GO30 GS30 GW30 HA30 HE30 HI30 HM30 HQ30 HU30 HY30 IC30 IG30 IK30 IO30 IS30 IW30 JA30 JE30 JI30 JM30 JQ30 JU30 JY30 KC30 KG30 KK30 KO30 KS30 KW30 LA30 LE30 LI30 LM30 LQ30 LU30 LY30 MC30 MG30 MK30 MO30 MS30 MW30 NA30 NE30 NI30 NM30 NQ30 NU30 NY30 OC30 OG30 OK30 OO30 OS30 OW30 PA30 PE30 PI30 PM30 PQ30 PU30 PY30 QC30 QG30 QK30 QO30 QS30 QW30 RA30 RE30 RI30 RM30 RQ30 RU30 RY30 SC30 SG30 SK30 SO30 SS30 SW30 TA30 TE30 TI30 TM30 TQ30 TU30 TY30 UC30 UG30 UK30 UO30 US30 UW30 VA30 VE30 VI30 VM30 VQ30 VU30 VY30 WC30 WG30 WK30 WO30 WS30 WW30 XA30 XE30 XI30 XM30 XQ30 XU30 XY30 YC30 YG30 YK30 YO30 YS30 YW30 ZA30 ZE30 ZI30 ZM30 ZQ30 ZU30 ZY30 AAC30 AAG30 AAK30 AAO30 AAS30 AAW30 ABA30 ABE30 ABI30 ABM30 ABQ30 ABU30 ABY30 ACC30 ACG30 ACK30 ACO30 ACS30 ACW30 ADA30 ADE30 ADI30 ADM30 ADQ30 ADU30 ADY30 AEC30 AEG30 AEK30 AEO30 AES30 AEW30 AFA30 AFE30 AFI30 AFM30 AFQ30 AFU30 AFY30 AGC30 AGG30 AGK30 AGO30 AGS30 AGW30 AHA30 AHE30 AHI30 AHM30 AHQ30 AHU30 AHY30 AIC30 AIG30 AIK30 AIO30 AIS30 AIW30 AJA30 AJE30 AJI30 AJM30 AJQ30 AJU30 AJY30 AKC30 AKG30 AKK30 AKO30 AKS30 AKW30 ALA30 ALE30 ALI30 ALM30 ALQ30 ALU30 ALY30 AMC30 AMG30 AMK30 AMO30 AMS30 AMW30 ANA30 ANE30 ANI30 ANM30 ANQ30 ANU30 ANY30 AOC30 AOG30 AOK30 AOO30 AOS30 AOW30 APA30 APE30 API30 APM30 APQ30 APU30 APY30 AQC30 AQG30 AQK30 AQO30 AQS30 AQW30 ARA30 ARE30 ARI30 ARM30 ARQ30 ARU30 ARY30 ASC30 ASG30 ASK30 ASO30 ASS30 ASW30 ATA30 ATE30 ATI30 ATM30 ATQ30 ATU30 ATY30 AUC30 AUG30 AUK30 AUO30 AUS30 AUW30 AVA30 AVE30 AVI30 AVM30 AVQ30 AVU30 AVY30 AWC30 AWG30 AWK30 AWO30 AWS30 AWW30 AXA30 AXE30 AXI30 AXM30 AXQ30 AXU30 AXY30 AYC30 AYG30 AYK30 AYO30 AYS30 AYW30 AZA30 AZE30 AZI30 AZM30 AZQ30 AZU30 AZY30 BAC30 BAG30 BAK30 BAO30 BAS30 BAW30 BBA30 BBE30 BBI30 BBM30 BBQ30 BBU30 BBY30 BCC30 BCG30 BCK30 BCO30 BCS30 BCW30 BDA30 BDE30 BDI30 BDM30 BDQ30 BDU30 BDY30 BEC30 BEG30 BEK30 BEO30 BES30 BEW30 BFA30 BFE30 BFI30 BFM30 BFQ30 BFU30 BFY30 BGC30 BGG30 BGK30 BGO30 BGS30 BGW30 BHA30 BHE30 BHI30 BHM30 BHQ30 BHU30 BHY30 BIC30 BIG30 BIK30 BIO30 BIS30 BIW30 BJA30 BJE30 BJI30 BJM30 BJQ30 BJU30 BJY30 BKC30 BKG30 BKK30 BKO30 BKS30 BKW30 BLA30 BLE30 BLI30 BLM30 BLQ30 BLU30 BLY30 BMC30 BMG30 BMK30 BMO30 BMS30 BMW30 BNA30 BNE30 BNI30 BNM30 BNQ30 BNU30 BNY30 BOC30 BOG30 BOK30 BOO30 BOS30 BOW30 BPA30 BPE30 BPI30 BPM30 BPQ30 BPU30 BPY30 BQC30 BQG30 BQK30 BQO30 BQS30 BQW30 BRA30 BRE30 BRI30 BRM30 BRQ30 BRU30 BRY30 BSC30 BSG30 BSK30 BSO30 BSS30 BSW30 BTA30 BTE30 BTI30 BTM30 BTQ30 BTU30 BTY30 BUC30 BUG30 BUK30 BUO30 BUS30 BUW30 BVA30 BVE30 BVI30 BVM30 BVQ30 BVU30 BVY30 BWC30 BWG30 BWK30 BWO30 BWS30 BWW30 BXA30 BXE30 BXI30 BXM30 BXQ30 BXU30 BXY30 BYC30 BYG30 BYK30 BYO30 BYS30 BYW30 BZA30 BZE30 BZI30 BZM30 BZQ30 BZU30 BZY30 CAC30 CAG30 CAK30 CAO30 CAS30 CAW30 CBA30 CBE30 CBI30 CBM30 CBQ30 CBU30 CBY30 CCC30 CCG30 CCK30 CCO30 CCS30 CCW30 CDA30 CDE30 CDI30 CDM30 CDQ30 CDU30 CDY30 CEC30 CEG30 CEK30 CEO30 CES30 CEW30 CFA30 CFE30 CFI30 CFM30 CFQ30 CFU30 CFY30 CGC30 CGG30 CGK30 CGO30 CGS30 CGW30 CHA30 CHE30 CHI30 CHM30 CHQ30 CHU30 CHY30 CIC30 CIG30 CIK30 CIO30 CIS30 CIW30 CJA30 CJE30 CJI30 CJM30 CJQ30 CJU30 CJY30 CKC30 CKG30 CKK30 CKO30 CKS30 CKW30 CLA30 CLE30 CLI30 CLM30 CLQ30 CLU30 CLY30 CMC30 CMG30 CMK30 CMO30 CMS30 CMW30 CNA30 CNE30 CNI30 CNM30 CNQ30 CNU30 CNY30 COC30 COG30 COK30 COO30 COS30 COW30 CPA30 CPE30 CPI30 CPM30 CPQ30 CPU30 CPY30 CQC30 CQG30 CQK30 CQO30 CQS30 CQW30 CRA30 CRE30 CRI30 CRM30 CRQ30 CRU30 CRY30 CSC30 CSG30 CSK30 CSO30 CSS30 CSW30 CTA30 CTE30 CTI30 CTM30 CTQ30 CTU30 CTY30 CUC30 CUG30 CUK30 CUO30 CUS30 CUW30 CVA30 CVE30 CVI30 CVM30 CVQ30 CVU30 CVY30 CWC30 CWG30 CWK30 CWO30 CWS30 CWW30 CXA30 CXE30 CXI30 CXM30 CXQ30 CXU30 CXY30 CYC30 CYG30 CYK30 CYO30 CYS30 CYW30 CZA30 CZE30 CZI30 CZM30 CZQ30 CZU30 CZY30 DAC30 DAG30 DAK30 DAO30 DAS30 DAW30 DBA30 DBE30 DBI30 DBM30 DBQ30 DBU30 DBY30 DCC30 DCG30 DCK30 DCO30 DCS30 DCW30 DDA30 DDE30 DDI30 DDM30 DDQ30 DDU30 DDY30 DEC30 DEG30 DEK30 DEO30 DES30 DEW30 DFA30 DFE30 DFI30 DFM30 DFQ30 DFU30 DFY30 DGC30 DGG30 DGK30 DGO30 DGS30 DGW30 DHA30 DHE30 DHI30 DHM30 DHQ30 DHU30 DHY30 DIC30 DIG30 DIK30 DIO30 DIS30 DIW30 DJA30 DJE30 DJI30 DJM30 DJQ30 DJU30 DJY30 DKC30 DKG30 DKK30 DKO30 DKS30 DKW30 DLA30 DLE30 DLI30 DLM30 DLQ30 DLU30 DLY30 DMC30 DMG30 DMK30 DMO30 DMS30 DMW30 DNA30 DNE30 DNI30 DNM30 DNQ30 DNU30 DNY30 DOC30 DOG30 DOK30 DOO30 DOS30 DOW30 DPA30 DPE30 DPI30 DPM30 DPQ30 DPU30 DPY30 DQC30 DQG30 DQK30 DQO30 DQS30 DQW30 DRA30 DRE30 DRI30 DRM30 DRQ30 DRU30 DRY30 DSC30 DSG30 DSK30 DSO30 DSS30 DSW30 DTA30 DTE30 DTI30 DTM30 DTQ30 DTU30 DTY30 DUC30 DUG30 DUK30 DUO30 DUS30 DUW30 DVA30 DVE30 DVI30 DVM30 DVQ30 DVU30 DVY30 DWC30 DWG30 DWK30 DWO30 DWS30 DWW30 DXA30 DXE30 DXI30 DXM30 DXQ30 DXU30 DXY30 DYC30 DYG30 DYK30 DYO30 DYS30 DYW30 DZA30 DZE30 DZI30 DZM30 DZQ30 DZU30 DZY30 EAC30 EAG30 EAK30 EAO30 EAS30 EAW30 EBA30 EBE30 EBI30 EBM30 EBQ30 EBU30 EBY30 ECC30 ECG30 ECK30 ECO30 ECS30 ECW30 EDA30 EDE30 EDI30 EDM30 EDQ30 EDU30 EDY30 EEC30 EEG30 EEK30 EEO30 EES30 EEW30 EFA30 EFE30 EFI30 EFM30 EFQ30 EFU30 EFY30 EGC30 EGG30 EGK30 EGO30 EGS30 EGW30 EHA30 EHE30 EHI30 EHM30 EHQ30 EHU30 EHY30 EIC30 EIG30 EIK30 EIO30 EIS30 EIW30 EJA30 EJE30 EJI30 EJM30 EJQ30 EJU30 EJY30 EKC30 EKG30 EKK30 EKO30 EKS30 EKW30 ELA30 ELE30 ELI30 ELM30 ELQ30 ELU30 ELY30 EMC30 EMG30 EMK30 EMO30 EMS30 EMW30 ENA30 ENE30 ENI30 ENM30 ENQ30 ENU30 ENY30 EOC30 EOG30 EOK30 EOO30 EOS30 EOW30 EPA30 EPE30 EPI30 EPM30 EPQ30 EPU30 EPY30 EQC30 EQG30 EQK30 EQO30 EQS30 EQW30 ERA30 ERE30 ERI30 ERM30 ERQ30 ERU30 ERY30 ESC30 ESG30 ESK30 ESO30 ESS30 ESW30 ETA30 ETE30 ETI30 ETM30 ETQ30 ETU30 ETY30 EUC30 EUG30 EUK30 EUO30 EUS30 EUW30 EVA30 EVE30 EVI30 EVM30 EVQ30 EVU30 EVY30 EWC30 EWG30 EWK30 EWO30 EWS30 EWW30 EXA30 EXE30 EXI30 EXM30 EXQ30 EXU30 EXY30 EYC30 EYG30 EYK30 EYO30 EYS30 EYW30 EZA30 EZE30 EZI30 EZM30 EZQ30 EZU30 EZY30 FAC30 FAG30 FAK30 FAO30 FAS30 FAW30 FBA30 FBE30 FBI30 FBM30 FBQ30 FBU30 FBY30 FCC30 FCG30 FCK30 FCO30 FCS30 FCW30 FDA30 FDE30 FDI30 FDM30 FDQ30 FDU30 FDY30 FEC30 FEG30 FEK30 FEO30 FES30 FEW30 FFA30 FFE30 FFI30 FFM30 FFQ30 FFU30 FFY30 FGC30 FGG30 FGK30 FGO30 FGS30 FGW30 FHA30 FHE30 FHI30 FHM30 FHQ30 FHU30 FHY30 FIC30 FIG30 FIK30 FIO30 FIS30 FIW30 FJA30 FJE30 FJI30 FJM30 FJQ30 FJU30 FJY30 FKC30 FKG30 FKK30 FKO30 FKS30 FKW30 FLA30 FLE30 FLI30 FLM30 FLQ30 FLU30 FLY30 FMC30 FMG30 FMK30 FMO30 FMS30 FMW30 FNA30 FNE30 FNI30 FNM30 FNQ30 FNU30 FNY30 FOC30 FOG30 FOK30 FOO30 FOS30 FOW30 FPA30 FPE30 FPI30 FPM30 FPQ30 FPU30 FPY30 FQC30 FQG30 FQK30 FQO30 FQS30 FQW30 FRA30 FRE30 FRI30 FRM30 FRQ30 FRU30 FRY30 FSC30 FSG30 FSK30 FSO30 FSS30 FSW30 FTA30 FTE30 FTI30 FTM30 FTQ30 FTU30 FTY30 FUC30 FUG30 FUK30 FUO30 FUS30 FUW30 FVA30 FVE30 FVI30 FVM30 FVQ30 FVU30 FVY30 FWC30 FWG30 FWK30 FWO30 FWS30 FWW30 FXA30 FXE30 FXI30 FXM30 FXQ30 FXU30 FXY30 FYC30 FYG30 FYK30 FYO30 FYS30 FYW30 FZA30 FZE30 FZI30 FZM30 FZQ30 FZU30 FZY30 GAC30 GAG30 GAK30 GAO30 GAS30 GAW30 GBA30 GBE30 GBI30 GBM30 GBQ30 GBU30 GBY30 GCC30 GCG30 GCK30 GCO30 GCS30 GCW30 GDA30 GDE30 GDI30 GDM30 GDQ30 GDU30 GDY30 GEC30 GEG30 GEK30 GEO30 GES30 GEW30 GFA30 GFE30 GFI30 GFM30 GFQ30 GFU30 GFY30 GGC30 GGG30 GGK30 GGO30 GGS30 GGW30 GHA30 GHE30 GHI30 GHM30 GHQ30 GHU30 GHY30 GIC30 GIG30 GIK30 GIO30 GIS30 GIW30 GJA30 GJE30 GJI30 GJM30 GJQ30 GJU30 GJY30 GKC30 GKG30 GKK30 GKO30 GKS30 GKW30 GLA30 GLE30 GLI30 GLM30 GLQ30 GLU30 GLY30 GMC30 GMG30 GMK30 GMO30 GMS30 GMW30 GNA30 GNE30 GNI30 GNM30 GNQ30 GNU30 GNY30 GOC30 GOG30 GOK30 GOO30 GOS30 GOW30 GPA30 GPE30 GPI30 GPM30 GPQ30 GPU30 GPY30 GQC30 GQG30 GQK30 GQO30 GQS30 GQW30 GRA30 GRE30 GRI30 GRM30 GRQ30 GRU30 GRY30 GSC30 GSG30 GSK30 GSO30 GSS30 GSW30 GTA30 GTE30 GTI30 GTM30 GTQ30 GTU30 GTY30 GUC30 GUG30 GUK30 GUO30 GUS30 GUW30 GVA30 GVE30 GVI30 GVM30 GVQ30 GVU30 GVY30 GWC30 GWG30 GWK30 GWO30 GWS30 GWW30 GXA30 GXE30 GXI30 GXM30 GXQ30 GXU30 GXY30 GYC30 GYG30 GYK30 GYO30 GYS30 GYW30 GZA30 GZE30 GZI30 GZM30 GZQ30 GZU30 GZY30 HAC30 HAG30 HAK30 HAO30 HAS30 HAW30 HBA30 HBE30 HBI30 HBM30 HBQ30 HBU30 HBY30 HCC30 HCG30 HCK30 HCO30 HCS30 HCW30 HDA30 HDE30 HDI30 HDM30 HDQ30 HDU30 HDY30 HEC30 HEG30 HEK30 HEO30 HES30 HEW30 HFA30 HFE30 HFI30 HFM30 HFQ30 HFU30 HFY30 HGC30 HGG30 HGK30 HGO30 HGS30 HGW30 HHA30 HHE30 HHI30 HHM30 HHQ30 HHU30 HHY30 HIC30 HIG30 HIK30 HIO30 HIS30 HIW30 HJA30 HJE30 HJI30 HJM30 HJQ30 HJU30 HJY30 HKC30 HKG30 HKK30 HKO30 HKS30 HKW30 HLA30 HLE30 HLI30 HLM30 HLQ30 HLU30 HLY30 HMC30 HMG30 HMK30 HMO30 HMS30 HMW30 HNA30 HNE30 HNI30 HNM30 HNQ30 HNU30 HNY30 HOC30 HOG30 HOK30 HOO30 HOS30 HOW30 HPA30 HPE30 HPI30 HPM30 HPQ30 HPU30 HPY30 HQC30 HQG30 HQK30 HQO30 HQS30 HQW30 HRA30 HRE30 HRI30 HRM30 HRQ30 HRU30 HRY30 HSC30 HSG30 HSK30 HSO30 HSS30 HSW30 HTA30 HTE30 HTI30 HTM30 HTQ30 HTU30 HTY30 HUC30 HUG30 HUK30 HUO30 HUS30 HUW30 HVA30 HVE30 HVI30 HVM30 HVQ30 HVU30 HVY30 HWC30 HWG30 HWK30 HWO30 HWS30 HWW30 HXA30 HXE30 HXI30 HXM30 HXQ30 HXU30 HXY30 HYC30 HYG30 HYK30 HYO30 HYS30 HYW30 HZA30 HZE30 HZI30 HZM30 HZQ30 HZU30 HZY30 IAC30 IAG30 IAK30 IAO30 IAS30 IAW30 IBA30 IBE30 IBI30 IBM30 IBQ30 IBU30 IBY30 ICC30 ICG30 ICK30 ICO30 ICS30 ICW30 IDA30 IDE30 IDI30 IDM30 IDQ30 IDU30 IDY30 IEC30 IEG30 IEK30 IEO30 IES30 IEW30 IFA30 IFE30 IFI30 IFM30 IFQ30 IFU30 IFY30 IGC30 IGG30 IGK30 IGO30 IGS30 IGW30 IHA30 IHE30 IHI30 IHM30 IHQ30 IHU30 IHY30 IIC30 IIG30 IIK30 IIO30 IIS30 IIW30 IJA30 IJE30 IJI30 IJM30 IJQ30 IJU30 IJY30 IKC30 IKG30 IKK30 IKO30 IKS30 IKW30 ILA30 ILE30 ILI30 ILM30 ILQ30 ILU30 ILY30 IMC30 IMG30 IMK30 IMO30 IMS30 IMW30 INA30 INE30 INI30 INM30 INQ30 INU30 INY30 IOC30 IOG30 IOK30 IOO30 IOS30 IOW30 IPA30 IPE30 IPI30 IPM30 IPQ30 IPU30 IPY30 IQC30 IQG30 IQK30 IQO30 IQS30 IQW30 IRA30 IRE30 IRI30 IRM30 IRQ30 IRU30 IRY30 ISC30 ISG30 ISK30 ISO30 ISS30 ISW30 ITA30 ITE30 ITI30 ITM30 ITQ30 ITU30 ITY30 IUC30 IUG30 IUK30 IUO30 IUS30 IUW30 IVA30 IVE30 IVI30 IVM30 IVQ30 IVU30 IVY30 IWC30 IWG30 IWK30 IWO30 IWS30 IWW30 IXA30 IXE30 IXI30 IXM30 IXQ30 IXU30 IXY30 IYC30 IYG30 IYK30 IYO30 IYS30 IYW30 IZA30 IZE30 IZI30 IZM30 IZQ30 IZU30 IZY30 JAC30 JAG30 JAK30 JAO30 JAS30 JAW30 JBA30 JBE30 JBI30 JBM30 JBQ30 JBU30 JBY30 JCC30 JCG30 JCK30 JCO30 JCS30 JCW30 JDA30 JDE30 JDI30 JDM30 JDQ30 JDU30 JDY30 JEC30 JEG30 JEK30 JEO30 JES30 JEW30 JFA30 JFE30 JFI30 JFM30 JFQ30 JFU30 JFY30 JGC30 JGG30 JGK30 JGO30 JGS30 JGW30 JHA30 JHE30 JHI30 JHM30 JHQ30 JHU30 JHY30 JIC30 JIG30 JIK30 JIO30 JIS30 JIW30 JJA30 JJE30 JJI30 JJM30 JJQ30 JJU30 JJY30 JKC30 JKG30 JKK30 JKO30 JKS30 JKW30 JLA30 JLE30 JLI30 JLM30 JLQ30 JLU30 JLY30 JMC30 JMG30 JMK30 JMO30 JMS30 JMW30 JNA30 JNE30 JNI30 JNM30 JNQ30 JNU30 JNY30 JOC30 JOG30 JOK30 JOO30 JOS30 JOW30 JPA30 JPE30 JPI30 JPM30 JPQ30 JPU30 JPY30 JQC30 JQG30 JQK30 JQO30 JQS30 JQW30 JRA30 JRE30 JRI30 JRM30 JRQ30 JRU30 JRY30 JSC30 JSG30 JSK30 JSO30 JSS30 JSW30 JTA30 JTE30 JTI30 JTM30 JTQ30 JTU30 JTY30 JUC30 JUG30 JUK30 JUO30 JUS30 JUW30 JVA30 JVE30 JVI30 JVM30 JVQ30 JVU30 JVY30 JWC30 JWG30 JWK30 JWO30 JWS30 JWW30 JXA30 JXE30 JXI30 JXM30 JXQ30 JXU30 JXY30 JYC30 JYG30 JYK30 JYO30 JYS30 JYW30 JZA30 JZE30 JZI30 JZM30 JZQ30 JZU30 JZY30 KAC30 KAG30 KAK30 KAO30 KAS30 KAW30 KBA30 KBE30 KBI30 KBM30 KBQ30 KBU30 KBY30 KCC30 KCG30 KCK30 KCO30 KCS30 KCW30 KDA30 KDE30 KDI30 KDM30 KDQ30 KDU30 KDY30 KEC30 KEG30 KEK30 KEO30 KES30 KEW30 KFA30 KFE30 KFI30 KFM30 KFQ30 KFU30 KFY30 KGC30 KGG30 KGK30 KGO30 KGS30 KGW30 KHA30 KHE30 KHI30 KHM30 KHQ30 KHU30 KHY30 KIC30 KIG30 KIK30 KIO30 KIS30 KIW30 KJA30 KJE30 KJI30 KJM30 KJQ30 KJU30 KJY30 KKC30 KKG30 KKK30 KKO30 KKS30 KKW30 KLA30 KLE30 KLI30 KLM30 KLQ30 KLU30 KLY30 KMC30 KMG30 KMK30 KMO30 KMS30 KMW30 KNA30 KNE30 KNI30 KNM30 KNQ30 KNU30 KNY30 KOC30 KOG30 KOK30 KOO30 KOS30 KOW30 KPA30 KPE30 KPI30 KPM30 KPQ30 KPU30 KPY30 KQC30 KQG30 KQK30 KQO30 KQS30 KQW30 KRA30 KRE30 KRI30 KRM30 KRQ30 KRU30 KRY30 KSC30 KSG30 KSK30 KSO30 KSS30 KSW30 KTA30 KTE30 KTI30 KTM30 KTQ30 KTU30 KTY30 KUC30 KUG30 KUK30 KUO30 KUS30 KUW30 KVA30 KVE30 KVI30 KVM30 KVQ30 KVU30 KVY30 KWC30 KWG30 KWK30 KWO30 KWS30 KWW30 KXA30 KXE30 KXI30 KXM30 KXQ30 KXU30 KXY30 KYC30 KYG30 KYK30 KYO30 KYS30 KYW30 KZA30 KZE30 KZI30 KZM30 KZQ30 KZU30 KZY30 LAC30 LAG30 LAK30 LAO30 LAS30 LAW30 LBA30 LBE30 LBI30 LBM30 LBQ30 LBU30 LBY30 LCC30 LCG30 LCK30 LCO30 LCS30 LCW30 LDA30 LDE30 LDI30 LDM30 LDQ30 LDU30 LDY30 LEC30 LEG30 LEK30 LEO30 LES30 LEW30 LFA30 LFE30 LFI30 LFM30 LFQ30 LFU30 LFY30 LGC30 LGG30 LGK30 LGO30 LGS30 LGW30 LHA30 LHE30 LHI30 LHM30 LHQ30 LHU30 LHY30 LIC30 LIG30 LIK30 LIO30 LIS30 LIW30 LJA30 LJE30 LJI30 LJM30 LJQ30 LJU30 LJY30 LKC30 LKG30 LKK30 LKO30 LKS30 LKW30 LLA30 LLE30 LLI30 LLM30 LLQ30 LLU30 LLY30 LMC30 LMG30 LMK30 LMO30 LMS30 LMW30 LNA30 LNE30 LNI30 LNM30 LNQ30 LNU30 LNY30 LOC30 LOG30 LOK30 LOO30 LOS30 LOW30 LPA30 LPE30 LPI30 LPM30 LPQ30 LPU30 LPY30 LQC30 LQG30 LQK30 LQO30 LQS30 LQW30 LRA30 LRE30 LRI30 LRM30 LRQ30 LRU30 LRY30 LSC30 LSG30 LSK30 LSO30 LSS30 LSW30 LTA30 LTE30 LTI30 LTM30 LTQ30 LTU30 LTY30 LUC30 LUG30 LUK30 LUO30 LUS30 LUW30 LVA30 LVE30 LVI30 LVM30 LVQ30 LVU30 LVY30 LWC30 LWG30 LWK30 LWO30 LWS30 LWW30 LXA30 LXE30 LXI30 LXM30 LXQ30 LXU30 LXY30 LYC30 LYG30 LYK30 LYO30 LYS30 LYW30 LZA30 LZE30 LZI30 LZM30 LZQ30 LZU30 LZY30 MAC30 MAG30 MAK30 MAO30 MAS30 MAW30 MBA30 MBE30 MBI30 MBM30 MBQ30 MBU30 MBY30 MCC30 MCG30 MCK30 MCO30 MCS30 MCW30 MDA30 MDE30 MDI30 MDM30 MDQ30 MDU30 MDY30 MEC30 MEG30 MEK30 MEO30 MES30 MEW30 MFA30 MFE30 MFI30 MFM30 MFQ30 MFU30 MFY30 MGC30 MGG30 MGK30 MGO30 MGS30 MGW30 MHA30 MHE30 MHI30 MHM30 MHQ30 MHU30 MHY30 MIC30 MIG30 MIK30 MIO30 MIS30 MIW30 MJA30 MJE30 MJI30 MJM30 MJQ30 MJU30 MJY30 MKC30 MKG30 MKK30 MKO30 MKS30 MKW30 MLA30 MLE30 MLI30 MLM30 MLQ30 MLU30 MLY30 MMC30 MMG30 MMK30 MMO30 MMS30 MMW30 MNA30 MNE30 MNI30 MNM30 MNQ30 MNU30 MNY30 MOC30 MOG30 MOK30 MOO30 MOS30 MOW30 MPA30 MPE30 MPI30 MPM30 MPQ30 MPU30 MPY30 MQC30 MQG30 MQK30 MQO30 MQS30 MQW30 MRA30 MRE30 MRI30 MRM30 MRQ30 MRU30 MRY30 MSC30 MSG30 MSK30 MSO30 MSS30 MSW30 MTA30 MTE30 MTI30 MTM30 MTQ30 MTU30 MTY30 MUC30 MUG30 MUK30 MUO30 MUS30 MUW30 MVA30 MVE30 MVI30 MVM30 MVQ30 MVU30 MVY30 MWC30 MWG30 MWK30 MWO30 MWS30 MWW30 MXA30 MXE30 MXI30 MXM30 MXQ30 MXU30 MXY30 MYC30 MYG30 MYK30 MYO30 MYS30 MYW30 MZA30 MZE30 MZI30 MZM30 MZQ30 MZU30 MZY30 NAC30 NAG30 NAK30 NAO30 NAS30 NAW30 NBA30 NBE30 NBI30 NBM30 NBQ30 NBU30 NBY30 NCC30 NCG30 NCK30 NCO30 NCS30 NCW30 NDA30 NDE30 NDI30 NDM30 NDQ30 NDU30 NDY30 NEC30 NEG30 NEK30 NEO30 NES30 NEW30 NFA30 NFE30 NFI30 NFM30 NFQ30 NFU30 NFY30 NGC30 NGG30 NGK30 NGO30 NGS30 NGW30 NHA30 NHE30 NHI30 NHM30 NHQ30 NHU30 NHY30 NIC30 NIG30 NIK30 NIO30 NIS30 NIW30 NJA30 NJE30 NJI30 NJM30 NJQ30 NJU30 NJY30 NKC30 NKG30 NKK30 NKO30 NKS30 NKW30 NLA30 NLE30 NLI30 NLM30 NLQ30 NLU30 NLY30 NMC30 NMG30 NMK30 NMO30 NMS30 NMW30 NNA30 NNE30 NNI30 NNM30 NNQ30 NNU30 NNY30 NOC30 NOG30 NOK30 NOO30 NOS30 NOW30 NPA30 NPE30 NPI30 NPM30 NPQ30 NPU30 NPY30 NQC30 NQG30 NQK30 NQO30 NQS30 NQW30 NRA30 NRE30 NRI30 NRM30 NRQ30 NRU30 NRY30 NSC30 NSG30 NSK30 NSO30 NSS30 NSW30 NTA30 NTE30 NTI30 NTM30 NTQ30 NTU30 NTY30 NUC30 NUG30 NUK30 NUO30 NUS30 NUW30 NVA30 NVE30 NVI30 NVM30 NVQ30 NVU30 NVY30 NWC30 NWG30 NWK30 NWO30 NWS30 NWW30 NXA30 NXE30 NXI30 NXM30 NXQ30 NXU30 NXY30 NYC30 NYG30 NYK30 NYO30 NYS30 NYW30 NZA30 NZE30 NZI30 NZM30 NZQ30 NZU30 NZY30 OAC30 OAG30 OAK30 OAO30 OAS30 OAW30 OBA30 OBE30 OBI30 OBM30 OBQ30 OBU30 OBY30 OCC30 OCG30 OCK30 OCO30 OCS30 OCW30 ODA30 ODE30 ODI30 ODM30 ODQ30 ODU30 ODY30 OEC30 OEG30 OEK30 OEO30 OES30 OEW30 OFA30 OFE30 OFI30 OFM30 OFQ30 OFU30 OFY30 OGC30 OGG30 OGK30 OGO30 OGS30 OGW30 OHA30 OHE30 OHI30 OHM30 OHQ30 OHU30 OHY30 OIC30 OIG30 OIK30 OIO30 OIS30 OIW30 OJA30 OJE30 OJI30 OJM30 OJQ30 OJU30 OJY30 OKC30 OKG30 OKK30 OKO30 OKS30 OKW30 OLA30 OLE30 OLI30 OLM30 OLQ30 OLU30 OLY30 OMC30 OMG30 OMK30 OMO30 OMS30 OMW30 ONA30 ONE30 ONI30 ONM30 ONQ30 ONU30 ONY30 OOC30 OOG30 OOK30 OOO30 OOS30 OOW30 OPA30 OPE30 OPI30 OPM30 OPQ30 OPU30 OPY30 OQC30 OQG30 OQK30 OQO30 OQS30 OQW30 ORA30 ORE30 ORI30 ORM30 ORQ30 ORU30 ORY30 OSC30 OSG30 OSK30 OSO30 OSS30 OSW30 OTA30 OTE30 OTI30 OTM30 OTQ30 OTU30 OTY30 OUC30 OUG30 OUK30 OUO30 OUS30 OUW30 OVA30 OVE30 OVI30 OVM30 OVQ30 OVU30 OVY30 OWC30 OWG30 OWK30 OWO30 OWS30 OWW30 OXA30 OXE30 OXI30 OXM30 OXQ30 OXU30 OXY30 OYC30 OYG30 OYK30 OYO30 OYS30 OYW30 OZA30 OZE30 OZI30 OZM30 OZQ30 OZU30 OZY30 PAC30 PAG30 PAK30 PAO30 PAS30 PAW30 PBA30 PBE30 PBI30 PBM30 PBQ30 PBU30 PBY30 PCC30 PCG30 PCK30 PCO30 PCS30 PCW30 PDA30 PDE30 PDI30 PDM30 PDQ30 PDU30 PDY30 PEC30 PEG30 PEK30 PEO30 PES30 PEW30 PFA30 PFE30 PFI30 PFM30 PFQ30 PFU30 PFY30 PGC30 PGG30 PGK30 PGO30 PGS30 PGW30 PHA30 PHE30 PHI30 PHM30 PHQ30 PHU30 PHY30 PIC30 PIG30 PIK30 PIO30 PIS30 PIW30 PJA30 PJE30 PJI30 PJM30 PJQ30 PJU30 PJY30 PKC30 PKG30 PKK30 PKO30 PKS30 PKW30 PLA30 PLE30 PLI30 PLM30 PLQ30 PLU30 PLY30 PMC30 PMG30 PMK30 PMO30 PMS30 PMW30 PNA30 PNE30 PNI30 PNM30 PNQ30 PNU30 PNY30 POC30 POG30 POK30 POO30 POS30 POW30 PPA30 PPE30 PPI30 PPM30 PPQ30 PPU30 PPY30 PQC30 PQG30 PQK30 PQO30 PQS30 PQW30 PRA30 PRE30 PRI30 PRM30 PRQ30 PRU30 PRY30 PSC30 PSG30 PSK30 PSO30 PSS30 PSW30 PTA30 PTE30 PTI30 PTM30 PTQ30 PTU30 PTY30 PUC30 PUG30 PUK30 PUO30 PUS30 PUW30 PVA30 PVE30 PVI30 PVM30 PVQ30 PVU30 PVY30 PWC30 PWG30 PWK30 PWO30 PWS30 PWW30 PXA30 PXE30 PXI30 PXM30 PXQ30 PXU30 PXY30 PYC30 PYG30 PYK30 PYO30 PYS30 PYW30 PZA30 PZE30 PZI30 PZM30 PZQ30 PZU30 PZY30 QAC30 QAG30 QAK30 QAO30 QAS30 QAW30 QBA30 QBE30 QBI30 QBM30 QBQ30 QBU30 QBY30 QCC30 QCG30 QCK30 QCO30 QCS30 QCW30 QDA30 QDE30 QDI30 QDM30 QDQ30 QDU30 QDY30 QEC30 QEG30 QEK30 QEO30 QES30 QEW30 QFA30 QFE30 QFI30 QFM30 QFQ30 QFU30 QFY30 QGC30 QGG30 QGK30 QGO30 QGS30 QGW30 QHA30 QHE30 QHI30 QHM30 QHQ30 QHU30 QHY30 QIC30 QIG30 QIK30 QIO30 QIS30 QIW30 QJA30 QJE30 QJI30 QJM30 QJQ30 QJU30 QJY30 QKC30 QKG30 QKK30 QKO30 QKS30 QKW30 QLA30 QLE30 QLI30 QLM30 QLQ30 QLU30 QLY30 QMC30 QMG30 QMK30 QMO30 QMS30 QMW30 QNA30 QNE30 QNI30 QNM30 QNQ30 QNU30 QNY30 QOC30 QOG30 QOK30 QOO30 QOS30 QOW30 QPA30 QPE30 QPI30 QPM30 QPQ30 QPU30 QPY30 QQC30 QQG30 QQK30 QQO30 QQS30 QQW30 QRA30 QRE30 QRI30 QRM30 QRQ30 QRU30 QRY30 QSC30 QSG30 QSK30 QSO30 QSS30 QSW30 QTA30 QTE30 QTI30 QTM30 QTQ30 QTU30 QTY30 QUC30 QUG30 QUK30 QUO30 QUS30 QUW30 QVA30 QVE30 QVI30 QVM30 QVQ30 QVU30 QVY30 QWC30 QWG30 QWK30 QWO30 QWS30 QWW30 QXA30 QXE30 QXI30 QXM30 QXQ30 QXU30 QXY30 QYC30 QYG30 QYK30 QYO30 QYS30 QYW30 QZA30 QZE30 QZI30 QZM30 QZQ30 QZU30 QZY30 RAC30 RAG30 RAK30 RAO30 RAS30 RAW30 RBA30 RBE30 RBI30 RBM30 RBQ30 RBU30 RBY30 RCC30 RCG30 RCK30 RCO30 RCS30 RCW30 RDA30 RDE30 RDI30 RDM30 RDQ30 RDU30 RDY30 REC30 REG30 REK30 REO30 RES30 REW30 RFA30 RFE30 RFI30 RFM30 RFQ30 RFU30 RFY30 RGC30 RGG30 RGK30 RGO30 RGS30 RGW30 RHA30 RHE30 RHI30 RHM30 RHQ30 RHU30 RHY30 RIC30 RIG30 RIK30 RIO30 RIS30 RIW30 RJA30 RJE30 RJI30 RJM30 RJQ30 RJU30 RJY30 RKC30 RKG30 RKK30 RKO30 RKS30 RKW30 RLA30 RLE30 RLI30 RLM30 RLQ30 RLU30 RLY30 RMC30 RMG30 RMK30 RMO30 RMS30 RMW30 RNA30 RNE30 RNI30 RNM30 RNQ30 RNU30 RNY30 ROC30 ROG30 ROK30 ROO30 ROS30 ROW30 RPA30 RPE30 RPI30 RPM30 RPQ30 RPU30 RPY30 RQC30 RQG30 RQK30 RQO30 RQS30 RQW30 RRA30 RRE30 RRI30 RRM30 RRQ30 RRU30 RRY30 RSC30 RSG30 RSK30 RSO30 RSS30 RSW30 RTA30 RTE30 RTI30 RTM30 RTQ30 RTU30 RTY30 RUC30 RUG30 RUK30 RUO30 RUS30 RUW30 RVA30 RVE30 RVI30 RVM30 RVQ30 RVU30 RVY30 RWC30 RWG30 RWK30 RWO30 RWS30 RWW30 RXA30 RXE30 RXI30 RXM30 RXQ30 RXU30 RXY30 RYC30 RYG30 RYK30 RYO30 RYS30 RYW30 RZA30 RZE30 RZI30 RZM30 RZQ30 RZU30 RZY30 SAC30 SAG30 SAK30 SAO30 SAS30 SAW30 SBA30 SBE30 SBI30 SBM30 SBQ30 SBU30 SBY30 SCC30 SCG30 SCK30 SCO30 SCS30 SCW30 SDA30 SDE30 SDI30 SDM30 SDQ30 SDU30 SDY30 SEC30 SEG30 SEK30 SEO30 SES30 SEW30 SFA30 SFE30 SFI30 SFM30 SFQ30 SFU30 SFY30 SGC30 SGG30 SGK30 SGO30 SGS30 SGW30 SHA30 SHE30 SHI30 SHM30 SHQ30 SHU30 SHY30 SIC30 SIG30 SIK30 SIO30 SIS30 SIW30 SJA30 SJE30 SJI30 SJM30 SJQ30 SJU30 SJY30 SKC30 SKG30 SKK30 SKO30 SKS30 SKW30 SLA30 SLE30 SLI30 SLM30 SLQ30 SLU30 SLY30 SMC30 SMG30 SMK30 SMO30 SMS30 SMW30 SNA30 SNE30 SNI30 SNM30 SNQ30 SNU30 SNY30 SOC30 SOG30 SOK30 SOO30 SOS30 SOW30 SPA30 SPE30 SPI30 SPM30 SPQ30 SPU30 SPY30 SQC30 SQG30 SQK30 SQO30 SQS30 SQW30 SRA30 SRE30 SRI30 SRM30 SRQ30 SRU30 SRY30 SSC30 SSG30 SSK30 SSO30 SSS30 SSW30 STA30 STE30 STI30 STM30 STQ30 STU30 STY30 SUC30 SUG30 SUK30 SUO30 SUS30 SUW30 SVA30 SVE30 SVI30 SVM30 SVQ30 SVU30 SVY30 SWC30 SWG30 SWK30 SWO30 SWS30 SWW30 SXA30 SXE30 SXI30 SXM30 SXQ30 SXU30 SXY30 SYC30 SYG30 SYK30 SYO30 SYS30 SYW30 SZA30 SZE30 SZI30 SZM30 SZQ30 SZU30 SZY30 TAC30 TAG30 TAK30 TAO30 TAS30 TAW30 TBA30 TBE30 TBI30 TBM30 TBQ30 TBU30 TBY30 TCC30 TCG30 TCK30 TCO30 TCS30 TCW30 TDA30 TDE30 TDI30 TDM30 TDQ30 TDU30 TDY30 TEC30 TEG30 TEK30 TEO30 TES30 TEW30 TFA30 TFE30 TFI30 TFM30 TFQ30 TFU30 TFY30 TGC30 TGG30 TGK30 TGO30 TGS30 TGW30 THA30 THE30 THI30 THM30 THQ30 THU30 THY30 TIC30 TIG30 TIK30 TIO30 TIS30 TIW30 TJA30 TJE30 TJI30 TJM30 TJQ30 TJU30 TJY30 TKC30 TKG30 TKK30 TKO30 TKS30 TKW30 TLA30 TLE30 TLI30 TLM30 TLQ30 TLU30 TLY30 TMC30 TMG30 TMK30 TMO30 TMS30 TMW30 TNA30 TNE30 TNI30 TNM30 TNQ30 TNU30 TNY30 TOC30 TOG30 TOK30 TOO30 TOS30 TOW30 TPA30 TPE30 TPI30 TPM30 TPQ30 TPU30 TPY30 TQC30 TQG30 TQK30 TQO30 TQS30 TQW30 TRA30 TRE30 TRI30 TRM30 TRQ30 TRU30 TRY30 TSC30 TSG30 TSK30 TSO30 TSS30 TSW30 TTA30 TTE30 TTI30 TTM30 TTQ30 TTU30 TTY30 TUC30 TUG30 TUK30 TUO30 TUS30 TUW30 TVA30 TVE30 TVI30 TVM30 TVQ30 TVU30 TVY30 TWC30 TWG30 TWK30 TWO30 TWS30 TWW30 TXA30 TXE30 TXI30 TXM30 TXQ30 TXU30 TXY30 TYC30 TYG30 TYK30 TYO30 TYS30 TYW30 TZA30 TZE30 TZI30 TZM30 TZQ30 TZU30 TZY30 UAC30 UAG30 UAK30 UAO30 UAS30 UAW30 UBA30 UBE30 UBI30 UBM30 UBQ30 UBU30 UBY30 UCC30 UCG30 UCK30 UCO30 UCS30 UCW30 UDA30 UDE30 UDI30 UDM30 UDQ30 UDU30 UDY30 UEC30 UEG30 UEK30 UEO30 UES30 UEW30 UFA30 UFE30 UFI30 UFM30 UFQ30 UFU30 UFY30 UGC30 UGG30 UGK30 UGO30 UGS30 UGW30 UHA30 UHE30 UHI30 UHM30 UHQ30 UHU30 UHY30 UIC30 UIG30 UIK30 UIO30 UIS30 UIW30 UJA30 UJE30 UJI30 UJM30 UJQ30 UJU30 UJY30 UKC30 UKG30 UKK30 UKO30 UKS30 UKW30 ULA30 ULE30 ULI30 ULM30 ULQ30 ULU30 ULY30 UMC30 UMG30 UMK30 UMO30 UMS30 UMW30 UNA30 UNE30 UNI30 UNM30 UNQ30 UNU30 UNY30 UOC30 UOG30 UOK30 UOO30 UOS30 UOW30 UPA30 UPE30 UPI30 UPM30 UPQ30 UPU30 UPY30 UQC30 UQG30 UQK30 UQO30 UQS30 UQW30 URA30 URE30 URI30 URM30 URQ30 URU30 URY30 USC30 USG30 USK30 USO30 USS30 USW30 UTA30 UTE30 UTI30 UTM30 UTQ30 UTU30 UTY30 UUC30 UUG30 UUK30 UUO30 UUS30 UUW30 UVA30 UVE30 UVI30 UVM30 UVQ30 UVU30 UVY30 UWC30 UWG30 UWK30 UWO30 UWS30 UWW30 UXA30 UXE30 UXI30 UXM30 UXQ30 UXU30 UXY30 UYC30 UYG30 UYK30 UYO30 UYS30 UYW30 UZA30 UZE30 UZI30 UZM30 UZQ30 UZU30 UZY30 VAC30 VAG30 VAK30 VAO30 VAS30 VAW30 VBA30 VBE30 VBI30 VBM30 VBQ30 VBU30 VBY30 VCC30 VCG30 VCK30 VCO30 VCS30 VCW30 VDA30 VDE30 VDI30 VDM30 VDQ30 VDU30 VDY30 VEC30 VEG30 VEK30 VEO30 VES30 VEW30 VFA30 VFE30 VFI30 VFM30 VFQ30 VFU30 VFY30 VGC30 VGG30 VGK30 VGO30 VGS30 VGW30 VHA30 VHE30 VHI30 VHM30 VHQ30 VHU30 VHY30 VIC30 VIG30 VIK30 VIO30 VIS30 VIW30 VJA30 VJE30 VJI30 VJM30 VJQ30 VJU30 VJY30 VKC30 VKG30 VKK30 VKO30 VKS30 VKW30 VLA30 VLE30 VLI30 VLM30 VLQ30 VLU30 VLY30 VMC30 VMG30 VMK30 VMO30 VMS30 VMW30 VNA30 VNE30 VNI30 VNM30 VNQ30 VNU30 VNY30 VOC30 VOG30 VOK30 VOO30 VOS30 VOW30 VPA30 VPE30 VPI30 VPM30 VPQ30 VPU30 VPY30 VQC30 VQG30 VQK30 VQO30 VQS30 VQW30 VRA30 VRE30 VRI30 VRM30 VRQ30 VRU30 VRY30 VSC30 VSG30 VSK30 VSO30 VSS30 VSW30 VTA30 VTE30 VTI30 VTM30 VTQ30 VTU30 VTY30 VUC30 VUG30 VUK30 VUO30 VUS30 VUW30 VVA30 VVE30 VVI30 VVM30 VVQ30 VVU30 VVY30 VWC30 VWG30 VWK30 VWO30 VWS30 VWW30 VXA30 VXE30 VXI30 VXM30 VXQ30 VXU30 VXY30 VYC30 VYG30 VYK30 VYO30 VYS30 VYW30 VZA30 VZE30 VZI30 VZM30 VZQ30 VZU30 VZY30 WAC30 WAG30 WAK30 WAO30 WAS30 WAW30 WBA30 WBE30 WBI30 WBM30 WBQ30 WBU30 WBY30 WCC30 WCG30 WCK30 WCO30 WCS30 WCW30 WDA30 WDE30 WDI30 WDM30 WDQ30 WDU30 WDY30 WEC30 WEG30 WEK30 WEO30 WES30 WEW30 WFA30 WFE30 WFI30 WFM30 WFQ30 WFU30 WFY30 WGC30 WGG30 WGK30 WGO30 WGS30 WGW30 WHA30 WHE30 WHI30 WHM30 WHQ30 WHU30 WHY30 WIC30 WIG30 WIK30 WIO30 WIS30 WIW30 WJA30 WJE30 WJI30 WJM30 WJQ30 WJU30 WJY30 WKC30 WKG30 WKK30 WKO30 WKS30 WKW30 WLA30 WLE30 WLI30 WLM30 WLQ30 WLU30 WLY30 WMC30 WMG30 WMK30 WMO30 WMS30 WMW30 WNA30 WNE30 WNI30 WNM30 WNQ30 WNU30 WNY30 WOC30 WOG30 WOK30 WOO30 WOS30 WOW30 WPA30 WPE30 WPI30 WPM30 WPQ30 WPU30 WPY30 WQC30 WQG30 WQK30 WQO30 WQS30 WQW30 WRA30 WRE30 WRI30 WRM30 WRQ30 WRU30 WRY30 WSC30 WSG30 WSK30 WSO30 WSS30 WSW30 WTA30 WTE30 WTI30 WTM30 WTQ30 WTU30 WTY30 WUC30 WUG30 WUK30 WUO30 WUS30 WUW30 WVA30 WVE30 WVI30 WVM30 WVQ30 WVU30 WVY30 WWC30 WWG30 WWK30 WWO30 WWS30 WWW30 WXA30 WXE30 WXI30 WXM30 WXQ30 WXU30 WXY30 WYC30 WYG30 WYK30 WYO30 WYS30 WYW30 WZA30 WZE30 WZI30 WZM30 WZQ30 WZU30 WZY30 XAC30 XAG30 XAK30 XAO30 XAS30 XAW30 XBA30 XBE30 XBI30 XBM30 XBQ30 XBU30 XBY30 XCC30 XCG30 XCK30 XCO30 XCS30 XCW30 XDA30 XDE30 XDI30 XDM30 XDQ30 XDU30 XDY30 XEC30 XEG30 XEK30 XEO30 XES30 XEW30 XFA30 A31:XFD31 A32:D35 E32:XFD54 A36:A49 B48:B49 A52:A54 A55:XFD55 E56:XFD58 A56:A59 C59:XFD59 A60:XFD1034">
    <cfRule type="expression" dxfId="6" priority="7" stopIfTrue="1">
      <formula>$A$1="Expire"</formula>
    </cfRule>
  </conditionalFormatting>
  <conditionalFormatting sqref="A23">
    <cfRule type="expression" dxfId="5" priority="5" stopIfTrue="1">
      <formula>$A$1="Expire"</formula>
    </cfRule>
    <cfRule type="expression" dxfId="4" priority="6">
      <formula>#REF!=""</formula>
    </cfRule>
  </conditionalFormatting>
  <conditionalFormatting sqref="B36:C46">
    <cfRule type="expression" dxfId="3" priority="3" stopIfTrue="1">
      <formula>$A$1="Expire"</formula>
    </cfRule>
    <cfRule type="expression" dxfId="2" priority="4">
      <formula>#REF!=""</formula>
    </cfRule>
  </conditionalFormatting>
  <conditionalFormatting sqref="D36:D44">
    <cfRule type="expression" dxfId="1" priority="1" stopIfTrue="1">
      <formula>$A$1="Expire"</formula>
    </cfRule>
    <cfRule type="expression" dxfId="0" priority="2">
      <formula>#REF!=""</formula>
    </cfRule>
  </conditionalFormatting>
  <pageMargins left="0" right="0" top="0" bottom="0" header="0.31496062992125984" footer="0.31496062992125984"/>
  <pageSetup paperSize="9" scale="40" orientation="portrait" r:id="rId1"/>
  <headerFooter>
    <oddFooter>&amp;C&amp;"CordiaUPC,Regular"&amp;11 &amp;K00000010/17
&amp;1#&amp;"Calibri,Regular"&amp;10Internal</odd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65089-1178-402D-9820-7B4C6486B88D}">
  <sheetPr codeName="Sheet42">
    <pageSetUpPr fitToPage="1"/>
  </sheetPr>
  <dimension ref="A1:L29"/>
  <sheetViews>
    <sheetView showGridLines="0" topLeftCell="A19" zoomScale="80" zoomScaleNormal="80" workbookViewId="0">
      <selection activeCell="D19" sqref="D19"/>
    </sheetView>
  </sheetViews>
  <sheetFormatPr defaultColWidth="9.09765625" defaultRowHeight="21.5"/>
  <cols>
    <col min="1" max="1" width="53.796875" style="1087" customWidth="1"/>
    <col min="2" max="2" width="70.69921875" style="1088" customWidth="1"/>
    <col min="3" max="16384" width="9.09765625" style="1087"/>
  </cols>
  <sheetData>
    <row r="1" spans="1:12" s="1083" customFormat="1" ht="5.15" customHeight="1">
      <c r="A1" s="1083" t="str">
        <f ca="1">กรอกข้อมูล!G64</f>
        <v/>
      </c>
      <c r="B1" s="1084"/>
    </row>
    <row r="2" spans="1:12" s="1083" customFormat="1" ht="28" customHeight="1">
      <c r="A2" s="2421" t="str">
        <f ca="1">IF(A1="Expire",กรอกข้อมูล!$A$1,"ข้อยกเว้นทั่วไปของสัญญาเพิ่มเติมค่ารักษาพยาบาล โรคร้ายโซชิลด์")</f>
        <v>ข้อยกเว้นทั่วไปของสัญญาเพิ่มเติมค่ารักษาพยาบาล โรคร้ายโซชิลด์</v>
      </c>
      <c r="B2" s="2421"/>
      <c r="C2" s="1085"/>
      <c r="D2" s="1086"/>
    </row>
    <row r="3" spans="1:12" ht="14.25" customHeight="1"/>
    <row r="4" spans="1:12" s="837" customFormat="1" ht="25" customHeight="1">
      <c r="A4" s="1089" t="s">
        <v>2493</v>
      </c>
      <c r="B4" s="863"/>
    </row>
    <row r="5" spans="1:12" s="837" customFormat="1">
      <c r="A5" s="1089" t="s">
        <v>2494</v>
      </c>
      <c r="B5" s="863"/>
    </row>
    <row r="6" spans="1:12" s="1093" customFormat="1" ht="15" customHeight="1">
      <c r="A6" s="1891" t="s">
        <v>2495</v>
      </c>
      <c r="B6" s="1090"/>
      <c r="C6" s="1091"/>
      <c r="D6" s="1091"/>
      <c r="E6" s="1091"/>
      <c r="F6" s="1092"/>
      <c r="G6" s="1092"/>
      <c r="H6" s="1092"/>
      <c r="I6" s="1092"/>
      <c r="J6" s="1092"/>
      <c r="K6" s="1092"/>
      <c r="L6" s="1092"/>
    </row>
    <row r="7" spans="1:12" s="1093" customFormat="1" ht="15" customHeight="1">
      <c r="A7" s="1891" t="s">
        <v>2496</v>
      </c>
      <c r="B7" s="1090"/>
      <c r="C7" s="1091"/>
      <c r="D7" s="1091"/>
      <c r="E7" s="1091"/>
      <c r="F7" s="1092"/>
      <c r="G7" s="1092"/>
      <c r="H7" s="1092"/>
      <c r="I7" s="1092"/>
      <c r="J7" s="1092"/>
      <c r="K7" s="1092"/>
      <c r="L7" s="1092"/>
    </row>
    <row r="8" spans="1:12" s="1093" customFormat="1" ht="15" customHeight="1">
      <c r="A8" s="1891" t="s">
        <v>2497</v>
      </c>
      <c r="B8" s="1090"/>
      <c r="C8" s="1091"/>
      <c r="D8" s="1091"/>
      <c r="E8" s="1091"/>
      <c r="F8" s="1092"/>
      <c r="G8" s="1092"/>
      <c r="H8" s="1092"/>
      <c r="I8" s="1092"/>
      <c r="J8" s="1092"/>
      <c r="K8" s="1092"/>
      <c r="L8" s="1092"/>
    </row>
    <row r="9" spans="1:12" s="1093" customFormat="1" ht="15" customHeight="1">
      <c r="A9" s="1891"/>
      <c r="B9" s="1090"/>
      <c r="C9" s="1091"/>
      <c r="D9" s="1091"/>
      <c r="E9" s="1091"/>
      <c r="F9" s="1092"/>
      <c r="G9" s="1092"/>
      <c r="H9" s="1092"/>
      <c r="I9" s="1092"/>
      <c r="J9" s="1092"/>
      <c r="K9" s="1092"/>
      <c r="L9" s="1092"/>
    </row>
    <row r="10" spans="1:12" s="1093" customFormat="1" ht="15" customHeight="1">
      <c r="A10" s="864" t="s">
        <v>1267</v>
      </c>
      <c r="B10" s="1090"/>
      <c r="C10" s="1091"/>
      <c r="D10" s="1091"/>
      <c r="E10" s="1091"/>
      <c r="F10" s="1092"/>
      <c r="G10" s="1092"/>
      <c r="H10" s="1092"/>
      <c r="I10" s="1092"/>
      <c r="J10" s="1092"/>
      <c r="K10" s="1092"/>
      <c r="L10" s="1092"/>
    </row>
    <row r="11" spans="1:12" s="1093" customFormat="1" ht="15" customHeight="1">
      <c r="A11" s="867" t="s">
        <v>1078</v>
      </c>
      <c r="B11" s="1090"/>
      <c r="C11" s="1091"/>
      <c r="D11" s="1091"/>
      <c r="E11" s="1091"/>
      <c r="F11" s="1092"/>
      <c r="G11" s="1092"/>
      <c r="H11" s="1092"/>
      <c r="I11" s="1092"/>
      <c r="J11" s="1092"/>
      <c r="K11" s="1092"/>
      <c r="L11" s="1092"/>
    </row>
    <row r="12" spans="1:12" s="1093" customFormat="1" ht="15" customHeight="1">
      <c r="A12" s="867" t="s">
        <v>1079</v>
      </c>
      <c r="B12" s="1090"/>
      <c r="C12" s="1091"/>
      <c r="D12" s="1091"/>
      <c r="E12" s="1091"/>
      <c r="F12" s="1092"/>
      <c r="G12" s="1092"/>
      <c r="H12" s="1092"/>
      <c r="I12" s="1092"/>
      <c r="J12" s="1092"/>
      <c r="K12" s="1092"/>
      <c r="L12" s="1092"/>
    </row>
    <row r="13" spans="1:12" s="1093" customFormat="1" ht="15" customHeight="1">
      <c r="A13" s="864" t="s">
        <v>1268</v>
      </c>
      <c r="B13" s="1090"/>
      <c r="C13" s="1091"/>
      <c r="D13" s="1091"/>
      <c r="E13" s="1091"/>
      <c r="F13" s="1092"/>
      <c r="G13" s="1092"/>
      <c r="H13" s="1092"/>
      <c r="I13" s="1092"/>
      <c r="J13" s="1092"/>
      <c r="K13" s="1092"/>
      <c r="L13" s="1092"/>
    </row>
    <row r="14" spans="1:12" s="1093" customFormat="1" ht="15" customHeight="1">
      <c r="A14" s="864" t="s">
        <v>1269</v>
      </c>
      <c r="B14" s="1090"/>
      <c r="C14" s="1091"/>
      <c r="D14" s="1091"/>
      <c r="E14" s="1091"/>
      <c r="F14" s="1092"/>
      <c r="G14" s="1092"/>
      <c r="H14" s="1092"/>
      <c r="I14" s="1092"/>
      <c r="J14" s="1092"/>
      <c r="K14" s="1092"/>
      <c r="L14" s="1092"/>
    </row>
    <row r="15" spans="1:12" s="1093" customFormat="1" ht="15" customHeight="1">
      <c r="A15" s="868" t="s">
        <v>1071</v>
      </c>
      <c r="B15" s="1090"/>
      <c r="C15" s="1091"/>
      <c r="D15" s="1091"/>
      <c r="E15" s="1091"/>
      <c r="F15" s="1092"/>
      <c r="G15" s="1092"/>
      <c r="H15" s="1092"/>
      <c r="I15" s="1092"/>
      <c r="J15" s="1092"/>
      <c r="K15" s="1092"/>
      <c r="L15" s="1092"/>
    </row>
    <row r="16" spans="1:12" s="1093" customFormat="1" ht="15" customHeight="1">
      <c r="A16" s="868" t="s">
        <v>1072</v>
      </c>
      <c r="B16" s="1090"/>
      <c r="C16" s="1091"/>
      <c r="D16" s="1091"/>
      <c r="E16" s="1091"/>
      <c r="F16" s="1092"/>
      <c r="G16" s="1092"/>
      <c r="H16" s="1092"/>
      <c r="I16" s="1092"/>
      <c r="J16" s="1092"/>
      <c r="K16" s="1092"/>
      <c r="L16" s="1092"/>
    </row>
    <row r="17" spans="1:12" s="1095" customFormat="1" ht="15" customHeight="1">
      <c r="B17" s="873"/>
    </row>
    <row r="18" spans="1:12" s="845" customFormat="1" ht="22" customHeight="1">
      <c r="A18" s="1089" t="s">
        <v>1027</v>
      </c>
      <c r="B18" s="1096"/>
    </row>
    <row r="19" spans="1:12" s="847" customFormat="1" ht="367" customHeight="1">
      <c r="A19" s="2423" t="s">
        <v>2498</v>
      </c>
      <c r="B19" s="2423"/>
      <c r="C19" s="846"/>
      <c r="D19" s="846"/>
      <c r="E19" s="846"/>
      <c r="F19" s="846"/>
      <c r="G19" s="846"/>
      <c r="H19" s="846"/>
      <c r="I19" s="846"/>
      <c r="J19" s="846"/>
      <c r="K19" s="846"/>
      <c r="L19" s="846"/>
    </row>
    <row r="20" spans="1:12" s="847" customFormat="1" ht="30" customHeight="1">
      <c r="A20" s="2425" t="s">
        <v>2428</v>
      </c>
      <c r="B20" s="2425"/>
      <c r="C20" s="846"/>
      <c r="D20" s="846"/>
      <c r="E20" s="846"/>
      <c r="F20" s="846"/>
      <c r="G20" s="846"/>
      <c r="H20" s="846"/>
      <c r="I20" s="846"/>
      <c r="J20" s="846"/>
      <c r="K20" s="846"/>
      <c r="L20" s="846"/>
    </row>
    <row r="21" spans="1:12" ht="37" customHeight="1">
      <c r="A21" s="2425" t="str">
        <f>ตารางแสดงผลประโยชน์!$B$76</f>
        <v>โปรแกรมใบข้อเสนอนี้ใช้สำหรับแบบประกัน ไอสมาร์ท 80/6 (ไม่มีเงินปันผล) ที่เสนอขายตั้งแต่ 1 มกราคม 2569 ถึง 31 มีนาคม 2570 หรือตามประกาศยกเลิกการใช้จากบริษัทฯ (แล้วแต่ระยะเวลาใดจะเกิดขึ้นก่อน)</v>
      </c>
      <c r="B21" s="2425"/>
    </row>
    <row r="22" spans="1:12">
      <c r="B22" s="1067" t="str">
        <f>ตารางแสดงผลประโยชน์!$I$77</f>
        <v>ไอสมาร์ท 80/6 (ไม่มีเงินปันผล) เวอร์ชั่น A2026-1</v>
      </c>
    </row>
    <row r="24" spans="1:12">
      <c r="A24" s="1097"/>
    </row>
    <row r="25" spans="1:12">
      <c r="A25" s="1098"/>
    </row>
    <row r="26" spans="1:12">
      <c r="A26" s="1098"/>
    </row>
    <row r="27" spans="1:12">
      <c r="A27" s="1098"/>
    </row>
    <row r="28" spans="1:12">
      <c r="A28" s="1098"/>
    </row>
    <row r="29" spans="1:12" s="1088" customFormat="1">
      <c r="A29" s="1098"/>
      <c r="C29" s="1087"/>
      <c r="D29" s="1087"/>
      <c r="E29" s="1087"/>
      <c r="F29" s="1087"/>
      <c r="G29" s="1087"/>
      <c r="H29" s="1087"/>
      <c r="I29" s="1087"/>
      <c r="J29" s="1087"/>
      <c r="K29" s="1087"/>
      <c r="L29" s="1087"/>
    </row>
  </sheetData>
  <sheetProtection algorithmName="SHA-512" hashValue="qOHjJ6sueDK8R1f68FHnpz3/dNUJBxwg1PqGdoudbgi559EMKdslR89yIwIWbcRtpqVE3ePPSFMJeckTnra9UA==" saltValue="iOkuJOUS62mih9xOcVlcFA==" spinCount="100000" sheet="1" objects="1" scenarios="1"/>
  <mergeCells count="4">
    <mergeCell ref="A2:B2"/>
    <mergeCell ref="A19:B19"/>
    <mergeCell ref="A20:B20"/>
    <mergeCell ref="A21:B21"/>
  </mergeCells>
  <conditionalFormatting sqref="A3:XFD997">
    <cfRule type="expression" dxfId="89" priority="2">
      <formula>#REF!=""</formula>
    </cfRule>
  </conditionalFormatting>
  <conditionalFormatting sqref="A4:XFD997">
    <cfRule type="expression" dxfId="88" priority="1" stopIfTrue="1">
      <formula>$A$1="Expire"</formula>
    </cfRule>
  </conditionalFormatting>
  <pageMargins left="0" right="0" top="0" bottom="0" header="0.31496062992125984" footer="0.31496062992125984"/>
  <pageSetup paperSize="9" scale="89" orientation="portrait" r:id="rId1"/>
  <headerFooter>
    <oddFooter>&amp;C&amp;"CordiaUPC,Regular"&amp;11 &amp;K00000010/17
&amp;1#&amp;"Calibri,Regular"&amp;10Internal</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F9FF-288E-4696-927D-074EA2D892C9}">
  <sheetPr codeName="Sheet43">
    <pageSetUpPr fitToPage="1"/>
  </sheetPr>
  <dimension ref="A1:M30"/>
  <sheetViews>
    <sheetView showGridLines="0" topLeftCell="A14" zoomScale="59" zoomScaleNormal="40" workbookViewId="0">
      <selection activeCell="C23" sqref="C23"/>
    </sheetView>
  </sheetViews>
  <sheetFormatPr defaultColWidth="9.09765625" defaultRowHeight="21.5"/>
  <cols>
    <col min="1" max="1" width="5.796875" style="1087" customWidth="1"/>
    <col min="2" max="2" width="108.3984375" style="1087" customWidth="1"/>
    <col min="3" max="3" width="77.19921875" style="1088" customWidth="1"/>
    <col min="4" max="16384" width="9.09765625" style="1087"/>
  </cols>
  <sheetData>
    <row r="1" spans="1:5" s="1083" customFormat="1" ht="5.15" customHeight="1">
      <c r="B1" s="1083" t="str">
        <f ca="1">กรอกข้อมูล!G64</f>
        <v/>
      </c>
      <c r="C1" s="1084"/>
    </row>
    <row r="2" spans="1:5" s="1083" customFormat="1" ht="28" customHeight="1">
      <c r="A2" s="2429" t="str">
        <f ca="1">IF(B1="Expire",กรอกข้อมูล!$A$1,"คำนิยามโรคร้ายแรงของสัญญาเพิ่มเติมค่ารักษาพยาบาล โรคร้ายโซชิลด์ (MCI)")</f>
        <v>คำนิยามโรคร้ายแรงของสัญญาเพิ่มเติมค่ารักษาพยาบาล โรคร้ายโซชิลด์ (MCI)</v>
      </c>
      <c r="B2" s="2429"/>
      <c r="C2" s="2429"/>
      <c r="D2" s="1085"/>
      <c r="E2" s="1086"/>
    </row>
    <row r="3" spans="1:5" ht="14.25" customHeight="1"/>
    <row r="4" spans="1:5" s="837" customFormat="1" ht="42.5" customHeight="1">
      <c r="B4" s="1892" t="s">
        <v>2499</v>
      </c>
      <c r="C4" s="863"/>
    </row>
    <row r="5" spans="1:5" s="837" customFormat="1" ht="100.5" customHeight="1">
      <c r="B5" s="2430" t="s">
        <v>2500</v>
      </c>
      <c r="C5" s="2430"/>
    </row>
    <row r="6" spans="1:5" s="837" customFormat="1" ht="55" customHeight="1">
      <c r="B6" s="2426" t="s">
        <v>2501</v>
      </c>
      <c r="C6" s="2426"/>
    </row>
    <row r="7" spans="1:5" s="837" customFormat="1" ht="87.5" customHeight="1">
      <c r="B7" s="2426" t="s">
        <v>2502</v>
      </c>
      <c r="C7" s="2426"/>
    </row>
    <row r="8" spans="1:5" s="837" customFormat="1" ht="100" customHeight="1">
      <c r="B8" s="2426" t="s">
        <v>2503</v>
      </c>
      <c r="C8" s="2426"/>
    </row>
    <row r="9" spans="1:5" s="837" customFormat="1" ht="70" customHeight="1">
      <c r="B9" s="2426" t="s">
        <v>2504</v>
      </c>
      <c r="C9" s="2426"/>
    </row>
    <row r="10" spans="1:5" s="837" customFormat="1" ht="59.5" customHeight="1">
      <c r="B10" s="2426" t="s">
        <v>2505</v>
      </c>
      <c r="C10" s="2426"/>
    </row>
    <row r="11" spans="1:5" s="837" customFormat="1" ht="82" customHeight="1">
      <c r="B11" s="2426" t="s">
        <v>2506</v>
      </c>
      <c r="C11" s="2426"/>
    </row>
    <row r="12" spans="1:5" s="837" customFormat="1" ht="48" customHeight="1">
      <c r="B12" s="2426" t="s">
        <v>2507</v>
      </c>
      <c r="C12" s="2426"/>
    </row>
    <row r="13" spans="1:5" s="837" customFormat="1" ht="165.5" customHeight="1">
      <c r="B13" s="2427" t="s">
        <v>2508</v>
      </c>
      <c r="C13" s="2427"/>
    </row>
    <row r="14" spans="1:5" s="837" customFormat="1" ht="101.5" customHeight="1">
      <c r="B14" s="2426" t="s">
        <v>2509</v>
      </c>
      <c r="C14" s="2426"/>
    </row>
    <row r="15" spans="1:5" s="837" customFormat="1" ht="42.5" customHeight="1">
      <c r="B15" s="1892" t="s">
        <v>2510</v>
      </c>
      <c r="C15" s="863"/>
    </row>
    <row r="16" spans="1:5" s="837" customFormat="1" ht="23.5" customHeight="1">
      <c r="B16" s="2426" t="s">
        <v>2511</v>
      </c>
      <c r="C16" s="2426"/>
    </row>
    <row r="17" spans="2:13" s="837" customFormat="1" ht="101.5" customHeight="1">
      <c r="B17" s="2426" t="s">
        <v>2512</v>
      </c>
      <c r="C17" s="2426"/>
    </row>
    <row r="18" spans="2:13" s="837" customFormat="1" ht="67" customHeight="1">
      <c r="B18" s="2426" t="s">
        <v>2513</v>
      </c>
      <c r="C18" s="2426"/>
    </row>
    <row r="19" spans="2:13" s="837" customFormat="1" ht="58" customHeight="1">
      <c r="B19" s="2426" t="s">
        <v>2514</v>
      </c>
      <c r="C19" s="2426"/>
    </row>
    <row r="20" spans="2:13" s="837" customFormat="1" ht="101.5" customHeight="1">
      <c r="B20" s="2426" t="s">
        <v>2515</v>
      </c>
      <c r="C20" s="2426"/>
    </row>
    <row r="21" spans="2:13" s="847" customFormat="1" ht="30" customHeight="1">
      <c r="B21" s="2428" t="s">
        <v>2428</v>
      </c>
      <c r="C21" s="2428"/>
      <c r="D21" s="846"/>
      <c r="E21" s="846"/>
      <c r="F21" s="846"/>
      <c r="G21" s="846"/>
      <c r="H21" s="846"/>
      <c r="I21" s="846"/>
      <c r="J21" s="846"/>
      <c r="K21" s="846"/>
      <c r="L21" s="846"/>
      <c r="M21" s="846"/>
    </row>
    <row r="22" spans="2:13" ht="40" customHeight="1">
      <c r="B22" s="2420" t="str">
        <f>ตารางแสดงผลประโยชน์!$B$76</f>
        <v>โปรแกรมใบข้อเสนอนี้ใช้สำหรับแบบประกัน ไอสมาร์ท 80/6 (ไม่มีเงินปันผล) ที่เสนอขายตั้งแต่ 1 มกราคม 2569 ถึง 31 มีนาคม 2570 หรือตามประกาศยกเลิกการใช้จากบริษัทฯ (แล้วแต่ระยะเวลาใดจะเกิดขึ้นก่อน)</v>
      </c>
      <c r="C22" s="2420"/>
    </row>
    <row r="23" spans="2:13">
      <c r="C23" s="1067" t="str">
        <f>ตารางแสดงผลประโยชน์!$I$77</f>
        <v>ไอสมาร์ท 80/6 (ไม่มีเงินปันผล) เวอร์ชั่น A2026-1</v>
      </c>
    </row>
    <row r="25" spans="2:13">
      <c r="B25" s="1097"/>
    </row>
    <row r="26" spans="2:13">
      <c r="B26" s="1098"/>
    </row>
    <row r="27" spans="2:13">
      <c r="B27" s="1098"/>
    </row>
    <row r="28" spans="2:13">
      <c r="B28" s="1098"/>
    </row>
    <row r="29" spans="2:13">
      <c r="B29" s="1098"/>
    </row>
    <row r="30" spans="2:13" s="1088" customFormat="1">
      <c r="B30" s="1098"/>
      <c r="D30" s="1087"/>
      <c r="E30" s="1087"/>
      <c r="F30" s="1087"/>
      <c r="G30" s="1087"/>
      <c r="H30" s="1087"/>
      <c r="I30" s="1087"/>
      <c r="J30" s="1087"/>
      <c r="K30" s="1087"/>
      <c r="L30" s="1087"/>
      <c r="M30" s="1087"/>
    </row>
  </sheetData>
  <sheetProtection algorithmName="SHA-512" hashValue="JxI8sOYH93HFPNQzQ7bHPTXX8c6+JP89IY5ps3C22fh5yXyRN3JdsStlVhrCFLdbk4R/bAy4Rw/Gh/dbQzSsfw==" saltValue="OYSLeIoZuHryxAPxpY2jJQ==" spinCount="100000" sheet="1" objects="1" scenarios="1"/>
  <mergeCells count="18">
    <mergeCell ref="B9:C9"/>
    <mergeCell ref="A2:C2"/>
    <mergeCell ref="B5:C5"/>
    <mergeCell ref="B6:C6"/>
    <mergeCell ref="B7:C7"/>
    <mergeCell ref="B8:C8"/>
    <mergeCell ref="B22:C22"/>
    <mergeCell ref="B10:C10"/>
    <mergeCell ref="B11:C11"/>
    <mergeCell ref="B12:C12"/>
    <mergeCell ref="B13:C13"/>
    <mergeCell ref="B14:C14"/>
    <mergeCell ref="B16:C16"/>
    <mergeCell ref="B17:C17"/>
    <mergeCell ref="B18:C18"/>
    <mergeCell ref="B19:C19"/>
    <mergeCell ref="B20:C20"/>
    <mergeCell ref="B21:C21"/>
  </mergeCells>
  <conditionalFormatting sqref="C4:XFD4 B5 D5:XFD14 C15:XFD15 D16:XFD20 A21:XFD998 A3:XFD3">
    <cfRule type="expression" dxfId="87" priority="2">
      <formula>#REF!=""</formula>
    </cfRule>
  </conditionalFormatting>
  <conditionalFormatting sqref="C4:XFD4 B5 D5:XFD14 C15:XFD15 D16:XFD20 A21:XFD998">
    <cfRule type="expression" dxfId="86" priority="1" stopIfTrue="1">
      <formula>$B$1="Expire"</formula>
    </cfRule>
  </conditionalFormatting>
  <pageMargins left="0" right="0" top="0.23622047244094491" bottom="0.74803149606299213" header="0.15748031496062992" footer="0.15748031496062992"/>
  <pageSetup paperSize="9" scale="56" orientation="portrait" r:id="rId1"/>
  <headerFooter>
    <oddFooter>&amp;C&amp;"CordiaUPC,Regular"&amp;11 &amp;K00000011/17
&amp;1#&amp;"Calibri,Regular"&amp;10Internal</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84CE6-CA5A-4BEA-9314-20C033583BB8}">
  <sheetPr codeName="Sheet32">
    <pageSetUpPr fitToPage="1"/>
  </sheetPr>
  <dimension ref="A1:L35"/>
  <sheetViews>
    <sheetView showGridLines="0" topLeftCell="A25" zoomScaleNormal="100" workbookViewId="0">
      <selection activeCell="A4" sqref="A4"/>
    </sheetView>
  </sheetViews>
  <sheetFormatPr defaultColWidth="9.09765625" defaultRowHeight="21.5"/>
  <cols>
    <col min="1" max="1" width="50.69921875" style="1087" customWidth="1"/>
    <col min="2" max="2" width="73.3984375" style="1088" customWidth="1"/>
    <col min="3" max="16384" width="9.09765625" style="1087"/>
  </cols>
  <sheetData>
    <row r="1" spans="1:12" s="1083" customFormat="1" ht="5.15" customHeight="1">
      <c r="A1" s="1083" t="str">
        <f ca="1">กรอกข้อมูล!G64</f>
        <v/>
      </c>
      <c r="B1" s="1084"/>
    </row>
    <row r="2" spans="1:12" s="1083" customFormat="1" ht="28" customHeight="1">
      <c r="A2" s="2418" t="str">
        <f ca="1">IF(A1="Expire",กรอกข้อมูล!$A$1,"เงื่อนไขที่สำคัญและข้อยกเว้นทั่วไปของสัญญาเพิ่มเติมค่ารักษาพยาบาล ไอเฮลท์ตี้ อัลตร้า")</f>
        <v>เงื่อนไขที่สำคัญและข้อยกเว้นทั่วไปของสัญญาเพิ่มเติมค่ารักษาพยาบาล ไอเฮลท์ตี้ อัลตร้า</v>
      </c>
      <c r="B2" s="2418"/>
      <c r="C2" s="1085"/>
      <c r="D2" s="1086"/>
    </row>
    <row r="3" spans="1:12" ht="14.25" customHeight="1"/>
    <row r="4" spans="1:12" s="837" customFormat="1" ht="25" customHeight="1">
      <c r="A4" s="1089" t="s">
        <v>1262</v>
      </c>
      <c r="B4" s="863"/>
    </row>
    <row r="5" spans="1:12" s="837" customFormat="1">
      <c r="A5" s="2432" t="s">
        <v>2518</v>
      </c>
      <c r="B5" s="2433"/>
    </row>
    <row r="6" spans="1:12" s="837" customFormat="1" ht="247" customHeight="1">
      <c r="A6" s="2435" t="s">
        <v>2519</v>
      </c>
      <c r="B6" s="2436"/>
    </row>
    <row r="7" spans="1:12" s="837" customFormat="1">
      <c r="A7" s="1089" t="s">
        <v>1061</v>
      </c>
      <c r="B7" s="863"/>
    </row>
    <row r="8" spans="1:12" s="1093" customFormat="1" ht="15" customHeight="1">
      <c r="A8" s="864" t="s">
        <v>1062</v>
      </c>
      <c r="B8" s="1090"/>
      <c r="C8" s="1091"/>
      <c r="D8" s="1091"/>
      <c r="E8" s="1091"/>
      <c r="F8" s="1092"/>
      <c r="G8" s="1092"/>
      <c r="H8" s="1092"/>
      <c r="I8" s="1092"/>
      <c r="J8" s="1092"/>
      <c r="K8" s="1092"/>
      <c r="L8" s="1092"/>
    </row>
    <row r="9" spans="1:12" s="1093" customFormat="1" ht="15" customHeight="1">
      <c r="A9" s="864" t="s">
        <v>1263</v>
      </c>
      <c r="B9" s="1090"/>
      <c r="C9" s="1091"/>
      <c r="D9" s="1091"/>
      <c r="E9" s="1091"/>
      <c r="F9" s="1092"/>
      <c r="G9" s="1092"/>
      <c r="H9" s="1092"/>
      <c r="I9" s="1092"/>
      <c r="J9" s="1092"/>
      <c r="K9" s="1092"/>
      <c r="L9" s="1092"/>
    </row>
    <row r="10" spans="1:12" s="1093" customFormat="1" ht="15" customHeight="1">
      <c r="A10" s="864" t="s">
        <v>1063</v>
      </c>
      <c r="B10" s="1090"/>
      <c r="C10" s="1091"/>
      <c r="D10" s="1091"/>
      <c r="E10" s="1091"/>
      <c r="F10" s="1092"/>
      <c r="G10" s="1092"/>
      <c r="H10" s="1092"/>
      <c r="I10" s="1092"/>
      <c r="J10" s="1092"/>
      <c r="K10" s="1092"/>
      <c r="L10" s="1092"/>
    </row>
    <row r="11" spans="1:12" s="1093" customFormat="1" ht="15" customHeight="1">
      <c r="A11" s="864" t="s">
        <v>1264</v>
      </c>
      <c r="B11" s="1090"/>
      <c r="C11" s="1091"/>
      <c r="D11" s="1091"/>
      <c r="E11" s="1091"/>
      <c r="F11" s="1092"/>
      <c r="G11" s="1092"/>
      <c r="H11" s="1092"/>
      <c r="I11" s="1092"/>
      <c r="J11" s="1092"/>
      <c r="K11" s="1092"/>
      <c r="L11" s="1092"/>
    </row>
    <row r="12" spans="1:12" s="1093" customFormat="1" ht="15" customHeight="1">
      <c r="A12" s="1094" t="s">
        <v>1064</v>
      </c>
      <c r="B12" s="1090" t="s">
        <v>825</v>
      </c>
      <c r="C12" s="1091"/>
      <c r="D12" s="1091"/>
      <c r="E12" s="1091"/>
      <c r="F12" s="1092"/>
      <c r="G12" s="1092"/>
      <c r="H12" s="1092"/>
      <c r="I12" s="1092"/>
      <c r="J12" s="1092"/>
      <c r="K12" s="1092"/>
      <c r="L12" s="1092"/>
    </row>
    <row r="13" spans="1:12" s="1093" customFormat="1" ht="15" customHeight="1">
      <c r="A13" s="1094" t="s">
        <v>1265</v>
      </c>
      <c r="B13" s="1090" t="s">
        <v>1065</v>
      </c>
      <c r="C13" s="1091"/>
      <c r="D13" s="1091"/>
      <c r="E13" s="1091"/>
      <c r="F13" s="1092"/>
      <c r="G13" s="1092"/>
      <c r="H13" s="1092"/>
      <c r="I13" s="1092"/>
      <c r="J13" s="1092"/>
      <c r="K13" s="1092"/>
      <c r="L13" s="1092"/>
    </row>
    <row r="14" spans="1:12" s="1093" customFormat="1" ht="15" customHeight="1">
      <c r="A14" s="1094" t="s">
        <v>1066</v>
      </c>
      <c r="B14" s="1090" t="s">
        <v>1067</v>
      </c>
      <c r="C14" s="1091"/>
      <c r="D14" s="1091"/>
      <c r="E14" s="1091"/>
      <c r="F14" s="1092"/>
      <c r="G14" s="1092"/>
      <c r="H14" s="1092"/>
      <c r="I14" s="1092"/>
      <c r="J14" s="1092"/>
      <c r="K14" s="1092"/>
      <c r="L14" s="1092"/>
    </row>
    <row r="15" spans="1:12" s="1093" customFormat="1" ht="15" customHeight="1">
      <c r="A15" s="1094" t="s">
        <v>1266</v>
      </c>
      <c r="B15" s="1090" t="s">
        <v>1068</v>
      </c>
      <c r="C15" s="1091"/>
      <c r="D15" s="1091"/>
      <c r="E15" s="1091"/>
      <c r="F15" s="1092"/>
      <c r="G15" s="1092"/>
      <c r="H15" s="1092"/>
      <c r="I15" s="1092"/>
      <c r="J15" s="1092"/>
      <c r="K15" s="1092"/>
      <c r="L15" s="1092"/>
    </row>
    <row r="16" spans="1:12" s="1093" customFormat="1" ht="15" customHeight="1">
      <c r="A16" s="864" t="s">
        <v>1267</v>
      </c>
      <c r="B16" s="1090"/>
      <c r="C16" s="1091"/>
      <c r="D16" s="1091"/>
      <c r="E16" s="1091"/>
      <c r="F16" s="1092"/>
      <c r="G16" s="1092"/>
      <c r="H16" s="1092"/>
      <c r="I16" s="1092"/>
      <c r="J16" s="1092"/>
      <c r="K16" s="1092"/>
      <c r="L16" s="1092"/>
    </row>
    <row r="17" spans="1:12" s="1093" customFormat="1" ht="15" customHeight="1">
      <c r="A17" s="867" t="s">
        <v>1078</v>
      </c>
      <c r="B17" s="1090"/>
      <c r="C17" s="1091"/>
      <c r="D17" s="1091"/>
      <c r="E17" s="1091"/>
      <c r="F17" s="1092"/>
      <c r="G17" s="1092"/>
      <c r="H17" s="1092"/>
      <c r="I17" s="1092"/>
      <c r="J17" s="1092"/>
      <c r="K17" s="1092"/>
      <c r="L17" s="1092"/>
    </row>
    <row r="18" spans="1:12" s="1093" customFormat="1" ht="15" customHeight="1">
      <c r="A18" s="867" t="s">
        <v>1079</v>
      </c>
      <c r="B18" s="1090"/>
      <c r="C18" s="1091"/>
      <c r="D18" s="1091"/>
      <c r="E18" s="1091"/>
      <c r="F18" s="1092"/>
      <c r="G18" s="1092"/>
      <c r="H18" s="1092"/>
      <c r="I18" s="1092"/>
      <c r="J18" s="1092"/>
      <c r="K18" s="1092"/>
      <c r="L18" s="1092"/>
    </row>
    <row r="19" spans="1:12" s="1093" customFormat="1" ht="15" customHeight="1">
      <c r="A19" s="864" t="s">
        <v>1268</v>
      </c>
      <c r="B19" s="1090"/>
      <c r="C19" s="1091"/>
      <c r="D19" s="1091"/>
      <c r="E19" s="1091"/>
      <c r="F19" s="1092"/>
      <c r="G19" s="1092"/>
      <c r="H19" s="1092"/>
      <c r="I19" s="1092"/>
      <c r="J19" s="1092"/>
      <c r="K19" s="1092"/>
      <c r="L19" s="1092"/>
    </row>
    <row r="20" spans="1:12" s="1093" customFormat="1" ht="15" customHeight="1">
      <c r="A20" s="864" t="s">
        <v>1269</v>
      </c>
      <c r="B20" s="1090"/>
      <c r="C20" s="1091"/>
      <c r="D20" s="1091"/>
      <c r="E20" s="1091"/>
      <c r="F20" s="1092"/>
      <c r="G20" s="1092"/>
      <c r="H20" s="1092"/>
      <c r="I20" s="1092"/>
      <c r="J20" s="1092"/>
      <c r="K20" s="1092"/>
      <c r="L20" s="1092"/>
    </row>
    <row r="21" spans="1:12" s="1093" customFormat="1" ht="15" customHeight="1">
      <c r="A21" s="868" t="s">
        <v>1071</v>
      </c>
      <c r="B21" s="1090"/>
      <c r="C21" s="1091"/>
      <c r="D21" s="1091"/>
      <c r="E21" s="1091"/>
      <c r="F21" s="1092"/>
      <c r="G21" s="1092"/>
      <c r="H21" s="1092"/>
      <c r="I21" s="1092"/>
      <c r="J21" s="1092"/>
      <c r="K21" s="1092"/>
      <c r="L21" s="1092"/>
    </row>
    <row r="22" spans="1:12" s="1093" customFormat="1" ht="15" customHeight="1">
      <c r="A22" s="868" t="s">
        <v>1072</v>
      </c>
      <c r="B22" s="1090"/>
      <c r="C22" s="1091"/>
      <c r="D22" s="1091"/>
      <c r="E22" s="1091"/>
      <c r="F22" s="1092"/>
      <c r="G22" s="1092"/>
      <c r="H22" s="1092"/>
      <c r="I22" s="1092"/>
      <c r="J22" s="1092"/>
      <c r="K22" s="1092"/>
      <c r="L22" s="1092"/>
    </row>
    <row r="23" spans="1:12" s="1095" customFormat="1" ht="15" customHeight="1">
      <c r="A23" s="2434"/>
      <c r="B23" s="2434"/>
    </row>
    <row r="24" spans="1:12" s="845" customFormat="1" ht="22" customHeight="1">
      <c r="A24" s="1089" t="s">
        <v>1027</v>
      </c>
      <c r="B24" s="1096"/>
    </row>
    <row r="25" spans="1:12" s="847" customFormat="1" ht="335.25" customHeight="1">
      <c r="A25" s="2431" t="s">
        <v>2516</v>
      </c>
      <c r="B25" s="2431"/>
      <c r="C25" s="846"/>
      <c r="D25" s="846"/>
      <c r="E25" s="846"/>
      <c r="F25" s="846"/>
      <c r="G25" s="846"/>
      <c r="H25" s="846"/>
      <c r="I25" s="846"/>
      <c r="J25" s="846"/>
      <c r="K25" s="846"/>
      <c r="L25" s="846"/>
    </row>
    <row r="26" spans="1:12" s="847" customFormat="1" ht="30" customHeight="1">
      <c r="A26" s="2420" t="s">
        <v>2428</v>
      </c>
      <c r="B26" s="2420"/>
      <c r="C26" s="846"/>
      <c r="D26" s="846"/>
      <c r="E26" s="846"/>
      <c r="F26" s="846"/>
      <c r="G26" s="846"/>
      <c r="H26" s="846"/>
      <c r="I26" s="846"/>
      <c r="J26" s="846"/>
      <c r="K26" s="846"/>
      <c r="L26" s="846"/>
    </row>
    <row r="27" spans="1:12" ht="40" customHeight="1">
      <c r="A27" s="2420" t="str">
        <f>ตารางแสดงผลประโยชน์!$B$76</f>
        <v>โปรแกรมใบข้อเสนอนี้ใช้สำหรับแบบประกัน ไอสมาร์ท 80/6 (ไม่มีเงินปันผล) ที่เสนอขายตั้งแต่ 1 มกราคม 2569 ถึง 31 มีนาคม 2570 หรือตามประกาศยกเลิกการใช้จากบริษัทฯ (แล้วแต่ระยะเวลาใดจะเกิดขึ้นก่อน)</v>
      </c>
      <c r="B27" s="2420"/>
    </row>
    <row r="28" spans="1:12">
      <c r="B28" s="1067" t="str">
        <f>ตารางแสดงผลประโยชน์!$I$77</f>
        <v>ไอสมาร์ท 80/6 (ไม่มีเงินปันผล) เวอร์ชั่น A2026-1</v>
      </c>
    </row>
    <row r="30" spans="1:12">
      <c r="A30" s="1097"/>
    </row>
    <row r="31" spans="1:12">
      <c r="A31" s="1098"/>
    </row>
    <row r="32" spans="1:12">
      <c r="A32" s="1098"/>
    </row>
    <row r="33" spans="1:1">
      <c r="A33" s="1098"/>
    </row>
    <row r="34" spans="1:1">
      <c r="A34" s="1098"/>
    </row>
    <row r="35" spans="1:1">
      <c r="A35" s="1098"/>
    </row>
  </sheetData>
  <sheetProtection algorithmName="SHA-512" hashValue="IhQvtAI5YUiEhynsOQqdmtV17waOzX3Ost2N/RsUvYVYxva40zrdV8HqZnMEtahFmPCw6aWvNPogmESte2lJpg==" saltValue="ahlTSJljLEN/o5pNNnt9lQ==" spinCount="100000" sheet="1" objects="1" scenarios="1"/>
  <mergeCells count="7">
    <mergeCell ref="A2:B2"/>
    <mergeCell ref="A25:B25"/>
    <mergeCell ref="A26:B26"/>
    <mergeCell ref="A27:B27"/>
    <mergeCell ref="A5:B5"/>
    <mergeCell ref="A23:B23"/>
    <mergeCell ref="A6:B6"/>
  </mergeCells>
  <conditionalFormatting sqref="A5:A6">
    <cfRule type="expression" dxfId="85" priority="1" stopIfTrue="1">
      <formula>$A$1="Expire"</formula>
    </cfRule>
    <cfRule type="expression" dxfId="84" priority="2">
      <formula>#REF!=""</formula>
    </cfRule>
  </conditionalFormatting>
  <conditionalFormatting sqref="A3:XFD4 A7:B22 A23 A24:B1003">
    <cfRule type="expression" dxfId="83" priority="8">
      <formula>#REF!=""</formula>
    </cfRule>
  </conditionalFormatting>
  <conditionalFormatting sqref="A4:XFD4 A7:B22 A23 A24:B1003">
    <cfRule type="expression" dxfId="82" priority="7" stopIfTrue="1">
      <formula>$A$1="Expire"</formula>
    </cfRule>
  </conditionalFormatting>
  <conditionalFormatting sqref="C5:XFD1003">
    <cfRule type="expression" dxfId="81" priority="3" stopIfTrue="1">
      <formula>$A$1="Expire"</formula>
    </cfRule>
    <cfRule type="expression" dxfId="80" priority="4">
      <formula>#REF!=""</formula>
    </cfRule>
  </conditionalFormatting>
  <pageMargins left="0" right="0" top="0" bottom="0" header="0.31496062992125984" footer="0.31496062992125984"/>
  <pageSetup paperSize="9" scale="91" orientation="portrait" r:id="rId1"/>
  <headerFooter>
    <oddFooter>&amp;C&amp;"Calibri"&amp;11&amp;K000000&amp;"CordiaUPC,Regular"&amp;K0000009/14_x000D_&amp;1#&amp;"Calibri"&amp;10&amp;K000000Internal</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679DCC-F25B-4B2B-85E3-4434B290A41A}">
  <sheetPr codeName="Sheet27">
    <pageSetUpPr fitToPage="1"/>
  </sheetPr>
  <dimension ref="A1:L37"/>
  <sheetViews>
    <sheetView showGridLines="0" topLeftCell="A25" zoomScale="71" zoomScaleNormal="100" workbookViewId="0">
      <selection activeCell="A5" sqref="A5:XFD5"/>
    </sheetView>
  </sheetViews>
  <sheetFormatPr defaultColWidth="9.09765625" defaultRowHeight="21.5"/>
  <cols>
    <col min="1" max="1" width="50.69921875" style="837" customWidth="1"/>
    <col min="2" max="2" width="72.09765625" style="863" customWidth="1"/>
    <col min="3" max="16384" width="9.09765625" style="837"/>
  </cols>
  <sheetData>
    <row r="1" spans="1:12" s="861" customFormat="1" ht="5.15" customHeight="1">
      <c r="A1" s="76" t="str">
        <f ca="1">กรอกข้อมูล!G64</f>
        <v/>
      </c>
      <c r="B1" s="860"/>
    </row>
    <row r="2" spans="1:12" s="861" customFormat="1" ht="28" customHeight="1">
      <c r="A2" s="2437" t="str">
        <f ca="1">IF(A1="Expire",กรอกข้อมูล!$A$1,"เงื่อนไขที่สำคัญและข้อยกเว้นทั่วไปของสัญญาเพิ่มเติมค่ารักษาพยาบาล เอ็กซ์ตร้า")</f>
        <v>เงื่อนไขที่สำคัญและข้อยกเว้นทั่วไปของสัญญาเพิ่มเติมค่ารักษาพยาบาล เอ็กซ์ตร้า</v>
      </c>
      <c r="B2" s="2437"/>
      <c r="C2" s="835"/>
      <c r="D2" s="862"/>
    </row>
    <row r="3" spans="1:12" ht="14.25" customHeight="1"/>
    <row r="4" spans="1:12" ht="25" customHeight="1">
      <c r="A4" s="836" t="s">
        <v>1060</v>
      </c>
    </row>
    <row r="5" spans="1:12">
      <c r="A5" s="2435" t="s">
        <v>2520</v>
      </c>
      <c r="B5" s="2436"/>
    </row>
    <row r="6" spans="1:12" ht="247" customHeight="1">
      <c r="A6" s="2435" t="s">
        <v>2521</v>
      </c>
      <c r="B6" s="2436"/>
    </row>
    <row r="7" spans="1:12" ht="20.149999999999999" customHeight="1">
      <c r="A7" s="836" t="s">
        <v>1061</v>
      </c>
    </row>
    <row r="8" spans="1:12" s="840" customFormat="1" ht="15" customHeight="1">
      <c r="A8" s="864" t="s">
        <v>1062</v>
      </c>
      <c r="B8" s="865"/>
      <c r="C8" s="838"/>
      <c r="D8" s="838"/>
      <c r="E8" s="838"/>
      <c r="F8" s="839"/>
      <c r="G8" s="839"/>
      <c r="H8" s="839"/>
      <c r="I8" s="839"/>
      <c r="J8" s="839"/>
      <c r="K8" s="839"/>
      <c r="L8" s="839"/>
    </row>
    <row r="9" spans="1:12" s="840" customFormat="1" ht="15" customHeight="1">
      <c r="A9" s="864" t="s">
        <v>1263</v>
      </c>
      <c r="B9" s="865"/>
      <c r="C9" s="838"/>
      <c r="D9" s="838"/>
      <c r="E9" s="838"/>
      <c r="F9" s="839"/>
      <c r="G9" s="839"/>
      <c r="H9" s="839"/>
      <c r="I9" s="839"/>
      <c r="J9" s="839"/>
      <c r="K9" s="839"/>
      <c r="L9" s="839"/>
    </row>
    <row r="10" spans="1:12" s="840" customFormat="1" ht="15" customHeight="1">
      <c r="A10" s="864" t="s">
        <v>1063</v>
      </c>
      <c r="B10" s="865"/>
      <c r="C10" s="838"/>
      <c r="D10" s="838"/>
      <c r="E10" s="838"/>
      <c r="F10" s="839"/>
      <c r="G10" s="839"/>
      <c r="H10" s="839"/>
      <c r="I10" s="839"/>
      <c r="J10" s="839"/>
      <c r="K10" s="839"/>
      <c r="L10" s="839"/>
    </row>
    <row r="11" spans="1:12" s="840" customFormat="1" ht="15" customHeight="1">
      <c r="A11" s="864" t="s">
        <v>1264</v>
      </c>
      <c r="B11" s="865"/>
      <c r="C11" s="838"/>
      <c r="D11" s="838"/>
      <c r="E11" s="838"/>
      <c r="F11" s="839"/>
      <c r="G11" s="839"/>
      <c r="H11" s="839"/>
      <c r="I11" s="839"/>
      <c r="J11" s="839"/>
      <c r="K11" s="839"/>
      <c r="L11" s="839"/>
    </row>
    <row r="12" spans="1:12" s="840" customFormat="1" ht="15" customHeight="1">
      <c r="A12" s="1094" t="s">
        <v>1064</v>
      </c>
      <c r="B12" s="866" t="s">
        <v>825</v>
      </c>
      <c r="C12" s="841"/>
      <c r="D12" s="842"/>
      <c r="E12" s="841"/>
      <c r="F12" s="841"/>
      <c r="G12" s="843"/>
      <c r="H12" s="839"/>
      <c r="I12" s="839"/>
      <c r="J12" s="839"/>
      <c r="K12" s="839"/>
      <c r="L12" s="839"/>
    </row>
    <row r="13" spans="1:12" s="840" customFormat="1" ht="15" customHeight="1">
      <c r="A13" s="1094" t="s">
        <v>1265</v>
      </c>
      <c r="B13" s="866" t="s">
        <v>1065</v>
      </c>
      <c r="C13" s="841"/>
      <c r="D13" s="842"/>
      <c r="E13" s="841"/>
      <c r="F13" s="841"/>
      <c r="G13" s="843"/>
      <c r="H13" s="844"/>
      <c r="I13" s="844"/>
      <c r="J13" s="844"/>
      <c r="K13" s="844"/>
      <c r="L13" s="844"/>
    </row>
    <row r="14" spans="1:12" s="840" customFormat="1" ht="15" customHeight="1">
      <c r="A14" s="1094" t="s">
        <v>1066</v>
      </c>
      <c r="B14" s="866" t="s">
        <v>1067</v>
      </c>
      <c r="C14" s="841"/>
      <c r="D14" s="842"/>
      <c r="E14" s="841"/>
      <c r="F14" s="841"/>
      <c r="G14" s="843"/>
      <c r="H14" s="839"/>
      <c r="I14" s="839"/>
      <c r="J14" s="839"/>
      <c r="K14" s="839"/>
      <c r="L14" s="839"/>
    </row>
    <row r="15" spans="1:12" s="840" customFormat="1" ht="15" customHeight="1">
      <c r="A15" s="1094" t="s">
        <v>1266</v>
      </c>
      <c r="B15" s="866" t="s">
        <v>1068</v>
      </c>
      <c r="C15" s="841"/>
      <c r="D15" s="842"/>
      <c r="E15" s="841"/>
      <c r="F15" s="841"/>
      <c r="G15" s="843"/>
      <c r="H15" s="844"/>
      <c r="I15" s="844"/>
      <c r="J15" s="844"/>
      <c r="K15" s="844"/>
      <c r="L15" s="844"/>
    </row>
    <row r="16" spans="1:12" s="840" customFormat="1" ht="15" customHeight="1">
      <c r="A16" s="864" t="s">
        <v>1080</v>
      </c>
      <c r="B16" s="865"/>
      <c r="C16" s="838"/>
      <c r="D16" s="838"/>
      <c r="E16" s="838"/>
      <c r="F16" s="839"/>
      <c r="G16" s="839"/>
      <c r="H16" s="839"/>
      <c r="I16" s="839"/>
      <c r="J16" s="839"/>
      <c r="K16" s="839"/>
      <c r="L16" s="839"/>
    </row>
    <row r="17" spans="1:12" s="840" customFormat="1" ht="15" customHeight="1">
      <c r="A17" s="867" t="s">
        <v>1078</v>
      </c>
      <c r="B17" s="865"/>
      <c r="C17" s="838"/>
      <c r="D17" s="838"/>
      <c r="E17" s="838"/>
      <c r="F17" s="839"/>
      <c r="G17" s="839"/>
      <c r="H17" s="839"/>
      <c r="I17" s="839"/>
      <c r="J17" s="839"/>
      <c r="K17" s="839"/>
      <c r="L17" s="839"/>
    </row>
    <row r="18" spans="1:12" s="840" customFormat="1" ht="15" customHeight="1">
      <c r="A18" s="867" t="s">
        <v>1079</v>
      </c>
      <c r="B18" s="865"/>
      <c r="C18" s="838"/>
      <c r="D18" s="838"/>
      <c r="E18" s="838"/>
      <c r="F18" s="839"/>
      <c r="G18" s="839"/>
      <c r="H18" s="839"/>
      <c r="I18" s="839"/>
      <c r="J18" s="839"/>
      <c r="K18" s="839"/>
      <c r="L18" s="839"/>
    </row>
    <row r="19" spans="1:12" s="840" customFormat="1" ht="15" customHeight="1">
      <c r="A19" s="864" t="s">
        <v>1069</v>
      </c>
      <c r="B19" s="865"/>
      <c r="C19" s="838"/>
      <c r="D19" s="838"/>
      <c r="E19" s="838"/>
      <c r="F19" s="839"/>
      <c r="G19" s="839"/>
      <c r="H19" s="839"/>
      <c r="I19" s="839"/>
      <c r="J19" s="839"/>
      <c r="K19" s="839"/>
      <c r="L19" s="839"/>
    </row>
    <row r="20" spans="1:12" s="840" customFormat="1" ht="15" customHeight="1">
      <c r="A20" s="864" t="s">
        <v>1070</v>
      </c>
      <c r="B20" s="865"/>
      <c r="C20" s="838"/>
      <c r="D20" s="838"/>
      <c r="E20" s="838"/>
      <c r="F20" s="839"/>
      <c r="G20" s="839"/>
      <c r="H20" s="839"/>
      <c r="I20" s="839"/>
      <c r="J20" s="839"/>
      <c r="K20" s="839"/>
      <c r="L20" s="839"/>
    </row>
    <row r="21" spans="1:12" s="872" customFormat="1" ht="15" customHeight="1">
      <c r="A21" s="868" t="s">
        <v>1071</v>
      </c>
      <c r="B21" s="869"/>
      <c r="C21" s="870"/>
      <c r="D21" s="870"/>
      <c r="E21" s="870"/>
      <c r="F21" s="871"/>
      <c r="G21" s="871"/>
      <c r="H21" s="871"/>
      <c r="I21" s="871"/>
      <c r="J21" s="871"/>
      <c r="K21" s="871"/>
      <c r="L21" s="871"/>
    </row>
    <row r="22" spans="1:12" s="872" customFormat="1" ht="15" customHeight="1">
      <c r="A22" s="868" t="s">
        <v>1072</v>
      </c>
      <c r="B22" s="869"/>
      <c r="C22" s="870"/>
      <c r="D22" s="870"/>
      <c r="E22" s="870"/>
      <c r="F22" s="871"/>
      <c r="G22" s="871"/>
      <c r="H22" s="871"/>
      <c r="I22" s="871"/>
      <c r="J22" s="871"/>
      <c r="K22" s="871"/>
      <c r="L22" s="871"/>
    </row>
    <row r="23" spans="1:12" s="840" customFormat="1" ht="15" customHeight="1">
      <c r="A23" s="850"/>
      <c r="B23" s="866"/>
      <c r="C23" s="841"/>
      <c r="D23" s="842"/>
      <c r="E23" s="841"/>
      <c r="F23" s="841"/>
      <c r="G23" s="843"/>
      <c r="H23" s="844"/>
      <c r="I23" s="844"/>
      <c r="J23" s="844"/>
      <c r="K23" s="844"/>
      <c r="L23" s="844"/>
    </row>
    <row r="24" spans="1:12" s="845" customFormat="1" ht="27.65" customHeight="1">
      <c r="A24" s="836" t="s">
        <v>1027</v>
      </c>
      <c r="B24" s="873"/>
    </row>
    <row r="25" spans="1:12" s="847" customFormat="1" ht="310" customHeight="1">
      <c r="A25" s="2438" t="s">
        <v>2517</v>
      </c>
      <c r="B25" s="2438"/>
      <c r="C25" s="846"/>
      <c r="D25" s="846"/>
      <c r="E25" s="846"/>
      <c r="F25" s="846"/>
      <c r="G25" s="846"/>
      <c r="H25" s="846"/>
      <c r="I25" s="846"/>
      <c r="J25" s="846"/>
      <c r="K25" s="846"/>
      <c r="L25" s="846"/>
    </row>
    <row r="28" spans="1:12" ht="38" customHeight="1">
      <c r="A28" s="1893" t="s">
        <v>2429</v>
      </c>
    </row>
    <row r="29" spans="1:12">
      <c r="A29" s="2439" t="str">
        <f>ตารางแสดงผลประโยชน์!B76</f>
        <v>โปรแกรมใบข้อเสนอนี้ใช้สำหรับแบบประกัน ไอสมาร์ท 80/6 (ไม่มีเงินปันผล) ที่เสนอขายตั้งแต่ 1 มกราคม 2569 ถึง 31 มีนาคม 2570 หรือตามประกาศยกเลิกการใช้จากบริษัทฯ (แล้วแต่ระยะเวลาใดจะเกิดขึ้นก่อน)</v>
      </c>
      <c r="B29" s="2439"/>
    </row>
    <row r="30" spans="1:12">
      <c r="B30" s="874" t="str">
        <f>ตารางแสดงผลประโยชน์!I77</f>
        <v>ไอสมาร์ท 80/6 (ไม่มีเงินปันผล) เวอร์ชั่น A2026-1</v>
      </c>
    </row>
    <row r="32" spans="1:12">
      <c r="A32" s="848"/>
    </row>
    <row r="33" spans="1:1">
      <c r="A33" s="849"/>
    </row>
    <row r="34" spans="1:1">
      <c r="A34" s="849"/>
    </row>
    <row r="35" spans="1:1">
      <c r="A35" s="849"/>
    </row>
    <row r="36" spans="1:1">
      <c r="A36" s="849"/>
    </row>
    <row r="37" spans="1:1">
      <c r="A37" s="849"/>
    </row>
  </sheetData>
  <sheetProtection algorithmName="SHA-512" hashValue="iByBubLFrEvvNsICsChXzxjmBULR/n7K1tUm9sCMb2pWt1qbYYUA7V9CHjogfbZ7fxasxq0fbTjzSyUjXjmdYw==" saltValue="52CSNMyGMkDfJuIpX9iUBg==" spinCount="100000" sheet="1" objects="1" scenarios="1"/>
  <mergeCells count="5">
    <mergeCell ref="A2:B2"/>
    <mergeCell ref="A25:B25"/>
    <mergeCell ref="A29:B29"/>
    <mergeCell ref="A5:B5"/>
    <mergeCell ref="A6:B6"/>
  </mergeCells>
  <conditionalFormatting sqref="A5:A6">
    <cfRule type="expression" dxfId="79" priority="1" stopIfTrue="1">
      <formula>$A$1="Expire"</formula>
    </cfRule>
    <cfRule type="expression" dxfId="78" priority="2">
      <formula>#REF!=""</formula>
    </cfRule>
  </conditionalFormatting>
  <conditionalFormatting sqref="A8:A15">
    <cfRule type="expression" dxfId="77" priority="10">
      <formula>#REF!=""</formula>
    </cfRule>
  </conditionalFormatting>
  <conditionalFormatting sqref="A25">
    <cfRule type="expression" dxfId="76" priority="18" stopIfTrue="1">
      <formula>$A$1="Expire"</formula>
    </cfRule>
  </conditionalFormatting>
  <conditionalFormatting sqref="A28:A29">
    <cfRule type="expression" dxfId="75" priority="11" stopIfTrue="1">
      <formula>$A$1="Expire"</formula>
    </cfRule>
  </conditionalFormatting>
  <conditionalFormatting sqref="A7:B27">
    <cfRule type="expression" dxfId="74" priority="9" stopIfTrue="1">
      <formula>$A$1="Expire"</formula>
    </cfRule>
  </conditionalFormatting>
  <conditionalFormatting sqref="A3:XFD4 B28 A29:B65543">
    <cfRule type="expression" dxfId="73" priority="19" stopIfTrue="1">
      <formula>$A$1="Expire"</formula>
    </cfRule>
  </conditionalFormatting>
  <conditionalFormatting sqref="B30 B32:B37">
    <cfRule type="expression" dxfId="72" priority="20" stopIfTrue="1">
      <formula>$A$1="Expire"</formula>
    </cfRule>
  </conditionalFormatting>
  <conditionalFormatting sqref="C5:XFD6">
    <cfRule type="expression" dxfId="71" priority="4">
      <formula>#REF!=""</formula>
    </cfRule>
  </conditionalFormatting>
  <conditionalFormatting sqref="C5:XFD65543">
    <cfRule type="expression" dxfId="70" priority="3" stopIfTrue="1">
      <formula>$A$1="Expire"</formula>
    </cfRule>
  </conditionalFormatting>
  <pageMargins left="0" right="0" top="0" bottom="0" header="0.31496062992125984" footer="0.31496062992125984"/>
  <pageSetup paperSize="9" scale="91" orientation="portrait" r:id="rId1"/>
  <headerFooter>
    <oddFooter>&amp;C&amp;"Calibri"&amp;11&amp;K000000&amp;"CordiaUPC,Regular"&amp;11 10/14_x000D_&amp;1#&amp;"Calibri"&amp;10&amp;K000000Internal</oddFooter>
  </headerFooter>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25">
    <pageSetUpPr fitToPage="1"/>
  </sheetPr>
  <dimension ref="A1:L17"/>
  <sheetViews>
    <sheetView showGridLines="0" topLeftCell="A13" workbookViewId="0">
      <selection activeCell="A15" sqref="A15"/>
    </sheetView>
  </sheetViews>
  <sheetFormatPr defaultColWidth="9.09765625" defaultRowHeight="21.5"/>
  <cols>
    <col min="1" max="1" width="118.69921875" style="672" customWidth="1"/>
    <col min="2" max="16384" width="9.09765625" style="672"/>
  </cols>
  <sheetData>
    <row r="1" spans="1:12" s="616" customFormat="1" ht="5.15" customHeight="1">
      <c r="A1" s="670" t="str">
        <f ca="1">กรอกข้อมูล!G64</f>
        <v/>
      </c>
    </row>
    <row r="2" spans="1:12" s="616" customFormat="1" ht="28" customHeight="1">
      <c r="A2" s="685" t="str">
        <f ca="1">IF(A1="Expire",กรอกข้อมูล!$A$1,"ข้อยกเว้นทั่วไปของสัญญาเพิ่มเติม")</f>
        <v>ข้อยกเว้นทั่วไปของสัญญาเพิ่มเติม</v>
      </c>
      <c r="B2" s="671"/>
      <c r="C2" s="671"/>
      <c r="D2" s="627"/>
    </row>
    <row r="3" spans="1:12" ht="14.25" customHeight="1"/>
    <row r="4" spans="1:12" s="676" customFormat="1" ht="14">
      <c r="A4" s="677" t="s">
        <v>904</v>
      </c>
      <c r="B4" s="678"/>
      <c r="C4" s="678"/>
      <c r="D4" s="678"/>
      <c r="E4" s="678"/>
      <c r="F4" s="679"/>
      <c r="G4" s="679"/>
      <c r="H4" s="679"/>
      <c r="I4" s="679"/>
      <c r="J4" s="679"/>
      <c r="K4" s="679"/>
      <c r="L4" s="679"/>
    </row>
    <row r="5" spans="1:12" s="676" customFormat="1" ht="159" customHeight="1">
      <c r="A5" s="680" t="s">
        <v>986</v>
      </c>
      <c r="B5" s="680"/>
      <c r="C5" s="680"/>
      <c r="D5" s="680"/>
      <c r="E5" s="680"/>
      <c r="F5" s="680"/>
      <c r="G5" s="680"/>
      <c r="H5" s="680"/>
      <c r="I5" s="680"/>
      <c r="J5" s="680"/>
      <c r="K5" s="680"/>
      <c r="L5" s="680"/>
    </row>
    <row r="6" spans="1:12" s="676" customFormat="1" ht="14">
      <c r="A6" s="677" t="s">
        <v>905</v>
      </c>
      <c r="B6" s="678"/>
      <c r="C6" s="678"/>
      <c r="D6" s="678"/>
      <c r="E6" s="678"/>
      <c r="F6" s="679"/>
      <c r="G6" s="679"/>
      <c r="H6" s="679"/>
      <c r="I6" s="679"/>
      <c r="J6" s="679"/>
      <c r="K6" s="679"/>
      <c r="L6" s="679"/>
    </row>
    <row r="7" spans="1:12" s="676" customFormat="1" ht="163.5" customHeight="1">
      <c r="A7" s="681" t="s">
        <v>987</v>
      </c>
      <c r="B7" s="681"/>
      <c r="C7" s="681"/>
      <c r="D7" s="681"/>
      <c r="E7" s="681"/>
      <c r="F7" s="681"/>
      <c r="G7" s="681"/>
      <c r="H7" s="681"/>
      <c r="I7" s="681"/>
      <c r="J7" s="681"/>
      <c r="K7" s="681"/>
      <c r="L7" s="681"/>
    </row>
    <row r="8" spans="1:12" s="676" customFormat="1" ht="18" hidden="1" customHeight="1">
      <c r="A8" s="677" t="s">
        <v>906</v>
      </c>
      <c r="B8" s="678"/>
      <c r="C8" s="678"/>
      <c r="D8" s="678"/>
      <c r="E8" s="678"/>
      <c r="F8" s="679"/>
      <c r="G8" s="682"/>
      <c r="H8" s="679"/>
      <c r="I8" s="679"/>
      <c r="J8" s="679"/>
      <c r="K8" s="679"/>
      <c r="L8" s="679"/>
    </row>
    <row r="9" spans="1:12" s="676" customFormat="1" ht="197.25" hidden="1" customHeight="1">
      <c r="A9" s="681" t="s">
        <v>988</v>
      </c>
      <c r="B9" s="681"/>
      <c r="C9" s="681"/>
      <c r="D9" s="681"/>
      <c r="E9" s="681"/>
      <c r="F9" s="681"/>
      <c r="G9" s="681"/>
      <c r="H9" s="681"/>
      <c r="I9" s="681"/>
      <c r="J9" s="681"/>
      <c r="K9" s="681"/>
      <c r="L9" s="681"/>
    </row>
    <row r="10" spans="1:12" s="684" customFormat="1" ht="14">
      <c r="A10" s="677" t="s">
        <v>549</v>
      </c>
      <c r="B10" s="677"/>
      <c r="C10" s="677"/>
      <c r="D10" s="677"/>
      <c r="E10" s="677"/>
      <c r="F10" s="683"/>
      <c r="G10" s="683"/>
      <c r="H10" s="683"/>
      <c r="I10" s="683"/>
      <c r="J10" s="683"/>
      <c r="K10" s="683"/>
      <c r="L10" s="683"/>
    </row>
    <row r="11" spans="1:12" s="676" customFormat="1" ht="202.5" customHeight="1">
      <c r="A11" s="681" t="s">
        <v>989</v>
      </c>
      <c r="B11" s="681"/>
      <c r="C11" s="681"/>
      <c r="D11" s="681"/>
      <c r="E11" s="681"/>
      <c r="F11" s="681"/>
      <c r="G11" s="681"/>
      <c r="H11" s="681"/>
      <c r="I11" s="681"/>
      <c r="J11" s="681"/>
      <c r="K11" s="681"/>
      <c r="L11" s="681"/>
    </row>
    <row r="12" spans="1:12" s="751" customFormat="1" ht="14">
      <c r="A12" s="748" t="s">
        <v>907</v>
      </c>
      <c r="B12" s="749"/>
      <c r="C12" s="749"/>
      <c r="D12" s="749"/>
      <c r="E12" s="749"/>
      <c r="F12" s="750"/>
      <c r="G12" s="750"/>
      <c r="H12" s="750"/>
      <c r="I12" s="750"/>
      <c r="J12" s="750"/>
      <c r="K12" s="750"/>
      <c r="L12" s="750"/>
    </row>
    <row r="13" spans="1:12" s="751" customFormat="1" ht="272.25" customHeight="1">
      <c r="A13" s="752" t="s">
        <v>994</v>
      </c>
      <c r="B13" s="752"/>
      <c r="C13" s="752"/>
      <c r="D13" s="752"/>
      <c r="E13" s="752"/>
      <c r="F13" s="752"/>
      <c r="G13" s="752"/>
      <c r="H13" s="752"/>
      <c r="I13" s="752"/>
      <c r="J13" s="752"/>
      <c r="K13" s="752"/>
      <c r="L13" s="752"/>
    </row>
    <row r="14" spans="1:12" s="676" customFormat="1" ht="28" customHeight="1">
      <c r="A14" s="1099" t="s">
        <v>2428</v>
      </c>
      <c r="B14" s="681"/>
      <c r="C14" s="681"/>
      <c r="D14" s="681"/>
      <c r="E14" s="681"/>
      <c r="F14" s="681"/>
      <c r="G14" s="681"/>
      <c r="H14" s="681"/>
      <c r="I14" s="681"/>
      <c r="J14" s="681"/>
      <c r="K14" s="681"/>
      <c r="L14" s="681"/>
    </row>
    <row r="15" spans="1:12" s="676" customFormat="1" ht="30" customHeight="1">
      <c r="A15" s="687" t="str">
        <f>ตารางแสดงผลประโยชน์!$B$76</f>
        <v>โปรแกรมใบข้อเสนอนี้ใช้สำหรับแบบประกัน ไอสมาร์ท 80/6 (ไม่มีเงินปันผล) ที่เสนอขายตั้งแต่ 1 มกราคม 2569 ถึง 31 มีนาคม 2570 หรือตามประกาศยกเลิกการใช้จากบริษัทฯ (แล้วแต่ระยะเวลาใดจะเกิดขึ้นก่อน)</v>
      </c>
    </row>
    <row r="16" spans="1:12" s="676" customFormat="1" ht="14">
      <c r="A16" s="644" t="str">
        <f>ตารางแสดงผลประโยชน์!$I$77</f>
        <v>ไอสมาร์ท 80/6 (ไม่มีเงินปันผล) เวอร์ชั่น A2026-1</v>
      </c>
    </row>
    <row r="17" s="676" customFormat="1" ht="14"/>
  </sheetData>
  <sheetProtection algorithmName="SHA-512" hashValue="TK3eRz670GMqbUTEwP+lAPNhPl1aJBO4Fo3SCpdOTgRGvk6qMSoStv74usgPH2seM3opKrJZZ95t33feLNU8Bw==" saltValue="6kfU/oaYNX4UQs6PyBVy4Q==" spinCount="100000" sheet="1" objects="1" scenarios="1"/>
  <conditionalFormatting sqref="A3:XFD1003">
    <cfRule type="expression" dxfId="69" priority="1" stopIfTrue="1">
      <formula>$A$1="Expire"</formula>
    </cfRule>
  </conditionalFormatting>
  <pageMargins left="0" right="0" top="0" bottom="0" header="0.31496062992125984" footer="0.31496062992125984"/>
  <pageSetup paperSize="9" scale="89" orientation="portrait" r:id="rId1"/>
  <headerFooter>
    <oddFooter>&amp;C&amp;"Calibri"&amp;11&amp;K000000&amp;"CordiaUPC,Regular"&amp;11 11/14_x000D_&amp;1#&amp;"Calibri"&amp;10&amp;K000000Internal</oddFooter>
  </headerFooter>
  <drawing r:id="rId2"/>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6">
    <pageSetUpPr fitToPage="1"/>
  </sheetPr>
  <dimension ref="A1:L15"/>
  <sheetViews>
    <sheetView showGridLines="0" topLeftCell="A7" zoomScaleNormal="100" workbookViewId="0">
      <selection activeCell="A12" sqref="A12"/>
    </sheetView>
  </sheetViews>
  <sheetFormatPr defaultColWidth="9.09765625" defaultRowHeight="21.5"/>
  <cols>
    <col min="1" max="1" width="141.8984375" style="672" customWidth="1"/>
    <col min="2" max="3" width="100.69921875" style="1513" hidden="1" customWidth="1"/>
    <col min="4" max="4" width="9.09765625" style="672" hidden="1" customWidth="1"/>
    <col min="5" max="16384" width="9.09765625" style="672"/>
  </cols>
  <sheetData>
    <row r="1" spans="1:12" s="616" customFormat="1" ht="5.15" customHeight="1">
      <c r="A1" s="670" t="str">
        <f ca="1">กรอกข้อมูล!G64</f>
        <v/>
      </c>
      <c r="B1" s="1507"/>
      <c r="C1" s="1507"/>
    </row>
    <row r="2" spans="1:12" s="616" customFormat="1" ht="30" customHeight="1">
      <c r="A2" s="685" t="str">
        <f ca="1">IF(A1="Expire",กรอกข้อมูล!$A$1,"ข้อยกเว้นทั่วไปของสัญญาเพิ่มเติม (ต่อ)")</f>
        <v>ข้อยกเว้นทั่วไปของสัญญาเพิ่มเติม (ต่อ)</v>
      </c>
      <c r="B2" s="1508" t="s">
        <v>1597</v>
      </c>
      <c r="C2" s="1509" t="str">
        <f>กรอกข้อมูล!$J$23</f>
        <v/>
      </c>
      <c r="D2" s="1471" t="str">
        <f>LEFT(C2,2)&amp;RIGHT(C2,2)</f>
        <v/>
      </c>
    </row>
    <row r="3" spans="1:12" ht="12" customHeight="1">
      <c r="B3" s="1510"/>
      <c r="C3" s="1510"/>
    </row>
    <row r="4" spans="1:12" s="751" customFormat="1" ht="14">
      <c r="A4" s="1445" t="s">
        <v>551</v>
      </c>
      <c r="B4" s="1469" t="s">
        <v>1708</v>
      </c>
      <c r="C4" s="1469" t="s">
        <v>1706</v>
      </c>
      <c r="D4" s="750"/>
      <c r="E4" s="750"/>
      <c r="F4" s="750"/>
      <c r="G4" s="750"/>
      <c r="H4" s="750"/>
      <c r="I4" s="750"/>
      <c r="J4" s="750"/>
      <c r="K4" s="750"/>
      <c r="L4" s="750"/>
    </row>
    <row r="5" spans="1:12" s="751" customFormat="1" ht="154.5" customHeight="1">
      <c r="A5" s="1446" t="s">
        <v>995</v>
      </c>
      <c r="B5" s="1470" t="s">
        <v>1709</v>
      </c>
      <c r="C5" s="1470" t="s">
        <v>1707</v>
      </c>
      <c r="D5" s="752"/>
      <c r="E5" s="752"/>
      <c r="F5" s="752"/>
      <c r="G5" s="752"/>
      <c r="H5" s="752"/>
      <c r="I5" s="752"/>
      <c r="J5" s="752"/>
      <c r="K5" s="752"/>
      <c r="L5" s="752"/>
    </row>
    <row r="6" spans="1:12" s="751" customFormat="1" ht="14">
      <c r="A6" s="1445" t="s">
        <v>552</v>
      </c>
      <c r="B6" s="1443" t="s">
        <v>1711</v>
      </c>
      <c r="C6" s="1443" t="s">
        <v>1712</v>
      </c>
      <c r="D6" s="750"/>
      <c r="E6" s="750"/>
      <c r="F6" s="750"/>
      <c r="G6" s="750"/>
      <c r="H6" s="750"/>
      <c r="I6" s="750"/>
      <c r="J6" s="750"/>
      <c r="K6" s="750"/>
      <c r="L6" s="750"/>
    </row>
    <row r="7" spans="1:12" s="751" customFormat="1" ht="153.75" customHeight="1">
      <c r="A7" s="1446" t="s">
        <v>996</v>
      </c>
      <c r="B7" s="1444" t="s">
        <v>1713</v>
      </c>
      <c r="C7" s="1444" t="s">
        <v>1714</v>
      </c>
      <c r="D7" s="752"/>
      <c r="E7" s="752"/>
      <c r="F7" s="752"/>
      <c r="G7" s="752"/>
      <c r="H7" s="752"/>
      <c r="I7" s="752"/>
      <c r="J7" s="752"/>
      <c r="K7" s="752"/>
      <c r="L7" s="752"/>
    </row>
    <row r="8" spans="1:12" s="751" customFormat="1" ht="14">
      <c r="A8" s="1482" t="str">
        <f>IF($C$2="WPD01",$B$4,IF($C$2="WPDD01",$C$4,IF($D$2="WPPD",B6,IF($D$2="WPCI",B8,IF($D$2="PBDD",C6,IF($D$2="PBCI",C8,""))))))</f>
        <v/>
      </c>
      <c r="B8" s="1443" t="s">
        <v>1715</v>
      </c>
      <c r="C8" s="1443" t="s">
        <v>1716</v>
      </c>
      <c r="D8" s="750"/>
      <c r="E8" s="750"/>
      <c r="F8" s="750"/>
      <c r="G8" s="750"/>
      <c r="H8" s="750"/>
      <c r="I8" s="750"/>
      <c r="J8" s="750"/>
      <c r="K8" s="750"/>
      <c r="L8" s="750"/>
    </row>
    <row r="9" spans="1:12" s="751" customFormat="1" ht="390" customHeight="1">
      <c r="A9" s="1483" t="str">
        <f>IF($C$2="WPD01",$B$5,IF($C$2="WPDD01",$C$5,IF($D$2="WPPD",B7,IF($D$2="WPCI",B9,IF($D$2="PBDD",C7,IF($D$2="PBCI",C9,""))))))</f>
        <v/>
      </c>
      <c r="B9" s="1444" t="s">
        <v>1717</v>
      </c>
      <c r="C9" s="1444" t="s">
        <v>1718</v>
      </c>
      <c r="D9" s="752"/>
      <c r="E9" s="752"/>
      <c r="F9" s="752"/>
      <c r="G9" s="752"/>
      <c r="H9" s="752"/>
      <c r="I9" s="752"/>
      <c r="J9" s="752"/>
      <c r="K9" s="752"/>
      <c r="L9" s="752"/>
    </row>
    <row r="10" spans="1:12" s="751" customFormat="1" ht="14">
      <c r="B10" s="1511"/>
      <c r="C10" s="1511"/>
      <c r="D10" s="750"/>
      <c r="E10" s="750"/>
      <c r="F10" s="750"/>
      <c r="G10" s="750"/>
      <c r="H10" s="750"/>
      <c r="I10" s="750"/>
      <c r="J10" s="750"/>
      <c r="K10" s="750"/>
      <c r="L10" s="750"/>
    </row>
    <row r="11" spans="1:12" s="751" customFormat="1" ht="28" customHeight="1">
      <c r="A11" s="1099" t="s">
        <v>2428</v>
      </c>
      <c r="B11" s="752"/>
      <c r="C11" s="752"/>
      <c r="D11" s="752"/>
      <c r="E11" s="752"/>
      <c r="F11" s="752"/>
      <c r="G11" s="752"/>
      <c r="H11" s="752"/>
      <c r="I11" s="752"/>
      <c r="J11" s="752"/>
      <c r="K11" s="752"/>
      <c r="L11" s="752"/>
    </row>
    <row r="12" spans="1:12" s="676" customFormat="1" ht="23.25" customHeight="1">
      <c r="A12" s="687" t="str">
        <f>ตารางแสดงผลประโยชน์!$B$76</f>
        <v>โปรแกรมใบข้อเสนอนี้ใช้สำหรับแบบประกัน ไอสมาร์ท 80/6 (ไม่มีเงินปันผล) ที่เสนอขายตั้งแต่ 1 มกราคม 2569 ถึง 31 มีนาคม 2570 หรือตามประกาศยกเลิกการใช้จากบริษัทฯ (แล้วแต่ระยะเวลาใดจะเกิดขึ้นก่อน)</v>
      </c>
      <c r="B12" s="1512"/>
      <c r="C12" s="1512"/>
    </row>
    <row r="13" spans="1:12" s="676" customFormat="1" ht="14">
      <c r="A13" s="644" t="str">
        <f>ตารางแสดงผลประโยชน์!$I$77</f>
        <v>ไอสมาร์ท 80/6 (ไม่มีเงินปันผล) เวอร์ชั่น A2026-1</v>
      </c>
      <c r="B13" s="1512"/>
      <c r="C13" s="1512"/>
    </row>
    <row r="14" spans="1:12" s="676" customFormat="1" ht="14">
      <c r="B14" s="1512"/>
      <c r="C14" s="1512"/>
    </row>
    <row r="15" spans="1:12" s="676" customFormat="1" ht="14">
      <c r="B15" s="1512"/>
      <c r="C15" s="1512"/>
    </row>
  </sheetData>
  <sheetProtection algorithmName="SHA-512" hashValue="OeOSdYrCpz/zapxx90TelZUWP47J0w7vabtUpB06Fd1r55BkU0Q87CJlz5n2puTWxTG919adG2itJBXKh4a87w==" saltValue="wN24Giwevn3pp6XF1qhhuA==" spinCount="100000" sheet="1" objects="1" scenarios="1"/>
  <conditionalFormatting sqref="A3:XFD9">
    <cfRule type="expression" dxfId="68" priority="1" stopIfTrue="1">
      <formula>$A$1="Expire"</formula>
    </cfRule>
  </conditionalFormatting>
  <conditionalFormatting sqref="A11:XFD996">
    <cfRule type="expression" dxfId="67" priority="4" stopIfTrue="1">
      <formula>$A$1="Expire"</formula>
    </cfRule>
  </conditionalFormatting>
  <conditionalFormatting sqref="D10:XFD10">
    <cfRule type="expression" dxfId="66" priority="9" stopIfTrue="1">
      <formula>$A$1="Expire"</formula>
    </cfRule>
  </conditionalFormatting>
  <pageMargins left="0" right="0" top="0" bottom="0.15748031496062992" header="0.31496062992125984" footer="0.15748031496062992"/>
  <pageSetup paperSize="9" scale="99" orientation="portrait" r:id="rId1"/>
  <headerFooter>
    <oddFooter>&amp;C&amp;"Calibri"&amp;11&amp;K000000&amp;"Calibri,Regular"&amp;11 12/14_x000D_&amp;1#&amp;"Calibri"&amp;10&amp;K000000Internal</oddFooter>
  </headerFooter>
  <drawing r:id="rId2"/>
  <legacy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
    <pageSetUpPr fitToPage="1"/>
  </sheetPr>
  <dimension ref="A1:L40"/>
  <sheetViews>
    <sheetView showGridLines="0" zoomScaleNormal="100" workbookViewId="0">
      <selection activeCell="D34" sqref="D34"/>
    </sheetView>
  </sheetViews>
  <sheetFormatPr defaultRowHeight="21.5"/>
  <cols>
    <col min="1" max="1" width="118.296875" style="638" customWidth="1"/>
  </cols>
  <sheetData>
    <row r="1" spans="1:1" ht="5.15" customHeight="1">
      <c r="A1" s="3" t="str">
        <f ca="1">กรอกข้อมูล!G64</f>
        <v/>
      </c>
    </row>
    <row r="2" spans="1:1" s="669" customFormat="1" ht="28.5" customHeight="1">
      <c r="A2" s="709" t="str">
        <f ca="1">IF(A1="Expire",กรอกข้อมูล!$A$1,"ช่องทางชำระเงิน")</f>
        <v>ช่องทางชำระเงิน</v>
      </c>
    </row>
    <row r="3" spans="1:1" ht="12" customHeight="1"/>
    <row r="4" spans="1:1">
      <c r="A4" s="639" t="s">
        <v>881</v>
      </c>
    </row>
    <row r="5" spans="1:1" ht="12" customHeight="1"/>
    <row r="6" spans="1:1" ht="50.25" customHeight="1">
      <c r="A6" s="640" t="s">
        <v>2380</v>
      </c>
    </row>
    <row r="7" spans="1:1" ht="12" customHeight="1">
      <c r="A7" s="641"/>
    </row>
    <row r="8" spans="1:1" ht="50.15" customHeight="1">
      <c r="A8" s="640" t="s">
        <v>882</v>
      </c>
    </row>
    <row r="9" spans="1:1" ht="12" customHeight="1">
      <c r="A9" s="641"/>
    </row>
    <row r="10" spans="1:1" ht="41.25" customHeight="1">
      <c r="A10" s="640" t="s">
        <v>2913</v>
      </c>
    </row>
    <row r="11" spans="1:1" ht="12" customHeight="1">
      <c r="A11" s="640"/>
    </row>
    <row r="12" spans="1:1" ht="62.25" customHeight="1">
      <c r="A12" s="875" t="s">
        <v>1073</v>
      </c>
    </row>
    <row r="13" spans="1:1" ht="15" customHeight="1">
      <c r="A13" s="876" t="s">
        <v>883</v>
      </c>
    </row>
    <row r="14" spans="1:1" ht="15" customHeight="1">
      <c r="A14" s="876" t="s">
        <v>884</v>
      </c>
    </row>
    <row r="15" spans="1:1" ht="15" customHeight="1">
      <c r="A15" s="876" t="s">
        <v>885</v>
      </c>
    </row>
    <row r="16" spans="1:1" ht="15" customHeight="1">
      <c r="A16" s="876" t="s">
        <v>886</v>
      </c>
    </row>
    <row r="17" spans="1:12" ht="15" customHeight="1">
      <c r="A17" s="876" t="s">
        <v>887</v>
      </c>
    </row>
    <row r="18" spans="1:12" ht="15" customHeight="1">
      <c r="A18" s="877" t="s">
        <v>1273</v>
      </c>
    </row>
    <row r="19" spans="1:12" ht="12" customHeight="1">
      <c r="A19" s="641"/>
    </row>
    <row r="20" spans="1:12" ht="30.75" customHeight="1">
      <c r="A20" s="875" t="s">
        <v>1074</v>
      </c>
    </row>
    <row r="21" spans="1:12" ht="15" customHeight="1">
      <c r="A21" s="876" t="s">
        <v>888</v>
      </c>
    </row>
    <row r="22" spans="1:12" ht="15" customHeight="1">
      <c r="A22" s="876" t="s">
        <v>889</v>
      </c>
    </row>
    <row r="23" spans="1:12" ht="15" customHeight="1">
      <c r="A23" s="876" t="s">
        <v>890</v>
      </c>
    </row>
    <row r="24" spans="1:12" ht="15" customHeight="1">
      <c r="A24" s="876" t="s">
        <v>891</v>
      </c>
    </row>
    <row r="25" spans="1:12" ht="15" customHeight="1">
      <c r="A25" s="877" t="s">
        <v>892</v>
      </c>
    </row>
    <row r="26" spans="1:12" ht="15" customHeight="1">
      <c r="A26" s="877" t="s">
        <v>1075</v>
      </c>
    </row>
    <row r="27" spans="1:12" ht="12" customHeight="1">
      <c r="A27" s="641"/>
    </row>
    <row r="28" spans="1:12" ht="32.25" customHeight="1">
      <c r="A28" s="875" t="s">
        <v>1076</v>
      </c>
    </row>
    <row r="29" spans="1:12" ht="12" customHeight="1">
      <c r="A29" s="878"/>
    </row>
    <row r="30" spans="1:12" ht="26">
      <c r="A30" s="875" t="s">
        <v>2381</v>
      </c>
    </row>
    <row r="31" spans="1:12" ht="12" customHeight="1">
      <c r="A31" s="641"/>
      <c r="C31" s="642"/>
      <c r="D31" s="642"/>
      <c r="E31" s="642"/>
      <c r="F31" s="642"/>
      <c r="G31" s="642"/>
      <c r="H31" s="642"/>
      <c r="I31" s="642"/>
      <c r="J31" s="642"/>
      <c r="K31" s="642"/>
      <c r="L31" s="642"/>
    </row>
    <row r="32" spans="1:12">
      <c r="A32" s="640" t="s">
        <v>893</v>
      </c>
      <c r="J32" s="176"/>
    </row>
    <row r="33" spans="1:2" ht="12" customHeight="1">
      <c r="A33" s="641"/>
    </row>
    <row r="34" spans="1:2" ht="70" customHeight="1">
      <c r="A34" s="640" t="s">
        <v>2914</v>
      </c>
    </row>
    <row r="35" spans="1:2" ht="12" customHeight="1">
      <c r="A35" s="641"/>
    </row>
    <row r="36" spans="1:2" ht="60" customHeight="1">
      <c r="A36" s="640" t="s">
        <v>2382</v>
      </c>
    </row>
    <row r="38" spans="1:2" ht="30">
      <c r="A38" s="1707" t="s">
        <v>2429</v>
      </c>
      <c r="B38" s="642"/>
    </row>
    <row r="39" spans="1:2">
      <c r="A39" s="643" t="str">
        <f>ตารางแสดงผลประโยชน์!$B$76</f>
        <v>โปรแกรมใบข้อเสนอนี้ใช้สำหรับแบบประกัน ไอสมาร์ท 80/6 (ไม่มีเงินปันผล) ที่เสนอขายตั้งแต่ 1 มกราคม 2569 ถึง 31 มีนาคม 2570 หรือตามประกาศยกเลิกการใช้จากบริษัทฯ (แล้วแต่ระยะเวลาใดจะเกิดขึ้นก่อน)</v>
      </c>
    </row>
    <row r="40" spans="1:2">
      <c r="A40" s="644" t="str">
        <f>ตารางแสดงผลประโยชน์!$I$77</f>
        <v>ไอสมาร์ท 80/6 (ไม่มีเงินปันผล) เวอร์ชั่น A2026-1</v>
      </c>
    </row>
  </sheetData>
  <sheetProtection algorithmName="SHA-512" hashValue="0q+Z7qcKNXcO8siHhCwc6FwbF0YIX9oFeF5mmOTPDHS1XA0UPinz1WJxQSRcl9W2i5zoxbru/LtOKNSkOishBg==" saltValue="tgL+M7t9v+pRiWFiaxCIuA==" spinCount="100000" sheet="1" objects="1" scenarios="1"/>
  <conditionalFormatting sqref="A3:XFD37 A38:A1000">
    <cfRule type="expression" dxfId="65" priority="1" stopIfTrue="1">
      <formula>$A$1="Expire"</formula>
    </cfRule>
  </conditionalFormatting>
  <conditionalFormatting sqref="B38:XFD999">
    <cfRule type="expression" dxfId="64" priority="12" stopIfTrue="1">
      <formula>$A$1="Expire"</formula>
    </cfRule>
  </conditionalFormatting>
  <pageMargins left="0" right="0" top="0" bottom="0" header="0.31496062992125984" footer="0.31496062992125984"/>
  <pageSetup paperSize="9" scale="95" orientation="portrait" r:id="rId1"/>
  <headerFooter>
    <oddFooter>&amp;C&amp;"Calibri"&amp;11&amp;K000000&amp;"Calibri,Regular"&amp;11 13/14_x000D_&amp;1#&amp;"Calibri"&amp;10&amp;K000000Internal</oddFooter>
  </headerFooter>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0">
    <pageSetUpPr fitToPage="1"/>
  </sheetPr>
  <dimension ref="A1:Q34"/>
  <sheetViews>
    <sheetView showGridLines="0" topLeftCell="A16" zoomScaleNormal="100" workbookViewId="0">
      <selection activeCell="A30" sqref="A30:L30"/>
    </sheetView>
  </sheetViews>
  <sheetFormatPr defaultColWidth="9.09765625" defaultRowHeight="21.5"/>
  <cols>
    <col min="1" max="4" width="9.09765625" style="520"/>
    <col min="5" max="5" width="25.09765625" style="520" customWidth="1"/>
    <col min="6" max="8" width="8.69921875" style="520" customWidth="1"/>
    <col min="9" max="9" width="9.3984375" style="520" customWidth="1"/>
    <col min="10" max="10" width="4.296875" style="520" customWidth="1"/>
    <col min="11" max="11" width="16.8984375" style="520" customWidth="1"/>
    <col min="12" max="12" width="19.59765625" style="520" customWidth="1"/>
    <col min="13" max="16384" width="9.09765625" style="520"/>
  </cols>
  <sheetData>
    <row r="1" spans="1:16" ht="5.15" customHeight="1">
      <c r="A1" s="3" t="str">
        <f ca="1">กรอกข้อมูล!G64</f>
        <v/>
      </c>
    </row>
    <row r="2" spans="1:16" s="204" customFormat="1" ht="28" customHeight="1">
      <c r="A2" s="2440" t="str">
        <f ca="1">IF(A1="Expire",กรอกข้อมูล!$A$1,"               การยืนยันการขอทำประกันและรับทราบรายละเอียดผลิตภัณฑ์ "&amp;กรอกข้อมูล!E65)</f>
        <v xml:space="preserve">               การยืนยันการขอทำประกันและรับทราบรายละเอียดผลิตภัณฑ์ ไอสมาร์ท 80/6 (ไม่มีเงินปันผล)</v>
      </c>
      <c r="B2" s="2440"/>
      <c r="C2" s="2440"/>
      <c r="D2" s="2440"/>
      <c r="E2" s="2440"/>
      <c r="F2" s="2440"/>
      <c r="G2" s="2440"/>
      <c r="H2" s="2440"/>
      <c r="I2" s="2440"/>
      <c r="J2" s="2440"/>
      <c r="K2" s="2440"/>
      <c r="L2" s="2440"/>
      <c r="M2" s="636"/>
      <c r="N2" s="636"/>
      <c r="O2" s="637"/>
    </row>
    <row r="3" spans="1:16" s="524" customFormat="1" ht="9.75" customHeight="1">
      <c r="A3" s="521"/>
      <c r="B3" s="521"/>
      <c r="C3" s="521"/>
      <c r="D3" s="521"/>
      <c r="E3" s="521"/>
      <c r="F3" s="521"/>
      <c r="G3" s="521"/>
      <c r="H3" s="521"/>
      <c r="I3" s="521"/>
      <c r="J3" s="521"/>
      <c r="K3" s="521"/>
      <c r="L3" s="521"/>
      <c r="M3" s="522"/>
      <c r="N3" s="522"/>
      <c r="O3" s="523"/>
    </row>
    <row r="4" spans="1:16" s="532" customFormat="1" ht="27.75" customHeight="1">
      <c r="A4" s="525" t="str">
        <f>"ลูกค้าคนพิเศษ: "&amp;กรอกข้อมูล!$C$4</f>
        <v>ลูกค้าคนพิเศษ: คุณคนพิเศษ</v>
      </c>
      <c r="B4" s="526"/>
      <c r="C4" s="527"/>
      <c r="D4" s="528"/>
      <c r="E4" s="529"/>
      <c r="F4" s="528" t="str">
        <f>"เพศ: "&amp;กรอกข้อมูล!C6</f>
        <v>เพศ: หญิง</v>
      </c>
      <c r="G4" s="528"/>
      <c r="H4" s="528"/>
      <c r="I4" s="528"/>
      <c r="J4" s="528"/>
      <c r="K4" s="528" t="str">
        <f>"อายุ:  "&amp;กรอกข้อมูล!C5&amp;" ปี"</f>
        <v>อายุ:  44 ปี</v>
      </c>
      <c r="L4" s="530"/>
      <c r="M4" s="409"/>
      <c r="N4" s="409"/>
      <c r="O4" s="531"/>
    </row>
    <row r="5" spans="1:16" ht="5.25" customHeight="1">
      <c r="A5" s="533"/>
      <c r="D5" s="534"/>
      <c r="E5" s="535"/>
      <c r="F5" s="536"/>
      <c r="H5" s="537"/>
      <c r="J5" s="537"/>
      <c r="K5" s="519"/>
      <c r="L5" s="519"/>
      <c r="M5" s="518"/>
      <c r="N5" s="518"/>
      <c r="O5" s="519"/>
    </row>
    <row r="6" spans="1:16" ht="18" customHeight="1">
      <c r="A6" s="538"/>
      <c r="B6" s="539"/>
      <c r="C6" s="531"/>
      <c r="D6" s="531"/>
      <c r="E6" s="531"/>
      <c r="F6" s="531"/>
      <c r="G6" s="531"/>
      <c r="H6" s="531"/>
      <c r="I6" s="531"/>
      <c r="J6" s="531"/>
      <c r="K6" s="413"/>
      <c r="L6" s="540"/>
      <c r="M6" s="409"/>
      <c r="N6" s="409"/>
      <c r="O6" s="531"/>
    </row>
    <row r="7" spans="1:16">
      <c r="A7" s="2441" t="s">
        <v>1272</v>
      </c>
      <c r="B7" s="2441"/>
      <c r="C7" s="2441"/>
      <c r="D7" s="2441"/>
      <c r="E7" s="2441"/>
      <c r="F7" s="2441"/>
      <c r="G7" s="2441"/>
      <c r="H7" s="2441"/>
      <c r="I7" s="2441"/>
      <c r="J7" s="2441"/>
      <c r="K7" s="2441"/>
      <c r="L7" s="2441"/>
      <c r="M7" s="409"/>
      <c r="N7" s="409"/>
      <c r="O7" s="531"/>
    </row>
    <row r="8" spans="1:16" ht="18.75" customHeight="1">
      <c r="A8" s="588" t="s">
        <v>186</v>
      </c>
      <c r="B8" s="541"/>
      <c r="C8" s="541"/>
      <c r="D8" s="541"/>
      <c r="E8" s="541"/>
      <c r="F8" s="531"/>
      <c r="G8" s="531"/>
      <c r="H8" s="531"/>
      <c r="I8" s="531"/>
      <c r="J8" s="531"/>
      <c r="K8" s="413"/>
      <c r="L8" s="540"/>
      <c r="M8" s="409"/>
      <c r="N8" s="409"/>
      <c r="O8" s="531"/>
    </row>
    <row r="9" spans="1:16" ht="18.75" customHeight="1">
      <c r="A9" s="588" t="s">
        <v>910</v>
      </c>
      <c r="B9" s="541"/>
      <c r="C9" s="541"/>
      <c r="D9" s="541"/>
      <c r="E9" s="541"/>
      <c r="F9" s="531"/>
      <c r="G9" s="531"/>
      <c r="H9" s="531"/>
      <c r="I9" s="531"/>
      <c r="J9" s="531"/>
      <c r="K9" s="413"/>
      <c r="L9" s="540"/>
      <c r="M9" s="409"/>
      <c r="N9" s="409"/>
      <c r="O9" s="531"/>
    </row>
    <row r="10" spans="1:16" ht="18.75" customHeight="1">
      <c r="A10" s="588" t="s">
        <v>863</v>
      </c>
      <c r="B10" s="541"/>
      <c r="C10" s="541"/>
      <c r="D10" s="541"/>
      <c r="E10" s="541"/>
      <c r="F10" s="531"/>
      <c r="G10" s="531"/>
      <c r="H10" s="531"/>
      <c r="I10" s="531"/>
      <c r="J10" s="531"/>
      <c r="K10" s="413"/>
      <c r="L10" s="540"/>
      <c r="M10" s="409"/>
      <c r="N10" s="409"/>
      <c r="O10" s="531"/>
    </row>
    <row r="11" spans="1:16" ht="18.75" customHeight="1">
      <c r="A11" s="879" t="s">
        <v>1734</v>
      </c>
      <c r="B11" s="541"/>
      <c r="C11" s="541"/>
      <c r="D11" s="541"/>
      <c r="E11" s="541"/>
      <c r="F11" s="531"/>
      <c r="G11" s="531"/>
      <c r="H11" s="531"/>
      <c r="I11" s="531"/>
      <c r="J11" s="531"/>
      <c r="K11" s="413"/>
      <c r="L11" s="540"/>
      <c r="M11" s="409"/>
      <c r="N11" s="409"/>
      <c r="O11" s="531"/>
    </row>
    <row r="12" spans="1:16" ht="18.75" customHeight="1">
      <c r="A12" s="1108" t="s">
        <v>1735</v>
      </c>
      <c r="B12" s="541"/>
      <c r="C12" s="541"/>
      <c r="D12" s="541"/>
      <c r="E12" s="541"/>
      <c r="F12" s="531"/>
      <c r="G12" s="531"/>
      <c r="H12" s="531"/>
      <c r="I12" s="531"/>
      <c r="J12" s="531"/>
      <c r="K12" s="413"/>
      <c r="L12" s="540"/>
      <c r="M12" s="409"/>
      <c r="N12" s="409"/>
      <c r="O12" s="531"/>
    </row>
    <row r="13" spans="1:16" ht="18.75" customHeight="1">
      <c r="A13" s="879" t="s">
        <v>1077</v>
      </c>
      <c r="B13" s="541"/>
      <c r="C13" s="541"/>
      <c r="D13" s="541"/>
      <c r="E13" s="541"/>
      <c r="F13" s="531"/>
      <c r="G13" s="531"/>
      <c r="H13" s="531"/>
      <c r="I13" s="531"/>
      <c r="J13" s="531"/>
      <c r="K13" s="413"/>
      <c r="L13" s="540"/>
      <c r="M13" s="409"/>
      <c r="N13" s="409"/>
      <c r="O13" s="531"/>
    </row>
    <row r="14" spans="1:16" ht="18.75" customHeight="1">
      <c r="A14" s="610" t="s">
        <v>879</v>
      </c>
      <c r="B14" s="541"/>
      <c r="C14" s="541"/>
      <c r="D14" s="541"/>
      <c r="E14" s="541"/>
      <c r="F14" s="531"/>
      <c r="G14" s="531"/>
      <c r="H14" s="531"/>
      <c r="I14" s="531"/>
      <c r="J14" s="531"/>
      <c r="K14" s="413"/>
      <c r="L14" s="540"/>
      <c r="M14" s="409"/>
      <c r="N14" s="409"/>
      <c r="O14" s="531"/>
    </row>
    <row r="15" spans="1:16" ht="18.75" customHeight="1">
      <c r="A15" s="588" t="s">
        <v>187</v>
      </c>
      <c r="B15" s="541"/>
      <c r="C15" s="541"/>
      <c r="D15" s="541"/>
      <c r="E15" s="541"/>
      <c r="F15" s="531"/>
      <c r="G15" s="531"/>
      <c r="H15" s="531"/>
      <c r="I15" s="531"/>
      <c r="J15" s="531"/>
      <c r="K15" s="413"/>
      <c r="L15" s="540"/>
      <c r="M15" s="409"/>
      <c r="N15" s="409"/>
      <c r="O15" s="531"/>
    </row>
    <row r="16" spans="1:16" s="616" customFormat="1">
      <c r="A16" s="611"/>
      <c r="B16" s="612"/>
      <c r="C16" s="613"/>
      <c r="D16" s="613"/>
      <c r="E16" s="613"/>
      <c r="F16" s="614"/>
      <c r="G16" s="615"/>
      <c r="H16" s="611"/>
      <c r="I16" s="613"/>
      <c r="J16" s="613"/>
      <c r="K16" s="613"/>
      <c r="L16" s="614"/>
      <c r="M16" s="615"/>
      <c r="N16" s="409"/>
      <c r="O16" s="409"/>
      <c r="P16" s="615"/>
    </row>
    <row r="17" spans="1:17" s="616" customFormat="1">
      <c r="A17" s="617" t="s">
        <v>1606</v>
      </c>
      <c r="B17" s="618"/>
      <c r="C17" s="619"/>
      <c r="D17" s="619"/>
      <c r="E17" s="619"/>
      <c r="F17" s="620"/>
      <c r="G17" s="615"/>
      <c r="H17" s="621" t="s">
        <v>880</v>
      </c>
      <c r="I17" s="618"/>
      <c r="J17" s="619"/>
      <c r="K17" s="619"/>
      <c r="L17" s="620"/>
      <c r="M17" s="615"/>
      <c r="N17" s="409"/>
      <c r="O17" s="409"/>
      <c r="P17" s="615"/>
    </row>
    <row r="18" spans="1:17" s="616" customFormat="1">
      <c r="A18" s="622" t="s">
        <v>127</v>
      </c>
      <c r="B18" s="618"/>
      <c r="C18" s="618"/>
      <c r="D18" s="618"/>
      <c r="E18" s="618"/>
      <c r="F18" s="623"/>
      <c r="H18" s="624"/>
      <c r="I18" s="2447" t="str">
        <f xml:space="preserve"> " (  "&amp;กรอกข้อมูล!G4&amp;"  )"</f>
        <v xml:space="preserve"> (  KAL  )</v>
      </c>
      <c r="J18" s="2448"/>
      <c r="K18" s="2448"/>
      <c r="L18" s="2449"/>
    </row>
    <row r="19" spans="1:17" s="616" customFormat="1">
      <c r="A19" s="622"/>
      <c r="B19" s="618"/>
      <c r="C19" s="618"/>
      <c r="D19" s="618"/>
      <c r="E19" s="618"/>
      <c r="F19" s="623"/>
      <c r="H19" s="1452" t="s">
        <v>1604</v>
      </c>
      <c r="I19" s="1453"/>
      <c r="J19" s="2454" t="str">
        <f>IF(กรอกข้อมูล!$G$6="","",กรอกข้อมูล!$G$6)</f>
        <v>0123</v>
      </c>
      <c r="K19" s="2454"/>
      <c r="L19" s="1250"/>
    </row>
    <row r="20" spans="1:17" s="616" customFormat="1">
      <c r="A20" s="617" t="s">
        <v>1607</v>
      </c>
      <c r="B20" s="618"/>
      <c r="C20" s="618"/>
      <c r="D20" s="618"/>
      <c r="E20" s="618"/>
      <c r="F20" s="623"/>
      <c r="H20" s="1452" t="s">
        <v>7</v>
      </c>
      <c r="I20" s="1083"/>
      <c r="J20" s="2455">
        <f>กรอกข้อมูล!$G$7</f>
        <v>999999999</v>
      </c>
      <c r="K20" s="2455"/>
      <c r="L20" s="623"/>
    </row>
    <row r="21" spans="1:17" s="616" customFormat="1" ht="28.5" customHeight="1">
      <c r="A21" s="617" t="s">
        <v>1608</v>
      </c>
      <c r="B21" s="625"/>
      <c r="C21" s="625"/>
      <c r="D21" s="625"/>
      <c r="E21" s="625"/>
      <c r="F21" s="626"/>
      <c r="G21" s="627"/>
      <c r="H21" s="628" t="s">
        <v>18</v>
      </c>
      <c r="I21" s="625"/>
      <c r="J21" s="2442">
        <f ca="1">NOW()</f>
        <v>46092.445735185189</v>
      </c>
      <c r="K21" s="2442"/>
      <c r="L21" s="2443"/>
      <c r="M21" s="627"/>
      <c r="N21" s="627"/>
      <c r="O21" s="627"/>
      <c r="P21" s="627"/>
      <c r="Q21" s="627"/>
    </row>
    <row r="22" spans="1:17" s="616" customFormat="1" ht="16.5" customHeight="1">
      <c r="A22" s="629"/>
      <c r="B22" s="630"/>
      <c r="C22" s="631"/>
      <c r="D22" s="630"/>
      <c r="E22" s="630"/>
      <c r="F22" s="632"/>
      <c r="G22" s="627"/>
      <c r="H22" s="629"/>
      <c r="I22" s="630"/>
      <c r="J22" s="630"/>
      <c r="K22" s="630"/>
      <c r="L22" s="633"/>
      <c r="M22" s="627"/>
      <c r="N22" s="627"/>
      <c r="O22" s="627"/>
      <c r="P22" s="627"/>
      <c r="Q22" s="627"/>
    </row>
    <row r="23" spans="1:17">
      <c r="A23" s="708" t="str">
        <f>IF(LEFT(กรอกข้อมูล!$E$64,1)="B","KTB Call Center 02-111-1111 www.krungthai.com","")</f>
        <v/>
      </c>
      <c r="B23" s="543"/>
      <c r="C23" s="543"/>
      <c r="D23" s="543"/>
      <c r="E23" s="543"/>
      <c r="F23" s="543"/>
      <c r="G23" s="543"/>
      <c r="H23" s="543"/>
      <c r="I23" s="543"/>
      <c r="J23" s="543"/>
      <c r="K23" s="543"/>
      <c r="L23" s="543"/>
      <c r="M23" s="519"/>
      <c r="N23" s="519"/>
      <c r="O23" s="535"/>
      <c r="P23" s="519"/>
    </row>
    <row r="24" spans="1:17">
      <c r="A24" s="2450" t="str">
        <f>IF(LEFT(กรอกข้อมูล!E64,1)="A","","รับประกันชีวิตโดย บริษัท กรุงไทย-แอกซ่า ประกันชีวิต จำกัด (มหาชน) "&amp;IF(LEFT(กรอกข้อมูล!E64,1)="B","ธนาคารเป็นเพียงนายหน้าผู้ชี้ช่องทางให้ทำประกันเท่านั้น",IF(LEFT(กรอกข้อมูล!E64,1)="C"," ซึ่ง "&amp;กรอกข้อมูล!G4&amp;" เป็นเพียงนายหน้าผู้ชี้ช่องทางให้ทำประกันเท่านั้น","")))</f>
        <v/>
      </c>
      <c r="B24" s="2451"/>
      <c r="C24" s="2451"/>
      <c r="D24" s="2451"/>
      <c r="E24" s="2451"/>
      <c r="F24" s="2451"/>
      <c r="G24" s="2451"/>
      <c r="H24" s="2451"/>
      <c r="I24" s="2451"/>
      <c r="J24" s="2451"/>
      <c r="K24" s="2451"/>
      <c r="L24" s="2451"/>
      <c r="M24" s="519"/>
      <c r="N24" s="519"/>
      <c r="O24" s="535"/>
      <c r="P24" s="519"/>
    </row>
    <row r="25" spans="1:17" ht="9.75" customHeight="1">
      <c r="A25" s="542"/>
      <c r="B25" s="543"/>
      <c r="C25" s="543"/>
      <c r="D25" s="543"/>
      <c r="E25" s="543"/>
      <c r="F25" s="543"/>
      <c r="G25" s="543"/>
      <c r="H25" s="543"/>
      <c r="I25" s="543"/>
      <c r="J25" s="543"/>
      <c r="K25" s="543"/>
      <c r="L25" s="543"/>
      <c r="M25" s="519"/>
      <c r="N25" s="519"/>
      <c r="O25" s="535"/>
      <c r="P25" s="519"/>
    </row>
    <row r="26" spans="1:17" ht="18.75" customHeight="1">
      <c r="A26" s="542" t="s">
        <v>542</v>
      </c>
      <c r="B26" s="543"/>
      <c r="C26" s="543"/>
      <c r="D26" s="543"/>
      <c r="E26" s="543"/>
      <c r="F26" s="543"/>
      <c r="G26" s="543"/>
      <c r="H26" s="543"/>
      <c r="I26" s="543"/>
      <c r="J26" s="543"/>
      <c r="K26" s="543"/>
      <c r="L26" s="543"/>
      <c r="M26" s="519"/>
      <c r="N26" s="519"/>
      <c r="O26" s="535"/>
      <c r="P26" s="519"/>
    </row>
    <row r="27" spans="1:17" ht="18.75" customHeight="1">
      <c r="A27" s="542" t="s">
        <v>1732</v>
      </c>
      <c r="B27" s="543"/>
      <c r="C27" s="543"/>
      <c r="D27" s="543"/>
      <c r="E27" s="543"/>
      <c r="F27" s="543"/>
      <c r="G27" s="543"/>
      <c r="H27" s="543"/>
      <c r="I27" s="543"/>
      <c r="J27" s="543"/>
      <c r="K27" s="543"/>
      <c r="L27" s="543"/>
      <c r="M27" s="519"/>
      <c r="N27" s="519"/>
      <c r="O27" s="535"/>
      <c r="P27" s="519"/>
    </row>
    <row r="28" spans="1:17" ht="18.75" customHeight="1">
      <c r="A28" s="542" t="s">
        <v>856</v>
      </c>
      <c r="B28" s="543"/>
      <c r="C28" s="543"/>
      <c r="D28" s="543"/>
      <c r="E28" s="543"/>
      <c r="F28" s="543"/>
      <c r="G28" s="543"/>
      <c r="H28" s="543"/>
      <c r="I28" s="543"/>
      <c r="J28" s="543"/>
      <c r="K28" s="543"/>
      <c r="L28" s="543"/>
      <c r="M28" s="519"/>
      <c r="N28" s="519"/>
      <c r="O28" s="535"/>
      <c r="P28" s="519"/>
    </row>
    <row r="29" spans="1:17" ht="35.25" customHeight="1">
      <c r="A29" s="2452" t="s">
        <v>2428</v>
      </c>
      <c r="B29" s="2453"/>
      <c r="C29" s="2453"/>
      <c r="D29" s="2453"/>
      <c r="E29" s="2453"/>
      <c r="F29" s="2453"/>
      <c r="G29" s="2453"/>
      <c r="H29" s="2453"/>
      <c r="I29" s="2453"/>
      <c r="J29" s="2453"/>
      <c r="K29" s="2453"/>
      <c r="L29" s="2453"/>
      <c r="M29" s="519"/>
      <c r="N29" s="519"/>
      <c r="O29" s="535"/>
      <c r="P29" s="519"/>
    </row>
    <row r="30" spans="1:17">
      <c r="A30" s="2444" t="str">
        <f>ตารางแสดงผลประโยชน์!$B$76</f>
        <v>โปรแกรมใบข้อเสนอนี้ใช้สำหรับแบบประกัน ไอสมาร์ท 80/6 (ไม่มีเงินปันผล) ที่เสนอขายตั้งแต่ 1 มกราคม 2569 ถึง 31 มีนาคม 2570 หรือตามประกาศยกเลิกการใช้จากบริษัทฯ (แล้วแต่ระยะเวลาใดจะเกิดขึ้นก่อน)</v>
      </c>
      <c r="B30" s="2445"/>
      <c r="C30" s="2445"/>
      <c r="D30" s="2445"/>
      <c r="E30" s="2445"/>
      <c r="F30" s="2445"/>
      <c r="G30" s="2445"/>
      <c r="H30" s="2445"/>
      <c r="I30" s="2445"/>
      <c r="J30" s="2445"/>
      <c r="K30" s="2445"/>
      <c r="L30" s="2445"/>
      <c r="M30" s="519"/>
      <c r="N30" s="519"/>
      <c r="O30" s="519"/>
      <c r="P30" s="519"/>
    </row>
    <row r="31" spans="1:17" ht="21.75" customHeight="1">
      <c r="A31" s="544"/>
      <c r="B31" s="545"/>
      <c r="C31" s="545"/>
      <c r="D31" s="545"/>
      <c r="E31" s="545"/>
      <c r="F31" s="545"/>
      <c r="G31" s="545"/>
      <c r="H31" s="545"/>
      <c r="I31" s="545"/>
      <c r="J31" s="546"/>
      <c r="K31" s="547"/>
      <c r="L31" s="548" t="str">
        <f>ตารางแสดงผลประโยชน์!$I$77</f>
        <v>ไอสมาร์ท 80/6 (ไม่มีเงินปันผล) เวอร์ชั่น A2026-1</v>
      </c>
      <c r="M31" s="519"/>
      <c r="N31" s="519"/>
      <c r="O31" s="519"/>
      <c r="P31" s="519"/>
    </row>
    <row r="32" spans="1:17">
      <c r="A32" s="2446"/>
      <c r="B32" s="2446"/>
      <c r="C32" s="2446"/>
      <c r="D32" s="2446"/>
      <c r="E32" s="2446"/>
      <c r="F32" s="2446"/>
      <c r="G32" s="2446"/>
      <c r="H32" s="2446"/>
      <c r="I32" s="2446"/>
      <c r="J32" s="2446"/>
      <c r="K32" s="2446"/>
      <c r="L32" s="2446"/>
      <c r="M32" s="519"/>
      <c r="O32" s="519"/>
      <c r="P32" s="519"/>
    </row>
    <row r="33" spans="1:16">
      <c r="A33" s="519"/>
      <c r="B33" s="519"/>
      <c r="D33" s="519"/>
      <c r="E33" s="519"/>
      <c r="F33" s="519"/>
      <c r="G33" s="519"/>
      <c r="H33" s="519"/>
      <c r="I33" s="519"/>
      <c r="J33" s="519"/>
      <c r="M33" s="519"/>
      <c r="N33" s="519"/>
      <c r="O33" s="519"/>
      <c r="P33" s="519"/>
    </row>
    <row r="34" spans="1:16">
      <c r="A34" s="519"/>
      <c r="B34" s="519"/>
      <c r="C34" s="519"/>
      <c r="D34" s="519"/>
      <c r="E34" s="519"/>
      <c r="F34" s="519"/>
      <c r="G34" s="519"/>
      <c r="H34" s="519"/>
      <c r="I34" s="519"/>
      <c r="J34" s="519"/>
      <c r="K34" s="519"/>
      <c r="L34" s="519"/>
    </row>
  </sheetData>
  <sheetProtection algorithmName="SHA-512" hashValue="9KJzqDa0Zv0QzbzVvHb7Xe1uM7FzHW591YQsCMVvmEAQHlDxz4B+m9mo2hHKeVt5G7ShjxGeomm97LU5tIJ0qA==" saltValue="KgxL/PQWfpPJqieXSlXC9g==" spinCount="100000" sheet="1" objects="1" scenarios="1"/>
  <mergeCells count="10">
    <mergeCell ref="A2:L2"/>
    <mergeCell ref="A7:L7"/>
    <mergeCell ref="J21:L21"/>
    <mergeCell ref="A30:L30"/>
    <mergeCell ref="A32:L32"/>
    <mergeCell ref="I18:L18"/>
    <mergeCell ref="A24:L24"/>
    <mergeCell ref="A29:L29"/>
    <mergeCell ref="J19:K19"/>
    <mergeCell ref="J20:K20"/>
  </mergeCells>
  <conditionalFormatting sqref="A18:I18 M18:XFD19 L20:XFD20 A21:XFD23 A24 M24:XFD24 A25:XFD28 M29:XFD1001">
    <cfRule type="expression" dxfId="63" priority="10" stopIfTrue="1">
      <formula>$A$1="Expire"</formula>
    </cfRule>
  </conditionalFormatting>
  <conditionalFormatting sqref="A19:J20">
    <cfRule type="expression" dxfId="62" priority="3" stopIfTrue="1">
      <formula>$A$1="Expire"</formula>
    </cfRule>
  </conditionalFormatting>
  <conditionalFormatting sqref="A29:L1002">
    <cfRule type="expression" dxfId="61" priority="6" stopIfTrue="1">
      <formula>$A$1="Expire"</formula>
    </cfRule>
  </conditionalFormatting>
  <conditionalFormatting sqref="A3:XFD17">
    <cfRule type="expression" dxfId="60" priority="1" stopIfTrue="1">
      <formula>$A$1="Expire"</formula>
    </cfRule>
  </conditionalFormatting>
  <hyperlinks>
    <hyperlink ref="A23" r:id="rId1" display="http://www.ktb.co.th/" xr:uid="{00000000-0004-0000-1200-000000000000}"/>
  </hyperlinks>
  <printOptions horizontalCentered="1"/>
  <pageMargins left="0.15748031496062992" right="0" top="0.35433070866141736" bottom="0.27559055118110237" header="0.27559055118110237" footer="0.15748031496062992"/>
  <pageSetup paperSize="9" scale="80" orientation="portrait" r:id="rId2"/>
  <headerFooter alignWithMargins="0">
    <oddFooter>&amp;C&amp;"Calibri"&amp;11&amp;K000000&amp;"Calibri,Regular"&amp;11 14/14_x000D_&amp;1#&amp;"Calibri"&amp;10&amp;K000000Internal</oddFooter>
  </headerFooter>
  <drawing r:id="rId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1AA20-6B77-4FE8-8F4C-6BBF9DC971F1}">
  <sheetPr codeName="Sheet34">
    <tabColor rgb="FFFFFF00"/>
  </sheetPr>
  <dimension ref="A1:FM143"/>
  <sheetViews>
    <sheetView showGridLines="0" zoomScale="55" zoomScaleNormal="55" workbookViewId="0">
      <pane xSplit="2" ySplit="4" topLeftCell="AV5" activePane="bottomRight" state="frozen"/>
      <selection pane="topRight"/>
      <selection pane="bottomLeft"/>
      <selection pane="bottomRight"/>
    </sheetView>
  </sheetViews>
  <sheetFormatPr defaultColWidth="9.09765625" defaultRowHeight="14.5"/>
  <cols>
    <col min="1" max="1" width="12.8984375" style="1164" customWidth="1"/>
    <col min="2" max="85" width="9.09765625" style="1164"/>
    <col min="86" max="86" width="12.59765625" style="1164" customWidth="1"/>
    <col min="87" max="87" width="11" style="1164" bestFit="1" customWidth="1"/>
    <col min="88" max="16384" width="9.09765625" style="1164"/>
  </cols>
  <sheetData>
    <row r="1" spans="1:169" s="1171" customFormat="1" ht="51" customHeight="1">
      <c r="A1" s="1170" t="s">
        <v>1361</v>
      </c>
    </row>
    <row r="2" spans="1:169" s="1171" customFormat="1" ht="20">
      <c r="B2" s="1521" t="s">
        <v>1362</v>
      </c>
      <c r="CI2" s="1520" t="s">
        <v>28</v>
      </c>
    </row>
    <row r="3" spans="1:169" s="1171" customFormat="1" ht="15">
      <c r="A3" s="1269" t="s">
        <v>1454</v>
      </c>
      <c r="B3" s="2460" t="s">
        <v>1363</v>
      </c>
      <c r="C3" s="1187" t="s">
        <v>1364</v>
      </c>
      <c r="D3" s="1188"/>
      <c r="E3" s="1188"/>
      <c r="F3" s="1188"/>
      <c r="G3" s="1188"/>
      <c r="H3" s="1188"/>
      <c r="I3" s="1188"/>
      <c r="J3" s="1188"/>
      <c r="K3" s="1188"/>
      <c r="L3" s="1188"/>
      <c r="M3" s="1188"/>
      <c r="N3" s="1188"/>
      <c r="O3" s="1188"/>
      <c r="P3" s="1188"/>
      <c r="Q3" s="1188"/>
      <c r="R3" s="1188"/>
      <c r="S3" s="1188"/>
      <c r="T3" s="1188"/>
      <c r="U3" s="1188"/>
      <c r="V3" s="1188"/>
      <c r="W3" s="1188"/>
      <c r="X3" s="1188"/>
      <c r="Y3" s="1188"/>
      <c r="Z3" s="1188"/>
      <c r="AA3" s="1188"/>
      <c r="AB3" s="1188"/>
      <c r="AC3" s="1188"/>
      <c r="AD3" s="1188"/>
      <c r="AE3" s="1188"/>
      <c r="AF3" s="1188"/>
      <c r="AG3" s="1188"/>
      <c r="AH3" s="1188"/>
      <c r="AI3" s="1188"/>
      <c r="AJ3" s="1188"/>
      <c r="AK3" s="1188"/>
      <c r="AL3" s="1188"/>
      <c r="AM3" s="1188"/>
      <c r="AN3" s="1188"/>
      <c r="AO3" s="1188"/>
      <c r="AP3" s="1188"/>
      <c r="AQ3" s="1188"/>
      <c r="AR3" s="1188"/>
      <c r="AS3" s="1188"/>
      <c r="AT3" s="1188"/>
      <c r="AU3" s="1188"/>
      <c r="AV3" s="1188"/>
      <c r="AW3" s="1188"/>
      <c r="AX3" s="1188"/>
      <c r="AY3" s="1188"/>
      <c r="AZ3" s="1188"/>
      <c r="BA3" s="1188"/>
      <c r="BB3" s="1188"/>
      <c r="BC3" s="1188"/>
      <c r="BD3" s="1188"/>
      <c r="BE3" s="1188"/>
      <c r="BF3" s="1188"/>
      <c r="BG3" s="1188"/>
      <c r="BH3" s="1188"/>
      <c r="BI3" s="1188"/>
      <c r="BJ3" s="1188"/>
      <c r="BK3" s="1188"/>
      <c r="BL3" s="1188"/>
      <c r="BM3" s="1188"/>
      <c r="BN3" s="1188"/>
      <c r="BO3" s="1188"/>
      <c r="BP3" s="1188"/>
      <c r="BQ3" s="1188"/>
      <c r="BR3" s="1188"/>
      <c r="BS3" s="1188"/>
      <c r="BT3" s="1188"/>
      <c r="BU3" s="1188"/>
      <c r="BV3" s="1188"/>
      <c r="BW3" s="1188"/>
      <c r="BX3" s="1188"/>
      <c r="BY3" s="1188"/>
      <c r="BZ3" s="1188"/>
      <c r="CA3" s="1188"/>
      <c r="CB3" s="1188"/>
      <c r="CC3" s="1188"/>
      <c r="CD3" s="1188"/>
      <c r="CE3" s="1188"/>
      <c r="CF3" s="1188"/>
      <c r="CI3" s="2462" t="s">
        <v>1363</v>
      </c>
      <c r="CJ3" s="1183" t="s">
        <v>1364</v>
      </c>
      <c r="CK3" s="1184"/>
      <c r="CL3" s="1184"/>
      <c r="CM3" s="1184"/>
      <c r="CN3" s="1184"/>
      <c r="CO3" s="1184"/>
      <c r="CP3" s="1184"/>
      <c r="CQ3" s="1184"/>
      <c r="CR3" s="1184"/>
      <c r="CS3" s="1184"/>
      <c r="CT3" s="1184"/>
      <c r="CU3" s="1184"/>
      <c r="CV3" s="1184"/>
      <c r="CW3" s="1184"/>
      <c r="CX3" s="1184"/>
      <c r="CY3" s="1184"/>
      <c r="CZ3" s="1184"/>
      <c r="DA3" s="1184"/>
      <c r="DB3" s="1184"/>
      <c r="DC3" s="1184"/>
      <c r="DD3" s="1184"/>
      <c r="DE3" s="1184"/>
      <c r="DF3" s="1184"/>
      <c r="DG3" s="1184"/>
      <c r="DH3" s="1184"/>
      <c r="DI3" s="1184"/>
      <c r="DJ3" s="1184"/>
      <c r="DK3" s="1184"/>
      <c r="DL3" s="1184"/>
      <c r="DM3" s="1184"/>
      <c r="DN3" s="1184"/>
      <c r="DO3" s="1184"/>
      <c r="DP3" s="1184"/>
      <c r="DQ3" s="1184"/>
      <c r="DR3" s="1184"/>
      <c r="DS3" s="1184"/>
      <c r="DT3" s="1184"/>
      <c r="DU3" s="1184"/>
      <c r="DV3" s="1184"/>
      <c r="DW3" s="1184"/>
      <c r="DX3" s="1184"/>
      <c r="DY3" s="1184"/>
      <c r="DZ3" s="1184"/>
      <c r="EA3" s="1184"/>
      <c r="EB3" s="1184"/>
      <c r="EC3" s="1184"/>
      <c r="ED3" s="1184"/>
      <c r="EE3" s="1184"/>
      <c r="EF3" s="1184"/>
      <c r="EG3" s="1184"/>
      <c r="EH3" s="1184"/>
      <c r="EI3" s="1184"/>
      <c r="EJ3" s="1184"/>
      <c r="EK3" s="1184"/>
      <c r="EL3" s="1184"/>
      <c r="EM3" s="1184"/>
      <c r="EN3" s="1184"/>
      <c r="EO3" s="1184"/>
      <c r="EP3" s="1184"/>
      <c r="EQ3" s="1184"/>
      <c r="ER3" s="1184"/>
      <c r="ES3" s="1184"/>
      <c r="ET3" s="1184"/>
      <c r="EU3" s="1184"/>
      <c r="EV3" s="1184"/>
      <c r="EW3" s="1184"/>
      <c r="EX3" s="1184"/>
      <c r="EY3" s="1184"/>
      <c r="EZ3" s="1184"/>
      <c r="FA3" s="1184"/>
      <c r="FB3" s="1184"/>
      <c r="FC3" s="1184"/>
      <c r="FD3" s="1184"/>
      <c r="FE3" s="1184"/>
      <c r="FF3" s="1184"/>
      <c r="FG3" s="1184"/>
      <c r="FH3" s="1184"/>
      <c r="FI3" s="1184"/>
      <c r="FJ3" s="1184"/>
      <c r="FK3" s="1184"/>
      <c r="FL3" s="1184"/>
      <c r="FM3" s="1184"/>
    </row>
    <row r="4" spans="1:169" s="1171" customFormat="1" ht="12.5">
      <c r="A4" s="1180" t="s">
        <v>1143</v>
      </c>
      <c r="B4" s="2461"/>
      <c r="C4" s="1514"/>
      <c r="D4" s="1172">
        <v>3</v>
      </c>
      <c r="E4" s="1172">
        <v>4</v>
      </c>
      <c r="F4" s="1172">
        <v>5</v>
      </c>
      <c r="G4" s="1172">
        <v>6</v>
      </c>
      <c r="H4" s="1172">
        <v>7</v>
      </c>
      <c r="I4" s="1172">
        <v>8</v>
      </c>
      <c r="J4" s="1172">
        <v>9</v>
      </c>
      <c r="K4" s="1172">
        <v>10</v>
      </c>
      <c r="L4" s="1172">
        <v>11</v>
      </c>
      <c r="M4" s="1172">
        <v>12</v>
      </c>
      <c r="N4" s="1172">
        <v>13</v>
      </c>
      <c r="O4" s="1172">
        <v>14</v>
      </c>
      <c r="P4" s="1172">
        <v>15</v>
      </c>
      <c r="Q4" s="1172">
        <v>16</v>
      </c>
      <c r="R4" s="1172">
        <v>17</v>
      </c>
      <c r="S4" s="1172">
        <v>18</v>
      </c>
      <c r="T4" s="1172">
        <v>19</v>
      </c>
      <c r="U4" s="1172">
        <v>20</v>
      </c>
      <c r="V4" s="1172">
        <v>21</v>
      </c>
      <c r="W4" s="1172">
        <v>22</v>
      </c>
      <c r="X4" s="1172">
        <v>23</v>
      </c>
      <c r="Y4" s="1172">
        <v>24</v>
      </c>
      <c r="Z4" s="1173">
        <v>25</v>
      </c>
      <c r="AA4" s="1172">
        <v>26</v>
      </c>
      <c r="AB4" s="1173">
        <v>27</v>
      </c>
      <c r="AC4" s="1172">
        <v>28</v>
      </c>
      <c r="AD4" s="1173">
        <v>29</v>
      </c>
      <c r="AE4" s="1172">
        <v>30</v>
      </c>
      <c r="AF4" s="1173">
        <v>31</v>
      </c>
      <c r="AG4" s="1172">
        <v>32</v>
      </c>
      <c r="AH4" s="1173">
        <v>33</v>
      </c>
      <c r="AI4" s="1172">
        <v>34</v>
      </c>
      <c r="AJ4" s="1173">
        <v>35</v>
      </c>
      <c r="AK4" s="1172">
        <v>36</v>
      </c>
      <c r="AL4" s="1173">
        <v>37</v>
      </c>
      <c r="AM4" s="1172">
        <v>38</v>
      </c>
      <c r="AN4" s="1173">
        <v>39</v>
      </c>
      <c r="AO4" s="1172">
        <v>40</v>
      </c>
      <c r="AP4" s="1173">
        <v>41</v>
      </c>
      <c r="AQ4" s="1172">
        <v>42</v>
      </c>
      <c r="AR4" s="1173">
        <v>43</v>
      </c>
      <c r="AS4" s="1172">
        <v>44</v>
      </c>
      <c r="AT4" s="1173">
        <v>45</v>
      </c>
      <c r="AU4" s="1172">
        <v>46</v>
      </c>
      <c r="AV4" s="1173">
        <v>47</v>
      </c>
      <c r="AW4" s="1172">
        <v>48</v>
      </c>
      <c r="AX4" s="1172">
        <v>49</v>
      </c>
      <c r="AY4" s="1172">
        <v>50</v>
      </c>
      <c r="AZ4" s="1172">
        <v>51</v>
      </c>
      <c r="BA4" s="1172">
        <v>52</v>
      </c>
      <c r="BB4" s="1172">
        <v>53</v>
      </c>
      <c r="BC4" s="1172">
        <v>54</v>
      </c>
      <c r="BD4" s="1172">
        <v>55</v>
      </c>
      <c r="BE4" s="1172">
        <v>56</v>
      </c>
      <c r="BF4" s="1172">
        <v>57</v>
      </c>
      <c r="BG4" s="1172">
        <v>58</v>
      </c>
      <c r="BH4" s="1172">
        <v>59</v>
      </c>
      <c r="BI4" s="1172">
        <v>60</v>
      </c>
      <c r="BJ4" s="1172">
        <v>61</v>
      </c>
      <c r="BK4" s="1172">
        <v>62</v>
      </c>
      <c r="BL4" s="1172">
        <v>63</v>
      </c>
      <c r="BM4" s="1172">
        <v>64</v>
      </c>
      <c r="BN4" s="1172">
        <v>65</v>
      </c>
      <c r="BO4" s="1172">
        <v>66</v>
      </c>
      <c r="BP4" s="1172">
        <v>67</v>
      </c>
      <c r="BQ4" s="1172">
        <v>68</v>
      </c>
      <c r="BR4" s="1172">
        <v>69</v>
      </c>
      <c r="BS4" s="1172">
        <v>70</v>
      </c>
      <c r="BT4" s="1172">
        <v>71</v>
      </c>
      <c r="BU4" s="1172">
        <v>72</v>
      </c>
      <c r="BV4" s="1172">
        <v>73</v>
      </c>
      <c r="BW4" s="1172">
        <v>74</v>
      </c>
      <c r="BX4" s="1172">
        <v>75</v>
      </c>
      <c r="BY4" s="1172">
        <v>76</v>
      </c>
      <c r="BZ4" s="1172">
        <v>77</v>
      </c>
      <c r="CA4" s="1172">
        <v>78</v>
      </c>
      <c r="CB4" s="1172">
        <v>79</v>
      </c>
      <c r="CC4" s="1172">
        <v>80</v>
      </c>
      <c r="CD4" s="1172">
        <v>81</v>
      </c>
      <c r="CE4" s="1172">
        <v>82</v>
      </c>
      <c r="CF4" s="1172">
        <v>83</v>
      </c>
      <c r="CH4" s="1180" t="s">
        <v>1143</v>
      </c>
      <c r="CI4" s="2463"/>
      <c r="CJ4" s="1514"/>
      <c r="CK4" s="1174">
        <v>3</v>
      </c>
      <c r="CL4" s="1174">
        <v>4</v>
      </c>
      <c r="CM4" s="1174">
        <v>5</v>
      </c>
      <c r="CN4" s="1174">
        <v>6</v>
      </c>
      <c r="CO4" s="1174">
        <v>7</v>
      </c>
      <c r="CP4" s="1174">
        <v>8</v>
      </c>
      <c r="CQ4" s="1174">
        <v>9</v>
      </c>
      <c r="CR4" s="1174">
        <v>10</v>
      </c>
      <c r="CS4" s="1174">
        <v>11</v>
      </c>
      <c r="CT4" s="1174">
        <v>12</v>
      </c>
      <c r="CU4" s="1174">
        <v>13</v>
      </c>
      <c r="CV4" s="1174">
        <v>14</v>
      </c>
      <c r="CW4" s="1174">
        <v>15</v>
      </c>
      <c r="CX4" s="1174">
        <v>16</v>
      </c>
      <c r="CY4" s="1174">
        <v>17</v>
      </c>
      <c r="CZ4" s="1174">
        <v>18</v>
      </c>
      <c r="DA4" s="1174">
        <v>19</v>
      </c>
      <c r="DB4" s="1174">
        <v>20</v>
      </c>
      <c r="DC4" s="1174">
        <v>21</v>
      </c>
      <c r="DD4" s="1174">
        <v>22</v>
      </c>
      <c r="DE4" s="1174">
        <v>23</v>
      </c>
      <c r="DF4" s="1174">
        <v>24</v>
      </c>
      <c r="DG4" s="1174">
        <v>25</v>
      </c>
      <c r="DH4" s="1174">
        <v>26</v>
      </c>
      <c r="DI4" s="1174">
        <v>27</v>
      </c>
      <c r="DJ4" s="1174">
        <v>28</v>
      </c>
      <c r="DK4" s="1174">
        <v>29</v>
      </c>
      <c r="DL4" s="1174">
        <v>30</v>
      </c>
      <c r="DM4" s="1174">
        <v>31</v>
      </c>
      <c r="DN4" s="1174">
        <v>32</v>
      </c>
      <c r="DO4" s="1174">
        <v>33</v>
      </c>
      <c r="DP4" s="1174">
        <v>34</v>
      </c>
      <c r="DQ4" s="1174">
        <v>35</v>
      </c>
      <c r="DR4" s="1174">
        <v>36</v>
      </c>
      <c r="DS4" s="1174">
        <v>37</v>
      </c>
      <c r="DT4" s="1174">
        <v>38</v>
      </c>
      <c r="DU4" s="1174">
        <v>39</v>
      </c>
      <c r="DV4" s="1174">
        <v>40</v>
      </c>
      <c r="DW4" s="1174">
        <v>41</v>
      </c>
      <c r="DX4" s="1174">
        <v>42</v>
      </c>
      <c r="DY4" s="1174">
        <v>43</v>
      </c>
      <c r="DZ4" s="1174">
        <v>44</v>
      </c>
      <c r="EA4" s="1174">
        <v>45</v>
      </c>
      <c r="EB4" s="1174">
        <v>46</v>
      </c>
      <c r="EC4" s="1174">
        <v>47</v>
      </c>
      <c r="ED4" s="1174">
        <v>48</v>
      </c>
      <c r="EE4" s="1174">
        <v>49</v>
      </c>
      <c r="EF4" s="1174">
        <v>50</v>
      </c>
      <c r="EG4" s="1174">
        <v>51</v>
      </c>
      <c r="EH4" s="1174">
        <v>52</v>
      </c>
      <c r="EI4" s="1174">
        <v>53</v>
      </c>
      <c r="EJ4" s="1174">
        <v>54</v>
      </c>
      <c r="EK4" s="1174">
        <v>55</v>
      </c>
      <c r="EL4" s="1174">
        <v>56</v>
      </c>
      <c r="EM4" s="1174">
        <v>57</v>
      </c>
      <c r="EN4" s="1174">
        <v>58</v>
      </c>
      <c r="EO4" s="1174">
        <v>59</v>
      </c>
      <c r="EP4" s="1174">
        <v>60</v>
      </c>
      <c r="EQ4" s="1174">
        <v>61</v>
      </c>
      <c r="ER4" s="1174">
        <v>62</v>
      </c>
      <c r="ES4" s="1174">
        <v>63</v>
      </c>
      <c r="ET4" s="1174">
        <v>64</v>
      </c>
      <c r="EU4" s="1174">
        <v>65</v>
      </c>
      <c r="EV4" s="1174">
        <v>66</v>
      </c>
      <c r="EW4" s="1174">
        <v>67</v>
      </c>
      <c r="EX4" s="1174">
        <v>68</v>
      </c>
      <c r="EY4" s="1174">
        <v>69</v>
      </c>
      <c r="EZ4" s="1174">
        <v>70</v>
      </c>
      <c r="FA4" s="1174">
        <v>71</v>
      </c>
      <c r="FB4" s="1174">
        <v>72</v>
      </c>
      <c r="FC4" s="1174">
        <v>73</v>
      </c>
      <c r="FD4" s="1174">
        <v>74</v>
      </c>
      <c r="FE4" s="1174">
        <v>75</v>
      </c>
      <c r="FF4" s="1174">
        <v>76</v>
      </c>
      <c r="FG4" s="1174">
        <v>77</v>
      </c>
      <c r="FH4" s="1174">
        <v>78</v>
      </c>
      <c r="FI4" s="1174">
        <v>79</v>
      </c>
      <c r="FJ4" s="1174">
        <v>80</v>
      </c>
      <c r="FK4" s="1174">
        <v>81</v>
      </c>
      <c r="FL4" s="1174">
        <v>82</v>
      </c>
      <c r="FM4" s="1174">
        <v>83</v>
      </c>
    </row>
    <row r="5" spans="1:169" s="1516" customFormat="1" ht="12.5">
      <c r="A5" s="1515" t="s">
        <v>1366</v>
      </c>
      <c r="B5" s="1175">
        <v>16</v>
      </c>
      <c r="C5" s="1254"/>
      <c r="D5" s="1255">
        <v>0.02</v>
      </c>
      <c r="E5" s="1255">
        <v>0.03</v>
      </c>
      <c r="F5" s="1255">
        <v>0.04</v>
      </c>
      <c r="G5" s="1255">
        <v>0.06</v>
      </c>
      <c r="H5" s="1255">
        <v>7.0000000000000007E-2</v>
      </c>
      <c r="I5" s="1255">
        <v>0.08</v>
      </c>
      <c r="J5" s="1255">
        <v>0.1</v>
      </c>
      <c r="K5" s="1256">
        <v>0.11</v>
      </c>
      <c r="L5" s="1254">
        <v>0.12</v>
      </c>
      <c r="M5" s="1255">
        <v>0.14000000000000001</v>
      </c>
      <c r="N5" s="1255">
        <v>0.15</v>
      </c>
      <c r="O5" s="1255">
        <v>0.17</v>
      </c>
      <c r="P5" s="1255">
        <v>0.18</v>
      </c>
      <c r="Q5" s="1255">
        <v>0.19</v>
      </c>
      <c r="R5" s="1255">
        <v>0.21</v>
      </c>
      <c r="S5" s="1255">
        <v>0.22</v>
      </c>
      <c r="T5" s="1255">
        <v>0.24</v>
      </c>
      <c r="U5" s="1256">
        <v>0.25</v>
      </c>
      <c r="V5" s="1254">
        <v>0.27</v>
      </c>
      <c r="W5" s="1255">
        <v>0.28999999999999998</v>
      </c>
      <c r="X5" s="1255">
        <v>0.3</v>
      </c>
      <c r="Y5" s="1255">
        <v>0.32</v>
      </c>
      <c r="Z5" s="1255">
        <v>0.33</v>
      </c>
      <c r="AA5" s="1255">
        <v>0.35</v>
      </c>
      <c r="AB5" s="1255">
        <v>0.37</v>
      </c>
      <c r="AC5" s="1255">
        <v>0.39</v>
      </c>
      <c r="AD5" s="1255">
        <v>0.41</v>
      </c>
      <c r="AE5" s="1256">
        <v>0.43</v>
      </c>
      <c r="AF5" s="1254">
        <v>0.45</v>
      </c>
      <c r="AG5" s="1255">
        <v>0.47</v>
      </c>
      <c r="AH5" s="1255">
        <v>0.49</v>
      </c>
      <c r="AI5" s="1255">
        <v>0.51</v>
      </c>
      <c r="AJ5" s="1255">
        <v>0.54</v>
      </c>
      <c r="AK5" s="1255">
        <v>0.56000000000000005</v>
      </c>
      <c r="AL5" s="1255">
        <v>0.59</v>
      </c>
      <c r="AM5" s="1255">
        <v>0.61</v>
      </c>
      <c r="AN5" s="1255">
        <v>0.64</v>
      </c>
      <c r="AO5" s="1256">
        <v>0.67</v>
      </c>
      <c r="AP5" s="1254">
        <v>0.7</v>
      </c>
      <c r="AQ5" s="1255">
        <v>0.73</v>
      </c>
      <c r="AR5" s="1255">
        <v>0.76</v>
      </c>
      <c r="AS5" s="1255">
        <v>0.8</v>
      </c>
      <c r="AT5" s="1255">
        <v>0.83</v>
      </c>
      <c r="AU5" s="1255">
        <v>0.87</v>
      </c>
      <c r="AV5" s="1255">
        <v>0.91</v>
      </c>
      <c r="AW5" s="1255">
        <v>0.95</v>
      </c>
      <c r="AX5" s="1255">
        <v>0.99</v>
      </c>
      <c r="AY5" s="1256">
        <v>1.04</v>
      </c>
      <c r="AZ5" s="1254">
        <v>1.0900000000000001</v>
      </c>
      <c r="BA5" s="1255">
        <v>1.1399999999999999</v>
      </c>
      <c r="BB5" s="1255">
        <v>1.19</v>
      </c>
      <c r="BC5" s="1255">
        <v>1.24</v>
      </c>
      <c r="BD5" s="1255">
        <v>1.3</v>
      </c>
      <c r="BE5" s="1255">
        <v>1.36</v>
      </c>
      <c r="BF5" s="1255">
        <v>1.43</v>
      </c>
      <c r="BG5" s="1255">
        <v>1.49</v>
      </c>
      <c r="BH5" s="1255">
        <v>1.56</v>
      </c>
      <c r="BI5" s="1256">
        <v>1.63</v>
      </c>
      <c r="BJ5" s="1254">
        <v>1.7</v>
      </c>
      <c r="BK5" s="1255">
        <v>1.78</v>
      </c>
      <c r="BL5" s="1255">
        <v>1.85</v>
      </c>
      <c r="BM5" s="1255">
        <v>1.93</v>
      </c>
      <c r="BN5" s="1255">
        <v>2.0099999999999998</v>
      </c>
      <c r="BO5" s="1255">
        <v>2.09</v>
      </c>
      <c r="BP5" s="1255">
        <v>2.15</v>
      </c>
      <c r="BQ5" s="1255">
        <v>2.21</v>
      </c>
      <c r="BR5" s="1255">
        <v>2.2599999999999998</v>
      </c>
      <c r="BS5" s="1256">
        <v>2.31</v>
      </c>
      <c r="BT5" s="1254">
        <v>2.35</v>
      </c>
      <c r="BU5" s="1255">
        <v>2.38</v>
      </c>
      <c r="BV5" s="1255">
        <v>2.4</v>
      </c>
      <c r="BW5" s="1255">
        <v>2.42</v>
      </c>
      <c r="BX5" s="1255">
        <v>2.44</v>
      </c>
      <c r="BY5" s="1255">
        <v>2.4500000000000002</v>
      </c>
      <c r="BZ5" s="1255">
        <v>2.46</v>
      </c>
      <c r="CA5" s="1255">
        <v>2.4700000000000002</v>
      </c>
      <c r="CB5" s="1255">
        <v>2.48</v>
      </c>
      <c r="CC5" s="1256">
        <v>2.48</v>
      </c>
      <c r="CD5" s="1255">
        <v>2.48</v>
      </c>
      <c r="CE5" s="1255">
        <v>2.48</v>
      </c>
      <c r="CF5" s="1256">
        <v>2.4900000000000002</v>
      </c>
      <c r="CH5" s="1515" t="str">
        <f>"WPTPDF"&amp;CI5</f>
        <v>WPTPDF16</v>
      </c>
      <c r="CI5" s="1175">
        <v>16</v>
      </c>
      <c r="CJ5" s="1254"/>
      <c r="CK5" s="1255">
        <v>0.01</v>
      </c>
      <c r="CL5" s="1255">
        <v>0.01</v>
      </c>
      <c r="CM5" s="1255">
        <v>0.02</v>
      </c>
      <c r="CN5" s="1255">
        <v>0.02</v>
      </c>
      <c r="CO5" s="1255">
        <v>0.02</v>
      </c>
      <c r="CP5" s="1255">
        <v>0.03</v>
      </c>
      <c r="CQ5" s="1255">
        <v>0.03</v>
      </c>
      <c r="CR5" s="1256">
        <v>0.04</v>
      </c>
      <c r="CS5" s="1254">
        <v>0.04</v>
      </c>
      <c r="CT5" s="1255">
        <v>0.05</v>
      </c>
      <c r="CU5" s="1255">
        <v>0.05</v>
      </c>
      <c r="CV5" s="1255">
        <v>0.06</v>
      </c>
      <c r="CW5" s="1255">
        <v>0.06</v>
      </c>
      <c r="CX5" s="1255">
        <v>7.0000000000000007E-2</v>
      </c>
      <c r="CY5" s="1255">
        <v>7.0000000000000007E-2</v>
      </c>
      <c r="CZ5" s="1255">
        <v>0.08</v>
      </c>
      <c r="DA5" s="1255">
        <v>0.08</v>
      </c>
      <c r="DB5" s="1256">
        <v>0.09</v>
      </c>
      <c r="DC5" s="1254">
        <v>0.09</v>
      </c>
      <c r="DD5" s="1255">
        <v>0.1</v>
      </c>
      <c r="DE5" s="1255">
        <v>0.1</v>
      </c>
      <c r="DF5" s="1255">
        <v>0.11</v>
      </c>
      <c r="DG5" s="1255">
        <v>0.11</v>
      </c>
      <c r="DH5" s="1255">
        <v>0.12</v>
      </c>
      <c r="DI5" s="1255">
        <v>0.13</v>
      </c>
      <c r="DJ5" s="1255">
        <v>0.13</v>
      </c>
      <c r="DK5" s="1255">
        <v>0.14000000000000001</v>
      </c>
      <c r="DL5" s="1256">
        <v>0.15</v>
      </c>
      <c r="DM5" s="1254">
        <v>0.16</v>
      </c>
      <c r="DN5" s="1255">
        <v>0.16</v>
      </c>
      <c r="DO5" s="1255">
        <v>0.17</v>
      </c>
      <c r="DP5" s="1255">
        <v>0.18</v>
      </c>
      <c r="DQ5" s="1255">
        <v>0.19</v>
      </c>
      <c r="DR5" s="1255">
        <v>0.2</v>
      </c>
      <c r="DS5" s="1255">
        <v>0.21</v>
      </c>
      <c r="DT5" s="1255">
        <v>0.22</v>
      </c>
      <c r="DU5" s="1255">
        <v>0.23</v>
      </c>
      <c r="DV5" s="1256">
        <v>0.24</v>
      </c>
      <c r="DW5" s="1254">
        <v>0.26</v>
      </c>
      <c r="DX5" s="1255">
        <v>0.27</v>
      </c>
      <c r="DY5" s="1255">
        <v>0.28000000000000003</v>
      </c>
      <c r="DZ5" s="1255">
        <v>0.3</v>
      </c>
      <c r="EA5" s="1255">
        <v>0.31</v>
      </c>
      <c r="EB5" s="1255">
        <v>0.33</v>
      </c>
      <c r="EC5" s="1255">
        <v>0.35</v>
      </c>
      <c r="ED5" s="1255">
        <v>0.37</v>
      </c>
      <c r="EE5" s="1255">
        <v>0.39</v>
      </c>
      <c r="EF5" s="1256">
        <v>0.42</v>
      </c>
      <c r="EG5" s="1254">
        <v>0.44</v>
      </c>
      <c r="EH5" s="1255">
        <v>0.47</v>
      </c>
      <c r="EI5" s="1255">
        <v>0.5</v>
      </c>
      <c r="EJ5" s="1255">
        <v>0.53</v>
      </c>
      <c r="EK5" s="1255">
        <v>0.56000000000000005</v>
      </c>
      <c r="EL5" s="1255">
        <v>0.6</v>
      </c>
      <c r="EM5" s="1255">
        <v>0.64</v>
      </c>
      <c r="EN5" s="1255">
        <v>0.68</v>
      </c>
      <c r="EO5" s="1255">
        <v>0.73</v>
      </c>
      <c r="EP5" s="1256">
        <v>0.78</v>
      </c>
      <c r="EQ5" s="1254">
        <v>0.83</v>
      </c>
      <c r="ER5" s="1255">
        <v>0.89</v>
      </c>
      <c r="ES5" s="1255">
        <v>0.95</v>
      </c>
      <c r="ET5" s="1255">
        <v>1.01</v>
      </c>
      <c r="EU5" s="1255">
        <v>1.08</v>
      </c>
      <c r="EV5" s="1255">
        <v>1.1499999999999999</v>
      </c>
      <c r="EW5" s="1255">
        <v>1.21</v>
      </c>
      <c r="EX5" s="1255">
        <v>1.27</v>
      </c>
      <c r="EY5" s="1255">
        <v>1.31</v>
      </c>
      <c r="EZ5" s="1256">
        <v>1.36</v>
      </c>
      <c r="FA5" s="1254">
        <v>1.4</v>
      </c>
      <c r="FB5" s="1255">
        <v>1.43</v>
      </c>
      <c r="FC5" s="1255">
        <v>1.46</v>
      </c>
      <c r="FD5" s="1255">
        <v>1.48</v>
      </c>
      <c r="FE5" s="1255">
        <v>1.5</v>
      </c>
      <c r="FF5" s="1255">
        <v>1.51</v>
      </c>
      <c r="FG5" s="1255">
        <v>1.53</v>
      </c>
      <c r="FH5" s="1255">
        <v>1.54</v>
      </c>
      <c r="FI5" s="1255">
        <v>1.54</v>
      </c>
      <c r="FJ5" s="1256">
        <v>1.55</v>
      </c>
      <c r="FK5" s="1255">
        <v>1.55</v>
      </c>
      <c r="FL5" s="1255">
        <v>1.55</v>
      </c>
      <c r="FM5" s="1256">
        <v>1.55</v>
      </c>
    </row>
    <row r="6" spans="1:169" s="1516" customFormat="1" ht="12.5">
      <c r="A6" s="1515" t="s">
        <v>1367</v>
      </c>
      <c r="B6" s="1176">
        <v>17</v>
      </c>
      <c r="C6" s="1257"/>
      <c r="D6" s="1258">
        <v>0.02</v>
      </c>
      <c r="E6" s="1258">
        <v>0.04</v>
      </c>
      <c r="F6" s="1258">
        <v>0.05</v>
      </c>
      <c r="G6" s="1258">
        <v>0.06</v>
      </c>
      <c r="H6" s="1258">
        <v>7.0000000000000007E-2</v>
      </c>
      <c r="I6" s="1258">
        <v>0.09</v>
      </c>
      <c r="J6" s="1258">
        <v>0.1</v>
      </c>
      <c r="K6" s="1259">
        <v>0.12</v>
      </c>
      <c r="L6" s="1257">
        <v>0.13</v>
      </c>
      <c r="M6" s="1258">
        <v>0.14000000000000001</v>
      </c>
      <c r="N6" s="1258">
        <v>0.16</v>
      </c>
      <c r="O6" s="1258">
        <v>0.17</v>
      </c>
      <c r="P6" s="1258">
        <v>0.19</v>
      </c>
      <c r="Q6" s="1258">
        <v>0.2</v>
      </c>
      <c r="R6" s="1258">
        <v>0.22</v>
      </c>
      <c r="S6" s="1258">
        <v>0.23</v>
      </c>
      <c r="T6" s="1258">
        <v>0.25</v>
      </c>
      <c r="U6" s="1259">
        <v>0.26</v>
      </c>
      <c r="V6" s="1257">
        <v>0.28000000000000003</v>
      </c>
      <c r="W6" s="1258">
        <v>0.3</v>
      </c>
      <c r="X6" s="1258">
        <v>0.31</v>
      </c>
      <c r="Y6" s="1258">
        <v>0.33</v>
      </c>
      <c r="Z6" s="1258">
        <v>0.35</v>
      </c>
      <c r="AA6" s="1258">
        <v>0.37</v>
      </c>
      <c r="AB6" s="1258">
        <v>0.39</v>
      </c>
      <c r="AC6" s="1258">
        <v>0.41</v>
      </c>
      <c r="AD6" s="1258">
        <v>0.42</v>
      </c>
      <c r="AE6" s="1259">
        <v>0.45</v>
      </c>
      <c r="AF6" s="1257">
        <v>0.47</v>
      </c>
      <c r="AG6" s="1258">
        <v>0.49</v>
      </c>
      <c r="AH6" s="1258">
        <v>0.51</v>
      </c>
      <c r="AI6" s="1258">
        <v>0.54</v>
      </c>
      <c r="AJ6" s="1258">
        <v>0.56000000000000005</v>
      </c>
      <c r="AK6" s="1258">
        <v>0.59</v>
      </c>
      <c r="AL6" s="1258">
        <v>0.61</v>
      </c>
      <c r="AM6" s="1258">
        <v>0.64</v>
      </c>
      <c r="AN6" s="1258">
        <v>0.67</v>
      </c>
      <c r="AO6" s="1259">
        <v>0.7</v>
      </c>
      <c r="AP6" s="1257">
        <v>0.73</v>
      </c>
      <c r="AQ6" s="1258">
        <v>0.77</v>
      </c>
      <c r="AR6" s="1258">
        <v>0.8</v>
      </c>
      <c r="AS6" s="1258">
        <v>0.84</v>
      </c>
      <c r="AT6" s="1258">
        <v>0.88</v>
      </c>
      <c r="AU6" s="1258">
        <v>0.92</v>
      </c>
      <c r="AV6" s="1258">
        <v>0.96</v>
      </c>
      <c r="AW6" s="1258">
        <v>1</v>
      </c>
      <c r="AX6" s="1258">
        <v>1.05</v>
      </c>
      <c r="AY6" s="1259">
        <v>1.1000000000000001</v>
      </c>
      <c r="AZ6" s="1257">
        <v>1.1499999999999999</v>
      </c>
      <c r="BA6" s="1258">
        <v>1.2</v>
      </c>
      <c r="BB6" s="1258">
        <v>1.26</v>
      </c>
      <c r="BC6" s="1258">
        <v>1.32</v>
      </c>
      <c r="BD6" s="1258">
        <v>1.38</v>
      </c>
      <c r="BE6" s="1258">
        <v>1.44</v>
      </c>
      <c r="BF6" s="1258">
        <v>1.51</v>
      </c>
      <c r="BG6" s="1258">
        <v>1.58</v>
      </c>
      <c r="BH6" s="1258">
        <v>1.65</v>
      </c>
      <c r="BI6" s="1259">
        <v>1.73</v>
      </c>
      <c r="BJ6" s="1257">
        <v>1.8</v>
      </c>
      <c r="BK6" s="1258">
        <v>1.88</v>
      </c>
      <c r="BL6" s="1258">
        <v>1.96</v>
      </c>
      <c r="BM6" s="1258">
        <v>2.04</v>
      </c>
      <c r="BN6" s="1258">
        <v>2.12</v>
      </c>
      <c r="BO6" s="1258">
        <v>2.19</v>
      </c>
      <c r="BP6" s="1258">
        <v>2.25</v>
      </c>
      <c r="BQ6" s="1258">
        <v>2.2999999999999998</v>
      </c>
      <c r="BR6" s="1258">
        <v>2.34</v>
      </c>
      <c r="BS6" s="1259">
        <v>2.38</v>
      </c>
      <c r="BT6" s="1257">
        <v>2.41</v>
      </c>
      <c r="BU6" s="1258">
        <v>2.44</v>
      </c>
      <c r="BV6" s="1258">
        <v>2.46</v>
      </c>
      <c r="BW6" s="1258">
        <v>2.48</v>
      </c>
      <c r="BX6" s="1258">
        <v>2.4900000000000002</v>
      </c>
      <c r="BY6" s="1258">
        <v>2.5</v>
      </c>
      <c r="BZ6" s="1258">
        <v>2.5099999999999998</v>
      </c>
      <c r="CA6" s="1258">
        <v>2.52</v>
      </c>
      <c r="CB6" s="1258">
        <v>2.52</v>
      </c>
      <c r="CC6" s="1259">
        <v>2.52</v>
      </c>
      <c r="CD6" s="1258">
        <v>2.52</v>
      </c>
      <c r="CE6" s="1258">
        <v>2.5299999999999998</v>
      </c>
      <c r="CF6" s="1259"/>
      <c r="CH6" s="1515" t="str">
        <f t="shared" ref="CH6:CH59" si="0">"WPTPDF"&amp;CI6</f>
        <v>WPTPDF17</v>
      </c>
      <c r="CI6" s="1176">
        <v>17</v>
      </c>
      <c r="CJ6" s="1257"/>
      <c r="CK6" s="1258">
        <v>0.01</v>
      </c>
      <c r="CL6" s="1258">
        <v>0.01</v>
      </c>
      <c r="CM6" s="1258">
        <v>0.02</v>
      </c>
      <c r="CN6" s="1258">
        <v>0.02</v>
      </c>
      <c r="CO6" s="1258">
        <v>0.03</v>
      </c>
      <c r="CP6" s="1258">
        <v>0.03</v>
      </c>
      <c r="CQ6" s="1258">
        <v>0.03</v>
      </c>
      <c r="CR6" s="1259">
        <v>0.04</v>
      </c>
      <c r="CS6" s="1257">
        <v>0.04</v>
      </c>
      <c r="CT6" s="1258">
        <v>0.05</v>
      </c>
      <c r="CU6" s="1258">
        <v>0.05</v>
      </c>
      <c r="CV6" s="1258">
        <v>0.06</v>
      </c>
      <c r="CW6" s="1258">
        <v>0.06</v>
      </c>
      <c r="CX6" s="1258">
        <v>7.0000000000000007E-2</v>
      </c>
      <c r="CY6" s="1258">
        <v>7.0000000000000007E-2</v>
      </c>
      <c r="CZ6" s="1258">
        <v>0.08</v>
      </c>
      <c r="DA6" s="1258">
        <v>0.08</v>
      </c>
      <c r="DB6" s="1259">
        <v>0.09</v>
      </c>
      <c r="DC6" s="1257">
        <v>0.09</v>
      </c>
      <c r="DD6" s="1258">
        <v>0.1</v>
      </c>
      <c r="DE6" s="1258">
        <v>0.11</v>
      </c>
      <c r="DF6" s="1258">
        <v>0.11</v>
      </c>
      <c r="DG6" s="1258">
        <v>0.12</v>
      </c>
      <c r="DH6" s="1258">
        <v>0.12</v>
      </c>
      <c r="DI6" s="1258">
        <v>0.13</v>
      </c>
      <c r="DJ6" s="1258">
        <v>0.14000000000000001</v>
      </c>
      <c r="DK6" s="1258">
        <v>0.15</v>
      </c>
      <c r="DL6" s="1259">
        <v>0.15</v>
      </c>
      <c r="DM6" s="1257">
        <v>0.16</v>
      </c>
      <c r="DN6" s="1258">
        <v>0.17</v>
      </c>
      <c r="DO6" s="1258">
        <v>0.18</v>
      </c>
      <c r="DP6" s="1258">
        <v>0.19</v>
      </c>
      <c r="DQ6" s="1258">
        <v>0.2</v>
      </c>
      <c r="DR6" s="1258">
        <v>0.21</v>
      </c>
      <c r="DS6" s="1258">
        <v>0.22</v>
      </c>
      <c r="DT6" s="1258">
        <v>0.23</v>
      </c>
      <c r="DU6" s="1258">
        <v>0.24</v>
      </c>
      <c r="DV6" s="1259">
        <v>0.26</v>
      </c>
      <c r="DW6" s="1257">
        <v>0.27</v>
      </c>
      <c r="DX6" s="1258">
        <v>0.28000000000000003</v>
      </c>
      <c r="DY6" s="1258">
        <v>0.3</v>
      </c>
      <c r="DZ6" s="1258">
        <v>0.32</v>
      </c>
      <c r="EA6" s="1258">
        <v>0.33</v>
      </c>
      <c r="EB6" s="1258">
        <v>0.35</v>
      </c>
      <c r="EC6" s="1258">
        <v>0.37</v>
      </c>
      <c r="ED6" s="1258">
        <v>0.4</v>
      </c>
      <c r="EE6" s="1258">
        <v>0.42</v>
      </c>
      <c r="EF6" s="1259">
        <v>0.44</v>
      </c>
      <c r="EG6" s="1257">
        <v>0.47</v>
      </c>
      <c r="EH6" s="1258">
        <v>0.5</v>
      </c>
      <c r="EI6" s="1258">
        <v>0.53</v>
      </c>
      <c r="EJ6" s="1258">
        <v>0.56999999999999995</v>
      </c>
      <c r="EK6" s="1258">
        <v>0.61</v>
      </c>
      <c r="EL6" s="1258">
        <v>0.65</v>
      </c>
      <c r="EM6" s="1258">
        <v>0.69</v>
      </c>
      <c r="EN6" s="1258">
        <v>0.74</v>
      </c>
      <c r="EO6" s="1258">
        <v>0.79</v>
      </c>
      <c r="EP6" s="1259">
        <v>0.84</v>
      </c>
      <c r="EQ6" s="1257">
        <v>0.9</v>
      </c>
      <c r="ER6" s="1258">
        <v>0.96</v>
      </c>
      <c r="ES6" s="1258">
        <v>1.03</v>
      </c>
      <c r="ET6" s="1258">
        <v>1.1000000000000001</v>
      </c>
      <c r="EU6" s="1258">
        <v>1.17</v>
      </c>
      <c r="EV6" s="1258">
        <v>1.23</v>
      </c>
      <c r="EW6" s="1258">
        <v>1.29</v>
      </c>
      <c r="EX6" s="1258">
        <v>1.34</v>
      </c>
      <c r="EY6" s="1258">
        <v>1.38</v>
      </c>
      <c r="EZ6" s="1259">
        <v>1.42</v>
      </c>
      <c r="FA6" s="1257">
        <v>1.45</v>
      </c>
      <c r="FB6" s="1258">
        <v>1.48</v>
      </c>
      <c r="FC6" s="1258">
        <v>1.51</v>
      </c>
      <c r="FD6" s="1258">
        <v>1.52</v>
      </c>
      <c r="FE6" s="1258">
        <v>1.54</v>
      </c>
      <c r="FF6" s="1258">
        <v>1.55</v>
      </c>
      <c r="FG6" s="1258">
        <v>1.56</v>
      </c>
      <c r="FH6" s="1258">
        <v>1.57</v>
      </c>
      <c r="FI6" s="1258">
        <v>1.57</v>
      </c>
      <c r="FJ6" s="1259">
        <v>1.58</v>
      </c>
      <c r="FK6" s="1258">
        <v>1.58</v>
      </c>
      <c r="FL6" s="1258">
        <v>1.58</v>
      </c>
      <c r="FM6" s="1259"/>
    </row>
    <row r="7" spans="1:169" s="1516" customFormat="1" ht="12.5">
      <c r="A7" s="1515" t="s">
        <v>1368</v>
      </c>
      <c r="B7" s="1176">
        <v>18</v>
      </c>
      <c r="C7" s="1257"/>
      <c r="D7" s="1258">
        <v>0.02</v>
      </c>
      <c r="E7" s="1258">
        <v>0.04</v>
      </c>
      <c r="F7" s="1258">
        <v>0.05</v>
      </c>
      <c r="G7" s="1258">
        <v>7.0000000000000007E-2</v>
      </c>
      <c r="H7" s="1258">
        <v>0.08</v>
      </c>
      <c r="I7" s="1258">
        <v>0.09</v>
      </c>
      <c r="J7" s="1258">
        <v>0.11</v>
      </c>
      <c r="K7" s="1259">
        <v>0.12</v>
      </c>
      <c r="L7" s="1257">
        <v>0.14000000000000001</v>
      </c>
      <c r="M7" s="1258">
        <v>0.15</v>
      </c>
      <c r="N7" s="1258">
        <v>0.17</v>
      </c>
      <c r="O7" s="1258">
        <v>0.18</v>
      </c>
      <c r="P7" s="1258">
        <v>0.2</v>
      </c>
      <c r="Q7" s="1258">
        <v>0.21</v>
      </c>
      <c r="R7" s="1258">
        <v>0.23</v>
      </c>
      <c r="S7" s="1258">
        <v>0.24</v>
      </c>
      <c r="T7" s="1258">
        <v>0.26</v>
      </c>
      <c r="U7" s="1259">
        <v>0.27</v>
      </c>
      <c r="V7" s="1257">
        <v>0.28999999999999998</v>
      </c>
      <c r="W7" s="1258">
        <v>0.31</v>
      </c>
      <c r="X7" s="1258">
        <v>0.33</v>
      </c>
      <c r="Y7" s="1258">
        <v>0.34</v>
      </c>
      <c r="Z7" s="1258">
        <v>0.36</v>
      </c>
      <c r="AA7" s="1258">
        <v>0.38</v>
      </c>
      <c r="AB7" s="1258">
        <v>0.4</v>
      </c>
      <c r="AC7" s="1258">
        <v>0.42</v>
      </c>
      <c r="AD7" s="1258">
        <v>0.44</v>
      </c>
      <c r="AE7" s="1259">
        <v>0.46</v>
      </c>
      <c r="AF7" s="1257">
        <v>0.49</v>
      </c>
      <c r="AG7" s="1258">
        <v>0.51</v>
      </c>
      <c r="AH7" s="1258">
        <v>0.53</v>
      </c>
      <c r="AI7" s="1258">
        <v>0.56000000000000005</v>
      </c>
      <c r="AJ7" s="1258">
        <v>0.57999999999999996</v>
      </c>
      <c r="AK7" s="1258">
        <v>0.61</v>
      </c>
      <c r="AL7" s="1258">
        <v>0.64</v>
      </c>
      <c r="AM7" s="1258">
        <v>0.67</v>
      </c>
      <c r="AN7" s="1258">
        <v>0.7</v>
      </c>
      <c r="AO7" s="1259">
        <v>0.73</v>
      </c>
      <c r="AP7" s="1257">
        <v>0.77</v>
      </c>
      <c r="AQ7" s="1258">
        <v>0.8</v>
      </c>
      <c r="AR7" s="1258">
        <v>0.84</v>
      </c>
      <c r="AS7" s="1258">
        <v>0.88</v>
      </c>
      <c r="AT7" s="1258">
        <v>0.92</v>
      </c>
      <c r="AU7" s="1258">
        <v>0.96</v>
      </c>
      <c r="AV7" s="1258">
        <v>1.01</v>
      </c>
      <c r="AW7" s="1258">
        <v>1.05</v>
      </c>
      <c r="AX7" s="1258">
        <v>1.1000000000000001</v>
      </c>
      <c r="AY7" s="1259">
        <v>1.1599999999999999</v>
      </c>
      <c r="AZ7" s="1257">
        <v>1.21</v>
      </c>
      <c r="BA7" s="1258">
        <v>1.27</v>
      </c>
      <c r="BB7" s="1258">
        <v>1.33</v>
      </c>
      <c r="BC7" s="1258">
        <v>1.39</v>
      </c>
      <c r="BD7" s="1258">
        <v>1.46</v>
      </c>
      <c r="BE7" s="1258">
        <v>1.53</v>
      </c>
      <c r="BF7" s="1258">
        <v>1.6</v>
      </c>
      <c r="BG7" s="1258">
        <v>1.67</v>
      </c>
      <c r="BH7" s="1258">
        <v>1.75</v>
      </c>
      <c r="BI7" s="1259">
        <v>1.82</v>
      </c>
      <c r="BJ7" s="1257">
        <v>1.9</v>
      </c>
      <c r="BK7" s="1258">
        <v>1.98</v>
      </c>
      <c r="BL7" s="1258">
        <v>2.0699999999999998</v>
      </c>
      <c r="BM7" s="1258">
        <v>2.15</v>
      </c>
      <c r="BN7" s="1258">
        <v>2.2200000000000002</v>
      </c>
      <c r="BO7" s="1258">
        <v>2.2799999999999998</v>
      </c>
      <c r="BP7" s="1258">
        <v>2.33</v>
      </c>
      <c r="BQ7" s="1258">
        <v>2.38</v>
      </c>
      <c r="BR7" s="1258">
        <v>2.42</v>
      </c>
      <c r="BS7" s="1259">
        <v>2.4500000000000002</v>
      </c>
      <c r="BT7" s="1257">
        <v>2.48</v>
      </c>
      <c r="BU7" s="1258">
        <v>2.5</v>
      </c>
      <c r="BV7" s="1258">
        <v>2.52</v>
      </c>
      <c r="BW7" s="1258">
        <v>2.5299999999999998</v>
      </c>
      <c r="BX7" s="1258">
        <v>2.54</v>
      </c>
      <c r="BY7" s="1258">
        <v>2.5499999999999998</v>
      </c>
      <c r="BZ7" s="1258">
        <v>2.56</v>
      </c>
      <c r="CA7" s="1258">
        <v>2.56</v>
      </c>
      <c r="CB7" s="1258">
        <v>2.56</v>
      </c>
      <c r="CC7" s="1259">
        <v>2.56</v>
      </c>
      <c r="CD7" s="1258">
        <v>2.56</v>
      </c>
      <c r="CE7" s="1258"/>
      <c r="CF7" s="1259"/>
      <c r="CH7" s="1515" t="str">
        <f t="shared" si="0"/>
        <v>WPTPDF18</v>
      </c>
      <c r="CI7" s="1176">
        <v>18</v>
      </c>
      <c r="CJ7" s="1257"/>
      <c r="CK7" s="1258">
        <v>0.01</v>
      </c>
      <c r="CL7" s="1258">
        <v>0.01</v>
      </c>
      <c r="CM7" s="1258">
        <v>0.02</v>
      </c>
      <c r="CN7" s="1258">
        <v>0.02</v>
      </c>
      <c r="CO7" s="1258">
        <v>0.03</v>
      </c>
      <c r="CP7" s="1258">
        <v>0.03</v>
      </c>
      <c r="CQ7" s="1258">
        <v>0.04</v>
      </c>
      <c r="CR7" s="1259">
        <v>0.04</v>
      </c>
      <c r="CS7" s="1257">
        <v>0.05</v>
      </c>
      <c r="CT7" s="1258">
        <v>0.05</v>
      </c>
      <c r="CU7" s="1258">
        <v>0.05</v>
      </c>
      <c r="CV7" s="1258">
        <v>0.06</v>
      </c>
      <c r="CW7" s="1258">
        <v>7.0000000000000007E-2</v>
      </c>
      <c r="CX7" s="1258">
        <v>7.0000000000000007E-2</v>
      </c>
      <c r="CY7" s="1258">
        <v>0.08</v>
      </c>
      <c r="CZ7" s="1258">
        <v>0.08</v>
      </c>
      <c r="DA7" s="1258">
        <v>0.09</v>
      </c>
      <c r="DB7" s="1259">
        <v>0.09</v>
      </c>
      <c r="DC7" s="1257">
        <v>0.1</v>
      </c>
      <c r="DD7" s="1258">
        <v>0.1</v>
      </c>
      <c r="DE7" s="1258">
        <v>0.11</v>
      </c>
      <c r="DF7" s="1258">
        <v>0.12</v>
      </c>
      <c r="DG7" s="1258">
        <v>0.12</v>
      </c>
      <c r="DH7" s="1258">
        <v>0.13</v>
      </c>
      <c r="DI7" s="1258">
        <v>0.14000000000000001</v>
      </c>
      <c r="DJ7" s="1258">
        <v>0.14000000000000001</v>
      </c>
      <c r="DK7" s="1258">
        <v>0.15</v>
      </c>
      <c r="DL7" s="1259">
        <v>0.16</v>
      </c>
      <c r="DM7" s="1257">
        <v>0.17</v>
      </c>
      <c r="DN7" s="1258">
        <v>0.18</v>
      </c>
      <c r="DO7" s="1258">
        <v>0.19</v>
      </c>
      <c r="DP7" s="1258">
        <v>0.2</v>
      </c>
      <c r="DQ7" s="1258">
        <v>0.21</v>
      </c>
      <c r="DR7" s="1258">
        <v>0.22</v>
      </c>
      <c r="DS7" s="1258">
        <v>0.23</v>
      </c>
      <c r="DT7" s="1258">
        <v>0.24</v>
      </c>
      <c r="DU7" s="1258">
        <v>0.26</v>
      </c>
      <c r="DV7" s="1259">
        <v>0.27</v>
      </c>
      <c r="DW7" s="1257">
        <v>0.28000000000000003</v>
      </c>
      <c r="DX7" s="1258">
        <v>0.3</v>
      </c>
      <c r="DY7" s="1258">
        <v>0.32</v>
      </c>
      <c r="DZ7" s="1258">
        <v>0.34</v>
      </c>
      <c r="EA7" s="1258">
        <v>0.35</v>
      </c>
      <c r="EB7" s="1258">
        <v>0.38</v>
      </c>
      <c r="EC7" s="1258">
        <v>0.4</v>
      </c>
      <c r="ED7" s="1258">
        <v>0.42</v>
      </c>
      <c r="EE7" s="1258">
        <v>0.45</v>
      </c>
      <c r="EF7" s="1259">
        <v>0.48</v>
      </c>
      <c r="EG7" s="1257">
        <v>0.51</v>
      </c>
      <c r="EH7" s="1258">
        <v>0.54</v>
      </c>
      <c r="EI7" s="1258">
        <v>0.56999999999999995</v>
      </c>
      <c r="EJ7" s="1258">
        <v>0.61</v>
      </c>
      <c r="EK7" s="1258">
        <v>0.65</v>
      </c>
      <c r="EL7" s="1258">
        <v>0.7</v>
      </c>
      <c r="EM7" s="1258">
        <v>0.75</v>
      </c>
      <c r="EN7" s="1258">
        <v>0.8</v>
      </c>
      <c r="EO7" s="1258">
        <v>0.86</v>
      </c>
      <c r="EP7" s="1259">
        <v>0.91</v>
      </c>
      <c r="EQ7" s="1257">
        <v>0.98</v>
      </c>
      <c r="ER7" s="1258">
        <v>1.04</v>
      </c>
      <c r="ES7" s="1258">
        <v>1.1200000000000001</v>
      </c>
      <c r="ET7" s="1258">
        <v>1.19</v>
      </c>
      <c r="EU7" s="1258">
        <v>1.25</v>
      </c>
      <c r="EV7" s="1258">
        <v>1.31</v>
      </c>
      <c r="EW7" s="1258">
        <v>1.36</v>
      </c>
      <c r="EX7" s="1258">
        <v>1.4</v>
      </c>
      <c r="EY7" s="1258">
        <v>1.44</v>
      </c>
      <c r="EZ7" s="1259">
        <v>1.48</v>
      </c>
      <c r="FA7" s="1257">
        <v>1.51</v>
      </c>
      <c r="FB7" s="1258">
        <v>1.53</v>
      </c>
      <c r="FC7" s="1258">
        <v>1.55</v>
      </c>
      <c r="FD7" s="1258">
        <v>1.57</v>
      </c>
      <c r="FE7" s="1258">
        <v>1.58</v>
      </c>
      <c r="FF7" s="1258">
        <v>1.59</v>
      </c>
      <c r="FG7" s="1258">
        <v>1.6</v>
      </c>
      <c r="FH7" s="1258">
        <v>1.6</v>
      </c>
      <c r="FI7" s="1258">
        <v>1.61</v>
      </c>
      <c r="FJ7" s="1259">
        <v>1.61</v>
      </c>
      <c r="FK7" s="1258">
        <v>1.61</v>
      </c>
      <c r="FL7" s="1258"/>
      <c r="FM7" s="1259"/>
    </row>
    <row r="8" spans="1:169" s="1516" customFormat="1" ht="12.5">
      <c r="A8" s="1515" t="s">
        <v>1369</v>
      </c>
      <c r="B8" s="1176">
        <v>19</v>
      </c>
      <c r="C8" s="1257"/>
      <c r="D8" s="1258">
        <v>0.03</v>
      </c>
      <c r="E8" s="1258">
        <v>0.04</v>
      </c>
      <c r="F8" s="1258">
        <v>0.05</v>
      </c>
      <c r="G8" s="1258">
        <v>7.0000000000000007E-2</v>
      </c>
      <c r="H8" s="1258">
        <v>0.08</v>
      </c>
      <c r="I8" s="1258">
        <v>0.1</v>
      </c>
      <c r="J8" s="1258">
        <v>0.11</v>
      </c>
      <c r="K8" s="1259">
        <v>0.13</v>
      </c>
      <c r="L8" s="1257">
        <v>0.14000000000000001</v>
      </c>
      <c r="M8" s="1258">
        <v>0.16</v>
      </c>
      <c r="N8" s="1258">
        <v>0.17</v>
      </c>
      <c r="O8" s="1258">
        <v>0.19</v>
      </c>
      <c r="P8" s="1258">
        <v>0.2</v>
      </c>
      <c r="Q8" s="1258">
        <v>0.22</v>
      </c>
      <c r="R8" s="1258">
        <v>0.23</v>
      </c>
      <c r="S8" s="1258">
        <v>0.25</v>
      </c>
      <c r="T8" s="1258">
        <v>0.27</v>
      </c>
      <c r="U8" s="1259">
        <v>0.28000000000000003</v>
      </c>
      <c r="V8" s="1257">
        <v>0.3</v>
      </c>
      <c r="W8" s="1258">
        <v>0.32</v>
      </c>
      <c r="X8" s="1258">
        <v>0.34</v>
      </c>
      <c r="Y8" s="1258">
        <v>0.35</v>
      </c>
      <c r="Z8" s="1258">
        <v>0.37</v>
      </c>
      <c r="AA8" s="1258">
        <v>0.39</v>
      </c>
      <c r="AB8" s="1258">
        <v>0.41</v>
      </c>
      <c r="AC8" s="1258">
        <v>0.44</v>
      </c>
      <c r="AD8" s="1258">
        <v>0.46</v>
      </c>
      <c r="AE8" s="1259">
        <v>0.48</v>
      </c>
      <c r="AF8" s="1257">
        <v>0.5</v>
      </c>
      <c r="AG8" s="1258">
        <v>0.53</v>
      </c>
      <c r="AH8" s="1258">
        <v>0.55000000000000004</v>
      </c>
      <c r="AI8" s="1258">
        <v>0.57999999999999996</v>
      </c>
      <c r="AJ8" s="1258">
        <v>0.61</v>
      </c>
      <c r="AK8" s="1258">
        <v>0.64</v>
      </c>
      <c r="AL8" s="1258">
        <v>0.67</v>
      </c>
      <c r="AM8" s="1258">
        <v>0.7</v>
      </c>
      <c r="AN8" s="1258">
        <v>0.73</v>
      </c>
      <c r="AO8" s="1259">
        <v>0.77</v>
      </c>
      <c r="AP8" s="1257">
        <v>0.8</v>
      </c>
      <c r="AQ8" s="1258">
        <v>0.84</v>
      </c>
      <c r="AR8" s="1258">
        <v>0.88</v>
      </c>
      <c r="AS8" s="1258">
        <v>0.92</v>
      </c>
      <c r="AT8" s="1258">
        <v>0.97</v>
      </c>
      <c r="AU8" s="1258">
        <v>1.01</v>
      </c>
      <c r="AV8" s="1258">
        <v>1.06</v>
      </c>
      <c r="AW8" s="1258">
        <v>1.1100000000000001</v>
      </c>
      <c r="AX8" s="1258">
        <v>1.1599999999999999</v>
      </c>
      <c r="AY8" s="1259">
        <v>1.22</v>
      </c>
      <c r="AZ8" s="1257">
        <v>1.28</v>
      </c>
      <c r="BA8" s="1258">
        <v>1.34</v>
      </c>
      <c r="BB8" s="1258">
        <v>1.4</v>
      </c>
      <c r="BC8" s="1258">
        <v>1.47</v>
      </c>
      <c r="BD8" s="1258">
        <v>1.54</v>
      </c>
      <c r="BE8" s="1258">
        <v>1.61</v>
      </c>
      <c r="BF8" s="1258">
        <v>1.69</v>
      </c>
      <c r="BG8" s="1258">
        <v>1.77</v>
      </c>
      <c r="BH8" s="1258">
        <v>1.85</v>
      </c>
      <c r="BI8" s="1259">
        <v>1.93</v>
      </c>
      <c r="BJ8" s="1257">
        <v>2.0099999999999998</v>
      </c>
      <c r="BK8" s="1258">
        <v>2.1</v>
      </c>
      <c r="BL8" s="1258">
        <v>2.1800000000000002</v>
      </c>
      <c r="BM8" s="1258">
        <v>2.25</v>
      </c>
      <c r="BN8" s="1258">
        <v>2.31</v>
      </c>
      <c r="BO8" s="1258">
        <v>2.37</v>
      </c>
      <c r="BP8" s="1258">
        <v>2.41</v>
      </c>
      <c r="BQ8" s="1258">
        <v>2.4500000000000002</v>
      </c>
      <c r="BR8" s="1258">
        <v>2.4900000000000002</v>
      </c>
      <c r="BS8" s="1259">
        <v>2.52</v>
      </c>
      <c r="BT8" s="1257">
        <v>2.54</v>
      </c>
      <c r="BU8" s="1258">
        <v>2.56</v>
      </c>
      <c r="BV8" s="1258">
        <v>2.57</v>
      </c>
      <c r="BW8" s="1258">
        <v>2.58</v>
      </c>
      <c r="BX8" s="1258">
        <v>2.59</v>
      </c>
      <c r="BY8" s="1258">
        <v>2.59</v>
      </c>
      <c r="BZ8" s="1258">
        <v>2.6</v>
      </c>
      <c r="CA8" s="1258">
        <v>2.6</v>
      </c>
      <c r="CB8" s="1258">
        <v>2.6</v>
      </c>
      <c r="CC8" s="1259">
        <v>2.6</v>
      </c>
      <c r="CD8" s="1258"/>
      <c r="CE8" s="1258"/>
      <c r="CF8" s="1259"/>
      <c r="CH8" s="1515" t="str">
        <f t="shared" si="0"/>
        <v>WPTPDF19</v>
      </c>
      <c r="CI8" s="1176">
        <v>19</v>
      </c>
      <c r="CJ8" s="1257"/>
      <c r="CK8" s="1258">
        <v>0.01</v>
      </c>
      <c r="CL8" s="1258">
        <v>0.01</v>
      </c>
      <c r="CM8" s="1258">
        <v>0.02</v>
      </c>
      <c r="CN8" s="1258">
        <v>0.02</v>
      </c>
      <c r="CO8" s="1258">
        <v>0.03</v>
      </c>
      <c r="CP8" s="1258">
        <v>0.03</v>
      </c>
      <c r="CQ8" s="1258">
        <v>0.04</v>
      </c>
      <c r="CR8" s="1259">
        <v>0.04</v>
      </c>
      <c r="CS8" s="1257">
        <v>0.05</v>
      </c>
      <c r="CT8" s="1258">
        <v>0.05</v>
      </c>
      <c r="CU8" s="1258">
        <v>0.06</v>
      </c>
      <c r="CV8" s="1258">
        <v>0.06</v>
      </c>
      <c r="CW8" s="1258">
        <v>7.0000000000000007E-2</v>
      </c>
      <c r="CX8" s="1258">
        <v>7.0000000000000007E-2</v>
      </c>
      <c r="CY8" s="1258">
        <v>0.08</v>
      </c>
      <c r="CZ8" s="1258">
        <v>0.08</v>
      </c>
      <c r="DA8" s="1258">
        <v>0.09</v>
      </c>
      <c r="DB8" s="1259">
        <v>0.09</v>
      </c>
      <c r="DC8" s="1257">
        <v>0.1</v>
      </c>
      <c r="DD8" s="1258">
        <v>0.11</v>
      </c>
      <c r="DE8" s="1258">
        <v>0.11</v>
      </c>
      <c r="DF8" s="1258">
        <v>0.12</v>
      </c>
      <c r="DG8" s="1258">
        <v>0.13</v>
      </c>
      <c r="DH8" s="1258">
        <v>0.13</v>
      </c>
      <c r="DI8" s="1258">
        <v>0.14000000000000001</v>
      </c>
      <c r="DJ8" s="1258">
        <v>0.15</v>
      </c>
      <c r="DK8" s="1258">
        <v>0.16</v>
      </c>
      <c r="DL8" s="1259">
        <v>0.17</v>
      </c>
      <c r="DM8" s="1257">
        <v>0.18</v>
      </c>
      <c r="DN8" s="1258">
        <v>0.19</v>
      </c>
      <c r="DO8" s="1258">
        <v>0.2</v>
      </c>
      <c r="DP8" s="1258">
        <v>0.21</v>
      </c>
      <c r="DQ8" s="1258">
        <v>0.22</v>
      </c>
      <c r="DR8" s="1258">
        <v>0.23</v>
      </c>
      <c r="DS8" s="1258">
        <v>0.24</v>
      </c>
      <c r="DT8" s="1258">
        <v>0.26</v>
      </c>
      <c r="DU8" s="1258">
        <v>0.27</v>
      </c>
      <c r="DV8" s="1259">
        <v>0.28000000000000003</v>
      </c>
      <c r="DW8" s="1257">
        <v>0.3</v>
      </c>
      <c r="DX8" s="1258">
        <v>0.32</v>
      </c>
      <c r="DY8" s="1258">
        <v>0.34</v>
      </c>
      <c r="DZ8" s="1258">
        <v>0.36</v>
      </c>
      <c r="EA8" s="1258">
        <v>0.38</v>
      </c>
      <c r="EB8" s="1258">
        <v>0.4</v>
      </c>
      <c r="EC8" s="1258">
        <v>0.43</v>
      </c>
      <c r="ED8" s="1258">
        <v>0.45</v>
      </c>
      <c r="EE8" s="1258">
        <v>0.48</v>
      </c>
      <c r="EF8" s="1259">
        <v>0.51</v>
      </c>
      <c r="EG8" s="1257">
        <v>0.54</v>
      </c>
      <c r="EH8" s="1258">
        <v>0.57999999999999996</v>
      </c>
      <c r="EI8" s="1258">
        <v>0.62</v>
      </c>
      <c r="EJ8" s="1258">
        <v>0.66</v>
      </c>
      <c r="EK8" s="1258">
        <v>0.71</v>
      </c>
      <c r="EL8" s="1258">
        <v>0.76</v>
      </c>
      <c r="EM8" s="1258">
        <v>0.81</v>
      </c>
      <c r="EN8" s="1258">
        <v>0.87</v>
      </c>
      <c r="EO8" s="1258">
        <v>0.93</v>
      </c>
      <c r="EP8" s="1259">
        <v>0.99</v>
      </c>
      <c r="EQ8" s="1257">
        <v>1.06</v>
      </c>
      <c r="ER8" s="1258">
        <v>1.1399999999999999</v>
      </c>
      <c r="ES8" s="1258">
        <v>1.21</v>
      </c>
      <c r="ET8" s="1258">
        <v>1.27</v>
      </c>
      <c r="EU8" s="1258">
        <v>1.33</v>
      </c>
      <c r="EV8" s="1258">
        <v>1.38</v>
      </c>
      <c r="EW8" s="1258">
        <v>1.43</v>
      </c>
      <c r="EX8" s="1258">
        <v>1.47</v>
      </c>
      <c r="EY8" s="1258">
        <v>1.5</v>
      </c>
      <c r="EZ8" s="1259">
        <v>1.53</v>
      </c>
      <c r="FA8" s="1257">
        <v>1.56</v>
      </c>
      <c r="FB8" s="1258">
        <v>1.58</v>
      </c>
      <c r="FC8" s="1258">
        <v>1.6</v>
      </c>
      <c r="FD8" s="1258">
        <v>1.61</v>
      </c>
      <c r="FE8" s="1258">
        <v>1.62</v>
      </c>
      <c r="FF8" s="1258">
        <v>1.63</v>
      </c>
      <c r="FG8" s="1258">
        <v>1.63</v>
      </c>
      <c r="FH8" s="1258">
        <v>1.63</v>
      </c>
      <c r="FI8" s="1258">
        <v>1.64</v>
      </c>
      <c r="FJ8" s="1259">
        <v>1.64</v>
      </c>
      <c r="FK8" s="1258"/>
      <c r="FL8" s="1258"/>
      <c r="FM8" s="1259"/>
    </row>
    <row r="9" spans="1:169" s="1516" customFormat="1" ht="12.5">
      <c r="A9" s="1515" t="s">
        <v>1370</v>
      </c>
      <c r="B9" s="1176">
        <v>20</v>
      </c>
      <c r="C9" s="1257"/>
      <c r="D9" s="1258">
        <v>0.03</v>
      </c>
      <c r="E9" s="1258">
        <v>0.04</v>
      </c>
      <c r="F9" s="1258">
        <v>0.06</v>
      </c>
      <c r="G9" s="1258">
        <v>7.0000000000000007E-2</v>
      </c>
      <c r="H9" s="1258">
        <v>0.09</v>
      </c>
      <c r="I9" s="1258">
        <v>0.1</v>
      </c>
      <c r="J9" s="1258">
        <v>0.12</v>
      </c>
      <c r="K9" s="1259">
        <v>0.13</v>
      </c>
      <c r="L9" s="1257">
        <v>0.15</v>
      </c>
      <c r="M9" s="1258">
        <v>0.16</v>
      </c>
      <c r="N9" s="1258">
        <v>0.18</v>
      </c>
      <c r="O9" s="1258">
        <v>0.19</v>
      </c>
      <c r="P9" s="1258">
        <v>0.21</v>
      </c>
      <c r="Q9" s="1258">
        <v>0.22</v>
      </c>
      <c r="R9" s="1258">
        <v>0.24</v>
      </c>
      <c r="S9" s="1258">
        <v>0.26</v>
      </c>
      <c r="T9" s="1258">
        <v>0.27</v>
      </c>
      <c r="U9" s="1259">
        <v>0.28999999999999998</v>
      </c>
      <c r="V9" s="1257">
        <v>0.31</v>
      </c>
      <c r="W9" s="1258">
        <v>0.33</v>
      </c>
      <c r="X9" s="1258">
        <v>0.35</v>
      </c>
      <c r="Y9" s="1258">
        <v>0.37</v>
      </c>
      <c r="Z9" s="1258">
        <v>0.39</v>
      </c>
      <c r="AA9" s="1258">
        <v>0.41</v>
      </c>
      <c r="AB9" s="1258">
        <v>0.43</v>
      </c>
      <c r="AC9" s="1258">
        <v>0.45</v>
      </c>
      <c r="AD9" s="1258">
        <v>0.47</v>
      </c>
      <c r="AE9" s="1259">
        <v>0.5</v>
      </c>
      <c r="AF9" s="1257">
        <v>0.52</v>
      </c>
      <c r="AG9" s="1258">
        <v>0.55000000000000004</v>
      </c>
      <c r="AH9" s="1258">
        <v>0.57999999999999996</v>
      </c>
      <c r="AI9" s="1258">
        <v>0.61</v>
      </c>
      <c r="AJ9" s="1258">
        <v>0.63</v>
      </c>
      <c r="AK9" s="1258">
        <v>0.67</v>
      </c>
      <c r="AL9" s="1258">
        <v>0.7</v>
      </c>
      <c r="AM9" s="1258">
        <v>0.73</v>
      </c>
      <c r="AN9" s="1258">
        <v>0.77</v>
      </c>
      <c r="AO9" s="1259">
        <v>0.8</v>
      </c>
      <c r="AP9" s="1257">
        <v>0.84</v>
      </c>
      <c r="AQ9" s="1258">
        <v>0.88</v>
      </c>
      <c r="AR9" s="1258">
        <v>0.92</v>
      </c>
      <c r="AS9" s="1258">
        <v>0.97</v>
      </c>
      <c r="AT9" s="1258">
        <v>1.02</v>
      </c>
      <c r="AU9" s="1258">
        <v>1.06</v>
      </c>
      <c r="AV9" s="1258">
        <v>1.1200000000000001</v>
      </c>
      <c r="AW9" s="1258">
        <v>1.17</v>
      </c>
      <c r="AX9" s="1258">
        <v>1.23</v>
      </c>
      <c r="AY9" s="1259">
        <v>1.29</v>
      </c>
      <c r="AZ9" s="1257">
        <v>1.35</v>
      </c>
      <c r="BA9" s="1258">
        <v>1.42</v>
      </c>
      <c r="BB9" s="1258">
        <v>1.48</v>
      </c>
      <c r="BC9" s="1258">
        <v>1.56</v>
      </c>
      <c r="BD9" s="1258">
        <v>1.63</v>
      </c>
      <c r="BE9" s="1258">
        <v>1.71</v>
      </c>
      <c r="BF9" s="1258">
        <v>1.79</v>
      </c>
      <c r="BG9" s="1258">
        <v>1.87</v>
      </c>
      <c r="BH9" s="1258">
        <v>1.95</v>
      </c>
      <c r="BI9" s="1259">
        <v>2.0299999999999998</v>
      </c>
      <c r="BJ9" s="1257">
        <v>2.12</v>
      </c>
      <c r="BK9" s="1258">
        <v>2.21</v>
      </c>
      <c r="BL9" s="1258">
        <v>2.2799999999999998</v>
      </c>
      <c r="BM9" s="1258">
        <v>2.34</v>
      </c>
      <c r="BN9" s="1258">
        <v>2.4</v>
      </c>
      <c r="BO9" s="1258">
        <v>2.4500000000000002</v>
      </c>
      <c r="BP9" s="1258">
        <v>2.4900000000000002</v>
      </c>
      <c r="BQ9" s="1258">
        <v>2.52</v>
      </c>
      <c r="BR9" s="1258">
        <v>2.5499999999999998</v>
      </c>
      <c r="BS9" s="1259">
        <v>2.58</v>
      </c>
      <c r="BT9" s="1257">
        <v>2.59</v>
      </c>
      <c r="BU9" s="1258">
        <v>2.61</v>
      </c>
      <c r="BV9" s="1258">
        <v>2.62</v>
      </c>
      <c r="BW9" s="1258">
        <v>2.63</v>
      </c>
      <c r="BX9" s="1258">
        <v>2.63</v>
      </c>
      <c r="BY9" s="1258">
        <v>2.64</v>
      </c>
      <c r="BZ9" s="1258">
        <v>2.64</v>
      </c>
      <c r="CA9" s="1258">
        <v>2.64</v>
      </c>
      <c r="CB9" s="1258">
        <v>2.64</v>
      </c>
      <c r="CC9" s="1259"/>
      <c r="CD9" s="1258"/>
      <c r="CE9" s="1258"/>
      <c r="CF9" s="1259"/>
      <c r="CH9" s="1515" t="str">
        <f t="shared" si="0"/>
        <v>WPTPDF20</v>
      </c>
      <c r="CI9" s="1176">
        <v>20</v>
      </c>
      <c r="CJ9" s="1257"/>
      <c r="CK9" s="1258">
        <v>0.01</v>
      </c>
      <c r="CL9" s="1258">
        <v>0.01</v>
      </c>
      <c r="CM9" s="1258">
        <v>0.02</v>
      </c>
      <c r="CN9" s="1258">
        <v>0.02</v>
      </c>
      <c r="CO9" s="1258">
        <v>0.03</v>
      </c>
      <c r="CP9" s="1258">
        <v>0.03</v>
      </c>
      <c r="CQ9" s="1258">
        <v>0.04</v>
      </c>
      <c r="CR9" s="1259">
        <v>0.04</v>
      </c>
      <c r="CS9" s="1257">
        <v>0.05</v>
      </c>
      <c r="CT9" s="1258">
        <v>0.05</v>
      </c>
      <c r="CU9" s="1258">
        <v>0.06</v>
      </c>
      <c r="CV9" s="1258">
        <v>0.06</v>
      </c>
      <c r="CW9" s="1258">
        <v>7.0000000000000007E-2</v>
      </c>
      <c r="CX9" s="1258">
        <v>7.0000000000000007E-2</v>
      </c>
      <c r="CY9" s="1258">
        <v>0.08</v>
      </c>
      <c r="CZ9" s="1258">
        <v>0.09</v>
      </c>
      <c r="DA9" s="1258">
        <v>0.09</v>
      </c>
      <c r="DB9" s="1259">
        <v>0.1</v>
      </c>
      <c r="DC9" s="1257">
        <v>0.1</v>
      </c>
      <c r="DD9" s="1258">
        <v>0.11</v>
      </c>
      <c r="DE9" s="1258">
        <v>0.12</v>
      </c>
      <c r="DF9" s="1258">
        <v>0.12</v>
      </c>
      <c r="DG9" s="1258">
        <v>0.13</v>
      </c>
      <c r="DH9" s="1258">
        <v>0.14000000000000001</v>
      </c>
      <c r="DI9" s="1258">
        <v>0.15</v>
      </c>
      <c r="DJ9" s="1258">
        <v>0.16</v>
      </c>
      <c r="DK9" s="1258">
        <v>0.16</v>
      </c>
      <c r="DL9" s="1259">
        <v>0.17</v>
      </c>
      <c r="DM9" s="1257">
        <v>0.18</v>
      </c>
      <c r="DN9" s="1258">
        <v>0.19</v>
      </c>
      <c r="DO9" s="1258">
        <v>0.2</v>
      </c>
      <c r="DP9" s="1258">
        <v>0.22</v>
      </c>
      <c r="DQ9" s="1258">
        <v>0.23</v>
      </c>
      <c r="DR9" s="1258">
        <v>0.24</v>
      </c>
      <c r="DS9" s="1258">
        <v>0.26</v>
      </c>
      <c r="DT9" s="1258">
        <v>0.27</v>
      </c>
      <c r="DU9" s="1258">
        <v>0.28999999999999998</v>
      </c>
      <c r="DV9" s="1259">
        <v>0.3</v>
      </c>
      <c r="DW9" s="1257">
        <v>0.32</v>
      </c>
      <c r="DX9" s="1258">
        <v>0.34</v>
      </c>
      <c r="DY9" s="1258">
        <v>0.36</v>
      </c>
      <c r="DZ9" s="1258">
        <v>0.38</v>
      </c>
      <c r="EA9" s="1258">
        <v>0.4</v>
      </c>
      <c r="EB9" s="1258">
        <v>0.43</v>
      </c>
      <c r="EC9" s="1258">
        <v>0.46</v>
      </c>
      <c r="ED9" s="1258">
        <v>0.48</v>
      </c>
      <c r="EE9" s="1258">
        <v>0.52</v>
      </c>
      <c r="EF9" s="1259">
        <v>0.55000000000000004</v>
      </c>
      <c r="EG9" s="1257">
        <v>0.59</v>
      </c>
      <c r="EH9" s="1258">
        <v>0.63</v>
      </c>
      <c r="EI9" s="1258">
        <v>0.67</v>
      </c>
      <c r="EJ9" s="1258">
        <v>0.72</v>
      </c>
      <c r="EK9" s="1258">
        <v>0.77</v>
      </c>
      <c r="EL9" s="1258">
        <v>0.82</v>
      </c>
      <c r="EM9" s="1258">
        <v>0.88</v>
      </c>
      <c r="EN9" s="1258">
        <v>0.94</v>
      </c>
      <c r="EO9" s="1258">
        <v>1.01</v>
      </c>
      <c r="EP9" s="1259">
        <v>1.08</v>
      </c>
      <c r="EQ9" s="1257">
        <v>1.1499999999999999</v>
      </c>
      <c r="ER9" s="1258">
        <v>1.23</v>
      </c>
      <c r="ES9" s="1258">
        <v>1.29</v>
      </c>
      <c r="ET9" s="1258">
        <v>1.35</v>
      </c>
      <c r="EU9" s="1258">
        <v>1.41</v>
      </c>
      <c r="EV9" s="1258">
        <v>1.45</v>
      </c>
      <c r="EW9" s="1258">
        <v>1.5</v>
      </c>
      <c r="EX9" s="1258">
        <v>1.53</v>
      </c>
      <c r="EY9" s="1258">
        <v>1.56</v>
      </c>
      <c r="EZ9" s="1259">
        <v>1.59</v>
      </c>
      <c r="FA9" s="1257">
        <v>1.61</v>
      </c>
      <c r="FB9" s="1258">
        <v>1.62</v>
      </c>
      <c r="FC9" s="1258">
        <v>1.64</v>
      </c>
      <c r="FD9" s="1258">
        <v>1.65</v>
      </c>
      <c r="FE9" s="1258">
        <v>1.66</v>
      </c>
      <c r="FF9" s="1258">
        <v>1.66</v>
      </c>
      <c r="FG9" s="1258">
        <v>1.66</v>
      </c>
      <c r="FH9" s="1258">
        <v>1.67</v>
      </c>
      <c r="FI9" s="1258">
        <v>1.67</v>
      </c>
      <c r="FJ9" s="1259"/>
      <c r="FK9" s="1258"/>
      <c r="FL9" s="1258"/>
      <c r="FM9" s="1259"/>
    </row>
    <row r="10" spans="1:169" s="1516" customFormat="1" ht="12.5">
      <c r="A10" s="1515" t="s">
        <v>1371</v>
      </c>
      <c r="B10" s="1177">
        <v>21</v>
      </c>
      <c r="C10" s="1260"/>
      <c r="D10" s="1261">
        <v>0.03</v>
      </c>
      <c r="E10" s="1261">
        <v>0.04</v>
      </c>
      <c r="F10" s="1261">
        <v>0.06</v>
      </c>
      <c r="G10" s="1261">
        <v>7.0000000000000007E-2</v>
      </c>
      <c r="H10" s="1261">
        <v>0.09</v>
      </c>
      <c r="I10" s="1261">
        <v>0.1</v>
      </c>
      <c r="J10" s="1261">
        <v>0.12</v>
      </c>
      <c r="K10" s="1262">
        <v>0.13</v>
      </c>
      <c r="L10" s="1260">
        <v>0.15</v>
      </c>
      <c r="M10" s="1261">
        <v>0.16</v>
      </c>
      <c r="N10" s="1261">
        <v>0.18</v>
      </c>
      <c r="O10" s="1261">
        <v>0.2</v>
      </c>
      <c r="P10" s="1261">
        <v>0.21</v>
      </c>
      <c r="Q10" s="1261">
        <v>0.23</v>
      </c>
      <c r="R10" s="1261">
        <v>0.25</v>
      </c>
      <c r="S10" s="1261">
        <v>0.26</v>
      </c>
      <c r="T10" s="1261">
        <v>0.28000000000000003</v>
      </c>
      <c r="U10" s="1262">
        <v>0.3</v>
      </c>
      <c r="V10" s="1260">
        <v>0.32</v>
      </c>
      <c r="W10" s="1261">
        <v>0.34</v>
      </c>
      <c r="X10" s="1261">
        <v>0.36</v>
      </c>
      <c r="Y10" s="1261">
        <v>0.38</v>
      </c>
      <c r="Z10" s="1261">
        <v>0.4</v>
      </c>
      <c r="AA10" s="1261">
        <v>0.42</v>
      </c>
      <c r="AB10" s="1261">
        <v>0.44</v>
      </c>
      <c r="AC10" s="1261">
        <v>0.47</v>
      </c>
      <c r="AD10" s="1261">
        <v>0.49</v>
      </c>
      <c r="AE10" s="1262">
        <v>0.52</v>
      </c>
      <c r="AF10" s="1260">
        <v>0.54</v>
      </c>
      <c r="AG10" s="1261">
        <v>0.56999999999999995</v>
      </c>
      <c r="AH10" s="1261">
        <v>0.6</v>
      </c>
      <c r="AI10" s="1261">
        <v>0.63</v>
      </c>
      <c r="AJ10" s="1261">
        <v>0.66</v>
      </c>
      <c r="AK10" s="1261">
        <v>0.69</v>
      </c>
      <c r="AL10" s="1261">
        <v>0.73</v>
      </c>
      <c r="AM10" s="1261">
        <v>0.76</v>
      </c>
      <c r="AN10" s="1261">
        <v>0.8</v>
      </c>
      <c r="AO10" s="1262">
        <v>0.84</v>
      </c>
      <c r="AP10" s="1260">
        <v>0.88</v>
      </c>
      <c r="AQ10" s="1261">
        <v>0.93</v>
      </c>
      <c r="AR10" s="1261">
        <v>0.97</v>
      </c>
      <c r="AS10" s="1261">
        <v>1.02</v>
      </c>
      <c r="AT10" s="1261">
        <v>1.07</v>
      </c>
      <c r="AU10" s="1261">
        <v>1.1200000000000001</v>
      </c>
      <c r="AV10" s="1261">
        <v>1.18</v>
      </c>
      <c r="AW10" s="1261">
        <v>1.23</v>
      </c>
      <c r="AX10" s="1261">
        <v>1.3</v>
      </c>
      <c r="AY10" s="1262">
        <v>1.36</v>
      </c>
      <c r="AZ10" s="1260">
        <v>1.43</v>
      </c>
      <c r="BA10" s="1261">
        <v>1.5</v>
      </c>
      <c r="BB10" s="1261">
        <v>1.57</v>
      </c>
      <c r="BC10" s="1261">
        <v>1.65</v>
      </c>
      <c r="BD10" s="1261">
        <v>1.72</v>
      </c>
      <c r="BE10" s="1261">
        <v>1.8</v>
      </c>
      <c r="BF10" s="1261">
        <v>1.89</v>
      </c>
      <c r="BG10" s="1261">
        <v>1.97</v>
      </c>
      <c r="BH10" s="1261">
        <v>2.0499999999999998</v>
      </c>
      <c r="BI10" s="1262">
        <v>2.15</v>
      </c>
      <c r="BJ10" s="1260">
        <v>2.23</v>
      </c>
      <c r="BK10" s="1261">
        <v>2.31</v>
      </c>
      <c r="BL10" s="1261">
        <v>2.38</v>
      </c>
      <c r="BM10" s="1261">
        <v>2.4300000000000002</v>
      </c>
      <c r="BN10" s="1261">
        <v>2.48</v>
      </c>
      <c r="BO10" s="1261">
        <v>2.52</v>
      </c>
      <c r="BP10" s="1261">
        <v>2.56</v>
      </c>
      <c r="BQ10" s="1261">
        <v>2.59</v>
      </c>
      <c r="BR10" s="1261">
        <v>2.61</v>
      </c>
      <c r="BS10" s="1262">
        <v>2.63</v>
      </c>
      <c r="BT10" s="1260">
        <v>2.65</v>
      </c>
      <c r="BU10" s="1261">
        <v>2.66</v>
      </c>
      <c r="BV10" s="1261">
        <v>2.67</v>
      </c>
      <c r="BW10" s="1261">
        <v>2.67</v>
      </c>
      <c r="BX10" s="1261">
        <v>2.68</v>
      </c>
      <c r="BY10" s="1261">
        <v>2.68</v>
      </c>
      <c r="BZ10" s="1261">
        <v>2.68</v>
      </c>
      <c r="CA10" s="1261">
        <v>2.68</v>
      </c>
      <c r="CB10" s="1261"/>
      <c r="CC10" s="1262"/>
      <c r="CD10" s="1261"/>
      <c r="CE10" s="1261"/>
      <c r="CF10" s="1262"/>
      <c r="CH10" s="1515" t="str">
        <f t="shared" si="0"/>
        <v>WPTPDF21</v>
      </c>
      <c r="CI10" s="1177">
        <v>21</v>
      </c>
      <c r="CJ10" s="1260"/>
      <c r="CK10" s="1261">
        <v>0.01</v>
      </c>
      <c r="CL10" s="1261">
        <v>0.01</v>
      </c>
      <c r="CM10" s="1261">
        <v>0.02</v>
      </c>
      <c r="CN10" s="1261">
        <v>0.02</v>
      </c>
      <c r="CO10" s="1261">
        <v>0.03</v>
      </c>
      <c r="CP10" s="1261">
        <v>0.03</v>
      </c>
      <c r="CQ10" s="1261">
        <v>0.04</v>
      </c>
      <c r="CR10" s="1262">
        <v>0.04</v>
      </c>
      <c r="CS10" s="1260">
        <v>0.05</v>
      </c>
      <c r="CT10" s="1261">
        <v>0.05</v>
      </c>
      <c r="CU10" s="1261">
        <v>0.06</v>
      </c>
      <c r="CV10" s="1261">
        <v>7.0000000000000007E-2</v>
      </c>
      <c r="CW10" s="1261">
        <v>7.0000000000000007E-2</v>
      </c>
      <c r="CX10" s="1261">
        <v>0.08</v>
      </c>
      <c r="CY10" s="1261">
        <v>0.08</v>
      </c>
      <c r="CZ10" s="1261">
        <v>0.09</v>
      </c>
      <c r="DA10" s="1261">
        <v>0.09</v>
      </c>
      <c r="DB10" s="1262">
        <v>0.1</v>
      </c>
      <c r="DC10" s="1260">
        <v>0.11</v>
      </c>
      <c r="DD10" s="1261">
        <v>0.11</v>
      </c>
      <c r="DE10" s="1261">
        <v>0.12</v>
      </c>
      <c r="DF10" s="1261">
        <v>0.13</v>
      </c>
      <c r="DG10" s="1261">
        <v>0.14000000000000001</v>
      </c>
      <c r="DH10" s="1261">
        <v>0.14000000000000001</v>
      </c>
      <c r="DI10" s="1261">
        <v>0.15</v>
      </c>
      <c r="DJ10" s="1261">
        <v>0.16</v>
      </c>
      <c r="DK10" s="1261">
        <v>0.17</v>
      </c>
      <c r="DL10" s="1262">
        <v>0.18</v>
      </c>
      <c r="DM10" s="1260">
        <v>0.19</v>
      </c>
      <c r="DN10" s="1261">
        <v>0.2</v>
      </c>
      <c r="DO10" s="1261">
        <v>0.22</v>
      </c>
      <c r="DP10" s="1261">
        <v>0.23</v>
      </c>
      <c r="DQ10" s="1261">
        <v>0.24</v>
      </c>
      <c r="DR10" s="1261">
        <v>0.25</v>
      </c>
      <c r="DS10" s="1261">
        <v>0.27</v>
      </c>
      <c r="DT10" s="1261">
        <v>0.28999999999999998</v>
      </c>
      <c r="DU10" s="1261">
        <v>0.3</v>
      </c>
      <c r="DV10" s="1262">
        <v>0.32</v>
      </c>
      <c r="DW10" s="1260">
        <v>0.34</v>
      </c>
      <c r="DX10" s="1261">
        <v>0.36</v>
      </c>
      <c r="DY10" s="1261">
        <v>0.38</v>
      </c>
      <c r="DZ10" s="1261">
        <v>0.41</v>
      </c>
      <c r="EA10" s="1261">
        <v>0.43</v>
      </c>
      <c r="EB10" s="1261">
        <v>0.46</v>
      </c>
      <c r="EC10" s="1261">
        <v>0.49</v>
      </c>
      <c r="ED10" s="1261">
        <v>0.52</v>
      </c>
      <c r="EE10" s="1261">
        <v>0.56000000000000005</v>
      </c>
      <c r="EF10" s="1262">
        <v>0.59</v>
      </c>
      <c r="EG10" s="1260">
        <v>0.63</v>
      </c>
      <c r="EH10" s="1261">
        <v>0.68</v>
      </c>
      <c r="EI10" s="1261">
        <v>0.73</v>
      </c>
      <c r="EJ10" s="1261">
        <v>0.78</v>
      </c>
      <c r="EK10" s="1261">
        <v>0.83</v>
      </c>
      <c r="EL10" s="1261">
        <v>0.89</v>
      </c>
      <c r="EM10" s="1261">
        <v>0.96</v>
      </c>
      <c r="EN10" s="1261">
        <v>1.02</v>
      </c>
      <c r="EO10" s="1261">
        <v>1.0900000000000001</v>
      </c>
      <c r="EP10" s="1262">
        <v>1.17</v>
      </c>
      <c r="EQ10" s="1260">
        <v>1.25</v>
      </c>
      <c r="ER10" s="1261">
        <v>1.32</v>
      </c>
      <c r="ES10" s="1261">
        <v>1.38</v>
      </c>
      <c r="ET10" s="1261">
        <v>1.43</v>
      </c>
      <c r="EU10" s="1261">
        <v>1.48</v>
      </c>
      <c r="EV10" s="1261">
        <v>1.52</v>
      </c>
      <c r="EW10" s="1261">
        <v>1.56</v>
      </c>
      <c r="EX10" s="1261">
        <v>1.59</v>
      </c>
      <c r="EY10" s="1261">
        <v>1.62</v>
      </c>
      <c r="EZ10" s="1262">
        <v>1.64</v>
      </c>
      <c r="FA10" s="1260">
        <v>1.65</v>
      </c>
      <c r="FB10" s="1261">
        <v>1.67</v>
      </c>
      <c r="FC10" s="1261">
        <v>1.68</v>
      </c>
      <c r="FD10" s="1261">
        <v>1.69</v>
      </c>
      <c r="FE10" s="1261">
        <v>1.69</v>
      </c>
      <c r="FF10" s="1261">
        <v>1.69</v>
      </c>
      <c r="FG10" s="1261">
        <v>1.7</v>
      </c>
      <c r="FH10" s="1261">
        <v>1.7</v>
      </c>
      <c r="FI10" s="1261"/>
      <c r="FJ10" s="1262"/>
      <c r="FK10" s="1261"/>
      <c r="FL10" s="1261"/>
      <c r="FM10" s="1262"/>
    </row>
    <row r="11" spans="1:169" s="1516" customFormat="1" ht="12.5">
      <c r="A11" s="1515" t="s">
        <v>1372</v>
      </c>
      <c r="B11" s="1176">
        <v>22</v>
      </c>
      <c r="C11" s="1257"/>
      <c r="D11" s="1258">
        <v>0.03</v>
      </c>
      <c r="E11" s="1258">
        <v>0.04</v>
      </c>
      <c r="F11" s="1258">
        <v>0.06</v>
      </c>
      <c r="G11" s="1258">
        <v>7.0000000000000007E-2</v>
      </c>
      <c r="H11" s="1258">
        <v>0.09</v>
      </c>
      <c r="I11" s="1258">
        <v>0.11</v>
      </c>
      <c r="J11" s="1258">
        <v>0.12</v>
      </c>
      <c r="K11" s="1259">
        <v>0.14000000000000001</v>
      </c>
      <c r="L11" s="1257">
        <v>0.15</v>
      </c>
      <c r="M11" s="1258">
        <v>0.17</v>
      </c>
      <c r="N11" s="1258">
        <v>0.18</v>
      </c>
      <c r="O11" s="1258">
        <v>0.2</v>
      </c>
      <c r="P11" s="1258">
        <v>0.22</v>
      </c>
      <c r="Q11" s="1258">
        <v>0.23</v>
      </c>
      <c r="R11" s="1258">
        <v>0.25</v>
      </c>
      <c r="S11" s="1258">
        <v>0.27</v>
      </c>
      <c r="T11" s="1258">
        <v>0.28999999999999998</v>
      </c>
      <c r="U11" s="1259">
        <v>0.31</v>
      </c>
      <c r="V11" s="1257">
        <v>0.33</v>
      </c>
      <c r="W11" s="1258">
        <v>0.35</v>
      </c>
      <c r="X11" s="1258">
        <v>0.37</v>
      </c>
      <c r="Y11" s="1258">
        <v>0.39</v>
      </c>
      <c r="Z11" s="1258">
        <v>0.41</v>
      </c>
      <c r="AA11" s="1258">
        <v>0.43</v>
      </c>
      <c r="AB11" s="1258">
        <v>0.46</v>
      </c>
      <c r="AC11" s="1258">
        <v>0.48</v>
      </c>
      <c r="AD11" s="1258">
        <v>0.51</v>
      </c>
      <c r="AE11" s="1259">
        <v>0.54</v>
      </c>
      <c r="AF11" s="1257">
        <v>0.56000000000000005</v>
      </c>
      <c r="AG11" s="1258">
        <v>0.59</v>
      </c>
      <c r="AH11" s="1258">
        <v>0.62</v>
      </c>
      <c r="AI11" s="1258">
        <v>0.66</v>
      </c>
      <c r="AJ11" s="1258">
        <v>0.69</v>
      </c>
      <c r="AK11" s="1258">
        <v>0.72</v>
      </c>
      <c r="AL11" s="1258">
        <v>0.76</v>
      </c>
      <c r="AM11" s="1258">
        <v>0.8</v>
      </c>
      <c r="AN11" s="1258">
        <v>0.84</v>
      </c>
      <c r="AO11" s="1259">
        <v>0.88</v>
      </c>
      <c r="AP11" s="1257">
        <v>0.93</v>
      </c>
      <c r="AQ11" s="1258">
        <v>0.97</v>
      </c>
      <c r="AR11" s="1258">
        <v>1.02</v>
      </c>
      <c r="AS11" s="1258">
        <v>1.07</v>
      </c>
      <c r="AT11" s="1258">
        <v>1.1299999999999999</v>
      </c>
      <c r="AU11" s="1258">
        <v>1.18</v>
      </c>
      <c r="AV11" s="1258">
        <v>1.24</v>
      </c>
      <c r="AW11" s="1258">
        <v>1.3</v>
      </c>
      <c r="AX11" s="1258">
        <v>1.37</v>
      </c>
      <c r="AY11" s="1259">
        <v>1.44</v>
      </c>
      <c r="AZ11" s="1257">
        <v>1.51</v>
      </c>
      <c r="BA11" s="1258">
        <v>1.58</v>
      </c>
      <c r="BB11" s="1258">
        <v>1.66</v>
      </c>
      <c r="BC11" s="1258">
        <v>1.74</v>
      </c>
      <c r="BD11" s="1258">
        <v>1.82</v>
      </c>
      <c r="BE11" s="1258">
        <v>1.91</v>
      </c>
      <c r="BF11" s="1258">
        <v>1.99</v>
      </c>
      <c r="BG11" s="1258">
        <v>2.08</v>
      </c>
      <c r="BH11" s="1258">
        <v>2.1800000000000002</v>
      </c>
      <c r="BI11" s="1259">
        <v>2.2599999999999998</v>
      </c>
      <c r="BJ11" s="1257">
        <v>2.34</v>
      </c>
      <c r="BK11" s="1258">
        <v>2.41</v>
      </c>
      <c r="BL11" s="1258">
        <v>2.4700000000000002</v>
      </c>
      <c r="BM11" s="1258">
        <v>2.52</v>
      </c>
      <c r="BN11" s="1258">
        <v>2.56</v>
      </c>
      <c r="BO11" s="1258">
        <v>2.6</v>
      </c>
      <c r="BP11" s="1258">
        <v>2.63</v>
      </c>
      <c r="BQ11" s="1258">
        <v>2.65</v>
      </c>
      <c r="BR11" s="1258">
        <v>2.67</v>
      </c>
      <c r="BS11" s="1259">
        <v>2.69</v>
      </c>
      <c r="BT11" s="1257">
        <v>2.7</v>
      </c>
      <c r="BU11" s="1258">
        <v>2.71</v>
      </c>
      <c r="BV11" s="1258">
        <v>2.71</v>
      </c>
      <c r="BW11" s="1258">
        <v>2.72</v>
      </c>
      <c r="BX11" s="1258">
        <v>2.72</v>
      </c>
      <c r="BY11" s="1258">
        <v>2.72</v>
      </c>
      <c r="BZ11" s="1258">
        <v>2.72</v>
      </c>
      <c r="CA11" s="1258"/>
      <c r="CB11" s="1258"/>
      <c r="CC11" s="1259"/>
      <c r="CD11" s="1258"/>
      <c r="CE11" s="1258"/>
      <c r="CF11" s="1259"/>
      <c r="CH11" s="1515" t="str">
        <f t="shared" si="0"/>
        <v>WPTPDF22</v>
      </c>
      <c r="CI11" s="1176">
        <v>22</v>
      </c>
      <c r="CJ11" s="1257"/>
      <c r="CK11" s="1258">
        <v>0.01</v>
      </c>
      <c r="CL11" s="1258">
        <v>0.01</v>
      </c>
      <c r="CM11" s="1258">
        <v>0.02</v>
      </c>
      <c r="CN11" s="1258">
        <v>0.02</v>
      </c>
      <c r="CO11" s="1258">
        <v>0.03</v>
      </c>
      <c r="CP11" s="1258">
        <v>0.03</v>
      </c>
      <c r="CQ11" s="1258">
        <v>0.04</v>
      </c>
      <c r="CR11" s="1259">
        <v>0.04</v>
      </c>
      <c r="CS11" s="1257">
        <v>0.05</v>
      </c>
      <c r="CT11" s="1258">
        <v>0.06</v>
      </c>
      <c r="CU11" s="1258">
        <v>0.06</v>
      </c>
      <c r="CV11" s="1258">
        <v>7.0000000000000007E-2</v>
      </c>
      <c r="CW11" s="1258">
        <v>7.0000000000000007E-2</v>
      </c>
      <c r="CX11" s="1258">
        <v>0.08</v>
      </c>
      <c r="CY11" s="1258">
        <v>0.08</v>
      </c>
      <c r="CZ11" s="1258">
        <v>0.09</v>
      </c>
      <c r="DA11" s="1258">
        <v>0.1</v>
      </c>
      <c r="DB11" s="1259">
        <v>0.1</v>
      </c>
      <c r="DC11" s="1257">
        <v>0.11</v>
      </c>
      <c r="DD11" s="1258">
        <v>0.12</v>
      </c>
      <c r="DE11" s="1258">
        <v>0.13</v>
      </c>
      <c r="DF11" s="1258">
        <v>0.13</v>
      </c>
      <c r="DG11" s="1258">
        <v>0.14000000000000001</v>
      </c>
      <c r="DH11" s="1258">
        <v>0.15</v>
      </c>
      <c r="DI11" s="1258">
        <v>0.16</v>
      </c>
      <c r="DJ11" s="1258">
        <v>0.17</v>
      </c>
      <c r="DK11" s="1258">
        <v>0.18</v>
      </c>
      <c r="DL11" s="1259">
        <v>0.19</v>
      </c>
      <c r="DM11" s="1257">
        <v>0.2</v>
      </c>
      <c r="DN11" s="1258">
        <v>0.21</v>
      </c>
      <c r="DO11" s="1258">
        <v>0.23</v>
      </c>
      <c r="DP11" s="1258">
        <v>0.24</v>
      </c>
      <c r="DQ11" s="1258">
        <v>0.25</v>
      </c>
      <c r="DR11" s="1258">
        <v>0.27</v>
      </c>
      <c r="DS11" s="1258">
        <v>0.28999999999999998</v>
      </c>
      <c r="DT11" s="1258">
        <v>0.3</v>
      </c>
      <c r="DU11" s="1258">
        <v>0.32</v>
      </c>
      <c r="DV11" s="1259">
        <v>0.34</v>
      </c>
      <c r="DW11" s="1257">
        <v>0.36</v>
      </c>
      <c r="DX11" s="1258">
        <v>0.38</v>
      </c>
      <c r="DY11" s="1258">
        <v>0.41</v>
      </c>
      <c r="DZ11" s="1258">
        <v>0.43</v>
      </c>
      <c r="EA11" s="1258">
        <v>0.46</v>
      </c>
      <c r="EB11" s="1258">
        <v>0.49</v>
      </c>
      <c r="EC11" s="1258">
        <v>0.53</v>
      </c>
      <c r="ED11" s="1258">
        <v>0.56000000000000005</v>
      </c>
      <c r="EE11" s="1258">
        <v>0.6</v>
      </c>
      <c r="EF11" s="1259">
        <v>0.64</v>
      </c>
      <c r="EG11" s="1257">
        <v>0.69</v>
      </c>
      <c r="EH11" s="1258">
        <v>0.74</v>
      </c>
      <c r="EI11" s="1258">
        <v>0.79</v>
      </c>
      <c r="EJ11" s="1258">
        <v>0.84</v>
      </c>
      <c r="EK11" s="1258">
        <v>0.91</v>
      </c>
      <c r="EL11" s="1258">
        <v>0.97</v>
      </c>
      <c r="EM11" s="1258">
        <v>1.04</v>
      </c>
      <c r="EN11" s="1258">
        <v>1.1100000000000001</v>
      </c>
      <c r="EO11" s="1258">
        <v>1.19</v>
      </c>
      <c r="EP11" s="1259">
        <v>1.27</v>
      </c>
      <c r="EQ11" s="1257">
        <v>1.34</v>
      </c>
      <c r="ER11" s="1258">
        <v>1.4</v>
      </c>
      <c r="ES11" s="1258">
        <v>1.46</v>
      </c>
      <c r="ET11" s="1258">
        <v>1.51</v>
      </c>
      <c r="EU11" s="1258">
        <v>1.55</v>
      </c>
      <c r="EV11" s="1258">
        <v>1.59</v>
      </c>
      <c r="EW11" s="1258">
        <v>1.62</v>
      </c>
      <c r="EX11" s="1258">
        <v>1.65</v>
      </c>
      <c r="EY11" s="1258">
        <v>1.67</v>
      </c>
      <c r="EZ11" s="1259">
        <v>1.68</v>
      </c>
      <c r="FA11" s="1257">
        <v>1.7</v>
      </c>
      <c r="FB11" s="1258">
        <v>1.71</v>
      </c>
      <c r="FC11" s="1258">
        <v>1.72</v>
      </c>
      <c r="FD11" s="1258">
        <v>1.72</v>
      </c>
      <c r="FE11" s="1258">
        <v>1.73</v>
      </c>
      <c r="FF11" s="1258">
        <v>1.73</v>
      </c>
      <c r="FG11" s="1258">
        <v>1.73</v>
      </c>
      <c r="FH11" s="1258"/>
      <c r="FI11" s="1258"/>
      <c r="FJ11" s="1259"/>
      <c r="FK11" s="1258"/>
      <c r="FL11" s="1258"/>
      <c r="FM11" s="1259"/>
    </row>
    <row r="12" spans="1:169" s="1516" customFormat="1" ht="12.5">
      <c r="A12" s="1515" t="s">
        <v>1373</v>
      </c>
      <c r="B12" s="1176">
        <v>23</v>
      </c>
      <c r="C12" s="1257"/>
      <c r="D12" s="1258">
        <v>0.03</v>
      </c>
      <c r="E12" s="1258">
        <v>0.05</v>
      </c>
      <c r="F12" s="1258">
        <v>0.06</v>
      </c>
      <c r="G12" s="1258">
        <v>0.08</v>
      </c>
      <c r="H12" s="1258">
        <v>0.09</v>
      </c>
      <c r="I12" s="1258">
        <v>0.11</v>
      </c>
      <c r="J12" s="1258">
        <v>0.12</v>
      </c>
      <c r="K12" s="1259">
        <v>0.14000000000000001</v>
      </c>
      <c r="L12" s="1257">
        <v>0.15</v>
      </c>
      <c r="M12" s="1258">
        <v>0.17</v>
      </c>
      <c r="N12" s="1258">
        <v>0.19</v>
      </c>
      <c r="O12" s="1258">
        <v>0.2</v>
      </c>
      <c r="P12" s="1258">
        <v>0.22</v>
      </c>
      <c r="Q12" s="1258">
        <v>0.24</v>
      </c>
      <c r="R12" s="1258">
        <v>0.26</v>
      </c>
      <c r="S12" s="1258">
        <v>0.28000000000000003</v>
      </c>
      <c r="T12" s="1258">
        <v>0.28999999999999998</v>
      </c>
      <c r="U12" s="1259">
        <v>0.31</v>
      </c>
      <c r="V12" s="1257">
        <v>0.34</v>
      </c>
      <c r="W12" s="1258">
        <v>0.36</v>
      </c>
      <c r="X12" s="1258">
        <v>0.38</v>
      </c>
      <c r="Y12" s="1258">
        <v>0.4</v>
      </c>
      <c r="Z12" s="1258">
        <v>0.42</v>
      </c>
      <c r="AA12" s="1258">
        <v>0.45</v>
      </c>
      <c r="AB12" s="1258">
        <v>0.47</v>
      </c>
      <c r="AC12" s="1258">
        <v>0.5</v>
      </c>
      <c r="AD12" s="1258">
        <v>0.53</v>
      </c>
      <c r="AE12" s="1259">
        <v>0.56000000000000005</v>
      </c>
      <c r="AF12" s="1257">
        <v>0.59</v>
      </c>
      <c r="AG12" s="1258">
        <v>0.62</v>
      </c>
      <c r="AH12" s="1258">
        <v>0.65</v>
      </c>
      <c r="AI12" s="1258">
        <v>0.69</v>
      </c>
      <c r="AJ12" s="1258">
        <v>0.72</v>
      </c>
      <c r="AK12" s="1258">
        <v>0.76</v>
      </c>
      <c r="AL12" s="1258">
        <v>0.8</v>
      </c>
      <c r="AM12" s="1258">
        <v>0.84</v>
      </c>
      <c r="AN12" s="1258">
        <v>0.88</v>
      </c>
      <c r="AO12" s="1259">
        <v>0.93</v>
      </c>
      <c r="AP12" s="1257">
        <v>0.97</v>
      </c>
      <c r="AQ12" s="1258">
        <v>1.02</v>
      </c>
      <c r="AR12" s="1258">
        <v>1.07</v>
      </c>
      <c r="AS12" s="1258">
        <v>1.1299999999999999</v>
      </c>
      <c r="AT12" s="1258">
        <v>1.19</v>
      </c>
      <c r="AU12" s="1258">
        <v>1.25</v>
      </c>
      <c r="AV12" s="1258">
        <v>1.31</v>
      </c>
      <c r="AW12" s="1258">
        <v>1.38</v>
      </c>
      <c r="AX12" s="1258">
        <v>1.45</v>
      </c>
      <c r="AY12" s="1259">
        <v>1.52</v>
      </c>
      <c r="AZ12" s="1257">
        <v>1.6</v>
      </c>
      <c r="BA12" s="1258">
        <v>1.68</v>
      </c>
      <c r="BB12" s="1258">
        <v>1.76</v>
      </c>
      <c r="BC12" s="1258">
        <v>1.84</v>
      </c>
      <c r="BD12" s="1258">
        <v>1.93</v>
      </c>
      <c r="BE12" s="1258">
        <v>2.02</v>
      </c>
      <c r="BF12" s="1258">
        <v>2.1</v>
      </c>
      <c r="BG12" s="1258">
        <v>2.2000000000000002</v>
      </c>
      <c r="BH12" s="1258">
        <v>2.29</v>
      </c>
      <c r="BI12" s="1259">
        <v>2.37</v>
      </c>
      <c r="BJ12" s="1257">
        <v>2.44</v>
      </c>
      <c r="BK12" s="1258">
        <v>2.5</v>
      </c>
      <c r="BL12" s="1258">
        <v>2.5499999999999998</v>
      </c>
      <c r="BM12" s="1258">
        <v>2.6</v>
      </c>
      <c r="BN12" s="1258">
        <v>2.63</v>
      </c>
      <c r="BO12" s="1258">
        <v>2.67</v>
      </c>
      <c r="BP12" s="1258">
        <v>2.69</v>
      </c>
      <c r="BQ12" s="1258">
        <v>2.71</v>
      </c>
      <c r="BR12" s="1258">
        <v>2.73</v>
      </c>
      <c r="BS12" s="1259">
        <v>2.74</v>
      </c>
      <c r="BT12" s="1257">
        <v>2.75</v>
      </c>
      <c r="BU12" s="1258">
        <v>2.75</v>
      </c>
      <c r="BV12" s="1258">
        <v>2.76</v>
      </c>
      <c r="BW12" s="1258">
        <v>2.76</v>
      </c>
      <c r="BX12" s="1258">
        <v>2.76</v>
      </c>
      <c r="BY12" s="1258">
        <v>2.76</v>
      </c>
      <c r="BZ12" s="1258"/>
      <c r="CA12" s="1258"/>
      <c r="CB12" s="1258"/>
      <c r="CC12" s="1259"/>
      <c r="CD12" s="1258"/>
      <c r="CE12" s="1258"/>
      <c r="CF12" s="1259"/>
      <c r="CH12" s="1515" t="str">
        <f t="shared" si="0"/>
        <v>WPTPDF23</v>
      </c>
      <c r="CI12" s="1176">
        <v>23</v>
      </c>
      <c r="CJ12" s="1257"/>
      <c r="CK12" s="1258">
        <v>0.01</v>
      </c>
      <c r="CL12" s="1258">
        <v>0.01</v>
      </c>
      <c r="CM12" s="1258">
        <v>0.02</v>
      </c>
      <c r="CN12" s="1258">
        <v>0.02</v>
      </c>
      <c r="CO12" s="1258">
        <v>0.03</v>
      </c>
      <c r="CP12" s="1258">
        <v>0.04</v>
      </c>
      <c r="CQ12" s="1258">
        <v>0.04</v>
      </c>
      <c r="CR12" s="1259">
        <v>0.05</v>
      </c>
      <c r="CS12" s="1257">
        <v>0.05</v>
      </c>
      <c r="CT12" s="1258">
        <v>0.06</v>
      </c>
      <c r="CU12" s="1258">
        <v>0.06</v>
      </c>
      <c r="CV12" s="1258">
        <v>7.0000000000000007E-2</v>
      </c>
      <c r="CW12" s="1258">
        <v>7.0000000000000007E-2</v>
      </c>
      <c r="CX12" s="1258">
        <v>0.08</v>
      </c>
      <c r="CY12" s="1258">
        <v>0.09</v>
      </c>
      <c r="CZ12" s="1258">
        <v>0.09</v>
      </c>
      <c r="DA12" s="1258">
        <v>0.1</v>
      </c>
      <c r="DB12" s="1259">
        <v>0.11</v>
      </c>
      <c r="DC12" s="1257">
        <v>0.11</v>
      </c>
      <c r="DD12" s="1258">
        <v>0.12</v>
      </c>
      <c r="DE12" s="1258">
        <v>0.13</v>
      </c>
      <c r="DF12" s="1258">
        <v>0.14000000000000001</v>
      </c>
      <c r="DG12" s="1258">
        <v>0.15</v>
      </c>
      <c r="DH12" s="1258">
        <v>0.16</v>
      </c>
      <c r="DI12" s="1258">
        <v>0.17</v>
      </c>
      <c r="DJ12" s="1258">
        <v>0.18</v>
      </c>
      <c r="DK12" s="1258">
        <v>0.19</v>
      </c>
      <c r="DL12" s="1259">
        <v>0.2</v>
      </c>
      <c r="DM12" s="1257">
        <v>0.21</v>
      </c>
      <c r="DN12" s="1258">
        <v>0.23</v>
      </c>
      <c r="DO12" s="1258">
        <v>0.24</v>
      </c>
      <c r="DP12" s="1258">
        <v>0.25</v>
      </c>
      <c r="DQ12" s="1258">
        <v>0.27</v>
      </c>
      <c r="DR12" s="1258">
        <v>0.28999999999999998</v>
      </c>
      <c r="DS12" s="1258">
        <v>0.3</v>
      </c>
      <c r="DT12" s="1258">
        <v>0.32</v>
      </c>
      <c r="DU12" s="1258">
        <v>0.34</v>
      </c>
      <c r="DV12" s="1259">
        <v>0.36</v>
      </c>
      <c r="DW12" s="1257">
        <v>0.39</v>
      </c>
      <c r="DX12" s="1258">
        <v>0.41</v>
      </c>
      <c r="DY12" s="1258">
        <v>0.44</v>
      </c>
      <c r="DZ12" s="1258">
        <v>0.47</v>
      </c>
      <c r="EA12" s="1258">
        <v>0.5</v>
      </c>
      <c r="EB12" s="1258">
        <v>0.53</v>
      </c>
      <c r="EC12" s="1258">
        <v>0.56999999999999995</v>
      </c>
      <c r="ED12" s="1258">
        <v>0.61</v>
      </c>
      <c r="EE12" s="1258">
        <v>0.65</v>
      </c>
      <c r="EF12" s="1259">
        <v>0.7</v>
      </c>
      <c r="EG12" s="1257">
        <v>0.75</v>
      </c>
      <c r="EH12" s="1258">
        <v>0.8</v>
      </c>
      <c r="EI12" s="1258">
        <v>0.86</v>
      </c>
      <c r="EJ12" s="1258">
        <v>0.92</v>
      </c>
      <c r="EK12" s="1258">
        <v>0.99</v>
      </c>
      <c r="EL12" s="1258">
        <v>1.05</v>
      </c>
      <c r="EM12" s="1258">
        <v>1.1299999999999999</v>
      </c>
      <c r="EN12" s="1258">
        <v>1.21</v>
      </c>
      <c r="EO12" s="1258">
        <v>1.29</v>
      </c>
      <c r="EP12" s="1259">
        <v>1.36</v>
      </c>
      <c r="EQ12" s="1257">
        <v>1.43</v>
      </c>
      <c r="ER12" s="1258">
        <v>1.48</v>
      </c>
      <c r="ES12" s="1258">
        <v>1.53</v>
      </c>
      <c r="ET12" s="1258">
        <v>1.58</v>
      </c>
      <c r="EU12" s="1258">
        <v>1.62</v>
      </c>
      <c r="EV12" s="1258">
        <v>1.65</v>
      </c>
      <c r="EW12" s="1258">
        <v>1.68</v>
      </c>
      <c r="EX12" s="1258">
        <v>1.7</v>
      </c>
      <c r="EY12" s="1258">
        <v>1.72</v>
      </c>
      <c r="EZ12" s="1259">
        <v>1.73</v>
      </c>
      <c r="FA12" s="1257">
        <v>1.74</v>
      </c>
      <c r="FB12" s="1258">
        <v>1.75</v>
      </c>
      <c r="FC12" s="1258">
        <v>1.75</v>
      </c>
      <c r="FD12" s="1258">
        <v>1.76</v>
      </c>
      <c r="FE12" s="1258">
        <v>1.76</v>
      </c>
      <c r="FF12" s="1258">
        <v>1.76</v>
      </c>
      <c r="FG12" s="1258"/>
      <c r="FH12" s="1258"/>
      <c r="FI12" s="1258"/>
      <c r="FJ12" s="1259"/>
      <c r="FK12" s="1258"/>
      <c r="FL12" s="1258"/>
      <c r="FM12" s="1259"/>
    </row>
    <row r="13" spans="1:169" s="1516" customFormat="1" ht="12.5">
      <c r="A13" s="1515" t="s">
        <v>1374</v>
      </c>
      <c r="B13" s="1176">
        <v>24</v>
      </c>
      <c r="C13" s="1257"/>
      <c r="D13" s="1258">
        <v>0.03</v>
      </c>
      <c r="E13" s="1258">
        <v>0.05</v>
      </c>
      <c r="F13" s="1258">
        <v>0.06</v>
      </c>
      <c r="G13" s="1258">
        <v>0.08</v>
      </c>
      <c r="H13" s="1258">
        <v>0.09</v>
      </c>
      <c r="I13" s="1258">
        <v>0.11</v>
      </c>
      <c r="J13" s="1258">
        <v>0.12</v>
      </c>
      <c r="K13" s="1259">
        <v>0.14000000000000001</v>
      </c>
      <c r="L13" s="1257">
        <v>0.16</v>
      </c>
      <c r="M13" s="1258">
        <v>0.17</v>
      </c>
      <c r="N13" s="1258">
        <v>0.19</v>
      </c>
      <c r="O13" s="1258">
        <v>0.21</v>
      </c>
      <c r="P13" s="1258">
        <v>0.23</v>
      </c>
      <c r="Q13" s="1258">
        <v>0.24</v>
      </c>
      <c r="R13" s="1258">
        <v>0.26</v>
      </c>
      <c r="S13" s="1258">
        <v>0.28000000000000003</v>
      </c>
      <c r="T13" s="1258">
        <v>0.3</v>
      </c>
      <c r="U13" s="1259">
        <v>0.32</v>
      </c>
      <c r="V13" s="1257">
        <v>0.35</v>
      </c>
      <c r="W13" s="1258">
        <v>0.37</v>
      </c>
      <c r="X13" s="1258">
        <v>0.39</v>
      </c>
      <c r="Y13" s="1258">
        <v>0.41</v>
      </c>
      <c r="Z13" s="1258">
        <v>0.44</v>
      </c>
      <c r="AA13" s="1258">
        <v>0.47</v>
      </c>
      <c r="AB13" s="1258">
        <v>0.49</v>
      </c>
      <c r="AC13" s="1258">
        <v>0.52</v>
      </c>
      <c r="AD13" s="1258">
        <v>0.55000000000000004</v>
      </c>
      <c r="AE13" s="1259">
        <v>0.57999999999999996</v>
      </c>
      <c r="AF13" s="1257">
        <v>0.61</v>
      </c>
      <c r="AG13" s="1258">
        <v>0.65</v>
      </c>
      <c r="AH13" s="1258">
        <v>0.68</v>
      </c>
      <c r="AI13" s="1258">
        <v>0.72</v>
      </c>
      <c r="AJ13" s="1258">
        <v>0.75</v>
      </c>
      <c r="AK13" s="1258">
        <v>0.79</v>
      </c>
      <c r="AL13" s="1258">
        <v>0.84</v>
      </c>
      <c r="AM13" s="1258">
        <v>0.88</v>
      </c>
      <c r="AN13" s="1258">
        <v>0.93</v>
      </c>
      <c r="AO13" s="1259">
        <v>0.97</v>
      </c>
      <c r="AP13" s="1257">
        <v>1.02</v>
      </c>
      <c r="AQ13" s="1258">
        <v>1.08</v>
      </c>
      <c r="AR13" s="1258">
        <v>1.1299999999999999</v>
      </c>
      <c r="AS13" s="1258">
        <v>1.19</v>
      </c>
      <c r="AT13" s="1258">
        <v>1.25</v>
      </c>
      <c r="AU13" s="1258">
        <v>1.32</v>
      </c>
      <c r="AV13" s="1258">
        <v>1.39</v>
      </c>
      <c r="AW13" s="1258">
        <v>1.46</v>
      </c>
      <c r="AX13" s="1258">
        <v>1.53</v>
      </c>
      <c r="AY13" s="1259">
        <v>1.61</v>
      </c>
      <c r="AZ13" s="1257">
        <v>1.69</v>
      </c>
      <c r="BA13" s="1258">
        <v>1.78</v>
      </c>
      <c r="BB13" s="1258">
        <v>1.86</v>
      </c>
      <c r="BC13" s="1258">
        <v>1.95</v>
      </c>
      <c r="BD13" s="1258">
        <v>2.04</v>
      </c>
      <c r="BE13" s="1258">
        <v>2.13</v>
      </c>
      <c r="BF13" s="1258">
        <v>2.23</v>
      </c>
      <c r="BG13" s="1258">
        <v>2.3199999999999998</v>
      </c>
      <c r="BH13" s="1258">
        <v>2.4</v>
      </c>
      <c r="BI13" s="1259">
        <v>2.48</v>
      </c>
      <c r="BJ13" s="1257">
        <v>2.54</v>
      </c>
      <c r="BK13" s="1258">
        <v>2.59</v>
      </c>
      <c r="BL13" s="1258">
        <v>2.64</v>
      </c>
      <c r="BM13" s="1258">
        <v>2.67</v>
      </c>
      <c r="BN13" s="1258">
        <v>2.71</v>
      </c>
      <c r="BO13" s="1258">
        <v>2.73</v>
      </c>
      <c r="BP13" s="1258">
        <v>2.75</v>
      </c>
      <c r="BQ13" s="1258">
        <v>2.77</v>
      </c>
      <c r="BR13" s="1258">
        <v>2.78</v>
      </c>
      <c r="BS13" s="1259">
        <v>2.79</v>
      </c>
      <c r="BT13" s="1257">
        <v>2.79</v>
      </c>
      <c r="BU13" s="1258">
        <v>2.8</v>
      </c>
      <c r="BV13" s="1258">
        <v>2.8</v>
      </c>
      <c r="BW13" s="1258">
        <v>2.8</v>
      </c>
      <c r="BX13" s="1258">
        <v>2.8</v>
      </c>
      <c r="BY13" s="1258"/>
      <c r="BZ13" s="1258"/>
      <c r="CA13" s="1258"/>
      <c r="CB13" s="1258"/>
      <c r="CC13" s="1259"/>
      <c r="CD13" s="1258"/>
      <c r="CE13" s="1258"/>
      <c r="CF13" s="1259"/>
      <c r="CH13" s="1515" t="str">
        <f t="shared" si="0"/>
        <v>WPTPDF24</v>
      </c>
      <c r="CI13" s="1176">
        <v>24</v>
      </c>
      <c r="CJ13" s="1257"/>
      <c r="CK13" s="1258">
        <v>0.01</v>
      </c>
      <c r="CL13" s="1258">
        <v>0.02</v>
      </c>
      <c r="CM13" s="1258">
        <v>0.02</v>
      </c>
      <c r="CN13" s="1258">
        <v>0.03</v>
      </c>
      <c r="CO13" s="1258">
        <v>0.03</v>
      </c>
      <c r="CP13" s="1258">
        <v>0.04</v>
      </c>
      <c r="CQ13" s="1258">
        <v>0.04</v>
      </c>
      <c r="CR13" s="1259">
        <v>0.05</v>
      </c>
      <c r="CS13" s="1257">
        <v>0.05</v>
      </c>
      <c r="CT13" s="1258">
        <v>0.06</v>
      </c>
      <c r="CU13" s="1258">
        <v>0.06</v>
      </c>
      <c r="CV13" s="1258">
        <v>7.0000000000000007E-2</v>
      </c>
      <c r="CW13" s="1258">
        <v>0.08</v>
      </c>
      <c r="CX13" s="1258">
        <v>0.08</v>
      </c>
      <c r="CY13" s="1258">
        <v>0.09</v>
      </c>
      <c r="CZ13" s="1258">
        <v>0.1</v>
      </c>
      <c r="DA13" s="1258">
        <v>0.1</v>
      </c>
      <c r="DB13" s="1259">
        <v>0.11</v>
      </c>
      <c r="DC13" s="1257">
        <v>0.12</v>
      </c>
      <c r="DD13" s="1258">
        <v>0.13</v>
      </c>
      <c r="DE13" s="1258">
        <v>0.14000000000000001</v>
      </c>
      <c r="DF13" s="1258">
        <v>0.15</v>
      </c>
      <c r="DG13" s="1258">
        <v>0.15</v>
      </c>
      <c r="DH13" s="1258">
        <v>0.17</v>
      </c>
      <c r="DI13" s="1258">
        <v>0.18</v>
      </c>
      <c r="DJ13" s="1258">
        <v>0.19</v>
      </c>
      <c r="DK13" s="1258">
        <v>0.2</v>
      </c>
      <c r="DL13" s="1259">
        <v>0.21</v>
      </c>
      <c r="DM13" s="1257">
        <v>0.22</v>
      </c>
      <c r="DN13" s="1258">
        <v>0.24</v>
      </c>
      <c r="DO13" s="1258">
        <v>0.25</v>
      </c>
      <c r="DP13" s="1258">
        <v>0.27</v>
      </c>
      <c r="DQ13" s="1258">
        <v>0.28999999999999998</v>
      </c>
      <c r="DR13" s="1258">
        <v>0.3</v>
      </c>
      <c r="DS13" s="1258">
        <v>0.32</v>
      </c>
      <c r="DT13" s="1258">
        <v>0.34</v>
      </c>
      <c r="DU13" s="1258">
        <v>0.37</v>
      </c>
      <c r="DV13" s="1259">
        <v>0.39</v>
      </c>
      <c r="DW13" s="1257">
        <v>0.41</v>
      </c>
      <c r="DX13" s="1258">
        <v>0.44</v>
      </c>
      <c r="DY13" s="1258">
        <v>0.47</v>
      </c>
      <c r="DZ13" s="1258">
        <v>0.5</v>
      </c>
      <c r="EA13" s="1258">
        <v>0.54</v>
      </c>
      <c r="EB13" s="1258">
        <v>0.56999999999999995</v>
      </c>
      <c r="EC13" s="1258">
        <v>0.61</v>
      </c>
      <c r="ED13" s="1258">
        <v>0.66</v>
      </c>
      <c r="EE13" s="1258">
        <v>0.7</v>
      </c>
      <c r="EF13" s="1259">
        <v>0.76</v>
      </c>
      <c r="EG13" s="1257">
        <v>0.81</v>
      </c>
      <c r="EH13" s="1258">
        <v>0.87</v>
      </c>
      <c r="EI13" s="1258">
        <v>0.93</v>
      </c>
      <c r="EJ13" s="1258">
        <v>1</v>
      </c>
      <c r="EK13" s="1258">
        <v>1.07</v>
      </c>
      <c r="EL13" s="1258">
        <v>1.1499999999999999</v>
      </c>
      <c r="EM13" s="1258">
        <v>1.23</v>
      </c>
      <c r="EN13" s="1258">
        <v>1.31</v>
      </c>
      <c r="EO13" s="1258">
        <v>1.39</v>
      </c>
      <c r="EP13" s="1259">
        <v>1.45</v>
      </c>
      <c r="EQ13" s="1257">
        <v>1.51</v>
      </c>
      <c r="ER13" s="1258">
        <v>1.56</v>
      </c>
      <c r="ES13" s="1258">
        <v>1.61</v>
      </c>
      <c r="ET13" s="1258">
        <v>1.65</v>
      </c>
      <c r="EU13" s="1258">
        <v>1.68</v>
      </c>
      <c r="EV13" s="1258">
        <v>1.71</v>
      </c>
      <c r="EW13" s="1258">
        <v>1.73</v>
      </c>
      <c r="EX13" s="1258">
        <v>1.75</v>
      </c>
      <c r="EY13" s="1258">
        <v>1.76</v>
      </c>
      <c r="EZ13" s="1259">
        <v>1.77</v>
      </c>
      <c r="FA13" s="1257">
        <v>1.78</v>
      </c>
      <c r="FB13" s="1258">
        <v>1.79</v>
      </c>
      <c r="FC13" s="1258">
        <v>1.79</v>
      </c>
      <c r="FD13" s="1258">
        <v>1.8</v>
      </c>
      <c r="FE13" s="1258">
        <v>1.8</v>
      </c>
      <c r="FF13" s="1258"/>
      <c r="FG13" s="1258"/>
      <c r="FH13" s="1258"/>
      <c r="FI13" s="1258"/>
      <c r="FJ13" s="1259"/>
      <c r="FK13" s="1258"/>
      <c r="FL13" s="1258"/>
      <c r="FM13" s="1259"/>
    </row>
    <row r="14" spans="1:169" s="1516" customFormat="1" ht="12.5">
      <c r="A14" s="1515" t="s">
        <v>1375</v>
      </c>
      <c r="B14" s="1178">
        <v>25</v>
      </c>
      <c r="C14" s="1263"/>
      <c r="D14" s="1264">
        <v>0.03</v>
      </c>
      <c r="E14" s="1264">
        <v>0.05</v>
      </c>
      <c r="F14" s="1264">
        <v>0.06</v>
      </c>
      <c r="G14" s="1264">
        <v>0.08</v>
      </c>
      <c r="H14" s="1264">
        <v>0.09</v>
      </c>
      <c r="I14" s="1264">
        <v>0.11</v>
      </c>
      <c r="J14" s="1264">
        <v>0.13</v>
      </c>
      <c r="K14" s="1265">
        <v>0.14000000000000001</v>
      </c>
      <c r="L14" s="1263">
        <v>0.16</v>
      </c>
      <c r="M14" s="1264">
        <v>0.18</v>
      </c>
      <c r="N14" s="1264">
        <v>0.19</v>
      </c>
      <c r="O14" s="1264">
        <v>0.21</v>
      </c>
      <c r="P14" s="1264">
        <v>0.23</v>
      </c>
      <c r="Q14" s="1264">
        <v>0.25</v>
      </c>
      <c r="R14" s="1264">
        <v>0.27</v>
      </c>
      <c r="S14" s="1264">
        <v>0.28999999999999998</v>
      </c>
      <c r="T14" s="1264">
        <v>0.31</v>
      </c>
      <c r="U14" s="1265">
        <v>0.33</v>
      </c>
      <c r="V14" s="1263">
        <v>0.36</v>
      </c>
      <c r="W14" s="1264">
        <v>0.38</v>
      </c>
      <c r="X14" s="1264">
        <v>0.4</v>
      </c>
      <c r="Y14" s="1264">
        <v>0.43</v>
      </c>
      <c r="Z14" s="1264">
        <v>0.46</v>
      </c>
      <c r="AA14" s="1264">
        <v>0.48</v>
      </c>
      <c r="AB14" s="1264">
        <v>0.51</v>
      </c>
      <c r="AC14" s="1264">
        <v>0.54</v>
      </c>
      <c r="AD14" s="1264">
        <v>0.56999999999999995</v>
      </c>
      <c r="AE14" s="1265">
        <v>0.61</v>
      </c>
      <c r="AF14" s="1263">
        <v>0.64</v>
      </c>
      <c r="AG14" s="1264">
        <v>0.68</v>
      </c>
      <c r="AH14" s="1264">
        <v>0.71</v>
      </c>
      <c r="AI14" s="1264">
        <v>0.75</v>
      </c>
      <c r="AJ14" s="1264">
        <v>0.79</v>
      </c>
      <c r="AK14" s="1264">
        <v>0.83</v>
      </c>
      <c r="AL14" s="1264">
        <v>0.88</v>
      </c>
      <c r="AM14" s="1264">
        <v>0.93</v>
      </c>
      <c r="AN14" s="1264">
        <v>0.98</v>
      </c>
      <c r="AO14" s="1265">
        <v>1.03</v>
      </c>
      <c r="AP14" s="1263">
        <v>1.08</v>
      </c>
      <c r="AQ14" s="1264">
        <v>1.1399999999999999</v>
      </c>
      <c r="AR14" s="1264">
        <v>1.2</v>
      </c>
      <c r="AS14" s="1264">
        <v>1.26</v>
      </c>
      <c r="AT14" s="1264">
        <v>1.33</v>
      </c>
      <c r="AU14" s="1264">
        <v>1.4</v>
      </c>
      <c r="AV14" s="1264">
        <v>1.47</v>
      </c>
      <c r="AW14" s="1264">
        <v>1.55</v>
      </c>
      <c r="AX14" s="1264">
        <v>1.63</v>
      </c>
      <c r="AY14" s="1265">
        <v>1.71</v>
      </c>
      <c r="AZ14" s="1263">
        <v>1.8</v>
      </c>
      <c r="BA14" s="1264">
        <v>1.88</v>
      </c>
      <c r="BB14" s="1264">
        <v>1.97</v>
      </c>
      <c r="BC14" s="1264">
        <v>2.0699999999999998</v>
      </c>
      <c r="BD14" s="1264">
        <v>2.16</v>
      </c>
      <c r="BE14" s="1264">
        <v>2.2599999999999998</v>
      </c>
      <c r="BF14" s="1264">
        <v>2.36</v>
      </c>
      <c r="BG14" s="1264">
        <v>2.44</v>
      </c>
      <c r="BH14" s="1264">
        <v>2.5099999999999998</v>
      </c>
      <c r="BI14" s="1265">
        <v>2.57</v>
      </c>
      <c r="BJ14" s="1263">
        <v>2.63</v>
      </c>
      <c r="BK14" s="1264">
        <v>2.68</v>
      </c>
      <c r="BL14" s="1264">
        <v>2.71</v>
      </c>
      <c r="BM14" s="1264">
        <v>2.75</v>
      </c>
      <c r="BN14" s="1264">
        <v>2.77</v>
      </c>
      <c r="BO14" s="1264">
        <v>2.79</v>
      </c>
      <c r="BP14" s="1264">
        <v>2.81</v>
      </c>
      <c r="BQ14" s="1264">
        <v>2.82</v>
      </c>
      <c r="BR14" s="1264">
        <v>2.83</v>
      </c>
      <c r="BS14" s="1265">
        <v>2.84</v>
      </c>
      <c r="BT14" s="1263">
        <v>2.84</v>
      </c>
      <c r="BU14" s="1264">
        <v>2.85</v>
      </c>
      <c r="BV14" s="1264">
        <v>2.85</v>
      </c>
      <c r="BW14" s="1264">
        <v>2.85</v>
      </c>
      <c r="BX14" s="1264"/>
      <c r="BY14" s="1264"/>
      <c r="BZ14" s="1264"/>
      <c r="CA14" s="1264"/>
      <c r="CB14" s="1264"/>
      <c r="CC14" s="1265"/>
      <c r="CD14" s="1264"/>
      <c r="CE14" s="1264"/>
      <c r="CF14" s="1265"/>
      <c r="CH14" s="1515" t="str">
        <f t="shared" si="0"/>
        <v>WPTPDF25</v>
      </c>
      <c r="CI14" s="1178">
        <v>25</v>
      </c>
      <c r="CJ14" s="1263"/>
      <c r="CK14" s="1264">
        <v>0.01</v>
      </c>
      <c r="CL14" s="1264">
        <v>0.02</v>
      </c>
      <c r="CM14" s="1264">
        <v>0.02</v>
      </c>
      <c r="CN14" s="1264">
        <v>0.03</v>
      </c>
      <c r="CO14" s="1264">
        <v>0.03</v>
      </c>
      <c r="CP14" s="1264">
        <v>0.04</v>
      </c>
      <c r="CQ14" s="1264">
        <v>0.04</v>
      </c>
      <c r="CR14" s="1265">
        <v>0.05</v>
      </c>
      <c r="CS14" s="1263">
        <v>0.05</v>
      </c>
      <c r="CT14" s="1264">
        <v>0.06</v>
      </c>
      <c r="CU14" s="1264">
        <v>7.0000000000000007E-2</v>
      </c>
      <c r="CV14" s="1264">
        <v>7.0000000000000007E-2</v>
      </c>
      <c r="CW14" s="1264">
        <v>0.08</v>
      </c>
      <c r="CX14" s="1264">
        <v>0.09</v>
      </c>
      <c r="CY14" s="1264">
        <v>0.09</v>
      </c>
      <c r="CZ14" s="1264">
        <v>0.1</v>
      </c>
      <c r="DA14" s="1264">
        <v>0.11</v>
      </c>
      <c r="DB14" s="1265">
        <v>0.12</v>
      </c>
      <c r="DC14" s="1263">
        <v>0.12</v>
      </c>
      <c r="DD14" s="1264">
        <v>0.13</v>
      </c>
      <c r="DE14" s="1264">
        <v>0.14000000000000001</v>
      </c>
      <c r="DF14" s="1264">
        <v>0.15</v>
      </c>
      <c r="DG14" s="1264">
        <v>0.16</v>
      </c>
      <c r="DH14" s="1264">
        <v>0.17</v>
      </c>
      <c r="DI14" s="1264">
        <v>0.18</v>
      </c>
      <c r="DJ14" s="1264">
        <v>0.2</v>
      </c>
      <c r="DK14" s="1264">
        <v>0.21</v>
      </c>
      <c r="DL14" s="1265">
        <v>0.22</v>
      </c>
      <c r="DM14" s="1263">
        <v>0.24</v>
      </c>
      <c r="DN14" s="1264">
        <v>0.25</v>
      </c>
      <c r="DO14" s="1264">
        <v>0.27</v>
      </c>
      <c r="DP14" s="1264">
        <v>0.28999999999999998</v>
      </c>
      <c r="DQ14" s="1264">
        <v>0.3</v>
      </c>
      <c r="DR14" s="1264">
        <v>0.32</v>
      </c>
      <c r="DS14" s="1264">
        <v>0.34</v>
      </c>
      <c r="DT14" s="1264">
        <v>0.37</v>
      </c>
      <c r="DU14" s="1264">
        <v>0.39</v>
      </c>
      <c r="DV14" s="1265">
        <v>0.42</v>
      </c>
      <c r="DW14" s="1263">
        <v>0.44</v>
      </c>
      <c r="DX14" s="1264">
        <v>0.47</v>
      </c>
      <c r="DY14" s="1264">
        <v>0.51</v>
      </c>
      <c r="DZ14" s="1264">
        <v>0.54</v>
      </c>
      <c r="EA14" s="1264">
        <v>0.57999999999999996</v>
      </c>
      <c r="EB14" s="1264">
        <v>0.62</v>
      </c>
      <c r="EC14" s="1264">
        <v>0.67</v>
      </c>
      <c r="ED14" s="1264">
        <v>0.71</v>
      </c>
      <c r="EE14" s="1264">
        <v>0.77</v>
      </c>
      <c r="EF14" s="1265">
        <v>0.82</v>
      </c>
      <c r="EG14" s="1263">
        <v>0.88</v>
      </c>
      <c r="EH14" s="1264">
        <v>0.95</v>
      </c>
      <c r="EI14" s="1264">
        <v>1.02</v>
      </c>
      <c r="EJ14" s="1264">
        <v>1.0900000000000001</v>
      </c>
      <c r="EK14" s="1264">
        <v>1.17</v>
      </c>
      <c r="EL14" s="1264">
        <v>1.25</v>
      </c>
      <c r="EM14" s="1264">
        <v>1.34</v>
      </c>
      <c r="EN14" s="1264">
        <v>1.41</v>
      </c>
      <c r="EO14" s="1264">
        <v>1.48</v>
      </c>
      <c r="EP14" s="1265">
        <v>1.54</v>
      </c>
      <c r="EQ14" s="1263">
        <v>1.59</v>
      </c>
      <c r="ER14" s="1264">
        <v>1.64</v>
      </c>
      <c r="ES14" s="1264">
        <v>1.68</v>
      </c>
      <c r="ET14" s="1264">
        <v>1.71</v>
      </c>
      <c r="EU14" s="1264">
        <v>1.74</v>
      </c>
      <c r="EV14" s="1264">
        <v>1.76</v>
      </c>
      <c r="EW14" s="1264">
        <v>1.78</v>
      </c>
      <c r="EX14" s="1264">
        <v>1.8</v>
      </c>
      <c r="EY14" s="1264">
        <v>1.81</v>
      </c>
      <c r="EZ14" s="1265">
        <v>1.82</v>
      </c>
      <c r="FA14" s="1263">
        <v>1.82</v>
      </c>
      <c r="FB14" s="1264">
        <v>1.83</v>
      </c>
      <c r="FC14" s="1264">
        <v>1.83</v>
      </c>
      <c r="FD14" s="1264">
        <v>1.83</v>
      </c>
      <c r="FE14" s="1264"/>
      <c r="FF14" s="1264"/>
      <c r="FG14" s="1264"/>
      <c r="FH14" s="1264"/>
      <c r="FI14" s="1264"/>
      <c r="FJ14" s="1265"/>
      <c r="FK14" s="1264"/>
      <c r="FL14" s="1264"/>
      <c r="FM14" s="1265"/>
    </row>
    <row r="15" spans="1:169" s="1516" customFormat="1" ht="12.5">
      <c r="A15" s="1515" t="s">
        <v>1376</v>
      </c>
      <c r="B15" s="1176">
        <v>26</v>
      </c>
      <c r="C15" s="1257"/>
      <c r="D15" s="1258">
        <v>0.03</v>
      </c>
      <c r="E15" s="1258">
        <v>0.05</v>
      </c>
      <c r="F15" s="1258">
        <v>0.06</v>
      </c>
      <c r="G15" s="1258">
        <v>0.08</v>
      </c>
      <c r="H15" s="1258">
        <v>0.09</v>
      </c>
      <c r="I15" s="1258">
        <v>0.11</v>
      </c>
      <c r="J15" s="1258">
        <v>0.13</v>
      </c>
      <c r="K15" s="1259">
        <v>0.15</v>
      </c>
      <c r="L15" s="1257">
        <v>0.16</v>
      </c>
      <c r="M15" s="1258">
        <v>0.18</v>
      </c>
      <c r="N15" s="1258">
        <v>0.2</v>
      </c>
      <c r="O15" s="1258">
        <v>0.22</v>
      </c>
      <c r="P15" s="1258">
        <v>0.24</v>
      </c>
      <c r="Q15" s="1258">
        <v>0.26</v>
      </c>
      <c r="R15" s="1258">
        <v>0.28000000000000003</v>
      </c>
      <c r="S15" s="1258">
        <v>0.3</v>
      </c>
      <c r="T15" s="1258">
        <v>0.32</v>
      </c>
      <c r="U15" s="1259">
        <v>0.35</v>
      </c>
      <c r="V15" s="1257">
        <v>0.37</v>
      </c>
      <c r="W15" s="1258">
        <v>0.39</v>
      </c>
      <c r="X15" s="1258">
        <v>0.42</v>
      </c>
      <c r="Y15" s="1258">
        <v>0.45</v>
      </c>
      <c r="Z15" s="1258">
        <v>0.48</v>
      </c>
      <c r="AA15" s="1258">
        <v>0.5</v>
      </c>
      <c r="AB15" s="1258">
        <v>0.54</v>
      </c>
      <c r="AC15" s="1258">
        <v>0.56999999999999995</v>
      </c>
      <c r="AD15" s="1258">
        <v>0.6</v>
      </c>
      <c r="AE15" s="1259">
        <v>0.63</v>
      </c>
      <c r="AF15" s="1257">
        <v>0.67</v>
      </c>
      <c r="AG15" s="1258">
        <v>0.71</v>
      </c>
      <c r="AH15" s="1258">
        <v>0.75</v>
      </c>
      <c r="AI15" s="1258">
        <v>0.79</v>
      </c>
      <c r="AJ15" s="1258">
        <v>0.83</v>
      </c>
      <c r="AK15" s="1258">
        <v>0.88</v>
      </c>
      <c r="AL15" s="1258">
        <v>0.93</v>
      </c>
      <c r="AM15" s="1258">
        <v>0.98</v>
      </c>
      <c r="AN15" s="1258">
        <v>1.03</v>
      </c>
      <c r="AO15" s="1259">
        <v>1.0900000000000001</v>
      </c>
      <c r="AP15" s="1257">
        <v>1.1399999999999999</v>
      </c>
      <c r="AQ15" s="1258">
        <v>1.2</v>
      </c>
      <c r="AR15" s="1258">
        <v>1.27</v>
      </c>
      <c r="AS15" s="1258">
        <v>1.34</v>
      </c>
      <c r="AT15" s="1258">
        <v>1.41</v>
      </c>
      <c r="AU15" s="1258">
        <v>1.48</v>
      </c>
      <c r="AV15" s="1258">
        <v>1.56</v>
      </c>
      <c r="AW15" s="1258">
        <v>1.64</v>
      </c>
      <c r="AX15" s="1258">
        <v>1.73</v>
      </c>
      <c r="AY15" s="1259">
        <v>1.82</v>
      </c>
      <c r="AZ15" s="1257">
        <v>1.91</v>
      </c>
      <c r="BA15" s="1258">
        <v>2</v>
      </c>
      <c r="BB15" s="1258">
        <v>2.09</v>
      </c>
      <c r="BC15" s="1258">
        <v>2.19</v>
      </c>
      <c r="BD15" s="1258">
        <v>2.29</v>
      </c>
      <c r="BE15" s="1258">
        <v>2.39</v>
      </c>
      <c r="BF15" s="1258">
        <v>2.4700000000000002</v>
      </c>
      <c r="BG15" s="1258">
        <v>2.5499999999999998</v>
      </c>
      <c r="BH15" s="1258">
        <v>2.61</v>
      </c>
      <c r="BI15" s="1259">
        <v>2.67</v>
      </c>
      <c r="BJ15" s="1257">
        <v>2.72</v>
      </c>
      <c r="BK15" s="1258">
        <v>2.76</v>
      </c>
      <c r="BL15" s="1258">
        <v>2.79</v>
      </c>
      <c r="BM15" s="1258">
        <v>2.82</v>
      </c>
      <c r="BN15" s="1258">
        <v>2.84</v>
      </c>
      <c r="BO15" s="1258">
        <v>2.86</v>
      </c>
      <c r="BP15" s="1258">
        <v>2.87</v>
      </c>
      <c r="BQ15" s="1258">
        <v>2.88</v>
      </c>
      <c r="BR15" s="1258">
        <v>2.88</v>
      </c>
      <c r="BS15" s="1259">
        <v>2.89</v>
      </c>
      <c r="BT15" s="1257">
        <v>2.89</v>
      </c>
      <c r="BU15" s="1258">
        <v>2.89</v>
      </c>
      <c r="BV15" s="1258">
        <v>2.9</v>
      </c>
      <c r="BW15" s="1258"/>
      <c r="BX15" s="1258"/>
      <c r="BY15" s="1258"/>
      <c r="BZ15" s="1258"/>
      <c r="CA15" s="1258"/>
      <c r="CB15" s="1258"/>
      <c r="CC15" s="1259"/>
      <c r="CD15" s="1258"/>
      <c r="CE15" s="1258"/>
      <c r="CF15" s="1259"/>
      <c r="CH15" s="1515" t="str">
        <f t="shared" si="0"/>
        <v>WPTPDF26</v>
      </c>
      <c r="CI15" s="1176">
        <v>26</v>
      </c>
      <c r="CJ15" s="1257"/>
      <c r="CK15" s="1258">
        <v>0.01</v>
      </c>
      <c r="CL15" s="1258">
        <v>0.02</v>
      </c>
      <c r="CM15" s="1258">
        <v>0.02</v>
      </c>
      <c r="CN15" s="1258">
        <v>0.03</v>
      </c>
      <c r="CO15" s="1258">
        <v>0.03</v>
      </c>
      <c r="CP15" s="1258">
        <v>0.04</v>
      </c>
      <c r="CQ15" s="1258">
        <v>0.04</v>
      </c>
      <c r="CR15" s="1259">
        <v>0.05</v>
      </c>
      <c r="CS15" s="1257">
        <v>0.06</v>
      </c>
      <c r="CT15" s="1258">
        <v>0.06</v>
      </c>
      <c r="CU15" s="1258">
        <v>7.0000000000000007E-2</v>
      </c>
      <c r="CV15" s="1258">
        <v>7.0000000000000007E-2</v>
      </c>
      <c r="CW15" s="1258">
        <v>0.08</v>
      </c>
      <c r="CX15" s="1258">
        <v>0.09</v>
      </c>
      <c r="CY15" s="1258">
        <v>0.1</v>
      </c>
      <c r="CZ15" s="1258">
        <v>0.1</v>
      </c>
      <c r="DA15" s="1258">
        <v>0.11</v>
      </c>
      <c r="DB15" s="1259">
        <v>0.12</v>
      </c>
      <c r="DC15" s="1257">
        <v>0.13</v>
      </c>
      <c r="DD15" s="1258">
        <v>0.14000000000000001</v>
      </c>
      <c r="DE15" s="1258">
        <v>0.15</v>
      </c>
      <c r="DF15" s="1258">
        <v>0.16</v>
      </c>
      <c r="DG15" s="1258">
        <v>0.17</v>
      </c>
      <c r="DH15" s="1258">
        <v>0.18</v>
      </c>
      <c r="DI15" s="1258">
        <v>0.2</v>
      </c>
      <c r="DJ15" s="1258">
        <v>0.21</v>
      </c>
      <c r="DK15" s="1258">
        <v>0.22</v>
      </c>
      <c r="DL15" s="1259">
        <v>0.24</v>
      </c>
      <c r="DM15" s="1257">
        <v>0.25</v>
      </c>
      <c r="DN15" s="1258">
        <v>0.27</v>
      </c>
      <c r="DO15" s="1258">
        <v>0.28999999999999998</v>
      </c>
      <c r="DP15" s="1258">
        <v>0.3</v>
      </c>
      <c r="DQ15" s="1258">
        <v>0.32</v>
      </c>
      <c r="DR15" s="1258">
        <v>0.35</v>
      </c>
      <c r="DS15" s="1258">
        <v>0.37</v>
      </c>
      <c r="DT15" s="1258">
        <v>0.39</v>
      </c>
      <c r="DU15" s="1258">
        <v>0.42</v>
      </c>
      <c r="DV15" s="1259">
        <v>0.45</v>
      </c>
      <c r="DW15" s="1257">
        <v>0.48</v>
      </c>
      <c r="DX15" s="1258">
        <v>0.51</v>
      </c>
      <c r="DY15" s="1258">
        <v>0.55000000000000004</v>
      </c>
      <c r="DZ15" s="1258">
        <v>0.59</v>
      </c>
      <c r="EA15" s="1258">
        <v>0.63</v>
      </c>
      <c r="EB15" s="1258">
        <v>0.67</v>
      </c>
      <c r="EC15" s="1258">
        <v>0.72</v>
      </c>
      <c r="ED15" s="1258">
        <v>0.78</v>
      </c>
      <c r="EE15" s="1258">
        <v>0.83</v>
      </c>
      <c r="EF15" s="1259">
        <v>0.9</v>
      </c>
      <c r="EG15" s="1257">
        <v>0.96</v>
      </c>
      <c r="EH15" s="1258">
        <v>1.03</v>
      </c>
      <c r="EI15" s="1258">
        <v>1.1100000000000001</v>
      </c>
      <c r="EJ15" s="1258">
        <v>1.19</v>
      </c>
      <c r="EK15" s="1258">
        <v>1.28</v>
      </c>
      <c r="EL15" s="1258">
        <v>1.36</v>
      </c>
      <c r="EM15" s="1258">
        <v>1.44</v>
      </c>
      <c r="EN15" s="1258">
        <v>1.51</v>
      </c>
      <c r="EO15" s="1258">
        <v>1.57</v>
      </c>
      <c r="EP15" s="1259">
        <v>1.62</v>
      </c>
      <c r="EQ15" s="1257">
        <v>1.67</v>
      </c>
      <c r="ER15" s="1258">
        <v>1.71</v>
      </c>
      <c r="ES15" s="1258">
        <v>1.75</v>
      </c>
      <c r="ET15" s="1258">
        <v>1.77</v>
      </c>
      <c r="EU15" s="1258">
        <v>1.8</v>
      </c>
      <c r="EV15" s="1258">
        <v>1.82</v>
      </c>
      <c r="EW15" s="1258">
        <v>1.83</v>
      </c>
      <c r="EX15" s="1258">
        <v>1.85</v>
      </c>
      <c r="EY15" s="1258">
        <v>1.85</v>
      </c>
      <c r="EZ15" s="1259">
        <v>1.86</v>
      </c>
      <c r="FA15" s="1257">
        <v>1.86</v>
      </c>
      <c r="FB15" s="1258">
        <v>1.87</v>
      </c>
      <c r="FC15" s="1258">
        <v>1.87</v>
      </c>
      <c r="FD15" s="1258"/>
      <c r="FE15" s="1258"/>
      <c r="FF15" s="1258"/>
      <c r="FG15" s="1258"/>
      <c r="FH15" s="1258"/>
      <c r="FI15" s="1258"/>
      <c r="FJ15" s="1259"/>
      <c r="FK15" s="1258"/>
      <c r="FL15" s="1258"/>
      <c r="FM15" s="1259"/>
    </row>
    <row r="16" spans="1:169" s="1516" customFormat="1" ht="12.5">
      <c r="A16" s="1515" t="s">
        <v>1377</v>
      </c>
      <c r="B16" s="1176">
        <v>27</v>
      </c>
      <c r="C16" s="1257"/>
      <c r="D16" s="1258">
        <v>0.03</v>
      </c>
      <c r="E16" s="1258">
        <v>0.05</v>
      </c>
      <c r="F16" s="1258">
        <v>0.06</v>
      </c>
      <c r="G16" s="1258">
        <v>0.08</v>
      </c>
      <c r="H16" s="1258">
        <v>0.1</v>
      </c>
      <c r="I16" s="1258">
        <v>0.11</v>
      </c>
      <c r="J16" s="1258">
        <v>0.13</v>
      </c>
      <c r="K16" s="1259">
        <v>0.15</v>
      </c>
      <c r="L16" s="1257">
        <v>0.17</v>
      </c>
      <c r="M16" s="1258">
        <v>0.19</v>
      </c>
      <c r="N16" s="1258">
        <v>0.21</v>
      </c>
      <c r="O16" s="1258">
        <v>0.23</v>
      </c>
      <c r="P16" s="1258">
        <v>0.25</v>
      </c>
      <c r="Q16" s="1258">
        <v>0.27</v>
      </c>
      <c r="R16" s="1258">
        <v>0.28999999999999998</v>
      </c>
      <c r="S16" s="1258">
        <v>0.31</v>
      </c>
      <c r="T16" s="1258">
        <v>0.34</v>
      </c>
      <c r="U16" s="1259">
        <v>0.36</v>
      </c>
      <c r="V16" s="1257">
        <v>0.38</v>
      </c>
      <c r="W16" s="1258">
        <v>0.41</v>
      </c>
      <c r="X16" s="1258">
        <v>0.44</v>
      </c>
      <c r="Y16" s="1258">
        <v>0.47</v>
      </c>
      <c r="Z16" s="1258">
        <v>0.5</v>
      </c>
      <c r="AA16" s="1258">
        <v>0.53</v>
      </c>
      <c r="AB16" s="1258">
        <v>0.56000000000000005</v>
      </c>
      <c r="AC16" s="1258">
        <v>0.59</v>
      </c>
      <c r="AD16" s="1258">
        <v>0.63</v>
      </c>
      <c r="AE16" s="1259">
        <v>0.67</v>
      </c>
      <c r="AF16" s="1257">
        <v>0.71</v>
      </c>
      <c r="AG16" s="1258">
        <v>0.75</v>
      </c>
      <c r="AH16" s="1258">
        <v>0.79</v>
      </c>
      <c r="AI16" s="1258">
        <v>0.83</v>
      </c>
      <c r="AJ16" s="1258">
        <v>0.88</v>
      </c>
      <c r="AK16" s="1258">
        <v>0.93</v>
      </c>
      <c r="AL16" s="1258">
        <v>0.98</v>
      </c>
      <c r="AM16" s="1258">
        <v>1.03</v>
      </c>
      <c r="AN16" s="1258">
        <v>1.0900000000000001</v>
      </c>
      <c r="AO16" s="1259">
        <v>1.1499999999999999</v>
      </c>
      <c r="AP16" s="1257">
        <v>1.21</v>
      </c>
      <c r="AQ16" s="1258">
        <v>1.28</v>
      </c>
      <c r="AR16" s="1258">
        <v>1.35</v>
      </c>
      <c r="AS16" s="1258">
        <v>1.42</v>
      </c>
      <c r="AT16" s="1258">
        <v>1.5</v>
      </c>
      <c r="AU16" s="1258">
        <v>1.58</v>
      </c>
      <c r="AV16" s="1258">
        <v>1.66</v>
      </c>
      <c r="AW16" s="1258">
        <v>1.75</v>
      </c>
      <c r="AX16" s="1258">
        <v>1.84</v>
      </c>
      <c r="AY16" s="1259">
        <v>1.93</v>
      </c>
      <c r="AZ16" s="1257">
        <v>2.02</v>
      </c>
      <c r="BA16" s="1258">
        <v>2.12</v>
      </c>
      <c r="BB16" s="1258">
        <v>2.2200000000000002</v>
      </c>
      <c r="BC16" s="1258">
        <v>2.33</v>
      </c>
      <c r="BD16" s="1258">
        <v>2.42</v>
      </c>
      <c r="BE16" s="1258">
        <v>2.5099999999999998</v>
      </c>
      <c r="BF16" s="1258">
        <v>2.59</v>
      </c>
      <c r="BG16" s="1258">
        <v>2.66</v>
      </c>
      <c r="BH16" s="1258">
        <v>2.71</v>
      </c>
      <c r="BI16" s="1259">
        <v>2.76</v>
      </c>
      <c r="BJ16" s="1257">
        <v>2.8</v>
      </c>
      <c r="BK16" s="1258">
        <v>2.84</v>
      </c>
      <c r="BL16" s="1258">
        <v>2.86</v>
      </c>
      <c r="BM16" s="1258">
        <v>2.89</v>
      </c>
      <c r="BN16" s="1258">
        <v>2.9</v>
      </c>
      <c r="BO16" s="1258">
        <v>2.92</v>
      </c>
      <c r="BP16" s="1258">
        <v>2.93</v>
      </c>
      <c r="BQ16" s="1258">
        <v>2.93</v>
      </c>
      <c r="BR16" s="1258">
        <v>2.94</v>
      </c>
      <c r="BS16" s="1259">
        <v>2.94</v>
      </c>
      <c r="BT16" s="1257">
        <v>2.94</v>
      </c>
      <c r="BU16" s="1258">
        <v>2.94</v>
      </c>
      <c r="BV16" s="1258"/>
      <c r="BW16" s="1258"/>
      <c r="BX16" s="1258"/>
      <c r="BY16" s="1258"/>
      <c r="BZ16" s="1258"/>
      <c r="CA16" s="1258"/>
      <c r="CB16" s="1258"/>
      <c r="CC16" s="1259"/>
      <c r="CD16" s="1258"/>
      <c r="CE16" s="1258"/>
      <c r="CF16" s="1259"/>
      <c r="CH16" s="1515" t="str">
        <f t="shared" si="0"/>
        <v>WPTPDF27</v>
      </c>
      <c r="CI16" s="1176">
        <v>27</v>
      </c>
      <c r="CJ16" s="1257"/>
      <c r="CK16" s="1258">
        <v>0.01</v>
      </c>
      <c r="CL16" s="1258">
        <v>0.02</v>
      </c>
      <c r="CM16" s="1258">
        <v>0.02</v>
      </c>
      <c r="CN16" s="1258">
        <v>0.03</v>
      </c>
      <c r="CO16" s="1258">
        <v>0.03</v>
      </c>
      <c r="CP16" s="1258">
        <v>0.04</v>
      </c>
      <c r="CQ16" s="1258">
        <v>0.04</v>
      </c>
      <c r="CR16" s="1259">
        <v>0.05</v>
      </c>
      <c r="CS16" s="1257">
        <v>0.06</v>
      </c>
      <c r="CT16" s="1258">
        <v>0.06</v>
      </c>
      <c r="CU16" s="1258">
        <v>7.0000000000000007E-2</v>
      </c>
      <c r="CV16" s="1258">
        <v>0.08</v>
      </c>
      <c r="CW16" s="1258">
        <v>0.08</v>
      </c>
      <c r="CX16" s="1258">
        <v>0.09</v>
      </c>
      <c r="CY16" s="1258">
        <v>0.1</v>
      </c>
      <c r="CZ16" s="1258">
        <v>0.11</v>
      </c>
      <c r="DA16" s="1258">
        <v>0.12</v>
      </c>
      <c r="DB16" s="1259">
        <v>0.13</v>
      </c>
      <c r="DC16" s="1257">
        <v>0.14000000000000001</v>
      </c>
      <c r="DD16" s="1258">
        <v>0.15</v>
      </c>
      <c r="DE16" s="1258">
        <v>0.16</v>
      </c>
      <c r="DF16" s="1258">
        <v>0.17</v>
      </c>
      <c r="DG16" s="1258">
        <v>0.18</v>
      </c>
      <c r="DH16" s="1258">
        <v>0.19</v>
      </c>
      <c r="DI16" s="1258">
        <v>0.21</v>
      </c>
      <c r="DJ16" s="1258">
        <v>0.22</v>
      </c>
      <c r="DK16" s="1258">
        <v>0.24</v>
      </c>
      <c r="DL16" s="1259">
        <v>0.25</v>
      </c>
      <c r="DM16" s="1257">
        <v>0.27</v>
      </c>
      <c r="DN16" s="1258">
        <v>0.28999999999999998</v>
      </c>
      <c r="DO16" s="1258">
        <v>0.31</v>
      </c>
      <c r="DP16" s="1258">
        <v>0.33</v>
      </c>
      <c r="DQ16" s="1258">
        <v>0.35</v>
      </c>
      <c r="DR16" s="1258">
        <v>0.37</v>
      </c>
      <c r="DS16" s="1258">
        <v>0.4</v>
      </c>
      <c r="DT16" s="1258">
        <v>0.42</v>
      </c>
      <c r="DU16" s="1258">
        <v>0.45</v>
      </c>
      <c r="DV16" s="1259">
        <v>0.48</v>
      </c>
      <c r="DW16" s="1257">
        <v>0.52</v>
      </c>
      <c r="DX16" s="1258">
        <v>0.55000000000000004</v>
      </c>
      <c r="DY16" s="1258">
        <v>0.59</v>
      </c>
      <c r="DZ16" s="1258">
        <v>0.64</v>
      </c>
      <c r="EA16" s="1258">
        <v>0.68</v>
      </c>
      <c r="EB16" s="1258">
        <v>0.73</v>
      </c>
      <c r="EC16" s="1258">
        <v>0.79</v>
      </c>
      <c r="ED16" s="1258">
        <v>0.85</v>
      </c>
      <c r="EE16" s="1258">
        <v>0.91</v>
      </c>
      <c r="EF16" s="1259">
        <v>0.98</v>
      </c>
      <c r="EG16" s="1257">
        <v>1.05</v>
      </c>
      <c r="EH16" s="1258">
        <v>1.1299999999999999</v>
      </c>
      <c r="EI16" s="1258">
        <v>1.21</v>
      </c>
      <c r="EJ16" s="1258">
        <v>1.3</v>
      </c>
      <c r="EK16" s="1258">
        <v>1.39</v>
      </c>
      <c r="EL16" s="1258">
        <v>1.46</v>
      </c>
      <c r="EM16" s="1258">
        <v>1.53</v>
      </c>
      <c r="EN16" s="1258">
        <v>1.6</v>
      </c>
      <c r="EO16" s="1258">
        <v>1.65</v>
      </c>
      <c r="EP16" s="1259">
        <v>1.7</v>
      </c>
      <c r="EQ16" s="1257">
        <v>1.74</v>
      </c>
      <c r="ER16" s="1258">
        <v>1.78</v>
      </c>
      <c r="ES16" s="1258">
        <v>1.81</v>
      </c>
      <c r="ET16" s="1258">
        <v>1.84</v>
      </c>
      <c r="EU16" s="1258">
        <v>1.86</v>
      </c>
      <c r="EV16" s="1258">
        <v>1.87</v>
      </c>
      <c r="EW16" s="1258">
        <v>1.88</v>
      </c>
      <c r="EX16" s="1258">
        <v>1.89</v>
      </c>
      <c r="EY16" s="1258">
        <v>1.9</v>
      </c>
      <c r="EZ16" s="1259">
        <v>1.9</v>
      </c>
      <c r="FA16" s="1257">
        <v>1.9</v>
      </c>
      <c r="FB16" s="1258">
        <v>1.91</v>
      </c>
      <c r="FC16" s="1258"/>
      <c r="FD16" s="1258"/>
      <c r="FE16" s="1258"/>
      <c r="FF16" s="1258"/>
      <c r="FG16" s="1258"/>
      <c r="FH16" s="1258"/>
      <c r="FI16" s="1258"/>
      <c r="FJ16" s="1259"/>
      <c r="FK16" s="1258"/>
      <c r="FL16" s="1258"/>
      <c r="FM16" s="1259"/>
    </row>
    <row r="17" spans="1:169" s="1516" customFormat="1" ht="12.5">
      <c r="A17" s="1515" t="s">
        <v>1378</v>
      </c>
      <c r="B17" s="1176">
        <v>28</v>
      </c>
      <c r="C17" s="1257"/>
      <c r="D17" s="1258">
        <v>0.03</v>
      </c>
      <c r="E17" s="1258">
        <v>0.05</v>
      </c>
      <c r="F17" s="1258">
        <v>0.06</v>
      </c>
      <c r="G17" s="1258">
        <v>0.08</v>
      </c>
      <c r="H17" s="1258">
        <v>0.1</v>
      </c>
      <c r="I17" s="1258">
        <v>0.12</v>
      </c>
      <c r="J17" s="1258">
        <v>0.13</v>
      </c>
      <c r="K17" s="1259">
        <v>0.15</v>
      </c>
      <c r="L17" s="1257">
        <v>0.17</v>
      </c>
      <c r="M17" s="1258">
        <v>0.19</v>
      </c>
      <c r="N17" s="1258">
        <v>0.21</v>
      </c>
      <c r="O17" s="1258">
        <v>0.23</v>
      </c>
      <c r="P17" s="1258">
        <v>0.25</v>
      </c>
      <c r="Q17" s="1258">
        <v>0.28000000000000003</v>
      </c>
      <c r="R17" s="1258">
        <v>0.3</v>
      </c>
      <c r="S17" s="1258">
        <v>0.32</v>
      </c>
      <c r="T17" s="1258">
        <v>0.35</v>
      </c>
      <c r="U17" s="1259">
        <v>0.37</v>
      </c>
      <c r="V17" s="1257">
        <v>0.4</v>
      </c>
      <c r="W17" s="1258">
        <v>0.43</v>
      </c>
      <c r="X17" s="1258">
        <v>0.46</v>
      </c>
      <c r="Y17" s="1258">
        <v>0.49</v>
      </c>
      <c r="Z17" s="1258">
        <v>0.52</v>
      </c>
      <c r="AA17" s="1258">
        <v>0.55000000000000004</v>
      </c>
      <c r="AB17" s="1258">
        <v>0.59</v>
      </c>
      <c r="AC17" s="1258">
        <v>0.62</v>
      </c>
      <c r="AD17" s="1258">
        <v>0.66</v>
      </c>
      <c r="AE17" s="1259">
        <v>0.7</v>
      </c>
      <c r="AF17" s="1257">
        <v>0.74</v>
      </c>
      <c r="AG17" s="1258">
        <v>0.79</v>
      </c>
      <c r="AH17" s="1258">
        <v>0.83</v>
      </c>
      <c r="AI17" s="1258">
        <v>0.88</v>
      </c>
      <c r="AJ17" s="1258">
        <v>0.93</v>
      </c>
      <c r="AK17" s="1258">
        <v>0.98</v>
      </c>
      <c r="AL17" s="1258">
        <v>1.04</v>
      </c>
      <c r="AM17" s="1258">
        <v>1.0900000000000001</v>
      </c>
      <c r="AN17" s="1258">
        <v>1.1599999999999999</v>
      </c>
      <c r="AO17" s="1259">
        <v>1.22</v>
      </c>
      <c r="AP17" s="1257">
        <v>1.29</v>
      </c>
      <c r="AQ17" s="1258">
        <v>1.36</v>
      </c>
      <c r="AR17" s="1258">
        <v>1.43</v>
      </c>
      <c r="AS17" s="1258">
        <v>1.51</v>
      </c>
      <c r="AT17" s="1258">
        <v>1.59</v>
      </c>
      <c r="AU17" s="1258">
        <v>1.68</v>
      </c>
      <c r="AV17" s="1258">
        <v>1.77</v>
      </c>
      <c r="AW17" s="1258">
        <v>1.86</v>
      </c>
      <c r="AX17" s="1258">
        <v>1.95</v>
      </c>
      <c r="AY17" s="1259">
        <v>2.0499999999999998</v>
      </c>
      <c r="AZ17" s="1257">
        <v>2.15</v>
      </c>
      <c r="BA17" s="1258">
        <v>2.25</v>
      </c>
      <c r="BB17" s="1258">
        <v>2.36</v>
      </c>
      <c r="BC17" s="1258">
        <v>2.46</v>
      </c>
      <c r="BD17" s="1258">
        <v>2.5499999999999998</v>
      </c>
      <c r="BE17" s="1258">
        <v>2.63</v>
      </c>
      <c r="BF17" s="1258">
        <v>2.7</v>
      </c>
      <c r="BG17" s="1258">
        <v>2.76</v>
      </c>
      <c r="BH17" s="1258">
        <v>2.81</v>
      </c>
      <c r="BI17" s="1259">
        <v>2.85</v>
      </c>
      <c r="BJ17" s="1257">
        <v>2.88</v>
      </c>
      <c r="BK17" s="1258">
        <v>2.91</v>
      </c>
      <c r="BL17" s="1258">
        <v>2.94</v>
      </c>
      <c r="BM17" s="1258">
        <v>2.95</v>
      </c>
      <c r="BN17" s="1258">
        <v>2.97</v>
      </c>
      <c r="BO17" s="1258">
        <v>2.98</v>
      </c>
      <c r="BP17" s="1258">
        <v>2.98</v>
      </c>
      <c r="BQ17" s="1258">
        <v>2.99</v>
      </c>
      <c r="BR17" s="1258">
        <v>2.99</v>
      </c>
      <c r="BS17" s="1259">
        <v>2.99</v>
      </c>
      <c r="BT17" s="1257">
        <v>2.99</v>
      </c>
      <c r="BU17" s="1258"/>
      <c r="BV17" s="1258"/>
      <c r="BW17" s="1258"/>
      <c r="BX17" s="1258"/>
      <c r="BY17" s="1258"/>
      <c r="BZ17" s="1258"/>
      <c r="CA17" s="1258"/>
      <c r="CB17" s="1258"/>
      <c r="CC17" s="1259"/>
      <c r="CD17" s="1258"/>
      <c r="CE17" s="1258"/>
      <c r="CF17" s="1259"/>
      <c r="CH17" s="1515" t="str">
        <f t="shared" si="0"/>
        <v>WPTPDF28</v>
      </c>
      <c r="CI17" s="1176">
        <v>28</v>
      </c>
      <c r="CJ17" s="1257"/>
      <c r="CK17" s="1258">
        <v>0.01</v>
      </c>
      <c r="CL17" s="1258">
        <v>0.02</v>
      </c>
      <c r="CM17" s="1258">
        <v>0.02</v>
      </c>
      <c r="CN17" s="1258">
        <v>0.03</v>
      </c>
      <c r="CO17" s="1258">
        <v>0.03</v>
      </c>
      <c r="CP17" s="1258">
        <v>0.04</v>
      </c>
      <c r="CQ17" s="1258">
        <v>0.05</v>
      </c>
      <c r="CR17" s="1259">
        <v>0.05</v>
      </c>
      <c r="CS17" s="1257">
        <v>0.06</v>
      </c>
      <c r="CT17" s="1258">
        <v>7.0000000000000007E-2</v>
      </c>
      <c r="CU17" s="1258">
        <v>7.0000000000000007E-2</v>
      </c>
      <c r="CV17" s="1258">
        <v>0.08</v>
      </c>
      <c r="CW17" s="1258">
        <v>0.09</v>
      </c>
      <c r="CX17" s="1258">
        <v>0.1</v>
      </c>
      <c r="CY17" s="1258">
        <v>0.11</v>
      </c>
      <c r="CZ17" s="1258">
        <v>0.11</v>
      </c>
      <c r="DA17" s="1258">
        <v>0.12</v>
      </c>
      <c r="DB17" s="1259">
        <v>0.13</v>
      </c>
      <c r="DC17" s="1257">
        <v>0.14000000000000001</v>
      </c>
      <c r="DD17" s="1258">
        <v>0.15</v>
      </c>
      <c r="DE17" s="1258">
        <v>0.17</v>
      </c>
      <c r="DF17" s="1258">
        <v>0.18</v>
      </c>
      <c r="DG17" s="1258">
        <v>0.19</v>
      </c>
      <c r="DH17" s="1258">
        <v>0.2</v>
      </c>
      <c r="DI17" s="1258">
        <v>0.22</v>
      </c>
      <c r="DJ17" s="1258">
        <v>0.23</v>
      </c>
      <c r="DK17" s="1258">
        <v>0.25</v>
      </c>
      <c r="DL17" s="1259">
        <v>0.27</v>
      </c>
      <c r="DM17" s="1257">
        <v>0.28999999999999998</v>
      </c>
      <c r="DN17" s="1258">
        <v>0.31</v>
      </c>
      <c r="DO17" s="1258">
        <v>0.33</v>
      </c>
      <c r="DP17" s="1258">
        <v>0.35</v>
      </c>
      <c r="DQ17" s="1258">
        <v>0.37</v>
      </c>
      <c r="DR17" s="1258">
        <v>0.4</v>
      </c>
      <c r="DS17" s="1258">
        <v>0.43</v>
      </c>
      <c r="DT17" s="1258">
        <v>0.46</v>
      </c>
      <c r="DU17" s="1258">
        <v>0.49</v>
      </c>
      <c r="DV17" s="1259">
        <v>0.52</v>
      </c>
      <c r="DW17" s="1257">
        <v>0.56000000000000005</v>
      </c>
      <c r="DX17" s="1258">
        <v>0.6</v>
      </c>
      <c r="DY17" s="1258">
        <v>0.64</v>
      </c>
      <c r="DZ17" s="1258">
        <v>0.69</v>
      </c>
      <c r="EA17" s="1258">
        <v>0.74</v>
      </c>
      <c r="EB17" s="1258">
        <v>0.8</v>
      </c>
      <c r="EC17" s="1258">
        <v>0.86</v>
      </c>
      <c r="ED17" s="1258">
        <v>0.92</v>
      </c>
      <c r="EE17" s="1258">
        <v>0.99</v>
      </c>
      <c r="EF17" s="1259">
        <v>1.07</v>
      </c>
      <c r="EG17" s="1257">
        <v>1.1499999999999999</v>
      </c>
      <c r="EH17" s="1258">
        <v>1.23</v>
      </c>
      <c r="EI17" s="1258">
        <v>1.32</v>
      </c>
      <c r="EJ17" s="1258">
        <v>1.41</v>
      </c>
      <c r="EK17" s="1258">
        <v>1.49</v>
      </c>
      <c r="EL17" s="1258">
        <v>1.56</v>
      </c>
      <c r="EM17" s="1258">
        <v>1.63</v>
      </c>
      <c r="EN17" s="1258">
        <v>1.69</v>
      </c>
      <c r="EO17" s="1258">
        <v>1.74</v>
      </c>
      <c r="EP17" s="1259">
        <v>1.78</v>
      </c>
      <c r="EQ17" s="1257">
        <v>1.82</v>
      </c>
      <c r="ER17" s="1258">
        <v>1.85</v>
      </c>
      <c r="ES17" s="1258">
        <v>1.87</v>
      </c>
      <c r="ET17" s="1258">
        <v>1.89</v>
      </c>
      <c r="EU17" s="1258">
        <v>1.91</v>
      </c>
      <c r="EV17" s="1258">
        <v>1.92</v>
      </c>
      <c r="EW17" s="1258">
        <v>1.93</v>
      </c>
      <c r="EX17" s="1258">
        <v>1.94</v>
      </c>
      <c r="EY17" s="1258">
        <v>1.94</v>
      </c>
      <c r="EZ17" s="1259">
        <v>1.94</v>
      </c>
      <c r="FA17" s="1257">
        <v>1.95</v>
      </c>
      <c r="FB17" s="1258"/>
      <c r="FC17" s="1258"/>
      <c r="FD17" s="1258"/>
      <c r="FE17" s="1258"/>
      <c r="FF17" s="1258"/>
      <c r="FG17" s="1258"/>
      <c r="FH17" s="1258"/>
      <c r="FI17" s="1258"/>
      <c r="FJ17" s="1259"/>
      <c r="FK17" s="1258"/>
      <c r="FL17" s="1258"/>
      <c r="FM17" s="1259"/>
    </row>
    <row r="18" spans="1:169" s="1516" customFormat="1" ht="12.5">
      <c r="A18" s="1515" t="s">
        <v>1379</v>
      </c>
      <c r="B18" s="1176">
        <v>29</v>
      </c>
      <c r="C18" s="1257"/>
      <c r="D18" s="1258">
        <v>0.03</v>
      </c>
      <c r="E18" s="1258">
        <v>0.05</v>
      </c>
      <c r="F18" s="1258">
        <v>7.0000000000000007E-2</v>
      </c>
      <c r="G18" s="1258">
        <v>0.08</v>
      </c>
      <c r="H18" s="1258">
        <v>0.1</v>
      </c>
      <c r="I18" s="1258">
        <v>0.12</v>
      </c>
      <c r="J18" s="1258">
        <v>0.14000000000000001</v>
      </c>
      <c r="K18" s="1259">
        <v>0.16</v>
      </c>
      <c r="L18" s="1257">
        <v>0.18</v>
      </c>
      <c r="M18" s="1258">
        <v>0.2</v>
      </c>
      <c r="N18" s="1258">
        <v>0.22</v>
      </c>
      <c r="O18" s="1258">
        <v>0.24</v>
      </c>
      <c r="P18" s="1258">
        <v>0.27</v>
      </c>
      <c r="Q18" s="1258">
        <v>0.28999999999999998</v>
      </c>
      <c r="R18" s="1258">
        <v>0.31</v>
      </c>
      <c r="S18" s="1258">
        <v>0.34</v>
      </c>
      <c r="T18" s="1258">
        <v>0.36</v>
      </c>
      <c r="U18" s="1259">
        <v>0.39</v>
      </c>
      <c r="V18" s="1257">
        <v>0.42</v>
      </c>
      <c r="W18" s="1258">
        <v>0.45</v>
      </c>
      <c r="X18" s="1258">
        <v>0.48</v>
      </c>
      <c r="Y18" s="1258">
        <v>0.51</v>
      </c>
      <c r="Z18" s="1258">
        <v>0.55000000000000004</v>
      </c>
      <c r="AA18" s="1258">
        <v>0.57999999999999996</v>
      </c>
      <c r="AB18" s="1258">
        <v>0.62</v>
      </c>
      <c r="AC18" s="1258">
        <v>0.66</v>
      </c>
      <c r="AD18" s="1258">
        <v>0.7</v>
      </c>
      <c r="AE18" s="1259">
        <v>0.74</v>
      </c>
      <c r="AF18" s="1257">
        <v>0.79</v>
      </c>
      <c r="AG18" s="1258">
        <v>0.83</v>
      </c>
      <c r="AH18" s="1258">
        <v>0.88</v>
      </c>
      <c r="AI18" s="1258">
        <v>0.93</v>
      </c>
      <c r="AJ18" s="1258">
        <v>0.98</v>
      </c>
      <c r="AK18" s="1258">
        <v>1.04</v>
      </c>
      <c r="AL18" s="1258">
        <v>1.1000000000000001</v>
      </c>
      <c r="AM18" s="1258">
        <v>1.1599999999999999</v>
      </c>
      <c r="AN18" s="1258">
        <v>1.23</v>
      </c>
      <c r="AO18" s="1259">
        <v>1.3</v>
      </c>
      <c r="AP18" s="1257">
        <v>1.37</v>
      </c>
      <c r="AQ18" s="1258">
        <v>1.45</v>
      </c>
      <c r="AR18" s="1258">
        <v>1.53</v>
      </c>
      <c r="AS18" s="1258">
        <v>1.61</v>
      </c>
      <c r="AT18" s="1258">
        <v>1.7</v>
      </c>
      <c r="AU18" s="1258">
        <v>1.79</v>
      </c>
      <c r="AV18" s="1258">
        <v>1.88</v>
      </c>
      <c r="AW18" s="1258">
        <v>1.98</v>
      </c>
      <c r="AX18" s="1258">
        <v>2.08</v>
      </c>
      <c r="AY18" s="1259">
        <v>2.1800000000000002</v>
      </c>
      <c r="AZ18" s="1257">
        <v>2.2799999999999998</v>
      </c>
      <c r="BA18" s="1258">
        <v>2.4</v>
      </c>
      <c r="BB18" s="1258">
        <v>2.5</v>
      </c>
      <c r="BC18" s="1258">
        <v>2.59</v>
      </c>
      <c r="BD18" s="1258">
        <v>2.67</v>
      </c>
      <c r="BE18" s="1258">
        <v>2.74</v>
      </c>
      <c r="BF18" s="1258">
        <v>2.8</v>
      </c>
      <c r="BG18" s="1258">
        <v>2.86</v>
      </c>
      <c r="BH18" s="1258">
        <v>2.9</v>
      </c>
      <c r="BI18" s="1259">
        <v>2.93</v>
      </c>
      <c r="BJ18" s="1257">
        <v>2.96</v>
      </c>
      <c r="BK18" s="1258">
        <v>2.99</v>
      </c>
      <c r="BL18" s="1258">
        <v>3.01</v>
      </c>
      <c r="BM18" s="1258">
        <v>3.02</v>
      </c>
      <c r="BN18" s="1258">
        <v>3.03</v>
      </c>
      <c r="BO18" s="1258">
        <v>3.04</v>
      </c>
      <c r="BP18" s="1258">
        <v>3.04</v>
      </c>
      <c r="BQ18" s="1258">
        <v>3.04</v>
      </c>
      <c r="BR18" s="1258">
        <v>3.05</v>
      </c>
      <c r="BS18" s="1259">
        <v>3.05</v>
      </c>
      <c r="BT18" s="1257"/>
      <c r="BU18" s="1258"/>
      <c r="BV18" s="1258"/>
      <c r="BW18" s="1258"/>
      <c r="BX18" s="1258"/>
      <c r="BY18" s="1258"/>
      <c r="BZ18" s="1258"/>
      <c r="CA18" s="1258"/>
      <c r="CB18" s="1258"/>
      <c r="CC18" s="1259"/>
      <c r="CD18" s="1258"/>
      <c r="CE18" s="1258"/>
      <c r="CF18" s="1259"/>
      <c r="CH18" s="1515" t="str">
        <f t="shared" si="0"/>
        <v>WPTPDF29</v>
      </c>
      <c r="CI18" s="1176">
        <v>29</v>
      </c>
      <c r="CJ18" s="1257"/>
      <c r="CK18" s="1258">
        <v>0.01</v>
      </c>
      <c r="CL18" s="1258">
        <v>0.02</v>
      </c>
      <c r="CM18" s="1258">
        <v>0.02</v>
      </c>
      <c r="CN18" s="1258">
        <v>0.03</v>
      </c>
      <c r="CO18" s="1258">
        <v>0.04</v>
      </c>
      <c r="CP18" s="1258">
        <v>0.04</v>
      </c>
      <c r="CQ18" s="1258">
        <v>0.05</v>
      </c>
      <c r="CR18" s="1259">
        <v>0.05</v>
      </c>
      <c r="CS18" s="1257">
        <v>0.06</v>
      </c>
      <c r="CT18" s="1258">
        <v>7.0000000000000007E-2</v>
      </c>
      <c r="CU18" s="1258">
        <v>0.08</v>
      </c>
      <c r="CV18" s="1258">
        <v>0.08</v>
      </c>
      <c r="CW18" s="1258">
        <v>0.09</v>
      </c>
      <c r="CX18" s="1258">
        <v>0.1</v>
      </c>
      <c r="CY18" s="1258">
        <v>0.11</v>
      </c>
      <c r="CZ18" s="1258">
        <v>0.12</v>
      </c>
      <c r="DA18" s="1258">
        <v>0.13</v>
      </c>
      <c r="DB18" s="1259">
        <v>0.14000000000000001</v>
      </c>
      <c r="DC18" s="1257">
        <v>0.15</v>
      </c>
      <c r="DD18" s="1258">
        <v>0.16</v>
      </c>
      <c r="DE18" s="1258">
        <v>0.18</v>
      </c>
      <c r="DF18" s="1258">
        <v>0.19</v>
      </c>
      <c r="DG18" s="1258">
        <v>0.2</v>
      </c>
      <c r="DH18" s="1258">
        <v>0.22</v>
      </c>
      <c r="DI18" s="1258">
        <v>0.23</v>
      </c>
      <c r="DJ18" s="1258">
        <v>0.25</v>
      </c>
      <c r="DK18" s="1258">
        <v>0.27</v>
      </c>
      <c r="DL18" s="1259">
        <v>0.28999999999999998</v>
      </c>
      <c r="DM18" s="1257">
        <v>0.31</v>
      </c>
      <c r="DN18" s="1258">
        <v>0.33</v>
      </c>
      <c r="DO18" s="1258">
        <v>0.35</v>
      </c>
      <c r="DP18" s="1258">
        <v>0.38</v>
      </c>
      <c r="DQ18" s="1258">
        <v>0.4</v>
      </c>
      <c r="DR18" s="1258">
        <v>0.43</v>
      </c>
      <c r="DS18" s="1258">
        <v>0.46</v>
      </c>
      <c r="DT18" s="1258">
        <v>0.49</v>
      </c>
      <c r="DU18" s="1258">
        <v>0.53</v>
      </c>
      <c r="DV18" s="1259">
        <v>0.56999999999999995</v>
      </c>
      <c r="DW18" s="1257">
        <v>0.61</v>
      </c>
      <c r="DX18" s="1258">
        <v>0.65</v>
      </c>
      <c r="DY18" s="1258">
        <v>0.7</v>
      </c>
      <c r="DZ18" s="1258">
        <v>0.75</v>
      </c>
      <c r="EA18" s="1258">
        <v>0.81</v>
      </c>
      <c r="EB18" s="1258">
        <v>0.87</v>
      </c>
      <c r="EC18" s="1258">
        <v>0.94</v>
      </c>
      <c r="ED18" s="1258">
        <v>1.01</v>
      </c>
      <c r="EE18" s="1258">
        <v>1.0900000000000001</v>
      </c>
      <c r="EF18" s="1259">
        <v>1.17</v>
      </c>
      <c r="EG18" s="1257">
        <v>1.25</v>
      </c>
      <c r="EH18" s="1258">
        <v>1.35</v>
      </c>
      <c r="EI18" s="1258">
        <v>1.44</v>
      </c>
      <c r="EJ18" s="1258">
        <v>1.52</v>
      </c>
      <c r="EK18" s="1258">
        <v>1.6</v>
      </c>
      <c r="EL18" s="1258">
        <v>1.66</v>
      </c>
      <c r="EM18" s="1258">
        <v>1.72</v>
      </c>
      <c r="EN18" s="1258">
        <v>1.77</v>
      </c>
      <c r="EO18" s="1258">
        <v>1.82</v>
      </c>
      <c r="EP18" s="1259">
        <v>1.85</v>
      </c>
      <c r="EQ18" s="1257">
        <v>1.89</v>
      </c>
      <c r="ER18" s="1258">
        <v>1.91</v>
      </c>
      <c r="ES18" s="1258">
        <v>1.93</v>
      </c>
      <c r="ET18" s="1258">
        <v>1.95</v>
      </c>
      <c r="EU18" s="1258">
        <v>1.96</v>
      </c>
      <c r="EV18" s="1258">
        <v>1.97</v>
      </c>
      <c r="EW18" s="1258">
        <v>1.98</v>
      </c>
      <c r="EX18" s="1258">
        <v>1.98</v>
      </c>
      <c r="EY18" s="1258">
        <v>1.99</v>
      </c>
      <c r="EZ18" s="1259">
        <v>1.99</v>
      </c>
      <c r="FA18" s="1257"/>
      <c r="FB18" s="1258"/>
      <c r="FC18" s="1258"/>
      <c r="FD18" s="1258"/>
      <c r="FE18" s="1258"/>
      <c r="FF18" s="1258"/>
      <c r="FG18" s="1258"/>
      <c r="FH18" s="1258"/>
      <c r="FI18" s="1258"/>
      <c r="FJ18" s="1259"/>
      <c r="FK18" s="1258"/>
      <c r="FL18" s="1258"/>
      <c r="FM18" s="1259"/>
    </row>
    <row r="19" spans="1:169" s="1516" customFormat="1" ht="12.5">
      <c r="A19" s="1515" t="s">
        <v>1380</v>
      </c>
      <c r="B19" s="1176">
        <v>30</v>
      </c>
      <c r="C19" s="1257"/>
      <c r="D19" s="1258">
        <v>0.03</v>
      </c>
      <c r="E19" s="1258">
        <v>0.05</v>
      </c>
      <c r="F19" s="1258">
        <v>7.0000000000000007E-2</v>
      </c>
      <c r="G19" s="1258">
        <v>0.09</v>
      </c>
      <c r="H19" s="1258">
        <v>0.11</v>
      </c>
      <c r="I19" s="1258">
        <v>0.12</v>
      </c>
      <c r="J19" s="1258">
        <v>0.14000000000000001</v>
      </c>
      <c r="K19" s="1259">
        <v>0.16</v>
      </c>
      <c r="L19" s="1257">
        <v>0.19</v>
      </c>
      <c r="M19" s="1258">
        <v>0.21</v>
      </c>
      <c r="N19" s="1258">
        <v>0.23</v>
      </c>
      <c r="O19" s="1258">
        <v>0.25</v>
      </c>
      <c r="P19" s="1258">
        <v>0.28000000000000003</v>
      </c>
      <c r="Q19" s="1258">
        <v>0.3</v>
      </c>
      <c r="R19" s="1258">
        <v>0.33</v>
      </c>
      <c r="S19" s="1258">
        <v>0.35</v>
      </c>
      <c r="T19" s="1258">
        <v>0.38</v>
      </c>
      <c r="U19" s="1259">
        <v>0.41</v>
      </c>
      <c r="V19" s="1257">
        <v>0.44</v>
      </c>
      <c r="W19" s="1258">
        <v>0.47</v>
      </c>
      <c r="X19" s="1258">
        <v>0.51</v>
      </c>
      <c r="Y19" s="1258">
        <v>0.54</v>
      </c>
      <c r="Z19" s="1258">
        <v>0.57999999999999996</v>
      </c>
      <c r="AA19" s="1258">
        <v>0.62</v>
      </c>
      <c r="AB19" s="1258">
        <v>0.65</v>
      </c>
      <c r="AC19" s="1258">
        <v>0.7</v>
      </c>
      <c r="AD19" s="1258">
        <v>0.74</v>
      </c>
      <c r="AE19" s="1259">
        <v>0.78</v>
      </c>
      <c r="AF19" s="1257">
        <v>0.83</v>
      </c>
      <c r="AG19" s="1258">
        <v>0.88</v>
      </c>
      <c r="AH19" s="1258">
        <v>0.93</v>
      </c>
      <c r="AI19" s="1258">
        <v>0.99</v>
      </c>
      <c r="AJ19" s="1258">
        <v>1.05</v>
      </c>
      <c r="AK19" s="1258">
        <v>1.1100000000000001</v>
      </c>
      <c r="AL19" s="1258">
        <v>1.17</v>
      </c>
      <c r="AM19" s="1258">
        <v>1.24</v>
      </c>
      <c r="AN19" s="1258">
        <v>1.31</v>
      </c>
      <c r="AO19" s="1259">
        <v>1.38</v>
      </c>
      <c r="AP19" s="1257">
        <v>1.46</v>
      </c>
      <c r="AQ19" s="1258">
        <v>1.54</v>
      </c>
      <c r="AR19" s="1258">
        <v>1.63</v>
      </c>
      <c r="AS19" s="1258">
        <v>1.72</v>
      </c>
      <c r="AT19" s="1258">
        <v>1.81</v>
      </c>
      <c r="AU19" s="1258">
        <v>1.91</v>
      </c>
      <c r="AV19" s="1258">
        <v>2.0099999999999998</v>
      </c>
      <c r="AW19" s="1258">
        <v>2.11</v>
      </c>
      <c r="AX19" s="1258">
        <v>2.21</v>
      </c>
      <c r="AY19" s="1259">
        <v>2.31</v>
      </c>
      <c r="AZ19" s="1257">
        <v>2.4300000000000002</v>
      </c>
      <c r="BA19" s="1258">
        <v>2.54</v>
      </c>
      <c r="BB19" s="1258">
        <v>2.64</v>
      </c>
      <c r="BC19" s="1258">
        <v>2.72</v>
      </c>
      <c r="BD19" s="1258">
        <v>2.79</v>
      </c>
      <c r="BE19" s="1258">
        <v>2.85</v>
      </c>
      <c r="BF19" s="1258">
        <v>2.91</v>
      </c>
      <c r="BG19" s="1258">
        <v>2.95</v>
      </c>
      <c r="BH19" s="1258">
        <v>2.99</v>
      </c>
      <c r="BI19" s="1259">
        <v>3.02</v>
      </c>
      <c r="BJ19" s="1257">
        <v>3.04</v>
      </c>
      <c r="BK19" s="1258">
        <v>3.06</v>
      </c>
      <c r="BL19" s="1258">
        <v>3.07</v>
      </c>
      <c r="BM19" s="1258">
        <v>3.08</v>
      </c>
      <c r="BN19" s="1258">
        <v>3.09</v>
      </c>
      <c r="BO19" s="1258">
        <v>3.1</v>
      </c>
      <c r="BP19" s="1258">
        <v>3.1</v>
      </c>
      <c r="BQ19" s="1258">
        <v>3.1</v>
      </c>
      <c r="BR19" s="1258">
        <v>3.1</v>
      </c>
      <c r="BS19" s="1259"/>
      <c r="BT19" s="1257"/>
      <c r="BU19" s="1258"/>
      <c r="BV19" s="1258"/>
      <c r="BW19" s="1258"/>
      <c r="BX19" s="1258"/>
      <c r="BY19" s="1258"/>
      <c r="BZ19" s="1258"/>
      <c r="CA19" s="1258"/>
      <c r="CB19" s="1258"/>
      <c r="CC19" s="1259"/>
      <c r="CD19" s="1258"/>
      <c r="CE19" s="1258"/>
      <c r="CF19" s="1259"/>
      <c r="CH19" s="1515" t="str">
        <f t="shared" si="0"/>
        <v>WPTPDF30</v>
      </c>
      <c r="CI19" s="1176">
        <v>30</v>
      </c>
      <c r="CJ19" s="1257"/>
      <c r="CK19" s="1258">
        <v>0.01</v>
      </c>
      <c r="CL19" s="1258">
        <v>0.02</v>
      </c>
      <c r="CM19" s="1258">
        <v>0.02</v>
      </c>
      <c r="CN19" s="1258">
        <v>0.03</v>
      </c>
      <c r="CO19" s="1258">
        <v>0.04</v>
      </c>
      <c r="CP19" s="1258">
        <v>0.04</v>
      </c>
      <c r="CQ19" s="1258">
        <v>0.05</v>
      </c>
      <c r="CR19" s="1259">
        <v>0.06</v>
      </c>
      <c r="CS19" s="1257">
        <v>0.06</v>
      </c>
      <c r="CT19" s="1258">
        <v>7.0000000000000007E-2</v>
      </c>
      <c r="CU19" s="1258">
        <v>0.08</v>
      </c>
      <c r="CV19" s="1258">
        <v>0.09</v>
      </c>
      <c r="CW19" s="1258">
        <v>0.1</v>
      </c>
      <c r="CX19" s="1258">
        <v>0.11</v>
      </c>
      <c r="CY19" s="1258">
        <v>0.12</v>
      </c>
      <c r="CZ19" s="1258">
        <v>0.13</v>
      </c>
      <c r="DA19" s="1258">
        <v>0.14000000000000001</v>
      </c>
      <c r="DB19" s="1259">
        <v>0.15</v>
      </c>
      <c r="DC19" s="1257">
        <v>0.16</v>
      </c>
      <c r="DD19" s="1258">
        <v>0.17</v>
      </c>
      <c r="DE19" s="1258">
        <v>0.19</v>
      </c>
      <c r="DF19" s="1258">
        <v>0.2</v>
      </c>
      <c r="DG19" s="1258">
        <v>0.22</v>
      </c>
      <c r="DH19" s="1258">
        <v>0.23</v>
      </c>
      <c r="DI19" s="1258">
        <v>0.25</v>
      </c>
      <c r="DJ19" s="1258">
        <v>0.27</v>
      </c>
      <c r="DK19" s="1258">
        <v>0.28999999999999998</v>
      </c>
      <c r="DL19" s="1259">
        <v>0.31</v>
      </c>
      <c r="DM19" s="1257">
        <v>0.33</v>
      </c>
      <c r="DN19" s="1258">
        <v>0.35</v>
      </c>
      <c r="DO19" s="1258">
        <v>0.38</v>
      </c>
      <c r="DP19" s="1258">
        <v>0.4</v>
      </c>
      <c r="DQ19" s="1258">
        <v>0.43</v>
      </c>
      <c r="DR19" s="1258">
        <v>0.46</v>
      </c>
      <c r="DS19" s="1258">
        <v>0.5</v>
      </c>
      <c r="DT19" s="1258">
        <v>0.53</v>
      </c>
      <c r="DU19" s="1258">
        <v>0.56999999999999995</v>
      </c>
      <c r="DV19" s="1259">
        <v>0.62</v>
      </c>
      <c r="DW19" s="1257">
        <v>0.66</v>
      </c>
      <c r="DX19" s="1258">
        <v>0.71</v>
      </c>
      <c r="DY19" s="1258">
        <v>0.77</v>
      </c>
      <c r="DZ19" s="1258">
        <v>0.82</v>
      </c>
      <c r="EA19" s="1258">
        <v>0.89</v>
      </c>
      <c r="EB19" s="1258">
        <v>0.96</v>
      </c>
      <c r="EC19" s="1258">
        <v>1.03</v>
      </c>
      <c r="ED19" s="1258">
        <v>1.1100000000000001</v>
      </c>
      <c r="EE19" s="1258">
        <v>1.19</v>
      </c>
      <c r="EF19" s="1259">
        <v>1.27</v>
      </c>
      <c r="EG19" s="1257">
        <v>1.37</v>
      </c>
      <c r="EH19" s="1258">
        <v>1.47</v>
      </c>
      <c r="EI19" s="1258">
        <v>1.55</v>
      </c>
      <c r="EJ19" s="1258">
        <v>1.63</v>
      </c>
      <c r="EK19" s="1258">
        <v>1.7</v>
      </c>
      <c r="EL19" s="1258">
        <v>1.76</v>
      </c>
      <c r="EM19" s="1258">
        <v>1.81</v>
      </c>
      <c r="EN19" s="1258">
        <v>1.85</v>
      </c>
      <c r="EO19" s="1258">
        <v>1.89</v>
      </c>
      <c r="EP19" s="1259">
        <v>1.93</v>
      </c>
      <c r="EQ19" s="1257">
        <v>1.95</v>
      </c>
      <c r="ER19" s="1258">
        <v>1.97</v>
      </c>
      <c r="ES19" s="1258">
        <v>1.99</v>
      </c>
      <c r="ET19" s="1258">
        <v>2</v>
      </c>
      <c r="EU19" s="1258">
        <v>2.0099999999999998</v>
      </c>
      <c r="EV19" s="1258">
        <v>2.02</v>
      </c>
      <c r="EW19" s="1258">
        <v>2.02</v>
      </c>
      <c r="EX19" s="1258">
        <v>2.0299999999999998</v>
      </c>
      <c r="EY19" s="1258">
        <v>2.0299999999999998</v>
      </c>
      <c r="EZ19" s="1259"/>
      <c r="FA19" s="1257"/>
      <c r="FB19" s="1258"/>
      <c r="FC19" s="1258"/>
      <c r="FD19" s="1258"/>
      <c r="FE19" s="1258"/>
      <c r="FF19" s="1258"/>
      <c r="FG19" s="1258"/>
      <c r="FH19" s="1258"/>
      <c r="FI19" s="1258"/>
      <c r="FJ19" s="1259"/>
      <c r="FK19" s="1258"/>
      <c r="FL19" s="1258"/>
      <c r="FM19" s="1259"/>
    </row>
    <row r="20" spans="1:169" s="1516" customFormat="1" ht="12.5">
      <c r="A20" s="1515" t="s">
        <v>1381</v>
      </c>
      <c r="B20" s="1177">
        <v>31</v>
      </c>
      <c r="C20" s="1260"/>
      <c r="D20" s="1261">
        <v>0.03</v>
      </c>
      <c r="E20" s="1261">
        <v>0.05</v>
      </c>
      <c r="F20" s="1261">
        <v>7.0000000000000007E-2</v>
      </c>
      <c r="G20" s="1261">
        <v>0.09</v>
      </c>
      <c r="H20" s="1261">
        <v>0.11</v>
      </c>
      <c r="I20" s="1261">
        <v>0.13</v>
      </c>
      <c r="J20" s="1261">
        <v>0.15</v>
      </c>
      <c r="K20" s="1262">
        <v>0.17</v>
      </c>
      <c r="L20" s="1260">
        <v>0.19</v>
      </c>
      <c r="M20" s="1261">
        <v>0.22</v>
      </c>
      <c r="N20" s="1261">
        <v>0.24</v>
      </c>
      <c r="O20" s="1261">
        <v>0.27</v>
      </c>
      <c r="P20" s="1261">
        <v>0.28999999999999998</v>
      </c>
      <c r="Q20" s="1261">
        <v>0.32</v>
      </c>
      <c r="R20" s="1261">
        <v>0.34</v>
      </c>
      <c r="S20" s="1261">
        <v>0.37</v>
      </c>
      <c r="T20" s="1261">
        <v>0.4</v>
      </c>
      <c r="U20" s="1262">
        <v>0.43</v>
      </c>
      <c r="V20" s="1260">
        <v>0.47</v>
      </c>
      <c r="W20" s="1261">
        <v>0.5</v>
      </c>
      <c r="X20" s="1261">
        <v>0.54</v>
      </c>
      <c r="Y20" s="1261">
        <v>0.56999999999999995</v>
      </c>
      <c r="Z20" s="1261">
        <v>0.61</v>
      </c>
      <c r="AA20" s="1261">
        <v>0.65</v>
      </c>
      <c r="AB20" s="1261">
        <v>0.69</v>
      </c>
      <c r="AC20" s="1261">
        <v>0.74</v>
      </c>
      <c r="AD20" s="1261">
        <v>0.78</v>
      </c>
      <c r="AE20" s="1262">
        <v>0.83</v>
      </c>
      <c r="AF20" s="1260">
        <v>0.88</v>
      </c>
      <c r="AG20" s="1261">
        <v>0.94</v>
      </c>
      <c r="AH20" s="1261">
        <v>0.99</v>
      </c>
      <c r="AI20" s="1261">
        <v>1.05</v>
      </c>
      <c r="AJ20" s="1261">
        <v>1.1100000000000001</v>
      </c>
      <c r="AK20" s="1261">
        <v>1.18</v>
      </c>
      <c r="AL20" s="1261">
        <v>1.25</v>
      </c>
      <c r="AM20" s="1261">
        <v>1.32</v>
      </c>
      <c r="AN20" s="1261">
        <v>1.4</v>
      </c>
      <c r="AO20" s="1262">
        <v>1.48</v>
      </c>
      <c r="AP20" s="1260">
        <v>1.56</v>
      </c>
      <c r="AQ20" s="1261">
        <v>1.65</v>
      </c>
      <c r="AR20" s="1261">
        <v>1.74</v>
      </c>
      <c r="AS20" s="1261">
        <v>1.83</v>
      </c>
      <c r="AT20" s="1261">
        <v>1.93</v>
      </c>
      <c r="AU20" s="1261">
        <v>2.0299999999999998</v>
      </c>
      <c r="AV20" s="1261">
        <v>2.14</v>
      </c>
      <c r="AW20" s="1261">
        <v>2.2400000000000002</v>
      </c>
      <c r="AX20" s="1261">
        <v>2.35</v>
      </c>
      <c r="AY20" s="1262">
        <v>2.4700000000000002</v>
      </c>
      <c r="AZ20" s="1260">
        <v>2.58</v>
      </c>
      <c r="BA20" s="1261">
        <v>2.68</v>
      </c>
      <c r="BB20" s="1261">
        <v>2.77</v>
      </c>
      <c r="BC20" s="1261">
        <v>2.84</v>
      </c>
      <c r="BD20" s="1261">
        <v>2.9</v>
      </c>
      <c r="BE20" s="1261">
        <v>2.96</v>
      </c>
      <c r="BF20" s="1261">
        <v>3</v>
      </c>
      <c r="BG20" s="1261">
        <v>3.04</v>
      </c>
      <c r="BH20" s="1261">
        <v>3.07</v>
      </c>
      <c r="BI20" s="1262">
        <v>3.1</v>
      </c>
      <c r="BJ20" s="1260">
        <v>3.12</v>
      </c>
      <c r="BK20" s="1261">
        <v>3.13</v>
      </c>
      <c r="BL20" s="1261">
        <v>3.14</v>
      </c>
      <c r="BM20" s="1261">
        <v>3.15</v>
      </c>
      <c r="BN20" s="1261">
        <v>3.15</v>
      </c>
      <c r="BO20" s="1261">
        <v>3.16</v>
      </c>
      <c r="BP20" s="1261">
        <v>3.16</v>
      </c>
      <c r="BQ20" s="1261">
        <v>3.16</v>
      </c>
      <c r="BR20" s="1261"/>
      <c r="BS20" s="1262"/>
      <c r="BT20" s="1260"/>
      <c r="BU20" s="1261"/>
      <c r="BV20" s="1261"/>
      <c r="BW20" s="1261"/>
      <c r="BX20" s="1261"/>
      <c r="BY20" s="1261"/>
      <c r="BZ20" s="1261"/>
      <c r="CA20" s="1261"/>
      <c r="CB20" s="1261"/>
      <c r="CC20" s="1262"/>
      <c r="CD20" s="1261"/>
      <c r="CE20" s="1261"/>
      <c r="CF20" s="1262"/>
      <c r="CH20" s="1515" t="str">
        <f t="shared" si="0"/>
        <v>WPTPDF31</v>
      </c>
      <c r="CI20" s="1177">
        <v>31</v>
      </c>
      <c r="CJ20" s="1260"/>
      <c r="CK20" s="1261">
        <v>0.01</v>
      </c>
      <c r="CL20" s="1261">
        <v>0.02</v>
      </c>
      <c r="CM20" s="1261">
        <v>0.02</v>
      </c>
      <c r="CN20" s="1261">
        <v>0.03</v>
      </c>
      <c r="CO20" s="1261">
        <v>0.04</v>
      </c>
      <c r="CP20" s="1261">
        <v>0.04</v>
      </c>
      <c r="CQ20" s="1261">
        <v>0.05</v>
      </c>
      <c r="CR20" s="1262">
        <v>0.06</v>
      </c>
      <c r="CS20" s="1260">
        <v>7.0000000000000007E-2</v>
      </c>
      <c r="CT20" s="1261">
        <v>0.08</v>
      </c>
      <c r="CU20" s="1261">
        <v>0.08</v>
      </c>
      <c r="CV20" s="1261">
        <v>0.09</v>
      </c>
      <c r="CW20" s="1261">
        <v>0.1</v>
      </c>
      <c r="CX20" s="1261">
        <v>0.11</v>
      </c>
      <c r="CY20" s="1261">
        <v>0.12</v>
      </c>
      <c r="CZ20" s="1261">
        <v>0.13</v>
      </c>
      <c r="DA20" s="1261">
        <v>0.15</v>
      </c>
      <c r="DB20" s="1262">
        <v>0.16</v>
      </c>
      <c r="DC20" s="1260">
        <v>0.17</v>
      </c>
      <c r="DD20" s="1261">
        <v>0.19</v>
      </c>
      <c r="DE20" s="1261">
        <v>0.2</v>
      </c>
      <c r="DF20" s="1261">
        <v>0.22</v>
      </c>
      <c r="DG20" s="1261">
        <v>0.23</v>
      </c>
      <c r="DH20" s="1261">
        <v>0.25</v>
      </c>
      <c r="DI20" s="1261">
        <v>0.27</v>
      </c>
      <c r="DJ20" s="1261">
        <v>0.28999999999999998</v>
      </c>
      <c r="DK20" s="1261">
        <v>0.31</v>
      </c>
      <c r="DL20" s="1262">
        <v>0.33</v>
      </c>
      <c r="DM20" s="1260">
        <v>0.35</v>
      </c>
      <c r="DN20" s="1261">
        <v>0.38</v>
      </c>
      <c r="DO20" s="1261">
        <v>0.41</v>
      </c>
      <c r="DP20" s="1261">
        <v>0.44</v>
      </c>
      <c r="DQ20" s="1261">
        <v>0.47</v>
      </c>
      <c r="DR20" s="1261">
        <v>0.5</v>
      </c>
      <c r="DS20" s="1261">
        <v>0.54</v>
      </c>
      <c r="DT20" s="1261">
        <v>0.57999999999999996</v>
      </c>
      <c r="DU20" s="1261">
        <v>0.62</v>
      </c>
      <c r="DV20" s="1262">
        <v>0.67</v>
      </c>
      <c r="DW20" s="1260">
        <v>0.72</v>
      </c>
      <c r="DX20" s="1261">
        <v>0.78</v>
      </c>
      <c r="DY20" s="1261">
        <v>0.84</v>
      </c>
      <c r="DZ20" s="1261">
        <v>0.9</v>
      </c>
      <c r="EA20" s="1261">
        <v>0.97</v>
      </c>
      <c r="EB20" s="1261">
        <v>1.05</v>
      </c>
      <c r="EC20" s="1261">
        <v>1.1299999999999999</v>
      </c>
      <c r="ED20" s="1261">
        <v>1.21</v>
      </c>
      <c r="EE20" s="1261">
        <v>1.3</v>
      </c>
      <c r="EF20" s="1262">
        <v>1.4</v>
      </c>
      <c r="EG20" s="1260">
        <v>1.5</v>
      </c>
      <c r="EH20" s="1261">
        <v>1.58</v>
      </c>
      <c r="EI20" s="1261">
        <v>1.66</v>
      </c>
      <c r="EJ20" s="1261">
        <v>1.73</v>
      </c>
      <c r="EK20" s="1261">
        <v>1.79</v>
      </c>
      <c r="EL20" s="1261">
        <v>1.85</v>
      </c>
      <c r="EM20" s="1261">
        <v>1.89</v>
      </c>
      <c r="EN20" s="1261">
        <v>1.93</v>
      </c>
      <c r="EO20" s="1261">
        <v>1.97</v>
      </c>
      <c r="EP20" s="1262">
        <v>2</v>
      </c>
      <c r="EQ20" s="1260">
        <v>2.02</v>
      </c>
      <c r="ER20" s="1261">
        <v>2.0299999999999998</v>
      </c>
      <c r="ES20" s="1261">
        <v>2.0499999999999998</v>
      </c>
      <c r="ET20" s="1261">
        <v>2.06</v>
      </c>
      <c r="EU20" s="1261">
        <v>2.06</v>
      </c>
      <c r="EV20" s="1261">
        <v>2.0699999999999998</v>
      </c>
      <c r="EW20" s="1261">
        <v>2.0699999999999998</v>
      </c>
      <c r="EX20" s="1261">
        <v>2.0699999999999998</v>
      </c>
      <c r="EY20" s="1261"/>
      <c r="EZ20" s="1262"/>
      <c r="FA20" s="1260"/>
      <c r="FB20" s="1261"/>
      <c r="FC20" s="1261"/>
      <c r="FD20" s="1261"/>
      <c r="FE20" s="1261"/>
      <c r="FF20" s="1261"/>
      <c r="FG20" s="1261"/>
      <c r="FH20" s="1261"/>
      <c r="FI20" s="1261"/>
      <c r="FJ20" s="1262"/>
      <c r="FK20" s="1261"/>
      <c r="FL20" s="1261"/>
      <c r="FM20" s="1262"/>
    </row>
    <row r="21" spans="1:169" s="1516" customFormat="1" ht="12.5">
      <c r="A21" s="1515" t="s">
        <v>1382</v>
      </c>
      <c r="B21" s="1176">
        <v>32</v>
      </c>
      <c r="C21" s="1257"/>
      <c r="D21" s="1258">
        <v>0.04</v>
      </c>
      <c r="E21" s="1258">
        <v>0.06</v>
      </c>
      <c r="F21" s="1258">
        <v>7.0000000000000007E-2</v>
      </c>
      <c r="G21" s="1258">
        <v>0.09</v>
      </c>
      <c r="H21" s="1258">
        <v>0.11</v>
      </c>
      <c r="I21" s="1258">
        <v>0.14000000000000001</v>
      </c>
      <c r="J21" s="1258">
        <v>0.16</v>
      </c>
      <c r="K21" s="1259">
        <v>0.18</v>
      </c>
      <c r="L21" s="1257">
        <v>0.2</v>
      </c>
      <c r="M21" s="1258">
        <v>0.23</v>
      </c>
      <c r="N21" s="1258">
        <v>0.25</v>
      </c>
      <c r="O21" s="1258">
        <v>0.28000000000000003</v>
      </c>
      <c r="P21" s="1258">
        <v>0.31</v>
      </c>
      <c r="Q21" s="1258">
        <v>0.33</v>
      </c>
      <c r="R21" s="1258">
        <v>0.36</v>
      </c>
      <c r="S21" s="1258">
        <v>0.39</v>
      </c>
      <c r="T21" s="1258">
        <v>0.42</v>
      </c>
      <c r="U21" s="1259">
        <v>0.46</v>
      </c>
      <c r="V21" s="1257">
        <v>0.49</v>
      </c>
      <c r="W21" s="1258">
        <v>0.53</v>
      </c>
      <c r="X21" s="1258">
        <v>0.56999999999999995</v>
      </c>
      <c r="Y21" s="1258">
        <v>0.61</v>
      </c>
      <c r="Z21" s="1258">
        <v>0.65</v>
      </c>
      <c r="AA21" s="1258">
        <v>0.69</v>
      </c>
      <c r="AB21" s="1258">
        <v>0.74</v>
      </c>
      <c r="AC21" s="1258">
        <v>0.78</v>
      </c>
      <c r="AD21" s="1258">
        <v>0.83</v>
      </c>
      <c r="AE21" s="1259">
        <v>0.88</v>
      </c>
      <c r="AF21" s="1257">
        <v>0.94</v>
      </c>
      <c r="AG21" s="1258">
        <v>1</v>
      </c>
      <c r="AH21" s="1258">
        <v>1.06</v>
      </c>
      <c r="AI21" s="1258">
        <v>1.1200000000000001</v>
      </c>
      <c r="AJ21" s="1258">
        <v>1.19</v>
      </c>
      <c r="AK21" s="1258">
        <v>1.26</v>
      </c>
      <c r="AL21" s="1258">
        <v>1.33</v>
      </c>
      <c r="AM21" s="1258">
        <v>1.41</v>
      </c>
      <c r="AN21" s="1258">
        <v>1.49</v>
      </c>
      <c r="AO21" s="1259">
        <v>1.58</v>
      </c>
      <c r="AP21" s="1257">
        <v>1.67</v>
      </c>
      <c r="AQ21" s="1258">
        <v>1.76</v>
      </c>
      <c r="AR21" s="1258">
        <v>1.86</v>
      </c>
      <c r="AS21" s="1258">
        <v>1.96</v>
      </c>
      <c r="AT21" s="1258">
        <v>2.06</v>
      </c>
      <c r="AU21" s="1258">
        <v>2.17</v>
      </c>
      <c r="AV21" s="1258">
        <v>2.2799999999999998</v>
      </c>
      <c r="AW21" s="1258">
        <v>2.39</v>
      </c>
      <c r="AX21" s="1258">
        <v>2.5099999999999998</v>
      </c>
      <c r="AY21" s="1259">
        <v>2.63</v>
      </c>
      <c r="AZ21" s="1257">
        <v>2.73</v>
      </c>
      <c r="BA21" s="1258">
        <v>2.81</v>
      </c>
      <c r="BB21" s="1258">
        <v>2.89</v>
      </c>
      <c r="BC21" s="1258">
        <v>2.96</v>
      </c>
      <c r="BD21" s="1258">
        <v>3.01</v>
      </c>
      <c r="BE21" s="1258">
        <v>3.06</v>
      </c>
      <c r="BF21" s="1258">
        <v>3.1</v>
      </c>
      <c r="BG21" s="1258">
        <v>3.13</v>
      </c>
      <c r="BH21" s="1258">
        <v>3.16</v>
      </c>
      <c r="BI21" s="1259">
        <v>3.18</v>
      </c>
      <c r="BJ21" s="1257">
        <v>3.19</v>
      </c>
      <c r="BK21" s="1258">
        <v>3.2</v>
      </c>
      <c r="BL21" s="1258">
        <v>3.21</v>
      </c>
      <c r="BM21" s="1258">
        <v>3.22</v>
      </c>
      <c r="BN21" s="1258">
        <v>3.22</v>
      </c>
      <c r="BO21" s="1258">
        <v>3.22</v>
      </c>
      <c r="BP21" s="1258">
        <v>3.22</v>
      </c>
      <c r="BQ21" s="1258"/>
      <c r="BR21" s="1258"/>
      <c r="BS21" s="1259"/>
      <c r="BT21" s="1257"/>
      <c r="BU21" s="1258"/>
      <c r="BV21" s="1258"/>
      <c r="BW21" s="1258"/>
      <c r="BX21" s="1258"/>
      <c r="BY21" s="1258"/>
      <c r="BZ21" s="1258"/>
      <c r="CA21" s="1258"/>
      <c r="CB21" s="1258"/>
      <c r="CC21" s="1259"/>
      <c r="CD21" s="1258"/>
      <c r="CE21" s="1258"/>
      <c r="CF21" s="1259"/>
      <c r="CH21" s="1515" t="str">
        <f t="shared" si="0"/>
        <v>WPTPDF32</v>
      </c>
      <c r="CI21" s="1176">
        <v>32</v>
      </c>
      <c r="CJ21" s="1257"/>
      <c r="CK21" s="1258">
        <v>0.01</v>
      </c>
      <c r="CL21" s="1258">
        <v>0.02</v>
      </c>
      <c r="CM21" s="1258">
        <v>0.03</v>
      </c>
      <c r="CN21" s="1258">
        <v>0.03</v>
      </c>
      <c r="CO21" s="1258">
        <v>0.04</v>
      </c>
      <c r="CP21" s="1258">
        <v>0.05</v>
      </c>
      <c r="CQ21" s="1258">
        <v>0.05</v>
      </c>
      <c r="CR21" s="1259">
        <v>0.06</v>
      </c>
      <c r="CS21" s="1257">
        <v>7.0000000000000007E-2</v>
      </c>
      <c r="CT21" s="1258">
        <v>0.08</v>
      </c>
      <c r="CU21" s="1258">
        <v>0.09</v>
      </c>
      <c r="CV21" s="1258">
        <v>0.1</v>
      </c>
      <c r="CW21" s="1258">
        <v>0.11</v>
      </c>
      <c r="CX21" s="1258">
        <v>0.12</v>
      </c>
      <c r="CY21" s="1258">
        <v>0.13</v>
      </c>
      <c r="CZ21" s="1258">
        <v>0.14000000000000001</v>
      </c>
      <c r="DA21" s="1258">
        <v>0.16</v>
      </c>
      <c r="DB21" s="1259">
        <v>0.17</v>
      </c>
      <c r="DC21" s="1257">
        <v>0.18</v>
      </c>
      <c r="DD21" s="1258">
        <v>0.2</v>
      </c>
      <c r="DE21" s="1258">
        <v>0.21</v>
      </c>
      <c r="DF21" s="1258">
        <v>0.23</v>
      </c>
      <c r="DG21" s="1258">
        <v>0.25</v>
      </c>
      <c r="DH21" s="1258">
        <v>0.27</v>
      </c>
      <c r="DI21" s="1258">
        <v>0.28999999999999998</v>
      </c>
      <c r="DJ21" s="1258">
        <v>0.31</v>
      </c>
      <c r="DK21" s="1258">
        <v>0.33</v>
      </c>
      <c r="DL21" s="1259">
        <v>0.36</v>
      </c>
      <c r="DM21" s="1257">
        <v>0.38</v>
      </c>
      <c r="DN21" s="1258">
        <v>0.41</v>
      </c>
      <c r="DO21" s="1258">
        <v>0.44</v>
      </c>
      <c r="DP21" s="1258">
        <v>0.47</v>
      </c>
      <c r="DQ21" s="1258">
        <v>0.51</v>
      </c>
      <c r="DR21" s="1258">
        <v>0.55000000000000004</v>
      </c>
      <c r="DS21" s="1258">
        <v>0.59</v>
      </c>
      <c r="DT21" s="1258">
        <v>0.63</v>
      </c>
      <c r="DU21" s="1258">
        <v>0.68</v>
      </c>
      <c r="DV21" s="1259">
        <v>0.73</v>
      </c>
      <c r="DW21" s="1257">
        <v>0.79</v>
      </c>
      <c r="DX21" s="1258">
        <v>0.85</v>
      </c>
      <c r="DY21" s="1258">
        <v>0.92</v>
      </c>
      <c r="DZ21" s="1258">
        <v>0.99</v>
      </c>
      <c r="EA21" s="1258">
        <v>1.07</v>
      </c>
      <c r="EB21" s="1258">
        <v>1.1499999999999999</v>
      </c>
      <c r="EC21" s="1258">
        <v>1.23</v>
      </c>
      <c r="ED21" s="1258">
        <v>1.32</v>
      </c>
      <c r="EE21" s="1258">
        <v>1.43</v>
      </c>
      <c r="EF21" s="1259">
        <v>1.53</v>
      </c>
      <c r="EG21" s="1257">
        <v>1.62</v>
      </c>
      <c r="EH21" s="1258">
        <v>1.7</v>
      </c>
      <c r="EI21" s="1258">
        <v>1.77</v>
      </c>
      <c r="EJ21" s="1258">
        <v>1.83</v>
      </c>
      <c r="EK21" s="1258">
        <v>1.89</v>
      </c>
      <c r="EL21" s="1258">
        <v>1.94</v>
      </c>
      <c r="EM21" s="1258">
        <v>1.98</v>
      </c>
      <c r="EN21" s="1258">
        <v>2.0099999999999998</v>
      </c>
      <c r="EO21" s="1258">
        <v>2.04</v>
      </c>
      <c r="EP21" s="1259">
        <v>2.06</v>
      </c>
      <c r="EQ21" s="1257">
        <v>2.08</v>
      </c>
      <c r="ER21" s="1258">
        <v>2.09</v>
      </c>
      <c r="ES21" s="1258">
        <v>2.1</v>
      </c>
      <c r="ET21" s="1258">
        <v>2.11</v>
      </c>
      <c r="EU21" s="1258">
        <v>2.12</v>
      </c>
      <c r="EV21" s="1258">
        <v>2.12</v>
      </c>
      <c r="EW21" s="1258">
        <v>2.12</v>
      </c>
      <c r="EX21" s="1258"/>
      <c r="EY21" s="1258"/>
      <c r="EZ21" s="1259"/>
      <c r="FA21" s="1257"/>
      <c r="FB21" s="1258"/>
      <c r="FC21" s="1258"/>
      <c r="FD21" s="1258"/>
      <c r="FE21" s="1258"/>
      <c r="FF21" s="1258"/>
      <c r="FG21" s="1258"/>
      <c r="FH21" s="1258"/>
      <c r="FI21" s="1258"/>
      <c r="FJ21" s="1259"/>
      <c r="FK21" s="1258"/>
      <c r="FL21" s="1258"/>
      <c r="FM21" s="1259"/>
    </row>
    <row r="22" spans="1:169" s="1516" customFormat="1" ht="12.5">
      <c r="A22" s="1515" t="s">
        <v>1383</v>
      </c>
      <c r="B22" s="1176">
        <v>33</v>
      </c>
      <c r="C22" s="1257"/>
      <c r="D22" s="1258">
        <v>0.04</v>
      </c>
      <c r="E22" s="1258">
        <v>0.06</v>
      </c>
      <c r="F22" s="1258">
        <v>0.08</v>
      </c>
      <c r="G22" s="1258">
        <v>0.1</v>
      </c>
      <c r="H22" s="1258">
        <v>0.12</v>
      </c>
      <c r="I22" s="1258">
        <v>0.14000000000000001</v>
      </c>
      <c r="J22" s="1258">
        <v>0.17</v>
      </c>
      <c r="K22" s="1259">
        <v>0.19</v>
      </c>
      <c r="L22" s="1257">
        <v>0.21</v>
      </c>
      <c r="M22" s="1258">
        <v>0.24</v>
      </c>
      <c r="N22" s="1258">
        <v>0.27</v>
      </c>
      <c r="O22" s="1258">
        <v>0.28999999999999998</v>
      </c>
      <c r="P22" s="1258">
        <v>0.32</v>
      </c>
      <c r="Q22" s="1258">
        <v>0.35</v>
      </c>
      <c r="R22" s="1258">
        <v>0.38</v>
      </c>
      <c r="S22" s="1258">
        <v>0.42</v>
      </c>
      <c r="T22" s="1258">
        <v>0.45</v>
      </c>
      <c r="U22" s="1259">
        <v>0.48</v>
      </c>
      <c r="V22" s="1257">
        <v>0.52</v>
      </c>
      <c r="W22" s="1258">
        <v>0.56000000000000005</v>
      </c>
      <c r="X22" s="1258">
        <v>0.6</v>
      </c>
      <c r="Y22" s="1258">
        <v>0.64</v>
      </c>
      <c r="Z22" s="1258">
        <v>0.69</v>
      </c>
      <c r="AA22" s="1258">
        <v>0.73</v>
      </c>
      <c r="AB22" s="1258">
        <v>0.78</v>
      </c>
      <c r="AC22" s="1258">
        <v>0.83</v>
      </c>
      <c r="AD22" s="1258">
        <v>0.88</v>
      </c>
      <c r="AE22" s="1259">
        <v>0.94</v>
      </c>
      <c r="AF22" s="1257">
        <v>1</v>
      </c>
      <c r="AG22" s="1258">
        <v>1.06</v>
      </c>
      <c r="AH22" s="1258">
        <v>1.1299999999999999</v>
      </c>
      <c r="AI22" s="1258">
        <v>1.19</v>
      </c>
      <c r="AJ22" s="1258">
        <v>1.27</v>
      </c>
      <c r="AK22" s="1258">
        <v>1.34</v>
      </c>
      <c r="AL22" s="1258">
        <v>1.42</v>
      </c>
      <c r="AM22" s="1258">
        <v>1.51</v>
      </c>
      <c r="AN22" s="1258">
        <v>1.59</v>
      </c>
      <c r="AO22" s="1259">
        <v>1.69</v>
      </c>
      <c r="AP22" s="1257">
        <v>1.78</v>
      </c>
      <c r="AQ22" s="1258">
        <v>1.88</v>
      </c>
      <c r="AR22" s="1258">
        <v>1.99</v>
      </c>
      <c r="AS22" s="1258">
        <v>2.09</v>
      </c>
      <c r="AT22" s="1258">
        <v>2.2000000000000002</v>
      </c>
      <c r="AU22" s="1258">
        <v>2.31</v>
      </c>
      <c r="AV22" s="1258">
        <v>2.4300000000000002</v>
      </c>
      <c r="AW22" s="1258">
        <v>2.56</v>
      </c>
      <c r="AX22" s="1258">
        <v>2.67</v>
      </c>
      <c r="AY22" s="1259">
        <v>2.78</v>
      </c>
      <c r="AZ22" s="1257">
        <v>2.87</v>
      </c>
      <c r="BA22" s="1258">
        <v>2.94</v>
      </c>
      <c r="BB22" s="1258">
        <v>3.01</v>
      </c>
      <c r="BC22" s="1258">
        <v>3.07</v>
      </c>
      <c r="BD22" s="1258">
        <v>3.12</v>
      </c>
      <c r="BE22" s="1258">
        <v>3.16</v>
      </c>
      <c r="BF22" s="1258">
        <v>3.19</v>
      </c>
      <c r="BG22" s="1258">
        <v>3.22</v>
      </c>
      <c r="BH22" s="1258">
        <v>3.24</v>
      </c>
      <c r="BI22" s="1259">
        <v>3.25</v>
      </c>
      <c r="BJ22" s="1257">
        <v>3.26</v>
      </c>
      <c r="BK22" s="1258">
        <v>3.27</v>
      </c>
      <c r="BL22" s="1258">
        <v>3.28</v>
      </c>
      <c r="BM22" s="1258">
        <v>3.28</v>
      </c>
      <c r="BN22" s="1258">
        <v>3.28</v>
      </c>
      <c r="BO22" s="1258">
        <v>3.29</v>
      </c>
      <c r="BP22" s="1258"/>
      <c r="BQ22" s="1258"/>
      <c r="BR22" s="1258"/>
      <c r="BS22" s="1259"/>
      <c r="BT22" s="1257"/>
      <c r="BU22" s="1258"/>
      <c r="BV22" s="1258"/>
      <c r="BW22" s="1258"/>
      <c r="BX22" s="1258"/>
      <c r="BY22" s="1258"/>
      <c r="BZ22" s="1258"/>
      <c r="CA22" s="1258"/>
      <c r="CB22" s="1258"/>
      <c r="CC22" s="1259"/>
      <c r="CD22" s="1258"/>
      <c r="CE22" s="1258"/>
      <c r="CF22" s="1259"/>
      <c r="CH22" s="1515" t="str">
        <f t="shared" si="0"/>
        <v>WPTPDF33</v>
      </c>
      <c r="CI22" s="1176">
        <v>33</v>
      </c>
      <c r="CJ22" s="1257"/>
      <c r="CK22" s="1258">
        <v>0.01</v>
      </c>
      <c r="CL22" s="1258">
        <v>0.02</v>
      </c>
      <c r="CM22" s="1258">
        <v>0.03</v>
      </c>
      <c r="CN22" s="1258">
        <v>0.03</v>
      </c>
      <c r="CO22" s="1258">
        <v>0.04</v>
      </c>
      <c r="CP22" s="1258">
        <v>0.05</v>
      </c>
      <c r="CQ22" s="1258">
        <v>0.06</v>
      </c>
      <c r="CR22" s="1259">
        <v>7.0000000000000007E-2</v>
      </c>
      <c r="CS22" s="1257">
        <v>0.08</v>
      </c>
      <c r="CT22" s="1258">
        <v>0.08</v>
      </c>
      <c r="CU22" s="1258">
        <v>0.09</v>
      </c>
      <c r="CV22" s="1258">
        <v>0.11</v>
      </c>
      <c r="CW22" s="1258">
        <v>0.12</v>
      </c>
      <c r="CX22" s="1258">
        <v>0.13</v>
      </c>
      <c r="CY22" s="1258">
        <v>0.14000000000000001</v>
      </c>
      <c r="CZ22" s="1258">
        <v>0.15</v>
      </c>
      <c r="DA22" s="1258">
        <v>0.17</v>
      </c>
      <c r="DB22" s="1259">
        <v>0.18</v>
      </c>
      <c r="DC22" s="1257">
        <v>0.2</v>
      </c>
      <c r="DD22" s="1258">
        <v>0.21</v>
      </c>
      <c r="DE22" s="1258">
        <v>0.23</v>
      </c>
      <c r="DF22" s="1258">
        <v>0.25</v>
      </c>
      <c r="DG22" s="1258">
        <v>0.27</v>
      </c>
      <c r="DH22" s="1258">
        <v>0.28999999999999998</v>
      </c>
      <c r="DI22" s="1258">
        <v>0.31</v>
      </c>
      <c r="DJ22" s="1258">
        <v>0.33</v>
      </c>
      <c r="DK22" s="1258">
        <v>0.36</v>
      </c>
      <c r="DL22" s="1259">
        <v>0.39</v>
      </c>
      <c r="DM22" s="1257">
        <v>0.42</v>
      </c>
      <c r="DN22" s="1258">
        <v>0.45</v>
      </c>
      <c r="DO22" s="1258">
        <v>0.48</v>
      </c>
      <c r="DP22" s="1258">
        <v>0.52</v>
      </c>
      <c r="DQ22" s="1258">
        <v>0.55000000000000004</v>
      </c>
      <c r="DR22" s="1258">
        <v>0.6</v>
      </c>
      <c r="DS22" s="1258">
        <v>0.64</v>
      </c>
      <c r="DT22" s="1258">
        <v>0.69</v>
      </c>
      <c r="DU22" s="1258">
        <v>0.75</v>
      </c>
      <c r="DV22" s="1259">
        <v>0.8</v>
      </c>
      <c r="DW22" s="1257">
        <v>0.87</v>
      </c>
      <c r="DX22" s="1258">
        <v>0.93</v>
      </c>
      <c r="DY22" s="1258">
        <v>1.01</v>
      </c>
      <c r="DZ22" s="1258">
        <v>1.0900000000000001</v>
      </c>
      <c r="EA22" s="1258">
        <v>1.17</v>
      </c>
      <c r="EB22" s="1258">
        <v>1.26</v>
      </c>
      <c r="EC22" s="1258">
        <v>1.35</v>
      </c>
      <c r="ED22" s="1258">
        <v>1.46</v>
      </c>
      <c r="EE22" s="1258">
        <v>1.56</v>
      </c>
      <c r="EF22" s="1259">
        <v>1.65</v>
      </c>
      <c r="EG22" s="1257">
        <v>1.73</v>
      </c>
      <c r="EH22" s="1258">
        <v>1.81</v>
      </c>
      <c r="EI22" s="1258">
        <v>1.87</v>
      </c>
      <c r="EJ22" s="1258">
        <v>1.93</v>
      </c>
      <c r="EK22" s="1258">
        <v>1.98</v>
      </c>
      <c r="EL22" s="1258">
        <v>2.02</v>
      </c>
      <c r="EM22" s="1258">
        <v>2.06</v>
      </c>
      <c r="EN22" s="1258">
        <v>2.09</v>
      </c>
      <c r="EO22" s="1258">
        <v>2.11</v>
      </c>
      <c r="EP22" s="1259">
        <v>2.13</v>
      </c>
      <c r="EQ22" s="1257">
        <v>2.14</v>
      </c>
      <c r="ER22" s="1258">
        <v>2.15</v>
      </c>
      <c r="ES22" s="1258">
        <v>2.16</v>
      </c>
      <c r="ET22" s="1258">
        <v>2.16</v>
      </c>
      <c r="EU22" s="1258">
        <v>2.17</v>
      </c>
      <c r="EV22" s="1258">
        <v>2.17</v>
      </c>
      <c r="EW22" s="1258"/>
      <c r="EX22" s="1258"/>
      <c r="EY22" s="1258"/>
      <c r="EZ22" s="1259"/>
      <c r="FA22" s="1257"/>
      <c r="FB22" s="1258"/>
      <c r="FC22" s="1258"/>
      <c r="FD22" s="1258"/>
      <c r="FE22" s="1258"/>
      <c r="FF22" s="1258"/>
      <c r="FG22" s="1258"/>
      <c r="FH22" s="1258"/>
      <c r="FI22" s="1258"/>
      <c r="FJ22" s="1259"/>
      <c r="FK22" s="1258"/>
      <c r="FL22" s="1258"/>
      <c r="FM22" s="1259"/>
    </row>
    <row r="23" spans="1:169" s="1516" customFormat="1" ht="12.5">
      <c r="A23" s="1515" t="s">
        <v>1384</v>
      </c>
      <c r="B23" s="1176">
        <v>34</v>
      </c>
      <c r="C23" s="1257"/>
      <c r="D23" s="1258">
        <v>0.04</v>
      </c>
      <c r="E23" s="1258">
        <v>0.06</v>
      </c>
      <c r="F23" s="1258">
        <v>0.08</v>
      </c>
      <c r="G23" s="1258">
        <v>0.1</v>
      </c>
      <c r="H23" s="1258">
        <v>0.13</v>
      </c>
      <c r="I23" s="1258">
        <v>0.15</v>
      </c>
      <c r="J23" s="1258">
        <v>0.17</v>
      </c>
      <c r="K23" s="1259">
        <v>0.2</v>
      </c>
      <c r="L23" s="1257">
        <v>0.23</v>
      </c>
      <c r="M23" s="1258">
        <v>0.25</v>
      </c>
      <c r="N23" s="1258">
        <v>0.28000000000000003</v>
      </c>
      <c r="O23" s="1258">
        <v>0.31</v>
      </c>
      <c r="P23" s="1258">
        <v>0.34</v>
      </c>
      <c r="Q23" s="1258">
        <v>0.37</v>
      </c>
      <c r="R23" s="1258">
        <v>0.41</v>
      </c>
      <c r="S23" s="1258">
        <v>0.44</v>
      </c>
      <c r="T23" s="1258">
        <v>0.48</v>
      </c>
      <c r="U23" s="1259">
        <v>0.51</v>
      </c>
      <c r="V23" s="1257">
        <v>0.55000000000000004</v>
      </c>
      <c r="W23" s="1258">
        <v>0.59</v>
      </c>
      <c r="X23" s="1258">
        <v>0.64</v>
      </c>
      <c r="Y23" s="1258">
        <v>0.68</v>
      </c>
      <c r="Z23" s="1258">
        <v>0.73</v>
      </c>
      <c r="AA23" s="1258">
        <v>0.78</v>
      </c>
      <c r="AB23" s="1258">
        <v>0.83</v>
      </c>
      <c r="AC23" s="1258">
        <v>0.89</v>
      </c>
      <c r="AD23" s="1258">
        <v>0.94</v>
      </c>
      <c r="AE23" s="1259">
        <v>1</v>
      </c>
      <c r="AF23" s="1257">
        <v>1.07</v>
      </c>
      <c r="AG23" s="1258">
        <v>1.1299999999999999</v>
      </c>
      <c r="AH23" s="1258">
        <v>1.2</v>
      </c>
      <c r="AI23" s="1258">
        <v>1.28</v>
      </c>
      <c r="AJ23" s="1258">
        <v>1.35</v>
      </c>
      <c r="AK23" s="1258">
        <v>1.44</v>
      </c>
      <c r="AL23" s="1258">
        <v>1.52</v>
      </c>
      <c r="AM23" s="1258">
        <v>1.61</v>
      </c>
      <c r="AN23" s="1258">
        <v>1.71</v>
      </c>
      <c r="AO23" s="1259">
        <v>1.81</v>
      </c>
      <c r="AP23" s="1257">
        <v>1.91</v>
      </c>
      <c r="AQ23" s="1258">
        <v>2.0099999999999998</v>
      </c>
      <c r="AR23" s="1258">
        <v>2.12</v>
      </c>
      <c r="AS23" s="1258">
        <v>2.2400000000000002</v>
      </c>
      <c r="AT23" s="1258">
        <v>2.35</v>
      </c>
      <c r="AU23" s="1258">
        <v>2.4700000000000002</v>
      </c>
      <c r="AV23" s="1258">
        <v>2.6</v>
      </c>
      <c r="AW23" s="1258">
        <v>2.72</v>
      </c>
      <c r="AX23" s="1258">
        <v>2.82</v>
      </c>
      <c r="AY23" s="1259">
        <v>2.92</v>
      </c>
      <c r="AZ23" s="1257">
        <v>3</v>
      </c>
      <c r="BA23" s="1258">
        <v>3.07</v>
      </c>
      <c r="BB23" s="1258">
        <v>3.13</v>
      </c>
      <c r="BC23" s="1258">
        <v>3.18</v>
      </c>
      <c r="BD23" s="1258">
        <v>3.22</v>
      </c>
      <c r="BE23" s="1258">
        <v>3.25</v>
      </c>
      <c r="BF23" s="1258">
        <v>3.28</v>
      </c>
      <c r="BG23" s="1258">
        <v>3.3</v>
      </c>
      <c r="BH23" s="1258">
        <v>3.32</v>
      </c>
      <c r="BI23" s="1259">
        <v>3.33</v>
      </c>
      <c r="BJ23" s="1257">
        <v>3.34</v>
      </c>
      <c r="BK23" s="1258">
        <v>3.34</v>
      </c>
      <c r="BL23" s="1258">
        <v>3.35</v>
      </c>
      <c r="BM23" s="1258">
        <v>3.35</v>
      </c>
      <c r="BN23" s="1258">
        <v>3.35</v>
      </c>
      <c r="BO23" s="1258"/>
      <c r="BP23" s="1258"/>
      <c r="BQ23" s="1258"/>
      <c r="BR23" s="1258"/>
      <c r="BS23" s="1259"/>
      <c r="BT23" s="1257"/>
      <c r="BU23" s="1258"/>
      <c r="BV23" s="1258"/>
      <c r="BW23" s="1258"/>
      <c r="BX23" s="1258"/>
      <c r="BY23" s="1258"/>
      <c r="BZ23" s="1258"/>
      <c r="CA23" s="1258"/>
      <c r="CB23" s="1258"/>
      <c r="CC23" s="1259"/>
      <c r="CD23" s="1258"/>
      <c r="CE23" s="1258"/>
      <c r="CF23" s="1259"/>
      <c r="CH23" s="1515" t="str">
        <f t="shared" si="0"/>
        <v>WPTPDF34</v>
      </c>
      <c r="CI23" s="1176">
        <v>34</v>
      </c>
      <c r="CJ23" s="1257"/>
      <c r="CK23" s="1258">
        <v>0.01</v>
      </c>
      <c r="CL23" s="1258">
        <v>0.02</v>
      </c>
      <c r="CM23" s="1258">
        <v>0.03</v>
      </c>
      <c r="CN23" s="1258">
        <v>0.04</v>
      </c>
      <c r="CO23" s="1258">
        <v>0.04</v>
      </c>
      <c r="CP23" s="1258">
        <v>0.05</v>
      </c>
      <c r="CQ23" s="1258">
        <v>0.06</v>
      </c>
      <c r="CR23" s="1259">
        <v>7.0000000000000007E-2</v>
      </c>
      <c r="CS23" s="1257">
        <v>0.08</v>
      </c>
      <c r="CT23" s="1258">
        <v>0.09</v>
      </c>
      <c r="CU23" s="1258">
        <v>0.1</v>
      </c>
      <c r="CV23" s="1258">
        <v>0.11</v>
      </c>
      <c r="CW23" s="1258">
        <v>0.12</v>
      </c>
      <c r="CX23" s="1258">
        <v>0.14000000000000001</v>
      </c>
      <c r="CY23" s="1258">
        <v>0.15</v>
      </c>
      <c r="CZ23" s="1258">
        <v>0.16</v>
      </c>
      <c r="DA23" s="1258">
        <v>0.18</v>
      </c>
      <c r="DB23" s="1259">
        <v>0.2</v>
      </c>
      <c r="DC23" s="1257">
        <v>0.21</v>
      </c>
      <c r="DD23" s="1258">
        <v>0.23</v>
      </c>
      <c r="DE23" s="1258">
        <v>0.25</v>
      </c>
      <c r="DF23" s="1258">
        <v>0.27</v>
      </c>
      <c r="DG23" s="1258">
        <v>0.28999999999999998</v>
      </c>
      <c r="DH23" s="1258">
        <v>0.31</v>
      </c>
      <c r="DI23" s="1258">
        <v>0.34</v>
      </c>
      <c r="DJ23" s="1258">
        <v>0.36</v>
      </c>
      <c r="DK23" s="1258">
        <v>0.39</v>
      </c>
      <c r="DL23" s="1259">
        <v>0.42</v>
      </c>
      <c r="DM23" s="1257">
        <v>0.45</v>
      </c>
      <c r="DN23" s="1258">
        <v>0.48</v>
      </c>
      <c r="DO23" s="1258">
        <v>0.52</v>
      </c>
      <c r="DP23" s="1258">
        <v>0.56000000000000005</v>
      </c>
      <c r="DQ23" s="1258">
        <v>0.6</v>
      </c>
      <c r="DR23" s="1258">
        <v>0.65</v>
      </c>
      <c r="DS23" s="1258">
        <v>0.7</v>
      </c>
      <c r="DT23" s="1258">
        <v>0.76</v>
      </c>
      <c r="DU23" s="1258">
        <v>0.82</v>
      </c>
      <c r="DV23" s="1259">
        <v>0.88</v>
      </c>
      <c r="DW23" s="1257">
        <v>0.95</v>
      </c>
      <c r="DX23" s="1258">
        <v>1.03</v>
      </c>
      <c r="DY23" s="1258">
        <v>1.1100000000000001</v>
      </c>
      <c r="DZ23" s="1258">
        <v>1.19</v>
      </c>
      <c r="EA23" s="1258">
        <v>1.28</v>
      </c>
      <c r="EB23" s="1258">
        <v>1.38</v>
      </c>
      <c r="EC23" s="1258">
        <v>1.49</v>
      </c>
      <c r="ED23" s="1258">
        <v>1.59</v>
      </c>
      <c r="EE23" s="1258">
        <v>1.69</v>
      </c>
      <c r="EF23" s="1259">
        <v>1.77</v>
      </c>
      <c r="EG23" s="1257">
        <v>1.85</v>
      </c>
      <c r="EH23" s="1258">
        <v>1.91</v>
      </c>
      <c r="EI23" s="1258">
        <v>1.97</v>
      </c>
      <c r="EJ23" s="1258">
        <v>2.02</v>
      </c>
      <c r="EK23" s="1258">
        <v>2.0699999999999998</v>
      </c>
      <c r="EL23" s="1258">
        <v>2.1</v>
      </c>
      <c r="EM23" s="1258">
        <v>2.13</v>
      </c>
      <c r="EN23" s="1258">
        <v>2.16</v>
      </c>
      <c r="EO23" s="1258">
        <v>2.1800000000000002</v>
      </c>
      <c r="EP23" s="1259">
        <v>2.19</v>
      </c>
      <c r="EQ23" s="1257">
        <v>2.2000000000000002</v>
      </c>
      <c r="ER23" s="1258">
        <v>2.21</v>
      </c>
      <c r="ES23" s="1258">
        <v>2.21</v>
      </c>
      <c r="ET23" s="1258">
        <v>2.2200000000000002</v>
      </c>
      <c r="EU23" s="1258">
        <v>2.2200000000000002</v>
      </c>
      <c r="EV23" s="1258"/>
      <c r="EW23" s="1258"/>
      <c r="EX23" s="1258"/>
      <c r="EY23" s="1258"/>
      <c r="EZ23" s="1259"/>
      <c r="FA23" s="1257"/>
      <c r="FB23" s="1258"/>
      <c r="FC23" s="1258"/>
      <c r="FD23" s="1258"/>
      <c r="FE23" s="1258"/>
      <c r="FF23" s="1258"/>
      <c r="FG23" s="1258"/>
      <c r="FH23" s="1258"/>
      <c r="FI23" s="1258"/>
      <c r="FJ23" s="1259"/>
      <c r="FK23" s="1258"/>
      <c r="FL23" s="1258"/>
      <c r="FM23" s="1259"/>
    </row>
    <row r="24" spans="1:169" s="1516" customFormat="1" ht="12.5">
      <c r="A24" s="1515" t="s">
        <v>1385</v>
      </c>
      <c r="B24" s="1178">
        <v>35</v>
      </c>
      <c r="C24" s="1263"/>
      <c r="D24" s="1264">
        <v>0.04</v>
      </c>
      <c r="E24" s="1264">
        <v>0.06</v>
      </c>
      <c r="F24" s="1264">
        <v>0.09</v>
      </c>
      <c r="G24" s="1264">
        <v>0.11</v>
      </c>
      <c r="H24" s="1264">
        <v>0.13</v>
      </c>
      <c r="I24" s="1264">
        <v>0.16</v>
      </c>
      <c r="J24" s="1264">
        <v>0.18</v>
      </c>
      <c r="K24" s="1265">
        <v>0.21</v>
      </c>
      <c r="L24" s="1263">
        <v>0.24</v>
      </c>
      <c r="M24" s="1264">
        <v>0.27</v>
      </c>
      <c r="N24" s="1264">
        <v>0.3</v>
      </c>
      <c r="O24" s="1264">
        <v>0.33</v>
      </c>
      <c r="P24" s="1264">
        <v>0.36</v>
      </c>
      <c r="Q24" s="1264">
        <v>0.39</v>
      </c>
      <c r="R24" s="1264">
        <v>0.43</v>
      </c>
      <c r="S24" s="1264">
        <v>0.47</v>
      </c>
      <c r="T24" s="1264">
        <v>0.5</v>
      </c>
      <c r="U24" s="1265">
        <v>0.55000000000000004</v>
      </c>
      <c r="V24" s="1263">
        <v>0.59</v>
      </c>
      <c r="W24" s="1264">
        <v>0.63</v>
      </c>
      <c r="X24" s="1264">
        <v>0.68</v>
      </c>
      <c r="Y24" s="1264">
        <v>0.73</v>
      </c>
      <c r="Z24" s="1264">
        <v>0.78</v>
      </c>
      <c r="AA24" s="1264">
        <v>0.83</v>
      </c>
      <c r="AB24" s="1264">
        <v>0.89</v>
      </c>
      <c r="AC24" s="1264">
        <v>0.94</v>
      </c>
      <c r="AD24" s="1264">
        <v>1.01</v>
      </c>
      <c r="AE24" s="1265">
        <v>1.07</v>
      </c>
      <c r="AF24" s="1263">
        <v>1.1399999999999999</v>
      </c>
      <c r="AG24" s="1264">
        <v>1.21</v>
      </c>
      <c r="AH24" s="1264">
        <v>1.29</v>
      </c>
      <c r="AI24" s="1264">
        <v>1.37</v>
      </c>
      <c r="AJ24" s="1264">
        <v>1.45</v>
      </c>
      <c r="AK24" s="1264">
        <v>1.54</v>
      </c>
      <c r="AL24" s="1264">
        <v>1.63</v>
      </c>
      <c r="AM24" s="1264">
        <v>1.73</v>
      </c>
      <c r="AN24" s="1264">
        <v>1.83</v>
      </c>
      <c r="AO24" s="1265">
        <v>1.93</v>
      </c>
      <c r="AP24" s="1263">
        <v>2.04</v>
      </c>
      <c r="AQ24" s="1264">
        <v>2.16</v>
      </c>
      <c r="AR24" s="1264">
        <v>2.27</v>
      </c>
      <c r="AS24" s="1264">
        <v>2.39</v>
      </c>
      <c r="AT24" s="1264">
        <v>2.5099999999999998</v>
      </c>
      <c r="AU24" s="1264">
        <v>2.64</v>
      </c>
      <c r="AV24" s="1264">
        <v>2.77</v>
      </c>
      <c r="AW24" s="1264">
        <v>2.88</v>
      </c>
      <c r="AX24" s="1264">
        <v>2.97</v>
      </c>
      <c r="AY24" s="1265">
        <v>3.06</v>
      </c>
      <c r="AZ24" s="1263">
        <v>3.13</v>
      </c>
      <c r="BA24" s="1264">
        <v>3.19</v>
      </c>
      <c r="BB24" s="1264">
        <v>3.24</v>
      </c>
      <c r="BC24" s="1264">
        <v>3.28</v>
      </c>
      <c r="BD24" s="1264">
        <v>3.32</v>
      </c>
      <c r="BE24" s="1264">
        <v>3.35</v>
      </c>
      <c r="BF24" s="1264">
        <v>3.37</v>
      </c>
      <c r="BG24" s="1264">
        <v>3.38</v>
      </c>
      <c r="BH24" s="1264">
        <v>3.39</v>
      </c>
      <c r="BI24" s="1265">
        <v>3.4</v>
      </c>
      <c r="BJ24" s="1263">
        <v>3.41</v>
      </c>
      <c r="BK24" s="1264">
        <v>3.41</v>
      </c>
      <c r="BL24" s="1264">
        <v>3.42</v>
      </c>
      <c r="BM24" s="1264">
        <v>3.42</v>
      </c>
      <c r="BN24" s="1264"/>
      <c r="BO24" s="1264"/>
      <c r="BP24" s="1264"/>
      <c r="BQ24" s="1264"/>
      <c r="BR24" s="1264"/>
      <c r="BS24" s="1265"/>
      <c r="BT24" s="1263"/>
      <c r="BU24" s="1264"/>
      <c r="BV24" s="1264"/>
      <c r="BW24" s="1264"/>
      <c r="BX24" s="1264"/>
      <c r="BY24" s="1264"/>
      <c r="BZ24" s="1264"/>
      <c r="CA24" s="1264"/>
      <c r="CB24" s="1264"/>
      <c r="CC24" s="1265"/>
      <c r="CD24" s="1264"/>
      <c r="CE24" s="1264"/>
      <c r="CF24" s="1265"/>
      <c r="CH24" s="1515" t="str">
        <f t="shared" si="0"/>
        <v>WPTPDF35</v>
      </c>
      <c r="CI24" s="1178">
        <v>35</v>
      </c>
      <c r="CJ24" s="1263"/>
      <c r="CK24" s="1264">
        <v>0.01</v>
      </c>
      <c r="CL24" s="1264">
        <v>0.02</v>
      </c>
      <c r="CM24" s="1264">
        <v>0.03</v>
      </c>
      <c r="CN24" s="1264">
        <v>0.04</v>
      </c>
      <c r="CO24" s="1264">
        <v>0.05</v>
      </c>
      <c r="CP24" s="1264">
        <v>0.06</v>
      </c>
      <c r="CQ24" s="1264">
        <v>7.0000000000000007E-2</v>
      </c>
      <c r="CR24" s="1265">
        <v>0.08</v>
      </c>
      <c r="CS24" s="1263">
        <v>0.09</v>
      </c>
      <c r="CT24" s="1264">
        <v>0.1</v>
      </c>
      <c r="CU24" s="1264">
        <v>0.11</v>
      </c>
      <c r="CV24" s="1264">
        <v>0.12</v>
      </c>
      <c r="CW24" s="1264">
        <v>0.13</v>
      </c>
      <c r="CX24" s="1264">
        <v>0.15</v>
      </c>
      <c r="CY24" s="1264">
        <v>0.16</v>
      </c>
      <c r="CZ24" s="1264">
        <v>0.18</v>
      </c>
      <c r="DA24" s="1264">
        <v>0.19</v>
      </c>
      <c r="DB24" s="1265">
        <v>0.21</v>
      </c>
      <c r="DC24" s="1263">
        <v>0.23</v>
      </c>
      <c r="DD24" s="1264">
        <v>0.25</v>
      </c>
      <c r="DE24" s="1264">
        <v>0.27</v>
      </c>
      <c r="DF24" s="1264">
        <v>0.28999999999999998</v>
      </c>
      <c r="DG24" s="1264">
        <v>0.31</v>
      </c>
      <c r="DH24" s="1264">
        <v>0.34</v>
      </c>
      <c r="DI24" s="1264">
        <v>0.36</v>
      </c>
      <c r="DJ24" s="1264">
        <v>0.39</v>
      </c>
      <c r="DK24" s="1264">
        <v>0.42</v>
      </c>
      <c r="DL24" s="1265">
        <v>0.46</v>
      </c>
      <c r="DM24" s="1263">
        <v>0.49</v>
      </c>
      <c r="DN24" s="1264">
        <v>0.53</v>
      </c>
      <c r="DO24" s="1264">
        <v>0.56999999999999995</v>
      </c>
      <c r="DP24" s="1264">
        <v>0.61</v>
      </c>
      <c r="DQ24" s="1264">
        <v>0.66</v>
      </c>
      <c r="DR24" s="1264">
        <v>0.71</v>
      </c>
      <c r="DS24" s="1264">
        <v>0.77</v>
      </c>
      <c r="DT24" s="1264">
        <v>0.83</v>
      </c>
      <c r="DU24" s="1264">
        <v>0.9</v>
      </c>
      <c r="DV24" s="1265">
        <v>0.97</v>
      </c>
      <c r="DW24" s="1263">
        <v>1.04</v>
      </c>
      <c r="DX24" s="1264">
        <v>1.1299999999999999</v>
      </c>
      <c r="DY24" s="1264">
        <v>1.21</v>
      </c>
      <c r="DZ24" s="1264">
        <v>1.31</v>
      </c>
      <c r="EA24" s="1264">
        <v>1.4</v>
      </c>
      <c r="EB24" s="1264">
        <v>1.52</v>
      </c>
      <c r="EC24" s="1264">
        <v>1.63</v>
      </c>
      <c r="ED24" s="1264">
        <v>1.72</v>
      </c>
      <c r="EE24" s="1264">
        <v>1.81</v>
      </c>
      <c r="EF24" s="1265">
        <v>1.89</v>
      </c>
      <c r="EG24" s="1263">
        <v>1.96</v>
      </c>
      <c r="EH24" s="1264">
        <v>2.02</v>
      </c>
      <c r="EI24" s="1264">
        <v>2.0699999999999998</v>
      </c>
      <c r="EJ24" s="1264">
        <v>2.12</v>
      </c>
      <c r="EK24" s="1264">
        <v>2.15</v>
      </c>
      <c r="EL24" s="1264">
        <v>2.1800000000000002</v>
      </c>
      <c r="EM24" s="1264">
        <v>2.21</v>
      </c>
      <c r="EN24" s="1264">
        <v>2.23</v>
      </c>
      <c r="EO24" s="1264">
        <v>2.2400000000000002</v>
      </c>
      <c r="EP24" s="1265">
        <v>2.25</v>
      </c>
      <c r="EQ24" s="1263">
        <v>2.2599999999999998</v>
      </c>
      <c r="ER24" s="1264">
        <v>2.27</v>
      </c>
      <c r="ES24" s="1264">
        <v>2.27</v>
      </c>
      <c r="ET24" s="1264">
        <v>2.27</v>
      </c>
      <c r="EU24" s="1264"/>
      <c r="EV24" s="1264"/>
      <c r="EW24" s="1264"/>
      <c r="EX24" s="1264"/>
      <c r="EY24" s="1264"/>
      <c r="EZ24" s="1265"/>
      <c r="FA24" s="1263"/>
      <c r="FB24" s="1264"/>
      <c r="FC24" s="1264"/>
      <c r="FD24" s="1264"/>
      <c r="FE24" s="1264"/>
      <c r="FF24" s="1264"/>
      <c r="FG24" s="1264"/>
      <c r="FH24" s="1264"/>
      <c r="FI24" s="1264"/>
      <c r="FJ24" s="1265"/>
      <c r="FK24" s="1264"/>
      <c r="FL24" s="1264"/>
      <c r="FM24" s="1265"/>
    </row>
    <row r="25" spans="1:169" s="1516" customFormat="1" ht="12.5">
      <c r="A25" s="1515" t="s">
        <v>1386</v>
      </c>
      <c r="B25" s="1176">
        <v>36</v>
      </c>
      <c r="C25" s="1257"/>
      <c r="D25" s="1258">
        <v>0.04</v>
      </c>
      <c r="E25" s="1258">
        <v>7.0000000000000007E-2</v>
      </c>
      <c r="F25" s="1258">
        <v>0.09</v>
      </c>
      <c r="G25" s="1258">
        <v>0.12</v>
      </c>
      <c r="H25" s="1258">
        <v>0.14000000000000001</v>
      </c>
      <c r="I25" s="1258">
        <v>0.17</v>
      </c>
      <c r="J25" s="1258">
        <v>0.19</v>
      </c>
      <c r="K25" s="1259">
        <v>0.22</v>
      </c>
      <c r="L25" s="1257">
        <v>0.25</v>
      </c>
      <c r="M25" s="1258">
        <v>0.28000000000000003</v>
      </c>
      <c r="N25" s="1258">
        <v>0.31</v>
      </c>
      <c r="O25" s="1258">
        <v>0.35</v>
      </c>
      <c r="P25" s="1258">
        <v>0.38</v>
      </c>
      <c r="Q25" s="1258">
        <v>0.42</v>
      </c>
      <c r="R25" s="1258">
        <v>0.46</v>
      </c>
      <c r="S25" s="1258">
        <v>0.5</v>
      </c>
      <c r="T25" s="1258">
        <v>0.54</v>
      </c>
      <c r="U25" s="1259">
        <v>0.57999999999999996</v>
      </c>
      <c r="V25" s="1257">
        <v>0.62</v>
      </c>
      <c r="W25" s="1258">
        <v>0.67</v>
      </c>
      <c r="X25" s="1258">
        <v>0.72</v>
      </c>
      <c r="Y25" s="1258">
        <v>0.77</v>
      </c>
      <c r="Z25" s="1258">
        <v>0.83</v>
      </c>
      <c r="AA25" s="1258">
        <v>0.88</v>
      </c>
      <c r="AB25" s="1258">
        <v>0.94</v>
      </c>
      <c r="AC25" s="1258">
        <v>1.01</v>
      </c>
      <c r="AD25" s="1258">
        <v>1.07</v>
      </c>
      <c r="AE25" s="1259">
        <v>1.1399999999999999</v>
      </c>
      <c r="AF25" s="1257">
        <v>1.22</v>
      </c>
      <c r="AG25" s="1258">
        <v>1.3</v>
      </c>
      <c r="AH25" s="1258">
        <v>1.38</v>
      </c>
      <c r="AI25" s="1258">
        <v>1.46</v>
      </c>
      <c r="AJ25" s="1258">
        <v>1.55</v>
      </c>
      <c r="AK25" s="1258">
        <v>1.65</v>
      </c>
      <c r="AL25" s="1258">
        <v>1.75</v>
      </c>
      <c r="AM25" s="1258">
        <v>1.85</v>
      </c>
      <c r="AN25" s="1258">
        <v>1.96</v>
      </c>
      <c r="AO25" s="1259">
        <v>2.0699999999999998</v>
      </c>
      <c r="AP25" s="1257">
        <v>2.19</v>
      </c>
      <c r="AQ25" s="1258">
        <v>2.31</v>
      </c>
      <c r="AR25" s="1258">
        <v>2.4300000000000002</v>
      </c>
      <c r="AS25" s="1258">
        <v>2.5499999999999998</v>
      </c>
      <c r="AT25" s="1258">
        <v>2.69</v>
      </c>
      <c r="AU25" s="1258">
        <v>2.82</v>
      </c>
      <c r="AV25" s="1258">
        <v>2.93</v>
      </c>
      <c r="AW25" s="1258">
        <v>3.03</v>
      </c>
      <c r="AX25" s="1258">
        <v>3.11</v>
      </c>
      <c r="AY25" s="1259">
        <v>3.19</v>
      </c>
      <c r="AZ25" s="1257">
        <v>3.25</v>
      </c>
      <c r="BA25" s="1258">
        <v>3.3</v>
      </c>
      <c r="BB25" s="1258">
        <v>3.35</v>
      </c>
      <c r="BC25" s="1258">
        <v>3.38</v>
      </c>
      <c r="BD25" s="1258">
        <v>3.41</v>
      </c>
      <c r="BE25" s="1258">
        <v>3.43</v>
      </c>
      <c r="BF25" s="1258">
        <v>3.45</v>
      </c>
      <c r="BG25" s="1258">
        <v>3.46</v>
      </c>
      <c r="BH25" s="1258">
        <v>3.47</v>
      </c>
      <c r="BI25" s="1259">
        <v>3.48</v>
      </c>
      <c r="BJ25" s="1257">
        <v>3.48</v>
      </c>
      <c r="BK25" s="1258">
        <v>3.49</v>
      </c>
      <c r="BL25" s="1258">
        <v>3.49</v>
      </c>
      <c r="BM25" s="1258"/>
      <c r="BN25" s="1258"/>
      <c r="BO25" s="1258"/>
      <c r="BP25" s="1258"/>
      <c r="BQ25" s="1258"/>
      <c r="BR25" s="1258"/>
      <c r="BS25" s="1259"/>
      <c r="BT25" s="1257"/>
      <c r="BU25" s="1258"/>
      <c r="BV25" s="1258"/>
      <c r="BW25" s="1258"/>
      <c r="BX25" s="1258"/>
      <c r="BY25" s="1258"/>
      <c r="BZ25" s="1258"/>
      <c r="CA25" s="1258"/>
      <c r="CB25" s="1258"/>
      <c r="CC25" s="1259"/>
      <c r="CD25" s="1258"/>
      <c r="CE25" s="1258"/>
      <c r="CF25" s="1259"/>
      <c r="CH25" s="1515" t="str">
        <f t="shared" si="0"/>
        <v>WPTPDF36</v>
      </c>
      <c r="CI25" s="1176">
        <v>36</v>
      </c>
      <c r="CJ25" s="1257"/>
      <c r="CK25" s="1258">
        <v>0.02</v>
      </c>
      <c r="CL25" s="1258">
        <v>0.02</v>
      </c>
      <c r="CM25" s="1258">
        <v>0.03</v>
      </c>
      <c r="CN25" s="1258">
        <v>0.04</v>
      </c>
      <c r="CO25" s="1258">
        <v>0.05</v>
      </c>
      <c r="CP25" s="1258">
        <v>0.06</v>
      </c>
      <c r="CQ25" s="1258">
        <v>7.0000000000000007E-2</v>
      </c>
      <c r="CR25" s="1259">
        <v>0.08</v>
      </c>
      <c r="CS25" s="1257">
        <v>0.09</v>
      </c>
      <c r="CT25" s="1258">
        <v>0.1</v>
      </c>
      <c r="CU25" s="1258">
        <v>0.12</v>
      </c>
      <c r="CV25" s="1258">
        <v>0.13</v>
      </c>
      <c r="CW25" s="1258">
        <v>0.14000000000000001</v>
      </c>
      <c r="CX25" s="1258">
        <v>0.16</v>
      </c>
      <c r="CY25" s="1258">
        <v>0.17</v>
      </c>
      <c r="CZ25" s="1258">
        <v>0.19</v>
      </c>
      <c r="DA25" s="1258">
        <v>0.21</v>
      </c>
      <c r="DB25" s="1259">
        <v>0.23</v>
      </c>
      <c r="DC25" s="1257">
        <v>0.25</v>
      </c>
      <c r="DD25" s="1258">
        <v>0.27</v>
      </c>
      <c r="DE25" s="1258">
        <v>0.28999999999999998</v>
      </c>
      <c r="DF25" s="1258">
        <v>0.31</v>
      </c>
      <c r="DG25" s="1258">
        <v>0.34</v>
      </c>
      <c r="DH25" s="1258">
        <v>0.37</v>
      </c>
      <c r="DI25" s="1258">
        <v>0.39</v>
      </c>
      <c r="DJ25" s="1258">
        <v>0.43</v>
      </c>
      <c r="DK25" s="1258">
        <v>0.46</v>
      </c>
      <c r="DL25" s="1259">
        <v>0.5</v>
      </c>
      <c r="DM25" s="1257">
        <v>0.53</v>
      </c>
      <c r="DN25" s="1258">
        <v>0.57999999999999996</v>
      </c>
      <c r="DO25" s="1258">
        <v>0.62</v>
      </c>
      <c r="DP25" s="1258">
        <v>0.67</v>
      </c>
      <c r="DQ25" s="1258">
        <v>0.72</v>
      </c>
      <c r="DR25" s="1258">
        <v>0.78</v>
      </c>
      <c r="DS25" s="1258">
        <v>0.84</v>
      </c>
      <c r="DT25" s="1258">
        <v>0.91</v>
      </c>
      <c r="DU25" s="1258">
        <v>0.99</v>
      </c>
      <c r="DV25" s="1259">
        <v>1.06</v>
      </c>
      <c r="DW25" s="1257">
        <v>1.1499999999999999</v>
      </c>
      <c r="DX25" s="1258">
        <v>1.24</v>
      </c>
      <c r="DY25" s="1258">
        <v>1.33</v>
      </c>
      <c r="DZ25" s="1258">
        <v>1.43</v>
      </c>
      <c r="EA25" s="1258">
        <v>1.55</v>
      </c>
      <c r="EB25" s="1258">
        <v>1.66</v>
      </c>
      <c r="EC25" s="1258">
        <v>1.76</v>
      </c>
      <c r="ED25" s="1258">
        <v>1.85</v>
      </c>
      <c r="EE25" s="1258">
        <v>1.93</v>
      </c>
      <c r="EF25" s="1259">
        <v>2</v>
      </c>
      <c r="EG25" s="1257">
        <v>2.0699999999999998</v>
      </c>
      <c r="EH25" s="1258">
        <v>2.12</v>
      </c>
      <c r="EI25" s="1258">
        <v>2.17</v>
      </c>
      <c r="EJ25" s="1258">
        <v>2.2000000000000002</v>
      </c>
      <c r="EK25" s="1258">
        <v>2.2400000000000002</v>
      </c>
      <c r="EL25" s="1258">
        <v>2.2599999999999998</v>
      </c>
      <c r="EM25" s="1258">
        <v>2.2799999999999998</v>
      </c>
      <c r="EN25" s="1258">
        <v>2.2999999999999998</v>
      </c>
      <c r="EO25" s="1258">
        <v>2.31</v>
      </c>
      <c r="EP25" s="1259">
        <v>2.3199999999999998</v>
      </c>
      <c r="EQ25" s="1257">
        <v>2.3199999999999998</v>
      </c>
      <c r="ER25" s="1258">
        <v>2.33</v>
      </c>
      <c r="ES25" s="1258">
        <v>2.33</v>
      </c>
      <c r="ET25" s="1258"/>
      <c r="EU25" s="1258"/>
      <c r="EV25" s="1258"/>
      <c r="EW25" s="1258"/>
      <c r="EX25" s="1258"/>
      <c r="EY25" s="1258"/>
      <c r="EZ25" s="1259"/>
      <c r="FA25" s="1257"/>
      <c r="FB25" s="1258"/>
      <c r="FC25" s="1258"/>
      <c r="FD25" s="1258"/>
      <c r="FE25" s="1258"/>
      <c r="FF25" s="1258"/>
      <c r="FG25" s="1258"/>
      <c r="FH25" s="1258"/>
      <c r="FI25" s="1258"/>
      <c r="FJ25" s="1259"/>
      <c r="FK25" s="1258"/>
      <c r="FL25" s="1258"/>
      <c r="FM25" s="1259"/>
    </row>
    <row r="26" spans="1:169" s="1516" customFormat="1" ht="12.5">
      <c r="A26" s="1515" t="s">
        <v>1387</v>
      </c>
      <c r="B26" s="1176">
        <v>37</v>
      </c>
      <c r="C26" s="1257"/>
      <c r="D26" s="1258">
        <v>0.05</v>
      </c>
      <c r="E26" s="1258">
        <v>7.0000000000000007E-2</v>
      </c>
      <c r="F26" s="1258">
        <v>0.1</v>
      </c>
      <c r="G26" s="1258">
        <v>0.12</v>
      </c>
      <c r="H26" s="1258">
        <v>0.15</v>
      </c>
      <c r="I26" s="1258">
        <v>0.18</v>
      </c>
      <c r="J26" s="1258">
        <v>0.2</v>
      </c>
      <c r="K26" s="1259">
        <v>0.23</v>
      </c>
      <c r="L26" s="1257">
        <v>0.27</v>
      </c>
      <c r="M26" s="1258">
        <v>0.3</v>
      </c>
      <c r="N26" s="1258">
        <v>0.33</v>
      </c>
      <c r="O26" s="1258">
        <v>0.37</v>
      </c>
      <c r="P26" s="1258">
        <v>0.41</v>
      </c>
      <c r="Q26" s="1258">
        <v>0.44</v>
      </c>
      <c r="R26" s="1258">
        <v>0.48</v>
      </c>
      <c r="S26" s="1258">
        <v>0.53</v>
      </c>
      <c r="T26" s="1258">
        <v>0.56999999999999995</v>
      </c>
      <c r="U26" s="1259">
        <v>0.62</v>
      </c>
      <c r="V26" s="1257">
        <v>0.67</v>
      </c>
      <c r="W26" s="1258">
        <v>0.72</v>
      </c>
      <c r="X26" s="1258">
        <v>0.77</v>
      </c>
      <c r="Y26" s="1258">
        <v>0.83</v>
      </c>
      <c r="Z26" s="1258">
        <v>0.88</v>
      </c>
      <c r="AA26" s="1258">
        <v>0.95</v>
      </c>
      <c r="AB26" s="1258">
        <v>1.01</v>
      </c>
      <c r="AC26" s="1258">
        <v>1.08</v>
      </c>
      <c r="AD26" s="1258">
        <v>1.1499999999999999</v>
      </c>
      <c r="AE26" s="1259">
        <v>1.22</v>
      </c>
      <c r="AF26" s="1257">
        <v>1.3</v>
      </c>
      <c r="AG26" s="1258">
        <v>1.39</v>
      </c>
      <c r="AH26" s="1258">
        <v>1.48</v>
      </c>
      <c r="AI26" s="1258">
        <v>1.57</v>
      </c>
      <c r="AJ26" s="1258">
        <v>1.67</v>
      </c>
      <c r="AK26" s="1258">
        <v>1.77</v>
      </c>
      <c r="AL26" s="1258">
        <v>1.88</v>
      </c>
      <c r="AM26" s="1258">
        <v>1.99</v>
      </c>
      <c r="AN26" s="1258">
        <v>2.1</v>
      </c>
      <c r="AO26" s="1259">
        <v>2.2200000000000002</v>
      </c>
      <c r="AP26" s="1257">
        <v>2.34</v>
      </c>
      <c r="AQ26" s="1258">
        <v>2.4700000000000002</v>
      </c>
      <c r="AR26" s="1258">
        <v>2.59</v>
      </c>
      <c r="AS26" s="1258">
        <v>2.74</v>
      </c>
      <c r="AT26" s="1258">
        <v>2.87</v>
      </c>
      <c r="AU26" s="1258">
        <v>2.98</v>
      </c>
      <c r="AV26" s="1258">
        <v>3.09</v>
      </c>
      <c r="AW26" s="1258">
        <v>3.17</v>
      </c>
      <c r="AX26" s="1258">
        <v>3.25</v>
      </c>
      <c r="AY26" s="1259">
        <v>3.32</v>
      </c>
      <c r="AZ26" s="1257">
        <v>3.37</v>
      </c>
      <c r="BA26" s="1258">
        <v>3.42</v>
      </c>
      <c r="BB26" s="1258">
        <v>3.45</v>
      </c>
      <c r="BC26" s="1258">
        <v>3.48</v>
      </c>
      <c r="BD26" s="1258">
        <v>3.51</v>
      </c>
      <c r="BE26" s="1258">
        <v>3.52</v>
      </c>
      <c r="BF26" s="1258">
        <v>3.54</v>
      </c>
      <c r="BG26" s="1258">
        <v>3.54</v>
      </c>
      <c r="BH26" s="1258">
        <v>3.55</v>
      </c>
      <c r="BI26" s="1259">
        <v>3.55</v>
      </c>
      <c r="BJ26" s="1257">
        <v>3.56</v>
      </c>
      <c r="BK26" s="1258">
        <v>3.56</v>
      </c>
      <c r="BL26" s="1258"/>
      <c r="BM26" s="1258"/>
      <c r="BN26" s="1258"/>
      <c r="BO26" s="1258"/>
      <c r="BP26" s="1258"/>
      <c r="BQ26" s="1258"/>
      <c r="BR26" s="1258"/>
      <c r="BS26" s="1259"/>
      <c r="BT26" s="1257"/>
      <c r="BU26" s="1258"/>
      <c r="BV26" s="1258"/>
      <c r="BW26" s="1258"/>
      <c r="BX26" s="1258"/>
      <c r="BY26" s="1258"/>
      <c r="BZ26" s="1258"/>
      <c r="CA26" s="1258"/>
      <c r="CB26" s="1258"/>
      <c r="CC26" s="1259"/>
      <c r="CD26" s="1258"/>
      <c r="CE26" s="1258"/>
      <c r="CF26" s="1259"/>
      <c r="CH26" s="1515" t="str">
        <f t="shared" si="0"/>
        <v>WPTPDF37</v>
      </c>
      <c r="CI26" s="1176">
        <v>37</v>
      </c>
      <c r="CJ26" s="1257"/>
      <c r="CK26" s="1258">
        <v>0.02</v>
      </c>
      <c r="CL26" s="1258">
        <v>0.02</v>
      </c>
      <c r="CM26" s="1258">
        <v>0.03</v>
      </c>
      <c r="CN26" s="1258">
        <v>0.04</v>
      </c>
      <c r="CO26" s="1258">
        <v>0.05</v>
      </c>
      <c r="CP26" s="1258">
        <v>0.06</v>
      </c>
      <c r="CQ26" s="1258">
        <v>0.08</v>
      </c>
      <c r="CR26" s="1259">
        <v>0.09</v>
      </c>
      <c r="CS26" s="1257">
        <v>0.1</v>
      </c>
      <c r="CT26" s="1258">
        <v>0.11</v>
      </c>
      <c r="CU26" s="1258">
        <v>0.13</v>
      </c>
      <c r="CV26" s="1258">
        <v>0.14000000000000001</v>
      </c>
      <c r="CW26" s="1258">
        <v>0.16</v>
      </c>
      <c r="CX26" s="1258">
        <v>0.17</v>
      </c>
      <c r="CY26" s="1258">
        <v>0.19</v>
      </c>
      <c r="CZ26" s="1258">
        <v>0.21</v>
      </c>
      <c r="DA26" s="1258">
        <v>0.23</v>
      </c>
      <c r="DB26" s="1259">
        <v>0.25</v>
      </c>
      <c r="DC26" s="1257">
        <v>0.27</v>
      </c>
      <c r="DD26" s="1258">
        <v>0.28999999999999998</v>
      </c>
      <c r="DE26" s="1258">
        <v>0.31</v>
      </c>
      <c r="DF26" s="1258">
        <v>0.34</v>
      </c>
      <c r="DG26" s="1258">
        <v>0.37</v>
      </c>
      <c r="DH26" s="1258">
        <v>0.4</v>
      </c>
      <c r="DI26" s="1258">
        <v>0.43</v>
      </c>
      <c r="DJ26" s="1258">
        <v>0.46</v>
      </c>
      <c r="DK26" s="1258">
        <v>0.5</v>
      </c>
      <c r="DL26" s="1259">
        <v>0.54</v>
      </c>
      <c r="DM26" s="1257">
        <v>0.57999999999999996</v>
      </c>
      <c r="DN26" s="1258">
        <v>0.63</v>
      </c>
      <c r="DO26" s="1258">
        <v>0.68</v>
      </c>
      <c r="DP26" s="1258">
        <v>0.74</v>
      </c>
      <c r="DQ26" s="1258">
        <v>0.79</v>
      </c>
      <c r="DR26" s="1258">
        <v>0.86</v>
      </c>
      <c r="DS26" s="1258">
        <v>0.93</v>
      </c>
      <c r="DT26" s="1258">
        <v>1</v>
      </c>
      <c r="DU26" s="1258">
        <v>1.08</v>
      </c>
      <c r="DV26" s="1259">
        <v>1.17</v>
      </c>
      <c r="DW26" s="1257">
        <v>1.26</v>
      </c>
      <c r="DX26" s="1258">
        <v>1.36</v>
      </c>
      <c r="DY26" s="1258">
        <v>1.46</v>
      </c>
      <c r="DZ26" s="1258">
        <v>1.59</v>
      </c>
      <c r="EA26" s="1258">
        <v>1.7</v>
      </c>
      <c r="EB26" s="1258">
        <v>1.8</v>
      </c>
      <c r="EC26" s="1258">
        <v>1.89</v>
      </c>
      <c r="ED26" s="1258">
        <v>1.98</v>
      </c>
      <c r="EE26" s="1258">
        <v>2.0499999999999998</v>
      </c>
      <c r="EF26" s="1259">
        <v>2.12</v>
      </c>
      <c r="EG26" s="1257">
        <v>2.17</v>
      </c>
      <c r="EH26" s="1258">
        <v>2.2200000000000002</v>
      </c>
      <c r="EI26" s="1258">
        <v>2.2599999999999998</v>
      </c>
      <c r="EJ26" s="1258">
        <v>2.29</v>
      </c>
      <c r="EK26" s="1258">
        <v>2.3199999999999998</v>
      </c>
      <c r="EL26" s="1258">
        <v>2.34</v>
      </c>
      <c r="EM26" s="1258">
        <v>2.35</v>
      </c>
      <c r="EN26" s="1258">
        <v>2.36</v>
      </c>
      <c r="EO26" s="1258">
        <v>2.37</v>
      </c>
      <c r="EP26" s="1259">
        <v>2.38</v>
      </c>
      <c r="EQ26" s="1257">
        <v>2.38</v>
      </c>
      <c r="ER26" s="1258">
        <v>2.38</v>
      </c>
      <c r="ES26" s="1258"/>
      <c r="ET26" s="1258"/>
      <c r="EU26" s="1258"/>
      <c r="EV26" s="1258"/>
      <c r="EW26" s="1258"/>
      <c r="EX26" s="1258"/>
      <c r="EY26" s="1258"/>
      <c r="EZ26" s="1259"/>
      <c r="FA26" s="1257"/>
      <c r="FB26" s="1258"/>
      <c r="FC26" s="1258"/>
      <c r="FD26" s="1258"/>
      <c r="FE26" s="1258"/>
      <c r="FF26" s="1258"/>
      <c r="FG26" s="1258"/>
      <c r="FH26" s="1258"/>
      <c r="FI26" s="1258"/>
      <c r="FJ26" s="1259"/>
      <c r="FK26" s="1258"/>
      <c r="FL26" s="1258"/>
      <c r="FM26" s="1259"/>
    </row>
    <row r="27" spans="1:169" s="1516" customFormat="1" ht="12.5">
      <c r="A27" s="1515" t="s">
        <v>1388</v>
      </c>
      <c r="B27" s="1176">
        <v>38</v>
      </c>
      <c r="C27" s="1257"/>
      <c r="D27" s="1258">
        <v>0.05</v>
      </c>
      <c r="E27" s="1258">
        <v>7.0000000000000007E-2</v>
      </c>
      <c r="F27" s="1258">
        <v>0.1</v>
      </c>
      <c r="G27" s="1258">
        <v>0.13</v>
      </c>
      <c r="H27" s="1258">
        <v>0.16</v>
      </c>
      <c r="I27" s="1258">
        <v>0.19</v>
      </c>
      <c r="J27" s="1258">
        <v>0.22</v>
      </c>
      <c r="K27" s="1259">
        <v>0.25</v>
      </c>
      <c r="L27" s="1257">
        <v>0.28000000000000003</v>
      </c>
      <c r="M27" s="1258">
        <v>0.32</v>
      </c>
      <c r="N27" s="1258">
        <v>0.35</v>
      </c>
      <c r="O27" s="1258">
        <v>0.39</v>
      </c>
      <c r="P27" s="1258">
        <v>0.43</v>
      </c>
      <c r="Q27" s="1258">
        <v>0.47</v>
      </c>
      <c r="R27" s="1258">
        <v>0.52</v>
      </c>
      <c r="S27" s="1258">
        <v>0.56000000000000005</v>
      </c>
      <c r="T27" s="1258">
        <v>0.61</v>
      </c>
      <c r="U27" s="1259">
        <v>0.66</v>
      </c>
      <c r="V27" s="1257">
        <v>0.71</v>
      </c>
      <c r="W27" s="1258">
        <v>0.76</v>
      </c>
      <c r="X27" s="1258">
        <v>0.82</v>
      </c>
      <c r="Y27" s="1258">
        <v>0.88</v>
      </c>
      <c r="Z27" s="1258">
        <v>0.94</v>
      </c>
      <c r="AA27" s="1258">
        <v>1.01</v>
      </c>
      <c r="AB27" s="1258">
        <v>1.08</v>
      </c>
      <c r="AC27" s="1258">
        <v>1.1499999999999999</v>
      </c>
      <c r="AD27" s="1258">
        <v>1.23</v>
      </c>
      <c r="AE27" s="1259">
        <v>1.31</v>
      </c>
      <c r="AF27" s="1257">
        <v>1.4</v>
      </c>
      <c r="AG27" s="1258">
        <v>1.49</v>
      </c>
      <c r="AH27" s="1258">
        <v>1.58</v>
      </c>
      <c r="AI27" s="1258">
        <v>1.68</v>
      </c>
      <c r="AJ27" s="1258">
        <v>1.79</v>
      </c>
      <c r="AK27" s="1258">
        <v>1.9</v>
      </c>
      <c r="AL27" s="1258">
        <v>2.0099999999999998</v>
      </c>
      <c r="AM27" s="1258">
        <v>2.13</v>
      </c>
      <c r="AN27" s="1258">
        <v>2.25</v>
      </c>
      <c r="AO27" s="1259">
        <v>2.38</v>
      </c>
      <c r="AP27" s="1257">
        <v>2.5099999999999998</v>
      </c>
      <c r="AQ27" s="1258">
        <v>2.63</v>
      </c>
      <c r="AR27" s="1258">
        <v>2.78</v>
      </c>
      <c r="AS27" s="1258">
        <v>2.92</v>
      </c>
      <c r="AT27" s="1258">
        <v>3.04</v>
      </c>
      <c r="AU27" s="1258">
        <v>3.15</v>
      </c>
      <c r="AV27" s="1258">
        <v>3.24</v>
      </c>
      <c r="AW27" s="1258">
        <v>3.32</v>
      </c>
      <c r="AX27" s="1258">
        <v>3.38</v>
      </c>
      <c r="AY27" s="1259">
        <v>3.44</v>
      </c>
      <c r="AZ27" s="1257">
        <v>3.49</v>
      </c>
      <c r="BA27" s="1258">
        <v>3.52</v>
      </c>
      <c r="BB27" s="1258">
        <v>3.55</v>
      </c>
      <c r="BC27" s="1258">
        <v>3.58</v>
      </c>
      <c r="BD27" s="1258">
        <v>3.6</v>
      </c>
      <c r="BE27" s="1258">
        <v>3.61</v>
      </c>
      <c r="BF27" s="1258">
        <v>3.62</v>
      </c>
      <c r="BG27" s="1258">
        <v>3.62</v>
      </c>
      <c r="BH27" s="1258">
        <v>3.63</v>
      </c>
      <c r="BI27" s="1259">
        <v>3.63</v>
      </c>
      <c r="BJ27" s="1257">
        <v>3.63</v>
      </c>
      <c r="BK27" s="1258"/>
      <c r="BL27" s="1258"/>
      <c r="BM27" s="1258"/>
      <c r="BN27" s="1258"/>
      <c r="BO27" s="1258"/>
      <c r="BP27" s="1258"/>
      <c r="BQ27" s="1258"/>
      <c r="BR27" s="1258"/>
      <c r="BS27" s="1259"/>
      <c r="BT27" s="1257"/>
      <c r="BU27" s="1258"/>
      <c r="BV27" s="1258"/>
      <c r="BW27" s="1258"/>
      <c r="BX27" s="1258"/>
      <c r="BY27" s="1258"/>
      <c r="BZ27" s="1258"/>
      <c r="CA27" s="1258"/>
      <c r="CB27" s="1258"/>
      <c r="CC27" s="1259"/>
      <c r="CD27" s="1258"/>
      <c r="CE27" s="1258"/>
      <c r="CF27" s="1259"/>
      <c r="CH27" s="1515" t="str">
        <f t="shared" si="0"/>
        <v>WPTPDF38</v>
      </c>
      <c r="CI27" s="1176">
        <v>38</v>
      </c>
      <c r="CJ27" s="1257"/>
      <c r="CK27" s="1258">
        <v>0.02</v>
      </c>
      <c r="CL27" s="1258">
        <v>0.03</v>
      </c>
      <c r="CM27" s="1258">
        <v>0.04</v>
      </c>
      <c r="CN27" s="1258">
        <v>0.05</v>
      </c>
      <c r="CO27" s="1258">
        <v>0.06</v>
      </c>
      <c r="CP27" s="1258">
        <v>7.0000000000000007E-2</v>
      </c>
      <c r="CQ27" s="1258">
        <v>0.08</v>
      </c>
      <c r="CR27" s="1259">
        <v>0.09</v>
      </c>
      <c r="CS27" s="1257">
        <v>0.11</v>
      </c>
      <c r="CT27" s="1258">
        <v>0.12</v>
      </c>
      <c r="CU27" s="1258">
        <v>0.14000000000000001</v>
      </c>
      <c r="CV27" s="1258">
        <v>0.15</v>
      </c>
      <c r="CW27" s="1258">
        <v>0.17</v>
      </c>
      <c r="CX27" s="1258">
        <v>0.19</v>
      </c>
      <c r="CY27" s="1258">
        <v>0.2</v>
      </c>
      <c r="CZ27" s="1258">
        <v>0.22</v>
      </c>
      <c r="DA27" s="1258">
        <v>0.24</v>
      </c>
      <c r="DB27" s="1259">
        <v>0.27</v>
      </c>
      <c r="DC27" s="1257">
        <v>0.28999999999999998</v>
      </c>
      <c r="DD27" s="1258">
        <v>0.31</v>
      </c>
      <c r="DE27" s="1258">
        <v>0.34</v>
      </c>
      <c r="DF27" s="1258">
        <v>0.37</v>
      </c>
      <c r="DG27" s="1258">
        <v>0.4</v>
      </c>
      <c r="DH27" s="1258">
        <v>0.43</v>
      </c>
      <c r="DI27" s="1258">
        <v>0.47</v>
      </c>
      <c r="DJ27" s="1258">
        <v>0.51</v>
      </c>
      <c r="DK27" s="1258">
        <v>0.55000000000000004</v>
      </c>
      <c r="DL27" s="1259">
        <v>0.59</v>
      </c>
      <c r="DM27" s="1257">
        <v>0.64</v>
      </c>
      <c r="DN27" s="1258">
        <v>0.69</v>
      </c>
      <c r="DO27" s="1258">
        <v>0.75</v>
      </c>
      <c r="DP27" s="1258">
        <v>0.81</v>
      </c>
      <c r="DQ27" s="1258">
        <v>0.87</v>
      </c>
      <c r="DR27" s="1258">
        <v>0.94</v>
      </c>
      <c r="DS27" s="1258">
        <v>1.02</v>
      </c>
      <c r="DT27" s="1258">
        <v>1.1100000000000001</v>
      </c>
      <c r="DU27" s="1258">
        <v>1.19</v>
      </c>
      <c r="DV27" s="1259">
        <v>1.29</v>
      </c>
      <c r="DW27" s="1257">
        <v>1.39</v>
      </c>
      <c r="DX27" s="1258">
        <v>1.49</v>
      </c>
      <c r="DY27" s="1258">
        <v>1.62</v>
      </c>
      <c r="DZ27" s="1258">
        <v>1.74</v>
      </c>
      <c r="EA27" s="1258">
        <v>1.84</v>
      </c>
      <c r="EB27" s="1258">
        <v>1.94</v>
      </c>
      <c r="EC27" s="1258">
        <v>2.02</v>
      </c>
      <c r="ED27" s="1258">
        <v>2.1</v>
      </c>
      <c r="EE27" s="1258">
        <v>2.17</v>
      </c>
      <c r="EF27" s="1259">
        <v>2.2200000000000002</v>
      </c>
      <c r="EG27" s="1257">
        <v>2.27</v>
      </c>
      <c r="EH27" s="1258">
        <v>2.31</v>
      </c>
      <c r="EI27" s="1258">
        <v>2.35</v>
      </c>
      <c r="EJ27" s="1258">
        <v>2.37</v>
      </c>
      <c r="EK27" s="1258">
        <v>2.4</v>
      </c>
      <c r="EL27" s="1258">
        <v>2.41</v>
      </c>
      <c r="EM27" s="1258">
        <v>2.42</v>
      </c>
      <c r="EN27" s="1258">
        <v>2.4300000000000002</v>
      </c>
      <c r="EO27" s="1258">
        <v>2.44</v>
      </c>
      <c r="EP27" s="1259">
        <v>2.44</v>
      </c>
      <c r="EQ27" s="1257">
        <v>2.44</v>
      </c>
      <c r="ER27" s="1258"/>
      <c r="ES27" s="1258"/>
      <c r="ET27" s="1258"/>
      <c r="EU27" s="1258"/>
      <c r="EV27" s="1258"/>
      <c r="EW27" s="1258"/>
      <c r="EX27" s="1258"/>
      <c r="EY27" s="1258"/>
      <c r="EZ27" s="1259"/>
      <c r="FA27" s="1257"/>
      <c r="FB27" s="1258"/>
      <c r="FC27" s="1258"/>
      <c r="FD27" s="1258"/>
      <c r="FE27" s="1258"/>
      <c r="FF27" s="1258"/>
      <c r="FG27" s="1258"/>
      <c r="FH27" s="1258"/>
      <c r="FI27" s="1258"/>
      <c r="FJ27" s="1259"/>
      <c r="FK27" s="1258"/>
      <c r="FL27" s="1258"/>
      <c r="FM27" s="1259"/>
    </row>
    <row r="28" spans="1:169" s="1516" customFormat="1" ht="12.5">
      <c r="A28" s="1515" t="s">
        <v>1389</v>
      </c>
      <c r="B28" s="1176">
        <v>39</v>
      </c>
      <c r="C28" s="1257"/>
      <c r="D28" s="1258">
        <v>0.05</v>
      </c>
      <c r="E28" s="1258">
        <v>0.08</v>
      </c>
      <c r="F28" s="1258">
        <v>0.11</v>
      </c>
      <c r="G28" s="1258">
        <v>0.14000000000000001</v>
      </c>
      <c r="H28" s="1258">
        <v>0.17</v>
      </c>
      <c r="I28" s="1258">
        <v>0.2</v>
      </c>
      <c r="J28" s="1258">
        <v>0.23</v>
      </c>
      <c r="K28" s="1259">
        <v>0.26</v>
      </c>
      <c r="L28" s="1257">
        <v>0.3</v>
      </c>
      <c r="M28" s="1258">
        <v>0.34</v>
      </c>
      <c r="N28" s="1258">
        <v>0.38</v>
      </c>
      <c r="O28" s="1258">
        <v>0.42</v>
      </c>
      <c r="P28" s="1258">
        <v>0.46</v>
      </c>
      <c r="Q28" s="1258">
        <v>0.5</v>
      </c>
      <c r="R28" s="1258">
        <v>0.55000000000000004</v>
      </c>
      <c r="S28" s="1258">
        <v>0.6</v>
      </c>
      <c r="T28" s="1258">
        <v>0.65</v>
      </c>
      <c r="U28" s="1259">
        <v>0.7</v>
      </c>
      <c r="V28" s="1257">
        <v>0.76</v>
      </c>
      <c r="W28" s="1258">
        <v>0.82</v>
      </c>
      <c r="X28" s="1258">
        <v>0.88</v>
      </c>
      <c r="Y28" s="1258">
        <v>0.94</v>
      </c>
      <c r="Z28" s="1258">
        <v>1.01</v>
      </c>
      <c r="AA28" s="1258">
        <v>1.08</v>
      </c>
      <c r="AB28" s="1258">
        <v>1.1599999999999999</v>
      </c>
      <c r="AC28" s="1258">
        <v>1.24</v>
      </c>
      <c r="AD28" s="1258">
        <v>1.32</v>
      </c>
      <c r="AE28" s="1259">
        <v>1.41</v>
      </c>
      <c r="AF28" s="1257">
        <v>1.5</v>
      </c>
      <c r="AG28" s="1258">
        <v>1.6</v>
      </c>
      <c r="AH28" s="1258">
        <v>1.7</v>
      </c>
      <c r="AI28" s="1258">
        <v>1.81</v>
      </c>
      <c r="AJ28" s="1258">
        <v>1.92</v>
      </c>
      <c r="AK28" s="1258">
        <v>2.04</v>
      </c>
      <c r="AL28" s="1258">
        <v>2.16</v>
      </c>
      <c r="AM28" s="1258">
        <v>2.29</v>
      </c>
      <c r="AN28" s="1258">
        <v>2.42</v>
      </c>
      <c r="AO28" s="1259">
        <v>2.5499999999999998</v>
      </c>
      <c r="AP28" s="1257">
        <v>2.68</v>
      </c>
      <c r="AQ28" s="1258">
        <v>2.83</v>
      </c>
      <c r="AR28" s="1258">
        <v>2.97</v>
      </c>
      <c r="AS28" s="1258">
        <v>3.1</v>
      </c>
      <c r="AT28" s="1258">
        <v>3.21</v>
      </c>
      <c r="AU28" s="1258">
        <v>3.3</v>
      </c>
      <c r="AV28" s="1258">
        <v>3.38</v>
      </c>
      <c r="AW28" s="1258">
        <v>3.45</v>
      </c>
      <c r="AX28" s="1258">
        <v>3.51</v>
      </c>
      <c r="AY28" s="1259">
        <v>3.56</v>
      </c>
      <c r="AZ28" s="1257">
        <v>3.6</v>
      </c>
      <c r="BA28" s="1258">
        <v>3.63</v>
      </c>
      <c r="BB28" s="1258">
        <v>3.65</v>
      </c>
      <c r="BC28" s="1258">
        <v>3.67</v>
      </c>
      <c r="BD28" s="1258">
        <v>3.69</v>
      </c>
      <c r="BE28" s="1258">
        <v>3.69</v>
      </c>
      <c r="BF28" s="1258">
        <v>3.7</v>
      </c>
      <c r="BG28" s="1258">
        <v>3.71</v>
      </c>
      <c r="BH28" s="1258">
        <v>3.71</v>
      </c>
      <c r="BI28" s="1259">
        <v>3.71</v>
      </c>
      <c r="BJ28" s="1257"/>
      <c r="BK28" s="1258"/>
      <c r="BL28" s="1258"/>
      <c r="BM28" s="1258"/>
      <c r="BN28" s="1258"/>
      <c r="BO28" s="1258"/>
      <c r="BP28" s="1258"/>
      <c r="BQ28" s="1258"/>
      <c r="BR28" s="1258"/>
      <c r="BS28" s="1259"/>
      <c r="BT28" s="1257"/>
      <c r="BU28" s="1258"/>
      <c r="BV28" s="1258"/>
      <c r="BW28" s="1258"/>
      <c r="BX28" s="1258"/>
      <c r="BY28" s="1258"/>
      <c r="BZ28" s="1258"/>
      <c r="CA28" s="1258"/>
      <c r="CB28" s="1258"/>
      <c r="CC28" s="1259"/>
      <c r="CD28" s="1258"/>
      <c r="CE28" s="1258"/>
      <c r="CF28" s="1259"/>
      <c r="CH28" s="1515" t="str">
        <f t="shared" si="0"/>
        <v>WPTPDF39</v>
      </c>
      <c r="CI28" s="1176">
        <v>39</v>
      </c>
      <c r="CJ28" s="1257"/>
      <c r="CK28" s="1258">
        <v>0.02</v>
      </c>
      <c r="CL28" s="1258">
        <v>0.03</v>
      </c>
      <c r="CM28" s="1258">
        <v>0.04</v>
      </c>
      <c r="CN28" s="1258">
        <v>0.05</v>
      </c>
      <c r="CO28" s="1258">
        <v>0.06</v>
      </c>
      <c r="CP28" s="1258">
        <v>7.0000000000000007E-2</v>
      </c>
      <c r="CQ28" s="1258">
        <v>0.09</v>
      </c>
      <c r="CR28" s="1259">
        <v>0.1</v>
      </c>
      <c r="CS28" s="1257">
        <v>0.12</v>
      </c>
      <c r="CT28" s="1258">
        <v>0.13</v>
      </c>
      <c r="CU28" s="1258">
        <v>0.15</v>
      </c>
      <c r="CV28" s="1258">
        <v>0.16</v>
      </c>
      <c r="CW28" s="1258">
        <v>0.18</v>
      </c>
      <c r="CX28" s="1258">
        <v>0.2</v>
      </c>
      <c r="CY28" s="1258">
        <v>0.22</v>
      </c>
      <c r="CZ28" s="1258">
        <v>0.24</v>
      </c>
      <c r="DA28" s="1258">
        <v>0.26</v>
      </c>
      <c r="DB28" s="1259">
        <v>0.28999999999999998</v>
      </c>
      <c r="DC28" s="1257">
        <v>0.31</v>
      </c>
      <c r="DD28" s="1258">
        <v>0.34</v>
      </c>
      <c r="DE28" s="1258">
        <v>0.37</v>
      </c>
      <c r="DF28" s="1258">
        <v>0.4</v>
      </c>
      <c r="DG28" s="1258">
        <v>0.44</v>
      </c>
      <c r="DH28" s="1258">
        <v>0.47</v>
      </c>
      <c r="DI28" s="1258">
        <v>0.51</v>
      </c>
      <c r="DJ28" s="1258">
        <v>0.55000000000000004</v>
      </c>
      <c r="DK28" s="1258">
        <v>0.6</v>
      </c>
      <c r="DL28" s="1259">
        <v>0.65</v>
      </c>
      <c r="DM28" s="1257">
        <v>0.7</v>
      </c>
      <c r="DN28" s="1258">
        <v>0.76</v>
      </c>
      <c r="DO28" s="1258">
        <v>0.82</v>
      </c>
      <c r="DP28" s="1258">
        <v>0.89</v>
      </c>
      <c r="DQ28" s="1258">
        <v>0.96</v>
      </c>
      <c r="DR28" s="1258">
        <v>1.04</v>
      </c>
      <c r="DS28" s="1258">
        <v>1.1299999999999999</v>
      </c>
      <c r="DT28" s="1258">
        <v>1.22</v>
      </c>
      <c r="DU28" s="1258">
        <v>1.32</v>
      </c>
      <c r="DV28" s="1259">
        <v>1.42</v>
      </c>
      <c r="DW28" s="1257">
        <v>1.53</v>
      </c>
      <c r="DX28" s="1258">
        <v>1.66</v>
      </c>
      <c r="DY28" s="1258">
        <v>1.78</v>
      </c>
      <c r="DZ28" s="1258">
        <v>1.89</v>
      </c>
      <c r="EA28" s="1258">
        <v>1.98</v>
      </c>
      <c r="EB28" s="1258">
        <v>2.0699999999999998</v>
      </c>
      <c r="EC28" s="1258">
        <v>2.15</v>
      </c>
      <c r="ED28" s="1258">
        <v>2.2200000000000002</v>
      </c>
      <c r="EE28" s="1258">
        <v>2.2799999999999998</v>
      </c>
      <c r="EF28" s="1259">
        <v>2.33</v>
      </c>
      <c r="EG28" s="1257">
        <v>2.37</v>
      </c>
      <c r="EH28" s="1258">
        <v>2.41</v>
      </c>
      <c r="EI28" s="1258">
        <v>2.4300000000000002</v>
      </c>
      <c r="EJ28" s="1258">
        <v>2.4500000000000002</v>
      </c>
      <c r="EK28" s="1258">
        <v>2.4700000000000002</v>
      </c>
      <c r="EL28" s="1258">
        <v>2.48</v>
      </c>
      <c r="EM28" s="1258">
        <v>2.4900000000000002</v>
      </c>
      <c r="EN28" s="1258">
        <v>2.5</v>
      </c>
      <c r="EO28" s="1258">
        <v>2.5</v>
      </c>
      <c r="EP28" s="1259">
        <v>2.5</v>
      </c>
      <c r="EQ28" s="1257"/>
      <c r="ER28" s="1258"/>
      <c r="ES28" s="1258"/>
      <c r="ET28" s="1258"/>
      <c r="EU28" s="1258"/>
      <c r="EV28" s="1258"/>
      <c r="EW28" s="1258"/>
      <c r="EX28" s="1258"/>
      <c r="EY28" s="1258"/>
      <c r="EZ28" s="1259"/>
      <c r="FA28" s="1257"/>
      <c r="FB28" s="1258"/>
      <c r="FC28" s="1258"/>
      <c r="FD28" s="1258"/>
      <c r="FE28" s="1258"/>
      <c r="FF28" s="1258"/>
      <c r="FG28" s="1258"/>
      <c r="FH28" s="1258"/>
      <c r="FI28" s="1258"/>
      <c r="FJ28" s="1259"/>
      <c r="FK28" s="1258"/>
      <c r="FL28" s="1258"/>
      <c r="FM28" s="1259"/>
    </row>
    <row r="29" spans="1:169" s="1516" customFormat="1" ht="12.5">
      <c r="A29" s="1515" t="s">
        <v>1390</v>
      </c>
      <c r="B29" s="1176">
        <v>40</v>
      </c>
      <c r="C29" s="1257"/>
      <c r="D29" s="1258">
        <v>0.05</v>
      </c>
      <c r="E29" s="1258">
        <v>0.08</v>
      </c>
      <c r="F29" s="1258">
        <v>0.11</v>
      </c>
      <c r="G29" s="1258">
        <v>0.14000000000000001</v>
      </c>
      <c r="H29" s="1258">
        <v>0.18</v>
      </c>
      <c r="I29" s="1258">
        <v>0.21</v>
      </c>
      <c r="J29" s="1258">
        <v>0.24</v>
      </c>
      <c r="K29" s="1259">
        <v>0.28000000000000003</v>
      </c>
      <c r="L29" s="1257">
        <v>0.32</v>
      </c>
      <c r="M29" s="1258">
        <v>0.36</v>
      </c>
      <c r="N29" s="1258">
        <v>0.4</v>
      </c>
      <c r="O29" s="1258">
        <v>0.44</v>
      </c>
      <c r="P29" s="1258">
        <v>0.49</v>
      </c>
      <c r="Q29" s="1258">
        <v>0.54</v>
      </c>
      <c r="R29" s="1258">
        <v>0.59</v>
      </c>
      <c r="S29" s="1258">
        <v>0.64</v>
      </c>
      <c r="T29" s="1258">
        <v>0.69</v>
      </c>
      <c r="U29" s="1259">
        <v>0.75</v>
      </c>
      <c r="V29" s="1257">
        <v>0.81</v>
      </c>
      <c r="W29" s="1258">
        <v>0.87</v>
      </c>
      <c r="X29" s="1258">
        <v>0.94</v>
      </c>
      <c r="Y29" s="1258">
        <v>1.01</v>
      </c>
      <c r="Z29" s="1258">
        <v>1.08</v>
      </c>
      <c r="AA29" s="1258">
        <v>1.1599999999999999</v>
      </c>
      <c r="AB29" s="1258">
        <v>1.24</v>
      </c>
      <c r="AC29" s="1258">
        <v>1.33</v>
      </c>
      <c r="AD29" s="1258">
        <v>1.42</v>
      </c>
      <c r="AE29" s="1259">
        <v>1.51</v>
      </c>
      <c r="AF29" s="1257">
        <v>1.62</v>
      </c>
      <c r="AG29" s="1258">
        <v>1.72</v>
      </c>
      <c r="AH29" s="1258">
        <v>1.83</v>
      </c>
      <c r="AI29" s="1258">
        <v>1.95</v>
      </c>
      <c r="AJ29" s="1258">
        <v>2.0699999999999998</v>
      </c>
      <c r="AK29" s="1258">
        <v>2.19</v>
      </c>
      <c r="AL29" s="1258">
        <v>2.3199999999999998</v>
      </c>
      <c r="AM29" s="1258">
        <v>2.4500000000000002</v>
      </c>
      <c r="AN29" s="1258">
        <v>2.59</v>
      </c>
      <c r="AO29" s="1259">
        <v>2.72</v>
      </c>
      <c r="AP29" s="1257">
        <v>2.89</v>
      </c>
      <c r="AQ29" s="1258">
        <v>3.03</v>
      </c>
      <c r="AR29" s="1258">
        <v>3.16</v>
      </c>
      <c r="AS29" s="1258">
        <v>3.27</v>
      </c>
      <c r="AT29" s="1258">
        <v>3.37</v>
      </c>
      <c r="AU29" s="1258">
        <v>3.45</v>
      </c>
      <c r="AV29" s="1258">
        <v>3.52</v>
      </c>
      <c r="AW29" s="1258">
        <v>3.58</v>
      </c>
      <c r="AX29" s="1258">
        <v>3.63</v>
      </c>
      <c r="AY29" s="1259">
        <v>3.67</v>
      </c>
      <c r="AZ29" s="1257">
        <v>3.71</v>
      </c>
      <c r="BA29" s="1258">
        <v>3.73</v>
      </c>
      <c r="BB29" s="1258">
        <v>3.75</v>
      </c>
      <c r="BC29" s="1258">
        <v>3.76</v>
      </c>
      <c r="BD29" s="1258">
        <v>3.77</v>
      </c>
      <c r="BE29" s="1258">
        <v>3.78</v>
      </c>
      <c r="BF29" s="1258">
        <v>3.79</v>
      </c>
      <c r="BG29" s="1258">
        <v>3.79</v>
      </c>
      <c r="BH29" s="1258">
        <v>3.79</v>
      </c>
      <c r="BI29" s="1259"/>
      <c r="BJ29" s="1257"/>
      <c r="BK29" s="1258"/>
      <c r="BL29" s="1258"/>
      <c r="BM29" s="1258"/>
      <c r="BN29" s="1258"/>
      <c r="BO29" s="1258"/>
      <c r="BP29" s="1258"/>
      <c r="BQ29" s="1258"/>
      <c r="BR29" s="1258"/>
      <c r="BS29" s="1259"/>
      <c r="BT29" s="1257"/>
      <c r="BU29" s="1258"/>
      <c r="BV29" s="1258"/>
      <c r="BW29" s="1258"/>
      <c r="BX29" s="1258"/>
      <c r="BY29" s="1258"/>
      <c r="BZ29" s="1258"/>
      <c r="CA29" s="1258"/>
      <c r="CB29" s="1258"/>
      <c r="CC29" s="1259"/>
      <c r="CD29" s="1258"/>
      <c r="CE29" s="1258"/>
      <c r="CF29" s="1259"/>
      <c r="CH29" s="1515" t="str">
        <f t="shared" si="0"/>
        <v>WPTPDF40</v>
      </c>
      <c r="CI29" s="1176">
        <v>40</v>
      </c>
      <c r="CJ29" s="1257"/>
      <c r="CK29" s="1258">
        <v>0.02</v>
      </c>
      <c r="CL29" s="1258">
        <v>0.03</v>
      </c>
      <c r="CM29" s="1258">
        <v>0.04</v>
      </c>
      <c r="CN29" s="1258">
        <v>0.05</v>
      </c>
      <c r="CO29" s="1258">
        <v>7.0000000000000007E-2</v>
      </c>
      <c r="CP29" s="1258">
        <v>0.08</v>
      </c>
      <c r="CQ29" s="1258">
        <v>0.09</v>
      </c>
      <c r="CR29" s="1259">
        <v>0.11</v>
      </c>
      <c r="CS29" s="1257">
        <v>0.13</v>
      </c>
      <c r="CT29" s="1258">
        <v>0.14000000000000001</v>
      </c>
      <c r="CU29" s="1258">
        <v>0.16</v>
      </c>
      <c r="CV29" s="1258">
        <v>0.18</v>
      </c>
      <c r="CW29" s="1258">
        <v>0.2</v>
      </c>
      <c r="CX29" s="1258">
        <v>0.22</v>
      </c>
      <c r="CY29" s="1258">
        <v>0.24</v>
      </c>
      <c r="CZ29" s="1258">
        <v>0.26</v>
      </c>
      <c r="DA29" s="1258">
        <v>0.28999999999999998</v>
      </c>
      <c r="DB29" s="1259">
        <v>0.31</v>
      </c>
      <c r="DC29" s="1257">
        <v>0.34</v>
      </c>
      <c r="DD29" s="1258">
        <v>0.37</v>
      </c>
      <c r="DE29" s="1258">
        <v>0.4</v>
      </c>
      <c r="DF29" s="1258">
        <v>0.44</v>
      </c>
      <c r="DG29" s="1258">
        <v>0.48</v>
      </c>
      <c r="DH29" s="1258">
        <v>0.52</v>
      </c>
      <c r="DI29" s="1258">
        <v>0.56000000000000005</v>
      </c>
      <c r="DJ29" s="1258">
        <v>0.61</v>
      </c>
      <c r="DK29" s="1258">
        <v>0.66</v>
      </c>
      <c r="DL29" s="1259">
        <v>0.71</v>
      </c>
      <c r="DM29" s="1257">
        <v>0.77</v>
      </c>
      <c r="DN29" s="1258">
        <v>0.83</v>
      </c>
      <c r="DO29" s="1258">
        <v>0.9</v>
      </c>
      <c r="DP29" s="1258">
        <v>0.98</v>
      </c>
      <c r="DQ29" s="1258">
        <v>1.06</v>
      </c>
      <c r="DR29" s="1258">
        <v>1.1499999999999999</v>
      </c>
      <c r="DS29" s="1258">
        <v>1.24</v>
      </c>
      <c r="DT29" s="1258">
        <v>1.34</v>
      </c>
      <c r="DU29" s="1258">
        <v>1.45</v>
      </c>
      <c r="DV29" s="1259">
        <v>1.56</v>
      </c>
      <c r="DW29" s="1257">
        <v>1.69</v>
      </c>
      <c r="DX29" s="1258">
        <v>1.82</v>
      </c>
      <c r="DY29" s="1258">
        <v>1.93</v>
      </c>
      <c r="DZ29" s="1258">
        <v>2.0299999999999998</v>
      </c>
      <c r="EA29" s="1258">
        <v>2.12</v>
      </c>
      <c r="EB29" s="1258">
        <v>2.2000000000000002</v>
      </c>
      <c r="EC29" s="1258">
        <v>2.27</v>
      </c>
      <c r="ED29" s="1258">
        <v>2.33</v>
      </c>
      <c r="EE29" s="1258">
        <v>2.39</v>
      </c>
      <c r="EF29" s="1259">
        <v>2.4300000000000002</v>
      </c>
      <c r="EG29" s="1257">
        <v>2.4700000000000002</v>
      </c>
      <c r="EH29" s="1258">
        <v>2.4900000000000002</v>
      </c>
      <c r="EI29" s="1258">
        <v>2.52</v>
      </c>
      <c r="EJ29" s="1258">
        <v>2.5299999999999998</v>
      </c>
      <c r="EK29" s="1258">
        <v>2.5499999999999998</v>
      </c>
      <c r="EL29" s="1258">
        <v>2.56</v>
      </c>
      <c r="EM29" s="1258">
        <v>2.56</v>
      </c>
      <c r="EN29" s="1258">
        <v>2.57</v>
      </c>
      <c r="EO29" s="1258">
        <v>2.57</v>
      </c>
      <c r="EP29" s="1259"/>
      <c r="EQ29" s="1257"/>
      <c r="ER29" s="1258"/>
      <c r="ES29" s="1258"/>
      <c r="ET29" s="1258"/>
      <c r="EU29" s="1258"/>
      <c r="EV29" s="1258"/>
      <c r="EW29" s="1258"/>
      <c r="EX29" s="1258"/>
      <c r="EY29" s="1258"/>
      <c r="EZ29" s="1259"/>
      <c r="FA29" s="1257"/>
      <c r="FB29" s="1258"/>
      <c r="FC29" s="1258"/>
      <c r="FD29" s="1258"/>
      <c r="FE29" s="1258"/>
      <c r="FF29" s="1258"/>
      <c r="FG29" s="1258"/>
      <c r="FH29" s="1258"/>
      <c r="FI29" s="1258"/>
      <c r="FJ29" s="1259"/>
      <c r="FK29" s="1258"/>
      <c r="FL29" s="1258"/>
      <c r="FM29" s="1259"/>
    </row>
    <row r="30" spans="1:169" s="1516" customFormat="1" ht="12.5">
      <c r="A30" s="1515" t="s">
        <v>1391</v>
      </c>
      <c r="B30" s="1177">
        <v>41</v>
      </c>
      <c r="C30" s="1260"/>
      <c r="D30" s="1261">
        <v>0.06</v>
      </c>
      <c r="E30" s="1261">
        <v>0.09</v>
      </c>
      <c r="F30" s="1261">
        <v>0.12</v>
      </c>
      <c r="G30" s="1261">
        <v>0.15</v>
      </c>
      <c r="H30" s="1261">
        <v>0.19</v>
      </c>
      <c r="I30" s="1261">
        <v>0.22</v>
      </c>
      <c r="J30" s="1261">
        <v>0.26</v>
      </c>
      <c r="K30" s="1262">
        <v>0.3</v>
      </c>
      <c r="L30" s="1260">
        <v>0.34</v>
      </c>
      <c r="M30" s="1261">
        <v>0.38</v>
      </c>
      <c r="N30" s="1261">
        <v>0.43</v>
      </c>
      <c r="O30" s="1261">
        <v>0.47</v>
      </c>
      <c r="P30" s="1261">
        <v>0.52</v>
      </c>
      <c r="Q30" s="1261">
        <v>0.56999999999999995</v>
      </c>
      <c r="R30" s="1261">
        <v>0.63</v>
      </c>
      <c r="S30" s="1261">
        <v>0.68</v>
      </c>
      <c r="T30" s="1261">
        <v>0.74</v>
      </c>
      <c r="U30" s="1262">
        <v>0.8</v>
      </c>
      <c r="V30" s="1260">
        <v>0.87</v>
      </c>
      <c r="W30" s="1261">
        <v>0.94</v>
      </c>
      <c r="X30" s="1261">
        <v>1.01</v>
      </c>
      <c r="Y30" s="1261">
        <v>1.08</v>
      </c>
      <c r="Z30" s="1261">
        <v>1.1599999999999999</v>
      </c>
      <c r="AA30" s="1261">
        <v>1.25</v>
      </c>
      <c r="AB30" s="1261">
        <v>1.34</v>
      </c>
      <c r="AC30" s="1261">
        <v>1.43</v>
      </c>
      <c r="AD30" s="1261">
        <v>1.53</v>
      </c>
      <c r="AE30" s="1262">
        <v>1.63</v>
      </c>
      <c r="AF30" s="1260">
        <v>1.74</v>
      </c>
      <c r="AG30" s="1261">
        <v>1.85</v>
      </c>
      <c r="AH30" s="1261">
        <v>1.97</v>
      </c>
      <c r="AI30" s="1261">
        <v>2.09</v>
      </c>
      <c r="AJ30" s="1261">
        <v>2.2200000000000002</v>
      </c>
      <c r="AK30" s="1261">
        <v>2.36</v>
      </c>
      <c r="AL30" s="1261">
        <v>2.4900000000000002</v>
      </c>
      <c r="AM30" s="1261">
        <v>2.63</v>
      </c>
      <c r="AN30" s="1261">
        <v>2.77</v>
      </c>
      <c r="AO30" s="1262">
        <v>2.94</v>
      </c>
      <c r="AP30" s="1260">
        <v>3.09</v>
      </c>
      <c r="AQ30" s="1261">
        <v>3.22</v>
      </c>
      <c r="AR30" s="1261">
        <v>3.33</v>
      </c>
      <c r="AS30" s="1261">
        <v>3.44</v>
      </c>
      <c r="AT30" s="1261">
        <v>3.52</v>
      </c>
      <c r="AU30" s="1261">
        <v>3.6</v>
      </c>
      <c r="AV30" s="1261">
        <v>3.66</v>
      </c>
      <c r="AW30" s="1261">
        <v>3.71</v>
      </c>
      <c r="AX30" s="1261">
        <v>3.75</v>
      </c>
      <c r="AY30" s="1262">
        <v>3.79</v>
      </c>
      <c r="AZ30" s="1260">
        <v>3.81</v>
      </c>
      <c r="BA30" s="1261">
        <v>3.83</v>
      </c>
      <c r="BB30" s="1261">
        <v>3.85</v>
      </c>
      <c r="BC30" s="1261">
        <v>3.86</v>
      </c>
      <c r="BD30" s="1261">
        <v>3.86</v>
      </c>
      <c r="BE30" s="1261">
        <v>3.87</v>
      </c>
      <c r="BF30" s="1261">
        <v>3.87</v>
      </c>
      <c r="BG30" s="1261">
        <v>3.87</v>
      </c>
      <c r="BH30" s="1261"/>
      <c r="BI30" s="1262"/>
      <c r="BJ30" s="1260"/>
      <c r="BK30" s="1261"/>
      <c r="BL30" s="1261"/>
      <c r="BM30" s="1261"/>
      <c r="BN30" s="1261"/>
      <c r="BO30" s="1261"/>
      <c r="BP30" s="1261"/>
      <c r="BQ30" s="1261"/>
      <c r="BR30" s="1261"/>
      <c r="BS30" s="1262"/>
      <c r="BT30" s="1260"/>
      <c r="BU30" s="1261"/>
      <c r="BV30" s="1261"/>
      <c r="BW30" s="1261"/>
      <c r="BX30" s="1261"/>
      <c r="BY30" s="1261"/>
      <c r="BZ30" s="1261"/>
      <c r="CA30" s="1261"/>
      <c r="CB30" s="1261"/>
      <c r="CC30" s="1262"/>
      <c r="CD30" s="1261"/>
      <c r="CE30" s="1261"/>
      <c r="CF30" s="1262"/>
      <c r="CH30" s="1515" t="str">
        <f t="shared" si="0"/>
        <v>WPTPDF41</v>
      </c>
      <c r="CI30" s="1177">
        <v>41</v>
      </c>
      <c r="CJ30" s="1260"/>
      <c r="CK30" s="1261">
        <v>0.02</v>
      </c>
      <c r="CL30" s="1261">
        <v>0.03</v>
      </c>
      <c r="CM30" s="1261">
        <v>0.05</v>
      </c>
      <c r="CN30" s="1261">
        <v>0.06</v>
      </c>
      <c r="CO30" s="1261">
        <v>7.0000000000000007E-2</v>
      </c>
      <c r="CP30" s="1261">
        <v>0.09</v>
      </c>
      <c r="CQ30" s="1261">
        <v>0.1</v>
      </c>
      <c r="CR30" s="1262">
        <v>0.12</v>
      </c>
      <c r="CS30" s="1260">
        <v>0.14000000000000001</v>
      </c>
      <c r="CT30" s="1261">
        <v>0.15</v>
      </c>
      <c r="CU30" s="1261">
        <v>0.17</v>
      </c>
      <c r="CV30" s="1261">
        <v>0.19</v>
      </c>
      <c r="CW30" s="1261">
        <v>0.21</v>
      </c>
      <c r="CX30" s="1261">
        <v>0.24</v>
      </c>
      <c r="CY30" s="1261">
        <v>0.26</v>
      </c>
      <c r="CZ30" s="1261">
        <v>0.28000000000000003</v>
      </c>
      <c r="DA30" s="1261">
        <v>0.31</v>
      </c>
      <c r="DB30" s="1262">
        <v>0.34</v>
      </c>
      <c r="DC30" s="1260">
        <v>0.37</v>
      </c>
      <c r="DD30" s="1261">
        <v>0.4</v>
      </c>
      <c r="DE30" s="1261">
        <v>0.44</v>
      </c>
      <c r="DF30" s="1261">
        <v>0.48</v>
      </c>
      <c r="DG30" s="1261">
        <v>0.52</v>
      </c>
      <c r="DH30" s="1261">
        <v>0.56000000000000005</v>
      </c>
      <c r="DI30" s="1261">
        <v>0.61</v>
      </c>
      <c r="DJ30" s="1261">
        <v>0.66</v>
      </c>
      <c r="DK30" s="1261">
        <v>0.72</v>
      </c>
      <c r="DL30" s="1262">
        <v>0.78</v>
      </c>
      <c r="DM30" s="1260">
        <v>0.85</v>
      </c>
      <c r="DN30" s="1261">
        <v>0.92</v>
      </c>
      <c r="DO30" s="1261">
        <v>1</v>
      </c>
      <c r="DP30" s="1261">
        <v>1.08</v>
      </c>
      <c r="DQ30" s="1261">
        <v>1.17</v>
      </c>
      <c r="DR30" s="1261">
        <v>1.27</v>
      </c>
      <c r="DS30" s="1261">
        <v>1.37</v>
      </c>
      <c r="DT30" s="1261">
        <v>1.48</v>
      </c>
      <c r="DU30" s="1261">
        <v>1.59</v>
      </c>
      <c r="DV30" s="1262">
        <v>1.73</v>
      </c>
      <c r="DW30" s="1260">
        <v>1.86</v>
      </c>
      <c r="DX30" s="1261">
        <v>1.98</v>
      </c>
      <c r="DY30" s="1261">
        <v>2.08</v>
      </c>
      <c r="DZ30" s="1261">
        <v>2.17</v>
      </c>
      <c r="EA30" s="1261">
        <v>2.2599999999999998</v>
      </c>
      <c r="EB30" s="1261">
        <v>2.33</v>
      </c>
      <c r="EC30" s="1261">
        <v>2.39</v>
      </c>
      <c r="ED30" s="1261">
        <v>2.4500000000000002</v>
      </c>
      <c r="EE30" s="1261">
        <v>2.4900000000000002</v>
      </c>
      <c r="EF30" s="1262">
        <v>2.5299999999999998</v>
      </c>
      <c r="EG30" s="1260">
        <v>2.56</v>
      </c>
      <c r="EH30" s="1261">
        <v>2.58</v>
      </c>
      <c r="EI30" s="1261">
        <v>2.6</v>
      </c>
      <c r="EJ30" s="1261">
        <v>2.61</v>
      </c>
      <c r="EK30" s="1261">
        <v>2.62</v>
      </c>
      <c r="EL30" s="1261">
        <v>2.63</v>
      </c>
      <c r="EM30" s="1261">
        <v>2.63</v>
      </c>
      <c r="EN30" s="1261">
        <v>2.63</v>
      </c>
      <c r="EO30" s="1261"/>
      <c r="EP30" s="1262"/>
      <c r="EQ30" s="1260"/>
      <c r="ER30" s="1261"/>
      <c r="ES30" s="1261"/>
      <c r="ET30" s="1261"/>
      <c r="EU30" s="1261"/>
      <c r="EV30" s="1261"/>
      <c r="EW30" s="1261"/>
      <c r="EX30" s="1261"/>
      <c r="EY30" s="1261"/>
      <c r="EZ30" s="1262"/>
      <c r="FA30" s="1260"/>
      <c r="FB30" s="1261"/>
      <c r="FC30" s="1261"/>
      <c r="FD30" s="1261"/>
      <c r="FE30" s="1261"/>
      <c r="FF30" s="1261"/>
      <c r="FG30" s="1261"/>
      <c r="FH30" s="1261"/>
      <c r="FI30" s="1261"/>
      <c r="FJ30" s="1262"/>
      <c r="FK30" s="1261"/>
      <c r="FL30" s="1261"/>
      <c r="FM30" s="1262"/>
    </row>
    <row r="31" spans="1:169" s="1516" customFormat="1" ht="12.5">
      <c r="A31" s="1515" t="s">
        <v>1392</v>
      </c>
      <c r="B31" s="1176">
        <v>42</v>
      </c>
      <c r="C31" s="1257"/>
      <c r="D31" s="1258">
        <v>0.06</v>
      </c>
      <c r="E31" s="1258">
        <v>0.09</v>
      </c>
      <c r="F31" s="1258">
        <v>0.13</v>
      </c>
      <c r="G31" s="1258">
        <v>0.16</v>
      </c>
      <c r="H31" s="1258">
        <v>0.2</v>
      </c>
      <c r="I31" s="1258">
        <v>0.24</v>
      </c>
      <c r="J31" s="1258">
        <v>0.28000000000000003</v>
      </c>
      <c r="K31" s="1259">
        <v>0.32</v>
      </c>
      <c r="L31" s="1257">
        <v>0.36</v>
      </c>
      <c r="M31" s="1258">
        <v>0.41</v>
      </c>
      <c r="N31" s="1258">
        <v>0.46</v>
      </c>
      <c r="O31" s="1258">
        <v>0.51</v>
      </c>
      <c r="P31" s="1258">
        <v>0.56000000000000005</v>
      </c>
      <c r="Q31" s="1258">
        <v>0.62</v>
      </c>
      <c r="R31" s="1258">
        <v>0.67</v>
      </c>
      <c r="S31" s="1258">
        <v>0.73</v>
      </c>
      <c r="T31" s="1258">
        <v>0.8</v>
      </c>
      <c r="U31" s="1259">
        <v>0.86</v>
      </c>
      <c r="V31" s="1257">
        <v>0.93</v>
      </c>
      <c r="W31" s="1258">
        <v>1.01</v>
      </c>
      <c r="X31" s="1258">
        <v>1.08</v>
      </c>
      <c r="Y31" s="1258">
        <v>1.1599999999999999</v>
      </c>
      <c r="Z31" s="1258">
        <v>1.25</v>
      </c>
      <c r="AA31" s="1258">
        <v>1.34</v>
      </c>
      <c r="AB31" s="1258">
        <v>1.44</v>
      </c>
      <c r="AC31" s="1258">
        <v>1.54</v>
      </c>
      <c r="AD31" s="1258">
        <v>1.64</v>
      </c>
      <c r="AE31" s="1259">
        <v>1.76</v>
      </c>
      <c r="AF31" s="1257">
        <v>1.87</v>
      </c>
      <c r="AG31" s="1258">
        <v>1.99</v>
      </c>
      <c r="AH31" s="1258">
        <v>2.12</v>
      </c>
      <c r="AI31" s="1258">
        <v>2.25</v>
      </c>
      <c r="AJ31" s="1258">
        <v>2.39</v>
      </c>
      <c r="AK31" s="1258">
        <v>2.5299999999999998</v>
      </c>
      <c r="AL31" s="1258">
        <v>2.67</v>
      </c>
      <c r="AM31" s="1258">
        <v>2.82</v>
      </c>
      <c r="AN31" s="1258">
        <v>2.99</v>
      </c>
      <c r="AO31" s="1259">
        <v>3.14</v>
      </c>
      <c r="AP31" s="1257">
        <v>3.28</v>
      </c>
      <c r="AQ31" s="1258">
        <v>3.4</v>
      </c>
      <c r="AR31" s="1258">
        <v>3.51</v>
      </c>
      <c r="AS31" s="1258">
        <v>3.6</v>
      </c>
      <c r="AT31" s="1258">
        <v>3.67</v>
      </c>
      <c r="AU31" s="1258">
        <v>3.74</v>
      </c>
      <c r="AV31" s="1258">
        <v>3.79</v>
      </c>
      <c r="AW31" s="1258">
        <v>3.83</v>
      </c>
      <c r="AX31" s="1258">
        <v>3.87</v>
      </c>
      <c r="AY31" s="1259">
        <v>3.9</v>
      </c>
      <c r="AZ31" s="1257">
        <v>3.92</v>
      </c>
      <c r="BA31" s="1258">
        <v>3.93</v>
      </c>
      <c r="BB31" s="1258">
        <v>3.94</v>
      </c>
      <c r="BC31" s="1258">
        <v>3.95</v>
      </c>
      <c r="BD31" s="1258">
        <v>3.95</v>
      </c>
      <c r="BE31" s="1258">
        <v>3.96</v>
      </c>
      <c r="BF31" s="1258">
        <v>3.96</v>
      </c>
      <c r="BG31" s="1258"/>
      <c r="BH31" s="1258"/>
      <c r="BI31" s="1259"/>
      <c r="BJ31" s="1257"/>
      <c r="BK31" s="1258"/>
      <c r="BL31" s="1258"/>
      <c r="BM31" s="1258"/>
      <c r="BN31" s="1258"/>
      <c r="BO31" s="1258"/>
      <c r="BP31" s="1258"/>
      <c r="BQ31" s="1258"/>
      <c r="BR31" s="1258"/>
      <c r="BS31" s="1259"/>
      <c r="BT31" s="1257"/>
      <c r="BU31" s="1258"/>
      <c r="BV31" s="1258"/>
      <c r="BW31" s="1258"/>
      <c r="BX31" s="1258"/>
      <c r="BY31" s="1258"/>
      <c r="BZ31" s="1258"/>
      <c r="CA31" s="1258"/>
      <c r="CB31" s="1258"/>
      <c r="CC31" s="1259"/>
      <c r="CD31" s="1258"/>
      <c r="CE31" s="1258"/>
      <c r="CF31" s="1259"/>
      <c r="CH31" s="1515" t="str">
        <f t="shared" si="0"/>
        <v>WPTPDF42</v>
      </c>
      <c r="CI31" s="1176">
        <v>42</v>
      </c>
      <c r="CJ31" s="1257"/>
      <c r="CK31" s="1258">
        <v>0.02</v>
      </c>
      <c r="CL31" s="1258">
        <v>0.04</v>
      </c>
      <c r="CM31" s="1258">
        <v>0.05</v>
      </c>
      <c r="CN31" s="1258">
        <v>0.06</v>
      </c>
      <c r="CO31" s="1258">
        <v>0.08</v>
      </c>
      <c r="CP31" s="1258">
        <v>0.09</v>
      </c>
      <c r="CQ31" s="1258">
        <v>0.11</v>
      </c>
      <c r="CR31" s="1259">
        <v>0.13</v>
      </c>
      <c r="CS31" s="1257">
        <v>0.15</v>
      </c>
      <c r="CT31" s="1258">
        <v>0.17</v>
      </c>
      <c r="CU31" s="1258">
        <v>0.19</v>
      </c>
      <c r="CV31" s="1258">
        <v>0.21</v>
      </c>
      <c r="CW31" s="1258">
        <v>0.23</v>
      </c>
      <c r="CX31" s="1258">
        <v>0.26</v>
      </c>
      <c r="CY31" s="1258">
        <v>0.28000000000000003</v>
      </c>
      <c r="CZ31" s="1258">
        <v>0.31</v>
      </c>
      <c r="DA31" s="1258">
        <v>0.34</v>
      </c>
      <c r="DB31" s="1259">
        <v>0.37</v>
      </c>
      <c r="DC31" s="1257">
        <v>0.41</v>
      </c>
      <c r="DD31" s="1258">
        <v>0.44</v>
      </c>
      <c r="DE31" s="1258">
        <v>0.48</v>
      </c>
      <c r="DF31" s="1258">
        <v>0.52</v>
      </c>
      <c r="DG31" s="1258">
        <v>0.56999999999999995</v>
      </c>
      <c r="DH31" s="1258">
        <v>0.62</v>
      </c>
      <c r="DI31" s="1258">
        <v>0.67</v>
      </c>
      <c r="DJ31" s="1258">
        <v>0.73</v>
      </c>
      <c r="DK31" s="1258">
        <v>0.79</v>
      </c>
      <c r="DL31" s="1259">
        <v>0.86</v>
      </c>
      <c r="DM31" s="1257">
        <v>0.93</v>
      </c>
      <c r="DN31" s="1258">
        <v>1.01</v>
      </c>
      <c r="DO31" s="1258">
        <v>1.1000000000000001</v>
      </c>
      <c r="DP31" s="1258">
        <v>1.19</v>
      </c>
      <c r="DQ31" s="1258">
        <v>1.29</v>
      </c>
      <c r="DR31" s="1258">
        <v>1.4</v>
      </c>
      <c r="DS31" s="1258">
        <v>1.51</v>
      </c>
      <c r="DT31" s="1258">
        <v>1.63</v>
      </c>
      <c r="DU31" s="1258">
        <v>1.77</v>
      </c>
      <c r="DV31" s="1259">
        <v>1.9</v>
      </c>
      <c r="DW31" s="1257">
        <v>2.02</v>
      </c>
      <c r="DX31" s="1258">
        <v>2.13</v>
      </c>
      <c r="DY31" s="1258">
        <v>2.23</v>
      </c>
      <c r="DZ31" s="1258">
        <v>2.31</v>
      </c>
      <c r="EA31" s="1258">
        <v>2.39</v>
      </c>
      <c r="EB31" s="1258">
        <v>2.4500000000000002</v>
      </c>
      <c r="EC31" s="1258">
        <v>2.5099999999999998</v>
      </c>
      <c r="ED31" s="1258">
        <v>2.56</v>
      </c>
      <c r="EE31" s="1258">
        <v>2.59</v>
      </c>
      <c r="EF31" s="1259">
        <v>2.62</v>
      </c>
      <c r="EG31" s="1257">
        <v>2.65</v>
      </c>
      <c r="EH31" s="1258">
        <v>2.67</v>
      </c>
      <c r="EI31" s="1258">
        <v>2.68</v>
      </c>
      <c r="EJ31" s="1258">
        <v>2.69</v>
      </c>
      <c r="EK31" s="1258">
        <v>2.7</v>
      </c>
      <c r="EL31" s="1258">
        <v>2.7</v>
      </c>
      <c r="EM31" s="1258">
        <v>2.7</v>
      </c>
      <c r="EN31" s="1258"/>
      <c r="EO31" s="1258"/>
      <c r="EP31" s="1259"/>
      <c r="EQ31" s="1257"/>
      <c r="ER31" s="1258"/>
      <c r="ES31" s="1258"/>
      <c r="ET31" s="1258"/>
      <c r="EU31" s="1258"/>
      <c r="EV31" s="1258"/>
      <c r="EW31" s="1258"/>
      <c r="EX31" s="1258"/>
      <c r="EY31" s="1258"/>
      <c r="EZ31" s="1259"/>
      <c r="FA31" s="1257"/>
      <c r="FB31" s="1258"/>
      <c r="FC31" s="1258"/>
      <c r="FD31" s="1258"/>
      <c r="FE31" s="1258"/>
      <c r="FF31" s="1258"/>
      <c r="FG31" s="1258"/>
      <c r="FH31" s="1258"/>
      <c r="FI31" s="1258"/>
      <c r="FJ31" s="1259"/>
      <c r="FK31" s="1258"/>
      <c r="FL31" s="1258"/>
      <c r="FM31" s="1259"/>
    </row>
    <row r="32" spans="1:169" s="1516" customFormat="1" ht="12.5">
      <c r="A32" s="1515" t="s">
        <v>1393</v>
      </c>
      <c r="B32" s="1176">
        <v>43</v>
      </c>
      <c r="C32" s="1257"/>
      <c r="D32" s="1258">
        <v>7.0000000000000007E-2</v>
      </c>
      <c r="E32" s="1258">
        <v>0.1</v>
      </c>
      <c r="F32" s="1258">
        <v>0.14000000000000001</v>
      </c>
      <c r="G32" s="1258">
        <v>0.17</v>
      </c>
      <c r="H32" s="1258">
        <v>0.21</v>
      </c>
      <c r="I32" s="1258">
        <v>0.25</v>
      </c>
      <c r="J32" s="1258">
        <v>0.3</v>
      </c>
      <c r="K32" s="1259">
        <v>0.34</v>
      </c>
      <c r="L32" s="1257">
        <v>0.39</v>
      </c>
      <c r="M32" s="1258">
        <v>0.44</v>
      </c>
      <c r="N32" s="1258">
        <v>0.49</v>
      </c>
      <c r="O32" s="1258">
        <v>0.54</v>
      </c>
      <c r="P32" s="1258">
        <v>0.6</v>
      </c>
      <c r="Q32" s="1258">
        <v>0.66</v>
      </c>
      <c r="R32" s="1258">
        <v>0.72</v>
      </c>
      <c r="S32" s="1258">
        <v>0.79</v>
      </c>
      <c r="T32" s="1258">
        <v>0.85</v>
      </c>
      <c r="U32" s="1259">
        <v>0.93</v>
      </c>
      <c r="V32" s="1257">
        <v>1</v>
      </c>
      <c r="W32" s="1258">
        <v>1.08</v>
      </c>
      <c r="X32" s="1258">
        <v>1.1599999999999999</v>
      </c>
      <c r="Y32" s="1258">
        <v>1.25</v>
      </c>
      <c r="Z32" s="1258">
        <v>1.35</v>
      </c>
      <c r="AA32" s="1258">
        <v>1.44</v>
      </c>
      <c r="AB32" s="1258">
        <v>1.55</v>
      </c>
      <c r="AC32" s="1258">
        <v>1.66</v>
      </c>
      <c r="AD32" s="1258">
        <v>1.77</v>
      </c>
      <c r="AE32" s="1259">
        <v>1.89</v>
      </c>
      <c r="AF32" s="1257">
        <v>2.02</v>
      </c>
      <c r="AG32" s="1258">
        <v>2.15</v>
      </c>
      <c r="AH32" s="1258">
        <v>2.29</v>
      </c>
      <c r="AI32" s="1258">
        <v>2.4300000000000002</v>
      </c>
      <c r="AJ32" s="1258">
        <v>2.57</v>
      </c>
      <c r="AK32" s="1258">
        <v>2.72</v>
      </c>
      <c r="AL32" s="1258">
        <v>2.87</v>
      </c>
      <c r="AM32" s="1258">
        <v>3.05</v>
      </c>
      <c r="AN32" s="1258">
        <v>3.2</v>
      </c>
      <c r="AO32" s="1259">
        <v>3.35</v>
      </c>
      <c r="AP32" s="1257">
        <v>3.47</v>
      </c>
      <c r="AQ32" s="1258">
        <v>3.58</v>
      </c>
      <c r="AR32" s="1258">
        <v>3.67</v>
      </c>
      <c r="AS32" s="1258">
        <v>3.75</v>
      </c>
      <c r="AT32" s="1258">
        <v>3.82</v>
      </c>
      <c r="AU32" s="1258">
        <v>3.87</v>
      </c>
      <c r="AV32" s="1258">
        <v>3.92</v>
      </c>
      <c r="AW32" s="1258">
        <v>3.95</v>
      </c>
      <c r="AX32" s="1258">
        <v>3.98</v>
      </c>
      <c r="AY32" s="1259">
        <v>4</v>
      </c>
      <c r="AZ32" s="1257">
        <v>4.0199999999999996</v>
      </c>
      <c r="BA32" s="1258">
        <v>4.03</v>
      </c>
      <c r="BB32" s="1258">
        <v>4.04</v>
      </c>
      <c r="BC32" s="1258">
        <v>4.04</v>
      </c>
      <c r="BD32" s="1258">
        <v>4.05</v>
      </c>
      <c r="BE32" s="1258">
        <v>4.05</v>
      </c>
      <c r="BF32" s="1258"/>
      <c r="BG32" s="1258"/>
      <c r="BH32" s="1258"/>
      <c r="BI32" s="1259"/>
      <c r="BJ32" s="1257"/>
      <c r="BK32" s="1258"/>
      <c r="BL32" s="1258"/>
      <c r="BM32" s="1258"/>
      <c r="BN32" s="1258"/>
      <c r="BO32" s="1258"/>
      <c r="BP32" s="1258"/>
      <c r="BQ32" s="1258"/>
      <c r="BR32" s="1258"/>
      <c r="BS32" s="1259"/>
      <c r="BT32" s="1257"/>
      <c r="BU32" s="1258"/>
      <c r="BV32" s="1258"/>
      <c r="BW32" s="1258"/>
      <c r="BX32" s="1258"/>
      <c r="BY32" s="1258"/>
      <c r="BZ32" s="1258"/>
      <c r="CA32" s="1258"/>
      <c r="CB32" s="1258"/>
      <c r="CC32" s="1259"/>
      <c r="CD32" s="1258"/>
      <c r="CE32" s="1258"/>
      <c r="CF32" s="1259"/>
      <c r="CH32" s="1515" t="str">
        <f t="shared" si="0"/>
        <v>WPTPDF43</v>
      </c>
      <c r="CI32" s="1176">
        <v>43</v>
      </c>
      <c r="CJ32" s="1257"/>
      <c r="CK32" s="1258">
        <v>0.03</v>
      </c>
      <c r="CL32" s="1258">
        <v>0.04</v>
      </c>
      <c r="CM32" s="1258">
        <v>0.05</v>
      </c>
      <c r="CN32" s="1258">
        <v>7.0000000000000007E-2</v>
      </c>
      <c r="CO32" s="1258">
        <v>0.09</v>
      </c>
      <c r="CP32" s="1258">
        <v>0.1</v>
      </c>
      <c r="CQ32" s="1258">
        <v>0.12</v>
      </c>
      <c r="CR32" s="1259">
        <v>0.14000000000000001</v>
      </c>
      <c r="CS32" s="1257">
        <v>0.16</v>
      </c>
      <c r="CT32" s="1258">
        <v>0.18</v>
      </c>
      <c r="CU32" s="1258">
        <v>0.2</v>
      </c>
      <c r="CV32" s="1258">
        <v>0.23</v>
      </c>
      <c r="CW32" s="1258">
        <v>0.25</v>
      </c>
      <c r="CX32" s="1258">
        <v>0.28000000000000003</v>
      </c>
      <c r="CY32" s="1258">
        <v>0.31</v>
      </c>
      <c r="CZ32" s="1258">
        <v>0.34</v>
      </c>
      <c r="DA32" s="1258">
        <v>0.37</v>
      </c>
      <c r="DB32" s="1259">
        <v>0.4</v>
      </c>
      <c r="DC32" s="1257">
        <v>0.44</v>
      </c>
      <c r="DD32" s="1258">
        <v>0.48</v>
      </c>
      <c r="DE32" s="1258">
        <v>0.53</v>
      </c>
      <c r="DF32" s="1258">
        <v>0.56999999999999995</v>
      </c>
      <c r="DG32" s="1258">
        <v>0.62</v>
      </c>
      <c r="DH32" s="1258">
        <v>0.68</v>
      </c>
      <c r="DI32" s="1258">
        <v>0.74</v>
      </c>
      <c r="DJ32" s="1258">
        <v>0.8</v>
      </c>
      <c r="DK32" s="1258">
        <v>0.87</v>
      </c>
      <c r="DL32" s="1259">
        <v>0.95</v>
      </c>
      <c r="DM32" s="1257">
        <v>1.03</v>
      </c>
      <c r="DN32" s="1258">
        <v>1.1200000000000001</v>
      </c>
      <c r="DO32" s="1258">
        <v>1.21</v>
      </c>
      <c r="DP32" s="1258">
        <v>1.32</v>
      </c>
      <c r="DQ32" s="1258">
        <v>1.43</v>
      </c>
      <c r="DR32" s="1258">
        <v>1.54</v>
      </c>
      <c r="DS32" s="1258">
        <v>1.66</v>
      </c>
      <c r="DT32" s="1258">
        <v>1.81</v>
      </c>
      <c r="DU32" s="1258">
        <v>1.95</v>
      </c>
      <c r="DV32" s="1259">
        <v>2.0699999999999998</v>
      </c>
      <c r="DW32" s="1257">
        <v>2.1800000000000002</v>
      </c>
      <c r="DX32" s="1258">
        <v>2.2799999999999998</v>
      </c>
      <c r="DY32" s="1258">
        <v>2.37</v>
      </c>
      <c r="DZ32" s="1258">
        <v>2.4500000000000002</v>
      </c>
      <c r="EA32" s="1258">
        <v>2.52</v>
      </c>
      <c r="EB32" s="1258">
        <v>2.57</v>
      </c>
      <c r="EC32" s="1258">
        <v>2.62</v>
      </c>
      <c r="ED32" s="1258">
        <v>2.66</v>
      </c>
      <c r="EE32" s="1258">
        <v>2.69</v>
      </c>
      <c r="EF32" s="1259">
        <v>2.72</v>
      </c>
      <c r="EG32" s="1257">
        <v>2.74</v>
      </c>
      <c r="EH32" s="1258">
        <v>2.75</v>
      </c>
      <c r="EI32" s="1258">
        <v>2.76</v>
      </c>
      <c r="EJ32" s="1258">
        <v>2.77</v>
      </c>
      <c r="EK32" s="1258">
        <v>2.77</v>
      </c>
      <c r="EL32" s="1258">
        <v>2.78</v>
      </c>
      <c r="EM32" s="1258"/>
      <c r="EN32" s="1258"/>
      <c r="EO32" s="1258"/>
      <c r="EP32" s="1259"/>
      <c r="EQ32" s="1257"/>
      <c r="ER32" s="1258"/>
      <c r="ES32" s="1258"/>
      <c r="ET32" s="1258"/>
      <c r="EU32" s="1258"/>
      <c r="EV32" s="1258"/>
      <c r="EW32" s="1258"/>
      <c r="EX32" s="1258"/>
      <c r="EY32" s="1258"/>
      <c r="EZ32" s="1259"/>
      <c r="FA32" s="1257"/>
      <c r="FB32" s="1258"/>
      <c r="FC32" s="1258"/>
      <c r="FD32" s="1258"/>
      <c r="FE32" s="1258"/>
      <c r="FF32" s="1258"/>
      <c r="FG32" s="1258"/>
      <c r="FH32" s="1258"/>
      <c r="FI32" s="1258"/>
      <c r="FJ32" s="1259"/>
      <c r="FK32" s="1258"/>
      <c r="FL32" s="1258"/>
      <c r="FM32" s="1259"/>
    </row>
    <row r="33" spans="1:169" s="1516" customFormat="1" ht="12.5">
      <c r="A33" s="1515" t="s">
        <v>1394</v>
      </c>
      <c r="B33" s="1176">
        <v>44</v>
      </c>
      <c r="C33" s="1257"/>
      <c r="D33" s="1258">
        <v>7.0000000000000007E-2</v>
      </c>
      <c r="E33" s="1258">
        <v>0.11</v>
      </c>
      <c r="F33" s="1258">
        <v>0.15</v>
      </c>
      <c r="G33" s="1258">
        <v>0.19</v>
      </c>
      <c r="H33" s="1258">
        <v>0.23</v>
      </c>
      <c r="I33" s="1258">
        <v>0.27</v>
      </c>
      <c r="J33" s="1258">
        <v>0.32</v>
      </c>
      <c r="K33" s="1259">
        <v>0.37</v>
      </c>
      <c r="L33" s="1257">
        <v>0.42</v>
      </c>
      <c r="M33" s="1258">
        <v>0.47</v>
      </c>
      <c r="N33" s="1258">
        <v>0.53</v>
      </c>
      <c r="O33" s="1258">
        <v>0.57999999999999996</v>
      </c>
      <c r="P33" s="1258">
        <v>0.64</v>
      </c>
      <c r="Q33" s="1258">
        <v>0.71</v>
      </c>
      <c r="R33" s="1258">
        <v>0.77</v>
      </c>
      <c r="S33" s="1258">
        <v>0.84</v>
      </c>
      <c r="T33" s="1258">
        <v>0.92</v>
      </c>
      <c r="U33" s="1259">
        <v>1</v>
      </c>
      <c r="V33" s="1257">
        <v>1.08</v>
      </c>
      <c r="W33" s="1258">
        <v>1.1599999999999999</v>
      </c>
      <c r="X33" s="1258">
        <v>1.25</v>
      </c>
      <c r="Y33" s="1258">
        <v>1.35</v>
      </c>
      <c r="Z33" s="1258">
        <v>1.45</v>
      </c>
      <c r="AA33" s="1258">
        <v>1.56</v>
      </c>
      <c r="AB33" s="1258">
        <v>1.67</v>
      </c>
      <c r="AC33" s="1258">
        <v>1.79</v>
      </c>
      <c r="AD33" s="1258">
        <v>1.91</v>
      </c>
      <c r="AE33" s="1259">
        <v>2.04</v>
      </c>
      <c r="AF33" s="1257">
        <v>2.1800000000000002</v>
      </c>
      <c r="AG33" s="1258">
        <v>2.3199999999999998</v>
      </c>
      <c r="AH33" s="1258">
        <v>2.46</v>
      </c>
      <c r="AI33" s="1258">
        <v>2.61</v>
      </c>
      <c r="AJ33" s="1258">
        <v>2.76</v>
      </c>
      <c r="AK33" s="1258">
        <v>2.92</v>
      </c>
      <c r="AL33" s="1258">
        <v>3.1</v>
      </c>
      <c r="AM33" s="1258">
        <v>3.27</v>
      </c>
      <c r="AN33" s="1258">
        <v>3.41</v>
      </c>
      <c r="AO33" s="1259">
        <v>3.54</v>
      </c>
      <c r="AP33" s="1257">
        <v>3.65</v>
      </c>
      <c r="AQ33" s="1258">
        <v>3.75</v>
      </c>
      <c r="AR33" s="1258">
        <v>3.83</v>
      </c>
      <c r="AS33" s="1258">
        <v>3.9</v>
      </c>
      <c r="AT33" s="1258">
        <v>3.96</v>
      </c>
      <c r="AU33" s="1258">
        <v>4.01</v>
      </c>
      <c r="AV33" s="1258">
        <v>4.04</v>
      </c>
      <c r="AW33" s="1258">
        <v>4.07</v>
      </c>
      <c r="AX33" s="1258">
        <v>4.09</v>
      </c>
      <c r="AY33" s="1259">
        <v>4.1100000000000003</v>
      </c>
      <c r="AZ33" s="1257">
        <v>4.12</v>
      </c>
      <c r="BA33" s="1258">
        <v>4.13</v>
      </c>
      <c r="BB33" s="1258">
        <v>4.13</v>
      </c>
      <c r="BC33" s="1258">
        <v>4.1399999999999997</v>
      </c>
      <c r="BD33" s="1258">
        <v>4.1399999999999997</v>
      </c>
      <c r="BE33" s="1258"/>
      <c r="BF33" s="1258"/>
      <c r="BG33" s="1258"/>
      <c r="BH33" s="1258"/>
      <c r="BI33" s="1259"/>
      <c r="BJ33" s="1257"/>
      <c r="BK33" s="1258"/>
      <c r="BL33" s="1258"/>
      <c r="BM33" s="1258"/>
      <c r="BN33" s="1258"/>
      <c r="BO33" s="1258"/>
      <c r="BP33" s="1258"/>
      <c r="BQ33" s="1258"/>
      <c r="BR33" s="1258"/>
      <c r="BS33" s="1259"/>
      <c r="BT33" s="1257"/>
      <c r="BU33" s="1258"/>
      <c r="BV33" s="1258"/>
      <c r="BW33" s="1258"/>
      <c r="BX33" s="1258"/>
      <c r="BY33" s="1258"/>
      <c r="BZ33" s="1258"/>
      <c r="CA33" s="1258"/>
      <c r="CB33" s="1258"/>
      <c r="CC33" s="1259"/>
      <c r="CD33" s="1258"/>
      <c r="CE33" s="1258"/>
      <c r="CF33" s="1259"/>
      <c r="CH33" s="1515" t="str">
        <f t="shared" si="0"/>
        <v>WPTPDF44</v>
      </c>
      <c r="CI33" s="1176">
        <v>44</v>
      </c>
      <c r="CJ33" s="1257"/>
      <c r="CK33" s="1258">
        <v>0.03</v>
      </c>
      <c r="CL33" s="1258">
        <v>0.04</v>
      </c>
      <c r="CM33" s="1258">
        <v>0.06</v>
      </c>
      <c r="CN33" s="1258">
        <v>0.08</v>
      </c>
      <c r="CO33" s="1258">
        <v>0.09</v>
      </c>
      <c r="CP33" s="1258">
        <v>0.11</v>
      </c>
      <c r="CQ33" s="1258">
        <v>0.13</v>
      </c>
      <c r="CR33" s="1259">
        <v>0.15</v>
      </c>
      <c r="CS33" s="1257">
        <v>0.17</v>
      </c>
      <c r="CT33" s="1258">
        <v>0.19</v>
      </c>
      <c r="CU33" s="1258">
        <v>0.22</v>
      </c>
      <c r="CV33" s="1258">
        <v>0.25</v>
      </c>
      <c r="CW33" s="1258">
        <v>0.27</v>
      </c>
      <c r="CX33" s="1258">
        <v>0.3</v>
      </c>
      <c r="CY33" s="1258">
        <v>0.33</v>
      </c>
      <c r="CZ33" s="1258">
        <v>0.37</v>
      </c>
      <c r="DA33" s="1258">
        <v>0.4</v>
      </c>
      <c r="DB33" s="1259">
        <v>0.44</v>
      </c>
      <c r="DC33" s="1257">
        <v>0.48</v>
      </c>
      <c r="DD33" s="1258">
        <v>0.53</v>
      </c>
      <c r="DE33" s="1258">
        <v>0.57999999999999996</v>
      </c>
      <c r="DF33" s="1258">
        <v>0.63</v>
      </c>
      <c r="DG33" s="1258">
        <v>0.69</v>
      </c>
      <c r="DH33" s="1258">
        <v>0.75</v>
      </c>
      <c r="DI33" s="1258">
        <v>0.81</v>
      </c>
      <c r="DJ33" s="1258">
        <v>0.88</v>
      </c>
      <c r="DK33" s="1258">
        <v>0.96</v>
      </c>
      <c r="DL33" s="1259">
        <v>1.05</v>
      </c>
      <c r="DM33" s="1257">
        <v>1.1399999999999999</v>
      </c>
      <c r="DN33" s="1258">
        <v>1.24</v>
      </c>
      <c r="DO33" s="1258">
        <v>1.34</v>
      </c>
      <c r="DP33" s="1258">
        <v>1.45</v>
      </c>
      <c r="DQ33" s="1258">
        <v>1.57</v>
      </c>
      <c r="DR33" s="1258">
        <v>1.7</v>
      </c>
      <c r="DS33" s="1258">
        <v>1.85</v>
      </c>
      <c r="DT33" s="1258">
        <v>1.99</v>
      </c>
      <c r="DU33" s="1258">
        <v>2.12</v>
      </c>
      <c r="DV33" s="1259">
        <v>2.2400000000000002</v>
      </c>
      <c r="DW33" s="1257">
        <v>2.34</v>
      </c>
      <c r="DX33" s="1258">
        <v>2.4300000000000002</v>
      </c>
      <c r="DY33" s="1258">
        <v>2.5099999999999998</v>
      </c>
      <c r="DZ33" s="1258">
        <v>2.58</v>
      </c>
      <c r="EA33" s="1258">
        <v>2.64</v>
      </c>
      <c r="EB33" s="1258">
        <v>2.69</v>
      </c>
      <c r="EC33" s="1258">
        <v>2.73</v>
      </c>
      <c r="ED33" s="1258">
        <v>2.77</v>
      </c>
      <c r="EE33" s="1258">
        <v>2.79</v>
      </c>
      <c r="EF33" s="1259">
        <v>2.81</v>
      </c>
      <c r="EG33" s="1257">
        <v>2.82</v>
      </c>
      <c r="EH33" s="1258">
        <v>2.84</v>
      </c>
      <c r="EI33" s="1258">
        <v>2.84</v>
      </c>
      <c r="EJ33" s="1258">
        <v>2.85</v>
      </c>
      <c r="EK33" s="1258">
        <v>2.85</v>
      </c>
      <c r="EL33" s="1258"/>
      <c r="EM33" s="1258"/>
      <c r="EN33" s="1258"/>
      <c r="EO33" s="1258"/>
      <c r="EP33" s="1259"/>
      <c r="EQ33" s="1257"/>
      <c r="ER33" s="1258"/>
      <c r="ES33" s="1258"/>
      <c r="ET33" s="1258"/>
      <c r="EU33" s="1258"/>
      <c r="EV33" s="1258"/>
      <c r="EW33" s="1258"/>
      <c r="EX33" s="1258"/>
      <c r="EY33" s="1258"/>
      <c r="EZ33" s="1259"/>
      <c r="FA33" s="1257"/>
      <c r="FB33" s="1258"/>
      <c r="FC33" s="1258"/>
      <c r="FD33" s="1258"/>
      <c r="FE33" s="1258"/>
      <c r="FF33" s="1258"/>
      <c r="FG33" s="1258"/>
      <c r="FH33" s="1258"/>
      <c r="FI33" s="1258"/>
      <c r="FJ33" s="1259"/>
      <c r="FK33" s="1258"/>
      <c r="FL33" s="1258"/>
      <c r="FM33" s="1259"/>
    </row>
    <row r="34" spans="1:169" s="1516" customFormat="1" ht="12.5">
      <c r="A34" s="1515" t="s">
        <v>1395</v>
      </c>
      <c r="B34" s="1178">
        <v>45</v>
      </c>
      <c r="C34" s="1263"/>
      <c r="D34" s="1264">
        <v>7.0000000000000007E-2</v>
      </c>
      <c r="E34" s="1264">
        <v>0.11</v>
      </c>
      <c r="F34" s="1264">
        <v>0.16</v>
      </c>
      <c r="G34" s="1264">
        <v>0.2</v>
      </c>
      <c r="H34" s="1264">
        <v>0.24</v>
      </c>
      <c r="I34" s="1264">
        <v>0.28999999999999998</v>
      </c>
      <c r="J34" s="1264">
        <v>0.34</v>
      </c>
      <c r="K34" s="1265">
        <v>0.39</v>
      </c>
      <c r="L34" s="1263">
        <v>0.45</v>
      </c>
      <c r="M34" s="1264">
        <v>0.5</v>
      </c>
      <c r="N34" s="1264">
        <v>0.56000000000000005</v>
      </c>
      <c r="O34" s="1264">
        <v>0.63</v>
      </c>
      <c r="P34" s="1264">
        <v>0.69</v>
      </c>
      <c r="Q34" s="1264">
        <v>0.76</v>
      </c>
      <c r="R34" s="1264">
        <v>0.83</v>
      </c>
      <c r="S34" s="1264">
        <v>0.91</v>
      </c>
      <c r="T34" s="1264">
        <v>0.99</v>
      </c>
      <c r="U34" s="1265">
        <v>1.07</v>
      </c>
      <c r="V34" s="1263">
        <v>1.1599999999999999</v>
      </c>
      <c r="W34" s="1264">
        <v>1.25</v>
      </c>
      <c r="X34" s="1264">
        <v>1.35</v>
      </c>
      <c r="Y34" s="1264">
        <v>1.46</v>
      </c>
      <c r="Z34" s="1264">
        <v>1.57</v>
      </c>
      <c r="AA34" s="1264">
        <v>1.68</v>
      </c>
      <c r="AB34" s="1264">
        <v>1.8</v>
      </c>
      <c r="AC34" s="1264">
        <v>1.93</v>
      </c>
      <c r="AD34" s="1264">
        <v>2.06</v>
      </c>
      <c r="AE34" s="1265">
        <v>2.2000000000000002</v>
      </c>
      <c r="AF34" s="1263">
        <v>2.35</v>
      </c>
      <c r="AG34" s="1264">
        <v>2.5</v>
      </c>
      <c r="AH34" s="1264">
        <v>2.65</v>
      </c>
      <c r="AI34" s="1264">
        <v>2.81</v>
      </c>
      <c r="AJ34" s="1264">
        <v>2.97</v>
      </c>
      <c r="AK34" s="1264">
        <v>3.16</v>
      </c>
      <c r="AL34" s="1264">
        <v>3.33</v>
      </c>
      <c r="AM34" s="1264">
        <v>3.48</v>
      </c>
      <c r="AN34" s="1264">
        <v>3.62</v>
      </c>
      <c r="AO34" s="1265">
        <v>3.73</v>
      </c>
      <c r="AP34" s="1263">
        <v>3.83</v>
      </c>
      <c r="AQ34" s="1264">
        <v>3.92</v>
      </c>
      <c r="AR34" s="1264">
        <v>3.99</v>
      </c>
      <c r="AS34" s="1264">
        <v>4.05</v>
      </c>
      <c r="AT34" s="1264">
        <v>4.0999999999999996</v>
      </c>
      <c r="AU34" s="1264">
        <v>4.1399999999999997</v>
      </c>
      <c r="AV34" s="1264">
        <v>4.16</v>
      </c>
      <c r="AW34" s="1264">
        <v>4.1900000000000004</v>
      </c>
      <c r="AX34" s="1264">
        <v>4.2</v>
      </c>
      <c r="AY34" s="1265">
        <v>4.22</v>
      </c>
      <c r="AZ34" s="1263">
        <v>4.22</v>
      </c>
      <c r="BA34" s="1264">
        <v>4.2300000000000004</v>
      </c>
      <c r="BB34" s="1264">
        <v>4.2300000000000004</v>
      </c>
      <c r="BC34" s="1264">
        <v>4.24</v>
      </c>
      <c r="BD34" s="1264"/>
      <c r="BE34" s="1264"/>
      <c r="BF34" s="1264"/>
      <c r="BG34" s="1264"/>
      <c r="BH34" s="1264"/>
      <c r="BI34" s="1265"/>
      <c r="BJ34" s="1263"/>
      <c r="BK34" s="1264"/>
      <c r="BL34" s="1264"/>
      <c r="BM34" s="1264"/>
      <c r="BN34" s="1264"/>
      <c r="BO34" s="1264"/>
      <c r="BP34" s="1264"/>
      <c r="BQ34" s="1264"/>
      <c r="BR34" s="1264"/>
      <c r="BS34" s="1265"/>
      <c r="BT34" s="1263"/>
      <c r="BU34" s="1264"/>
      <c r="BV34" s="1264"/>
      <c r="BW34" s="1264"/>
      <c r="BX34" s="1264"/>
      <c r="BY34" s="1264"/>
      <c r="BZ34" s="1264"/>
      <c r="CA34" s="1264"/>
      <c r="CB34" s="1264"/>
      <c r="CC34" s="1265"/>
      <c r="CD34" s="1264"/>
      <c r="CE34" s="1264"/>
      <c r="CF34" s="1265"/>
      <c r="CH34" s="1515" t="str">
        <f t="shared" si="0"/>
        <v>WPTPDF45</v>
      </c>
      <c r="CI34" s="1178">
        <v>45</v>
      </c>
      <c r="CJ34" s="1263"/>
      <c r="CK34" s="1264">
        <v>0.03</v>
      </c>
      <c r="CL34" s="1264">
        <v>0.05</v>
      </c>
      <c r="CM34" s="1264">
        <v>0.06</v>
      </c>
      <c r="CN34" s="1264">
        <v>0.08</v>
      </c>
      <c r="CO34" s="1264">
        <v>0.1</v>
      </c>
      <c r="CP34" s="1264">
        <v>0.12</v>
      </c>
      <c r="CQ34" s="1264">
        <v>0.14000000000000001</v>
      </c>
      <c r="CR34" s="1265">
        <v>0.16</v>
      </c>
      <c r="CS34" s="1263">
        <v>0.19</v>
      </c>
      <c r="CT34" s="1264">
        <v>0.21</v>
      </c>
      <c r="CU34" s="1264">
        <v>0.24</v>
      </c>
      <c r="CV34" s="1264">
        <v>0.27</v>
      </c>
      <c r="CW34" s="1264">
        <v>0.3</v>
      </c>
      <c r="CX34" s="1264">
        <v>0.33</v>
      </c>
      <c r="CY34" s="1264">
        <v>0.36</v>
      </c>
      <c r="CZ34" s="1264">
        <v>0.4</v>
      </c>
      <c r="DA34" s="1264">
        <v>0.44</v>
      </c>
      <c r="DB34" s="1265">
        <v>0.48</v>
      </c>
      <c r="DC34" s="1263">
        <v>0.53</v>
      </c>
      <c r="DD34" s="1264">
        <v>0.57999999999999996</v>
      </c>
      <c r="DE34" s="1264">
        <v>0.63</v>
      </c>
      <c r="DF34" s="1264">
        <v>0.69</v>
      </c>
      <c r="DG34" s="1264">
        <v>0.75</v>
      </c>
      <c r="DH34" s="1264">
        <v>0.82</v>
      </c>
      <c r="DI34" s="1264">
        <v>0.9</v>
      </c>
      <c r="DJ34" s="1264">
        <v>0.98</v>
      </c>
      <c r="DK34" s="1264">
        <v>1.06</v>
      </c>
      <c r="DL34" s="1265">
        <v>1.1599999999999999</v>
      </c>
      <c r="DM34" s="1263">
        <v>1.26</v>
      </c>
      <c r="DN34" s="1264">
        <v>1.37</v>
      </c>
      <c r="DO34" s="1264">
        <v>1.48</v>
      </c>
      <c r="DP34" s="1264">
        <v>1.61</v>
      </c>
      <c r="DQ34" s="1264">
        <v>1.73</v>
      </c>
      <c r="DR34" s="1264">
        <v>1.89</v>
      </c>
      <c r="DS34" s="1264">
        <v>2.04</v>
      </c>
      <c r="DT34" s="1264">
        <v>2.17</v>
      </c>
      <c r="DU34" s="1264">
        <v>2.29</v>
      </c>
      <c r="DV34" s="1265">
        <v>2.4</v>
      </c>
      <c r="DW34" s="1263">
        <v>2.5</v>
      </c>
      <c r="DX34" s="1264">
        <v>2.58</v>
      </c>
      <c r="DY34" s="1264">
        <v>2.65</v>
      </c>
      <c r="DZ34" s="1264">
        <v>2.71</v>
      </c>
      <c r="EA34" s="1264">
        <v>2.76</v>
      </c>
      <c r="EB34" s="1264">
        <v>2.81</v>
      </c>
      <c r="EC34" s="1264">
        <v>2.84</v>
      </c>
      <c r="ED34" s="1264">
        <v>2.87</v>
      </c>
      <c r="EE34" s="1264">
        <v>2.89</v>
      </c>
      <c r="EF34" s="1265">
        <v>2.9</v>
      </c>
      <c r="EG34" s="1263">
        <v>2.91</v>
      </c>
      <c r="EH34" s="1264">
        <v>2.92</v>
      </c>
      <c r="EI34" s="1264">
        <v>2.92</v>
      </c>
      <c r="EJ34" s="1264">
        <v>2.93</v>
      </c>
      <c r="EK34" s="1264"/>
      <c r="EL34" s="1264"/>
      <c r="EM34" s="1264"/>
      <c r="EN34" s="1264"/>
      <c r="EO34" s="1264"/>
      <c r="EP34" s="1265"/>
      <c r="EQ34" s="1263"/>
      <c r="ER34" s="1264"/>
      <c r="ES34" s="1264"/>
      <c r="ET34" s="1264"/>
      <c r="EU34" s="1264"/>
      <c r="EV34" s="1264"/>
      <c r="EW34" s="1264"/>
      <c r="EX34" s="1264"/>
      <c r="EY34" s="1264"/>
      <c r="EZ34" s="1265"/>
      <c r="FA34" s="1263"/>
      <c r="FB34" s="1264"/>
      <c r="FC34" s="1264"/>
      <c r="FD34" s="1264"/>
      <c r="FE34" s="1264"/>
      <c r="FF34" s="1264"/>
      <c r="FG34" s="1264"/>
      <c r="FH34" s="1264"/>
      <c r="FI34" s="1264"/>
      <c r="FJ34" s="1265"/>
      <c r="FK34" s="1264"/>
      <c r="FL34" s="1264"/>
      <c r="FM34" s="1265"/>
    </row>
    <row r="35" spans="1:169" s="1516" customFormat="1" ht="12.5">
      <c r="A35" s="1515" t="s">
        <v>1396</v>
      </c>
      <c r="B35" s="1176">
        <v>46</v>
      </c>
      <c r="C35" s="1257"/>
      <c r="D35" s="1258">
        <v>0.08</v>
      </c>
      <c r="E35" s="1258">
        <v>0.12</v>
      </c>
      <c r="F35" s="1258">
        <v>0.17</v>
      </c>
      <c r="G35" s="1258">
        <v>0.21</v>
      </c>
      <c r="H35" s="1258">
        <v>0.26</v>
      </c>
      <c r="I35" s="1258">
        <v>0.31</v>
      </c>
      <c r="J35" s="1258">
        <v>0.37</v>
      </c>
      <c r="K35" s="1259">
        <v>0.42</v>
      </c>
      <c r="L35" s="1257">
        <v>0.48</v>
      </c>
      <c r="M35" s="1258">
        <v>0.54</v>
      </c>
      <c r="N35" s="1258">
        <v>0.61</v>
      </c>
      <c r="O35" s="1258">
        <v>0.67</v>
      </c>
      <c r="P35" s="1258">
        <v>0.74</v>
      </c>
      <c r="Q35" s="1258">
        <v>0.82</v>
      </c>
      <c r="R35" s="1258">
        <v>0.9</v>
      </c>
      <c r="S35" s="1258">
        <v>0.98</v>
      </c>
      <c r="T35" s="1258">
        <v>1.06</v>
      </c>
      <c r="U35" s="1259">
        <v>1.1599999999999999</v>
      </c>
      <c r="V35" s="1257">
        <v>1.25</v>
      </c>
      <c r="W35" s="1258">
        <v>1.35</v>
      </c>
      <c r="X35" s="1258">
        <v>1.46</v>
      </c>
      <c r="Y35" s="1258">
        <v>1.57</v>
      </c>
      <c r="Z35" s="1258">
        <v>1.69</v>
      </c>
      <c r="AA35" s="1258">
        <v>1.82</v>
      </c>
      <c r="AB35" s="1258">
        <v>1.95</v>
      </c>
      <c r="AC35" s="1258">
        <v>2.09</v>
      </c>
      <c r="AD35" s="1258">
        <v>2.23</v>
      </c>
      <c r="AE35" s="1259">
        <v>2.38</v>
      </c>
      <c r="AF35" s="1257">
        <v>2.5299999999999998</v>
      </c>
      <c r="AG35" s="1258">
        <v>2.69</v>
      </c>
      <c r="AH35" s="1258">
        <v>2.85</v>
      </c>
      <c r="AI35" s="1258">
        <v>3.02</v>
      </c>
      <c r="AJ35" s="1258">
        <v>3.22</v>
      </c>
      <c r="AK35" s="1258">
        <v>3.39</v>
      </c>
      <c r="AL35" s="1258">
        <v>3.55</v>
      </c>
      <c r="AM35" s="1258">
        <v>3.69</v>
      </c>
      <c r="AN35" s="1258">
        <v>3.81</v>
      </c>
      <c r="AO35" s="1259">
        <v>3.92</v>
      </c>
      <c r="AP35" s="1257">
        <v>4</v>
      </c>
      <c r="AQ35" s="1258">
        <v>4.08</v>
      </c>
      <c r="AR35" s="1258">
        <v>4.1399999999999997</v>
      </c>
      <c r="AS35" s="1258">
        <v>4.1900000000000004</v>
      </c>
      <c r="AT35" s="1258">
        <v>4.2300000000000004</v>
      </c>
      <c r="AU35" s="1258">
        <v>4.26</v>
      </c>
      <c r="AV35" s="1258">
        <v>4.28</v>
      </c>
      <c r="AW35" s="1258">
        <v>4.3</v>
      </c>
      <c r="AX35" s="1258">
        <v>4.3099999999999996</v>
      </c>
      <c r="AY35" s="1259">
        <v>4.32</v>
      </c>
      <c r="AZ35" s="1257">
        <v>4.33</v>
      </c>
      <c r="BA35" s="1258">
        <v>4.33</v>
      </c>
      <c r="BB35" s="1258">
        <v>4.33</v>
      </c>
      <c r="BC35" s="1258"/>
      <c r="BD35" s="1258"/>
      <c r="BE35" s="1258"/>
      <c r="BF35" s="1258"/>
      <c r="BG35" s="1258"/>
      <c r="BH35" s="1258"/>
      <c r="BI35" s="1259"/>
      <c r="BJ35" s="1257"/>
      <c r="BK35" s="1258"/>
      <c r="BL35" s="1258"/>
      <c r="BM35" s="1258"/>
      <c r="BN35" s="1258"/>
      <c r="BO35" s="1258"/>
      <c r="BP35" s="1258"/>
      <c r="BQ35" s="1258"/>
      <c r="BR35" s="1258"/>
      <c r="BS35" s="1259"/>
      <c r="BT35" s="1257"/>
      <c r="BU35" s="1258"/>
      <c r="BV35" s="1258"/>
      <c r="BW35" s="1258"/>
      <c r="BX35" s="1258"/>
      <c r="BY35" s="1258"/>
      <c r="BZ35" s="1258"/>
      <c r="CA35" s="1258"/>
      <c r="CB35" s="1258"/>
      <c r="CC35" s="1259"/>
      <c r="CD35" s="1258"/>
      <c r="CE35" s="1258"/>
      <c r="CF35" s="1259"/>
      <c r="CH35" s="1515" t="str">
        <f t="shared" si="0"/>
        <v>WPTPDF46</v>
      </c>
      <c r="CI35" s="1176">
        <v>46</v>
      </c>
      <c r="CJ35" s="1257"/>
      <c r="CK35" s="1258">
        <v>0.03</v>
      </c>
      <c r="CL35" s="1258">
        <v>0.05</v>
      </c>
      <c r="CM35" s="1258">
        <v>7.0000000000000007E-2</v>
      </c>
      <c r="CN35" s="1258">
        <v>0.09</v>
      </c>
      <c r="CO35" s="1258">
        <v>0.11</v>
      </c>
      <c r="CP35" s="1258">
        <v>0.13</v>
      </c>
      <c r="CQ35" s="1258">
        <v>0.15</v>
      </c>
      <c r="CR35" s="1259">
        <v>0.18</v>
      </c>
      <c r="CS35" s="1257">
        <v>0.2</v>
      </c>
      <c r="CT35" s="1258">
        <v>0.23</v>
      </c>
      <c r="CU35" s="1258">
        <v>0.26</v>
      </c>
      <c r="CV35" s="1258">
        <v>0.28999999999999998</v>
      </c>
      <c r="CW35" s="1258">
        <v>0.32</v>
      </c>
      <c r="CX35" s="1258">
        <v>0.36</v>
      </c>
      <c r="CY35" s="1258">
        <v>0.4</v>
      </c>
      <c r="CZ35" s="1258">
        <v>0.44</v>
      </c>
      <c r="DA35" s="1258">
        <v>0.48</v>
      </c>
      <c r="DB35" s="1259">
        <v>0.53</v>
      </c>
      <c r="DC35" s="1257">
        <v>0.57999999999999996</v>
      </c>
      <c r="DD35" s="1258">
        <v>0.64</v>
      </c>
      <c r="DE35" s="1258">
        <v>0.7</v>
      </c>
      <c r="DF35" s="1258">
        <v>0.76</v>
      </c>
      <c r="DG35" s="1258">
        <v>0.83</v>
      </c>
      <c r="DH35" s="1258">
        <v>0.91</v>
      </c>
      <c r="DI35" s="1258">
        <v>0.99</v>
      </c>
      <c r="DJ35" s="1258">
        <v>1.08</v>
      </c>
      <c r="DK35" s="1258">
        <v>1.18</v>
      </c>
      <c r="DL35" s="1259">
        <v>1.28</v>
      </c>
      <c r="DM35" s="1257">
        <v>1.39</v>
      </c>
      <c r="DN35" s="1258">
        <v>1.51</v>
      </c>
      <c r="DO35" s="1258">
        <v>1.64</v>
      </c>
      <c r="DP35" s="1258">
        <v>1.77</v>
      </c>
      <c r="DQ35" s="1258">
        <v>1.94</v>
      </c>
      <c r="DR35" s="1258">
        <v>2.09</v>
      </c>
      <c r="DS35" s="1258">
        <v>2.23</v>
      </c>
      <c r="DT35" s="1258">
        <v>2.35</v>
      </c>
      <c r="DU35" s="1258">
        <v>2.46</v>
      </c>
      <c r="DV35" s="1259">
        <v>2.56</v>
      </c>
      <c r="DW35" s="1257">
        <v>2.65</v>
      </c>
      <c r="DX35" s="1258">
        <v>2.72</v>
      </c>
      <c r="DY35" s="1258">
        <v>2.79</v>
      </c>
      <c r="DZ35" s="1258">
        <v>2.84</v>
      </c>
      <c r="EA35" s="1258">
        <v>2.88</v>
      </c>
      <c r="EB35" s="1258">
        <v>2.92</v>
      </c>
      <c r="EC35" s="1258">
        <v>2.94</v>
      </c>
      <c r="ED35" s="1258">
        <v>2.97</v>
      </c>
      <c r="EE35" s="1258">
        <v>2.98</v>
      </c>
      <c r="EF35" s="1259">
        <v>2.99</v>
      </c>
      <c r="EG35" s="1257">
        <v>3</v>
      </c>
      <c r="EH35" s="1258">
        <v>3</v>
      </c>
      <c r="EI35" s="1258">
        <v>3.01</v>
      </c>
      <c r="EJ35" s="1258"/>
      <c r="EK35" s="1258"/>
      <c r="EL35" s="1258"/>
      <c r="EM35" s="1258"/>
      <c r="EN35" s="1258"/>
      <c r="EO35" s="1258"/>
      <c r="EP35" s="1259"/>
      <c r="EQ35" s="1257"/>
      <c r="ER35" s="1258"/>
      <c r="ES35" s="1258"/>
      <c r="ET35" s="1258"/>
      <c r="EU35" s="1258"/>
      <c r="EV35" s="1258"/>
      <c r="EW35" s="1258"/>
      <c r="EX35" s="1258"/>
      <c r="EY35" s="1258"/>
      <c r="EZ35" s="1259"/>
      <c r="FA35" s="1257"/>
      <c r="FB35" s="1258"/>
      <c r="FC35" s="1258"/>
      <c r="FD35" s="1258"/>
      <c r="FE35" s="1258"/>
      <c r="FF35" s="1258"/>
      <c r="FG35" s="1258"/>
      <c r="FH35" s="1258"/>
      <c r="FI35" s="1258"/>
      <c r="FJ35" s="1259"/>
      <c r="FK35" s="1258"/>
      <c r="FL35" s="1258"/>
      <c r="FM35" s="1259"/>
    </row>
    <row r="36" spans="1:169" s="1516" customFormat="1" ht="12.5">
      <c r="A36" s="1515" t="s">
        <v>1397</v>
      </c>
      <c r="B36" s="1176">
        <v>47</v>
      </c>
      <c r="C36" s="1257"/>
      <c r="D36" s="1258">
        <v>0.09</v>
      </c>
      <c r="E36" s="1258">
        <v>0.13</v>
      </c>
      <c r="F36" s="1258">
        <v>0.18</v>
      </c>
      <c r="G36" s="1258">
        <v>0.23</v>
      </c>
      <c r="H36" s="1258">
        <v>0.28000000000000003</v>
      </c>
      <c r="I36" s="1258">
        <v>0.34</v>
      </c>
      <c r="J36" s="1258">
        <v>0.39</v>
      </c>
      <c r="K36" s="1259">
        <v>0.45</v>
      </c>
      <c r="L36" s="1257">
        <v>0.52</v>
      </c>
      <c r="M36" s="1258">
        <v>0.57999999999999996</v>
      </c>
      <c r="N36" s="1258">
        <v>0.65</v>
      </c>
      <c r="O36" s="1258">
        <v>0.72</v>
      </c>
      <c r="P36" s="1258">
        <v>0.8</v>
      </c>
      <c r="Q36" s="1258">
        <v>0.88</v>
      </c>
      <c r="R36" s="1258">
        <v>0.96</v>
      </c>
      <c r="S36" s="1258">
        <v>1.05</v>
      </c>
      <c r="T36" s="1258">
        <v>1.1499999999999999</v>
      </c>
      <c r="U36" s="1259">
        <v>1.25</v>
      </c>
      <c r="V36" s="1257">
        <v>1.35</v>
      </c>
      <c r="W36" s="1258">
        <v>1.46</v>
      </c>
      <c r="X36" s="1258">
        <v>1.58</v>
      </c>
      <c r="Y36" s="1258">
        <v>1.7</v>
      </c>
      <c r="Z36" s="1258">
        <v>1.83</v>
      </c>
      <c r="AA36" s="1258">
        <v>1.97</v>
      </c>
      <c r="AB36" s="1258">
        <v>2.11</v>
      </c>
      <c r="AC36" s="1258">
        <v>2.2599999999999998</v>
      </c>
      <c r="AD36" s="1258">
        <v>2.41</v>
      </c>
      <c r="AE36" s="1259">
        <v>2.57</v>
      </c>
      <c r="AF36" s="1257">
        <v>2.73</v>
      </c>
      <c r="AG36" s="1258">
        <v>2.9</v>
      </c>
      <c r="AH36" s="1258">
        <v>3.07</v>
      </c>
      <c r="AI36" s="1258">
        <v>3.28</v>
      </c>
      <c r="AJ36" s="1258">
        <v>3.46</v>
      </c>
      <c r="AK36" s="1258">
        <v>3.62</v>
      </c>
      <c r="AL36" s="1258">
        <v>3.77</v>
      </c>
      <c r="AM36" s="1258">
        <v>3.89</v>
      </c>
      <c r="AN36" s="1258">
        <v>4</v>
      </c>
      <c r="AO36" s="1259">
        <v>4.09</v>
      </c>
      <c r="AP36" s="1257">
        <v>4.17</v>
      </c>
      <c r="AQ36" s="1258">
        <v>4.2300000000000004</v>
      </c>
      <c r="AR36" s="1258">
        <v>4.29</v>
      </c>
      <c r="AS36" s="1258">
        <v>4.33</v>
      </c>
      <c r="AT36" s="1258">
        <v>4.3600000000000003</v>
      </c>
      <c r="AU36" s="1258">
        <v>4.38</v>
      </c>
      <c r="AV36" s="1258">
        <v>4.4000000000000004</v>
      </c>
      <c r="AW36" s="1258">
        <v>4.42</v>
      </c>
      <c r="AX36" s="1258">
        <v>4.42</v>
      </c>
      <c r="AY36" s="1259">
        <v>4.43</v>
      </c>
      <c r="AZ36" s="1257">
        <v>4.43</v>
      </c>
      <c r="BA36" s="1258">
        <v>4.4400000000000004</v>
      </c>
      <c r="BB36" s="1258"/>
      <c r="BC36" s="1258"/>
      <c r="BD36" s="1258"/>
      <c r="BE36" s="1258"/>
      <c r="BF36" s="1258"/>
      <c r="BG36" s="1258"/>
      <c r="BH36" s="1258"/>
      <c r="BI36" s="1259"/>
      <c r="BJ36" s="1257"/>
      <c r="BK36" s="1258"/>
      <c r="BL36" s="1258"/>
      <c r="BM36" s="1258"/>
      <c r="BN36" s="1258"/>
      <c r="BO36" s="1258"/>
      <c r="BP36" s="1258"/>
      <c r="BQ36" s="1258"/>
      <c r="BR36" s="1258"/>
      <c r="BS36" s="1259"/>
      <c r="BT36" s="1257"/>
      <c r="BU36" s="1258"/>
      <c r="BV36" s="1258"/>
      <c r="BW36" s="1258"/>
      <c r="BX36" s="1258"/>
      <c r="BY36" s="1258"/>
      <c r="BZ36" s="1258"/>
      <c r="CA36" s="1258"/>
      <c r="CB36" s="1258"/>
      <c r="CC36" s="1259"/>
      <c r="CD36" s="1258"/>
      <c r="CE36" s="1258"/>
      <c r="CF36" s="1259"/>
      <c r="CH36" s="1515" t="str">
        <f t="shared" si="0"/>
        <v>WPTPDF47</v>
      </c>
      <c r="CI36" s="1176">
        <v>47</v>
      </c>
      <c r="CJ36" s="1257"/>
      <c r="CK36" s="1258">
        <v>0.04</v>
      </c>
      <c r="CL36" s="1258">
        <v>0.05</v>
      </c>
      <c r="CM36" s="1258">
        <v>7.0000000000000007E-2</v>
      </c>
      <c r="CN36" s="1258">
        <v>0.1</v>
      </c>
      <c r="CO36" s="1258">
        <v>0.12</v>
      </c>
      <c r="CP36" s="1258">
        <v>0.14000000000000001</v>
      </c>
      <c r="CQ36" s="1258">
        <v>0.17</v>
      </c>
      <c r="CR36" s="1259">
        <v>0.19</v>
      </c>
      <c r="CS36" s="1257">
        <v>0.22</v>
      </c>
      <c r="CT36" s="1258">
        <v>0.25</v>
      </c>
      <c r="CU36" s="1258">
        <v>0.28000000000000003</v>
      </c>
      <c r="CV36" s="1258">
        <v>0.32</v>
      </c>
      <c r="CW36" s="1258">
        <v>0.35</v>
      </c>
      <c r="CX36" s="1258">
        <v>0.39</v>
      </c>
      <c r="CY36" s="1258">
        <v>0.44</v>
      </c>
      <c r="CZ36" s="1258">
        <v>0.48</v>
      </c>
      <c r="DA36" s="1258">
        <v>0.53</v>
      </c>
      <c r="DB36" s="1259">
        <v>0.57999999999999996</v>
      </c>
      <c r="DC36" s="1257">
        <v>0.64</v>
      </c>
      <c r="DD36" s="1258">
        <v>0.7</v>
      </c>
      <c r="DE36" s="1258">
        <v>0.77</v>
      </c>
      <c r="DF36" s="1258">
        <v>0.84</v>
      </c>
      <c r="DG36" s="1258">
        <v>0.92</v>
      </c>
      <c r="DH36" s="1258">
        <v>1.01</v>
      </c>
      <c r="DI36" s="1258">
        <v>1.1000000000000001</v>
      </c>
      <c r="DJ36" s="1258">
        <v>1.2</v>
      </c>
      <c r="DK36" s="1258">
        <v>1.31</v>
      </c>
      <c r="DL36" s="1259">
        <v>1.42</v>
      </c>
      <c r="DM36" s="1257">
        <v>1.54</v>
      </c>
      <c r="DN36" s="1258">
        <v>1.67</v>
      </c>
      <c r="DO36" s="1258">
        <v>1.81</v>
      </c>
      <c r="DP36" s="1258">
        <v>1.98</v>
      </c>
      <c r="DQ36" s="1258">
        <v>2.14</v>
      </c>
      <c r="DR36" s="1258">
        <v>2.2799999999999998</v>
      </c>
      <c r="DS36" s="1258">
        <v>2.41</v>
      </c>
      <c r="DT36" s="1258">
        <v>2.5299999999999998</v>
      </c>
      <c r="DU36" s="1258">
        <v>2.63</v>
      </c>
      <c r="DV36" s="1259">
        <v>2.72</v>
      </c>
      <c r="DW36" s="1257">
        <v>2.8</v>
      </c>
      <c r="DX36" s="1258">
        <v>2.86</v>
      </c>
      <c r="DY36" s="1258">
        <v>2.92</v>
      </c>
      <c r="DZ36" s="1258">
        <v>2.96</v>
      </c>
      <c r="EA36" s="1258">
        <v>3</v>
      </c>
      <c r="EB36" s="1258">
        <v>3.03</v>
      </c>
      <c r="EC36" s="1258">
        <v>3.05</v>
      </c>
      <c r="ED36" s="1258">
        <v>3.06</v>
      </c>
      <c r="EE36" s="1258">
        <v>3.08</v>
      </c>
      <c r="EF36" s="1259">
        <v>3.08</v>
      </c>
      <c r="EG36" s="1257">
        <v>3.09</v>
      </c>
      <c r="EH36" s="1258">
        <v>3.09</v>
      </c>
      <c r="EI36" s="1258"/>
      <c r="EJ36" s="1258"/>
      <c r="EK36" s="1258"/>
      <c r="EL36" s="1258"/>
      <c r="EM36" s="1258"/>
      <c r="EN36" s="1258"/>
      <c r="EO36" s="1258"/>
      <c r="EP36" s="1259"/>
      <c r="EQ36" s="1257"/>
      <c r="ER36" s="1258"/>
      <c r="ES36" s="1258"/>
      <c r="ET36" s="1258"/>
      <c r="EU36" s="1258"/>
      <c r="EV36" s="1258"/>
      <c r="EW36" s="1258"/>
      <c r="EX36" s="1258"/>
      <c r="EY36" s="1258"/>
      <c r="EZ36" s="1259"/>
      <c r="FA36" s="1257"/>
      <c r="FB36" s="1258"/>
      <c r="FC36" s="1258"/>
      <c r="FD36" s="1258"/>
      <c r="FE36" s="1258"/>
      <c r="FF36" s="1258"/>
      <c r="FG36" s="1258"/>
      <c r="FH36" s="1258"/>
      <c r="FI36" s="1258"/>
      <c r="FJ36" s="1259"/>
      <c r="FK36" s="1258"/>
      <c r="FL36" s="1258"/>
      <c r="FM36" s="1259"/>
    </row>
    <row r="37" spans="1:169" s="1516" customFormat="1" ht="12.5">
      <c r="A37" s="1515" t="s">
        <v>1398</v>
      </c>
      <c r="B37" s="1176">
        <v>48</v>
      </c>
      <c r="C37" s="1257"/>
      <c r="D37" s="1258">
        <v>0.09</v>
      </c>
      <c r="E37" s="1258">
        <v>0.14000000000000001</v>
      </c>
      <c r="F37" s="1258">
        <v>0.19</v>
      </c>
      <c r="G37" s="1258">
        <v>0.25</v>
      </c>
      <c r="H37" s="1258">
        <v>0.3</v>
      </c>
      <c r="I37" s="1258">
        <v>0.36</v>
      </c>
      <c r="J37" s="1258">
        <v>0.42</v>
      </c>
      <c r="K37" s="1259">
        <v>0.49</v>
      </c>
      <c r="L37" s="1257">
        <v>0.56000000000000005</v>
      </c>
      <c r="M37" s="1258">
        <v>0.63</v>
      </c>
      <c r="N37" s="1258">
        <v>0.7</v>
      </c>
      <c r="O37" s="1258">
        <v>0.78</v>
      </c>
      <c r="P37" s="1258">
        <v>0.86</v>
      </c>
      <c r="Q37" s="1258">
        <v>0.95</v>
      </c>
      <c r="R37" s="1258">
        <v>1.04</v>
      </c>
      <c r="S37" s="1258">
        <v>1.1399999999999999</v>
      </c>
      <c r="T37" s="1258">
        <v>1.24</v>
      </c>
      <c r="U37" s="1259">
        <v>1.35</v>
      </c>
      <c r="V37" s="1257">
        <v>1.46</v>
      </c>
      <c r="W37" s="1258">
        <v>1.58</v>
      </c>
      <c r="X37" s="1258">
        <v>1.71</v>
      </c>
      <c r="Y37" s="1258">
        <v>1.84</v>
      </c>
      <c r="Z37" s="1258">
        <v>1.98</v>
      </c>
      <c r="AA37" s="1258">
        <v>2.13</v>
      </c>
      <c r="AB37" s="1258">
        <v>2.2799999999999998</v>
      </c>
      <c r="AC37" s="1258">
        <v>2.44</v>
      </c>
      <c r="AD37" s="1258">
        <v>2.6</v>
      </c>
      <c r="AE37" s="1259">
        <v>2.77</v>
      </c>
      <c r="AF37" s="1257">
        <v>2.95</v>
      </c>
      <c r="AG37" s="1258">
        <v>3.12</v>
      </c>
      <c r="AH37" s="1258">
        <v>3.34</v>
      </c>
      <c r="AI37" s="1258">
        <v>3.53</v>
      </c>
      <c r="AJ37" s="1258">
        <v>3.7</v>
      </c>
      <c r="AK37" s="1258">
        <v>3.85</v>
      </c>
      <c r="AL37" s="1258">
        <v>3.98</v>
      </c>
      <c r="AM37" s="1258">
        <v>4.09</v>
      </c>
      <c r="AN37" s="1258">
        <v>4.1900000000000004</v>
      </c>
      <c r="AO37" s="1259">
        <v>4.2699999999999996</v>
      </c>
      <c r="AP37" s="1257">
        <v>4.33</v>
      </c>
      <c r="AQ37" s="1258">
        <v>4.3899999999999997</v>
      </c>
      <c r="AR37" s="1258">
        <v>4.43</v>
      </c>
      <c r="AS37" s="1258">
        <v>4.46</v>
      </c>
      <c r="AT37" s="1258">
        <v>4.49</v>
      </c>
      <c r="AU37" s="1258">
        <v>4.51</v>
      </c>
      <c r="AV37" s="1258">
        <v>4.5199999999999996</v>
      </c>
      <c r="AW37" s="1258">
        <v>4.53</v>
      </c>
      <c r="AX37" s="1258">
        <v>4.54</v>
      </c>
      <c r="AY37" s="1259">
        <v>4.54</v>
      </c>
      <c r="AZ37" s="1257">
        <v>4.54</v>
      </c>
      <c r="BA37" s="1258"/>
      <c r="BB37" s="1258"/>
      <c r="BC37" s="1258"/>
      <c r="BD37" s="1258"/>
      <c r="BE37" s="1258"/>
      <c r="BF37" s="1258"/>
      <c r="BG37" s="1258"/>
      <c r="BH37" s="1258"/>
      <c r="BI37" s="1259"/>
      <c r="BJ37" s="1257"/>
      <c r="BK37" s="1258"/>
      <c r="BL37" s="1258"/>
      <c r="BM37" s="1258"/>
      <c r="BN37" s="1258"/>
      <c r="BO37" s="1258"/>
      <c r="BP37" s="1258"/>
      <c r="BQ37" s="1258"/>
      <c r="BR37" s="1258"/>
      <c r="BS37" s="1259"/>
      <c r="BT37" s="1257"/>
      <c r="BU37" s="1258"/>
      <c r="BV37" s="1258"/>
      <c r="BW37" s="1258"/>
      <c r="BX37" s="1258"/>
      <c r="BY37" s="1258"/>
      <c r="BZ37" s="1258"/>
      <c r="CA37" s="1258"/>
      <c r="CB37" s="1258"/>
      <c r="CC37" s="1259"/>
      <c r="CD37" s="1258"/>
      <c r="CE37" s="1258"/>
      <c r="CF37" s="1259"/>
      <c r="CH37" s="1515" t="str">
        <f t="shared" si="0"/>
        <v>WPTPDF48</v>
      </c>
      <c r="CI37" s="1176">
        <v>48</v>
      </c>
      <c r="CJ37" s="1257"/>
      <c r="CK37" s="1258">
        <v>0.04</v>
      </c>
      <c r="CL37" s="1258">
        <v>0.06</v>
      </c>
      <c r="CM37" s="1258">
        <v>0.08</v>
      </c>
      <c r="CN37" s="1258">
        <v>0.1</v>
      </c>
      <c r="CO37" s="1258">
        <v>0.13</v>
      </c>
      <c r="CP37" s="1258">
        <v>0.15</v>
      </c>
      <c r="CQ37" s="1258">
        <v>0.18</v>
      </c>
      <c r="CR37" s="1259">
        <v>0.21</v>
      </c>
      <c r="CS37" s="1257">
        <v>0.24</v>
      </c>
      <c r="CT37" s="1258">
        <v>0.27</v>
      </c>
      <c r="CU37" s="1258">
        <v>0.31</v>
      </c>
      <c r="CV37" s="1258">
        <v>0.35</v>
      </c>
      <c r="CW37" s="1258">
        <v>0.39</v>
      </c>
      <c r="CX37" s="1258">
        <v>0.43</v>
      </c>
      <c r="CY37" s="1258">
        <v>0.48</v>
      </c>
      <c r="CZ37" s="1258">
        <v>0.53</v>
      </c>
      <c r="DA37" s="1258">
        <v>0.57999999999999996</v>
      </c>
      <c r="DB37" s="1259">
        <v>0.64</v>
      </c>
      <c r="DC37" s="1257">
        <v>0.71</v>
      </c>
      <c r="DD37" s="1258">
        <v>0.78</v>
      </c>
      <c r="DE37" s="1258">
        <v>0.85</v>
      </c>
      <c r="DF37" s="1258">
        <v>0.93</v>
      </c>
      <c r="DG37" s="1258">
        <v>1.02</v>
      </c>
      <c r="DH37" s="1258">
        <v>1.1200000000000001</v>
      </c>
      <c r="DI37" s="1258">
        <v>1.22</v>
      </c>
      <c r="DJ37" s="1258">
        <v>1.33</v>
      </c>
      <c r="DK37" s="1258">
        <v>1.45</v>
      </c>
      <c r="DL37" s="1259">
        <v>1.58</v>
      </c>
      <c r="DM37" s="1257">
        <v>1.71</v>
      </c>
      <c r="DN37" s="1258">
        <v>1.85</v>
      </c>
      <c r="DO37" s="1258">
        <v>2.0299999999999998</v>
      </c>
      <c r="DP37" s="1258">
        <v>2.19</v>
      </c>
      <c r="DQ37" s="1258">
        <v>2.34</v>
      </c>
      <c r="DR37" s="1258">
        <v>2.4700000000000002</v>
      </c>
      <c r="DS37" s="1258">
        <v>2.59</v>
      </c>
      <c r="DT37" s="1258">
        <v>2.7</v>
      </c>
      <c r="DU37" s="1258">
        <v>2.79</v>
      </c>
      <c r="DV37" s="1259">
        <v>2.87</v>
      </c>
      <c r="DW37" s="1257">
        <v>2.94</v>
      </c>
      <c r="DX37" s="1258">
        <v>3</v>
      </c>
      <c r="DY37" s="1258">
        <v>3.05</v>
      </c>
      <c r="DZ37" s="1258">
        <v>3.08</v>
      </c>
      <c r="EA37" s="1258">
        <v>3.11</v>
      </c>
      <c r="EB37" s="1258">
        <v>3.13</v>
      </c>
      <c r="EC37" s="1258">
        <v>3.15</v>
      </c>
      <c r="ED37" s="1258">
        <v>3.16</v>
      </c>
      <c r="EE37" s="1258">
        <v>3.17</v>
      </c>
      <c r="EF37" s="1259">
        <v>3.18</v>
      </c>
      <c r="EG37" s="1257">
        <v>3.18</v>
      </c>
      <c r="EH37" s="1258"/>
      <c r="EI37" s="1258"/>
      <c r="EJ37" s="1258"/>
      <c r="EK37" s="1258"/>
      <c r="EL37" s="1258"/>
      <c r="EM37" s="1258"/>
      <c r="EN37" s="1258"/>
      <c r="EO37" s="1258"/>
      <c r="EP37" s="1259"/>
      <c r="EQ37" s="1257"/>
      <c r="ER37" s="1258"/>
      <c r="ES37" s="1258"/>
      <c r="ET37" s="1258"/>
      <c r="EU37" s="1258"/>
      <c r="EV37" s="1258"/>
      <c r="EW37" s="1258"/>
      <c r="EX37" s="1258"/>
      <c r="EY37" s="1258"/>
      <c r="EZ37" s="1259"/>
      <c r="FA37" s="1257"/>
      <c r="FB37" s="1258"/>
      <c r="FC37" s="1258"/>
      <c r="FD37" s="1258"/>
      <c r="FE37" s="1258"/>
      <c r="FF37" s="1258"/>
      <c r="FG37" s="1258"/>
      <c r="FH37" s="1258"/>
      <c r="FI37" s="1258"/>
      <c r="FJ37" s="1259"/>
      <c r="FK37" s="1258"/>
      <c r="FL37" s="1258"/>
      <c r="FM37" s="1259"/>
    </row>
    <row r="38" spans="1:169" s="1516" customFormat="1" ht="12.5">
      <c r="A38" s="1515" t="s">
        <v>1399</v>
      </c>
      <c r="B38" s="1176">
        <v>49</v>
      </c>
      <c r="C38" s="1257"/>
      <c r="D38" s="1258">
        <v>0.1</v>
      </c>
      <c r="E38" s="1258">
        <v>0.15</v>
      </c>
      <c r="F38" s="1258">
        <v>0.21</v>
      </c>
      <c r="G38" s="1258">
        <v>0.27</v>
      </c>
      <c r="H38" s="1258">
        <v>0.33</v>
      </c>
      <c r="I38" s="1258">
        <v>0.39</v>
      </c>
      <c r="J38" s="1258">
        <v>0.46</v>
      </c>
      <c r="K38" s="1259">
        <v>0.53</v>
      </c>
      <c r="L38" s="1257">
        <v>0.6</v>
      </c>
      <c r="M38" s="1258">
        <v>0.68</v>
      </c>
      <c r="N38" s="1258">
        <v>0.76</v>
      </c>
      <c r="O38" s="1258">
        <v>0.84</v>
      </c>
      <c r="P38" s="1258">
        <v>0.93</v>
      </c>
      <c r="Q38" s="1258">
        <v>1.02</v>
      </c>
      <c r="R38" s="1258">
        <v>1.1200000000000001</v>
      </c>
      <c r="S38" s="1258">
        <v>1.23</v>
      </c>
      <c r="T38" s="1258">
        <v>1.34</v>
      </c>
      <c r="U38" s="1259">
        <v>1.46</v>
      </c>
      <c r="V38" s="1257">
        <v>1.58</v>
      </c>
      <c r="W38" s="1258">
        <v>1.71</v>
      </c>
      <c r="X38" s="1258">
        <v>1.85</v>
      </c>
      <c r="Y38" s="1258">
        <v>1.99</v>
      </c>
      <c r="Z38" s="1258">
        <v>2.15</v>
      </c>
      <c r="AA38" s="1258">
        <v>2.2999999999999998</v>
      </c>
      <c r="AB38" s="1258">
        <v>2.4700000000000002</v>
      </c>
      <c r="AC38" s="1258">
        <v>2.64</v>
      </c>
      <c r="AD38" s="1258">
        <v>2.81</v>
      </c>
      <c r="AE38" s="1259">
        <v>2.99</v>
      </c>
      <c r="AF38" s="1257">
        <v>3.17</v>
      </c>
      <c r="AG38" s="1258">
        <v>3.4</v>
      </c>
      <c r="AH38" s="1258">
        <v>3.6</v>
      </c>
      <c r="AI38" s="1258">
        <v>3.77</v>
      </c>
      <c r="AJ38" s="1258">
        <v>3.93</v>
      </c>
      <c r="AK38" s="1258">
        <v>4.0599999999999996</v>
      </c>
      <c r="AL38" s="1258">
        <v>4.18</v>
      </c>
      <c r="AM38" s="1258">
        <v>4.28</v>
      </c>
      <c r="AN38" s="1258">
        <v>4.3600000000000003</v>
      </c>
      <c r="AO38" s="1259">
        <v>4.43</v>
      </c>
      <c r="AP38" s="1257">
        <v>4.49</v>
      </c>
      <c r="AQ38" s="1258">
        <v>4.53</v>
      </c>
      <c r="AR38" s="1258">
        <v>4.57</v>
      </c>
      <c r="AS38" s="1258">
        <v>4.5999999999999996</v>
      </c>
      <c r="AT38" s="1258">
        <v>4.6100000000000003</v>
      </c>
      <c r="AU38" s="1258">
        <v>4.63</v>
      </c>
      <c r="AV38" s="1258">
        <v>4.6399999999999997</v>
      </c>
      <c r="AW38" s="1258">
        <v>4.6399999999999997</v>
      </c>
      <c r="AX38" s="1258">
        <v>4.6500000000000004</v>
      </c>
      <c r="AY38" s="1259">
        <v>4.6500000000000004</v>
      </c>
      <c r="AZ38" s="1257"/>
      <c r="BA38" s="1258"/>
      <c r="BB38" s="1258"/>
      <c r="BC38" s="1258"/>
      <c r="BD38" s="1258"/>
      <c r="BE38" s="1258"/>
      <c r="BF38" s="1258"/>
      <c r="BG38" s="1258"/>
      <c r="BH38" s="1258"/>
      <c r="BI38" s="1259"/>
      <c r="BJ38" s="1257"/>
      <c r="BK38" s="1258"/>
      <c r="BL38" s="1258"/>
      <c r="BM38" s="1258"/>
      <c r="BN38" s="1258"/>
      <c r="BO38" s="1258"/>
      <c r="BP38" s="1258"/>
      <c r="BQ38" s="1258"/>
      <c r="BR38" s="1258"/>
      <c r="BS38" s="1259"/>
      <c r="BT38" s="1257"/>
      <c r="BU38" s="1258"/>
      <c r="BV38" s="1258"/>
      <c r="BW38" s="1258"/>
      <c r="BX38" s="1258"/>
      <c r="BY38" s="1258"/>
      <c r="BZ38" s="1258"/>
      <c r="CA38" s="1258"/>
      <c r="CB38" s="1258"/>
      <c r="CC38" s="1259"/>
      <c r="CD38" s="1258"/>
      <c r="CE38" s="1258"/>
      <c r="CF38" s="1259"/>
      <c r="CH38" s="1515" t="str">
        <f t="shared" si="0"/>
        <v>WPTPDF49</v>
      </c>
      <c r="CI38" s="1176">
        <v>49</v>
      </c>
      <c r="CJ38" s="1257"/>
      <c r="CK38" s="1258">
        <v>0.04</v>
      </c>
      <c r="CL38" s="1258">
        <v>0.06</v>
      </c>
      <c r="CM38" s="1258">
        <v>0.09</v>
      </c>
      <c r="CN38" s="1258">
        <v>0.11</v>
      </c>
      <c r="CO38" s="1258">
        <v>0.14000000000000001</v>
      </c>
      <c r="CP38" s="1258">
        <v>0.17</v>
      </c>
      <c r="CQ38" s="1258">
        <v>0.2</v>
      </c>
      <c r="CR38" s="1259">
        <v>0.23</v>
      </c>
      <c r="CS38" s="1257">
        <v>0.26</v>
      </c>
      <c r="CT38" s="1258">
        <v>0.3</v>
      </c>
      <c r="CU38" s="1258">
        <v>0.34</v>
      </c>
      <c r="CV38" s="1258">
        <v>0.38</v>
      </c>
      <c r="CW38" s="1258">
        <v>0.43</v>
      </c>
      <c r="CX38" s="1258">
        <v>0.48</v>
      </c>
      <c r="CY38" s="1258">
        <v>0.53</v>
      </c>
      <c r="CZ38" s="1258">
        <v>0.57999999999999996</v>
      </c>
      <c r="DA38" s="1258">
        <v>0.64</v>
      </c>
      <c r="DB38" s="1259">
        <v>0.71</v>
      </c>
      <c r="DC38" s="1257">
        <v>0.78</v>
      </c>
      <c r="DD38" s="1258">
        <v>0.86</v>
      </c>
      <c r="DE38" s="1258">
        <v>0.94</v>
      </c>
      <c r="DF38" s="1258">
        <v>1.03</v>
      </c>
      <c r="DG38" s="1258">
        <v>1.1299999999999999</v>
      </c>
      <c r="DH38" s="1258">
        <v>1.24</v>
      </c>
      <c r="DI38" s="1258">
        <v>1.35</v>
      </c>
      <c r="DJ38" s="1258">
        <v>1.48</v>
      </c>
      <c r="DK38" s="1258">
        <v>1.61</v>
      </c>
      <c r="DL38" s="1259">
        <v>1.75</v>
      </c>
      <c r="DM38" s="1257">
        <v>1.89</v>
      </c>
      <c r="DN38" s="1258">
        <v>2.0699999999999998</v>
      </c>
      <c r="DO38" s="1258">
        <v>2.2400000000000002</v>
      </c>
      <c r="DP38" s="1258">
        <v>2.4</v>
      </c>
      <c r="DQ38" s="1258">
        <v>2.54</v>
      </c>
      <c r="DR38" s="1258">
        <v>2.66</v>
      </c>
      <c r="DS38" s="1258">
        <v>2.77</v>
      </c>
      <c r="DT38" s="1258">
        <v>2.87</v>
      </c>
      <c r="DU38" s="1258">
        <v>2.95</v>
      </c>
      <c r="DV38" s="1259">
        <v>3.02</v>
      </c>
      <c r="DW38" s="1257">
        <v>3.08</v>
      </c>
      <c r="DX38" s="1258">
        <v>3.13</v>
      </c>
      <c r="DY38" s="1258">
        <v>3.17</v>
      </c>
      <c r="DZ38" s="1258">
        <v>3.2</v>
      </c>
      <c r="EA38" s="1258">
        <v>3.23</v>
      </c>
      <c r="EB38" s="1258">
        <v>3.24</v>
      </c>
      <c r="EC38" s="1258">
        <v>3.25</v>
      </c>
      <c r="ED38" s="1258">
        <v>3.26</v>
      </c>
      <c r="EE38" s="1258">
        <v>3.27</v>
      </c>
      <c r="EF38" s="1259">
        <v>3.27</v>
      </c>
      <c r="EG38" s="1257"/>
      <c r="EH38" s="1258"/>
      <c r="EI38" s="1258"/>
      <c r="EJ38" s="1258"/>
      <c r="EK38" s="1258"/>
      <c r="EL38" s="1258"/>
      <c r="EM38" s="1258"/>
      <c r="EN38" s="1258"/>
      <c r="EO38" s="1258"/>
      <c r="EP38" s="1259"/>
      <c r="EQ38" s="1257"/>
      <c r="ER38" s="1258"/>
      <c r="ES38" s="1258"/>
      <c r="ET38" s="1258"/>
      <c r="EU38" s="1258"/>
      <c r="EV38" s="1258"/>
      <c r="EW38" s="1258"/>
      <c r="EX38" s="1258"/>
      <c r="EY38" s="1258"/>
      <c r="EZ38" s="1259"/>
      <c r="FA38" s="1257"/>
      <c r="FB38" s="1258"/>
      <c r="FC38" s="1258"/>
      <c r="FD38" s="1258"/>
      <c r="FE38" s="1258"/>
      <c r="FF38" s="1258"/>
      <c r="FG38" s="1258"/>
      <c r="FH38" s="1258"/>
      <c r="FI38" s="1258"/>
      <c r="FJ38" s="1259"/>
      <c r="FK38" s="1258"/>
      <c r="FL38" s="1258"/>
      <c r="FM38" s="1259"/>
    </row>
    <row r="39" spans="1:169" s="1516" customFormat="1" ht="12.5">
      <c r="A39" s="1515" t="s">
        <v>1400</v>
      </c>
      <c r="B39" s="1176">
        <v>50</v>
      </c>
      <c r="C39" s="1257"/>
      <c r="D39" s="1258">
        <v>0.11</v>
      </c>
      <c r="E39" s="1258">
        <v>0.16</v>
      </c>
      <c r="F39" s="1258">
        <v>0.22</v>
      </c>
      <c r="G39" s="1258">
        <v>0.28999999999999998</v>
      </c>
      <c r="H39" s="1258">
        <v>0.35</v>
      </c>
      <c r="I39" s="1258">
        <v>0.42</v>
      </c>
      <c r="J39" s="1258">
        <v>0.49</v>
      </c>
      <c r="K39" s="1259">
        <v>0.56999999999999995</v>
      </c>
      <c r="L39" s="1257">
        <v>0.64</v>
      </c>
      <c r="M39" s="1258">
        <v>0.73</v>
      </c>
      <c r="N39" s="1258">
        <v>0.82</v>
      </c>
      <c r="O39" s="1258">
        <v>0.91</v>
      </c>
      <c r="P39" s="1258">
        <v>1</v>
      </c>
      <c r="Q39" s="1258">
        <v>1.1100000000000001</v>
      </c>
      <c r="R39" s="1258">
        <v>1.22</v>
      </c>
      <c r="S39" s="1258">
        <v>1.33</v>
      </c>
      <c r="T39" s="1258">
        <v>1.45</v>
      </c>
      <c r="U39" s="1259">
        <v>1.58</v>
      </c>
      <c r="V39" s="1257">
        <v>1.71</v>
      </c>
      <c r="W39" s="1258">
        <v>1.86</v>
      </c>
      <c r="X39" s="1258">
        <v>2.0099999999999998</v>
      </c>
      <c r="Y39" s="1258">
        <v>2.16</v>
      </c>
      <c r="Z39" s="1258">
        <v>2.33</v>
      </c>
      <c r="AA39" s="1258">
        <v>2.5</v>
      </c>
      <c r="AB39" s="1258">
        <v>2.67</v>
      </c>
      <c r="AC39" s="1258">
        <v>2.85</v>
      </c>
      <c r="AD39" s="1258">
        <v>3.04</v>
      </c>
      <c r="AE39" s="1259">
        <v>3.22</v>
      </c>
      <c r="AF39" s="1257">
        <v>3.46</v>
      </c>
      <c r="AG39" s="1258">
        <v>3.66</v>
      </c>
      <c r="AH39" s="1258">
        <v>3.85</v>
      </c>
      <c r="AI39" s="1258">
        <v>4.01</v>
      </c>
      <c r="AJ39" s="1258">
        <v>4.1500000000000004</v>
      </c>
      <c r="AK39" s="1258">
        <v>4.2699999999999996</v>
      </c>
      <c r="AL39" s="1258">
        <v>4.38</v>
      </c>
      <c r="AM39" s="1258">
        <v>4.47</v>
      </c>
      <c r="AN39" s="1258">
        <v>4.54</v>
      </c>
      <c r="AO39" s="1259">
        <v>4.5999999999999996</v>
      </c>
      <c r="AP39" s="1257">
        <v>4.6399999999999997</v>
      </c>
      <c r="AQ39" s="1258">
        <v>4.68</v>
      </c>
      <c r="AR39" s="1258">
        <v>4.71</v>
      </c>
      <c r="AS39" s="1258">
        <v>4.7300000000000004</v>
      </c>
      <c r="AT39" s="1258">
        <v>4.74</v>
      </c>
      <c r="AU39" s="1258">
        <v>4.75</v>
      </c>
      <c r="AV39" s="1258">
        <v>4.76</v>
      </c>
      <c r="AW39" s="1258">
        <v>4.76</v>
      </c>
      <c r="AX39" s="1258">
        <v>4.76</v>
      </c>
      <c r="AY39" s="1259"/>
      <c r="AZ39" s="1257"/>
      <c r="BA39" s="1258"/>
      <c r="BB39" s="1258"/>
      <c r="BC39" s="1258"/>
      <c r="BD39" s="1258"/>
      <c r="BE39" s="1258"/>
      <c r="BF39" s="1258"/>
      <c r="BG39" s="1258"/>
      <c r="BH39" s="1258"/>
      <c r="BI39" s="1259"/>
      <c r="BJ39" s="1257"/>
      <c r="BK39" s="1258"/>
      <c r="BL39" s="1258"/>
      <c r="BM39" s="1258"/>
      <c r="BN39" s="1258"/>
      <c r="BO39" s="1258"/>
      <c r="BP39" s="1258"/>
      <c r="BQ39" s="1258"/>
      <c r="BR39" s="1258"/>
      <c r="BS39" s="1259"/>
      <c r="BT39" s="1257"/>
      <c r="BU39" s="1258"/>
      <c r="BV39" s="1258"/>
      <c r="BW39" s="1258"/>
      <c r="BX39" s="1258"/>
      <c r="BY39" s="1258"/>
      <c r="BZ39" s="1258"/>
      <c r="CA39" s="1258"/>
      <c r="CB39" s="1258"/>
      <c r="CC39" s="1259"/>
      <c r="CD39" s="1258"/>
      <c r="CE39" s="1258"/>
      <c r="CF39" s="1259"/>
      <c r="CH39" s="1515" t="str">
        <f t="shared" si="0"/>
        <v>WPTPDF50</v>
      </c>
      <c r="CI39" s="1176">
        <v>50</v>
      </c>
      <c r="CJ39" s="1257"/>
      <c r="CK39" s="1258">
        <v>0.04</v>
      </c>
      <c r="CL39" s="1258">
        <v>7.0000000000000007E-2</v>
      </c>
      <c r="CM39" s="1258">
        <v>0.1</v>
      </c>
      <c r="CN39" s="1258">
        <v>0.12</v>
      </c>
      <c r="CO39" s="1258">
        <v>0.15</v>
      </c>
      <c r="CP39" s="1258">
        <v>0.18</v>
      </c>
      <c r="CQ39" s="1258">
        <v>0.22</v>
      </c>
      <c r="CR39" s="1259">
        <v>0.25</v>
      </c>
      <c r="CS39" s="1257">
        <v>0.28999999999999998</v>
      </c>
      <c r="CT39" s="1258">
        <v>0.33</v>
      </c>
      <c r="CU39" s="1258">
        <v>0.37</v>
      </c>
      <c r="CV39" s="1258">
        <v>0.42</v>
      </c>
      <c r="CW39" s="1258">
        <v>0.47</v>
      </c>
      <c r="CX39" s="1258">
        <v>0.52</v>
      </c>
      <c r="CY39" s="1258">
        <v>0.57999999999999996</v>
      </c>
      <c r="CZ39" s="1258">
        <v>0.64</v>
      </c>
      <c r="DA39" s="1258">
        <v>0.71</v>
      </c>
      <c r="DB39" s="1259">
        <v>0.79</v>
      </c>
      <c r="DC39" s="1257">
        <v>0.87</v>
      </c>
      <c r="DD39" s="1258">
        <v>0.95</v>
      </c>
      <c r="DE39" s="1258">
        <v>1.05</v>
      </c>
      <c r="DF39" s="1258">
        <v>1.1499999999999999</v>
      </c>
      <c r="DG39" s="1258">
        <v>1.26</v>
      </c>
      <c r="DH39" s="1258">
        <v>1.38</v>
      </c>
      <c r="DI39" s="1258">
        <v>1.5</v>
      </c>
      <c r="DJ39" s="1258">
        <v>1.64</v>
      </c>
      <c r="DK39" s="1258">
        <v>1.78</v>
      </c>
      <c r="DL39" s="1259">
        <v>1.93</v>
      </c>
      <c r="DM39" s="1257">
        <v>2.12</v>
      </c>
      <c r="DN39" s="1258">
        <v>2.2999999999999998</v>
      </c>
      <c r="DO39" s="1258">
        <v>2.46</v>
      </c>
      <c r="DP39" s="1258">
        <v>2.61</v>
      </c>
      <c r="DQ39" s="1258">
        <v>2.73</v>
      </c>
      <c r="DR39" s="1258">
        <v>2.85</v>
      </c>
      <c r="DS39" s="1258">
        <v>2.95</v>
      </c>
      <c r="DT39" s="1258">
        <v>3.04</v>
      </c>
      <c r="DU39" s="1258">
        <v>3.11</v>
      </c>
      <c r="DV39" s="1259">
        <v>3.17</v>
      </c>
      <c r="DW39" s="1257">
        <v>3.22</v>
      </c>
      <c r="DX39" s="1258">
        <v>3.26</v>
      </c>
      <c r="DY39" s="1258">
        <v>3.3</v>
      </c>
      <c r="DZ39" s="1258">
        <v>3.32</v>
      </c>
      <c r="EA39" s="1258">
        <v>3.34</v>
      </c>
      <c r="EB39" s="1258">
        <v>3.35</v>
      </c>
      <c r="EC39" s="1258">
        <v>3.36</v>
      </c>
      <c r="ED39" s="1258">
        <v>3.37</v>
      </c>
      <c r="EE39" s="1258">
        <v>3.37</v>
      </c>
      <c r="EF39" s="1259"/>
      <c r="EG39" s="1257"/>
      <c r="EH39" s="1258"/>
      <c r="EI39" s="1258"/>
      <c r="EJ39" s="1258"/>
      <c r="EK39" s="1258"/>
      <c r="EL39" s="1258"/>
      <c r="EM39" s="1258"/>
      <c r="EN39" s="1258"/>
      <c r="EO39" s="1258"/>
      <c r="EP39" s="1259"/>
      <c r="EQ39" s="1257"/>
      <c r="ER39" s="1258"/>
      <c r="ES39" s="1258"/>
      <c r="ET39" s="1258"/>
      <c r="EU39" s="1258"/>
      <c r="EV39" s="1258"/>
      <c r="EW39" s="1258"/>
      <c r="EX39" s="1258"/>
      <c r="EY39" s="1258"/>
      <c r="EZ39" s="1259"/>
      <c r="FA39" s="1257"/>
      <c r="FB39" s="1258"/>
      <c r="FC39" s="1258"/>
      <c r="FD39" s="1258"/>
      <c r="FE39" s="1258"/>
      <c r="FF39" s="1258"/>
      <c r="FG39" s="1258"/>
      <c r="FH39" s="1258"/>
      <c r="FI39" s="1258"/>
      <c r="FJ39" s="1259"/>
      <c r="FK39" s="1258"/>
      <c r="FL39" s="1258"/>
      <c r="FM39" s="1259"/>
    </row>
    <row r="40" spans="1:169" s="1516" customFormat="1" ht="12.5">
      <c r="A40" s="1515" t="s">
        <v>1401</v>
      </c>
      <c r="B40" s="1177">
        <v>51</v>
      </c>
      <c r="C40" s="1260"/>
      <c r="D40" s="1261">
        <v>0.11</v>
      </c>
      <c r="E40" s="1261">
        <v>0.18</v>
      </c>
      <c r="F40" s="1261">
        <v>0.24</v>
      </c>
      <c r="G40" s="1261">
        <v>0.31</v>
      </c>
      <c r="H40" s="1261">
        <v>0.38</v>
      </c>
      <c r="I40" s="1261">
        <v>0.45</v>
      </c>
      <c r="J40" s="1261">
        <v>0.53</v>
      </c>
      <c r="K40" s="1262">
        <v>0.61</v>
      </c>
      <c r="L40" s="1260">
        <v>0.7</v>
      </c>
      <c r="M40" s="1261">
        <v>0.79</v>
      </c>
      <c r="N40" s="1261">
        <v>0.88</v>
      </c>
      <c r="O40" s="1261">
        <v>0.98</v>
      </c>
      <c r="P40" s="1261">
        <v>1.0900000000000001</v>
      </c>
      <c r="Q40" s="1261">
        <v>1.2</v>
      </c>
      <c r="R40" s="1261">
        <v>1.32</v>
      </c>
      <c r="S40" s="1261">
        <v>1.44</v>
      </c>
      <c r="T40" s="1261">
        <v>1.57</v>
      </c>
      <c r="U40" s="1262">
        <v>1.71</v>
      </c>
      <c r="V40" s="1260">
        <v>1.86</v>
      </c>
      <c r="W40" s="1261">
        <v>2.0099999999999998</v>
      </c>
      <c r="X40" s="1261">
        <v>2.1800000000000002</v>
      </c>
      <c r="Y40" s="1261">
        <v>2.35</v>
      </c>
      <c r="Z40" s="1261">
        <v>2.52</v>
      </c>
      <c r="AA40" s="1261">
        <v>2.7</v>
      </c>
      <c r="AB40" s="1261">
        <v>2.89</v>
      </c>
      <c r="AC40" s="1261">
        <v>3.08</v>
      </c>
      <c r="AD40" s="1261">
        <v>3.28</v>
      </c>
      <c r="AE40" s="1262">
        <v>3.52</v>
      </c>
      <c r="AF40" s="1260">
        <v>3.74</v>
      </c>
      <c r="AG40" s="1261">
        <v>3.93</v>
      </c>
      <c r="AH40" s="1261">
        <v>4.0999999999999996</v>
      </c>
      <c r="AI40" s="1261">
        <v>4.24</v>
      </c>
      <c r="AJ40" s="1261">
        <v>4.37</v>
      </c>
      <c r="AK40" s="1261">
        <v>4.4800000000000004</v>
      </c>
      <c r="AL40" s="1261">
        <v>4.57</v>
      </c>
      <c r="AM40" s="1261">
        <v>4.6399999999999997</v>
      </c>
      <c r="AN40" s="1261">
        <v>4.71</v>
      </c>
      <c r="AO40" s="1262">
        <v>4.75</v>
      </c>
      <c r="AP40" s="1260">
        <v>4.79</v>
      </c>
      <c r="AQ40" s="1261">
        <v>4.82</v>
      </c>
      <c r="AR40" s="1261">
        <v>4.84</v>
      </c>
      <c r="AS40" s="1261">
        <v>4.8600000000000003</v>
      </c>
      <c r="AT40" s="1261">
        <v>4.87</v>
      </c>
      <c r="AU40" s="1261">
        <v>4.87</v>
      </c>
      <c r="AV40" s="1261">
        <v>4.88</v>
      </c>
      <c r="AW40" s="1261">
        <v>4.88</v>
      </c>
      <c r="AX40" s="1261"/>
      <c r="AY40" s="1262"/>
      <c r="AZ40" s="1260"/>
      <c r="BA40" s="1261"/>
      <c r="BB40" s="1261"/>
      <c r="BC40" s="1261"/>
      <c r="BD40" s="1261"/>
      <c r="BE40" s="1261"/>
      <c r="BF40" s="1261"/>
      <c r="BG40" s="1261"/>
      <c r="BH40" s="1261"/>
      <c r="BI40" s="1262"/>
      <c r="BJ40" s="1260"/>
      <c r="BK40" s="1261"/>
      <c r="BL40" s="1261"/>
      <c r="BM40" s="1261"/>
      <c r="BN40" s="1261"/>
      <c r="BO40" s="1261"/>
      <c r="BP40" s="1261"/>
      <c r="BQ40" s="1261"/>
      <c r="BR40" s="1261"/>
      <c r="BS40" s="1262"/>
      <c r="BT40" s="1260"/>
      <c r="BU40" s="1261"/>
      <c r="BV40" s="1261"/>
      <c r="BW40" s="1261"/>
      <c r="BX40" s="1261"/>
      <c r="BY40" s="1261"/>
      <c r="BZ40" s="1261"/>
      <c r="CA40" s="1261"/>
      <c r="CB40" s="1261"/>
      <c r="CC40" s="1262"/>
      <c r="CD40" s="1261"/>
      <c r="CE40" s="1261"/>
      <c r="CF40" s="1262"/>
      <c r="CH40" s="1515" t="str">
        <f t="shared" si="0"/>
        <v>WPTPDF51</v>
      </c>
      <c r="CI40" s="1177">
        <v>51</v>
      </c>
      <c r="CJ40" s="1260"/>
      <c r="CK40" s="1261">
        <v>0.05</v>
      </c>
      <c r="CL40" s="1261">
        <v>0.08</v>
      </c>
      <c r="CM40" s="1261">
        <v>0.1</v>
      </c>
      <c r="CN40" s="1261">
        <v>0.13</v>
      </c>
      <c r="CO40" s="1261">
        <v>0.17</v>
      </c>
      <c r="CP40" s="1261">
        <v>0.2</v>
      </c>
      <c r="CQ40" s="1261">
        <v>0.24</v>
      </c>
      <c r="CR40" s="1262">
        <v>0.28000000000000003</v>
      </c>
      <c r="CS40" s="1260">
        <v>0.32</v>
      </c>
      <c r="CT40" s="1261">
        <v>0.36</v>
      </c>
      <c r="CU40" s="1261">
        <v>0.41</v>
      </c>
      <c r="CV40" s="1261">
        <v>0.46</v>
      </c>
      <c r="CW40" s="1261">
        <v>0.52</v>
      </c>
      <c r="CX40" s="1261">
        <v>0.57999999999999996</v>
      </c>
      <c r="CY40" s="1261">
        <v>0.64</v>
      </c>
      <c r="CZ40" s="1261">
        <v>0.71</v>
      </c>
      <c r="DA40" s="1261">
        <v>0.79</v>
      </c>
      <c r="DB40" s="1262">
        <v>0.87</v>
      </c>
      <c r="DC40" s="1260">
        <v>0.96</v>
      </c>
      <c r="DD40" s="1261">
        <v>1.06</v>
      </c>
      <c r="DE40" s="1261">
        <v>1.1599999999999999</v>
      </c>
      <c r="DF40" s="1261">
        <v>1.28</v>
      </c>
      <c r="DG40" s="1261">
        <v>1.4</v>
      </c>
      <c r="DH40" s="1261">
        <v>1.53</v>
      </c>
      <c r="DI40" s="1261">
        <v>1.67</v>
      </c>
      <c r="DJ40" s="1261">
        <v>1.82</v>
      </c>
      <c r="DK40" s="1261">
        <v>1.98</v>
      </c>
      <c r="DL40" s="1262">
        <v>2.17</v>
      </c>
      <c r="DM40" s="1260">
        <v>2.36</v>
      </c>
      <c r="DN40" s="1261">
        <v>2.52</v>
      </c>
      <c r="DO40" s="1261">
        <v>2.68</v>
      </c>
      <c r="DP40" s="1261">
        <v>2.81</v>
      </c>
      <c r="DQ40" s="1261">
        <v>2.93</v>
      </c>
      <c r="DR40" s="1261">
        <v>3.03</v>
      </c>
      <c r="DS40" s="1261">
        <v>3.12</v>
      </c>
      <c r="DT40" s="1261">
        <v>3.2</v>
      </c>
      <c r="DU40" s="1261">
        <v>3.27</v>
      </c>
      <c r="DV40" s="1262">
        <v>3.32</v>
      </c>
      <c r="DW40" s="1260">
        <v>3.36</v>
      </c>
      <c r="DX40" s="1261">
        <v>3.39</v>
      </c>
      <c r="DY40" s="1261">
        <v>3.42</v>
      </c>
      <c r="DZ40" s="1261">
        <v>3.44</v>
      </c>
      <c r="EA40" s="1261">
        <v>3.45</v>
      </c>
      <c r="EB40" s="1261">
        <v>3.46</v>
      </c>
      <c r="EC40" s="1261">
        <v>3.47</v>
      </c>
      <c r="ED40" s="1261">
        <v>3.47</v>
      </c>
      <c r="EE40" s="1261"/>
      <c r="EF40" s="1262"/>
      <c r="EG40" s="1260"/>
      <c r="EH40" s="1261"/>
      <c r="EI40" s="1261"/>
      <c r="EJ40" s="1261"/>
      <c r="EK40" s="1261"/>
      <c r="EL40" s="1261"/>
      <c r="EM40" s="1261"/>
      <c r="EN40" s="1261"/>
      <c r="EO40" s="1261"/>
      <c r="EP40" s="1262"/>
      <c r="EQ40" s="1260"/>
      <c r="ER40" s="1261"/>
      <c r="ES40" s="1261"/>
      <c r="ET40" s="1261"/>
      <c r="EU40" s="1261"/>
      <c r="EV40" s="1261"/>
      <c r="EW40" s="1261"/>
      <c r="EX40" s="1261"/>
      <c r="EY40" s="1261"/>
      <c r="EZ40" s="1262"/>
      <c r="FA40" s="1260"/>
      <c r="FB40" s="1261"/>
      <c r="FC40" s="1261"/>
      <c r="FD40" s="1261"/>
      <c r="FE40" s="1261"/>
      <c r="FF40" s="1261"/>
      <c r="FG40" s="1261"/>
      <c r="FH40" s="1261"/>
      <c r="FI40" s="1261"/>
      <c r="FJ40" s="1262"/>
      <c r="FK40" s="1261"/>
      <c r="FL40" s="1261"/>
      <c r="FM40" s="1262"/>
    </row>
    <row r="41" spans="1:169" s="1516" customFormat="1" ht="12.5">
      <c r="A41" s="1515" t="s">
        <v>1402</v>
      </c>
      <c r="B41" s="1176">
        <v>52</v>
      </c>
      <c r="C41" s="1257"/>
      <c r="D41" s="1258">
        <v>0.12</v>
      </c>
      <c r="E41" s="1258">
        <v>0.19</v>
      </c>
      <c r="F41" s="1258">
        <v>0.26</v>
      </c>
      <c r="G41" s="1258">
        <v>0.33</v>
      </c>
      <c r="H41" s="1258">
        <v>0.41</v>
      </c>
      <c r="I41" s="1258">
        <v>0.49</v>
      </c>
      <c r="J41" s="1258">
        <v>0.56999999999999995</v>
      </c>
      <c r="K41" s="1259">
        <v>0.66</v>
      </c>
      <c r="L41" s="1257">
        <v>0.75</v>
      </c>
      <c r="M41" s="1258">
        <v>0.85</v>
      </c>
      <c r="N41" s="1258">
        <v>0.95</v>
      </c>
      <c r="O41" s="1258">
        <v>1.06</v>
      </c>
      <c r="P41" s="1258">
        <v>1.18</v>
      </c>
      <c r="Q41" s="1258">
        <v>1.3</v>
      </c>
      <c r="R41" s="1258">
        <v>1.43</v>
      </c>
      <c r="S41" s="1258">
        <v>1.57</v>
      </c>
      <c r="T41" s="1258">
        <v>1.71</v>
      </c>
      <c r="U41" s="1259">
        <v>1.86</v>
      </c>
      <c r="V41" s="1257">
        <v>2.02</v>
      </c>
      <c r="W41" s="1258">
        <v>2.19</v>
      </c>
      <c r="X41" s="1258">
        <v>2.36</v>
      </c>
      <c r="Y41" s="1258">
        <v>2.5499999999999998</v>
      </c>
      <c r="Z41" s="1258">
        <v>2.73</v>
      </c>
      <c r="AA41" s="1258">
        <v>2.93</v>
      </c>
      <c r="AB41" s="1258">
        <v>3.13</v>
      </c>
      <c r="AC41" s="1258">
        <v>3.33</v>
      </c>
      <c r="AD41" s="1258">
        <v>3.58</v>
      </c>
      <c r="AE41" s="1259">
        <v>3.81</v>
      </c>
      <c r="AF41" s="1257">
        <v>4.01</v>
      </c>
      <c r="AG41" s="1258">
        <v>4.18</v>
      </c>
      <c r="AH41" s="1258">
        <v>4.34</v>
      </c>
      <c r="AI41" s="1258">
        <v>4.47</v>
      </c>
      <c r="AJ41" s="1258">
        <v>4.58</v>
      </c>
      <c r="AK41" s="1258">
        <v>4.68</v>
      </c>
      <c r="AL41" s="1258">
        <v>4.76</v>
      </c>
      <c r="AM41" s="1258">
        <v>4.82</v>
      </c>
      <c r="AN41" s="1258">
        <v>4.87</v>
      </c>
      <c r="AO41" s="1259">
        <v>4.91</v>
      </c>
      <c r="AP41" s="1257">
        <v>4.9400000000000004</v>
      </c>
      <c r="AQ41" s="1258">
        <v>4.96</v>
      </c>
      <c r="AR41" s="1258">
        <v>4.9800000000000004</v>
      </c>
      <c r="AS41" s="1258">
        <v>4.99</v>
      </c>
      <c r="AT41" s="1258">
        <v>5</v>
      </c>
      <c r="AU41" s="1258">
        <v>5</v>
      </c>
      <c r="AV41" s="1258">
        <v>5</v>
      </c>
      <c r="AW41" s="1258"/>
      <c r="AX41" s="1258"/>
      <c r="AY41" s="1259"/>
      <c r="AZ41" s="1257"/>
      <c r="BA41" s="1258"/>
      <c r="BB41" s="1258"/>
      <c r="BC41" s="1258"/>
      <c r="BD41" s="1258"/>
      <c r="BE41" s="1258"/>
      <c r="BF41" s="1258"/>
      <c r="BG41" s="1258"/>
      <c r="BH41" s="1258"/>
      <c r="BI41" s="1259"/>
      <c r="BJ41" s="1257"/>
      <c r="BK41" s="1258"/>
      <c r="BL41" s="1258"/>
      <c r="BM41" s="1258"/>
      <c r="BN41" s="1258"/>
      <c r="BO41" s="1258"/>
      <c r="BP41" s="1258"/>
      <c r="BQ41" s="1258"/>
      <c r="BR41" s="1258"/>
      <c r="BS41" s="1259"/>
      <c r="BT41" s="1257"/>
      <c r="BU41" s="1258"/>
      <c r="BV41" s="1258"/>
      <c r="BW41" s="1258"/>
      <c r="BX41" s="1258"/>
      <c r="BY41" s="1258"/>
      <c r="BZ41" s="1258"/>
      <c r="CA41" s="1258"/>
      <c r="CB41" s="1258"/>
      <c r="CC41" s="1259"/>
      <c r="CD41" s="1258"/>
      <c r="CE41" s="1258"/>
      <c r="CF41" s="1259"/>
      <c r="CH41" s="1515" t="str">
        <f t="shared" si="0"/>
        <v>WPTPDF52</v>
      </c>
      <c r="CI41" s="1176">
        <v>52</v>
      </c>
      <c r="CJ41" s="1257"/>
      <c r="CK41" s="1258">
        <v>0.05</v>
      </c>
      <c r="CL41" s="1258">
        <v>0.08</v>
      </c>
      <c r="CM41" s="1258">
        <v>0.11</v>
      </c>
      <c r="CN41" s="1258">
        <v>0.15</v>
      </c>
      <c r="CO41" s="1258">
        <v>0.18</v>
      </c>
      <c r="CP41" s="1258">
        <v>0.22</v>
      </c>
      <c r="CQ41" s="1258">
        <v>0.26</v>
      </c>
      <c r="CR41" s="1259">
        <v>0.3</v>
      </c>
      <c r="CS41" s="1257">
        <v>0.35</v>
      </c>
      <c r="CT41" s="1258">
        <v>0.4</v>
      </c>
      <c r="CU41" s="1258">
        <v>0.45</v>
      </c>
      <c r="CV41" s="1258">
        <v>0.51</v>
      </c>
      <c r="CW41" s="1258">
        <v>0.56999999999999995</v>
      </c>
      <c r="CX41" s="1258">
        <v>0.64</v>
      </c>
      <c r="CY41" s="1258">
        <v>0.71</v>
      </c>
      <c r="CZ41" s="1258">
        <v>0.79</v>
      </c>
      <c r="DA41" s="1258">
        <v>0.88</v>
      </c>
      <c r="DB41" s="1259">
        <v>0.97</v>
      </c>
      <c r="DC41" s="1257">
        <v>1.07</v>
      </c>
      <c r="DD41" s="1258">
        <v>1.18</v>
      </c>
      <c r="DE41" s="1258">
        <v>1.3</v>
      </c>
      <c r="DF41" s="1258">
        <v>1.42</v>
      </c>
      <c r="DG41" s="1258">
        <v>1.56</v>
      </c>
      <c r="DH41" s="1258">
        <v>1.7</v>
      </c>
      <c r="DI41" s="1258">
        <v>1.86</v>
      </c>
      <c r="DJ41" s="1258">
        <v>2.02</v>
      </c>
      <c r="DK41" s="1258">
        <v>2.23</v>
      </c>
      <c r="DL41" s="1259">
        <v>2.42</v>
      </c>
      <c r="DM41" s="1257">
        <v>2.59</v>
      </c>
      <c r="DN41" s="1258">
        <v>2.75</v>
      </c>
      <c r="DO41" s="1258">
        <v>2.89</v>
      </c>
      <c r="DP41" s="1258">
        <v>3.01</v>
      </c>
      <c r="DQ41" s="1258">
        <v>3.12</v>
      </c>
      <c r="DR41" s="1258">
        <v>3.22</v>
      </c>
      <c r="DS41" s="1258">
        <v>3.3</v>
      </c>
      <c r="DT41" s="1258">
        <v>3.36</v>
      </c>
      <c r="DU41" s="1258">
        <v>3.42</v>
      </c>
      <c r="DV41" s="1259">
        <v>3.46</v>
      </c>
      <c r="DW41" s="1257">
        <v>3.5</v>
      </c>
      <c r="DX41" s="1258">
        <v>3.52</v>
      </c>
      <c r="DY41" s="1258">
        <v>3.54</v>
      </c>
      <c r="DZ41" s="1258">
        <v>3.56</v>
      </c>
      <c r="EA41" s="1258">
        <v>3.57</v>
      </c>
      <c r="EB41" s="1258">
        <v>3.57</v>
      </c>
      <c r="EC41" s="1258">
        <v>3.58</v>
      </c>
      <c r="ED41" s="1258"/>
      <c r="EE41" s="1258"/>
      <c r="EF41" s="1259"/>
      <c r="EG41" s="1257"/>
      <c r="EH41" s="1258"/>
      <c r="EI41" s="1258"/>
      <c r="EJ41" s="1258"/>
      <c r="EK41" s="1258"/>
      <c r="EL41" s="1258"/>
      <c r="EM41" s="1258"/>
      <c r="EN41" s="1258"/>
      <c r="EO41" s="1258"/>
      <c r="EP41" s="1259"/>
      <c r="EQ41" s="1257"/>
      <c r="ER41" s="1258"/>
      <c r="ES41" s="1258"/>
      <c r="ET41" s="1258"/>
      <c r="EU41" s="1258"/>
      <c r="EV41" s="1258"/>
      <c r="EW41" s="1258"/>
      <c r="EX41" s="1258"/>
      <c r="EY41" s="1258"/>
      <c r="EZ41" s="1259"/>
      <c r="FA41" s="1257"/>
      <c r="FB41" s="1258"/>
      <c r="FC41" s="1258"/>
      <c r="FD41" s="1258"/>
      <c r="FE41" s="1258"/>
      <c r="FF41" s="1258"/>
      <c r="FG41" s="1258"/>
      <c r="FH41" s="1258"/>
      <c r="FI41" s="1258"/>
      <c r="FJ41" s="1259"/>
      <c r="FK41" s="1258"/>
      <c r="FL41" s="1258"/>
      <c r="FM41" s="1259"/>
    </row>
    <row r="42" spans="1:169" s="1516" customFormat="1" ht="12.5">
      <c r="A42" s="1515" t="s">
        <v>1403</v>
      </c>
      <c r="B42" s="1176">
        <v>53</v>
      </c>
      <c r="C42" s="1257"/>
      <c r="D42" s="1258">
        <v>0.13</v>
      </c>
      <c r="E42" s="1258">
        <v>0.2</v>
      </c>
      <c r="F42" s="1258">
        <v>0.28000000000000003</v>
      </c>
      <c r="G42" s="1258">
        <v>0.36</v>
      </c>
      <c r="H42" s="1258">
        <v>0.44</v>
      </c>
      <c r="I42" s="1258">
        <v>0.53</v>
      </c>
      <c r="J42" s="1258">
        <v>0.62</v>
      </c>
      <c r="K42" s="1259">
        <v>0.71</v>
      </c>
      <c r="L42" s="1257">
        <v>0.81</v>
      </c>
      <c r="M42" s="1258">
        <v>0.92</v>
      </c>
      <c r="N42" s="1258">
        <v>1.03</v>
      </c>
      <c r="O42" s="1258">
        <v>1.1499999999999999</v>
      </c>
      <c r="P42" s="1258">
        <v>1.28</v>
      </c>
      <c r="Q42" s="1258">
        <v>1.41</v>
      </c>
      <c r="R42" s="1258">
        <v>1.55</v>
      </c>
      <c r="S42" s="1258">
        <v>1.7</v>
      </c>
      <c r="T42" s="1258">
        <v>1.86</v>
      </c>
      <c r="U42" s="1259">
        <v>2.02</v>
      </c>
      <c r="V42" s="1257">
        <v>2.2000000000000002</v>
      </c>
      <c r="W42" s="1258">
        <v>2.38</v>
      </c>
      <c r="X42" s="1258">
        <v>2.57</v>
      </c>
      <c r="Y42" s="1258">
        <v>2.76</v>
      </c>
      <c r="Z42" s="1258">
        <v>2.97</v>
      </c>
      <c r="AA42" s="1258">
        <v>3.17</v>
      </c>
      <c r="AB42" s="1258">
        <v>3.38</v>
      </c>
      <c r="AC42" s="1258">
        <v>3.64</v>
      </c>
      <c r="AD42" s="1258">
        <v>3.88</v>
      </c>
      <c r="AE42" s="1259">
        <v>4.09</v>
      </c>
      <c r="AF42" s="1257">
        <v>4.2699999999999996</v>
      </c>
      <c r="AG42" s="1258">
        <v>4.4400000000000004</v>
      </c>
      <c r="AH42" s="1258">
        <v>4.57</v>
      </c>
      <c r="AI42" s="1258">
        <v>4.6900000000000004</v>
      </c>
      <c r="AJ42" s="1258">
        <v>4.79</v>
      </c>
      <c r="AK42" s="1258">
        <v>4.87</v>
      </c>
      <c r="AL42" s="1258">
        <v>4.9400000000000004</v>
      </c>
      <c r="AM42" s="1258">
        <v>4.99</v>
      </c>
      <c r="AN42" s="1258">
        <v>5.03</v>
      </c>
      <c r="AO42" s="1259">
        <v>5.0599999999999996</v>
      </c>
      <c r="AP42" s="1257">
        <v>5.09</v>
      </c>
      <c r="AQ42" s="1258">
        <v>5.0999999999999996</v>
      </c>
      <c r="AR42" s="1258">
        <v>5.1100000000000003</v>
      </c>
      <c r="AS42" s="1258">
        <v>5.12</v>
      </c>
      <c r="AT42" s="1258">
        <v>5.13</v>
      </c>
      <c r="AU42" s="1258">
        <v>5.13</v>
      </c>
      <c r="AV42" s="1258"/>
      <c r="AW42" s="1258"/>
      <c r="AX42" s="1258"/>
      <c r="AY42" s="1259"/>
      <c r="AZ42" s="1257"/>
      <c r="BA42" s="1258"/>
      <c r="BB42" s="1258"/>
      <c r="BC42" s="1258"/>
      <c r="BD42" s="1258"/>
      <c r="BE42" s="1258"/>
      <c r="BF42" s="1258"/>
      <c r="BG42" s="1258"/>
      <c r="BH42" s="1258"/>
      <c r="BI42" s="1259"/>
      <c r="BJ42" s="1257"/>
      <c r="BK42" s="1258"/>
      <c r="BL42" s="1258"/>
      <c r="BM42" s="1258"/>
      <c r="BN42" s="1258"/>
      <c r="BO42" s="1258"/>
      <c r="BP42" s="1258"/>
      <c r="BQ42" s="1258"/>
      <c r="BR42" s="1258"/>
      <c r="BS42" s="1259"/>
      <c r="BT42" s="1257"/>
      <c r="BU42" s="1258"/>
      <c r="BV42" s="1258"/>
      <c r="BW42" s="1258"/>
      <c r="BX42" s="1258"/>
      <c r="BY42" s="1258"/>
      <c r="BZ42" s="1258"/>
      <c r="CA42" s="1258"/>
      <c r="CB42" s="1258"/>
      <c r="CC42" s="1259"/>
      <c r="CD42" s="1258"/>
      <c r="CE42" s="1258"/>
      <c r="CF42" s="1259"/>
      <c r="CH42" s="1515" t="str">
        <f t="shared" si="0"/>
        <v>WPTPDF53</v>
      </c>
      <c r="CI42" s="1176">
        <v>53</v>
      </c>
      <c r="CJ42" s="1257"/>
      <c r="CK42" s="1258">
        <v>0.06</v>
      </c>
      <c r="CL42" s="1258">
        <v>0.09</v>
      </c>
      <c r="CM42" s="1258">
        <v>0.13</v>
      </c>
      <c r="CN42" s="1258">
        <v>0.16</v>
      </c>
      <c r="CO42" s="1258">
        <v>0.2</v>
      </c>
      <c r="CP42" s="1258">
        <v>0.24</v>
      </c>
      <c r="CQ42" s="1258">
        <v>0.28999999999999998</v>
      </c>
      <c r="CR42" s="1259">
        <v>0.34</v>
      </c>
      <c r="CS42" s="1257">
        <v>0.39</v>
      </c>
      <c r="CT42" s="1258">
        <v>0.44</v>
      </c>
      <c r="CU42" s="1258">
        <v>0.5</v>
      </c>
      <c r="CV42" s="1258">
        <v>0.56999999999999995</v>
      </c>
      <c r="CW42" s="1258">
        <v>0.64</v>
      </c>
      <c r="CX42" s="1258">
        <v>0.71</v>
      </c>
      <c r="CY42" s="1258">
        <v>0.79</v>
      </c>
      <c r="CZ42" s="1258">
        <v>0.88</v>
      </c>
      <c r="DA42" s="1258">
        <v>0.98</v>
      </c>
      <c r="DB42" s="1259">
        <v>1.08</v>
      </c>
      <c r="DC42" s="1257">
        <v>1.19</v>
      </c>
      <c r="DD42" s="1258">
        <v>1.32</v>
      </c>
      <c r="DE42" s="1258">
        <v>1.45</v>
      </c>
      <c r="DF42" s="1258">
        <v>1.59</v>
      </c>
      <c r="DG42" s="1258">
        <v>1.74</v>
      </c>
      <c r="DH42" s="1258">
        <v>1.9</v>
      </c>
      <c r="DI42" s="1258">
        <v>2.06</v>
      </c>
      <c r="DJ42" s="1258">
        <v>2.2799999999999998</v>
      </c>
      <c r="DK42" s="1258">
        <v>2.48</v>
      </c>
      <c r="DL42" s="1259">
        <v>2.66</v>
      </c>
      <c r="DM42" s="1257">
        <v>2.82</v>
      </c>
      <c r="DN42" s="1258">
        <v>2.97</v>
      </c>
      <c r="DO42" s="1258">
        <v>3.1</v>
      </c>
      <c r="DP42" s="1258">
        <v>3.21</v>
      </c>
      <c r="DQ42" s="1258">
        <v>3.31</v>
      </c>
      <c r="DR42" s="1258">
        <v>3.4</v>
      </c>
      <c r="DS42" s="1258">
        <v>3.47</v>
      </c>
      <c r="DT42" s="1258">
        <v>3.52</v>
      </c>
      <c r="DU42" s="1258">
        <v>3.57</v>
      </c>
      <c r="DV42" s="1259">
        <v>3.61</v>
      </c>
      <c r="DW42" s="1257">
        <v>3.63</v>
      </c>
      <c r="DX42" s="1258">
        <v>3.65</v>
      </c>
      <c r="DY42" s="1258">
        <v>3.67</v>
      </c>
      <c r="DZ42" s="1258">
        <v>3.68</v>
      </c>
      <c r="EA42" s="1258">
        <v>3.68</v>
      </c>
      <c r="EB42" s="1258">
        <v>3.69</v>
      </c>
      <c r="EC42" s="1258"/>
      <c r="ED42" s="1258"/>
      <c r="EE42" s="1258"/>
      <c r="EF42" s="1259"/>
      <c r="EG42" s="1257"/>
      <c r="EH42" s="1258"/>
      <c r="EI42" s="1258"/>
      <c r="EJ42" s="1258"/>
      <c r="EK42" s="1258"/>
      <c r="EL42" s="1258"/>
      <c r="EM42" s="1258"/>
      <c r="EN42" s="1258"/>
      <c r="EO42" s="1258"/>
      <c r="EP42" s="1259"/>
      <c r="EQ42" s="1257"/>
      <c r="ER42" s="1258"/>
      <c r="ES42" s="1258"/>
      <c r="ET42" s="1258"/>
      <c r="EU42" s="1258"/>
      <c r="EV42" s="1258"/>
      <c r="EW42" s="1258"/>
      <c r="EX42" s="1258"/>
      <c r="EY42" s="1258"/>
      <c r="EZ42" s="1259"/>
      <c r="FA42" s="1257"/>
      <c r="FB42" s="1258"/>
      <c r="FC42" s="1258"/>
      <c r="FD42" s="1258"/>
      <c r="FE42" s="1258"/>
      <c r="FF42" s="1258"/>
      <c r="FG42" s="1258"/>
      <c r="FH42" s="1258"/>
      <c r="FI42" s="1258"/>
      <c r="FJ42" s="1259"/>
      <c r="FK42" s="1258"/>
      <c r="FL42" s="1258"/>
      <c r="FM42" s="1259"/>
    </row>
    <row r="43" spans="1:169" s="1516" customFormat="1" ht="12.5">
      <c r="A43" s="1515" t="s">
        <v>1404</v>
      </c>
      <c r="B43" s="1176">
        <v>54</v>
      </c>
      <c r="C43" s="1257"/>
      <c r="D43" s="1258">
        <v>0.14000000000000001</v>
      </c>
      <c r="E43" s="1258">
        <v>0.22</v>
      </c>
      <c r="F43" s="1258">
        <v>0.3</v>
      </c>
      <c r="G43" s="1258">
        <v>0.39</v>
      </c>
      <c r="H43" s="1258">
        <v>0.47</v>
      </c>
      <c r="I43" s="1258">
        <v>0.56999999999999995</v>
      </c>
      <c r="J43" s="1258">
        <v>0.67</v>
      </c>
      <c r="K43" s="1259">
        <v>0.77</v>
      </c>
      <c r="L43" s="1257">
        <v>0.88</v>
      </c>
      <c r="M43" s="1258">
        <v>1</v>
      </c>
      <c r="N43" s="1258">
        <v>1.1200000000000001</v>
      </c>
      <c r="O43" s="1258">
        <v>1.25</v>
      </c>
      <c r="P43" s="1258">
        <v>1.39</v>
      </c>
      <c r="Q43" s="1258">
        <v>1.54</v>
      </c>
      <c r="R43" s="1258">
        <v>1.69</v>
      </c>
      <c r="S43" s="1258">
        <v>1.85</v>
      </c>
      <c r="T43" s="1258">
        <v>2.0299999999999998</v>
      </c>
      <c r="U43" s="1259">
        <v>2.2000000000000002</v>
      </c>
      <c r="V43" s="1257">
        <v>2.39</v>
      </c>
      <c r="W43" s="1258">
        <v>2.59</v>
      </c>
      <c r="X43" s="1258">
        <v>2.79</v>
      </c>
      <c r="Y43" s="1258">
        <v>3</v>
      </c>
      <c r="Z43" s="1258">
        <v>3.21</v>
      </c>
      <c r="AA43" s="1258">
        <v>3.43</v>
      </c>
      <c r="AB43" s="1258">
        <v>3.71</v>
      </c>
      <c r="AC43" s="1258">
        <v>3.95</v>
      </c>
      <c r="AD43" s="1258">
        <v>4.17</v>
      </c>
      <c r="AE43" s="1259">
        <v>4.37</v>
      </c>
      <c r="AF43" s="1257">
        <v>4.54</v>
      </c>
      <c r="AG43" s="1258">
        <v>4.68</v>
      </c>
      <c r="AH43" s="1258">
        <v>4.8</v>
      </c>
      <c r="AI43" s="1258">
        <v>4.91</v>
      </c>
      <c r="AJ43" s="1258">
        <v>4.99</v>
      </c>
      <c r="AK43" s="1258">
        <v>5.0599999999999996</v>
      </c>
      <c r="AL43" s="1258">
        <v>5.12</v>
      </c>
      <c r="AM43" s="1258">
        <v>5.16</v>
      </c>
      <c r="AN43" s="1258">
        <v>5.19</v>
      </c>
      <c r="AO43" s="1259">
        <v>5.22</v>
      </c>
      <c r="AP43" s="1257">
        <v>5.23</v>
      </c>
      <c r="AQ43" s="1258">
        <v>5.25</v>
      </c>
      <c r="AR43" s="1258">
        <v>5.25</v>
      </c>
      <c r="AS43" s="1258">
        <v>5.26</v>
      </c>
      <c r="AT43" s="1258">
        <v>5.26</v>
      </c>
      <c r="AU43" s="1258"/>
      <c r="AV43" s="1258"/>
      <c r="AW43" s="1258"/>
      <c r="AX43" s="1258"/>
      <c r="AY43" s="1259"/>
      <c r="AZ43" s="1257"/>
      <c r="BA43" s="1258"/>
      <c r="BB43" s="1258"/>
      <c r="BC43" s="1258"/>
      <c r="BD43" s="1258"/>
      <c r="BE43" s="1258"/>
      <c r="BF43" s="1258"/>
      <c r="BG43" s="1258"/>
      <c r="BH43" s="1258"/>
      <c r="BI43" s="1259"/>
      <c r="BJ43" s="1257"/>
      <c r="BK43" s="1258"/>
      <c r="BL43" s="1258"/>
      <c r="BM43" s="1258"/>
      <c r="BN43" s="1258"/>
      <c r="BO43" s="1258"/>
      <c r="BP43" s="1258"/>
      <c r="BQ43" s="1258"/>
      <c r="BR43" s="1258"/>
      <c r="BS43" s="1259"/>
      <c r="BT43" s="1257"/>
      <c r="BU43" s="1258"/>
      <c r="BV43" s="1258"/>
      <c r="BW43" s="1258"/>
      <c r="BX43" s="1258"/>
      <c r="BY43" s="1258"/>
      <c r="BZ43" s="1258"/>
      <c r="CA43" s="1258"/>
      <c r="CB43" s="1258"/>
      <c r="CC43" s="1259"/>
      <c r="CD43" s="1258"/>
      <c r="CE43" s="1258"/>
      <c r="CF43" s="1259"/>
      <c r="CH43" s="1515" t="str">
        <f t="shared" si="0"/>
        <v>WPTPDF54</v>
      </c>
      <c r="CI43" s="1176">
        <v>54</v>
      </c>
      <c r="CJ43" s="1257"/>
      <c r="CK43" s="1258">
        <v>0.06</v>
      </c>
      <c r="CL43" s="1258">
        <v>0.1</v>
      </c>
      <c r="CM43" s="1258">
        <v>0.14000000000000001</v>
      </c>
      <c r="CN43" s="1258">
        <v>0.18</v>
      </c>
      <c r="CO43" s="1258">
        <v>0.22</v>
      </c>
      <c r="CP43" s="1258">
        <v>0.27</v>
      </c>
      <c r="CQ43" s="1258">
        <v>0.32</v>
      </c>
      <c r="CR43" s="1259">
        <v>0.37</v>
      </c>
      <c r="CS43" s="1257">
        <v>0.43</v>
      </c>
      <c r="CT43" s="1258">
        <v>0.49</v>
      </c>
      <c r="CU43" s="1258">
        <v>0.56000000000000005</v>
      </c>
      <c r="CV43" s="1258">
        <v>0.63</v>
      </c>
      <c r="CW43" s="1258">
        <v>0.71</v>
      </c>
      <c r="CX43" s="1258">
        <v>0.79</v>
      </c>
      <c r="CY43" s="1258">
        <v>0.88</v>
      </c>
      <c r="CZ43" s="1258">
        <v>0.98</v>
      </c>
      <c r="DA43" s="1258">
        <v>1.0900000000000001</v>
      </c>
      <c r="DB43" s="1259">
        <v>1.21</v>
      </c>
      <c r="DC43" s="1257">
        <v>1.33</v>
      </c>
      <c r="DD43" s="1258">
        <v>1.47</v>
      </c>
      <c r="DE43" s="1258">
        <v>1.62</v>
      </c>
      <c r="DF43" s="1258">
        <v>1.77</v>
      </c>
      <c r="DG43" s="1258">
        <v>1.94</v>
      </c>
      <c r="DH43" s="1258">
        <v>2.11</v>
      </c>
      <c r="DI43" s="1258">
        <v>2.33</v>
      </c>
      <c r="DJ43" s="1258">
        <v>2.54</v>
      </c>
      <c r="DK43" s="1258">
        <v>2.73</v>
      </c>
      <c r="DL43" s="1259">
        <v>2.9</v>
      </c>
      <c r="DM43" s="1257">
        <v>3.06</v>
      </c>
      <c r="DN43" s="1258">
        <v>3.19</v>
      </c>
      <c r="DO43" s="1258">
        <v>3.31</v>
      </c>
      <c r="DP43" s="1258">
        <v>3.41</v>
      </c>
      <c r="DQ43" s="1258">
        <v>3.5</v>
      </c>
      <c r="DR43" s="1258">
        <v>3.57</v>
      </c>
      <c r="DS43" s="1258">
        <v>3.63</v>
      </c>
      <c r="DT43" s="1258">
        <v>3.68</v>
      </c>
      <c r="DU43" s="1258">
        <v>3.72</v>
      </c>
      <c r="DV43" s="1259">
        <v>3.75</v>
      </c>
      <c r="DW43" s="1257">
        <v>3.77</v>
      </c>
      <c r="DX43" s="1258">
        <v>3.78</v>
      </c>
      <c r="DY43" s="1258">
        <v>3.79</v>
      </c>
      <c r="DZ43" s="1258">
        <v>3.8</v>
      </c>
      <c r="EA43" s="1258">
        <v>3.81</v>
      </c>
      <c r="EB43" s="1258"/>
      <c r="EC43" s="1258"/>
      <c r="ED43" s="1258"/>
      <c r="EE43" s="1258"/>
      <c r="EF43" s="1259"/>
      <c r="EG43" s="1257"/>
      <c r="EH43" s="1258"/>
      <c r="EI43" s="1258"/>
      <c r="EJ43" s="1258"/>
      <c r="EK43" s="1258"/>
      <c r="EL43" s="1258"/>
      <c r="EM43" s="1258"/>
      <c r="EN43" s="1258"/>
      <c r="EO43" s="1258"/>
      <c r="EP43" s="1259"/>
      <c r="EQ43" s="1257"/>
      <c r="ER43" s="1258"/>
      <c r="ES43" s="1258"/>
      <c r="ET43" s="1258"/>
      <c r="EU43" s="1258"/>
      <c r="EV43" s="1258"/>
      <c r="EW43" s="1258"/>
      <c r="EX43" s="1258"/>
      <c r="EY43" s="1258"/>
      <c r="EZ43" s="1259"/>
      <c r="FA43" s="1257"/>
      <c r="FB43" s="1258"/>
      <c r="FC43" s="1258"/>
      <c r="FD43" s="1258"/>
      <c r="FE43" s="1258"/>
      <c r="FF43" s="1258"/>
      <c r="FG43" s="1258"/>
      <c r="FH43" s="1258"/>
      <c r="FI43" s="1258"/>
      <c r="FJ43" s="1259"/>
      <c r="FK43" s="1258"/>
      <c r="FL43" s="1258"/>
      <c r="FM43" s="1259"/>
    </row>
    <row r="44" spans="1:169" s="1516" customFormat="1" ht="12.5">
      <c r="A44" s="1515" t="s">
        <v>1405</v>
      </c>
      <c r="B44" s="1178">
        <v>55</v>
      </c>
      <c r="C44" s="1263"/>
      <c r="D44" s="1264">
        <v>0.15</v>
      </c>
      <c r="E44" s="1264">
        <v>0.24</v>
      </c>
      <c r="F44" s="1264">
        <v>0.33</v>
      </c>
      <c r="G44" s="1264">
        <v>0.42</v>
      </c>
      <c r="H44" s="1264">
        <v>0.51</v>
      </c>
      <c r="I44" s="1264">
        <v>0.62</v>
      </c>
      <c r="J44" s="1264">
        <v>0.72</v>
      </c>
      <c r="K44" s="1265">
        <v>0.84</v>
      </c>
      <c r="L44" s="1263">
        <v>0.96</v>
      </c>
      <c r="M44" s="1264">
        <v>1.0900000000000001</v>
      </c>
      <c r="N44" s="1264">
        <v>1.22</v>
      </c>
      <c r="O44" s="1264">
        <v>1.37</v>
      </c>
      <c r="P44" s="1264">
        <v>1.52</v>
      </c>
      <c r="Q44" s="1264">
        <v>1.68</v>
      </c>
      <c r="R44" s="1264">
        <v>1.84</v>
      </c>
      <c r="S44" s="1264">
        <v>2.02</v>
      </c>
      <c r="T44" s="1264">
        <v>2.21</v>
      </c>
      <c r="U44" s="1265">
        <v>2.4</v>
      </c>
      <c r="V44" s="1263">
        <v>2.61</v>
      </c>
      <c r="W44" s="1264">
        <v>2.82</v>
      </c>
      <c r="X44" s="1264">
        <v>3.04</v>
      </c>
      <c r="Y44" s="1264">
        <v>3.26</v>
      </c>
      <c r="Z44" s="1264">
        <v>3.48</v>
      </c>
      <c r="AA44" s="1264">
        <v>3.77</v>
      </c>
      <c r="AB44" s="1264">
        <v>4.03</v>
      </c>
      <c r="AC44" s="1264">
        <v>4.26</v>
      </c>
      <c r="AD44" s="1264">
        <v>4.46</v>
      </c>
      <c r="AE44" s="1265">
        <v>4.6399999999999997</v>
      </c>
      <c r="AF44" s="1263">
        <v>4.79</v>
      </c>
      <c r="AG44" s="1264">
        <v>4.92</v>
      </c>
      <c r="AH44" s="1264">
        <v>5.03</v>
      </c>
      <c r="AI44" s="1264">
        <v>5.12</v>
      </c>
      <c r="AJ44" s="1264">
        <v>5.19</v>
      </c>
      <c r="AK44" s="1264">
        <v>5.25</v>
      </c>
      <c r="AL44" s="1264">
        <v>5.29</v>
      </c>
      <c r="AM44" s="1264">
        <v>5.33</v>
      </c>
      <c r="AN44" s="1264">
        <v>5.35</v>
      </c>
      <c r="AO44" s="1265">
        <v>5.37</v>
      </c>
      <c r="AP44" s="1263">
        <v>5.38</v>
      </c>
      <c r="AQ44" s="1264">
        <v>5.39</v>
      </c>
      <c r="AR44" s="1264">
        <v>5.4</v>
      </c>
      <c r="AS44" s="1264">
        <v>5.4</v>
      </c>
      <c r="AT44" s="1264"/>
      <c r="AU44" s="1264"/>
      <c r="AV44" s="1264"/>
      <c r="AW44" s="1264"/>
      <c r="AX44" s="1264"/>
      <c r="AY44" s="1265"/>
      <c r="AZ44" s="1263"/>
      <c r="BA44" s="1264"/>
      <c r="BB44" s="1264"/>
      <c r="BC44" s="1264"/>
      <c r="BD44" s="1264"/>
      <c r="BE44" s="1264"/>
      <c r="BF44" s="1264"/>
      <c r="BG44" s="1264"/>
      <c r="BH44" s="1264"/>
      <c r="BI44" s="1265"/>
      <c r="BJ44" s="1263"/>
      <c r="BK44" s="1264"/>
      <c r="BL44" s="1264"/>
      <c r="BM44" s="1264"/>
      <c r="BN44" s="1264"/>
      <c r="BO44" s="1264"/>
      <c r="BP44" s="1264"/>
      <c r="BQ44" s="1264"/>
      <c r="BR44" s="1264"/>
      <c r="BS44" s="1265"/>
      <c r="BT44" s="1263"/>
      <c r="BU44" s="1264"/>
      <c r="BV44" s="1264"/>
      <c r="BW44" s="1264"/>
      <c r="BX44" s="1264"/>
      <c r="BY44" s="1264"/>
      <c r="BZ44" s="1264"/>
      <c r="CA44" s="1264"/>
      <c r="CB44" s="1264"/>
      <c r="CC44" s="1265"/>
      <c r="CD44" s="1264"/>
      <c r="CE44" s="1264"/>
      <c r="CF44" s="1265"/>
      <c r="CH44" s="1515" t="str">
        <f t="shared" si="0"/>
        <v>WPTPDF55</v>
      </c>
      <c r="CI44" s="1178">
        <v>55</v>
      </c>
      <c r="CJ44" s="1263"/>
      <c r="CK44" s="1264">
        <v>7.0000000000000007E-2</v>
      </c>
      <c r="CL44" s="1264">
        <v>0.11</v>
      </c>
      <c r="CM44" s="1264">
        <v>0.15</v>
      </c>
      <c r="CN44" s="1264">
        <v>0.2</v>
      </c>
      <c r="CO44" s="1264">
        <v>0.25</v>
      </c>
      <c r="CP44" s="1264">
        <v>0.3</v>
      </c>
      <c r="CQ44" s="1264">
        <v>0.35</v>
      </c>
      <c r="CR44" s="1265">
        <v>0.41</v>
      </c>
      <c r="CS44" s="1263">
        <v>0.48</v>
      </c>
      <c r="CT44" s="1264">
        <v>0.55000000000000004</v>
      </c>
      <c r="CU44" s="1264">
        <v>0.62</v>
      </c>
      <c r="CV44" s="1264">
        <v>0.7</v>
      </c>
      <c r="CW44" s="1264">
        <v>0.79</v>
      </c>
      <c r="CX44" s="1264">
        <v>0.88</v>
      </c>
      <c r="CY44" s="1264">
        <v>0.99</v>
      </c>
      <c r="CZ44" s="1264">
        <v>1.1000000000000001</v>
      </c>
      <c r="DA44" s="1264">
        <v>1.22</v>
      </c>
      <c r="DB44" s="1265">
        <v>1.35</v>
      </c>
      <c r="DC44" s="1263">
        <v>1.49</v>
      </c>
      <c r="DD44" s="1264">
        <v>1.64</v>
      </c>
      <c r="DE44" s="1264">
        <v>1.8</v>
      </c>
      <c r="DF44" s="1264">
        <v>1.98</v>
      </c>
      <c r="DG44" s="1264">
        <v>2.15</v>
      </c>
      <c r="DH44" s="1264">
        <v>2.39</v>
      </c>
      <c r="DI44" s="1264">
        <v>2.61</v>
      </c>
      <c r="DJ44" s="1264">
        <v>2.81</v>
      </c>
      <c r="DK44" s="1264">
        <v>2.99</v>
      </c>
      <c r="DL44" s="1265">
        <v>3.15</v>
      </c>
      <c r="DM44" s="1263">
        <v>3.29</v>
      </c>
      <c r="DN44" s="1264">
        <v>3.41</v>
      </c>
      <c r="DO44" s="1264">
        <v>3.52</v>
      </c>
      <c r="DP44" s="1264">
        <v>3.61</v>
      </c>
      <c r="DQ44" s="1264">
        <v>3.69</v>
      </c>
      <c r="DR44" s="1264">
        <v>3.75</v>
      </c>
      <c r="DS44" s="1264">
        <v>3.8</v>
      </c>
      <c r="DT44" s="1264">
        <v>3.84</v>
      </c>
      <c r="DU44" s="1264">
        <v>3.87</v>
      </c>
      <c r="DV44" s="1265">
        <v>3.89</v>
      </c>
      <c r="DW44" s="1263">
        <v>3.91</v>
      </c>
      <c r="DX44" s="1264">
        <v>3.92</v>
      </c>
      <c r="DY44" s="1264">
        <v>3.92</v>
      </c>
      <c r="DZ44" s="1264">
        <v>3.93</v>
      </c>
      <c r="EA44" s="1264"/>
      <c r="EB44" s="1264"/>
      <c r="EC44" s="1264"/>
      <c r="ED44" s="1264"/>
      <c r="EE44" s="1264"/>
      <c r="EF44" s="1265"/>
      <c r="EG44" s="1263"/>
      <c r="EH44" s="1264"/>
      <c r="EI44" s="1264"/>
      <c r="EJ44" s="1264"/>
      <c r="EK44" s="1264"/>
      <c r="EL44" s="1264"/>
      <c r="EM44" s="1264"/>
      <c r="EN44" s="1264"/>
      <c r="EO44" s="1264"/>
      <c r="EP44" s="1265"/>
      <c r="EQ44" s="1263"/>
      <c r="ER44" s="1264"/>
      <c r="ES44" s="1264"/>
      <c r="ET44" s="1264"/>
      <c r="EU44" s="1264"/>
      <c r="EV44" s="1264"/>
      <c r="EW44" s="1264"/>
      <c r="EX44" s="1264"/>
      <c r="EY44" s="1264"/>
      <c r="EZ44" s="1265"/>
      <c r="FA44" s="1263"/>
      <c r="FB44" s="1264"/>
      <c r="FC44" s="1264"/>
      <c r="FD44" s="1264"/>
      <c r="FE44" s="1264"/>
      <c r="FF44" s="1264"/>
      <c r="FG44" s="1264"/>
      <c r="FH44" s="1264"/>
      <c r="FI44" s="1264"/>
      <c r="FJ44" s="1265"/>
      <c r="FK44" s="1264"/>
      <c r="FL44" s="1264"/>
      <c r="FM44" s="1265"/>
    </row>
    <row r="45" spans="1:169" s="1516" customFormat="1" ht="12.5">
      <c r="A45" s="1515" t="s">
        <v>1406</v>
      </c>
      <c r="B45" s="1176">
        <v>56</v>
      </c>
      <c r="C45" s="1257"/>
      <c r="D45" s="1258">
        <v>0.17</v>
      </c>
      <c r="E45" s="1258">
        <v>0.26</v>
      </c>
      <c r="F45" s="1258">
        <v>0.35</v>
      </c>
      <c r="G45" s="1258">
        <v>0.45</v>
      </c>
      <c r="H45" s="1258">
        <v>0.56000000000000005</v>
      </c>
      <c r="I45" s="1258">
        <v>0.67</v>
      </c>
      <c r="J45" s="1258">
        <v>0.79</v>
      </c>
      <c r="K45" s="1259">
        <v>0.91</v>
      </c>
      <c r="L45" s="1257">
        <v>1.05</v>
      </c>
      <c r="M45" s="1258">
        <v>1.19</v>
      </c>
      <c r="N45" s="1258">
        <v>1.33</v>
      </c>
      <c r="O45" s="1258">
        <v>1.49</v>
      </c>
      <c r="P45" s="1258">
        <v>1.66</v>
      </c>
      <c r="Q45" s="1258">
        <v>1.83</v>
      </c>
      <c r="R45" s="1258">
        <v>2.02</v>
      </c>
      <c r="S45" s="1258">
        <v>2.21</v>
      </c>
      <c r="T45" s="1258">
        <v>2.41</v>
      </c>
      <c r="U45" s="1259">
        <v>2.62</v>
      </c>
      <c r="V45" s="1257">
        <v>2.84</v>
      </c>
      <c r="W45" s="1258">
        <v>3.07</v>
      </c>
      <c r="X45" s="1258">
        <v>3.3</v>
      </c>
      <c r="Y45" s="1258">
        <v>3.53</v>
      </c>
      <c r="Z45" s="1258">
        <v>3.84</v>
      </c>
      <c r="AA45" s="1258">
        <v>4.1100000000000003</v>
      </c>
      <c r="AB45" s="1258">
        <v>4.3499999999999996</v>
      </c>
      <c r="AC45" s="1258">
        <v>4.5599999999999996</v>
      </c>
      <c r="AD45" s="1258">
        <v>4.75</v>
      </c>
      <c r="AE45" s="1259">
        <v>4.9000000000000004</v>
      </c>
      <c r="AF45" s="1257">
        <v>5.04</v>
      </c>
      <c r="AG45" s="1258">
        <v>5.15</v>
      </c>
      <c r="AH45" s="1258">
        <v>5.25</v>
      </c>
      <c r="AI45" s="1258">
        <v>5.32</v>
      </c>
      <c r="AJ45" s="1258">
        <v>5.38</v>
      </c>
      <c r="AK45" s="1258">
        <v>5.43</v>
      </c>
      <c r="AL45" s="1258">
        <v>5.47</v>
      </c>
      <c r="AM45" s="1258">
        <v>5.49</v>
      </c>
      <c r="AN45" s="1258">
        <v>5.51</v>
      </c>
      <c r="AO45" s="1259">
        <v>5.53</v>
      </c>
      <c r="AP45" s="1257">
        <v>5.53</v>
      </c>
      <c r="AQ45" s="1258">
        <v>5.54</v>
      </c>
      <c r="AR45" s="1258">
        <v>5.54</v>
      </c>
      <c r="AS45" s="1258"/>
      <c r="AT45" s="1258"/>
      <c r="AU45" s="1258"/>
      <c r="AV45" s="1258"/>
      <c r="AW45" s="1258"/>
      <c r="AX45" s="1258"/>
      <c r="AY45" s="1259"/>
      <c r="AZ45" s="1257"/>
      <c r="BA45" s="1258"/>
      <c r="BB45" s="1258"/>
      <c r="BC45" s="1258"/>
      <c r="BD45" s="1258"/>
      <c r="BE45" s="1258"/>
      <c r="BF45" s="1258"/>
      <c r="BG45" s="1258"/>
      <c r="BH45" s="1258"/>
      <c r="BI45" s="1259"/>
      <c r="BJ45" s="1257"/>
      <c r="BK45" s="1258"/>
      <c r="BL45" s="1258"/>
      <c r="BM45" s="1258"/>
      <c r="BN45" s="1258"/>
      <c r="BO45" s="1258"/>
      <c r="BP45" s="1258"/>
      <c r="BQ45" s="1258"/>
      <c r="BR45" s="1258"/>
      <c r="BS45" s="1259"/>
      <c r="BT45" s="1257"/>
      <c r="BU45" s="1258"/>
      <c r="BV45" s="1258"/>
      <c r="BW45" s="1258"/>
      <c r="BX45" s="1258"/>
      <c r="BY45" s="1258"/>
      <c r="BZ45" s="1258"/>
      <c r="CA45" s="1258"/>
      <c r="CB45" s="1258"/>
      <c r="CC45" s="1259"/>
      <c r="CD45" s="1258"/>
      <c r="CE45" s="1258"/>
      <c r="CF45" s="1259"/>
      <c r="CH45" s="1515" t="str">
        <f t="shared" si="0"/>
        <v>WPTPDF56</v>
      </c>
      <c r="CI45" s="1176">
        <v>56</v>
      </c>
      <c r="CJ45" s="1257"/>
      <c r="CK45" s="1258">
        <v>0.08</v>
      </c>
      <c r="CL45" s="1258">
        <v>0.12</v>
      </c>
      <c r="CM45" s="1258">
        <v>0.17</v>
      </c>
      <c r="CN45" s="1258">
        <v>0.22</v>
      </c>
      <c r="CO45" s="1258">
        <v>0.27</v>
      </c>
      <c r="CP45" s="1258">
        <v>0.33</v>
      </c>
      <c r="CQ45" s="1258">
        <v>0.39</v>
      </c>
      <c r="CR45" s="1259">
        <v>0.46</v>
      </c>
      <c r="CS45" s="1257">
        <v>0.53</v>
      </c>
      <c r="CT45" s="1258">
        <v>0.61</v>
      </c>
      <c r="CU45" s="1258">
        <v>0.69</v>
      </c>
      <c r="CV45" s="1258">
        <v>0.78</v>
      </c>
      <c r="CW45" s="1258">
        <v>0.88</v>
      </c>
      <c r="CX45" s="1258">
        <v>0.99</v>
      </c>
      <c r="CY45" s="1258">
        <v>1.1000000000000001</v>
      </c>
      <c r="CZ45" s="1258">
        <v>1.23</v>
      </c>
      <c r="DA45" s="1258">
        <v>1.37</v>
      </c>
      <c r="DB45" s="1259">
        <v>1.51</v>
      </c>
      <c r="DC45" s="1257">
        <v>1.67</v>
      </c>
      <c r="DD45" s="1258">
        <v>1.84</v>
      </c>
      <c r="DE45" s="1258">
        <v>2.0099999999999998</v>
      </c>
      <c r="DF45" s="1258">
        <v>2.2000000000000002</v>
      </c>
      <c r="DG45" s="1258">
        <v>2.4500000000000002</v>
      </c>
      <c r="DH45" s="1258">
        <v>2.68</v>
      </c>
      <c r="DI45" s="1258">
        <v>2.88</v>
      </c>
      <c r="DJ45" s="1258">
        <v>3.07</v>
      </c>
      <c r="DK45" s="1258">
        <v>3.24</v>
      </c>
      <c r="DL45" s="1259">
        <v>3.39</v>
      </c>
      <c r="DM45" s="1257">
        <v>3.52</v>
      </c>
      <c r="DN45" s="1258">
        <v>3.63</v>
      </c>
      <c r="DO45" s="1258">
        <v>3.72</v>
      </c>
      <c r="DP45" s="1258">
        <v>3.8</v>
      </c>
      <c r="DQ45" s="1258">
        <v>3.87</v>
      </c>
      <c r="DR45" s="1258">
        <v>3.92</v>
      </c>
      <c r="DS45" s="1258">
        <v>3.96</v>
      </c>
      <c r="DT45" s="1258">
        <v>3.99</v>
      </c>
      <c r="DU45" s="1258">
        <v>4.0199999999999996</v>
      </c>
      <c r="DV45" s="1259">
        <v>4.03</v>
      </c>
      <c r="DW45" s="1257">
        <v>4.05</v>
      </c>
      <c r="DX45" s="1258">
        <v>4.05</v>
      </c>
      <c r="DY45" s="1258">
        <v>4.0599999999999996</v>
      </c>
      <c r="DZ45" s="1258"/>
      <c r="EA45" s="1258"/>
      <c r="EB45" s="1258"/>
      <c r="EC45" s="1258"/>
      <c r="ED45" s="1258"/>
      <c r="EE45" s="1258"/>
      <c r="EF45" s="1259"/>
      <c r="EG45" s="1257"/>
      <c r="EH45" s="1258"/>
      <c r="EI45" s="1258"/>
      <c r="EJ45" s="1258"/>
      <c r="EK45" s="1258"/>
      <c r="EL45" s="1258"/>
      <c r="EM45" s="1258"/>
      <c r="EN45" s="1258"/>
      <c r="EO45" s="1258"/>
      <c r="EP45" s="1259"/>
      <c r="EQ45" s="1257"/>
      <c r="ER45" s="1258"/>
      <c r="ES45" s="1258"/>
      <c r="ET45" s="1258"/>
      <c r="EU45" s="1258"/>
      <c r="EV45" s="1258"/>
      <c r="EW45" s="1258"/>
      <c r="EX45" s="1258"/>
      <c r="EY45" s="1258"/>
      <c r="EZ45" s="1259"/>
      <c r="FA45" s="1257"/>
      <c r="FB45" s="1258"/>
      <c r="FC45" s="1258"/>
      <c r="FD45" s="1258"/>
      <c r="FE45" s="1258"/>
      <c r="FF45" s="1258"/>
      <c r="FG45" s="1258"/>
      <c r="FH45" s="1258"/>
      <c r="FI45" s="1258"/>
      <c r="FJ45" s="1259"/>
      <c r="FK45" s="1258"/>
      <c r="FL45" s="1258"/>
      <c r="FM45" s="1259"/>
    </row>
    <row r="46" spans="1:169" s="1516" customFormat="1" ht="12.5">
      <c r="A46" s="1515" t="s">
        <v>1407</v>
      </c>
      <c r="B46" s="1176">
        <v>57</v>
      </c>
      <c r="C46" s="1257"/>
      <c r="D46" s="1258">
        <v>0.18</v>
      </c>
      <c r="E46" s="1258">
        <v>0.28000000000000003</v>
      </c>
      <c r="F46" s="1258">
        <v>0.38</v>
      </c>
      <c r="G46" s="1258">
        <v>0.49</v>
      </c>
      <c r="H46" s="1258">
        <v>0.61</v>
      </c>
      <c r="I46" s="1258">
        <v>0.73</v>
      </c>
      <c r="J46" s="1258">
        <v>0.86</v>
      </c>
      <c r="K46" s="1259">
        <v>1</v>
      </c>
      <c r="L46" s="1257">
        <v>1.1399999999999999</v>
      </c>
      <c r="M46" s="1258">
        <v>1.3</v>
      </c>
      <c r="N46" s="1258">
        <v>1.46</v>
      </c>
      <c r="O46" s="1258">
        <v>1.63</v>
      </c>
      <c r="P46" s="1258">
        <v>1.81</v>
      </c>
      <c r="Q46" s="1258">
        <v>2</v>
      </c>
      <c r="R46" s="1258">
        <v>2.21</v>
      </c>
      <c r="S46" s="1258">
        <v>2.42</v>
      </c>
      <c r="T46" s="1258">
        <v>2.64</v>
      </c>
      <c r="U46" s="1259">
        <v>2.86</v>
      </c>
      <c r="V46" s="1257">
        <v>3.1</v>
      </c>
      <c r="W46" s="1258">
        <v>3.34</v>
      </c>
      <c r="X46" s="1258">
        <v>3.58</v>
      </c>
      <c r="Y46" s="1258">
        <v>3.9</v>
      </c>
      <c r="Z46" s="1258">
        <v>4.1900000000000004</v>
      </c>
      <c r="AA46" s="1258">
        <v>4.4400000000000004</v>
      </c>
      <c r="AB46" s="1258">
        <v>4.66</v>
      </c>
      <c r="AC46" s="1258">
        <v>4.8600000000000003</v>
      </c>
      <c r="AD46" s="1258">
        <v>5.0199999999999996</v>
      </c>
      <c r="AE46" s="1259">
        <v>5.17</v>
      </c>
      <c r="AF46" s="1257">
        <v>5.28</v>
      </c>
      <c r="AG46" s="1258">
        <v>5.38</v>
      </c>
      <c r="AH46" s="1258">
        <v>5.46</v>
      </c>
      <c r="AI46" s="1258">
        <v>5.53</v>
      </c>
      <c r="AJ46" s="1258">
        <v>5.58</v>
      </c>
      <c r="AK46" s="1258">
        <v>5.61</v>
      </c>
      <c r="AL46" s="1258">
        <v>5.64</v>
      </c>
      <c r="AM46" s="1258">
        <v>5.66</v>
      </c>
      <c r="AN46" s="1258">
        <v>5.68</v>
      </c>
      <c r="AO46" s="1259">
        <v>5.68</v>
      </c>
      <c r="AP46" s="1257">
        <v>5.69</v>
      </c>
      <c r="AQ46" s="1258">
        <v>5.69</v>
      </c>
      <c r="AR46" s="1258"/>
      <c r="AS46" s="1258"/>
      <c r="AT46" s="1258"/>
      <c r="AU46" s="1258"/>
      <c r="AV46" s="1258"/>
      <c r="AW46" s="1258"/>
      <c r="AX46" s="1258"/>
      <c r="AY46" s="1259"/>
      <c r="AZ46" s="1257"/>
      <c r="BA46" s="1258"/>
      <c r="BB46" s="1258"/>
      <c r="BC46" s="1258"/>
      <c r="BD46" s="1258"/>
      <c r="BE46" s="1258"/>
      <c r="BF46" s="1258"/>
      <c r="BG46" s="1258"/>
      <c r="BH46" s="1258"/>
      <c r="BI46" s="1259"/>
      <c r="BJ46" s="1257"/>
      <c r="BK46" s="1258"/>
      <c r="BL46" s="1258"/>
      <c r="BM46" s="1258"/>
      <c r="BN46" s="1258"/>
      <c r="BO46" s="1258"/>
      <c r="BP46" s="1258"/>
      <c r="BQ46" s="1258"/>
      <c r="BR46" s="1258"/>
      <c r="BS46" s="1259"/>
      <c r="BT46" s="1257"/>
      <c r="BU46" s="1258"/>
      <c r="BV46" s="1258"/>
      <c r="BW46" s="1258"/>
      <c r="BX46" s="1258"/>
      <c r="BY46" s="1258"/>
      <c r="BZ46" s="1258"/>
      <c r="CA46" s="1258"/>
      <c r="CB46" s="1258"/>
      <c r="CC46" s="1259"/>
      <c r="CD46" s="1258"/>
      <c r="CE46" s="1258"/>
      <c r="CF46" s="1259"/>
      <c r="CH46" s="1515" t="str">
        <f t="shared" si="0"/>
        <v>WPTPDF57</v>
      </c>
      <c r="CI46" s="1176">
        <v>57</v>
      </c>
      <c r="CJ46" s="1257"/>
      <c r="CK46" s="1258">
        <v>0.09</v>
      </c>
      <c r="CL46" s="1258">
        <v>0.14000000000000001</v>
      </c>
      <c r="CM46" s="1258">
        <v>0.19</v>
      </c>
      <c r="CN46" s="1258">
        <v>0.24</v>
      </c>
      <c r="CO46" s="1258">
        <v>0.3</v>
      </c>
      <c r="CP46" s="1258">
        <v>0.37</v>
      </c>
      <c r="CQ46" s="1258">
        <v>0.44</v>
      </c>
      <c r="CR46" s="1259">
        <v>0.51</v>
      </c>
      <c r="CS46" s="1257">
        <v>0.59</v>
      </c>
      <c r="CT46" s="1258">
        <v>0.68</v>
      </c>
      <c r="CU46" s="1258">
        <v>0.77</v>
      </c>
      <c r="CV46" s="1258">
        <v>0.87</v>
      </c>
      <c r="CW46" s="1258">
        <v>0.98</v>
      </c>
      <c r="CX46" s="1258">
        <v>1.1100000000000001</v>
      </c>
      <c r="CY46" s="1258">
        <v>1.24</v>
      </c>
      <c r="CZ46" s="1258">
        <v>1.38</v>
      </c>
      <c r="DA46" s="1258">
        <v>1.53</v>
      </c>
      <c r="DB46" s="1259">
        <v>1.69</v>
      </c>
      <c r="DC46" s="1257">
        <v>1.87</v>
      </c>
      <c r="DD46" s="1258">
        <v>2.0499999999999998</v>
      </c>
      <c r="DE46" s="1258">
        <v>2.25</v>
      </c>
      <c r="DF46" s="1258">
        <v>2.5099999999999998</v>
      </c>
      <c r="DG46" s="1258">
        <v>2.74</v>
      </c>
      <c r="DH46" s="1258">
        <v>2.96</v>
      </c>
      <c r="DI46" s="1258">
        <v>3.16</v>
      </c>
      <c r="DJ46" s="1258">
        <v>3.33</v>
      </c>
      <c r="DK46" s="1258">
        <v>3.49</v>
      </c>
      <c r="DL46" s="1259">
        <v>3.63</v>
      </c>
      <c r="DM46" s="1257">
        <v>3.74</v>
      </c>
      <c r="DN46" s="1258">
        <v>3.84</v>
      </c>
      <c r="DO46" s="1258">
        <v>3.93</v>
      </c>
      <c r="DP46" s="1258">
        <v>4</v>
      </c>
      <c r="DQ46" s="1258">
        <v>4.05</v>
      </c>
      <c r="DR46" s="1258">
        <v>4.09</v>
      </c>
      <c r="DS46" s="1258">
        <v>4.13</v>
      </c>
      <c r="DT46" s="1258">
        <v>4.1500000000000004</v>
      </c>
      <c r="DU46" s="1258">
        <v>4.17</v>
      </c>
      <c r="DV46" s="1259">
        <v>4.18</v>
      </c>
      <c r="DW46" s="1257">
        <v>4.1900000000000004</v>
      </c>
      <c r="DX46" s="1258">
        <v>4.1900000000000004</v>
      </c>
      <c r="DY46" s="1258"/>
      <c r="DZ46" s="1258"/>
      <c r="EA46" s="1258"/>
      <c r="EB46" s="1258"/>
      <c r="EC46" s="1258"/>
      <c r="ED46" s="1258"/>
      <c r="EE46" s="1258"/>
      <c r="EF46" s="1259"/>
      <c r="EG46" s="1257"/>
      <c r="EH46" s="1258"/>
      <c r="EI46" s="1258"/>
      <c r="EJ46" s="1258"/>
      <c r="EK46" s="1258"/>
      <c r="EL46" s="1258"/>
      <c r="EM46" s="1258"/>
      <c r="EN46" s="1258"/>
      <c r="EO46" s="1258"/>
      <c r="EP46" s="1259"/>
      <c r="EQ46" s="1257"/>
      <c r="ER46" s="1258"/>
      <c r="ES46" s="1258"/>
      <c r="ET46" s="1258"/>
      <c r="EU46" s="1258"/>
      <c r="EV46" s="1258"/>
      <c r="EW46" s="1258"/>
      <c r="EX46" s="1258"/>
      <c r="EY46" s="1258"/>
      <c r="EZ46" s="1259"/>
      <c r="FA46" s="1257"/>
      <c r="FB46" s="1258"/>
      <c r="FC46" s="1258"/>
      <c r="FD46" s="1258"/>
      <c r="FE46" s="1258"/>
      <c r="FF46" s="1258"/>
      <c r="FG46" s="1258"/>
      <c r="FH46" s="1258"/>
      <c r="FI46" s="1258"/>
      <c r="FJ46" s="1259"/>
      <c r="FK46" s="1258"/>
      <c r="FL46" s="1258"/>
      <c r="FM46" s="1259"/>
    </row>
    <row r="47" spans="1:169" s="1516" customFormat="1" ht="12.5">
      <c r="A47" s="1515" t="s">
        <v>1408</v>
      </c>
      <c r="B47" s="1176">
        <v>58</v>
      </c>
      <c r="C47" s="1257"/>
      <c r="D47" s="1258">
        <v>0.2</v>
      </c>
      <c r="E47" s="1258">
        <v>0.31</v>
      </c>
      <c r="F47" s="1258">
        <v>0.42</v>
      </c>
      <c r="G47" s="1258">
        <v>0.54</v>
      </c>
      <c r="H47" s="1258">
        <v>0.67</v>
      </c>
      <c r="I47" s="1258">
        <v>0.8</v>
      </c>
      <c r="J47" s="1258">
        <v>0.94</v>
      </c>
      <c r="K47" s="1259">
        <v>1.0900000000000001</v>
      </c>
      <c r="L47" s="1257">
        <v>1.25</v>
      </c>
      <c r="M47" s="1258">
        <v>1.42</v>
      </c>
      <c r="N47" s="1258">
        <v>1.6</v>
      </c>
      <c r="O47" s="1258">
        <v>1.79</v>
      </c>
      <c r="P47" s="1258">
        <v>1.99</v>
      </c>
      <c r="Q47" s="1258">
        <v>2.2000000000000002</v>
      </c>
      <c r="R47" s="1258">
        <v>2.41</v>
      </c>
      <c r="S47" s="1258">
        <v>2.64</v>
      </c>
      <c r="T47" s="1258">
        <v>2.88</v>
      </c>
      <c r="U47" s="1259">
        <v>3.13</v>
      </c>
      <c r="V47" s="1257">
        <v>3.38</v>
      </c>
      <c r="W47" s="1258">
        <v>3.63</v>
      </c>
      <c r="X47" s="1258">
        <v>3.97</v>
      </c>
      <c r="Y47" s="1258">
        <v>4.2699999999999996</v>
      </c>
      <c r="Z47" s="1258">
        <v>4.53</v>
      </c>
      <c r="AA47" s="1258">
        <v>4.7699999999999996</v>
      </c>
      <c r="AB47" s="1258">
        <v>4.97</v>
      </c>
      <c r="AC47" s="1258">
        <v>5.15</v>
      </c>
      <c r="AD47" s="1258">
        <v>5.3</v>
      </c>
      <c r="AE47" s="1259">
        <v>5.42</v>
      </c>
      <c r="AF47" s="1257">
        <v>5.52</v>
      </c>
      <c r="AG47" s="1258">
        <v>5.61</v>
      </c>
      <c r="AH47" s="1258">
        <v>5.68</v>
      </c>
      <c r="AI47" s="1258">
        <v>5.73</v>
      </c>
      <c r="AJ47" s="1258">
        <v>5.77</v>
      </c>
      <c r="AK47" s="1258">
        <v>5.8</v>
      </c>
      <c r="AL47" s="1258">
        <v>5.82</v>
      </c>
      <c r="AM47" s="1258">
        <v>5.83</v>
      </c>
      <c r="AN47" s="1258">
        <v>5.84</v>
      </c>
      <c r="AO47" s="1259">
        <v>5.85</v>
      </c>
      <c r="AP47" s="1257">
        <v>5.85</v>
      </c>
      <c r="AQ47" s="1258"/>
      <c r="AR47" s="1258"/>
      <c r="AS47" s="1258"/>
      <c r="AT47" s="1258"/>
      <c r="AU47" s="1258"/>
      <c r="AV47" s="1258"/>
      <c r="AW47" s="1258"/>
      <c r="AX47" s="1258"/>
      <c r="AY47" s="1259"/>
      <c r="AZ47" s="1257"/>
      <c r="BA47" s="1258"/>
      <c r="BB47" s="1258"/>
      <c r="BC47" s="1258"/>
      <c r="BD47" s="1258"/>
      <c r="BE47" s="1258"/>
      <c r="BF47" s="1258"/>
      <c r="BG47" s="1258"/>
      <c r="BH47" s="1258"/>
      <c r="BI47" s="1259"/>
      <c r="BJ47" s="1257"/>
      <c r="BK47" s="1258"/>
      <c r="BL47" s="1258"/>
      <c r="BM47" s="1258"/>
      <c r="BN47" s="1258"/>
      <c r="BO47" s="1258"/>
      <c r="BP47" s="1258"/>
      <c r="BQ47" s="1258"/>
      <c r="BR47" s="1258"/>
      <c r="BS47" s="1259"/>
      <c r="BT47" s="1257"/>
      <c r="BU47" s="1258"/>
      <c r="BV47" s="1258"/>
      <c r="BW47" s="1258"/>
      <c r="BX47" s="1258"/>
      <c r="BY47" s="1258"/>
      <c r="BZ47" s="1258"/>
      <c r="CA47" s="1258"/>
      <c r="CB47" s="1258"/>
      <c r="CC47" s="1259"/>
      <c r="CD47" s="1258"/>
      <c r="CE47" s="1258"/>
      <c r="CF47" s="1259"/>
      <c r="CH47" s="1515" t="str">
        <f t="shared" si="0"/>
        <v>WPTPDF58</v>
      </c>
      <c r="CI47" s="1176">
        <v>58</v>
      </c>
      <c r="CJ47" s="1257"/>
      <c r="CK47" s="1258">
        <v>0.1</v>
      </c>
      <c r="CL47" s="1258">
        <v>0.15</v>
      </c>
      <c r="CM47" s="1258">
        <v>0.21</v>
      </c>
      <c r="CN47" s="1258">
        <v>0.27</v>
      </c>
      <c r="CO47" s="1258">
        <v>0.34</v>
      </c>
      <c r="CP47" s="1258">
        <v>0.41</v>
      </c>
      <c r="CQ47" s="1258">
        <v>0.49</v>
      </c>
      <c r="CR47" s="1259">
        <v>0.56999999999999995</v>
      </c>
      <c r="CS47" s="1257">
        <v>0.66</v>
      </c>
      <c r="CT47" s="1258">
        <v>0.76</v>
      </c>
      <c r="CU47" s="1258">
        <v>0.86</v>
      </c>
      <c r="CV47" s="1258">
        <v>0.98</v>
      </c>
      <c r="CW47" s="1258">
        <v>1.1000000000000001</v>
      </c>
      <c r="CX47" s="1258">
        <v>1.24</v>
      </c>
      <c r="CY47" s="1258">
        <v>1.39</v>
      </c>
      <c r="CZ47" s="1258">
        <v>1.55</v>
      </c>
      <c r="DA47" s="1258">
        <v>1.72</v>
      </c>
      <c r="DB47" s="1259">
        <v>1.9</v>
      </c>
      <c r="DC47" s="1257">
        <v>2.09</v>
      </c>
      <c r="DD47" s="1258">
        <v>2.29</v>
      </c>
      <c r="DE47" s="1258">
        <v>2.56</v>
      </c>
      <c r="DF47" s="1258">
        <v>2.81</v>
      </c>
      <c r="DG47" s="1258">
        <v>3.04</v>
      </c>
      <c r="DH47" s="1258">
        <v>3.25</v>
      </c>
      <c r="DI47" s="1258">
        <v>3.43</v>
      </c>
      <c r="DJ47" s="1258">
        <v>3.6</v>
      </c>
      <c r="DK47" s="1258">
        <v>3.74</v>
      </c>
      <c r="DL47" s="1259">
        <v>3.86</v>
      </c>
      <c r="DM47" s="1257">
        <v>3.97</v>
      </c>
      <c r="DN47" s="1258">
        <v>4.0599999999999996</v>
      </c>
      <c r="DO47" s="1258">
        <v>4.13</v>
      </c>
      <c r="DP47" s="1258">
        <v>4.1900000000000004</v>
      </c>
      <c r="DQ47" s="1258">
        <v>4.2300000000000004</v>
      </c>
      <c r="DR47" s="1258">
        <v>4.2699999999999996</v>
      </c>
      <c r="DS47" s="1258">
        <v>4.29</v>
      </c>
      <c r="DT47" s="1258">
        <v>4.3099999999999996</v>
      </c>
      <c r="DU47" s="1258">
        <v>4.32</v>
      </c>
      <c r="DV47" s="1259">
        <v>4.33</v>
      </c>
      <c r="DW47" s="1257">
        <v>4.34</v>
      </c>
      <c r="DX47" s="1258"/>
      <c r="DY47" s="1258"/>
      <c r="DZ47" s="1258"/>
      <c r="EA47" s="1258"/>
      <c r="EB47" s="1258"/>
      <c r="EC47" s="1258"/>
      <c r="ED47" s="1258"/>
      <c r="EE47" s="1258"/>
      <c r="EF47" s="1259"/>
      <c r="EG47" s="1257"/>
      <c r="EH47" s="1258"/>
      <c r="EI47" s="1258"/>
      <c r="EJ47" s="1258"/>
      <c r="EK47" s="1258"/>
      <c r="EL47" s="1258"/>
      <c r="EM47" s="1258"/>
      <c r="EN47" s="1258"/>
      <c r="EO47" s="1258"/>
      <c r="EP47" s="1259"/>
      <c r="EQ47" s="1257"/>
      <c r="ER47" s="1258"/>
      <c r="ES47" s="1258"/>
      <c r="ET47" s="1258"/>
      <c r="EU47" s="1258"/>
      <c r="EV47" s="1258"/>
      <c r="EW47" s="1258"/>
      <c r="EX47" s="1258"/>
      <c r="EY47" s="1258"/>
      <c r="EZ47" s="1259"/>
      <c r="FA47" s="1257"/>
      <c r="FB47" s="1258"/>
      <c r="FC47" s="1258"/>
      <c r="FD47" s="1258"/>
      <c r="FE47" s="1258"/>
      <c r="FF47" s="1258"/>
      <c r="FG47" s="1258"/>
      <c r="FH47" s="1258"/>
      <c r="FI47" s="1258"/>
      <c r="FJ47" s="1259"/>
      <c r="FK47" s="1258"/>
      <c r="FL47" s="1258"/>
      <c r="FM47" s="1259"/>
    </row>
    <row r="48" spans="1:169" s="1516" customFormat="1" ht="12.5">
      <c r="A48" s="1515" t="s">
        <v>1409</v>
      </c>
      <c r="B48" s="1176">
        <v>59</v>
      </c>
      <c r="C48" s="1257"/>
      <c r="D48" s="1258">
        <v>0.22</v>
      </c>
      <c r="E48" s="1258">
        <v>0.33</v>
      </c>
      <c r="F48" s="1258">
        <v>0.46</v>
      </c>
      <c r="G48" s="1258">
        <v>0.59</v>
      </c>
      <c r="H48" s="1258">
        <v>0.73</v>
      </c>
      <c r="I48" s="1258">
        <v>0.88</v>
      </c>
      <c r="J48" s="1258">
        <v>1.03</v>
      </c>
      <c r="K48" s="1259">
        <v>1.2</v>
      </c>
      <c r="L48" s="1257">
        <v>1.37</v>
      </c>
      <c r="M48" s="1258">
        <v>1.56</v>
      </c>
      <c r="N48" s="1258">
        <v>1.76</v>
      </c>
      <c r="O48" s="1258">
        <v>1.96</v>
      </c>
      <c r="P48" s="1258">
        <v>2.1800000000000002</v>
      </c>
      <c r="Q48" s="1258">
        <v>2.41</v>
      </c>
      <c r="R48" s="1258">
        <v>2.65</v>
      </c>
      <c r="S48" s="1258">
        <v>2.89</v>
      </c>
      <c r="T48" s="1258">
        <v>3.15</v>
      </c>
      <c r="U48" s="1259">
        <v>3.41</v>
      </c>
      <c r="V48" s="1257">
        <v>3.68</v>
      </c>
      <c r="W48" s="1258">
        <v>4.03</v>
      </c>
      <c r="X48" s="1258">
        <v>4.3499999999999996</v>
      </c>
      <c r="Y48" s="1258">
        <v>4.63</v>
      </c>
      <c r="Z48" s="1258">
        <v>4.87</v>
      </c>
      <c r="AA48" s="1258">
        <v>5.09</v>
      </c>
      <c r="AB48" s="1258">
        <v>5.27</v>
      </c>
      <c r="AC48" s="1258">
        <v>5.43</v>
      </c>
      <c r="AD48" s="1258">
        <v>5.56</v>
      </c>
      <c r="AE48" s="1259">
        <v>5.67</v>
      </c>
      <c r="AF48" s="1257">
        <v>5.76</v>
      </c>
      <c r="AG48" s="1258">
        <v>5.83</v>
      </c>
      <c r="AH48" s="1258">
        <v>5.89</v>
      </c>
      <c r="AI48" s="1258">
        <v>5.93</v>
      </c>
      <c r="AJ48" s="1258">
        <v>5.96</v>
      </c>
      <c r="AK48" s="1258">
        <v>5.98</v>
      </c>
      <c r="AL48" s="1258">
        <v>6</v>
      </c>
      <c r="AM48" s="1258">
        <v>6.01</v>
      </c>
      <c r="AN48" s="1258">
        <v>6.01</v>
      </c>
      <c r="AO48" s="1259">
        <v>6.02</v>
      </c>
      <c r="AP48" s="1257"/>
      <c r="AQ48" s="1258"/>
      <c r="AR48" s="1258"/>
      <c r="AS48" s="1258"/>
      <c r="AT48" s="1258"/>
      <c r="AU48" s="1258"/>
      <c r="AV48" s="1258"/>
      <c r="AW48" s="1258"/>
      <c r="AX48" s="1258"/>
      <c r="AY48" s="1259"/>
      <c r="AZ48" s="1257"/>
      <c r="BA48" s="1258"/>
      <c r="BB48" s="1258"/>
      <c r="BC48" s="1258"/>
      <c r="BD48" s="1258"/>
      <c r="BE48" s="1258"/>
      <c r="BF48" s="1258"/>
      <c r="BG48" s="1258"/>
      <c r="BH48" s="1258"/>
      <c r="BI48" s="1259"/>
      <c r="BJ48" s="1257"/>
      <c r="BK48" s="1258"/>
      <c r="BL48" s="1258"/>
      <c r="BM48" s="1258"/>
      <c r="BN48" s="1258"/>
      <c r="BO48" s="1258"/>
      <c r="BP48" s="1258"/>
      <c r="BQ48" s="1258"/>
      <c r="BR48" s="1258"/>
      <c r="BS48" s="1259"/>
      <c r="BT48" s="1257"/>
      <c r="BU48" s="1258"/>
      <c r="BV48" s="1258"/>
      <c r="BW48" s="1258"/>
      <c r="BX48" s="1258"/>
      <c r="BY48" s="1258"/>
      <c r="BZ48" s="1258"/>
      <c r="CA48" s="1258"/>
      <c r="CB48" s="1258"/>
      <c r="CC48" s="1259"/>
      <c r="CD48" s="1258"/>
      <c r="CE48" s="1258"/>
      <c r="CF48" s="1259"/>
      <c r="CH48" s="1515" t="str">
        <f t="shared" si="0"/>
        <v>WPTPDF59</v>
      </c>
      <c r="CI48" s="1176">
        <v>59</v>
      </c>
      <c r="CJ48" s="1257"/>
      <c r="CK48" s="1258">
        <v>0.11</v>
      </c>
      <c r="CL48" s="1258">
        <v>0.17</v>
      </c>
      <c r="CM48" s="1258">
        <v>0.23</v>
      </c>
      <c r="CN48" s="1258">
        <v>0.3</v>
      </c>
      <c r="CO48" s="1258">
        <v>0.38</v>
      </c>
      <c r="CP48" s="1258">
        <v>0.46</v>
      </c>
      <c r="CQ48" s="1258">
        <v>0.54</v>
      </c>
      <c r="CR48" s="1259">
        <v>0.64</v>
      </c>
      <c r="CS48" s="1257">
        <v>0.74</v>
      </c>
      <c r="CT48" s="1258">
        <v>0.85</v>
      </c>
      <c r="CU48" s="1258">
        <v>0.97</v>
      </c>
      <c r="CV48" s="1258">
        <v>1.1000000000000001</v>
      </c>
      <c r="CW48" s="1258">
        <v>1.24</v>
      </c>
      <c r="CX48" s="1258">
        <v>1.4</v>
      </c>
      <c r="CY48" s="1258">
        <v>1.56</v>
      </c>
      <c r="CZ48" s="1258">
        <v>1.74</v>
      </c>
      <c r="DA48" s="1258">
        <v>1.93</v>
      </c>
      <c r="DB48" s="1259">
        <v>2.13</v>
      </c>
      <c r="DC48" s="1257">
        <v>2.34</v>
      </c>
      <c r="DD48" s="1258">
        <v>2.62</v>
      </c>
      <c r="DE48" s="1258">
        <v>2.89</v>
      </c>
      <c r="DF48" s="1258">
        <v>3.13</v>
      </c>
      <c r="DG48" s="1258">
        <v>3.34</v>
      </c>
      <c r="DH48" s="1258">
        <v>3.54</v>
      </c>
      <c r="DI48" s="1258">
        <v>3.71</v>
      </c>
      <c r="DJ48" s="1258">
        <v>3.86</v>
      </c>
      <c r="DK48" s="1258">
        <v>3.99</v>
      </c>
      <c r="DL48" s="1259">
        <v>4.0999999999999996</v>
      </c>
      <c r="DM48" s="1257">
        <v>4.1900000000000004</v>
      </c>
      <c r="DN48" s="1258">
        <v>4.2699999999999996</v>
      </c>
      <c r="DO48" s="1258">
        <v>4.33</v>
      </c>
      <c r="DP48" s="1258">
        <v>4.38</v>
      </c>
      <c r="DQ48" s="1258">
        <v>4.41</v>
      </c>
      <c r="DR48" s="1258">
        <v>4.4400000000000004</v>
      </c>
      <c r="DS48" s="1258">
        <v>4.46</v>
      </c>
      <c r="DT48" s="1258">
        <v>4.47</v>
      </c>
      <c r="DU48" s="1258">
        <v>4.4800000000000004</v>
      </c>
      <c r="DV48" s="1259">
        <v>4.49</v>
      </c>
      <c r="DW48" s="1257"/>
      <c r="DX48" s="1258"/>
      <c r="DY48" s="1258"/>
      <c r="DZ48" s="1258"/>
      <c r="EA48" s="1258"/>
      <c r="EB48" s="1258"/>
      <c r="EC48" s="1258"/>
      <c r="ED48" s="1258"/>
      <c r="EE48" s="1258"/>
      <c r="EF48" s="1259"/>
      <c r="EG48" s="1257"/>
      <c r="EH48" s="1258"/>
      <c r="EI48" s="1258"/>
      <c r="EJ48" s="1258"/>
      <c r="EK48" s="1258"/>
      <c r="EL48" s="1258"/>
      <c r="EM48" s="1258"/>
      <c r="EN48" s="1258"/>
      <c r="EO48" s="1258"/>
      <c r="EP48" s="1259"/>
      <c r="EQ48" s="1257"/>
      <c r="ER48" s="1258"/>
      <c r="ES48" s="1258"/>
      <c r="ET48" s="1258"/>
      <c r="EU48" s="1258"/>
      <c r="EV48" s="1258"/>
      <c r="EW48" s="1258"/>
      <c r="EX48" s="1258"/>
      <c r="EY48" s="1258"/>
      <c r="EZ48" s="1259"/>
      <c r="FA48" s="1257"/>
      <c r="FB48" s="1258"/>
      <c r="FC48" s="1258"/>
      <c r="FD48" s="1258"/>
      <c r="FE48" s="1258"/>
      <c r="FF48" s="1258"/>
      <c r="FG48" s="1258"/>
      <c r="FH48" s="1258"/>
      <c r="FI48" s="1258"/>
      <c r="FJ48" s="1259"/>
      <c r="FK48" s="1258"/>
      <c r="FL48" s="1258"/>
      <c r="FM48" s="1259"/>
    </row>
    <row r="49" spans="1:169" s="1516" customFormat="1" ht="12.5">
      <c r="A49" s="1515" t="s">
        <v>1410</v>
      </c>
      <c r="B49" s="1176">
        <v>60</v>
      </c>
      <c r="C49" s="1257"/>
      <c r="D49" s="1258">
        <v>0.24</v>
      </c>
      <c r="E49" s="1258">
        <v>0.37</v>
      </c>
      <c r="F49" s="1258">
        <v>0.5</v>
      </c>
      <c r="G49" s="1258">
        <v>0.65</v>
      </c>
      <c r="H49" s="1258">
        <v>0.8</v>
      </c>
      <c r="I49" s="1258">
        <v>0.96</v>
      </c>
      <c r="J49" s="1258">
        <v>1.1399999999999999</v>
      </c>
      <c r="K49" s="1259">
        <v>1.32</v>
      </c>
      <c r="L49" s="1257">
        <v>1.51</v>
      </c>
      <c r="M49" s="1258">
        <v>1.72</v>
      </c>
      <c r="N49" s="1258">
        <v>1.93</v>
      </c>
      <c r="O49" s="1258">
        <v>2.16</v>
      </c>
      <c r="P49" s="1258">
        <v>2.4</v>
      </c>
      <c r="Q49" s="1258">
        <v>2.64</v>
      </c>
      <c r="R49" s="1258">
        <v>2.9</v>
      </c>
      <c r="S49" s="1258">
        <v>3.17</v>
      </c>
      <c r="T49" s="1258">
        <v>3.44</v>
      </c>
      <c r="U49" s="1259">
        <v>3.72</v>
      </c>
      <c r="V49" s="1257">
        <v>4.09</v>
      </c>
      <c r="W49" s="1258">
        <v>4.42</v>
      </c>
      <c r="X49" s="1258">
        <v>4.72</v>
      </c>
      <c r="Y49" s="1258">
        <v>4.9800000000000004</v>
      </c>
      <c r="Z49" s="1258">
        <v>5.21</v>
      </c>
      <c r="AA49" s="1258">
        <v>5.4</v>
      </c>
      <c r="AB49" s="1258">
        <v>5.57</v>
      </c>
      <c r="AC49" s="1258">
        <v>5.71</v>
      </c>
      <c r="AD49" s="1258">
        <v>5.82</v>
      </c>
      <c r="AE49" s="1259">
        <v>5.92</v>
      </c>
      <c r="AF49" s="1257">
        <v>5.99</v>
      </c>
      <c r="AG49" s="1258">
        <v>6.05</v>
      </c>
      <c r="AH49" s="1258">
        <v>6.09</v>
      </c>
      <c r="AI49" s="1258">
        <v>6.13</v>
      </c>
      <c r="AJ49" s="1258">
        <v>6.15</v>
      </c>
      <c r="AK49" s="1258">
        <v>6.17</v>
      </c>
      <c r="AL49" s="1258">
        <v>6.18</v>
      </c>
      <c r="AM49" s="1258">
        <v>6.18</v>
      </c>
      <c r="AN49" s="1258">
        <v>6.19</v>
      </c>
      <c r="AO49" s="1259"/>
      <c r="AP49" s="1257"/>
      <c r="AQ49" s="1258"/>
      <c r="AR49" s="1258"/>
      <c r="AS49" s="1258"/>
      <c r="AT49" s="1258"/>
      <c r="AU49" s="1258"/>
      <c r="AV49" s="1258"/>
      <c r="AW49" s="1258"/>
      <c r="AX49" s="1258"/>
      <c r="AY49" s="1259"/>
      <c r="AZ49" s="1257"/>
      <c r="BA49" s="1258"/>
      <c r="BB49" s="1258"/>
      <c r="BC49" s="1258"/>
      <c r="BD49" s="1258"/>
      <c r="BE49" s="1258"/>
      <c r="BF49" s="1258"/>
      <c r="BG49" s="1258"/>
      <c r="BH49" s="1258"/>
      <c r="BI49" s="1259"/>
      <c r="BJ49" s="1257"/>
      <c r="BK49" s="1258"/>
      <c r="BL49" s="1258"/>
      <c r="BM49" s="1258"/>
      <c r="BN49" s="1258"/>
      <c r="BO49" s="1258"/>
      <c r="BP49" s="1258"/>
      <c r="BQ49" s="1258"/>
      <c r="BR49" s="1258"/>
      <c r="BS49" s="1259"/>
      <c r="BT49" s="1257"/>
      <c r="BU49" s="1258"/>
      <c r="BV49" s="1258"/>
      <c r="BW49" s="1258"/>
      <c r="BX49" s="1258"/>
      <c r="BY49" s="1258"/>
      <c r="BZ49" s="1258"/>
      <c r="CA49" s="1258"/>
      <c r="CB49" s="1258"/>
      <c r="CC49" s="1259"/>
      <c r="CD49" s="1258"/>
      <c r="CE49" s="1258"/>
      <c r="CF49" s="1259"/>
      <c r="CH49" s="1515" t="str">
        <f t="shared" si="0"/>
        <v>WPTPDF60</v>
      </c>
      <c r="CI49" s="1176">
        <v>60</v>
      </c>
      <c r="CJ49" s="1257"/>
      <c r="CK49" s="1258">
        <v>0.12</v>
      </c>
      <c r="CL49" s="1258">
        <v>0.19</v>
      </c>
      <c r="CM49" s="1258">
        <v>0.26</v>
      </c>
      <c r="CN49" s="1258">
        <v>0.34</v>
      </c>
      <c r="CO49" s="1258">
        <v>0.42</v>
      </c>
      <c r="CP49" s="1258">
        <v>0.51</v>
      </c>
      <c r="CQ49" s="1258">
        <v>0.61</v>
      </c>
      <c r="CR49" s="1259">
        <v>0.71</v>
      </c>
      <c r="CS49" s="1257">
        <v>0.83</v>
      </c>
      <c r="CT49" s="1258">
        <v>0.95</v>
      </c>
      <c r="CU49" s="1258">
        <v>1.0900000000000001</v>
      </c>
      <c r="CV49" s="1258">
        <v>1.24</v>
      </c>
      <c r="CW49" s="1258">
        <v>1.4</v>
      </c>
      <c r="CX49" s="1258">
        <v>1.57</v>
      </c>
      <c r="CY49" s="1258">
        <v>1.76</v>
      </c>
      <c r="CZ49" s="1258">
        <v>1.95</v>
      </c>
      <c r="DA49" s="1258">
        <v>2.16</v>
      </c>
      <c r="DB49" s="1259">
        <v>2.38</v>
      </c>
      <c r="DC49" s="1257">
        <v>2.68</v>
      </c>
      <c r="DD49" s="1258">
        <v>2.96</v>
      </c>
      <c r="DE49" s="1258">
        <v>3.21</v>
      </c>
      <c r="DF49" s="1258">
        <v>3.44</v>
      </c>
      <c r="DG49" s="1258">
        <v>3.64</v>
      </c>
      <c r="DH49" s="1258">
        <v>3.82</v>
      </c>
      <c r="DI49" s="1258">
        <v>3.98</v>
      </c>
      <c r="DJ49" s="1258">
        <v>4.12</v>
      </c>
      <c r="DK49" s="1258">
        <v>4.24</v>
      </c>
      <c r="DL49" s="1259">
        <v>4.33</v>
      </c>
      <c r="DM49" s="1257">
        <v>4.41</v>
      </c>
      <c r="DN49" s="1258">
        <v>4.4800000000000004</v>
      </c>
      <c r="DO49" s="1258">
        <v>4.53</v>
      </c>
      <c r="DP49" s="1258">
        <v>4.57</v>
      </c>
      <c r="DQ49" s="1258">
        <v>4.59</v>
      </c>
      <c r="DR49" s="1258">
        <v>4.6100000000000003</v>
      </c>
      <c r="DS49" s="1258">
        <v>4.63</v>
      </c>
      <c r="DT49" s="1258">
        <v>4.6399999999999997</v>
      </c>
      <c r="DU49" s="1258">
        <v>4.6399999999999997</v>
      </c>
      <c r="DV49" s="1259"/>
      <c r="DW49" s="1257"/>
      <c r="DX49" s="1258"/>
      <c r="DY49" s="1258"/>
      <c r="DZ49" s="1258"/>
      <c r="EA49" s="1258"/>
      <c r="EB49" s="1258"/>
      <c r="EC49" s="1258"/>
      <c r="ED49" s="1258"/>
      <c r="EE49" s="1258"/>
      <c r="EF49" s="1259"/>
      <c r="EG49" s="1257"/>
      <c r="EH49" s="1258"/>
      <c r="EI49" s="1258"/>
      <c r="EJ49" s="1258"/>
      <c r="EK49" s="1258"/>
      <c r="EL49" s="1258"/>
      <c r="EM49" s="1258"/>
      <c r="EN49" s="1258"/>
      <c r="EO49" s="1258"/>
      <c r="EP49" s="1259"/>
      <c r="EQ49" s="1257"/>
      <c r="ER49" s="1258"/>
      <c r="ES49" s="1258"/>
      <c r="ET49" s="1258"/>
      <c r="EU49" s="1258"/>
      <c r="EV49" s="1258"/>
      <c r="EW49" s="1258"/>
      <c r="EX49" s="1258"/>
      <c r="EY49" s="1258"/>
      <c r="EZ49" s="1259"/>
      <c r="FA49" s="1257"/>
      <c r="FB49" s="1258"/>
      <c r="FC49" s="1258"/>
      <c r="FD49" s="1258"/>
      <c r="FE49" s="1258"/>
      <c r="FF49" s="1258"/>
      <c r="FG49" s="1258"/>
      <c r="FH49" s="1258"/>
      <c r="FI49" s="1258"/>
      <c r="FJ49" s="1259"/>
      <c r="FK49" s="1258"/>
      <c r="FL49" s="1258"/>
      <c r="FM49" s="1259"/>
    </row>
    <row r="50" spans="1:169" s="1516" customFormat="1" ht="12.5">
      <c r="A50" s="1515" t="s">
        <v>1411</v>
      </c>
      <c r="B50" s="1177">
        <v>61</v>
      </c>
      <c r="C50" s="1260"/>
      <c r="D50" s="1261">
        <v>0.26</v>
      </c>
      <c r="E50" s="1261">
        <v>0.4</v>
      </c>
      <c r="F50" s="1261">
        <v>0.55000000000000004</v>
      </c>
      <c r="G50" s="1261">
        <v>0.71</v>
      </c>
      <c r="H50" s="1261">
        <v>0.88</v>
      </c>
      <c r="I50" s="1261">
        <v>1.06</v>
      </c>
      <c r="J50" s="1261">
        <v>1.25</v>
      </c>
      <c r="K50" s="1262">
        <v>1.45</v>
      </c>
      <c r="L50" s="1260">
        <v>1.66</v>
      </c>
      <c r="M50" s="1261">
        <v>1.89</v>
      </c>
      <c r="N50" s="1261">
        <v>2.13</v>
      </c>
      <c r="O50" s="1261">
        <v>2.37</v>
      </c>
      <c r="P50" s="1261">
        <v>2.63</v>
      </c>
      <c r="Q50" s="1261">
        <v>2.9</v>
      </c>
      <c r="R50" s="1261">
        <v>3.18</v>
      </c>
      <c r="S50" s="1261">
        <v>3.47</v>
      </c>
      <c r="T50" s="1261">
        <v>3.76</v>
      </c>
      <c r="U50" s="1262">
        <v>4.1500000000000004</v>
      </c>
      <c r="V50" s="1260">
        <v>4.5</v>
      </c>
      <c r="W50" s="1261">
        <v>4.82</v>
      </c>
      <c r="X50" s="1261">
        <v>5.09</v>
      </c>
      <c r="Y50" s="1261">
        <v>5.33</v>
      </c>
      <c r="Z50" s="1261">
        <v>5.54</v>
      </c>
      <c r="AA50" s="1261">
        <v>5.71</v>
      </c>
      <c r="AB50" s="1261">
        <v>5.86</v>
      </c>
      <c r="AC50" s="1261">
        <v>5.98</v>
      </c>
      <c r="AD50" s="1261">
        <v>6.08</v>
      </c>
      <c r="AE50" s="1262">
        <v>6.16</v>
      </c>
      <c r="AF50" s="1260">
        <v>6.22</v>
      </c>
      <c r="AG50" s="1261">
        <v>6.27</v>
      </c>
      <c r="AH50" s="1261">
        <v>6.3</v>
      </c>
      <c r="AI50" s="1261">
        <v>6.33</v>
      </c>
      <c r="AJ50" s="1261">
        <v>6.34</v>
      </c>
      <c r="AK50" s="1261">
        <v>6.36</v>
      </c>
      <c r="AL50" s="1261">
        <v>6.36</v>
      </c>
      <c r="AM50" s="1261">
        <v>6.37</v>
      </c>
      <c r="AN50" s="1261"/>
      <c r="AO50" s="1262"/>
      <c r="AP50" s="1260"/>
      <c r="AQ50" s="1261"/>
      <c r="AR50" s="1261"/>
      <c r="AS50" s="1261"/>
      <c r="AT50" s="1261"/>
      <c r="AU50" s="1261"/>
      <c r="AV50" s="1261"/>
      <c r="AW50" s="1261"/>
      <c r="AX50" s="1261"/>
      <c r="AY50" s="1262"/>
      <c r="AZ50" s="1260"/>
      <c r="BA50" s="1261"/>
      <c r="BB50" s="1261"/>
      <c r="BC50" s="1261"/>
      <c r="BD50" s="1261"/>
      <c r="BE50" s="1261"/>
      <c r="BF50" s="1261"/>
      <c r="BG50" s="1261"/>
      <c r="BH50" s="1261"/>
      <c r="BI50" s="1262"/>
      <c r="BJ50" s="1260"/>
      <c r="BK50" s="1261"/>
      <c r="BL50" s="1261"/>
      <c r="BM50" s="1261"/>
      <c r="BN50" s="1261"/>
      <c r="BO50" s="1261"/>
      <c r="BP50" s="1261"/>
      <c r="BQ50" s="1261"/>
      <c r="BR50" s="1261"/>
      <c r="BS50" s="1262"/>
      <c r="BT50" s="1260"/>
      <c r="BU50" s="1261"/>
      <c r="BV50" s="1261"/>
      <c r="BW50" s="1261"/>
      <c r="BX50" s="1261"/>
      <c r="BY50" s="1261"/>
      <c r="BZ50" s="1261"/>
      <c r="CA50" s="1261"/>
      <c r="CB50" s="1261"/>
      <c r="CC50" s="1262"/>
      <c r="CD50" s="1261"/>
      <c r="CE50" s="1261"/>
      <c r="CF50" s="1262"/>
      <c r="CH50" s="1515" t="str">
        <f t="shared" si="0"/>
        <v>WPTPDF61</v>
      </c>
      <c r="CI50" s="1177">
        <v>61</v>
      </c>
      <c r="CJ50" s="1260"/>
      <c r="CK50" s="1261">
        <v>0.13</v>
      </c>
      <c r="CL50" s="1261">
        <v>0.21</v>
      </c>
      <c r="CM50" s="1261">
        <v>0.28999999999999998</v>
      </c>
      <c r="CN50" s="1261">
        <v>0.38</v>
      </c>
      <c r="CO50" s="1261">
        <v>0.47</v>
      </c>
      <c r="CP50" s="1261">
        <v>0.56999999999999995</v>
      </c>
      <c r="CQ50" s="1261">
        <v>0.68</v>
      </c>
      <c r="CR50" s="1262">
        <v>0.8</v>
      </c>
      <c r="CS50" s="1260">
        <v>0.93</v>
      </c>
      <c r="CT50" s="1261">
        <v>1.08</v>
      </c>
      <c r="CU50" s="1261">
        <v>1.23</v>
      </c>
      <c r="CV50" s="1261">
        <v>1.4</v>
      </c>
      <c r="CW50" s="1261">
        <v>1.58</v>
      </c>
      <c r="CX50" s="1261">
        <v>1.77</v>
      </c>
      <c r="CY50" s="1261">
        <v>1.98</v>
      </c>
      <c r="CZ50" s="1261">
        <v>2.19</v>
      </c>
      <c r="DA50" s="1261">
        <v>2.42</v>
      </c>
      <c r="DB50" s="1262">
        <v>2.74</v>
      </c>
      <c r="DC50" s="1260">
        <v>3.03</v>
      </c>
      <c r="DD50" s="1261">
        <v>3.3</v>
      </c>
      <c r="DE50" s="1261">
        <v>3.54</v>
      </c>
      <c r="DF50" s="1261">
        <v>3.75</v>
      </c>
      <c r="DG50" s="1261">
        <v>3.95</v>
      </c>
      <c r="DH50" s="1261">
        <v>4.1100000000000003</v>
      </c>
      <c r="DI50" s="1261">
        <v>4.26</v>
      </c>
      <c r="DJ50" s="1261">
        <v>4.38</v>
      </c>
      <c r="DK50" s="1261">
        <v>4.4800000000000004</v>
      </c>
      <c r="DL50" s="1262">
        <v>4.57</v>
      </c>
      <c r="DM50" s="1260">
        <v>4.63</v>
      </c>
      <c r="DN50" s="1261">
        <v>4.6900000000000004</v>
      </c>
      <c r="DO50" s="1261">
        <v>4.7300000000000004</v>
      </c>
      <c r="DP50" s="1261">
        <v>4.76</v>
      </c>
      <c r="DQ50" s="1261">
        <v>4.78</v>
      </c>
      <c r="DR50" s="1261">
        <v>4.79</v>
      </c>
      <c r="DS50" s="1261">
        <v>4.8</v>
      </c>
      <c r="DT50" s="1261">
        <v>4.8099999999999996</v>
      </c>
      <c r="DU50" s="1261"/>
      <c r="DV50" s="1262"/>
      <c r="DW50" s="1260"/>
      <c r="DX50" s="1261"/>
      <c r="DY50" s="1261"/>
      <c r="DZ50" s="1261"/>
      <c r="EA50" s="1261"/>
      <c r="EB50" s="1261"/>
      <c r="EC50" s="1261"/>
      <c r="ED50" s="1261"/>
      <c r="EE50" s="1261"/>
      <c r="EF50" s="1262"/>
      <c r="EG50" s="1260"/>
      <c r="EH50" s="1261"/>
      <c r="EI50" s="1261"/>
      <c r="EJ50" s="1261"/>
      <c r="EK50" s="1261"/>
      <c r="EL50" s="1261"/>
      <c r="EM50" s="1261"/>
      <c r="EN50" s="1261"/>
      <c r="EO50" s="1261"/>
      <c r="EP50" s="1262"/>
      <c r="EQ50" s="1260"/>
      <c r="ER50" s="1261"/>
      <c r="ES50" s="1261"/>
      <c r="ET50" s="1261"/>
      <c r="EU50" s="1261"/>
      <c r="EV50" s="1261"/>
      <c r="EW50" s="1261"/>
      <c r="EX50" s="1261"/>
      <c r="EY50" s="1261"/>
      <c r="EZ50" s="1262"/>
      <c r="FA50" s="1260"/>
      <c r="FB50" s="1261"/>
      <c r="FC50" s="1261"/>
      <c r="FD50" s="1261"/>
      <c r="FE50" s="1261"/>
      <c r="FF50" s="1261"/>
      <c r="FG50" s="1261"/>
      <c r="FH50" s="1261"/>
      <c r="FI50" s="1261"/>
      <c r="FJ50" s="1262"/>
      <c r="FK50" s="1261"/>
      <c r="FL50" s="1261"/>
      <c r="FM50" s="1262"/>
    </row>
    <row r="51" spans="1:169" s="1516" customFormat="1" ht="12.5">
      <c r="A51" s="1515" t="s">
        <v>1412</v>
      </c>
      <c r="B51" s="1176">
        <v>62</v>
      </c>
      <c r="C51" s="1257"/>
      <c r="D51" s="1258">
        <v>0.28999999999999998</v>
      </c>
      <c r="E51" s="1258">
        <v>0.44</v>
      </c>
      <c r="F51" s="1258">
        <v>0.61</v>
      </c>
      <c r="G51" s="1258">
        <v>0.79</v>
      </c>
      <c r="H51" s="1258">
        <v>0.97</v>
      </c>
      <c r="I51" s="1258">
        <v>1.17</v>
      </c>
      <c r="J51" s="1258">
        <v>1.38</v>
      </c>
      <c r="K51" s="1259">
        <v>1.6</v>
      </c>
      <c r="L51" s="1257">
        <v>1.84</v>
      </c>
      <c r="M51" s="1258">
        <v>2.08</v>
      </c>
      <c r="N51" s="1258">
        <v>2.34</v>
      </c>
      <c r="O51" s="1258">
        <v>2.61</v>
      </c>
      <c r="P51" s="1258">
        <v>2.89</v>
      </c>
      <c r="Q51" s="1258">
        <v>3.19</v>
      </c>
      <c r="R51" s="1258">
        <v>3.48</v>
      </c>
      <c r="S51" s="1258">
        <v>3.79</v>
      </c>
      <c r="T51" s="1258">
        <v>4.2</v>
      </c>
      <c r="U51" s="1259">
        <v>4.58</v>
      </c>
      <c r="V51" s="1257">
        <v>4.91</v>
      </c>
      <c r="W51" s="1258">
        <v>5.2</v>
      </c>
      <c r="X51" s="1258">
        <v>5.46</v>
      </c>
      <c r="Y51" s="1258">
        <v>5.67</v>
      </c>
      <c r="Z51" s="1258">
        <v>5.86</v>
      </c>
      <c r="AA51" s="1258">
        <v>6.02</v>
      </c>
      <c r="AB51" s="1258">
        <v>6.15</v>
      </c>
      <c r="AC51" s="1258">
        <v>6.25</v>
      </c>
      <c r="AD51" s="1258">
        <v>6.33</v>
      </c>
      <c r="AE51" s="1259">
        <v>6.4</v>
      </c>
      <c r="AF51" s="1257">
        <v>6.45</v>
      </c>
      <c r="AG51" s="1258">
        <v>6.48</v>
      </c>
      <c r="AH51" s="1258">
        <v>6.51</v>
      </c>
      <c r="AI51" s="1258">
        <v>6.53</v>
      </c>
      <c r="AJ51" s="1258">
        <v>6.54</v>
      </c>
      <c r="AK51" s="1258">
        <v>6.55</v>
      </c>
      <c r="AL51" s="1258">
        <v>6.55</v>
      </c>
      <c r="AM51" s="1258"/>
      <c r="AN51" s="1258"/>
      <c r="AO51" s="1259"/>
      <c r="AP51" s="1257"/>
      <c r="AQ51" s="1258"/>
      <c r="AR51" s="1258"/>
      <c r="AS51" s="1258"/>
      <c r="AT51" s="1258"/>
      <c r="AU51" s="1258"/>
      <c r="AV51" s="1258"/>
      <c r="AW51" s="1258"/>
      <c r="AX51" s="1258"/>
      <c r="AY51" s="1259"/>
      <c r="AZ51" s="1257"/>
      <c r="BA51" s="1258"/>
      <c r="BB51" s="1258"/>
      <c r="BC51" s="1258"/>
      <c r="BD51" s="1258"/>
      <c r="BE51" s="1258"/>
      <c r="BF51" s="1258"/>
      <c r="BG51" s="1258"/>
      <c r="BH51" s="1258"/>
      <c r="BI51" s="1259"/>
      <c r="BJ51" s="1257"/>
      <c r="BK51" s="1258"/>
      <c r="BL51" s="1258"/>
      <c r="BM51" s="1258"/>
      <c r="BN51" s="1258"/>
      <c r="BO51" s="1258"/>
      <c r="BP51" s="1258"/>
      <c r="BQ51" s="1258"/>
      <c r="BR51" s="1258"/>
      <c r="BS51" s="1259"/>
      <c r="BT51" s="1257"/>
      <c r="BU51" s="1258"/>
      <c r="BV51" s="1258"/>
      <c r="BW51" s="1258"/>
      <c r="BX51" s="1258"/>
      <c r="BY51" s="1258"/>
      <c r="BZ51" s="1258"/>
      <c r="CA51" s="1258"/>
      <c r="CB51" s="1258"/>
      <c r="CC51" s="1259"/>
      <c r="CD51" s="1258"/>
      <c r="CE51" s="1258"/>
      <c r="CF51" s="1259"/>
      <c r="CH51" s="1515" t="str">
        <f t="shared" si="0"/>
        <v>WPTPDF62</v>
      </c>
      <c r="CI51" s="1176">
        <v>62</v>
      </c>
      <c r="CJ51" s="1257"/>
      <c r="CK51" s="1258">
        <v>0.15</v>
      </c>
      <c r="CL51" s="1258">
        <v>0.23</v>
      </c>
      <c r="CM51" s="1258">
        <v>0.33</v>
      </c>
      <c r="CN51" s="1258">
        <v>0.42</v>
      </c>
      <c r="CO51" s="1258">
        <v>0.53</v>
      </c>
      <c r="CP51" s="1258">
        <v>0.65</v>
      </c>
      <c r="CQ51" s="1258">
        <v>0.77</v>
      </c>
      <c r="CR51" s="1259">
        <v>0.91</v>
      </c>
      <c r="CS51" s="1257">
        <v>1.06</v>
      </c>
      <c r="CT51" s="1258">
        <v>1.22</v>
      </c>
      <c r="CU51" s="1258">
        <v>1.39</v>
      </c>
      <c r="CV51" s="1258">
        <v>1.58</v>
      </c>
      <c r="CW51" s="1258">
        <v>1.78</v>
      </c>
      <c r="CX51" s="1258">
        <v>1.99</v>
      </c>
      <c r="CY51" s="1258">
        <v>2.2200000000000002</v>
      </c>
      <c r="CZ51" s="1258">
        <v>2.46</v>
      </c>
      <c r="DA51" s="1258">
        <v>2.8</v>
      </c>
      <c r="DB51" s="1259">
        <v>3.11</v>
      </c>
      <c r="DC51" s="1257">
        <v>3.39</v>
      </c>
      <c r="DD51" s="1258">
        <v>3.64</v>
      </c>
      <c r="DE51" s="1258">
        <v>3.87</v>
      </c>
      <c r="DF51" s="1258">
        <v>4.07</v>
      </c>
      <c r="DG51" s="1258">
        <v>4.25</v>
      </c>
      <c r="DH51" s="1258">
        <v>4.4000000000000004</v>
      </c>
      <c r="DI51" s="1258">
        <v>4.53</v>
      </c>
      <c r="DJ51" s="1258">
        <v>4.6399999999999997</v>
      </c>
      <c r="DK51" s="1258">
        <v>4.7300000000000004</v>
      </c>
      <c r="DL51" s="1259">
        <v>4.8</v>
      </c>
      <c r="DM51" s="1257">
        <v>4.8600000000000003</v>
      </c>
      <c r="DN51" s="1258">
        <v>4.9000000000000004</v>
      </c>
      <c r="DO51" s="1258">
        <v>4.93</v>
      </c>
      <c r="DP51" s="1258">
        <v>4.95</v>
      </c>
      <c r="DQ51" s="1258">
        <v>4.97</v>
      </c>
      <c r="DR51" s="1258">
        <v>4.9800000000000004</v>
      </c>
      <c r="DS51" s="1258">
        <v>4.9800000000000004</v>
      </c>
      <c r="DT51" s="1258"/>
      <c r="DU51" s="1258"/>
      <c r="DV51" s="1259"/>
      <c r="DW51" s="1257"/>
      <c r="DX51" s="1258"/>
      <c r="DY51" s="1258"/>
      <c r="DZ51" s="1258"/>
      <c r="EA51" s="1258"/>
      <c r="EB51" s="1258"/>
      <c r="EC51" s="1258"/>
      <c r="ED51" s="1258"/>
      <c r="EE51" s="1258"/>
      <c r="EF51" s="1259"/>
      <c r="EG51" s="1257"/>
      <c r="EH51" s="1258"/>
      <c r="EI51" s="1258"/>
      <c r="EJ51" s="1258"/>
      <c r="EK51" s="1258"/>
      <c r="EL51" s="1258"/>
      <c r="EM51" s="1258"/>
      <c r="EN51" s="1258"/>
      <c r="EO51" s="1258"/>
      <c r="EP51" s="1259"/>
      <c r="EQ51" s="1257"/>
      <c r="ER51" s="1258"/>
      <c r="ES51" s="1258"/>
      <c r="ET51" s="1258"/>
      <c r="EU51" s="1258"/>
      <c r="EV51" s="1258"/>
      <c r="EW51" s="1258"/>
      <c r="EX51" s="1258"/>
      <c r="EY51" s="1258"/>
      <c r="EZ51" s="1259"/>
      <c r="FA51" s="1257"/>
      <c r="FB51" s="1258"/>
      <c r="FC51" s="1258"/>
      <c r="FD51" s="1258"/>
      <c r="FE51" s="1258"/>
      <c r="FF51" s="1258"/>
      <c r="FG51" s="1258"/>
      <c r="FH51" s="1258"/>
      <c r="FI51" s="1258"/>
      <c r="FJ51" s="1259"/>
      <c r="FK51" s="1258"/>
      <c r="FL51" s="1258"/>
      <c r="FM51" s="1259"/>
    </row>
    <row r="52" spans="1:169" s="1516" customFormat="1" ht="12.5">
      <c r="A52" s="1515" t="s">
        <v>1413</v>
      </c>
      <c r="B52" s="1176">
        <v>63</v>
      </c>
      <c r="C52" s="1257"/>
      <c r="D52" s="1258">
        <v>0.32</v>
      </c>
      <c r="E52" s="1258">
        <v>0.49</v>
      </c>
      <c r="F52" s="1258">
        <v>0.67</v>
      </c>
      <c r="G52" s="1258">
        <v>0.87</v>
      </c>
      <c r="H52" s="1258">
        <v>1.07</v>
      </c>
      <c r="I52" s="1258">
        <v>1.29</v>
      </c>
      <c r="J52" s="1258">
        <v>1.52</v>
      </c>
      <c r="K52" s="1259">
        <v>1.77</v>
      </c>
      <c r="L52" s="1257">
        <v>2.0299999999999998</v>
      </c>
      <c r="M52" s="1258">
        <v>2.2999999999999998</v>
      </c>
      <c r="N52" s="1258">
        <v>2.58</v>
      </c>
      <c r="O52" s="1258">
        <v>2.88</v>
      </c>
      <c r="P52" s="1258">
        <v>3.18</v>
      </c>
      <c r="Q52" s="1258">
        <v>3.49</v>
      </c>
      <c r="R52" s="1258">
        <v>3.81</v>
      </c>
      <c r="S52" s="1258">
        <v>4.25</v>
      </c>
      <c r="T52" s="1258">
        <v>4.6500000000000004</v>
      </c>
      <c r="U52" s="1259">
        <v>5</v>
      </c>
      <c r="V52" s="1257">
        <v>5.31</v>
      </c>
      <c r="W52" s="1258">
        <v>5.58</v>
      </c>
      <c r="X52" s="1258">
        <v>5.81</v>
      </c>
      <c r="Y52" s="1258">
        <v>6.01</v>
      </c>
      <c r="Z52" s="1258">
        <v>6.18</v>
      </c>
      <c r="AA52" s="1258">
        <v>6.31</v>
      </c>
      <c r="AB52" s="1258">
        <v>6.43</v>
      </c>
      <c r="AC52" s="1258">
        <v>6.51</v>
      </c>
      <c r="AD52" s="1258">
        <v>6.58</v>
      </c>
      <c r="AE52" s="1259">
        <v>6.64</v>
      </c>
      <c r="AF52" s="1257">
        <v>6.67</v>
      </c>
      <c r="AG52" s="1258">
        <v>6.7</v>
      </c>
      <c r="AH52" s="1258">
        <v>6.72</v>
      </c>
      <c r="AI52" s="1258">
        <v>6.73</v>
      </c>
      <c r="AJ52" s="1258">
        <v>6.74</v>
      </c>
      <c r="AK52" s="1258">
        <v>6.75</v>
      </c>
      <c r="AL52" s="1258"/>
      <c r="AM52" s="1258"/>
      <c r="AN52" s="1258"/>
      <c r="AO52" s="1259"/>
      <c r="AP52" s="1257"/>
      <c r="AQ52" s="1258"/>
      <c r="AR52" s="1258"/>
      <c r="AS52" s="1258"/>
      <c r="AT52" s="1258"/>
      <c r="AU52" s="1258"/>
      <c r="AV52" s="1258"/>
      <c r="AW52" s="1258"/>
      <c r="AX52" s="1258"/>
      <c r="AY52" s="1259"/>
      <c r="AZ52" s="1257"/>
      <c r="BA52" s="1258"/>
      <c r="BB52" s="1258"/>
      <c r="BC52" s="1258"/>
      <c r="BD52" s="1258"/>
      <c r="BE52" s="1258"/>
      <c r="BF52" s="1258"/>
      <c r="BG52" s="1258"/>
      <c r="BH52" s="1258"/>
      <c r="BI52" s="1259"/>
      <c r="BJ52" s="1257"/>
      <c r="BK52" s="1258"/>
      <c r="BL52" s="1258"/>
      <c r="BM52" s="1258"/>
      <c r="BN52" s="1258"/>
      <c r="BO52" s="1258"/>
      <c r="BP52" s="1258"/>
      <c r="BQ52" s="1258"/>
      <c r="BR52" s="1258"/>
      <c r="BS52" s="1259"/>
      <c r="BT52" s="1257"/>
      <c r="BU52" s="1258"/>
      <c r="BV52" s="1258"/>
      <c r="BW52" s="1258"/>
      <c r="BX52" s="1258"/>
      <c r="BY52" s="1258"/>
      <c r="BZ52" s="1258"/>
      <c r="CA52" s="1258"/>
      <c r="CB52" s="1258"/>
      <c r="CC52" s="1259"/>
      <c r="CD52" s="1258"/>
      <c r="CE52" s="1258"/>
      <c r="CF52" s="1259"/>
      <c r="CH52" s="1515" t="str">
        <f t="shared" si="0"/>
        <v>WPTPDF63</v>
      </c>
      <c r="CI52" s="1176">
        <v>63</v>
      </c>
      <c r="CJ52" s="1257"/>
      <c r="CK52" s="1258">
        <v>0.17</v>
      </c>
      <c r="CL52" s="1258">
        <v>0.26</v>
      </c>
      <c r="CM52" s="1258">
        <v>0.37</v>
      </c>
      <c r="CN52" s="1258">
        <v>0.48</v>
      </c>
      <c r="CO52" s="1258">
        <v>0.6</v>
      </c>
      <c r="CP52" s="1258">
        <v>0.73</v>
      </c>
      <c r="CQ52" s="1258">
        <v>0.87</v>
      </c>
      <c r="CR52" s="1259">
        <v>1.03</v>
      </c>
      <c r="CS52" s="1257">
        <v>1.2</v>
      </c>
      <c r="CT52" s="1258">
        <v>1.38</v>
      </c>
      <c r="CU52" s="1258">
        <v>1.57</v>
      </c>
      <c r="CV52" s="1258">
        <v>1.79</v>
      </c>
      <c r="CW52" s="1258">
        <v>2.0099999999999998</v>
      </c>
      <c r="CX52" s="1258">
        <v>2.25</v>
      </c>
      <c r="CY52" s="1258">
        <v>2.5</v>
      </c>
      <c r="CZ52" s="1258">
        <v>2.85</v>
      </c>
      <c r="DA52" s="1258">
        <v>3.18</v>
      </c>
      <c r="DB52" s="1259">
        <v>3.48</v>
      </c>
      <c r="DC52" s="1257">
        <v>3.75</v>
      </c>
      <c r="DD52" s="1258">
        <v>3.99</v>
      </c>
      <c r="DE52" s="1258">
        <v>4.2</v>
      </c>
      <c r="DF52" s="1258">
        <v>4.3899999999999997</v>
      </c>
      <c r="DG52" s="1258">
        <v>4.55</v>
      </c>
      <c r="DH52" s="1258">
        <v>4.6900000000000004</v>
      </c>
      <c r="DI52" s="1258">
        <v>4.8</v>
      </c>
      <c r="DJ52" s="1258">
        <v>4.9000000000000004</v>
      </c>
      <c r="DK52" s="1258">
        <v>4.97</v>
      </c>
      <c r="DL52" s="1259">
        <v>5.03</v>
      </c>
      <c r="DM52" s="1257">
        <v>5.08</v>
      </c>
      <c r="DN52" s="1258">
        <v>5.1100000000000003</v>
      </c>
      <c r="DO52" s="1258">
        <v>5.14</v>
      </c>
      <c r="DP52" s="1258">
        <v>5.15</v>
      </c>
      <c r="DQ52" s="1258">
        <v>5.16</v>
      </c>
      <c r="DR52" s="1258">
        <v>5.17</v>
      </c>
      <c r="DS52" s="1258"/>
      <c r="DT52" s="1258"/>
      <c r="DU52" s="1258"/>
      <c r="DV52" s="1259"/>
      <c r="DW52" s="1257"/>
      <c r="DX52" s="1258"/>
      <c r="DY52" s="1258"/>
      <c r="DZ52" s="1258"/>
      <c r="EA52" s="1258"/>
      <c r="EB52" s="1258"/>
      <c r="EC52" s="1258"/>
      <c r="ED52" s="1258"/>
      <c r="EE52" s="1258"/>
      <c r="EF52" s="1259"/>
      <c r="EG52" s="1257"/>
      <c r="EH52" s="1258"/>
      <c r="EI52" s="1258"/>
      <c r="EJ52" s="1258"/>
      <c r="EK52" s="1258"/>
      <c r="EL52" s="1258"/>
      <c r="EM52" s="1258"/>
      <c r="EN52" s="1258"/>
      <c r="EO52" s="1258"/>
      <c r="EP52" s="1259"/>
      <c r="EQ52" s="1257"/>
      <c r="ER52" s="1258"/>
      <c r="ES52" s="1258"/>
      <c r="ET52" s="1258"/>
      <c r="EU52" s="1258"/>
      <c r="EV52" s="1258"/>
      <c r="EW52" s="1258"/>
      <c r="EX52" s="1258"/>
      <c r="EY52" s="1258"/>
      <c r="EZ52" s="1259"/>
      <c r="FA52" s="1257"/>
      <c r="FB52" s="1258"/>
      <c r="FC52" s="1258"/>
      <c r="FD52" s="1258"/>
      <c r="FE52" s="1258"/>
      <c r="FF52" s="1258"/>
      <c r="FG52" s="1258"/>
      <c r="FH52" s="1258"/>
      <c r="FI52" s="1258"/>
      <c r="FJ52" s="1259"/>
      <c r="FK52" s="1258"/>
      <c r="FL52" s="1258"/>
      <c r="FM52" s="1259"/>
    </row>
    <row r="53" spans="1:169" s="1516" customFormat="1" ht="12.5">
      <c r="A53" s="1515" t="s">
        <v>1414</v>
      </c>
      <c r="B53" s="1176">
        <v>64</v>
      </c>
      <c r="C53" s="1257"/>
      <c r="D53" s="1258">
        <v>0.35</v>
      </c>
      <c r="E53" s="1258">
        <v>0.54</v>
      </c>
      <c r="F53" s="1258">
        <v>0.74</v>
      </c>
      <c r="G53" s="1258">
        <v>0.96</v>
      </c>
      <c r="H53" s="1258">
        <v>1.19</v>
      </c>
      <c r="I53" s="1258">
        <v>1.43</v>
      </c>
      <c r="J53" s="1258">
        <v>1.69</v>
      </c>
      <c r="K53" s="1259">
        <v>1.96</v>
      </c>
      <c r="L53" s="1257">
        <v>2.2400000000000002</v>
      </c>
      <c r="M53" s="1258">
        <v>2.54</v>
      </c>
      <c r="N53" s="1258">
        <v>2.84</v>
      </c>
      <c r="O53" s="1258">
        <v>3.16</v>
      </c>
      <c r="P53" s="1258">
        <v>3.49</v>
      </c>
      <c r="Q53" s="1258">
        <v>3.83</v>
      </c>
      <c r="R53" s="1258">
        <v>4.3</v>
      </c>
      <c r="S53" s="1258">
        <v>4.72</v>
      </c>
      <c r="T53" s="1258">
        <v>5.09</v>
      </c>
      <c r="U53" s="1259">
        <v>5.42</v>
      </c>
      <c r="V53" s="1257">
        <v>5.71</v>
      </c>
      <c r="W53" s="1258">
        <v>5.96</v>
      </c>
      <c r="X53" s="1258">
        <v>6.16</v>
      </c>
      <c r="Y53" s="1258">
        <v>6.34</v>
      </c>
      <c r="Z53" s="1258">
        <v>6.49</v>
      </c>
      <c r="AA53" s="1258">
        <v>6.6</v>
      </c>
      <c r="AB53" s="1258">
        <v>6.7</v>
      </c>
      <c r="AC53" s="1258">
        <v>6.77</v>
      </c>
      <c r="AD53" s="1258">
        <v>6.83</v>
      </c>
      <c r="AE53" s="1259">
        <v>6.87</v>
      </c>
      <c r="AF53" s="1257">
        <v>6.9</v>
      </c>
      <c r="AG53" s="1258">
        <v>6.92</v>
      </c>
      <c r="AH53" s="1258">
        <v>6.93</v>
      </c>
      <c r="AI53" s="1258">
        <v>6.94</v>
      </c>
      <c r="AJ53" s="1258">
        <v>6.95</v>
      </c>
      <c r="AK53" s="1258"/>
      <c r="AL53" s="1258"/>
      <c r="AM53" s="1258"/>
      <c r="AN53" s="1258"/>
      <c r="AO53" s="1259"/>
      <c r="AP53" s="1257"/>
      <c r="AQ53" s="1258"/>
      <c r="AR53" s="1258"/>
      <c r="AS53" s="1258"/>
      <c r="AT53" s="1258"/>
      <c r="AU53" s="1258"/>
      <c r="AV53" s="1258"/>
      <c r="AW53" s="1258"/>
      <c r="AX53" s="1258"/>
      <c r="AY53" s="1259"/>
      <c r="AZ53" s="1257"/>
      <c r="BA53" s="1258"/>
      <c r="BB53" s="1258"/>
      <c r="BC53" s="1258"/>
      <c r="BD53" s="1258"/>
      <c r="BE53" s="1258"/>
      <c r="BF53" s="1258"/>
      <c r="BG53" s="1258"/>
      <c r="BH53" s="1258"/>
      <c r="BI53" s="1259"/>
      <c r="BJ53" s="1257"/>
      <c r="BK53" s="1258"/>
      <c r="BL53" s="1258"/>
      <c r="BM53" s="1258"/>
      <c r="BN53" s="1258"/>
      <c r="BO53" s="1258"/>
      <c r="BP53" s="1258"/>
      <c r="BQ53" s="1258"/>
      <c r="BR53" s="1258"/>
      <c r="BS53" s="1259"/>
      <c r="BT53" s="1257"/>
      <c r="BU53" s="1258"/>
      <c r="BV53" s="1258"/>
      <c r="BW53" s="1258"/>
      <c r="BX53" s="1258"/>
      <c r="BY53" s="1258"/>
      <c r="BZ53" s="1258"/>
      <c r="CA53" s="1258"/>
      <c r="CB53" s="1258"/>
      <c r="CC53" s="1259"/>
      <c r="CD53" s="1258"/>
      <c r="CE53" s="1258"/>
      <c r="CF53" s="1259"/>
      <c r="CH53" s="1515" t="str">
        <f t="shared" si="0"/>
        <v>WPTPDF64</v>
      </c>
      <c r="CI53" s="1176">
        <v>64</v>
      </c>
      <c r="CJ53" s="1257"/>
      <c r="CK53" s="1258">
        <v>0.19</v>
      </c>
      <c r="CL53" s="1258">
        <v>0.3</v>
      </c>
      <c r="CM53" s="1258">
        <v>0.41</v>
      </c>
      <c r="CN53" s="1258">
        <v>0.54</v>
      </c>
      <c r="CO53" s="1258">
        <v>0.68</v>
      </c>
      <c r="CP53" s="1258">
        <v>0.83</v>
      </c>
      <c r="CQ53" s="1258">
        <v>0.99</v>
      </c>
      <c r="CR53" s="1259">
        <v>1.17</v>
      </c>
      <c r="CS53" s="1257">
        <v>1.36</v>
      </c>
      <c r="CT53" s="1258">
        <v>1.56</v>
      </c>
      <c r="CU53" s="1258">
        <v>1.78</v>
      </c>
      <c r="CV53" s="1258">
        <v>2.02</v>
      </c>
      <c r="CW53" s="1258">
        <v>2.27</v>
      </c>
      <c r="CX53" s="1258">
        <v>2.5299999999999998</v>
      </c>
      <c r="CY53" s="1258">
        <v>2.91</v>
      </c>
      <c r="CZ53" s="1258">
        <v>3.25</v>
      </c>
      <c r="DA53" s="1258">
        <v>3.57</v>
      </c>
      <c r="DB53" s="1259">
        <v>3.86</v>
      </c>
      <c r="DC53" s="1257">
        <v>4.1100000000000003</v>
      </c>
      <c r="DD53" s="1258">
        <v>4.34</v>
      </c>
      <c r="DE53" s="1258">
        <v>4.54</v>
      </c>
      <c r="DF53" s="1258">
        <v>4.71</v>
      </c>
      <c r="DG53" s="1258">
        <v>4.8600000000000003</v>
      </c>
      <c r="DH53" s="1258">
        <v>4.9800000000000004</v>
      </c>
      <c r="DI53" s="1258">
        <v>5.08</v>
      </c>
      <c r="DJ53" s="1258">
        <v>5.16</v>
      </c>
      <c r="DK53" s="1258">
        <v>5.22</v>
      </c>
      <c r="DL53" s="1259">
        <v>5.27</v>
      </c>
      <c r="DM53" s="1257">
        <v>5.31</v>
      </c>
      <c r="DN53" s="1258">
        <v>5.33</v>
      </c>
      <c r="DO53" s="1258">
        <v>5.35</v>
      </c>
      <c r="DP53" s="1258">
        <v>5.36</v>
      </c>
      <c r="DQ53" s="1258">
        <v>5.37</v>
      </c>
      <c r="DR53" s="1258"/>
      <c r="DS53" s="1258"/>
      <c r="DT53" s="1258"/>
      <c r="DU53" s="1258"/>
      <c r="DV53" s="1259"/>
      <c r="DW53" s="1257"/>
      <c r="DX53" s="1258"/>
      <c r="DY53" s="1258"/>
      <c r="DZ53" s="1258"/>
      <c r="EA53" s="1258"/>
      <c r="EB53" s="1258"/>
      <c r="EC53" s="1258"/>
      <c r="ED53" s="1258"/>
      <c r="EE53" s="1258"/>
      <c r="EF53" s="1259"/>
      <c r="EG53" s="1257"/>
      <c r="EH53" s="1258"/>
      <c r="EI53" s="1258"/>
      <c r="EJ53" s="1258"/>
      <c r="EK53" s="1258"/>
      <c r="EL53" s="1258"/>
      <c r="EM53" s="1258"/>
      <c r="EN53" s="1258"/>
      <c r="EO53" s="1258"/>
      <c r="EP53" s="1259"/>
      <c r="EQ53" s="1257"/>
      <c r="ER53" s="1258"/>
      <c r="ES53" s="1258"/>
      <c r="ET53" s="1258"/>
      <c r="EU53" s="1258"/>
      <c r="EV53" s="1258"/>
      <c r="EW53" s="1258"/>
      <c r="EX53" s="1258"/>
      <c r="EY53" s="1258"/>
      <c r="EZ53" s="1259"/>
      <c r="FA53" s="1257"/>
      <c r="FB53" s="1258"/>
      <c r="FC53" s="1258"/>
      <c r="FD53" s="1258"/>
      <c r="FE53" s="1258"/>
      <c r="FF53" s="1258"/>
      <c r="FG53" s="1258"/>
      <c r="FH53" s="1258"/>
      <c r="FI53" s="1258"/>
      <c r="FJ53" s="1259"/>
      <c r="FK53" s="1258"/>
      <c r="FL53" s="1258"/>
      <c r="FM53" s="1259"/>
    </row>
    <row r="54" spans="1:169" s="1516" customFormat="1" ht="12.5">
      <c r="A54" s="1515" t="s">
        <v>1415</v>
      </c>
      <c r="B54" s="1178">
        <v>65</v>
      </c>
      <c r="C54" s="1263"/>
      <c r="D54" s="1264">
        <v>0.39</v>
      </c>
      <c r="E54" s="1264">
        <v>0.6</v>
      </c>
      <c r="F54" s="1264">
        <v>0.82</v>
      </c>
      <c r="G54" s="1264">
        <v>1.06</v>
      </c>
      <c r="H54" s="1264">
        <v>1.32</v>
      </c>
      <c r="I54" s="1264">
        <v>1.58</v>
      </c>
      <c r="J54" s="1264">
        <v>1.87</v>
      </c>
      <c r="K54" s="1265">
        <v>2.16</v>
      </c>
      <c r="L54" s="1263">
        <v>2.4700000000000002</v>
      </c>
      <c r="M54" s="1264">
        <v>2.8</v>
      </c>
      <c r="N54" s="1264">
        <v>3.13</v>
      </c>
      <c r="O54" s="1264">
        <v>3.48</v>
      </c>
      <c r="P54" s="1264">
        <v>3.83</v>
      </c>
      <c r="Q54" s="1264">
        <v>4.33</v>
      </c>
      <c r="R54" s="1264">
        <v>4.78</v>
      </c>
      <c r="S54" s="1264">
        <v>5.18</v>
      </c>
      <c r="T54" s="1264">
        <v>5.53</v>
      </c>
      <c r="U54" s="1265">
        <v>5.84</v>
      </c>
      <c r="V54" s="1263">
        <v>6.1</v>
      </c>
      <c r="W54" s="1264">
        <v>6.32</v>
      </c>
      <c r="X54" s="1264">
        <v>6.51</v>
      </c>
      <c r="Y54" s="1264">
        <v>6.66</v>
      </c>
      <c r="Z54" s="1264">
        <v>6.79</v>
      </c>
      <c r="AA54" s="1264">
        <v>6.89</v>
      </c>
      <c r="AB54" s="1264">
        <v>6.97</v>
      </c>
      <c r="AC54" s="1264">
        <v>7.03</v>
      </c>
      <c r="AD54" s="1264">
        <v>7.07</v>
      </c>
      <c r="AE54" s="1265">
        <v>7.1</v>
      </c>
      <c r="AF54" s="1263">
        <v>7.12</v>
      </c>
      <c r="AG54" s="1264">
        <v>7.14</v>
      </c>
      <c r="AH54" s="1264">
        <v>7.15</v>
      </c>
      <c r="AI54" s="1264">
        <v>7.15</v>
      </c>
      <c r="AJ54" s="1264"/>
      <c r="AK54" s="1264"/>
      <c r="AL54" s="1264"/>
      <c r="AM54" s="1264"/>
      <c r="AN54" s="1264"/>
      <c r="AO54" s="1265"/>
      <c r="AP54" s="1263"/>
      <c r="AQ54" s="1264"/>
      <c r="AR54" s="1264"/>
      <c r="AS54" s="1264"/>
      <c r="AT54" s="1264"/>
      <c r="AU54" s="1264"/>
      <c r="AV54" s="1264"/>
      <c r="AW54" s="1264"/>
      <c r="AX54" s="1264"/>
      <c r="AY54" s="1265"/>
      <c r="AZ54" s="1263"/>
      <c r="BA54" s="1264"/>
      <c r="BB54" s="1264"/>
      <c r="BC54" s="1264"/>
      <c r="BD54" s="1264"/>
      <c r="BE54" s="1264"/>
      <c r="BF54" s="1264"/>
      <c r="BG54" s="1264"/>
      <c r="BH54" s="1264"/>
      <c r="BI54" s="1265"/>
      <c r="BJ54" s="1263"/>
      <c r="BK54" s="1264"/>
      <c r="BL54" s="1264"/>
      <c r="BM54" s="1264"/>
      <c r="BN54" s="1264"/>
      <c r="BO54" s="1264"/>
      <c r="BP54" s="1264"/>
      <c r="BQ54" s="1264"/>
      <c r="BR54" s="1264"/>
      <c r="BS54" s="1265"/>
      <c r="BT54" s="1263"/>
      <c r="BU54" s="1264"/>
      <c r="BV54" s="1264"/>
      <c r="BW54" s="1264"/>
      <c r="BX54" s="1264"/>
      <c r="BY54" s="1264"/>
      <c r="BZ54" s="1264"/>
      <c r="CA54" s="1264"/>
      <c r="CB54" s="1264"/>
      <c r="CC54" s="1265"/>
      <c r="CD54" s="1264"/>
      <c r="CE54" s="1264"/>
      <c r="CF54" s="1265"/>
      <c r="CH54" s="1515" t="str">
        <f t="shared" si="0"/>
        <v>WPTPDF65</v>
      </c>
      <c r="CI54" s="1178">
        <v>65</v>
      </c>
      <c r="CJ54" s="1263"/>
      <c r="CK54" s="1264">
        <v>0.22</v>
      </c>
      <c r="CL54" s="1264">
        <v>0.34</v>
      </c>
      <c r="CM54" s="1264">
        <v>0.47</v>
      </c>
      <c r="CN54" s="1264">
        <v>0.61</v>
      </c>
      <c r="CO54" s="1264">
        <v>0.77</v>
      </c>
      <c r="CP54" s="1264">
        <v>0.94</v>
      </c>
      <c r="CQ54" s="1264">
        <v>1.1299999999999999</v>
      </c>
      <c r="CR54" s="1265">
        <v>1.33</v>
      </c>
      <c r="CS54" s="1263">
        <v>1.54</v>
      </c>
      <c r="CT54" s="1264">
        <v>1.77</v>
      </c>
      <c r="CU54" s="1264">
        <v>2.02</v>
      </c>
      <c r="CV54" s="1264">
        <v>2.2799999999999998</v>
      </c>
      <c r="CW54" s="1264">
        <v>2.56</v>
      </c>
      <c r="CX54" s="1264">
        <v>2.96</v>
      </c>
      <c r="CY54" s="1264">
        <v>3.33</v>
      </c>
      <c r="CZ54" s="1264">
        <v>3.66</v>
      </c>
      <c r="DA54" s="1264">
        <v>3.97</v>
      </c>
      <c r="DB54" s="1265">
        <v>4.24</v>
      </c>
      <c r="DC54" s="1263">
        <v>4.4800000000000004</v>
      </c>
      <c r="DD54" s="1264">
        <v>4.6900000000000004</v>
      </c>
      <c r="DE54" s="1264">
        <v>4.88</v>
      </c>
      <c r="DF54" s="1264">
        <v>5.03</v>
      </c>
      <c r="DG54" s="1264">
        <v>5.16</v>
      </c>
      <c r="DH54" s="1264">
        <v>5.27</v>
      </c>
      <c r="DI54" s="1264">
        <v>5.35</v>
      </c>
      <c r="DJ54" s="1264">
        <v>5.42</v>
      </c>
      <c r="DK54" s="1264">
        <v>5.47</v>
      </c>
      <c r="DL54" s="1265">
        <v>5.51</v>
      </c>
      <c r="DM54" s="1263">
        <v>5.54</v>
      </c>
      <c r="DN54" s="1264">
        <v>5.55</v>
      </c>
      <c r="DO54" s="1264">
        <v>5.57</v>
      </c>
      <c r="DP54" s="1264">
        <v>5.57</v>
      </c>
      <c r="DQ54" s="1264"/>
      <c r="DR54" s="1264"/>
      <c r="DS54" s="1264"/>
      <c r="DT54" s="1264"/>
      <c r="DU54" s="1264"/>
      <c r="DV54" s="1265"/>
      <c r="DW54" s="1263"/>
      <c r="DX54" s="1264"/>
      <c r="DY54" s="1264"/>
      <c r="DZ54" s="1264"/>
      <c r="EA54" s="1264"/>
      <c r="EB54" s="1264"/>
      <c r="EC54" s="1264"/>
      <c r="ED54" s="1264"/>
      <c r="EE54" s="1264"/>
      <c r="EF54" s="1265"/>
      <c r="EG54" s="1263"/>
      <c r="EH54" s="1264"/>
      <c r="EI54" s="1264"/>
      <c r="EJ54" s="1264"/>
      <c r="EK54" s="1264"/>
      <c r="EL54" s="1264"/>
      <c r="EM54" s="1264"/>
      <c r="EN54" s="1264"/>
      <c r="EO54" s="1264"/>
      <c r="EP54" s="1265"/>
      <c r="EQ54" s="1263"/>
      <c r="ER54" s="1264"/>
      <c r="ES54" s="1264"/>
      <c r="ET54" s="1264"/>
      <c r="EU54" s="1264"/>
      <c r="EV54" s="1264"/>
      <c r="EW54" s="1264"/>
      <c r="EX54" s="1264"/>
      <c r="EY54" s="1264"/>
      <c r="EZ54" s="1265"/>
      <c r="FA54" s="1263"/>
      <c r="FB54" s="1264"/>
      <c r="FC54" s="1264"/>
      <c r="FD54" s="1264"/>
      <c r="FE54" s="1264"/>
      <c r="FF54" s="1264"/>
      <c r="FG54" s="1264"/>
      <c r="FH54" s="1264"/>
      <c r="FI54" s="1264"/>
      <c r="FJ54" s="1265"/>
      <c r="FK54" s="1264"/>
      <c r="FL54" s="1264"/>
      <c r="FM54" s="1265"/>
    </row>
    <row r="55" spans="1:169" s="1516" customFormat="1" ht="12.5">
      <c r="A55" s="1515" t="s">
        <v>1416</v>
      </c>
      <c r="B55" s="1176">
        <v>66</v>
      </c>
      <c r="C55" s="1257"/>
      <c r="D55" s="1258">
        <v>0.43</v>
      </c>
      <c r="E55" s="1258">
        <v>0.67</v>
      </c>
      <c r="F55" s="1258">
        <v>0.92</v>
      </c>
      <c r="G55" s="1258">
        <v>1.18</v>
      </c>
      <c r="H55" s="1258">
        <v>1.46</v>
      </c>
      <c r="I55" s="1258">
        <v>1.76</v>
      </c>
      <c r="J55" s="1258">
        <v>2.0699999999999998</v>
      </c>
      <c r="K55" s="1259">
        <v>2.39</v>
      </c>
      <c r="L55" s="1257">
        <v>2.73</v>
      </c>
      <c r="M55" s="1258">
        <v>3.09</v>
      </c>
      <c r="N55" s="1258">
        <v>3.45</v>
      </c>
      <c r="O55" s="1258">
        <v>3.82</v>
      </c>
      <c r="P55" s="1258">
        <v>4.3499999999999996</v>
      </c>
      <c r="Q55" s="1258">
        <v>4.83</v>
      </c>
      <c r="R55" s="1258">
        <v>5.26</v>
      </c>
      <c r="S55" s="1258">
        <v>5.63</v>
      </c>
      <c r="T55" s="1258">
        <v>5.96</v>
      </c>
      <c r="U55" s="1259">
        <v>6.24</v>
      </c>
      <c r="V55" s="1257">
        <v>6.48</v>
      </c>
      <c r="W55" s="1258">
        <v>6.68</v>
      </c>
      <c r="X55" s="1258">
        <v>6.84</v>
      </c>
      <c r="Y55" s="1258">
        <v>6.98</v>
      </c>
      <c r="Z55" s="1258">
        <v>7.09</v>
      </c>
      <c r="AA55" s="1258">
        <v>7.17</v>
      </c>
      <c r="AB55" s="1258">
        <v>7.23</v>
      </c>
      <c r="AC55" s="1258">
        <v>7.28</v>
      </c>
      <c r="AD55" s="1258">
        <v>7.31</v>
      </c>
      <c r="AE55" s="1259">
        <v>7.34</v>
      </c>
      <c r="AF55" s="1257">
        <v>7.35</v>
      </c>
      <c r="AG55" s="1258">
        <v>7.36</v>
      </c>
      <c r="AH55" s="1258">
        <v>7.37</v>
      </c>
      <c r="AI55" s="1258"/>
      <c r="AJ55" s="1258"/>
      <c r="AK55" s="1258"/>
      <c r="AL55" s="1258"/>
      <c r="AM55" s="1258"/>
      <c r="AN55" s="1258"/>
      <c r="AO55" s="1259"/>
      <c r="AP55" s="1257"/>
      <c r="AQ55" s="1258"/>
      <c r="AR55" s="1258"/>
      <c r="AS55" s="1258"/>
      <c r="AT55" s="1258"/>
      <c r="AU55" s="1258"/>
      <c r="AV55" s="1258"/>
      <c r="AW55" s="1258"/>
      <c r="AX55" s="1258"/>
      <c r="AY55" s="1259"/>
      <c r="AZ55" s="1257"/>
      <c r="BA55" s="1258"/>
      <c r="BB55" s="1258"/>
      <c r="BC55" s="1258"/>
      <c r="BD55" s="1258"/>
      <c r="BE55" s="1258"/>
      <c r="BF55" s="1258"/>
      <c r="BG55" s="1258"/>
      <c r="BH55" s="1258"/>
      <c r="BI55" s="1259"/>
      <c r="BJ55" s="1257"/>
      <c r="BK55" s="1258"/>
      <c r="BL55" s="1258"/>
      <c r="BM55" s="1258"/>
      <c r="BN55" s="1258"/>
      <c r="BO55" s="1258"/>
      <c r="BP55" s="1258"/>
      <c r="BQ55" s="1258"/>
      <c r="BR55" s="1258"/>
      <c r="BS55" s="1259"/>
      <c r="BT55" s="1257"/>
      <c r="BU55" s="1258"/>
      <c r="BV55" s="1258"/>
      <c r="BW55" s="1258"/>
      <c r="BX55" s="1258"/>
      <c r="BY55" s="1258"/>
      <c r="BZ55" s="1258"/>
      <c r="CA55" s="1258"/>
      <c r="CB55" s="1258"/>
      <c r="CC55" s="1259"/>
      <c r="CD55" s="1258"/>
      <c r="CE55" s="1258"/>
      <c r="CF55" s="1259"/>
      <c r="CH55" s="1515" t="str">
        <f t="shared" si="0"/>
        <v>WPTPDF66</v>
      </c>
      <c r="CI55" s="1176">
        <v>66</v>
      </c>
      <c r="CJ55" s="1257"/>
      <c r="CK55" s="1258">
        <v>0.25</v>
      </c>
      <c r="CL55" s="1258">
        <v>0.38</v>
      </c>
      <c r="CM55" s="1258">
        <v>0.54</v>
      </c>
      <c r="CN55" s="1258">
        <v>0.7</v>
      </c>
      <c r="CO55" s="1258">
        <v>0.88</v>
      </c>
      <c r="CP55" s="1258">
        <v>1.07</v>
      </c>
      <c r="CQ55" s="1258">
        <v>1.28</v>
      </c>
      <c r="CR55" s="1259">
        <v>1.51</v>
      </c>
      <c r="CS55" s="1257">
        <v>1.75</v>
      </c>
      <c r="CT55" s="1258">
        <v>2.0099999999999998</v>
      </c>
      <c r="CU55" s="1258">
        <v>2.29</v>
      </c>
      <c r="CV55" s="1258">
        <v>2.57</v>
      </c>
      <c r="CW55" s="1258">
        <v>3</v>
      </c>
      <c r="CX55" s="1258">
        <v>3.4</v>
      </c>
      <c r="CY55" s="1258">
        <v>3.76</v>
      </c>
      <c r="CZ55" s="1258">
        <v>4.08</v>
      </c>
      <c r="DA55" s="1258">
        <v>4.37</v>
      </c>
      <c r="DB55" s="1259">
        <v>4.63</v>
      </c>
      <c r="DC55" s="1257">
        <v>4.8499999999999996</v>
      </c>
      <c r="DD55" s="1258">
        <v>5.05</v>
      </c>
      <c r="DE55" s="1258">
        <v>5.21</v>
      </c>
      <c r="DF55" s="1258">
        <v>5.35</v>
      </c>
      <c r="DG55" s="1258">
        <v>5.47</v>
      </c>
      <c r="DH55" s="1258">
        <v>5.56</v>
      </c>
      <c r="DI55" s="1258">
        <v>5.63</v>
      </c>
      <c r="DJ55" s="1258">
        <v>5.68</v>
      </c>
      <c r="DK55" s="1258">
        <v>5.72</v>
      </c>
      <c r="DL55" s="1259">
        <v>5.75</v>
      </c>
      <c r="DM55" s="1257">
        <v>5.77</v>
      </c>
      <c r="DN55" s="1258">
        <v>5.78</v>
      </c>
      <c r="DO55" s="1258">
        <v>5.79</v>
      </c>
      <c r="DP55" s="1258"/>
      <c r="DQ55" s="1258"/>
      <c r="DR55" s="1258"/>
      <c r="DS55" s="1258"/>
      <c r="DT55" s="1258"/>
      <c r="DU55" s="1258"/>
      <c r="DV55" s="1259"/>
      <c r="DW55" s="1257"/>
      <c r="DX55" s="1258"/>
      <c r="DY55" s="1258"/>
      <c r="DZ55" s="1258"/>
      <c r="EA55" s="1258"/>
      <c r="EB55" s="1258"/>
      <c r="EC55" s="1258"/>
      <c r="ED55" s="1258"/>
      <c r="EE55" s="1258"/>
      <c r="EF55" s="1259"/>
      <c r="EG55" s="1257"/>
      <c r="EH55" s="1258"/>
      <c r="EI55" s="1258"/>
      <c r="EJ55" s="1258"/>
      <c r="EK55" s="1258"/>
      <c r="EL55" s="1258"/>
      <c r="EM55" s="1258"/>
      <c r="EN55" s="1258"/>
      <c r="EO55" s="1258"/>
      <c r="EP55" s="1259"/>
      <c r="EQ55" s="1257"/>
      <c r="ER55" s="1258"/>
      <c r="ES55" s="1258"/>
      <c r="ET55" s="1258"/>
      <c r="EU55" s="1258"/>
      <c r="EV55" s="1258"/>
      <c r="EW55" s="1258"/>
      <c r="EX55" s="1258"/>
      <c r="EY55" s="1258"/>
      <c r="EZ55" s="1259"/>
      <c r="FA55" s="1257"/>
      <c r="FB55" s="1258"/>
      <c r="FC55" s="1258"/>
      <c r="FD55" s="1258"/>
      <c r="FE55" s="1258"/>
      <c r="FF55" s="1258"/>
      <c r="FG55" s="1258"/>
      <c r="FH55" s="1258"/>
      <c r="FI55" s="1258"/>
      <c r="FJ55" s="1259"/>
      <c r="FK55" s="1258"/>
      <c r="FL55" s="1258"/>
      <c r="FM55" s="1259"/>
    </row>
    <row r="56" spans="1:169" s="1516" customFormat="1" ht="12.5">
      <c r="A56" s="1515" t="s">
        <v>1417</v>
      </c>
      <c r="B56" s="1176">
        <v>67</v>
      </c>
      <c r="C56" s="1257"/>
      <c r="D56" s="1258">
        <v>0.48</v>
      </c>
      <c r="E56" s="1258">
        <v>0.74</v>
      </c>
      <c r="F56" s="1258">
        <v>1.02</v>
      </c>
      <c r="G56" s="1258">
        <v>1.31</v>
      </c>
      <c r="H56" s="1258">
        <v>1.62</v>
      </c>
      <c r="I56" s="1258">
        <v>1.95</v>
      </c>
      <c r="J56" s="1258">
        <v>2.29</v>
      </c>
      <c r="K56" s="1259">
        <v>2.65</v>
      </c>
      <c r="L56" s="1257">
        <v>3.02</v>
      </c>
      <c r="M56" s="1258">
        <v>3.4</v>
      </c>
      <c r="N56" s="1258">
        <v>3.79</v>
      </c>
      <c r="O56" s="1258">
        <v>4.3600000000000003</v>
      </c>
      <c r="P56" s="1258">
        <v>4.88</v>
      </c>
      <c r="Q56" s="1258">
        <v>5.33</v>
      </c>
      <c r="R56" s="1258">
        <v>5.73</v>
      </c>
      <c r="S56" s="1258">
        <v>6.08</v>
      </c>
      <c r="T56" s="1258">
        <v>6.38</v>
      </c>
      <c r="U56" s="1259">
        <v>6.64</v>
      </c>
      <c r="V56" s="1257">
        <v>6.85</v>
      </c>
      <c r="W56" s="1258">
        <v>7.03</v>
      </c>
      <c r="X56" s="1258">
        <v>7.17</v>
      </c>
      <c r="Y56" s="1258">
        <v>7.29</v>
      </c>
      <c r="Z56" s="1258">
        <v>7.38</v>
      </c>
      <c r="AA56" s="1258">
        <v>7.44</v>
      </c>
      <c r="AB56" s="1258">
        <v>7.49</v>
      </c>
      <c r="AC56" s="1258">
        <v>7.53</v>
      </c>
      <c r="AD56" s="1258">
        <v>7.56</v>
      </c>
      <c r="AE56" s="1259">
        <v>7.57</v>
      </c>
      <c r="AF56" s="1257">
        <v>7.58</v>
      </c>
      <c r="AG56" s="1258">
        <v>7.59</v>
      </c>
      <c r="AH56" s="1258"/>
      <c r="AI56" s="1258"/>
      <c r="AJ56" s="1258"/>
      <c r="AK56" s="1258"/>
      <c r="AL56" s="1258"/>
      <c r="AM56" s="1258"/>
      <c r="AN56" s="1258"/>
      <c r="AO56" s="1259"/>
      <c r="AP56" s="1257"/>
      <c r="AQ56" s="1258"/>
      <c r="AR56" s="1258"/>
      <c r="AS56" s="1258"/>
      <c r="AT56" s="1258"/>
      <c r="AU56" s="1258"/>
      <c r="AV56" s="1258"/>
      <c r="AW56" s="1258"/>
      <c r="AX56" s="1258"/>
      <c r="AY56" s="1259"/>
      <c r="AZ56" s="1257"/>
      <c r="BA56" s="1258"/>
      <c r="BB56" s="1258"/>
      <c r="BC56" s="1258"/>
      <c r="BD56" s="1258"/>
      <c r="BE56" s="1258"/>
      <c r="BF56" s="1258"/>
      <c r="BG56" s="1258"/>
      <c r="BH56" s="1258"/>
      <c r="BI56" s="1259"/>
      <c r="BJ56" s="1257"/>
      <c r="BK56" s="1258"/>
      <c r="BL56" s="1258"/>
      <c r="BM56" s="1258"/>
      <c r="BN56" s="1258"/>
      <c r="BO56" s="1258"/>
      <c r="BP56" s="1258"/>
      <c r="BQ56" s="1258"/>
      <c r="BR56" s="1258"/>
      <c r="BS56" s="1259"/>
      <c r="BT56" s="1257"/>
      <c r="BU56" s="1258"/>
      <c r="BV56" s="1258"/>
      <c r="BW56" s="1258"/>
      <c r="BX56" s="1258"/>
      <c r="BY56" s="1258"/>
      <c r="BZ56" s="1258"/>
      <c r="CA56" s="1258"/>
      <c r="CB56" s="1258"/>
      <c r="CC56" s="1259"/>
      <c r="CD56" s="1258"/>
      <c r="CE56" s="1258"/>
      <c r="CF56" s="1259"/>
      <c r="CH56" s="1515" t="str">
        <f t="shared" si="0"/>
        <v>WPTPDF67</v>
      </c>
      <c r="CI56" s="1176">
        <v>67</v>
      </c>
      <c r="CJ56" s="1257"/>
      <c r="CK56" s="1258">
        <v>0.28000000000000003</v>
      </c>
      <c r="CL56" s="1258">
        <v>0.44</v>
      </c>
      <c r="CM56" s="1258">
        <v>0.61</v>
      </c>
      <c r="CN56" s="1258">
        <v>0.8</v>
      </c>
      <c r="CO56" s="1258">
        <v>1.01</v>
      </c>
      <c r="CP56" s="1258">
        <v>1.23</v>
      </c>
      <c r="CQ56" s="1258">
        <v>1.47</v>
      </c>
      <c r="CR56" s="1259">
        <v>1.72</v>
      </c>
      <c r="CS56" s="1257">
        <v>1.99</v>
      </c>
      <c r="CT56" s="1258">
        <v>2.2799999999999998</v>
      </c>
      <c r="CU56" s="1258">
        <v>2.58</v>
      </c>
      <c r="CV56" s="1258">
        <v>3.04</v>
      </c>
      <c r="CW56" s="1258">
        <v>3.46</v>
      </c>
      <c r="CX56" s="1258">
        <v>3.85</v>
      </c>
      <c r="CY56" s="1258">
        <v>4.1900000000000004</v>
      </c>
      <c r="CZ56" s="1258">
        <v>4.5</v>
      </c>
      <c r="DA56" s="1258">
        <v>4.78</v>
      </c>
      <c r="DB56" s="1259">
        <v>5.0199999999999996</v>
      </c>
      <c r="DC56" s="1257">
        <v>5.23</v>
      </c>
      <c r="DD56" s="1258">
        <v>5.4</v>
      </c>
      <c r="DE56" s="1258">
        <v>5.55</v>
      </c>
      <c r="DF56" s="1258">
        <v>5.67</v>
      </c>
      <c r="DG56" s="1258">
        <v>5.77</v>
      </c>
      <c r="DH56" s="1258">
        <v>5.85</v>
      </c>
      <c r="DI56" s="1258">
        <v>5.9</v>
      </c>
      <c r="DJ56" s="1258">
        <v>5.95</v>
      </c>
      <c r="DK56" s="1258">
        <v>5.98</v>
      </c>
      <c r="DL56" s="1259">
        <v>6</v>
      </c>
      <c r="DM56" s="1257">
        <v>6.01</v>
      </c>
      <c r="DN56" s="1258">
        <v>6.02</v>
      </c>
      <c r="DO56" s="1258"/>
      <c r="DP56" s="1258"/>
      <c r="DQ56" s="1258"/>
      <c r="DR56" s="1258"/>
      <c r="DS56" s="1258"/>
      <c r="DT56" s="1258"/>
      <c r="DU56" s="1258"/>
      <c r="DV56" s="1259"/>
      <c r="DW56" s="1257"/>
      <c r="DX56" s="1258"/>
      <c r="DY56" s="1258"/>
      <c r="DZ56" s="1258"/>
      <c r="EA56" s="1258"/>
      <c r="EB56" s="1258"/>
      <c r="EC56" s="1258"/>
      <c r="ED56" s="1258"/>
      <c r="EE56" s="1258"/>
      <c r="EF56" s="1259"/>
      <c r="EG56" s="1257"/>
      <c r="EH56" s="1258"/>
      <c r="EI56" s="1258"/>
      <c r="EJ56" s="1258"/>
      <c r="EK56" s="1258"/>
      <c r="EL56" s="1258"/>
      <c r="EM56" s="1258"/>
      <c r="EN56" s="1258"/>
      <c r="EO56" s="1258"/>
      <c r="EP56" s="1259"/>
      <c r="EQ56" s="1257"/>
      <c r="ER56" s="1258"/>
      <c r="ES56" s="1258"/>
      <c r="ET56" s="1258"/>
      <c r="EU56" s="1258"/>
      <c r="EV56" s="1258"/>
      <c r="EW56" s="1258"/>
      <c r="EX56" s="1258"/>
      <c r="EY56" s="1258"/>
      <c r="EZ56" s="1259"/>
      <c r="FA56" s="1257"/>
      <c r="FB56" s="1258"/>
      <c r="FC56" s="1258"/>
      <c r="FD56" s="1258"/>
      <c r="FE56" s="1258"/>
      <c r="FF56" s="1258"/>
      <c r="FG56" s="1258"/>
      <c r="FH56" s="1258"/>
      <c r="FI56" s="1258"/>
      <c r="FJ56" s="1259"/>
      <c r="FK56" s="1258"/>
      <c r="FL56" s="1258"/>
      <c r="FM56" s="1259"/>
    </row>
    <row r="57" spans="1:169" s="1516" customFormat="1" ht="12.5">
      <c r="A57" s="1515" t="s">
        <v>1418</v>
      </c>
      <c r="B57" s="1176">
        <v>68</v>
      </c>
      <c r="C57" s="1257"/>
      <c r="D57" s="1258">
        <v>0.53</v>
      </c>
      <c r="E57" s="1258">
        <v>0.82</v>
      </c>
      <c r="F57" s="1258">
        <v>1.1299999999999999</v>
      </c>
      <c r="G57" s="1258">
        <v>1.46</v>
      </c>
      <c r="H57" s="1258">
        <v>1.8</v>
      </c>
      <c r="I57" s="1258">
        <v>2.16</v>
      </c>
      <c r="J57" s="1258">
        <v>2.54</v>
      </c>
      <c r="K57" s="1259">
        <v>2.93</v>
      </c>
      <c r="L57" s="1257">
        <v>3.33</v>
      </c>
      <c r="M57" s="1258">
        <v>3.74</v>
      </c>
      <c r="N57" s="1258">
        <v>4.3600000000000003</v>
      </c>
      <c r="O57" s="1258">
        <v>4.91</v>
      </c>
      <c r="P57" s="1258">
        <v>5.4</v>
      </c>
      <c r="Q57" s="1258">
        <v>5.83</v>
      </c>
      <c r="R57" s="1258">
        <v>6.2</v>
      </c>
      <c r="S57" s="1258">
        <v>6.52</v>
      </c>
      <c r="T57" s="1258">
        <v>6.8</v>
      </c>
      <c r="U57" s="1259">
        <v>7.03</v>
      </c>
      <c r="V57" s="1257">
        <v>7.22</v>
      </c>
      <c r="W57" s="1258">
        <v>7.37</v>
      </c>
      <c r="X57" s="1258">
        <v>7.49</v>
      </c>
      <c r="Y57" s="1258">
        <v>7.59</v>
      </c>
      <c r="Z57" s="1258">
        <v>7.66</v>
      </c>
      <c r="AA57" s="1258">
        <v>7.72</v>
      </c>
      <c r="AB57" s="1258">
        <v>7.75</v>
      </c>
      <c r="AC57" s="1258">
        <v>7.78</v>
      </c>
      <c r="AD57" s="1258">
        <v>7.8</v>
      </c>
      <c r="AE57" s="1259">
        <v>7.81</v>
      </c>
      <c r="AF57" s="1257">
        <v>7.82</v>
      </c>
      <c r="AG57" s="1258"/>
      <c r="AH57" s="1258"/>
      <c r="AI57" s="1258"/>
      <c r="AJ57" s="1258"/>
      <c r="AK57" s="1258"/>
      <c r="AL57" s="1258"/>
      <c r="AM57" s="1258"/>
      <c r="AN57" s="1258"/>
      <c r="AO57" s="1259"/>
      <c r="AP57" s="1257"/>
      <c r="AQ57" s="1258"/>
      <c r="AR57" s="1258"/>
      <c r="AS57" s="1258"/>
      <c r="AT57" s="1258"/>
      <c r="AU57" s="1258"/>
      <c r="AV57" s="1258"/>
      <c r="AW57" s="1258"/>
      <c r="AX57" s="1258"/>
      <c r="AY57" s="1259"/>
      <c r="AZ57" s="1257"/>
      <c r="BA57" s="1258"/>
      <c r="BB57" s="1258"/>
      <c r="BC57" s="1258"/>
      <c r="BD57" s="1258"/>
      <c r="BE57" s="1258"/>
      <c r="BF57" s="1258"/>
      <c r="BG57" s="1258"/>
      <c r="BH57" s="1258"/>
      <c r="BI57" s="1259"/>
      <c r="BJ57" s="1257"/>
      <c r="BK57" s="1258"/>
      <c r="BL57" s="1258"/>
      <c r="BM57" s="1258"/>
      <c r="BN57" s="1258"/>
      <c r="BO57" s="1258"/>
      <c r="BP57" s="1258"/>
      <c r="BQ57" s="1258"/>
      <c r="BR57" s="1258"/>
      <c r="BS57" s="1259"/>
      <c r="BT57" s="1257"/>
      <c r="BU57" s="1258"/>
      <c r="BV57" s="1258"/>
      <c r="BW57" s="1258"/>
      <c r="BX57" s="1258"/>
      <c r="BY57" s="1258"/>
      <c r="BZ57" s="1258"/>
      <c r="CA57" s="1258"/>
      <c r="CB57" s="1258"/>
      <c r="CC57" s="1259"/>
      <c r="CD57" s="1258"/>
      <c r="CE57" s="1258"/>
      <c r="CF57" s="1259"/>
      <c r="CH57" s="1515" t="str">
        <f t="shared" si="0"/>
        <v>WPTPDF68</v>
      </c>
      <c r="CI57" s="1176">
        <v>68</v>
      </c>
      <c r="CJ57" s="1257"/>
      <c r="CK57" s="1258">
        <v>0.32</v>
      </c>
      <c r="CL57" s="1258">
        <v>0.5</v>
      </c>
      <c r="CM57" s="1258">
        <v>0.7</v>
      </c>
      <c r="CN57" s="1258">
        <v>0.92</v>
      </c>
      <c r="CO57" s="1258">
        <v>1.1499999999999999</v>
      </c>
      <c r="CP57" s="1258">
        <v>1.4</v>
      </c>
      <c r="CQ57" s="1258">
        <v>1.67</v>
      </c>
      <c r="CR57" s="1259">
        <v>1.96</v>
      </c>
      <c r="CS57" s="1257">
        <v>2.2599999999999998</v>
      </c>
      <c r="CT57" s="1258">
        <v>2.58</v>
      </c>
      <c r="CU57" s="1258">
        <v>3.07</v>
      </c>
      <c r="CV57" s="1258">
        <v>3.52</v>
      </c>
      <c r="CW57" s="1258">
        <v>3.93</v>
      </c>
      <c r="CX57" s="1258">
        <v>4.3</v>
      </c>
      <c r="CY57" s="1258">
        <v>4.6399999999999997</v>
      </c>
      <c r="CZ57" s="1258">
        <v>4.93</v>
      </c>
      <c r="DA57" s="1258">
        <v>5.19</v>
      </c>
      <c r="DB57" s="1259">
        <v>5.41</v>
      </c>
      <c r="DC57" s="1257">
        <v>5.6</v>
      </c>
      <c r="DD57" s="1258">
        <v>5.76</v>
      </c>
      <c r="DE57" s="1258">
        <v>5.89</v>
      </c>
      <c r="DF57" s="1258">
        <v>5.99</v>
      </c>
      <c r="DG57" s="1258">
        <v>6.07</v>
      </c>
      <c r="DH57" s="1258">
        <v>6.14</v>
      </c>
      <c r="DI57" s="1258">
        <v>6.18</v>
      </c>
      <c r="DJ57" s="1258">
        <v>6.21</v>
      </c>
      <c r="DK57" s="1258">
        <v>6.24</v>
      </c>
      <c r="DL57" s="1259">
        <v>6.25</v>
      </c>
      <c r="DM57" s="1257">
        <v>6.26</v>
      </c>
      <c r="DN57" s="1258"/>
      <c r="DO57" s="1258"/>
      <c r="DP57" s="1258"/>
      <c r="DQ57" s="1258"/>
      <c r="DR57" s="1258"/>
      <c r="DS57" s="1258"/>
      <c r="DT57" s="1258"/>
      <c r="DU57" s="1258"/>
      <c r="DV57" s="1259"/>
      <c r="DW57" s="1257"/>
      <c r="DX57" s="1258"/>
      <c r="DY57" s="1258"/>
      <c r="DZ57" s="1258"/>
      <c r="EA57" s="1258"/>
      <c r="EB57" s="1258"/>
      <c r="EC57" s="1258"/>
      <c r="ED57" s="1258"/>
      <c r="EE57" s="1258"/>
      <c r="EF57" s="1259"/>
      <c r="EG57" s="1257"/>
      <c r="EH57" s="1258"/>
      <c r="EI57" s="1258"/>
      <c r="EJ57" s="1258"/>
      <c r="EK57" s="1258"/>
      <c r="EL57" s="1258"/>
      <c r="EM57" s="1258"/>
      <c r="EN57" s="1258"/>
      <c r="EO57" s="1258"/>
      <c r="EP57" s="1259"/>
      <c r="EQ57" s="1257"/>
      <c r="ER57" s="1258"/>
      <c r="ES57" s="1258"/>
      <c r="ET57" s="1258"/>
      <c r="EU57" s="1258"/>
      <c r="EV57" s="1258"/>
      <c r="EW57" s="1258"/>
      <c r="EX57" s="1258"/>
      <c r="EY57" s="1258"/>
      <c r="EZ57" s="1259"/>
      <c r="FA57" s="1257"/>
      <c r="FB57" s="1258"/>
      <c r="FC57" s="1258"/>
      <c r="FD57" s="1258"/>
      <c r="FE57" s="1258"/>
      <c r="FF57" s="1258"/>
      <c r="FG57" s="1258"/>
      <c r="FH57" s="1258"/>
      <c r="FI57" s="1258"/>
      <c r="FJ57" s="1259"/>
      <c r="FK57" s="1258"/>
      <c r="FL57" s="1258"/>
      <c r="FM57" s="1259"/>
    </row>
    <row r="58" spans="1:169" s="1516" customFormat="1" ht="12.5">
      <c r="A58" s="1515" t="s">
        <v>1419</v>
      </c>
      <c r="B58" s="1176">
        <v>69</v>
      </c>
      <c r="C58" s="1257"/>
      <c r="D58" s="1258">
        <v>0.59</v>
      </c>
      <c r="E58" s="1258">
        <v>0.92</v>
      </c>
      <c r="F58" s="1258">
        <v>1.26</v>
      </c>
      <c r="G58" s="1258">
        <v>1.62</v>
      </c>
      <c r="H58" s="1258">
        <v>2</v>
      </c>
      <c r="I58" s="1258">
        <v>2.4</v>
      </c>
      <c r="J58" s="1258">
        <v>2.81</v>
      </c>
      <c r="K58" s="1259">
        <v>3.24</v>
      </c>
      <c r="L58" s="1257">
        <v>3.67</v>
      </c>
      <c r="M58" s="1258">
        <v>4.33</v>
      </c>
      <c r="N58" s="1258">
        <v>4.92</v>
      </c>
      <c r="O58" s="1258">
        <v>5.45</v>
      </c>
      <c r="P58" s="1258">
        <v>5.91</v>
      </c>
      <c r="Q58" s="1258">
        <v>6.31</v>
      </c>
      <c r="R58" s="1258">
        <v>6.66</v>
      </c>
      <c r="S58" s="1258">
        <v>6.95</v>
      </c>
      <c r="T58" s="1258">
        <v>7.2</v>
      </c>
      <c r="U58" s="1259">
        <v>7.4</v>
      </c>
      <c r="V58" s="1257">
        <v>7.57</v>
      </c>
      <c r="W58" s="1258">
        <v>7.7</v>
      </c>
      <c r="X58" s="1258">
        <v>7.81</v>
      </c>
      <c r="Y58" s="1258">
        <v>7.88</v>
      </c>
      <c r="Z58" s="1258">
        <v>7.94</v>
      </c>
      <c r="AA58" s="1258">
        <v>7.98</v>
      </c>
      <c r="AB58" s="1258">
        <v>8.01</v>
      </c>
      <c r="AC58" s="1258">
        <v>8.0299999999999994</v>
      </c>
      <c r="AD58" s="1258">
        <v>8.0399999999999991</v>
      </c>
      <c r="AE58" s="1259">
        <v>8.0500000000000007</v>
      </c>
      <c r="AF58" s="1257"/>
      <c r="AG58" s="1258"/>
      <c r="AH58" s="1258"/>
      <c r="AI58" s="1258"/>
      <c r="AJ58" s="1258"/>
      <c r="AK58" s="1258"/>
      <c r="AL58" s="1258"/>
      <c r="AM58" s="1258"/>
      <c r="AN58" s="1258"/>
      <c r="AO58" s="1259"/>
      <c r="AP58" s="1257"/>
      <c r="AQ58" s="1258"/>
      <c r="AR58" s="1258"/>
      <c r="AS58" s="1258"/>
      <c r="AT58" s="1258"/>
      <c r="AU58" s="1258"/>
      <c r="AV58" s="1258"/>
      <c r="AW58" s="1258"/>
      <c r="AX58" s="1258"/>
      <c r="AY58" s="1259"/>
      <c r="AZ58" s="1257"/>
      <c r="BA58" s="1258"/>
      <c r="BB58" s="1258"/>
      <c r="BC58" s="1258"/>
      <c r="BD58" s="1258"/>
      <c r="BE58" s="1258"/>
      <c r="BF58" s="1258"/>
      <c r="BG58" s="1258"/>
      <c r="BH58" s="1258"/>
      <c r="BI58" s="1259"/>
      <c r="BJ58" s="1257"/>
      <c r="BK58" s="1258"/>
      <c r="BL58" s="1258"/>
      <c r="BM58" s="1258"/>
      <c r="BN58" s="1258"/>
      <c r="BO58" s="1258"/>
      <c r="BP58" s="1258"/>
      <c r="BQ58" s="1258"/>
      <c r="BR58" s="1258"/>
      <c r="BS58" s="1259"/>
      <c r="BT58" s="1257"/>
      <c r="BU58" s="1258"/>
      <c r="BV58" s="1258"/>
      <c r="BW58" s="1258"/>
      <c r="BX58" s="1258"/>
      <c r="BY58" s="1258"/>
      <c r="BZ58" s="1258"/>
      <c r="CA58" s="1258"/>
      <c r="CB58" s="1258"/>
      <c r="CC58" s="1259"/>
      <c r="CD58" s="1258"/>
      <c r="CE58" s="1258"/>
      <c r="CF58" s="1259"/>
      <c r="CH58" s="1515" t="str">
        <f t="shared" si="0"/>
        <v>WPTPDF69</v>
      </c>
      <c r="CI58" s="1176">
        <v>69</v>
      </c>
      <c r="CJ58" s="1257"/>
      <c r="CK58" s="1258">
        <v>0.37</v>
      </c>
      <c r="CL58" s="1258">
        <v>0.57999999999999996</v>
      </c>
      <c r="CM58" s="1258">
        <v>0.81</v>
      </c>
      <c r="CN58" s="1258">
        <v>1.05</v>
      </c>
      <c r="CO58" s="1258">
        <v>1.32</v>
      </c>
      <c r="CP58" s="1258">
        <v>1.6</v>
      </c>
      <c r="CQ58" s="1258">
        <v>1.9</v>
      </c>
      <c r="CR58" s="1259">
        <v>2.2200000000000002</v>
      </c>
      <c r="CS58" s="1257">
        <v>2.56</v>
      </c>
      <c r="CT58" s="1258">
        <v>3.08</v>
      </c>
      <c r="CU58" s="1258">
        <v>3.57</v>
      </c>
      <c r="CV58" s="1258">
        <v>4.01</v>
      </c>
      <c r="CW58" s="1258">
        <v>4.41</v>
      </c>
      <c r="CX58" s="1258">
        <v>4.76</v>
      </c>
      <c r="CY58" s="1258">
        <v>5.08</v>
      </c>
      <c r="CZ58" s="1258">
        <v>5.36</v>
      </c>
      <c r="DA58" s="1258">
        <v>5.59</v>
      </c>
      <c r="DB58" s="1259">
        <v>5.8</v>
      </c>
      <c r="DC58" s="1257">
        <v>5.97</v>
      </c>
      <c r="DD58" s="1258">
        <v>6.11</v>
      </c>
      <c r="DE58" s="1258">
        <v>6.22</v>
      </c>
      <c r="DF58" s="1258">
        <v>6.31</v>
      </c>
      <c r="DG58" s="1258">
        <v>6.37</v>
      </c>
      <c r="DH58" s="1258">
        <v>6.42</v>
      </c>
      <c r="DI58" s="1258">
        <v>6.46</v>
      </c>
      <c r="DJ58" s="1258">
        <v>6.48</v>
      </c>
      <c r="DK58" s="1258">
        <v>6.5</v>
      </c>
      <c r="DL58" s="1259">
        <v>6.51</v>
      </c>
      <c r="DM58" s="1257"/>
      <c r="DN58" s="1258"/>
      <c r="DO58" s="1258"/>
      <c r="DP58" s="1258"/>
      <c r="DQ58" s="1258"/>
      <c r="DR58" s="1258"/>
      <c r="DS58" s="1258"/>
      <c r="DT58" s="1258"/>
      <c r="DU58" s="1258"/>
      <c r="DV58" s="1259"/>
      <c r="DW58" s="1257"/>
      <c r="DX58" s="1258"/>
      <c r="DY58" s="1258"/>
      <c r="DZ58" s="1258"/>
      <c r="EA58" s="1258"/>
      <c r="EB58" s="1258"/>
      <c r="EC58" s="1258"/>
      <c r="ED58" s="1258"/>
      <c r="EE58" s="1258"/>
      <c r="EF58" s="1259"/>
      <c r="EG58" s="1257"/>
      <c r="EH58" s="1258"/>
      <c r="EI58" s="1258"/>
      <c r="EJ58" s="1258"/>
      <c r="EK58" s="1258"/>
      <c r="EL58" s="1258"/>
      <c r="EM58" s="1258"/>
      <c r="EN58" s="1258"/>
      <c r="EO58" s="1258"/>
      <c r="EP58" s="1259"/>
      <c r="EQ58" s="1257"/>
      <c r="ER58" s="1258"/>
      <c r="ES58" s="1258"/>
      <c r="ET58" s="1258"/>
      <c r="EU58" s="1258"/>
      <c r="EV58" s="1258"/>
      <c r="EW58" s="1258"/>
      <c r="EX58" s="1258"/>
      <c r="EY58" s="1258"/>
      <c r="EZ58" s="1259"/>
      <c r="FA58" s="1257"/>
      <c r="FB58" s="1258"/>
      <c r="FC58" s="1258"/>
      <c r="FD58" s="1258"/>
      <c r="FE58" s="1258"/>
      <c r="FF58" s="1258"/>
      <c r="FG58" s="1258"/>
      <c r="FH58" s="1258"/>
      <c r="FI58" s="1258"/>
      <c r="FJ58" s="1259"/>
      <c r="FK58" s="1258"/>
      <c r="FL58" s="1258"/>
      <c r="FM58" s="1259"/>
    </row>
    <row r="59" spans="1:169" s="1516" customFormat="1" ht="12.5">
      <c r="A59" s="1515" t="s">
        <v>1365</v>
      </c>
      <c r="B59" s="1179">
        <v>70</v>
      </c>
      <c r="C59" s="1266"/>
      <c r="D59" s="1267">
        <v>0.66</v>
      </c>
      <c r="E59" s="1267">
        <v>1.02</v>
      </c>
      <c r="F59" s="1267">
        <v>1.4</v>
      </c>
      <c r="G59" s="1267">
        <v>1.8</v>
      </c>
      <c r="H59" s="1267">
        <v>2.2200000000000002</v>
      </c>
      <c r="I59" s="1267">
        <v>2.66</v>
      </c>
      <c r="J59" s="1267">
        <v>3.11</v>
      </c>
      <c r="K59" s="1268">
        <v>3.57</v>
      </c>
      <c r="L59" s="1266">
        <v>4.28</v>
      </c>
      <c r="M59" s="1267">
        <v>4.92</v>
      </c>
      <c r="N59" s="1267">
        <v>5.48</v>
      </c>
      <c r="O59" s="1267">
        <v>5.98</v>
      </c>
      <c r="P59" s="1267">
        <v>6.41</v>
      </c>
      <c r="Q59" s="1267">
        <v>6.79</v>
      </c>
      <c r="R59" s="1267">
        <v>7.1</v>
      </c>
      <c r="S59" s="1267">
        <v>7.37</v>
      </c>
      <c r="T59" s="1267">
        <v>7.59</v>
      </c>
      <c r="U59" s="1268">
        <v>7.77</v>
      </c>
      <c r="V59" s="1266">
        <v>7.91</v>
      </c>
      <c r="W59" s="1267">
        <v>8.02</v>
      </c>
      <c r="X59" s="1267">
        <v>8.11</v>
      </c>
      <c r="Y59" s="1267">
        <v>8.17</v>
      </c>
      <c r="Z59" s="1267">
        <v>8.2100000000000009</v>
      </c>
      <c r="AA59" s="1267">
        <v>8.25</v>
      </c>
      <c r="AB59" s="1267">
        <v>8.27</v>
      </c>
      <c r="AC59" s="1267">
        <v>8.2799999999999994</v>
      </c>
      <c r="AD59" s="1267">
        <v>8.2899999999999991</v>
      </c>
      <c r="AE59" s="1268"/>
      <c r="AF59" s="1266"/>
      <c r="AG59" s="1267"/>
      <c r="AH59" s="1267"/>
      <c r="AI59" s="1267"/>
      <c r="AJ59" s="1267"/>
      <c r="AK59" s="1267"/>
      <c r="AL59" s="1267"/>
      <c r="AM59" s="1267"/>
      <c r="AN59" s="1267"/>
      <c r="AO59" s="1268"/>
      <c r="AP59" s="1266"/>
      <c r="AQ59" s="1267"/>
      <c r="AR59" s="1267"/>
      <c r="AS59" s="1267"/>
      <c r="AT59" s="1267"/>
      <c r="AU59" s="1267"/>
      <c r="AV59" s="1267"/>
      <c r="AW59" s="1267"/>
      <c r="AX59" s="1267"/>
      <c r="AY59" s="1268"/>
      <c r="AZ59" s="1266"/>
      <c r="BA59" s="1267"/>
      <c r="BB59" s="1267"/>
      <c r="BC59" s="1267"/>
      <c r="BD59" s="1267"/>
      <c r="BE59" s="1267"/>
      <c r="BF59" s="1267"/>
      <c r="BG59" s="1267"/>
      <c r="BH59" s="1267"/>
      <c r="BI59" s="1268"/>
      <c r="BJ59" s="1266"/>
      <c r="BK59" s="1267"/>
      <c r="BL59" s="1267"/>
      <c r="BM59" s="1267"/>
      <c r="BN59" s="1267"/>
      <c r="BO59" s="1267"/>
      <c r="BP59" s="1267"/>
      <c r="BQ59" s="1267"/>
      <c r="BR59" s="1267"/>
      <c r="BS59" s="1268"/>
      <c r="BT59" s="1266"/>
      <c r="BU59" s="1267"/>
      <c r="BV59" s="1267"/>
      <c r="BW59" s="1267"/>
      <c r="BX59" s="1267"/>
      <c r="BY59" s="1267"/>
      <c r="BZ59" s="1267"/>
      <c r="CA59" s="1267"/>
      <c r="CB59" s="1267"/>
      <c r="CC59" s="1268"/>
      <c r="CD59" s="1267"/>
      <c r="CE59" s="1267"/>
      <c r="CF59" s="1268"/>
      <c r="CH59" s="1515" t="str">
        <f t="shared" si="0"/>
        <v>WPTPDF70</v>
      </c>
      <c r="CI59" s="1179">
        <v>70</v>
      </c>
      <c r="CJ59" s="1266"/>
      <c r="CK59" s="1267">
        <v>0.42</v>
      </c>
      <c r="CL59" s="1267">
        <v>0.66</v>
      </c>
      <c r="CM59" s="1267">
        <v>0.92</v>
      </c>
      <c r="CN59" s="1267">
        <v>1.2</v>
      </c>
      <c r="CO59" s="1267">
        <v>1.5</v>
      </c>
      <c r="CP59" s="1267">
        <v>1.82</v>
      </c>
      <c r="CQ59" s="1267">
        <v>2.16</v>
      </c>
      <c r="CR59" s="1268">
        <v>2.5099999999999998</v>
      </c>
      <c r="CS59" s="1266">
        <v>3.08</v>
      </c>
      <c r="CT59" s="1267">
        <v>3.6</v>
      </c>
      <c r="CU59" s="1267">
        <v>4.07</v>
      </c>
      <c r="CV59" s="1267">
        <v>4.5</v>
      </c>
      <c r="CW59" s="1267">
        <v>4.8899999999999997</v>
      </c>
      <c r="CX59" s="1267">
        <v>5.23</v>
      </c>
      <c r="CY59" s="1267">
        <v>5.52</v>
      </c>
      <c r="CZ59" s="1267">
        <v>5.78</v>
      </c>
      <c r="DA59" s="1267">
        <v>6</v>
      </c>
      <c r="DB59" s="1268">
        <v>6.18</v>
      </c>
      <c r="DC59" s="1266">
        <v>6.33</v>
      </c>
      <c r="DD59" s="1267">
        <v>6.45</v>
      </c>
      <c r="DE59" s="1267">
        <v>6.55</v>
      </c>
      <c r="DF59" s="1267">
        <v>6.62</v>
      </c>
      <c r="DG59" s="1267">
        <v>6.67</v>
      </c>
      <c r="DH59" s="1267">
        <v>6.71</v>
      </c>
      <c r="DI59" s="1267">
        <v>6.74</v>
      </c>
      <c r="DJ59" s="1267">
        <v>6.75</v>
      </c>
      <c r="DK59" s="1267">
        <v>6.76</v>
      </c>
      <c r="DL59" s="1268"/>
      <c r="DM59" s="1266"/>
      <c r="DN59" s="1267"/>
      <c r="DO59" s="1267"/>
      <c r="DP59" s="1267"/>
      <c r="DQ59" s="1267"/>
      <c r="DR59" s="1267"/>
      <c r="DS59" s="1267"/>
      <c r="DT59" s="1267"/>
      <c r="DU59" s="1267"/>
      <c r="DV59" s="1268"/>
      <c r="DW59" s="1266"/>
      <c r="DX59" s="1267"/>
      <c r="DY59" s="1267"/>
      <c r="DZ59" s="1267"/>
      <c r="EA59" s="1267"/>
      <c r="EB59" s="1267"/>
      <c r="EC59" s="1267"/>
      <c r="ED59" s="1267"/>
      <c r="EE59" s="1267"/>
      <c r="EF59" s="1268"/>
      <c r="EG59" s="1266"/>
      <c r="EH59" s="1267"/>
      <c r="EI59" s="1267"/>
      <c r="EJ59" s="1267"/>
      <c r="EK59" s="1267"/>
      <c r="EL59" s="1267"/>
      <c r="EM59" s="1267"/>
      <c r="EN59" s="1267"/>
      <c r="EO59" s="1267"/>
      <c r="EP59" s="1268"/>
      <c r="EQ59" s="1266"/>
      <c r="ER59" s="1267"/>
      <c r="ES59" s="1267"/>
      <c r="ET59" s="1267"/>
      <c r="EU59" s="1267"/>
      <c r="EV59" s="1267"/>
      <c r="EW59" s="1267"/>
      <c r="EX59" s="1267"/>
      <c r="EY59" s="1267"/>
      <c r="EZ59" s="1268"/>
      <c r="FA59" s="1266"/>
      <c r="FB59" s="1267"/>
      <c r="FC59" s="1267"/>
      <c r="FD59" s="1267"/>
      <c r="FE59" s="1267"/>
      <c r="FF59" s="1267"/>
      <c r="FG59" s="1267"/>
      <c r="FH59" s="1267"/>
      <c r="FI59" s="1267"/>
      <c r="FJ59" s="1268"/>
      <c r="FK59" s="1267"/>
      <c r="FL59" s="1267"/>
      <c r="FM59" s="1268"/>
    </row>
    <row r="60" spans="1:169" s="1517" customFormat="1" ht="12.5">
      <c r="B60" s="1181"/>
      <c r="C60" s="1182"/>
      <c r="D60" s="1182"/>
      <c r="E60" s="1182"/>
      <c r="F60" s="1182"/>
      <c r="G60" s="1182"/>
      <c r="H60" s="1182"/>
      <c r="I60" s="1182"/>
      <c r="J60" s="1182"/>
      <c r="K60" s="1182"/>
      <c r="L60" s="1182"/>
      <c r="M60" s="1182"/>
      <c r="N60" s="1182"/>
      <c r="O60" s="1182"/>
      <c r="P60" s="1182"/>
      <c r="Q60" s="1182"/>
      <c r="R60" s="1182"/>
      <c r="S60" s="1182"/>
      <c r="T60" s="1182"/>
      <c r="U60" s="1182"/>
      <c r="V60" s="1182"/>
      <c r="W60" s="1182"/>
      <c r="X60" s="1182"/>
      <c r="Y60" s="1182"/>
      <c r="Z60" s="1182"/>
      <c r="AA60" s="1182"/>
      <c r="AB60" s="1182"/>
      <c r="AC60" s="1182"/>
      <c r="AD60" s="1182"/>
      <c r="AE60" s="1182"/>
      <c r="AF60" s="1182"/>
      <c r="AG60" s="1182"/>
      <c r="AH60" s="1182"/>
      <c r="AI60" s="1182"/>
      <c r="AJ60" s="1182"/>
      <c r="AK60" s="1182"/>
      <c r="AL60" s="1182"/>
      <c r="AM60" s="1182"/>
      <c r="AN60" s="1182"/>
      <c r="AO60" s="1182"/>
      <c r="AP60" s="1182"/>
      <c r="AQ60" s="1182"/>
      <c r="AR60" s="1182"/>
      <c r="AS60" s="1182"/>
      <c r="AT60" s="1182"/>
      <c r="AU60" s="1182"/>
      <c r="AV60" s="1182"/>
      <c r="AW60" s="1182"/>
      <c r="AX60" s="1182"/>
      <c r="AY60" s="1182"/>
      <c r="AZ60" s="1182"/>
      <c r="BA60" s="1182"/>
      <c r="BB60" s="1182"/>
      <c r="BC60" s="1182"/>
      <c r="BD60" s="1182"/>
      <c r="BE60" s="1182"/>
      <c r="BF60" s="1182"/>
      <c r="BG60" s="1182"/>
      <c r="BH60" s="1182"/>
      <c r="BI60" s="1182"/>
      <c r="BJ60" s="1182"/>
      <c r="BK60" s="1182"/>
      <c r="BL60" s="1182"/>
      <c r="BM60" s="1182"/>
      <c r="BN60" s="1182"/>
      <c r="BO60" s="1182"/>
      <c r="BP60" s="1182"/>
      <c r="BQ60" s="1182"/>
      <c r="BR60" s="1182"/>
      <c r="BS60" s="1182"/>
      <c r="BT60" s="1182"/>
      <c r="BU60" s="1182"/>
      <c r="BV60" s="1182"/>
      <c r="BW60" s="1182"/>
      <c r="BX60" s="1182"/>
      <c r="BY60" s="1182"/>
      <c r="BZ60" s="1182"/>
      <c r="CA60" s="1182"/>
      <c r="CB60" s="1182"/>
      <c r="CC60" s="1182"/>
      <c r="CD60" s="1182"/>
      <c r="CE60" s="1182"/>
      <c r="CF60" s="1182"/>
      <c r="CI60" s="1181"/>
      <c r="CJ60" s="1182"/>
      <c r="CK60" s="1182"/>
      <c r="CL60" s="1182"/>
      <c r="CM60" s="1182"/>
      <c r="CN60" s="1182"/>
      <c r="CO60" s="1182"/>
      <c r="CP60" s="1182"/>
      <c r="CQ60" s="1182"/>
      <c r="CR60" s="1182"/>
      <c r="CS60" s="1182"/>
      <c r="CT60" s="1182"/>
      <c r="CU60" s="1182"/>
      <c r="CV60" s="1182"/>
      <c r="CW60" s="1182"/>
      <c r="CX60" s="1182"/>
      <c r="CY60" s="1182"/>
      <c r="CZ60" s="1182"/>
      <c r="DA60" s="1182"/>
      <c r="DB60" s="1182"/>
      <c r="DC60" s="1182"/>
      <c r="DD60" s="1182"/>
      <c r="DE60" s="1182"/>
      <c r="DF60" s="1182"/>
      <c r="DG60" s="1182"/>
      <c r="DH60" s="1182"/>
      <c r="DI60" s="1182"/>
      <c r="DJ60" s="1182"/>
      <c r="DK60" s="1182"/>
      <c r="DL60" s="1182"/>
      <c r="DM60" s="1182"/>
      <c r="DN60" s="1182"/>
      <c r="DO60" s="1182"/>
      <c r="DP60" s="1182"/>
      <c r="DQ60" s="1182"/>
      <c r="DR60" s="1182"/>
      <c r="DS60" s="1182"/>
      <c r="DT60" s="1182"/>
      <c r="DU60" s="1182"/>
      <c r="DV60" s="1182"/>
      <c r="DW60" s="1182"/>
      <c r="DX60" s="1182"/>
      <c r="DY60" s="1182"/>
      <c r="DZ60" s="1182"/>
      <c r="EA60" s="1182"/>
      <c r="EB60" s="1182"/>
      <c r="EC60" s="1182"/>
      <c r="ED60" s="1182"/>
      <c r="EE60" s="1182"/>
      <c r="EF60" s="1182"/>
      <c r="EG60" s="1182"/>
      <c r="EH60" s="1182"/>
      <c r="EI60" s="1182"/>
      <c r="EJ60" s="1182"/>
      <c r="EK60" s="1182"/>
      <c r="EL60" s="1182"/>
      <c r="EM60" s="1182"/>
      <c r="EN60" s="1182"/>
      <c r="EO60" s="1182"/>
      <c r="EP60" s="1182"/>
      <c r="EQ60" s="1182"/>
      <c r="ER60" s="1182"/>
      <c r="ES60" s="1182"/>
      <c r="ET60" s="1182"/>
      <c r="EU60" s="1182"/>
      <c r="EV60" s="1182"/>
      <c r="EW60" s="1182"/>
      <c r="EX60" s="1182"/>
      <c r="EY60" s="1182"/>
      <c r="EZ60" s="1182"/>
      <c r="FA60" s="1182"/>
      <c r="FB60" s="1182"/>
      <c r="FC60" s="1182"/>
      <c r="FD60" s="1182"/>
      <c r="FE60" s="1182"/>
      <c r="FF60" s="1182"/>
      <c r="FG60" s="1182"/>
      <c r="FH60" s="1182"/>
      <c r="FI60" s="1182"/>
      <c r="FJ60" s="1182"/>
      <c r="FK60" s="1182"/>
      <c r="FL60" s="1182"/>
      <c r="FM60" s="1182"/>
    </row>
    <row r="61" spans="1:169" s="1519" customFormat="1" ht="16.5" customHeight="1">
      <c r="A61" s="1518" t="s">
        <v>1361</v>
      </c>
      <c r="B61" s="1518"/>
      <c r="C61" s="1518"/>
      <c r="D61" s="1518"/>
      <c r="E61" s="1518"/>
      <c r="F61" s="1518"/>
      <c r="G61" s="1518"/>
      <c r="H61" s="1518"/>
      <c r="I61" s="1518"/>
      <c r="J61" s="1518"/>
      <c r="K61" s="1518"/>
      <c r="L61" s="1518"/>
      <c r="M61" s="1518"/>
      <c r="N61" s="1518"/>
      <c r="O61" s="1518"/>
      <c r="P61" s="1518"/>
      <c r="Q61" s="1518"/>
      <c r="R61" s="1518"/>
      <c r="S61" s="1518"/>
      <c r="T61" s="1518"/>
      <c r="U61" s="1518"/>
      <c r="V61" s="1518"/>
      <c r="W61" s="1518"/>
      <c r="X61" s="1518"/>
      <c r="Y61" s="1518"/>
      <c r="Z61" s="1518"/>
      <c r="AA61" s="1518"/>
      <c r="AB61" s="1518"/>
      <c r="AC61" s="1518"/>
      <c r="AD61" s="1518"/>
      <c r="AE61" s="1518"/>
      <c r="AF61" s="1518"/>
      <c r="AG61" s="1518"/>
      <c r="AH61" s="1518"/>
      <c r="AI61" s="1518"/>
      <c r="AJ61" s="1518"/>
      <c r="AK61" s="1518"/>
      <c r="AL61" s="1518"/>
      <c r="AM61" s="1518"/>
      <c r="AN61" s="1518"/>
      <c r="AO61" s="1518"/>
      <c r="AP61" s="1518"/>
      <c r="AQ61" s="1518"/>
      <c r="AR61" s="1518"/>
      <c r="AS61" s="1518"/>
      <c r="AT61" s="1518"/>
      <c r="AU61" s="1518"/>
      <c r="AV61" s="1518"/>
      <c r="AW61" s="1518"/>
      <c r="AX61" s="1518"/>
      <c r="AY61" s="1518"/>
      <c r="AZ61" s="1518"/>
      <c r="BA61" s="1518"/>
      <c r="BB61" s="1518"/>
      <c r="BC61" s="1518"/>
      <c r="BD61" s="1518"/>
      <c r="BE61" s="1518"/>
      <c r="BF61" s="1518"/>
      <c r="BG61" s="1518"/>
      <c r="BH61" s="1518"/>
      <c r="BI61" s="1518"/>
      <c r="BJ61" s="1518"/>
      <c r="BK61" s="1518"/>
      <c r="BL61" s="1518"/>
      <c r="BM61" s="1518"/>
      <c r="BN61" s="1518"/>
      <c r="BO61" s="1518"/>
      <c r="BP61" s="1518"/>
      <c r="BQ61" s="1518"/>
      <c r="BR61" s="1518"/>
      <c r="BS61" s="1518"/>
      <c r="BT61" s="1518"/>
      <c r="BU61" s="1518"/>
      <c r="BV61" s="1518"/>
      <c r="BW61" s="1518"/>
      <c r="BX61" s="1518"/>
      <c r="BY61" s="1518"/>
      <c r="BZ61" s="1518"/>
      <c r="CA61" s="1518"/>
      <c r="CB61" s="1518"/>
      <c r="CC61" s="1518"/>
      <c r="CD61" s="1518"/>
      <c r="CE61" s="1518"/>
      <c r="CF61" s="1518"/>
    </row>
    <row r="62" spans="1:169" s="1519" customFormat="1" ht="20">
      <c r="B62" s="1522" t="s">
        <v>1362</v>
      </c>
      <c r="C62" s="1518"/>
      <c r="D62" s="1518"/>
      <c r="E62" s="1518"/>
      <c r="F62" s="1518"/>
      <c r="G62" s="1518"/>
      <c r="H62" s="1518"/>
      <c r="I62" s="1518"/>
      <c r="J62" s="1518"/>
      <c r="K62" s="1518"/>
      <c r="L62" s="1518"/>
      <c r="M62" s="1518"/>
      <c r="N62" s="1518"/>
      <c r="O62" s="1518"/>
      <c r="P62" s="1518"/>
      <c r="Q62" s="1518"/>
      <c r="R62" s="1518"/>
      <c r="S62" s="1518"/>
      <c r="T62" s="1518"/>
      <c r="U62" s="1518"/>
      <c r="V62" s="1518"/>
      <c r="W62" s="1518"/>
      <c r="X62" s="1518"/>
      <c r="Y62" s="1518"/>
      <c r="Z62" s="1518"/>
      <c r="AA62" s="1518"/>
      <c r="AB62" s="1518"/>
      <c r="AC62" s="1518"/>
      <c r="AD62" s="1518"/>
      <c r="AE62" s="1518"/>
      <c r="AF62" s="1518"/>
      <c r="AG62" s="1518"/>
      <c r="AH62" s="1518"/>
      <c r="AI62" s="1518"/>
      <c r="AJ62" s="1518"/>
      <c r="AK62" s="1518"/>
      <c r="AL62" s="1518"/>
      <c r="AM62" s="1518"/>
      <c r="AN62" s="1518"/>
      <c r="AO62" s="1518"/>
      <c r="AP62" s="1518"/>
      <c r="AQ62" s="1518"/>
      <c r="AR62" s="1518"/>
      <c r="AS62" s="1518"/>
      <c r="AT62" s="1518"/>
      <c r="AU62" s="1518"/>
      <c r="AV62" s="1518"/>
      <c r="AW62" s="1518"/>
      <c r="AX62" s="1518"/>
      <c r="AY62" s="1518"/>
      <c r="AZ62" s="1518"/>
      <c r="BA62" s="1518"/>
      <c r="BB62" s="1518"/>
      <c r="BC62" s="1518"/>
      <c r="BD62" s="1518"/>
      <c r="BE62" s="1518"/>
      <c r="BF62" s="1518"/>
      <c r="BG62" s="1518"/>
      <c r="BH62" s="1518"/>
      <c r="BI62" s="1518"/>
      <c r="BJ62" s="1518"/>
      <c r="BK62" s="1518"/>
      <c r="BL62" s="1518"/>
      <c r="BM62" s="1518"/>
      <c r="BN62" s="1518"/>
      <c r="BO62" s="1518"/>
      <c r="BP62" s="1518"/>
      <c r="BQ62" s="1518"/>
      <c r="BR62" s="1518"/>
      <c r="BS62" s="1518"/>
      <c r="BT62" s="1518"/>
      <c r="BU62" s="1518"/>
      <c r="BV62" s="1518"/>
      <c r="BW62" s="1518"/>
      <c r="BX62" s="1518"/>
      <c r="BY62" s="1518"/>
      <c r="BZ62" s="1518"/>
      <c r="CA62" s="1518"/>
      <c r="CB62" s="1518"/>
      <c r="CC62" s="1518"/>
      <c r="CD62" s="1518"/>
      <c r="CE62" s="1518"/>
      <c r="CF62" s="1518"/>
      <c r="CI62" s="1523" t="s">
        <v>28</v>
      </c>
    </row>
    <row r="63" spans="1:169" s="1519" customFormat="1" ht="15.5">
      <c r="A63" s="1269" t="s">
        <v>1455</v>
      </c>
      <c r="B63" s="2456" t="s">
        <v>1363</v>
      </c>
      <c r="C63" s="1185" t="s">
        <v>1364</v>
      </c>
      <c r="D63" s="1186"/>
      <c r="E63" s="1186"/>
      <c r="F63" s="1186"/>
      <c r="G63" s="1186"/>
      <c r="H63" s="1186"/>
      <c r="I63" s="1186"/>
      <c r="J63" s="1186"/>
      <c r="K63" s="1186"/>
      <c r="L63" s="1186"/>
      <c r="M63" s="1186"/>
      <c r="N63" s="1186"/>
      <c r="O63" s="1186"/>
      <c r="P63" s="1186"/>
      <c r="Q63" s="1186"/>
      <c r="R63" s="1186"/>
      <c r="S63" s="1186"/>
      <c r="T63" s="1186"/>
      <c r="U63" s="1186"/>
      <c r="V63" s="1186"/>
      <c r="W63" s="1186"/>
      <c r="X63" s="1186"/>
      <c r="Y63" s="1186"/>
      <c r="Z63" s="1186"/>
      <c r="AA63" s="1186"/>
      <c r="AB63" s="1186"/>
      <c r="AC63" s="1186"/>
      <c r="AD63" s="1186"/>
      <c r="AE63" s="1186"/>
      <c r="AF63" s="1186"/>
      <c r="AG63" s="1186"/>
      <c r="AH63" s="1186"/>
      <c r="AI63" s="1186"/>
      <c r="AJ63" s="1186"/>
      <c r="AK63" s="1186"/>
      <c r="AL63" s="1186"/>
      <c r="AM63" s="1186"/>
      <c r="AN63" s="1186"/>
      <c r="AO63" s="1186"/>
      <c r="AP63" s="1186"/>
      <c r="AQ63" s="1186"/>
      <c r="AR63" s="1186"/>
      <c r="AS63" s="1186"/>
      <c r="AT63" s="1186"/>
      <c r="AU63" s="1186"/>
      <c r="AV63" s="1186"/>
      <c r="AW63" s="1186"/>
      <c r="AX63" s="1186"/>
      <c r="AY63" s="1186"/>
      <c r="AZ63" s="1186"/>
      <c r="BA63" s="1186"/>
      <c r="BB63" s="1186"/>
      <c r="BC63" s="1186"/>
      <c r="BD63" s="1186"/>
      <c r="BE63" s="1186"/>
      <c r="BF63" s="1186"/>
      <c r="BG63" s="1186"/>
      <c r="BH63" s="1186"/>
      <c r="BI63" s="1186"/>
      <c r="BJ63" s="1186"/>
      <c r="BK63" s="1186"/>
      <c r="BL63" s="1186"/>
      <c r="BM63" s="1186"/>
      <c r="BN63" s="1186"/>
      <c r="BO63" s="1186"/>
      <c r="BP63" s="1186"/>
      <c r="BQ63" s="1186"/>
      <c r="BR63" s="1186"/>
      <c r="BS63" s="1186"/>
      <c r="BT63" s="1186"/>
      <c r="BU63" s="1186"/>
      <c r="BV63" s="1186"/>
      <c r="BW63" s="1186"/>
      <c r="BX63" s="1186"/>
      <c r="BY63" s="1186"/>
      <c r="BZ63" s="1186"/>
      <c r="CA63" s="1186"/>
      <c r="CB63" s="1186"/>
      <c r="CC63" s="1186"/>
      <c r="CD63" s="1186"/>
      <c r="CE63" s="1186"/>
      <c r="CF63" s="1186"/>
      <c r="CI63" s="2458" t="s">
        <v>1363</v>
      </c>
      <c r="CJ63" s="1189" t="s">
        <v>1364</v>
      </c>
      <c r="CK63" s="1190"/>
      <c r="CL63" s="1190"/>
      <c r="CM63" s="1190"/>
      <c r="CN63" s="1190"/>
      <c r="CO63" s="1190"/>
      <c r="CP63" s="1190"/>
      <c r="CQ63" s="1190"/>
      <c r="CR63" s="1190"/>
      <c r="CS63" s="1190"/>
      <c r="CT63" s="1190"/>
      <c r="CU63" s="1190"/>
      <c r="CV63" s="1190"/>
      <c r="CW63" s="1190"/>
      <c r="CX63" s="1190"/>
      <c r="CY63" s="1190"/>
      <c r="CZ63" s="1190"/>
      <c r="DA63" s="1190"/>
      <c r="DB63" s="1190"/>
      <c r="DC63" s="1190"/>
      <c r="DD63" s="1190"/>
      <c r="DE63" s="1190"/>
      <c r="DF63" s="1190"/>
      <c r="DG63" s="1190"/>
      <c r="DH63" s="1190"/>
      <c r="DI63" s="1190"/>
      <c r="DJ63" s="1190"/>
      <c r="DK63" s="1190"/>
      <c r="DL63" s="1190"/>
      <c r="DM63" s="1190"/>
      <c r="DN63" s="1190"/>
      <c r="DO63" s="1190"/>
      <c r="DP63" s="1190"/>
      <c r="DQ63" s="1190"/>
      <c r="DR63" s="1190"/>
      <c r="DS63" s="1190"/>
      <c r="DT63" s="1190"/>
      <c r="DU63" s="1190"/>
      <c r="DV63" s="1190"/>
      <c r="DW63" s="1190"/>
      <c r="DX63" s="1190"/>
      <c r="DY63" s="1190"/>
      <c r="DZ63" s="1190"/>
      <c r="EA63" s="1190"/>
      <c r="EB63" s="1190"/>
      <c r="EC63" s="1190"/>
      <c r="ED63" s="1190"/>
      <c r="EE63" s="1190"/>
      <c r="EF63" s="1190"/>
      <c r="EG63" s="1190"/>
      <c r="EH63" s="1190"/>
      <c r="EI63" s="1190"/>
      <c r="EJ63" s="1190"/>
      <c r="EK63" s="1190"/>
      <c r="EL63" s="1190"/>
      <c r="EM63" s="1190"/>
      <c r="EN63" s="1190"/>
      <c r="EO63" s="1190"/>
      <c r="EP63" s="1190"/>
      <c r="EQ63" s="1190"/>
      <c r="ER63" s="1190"/>
      <c r="ES63" s="1190"/>
      <c r="ET63" s="1190"/>
      <c r="EU63" s="1190"/>
      <c r="EV63" s="1190"/>
      <c r="EW63" s="1190"/>
      <c r="EX63" s="1190"/>
      <c r="EY63" s="1190"/>
      <c r="EZ63" s="1190"/>
      <c r="FA63" s="1190"/>
      <c r="FB63" s="1190"/>
      <c r="FC63" s="1190"/>
      <c r="FD63" s="1190"/>
      <c r="FE63" s="1190"/>
      <c r="FF63" s="1190"/>
      <c r="FG63" s="1190"/>
      <c r="FH63" s="1190"/>
      <c r="FI63" s="1190"/>
      <c r="FJ63" s="1190"/>
      <c r="FK63" s="1190"/>
      <c r="FL63" s="1190"/>
      <c r="FM63" s="1190"/>
    </row>
    <row r="64" spans="1:169" s="1519" customFormat="1">
      <c r="A64" s="1515" t="s">
        <v>1143</v>
      </c>
      <c r="B64" s="2457"/>
      <c r="C64" s="1514"/>
      <c r="D64" s="1172">
        <v>3</v>
      </c>
      <c r="E64" s="1172">
        <v>4</v>
      </c>
      <c r="F64" s="1172">
        <v>5</v>
      </c>
      <c r="G64" s="1172">
        <v>6</v>
      </c>
      <c r="H64" s="1172">
        <v>7</v>
      </c>
      <c r="I64" s="1172">
        <v>8</v>
      </c>
      <c r="J64" s="1172">
        <v>9</v>
      </c>
      <c r="K64" s="1172">
        <v>10</v>
      </c>
      <c r="L64" s="1172">
        <v>11</v>
      </c>
      <c r="M64" s="1172">
        <v>12</v>
      </c>
      <c r="N64" s="1172">
        <v>13</v>
      </c>
      <c r="O64" s="1172">
        <v>14</v>
      </c>
      <c r="P64" s="1172">
        <v>15</v>
      </c>
      <c r="Q64" s="1172">
        <v>16</v>
      </c>
      <c r="R64" s="1172">
        <v>17</v>
      </c>
      <c r="S64" s="1172">
        <v>18</v>
      </c>
      <c r="T64" s="1172">
        <v>19</v>
      </c>
      <c r="U64" s="1172">
        <v>20</v>
      </c>
      <c r="V64" s="1172">
        <v>21</v>
      </c>
      <c r="W64" s="1172">
        <v>22</v>
      </c>
      <c r="X64" s="1172">
        <v>23</v>
      </c>
      <c r="Y64" s="1172">
        <v>24</v>
      </c>
      <c r="Z64" s="1173">
        <v>25</v>
      </c>
      <c r="AA64" s="1172">
        <v>26</v>
      </c>
      <c r="AB64" s="1173">
        <v>27</v>
      </c>
      <c r="AC64" s="1172">
        <v>28</v>
      </c>
      <c r="AD64" s="1173">
        <v>29</v>
      </c>
      <c r="AE64" s="1172">
        <v>30</v>
      </c>
      <c r="AF64" s="1173">
        <v>31</v>
      </c>
      <c r="AG64" s="1172">
        <v>32</v>
      </c>
      <c r="AH64" s="1173">
        <v>33</v>
      </c>
      <c r="AI64" s="1172">
        <v>34</v>
      </c>
      <c r="AJ64" s="1173">
        <v>35</v>
      </c>
      <c r="AK64" s="1172">
        <v>36</v>
      </c>
      <c r="AL64" s="1173">
        <v>37</v>
      </c>
      <c r="AM64" s="1172">
        <v>38</v>
      </c>
      <c r="AN64" s="1173">
        <v>39</v>
      </c>
      <c r="AO64" s="1172">
        <v>40</v>
      </c>
      <c r="AP64" s="1173">
        <v>41</v>
      </c>
      <c r="AQ64" s="1172">
        <v>42</v>
      </c>
      <c r="AR64" s="1173">
        <v>43</v>
      </c>
      <c r="AS64" s="1172">
        <v>44</v>
      </c>
      <c r="AT64" s="1173">
        <v>45</v>
      </c>
      <c r="AU64" s="1172">
        <v>46</v>
      </c>
      <c r="AV64" s="1173">
        <v>47</v>
      </c>
      <c r="AW64" s="1172">
        <v>48</v>
      </c>
      <c r="AX64" s="1172">
        <v>49</v>
      </c>
      <c r="AY64" s="1172">
        <v>50</v>
      </c>
      <c r="AZ64" s="1172">
        <v>51</v>
      </c>
      <c r="BA64" s="1172">
        <v>52</v>
      </c>
      <c r="BB64" s="1172">
        <v>53</v>
      </c>
      <c r="BC64" s="1172">
        <v>54</v>
      </c>
      <c r="BD64" s="1172">
        <v>55</v>
      </c>
      <c r="BE64" s="1172">
        <v>56</v>
      </c>
      <c r="BF64" s="1172">
        <v>57</v>
      </c>
      <c r="BG64" s="1172">
        <v>58</v>
      </c>
      <c r="BH64" s="1172">
        <v>59</v>
      </c>
      <c r="BI64" s="1172">
        <v>60</v>
      </c>
      <c r="BJ64" s="1172">
        <v>61</v>
      </c>
      <c r="BK64" s="1172">
        <v>62</v>
      </c>
      <c r="BL64" s="1172">
        <v>63</v>
      </c>
      <c r="BM64" s="1172">
        <v>64</v>
      </c>
      <c r="BN64" s="1172">
        <v>65</v>
      </c>
      <c r="BO64" s="1172">
        <v>66</v>
      </c>
      <c r="BP64" s="1172">
        <v>67</v>
      </c>
      <c r="BQ64" s="1172">
        <v>68</v>
      </c>
      <c r="BR64" s="1172">
        <v>69</v>
      </c>
      <c r="BS64" s="1172">
        <v>70</v>
      </c>
      <c r="BT64" s="1172">
        <v>71</v>
      </c>
      <c r="BU64" s="1172">
        <v>72</v>
      </c>
      <c r="BV64" s="1172">
        <v>73</v>
      </c>
      <c r="BW64" s="1172">
        <v>74</v>
      </c>
      <c r="BX64" s="1172">
        <v>75</v>
      </c>
      <c r="BY64" s="1172">
        <v>76</v>
      </c>
      <c r="BZ64" s="1172">
        <v>77</v>
      </c>
      <c r="CA64" s="1172">
        <v>78</v>
      </c>
      <c r="CB64" s="1172">
        <v>79</v>
      </c>
      <c r="CC64" s="1172">
        <v>80</v>
      </c>
      <c r="CD64" s="1172">
        <v>81</v>
      </c>
      <c r="CE64" s="1172">
        <v>82</v>
      </c>
      <c r="CF64" s="1172">
        <v>83</v>
      </c>
      <c r="CH64" s="1515" t="s">
        <v>1143</v>
      </c>
      <c r="CI64" s="2459"/>
      <c r="CJ64" s="1514"/>
      <c r="CK64" s="1174">
        <v>3</v>
      </c>
      <c r="CL64" s="1174">
        <v>4</v>
      </c>
      <c r="CM64" s="1174">
        <v>5</v>
      </c>
      <c r="CN64" s="1174">
        <v>6</v>
      </c>
      <c r="CO64" s="1174">
        <v>7</v>
      </c>
      <c r="CP64" s="1174">
        <v>8</v>
      </c>
      <c r="CQ64" s="1174">
        <v>9</v>
      </c>
      <c r="CR64" s="1174">
        <v>10</v>
      </c>
      <c r="CS64" s="1174">
        <v>11</v>
      </c>
      <c r="CT64" s="1174">
        <v>12</v>
      </c>
      <c r="CU64" s="1174">
        <v>13</v>
      </c>
      <c r="CV64" s="1174">
        <v>14</v>
      </c>
      <c r="CW64" s="1174">
        <v>15</v>
      </c>
      <c r="CX64" s="1174">
        <v>16</v>
      </c>
      <c r="CY64" s="1174">
        <v>17</v>
      </c>
      <c r="CZ64" s="1174">
        <v>18</v>
      </c>
      <c r="DA64" s="1174">
        <v>19</v>
      </c>
      <c r="DB64" s="1174">
        <v>20</v>
      </c>
      <c r="DC64" s="1174">
        <v>21</v>
      </c>
      <c r="DD64" s="1174">
        <v>22</v>
      </c>
      <c r="DE64" s="1174">
        <v>23</v>
      </c>
      <c r="DF64" s="1174">
        <v>24</v>
      </c>
      <c r="DG64" s="1174">
        <v>25</v>
      </c>
      <c r="DH64" s="1174">
        <v>26</v>
      </c>
      <c r="DI64" s="1174">
        <v>27</v>
      </c>
      <c r="DJ64" s="1174">
        <v>28</v>
      </c>
      <c r="DK64" s="1174">
        <v>29</v>
      </c>
      <c r="DL64" s="1174">
        <v>30</v>
      </c>
      <c r="DM64" s="1174">
        <v>31</v>
      </c>
      <c r="DN64" s="1174">
        <v>32</v>
      </c>
      <c r="DO64" s="1174">
        <v>33</v>
      </c>
      <c r="DP64" s="1174">
        <v>34</v>
      </c>
      <c r="DQ64" s="1174">
        <v>35</v>
      </c>
      <c r="DR64" s="1174">
        <v>36</v>
      </c>
      <c r="DS64" s="1174">
        <v>37</v>
      </c>
      <c r="DT64" s="1174">
        <v>38</v>
      </c>
      <c r="DU64" s="1174">
        <v>39</v>
      </c>
      <c r="DV64" s="1174">
        <v>40</v>
      </c>
      <c r="DW64" s="1174">
        <v>41</v>
      </c>
      <c r="DX64" s="1174">
        <v>42</v>
      </c>
      <c r="DY64" s="1174">
        <v>43</v>
      </c>
      <c r="DZ64" s="1174">
        <v>44</v>
      </c>
      <c r="EA64" s="1174">
        <v>45</v>
      </c>
      <c r="EB64" s="1174">
        <v>46</v>
      </c>
      <c r="EC64" s="1174">
        <v>47</v>
      </c>
      <c r="ED64" s="1174">
        <v>48</v>
      </c>
      <c r="EE64" s="1174">
        <v>49</v>
      </c>
      <c r="EF64" s="1174">
        <v>50</v>
      </c>
      <c r="EG64" s="1174">
        <v>51</v>
      </c>
      <c r="EH64" s="1174">
        <v>52</v>
      </c>
      <c r="EI64" s="1174">
        <v>53</v>
      </c>
      <c r="EJ64" s="1174">
        <v>54</v>
      </c>
      <c r="EK64" s="1174">
        <v>55</v>
      </c>
      <c r="EL64" s="1174">
        <v>56</v>
      </c>
      <c r="EM64" s="1174">
        <v>57</v>
      </c>
      <c r="EN64" s="1174">
        <v>58</v>
      </c>
      <c r="EO64" s="1174">
        <v>59</v>
      </c>
      <c r="EP64" s="1174">
        <v>60</v>
      </c>
      <c r="EQ64" s="1174">
        <v>61</v>
      </c>
      <c r="ER64" s="1174">
        <v>62</v>
      </c>
      <c r="ES64" s="1174">
        <v>63</v>
      </c>
      <c r="ET64" s="1174">
        <v>64</v>
      </c>
      <c r="EU64" s="1174">
        <v>65</v>
      </c>
      <c r="EV64" s="1174">
        <v>66</v>
      </c>
      <c r="EW64" s="1174">
        <v>67</v>
      </c>
      <c r="EX64" s="1174">
        <v>68</v>
      </c>
      <c r="EY64" s="1174">
        <v>69</v>
      </c>
      <c r="EZ64" s="1174">
        <v>70</v>
      </c>
      <c r="FA64" s="1174">
        <v>71</v>
      </c>
      <c r="FB64" s="1174">
        <v>72</v>
      </c>
      <c r="FC64" s="1174">
        <v>73</v>
      </c>
      <c r="FD64" s="1174">
        <v>74</v>
      </c>
      <c r="FE64" s="1174">
        <v>75</v>
      </c>
      <c r="FF64" s="1174">
        <v>76</v>
      </c>
      <c r="FG64" s="1174">
        <v>77</v>
      </c>
      <c r="FH64" s="1174">
        <v>78</v>
      </c>
      <c r="FI64" s="1174">
        <v>79</v>
      </c>
      <c r="FJ64" s="1174">
        <v>80</v>
      </c>
      <c r="FK64" s="1174">
        <v>81</v>
      </c>
      <c r="FL64" s="1174">
        <v>82</v>
      </c>
      <c r="FM64" s="1174">
        <v>83</v>
      </c>
    </row>
    <row r="65" spans="1:169" s="1519" customFormat="1">
      <c r="A65" s="1515" t="s">
        <v>1542</v>
      </c>
      <c r="B65" s="1165">
        <v>16</v>
      </c>
      <c r="C65" s="1254"/>
      <c r="D65" s="1255">
        <v>0.08</v>
      </c>
      <c r="E65" s="1255">
        <v>0.13</v>
      </c>
      <c r="F65" s="1255">
        <v>0.17</v>
      </c>
      <c r="G65" s="1255">
        <v>0.22</v>
      </c>
      <c r="H65" s="1255">
        <v>0.28000000000000003</v>
      </c>
      <c r="I65" s="1255">
        <v>0.33</v>
      </c>
      <c r="J65" s="1255">
        <v>0.39</v>
      </c>
      <c r="K65" s="1256">
        <v>0.45</v>
      </c>
      <c r="L65" s="1254">
        <v>0.51</v>
      </c>
      <c r="M65" s="1255">
        <v>0.57999999999999996</v>
      </c>
      <c r="N65" s="1255">
        <v>0.65</v>
      </c>
      <c r="O65" s="1255">
        <v>0.72</v>
      </c>
      <c r="P65" s="1255">
        <v>0.79</v>
      </c>
      <c r="Q65" s="1255">
        <v>0.85</v>
      </c>
      <c r="R65" s="1255">
        <v>0.91</v>
      </c>
      <c r="S65" s="1255">
        <v>0.97</v>
      </c>
      <c r="T65" s="1255">
        <v>1.04</v>
      </c>
      <c r="U65" s="1256">
        <v>1.1000000000000001</v>
      </c>
      <c r="V65" s="1254">
        <v>1.17</v>
      </c>
      <c r="W65" s="1255">
        <v>1.24</v>
      </c>
      <c r="X65" s="1255">
        <v>1.31</v>
      </c>
      <c r="Y65" s="1255">
        <v>1.39</v>
      </c>
      <c r="Z65" s="1255">
        <v>1.47</v>
      </c>
      <c r="AA65" s="1255">
        <v>1.55</v>
      </c>
      <c r="AB65" s="1255">
        <v>1.64</v>
      </c>
      <c r="AC65" s="1255">
        <v>1.74</v>
      </c>
      <c r="AD65" s="1255">
        <v>1.85</v>
      </c>
      <c r="AE65" s="1256">
        <v>1.96</v>
      </c>
      <c r="AF65" s="1254">
        <v>2.0699999999999998</v>
      </c>
      <c r="AG65" s="1255">
        <v>2.2000000000000002</v>
      </c>
      <c r="AH65" s="1255">
        <v>2.33</v>
      </c>
      <c r="AI65" s="1255">
        <v>2.4700000000000002</v>
      </c>
      <c r="AJ65" s="1255">
        <v>2.62</v>
      </c>
      <c r="AK65" s="1255">
        <v>2.78</v>
      </c>
      <c r="AL65" s="1255">
        <v>2.94</v>
      </c>
      <c r="AM65" s="1255">
        <v>3.12</v>
      </c>
      <c r="AN65" s="1255">
        <v>3.3</v>
      </c>
      <c r="AO65" s="1256">
        <v>3.5</v>
      </c>
      <c r="AP65" s="1254">
        <v>3.7</v>
      </c>
      <c r="AQ65" s="1255">
        <v>3.92</v>
      </c>
      <c r="AR65" s="1255">
        <v>4.1500000000000004</v>
      </c>
      <c r="AS65" s="1255">
        <v>4.4000000000000004</v>
      </c>
      <c r="AT65" s="1255">
        <v>4.6500000000000004</v>
      </c>
      <c r="AU65" s="1255">
        <v>4.92</v>
      </c>
      <c r="AV65" s="1255">
        <v>5.21</v>
      </c>
      <c r="AW65" s="1255">
        <v>5.52</v>
      </c>
      <c r="AX65" s="1255">
        <v>5.84</v>
      </c>
      <c r="AY65" s="1256">
        <v>6.19</v>
      </c>
      <c r="AZ65" s="1254">
        <v>6.55</v>
      </c>
      <c r="BA65" s="1255">
        <v>6.94</v>
      </c>
      <c r="BB65" s="1255">
        <v>7.35</v>
      </c>
      <c r="BC65" s="1255">
        <v>7.78</v>
      </c>
      <c r="BD65" s="1255">
        <v>8.2200000000000006</v>
      </c>
      <c r="BE65" s="1255">
        <v>8.69</v>
      </c>
      <c r="BF65" s="1255">
        <v>9.16</v>
      </c>
      <c r="BG65" s="1255">
        <v>9.65</v>
      </c>
      <c r="BH65" s="1255">
        <v>10.14</v>
      </c>
      <c r="BI65" s="1256">
        <v>10.64</v>
      </c>
      <c r="BJ65" s="1254">
        <v>11.13</v>
      </c>
      <c r="BK65" s="1255">
        <v>11.62</v>
      </c>
      <c r="BL65" s="1255">
        <v>12.1</v>
      </c>
      <c r="BM65" s="1255">
        <v>12.56</v>
      </c>
      <c r="BN65" s="1255">
        <v>13.02</v>
      </c>
      <c r="BO65" s="1255">
        <v>13.43</v>
      </c>
      <c r="BP65" s="1255">
        <v>13.79</v>
      </c>
      <c r="BQ65" s="1255">
        <v>14.11</v>
      </c>
      <c r="BR65" s="1255">
        <v>14.39</v>
      </c>
      <c r="BS65" s="1256">
        <v>14.63</v>
      </c>
      <c r="BT65" s="1254">
        <v>14.84</v>
      </c>
      <c r="BU65" s="1255">
        <v>15.01</v>
      </c>
      <c r="BV65" s="1255">
        <v>15.15</v>
      </c>
      <c r="BW65" s="1255">
        <v>15.26</v>
      </c>
      <c r="BX65" s="1255">
        <v>15.36</v>
      </c>
      <c r="BY65" s="1255">
        <v>15.43</v>
      </c>
      <c r="BZ65" s="1255">
        <v>15.48</v>
      </c>
      <c r="CA65" s="1255">
        <v>15.52</v>
      </c>
      <c r="CB65" s="1255">
        <v>15.55</v>
      </c>
      <c r="CC65" s="1256">
        <v>15.57</v>
      </c>
      <c r="CD65" s="1255">
        <v>15.58</v>
      </c>
      <c r="CE65" s="1255">
        <v>15.59</v>
      </c>
      <c r="CF65" s="1256">
        <v>15.6</v>
      </c>
      <c r="CH65" s="1515" t="str">
        <f t="shared" ref="CH65:CH96" si="1">"WPTPDCIF"&amp;CI65</f>
        <v>WPTPDCIF16</v>
      </c>
      <c r="CI65" s="1165">
        <v>16</v>
      </c>
      <c r="CJ65" s="1254"/>
      <c r="CK65" s="1255">
        <v>0.09</v>
      </c>
      <c r="CL65" s="1255">
        <v>0.14000000000000001</v>
      </c>
      <c r="CM65" s="1255">
        <v>0.2</v>
      </c>
      <c r="CN65" s="1255">
        <v>0.25</v>
      </c>
      <c r="CO65" s="1255">
        <v>0.31</v>
      </c>
      <c r="CP65" s="1255">
        <v>0.37</v>
      </c>
      <c r="CQ65" s="1255">
        <v>0.43</v>
      </c>
      <c r="CR65" s="1256">
        <v>0.5</v>
      </c>
      <c r="CS65" s="1254">
        <v>0.56000000000000005</v>
      </c>
      <c r="CT65" s="1255">
        <v>0.63</v>
      </c>
      <c r="CU65" s="1255">
        <v>0.71</v>
      </c>
      <c r="CV65" s="1255">
        <v>0.79</v>
      </c>
      <c r="CW65" s="1255">
        <v>0.87</v>
      </c>
      <c r="CX65" s="1255">
        <v>0.93</v>
      </c>
      <c r="CY65" s="1255">
        <v>0.99</v>
      </c>
      <c r="CZ65" s="1255">
        <v>1.06</v>
      </c>
      <c r="DA65" s="1255">
        <v>1.1299999999999999</v>
      </c>
      <c r="DB65" s="1256">
        <v>1.2</v>
      </c>
      <c r="DC65" s="1254">
        <v>1.27</v>
      </c>
      <c r="DD65" s="1255">
        <v>1.35</v>
      </c>
      <c r="DE65" s="1255">
        <v>1.43</v>
      </c>
      <c r="DF65" s="1255">
        <v>1.51</v>
      </c>
      <c r="DG65" s="1255">
        <v>1.6</v>
      </c>
      <c r="DH65" s="1255">
        <v>1.7</v>
      </c>
      <c r="DI65" s="1255">
        <v>1.8</v>
      </c>
      <c r="DJ65" s="1255">
        <v>1.91</v>
      </c>
      <c r="DK65" s="1255">
        <v>2.02</v>
      </c>
      <c r="DL65" s="1256">
        <v>2.14</v>
      </c>
      <c r="DM65" s="1254">
        <v>2.27</v>
      </c>
      <c r="DN65" s="1255">
        <v>2.4</v>
      </c>
      <c r="DO65" s="1255">
        <v>2.5499999999999998</v>
      </c>
      <c r="DP65" s="1255">
        <v>2.7</v>
      </c>
      <c r="DQ65" s="1255">
        <v>2.86</v>
      </c>
      <c r="DR65" s="1255">
        <v>3.02</v>
      </c>
      <c r="DS65" s="1255">
        <v>3.2</v>
      </c>
      <c r="DT65" s="1255">
        <v>3.38</v>
      </c>
      <c r="DU65" s="1255">
        <v>3.57</v>
      </c>
      <c r="DV65" s="1256">
        <v>3.77</v>
      </c>
      <c r="DW65" s="1254">
        <v>3.97</v>
      </c>
      <c r="DX65" s="1255">
        <v>4.1900000000000004</v>
      </c>
      <c r="DY65" s="1255">
        <v>4.41</v>
      </c>
      <c r="DZ65" s="1255">
        <v>4.6399999999999997</v>
      </c>
      <c r="EA65" s="1255">
        <v>4.88</v>
      </c>
      <c r="EB65" s="1255">
        <v>5.13</v>
      </c>
      <c r="EC65" s="1255">
        <v>5.39</v>
      </c>
      <c r="ED65" s="1255">
        <v>5.66</v>
      </c>
      <c r="EE65" s="1255">
        <v>5.94</v>
      </c>
      <c r="EF65" s="1256">
        <v>6.23</v>
      </c>
      <c r="EG65" s="1254">
        <v>6.53</v>
      </c>
      <c r="EH65" s="1255">
        <v>6.85</v>
      </c>
      <c r="EI65" s="1255">
        <v>7.18</v>
      </c>
      <c r="EJ65" s="1255">
        <v>7.52</v>
      </c>
      <c r="EK65" s="1255">
        <v>7.88</v>
      </c>
      <c r="EL65" s="1255">
        <v>8.25</v>
      </c>
      <c r="EM65" s="1255">
        <v>8.6300000000000008</v>
      </c>
      <c r="EN65" s="1255">
        <v>9.02</v>
      </c>
      <c r="EO65" s="1255">
        <v>9.42</v>
      </c>
      <c r="EP65" s="1256">
        <v>9.83</v>
      </c>
      <c r="EQ65" s="1254">
        <v>10.25</v>
      </c>
      <c r="ER65" s="1255">
        <v>10.67</v>
      </c>
      <c r="ES65" s="1255">
        <v>11.09</v>
      </c>
      <c r="ET65" s="1255">
        <v>11.51</v>
      </c>
      <c r="EU65" s="1255">
        <v>11.97</v>
      </c>
      <c r="EV65" s="1255">
        <v>12.39</v>
      </c>
      <c r="EW65" s="1255">
        <v>12.77</v>
      </c>
      <c r="EX65" s="1255">
        <v>13.12</v>
      </c>
      <c r="EY65" s="1255">
        <v>13.43</v>
      </c>
      <c r="EZ65" s="1256">
        <v>13.7</v>
      </c>
      <c r="FA65" s="1254">
        <v>13.94</v>
      </c>
      <c r="FB65" s="1255">
        <v>14.15</v>
      </c>
      <c r="FC65" s="1255">
        <v>14.32</v>
      </c>
      <c r="FD65" s="1255">
        <v>14.47</v>
      </c>
      <c r="FE65" s="1255">
        <v>14.59</v>
      </c>
      <c r="FF65" s="1255">
        <v>14.69</v>
      </c>
      <c r="FG65" s="1255">
        <v>14.77</v>
      </c>
      <c r="FH65" s="1255">
        <v>14.82</v>
      </c>
      <c r="FI65" s="1255">
        <v>14.87</v>
      </c>
      <c r="FJ65" s="1256">
        <v>14.9</v>
      </c>
      <c r="FK65" s="1255">
        <v>14.92</v>
      </c>
      <c r="FL65" s="1255">
        <v>14.93</v>
      </c>
      <c r="FM65" s="1256">
        <v>14.94</v>
      </c>
    </row>
    <row r="66" spans="1:169" s="1519" customFormat="1">
      <c r="A66" s="1515" t="s">
        <v>1543</v>
      </c>
      <c r="B66" s="1166">
        <v>17</v>
      </c>
      <c r="C66" s="1257"/>
      <c r="D66" s="1258">
        <v>0.08</v>
      </c>
      <c r="E66" s="1258">
        <v>0.13</v>
      </c>
      <c r="F66" s="1258">
        <v>0.18</v>
      </c>
      <c r="G66" s="1258">
        <v>0.23</v>
      </c>
      <c r="H66" s="1258">
        <v>0.28000000000000003</v>
      </c>
      <c r="I66" s="1258">
        <v>0.34</v>
      </c>
      <c r="J66" s="1258">
        <v>0.4</v>
      </c>
      <c r="K66" s="1259">
        <v>0.46</v>
      </c>
      <c r="L66" s="1257">
        <v>0.52</v>
      </c>
      <c r="M66" s="1258">
        <v>0.59</v>
      </c>
      <c r="N66" s="1258">
        <v>0.66</v>
      </c>
      <c r="O66" s="1258">
        <v>0.73</v>
      </c>
      <c r="P66" s="1258">
        <v>0.81</v>
      </c>
      <c r="Q66" s="1258">
        <v>0.87</v>
      </c>
      <c r="R66" s="1258">
        <v>0.93</v>
      </c>
      <c r="S66" s="1258">
        <v>0.99</v>
      </c>
      <c r="T66" s="1258">
        <v>1.06</v>
      </c>
      <c r="U66" s="1259">
        <v>1.1299999999999999</v>
      </c>
      <c r="V66" s="1257">
        <v>1.2</v>
      </c>
      <c r="W66" s="1258">
        <v>1.27</v>
      </c>
      <c r="X66" s="1258">
        <v>1.35</v>
      </c>
      <c r="Y66" s="1258">
        <v>1.43</v>
      </c>
      <c r="Z66" s="1258">
        <v>1.52</v>
      </c>
      <c r="AA66" s="1258">
        <v>1.61</v>
      </c>
      <c r="AB66" s="1258">
        <v>1.71</v>
      </c>
      <c r="AC66" s="1258">
        <v>1.82</v>
      </c>
      <c r="AD66" s="1258">
        <v>1.93</v>
      </c>
      <c r="AE66" s="1259">
        <v>2.0499999999999998</v>
      </c>
      <c r="AF66" s="1257">
        <v>2.1800000000000002</v>
      </c>
      <c r="AG66" s="1258">
        <v>2.31</v>
      </c>
      <c r="AH66" s="1258">
        <v>2.4500000000000002</v>
      </c>
      <c r="AI66" s="1258">
        <v>2.6</v>
      </c>
      <c r="AJ66" s="1258">
        <v>2.77</v>
      </c>
      <c r="AK66" s="1258">
        <v>2.93</v>
      </c>
      <c r="AL66" s="1258">
        <v>3.11</v>
      </c>
      <c r="AM66" s="1258">
        <v>3.3</v>
      </c>
      <c r="AN66" s="1258">
        <v>3.5</v>
      </c>
      <c r="AO66" s="1259">
        <v>3.71</v>
      </c>
      <c r="AP66" s="1257">
        <v>3.94</v>
      </c>
      <c r="AQ66" s="1258">
        <v>4.17</v>
      </c>
      <c r="AR66" s="1258">
        <v>4.42</v>
      </c>
      <c r="AS66" s="1258">
        <v>4.68</v>
      </c>
      <c r="AT66" s="1258">
        <v>4.96</v>
      </c>
      <c r="AU66" s="1258">
        <v>5.26</v>
      </c>
      <c r="AV66" s="1258">
        <v>5.57</v>
      </c>
      <c r="AW66" s="1258">
        <v>5.9</v>
      </c>
      <c r="AX66" s="1258">
        <v>6.25</v>
      </c>
      <c r="AY66" s="1259">
        <v>6.63</v>
      </c>
      <c r="AZ66" s="1257">
        <v>7.02</v>
      </c>
      <c r="BA66" s="1258">
        <v>7.44</v>
      </c>
      <c r="BB66" s="1258">
        <v>7.88</v>
      </c>
      <c r="BC66" s="1258">
        <v>8.34</v>
      </c>
      <c r="BD66" s="1258">
        <v>8.81</v>
      </c>
      <c r="BE66" s="1258">
        <v>9.3000000000000007</v>
      </c>
      <c r="BF66" s="1258">
        <v>9.8000000000000007</v>
      </c>
      <c r="BG66" s="1258">
        <v>10.3</v>
      </c>
      <c r="BH66" s="1258">
        <v>10.81</v>
      </c>
      <c r="BI66" s="1259">
        <v>11.32</v>
      </c>
      <c r="BJ66" s="1257">
        <v>11.81</v>
      </c>
      <c r="BK66" s="1258">
        <v>12.3</v>
      </c>
      <c r="BL66" s="1258">
        <v>12.77</v>
      </c>
      <c r="BM66" s="1258">
        <v>13.24</v>
      </c>
      <c r="BN66" s="1258">
        <v>13.66</v>
      </c>
      <c r="BO66" s="1258">
        <v>14.04</v>
      </c>
      <c r="BP66" s="1258">
        <v>14.37</v>
      </c>
      <c r="BQ66" s="1258">
        <v>14.65</v>
      </c>
      <c r="BR66" s="1258">
        <v>14.9</v>
      </c>
      <c r="BS66" s="1259">
        <v>15.11</v>
      </c>
      <c r="BT66" s="1257">
        <v>15.28</v>
      </c>
      <c r="BU66" s="1258">
        <v>15.43</v>
      </c>
      <c r="BV66" s="1258">
        <v>15.55</v>
      </c>
      <c r="BW66" s="1258">
        <v>15.64</v>
      </c>
      <c r="BX66" s="1258">
        <v>15.72</v>
      </c>
      <c r="BY66" s="1258">
        <v>15.77</v>
      </c>
      <c r="BZ66" s="1258">
        <v>15.81</v>
      </c>
      <c r="CA66" s="1258">
        <v>15.84</v>
      </c>
      <c r="CB66" s="1258">
        <v>15.86</v>
      </c>
      <c r="CC66" s="1259">
        <v>15.88</v>
      </c>
      <c r="CD66" s="1258">
        <v>15.88</v>
      </c>
      <c r="CE66" s="1258">
        <v>15.89</v>
      </c>
      <c r="CF66" s="1259"/>
      <c r="CH66" s="1515" t="str">
        <f t="shared" si="1"/>
        <v>WPTPDCIF17</v>
      </c>
      <c r="CI66" s="1166">
        <v>17</v>
      </c>
      <c r="CJ66" s="1257"/>
      <c r="CK66" s="1258">
        <v>0.09</v>
      </c>
      <c r="CL66" s="1258">
        <v>0.14000000000000001</v>
      </c>
      <c r="CM66" s="1258">
        <v>0.19</v>
      </c>
      <c r="CN66" s="1258">
        <v>0.25</v>
      </c>
      <c r="CO66" s="1258">
        <v>0.31</v>
      </c>
      <c r="CP66" s="1258">
        <v>0.37</v>
      </c>
      <c r="CQ66" s="1258">
        <v>0.43</v>
      </c>
      <c r="CR66" s="1259">
        <v>0.49</v>
      </c>
      <c r="CS66" s="1257">
        <v>0.56000000000000005</v>
      </c>
      <c r="CT66" s="1258">
        <v>0.63</v>
      </c>
      <c r="CU66" s="1258">
        <v>0.7</v>
      </c>
      <c r="CV66" s="1258">
        <v>0.78</v>
      </c>
      <c r="CW66" s="1258">
        <v>0.87</v>
      </c>
      <c r="CX66" s="1258">
        <v>0.93</v>
      </c>
      <c r="CY66" s="1258">
        <v>1</v>
      </c>
      <c r="CZ66" s="1258">
        <v>1.07</v>
      </c>
      <c r="DA66" s="1258">
        <v>1.1399999999999999</v>
      </c>
      <c r="DB66" s="1259">
        <v>1.21</v>
      </c>
      <c r="DC66" s="1257">
        <v>1.29</v>
      </c>
      <c r="DD66" s="1258">
        <v>1.37</v>
      </c>
      <c r="DE66" s="1258">
        <v>1.46</v>
      </c>
      <c r="DF66" s="1258">
        <v>1.55</v>
      </c>
      <c r="DG66" s="1258">
        <v>1.65</v>
      </c>
      <c r="DH66" s="1258">
        <v>1.75</v>
      </c>
      <c r="DI66" s="1258">
        <v>1.86</v>
      </c>
      <c r="DJ66" s="1258">
        <v>1.97</v>
      </c>
      <c r="DK66" s="1258">
        <v>2.1</v>
      </c>
      <c r="DL66" s="1259">
        <v>2.23</v>
      </c>
      <c r="DM66" s="1257">
        <v>2.36</v>
      </c>
      <c r="DN66" s="1258">
        <v>2.5099999999999998</v>
      </c>
      <c r="DO66" s="1258">
        <v>2.66</v>
      </c>
      <c r="DP66" s="1258">
        <v>2.83</v>
      </c>
      <c r="DQ66" s="1258">
        <v>3</v>
      </c>
      <c r="DR66" s="1258">
        <v>3.17</v>
      </c>
      <c r="DS66" s="1258">
        <v>3.36</v>
      </c>
      <c r="DT66" s="1258">
        <v>3.55</v>
      </c>
      <c r="DU66" s="1258">
        <v>3.75</v>
      </c>
      <c r="DV66" s="1259">
        <v>3.96</v>
      </c>
      <c r="DW66" s="1257">
        <v>4.18</v>
      </c>
      <c r="DX66" s="1258">
        <v>4.41</v>
      </c>
      <c r="DY66" s="1258">
        <v>4.6500000000000004</v>
      </c>
      <c r="DZ66" s="1258">
        <v>4.8899999999999997</v>
      </c>
      <c r="EA66" s="1258">
        <v>5.14</v>
      </c>
      <c r="EB66" s="1258">
        <v>5.41</v>
      </c>
      <c r="EC66" s="1258">
        <v>5.68</v>
      </c>
      <c r="ED66" s="1258">
        <v>5.97</v>
      </c>
      <c r="EE66" s="1258">
        <v>6.27</v>
      </c>
      <c r="EF66" s="1259">
        <v>6.58</v>
      </c>
      <c r="EG66" s="1257">
        <v>6.9</v>
      </c>
      <c r="EH66" s="1258">
        <v>7.24</v>
      </c>
      <c r="EI66" s="1258">
        <v>7.59</v>
      </c>
      <c r="EJ66" s="1258">
        <v>7.95</v>
      </c>
      <c r="EK66" s="1258">
        <v>8.33</v>
      </c>
      <c r="EL66" s="1258">
        <v>8.7100000000000009</v>
      </c>
      <c r="EM66" s="1258">
        <v>9.11</v>
      </c>
      <c r="EN66" s="1258">
        <v>9.52</v>
      </c>
      <c r="EO66" s="1258">
        <v>9.94</v>
      </c>
      <c r="EP66" s="1259">
        <v>10.36</v>
      </c>
      <c r="EQ66" s="1257">
        <v>10.79</v>
      </c>
      <c r="ER66" s="1258">
        <v>11.22</v>
      </c>
      <c r="ES66" s="1258">
        <v>11.65</v>
      </c>
      <c r="ET66" s="1258">
        <v>12.12</v>
      </c>
      <c r="EU66" s="1258">
        <v>12.55</v>
      </c>
      <c r="EV66" s="1258">
        <v>12.94</v>
      </c>
      <c r="EW66" s="1258">
        <v>13.3</v>
      </c>
      <c r="EX66" s="1258">
        <v>13.61</v>
      </c>
      <c r="EY66" s="1258">
        <v>13.89</v>
      </c>
      <c r="EZ66" s="1259">
        <v>14.14</v>
      </c>
      <c r="FA66" s="1257">
        <v>14.35</v>
      </c>
      <c r="FB66" s="1258">
        <v>14.53</v>
      </c>
      <c r="FC66" s="1258">
        <v>14.68</v>
      </c>
      <c r="FD66" s="1258">
        <v>14.81</v>
      </c>
      <c r="FE66" s="1258">
        <v>14.91</v>
      </c>
      <c r="FF66" s="1258">
        <v>14.98</v>
      </c>
      <c r="FG66" s="1258">
        <v>15.04</v>
      </c>
      <c r="FH66" s="1258">
        <v>15.09</v>
      </c>
      <c r="FI66" s="1258">
        <v>15.12</v>
      </c>
      <c r="FJ66" s="1259">
        <v>15.14</v>
      </c>
      <c r="FK66" s="1258">
        <v>15.15</v>
      </c>
      <c r="FL66" s="1258">
        <v>15.16</v>
      </c>
      <c r="FM66" s="1259"/>
    </row>
    <row r="67" spans="1:169" s="1519" customFormat="1">
      <c r="A67" s="1515" t="s">
        <v>1544</v>
      </c>
      <c r="B67" s="1166">
        <v>18</v>
      </c>
      <c r="C67" s="1257"/>
      <c r="D67" s="1258">
        <v>0.09</v>
      </c>
      <c r="E67" s="1258">
        <v>0.13</v>
      </c>
      <c r="F67" s="1258">
        <v>0.18</v>
      </c>
      <c r="G67" s="1258">
        <v>0.23</v>
      </c>
      <c r="H67" s="1258">
        <v>0.28999999999999998</v>
      </c>
      <c r="I67" s="1258">
        <v>0.34</v>
      </c>
      <c r="J67" s="1258">
        <v>0.4</v>
      </c>
      <c r="K67" s="1259">
        <v>0.46</v>
      </c>
      <c r="L67" s="1257">
        <v>0.53</v>
      </c>
      <c r="M67" s="1258">
        <v>0.6</v>
      </c>
      <c r="N67" s="1258">
        <v>0.67</v>
      </c>
      <c r="O67" s="1258">
        <v>0.74</v>
      </c>
      <c r="P67" s="1258">
        <v>0.82</v>
      </c>
      <c r="Q67" s="1258">
        <v>0.88</v>
      </c>
      <c r="R67" s="1258">
        <v>0.94</v>
      </c>
      <c r="S67" s="1258">
        <v>1.01</v>
      </c>
      <c r="T67" s="1258">
        <v>1.08</v>
      </c>
      <c r="U67" s="1259">
        <v>1.1499999999999999</v>
      </c>
      <c r="V67" s="1257">
        <v>1.23</v>
      </c>
      <c r="W67" s="1258">
        <v>1.31</v>
      </c>
      <c r="X67" s="1258">
        <v>1.39</v>
      </c>
      <c r="Y67" s="1258">
        <v>1.48</v>
      </c>
      <c r="Z67" s="1258">
        <v>1.57</v>
      </c>
      <c r="AA67" s="1258">
        <v>1.67</v>
      </c>
      <c r="AB67" s="1258">
        <v>1.78</v>
      </c>
      <c r="AC67" s="1258">
        <v>1.9</v>
      </c>
      <c r="AD67" s="1258">
        <v>2.02</v>
      </c>
      <c r="AE67" s="1259">
        <v>2.15</v>
      </c>
      <c r="AF67" s="1257">
        <v>2.29</v>
      </c>
      <c r="AG67" s="1258">
        <v>2.4300000000000002</v>
      </c>
      <c r="AH67" s="1258">
        <v>2.59</v>
      </c>
      <c r="AI67" s="1258">
        <v>2.75</v>
      </c>
      <c r="AJ67" s="1258">
        <v>2.93</v>
      </c>
      <c r="AK67" s="1258">
        <v>3.11</v>
      </c>
      <c r="AL67" s="1258">
        <v>3.3</v>
      </c>
      <c r="AM67" s="1258">
        <v>3.51</v>
      </c>
      <c r="AN67" s="1258">
        <v>3.72</v>
      </c>
      <c r="AO67" s="1259">
        <v>3.95</v>
      </c>
      <c r="AP67" s="1257">
        <v>4.1900000000000004</v>
      </c>
      <c r="AQ67" s="1258">
        <v>4.45</v>
      </c>
      <c r="AR67" s="1258">
        <v>4.71</v>
      </c>
      <c r="AS67" s="1258">
        <v>5</v>
      </c>
      <c r="AT67" s="1258">
        <v>5.3</v>
      </c>
      <c r="AU67" s="1258">
        <v>5.62</v>
      </c>
      <c r="AV67" s="1258">
        <v>5.96</v>
      </c>
      <c r="AW67" s="1258">
        <v>6.32</v>
      </c>
      <c r="AX67" s="1258">
        <v>6.7</v>
      </c>
      <c r="AY67" s="1259">
        <v>7.11</v>
      </c>
      <c r="AZ67" s="1257">
        <v>7.53</v>
      </c>
      <c r="BA67" s="1258">
        <v>7.98</v>
      </c>
      <c r="BB67" s="1258">
        <v>8.4499999999999993</v>
      </c>
      <c r="BC67" s="1258">
        <v>8.94</v>
      </c>
      <c r="BD67" s="1258">
        <v>9.44</v>
      </c>
      <c r="BE67" s="1258">
        <v>9.9499999999999993</v>
      </c>
      <c r="BF67" s="1258">
        <v>10.46</v>
      </c>
      <c r="BG67" s="1258">
        <v>10.98</v>
      </c>
      <c r="BH67" s="1258">
        <v>11.5</v>
      </c>
      <c r="BI67" s="1259">
        <v>12.01</v>
      </c>
      <c r="BJ67" s="1257">
        <v>12.51</v>
      </c>
      <c r="BK67" s="1258">
        <v>12.99</v>
      </c>
      <c r="BL67" s="1258">
        <v>13.48</v>
      </c>
      <c r="BM67" s="1258">
        <v>13.91</v>
      </c>
      <c r="BN67" s="1258">
        <v>14.29</v>
      </c>
      <c r="BO67" s="1258">
        <v>14.63</v>
      </c>
      <c r="BP67" s="1258">
        <v>14.92</v>
      </c>
      <c r="BQ67" s="1258">
        <v>15.18</v>
      </c>
      <c r="BR67" s="1258">
        <v>15.39</v>
      </c>
      <c r="BS67" s="1259">
        <v>15.57</v>
      </c>
      <c r="BT67" s="1257">
        <v>15.72</v>
      </c>
      <c r="BU67" s="1258">
        <v>15.84</v>
      </c>
      <c r="BV67" s="1258">
        <v>15.94</v>
      </c>
      <c r="BW67" s="1258">
        <v>16.010000000000002</v>
      </c>
      <c r="BX67" s="1258">
        <v>16.07</v>
      </c>
      <c r="BY67" s="1258">
        <v>16.11</v>
      </c>
      <c r="BZ67" s="1258">
        <v>16.14</v>
      </c>
      <c r="CA67" s="1258">
        <v>16.16</v>
      </c>
      <c r="CB67" s="1258">
        <v>16.18</v>
      </c>
      <c r="CC67" s="1259">
        <v>16.190000000000001</v>
      </c>
      <c r="CD67" s="1258">
        <v>16.190000000000001</v>
      </c>
      <c r="CE67" s="1258"/>
      <c r="CF67" s="1259"/>
      <c r="CH67" s="1515" t="str">
        <f t="shared" si="1"/>
        <v>WPTPDCIF18</v>
      </c>
      <c r="CI67" s="1166">
        <v>18</v>
      </c>
      <c r="CJ67" s="1257"/>
      <c r="CK67" s="1258">
        <v>0.09</v>
      </c>
      <c r="CL67" s="1258">
        <v>0.14000000000000001</v>
      </c>
      <c r="CM67" s="1258">
        <v>0.19</v>
      </c>
      <c r="CN67" s="1258">
        <v>0.25</v>
      </c>
      <c r="CO67" s="1258">
        <v>0.3</v>
      </c>
      <c r="CP67" s="1258">
        <v>0.36</v>
      </c>
      <c r="CQ67" s="1258">
        <v>0.42</v>
      </c>
      <c r="CR67" s="1259">
        <v>0.49</v>
      </c>
      <c r="CS67" s="1257">
        <v>0.55000000000000004</v>
      </c>
      <c r="CT67" s="1258">
        <v>0.63</v>
      </c>
      <c r="CU67" s="1258">
        <v>0.7</v>
      </c>
      <c r="CV67" s="1258">
        <v>0.78</v>
      </c>
      <c r="CW67" s="1258">
        <v>0.87</v>
      </c>
      <c r="CX67" s="1258">
        <v>0.93</v>
      </c>
      <c r="CY67" s="1258">
        <v>1</v>
      </c>
      <c r="CZ67" s="1258">
        <v>1.08</v>
      </c>
      <c r="DA67" s="1258">
        <v>1.1499999999999999</v>
      </c>
      <c r="DB67" s="1259">
        <v>1.23</v>
      </c>
      <c r="DC67" s="1257">
        <v>1.31</v>
      </c>
      <c r="DD67" s="1258">
        <v>1.4</v>
      </c>
      <c r="DE67" s="1258">
        <v>1.49</v>
      </c>
      <c r="DF67" s="1258">
        <v>1.59</v>
      </c>
      <c r="DG67" s="1258">
        <v>1.7</v>
      </c>
      <c r="DH67" s="1258">
        <v>1.81</v>
      </c>
      <c r="DI67" s="1258">
        <v>1.93</v>
      </c>
      <c r="DJ67" s="1258">
        <v>2.0499999999999998</v>
      </c>
      <c r="DK67" s="1258">
        <v>2.1800000000000002</v>
      </c>
      <c r="DL67" s="1259">
        <v>2.33</v>
      </c>
      <c r="DM67" s="1257">
        <v>2.4700000000000002</v>
      </c>
      <c r="DN67" s="1258">
        <v>2.63</v>
      </c>
      <c r="DO67" s="1258">
        <v>2.8</v>
      </c>
      <c r="DP67" s="1258">
        <v>2.97</v>
      </c>
      <c r="DQ67" s="1258">
        <v>3.15</v>
      </c>
      <c r="DR67" s="1258">
        <v>3.34</v>
      </c>
      <c r="DS67" s="1258">
        <v>3.54</v>
      </c>
      <c r="DT67" s="1258">
        <v>3.74</v>
      </c>
      <c r="DU67" s="1258">
        <v>3.96</v>
      </c>
      <c r="DV67" s="1259">
        <v>4.18</v>
      </c>
      <c r="DW67" s="1257">
        <v>4.41</v>
      </c>
      <c r="DX67" s="1258">
        <v>4.6500000000000004</v>
      </c>
      <c r="DY67" s="1258">
        <v>4.9000000000000004</v>
      </c>
      <c r="DZ67" s="1258">
        <v>5.16</v>
      </c>
      <c r="EA67" s="1258">
        <v>5.43</v>
      </c>
      <c r="EB67" s="1258">
        <v>5.71</v>
      </c>
      <c r="EC67" s="1258">
        <v>6</v>
      </c>
      <c r="ED67" s="1258">
        <v>6.31</v>
      </c>
      <c r="EE67" s="1258">
        <v>6.62</v>
      </c>
      <c r="EF67" s="1259">
        <v>6.95</v>
      </c>
      <c r="EG67" s="1257">
        <v>7.29</v>
      </c>
      <c r="EH67" s="1258">
        <v>7.65</v>
      </c>
      <c r="EI67" s="1258">
        <v>8.02</v>
      </c>
      <c r="EJ67" s="1258">
        <v>8.41</v>
      </c>
      <c r="EK67" s="1258">
        <v>8.8000000000000007</v>
      </c>
      <c r="EL67" s="1258">
        <v>9.2100000000000009</v>
      </c>
      <c r="EM67" s="1258">
        <v>9.6300000000000008</v>
      </c>
      <c r="EN67" s="1258">
        <v>10.050000000000001</v>
      </c>
      <c r="EO67" s="1258">
        <v>10.49</v>
      </c>
      <c r="EP67" s="1259">
        <v>10.92</v>
      </c>
      <c r="EQ67" s="1257">
        <v>11.36</v>
      </c>
      <c r="ER67" s="1258">
        <v>11.8</v>
      </c>
      <c r="ES67" s="1258">
        <v>12.28</v>
      </c>
      <c r="ET67" s="1258">
        <v>12.72</v>
      </c>
      <c r="EU67" s="1258">
        <v>13.12</v>
      </c>
      <c r="EV67" s="1258">
        <v>13.48</v>
      </c>
      <c r="EW67" s="1258">
        <v>13.81</v>
      </c>
      <c r="EX67" s="1258">
        <v>14.1</v>
      </c>
      <c r="EY67" s="1258">
        <v>14.35</v>
      </c>
      <c r="EZ67" s="1259">
        <v>14.56</v>
      </c>
      <c r="FA67" s="1257">
        <v>14.75</v>
      </c>
      <c r="FB67" s="1258">
        <v>14.9</v>
      </c>
      <c r="FC67" s="1258">
        <v>15.03</v>
      </c>
      <c r="FD67" s="1258">
        <v>15.13</v>
      </c>
      <c r="FE67" s="1258">
        <v>15.21</v>
      </c>
      <c r="FF67" s="1258">
        <v>15.27</v>
      </c>
      <c r="FG67" s="1258">
        <v>15.32</v>
      </c>
      <c r="FH67" s="1258">
        <v>15.35</v>
      </c>
      <c r="FI67" s="1258">
        <v>15.37</v>
      </c>
      <c r="FJ67" s="1259">
        <v>15.39</v>
      </c>
      <c r="FK67" s="1258">
        <v>15.39</v>
      </c>
      <c r="FL67" s="1258"/>
      <c r="FM67" s="1259"/>
    </row>
    <row r="68" spans="1:169" s="1519" customFormat="1">
      <c r="A68" s="1515" t="s">
        <v>1545</v>
      </c>
      <c r="B68" s="1166">
        <v>19</v>
      </c>
      <c r="C68" s="1257"/>
      <c r="D68" s="1258">
        <v>0.09</v>
      </c>
      <c r="E68" s="1258">
        <v>0.14000000000000001</v>
      </c>
      <c r="F68" s="1258">
        <v>0.19</v>
      </c>
      <c r="G68" s="1258">
        <v>0.24</v>
      </c>
      <c r="H68" s="1258">
        <v>0.28999999999999998</v>
      </c>
      <c r="I68" s="1258">
        <v>0.35</v>
      </c>
      <c r="J68" s="1258">
        <v>0.41</v>
      </c>
      <c r="K68" s="1259">
        <v>0.47</v>
      </c>
      <c r="L68" s="1257">
        <v>0.54</v>
      </c>
      <c r="M68" s="1258">
        <v>0.6</v>
      </c>
      <c r="N68" s="1258">
        <v>0.67</v>
      </c>
      <c r="O68" s="1258">
        <v>0.75</v>
      </c>
      <c r="P68" s="1258">
        <v>0.83</v>
      </c>
      <c r="Q68" s="1258">
        <v>0.9</v>
      </c>
      <c r="R68" s="1258">
        <v>0.96</v>
      </c>
      <c r="S68" s="1258">
        <v>1.03</v>
      </c>
      <c r="T68" s="1258">
        <v>1.1100000000000001</v>
      </c>
      <c r="U68" s="1259">
        <v>1.18</v>
      </c>
      <c r="V68" s="1257">
        <v>1.26</v>
      </c>
      <c r="W68" s="1258">
        <v>1.35</v>
      </c>
      <c r="X68" s="1258">
        <v>1.44</v>
      </c>
      <c r="Y68" s="1258">
        <v>1.54</v>
      </c>
      <c r="Z68" s="1258">
        <v>1.64</v>
      </c>
      <c r="AA68" s="1258">
        <v>1.75</v>
      </c>
      <c r="AB68" s="1258">
        <v>1.87</v>
      </c>
      <c r="AC68" s="1258">
        <v>1.99</v>
      </c>
      <c r="AD68" s="1258">
        <v>2.12</v>
      </c>
      <c r="AE68" s="1259">
        <v>2.2599999999999998</v>
      </c>
      <c r="AF68" s="1257">
        <v>2.41</v>
      </c>
      <c r="AG68" s="1258">
        <v>2.57</v>
      </c>
      <c r="AH68" s="1258">
        <v>2.74</v>
      </c>
      <c r="AI68" s="1258">
        <v>2.92</v>
      </c>
      <c r="AJ68" s="1258">
        <v>3.1</v>
      </c>
      <c r="AK68" s="1258">
        <v>3.3</v>
      </c>
      <c r="AL68" s="1258">
        <v>3.51</v>
      </c>
      <c r="AM68" s="1258">
        <v>3.73</v>
      </c>
      <c r="AN68" s="1258">
        <v>3.97</v>
      </c>
      <c r="AO68" s="1259">
        <v>4.21</v>
      </c>
      <c r="AP68" s="1257">
        <v>4.47</v>
      </c>
      <c r="AQ68" s="1258">
        <v>4.75</v>
      </c>
      <c r="AR68" s="1258">
        <v>5.04</v>
      </c>
      <c r="AS68" s="1258">
        <v>5.35</v>
      </c>
      <c r="AT68" s="1258">
        <v>5.67</v>
      </c>
      <c r="AU68" s="1258">
        <v>6.02</v>
      </c>
      <c r="AV68" s="1258">
        <v>6.39</v>
      </c>
      <c r="AW68" s="1258">
        <v>6.78</v>
      </c>
      <c r="AX68" s="1258">
        <v>7.19</v>
      </c>
      <c r="AY68" s="1259">
        <v>7.63</v>
      </c>
      <c r="AZ68" s="1257">
        <v>8.09</v>
      </c>
      <c r="BA68" s="1258">
        <v>8.57</v>
      </c>
      <c r="BB68" s="1258">
        <v>9.07</v>
      </c>
      <c r="BC68" s="1258">
        <v>9.58</v>
      </c>
      <c r="BD68" s="1258">
        <v>10.1</v>
      </c>
      <c r="BE68" s="1258">
        <v>10.63</v>
      </c>
      <c r="BF68" s="1258">
        <v>11.16</v>
      </c>
      <c r="BG68" s="1258">
        <v>11.69</v>
      </c>
      <c r="BH68" s="1258">
        <v>12.22</v>
      </c>
      <c r="BI68" s="1259">
        <v>12.73</v>
      </c>
      <c r="BJ68" s="1257">
        <v>13.22</v>
      </c>
      <c r="BK68" s="1258">
        <v>13.72</v>
      </c>
      <c r="BL68" s="1258">
        <v>14.16</v>
      </c>
      <c r="BM68" s="1258">
        <v>14.55</v>
      </c>
      <c r="BN68" s="1258">
        <v>14.9</v>
      </c>
      <c r="BO68" s="1258">
        <v>15.2</v>
      </c>
      <c r="BP68" s="1258">
        <v>15.46</v>
      </c>
      <c r="BQ68" s="1258">
        <v>15.68</v>
      </c>
      <c r="BR68" s="1258">
        <v>15.87</v>
      </c>
      <c r="BS68" s="1259">
        <v>16.02</v>
      </c>
      <c r="BT68" s="1257">
        <v>16.14</v>
      </c>
      <c r="BU68" s="1258">
        <v>16.239999999999998</v>
      </c>
      <c r="BV68" s="1258">
        <v>16.32</v>
      </c>
      <c r="BW68" s="1258">
        <v>16.38</v>
      </c>
      <c r="BX68" s="1258">
        <v>16.420000000000002</v>
      </c>
      <c r="BY68" s="1258">
        <v>16.45</v>
      </c>
      <c r="BZ68" s="1258">
        <v>16.48</v>
      </c>
      <c r="CA68" s="1258">
        <v>16.489999999999998</v>
      </c>
      <c r="CB68" s="1258">
        <v>16.5</v>
      </c>
      <c r="CC68" s="1259">
        <v>16.5</v>
      </c>
      <c r="CD68" s="1258"/>
      <c r="CE68" s="1258"/>
      <c r="CF68" s="1259"/>
      <c r="CH68" s="1515" t="str">
        <f t="shared" si="1"/>
        <v>WPTPDCIF19</v>
      </c>
      <c r="CI68" s="1166">
        <v>19</v>
      </c>
      <c r="CJ68" s="1257"/>
      <c r="CK68" s="1258">
        <v>0.09</v>
      </c>
      <c r="CL68" s="1258">
        <v>0.14000000000000001</v>
      </c>
      <c r="CM68" s="1258">
        <v>0.19</v>
      </c>
      <c r="CN68" s="1258">
        <v>0.24</v>
      </c>
      <c r="CO68" s="1258">
        <v>0.3</v>
      </c>
      <c r="CP68" s="1258">
        <v>0.36</v>
      </c>
      <c r="CQ68" s="1258">
        <v>0.42</v>
      </c>
      <c r="CR68" s="1259">
        <v>0.48</v>
      </c>
      <c r="CS68" s="1257">
        <v>0.55000000000000004</v>
      </c>
      <c r="CT68" s="1258">
        <v>0.62</v>
      </c>
      <c r="CU68" s="1258">
        <v>0.7</v>
      </c>
      <c r="CV68" s="1258">
        <v>0.78</v>
      </c>
      <c r="CW68" s="1258">
        <v>0.87</v>
      </c>
      <c r="CX68" s="1258">
        <v>0.94</v>
      </c>
      <c r="CY68" s="1258">
        <v>1.01</v>
      </c>
      <c r="CZ68" s="1258">
        <v>1.0900000000000001</v>
      </c>
      <c r="DA68" s="1258">
        <v>1.17</v>
      </c>
      <c r="DB68" s="1259">
        <v>1.26</v>
      </c>
      <c r="DC68" s="1257">
        <v>1.34</v>
      </c>
      <c r="DD68" s="1258">
        <v>1.44</v>
      </c>
      <c r="DE68" s="1258">
        <v>1.54</v>
      </c>
      <c r="DF68" s="1258">
        <v>1.65</v>
      </c>
      <c r="DG68" s="1258">
        <v>1.76</v>
      </c>
      <c r="DH68" s="1258">
        <v>1.88</v>
      </c>
      <c r="DI68" s="1258">
        <v>2.0099999999999998</v>
      </c>
      <c r="DJ68" s="1258">
        <v>2.14</v>
      </c>
      <c r="DK68" s="1258">
        <v>2.29</v>
      </c>
      <c r="DL68" s="1259">
        <v>2.44</v>
      </c>
      <c r="DM68" s="1257">
        <v>2.6</v>
      </c>
      <c r="DN68" s="1258">
        <v>2.77</v>
      </c>
      <c r="DO68" s="1258">
        <v>2.95</v>
      </c>
      <c r="DP68" s="1258">
        <v>3.13</v>
      </c>
      <c r="DQ68" s="1258">
        <v>3.33</v>
      </c>
      <c r="DR68" s="1258">
        <v>3.53</v>
      </c>
      <c r="DS68" s="1258">
        <v>3.74</v>
      </c>
      <c r="DT68" s="1258">
        <v>3.96</v>
      </c>
      <c r="DU68" s="1258">
        <v>4.18</v>
      </c>
      <c r="DV68" s="1259">
        <v>4.42</v>
      </c>
      <c r="DW68" s="1257">
        <v>4.67</v>
      </c>
      <c r="DX68" s="1258">
        <v>4.92</v>
      </c>
      <c r="DY68" s="1258">
        <v>5.18</v>
      </c>
      <c r="DZ68" s="1258">
        <v>5.46</v>
      </c>
      <c r="EA68" s="1258">
        <v>5.74</v>
      </c>
      <c r="EB68" s="1258">
        <v>6.04</v>
      </c>
      <c r="EC68" s="1258">
        <v>6.35</v>
      </c>
      <c r="ED68" s="1258">
        <v>6.67</v>
      </c>
      <c r="EE68" s="1258">
        <v>7.01</v>
      </c>
      <c r="EF68" s="1259">
        <v>7.36</v>
      </c>
      <c r="EG68" s="1257">
        <v>7.72</v>
      </c>
      <c r="EH68" s="1258">
        <v>8.1</v>
      </c>
      <c r="EI68" s="1258">
        <v>8.5</v>
      </c>
      <c r="EJ68" s="1258">
        <v>8.9</v>
      </c>
      <c r="EK68" s="1258">
        <v>9.32</v>
      </c>
      <c r="EL68" s="1258">
        <v>9.74</v>
      </c>
      <c r="EM68" s="1258">
        <v>10.18</v>
      </c>
      <c r="EN68" s="1258">
        <v>10.62</v>
      </c>
      <c r="EO68" s="1258">
        <v>11.07</v>
      </c>
      <c r="EP68" s="1259">
        <v>11.51</v>
      </c>
      <c r="EQ68" s="1257">
        <v>11.96</v>
      </c>
      <c r="ER68" s="1258">
        <v>12.45</v>
      </c>
      <c r="ES68" s="1258">
        <v>12.9</v>
      </c>
      <c r="ET68" s="1258">
        <v>13.31</v>
      </c>
      <c r="EU68" s="1258">
        <v>13.68</v>
      </c>
      <c r="EV68" s="1258">
        <v>14.02</v>
      </c>
      <c r="EW68" s="1258">
        <v>14.31</v>
      </c>
      <c r="EX68" s="1258">
        <v>14.57</v>
      </c>
      <c r="EY68" s="1258">
        <v>14.79</v>
      </c>
      <c r="EZ68" s="1259">
        <v>14.98</v>
      </c>
      <c r="FA68" s="1257">
        <v>15.14</v>
      </c>
      <c r="FB68" s="1258">
        <v>15.27</v>
      </c>
      <c r="FC68" s="1258">
        <v>15.37</v>
      </c>
      <c r="FD68" s="1258">
        <v>15.45</v>
      </c>
      <c r="FE68" s="1258">
        <v>15.51</v>
      </c>
      <c r="FF68" s="1258">
        <v>15.56</v>
      </c>
      <c r="FG68" s="1258">
        <v>15.59</v>
      </c>
      <c r="FH68" s="1258">
        <v>15.62</v>
      </c>
      <c r="FI68" s="1258">
        <v>15.63</v>
      </c>
      <c r="FJ68" s="1259">
        <v>15.64</v>
      </c>
      <c r="FK68" s="1258"/>
      <c r="FL68" s="1258"/>
      <c r="FM68" s="1259"/>
    </row>
    <row r="69" spans="1:169" s="1519" customFormat="1">
      <c r="A69" s="1515" t="s">
        <v>1546</v>
      </c>
      <c r="B69" s="1166">
        <v>20</v>
      </c>
      <c r="C69" s="1257"/>
      <c r="D69" s="1258">
        <v>0.09</v>
      </c>
      <c r="E69" s="1258">
        <v>0.14000000000000001</v>
      </c>
      <c r="F69" s="1258">
        <v>0.19</v>
      </c>
      <c r="G69" s="1258">
        <v>0.24</v>
      </c>
      <c r="H69" s="1258">
        <v>0.3</v>
      </c>
      <c r="I69" s="1258">
        <v>0.35</v>
      </c>
      <c r="J69" s="1258">
        <v>0.41</v>
      </c>
      <c r="K69" s="1259">
        <v>0.48</v>
      </c>
      <c r="L69" s="1257">
        <v>0.54</v>
      </c>
      <c r="M69" s="1258">
        <v>0.61</v>
      </c>
      <c r="N69" s="1258">
        <v>0.68</v>
      </c>
      <c r="O69" s="1258">
        <v>0.76</v>
      </c>
      <c r="P69" s="1258">
        <v>0.85</v>
      </c>
      <c r="Q69" s="1258">
        <v>0.91</v>
      </c>
      <c r="R69" s="1258">
        <v>0.98</v>
      </c>
      <c r="S69" s="1258">
        <v>1.06</v>
      </c>
      <c r="T69" s="1258">
        <v>1.1399999999999999</v>
      </c>
      <c r="U69" s="1259">
        <v>1.22</v>
      </c>
      <c r="V69" s="1257">
        <v>1.3</v>
      </c>
      <c r="W69" s="1258">
        <v>1.4</v>
      </c>
      <c r="X69" s="1258">
        <v>1.5</v>
      </c>
      <c r="Y69" s="1258">
        <v>1.6</v>
      </c>
      <c r="Z69" s="1258">
        <v>1.71</v>
      </c>
      <c r="AA69" s="1258">
        <v>1.83</v>
      </c>
      <c r="AB69" s="1258">
        <v>1.96</v>
      </c>
      <c r="AC69" s="1258">
        <v>2.1</v>
      </c>
      <c r="AD69" s="1258">
        <v>2.2400000000000002</v>
      </c>
      <c r="AE69" s="1259">
        <v>2.39</v>
      </c>
      <c r="AF69" s="1257">
        <v>2.56</v>
      </c>
      <c r="AG69" s="1258">
        <v>2.73</v>
      </c>
      <c r="AH69" s="1258">
        <v>2.91</v>
      </c>
      <c r="AI69" s="1258">
        <v>3.1</v>
      </c>
      <c r="AJ69" s="1258">
        <v>3.3</v>
      </c>
      <c r="AK69" s="1258">
        <v>3.52</v>
      </c>
      <c r="AL69" s="1258">
        <v>3.74</v>
      </c>
      <c r="AM69" s="1258">
        <v>3.98</v>
      </c>
      <c r="AN69" s="1258">
        <v>4.2300000000000004</v>
      </c>
      <c r="AO69" s="1259">
        <v>4.5</v>
      </c>
      <c r="AP69" s="1257">
        <v>4.78</v>
      </c>
      <c r="AQ69" s="1258">
        <v>5.08</v>
      </c>
      <c r="AR69" s="1258">
        <v>5.39</v>
      </c>
      <c r="AS69" s="1258">
        <v>5.73</v>
      </c>
      <c r="AT69" s="1258">
        <v>6.08</v>
      </c>
      <c r="AU69" s="1258">
        <v>6.46</v>
      </c>
      <c r="AV69" s="1258">
        <v>6.86</v>
      </c>
      <c r="AW69" s="1258">
        <v>7.29</v>
      </c>
      <c r="AX69" s="1258">
        <v>7.73</v>
      </c>
      <c r="AY69" s="1259">
        <v>8.1999999999999993</v>
      </c>
      <c r="AZ69" s="1257">
        <v>8.69</v>
      </c>
      <c r="BA69" s="1258">
        <v>9.1999999999999993</v>
      </c>
      <c r="BB69" s="1258">
        <v>9.73</v>
      </c>
      <c r="BC69" s="1258">
        <v>10.26</v>
      </c>
      <c r="BD69" s="1258">
        <v>10.81</v>
      </c>
      <c r="BE69" s="1258">
        <v>11.35</v>
      </c>
      <c r="BF69" s="1258">
        <v>11.9</v>
      </c>
      <c r="BG69" s="1258">
        <v>12.43</v>
      </c>
      <c r="BH69" s="1258">
        <v>12.96</v>
      </c>
      <c r="BI69" s="1259">
        <v>13.46</v>
      </c>
      <c r="BJ69" s="1257">
        <v>13.97</v>
      </c>
      <c r="BK69" s="1258">
        <v>14.43</v>
      </c>
      <c r="BL69" s="1258">
        <v>14.83</v>
      </c>
      <c r="BM69" s="1258">
        <v>15.19</v>
      </c>
      <c r="BN69" s="1258">
        <v>15.49</v>
      </c>
      <c r="BO69" s="1258">
        <v>15.76</v>
      </c>
      <c r="BP69" s="1258">
        <v>15.99</v>
      </c>
      <c r="BQ69" s="1258">
        <v>16.18</v>
      </c>
      <c r="BR69" s="1258">
        <v>16.329999999999998</v>
      </c>
      <c r="BS69" s="1259">
        <v>16.46</v>
      </c>
      <c r="BT69" s="1257">
        <v>16.559999999999999</v>
      </c>
      <c r="BU69" s="1258">
        <v>16.64</v>
      </c>
      <c r="BV69" s="1258">
        <v>16.7</v>
      </c>
      <c r="BW69" s="1258">
        <v>16.75</v>
      </c>
      <c r="BX69" s="1258">
        <v>16.78</v>
      </c>
      <c r="BY69" s="1258">
        <v>16.8</v>
      </c>
      <c r="BZ69" s="1258">
        <v>16.82</v>
      </c>
      <c r="CA69" s="1258">
        <v>16.82</v>
      </c>
      <c r="CB69" s="1258">
        <v>16.829999999999998</v>
      </c>
      <c r="CC69" s="1259"/>
      <c r="CD69" s="1258"/>
      <c r="CE69" s="1258"/>
      <c r="CF69" s="1259"/>
      <c r="CH69" s="1515" t="str">
        <f t="shared" si="1"/>
        <v>WPTPDCIF20</v>
      </c>
      <c r="CI69" s="1166">
        <v>20</v>
      </c>
      <c r="CJ69" s="1257"/>
      <c r="CK69" s="1258">
        <v>0.09</v>
      </c>
      <c r="CL69" s="1258">
        <v>0.14000000000000001</v>
      </c>
      <c r="CM69" s="1258">
        <v>0.19</v>
      </c>
      <c r="CN69" s="1258">
        <v>0.24</v>
      </c>
      <c r="CO69" s="1258">
        <v>0.3</v>
      </c>
      <c r="CP69" s="1258">
        <v>0.36</v>
      </c>
      <c r="CQ69" s="1258">
        <v>0.42</v>
      </c>
      <c r="CR69" s="1259">
        <v>0.48</v>
      </c>
      <c r="CS69" s="1257">
        <v>0.55000000000000004</v>
      </c>
      <c r="CT69" s="1258">
        <v>0.62</v>
      </c>
      <c r="CU69" s="1258">
        <v>0.7</v>
      </c>
      <c r="CV69" s="1258">
        <v>0.79</v>
      </c>
      <c r="CW69" s="1258">
        <v>0.88</v>
      </c>
      <c r="CX69" s="1258">
        <v>0.96</v>
      </c>
      <c r="CY69" s="1258">
        <v>1.03</v>
      </c>
      <c r="CZ69" s="1258">
        <v>1.1100000000000001</v>
      </c>
      <c r="DA69" s="1258">
        <v>1.2</v>
      </c>
      <c r="DB69" s="1259">
        <v>1.29</v>
      </c>
      <c r="DC69" s="1257">
        <v>1.39</v>
      </c>
      <c r="DD69" s="1258">
        <v>1.49</v>
      </c>
      <c r="DE69" s="1258">
        <v>1.6</v>
      </c>
      <c r="DF69" s="1258">
        <v>1.72</v>
      </c>
      <c r="DG69" s="1258">
        <v>1.84</v>
      </c>
      <c r="DH69" s="1258">
        <v>1.97</v>
      </c>
      <c r="DI69" s="1258">
        <v>2.11</v>
      </c>
      <c r="DJ69" s="1258">
        <v>2.2599999999999998</v>
      </c>
      <c r="DK69" s="1258">
        <v>2.41</v>
      </c>
      <c r="DL69" s="1259">
        <v>2.58</v>
      </c>
      <c r="DM69" s="1257">
        <v>2.75</v>
      </c>
      <c r="DN69" s="1258">
        <v>2.93</v>
      </c>
      <c r="DO69" s="1258">
        <v>3.12</v>
      </c>
      <c r="DP69" s="1258">
        <v>3.32</v>
      </c>
      <c r="DQ69" s="1258">
        <v>3.52</v>
      </c>
      <c r="DR69" s="1258">
        <v>3.74</v>
      </c>
      <c r="DS69" s="1258">
        <v>3.96</v>
      </c>
      <c r="DT69" s="1258">
        <v>4.1900000000000004</v>
      </c>
      <c r="DU69" s="1258">
        <v>4.43</v>
      </c>
      <c r="DV69" s="1259">
        <v>4.68</v>
      </c>
      <c r="DW69" s="1257">
        <v>4.9400000000000004</v>
      </c>
      <c r="DX69" s="1258">
        <v>5.21</v>
      </c>
      <c r="DY69" s="1258">
        <v>5.49</v>
      </c>
      <c r="DZ69" s="1258">
        <v>5.78</v>
      </c>
      <c r="EA69" s="1258">
        <v>6.09</v>
      </c>
      <c r="EB69" s="1258">
        <v>6.4</v>
      </c>
      <c r="EC69" s="1258">
        <v>6.73</v>
      </c>
      <c r="ED69" s="1258">
        <v>7.08</v>
      </c>
      <c r="EE69" s="1258">
        <v>7.43</v>
      </c>
      <c r="EF69" s="1259">
        <v>7.8</v>
      </c>
      <c r="EG69" s="1257">
        <v>8.19</v>
      </c>
      <c r="EH69" s="1258">
        <v>8.59</v>
      </c>
      <c r="EI69" s="1258">
        <v>9</v>
      </c>
      <c r="EJ69" s="1258">
        <v>9.43</v>
      </c>
      <c r="EK69" s="1258">
        <v>9.86</v>
      </c>
      <c r="EL69" s="1258">
        <v>10.31</v>
      </c>
      <c r="EM69" s="1258">
        <v>10.76</v>
      </c>
      <c r="EN69" s="1258">
        <v>11.22</v>
      </c>
      <c r="EO69" s="1258">
        <v>11.68</v>
      </c>
      <c r="EP69" s="1259">
        <v>12.13</v>
      </c>
      <c r="EQ69" s="1257">
        <v>12.64</v>
      </c>
      <c r="ER69" s="1258">
        <v>13.1</v>
      </c>
      <c r="ES69" s="1258">
        <v>13.52</v>
      </c>
      <c r="ET69" s="1258">
        <v>13.9</v>
      </c>
      <c r="EU69" s="1258">
        <v>14.24</v>
      </c>
      <c r="EV69" s="1258">
        <v>14.54</v>
      </c>
      <c r="EW69" s="1258">
        <v>14.8</v>
      </c>
      <c r="EX69" s="1258">
        <v>15.03</v>
      </c>
      <c r="EY69" s="1258">
        <v>15.22</v>
      </c>
      <c r="EZ69" s="1259">
        <v>15.38</v>
      </c>
      <c r="FA69" s="1257">
        <v>15.52</v>
      </c>
      <c r="FB69" s="1258">
        <v>15.62</v>
      </c>
      <c r="FC69" s="1258">
        <v>15.71</v>
      </c>
      <c r="FD69" s="1258">
        <v>15.77</v>
      </c>
      <c r="FE69" s="1258">
        <v>15.82</v>
      </c>
      <c r="FF69" s="1258">
        <v>15.85</v>
      </c>
      <c r="FG69" s="1258">
        <v>15.87</v>
      </c>
      <c r="FH69" s="1258">
        <v>15.89</v>
      </c>
      <c r="FI69" s="1258">
        <v>15.9</v>
      </c>
      <c r="FJ69" s="1259"/>
      <c r="FK69" s="1258"/>
      <c r="FL69" s="1258"/>
      <c r="FM69" s="1259"/>
    </row>
    <row r="70" spans="1:169" s="1519" customFormat="1">
      <c r="A70" s="1515" t="s">
        <v>1547</v>
      </c>
      <c r="B70" s="1167">
        <v>21</v>
      </c>
      <c r="C70" s="1260"/>
      <c r="D70" s="1261">
        <v>0.09</v>
      </c>
      <c r="E70" s="1261">
        <v>0.14000000000000001</v>
      </c>
      <c r="F70" s="1261">
        <v>0.19</v>
      </c>
      <c r="G70" s="1261">
        <v>0.24</v>
      </c>
      <c r="H70" s="1261">
        <v>0.3</v>
      </c>
      <c r="I70" s="1261">
        <v>0.36</v>
      </c>
      <c r="J70" s="1261">
        <v>0.42</v>
      </c>
      <c r="K70" s="1262">
        <v>0.48</v>
      </c>
      <c r="L70" s="1260">
        <v>0.55000000000000004</v>
      </c>
      <c r="M70" s="1261">
        <v>0.62</v>
      </c>
      <c r="N70" s="1261">
        <v>0.69</v>
      </c>
      <c r="O70" s="1261">
        <v>0.77</v>
      </c>
      <c r="P70" s="1261">
        <v>0.86</v>
      </c>
      <c r="Q70" s="1261">
        <v>0.93</v>
      </c>
      <c r="R70" s="1261">
        <v>1.01</v>
      </c>
      <c r="S70" s="1261">
        <v>1.0900000000000001</v>
      </c>
      <c r="T70" s="1261">
        <v>1.17</v>
      </c>
      <c r="U70" s="1262">
        <v>1.26</v>
      </c>
      <c r="V70" s="1260">
        <v>1.35</v>
      </c>
      <c r="W70" s="1261">
        <v>1.45</v>
      </c>
      <c r="X70" s="1261">
        <v>1.56</v>
      </c>
      <c r="Y70" s="1261">
        <v>1.68</v>
      </c>
      <c r="Z70" s="1261">
        <v>1.8</v>
      </c>
      <c r="AA70" s="1261">
        <v>1.93</v>
      </c>
      <c r="AB70" s="1261">
        <v>2.0699999999999998</v>
      </c>
      <c r="AC70" s="1261">
        <v>2.2200000000000002</v>
      </c>
      <c r="AD70" s="1261">
        <v>2.37</v>
      </c>
      <c r="AE70" s="1262">
        <v>2.54</v>
      </c>
      <c r="AF70" s="1260">
        <v>2.72</v>
      </c>
      <c r="AG70" s="1261">
        <v>2.9</v>
      </c>
      <c r="AH70" s="1261">
        <v>3.1</v>
      </c>
      <c r="AI70" s="1261">
        <v>3.3</v>
      </c>
      <c r="AJ70" s="1261">
        <v>3.52</v>
      </c>
      <c r="AK70" s="1261">
        <v>3.75</v>
      </c>
      <c r="AL70" s="1261">
        <v>4</v>
      </c>
      <c r="AM70" s="1261">
        <v>4.26</v>
      </c>
      <c r="AN70" s="1261">
        <v>4.53</v>
      </c>
      <c r="AO70" s="1262">
        <v>4.82</v>
      </c>
      <c r="AP70" s="1260">
        <v>5.12</v>
      </c>
      <c r="AQ70" s="1261">
        <v>5.44</v>
      </c>
      <c r="AR70" s="1261">
        <v>5.79</v>
      </c>
      <c r="AS70" s="1261">
        <v>6.15</v>
      </c>
      <c r="AT70" s="1261">
        <v>6.54</v>
      </c>
      <c r="AU70" s="1261">
        <v>6.95</v>
      </c>
      <c r="AV70" s="1261">
        <v>7.38</v>
      </c>
      <c r="AW70" s="1261">
        <v>7.84</v>
      </c>
      <c r="AX70" s="1261">
        <v>8.32</v>
      </c>
      <c r="AY70" s="1262">
        <v>8.82</v>
      </c>
      <c r="AZ70" s="1260">
        <v>9.35</v>
      </c>
      <c r="BA70" s="1261">
        <v>9.8800000000000008</v>
      </c>
      <c r="BB70" s="1261">
        <v>10.43</v>
      </c>
      <c r="BC70" s="1261">
        <v>10.99</v>
      </c>
      <c r="BD70" s="1261">
        <v>11.55</v>
      </c>
      <c r="BE70" s="1261">
        <v>12.1</v>
      </c>
      <c r="BF70" s="1261">
        <v>12.65</v>
      </c>
      <c r="BG70" s="1261">
        <v>13.19</v>
      </c>
      <c r="BH70" s="1261">
        <v>13.71</v>
      </c>
      <c r="BI70" s="1262">
        <v>14.23</v>
      </c>
      <c r="BJ70" s="1260">
        <v>14.7</v>
      </c>
      <c r="BK70" s="1261">
        <v>15.11</v>
      </c>
      <c r="BL70" s="1261">
        <v>15.48</v>
      </c>
      <c r="BM70" s="1261">
        <v>15.8</v>
      </c>
      <c r="BN70" s="1261">
        <v>16.07</v>
      </c>
      <c r="BO70" s="1261">
        <v>16.3</v>
      </c>
      <c r="BP70" s="1261">
        <v>16.5</v>
      </c>
      <c r="BQ70" s="1261">
        <v>16.66</v>
      </c>
      <c r="BR70" s="1261">
        <v>16.79</v>
      </c>
      <c r="BS70" s="1262">
        <v>16.899999999999999</v>
      </c>
      <c r="BT70" s="1260">
        <v>16.98</v>
      </c>
      <c r="BU70" s="1261">
        <v>17.04</v>
      </c>
      <c r="BV70" s="1261">
        <v>17.079999999999998</v>
      </c>
      <c r="BW70" s="1261">
        <v>17.12</v>
      </c>
      <c r="BX70" s="1261">
        <v>17.14</v>
      </c>
      <c r="BY70" s="1261">
        <v>17.149999999999999</v>
      </c>
      <c r="BZ70" s="1261">
        <v>17.16</v>
      </c>
      <c r="CA70" s="1261">
        <v>17.170000000000002</v>
      </c>
      <c r="CB70" s="1261"/>
      <c r="CC70" s="1262"/>
      <c r="CD70" s="1261"/>
      <c r="CE70" s="1261"/>
      <c r="CF70" s="1262"/>
      <c r="CH70" s="1515" t="str">
        <f t="shared" si="1"/>
        <v>WPTPDCIF21</v>
      </c>
      <c r="CI70" s="1167">
        <v>21</v>
      </c>
      <c r="CJ70" s="1260"/>
      <c r="CK70" s="1261">
        <v>0.09</v>
      </c>
      <c r="CL70" s="1261">
        <v>0.14000000000000001</v>
      </c>
      <c r="CM70" s="1261">
        <v>0.19</v>
      </c>
      <c r="CN70" s="1261">
        <v>0.24</v>
      </c>
      <c r="CO70" s="1261">
        <v>0.3</v>
      </c>
      <c r="CP70" s="1261">
        <v>0.36</v>
      </c>
      <c r="CQ70" s="1261">
        <v>0.42</v>
      </c>
      <c r="CR70" s="1262">
        <v>0.48</v>
      </c>
      <c r="CS70" s="1260">
        <v>0.55000000000000004</v>
      </c>
      <c r="CT70" s="1261">
        <v>0.63</v>
      </c>
      <c r="CU70" s="1261">
        <v>0.71</v>
      </c>
      <c r="CV70" s="1261">
        <v>0.8</v>
      </c>
      <c r="CW70" s="1261">
        <v>0.9</v>
      </c>
      <c r="CX70" s="1261">
        <v>0.98</v>
      </c>
      <c r="CY70" s="1261">
        <v>1.06</v>
      </c>
      <c r="CZ70" s="1261">
        <v>1.1499999999999999</v>
      </c>
      <c r="DA70" s="1261">
        <v>1.24</v>
      </c>
      <c r="DB70" s="1262">
        <v>1.34</v>
      </c>
      <c r="DC70" s="1260">
        <v>1.44</v>
      </c>
      <c r="DD70" s="1261">
        <v>1.55</v>
      </c>
      <c r="DE70" s="1261">
        <v>1.67</v>
      </c>
      <c r="DF70" s="1261">
        <v>1.8</v>
      </c>
      <c r="DG70" s="1261">
        <v>1.93</v>
      </c>
      <c r="DH70" s="1261">
        <v>2.0699999999999998</v>
      </c>
      <c r="DI70" s="1261">
        <v>2.23</v>
      </c>
      <c r="DJ70" s="1261">
        <v>2.38</v>
      </c>
      <c r="DK70" s="1261">
        <v>2.5499999999999998</v>
      </c>
      <c r="DL70" s="1262">
        <v>2.73</v>
      </c>
      <c r="DM70" s="1260">
        <v>2.91</v>
      </c>
      <c r="DN70" s="1261">
        <v>3.11</v>
      </c>
      <c r="DO70" s="1261">
        <v>3.31</v>
      </c>
      <c r="DP70" s="1261">
        <v>3.52</v>
      </c>
      <c r="DQ70" s="1261">
        <v>3.74</v>
      </c>
      <c r="DR70" s="1261">
        <v>3.97</v>
      </c>
      <c r="DS70" s="1261">
        <v>4.2</v>
      </c>
      <c r="DT70" s="1261">
        <v>4.45</v>
      </c>
      <c r="DU70" s="1261">
        <v>4.71</v>
      </c>
      <c r="DV70" s="1262">
        <v>4.97</v>
      </c>
      <c r="DW70" s="1260">
        <v>5.25</v>
      </c>
      <c r="DX70" s="1261">
        <v>5.53</v>
      </c>
      <c r="DY70" s="1261">
        <v>5.83</v>
      </c>
      <c r="DZ70" s="1261">
        <v>6.14</v>
      </c>
      <c r="EA70" s="1261">
        <v>6.46</v>
      </c>
      <c r="EB70" s="1261">
        <v>6.8</v>
      </c>
      <c r="EC70" s="1261">
        <v>7.15</v>
      </c>
      <c r="ED70" s="1261">
        <v>7.51</v>
      </c>
      <c r="EE70" s="1261">
        <v>7.89</v>
      </c>
      <c r="EF70" s="1262">
        <v>8.2899999999999991</v>
      </c>
      <c r="EG70" s="1260">
        <v>8.6999999999999993</v>
      </c>
      <c r="EH70" s="1261">
        <v>9.1199999999999992</v>
      </c>
      <c r="EI70" s="1261">
        <v>9.5500000000000007</v>
      </c>
      <c r="EJ70" s="1261">
        <v>10</v>
      </c>
      <c r="EK70" s="1261">
        <v>10.45</v>
      </c>
      <c r="EL70" s="1261">
        <v>10.91</v>
      </c>
      <c r="EM70" s="1261">
        <v>11.38</v>
      </c>
      <c r="EN70" s="1261">
        <v>11.85</v>
      </c>
      <c r="EO70" s="1261">
        <v>12.31</v>
      </c>
      <c r="EP70" s="1262">
        <v>12.83</v>
      </c>
      <c r="EQ70" s="1260">
        <v>13.3</v>
      </c>
      <c r="ER70" s="1261">
        <v>13.73</v>
      </c>
      <c r="ES70" s="1261">
        <v>14.12</v>
      </c>
      <c r="ET70" s="1261">
        <v>14.47</v>
      </c>
      <c r="EU70" s="1261">
        <v>14.78</v>
      </c>
      <c r="EV70" s="1261">
        <v>15.05</v>
      </c>
      <c r="EW70" s="1261">
        <v>15.28</v>
      </c>
      <c r="EX70" s="1261">
        <v>15.48</v>
      </c>
      <c r="EY70" s="1261">
        <v>15.64</v>
      </c>
      <c r="EZ70" s="1262">
        <v>15.78</v>
      </c>
      <c r="FA70" s="1260">
        <v>15.89</v>
      </c>
      <c r="FB70" s="1261">
        <v>15.97</v>
      </c>
      <c r="FC70" s="1261">
        <v>16.04</v>
      </c>
      <c r="FD70" s="1261">
        <v>16.09</v>
      </c>
      <c r="FE70" s="1261">
        <v>16.12</v>
      </c>
      <c r="FF70" s="1261">
        <v>16.14</v>
      </c>
      <c r="FG70" s="1261">
        <v>16.16</v>
      </c>
      <c r="FH70" s="1261">
        <v>16.170000000000002</v>
      </c>
      <c r="FI70" s="1261"/>
      <c r="FJ70" s="1262"/>
      <c r="FK70" s="1261"/>
      <c r="FL70" s="1261"/>
      <c r="FM70" s="1262"/>
    </row>
    <row r="71" spans="1:169" s="1519" customFormat="1">
      <c r="A71" s="1515" t="s">
        <v>1548</v>
      </c>
      <c r="B71" s="1166">
        <v>22</v>
      </c>
      <c r="C71" s="1257"/>
      <c r="D71" s="1258">
        <v>0.09</v>
      </c>
      <c r="E71" s="1258">
        <v>0.14000000000000001</v>
      </c>
      <c r="F71" s="1258">
        <v>0.19</v>
      </c>
      <c r="G71" s="1258">
        <v>0.25</v>
      </c>
      <c r="H71" s="1258">
        <v>0.3</v>
      </c>
      <c r="I71" s="1258">
        <v>0.36</v>
      </c>
      <c r="J71" s="1258">
        <v>0.42</v>
      </c>
      <c r="K71" s="1259">
        <v>0.49</v>
      </c>
      <c r="L71" s="1257">
        <v>0.55000000000000004</v>
      </c>
      <c r="M71" s="1258">
        <v>0.63</v>
      </c>
      <c r="N71" s="1258">
        <v>0.71</v>
      </c>
      <c r="O71" s="1258">
        <v>0.79</v>
      </c>
      <c r="P71" s="1258">
        <v>0.88</v>
      </c>
      <c r="Q71" s="1258">
        <v>0.96</v>
      </c>
      <c r="R71" s="1258">
        <v>1.04</v>
      </c>
      <c r="S71" s="1258">
        <v>1.1200000000000001</v>
      </c>
      <c r="T71" s="1258">
        <v>1.21</v>
      </c>
      <c r="U71" s="1259">
        <v>1.31</v>
      </c>
      <c r="V71" s="1257">
        <v>1.41</v>
      </c>
      <c r="W71" s="1258">
        <v>1.52</v>
      </c>
      <c r="X71" s="1258">
        <v>1.64</v>
      </c>
      <c r="Y71" s="1258">
        <v>1.77</v>
      </c>
      <c r="Z71" s="1258">
        <v>1.9</v>
      </c>
      <c r="AA71" s="1258">
        <v>2.04</v>
      </c>
      <c r="AB71" s="1258">
        <v>2.19</v>
      </c>
      <c r="AC71" s="1258">
        <v>2.35</v>
      </c>
      <c r="AD71" s="1258">
        <v>2.52</v>
      </c>
      <c r="AE71" s="1259">
        <v>2.7</v>
      </c>
      <c r="AF71" s="1257">
        <v>2.89</v>
      </c>
      <c r="AG71" s="1258">
        <v>3.09</v>
      </c>
      <c r="AH71" s="1258">
        <v>3.31</v>
      </c>
      <c r="AI71" s="1258">
        <v>3.53</v>
      </c>
      <c r="AJ71" s="1258">
        <v>3.77</v>
      </c>
      <c r="AK71" s="1258">
        <v>4.0199999999999996</v>
      </c>
      <c r="AL71" s="1258">
        <v>4.28</v>
      </c>
      <c r="AM71" s="1258">
        <v>4.5599999999999996</v>
      </c>
      <c r="AN71" s="1258">
        <v>4.8499999999999996</v>
      </c>
      <c r="AO71" s="1259">
        <v>5.17</v>
      </c>
      <c r="AP71" s="1257">
        <v>5.5</v>
      </c>
      <c r="AQ71" s="1258">
        <v>5.85</v>
      </c>
      <c r="AR71" s="1258">
        <v>6.22</v>
      </c>
      <c r="AS71" s="1258">
        <v>6.62</v>
      </c>
      <c r="AT71" s="1258">
        <v>7.04</v>
      </c>
      <c r="AU71" s="1258">
        <v>7.48</v>
      </c>
      <c r="AV71" s="1258">
        <v>7.95</v>
      </c>
      <c r="AW71" s="1258">
        <v>8.44</v>
      </c>
      <c r="AX71" s="1258">
        <v>8.9600000000000009</v>
      </c>
      <c r="AY71" s="1259">
        <v>9.49</v>
      </c>
      <c r="AZ71" s="1257">
        <v>10.039999999999999</v>
      </c>
      <c r="BA71" s="1258">
        <v>10.61</v>
      </c>
      <c r="BB71" s="1258">
        <v>11.18</v>
      </c>
      <c r="BC71" s="1258">
        <v>11.75</v>
      </c>
      <c r="BD71" s="1258">
        <v>12.32</v>
      </c>
      <c r="BE71" s="1258">
        <v>12.89</v>
      </c>
      <c r="BF71" s="1258">
        <v>13.44</v>
      </c>
      <c r="BG71" s="1258">
        <v>13.97</v>
      </c>
      <c r="BH71" s="1258">
        <v>14.51</v>
      </c>
      <c r="BI71" s="1259">
        <v>14.99</v>
      </c>
      <c r="BJ71" s="1257">
        <v>15.41</v>
      </c>
      <c r="BK71" s="1258">
        <v>15.79</v>
      </c>
      <c r="BL71" s="1258">
        <v>16.11</v>
      </c>
      <c r="BM71" s="1258">
        <v>16.399999999999999</v>
      </c>
      <c r="BN71" s="1258">
        <v>16.63</v>
      </c>
      <c r="BO71" s="1258">
        <v>16.829999999999998</v>
      </c>
      <c r="BP71" s="1258">
        <v>17</v>
      </c>
      <c r="BQ71" s="1258">
        <v>17.13</v>
      </c>
      <c r="BR71" s="1258">
        <v>17.239999999999998</v>
      </c>
      <c r="BS71" s="1259">
        <v>17.329999999999998</v>
      </c>
      <c r="BT71" s="1257">
        <v>17.39</v>
      </c>
      <c r="BU71" s="1258">
        <v>17.440000000000001</v>
      </c>
      <c r="BV71" s="1258">
        <v>17.47</v>
      </c>
      <c r="BW71" s="1258">
        <v>17.489999999999998</v>
      </c>
      <c r="BX71" s="1258">
        <v>17.510000000000002</v>
      </c>
      <c r="BY71" s="1258">
        <v>17.52</v>
      </c>
      <c r="BZ71" s="1258">
        <v>17.52</v>
      </c>
      <c r="CA71" s="1258"/>
      <c r="CB71" s="1258"/>
      <c r="CC71" s="1259"/>
      <c r="CD71" s="1258"/>
      <c r="CE71" s="1258"/>
      <c r="CF71" s="1259"/>
      <c r="CH71" s="1515" t="str">
        <f t="shared" si="1"/>
        <v>WPTPDCIF22</v>
      </c>
      <c r="CI71" s="1166">
        <v>22</v>
      </c>
      <c r="CJ71" s="1257"/>
      <c r="CK71" s="1258">
        <v>0.09</v>
      </c>
      <c r="CL71" s="1258">
        <v>0.14000000000000001</v>
      </c>
      <c r="CM71" s="1258">
        <v>0.19</v>
      </c>
      <c r="CN71" s="1258">
        <v>0.24</v>
      </c>
      <c r="CO71" s="1258">
        <v>0.3</v>
      </c>
      <c r="CP71" s="1258">
        <v>0.35</v>
      </c>
      <c r="CQ71" s="1258">
        <v>0.42</v>
      </c>
      <c r="CR71" s="1259">
        <v>0.48</v>
      </c>
      <c r="CS71" s="1257">
        <v>0.56000000000000005</v>
      </c>
      <c r="CT71" s="1258">
        <v>0.64</v>
      </c>
      <c r="CU71" s="1258">
        <v>0.72</v>
      </c>
      <c r="CV71" s="1258">
        <v>0.82</v>
      </c>
      <c r="CW71" s="1258">
        <v>0.92</v>
      </c>
      <c r="CX71" s="1258">
        <v>1.01</v>
      </c>
      <c r="CY71" s="1258">
        <v>1.1000000000000001</v>
      </c>
      <c r="CZ71" s="1258">
        <v>1.19</v>
      </c>
      <c r="DA71" s="1258">
        <v>1.29</v>
      </c>
      <c r="DB71" s="1259">
        <v>1.4</v>
      </c>
      <c r="DC71" s="1257">
        <v>1.51</v>
      </c>
      <c r="DD71" s="1258">
        <v>1.63</v>
      </c>
      <c r="DE71" s="1258">
        <v>1.76</v>
      </c>
      <c r="DF71" s="1258">
        <v>1.9</v>
      </c>
      <c r="DG71" s="1258">
        <v>2.04</v>
      </c>
      <c r="DH71" s="1258">
        <v>2.2000000000000002</v>
      </c>
      <c r="DI71" s="1258">
        <v>2.36</v>
      </c>
      <c r="DJ71" s="1258">
        <v>2.5299999999999998</v>
      </c>
      <c r="DK71" s="1258">
        <v>2.71</v>
      </c>
      <c r="DL71" s="1259">
        <v>2.9</v>
      </c>
      <c r="DM71" s="1257">
        <v>3.1</v>
      </c>
      <c r="DN71" s="1258">
        <v>3.3</v>
      </c>
      <c r="DO71" s="1258">
        <v>3.52</v>
      </c>
      <c r="DP71" s="1258">
        <v>3.74</v>
      </c>
      <c r="DQ71" s="1258">
        <v>3.98</v>
      </c>
      <c r="DR71" s="1258">
        <v>4.22</v>
      </c>
      <c r="DS71" s="1258">
        <v>4.47</v>
      </c>
      <c r="DT71" s="1258">
        <v>4.7300000000000004</v>
      </c>
      <c r="DU71" s="1258">
        <v>5</v>
      </c>
      <c r="DV71" s="1259">
        <v>5.28</v>
      </c>
      <c r="DW71" s="1257">
        <v>5.58</v>
      </c>
      <c r="DX71" s="1258">
        <v>5.88</v>
      </c>
      <c r="DY71" s="1258">
        <v>6.2</v>
      </c>
      <c r="DZ71" s="1258">
        <v>6.52</v>
      </c>
      <c r="EA71" s="1258">
        <v>6.87</v>
      </c>
      <c r="EB71" s="1258">
        <v>7.23</v>
      </c>
      <c r="EC71" s="1258">
        <v>7.6</v>
      </c>
      <c r="ED71" s="1258">
        <v>7.99</v>
      </c>
      <c r="EE71" s="1258">
        <v>8.39</v>
      </c>
      <c r="EF71" s="1259">
        <v>8.81</v>
      </c>
      <c r="EG71" s="1257">
        <v>9.24</v>
      </c>
      <c r="EH71" s="1258">
        <v>9.68</v>
      </c>
      <c r="EI71" s="1258">
        <v>10.130000000000001</v>
      </c>
      <c r="EJ71" s="1258">
        <v>10.6</v>
      </c>
      <c r="EK71" s="1258">
        <v>11.07</v>
      </c>
      <c r="EL71" s="1258">
        <v>11.55</v>
      </c>
      <c r="EM71" s="1258">
        <v>12.03</v>
      </c>
      <c r="EN71" s="1258">
        <v>12.5</v>
      </c>
      <c r="EO71" s="1258">
        <v>13.03</v>
      </c>
      <c r="EP71" s="1259">
        <v>13.52</v>
      </c>
      <c r="EQ71" s="1257">
        <v>13.96</v>
      </c>
      <c r="ER71" s="1258">
        <v>14.35</v>
      </c>
      <c r="ES71" s="1258">
        <v>14.71</v>
      </c>
      <c r="ET71" s="1258">
        <v>15.03</v>
      </c>
      <c r="EU71" s="1258">
        <v>15.3</v>
      </c>
      <c r="EV71" s="1258">
        <v>15.54</v>
      </c>
      <c r="EW71" s="1258">
        <v>15.74</v>
      </c>
      <c r="EX71" s="1258">
        <v>15.91</v>
      </c>
      <c r="EY71" s="1258">
        <v>16.05</v>
      </c>
      <c r="EZ71" s="1259">
        <v>16.170000000000002</v>
      </c>
      <c r="FA71" s="1257">
        <v>16.25</v>
      </c>
      <c r="FB71" s="1258">
        <v>16.32</v>
      </c>
      <c r="FC71" s="1258">
        <v>16.37</v>
      </c>
      <c r="FD71" s="1258">
        <v>16.41</v>
      </c>
      <c r="FE71" s="1258">
        <v>16.43</v>
      </c>
      <c r="FF71" s="1258">
        <v>16.45</v>
      </c>
      <c r="FG71" s="1258">
        <v>16.46</v>
      </c>
      <c r="FH71" s="1258"/>
      <c r="FI71" s="1258"/>
      <c r="FJ71" s="1259"/>
      <c r="FK71" s="1258"/>
      <c r="FL71" s="1258"/>
      <c r="FM71" s="1259"/>
    </row>
    <row r="72" spans="1:169" s="1519" customFormat="1">
      <c r="A72" s="1515" t="s">
        <v>1549</v>
      </c>
      <c r="B72" s="1166">
        <v>23</v>
      </c>
      <c r="C72" s="1257"/>
      <c r="D72" s="1258">
        <v>0.09</v>
      </c>
      <c r="E72" s="1258">
        <v>0.14000000000000001</v>
      </c>
      <c r="F72" s="1258">
        <v>0.19</v>
      </c>
      <c r="G72" s="1258">
        <v>0.25</v>
      </c>
      <c r="H72" s="1258">
        <v>0.3</v>
      </c>
      <c r="I72" s="1258">
        <v>0.36</v>
      </c>
      <c r="J72" s="1258">
        <v>0.42</v>
      </c>
      <c r="K72" s="1259">
        <v>0.49</v>
      </c>
      <c r="L72" s="1257">
        <v>0.56000000000000005</v>
      </c>
      <c r="M72" s="1258">
        <v>0.64</v>
      </c>
      <c r="N72" s="1258">
        <v>0.72</v>
      </c>
      <c r="O72" s="1258">
        <v>0.81</v>
      </c>
      <c r="P72" s="1258">
        <v>0.91</v>
      </c>
      <c r="Q72" s="1258">
        <v>0.99</v>
      </c>
      <c r="R72" s="1258">
        <v>1.07</v>
      </c>
      <c r="S72" s="1258">
        <v>1.17</v>
      </c>
      <c r="T72" s="1258">
        <v>1.26</v>
      </c>
      <c r="U72" s="1259">
        <v>1.37</v>
      </c>
      <c r="V72" s="1257">
        <v>1.48</v>
      </c>
      <c r="W72" s="1258">
        <v>1.6</v>
      </c>
      <c r="X72" s="1258">
        <v>1.73</v>
      </c>
      <c r="Y72" s="1258">
        <v>1.87</v>
      </c>
      <c r="Z72" s="1258">
        <v>2.0099999999999998</v>
      </c>
      <c r="AA72" s="1258">
        <v>2.17</v>
      </c>
      <c r="AB72" s="1258">
        <v>2.33</v>
      </c>
      <c r="AC72" s="1258">
        <v>2.5099999999999998</v>
      </c>
      <c r="AD72" s="1258">
        <v>2.69</v>
      </c>
      <c r="AE72" s="1259">
        <v>2.89</v>
      </c>
      <c r="AF72" s="1257">
        <v>3.09</v>
      </c>
      <c r="AG72" s="1258">
        <v>3.31</v>
      </c>
      <c r="AH72" s="1258">
        <v>3.54</v>
      </c>
      <c r="AI72" s="1258">
        <v>3.78</v>
      </c>
      <c r="AJ72" s="1258">
        <v>4.04</v>
      </c>
      <c r="AK72" s="1258">
        <v>4.3099999999999996</v>
      </c>
      <c r="AL72" s="1258">
        <v>4.59</v>
      </c>
      <c r="AM72" s="1258">
        <v>4.8899999999999997</v>
      </c>
      <c r="AN72" s="1258">
        <v>5.21</v>
      </c>
      <c r="AO72" s="1259">
        <v>5.55</v>
      </c>
      <c r="AP72" s="1257">
        <v>5.91</v>
      </c>
      <c r="AQ72" s="1258">
        <v>6.29</v>
      </c>
      <c r="AR72" s="1258">
        <v>6.7</v>
      </c>
      <c r="AS72" s="1258">
        <v>7.13</v>
      </c>
      <c r="AT72" s="1258">
        <v>7.58</v>
      </c>
      <c r="AU72" s="1258">
        <v>8.07</v>
      </c>
      <c r="AV72" s="1258">
        <v>8.57</v>
      </c>
      <c r="AW72" s="1258">
        <v>9.1</v>
      </c>
      <c r="AX72" s="1258">
        <v>9.65</v>
      </c>
      <c r="AY72" s="1259">
        <v>10.210000000000001</v>
      </c>
      <c r="AZ72" s="1257">
        <v>10.79</v>
      </c>
      <c r="BA72" s="1258">
        <v>11.38</v>
      </c>
      <c r="BB72" s="1258">
        <v>11.96</v>
      </c>
      <c r="BC72" s="1258">
        <v>12.55</v>
      </c>
      <c r="BD72" s="1258">
        <v>13.13</v>
      </c>
      <c r="BE72" s="1258">
        <v>13.7</v>
      </c>
      <c r="BF72" s="1258">
        <v>14.24</v>
      </c>
      <c r="BG72" s="1258">
        <v>14.79</v>
      </c>
      <c r="BH72" s="1258">
        <v>15.29</v>
      </c>
      <c r="BI72" s="1259">
        <v>15.72</v>
      </c>
      <c r="BJ72" s="1257">
        <v>16.11</v>
      </c>
      <c r="BK72" s="1258">
        <v>16.440000000000001</v>
      </c>
      <c r="BL72" s="1258">
        <v>16.73</v>
      </c>
      <c r="BM72" s="1258">
        <v>16.98</v>
      </c>
      <c r="BN72" s="1258">
        <v>17.18</v>
      </c>
      <c r="BO72" s="1258">
        <v>17.350000000000001</v>
      </c>
      <c r="BP72" s="1258">
        <v>17.489999999999998</v>
      </c>
      <c r="BQ72" s="1258">
        <v>17.600000000000001</v>
      </c>
      <c r="BR72" s="1258">
        <v>17.690000000000001</v>
      </c>
      <c r="BS72" s="1259">
        <v>17.75</v>
      </c>
      <c r="BT72" s="1257">
        <v>17.8</v>
      </c>
      <c r="BU72" s="1258">
        <v>17.84</v>
      </c>
      <c r="BV72" s="1258">
        <v>17.86</v>
      </c>
      <c r="BW72" s="1258">
        <v>17.88</v>
      </c>
      <c r="BX72" s="1258">
        <v>17.89</v>
      </c>
      <c r="BY72" s="1258">
        <v>17.89</v>
      </c>
      <c r="BZ72" s="1258"/>
      <c r="CA72" s="1258"/>
      <c r="CB72" s="1258"/>
      <c r="CC72" s="1259"/>
      <c r="CD72" s="1258"/>
      <c r="CE72" s="1258"/>
      <c r="CF72" s="1259"/>
      <c r="CH72" s="1515" t="str">
        <f t="shared" si="1"/>
        <v>WPTPDCIF23</v>
      </c>
      <c r="CI72" s="1166">
        <v>23</v>
      </c>
      <c r="CJ72" s="1257"/>
      <c r="CK72" s="1258">
        <v>0.09</v>
      </c>
      <c r="CL72" s="1258">
        <v>0.14000000000000001</v>
      </c>
      <c r="CM72" s="1258">
        <v>0.19</v>
      </c>
      <c r="CN72" s="1258">
        <v>0.24</v>
      </c>
      <c r="CO72" s="1258">
        <v>0.28999999999999998</v>
      </c>
      <c r="CP72" s="1258">
        <v>0.35</v>
      </c>
      <c r="CQ72" s="1258">
        <v>0.42</v>
      </c>
      <c r="CR72" s="1259">
        <v>0.49</v>
      </c>
      <c r="CS72" s="1257">
        <v>0.56999999999999995</v>
      </c>
      <c r="CT72" s="1258">
        <v>0.65</v>
      </c>
      <c r="CU72" s="1258">
        <v>0.74</v>
      </c>
      <c r="CV72" s="1258">
        <v>0.84</v>
      </c>
      <c r="CW72" s="1258">
        <v>0.95</v>
      </c>
      <c r="CX72" s="1258">
        <v>1.04</v>
      </c>
      <c r="CY72" s="1258">
        <v>1.1399999999999999</v>
      </c>
      <c r="CZ72" s="1258">
        <v>1.24</v>
      </c>
      <c r="DA72" s="1258">
        <v>1.35</v>
      </c>
      <c r="DB72" s="1259">
        <v>1.47</v>
      </c>
      <c r="DC72" s="1257">
        <v>1.59</v>
      </c>
      <c r="DD72" s="1258">
        <v>1.72</v>
      </c>
      <c r="DE72" s="1258">
        <v>1.86</v>
      </c>
      <c r="DF72" s="1258">
        <v>2.0099999999999998</v>
      </c>
      <c r="DG72" s="1258">
        <v>2.17</v>
      </c>
      <c r="DH72" s="1258">
        <v>2.34</v>
      </c>
      <c r="DI72" s="1258">
        <v>2.5099999999999998</v>
      </c>
      <c r="DJ72" s="1258">
        <v>2.7</v>
      </c>
      <c r="DK72" s="1258">
        <v>2.89</v>
      </c>
      <c r="DL72" s="1259">
        <v>3.09</v>
      </c>
      <c r="DM72" s="1257">
        <v>3.3</v>
      </c>
      <c r="DN72" s="1258">
        <v>3.52</v>
      </c>
      <c r="DO72" s="1258">
        <v>3.75</v>
      </c>
      <c r="DP72" s="1258">
        <v>3.99</v>
      </c>
      <c r="DQ72" s="1258">
        <v>4.24</v>
      </c>
      <c r="DR72" s="1258">
        <v>4.5</v>
      </c>
      <c r="DS72" s="1258">
        <v>4.76</v>
      </c>
      <c r="DT72" s="1258">
        <v>5.04</v>
      </c>
      <c r="DU72" s="1258">
        <v>5.33</v>
      </c>
      <c r="DV72" s="1259">
        <v>5.62</v>
      </c>
      <c r="DW72" s="1257">
        <v>5.93</v>
      </c>
      <c r="DX72" s="1258">
        <v>6.26</v>
      </c>
      <c r="DY72" s="1258">
        <v>6.59</v>
      </c>
      <c r="DZ72" s="1258">
        <v>6.94</v>
      </c>
      <c r="EA72" s="1258">
        <v>7.31</v>
      </c>
      <c r="EB72" s="1258">
        <v>7.69</v>
      </c>
      <c r="EC72" s="1258">
        <v>8.09</v>
      </c>
      <c r="ED72" s="1258">
        <v>8.5</v>
      </c>
      <c r="EE72" s="1258">
        <v>8.92</v>
      </c>
      <c r="EF72" s="1259">
        <v>9.36</v>
      </c>
      <c r="EG72" s="1257">
        <v>9.82</v>
      </c>
      <c r="EH72" s="1258">
        <v>10.28</v>
      </c>
      <c r="EI72" s="1258">
        <v>10.75</v>
      </c>
      <c r="EJ72" s="1258">
        <v>11.24</v>
      </c>
      <c r="EK72" s="1258">
        <v>11.72</v>
      </c>
      <c r="EL72" s="1258">
        <v>12.21</v>
      </c>
      <c r="EM72" s="1258">
        <v>12.7</v>
      </c>
      <c r="EN72" s="1258">
        <v>13.24</v>
      </c>
      <c r="EO72" s="1258">
        <v>13.74</v>
      </c>
      <c r="EP72" s="1259">
        <v>14.19</v>
      </c>
      <c r="EQ72" s="1257">
        <v>14.6</v>
      </c>
      <c r="ER72" s="1258">
        <v>14.97</v>
      </c>
      <c r="ES72" s="1258">
        <v>15.29</v>
      </c>
      <c r="ET72" s="1258">
        <v>15.57</v>
      </c>
      <c r="EU72" s="1258">
        <v>15.82</v>
      </c>
      <c r="EV72" s="1258">
        <v>16.03</v>
      </c>
      <c r="EW72" s="1258">
        <v>16.2</v>
      </c>
      <c r="EX72" s="1258">
        <v>16.34</v>
      </c>
      <c r="EY72" s="1258">
        <v>16.46</v>
      </c>
      <c r="EZ72" s="1259">
        <v>16.55</v>
      </c>
      <c r="FA72" s="1257">
        <v>16.62</v>
      </c>
      <c r="FB72" s="1258">
        <v>16.670000000000002</v>
      </c>
      <c r="FC72" s="1258">
        <v>16.7</v>
      </c>
      <c r="FD72" s="1258">
        <v>16.73</v>
      </c>
      <c r="FE72" s="1258">
        <v>16.739999999999998</v>
      </c>
      <c r="FF72" s="1258">
        <v>16.75</v>
      </c>
      <c r="FG72" s="1258"/>
      <c r="FH72" s="1258"/>
      <c r="FI72" s="1258"/>
      <c r="FJ72" s="1259"/>
      <c r="FK72" s="1258"/>
      <c r="FL72" s="1258"/>
      <c r="FM72" s="1259"/>
    </row>
    <row r="73" spans="1:169" s="1519" customFormat="1">
      <c r="A73" s="1515" t="s">
        <v>1550</v>
      </c>
      <c r="B73" s="1166">
        <v>24</v>
      </c>
      <c r="C73" s="1257"/>
      <c r="D73" s="1258">
        <v>0.09</v>
      </c>
      <c r="E73" s="1258">
        <v>0.14000000000000001</v>
      </c>
      <c r="F73" s="1258">
        <v>0.19</v>
      </c>
      <c r="G73" s="1258">
        <v>0.25</v>
      </c>
      <c r="H73" s="1258">
        <v>0.31</v>
      </c>
      <c r="I73" s="1258">
        <v>0.37</v>
      </c>
      <c r="J73" s="1258">
        <v>0.43</v>
      </c>
      <c r="K73" s="1259">
        <v>0.5</v>
      </c>
      <c r="L73" s="1257">
        <v>0.56999999999999995</v>
      </c>
      <c r="M73" s="1258">
        <v>0.65</v>
      </c>
      <c r="N73" s="1258">
        <v>0.74</v>
      </c>
      <c r="O73" s="1258">
        <v>0.84</v>
      </c>
      <c r="P73" s="1258">
        <v>0.94</v>
      </c>
      <c r="Q73" s="1258">
        <v>1.03</v>
      </c>
      <c r="R73" s="1258">
        <v>1.1200000000000001</v>
      </c>
      <c r="S73" s="1258">
        <v>1.22</v>
      </c>
      <c r="T73" s="1258">
        <v>1.33</v>
      </c>
      <c r="U73" s="1259">
        <v>1.45</v>
      </c>
      <c r="V73" s="1257">
        <v>1.57</v>
      </c>
      <c r="W73" s="1258">
        <v>1.7</v>
      </c>
      <c r="X73" s="1258">
        <v>1.84</v>
      </c>
      <c r="Y73" s="1258">
        <v>1.99</v>
      </c>
      <c r="Z73" s="1258">
        <v>2.15</v>
      </c>
      <c r="AA73" s="1258">
        <v>2.3199999999999998</v>
      </c>
      <c r="AB73" s="1258">
        <v>2.5</v>
      </c>
      <c r="AC73" s="1258">
        <v>2.69</v>
      </c>
      <c r="AD73" s="1258">
        <v>2.88</v>
      </c>
      <c r="AE73" s="1259">
        <v>3.1</v>
      </c>
      <c r="AF73" s="1257">
        <v>3.32</v>
      </c>
      <c r="AG73" s="1258">
        <v>3.55</v>
      </c>
      <c r="AH73" s="1258">
        <v>3.8</v>
      </c>
      <c r="AI73" s="1258">
        <v>4.0599999999999996</v>
      </c>
      <c r="AJ73" s="1258">
        <v>4.34</v>
      </c>
      <c r="AK73" s="1258">
        <v>4.63</v>
      </c>
      <c r="AL73" s="1258">
        <v>4.9400000000000004</v>
      </c>
      <c r="AM73" s="1258">
        <v>5.27</v>
      </c>
      <c r="AN73" s="1258">
        <v>5.62</v>
      </c>
      <c r="AO73" s="1259">
        <v>5.98</v>
      </c>
      <c r="AP73" s="1257">
        <v>6.38</v>
      </c>
      <c r="AQ73" s="1258">
        <v>6.79</v>
      </c>
      <c r="AR73" s="1258">
        <v>7.23</v>
      </c>
      <c r="AS73" s="1258">
        <v>7.7</v>
      </c>
      <c r="AT73" s="1258">
        <v>8.19</v>
      </c>
      <c r="AU73" s="1258">
        <v>8.7100000000000009</v>
      </c>
      <c r="AV73" s="1258">
        <v>9.25</v>
      </c>
      <c r="AW73" s="1258">
        <v>9.82</v>
      </c>
      <c r="AX73" s="1258">
        <v>10.4</v>
      </c>
      <c r="AY73" s="1259">
        <v>10.99</v>
      </c>
      <c r="AZ73" s="1257">
        <v>11.59</v>
      </c>
      <c r="BA73" s="1258">
        <v>12.19</v>
      </c>
      <c r="BB73" s="1258">
        <v>12.79</v>
      </c>
      <c r="BC73" s="1258">
        <v>13.39</v>
      </c>
      <c r="BD73" s="1258">
        <v>13.97</v>
      </c>
      <c r="BE73" s="1258">
        <v>14.53</v>
      </c>
      <c r="BF73" s="1258">
        <v>15.1</v>
      </c>
      <c r="BG73" s="1258">
        <v>15.6</v>
      </c>
      <c r="BH73" s="1258">
        <v>16.05</v>
      </c>
      <c r="BI73" s="1259">
        <v>16.45</v>
      </c>
      <c r="BJ73" s="1257">
        <v>16.79</v>
      </c>
      <c r="BK73" s="1258">
        <v>17.09</v>
      </c>
      <c r="BL73" s="1258">
        <v>17.34</v>
      </c>
      <c r="BM73" s="1258">
        <v>17.55</v>
      </c>
      <c r="BN73" s="1258">
        <v>17.73</v>
      </c>
      <c r="BO73" s="1258">
        <v>17.87</v>
      </c>
      <c r="BP73" s="1258">
        <v>17.989999999999998</v>
      </c>
      <c r="BQ73" s="1258">
        <v>18.07</v>
      </c>
      <c r="BR73" s="1258">
        <v>18.14</v>
      </c>
      <c r="BS73" s="1259">
        <v>18.190000000000001</v>
      </c>
      <c r="BT73" s="1257">
        <v>18.23</v>
      </c>
      <c r="BU73" s="1258">
        <v>18.25</v>
      </c>
      <c r="BV73" s="1258">
        <v>18.27</v>
      </c>
      <c r="BW73" s="1258">
        <v>18.28</v>
      </c>
      <c r="BX73" s="1258">
        <v>18.28</v>
      </c>
      <c r="BY73" s="1258"/>
      <c r="BZ73" s="1258"/>
      <c r="CA73" s="1258"/>
      <c r="CB73" s="1258"/>
      <c r="CC73" s="1259"/>
      <c r="CD73" s="1258"/>
      <c r="CE73" s="1258"/>
      <c r="CF73" s="1259"/>
      <c r="CH73" s="1515" t="str">
        <f t="shared" si="1"/>
        <v>WPTPDCIF24</v>
      </c>
      <c r="CI73" s="1166">
        <v>24</v>
      </c>
      <c r="CJ73" s="1257"/>
      <c r="CK73" s="1258">
        <v>0.09</v>
      </c>
      <c r="CL73" s="1258">
        <v>0.14000000000000001</v>
      </c>
      <c r="CM73" s="1258">
        <v>0.19</v>
      </c>
      <c r="CN73" s="1258">
        <v>0.24</v>
      </c>
      <c r="CO73" s="1258">
        <v>0.3</v>
      </c>
      <c r="CP73" s="1258">
        <v>0.36</v>
      </c>
      <c r="CQ73" s="1258">
        <v>0.43</v>
      </c>
      <c r="CR73" s="1259">
        <v>0.5</v>
      </c>
      <c r="CS73" s="1257">
        <v>0.57999999999999996</v>
      </c>
      <c r="CT73" s="1258">
        <v>0.67</v>
      </c>
      <c r="CU73" s="1258">
        <v>0.77</v>
      </c>
      <c r="CV73" s="1258">
        <v>0.88</v>
      </c>
      <c r="CW73" s="1258">
        <v>0.99</v>
      </c>
      <c r="CX73" s="1258">
        <v>1.0900000000000001</v>
      </c>
      <c r="CY73" s="1258">
        <v>1.2</v>
      </c>
      <c r="CZ73" s="1258">
        <v>1.31</v>
      </c>
      <c r="DA73" s="1258">
        <v>1.43</v>
      </c>
      <c r="DB73" s="1259">
        <v>1.55</v>
      </c>
      <c r="DC73" s="1257">
        <v>1.69</v>
      </c>
      <c r="DD73" s="1258">
        <v>1.83</v>
      </c>
      <c r="DE73" s="1258">
        <v>1.99</v>
      </c>
      <c r="DF73" s="1258">
        <v>2.15</v>
      </c>
      <c r="DG73" s="1258">
        <v>2.3199999999999998</v>
      </c>
      <c r="DH73" s="1258">
        <v>2.5</v>
      </c>
      <c r="DI73" s="1258">
        <v>2.69</v>
      </c>
      <c r="DJ73" s="1258">
        <v>2.89</v>
      </c>
      <c r="DK73" s="1258">
        <v>3.09</v>
      </c>
      <c r="DL73" s="1259">
        <v>3.31</v>
      </c>
      <c r="DM73" s="1257">
        <v>3.53</v>
      </c>
      <c r="DN73" s="1258">
        <v>3.77</v>
      </c>
      <c r="DO73" s="1258">
        <v>4.01</v>
      </c>
      <c r="DP73" s="1258">
        <v>4.2699999999999996</v>
      </c>
      <c r="DQ73" s="1258">
        <v>4.53</v>
      </c>
      <c r="DR73" s="1258">
        <v>4.8</v>
      </c>
      <c r="DS73" s="1258">
        <v>5.08</v>
      </c>
      <c r="DT73" s="1258">
        <v>5.38</v>
      </c>
      <c r="DU73" s="1258">
        <v>5.68</v>
      </c>
      <c r="DV73" s="1259">
        <v>6</v>
      </c>
      <c r="DW73" s="1257">
        <v>6.33</v>
      </c>
      <c r="DX73" s="1258">
        <v>6.67</v>
      </c>
      <c r="DY73" s="1258">
        <v>7.03</v>
      </c>
      <c r="DZ73" s="1258">
        <v>7.4</v>
      </c>
      <c r="EA73" s="1258">
        <v>7.79</v>
      </c>
      <c r="EB73" s="1258">
        <v>8.19</v>
      </c>
      <c r="EC73" s="1258">
        <v>8.6199999999999992</v>
      </c>
      <c r="ED73" s="1258">
        <v>9.0500000000000007</v>
      </c>
      <c r="EE73" s="1258">
        <v>9.5</v>
      </c>
      <c r="EF73" s="1259">
        <v>9.9600000000000009</v>
      </c>
      <c r="EG73" s="1257">
        <v>10.44</v>
      </c>
      <c r="EH73" s="1258">
        <v>10.92</v>
      </c>
      <c r="EI73" s="1258">
        <v>11.42</v>
      </c>
      <c r="EJ73" s="1258">
        <v>11.91</v>
      </c>
      <c r="EK73" s="1258">
        <v>12.42</v>
      </c>
      <c r="EL73" s="1258">
        <v>12.92</v>
      </c>
      <c r="EM73" s="1258">
        <v>13.47</v>
      </c>
      <c r="EN73" s="1258">
        <v>13.98</v>
      </c>
      <c r="EO73" s="1258">
        <v>14.44</v>
      </c>
      <c r="EP73" s="1259">
        <v>14.86</v>
      </c>
      <c r="EQ73" s="1257">
        <v>15.24</v>
      </c>
      <c r="ER73" s="1258">
        <v>15.57</v>
      </c>
      <c r="ES73" s="1258">
        <v>15.86</v>
      </c>
      <c r="ET73" s="1258">
        <v>16.11</v>
      </c>
      <c r="EU73" s="1258">
        <v>16.32</v>
      </c>
      <c r="EV73" s="1258">
        <v>16.5</v>
      </c>
      <c r="EW73" s="1258">
        <v>16.649999999999999</v>
      </c>
      <c r="EX73" s="1258">
        <v>16.77</v>
      </c>
      <c r="EY73" s="1258">
        <v>16.86</v>
      </c>
      <c r="EZ73" s="1259">
        <v>16.93</v>
      </c>
      <c r="FA73" s="1257">
        <v>16.98</v>
      </c>
      <c r="FB73" s="1258">
        <v>17.02</v>
      </c>
      <c r="FC73" s="1258">
        <v>17.04</v>
      </c>
      <c r="FD73" s="1258">
        <v>17.059999999999999</v>
      </c>
      <c r="FE73" s="1258">
        <v>17.07</v>
      </c>
      <c r="FF73" s="1258"/>
      <c r="FG73" s="1258"/>
      <c r="FH73" s="1258"/>
      <c r="FI73" s="1258"/>
      <c r="FJ73" s="1259"/>
      <c r="FK73" s="1258"/>
      <c r="FL73" s="1258"/>
      <c r="FM73" s="1259"/>
    </row>
    <row r="74" spans="1:169" s="1519" customFormat="1">
      <c r="A74" s="1515" t="s">
        <v>1551</v>
      </c>
      <c r="B74" s="1168">
        <v>25</v>
      </c>
      <c r="C74" s="1263"/>
      <c r="D74" s="1264">
        <v>0.09</v>
      </c>
      <c r="E74" s="1264">
        <v>0.14000000000000001</v>
      </c>
      <c r="F74" s="1264">
        <v>0.2</v>
      </c>
      <c r="G74" s="1264">
        <v>0.25</v>
      </c>
      <c r="H74" s="1264">
        <v>0.31</v>
      </c>
      <c r="I74" s="1264">
        <v>0.37</v>
      </c>
      <c r="J74" s="1264">
        <v>0.44</v>
      </c>
      <c r="K74" s="1265">
        <v>0.51</v>
      </c>
      <c r="L74" s="1263">
        <v>0.59</v>
      </c>
      <c r="M74" s="1264">
        <v>0.68</v>
      </c>
      <c r="N74" s="1264">
        <v>0.77</v>
      </c>
      <c r="O74" s="1264">
        <v>0.87</v>
      </c>
      <c r="P74" s="1264">
        <v>0.98</v>
      </c>
      <c r="Q74" s="1264">
        <v>1.08</v>
      </c>
      <c r="R74" s="1264">
        <v>1.18</v>
      </c>
      <c r="S74" s="1264">
        <v>1.29</v>
      </c>
      <c r="T74" s="1264">
        <v>1.41</v>
      </c>
      <c r="U74" s="1265">
        <v>1.54</v>
      </c>
      <c r="V74" s="1263">
        <v>1.67</v>
      </c>
      <c r="W74" s="1264">
        <v>1.82</v>
      </c>
      <c r="X74" s="1264">
        <v>1.97</v>
      </c>
      <c r="Y74" s="1264">
        <v>2.13</v>
      </c>
      <c r="Z74" s="1264">
        <v>2.2999999999999998</v>
      </c>
      <c r="AA74" s="1264">
        <v>2.4900000000000002</v>
      </c>
      <c r="AB74" s="1264">
        <v>2.68</v>
      </c>
      <c r="AC74" s="1264">
        <v>2.89</v>
      </c>
      <c r="AD74" s="1264">
        <v>3.1</v>
      </c>
      <c r="AE74" s="1265">
        <v>3.33</v>
      </c>
      <c r="AF74" s="1263">
        <v>3.57</v>
      </c>
      <c r="AG74" s="1264">
        <v>3.83</v>
      </c>
      <c r="AH74" s="1264">
        <v>4.09</v>
      </c>
      <c r="AI74" s="1264">
        <v>4.38</v>
      </c>
      <c r="AJ74" s="1264">
        <v>4.68</v>
      </c>
      <c r="AK74" s="1264">
        <v>4.99</v>
      </c>
      <c r="AL74" s="1264">
        <v>5.33</v>
      </c>
      <c r="AM74" s="1264">
        <v>5.69</v>
      </c>
      <c r="AN74" s="1264">
        <v>6.06</v>
      </c>
      <c r="AO74" s="1265">
        <v>6.46</v>
      </c>
      <c r="AP74" s="1263">
        <v>6.89</v>
      </c>
      <c r="AQ74" s="1264">
        <v>7.34</v>
      </c>
      <c r="AR74" s="1264">
        <v>7.82</v>
      </c>
      <c r="AS74" s="1264">
        <v>8.33</v>
      </c>
      <c r="AT74" s="1264">
        <v>8.86</v>
      </c>
      <c r="AU74" s="1264">
        <v>9.42</v>
      </c>
      <c r="AV74" s="1264">
        <v>9.99</v>
      </c>
      <c r="AW74" s="1264">
        <v>10.59</v>
      </c>
      <c r="AX74" s="1264">
        <v>11.19</v>
      </c>
      <c r="AY74" s="1265">
        <v>11.81</v>
      </c>
      <c r="AZ74" s="1263">
        <v>12.43</v>
      </c>
      <c r="BA74" s="1264">
        <v>13.05</v>
      </c>
      <c r="BB74" s="1264">
        <v>13.66</v>
      </c>
      <c r="BC74" s="1264">
        <v>14.26</v>
      </c>
      <c r="BD74" s="1264">
        <v>14.83</v>
      </c>
      <c r="BE74" s="1264">
        <v>15.41</v>
      </c>
      <c r="BF74" s="1264">
        <v>15.94</v>
      </c>
      <c r="BG74" s="1264">
        <v>16.399999999999999</v>
      </c>
      <c r="BH74" s="1264">
        <v>16.809999999999999</v>
      </c>
      <c r="BI74" s="1265">
        <v>17.16</v>
      </c>
      <c r="BJ74" s="1263">
        <v>17.47</v>
      </c>
      <c r="BK74" s="1264">
        <v>17.73</v>
      </c>
      <c r="BL74" s="1264">
        <v>17.940000000000001</v>
      </c>
      <c r="BM74" s="1264">
        <v>18.12</v>
      </c>
      <c r="BN74" s="1264">
        <v>18.27</v>
      </c>
      <c r="BO74" s="1264">
        <v>18.39</v>
      </c>
      <c r="BP74" s="1264">
        <v>18.48</v>
      </c>
      <c r="BQ74" s="1264">
        <v>18.55</v>
      </c>
      <c r="BR74" s="1264">
        <v>18.600000000000001</v>
      </c>
      <c r="BS74" s="1265">
        <v>18.63</v>
      </c>
      <c r="BT74" s="1263">
        <v>18.66</v>
      </c>
      <c r="BU74" s="1264">
        <v>18.68</v>
      </c>
      <c r="BV74" s="1264">
        <v>18.690000000000001</v>
      </c>
      <c r="BW74" s="1264">
        <v>18.690000000000001</v>
      </c>
      <c r="BX74" s="1264"/>
      <c r="BY74" s="1264"/>
      <c r="BZ74" s="1264"/>
      <c r="CA74" s="1264"/>
      <c r="CB74" s="1264"/>
      <c r="CC74" s="1265"/>
      <c r="CD74" s="1264"/>
      <c r="CE74" s="1264"/>
      <c r="CF74" s="1265"/>
      <c r="CH74" s="1515" t="str">
        <f t="shared" si="1"/>
        <v>WPTPDCIF25</v>
      </c>
      <c r="CI74" s="1168">
        <v>25</v>
      </c>
      <c r="CJ74" s="1263"/>
      <c r="CK74" s="1264">
        <v>0.09</v>
      </c>
      <c r="CL74" s="1264">
        <v>0.14000000000000001</v>
      </c>
      <c r="CM74" s="1264">
        <v>0.19</v>
      </c>
      <c r="CN74" s="1264">
        <v>0.24</v>
      </c>
      <c r="CO74" s="1264">
        <v>0.3</v>
      </c>
      <c r="CP74" s="1264">
        <v>0.37</v>
      </c>
      <c r="CQ74" s="1264">
        <v>0.44</v>
      </c>
      <c r="CR74" s="1265">
        <v>0.52</v>
      </c>
      <c r="CS74" s="1263">
        <v>0.61</v>
      </c>
      <c r="CT74" s="1264">
        <v>0.7</v>
      </c>
      <c r="CU74" s="1264">
        <v>0.81</v>
      </c>
      <c r="CV74" s="1264">
        <v>0.92</v>
      </c>
      <c r="CW74" s="1264">
        <v>1.05</v>
      </c>
      <c r="CX74" s="1264">
        <v>1.1499999999999999</v>
      </c>
      <c r="CY74" s="1264">
        <v>1.27</v>
      </c>
      <c r="CZ74" s="1264">
        <v>1.39</v>
      </c>
      <c r="DA74" s="1264">
        <v>1.52</v>
      </c>
      <c r="DB74" s="1265">
        <v>1.66</v>
      </c>
      <c r="DC74" s="1263">
        <v>1.81</v>
      </c>
      <c r="DD74" s="1264">
        <v>1.96</v>
      </c>
      <c r="DE74" s="1264">
        <v>2.13</v>
      </c>
      <c r="DF74" s="1264">
        <v>2.31</v>
      </c>
      <c r="DG74" s="1264">
        <v>2.4900000000000002</v>
      </c>
      <c r="DH74" s="1264">
        <v>2.68</v>
      </c>
      <c r="DI74" s="1264">
        <v>2.89</v>
      </c>
      <c r="DJ74" s="1264">
        <v>3.1</v>
      </c>
      <c r="DK74" s="1264">
        <v>3.32</v>
      </c>
      <c r="DL74" s="1265">
        <v>3.55</v>
      </c>
      <c r="DM74" s="1263">
        <v>3.79</v>
      </c>
      <c r="DN74" s="1264">
        <v>4.04</v>
      </c>
      <c r="DO74" s="1264">
        <v>4.3</v>
      </c>
      <c r="DP74" s="1264">
        <v>4.57</v>
      </c>
      <c r="DQ74" s="1264">
        <v>4.84</v>
      </c>
      <c r="DR74" s="1264">
        <v>5.13</v>
      </c>
      <c r="DS74" s="1264">
        <v>5.43</v>
      </c>
      <c r="DT74" s="1264">
        <v>5.74</v>
      </c>
      <c r="DU74" s="1264">
        <v>6.07</v>
      </c>
      <c r="DV74" s="1265">
        <v>6.4</v>
      </c>
      <c r="DW74" s="1263">
        <v>6.76</v>
      </c>
      <c r="DX74" s="1264">
        <v>7.12</v>
      </c>
      <c r="DY74" s="1264">
        <v>7.5</v>
      </c>
      <c r="DZ74" s="1264">
        <v>7.9</v>
      </c>
      <c r="EA74" s="1264">
        <v>8.31</v>
      </c>
      <c r="EB74" s="1264">
        <v>8.74</v>
      </c>
      <c r="EC74" s="1264">
        <v>9.19</v>
      </c>
      <c r="ED74" s="1264">
        <v>9.65</v>
      </c>
      <c r="EE74" s="1264">
        <v>10.119999999999999</v>
      </c>
      <c r="EF74" s="1265">
        <v>10.61</v>
      </c>
      <c r="EG74" s="1263">
        <v>11.1</v>
      </c>
      <c r="EH74" s="1264">
        <v>11.61</v>
      </c>
      <c r="EI74" s="1264">
        <v>12.12</v>
      </c>
      <c r="EJ74" s="1264">
        <v>12.63</v>
      </c>
      <c r="EK74" s="1264">
        <v>13.14</v>
      </c>
      <c r="EL74" s="1264">
        <v>13.71</v>
      </c>
      <c r="EM74" s="1264">
        <v>14.23</v>
      </c>
      <c r="EN74" s="1264">
        <v>14.71</v>
      </c>
      <c r="EO74" s="1264">
        <v>15.14</v>
      </c>
      <c r="EP74" s="1265">
        <v>15.52</v>
      </c>
      <c r="EQ74" s="1263">
        <v>15.86</v>
      </c>
      <c r="ER74" s="1264">
        <v>16.16</v>
      </c>
      <c r="ES74" s="1264">
        <v>16.420000000000002</v>
      </c>
      <c r="ET74" s="1264">
        <v>16.64</v>
      </c>
      <c r="EU74" s="1264">
        <v>16.82</v>
      </c>
      <c r="EV74" s="1264">
        <v>16.97</v>
      </c>
      <c r="EW74" s="1264">
        <v>17.09</v>
      </c>
      <c r="EX74" s="1264">
        <v>17.190000000000001</v>
      </c>
      <c r="EY74" s="1264">
        <v>17.260000000000002</v>
      </c>
      <c r="EZ74" s="1265">
        <v>17.309999999999999</v>
      </c>
      <c r="FA74" s="1263">
        <v>17.350000000000001</v>
      </c>
      <c r="FB74" s="1264">
        <v>17.38</v>
      </c>
      <c r="FC74" s="1264">
        <v>17.39</v>
      </c>
      <c r="FD74" s="1264">
        <v>17.399999999999999</v>
      </c>
      <c r="FE74" s="1264"/>
      <c r="FF74" s="1264"/>
      <c r="FG74" s="1264"/>
      <c r="FH74" s="1264"/>
      <c r="FI74" s="1264"/>
      <c r="FJ74" s="1265"/>
      <c r="FK74" s="1264"/>
      <c r="FL74" s="1264"/>
      <c r="FM74" s="1265"/>
    </row>
    <row r="75" spans="1:169" s="1519" customFormat="1">
      <c r="A75" s="1515" t="s">
        <v>1552</v>
      </c>
      <c r="B75" s="1166">
        <v>26</v>
      </c>
      <c r="C75" s="1257"/>
      <c r="D75" s="1258">
        <v>0.09</v>
      </c>
      <c r="E75" s="1258">
        <v>0.14000000000000001</v>
      </c>
      <c r="F75" s="1258">
        <v>0.2</v>
      </c>
      <c r="G75" s="1258">
        <v>0.26</v>
      </c>
      <c r="H75" s="1258">
        <v>0.32</v>
      </c>
      <c r="I75" s="1258">
        <v>0.38</v>
      </c>
      <c r="J75" s="1258">
        <v>0.45</v>
      </c>
      <c r="K75" s="1259">
        <v>0.53</v>
      </c>
      <c r="L75" s="1257">
        <v>0.61</v>
      </c>
      <c r="M75" s="1258">
        <v>0.71</v>
      </c>
      <c r="N75" s="1258">
        <v>0.8</v>
      </c>
      <c r="O75" s="1258">
        <v>0.91</v>
      </c>
      <c r="P75" s="1258">
        <v>1.03</v>
      </c>
      <c r="Q75" s="1258">
        <v>1.1399999999999999</v>
      </c>
      <c r="R75" s="1258">
        <v>1.25</v>
      </c>
      <c r="S75" s="1258">
        <v>1.37</v>
      </c>
      <c r="T75" s="1258">
        <v>1.5</v>
      </c>
      <c r="U75" s="1259">
        <v>1.64</v>
      </c>
      <c r="V75" s="1257">
        <v>1.79</v>
      </c>
      <c r="W75" s="1258">
        <v>1.95</v>
      </c>
      <c r="X75" s="1258">
        <v>2.12</v>
      </c>
      <c r="Y75" s="1258">
        <v>2.29</v>
      </c>
      <c r="Z75" s="1258">
        <v>2.48</v>
      </c>
      <c r="AA75" s="1258">
        <v>2.68</v>
      </c>
      <c r="AB75" s="1258">
        <v>2.89</v>
      </c>
      <c r="AC75" s="1258">
        <v>3.11</v>
      </c>
      <c r="AD75" s="1258">
        <v>3.35</v>
      </c>
      <c r="AE75" s="1259">
        <v>3.59</v>
      </c>
      <c r="AF75" s="1257">
        <v>3.85</v>
      </c>
      <c r="AG75" s="1258">
        <v>4.13</v>
      </c>
      <c r="AH75" s="1258">
        <v>4.42</v>
      </c>
      <c r="AI75" s="1258">
        <v>4.7300000000000004</v>
      </c>
      <c r="AJ75" s="1258">
        <v>5.05</v>
      </c>
      <c r="AK75" s="1258">
        <v>5.4</v>
      </c>
      <c r="AL75" s="1258">
        <v>5.76</v>
      </c>
      <c r="AM75" s="1258">
        <v>6.15</v>
      </c>
      <c r="AN75" s="1258">
        <v>6.56</v>
      </c>
      <c r="AO75" s="1259">
        <v>7</v>
      </c>
      <c r="AP75" s="1257">
        <v>7.46</v>
      </c>
      <c r="AQ75" s="1258">
        <v>7.95</v>
      </c>
      <c r="AR75" s="1258">
        <v>8.4700000000000006</v>
      </c>
      <c r="AS75" s="1258">
        <v>9.02</v>
      </c>
      <c r="AT75" s="1258">
        <v>9.59</v>
      </c>
      <c r="AU75" s="1258">
        <v>10.18</v>
      </c>
      <c r="AV75" s="1258">
        <v>10.79</v>
      </c>
      <c r="AW75" s="1258">
        <v>11.41</v>
      </c>
      <c r="AX75" s="1258">
        <v>12.05</v>
      </c>
      <c r="AY75" s="1259">
        <v>12.68</v>
      </c>
      <c r="AZ75" s="1257">
        <v>13.32</v>
      </c>
      <c r="BA75" s="1258">
        <v>13.95</v>
      </c>
      <c r="BB75" s="1258">
        <v>14.56</v>
      </c>
      <c r="BC75" s="1258">
        <v>15.15</v>
      </c>
      <c r="BD75" s="1258">
        <v>15.75</v>
      </c>
      <c r="BE75" s="1258">
        <v>16.29</v>
      </c>
      <c r="BF75" s="1258">
        <v>16.760000000000002</v>
      </c>
      <c r="BG75" s="1258">
        <v>17.18</v>
      </c>
      <c r="BH75" s="1258">
        <v>17.55</v>
      </c>
      <c r="BI75" s="1259">
        <v>17.86</v>
      </c>
      <c r="BJ75" s="1257">
        <v>18.13</v>
      </c>
      <c r="BK75" s="1258">
        <v>18.350000000000001</v>
      </c>
      <c r="BL75" s="1258">
        <v>18.54</v>
      </c>
      <c r="BM75" s="1258">
        <v>18.690000000000001</v>
      </c>
      <c r="BN75" s="1258">
        <v>18.809999999999999</v>
      </c>
      <c r="BO75" s="1258">
        <v>18.899999999999999</v>
      </c>
      <c r="BP75" s="1258">
        <v>18.97</v>
      </c>
      <c r="BQ75" s="1258">
        <v>19.03</v>
      </c>
      <c r="BR75" s="1258">
        <v>19.059999999999999</v>
      </c>
      <c r="BS75" s="1259">
        <v>19.09</v>
      </c>
      <c r="BT75" s="1257">
        <v>19.11</v>
      </c>
      <c r="BU75" s="1258">
        <v>19.12</v>
      </c>
      <c r="BV75" s="1258">
        <v>19.13</v>
      </c>
      <c r="BW75" s="1258"/>
      <c r="BX75" s="1258"/>
      <c r="BY75" s="1258"/>
      <c r="BZ75" s="1258"/>
      <c r="CA75" s="1258"/>
      <c r="CB75" s="1258"/>
      <c r="CC75" s="1259"/>
      <c r="CD75" s="1258"/>
      <c r="CE75" s="1258"/>
      <c r="CF75" s="1259"/>
      <c r="CH75" s="1515" t="str">
        <f t="shared" si="1"/>
        <v>WPTPDCIF26</v>
      </c>
      <c r="CI75" s="1166">
        <v>26</v>
      </c>
      <c r="CJ75" s="1257"/>
      <c r="CK75" s="1258">
        <v>0.09</v>
      </c>
      <c r="CL75" s="1258">
        <v>0.14000000000000001</v>
      </c>
      <c r="CM75" s="1258">
        <v>0.19</v>
      </c>
      <c r="CN75" s="1258">
        <v>0.25</v>
      </c>
      <c r="CO75" s="1258">
        <v>0.31</v>
      </c>
      <c r="CP75" s="1258">
        <v>0.38</v>
      </c>
      <c r="CQ75" s="1258">
        <v>0.46</v>
      </c>
      <c r="CR75" s="1259">
        <v>0.55000000000000004</v>
      </c>
      <c r="CS75" s="1257">
        <v>0.64</v>
      </c>
      <c r="CT75" s="1258">
        <v>0.74</v>
      </c>
      <c r="CU75" s="1258">
        <v>0.85</v>
      </c>
      <c r="CV75" s="1258">
        <v>0.98</v>
      </c>
      <c r="CW75" s="1258">
        <v>1.1200000000000001</v>
      </c>
      <c r="CX75" s="1258">
        <v>1.23</v>
      </c>
      <c r="CY75" s="1258">
        <v>1.36</v>
      </c>
      <c r="CZ75" s="1258">
        <v>1.49</v>
      </c>
      <c r="DA75" s="1258">
        <v>1.64</v>
      </c>
      <c r="DB75" s="1259">
        <v>1.79</v>
      </c>
      <c r="DC75" s="1257">
        <v>1.95</v>
      </c>
      <c r="DD75" s="1258">
        <v>2.12</v>
      </c>
      <c r="DE75" s="1258">
        <v>2.2999999999999998</v>
      </c>
      <c r="DF75" s="1258">
        <v>2.4900000000000002</v>
      </c>
      <c r="DG75" s="1258">
        <v>2.69</v>
      </c>
      <c r="DH75" s="1258">
        <v>2.89</v>
      </c>
      <c r="DI75" s="1258">
        <v>3.11</v>
      </c>
      <c r="DJ75" s="1258">
        <v>3.34</v>
      </c>
      <c r="DK75" s="1258">
        <v>3.57</v>
      </c>
      <c r="DL75" s="1259">
        <v>3.82</v>
      </c>
      <c r="DM75" s="1257">
        <v>4.07</v>
      </c>
      <c r="DN75" s="1258">
        <v>4.34</v>
      </c>
      <c r="DO75" s="1258">
        <v>4.6100000000000003</v>
      </c>
      <c r="DP75" s="1258">
        <v>4.9000000000000004</v>
      </c>
      <c r="DQ75" s="1258">
        <v>5.19</v>
      </c>
      <c r="DR75" s="1258">
        <v>5.5</v>
      </c>
      <c r="DS75" s="1258">
        <v>5.82</v>
      </c>
      <c r="DT75" s="1258">
        <v>6.15</v>
      </c>
      <c r="DU75" s="1258">
        <v>6.49</v>
      </c>
      <c r="DV75" s="1259">
        <v>6.85</v>
      </c>
      <c r="DW75" s="1257">
        <v>7.22</v>
      </c>
      <c r="DX75" s="1258">
        <v>7.61</v>
      </c>
      <c r="DY75" s="1258">
        <v>8.02</v>
      </c>
      <c r="DZ75" s="1258">
        <v>8.44</v>
      </c>
      <c r="EA75" s="1258">
        <v>8.8800000000000008</v>
      </c>
      <c r="EB75" s="1258">
        <v>9.34</v>
      </c>
      <c r="EC75" s="1258">
        <v>9.81</v>
      </c>
      <c r="ED75" s="1258">
        <v>10.29</v>
      </c>
      <c r="EE75" s="1258">
        <v>10.79</v>
      </c>
      <c r="EF75" s="1259">
        <v>11.29</v>
      </c>
      <c r="EG75" s="1257">
        <v>11.81</v>
      </c>
      <c r="EH75" s="1258">
        <v>12.33</v>
      </c>
      <c r="EI75" s="1258">
        <v>12.86</v>
      </c>
      <c r="EJ75" s="1258">
        <v>13.38</v>
      </c>
      <c r="EK75" s="1258">
        <v>13.97</v>
      </c>
      <c r="EL75" s="1258">
        <v>14.5</v>
      </c>
      <c r="EM75" s="1258">
        <v>14.99</v>
      </c>
      <c r="EN75" s="1258">
        <v>15.43</v>
      </c>
      <c r="EO75" s="1258">
        <v>15.83</v>
      </c>
      <c r="EP75" s="1259">
        <v>16.18</v>
      </c>
      <c r="EQ75" s="1257">
        <v>16.48</v>
      </c>
      <c r="ER75" s="1258">
        <v>16.75</v>
      </c>
      <c r="ES75" s="1258">
        <v>16.97</v>
      </c>
      <c r="ET75" s="1258">
        <v>17.16</v>
      </c>
      <c r="EU75" s="1258">
        <v>17.309999999999999</v>
      </c>
      <c r="EV75" s="1258">
        <v>17.440000000000001</v>
      </c>
      <c r="EW75" s="1258">
        <v>17.54</v>
      </c>
      <c r="EX75" s="1258">
        <v>17.61</v>
      </c>
      <c r="EY75" s="1258">
        <v>17.66</v>
      </c>
      <c r="EZ75" s="1259">
        <v>17.7</v>
      </c>
      <c r="FA75" s="1257">
        <v>17.73</v>
      </c>
      <c r="FB75" s="1258">
        <v>17.75</v>
      </c>
      <c r="FC75" s="1258">
        <v>17.760000000000002</v>
      </c>
      <c r="FD75" s="1258"/>
      <c r="FE75" s="1258"/>
      <c r="FF75" s="1258"/>
      <c r="FG75" s="1258"/>
      <c r="FH75" s="1258"/>
      <c r="FI75" s="1258"/>
      <c r="FJ75" s="1259"/>
      <c r="FK75" s="1258"/>
      <c r="FL75" s="1258"/>
      <c r="FM75" s="1259"/>
    </row>
    <row r="76" spans="1:169" s="1519" customFormat="1">
      <c r="A76" s="1515" t="s">
        <v>1553</v>
      </c>
      <c r="B76" s="1166">
        <v>27</v>
      </c>
      <c r="C76" s="1257"/>
      <c r="D76" s="1258">
        <v>0.1</v>
      </c>
      <c r="E76" s="1258">
        <v>0.15</v>
      </c>
      <c r="F76" s="1258">
        <v>0.2</v>
      </c>
      <c r="G76" s="1258">
        <v>0.26</v>
      </c>
      <c r="H76" s="1258">
        <v>0.33</v>
      </c>
      <c r="I76" s="1258">
        <v>0.4</v>
      </c>
      <c r="J76" s="1258">
        <v>0.47</v>
      </c>
      <c r="K76" s="1259">
        <v>0.56000000000000005</v>
      </c>
      <c r="L76" s="1257">
        <v>0.64</v>
      </c>
      <c r="M76" s="1258">
        <v>0.74</v>
      </c>
      <c r="N76" s="1258">
        <v>0.85</v>
      </c>
      <c r="O76" s="1258">
        <v>0.97</v>
      </c>
      <c r="P76" s="1258">
        <v>1.1000000000000001</v>
      </c>
      <c r="Q76" s="1258">
        <v>1.22</v>
      </c>
      <c r="R76" s="1258">
        <v>1.34</v>
      </c>
      <c r="S76" s="1258">
        <v>1.48</v>
      </c>
      <c r="T76" s="1258">
        <v>1.62</v>
      </c>
      <c r="U76" s="1259">
        <v>1.77</v>
      </c>
      <c r="V76" s="1257">
        <v>1.93</v>
      </c>
      <c r="W76" s="1258">
        <v>2.1</v>
      </c>
      <c r="X76" s="1258">
        <v>2.29</v>
      </c>
      <c r="Y76" s="1258">
        <v>2.48</v>
      </c>
      <c r="Z76" s="1258">
        <v>2.68</v>
      </c>
      <c r="AA76" s="1258">
        <v>2.9</v>
      </c>
      <c r="AB76" s="1258">
        <v>3.13</v>
      </c>
      <c r="AC76" s="1258">
        <v>3.37</v>
      </c>
      <c r="AD76" s="1258">
        <v>3.62</v>
      </c>
      <c r="AE76" s="1259">
        <v>3.89</v>
      </c>
      <c r="AF76" s="1257">
        <v>4.17</v>
      </c>
      <c r="AG76" s="1258">
        <v>4.47</v>
      </c>
      <c r="AH76" s="1258">
        <v>4.78</v>
      </c>
      <c r="AI76" s="1258">
        <v>5.12</v>
      </c>
      <c r="AJ76" s="1258">
        <v>5.47</v>
      </c>
      <c r="AK76" s="1258">
        <v>5.84</v>
      </c>
      <c r="AL76" s="1258">
        <v>6.24</v>
      </c>
      <c r="AM76" s="1258">
        <v>6.66</v>
      </c>
      <c r="AN76" s="1258">
        <v>7.11</v>
      </c>
      <c r="AO76" s="1259">
        <v>7.59</v>
      </c>
      <c r="AP76" s="1257">
        <v>8.09</v>
      </c>
      <c r="AQ76" s="1258">
        <v>8.6199999999999992</v>
      </c>
      <c r="AR76" s="1258">
        <v>9.19</v>
      </c>
      <c r="AS76" s="1258">
        <v>9.77</v>
      </c>
      <c r="AT76" s="1258">
        <v>10.38</v>
      </c>
      <c r="AU76" s="1258">
        <v>11.01</v>
      </c>
      <c r="AV76" s="1258">
        <v>11.65</v>
      </c>
      <c r="AW76" s="1258">
        <v>12.3</v>
      </c>
      <c r="AX76" s="1258">
        <v>12.95</v>
      </c>
      <c r="AY76" s="1259">
        <v>13.6</v>
      </c>
      <c r="AZ76" s="1257">
        <v>14.25</v>
      </c>
      <c r="BA76" s="1258">
        <v>14.88</v>
      </c>
      <c r="BB76" s="1258">
        <v>15.49</v>
      </c>
      <c r="BC76" s="1258">
        <v>16.100000000000001</v>
      </c>
      <c r="BD76" s="1258">
        <v>16.66</v>
      </c>
      <c r="BE76" s="1258">
        <v>17.149999999999999</v>
      </c>
      <c r="BF76" s="1258">
        <v>17.579999999999998</v>
      </c>
      <c r="BG76" s="1258">
        <v>17.96</v>
      </c>
      <c r="BH76" s="1258">
        <v>18.28</v>
      </c>
      <c r="BI76" s="1259">
        <v>18.559999999999999</v>
      </c>
      <c r="BJ76" s="1257">
        <v>18.79</v>
      </c>
      <c r="BK76" s="1258">
        <v>18.98</v>
      </c>
      <c r="BL76" s="1258">
        <v>19.13</v>
      </c>
      <c r="BM76" s="1258">
        <v>19.260000000000002</v>
      </c>
      <c r="BN76" s="1258">
        <v>19.350000000000001</v>
      </c>
      <c r="BO76" s="1258">
        <v>19.43</v>
      </c>
      <c r="BP76" s="1258">
        <v>19.48</v>
      </c>
      <c r="BQ76" s="1258">
        <v>19.52</v>
      </c>
      <c r="BR76" s="1258">
        <v>19.54</v>
      </c>
      <c r="BS76" s="1259">
        <v>19.559999999999999</v>
      </c>
      <c r="BT76" s="1257">
        <v>19.57</v>
      </c>
      <c r="BU76" s="1258">
        <v>19.579999999999998</v>
      </c>
      <c r="BV76" s="1258"/>
      <c r="BW76" s="1258"/>
      <c r="BX76" s="1258"/>
      <c r="BY76" s="1258"/>
      <c r="BZ76" s="1258"/>
      <c r="CA76" s="1258"/>
      <c r="CB76" s="1258"/>
      <c r="CC76" s="1259"/>
      <c r="CD76" s="1258"/>
      <c r="CE76" s="1258"/>
      <c r="CF76" s="1259"/>
      <c r="CH76" s="1515" t="str">
        <f t="shared" si="1"/>
        <v>WPTPDCIF27</v>
      </c>
      <c r="CI76" s="1166">
        <v>27</v>
      </c>
      <c r="CJ76" s="1257"/>
      <c r="CK76" s="1258">
        <v>0.09</v>
      </c>
      <c r="CL76" s="1258">
        <v>0.14000000000000001</v>
      </c>
      <c r="CM76" s="1258">
        <v>0.2</v>
      </c>
      <c r="CN76" s="1258">
        <v>0.26</v>
      </c>
      <c r="CO76" s="1258">
        <v>0.33</v>
      </c>
      <c r="CP76" s="1258">
        <v>0.41</v>
      </c>
      <c r="CQ76" s="1258">
        <v>0.49</v>
      </c>
      <c r="CR76" s="1259">
        <v>0.57999999999999996</v>
      </c>
      <c r="CS76" s="1257">
        <v>0.68</v>
      </c>
      <c r="CT76" s="1258">
        <v>0.79</v>
      </c>
      <c r="CU76" s="1258">
        <v>0.92</v>
      </c>
      <c r="CV76" s="1258">
        <v>1.05</v>
      </c>
      <c r="CW76" s="1258">
        <v>1.2</v>
      </c>
      <c r="CX76" s="1258">
        <v>1.33</v>
      </c>
      <c r="CY76" s="1258">
        <v>1.47</v>
      </c>
      <c r="CZ76" s="1258">
        <v>1.61</v>
      </c>
      <c r="DA76" s="1258">
        <v>1.77</v>
      </c>
      <c r="DB76" s="1259">
        <v>1.93</v>
      </c>
      <c r="DC76" s="1257">
        <v>2.11</v>
      </c>
      <c r="DD76" s="1258">
        <v>2.29</v>
      </c>
      <c r="DE76" s="1258">
        <v>2.4900000000000002</v>
      </c>
      <c r="DF76" s="1258">
        <v>2.69</v>
      </c>
      <c r="DG76" s="1258">
        <v>2.9</v>
      </c>
      <c r="DH76" s="1258">
        <v>3.13</v>
      </c>
      <c r="DI76" s="1258">
        <v>3.36</v>
      </c>
      <c r="DJ76" s="1258">
        <v>3.6</v>
      </c>
      <c r="DK76" s="1258">
        <v>3.85</v>
      </c>
      <c r="DL76" s="1259">
        <v>4.1100000000000003</v>
      </c>
      <c r="DM76" s="1257">
        <v>4.38</v>
      </c>
      <c r="DN76" s="1258">
        <v>4.66</v>
      </c>
      <c r="DO76" s="1258">
        <v>4.96</v>
      </c>
      <c r="DP76" s="1258">
        <v>5.26</v>
      </c>
      <c r="DQ76" s="1258">
        <v>5.57</v>
      </c>
      <c r="DR76" s="1258">
        <v>5.9</v>
      </c>
      <c r="DS76" s="1258">
        <v>6.23</v>
      </c>
      <c r="DT76" s="1258">
        <v>6.59</v>
      </c>
      <c r="DU76" s="1258">
        <v>6.95</v>
      </c>
      <c r="DV76" s="1259">
        <v>7.33</v>
      </c>
      <c r="DW76" s="1257">
        <v>7.73</v>
      </c>
      <c r="DX76" s="1258">
        <v>8.15</v>
      </c>
      <c r="DY76" s="1258">
        <v>8.58</v>
      </c>
      <c r="DZ76" s="1258">
        <v>9.0299999999999994</v>
      </c>
      <c r="EA76" s="1258">
        <v>9.5</v>
      </c>
      <c r="EB76" s="1258">
        <v>9.98</v>
      </c>
      <c r="EC76" s="1258">
        <v>10.47</v>
      </c>
      <c r="ED76" s="1258">
        <v>10.98</v>
      </c>
      <c r="EE76" s="1258">
        <v>11.5</v>
      </c>
      <c r="EF76" s="1259">
        <v>12.03</v>
      </c>
      <c r="EG76" s="1257">
        <v>12.56</v>
      </c>
      <c r="EH76" s="1258">
        <v>13.1</v>
      </c>
      <c r="EI76" s="1258">
        <v>13.64</v>
      </c>
      <c r="EJ76" s="1258">
        <v>14.24</v>
      </c>
      <c r="EK76" s="1258">
        <v>14.79</v>
      </c>
      <c r="EL76" s="1258">
        <v>15.29</v>
      </c>
      <c r="EM76" s="1258">
        <v>15.74</v>
      </c>
      <c r="EN76" s="1258">
        <v>16.149999999999999</v>
      </c>
      <c r="EO76" s="1258">
        <v>16.5</v>
      </c>
      <c r="EP76" s="1259">
        <v>16.82</v>
      </c>
      <c r="EQ76" s="1257">
        <v>17.09</v>
      </c>
      <c r="ER76" s="1258">
        <v>17.32</v>
      </c>
      <c r="ES76" s="1258">
        <v>17.510000000000002</v>
      </c>
      <c r="ET76" s="1258">
        <v>17.670000000000002</v>
      </c>
      <c r="EU76" s="1258">
        <v>17.8</v>
      </c>
      <c r="EV76" s="1258">
        <v>17.899999999999999</v>
      </c>
      <c r="EW76" s="1258">
        <v>17.98</v>
      </c>
      <c r="EX76" s="1258">
        <v>18.03</v>
      </c>
      <c r="EY76" s="1258">
        <v>18.07</v>
      </c>
      <c r="EZ76" s="1259">
        <v>18.100000000000001</v>
      </c>
      <c r="FA76" s="1257">
        <v>18.12</v>
      </c>
      <c r="FB76" s="1258">
        <v>18.13</v>
      </c>
      <c r="FC76" s="1258"/>
      <c r="FD76" s="1258"/>
      <c r="FE76" s="1258"/>
      <c r="FF76" s="1258"/>
      <c r="FG76" s="1258"/>
      <c r="FH76" s="1258"/>
      <c r="FI76" s="1258"/>
      <c r="FJ76" s="1259"/>
      <c r="FK76" s="1258"/>
      <c r="FL76" s="1258"/>
      <c r="FM76" s="1259"/>
    </row>
    <row r="77" spans="1:169" s="1519" customFormat="1">
      <c r="A77" s="1515" t="s">
        <v>1554</v>
      </c>
      <c r="B77" s="1166">
        <v>28</v>
      </c>
      <c r="C77" s="1257"/>
      <c r="D77" s="1258">
        <v>0.1</v>
      </c>
      <c r="E77" s="1258">
        <v>0.15</v>
      </c>
      <c r="F77" s="1258">
        <v>0.21</v>
      </c>
      <c r="G77" s="1258">
        <v>0.27</v>
      </c>
      <c r="H77" s="1258">
        <v>0.34</v>
      </c>
      <c r="I77" s="1258">
        <v>0.42</v>
      </c>
      <c r="J77" s="1258">
        <v>0.5</v>
      </c>
      <c r="K77" s="1259">
        <v>0.59</v>
      </c>
      <c r="L77" s="1257">
        <v>0.68</v>
      </c>
      <c r="M77" s="1258">
        <v>0.79</v>
      </c>
      <c r="N77" s="1258">
        <v>0.91</v>
      </c>
      <c r="O77" s="1258">
        <v>1.04</v>
      </c>
      <c r="P77" s="1258">
        <v>1.18</v>
      </c>
      <c r="Q77" s="1258">
        <v>1.31</v>
      </c>
      <c r="R77" s="1258">
        <v>1.45</v>
      </c>
      <c r="S77" s="1258">
        <v>1.59</v>
      </c>
      <c r="T77" s="1258">
        <v>1.75</v>
      </c>
      <c r="U77" s="1259">
        <v>1.92</v>
      </c>
      <c r="V77" s="1257">
        <v>2.09</v>
      </c>
      <c r="W77" s="1258">
        <v>2.2799999999999998</v>
      </c>
      <c r="X77" s="1258">
        <v>2.48</v>
      </c>
      <c r="Y77" s="1258">
        <v>2.69</v>
      </c>
      <c r="Z77" s="1258">
        <v>2.91</v>
      </c>
      <c r="AA77" s="1258">
        <v>3.14</v>
      </c>
      <c r="AB77" s="1258">
        <v>3.39</v>
      </c>
      <c r="AC77" s="1258">
        <v>3.65</v>
      </c>
      <c r="AD77" s="1258">
        <v>3.93</v>
      </c>
      <c r="AE77" s="1259">
        <v>4.22</v>
      </c>
      <c r="AF77" s="1257">
        <v>4.5199999999999996</v>
      </c>
      <c r="AG77" s="1258">
        <v>4.84</v>
      </c>
      <c r="AH77" s="1258">
        <v>5.19</v>
      </c>
      <c r="AI77" s="1258">
        <v>5.55</v>
      </c>
      <c r="AJ77" s="1258">
        <v>5.93</v>
      </c>
      <c r="AK77" s="1258">
        <v>6.34</v>
      </c>
      <c r="AL77" s="1258">
        <v>6.77</v>
      </c>
      <c r="AM77" s="1258">
        <v>7.23</v>
      </c>
      <c r="AN77" s="1258">
        <v>7.72</v>
      </c>
      <c r="AO77" s="1259">
        <v>8.24</v>
      </c>
      <c r="AP77" s="1257">
        <v>8.7899999999999991</v>
      </c>
      <c r="AQ77" s="1258">
        <v>9.36</v>
      </c>
      <c r="AR77" s="1258">
        <v>9.9700000000000006</v>
      </c>
      <c r="AS77" s="1258">
        <v>10.59</v>
      </c>
      <c r="AT77" s="1258">
        <v>11.23</v>
      </c>
      <c r="AU77" s="1258">
        <v>11.89</v>
      </c>
      <c r="AV77" s="1258">
        <v>12.56</v>
      </c>
      <c r="AW77" s="1258">
        <v>13.23</v>
      </c>
      <c r="AX77" s="1258">
        <v>13.9</v>
      </c>
      <c r="AY77" s="1259">
        <v>14.57</v>
      </c>
      <c r="AZ77" s="1257">
        <v>15.22</v>
      </c>
      <c r="BA77" s="1258">
        <v>15.84</v>
      </c>
      <c r="BB77" s="1258">
        <v>16.48</v>
      </c>
      <c r="BC77" s="1258">
        <v>17.05</v>
      </c>
      <c r="BD77" s="1258">
        <v>17.55</v>
      </c>
      <c r="BE77" s="1258">
        <v>18</v>
      </c>
      <c r="BF77" s="1258">
        <v>18.39</v>
      </c>
      <c r="BG77" s="1258">
        <v>18.72</v>
      </c>
      <c r="BH77" s="1258">
        <v>19</v>
      </c>
      <c r="BI77" s="1259">
        <v>19.239999999999998</v>
      </c>
      <c r="BJ77" s="1257">
        <v>19.440000000000001</v>
      </c>
      <c r="BK77" s="1258">
        <v>19.600000000000001</v>
      </c>
      <c r="BL77" s="1258">
        <v>19.72</v>
      </c>
      <c r="BM77" s="1258">
        <v>19.82</v>
      </c>
      <c r="BN77" s="1258">
        <v>19.899999999999999</v>
      </c>
      <c r="BO77" s="1258">
        <v>19.95</v>
      </c>
      <c r="BP77" s="1258">
        <v>19.989999999999998</v>
      </c>
      <c r="BQ77" s="1258">
        <v>20.02</v>
      </c>
      <c r="BR77" s="1258">
        <v>20.04</v>
      </c>
      <c r="BS77" s="1259">
        <v>20.05</v>
      </c>
      <c r="BT77" s="1257">
        <v>20.059999999999999</v>
      </c>
      <c r="BU77" s="1258"/>
      <c r="BV77" s="1258"/>
      <c r="BW77" s="1258"/>
      <c r="BX77" s="1258"/>
      <c r="BY77" s="1258"/>
      <c r="BZ77" s="1258"/>
      <c r="CA77" s="1258"/>
      <c r="CB77" s="1258"/>
      <c r="CC77" s="1259"/>
      <c r="CD77" s="1258"/>
      <c r="CE77" s="1258"/>
      <c r="CF77" s="1259"/>
      <c r="CH77" s="1515" t="str">
        <f t="shared" si="1"/>
        <v>WPTPDCIF28</v>
      </c>
      <c r="CI77" s="1166">
        <v>28</v>
      </c>
      <c r="CJ77" s="1257"/>
      <c r="CK77" s="1258">
        <v>0.1</v>
      </c>
      <c r="CL77" s="1258">
        <v>0.15</v>
      </c>
      <c r="CM77" s="1258">
        <v>0.21</v>
      </c>
      <c r="CN77" s="1258">
        <v>0.28000000000000003</v>
      </c>
      <c r="CO77" s="1258">
        <v>0.35</v>
      </c>
      <c r="CP77" s="1258">
        <v>0.44</v>
      </c>
      <c r="CQ77" s="1258">
        <v>0.53</v>
      </c>
      <c r="CR77" s="1259">
        <v>0.63</v>
      </c>
      <c r="CS77" s="1257">
        <v>0.73</v>
      </c>
      <c r="CT77" s="1258">
        <v>0.86</v>
      </c>
      <c r="CU77" s="1258">
        <v>0.99</v>
      </c>
      <c r="CV77" s="1258">
        <v>1.1399999999999999</v>
      </c>
      <c r="CW77" s="1258">
        <v>1.3</v>
      </c>
      <c r="CX77" s="1258">
        <v>1.44</v>
      </c>
      <c r="CY77" s="1258">
        <v>1.59</v>
      </c>
      <c r="CZ77" s="1258">
        <v>1.75</v>
      </c>
      <c r="DA77" s="1258">
        <v>1.92</v>
      </c>
      <c r="DB77" s="1259">
        <v>2.1</v>
      </c>
      <c r="DC77" s="1257">
        <v>2.29</v>
      </c>
      <c r="DD77" s="1258">
        <v>2.4900000000000002</v>
      </c>
      <c r="DE77" s="1258">
        <v>2.7</v>
      </c>
      <c r="DF77" s="1258">
        <v>2.92</v>
      </c>
      <c r="DG77" s="1258">
        <v>3.15</v>
      </c>
      <c r="DH77" s="1258">
        <v>3.38</v>
      </c>
      <c r="DI77" s="1258">
        <v>3.63</v>
      </c>
      <c r="DJ77" s="1258">
        <v>3.89</v>
      </c>
      <c r="DK77" s="1258">
        <v>4.16</v>
      </c>
      <c r="DL77" s="1259">
        <v>4.43</v>
      </c>
      <c r="DM77" s="1257">
        <v>4.72</v>
      </c>
      <c r="DN77" s="1258">
        <v>5.0199999999999996</v>
      </c>
      <c r="DO77" s="1258">
        <v>5.33</v>
      </c>
      <c r="DP77" s="1258">
        <v>5.65</v>
      </c>
      <c r="DQ77" s="1258">
        <v>5.98</v>
      </c>
      <c r="DR77" s="1258">
        <v>6.33</v>
      </c>
      <c r="DS77" s="1258">
        <v>6.69</v>
      </c>
      <c r="DT77" s="1258">
        <v>7.06</v>
      </c>
      <c r="DU77" s="1258">
        <v>7.45</v>
      </c>
      <c r="DV77" s="1259">
        <v>7.86</v>
      </c>
      <c r="DW77" s="1257">
        <v>8.2799999999999994</v>
      </c>
      <c r="DX77" s="1258">
        <v>8.7200000000000006</v>
      </c>
      <c r="DY77" s="1258">
        <v>9.18</v>
      </c>
      <c r="DZ77" s="1258">
        <v>9.66</v>
      </c>
      <c r="EA77" s="1258">
        <v>10.15</v>
      </c>
      <c r="EB77" s="1258">
        <v>10.66</v>
      </c>
      <c r="EC77" s="1258">
        <v>11.18</v>
      </c>
      <c r="ED77" s="1258">
        <v>11.71</v>
      </c>
      <c r="EE77" s="1258">
        <v>12.25</v>
      </c>
      <c r="EF77" s="1259">
        <v>12.8</v>
      </c>
      <c r="EG77" s="1257">
        <v>13.35</v>
      </c>
      <c r="EH77" s="1258">
        <v>13.9</v>
      </c>
      <c r="EI77" s="1258">
        <v>14.52</v>
      </c>
      <c r="EJ77" s="1258">
        <v>15.08</v>
      </c>
      <c r="EK77" s="1258">
        <v>15.6</v>
      </c>
      <c r="EL77" s="1258">
        <v>16.059999999999999</v>
      </c>
      <c r="EM77" s="1258">
        <v>16.48</v>
      </c>
      <c r="EN77" s="1258">
        <v>16.850000000000001</v>
      </c>
      <c r="EO77" s="1258">
        <v>17.170000000000002</v>
      </c>
      <c r="EP77" s="1259">
        <v>17.45</v>
      </c>
      <c r="EQ77" s="1257">
        <v>17.690000000000001</v>
      </c>
      <c r="ER77" s="1258">
        <v>17.89</v>
      </c>
      <c r="ES77" s="1258">
        <v>18.05</v>
      </c>
      <c r="ET77" s="1258">
        <v>18.18</v>
      </c>
      <c r="EU77" s="1258">
        <v>18.28</v>
      </c>
      <c r="EV77" s="1258">
        <v>18.36</v>
      </c>
      <c r="EW77" s="1258">
        <v>18.420000000000002</v>
      </c>
      <c r="EX77" s="1258">
        <v>18.46</v>
      </c>
      <c r="EY77" s="1258">
        <v>18.489999999999998</v>
      </c>
      <c r="EZ77" s="1259">
        <v>18.510000000000002</v>
      </c>
      <c r="FA77" s="1257">
        <v>18.52</v>
      </c>
      <c r="FB77" s="1258"/>
      <c r="FC77" s="1258"/>
      <c r="FD77" s="1258"/>
      <c r="FE77" s="1258"/>
      <c r="FF77" s="1258"/>
      <c r="FG77" s="1258"/>
      <c r="FH77" s="1258"/>
      <c r="FI77" s="1258"/>
      <c r="FJ77" s="1259"/>
      <c r="FK77" s="1258"/>
      <c r="FL77" s="1258"/>
      <c r="FM77" s="1259"/>
    </row>
    <row r="78" spans="1:169" s="1519" customFormat="1">
      <c r="A78" s="1515" t="s">
        <v>1555</v>
      </c>
      <c r="B78" s="1166">
        <v>29</v>
      </c>
      <c r="C78" s="1257"/>
      <c r="D78" s="1258">
        <v>0.1</v>
      </c>
      <c r="E78" s="1258">
        <v>0.16</v>
      </c>
      <c r="F78" s="1258">
        <v>0.22</v>
      </c>
      <c r="G78" s="1258">
        <v>0.28999999999999998</v>
      </c>
      <c r="H78" s="1258">
        <v>0.36</v>
      </c>
      <c r="I78" s="1258">
        <v>0.44</v>
      </c>
      <c r="J78" s="1258">
        <v>0.53</v>
      </c>
      <c r="K78" s="1259">
        <v>0.63</v>
      </c>
      <c r="L78" s="1257">
        <v>0.73</v>
      </c>
      <c r="M78" s="1258">
        <v>0.85</v>
      </c>
      <c r="N78" s="1258">
        <v>0.98</v>
      </c>
      <c r="O78" s="1258">
        <v>1.1200000000000001</v>
      </c>
      <c r="P78" s="1258">
        <v>1.28</v>
      </c>
      <c r="Q78" s="1258">
        <v>1.42</v>
      </c>
      <c r="R78" s="1258">
        <v>1.57</v>
      </c>
      <c r="S78" s="1258">
        <v>1.73</v>
      </c>
      <c r="T78" s="1258">
        <v>1.9</v>
      </c>
      <c r="U78" s="1259">
        <v>2.09</v>
      </c>
      <c r="V78" s="1257">
        <v>2.2799999999999998</v>
      </c>
      <c r="W78" s="1258">
        <v>2.48</v>
      </c>
      <c r="X78" s="1258">
        <v>2.7</v>
      </c>
      <c r="Y78" s="1258">
        <v>2.93</v>
      </c>
      <c r="Z78" s="1258">
        <v>3.16</v>
      </c>
      <c r="AA78" s="1258">
        <v>3.42</v>
      </c>
      <c r="AB78" s="1258">
        <v>3.69</v>
      </c>
      <c r="AC78" s="1258">
        <v>3.97</v>
      </c>
      <c r="AD78" s="1258">
        <v>4.2699999999999996</v>
      </c>
      <c r="AE78" s="1259">
        <v>4.58</v>
      </c>
      <c r="AF78" s="1257">
        <v>4.91</v>
      </c>
      <c r="AG78" s="1258">
        <v>5.26</v>
      </c>
      <c r="AH78" s="1258">
        <v>5.63</v>
      </c>
      <c r="AI78" s="1258">
        <v>6.03</v>
      </c>
      <c r="AJ78" s="1258">
        <v>6.45</v>
      </c>
      <c r="AK78" s="1258">
        <v>6.89</v>
      </c>
      <c r="AL78" s="1258">
        <v>7.36</v>
      </c>
      <c r="AM78" s="1258">
        <v>7.87</v>
      </c>
      <c r="AN78" s="1258">
        <v>8.4</v>
      </c>
      <c r="AO78" s="1259">
        <v>8.9600000000000009</v>
      </c>
      <c r="AP78" s="1257">
        <v>9.5500000000000007</v>
      </c>
      <c r="AQ78" s="1258">
        <v>10.17</v>
      </c>
      <c r="AR78" s="1258">
        <v>10.81</v>
      </c>
      <c r="AS78" s="1258">
        <v>11.47</v>
      </c>
      <c r="AT78" s="1258">
        <v>12.15</v>
      </c>
      <c r="AU78" s="1258">
        <v>12.84</v>
      </c>
      <c r="AV78" s="1258">
        <v>13.53</v>
      </c>
      <c r="AW78" s="1258">
        <v>14.22</v>
      </c>
      <c r="AX78" s="1258">
        <v>14.9</v>
      </c>
      <c r="AY78" s="1259">
        <v>15.57</v>
      </c>
      <c r="AZ78" s="1257">
        <v>16.21</v>
      </c>
      <c r="BA78" s="1258">
        <v>16.87</v>
      </c>
      <c r="BB78" s="1258">
        <v>17.46</v>
      </c>
      <c r="BC78" s="1258">
        <v>17.98</v>
      </c>
      <c r="BD78" s="1258">
        <v>18.440000000000001</v>
      </c>
      <c r="BE78" s="1258">
        <v>18.84</v>
      </c>
      <c r="BF78" s="1258">
        <v>19.18</v>
      </c>
      <c r="BG78" s="1258">
        <v>19.47</v>
      </c>
      <c r="BH78" s="1258">
        <v>19.72</v>
      </c>
      <c r="BI78" s="1259">
        <v>19.920000000000002</v>
      </c>
      <c r="BJ78" s="1257">
        <v>20.079999999999998</v>
      </c>
      <c r="BK78" s="1258">
        <v>20.22</v>
      </c>
      <c r="BL78" s="1258">
        <v>20.32</v>
      </c>
      <c r="BM78" s="1258">
        <v>20.399999999999999</v>
      </c>
      <c r="BN78" s="1258">
        <v>20.45</v>
      </c>
      <c r="BO78" s="1258">
        <v>20.49</v>
      </c>
      <c r="BP78" s="1258">
        <v>20.52</v>
      </c>
      <c r="BQ78" s="1258">
        <v>20.54</v>
      </c>
      <c r="BR78" s="1258">
        <v>20.55</v>
      </c>
      <c r="BS78" s="1259">
        <v>20.56</v>
      </c>
      <c r="BT78" s="1257"/>
      <c r="BU78" s="1258"/>
      <c r="BV78" s="1258"/>
      <c r="BW78" s="1258"/>
      <c r="BX78" s="1258"/>
      <c r="BY78" s="1258"/>
      <c r="BZ78" s="1258"/>
      <c r="CA78" s="1258"/>
      <c r="CB78" s="1258"/>
      <c r="CC78" s="1259"/>
      <c r="CD78" s="1258"/>
      <c r="CE78" s="1258"/>
      <c r="CF78" s="1259"/>
      <c r="CH78" s="1515" t="str">
        <f t="shared" si="1"/>
        <v>WPTPDCIF29</v>
      </c>
      <c r="CI78" s="1166">
        <v>29</v>
      </c>
      <c r="CJ78" s="1257"/>
      <c r="CK78" s="1258">
        <v>0.1</v>
      </c>
      <c r="CL78" s="1258">
        <v>0.16</v>
      </c>
      <c r="CM78" s="1258">
        <v>0.23</v>
      </c>
      <c r="CN78" s="1258">
        <v>0.3</v>
      </c>
      <c r="CO78" s="1258">
        <v>0.38</v>
      </c>
      <c r="CP78" s="1258">
        <v>0.47</v>
      </c>
      <c r="CQ78" s="1258">
        <v>0.56999999999999995</v>
      </c>
      <c r="CR78" s="1259">
        <v>0.68</v>
      </c>
      <c r="CS78" s="1257">
        <v>0.8</v>
      </c>
      <c r="CT78" s="1258">
        <v>0.93</v>
      </c>
      <c r="CU78" s="1258">
        <v>1.08</v>
      </c>
      <c r="CV78" s="1258">
        <v>1.24</v>
      </c>
      <c r="CW78" s="1258">
        <v>1.42</v>
      </c>
      <c r="CX78" s="1258">
        <v>1.57</v>
      </c>
      <c r="CY78" s="1258">
        <v>1.74</v>
      </c>
      <c r="CZ78" s="1258">
        <v>1.91</v>
      </c>
      <c r="DA78" s="1258">
        <v>2.1</v>
      </c>
      <c r="DB78" s="1259">
        <v>2.29</v>
      </c>
      <c r="DC78" s="1257">
        <v>2.4900000000000002</v>
      </c>
      <c r="DD78" s="1258">
        <v>2.71</v>
      </c>
      <c r="DE78" s="1258">
        <v>2.93</v>
      </c>
      <c r="DF78" s="1258">
        <v>3.17</v>
      </c>
      <c r="DG78" s="1258">
        <v>3.41</v>
      </c>
      <c r="DH78" s="1258">
        <v>3.66</v>
      </c>
      <c r="DI78" s="1258">
        <v>3.93</v>
      </c>
      <c r="DJ78" s="1258">
        <v>4.2</v>
      </c>
      <c r="DK78" s="1258">
        <v>4.4800000000000004</v>
      </c>
      <c r="DL78" s="1259">
        <v>4.78</v>
      </c>
      <c r="DM78" s="1257">
        <v>5.08</v>
      </c>
      <c r="DN78" s="1258">
        <v>5.4</v>
      </c>
      <c r="DO78" s="1258">
        <v>5.73</v>
      </c>
      <c r="DP78" s="1258">
        <v>6.07</v>
      </c>
      <c r="DQ78" s="1258">
        <v>6.42</v>
      </c>
      <c r="DR78" s="1258">
        <v>6.79</v>
      </c>
      <c r="DS78" s="1258">
        <v>7.17</v>
      </c>
      <c r="DT78" s="1258">
        <v>7.57</v>
      </c>
      <c r="DU78" s="1258">
        <v>7.99</v>
      </c>
      <c r="DV78" s="1259">
        <v>8.42</v>
      </c>
      <c r="DW78" s="1257">
        <v>8.8699999999999992</v>
      </c>
      <c r="DX78" s="1258">
        <v>9.34</v>
      </c>
      <c r="DY78" s="1258">
        <v>9.83</v>
      </c>
      <c r="DZ78" s="1258">
        <v>10.34</v>
      </c>
      <c r="EA78" s="1258">
        <v>10.85</v>
      </c>
      <c r="EB78" s="1258">
        <v>11.39</v>
      </c>
      <c r="EC78" s="1258">
        <v>11.93</v>
      </c>
      <c r="ED78" s="1258">
        <v>12.48</v>
      </c>
      <c r="EE78" s="1258">
        <v>13.04</v>
      </c>
      <c r="EF78" s="1259">
        <v>13.61</v>
      </c>
      <c r="EG78" s="1257">
        <v>14.17</v>
      </c>
      <c r="EH78" s="1258">
        <v>14.81</v>
      </c>
      <c r="EI78" s="1258">
        <v>15.39</v>
      </c>
      <c r="EJ78" s="1258">
        <v>15.92</v>
      </c>
      <c r="EK78" s="1258">
        <v>16.399999999999999</v>
      </c>
      <c r="EL78" s="1258">
        <v>16.82</v>
      </c>
      <c r="EM78" s="1258">
        <v>17.2</v>
      </c>
      <c r="EN78" s="1258">
        <v>17.54</v>
      </c>
      <c r="EO78" s="1258">
        <v>17.82</v>
      </c>
      <c r="EP78" s="1259">
        <v>18.07</v>
      </c>
      <c r="EQ78" s="1257">
        <v>18.27</v>
      </c>
      <c r="ER78" s="1258">
        <v>18.440000000000001</v>
      </c>
      <c r="ES78" s="1258">
        <v>18.57</v>
      </c>
      <c r="ET78" s="1258">
        <v>18.68</v>
      </c>
      <c r="EU78" s="1258">
        <v>18.760000000000002</v>
      </c>
      <c r="EV78" s="1258">
        <v>18.82</v>
      </c>
      <c r="EW78" s="1258">
        <v>18.86</v>
      </c>
      <c r="EX78" s="1258">
        <v>18.89</v>
      </c>
      <c r="EY78" s="1258">
        <v>18.91</v>
      </c>
      <c r="EZ78" s="1259">
        <v>18.920000000000002</v>
      </c>
      <c r="FA78" s="1257"/>
      <c r="FB78" s="1258"/>
      <c r="FC78" s="1258"/>
      <c r="FD78" s="1258"/>
      <c r="FE78" s="1258"/>
      <c r="FF78" s="1258"/>
      <c r="FG78" s="1258"/>
      <c r="FH78" s="1258"/>
      <c r="FI78" s="1258"/>
      <c r="FJ78" s="1259"/>
      <c r="FK78" s="1258"/>
      <c r="FL78" s="1258"/>
      <c r="FM78" s="1259"/>
    </row>
    <row r="79" spans="1:169" s="1519" customFormat="1">
      <c r="A79" s="1515" t="s">
        <v>1556</v>
      </c>
      <c r="B79" s="1166">
        <v>30</v>
      </c>
      <c r="C79" s="1257"/>
      <c r="D79" s="1258">
        <v>0.11</v>
      </c>
      <c r="E79" s="1258">
        <v>0.17</v>
      </c>
      <c r="F79" s="1258">
        <v>0.24</v>
      </c>
      <c r="G79" s="1258">
        <v>0.31</v>
      </c>
      <c r="H79" s="1258">
        <v>0.39</v>
      </c>
      <c r="I79" s="1258">
        <v>0.47</v>
      </c>
      <c r="J79" s="1258">
        <v>0.56999999999999995</v>
      </c>
      <c r="K79" s="1259">
        <v>0.67</v>
      </c>
      <c r="L79" s="1257">
        <v>0.79</v>
      </c>
      <c r="M79" s="1258">
        <v>0.91</v>
      </c>
      <c r="N79" s="1258">
        <v>1.06</v>
      </c>
      <c r="O79" s="1258">
        <v>1.22</v>
      </c>
      <c r="P79" s="1258">
        <v>1.39</v>
      </c>
      <c r="Q79" s="1258">
        <v>1.55</v>
      </c>
      <c r="R79" s="1258">
        <v>1.71</v>
      </c>
      <c r="S79" s="1258">
        <v>1.89</v>
      </c>
      <c r="T79" s="1258">
        <v>2.08</v>
      </c>
      <c r="U79" s="1259">
        <v>2.27</v>
      </c>
      <c r="V79" s="1257">
        <v>2.48</v>
      </c>
      <c r="W79" s="1258">
        <v>2.71</v>
      </c>
      <c r="X79" s="1258">
        <v>2.94</v>
      </c>
      <c r="Y79" s="1258">
        <v>3.19</v>
      </c>
      <c r="Z79" s="1258">
        <v>3.45</v>
      </c>
      <c r="AA79" s="1258">
        <v>3.72</v>
      </c>
      <c r="AB79" s="1258">
        <v>4.01</v>
      </c>
      <c r="AC79" s="1258">
        <v>4.32</v>
      </c>
      <c r="AD79" s="1258">
        <v>4.6399999999999997</v>
      </c>
      <c r="AE79" s="1259">
        <v>4.9800000000000004</v>
      </c>
      <c r="AF79" s="1257">
        <v>5.34</v>
      </c>
      <c r="AG79" s="1258">
        <v>5.72</v>
      </c>
      <c r="AH79" s="1258">
        <v>6.13</v>
      </c>
      <c r="AI79" s="1258">
        <v>6.56</v>
      </c>
      <c r="AJ79" s="1258">
        <v>7.01</v>
      </c>
      <c r="AK79" s="1258">
        <v>7.5</v>
      </c>
      <c r="AL79" s="1258">
        <v>8.01</v>
      </c>
      <c r="AM79" s="1258">
        <v>8.56</v>
      </c>
      <c r="AN79" s="1258">
        <v>9.14</v>
      </c>
      <c r="AO79" s="1259">
        <v>9.75</v>
      </c>
      <c r="AP79" s="1257">
        <v>10.38</v>
      </c>
      <c r="AQ79" s="1258">
        <v>11.04</v>
      </c>
      <c r="AR79" s="1258">
        <v>11.72</v>
      </c>
      <c r="AS79" s="1258">
        <v>12.42</v>
      </c>
      <c r="AT79" s="1258">
        <v>13.13</v>
      </c>
      <c r="AU79" s="1258">
        <v>13.84</v>
      </c>
      <c r="AV79" s="1258">
        <v>14.55</v>
      </c>
      <c r="AW79" s="1258">
        <v>15.25</v>
      </c>
      <c r="AX79" s="1258">
        <v>15.94</v>
      </c>
      <c r="AY79" s="1259">
        <v>16.600000000000001</v>
      </c>
      <c r="AZ79" s="1257">
        <v>17.28</v>
      </c>
      <c r="BA79" s="1258">
        <v>17.88</v>
      </c>
      <c r="BB79" s="1258">
        <v>18.420000000000002</v>
      </c>
      <c r="BC79" s="1258">
        <v>18.89</v>
      </c>
      <c r="BD79" s="1258">
        <v>19.309999999999999</v>
      </c>
      <c r="BE79" s="1258">
        <v>19.66</v>
      </c>
      <c r="BF79" s="1258">
        <v>19.96</v>
      </c>
      <c r="BG79" s="1258">
        <v>20.21</v>
      </c>
      <c r="BH79" s="1258">
        <v>20.420000000000002</v>
      </c>
      <c r="BI79" s="1259">
        <v>20.59</v>
      </c>
      <c r="BJ79" s="1257">
        <v>20.73</v>
      </c>
      <c r="BK79" s="1258">
        <v>20.83</v>
      </c>
      <c r="BL79" s="1258">
        <v>20.91</v>
      </c>
      <c r="BM79" s="1258">
        <v>20.97</v>
      </c>
      <c r="BN79" s="1258">
        <v>21.02</v>
      </c>
      <c r="BO79" s="1258">
        <v>21.04</v>
      </c>
      <c r="BP79" s="1258">
        <v>21.06</v>
      </c>
      <c r="BQ79" s="1258">
        <v>21.08</v>
      </c>
      <c r="BR79" s="1258">
        <v>21.08</v>
      </c>
      <c r="BS79" s="1259"/>
      <c r="BT79" s="1257"/>
      <c r="BU79" s="1258"/>
      <c r="BV79" s="1258"/>
      <c r="BW79" s="1258"/>
      <c r="BX79" s="1258"/>
      <c r="BY79" s="1258"/>
      <c r="BZ79" s="1258"/>
      <c r="CA79" s="1258"/>
      <c r="CB79" s="1258"/>
      <c r="CC79" s="1259"/>
      <c r="CD79" s="1258"/>
      <c r="CE79" s="1258"/>
      <c r="CF79" s="1259"/>
      <c r="CH79" s="1515" t="str">
        <f t="shared" si="1"/>
        <v>WPTPDCIF30</v>
      </c>
      <c r="CI79" s="1166">
        <v>30</v>
      </c>
      <c r="CJ79" s="1257"/>
      <c r="CK79" s="1258">
        <v>0.11</v>
      </c>
      <c r="CL79" s="1258">
        <v>0.18</v>
      </c>
      <c r="CM79" s="1258">
        <v>0.25</v>
      </c>
      <c r="CN79" s="1258">
        <v>0.33</v>
      </c>
      <c r="CO79" s="1258">
        <v>0.42</v>
      </c>
      <c r="CP79" s="1258">
        <v>0.51</v>
      </c>
      <c r="CQ79" s="1258">
        <v>0.62</v>
      </c>
      <c r="CR79" s="1259">
        <v>0.74</v>
      </c>
      <c r="CS79" s="1257">
        <v>0.87</v>
      </c>
      <c r="CT79" s="1258">
        <v>1.01</v>
      </c>
      <c r="CU79" s="1258">
        <v>1.17</v>
      </c>
      <c r="CV79" s="1258">
        <v>1.35</v>
      </c>
      <c r="CW79" s="1258">
        <v>1.55</v>
      </c>
      <c r="CX79" s="1258">
        <v>1.72</v>
      </c>
      <c r="CY79" s="1258">
        <v>1.9</v>
      </c>
      <c r="CZ79" s="1258">
        <v>2.09</v>
      </c>
      <c r="DA79" s="1258">
        <v>2.29</v>
      </c>
      <c r="DB79" s="1259">
        <v>2.5</v>
      </c>
      <c r="DC79" s="1257">
        <v>2.72</v>
      </c>
      <c r="DD79" s="1258">
        <v>2.95</v>
      </c>
      <c r="DE79" s="1258">
        <v>3.19</v>
      </c>
      <c r="DF79" s="1258">
        <v>3.44</v>
      </c>
      <c r="DG79" s="1258">
        <v>3.7</v>
      </c>
      <c r="DH79" s="1258">
        <v>3.97</v>
      </c>
      <c r="DI79" s="1258">
        <v>4.25</v>
      </c>
      <c r="DJ79" s="1258">
        <v>4.54</v>
      </c>
      <c r="DK79" s="1258">
        <v>4.84</v>
      </c>
      <c r="DL79" s="1259">
        <v>5.15</v>
      </c>
      <c r="DM79" s="1257">
        <v>5.47</v>
      </c>
      <c r="DN79" s="1258">
        <v>5.81</v>
      </c>
      <c r="DO79" s="1258">
        <v>6.15</v>
      </c>
      <c r="DP79" s="1258">
        <v>6.52</v>
      </c>
      <c r="DQ79" s="1258">
        <v>6.89</v>
      </c>
      <c r="DR79" s="1258">
        <v>7.28</v>
      </c>
      <c r="DS79" s="1258">
        <v>7.69</v>
      </c>
      <c r="DT79" s="1258">
        <v>8.1199999999999992</v>
      </c>
      <c r="DU79" s="1258">
        <v>8.56</v>
      </c>
      <c r="DV79" s="1259">
        <v>9.0299999999999994</v>
      </c>
      <c r="DW79" s="1257">
        <v>9.51</v>
      </c>
      <c r="DX79" s="1258">
        <v>10.01</v>
      </c>
      <c r="DY79" s="1258">
        <v>10.52</v>
      </c>
      <c r="DZ79" s="1258">
        <v>11.05</v>
      </c>
      <c r="EA79" s="1258">
        <v>11.6</v>
      </c>
      <c r="EB79" s="1258">
        <v>12.15</v>
      </c>
      <c r="EC79" s="1258">
        <v>12.72</v>
      </c>
      <c r="ED79" s="1258">
        <v>13.3</v>
      </c>
      <c r="EE79" s="1258">
        <v>13.88</v>
      </c>
      <c r="EF79" s="1259">
        <v>14.45</v>
      </c>
      <c r="EG79" s="1257">
        <v>15.1</v>
      </c>
      <c r="EH79" s="1258">
        <v>15.7</v>
      </c>
      <c r="EI79" s="1258">
        <v>16.25</v>
      </c>
      <c r="EJ79" s="1258">
        <v>16.739999999999998</v>
      </c>
      <c r="EK79" s="1258">
        <v>17.18</v>
      </c>
      <c r="EL79" s="1258">
        <v>17.57</v>
      </c>
      <c r="EM79" s="1258">
        <v>17.91</v>
      </c>
      <c r="EN79" s="1258">
        <v>18.21</v>
      </c>
      <c r="EO79" s="1258">
        <v>18.46</v>
      </c>
      <c r="EP79" s="1259">
        <v>18.670000000000002</v>
      </c>
      <c r="EQ79" s="1257">
        <v>18.84</v>
      </c>
      <c r="ER79" s="1258">
        <v>18.98</v>
      </c>
      <c r="ES79" s="1258">
        <v>19.09</v>
      </c>
      <c r="ET79" s="1258">
        <v>19.170000000000002</v>
      </c>
      <c r="EU79" s="1258">
        <v>19.23</v>
      </c>
      <c r="EV79" s="1258">
        <v>19.27</v>
      </c>
      <c r="EW79" s="1258">
        <v>19.3</v>
      </c>
      <c r="EX79" s="1258">
        <v>19.32</v>
      </c>
      <c r="EY79" s="1258">
        <v>19.329999999999998</v>
      </c>
      <c r="EZ79" s="1259"/>
      <c r="FA79" s="1257"/>
      <c r="FB79" s="1258"/>
      <c r="FC79" s="1258"/>
      <c r="FD79" s="1258"/>
      <c r="FE79" s="1258"/>
      <c r="FF79" s="1258"/>
      <c r="FG79" s="1258"/>
      <c r="FH79" s="1258"/>
      <c r="FI79" s="1258"/>
      <c r="FJ79" s="1259"/>
      <c r="FK79" s="1258"/>
      <c r="FL79" s="1258"/>
      <c r="FM79" s="1259"/>
    </row>
    <row r="80" spans="1:169" s="1519" customFormat="1">
      <c r="A80" s="1515" t="s">
        <v>1557</v>
      </c>
      <c r="B80" s="1167">
        <v>31</v>
      </c>
      <c r="C80" s="1260"/>
      <c r="D80" s="1261">
        <v>0.12</v>
      </c>
      <c r="E80" s="1261">
        <v>0.18</v>
      </c>
      <c r="F80" s="1261">
        <v>0.25</v>
      </c>
      <c r="G80" s="1261">
        <v>0.33</v>
      </c>
      <c r="H80" s="1261">
        <v>0.41</v>
      </c>
      <c r="I80" s="1261">
        <v>0.51</v>
      </c>
      <c r="J80" s="1261">
        <v>0.61</v>
      </c>
      <c r="K80" s="1262">
        <v>0.73</v>
      </c>
      <c r="L80" s="1260">
        <v>0.85</v>
      </c>
      <c r="M80" s="1261">
        <v>0.99</v>
      </c>
      <c r="N80" s="1261">
        <v>1.1499999999999999</v>
      </c>
      <c r="O80" s="1261">
        <v>1.33</v>
      </c>
      <c r="P80" s="1261">
        <v>1.52</v>
      </c>
      <c r="Q80" s="1261">
        <v>1.69</v>
      </c>
      <c r="R80" s="1261">
        <v>1.87</v>
      </c>
      <c r="S80" s="1261">
        <v>2.0699999999999998</v>
      </c>
      <c r="T80" s="1261">
        <v>2.27</v>
      </c>
      <c r="U80" s="1262">
        <v>2.4900000000000002</v>
      </c>
      <c r="V80" s="1260">
        <v>2.71</v>
      </c>
      <c r="W80" s="1261">
        <v>2.95</v>
      </c>
      <c r="X80" s="1261">
        <v>3.21</v>
      </c>
      <c r="Y80" s="1261">
        <v>3.47</v>
      </c>
      <c r="Z80" s="1261">
        <v>3.76</v>
      </c>
      <c r="AA80" s="1261">
        <v>4.05</v>
      </c>
      <c r="AB80" s="1261">
        <v>4.37</v>
      </c>
      <c r="AC80" s="1261">
        <v>4.7</v>
      </c>
      <c r="AD80" s="1261">
        <v>5.05</v>
      </c>
      <c r="AE80" s="1262">
        <v>5.42</v>
      </c>
      <c r="AF80" s="1260">
        <v>5.81</v>
      </c>
      <c r="AG80" s="1261">
        <v>6.23</v>
      </c>
      <c r="AH80" s="1261">
        <v>6.67</v>
      </c>
      <c r="AI80" s="1261">
        <v>7.14</v>
      </c>
      <c r="AJ80" s="1261">
        <v>7.64</v>
      </c>
      <c r="AK80" s="1261">
        <v>8.17</v>
      </c>
      <c r="AL80" s="1261">
        <v>8.73</v>
      </c>
      <c r="AM80" s="1261">
        <v>9.32</v>
      </c>
      <c r="AN80" s="1261">
        <v>9.9499999999999993</v>
      </c>
      <c r="AO80" s="1262">
        <v>10.6</v>
      </c>
      <c r="AP80" s="1260">
        <v>11.28</v>
      </c>
      <c r="AQ80" s="1261">
        <v>11.98</v>
      </c>
      <c r="AR80" s="1261">
        <v>12.7</v>
      </c>
      <c r="AS80" s="1261">
        <v>13.43</v>
      </c>
      <c r="AT80" s="1261">
        <v>14.16</v>
      </c>
      <c r="AU80" s="1261">
        <v>14.89</v>
      </c>
      <c r="AV80" s="1261">
        <v>15.61</v>
      </c>
      <c r="AW80" s="1261">
        <v>16.32</v>
      </c>
      <c r="AX80" s="1261">
        <v>17</v>
      </c>
      <c r="AY80" s="1262">
        <v>17.7</v>
      </c>
      <c r="AZ80" s="1260">
        <v>18.329999999999998</v>
      </c>
      <c r="BA80" s="1261">
        <v>18.88</v>
      </c>
      <c r="BB80" s="1261">
        <v>19.37</v>
      </c>
      <c r="BC80" s="1261">
        <v>19.8</v>
      </c>
      <c r="BD80" s="1261">
        <v>20.16</v>
      </c>
      <c r="BE80" s="1261">
        <v>20.47</v>
      </c>
      <c r="BF80" s="1261">
        <v>20.73</v>
      </c>
      <c r="BG80" s="1261">
        <v>20.95</v>
      </c>
      <c r="BH80" s="1261">
        <v>21.12</v>
      </c>
      <c r="BI80" s="1262">
        <v>21.26</v>
      </c>
      <c r="BJ80" s="1260">
        <v>21.37</v>
      </c>
      <c r="BK80" s="1261">
        <v>21.46</v>
      </c>
      <c r="BL80" s="1261">
        <v>21.52</v>
      </c>
      <c r="BM80" s="1261">
        <v>21.56</v>
      </c>
      <c r="BN80" s="1261">
        <v>21.59</v>
      </c>
      <c r="BO80" s="1261">
        <v>21.61</v>
      </c>
      <c r="BP80" s="1261">
        <v>21.62</v>
      </c>
      <c r="BQ80" s="1261">
        <v>21.63</v>
      </c>
      <c r="BR80" s="1261"/>
      <c r="BS80" s="1262"/>
      <c r="BT80" s="1260"/>
      <c r="BU80" s="1261"/>
      <c r="BV80" s="1261"/>
      <c r="BW80" s="1261"/>
      <c r="BX80" s="1261"/>
      <c r="BY80" s="1261"/>
      <c r="BZ80" s="1261"/>
      <c r="CA80" s="1261"/>
      <c r="CB80" s="1261"/>
      <c r="CC80" s="1262"/>
      <c r="CD80" s="1261"/>
      <c r="CE80" s="1261"/>
      <c r="CF80" s="1262"/>
      <c r="CH80" s="1515" t="str">
        <f t="shared" si="1"/>
        <v>WPTPDCIF31</v>
      </c>
      <c r="CI80" s="1167">
        <v>31</v>
      </c>
      <c r="CJ80" s="1260"/>
      <c r="CK80" s="1261">
        <v>0.12</v>
      </c>
      <c r="CL80" s="1261">
        <v>0.19</v>
      </c>
      <c r="CM80" s="1261">
        <v>0.27</v>
      </c>
      <c r="CN80" s="1261">
        <v>0.36</v>
      </c>
      <c r="CO80" s="1261">
        <v>0.45</v>
      </c>
      <c r="CP80" s="1261">
        <v>0.56000000000000005</v>
      </c>
      <c r="CQ80" s="1261">
        <v>0.67</v>
      </c>
      <c r="CR80" s="1262">
        <v>0.8</v>
      </c>
      <c r="CS80" s="1260">
        <v>0.95</v>
      </c>
      <c r="CT80" s="1261">
        <v>1.1100000000000001</v>
      </c>
      <c r="CU80" s="1261">
        <v>1.28</v>
      </c>
      <c r="CV80" s="1261">
        <v>1.48</v>
      </c>
      <c r="CW80" s="1261">
        <v>1.69</v>
      </c>
      <c r="CX80" s="1261">
        <v>1.88</v>
      </c>
      <c r="CY80" s="1261">
        <v>2.0699999999999998</v>
      </c>
      <c r="CZ80" s="1261">
        <v>2.2799999999999998</v>
      </c>
      <c r="DA80" s="1261">
        <v>2.4900000000000002</v>
      </c>
      <c r="DB80" s="1262">
        <v>2.72</v>
      </c>
      <c r="DC80" s="1260">
        <v>2.95</v>
      </c>
      <c r="DD80" s="1261">
        <v>3.2</v>
      </c>
      <c r="DE80" s="1261">
        <v>3.46</v>
      </c>
      <c r="DF80" s="1261">
        <v>3.72</v>
      </c>
      <c r="DG80" s="1261">
        <v>4</v>
      </c>
      <c r="DH80" s="1261">
        <v>4.29</v>
      </c>
      <c r="DI80" s="1261">
        <v>4.58</v>
      </c>
      <c r="DJ80" s="1261">
        <v>4.8899999999999997</v>
      </c>
      <c r="DK80" s="1261">
        <v>5.21</v>
      </c>
      <c r="DL80" s="1262">
        <v>5.54</v>
      </c>
      <c r="DM80" s="1260">
        <v>5.88</v>
      </c>
      <c r="DN80" s="1261">
        <v>6.24</v>
      </c>
      <c r="DO80" s="1261">
        <v>6.61</v>
      </c>
      <c r="DP80" s="1261">
        <v>6.99</v>
      </c>
      <c r="DQ80" s="1261">
        <v>7.39</v>
      </c>
      <c r="DR80" s="1261">
        <v>7.81</v>
      </c>
      <c r="DS80" s="1261">
        <v>8.25</v>
      </c>
      <c r="DT80" s="1261">
        <v>8.6999999999999993</v>
      </c>
      <c r="DU80" s="1261">
        <v>9.18</v>
      </c>
      <c r="DV80" s="1262">
        <v>9.67</v>
      </c>
      <c r="DW80" s="1260">
        <v>10.18</v>
      </c>
      <c r="DX80" s="1261">
        <v>10.71</v>
      </c>
      <c r="DY80" s="1261">
        <v>11.25</v>
      </c>
      <c r="DZ80" s="1261">
        <v>11.81</v>
      </c>
      <c r="EA80" s="1261">
        <v>12.38</v>
      </c>
      <c r="EB80" s="1261">
        <v>12.96</v>
      </c>
      <c r="EC80" s="1261">
        <v>13.55</v>
      </c>
      <c r="ED80" s="1261">
        <v>14.14</v>
      </c>
      <c r="EE80" s="1261">
        <v>14.74</v>
      </c>
      <c r="EF80" s="1262">
        <v>15.41</v>
      </c>
      <c r="EG80" s="1260">
        <v>16.02</v>
      </c>
      <c r="EH80" s="1261">
        <v>16.579999999999998</v>
      </c>
      <c r="EI80" s="1261">
        <v>17.09</v>
      </c>
      <c r="EJ80" s="1261">
        <v>17.54</v>
      </c>
      <c r="EK80" s="1261">
        <v>17.940000000000001</v>
      </c>
      <c r="EL80" s="1261">
        <v>18.29</v>
      </c>
      <c r="EM80" s="1261">
        <v>18.600000000000001</v>
      </c>
      <c r="EN80" s="1261">
        <v>18.86</v>
      </c>
      <c r="EO80" s="1261">
        <v>19.07</v>
      </c>
      <c r="EP80" s="1262">
        <v>19.25</v>
      </c>
      <c r="EQ80" s="1260">
        <v>19.39</v>
      </c>
      <c r="ER80" s="1261">
        <v>19.5</v>
      </c>
      <c r="ES80" s="1261">
        <v>19.59</v>
      </c>
      <c r="ET80" s="1261">
        <v>19.649999999999999</v>
      </c>
      <c r="EU80" s="1261">
        <v>19.7</v>
      </c>
      <c r="EV80" s="1261">
        <v>19.73</v>
      </c>
      <c r="EW80" s="1261">
        <v>19.75</v>
      </c>
      <c r="EX80" s="1261">
        <v>19.760000000000002</v>
      </c>
      <c r="EY80" s="1261"/>
      <c r="EZ80" s="1262"/>
      <c r="FA80" s="1260"/>
      <c r="FB80" s="1261"/>
      <c r="FC80" s="1261"/>
      <c r="FD80" s="1261"/>
      <c r="FE80" s="1261"/>
      <c r="FF80" s="1261"/>
      <c r="FG80" s="1261"/>
      <c r="FH80" s="1261"/>
      <c r="FI80" s="1261"/>
      <c r="FJ80" s="1262"/>
      <c r="FK80" s="1261"/>
      <c r="FL80" s="1261"/>
      <c r="FM80" s="1262"/>
    </row>
    <row r="81" spans="1:169" s="1519" customFormat="1">
      <c r="A81" s="1515" t="s">
        <v>1558</v>
      </c>
      <c r="B81" s="1166">
        <v>32</v>
      </c>
      <c r="C81" s="1257"/>
      <c r="D81" s="1258">
        <v>0.12</v>
      </c>
      <c r="E81" s="1258">
        <v>0.19</v>
      </c>
      <c r="F81" s="1258">
        <v>0.27</v>
      </c>
      <c r="G81" s="1258">
        <v>0.35</v>
      </c>
      <c r="H81" s="1258">
        <v>0.45</v>
      </c>
      <c r="I81" s="1258">
        <v>0.55000000000000004</v>
      </c>
      <c r="J81" s="1258">
        <v>0.66</v>
      </c>
      <c r="K81" s="1259">
        <v>0.79</v>
      </c>
      <c r="L81" s="1257">
        <v>0.93</v>
      </c>
      <c r="M81" s="1258">
        <v>1.0900000000000001</v>
      </c>
      <c r="N81" s="1258">
        <v>1.26</v>
      </c>
      <c r="O81" s="1258">
        <v>1.46</v>
      </c>
      <c r="P81" s="1258">
        <v>1.67</v>
      </c>
      <c r="Q81" s="1258">
        <v>1.85</v>
      </c>
      <c r="R81" s="1258">
        <v>2.0499999999999998</v>
      </c>
      <c r="S81" s="1258">
        <v>2.2599999999999998</v>
      </c>
      <c r="T81" s="1258">
        <v>2.4900000000000002</v>
      </c>
      <c r="U81" s="1259">
        <v>2.72</v>
      </c>
      <c r="V81" s="1257">
        <v>2.97</v>
      </c>
      <c r="W81" s="1258">
        <v>3.23</v>
      </c>
      <c r="X81" s="1258">
        <v>3.5</v>
      </c>
      <c r="Y81" s="1258">
        <v>3.79</v>
      </c>
      <c r="Z81" s="1258">
        <v>4.0999999999999996</v>
      </c>
      <c r="AA81" s="1258">
        <v>4.42</v>
      </c>
      <c r="AB81" s="1258">
        <v>4.76</v>
      </c>
      <c r="AC81" s="1258">
        <v>5.12</v>
      </c>
      <c r="AD81" s="1258">
        <v>5.5</v>
      </c>
      <c r="AE81" s="1259">
        <v>5.9</v>
      </c>
      <c r="AF81" s="1257">
        <v>6.33</v>
      </c>
      <c r="AG81" s="1258">
        <v>6.79</v>
      </c>
      <c r="AH81" s="1258">
        <v>7.27</v>
      </c>
      <c r="AI81" s="1258">
        <v>7.78</v>
      </c>
      <c r="AJ81" s="1258">
        <v>8.32</v>
      </c>
      <c r="AK81" s="1258">
        <v>8.9</v>
      </c>
      <c r="AL81" s="1258">
        <v>9.51</v>
      </c>
      <c r="AM81" s="1258">
        <v>10.16</v>
      </c>
      <c r="AN81" s="1258">
        <v>10.83</v>
      </c>
      <c r="AO81" s="1259">
        <v>11.53</v>
      </c>
      <c r="AP81" s="1257">
        <v>12.25</v>
      </c>
      <c r="AQ81" s="1258">
        <v>12.99</v>
      </c>
      <c r="AR81" s="1258">
        <v>13.74</v>
      </c>
      <c r="AS81" s="1258">
        <v>14.49</v>
      </c>
      <c r="AT81" s="1258">
        <v>15.24</v>
      </c>
      <c r="AU81" s="1258">
        <v>15.99</v>
      </c>
      <c r="AV81" s="1258">
        <v>16.72</v>
      </c>
      <c r="AW81" s="1258">
        <v>17.420000000000002</v>
      </c>
      <c r="AX81" s="1258">
        <v>18.14</v>
      </c>
      <c r="AY81" s="1259">
        <v>18.79</v>
      </c>
      <c r="AZ81" s="1257">
        <v>19.36</v>
      </c>
      <c r="BA81" s="1258">
        <v>19.87</v>
      </c>
      <c r="BB81" s="1258">
        <v>20.309999999999999</v>
      </c>
      <c r="BC81" s="1258">
        <v>20.68</v>
      </c>
      <c r="BD81" s="1258">
        <v>21</v>
      </c>
      <c r="BE81" s="1258">
        <v>21.27</v>
      </c>
      <c r="BF81" s="1258">
        <v>21.5</v>
      </c>
      <c r="BG81" s="1258">
        <v>21.68</v>
      </c>
      <c r="BH81" s="1258">
        <v>21.82</v>
      </c>
      <c r="BI81" s="1259">
        <v>21.94</v>
      </c>
      <c r="BJ81" s="1257">
        <v>22.02</v>
      </c>
      <c r="BK81" s="1258">
        <v>22.08</v>
      </c>
      <c r="BL81" s="1258">
        <v>22.13</v>
      </c>
      <c r="BM81" s="1258">
        <v>22.16</v>
      </c>
      <c r="BN81" s="1258">
        <v>22.18</v>
      </c>
      <c r="BO81" s="1258">
        <v>22.19</v>
      </c>
      <c r="BP81" s="1258">
        <v>22.2</v>
      </c>
      <c r="BQ81" s="1258"/>
      <c r="BR81" s="1258"/>
      <c r="BS81" s="1259"/>
      <c r="BT81" s="1257"/>
      <c r="BU81" s="1258"/>
      <c r="BV81" s="1258"/>
      <c r="BW81" s="1258"/>
      <c r="BX81" s="1258"/>
      <c r="BY81" s="1258"/>
      <c r="BZ81" s="1258"/>
      <c r="CA81" s="1258"/>
      <c r="CB81" s="1258"/>
      <c r="CC81" s="1259"/>
      <c r="CD81" s="1258"/>
      <c r="CE81" s="1258"/>
      <c r="CF81" s="1259"/>
      <c r="CH81" s="1515" t="str">
        <f t="shared" si="1"/>
        <v>WPTPDCIF32</v>
      </c>
      <c r="CI81" s="1166">
        <v>32</v>
      </c>
      <c r="CJ81" s="1257"/>
      <c r="CK81" s="1258">
        <v>0.13</v>
      </c>
      <c r="CL81" s="1258">
        <v>0.21</v>
      </c>
      <c r="CM81" s="1258">
        <v>0.28999999999999998</v>
      </c>
      <c r="CN81" s="1258">
        <v>0.39</v>
      </c>
      <c r="CO81" s="1258">
        <v>0.49</v>
      </c>
      <c r="CP81" s="1258">
        <v>0.6</v>
      </c>
      <c r="CQ81" s="1258">
        <v>0.73</v>
      </c>
      <c r="CR81" s="1259">
        <v>0.87</v>
      </c>
      <c r="CS81" s="1257">
        <v>1.03</v>
      </c>
      <c r="CT81" s="1258">
        <v>1.21</v>
      </c>
      <c r="CU81" s="1258">
        <v>1.4</v>
      </c>
      <c r="CV81" s="1258">
        <v>1.61</v>
      </c>
      <c r="CW81" s="1258">
        <v>1.85</v>
      </c>
      <c r="CX81" s="1258">
        <v>2.0499999999999998</v>
      </c>
      <c r="CY81" s="1258">
        <v>2.2599999999999998</v>
      </c>
      <c r="CZ81" s="1258">
        <v>2.48</v>
      </c>
      <c r="DA81" s="1258">
        <v>2.71</v>
      </c>
      <c r="DB81" s="1259">
        <v>2.95</v>
      </c>
      <c r="DC81" s="1257">
        <v>3.21</v>
      </c>
      <c r="DD81" s="1258">
        <v>3.47</v>
      </c>
      <c r="DE81" s="1258">
        <v>3.74</v>
      </c>
      <c r="DF81" s="1258">
        <v>4.03</v>
      </c>
      <c r="DG81" s="1258">
        <v>4.32</v>
      </c>
      <c r="DH81" s="1258">
        <v>4.62</v>
      </c>
      <c r="DI81" s="1258">
        <v>4.9400000000000004</v>
      </c>
      <c r="DJ81" s="1258">
        <v>5.26</v>
      </c>
      <c r="DK81" s="1258">
        <v>5.6</v>
      </c>
      <c r="DL81" s="1259">
        <v>5.95</v>
      </c>
      <c r="DM81" s="1257">
        <v>6.32</v>
      </c>
      <c r="DN81" s="1258">
        <v>6.7</v>
      </c>
      <c r="DO81" s="1258">
        <v>7.09</v>
      </c>
      <c r="DP81" s="1258">
        <v>7.5</v>
      </c>
      <c r="DQ81" s="1258">
        <v>7.93</v>
      </c>
      <c r="DR81" s="1258">
        <v>8.3699999999999992</v>
      </c>
      <c r="DS81" s="1258">
        <v>8.84</v>
      </c>
      <c r="DT81" s="1258">
        <v>9.32</v>
      </c>
      <c r="DU81" s="1258">
        <v>9.83</v>
      </c>
      <c r="DV81" s="1259">
        <v>10.35</v>
      </c>
      <c r="DW81" s="1257">
        <v>10.89</v>
      </c>
      <c r="DX81" s="1258">
        <v>11.45</v>
      </c>
      <c r="DY81" s="1258">
        <v>12.02</v>
      </c>
      <c r="DZ81" s="1258">
        <v>12.6</v>
      </c>
      <c r="EA81" s="1258">
        <v>13.2</v>
      </c>
      <c r="EB81" s="1258">
        <v>13.8</v>
      </c>
      <c r="EC81" s="1258">
        <v>14.41</v>
      </c>
      <c r="ED81" s="1258">
        <v>15.02</v>
      </c>
      <c r="EE81" s="1258">
        <v>15.71</v>
      </c>
      <c r="EF81" s="1259">
        <v>16.34</v>
      </c>
      <c r="EG81" s="1257">
        <v>16.920000000000002</v>
      </c>
      <c r="EH81" s="1258">
        <v>17.440000000000001</v>
      </c>
      <c r="EI81" s="1258">
        <v>17.91</v>
      </c>
      <c r="EJ81" s="1258">
        <v>18.32</v>
      </c>
      <c r="EK81" s="1258">
        <v>18.68</v>
      </c>
      <c r="EL81" s="1258">
        <v>18.989999999999998</v>
      </c>
      <c r="EM81" s="1258">
        <v>19.260000000000002</v>
      </c>
      <c r="EN81" s="1258">
        <v>19.48</v>
      </c>
      <c r="EO81" s="1258">
        <v>19.66</v>
      </c>
      <c r="EP81" s="1259">
        <v>19.809999999999999</v>
      </c>
      <c r="EQ81" s="1257">
        <v>19.93</v>
      </c>
      <c r="ER81" s="1258">
        <v>20.010000000000002</v>
      </c>
      <c r="ES81" s="1258">
        <v>20.079999999999998</v>
      </c>
      <c r="ET81" s="1258">
        <v>20.12</v>
      </c>
      <c r="EU81" s="1258">
        <v>20.149999999999999</v>
      </c>
      <c r="EV81" s="1258">
        <v>20.18</v>
      </c>
      <c r="EW81" s="1258">
        <v>20.190000000000001</v>
      </c>
      <c r="EX81" s="1258"/>
      <c r="EY81" s="1258"/>
      <c r="EZ81" s="1259"/>
      <c r="FA81" s="1257"/>
      <c r="FB81" s="1258"/>
      <c r="FC81" s="1258"/>
      <c r="FD81" s="1258"/>
      <c r="FE81" s="1258"/>
      <c r="FF81" s="1258"/>
      <c r="FG81" s="1258"/>
      <c r="FH81" s="1258"/>
      <c r="FI81" s="1258"/>
      <c r="FJ81" s="1259"/>
      <c r="FK81" s="1258"/>
      <c r="FL81" s="1258"/>
      <c r="FM81" s="1259"/>
    </row>
    <row r="82" spans="1:169" s="1519" customFormat="1">
      <c r="A82" s="1515" t="s">
        <v>1559</v>
      </c>
      <c r="B82" s="1166">
        <v>33</v>
      </c>
      <c r="C82" s="1257"/>
      <c r="D82" s="1258">
        <v>0.13</v>
      </c>
      <c r="E82" s="1258">
        <v>0.21</v>
      </c>
      <c r="F82" s="1258">
        <v>0.28999999999999998</v>
      </c>
      <c r="G82" s="1258">
        <v>0.38</v>
      </c>
      <c r="H82" s="1258">
        <v>0.49</v>
      </c>
      <c r="I82" s="1258">
        <v>0.6</v>
      </c>
      <c r="J82" s="1258">
        <v>0.72</v>
      </c>
      <c r="K82" s="1259">
        <v>0.86</v>
      </c>
      <c r="L82" s="1257">
        <v>1.02</v>
      </c>
      <c r="M82" s="1258">
        <v>1.19</v>
      </c>
      <c r="N82" s="1258">
        <v>1.39</v>
      </c>
      <c r="O82" s="1258">
        <v>1.6</v>
      </c>
      <c r="P82" s="1258">
        <v>1.83</v>
      </c>
      <c r="Q82" s="1258">
        <v>2.04</v>
      </c>
      <c r="R82" s="1258">
        <v>2.25</v>
      </c>
      <c r="S82" s="1258">
        <v>2.48</v>
      </c>
      <c r="T82" s="1258">
        <v>2.72</v>
      </c>
      <c r="U82" s="1259">
        <v>2.98</v>
      </c>
      <c r="V82" s="1257">
        <v>3.25</v>
      </c>
      <c r="W82" s="1258">
        <v>3.53</v>
      </c>
      <c r="X82" s="1258">
        <v>3.83</v>
      </c>
      <c r="Y82" s="1258">
        <v>4.1399999999999997</v>
      </c>
      <c r="Z82" s="1258">
        <v>4.47</v>
      </c>
      <c r="AA82" s="1258">
        <v>4.82</v>
      </c>
      <c r="AB82" s="1258">
        <v>5.19</v>
      </c>
      <c r="AC82" s="1258">
        <v>5.58</v>
      </c>
      <c r="AD82" s="1258">
        <v>6</v>
      </c>
      <c r="AE82" s="1259">
        <v>6.44</v>
      </c>
      <c r="AF82" s="1257">
        <v>6.9</v>
      </c>
      <c r="AG82" s="1258">
        <v>7.4</v>
      </c>
      <c r="AH82" s="1258">
        <v>7.93</v>
      </c>
      <c r="AI82" s="1258">
        <v>8.49</v>
      </c>
      <c r="AJ82" s="1258">
        <v>9.08</v>
      </c>
      <c r="AK82" s="1258">
        <v>9.7100000000000009</v>
      </c>
      <c r="AL82" s="1258">
        <v>10.37</v>
      </c>
      <c r="AM82" s="1258">
        <v>11.07</v>
      </c>
      <c r="AN82" s="1258">
        <v>11.79</v>
      </c>
      <c r="AO82" s="1259">
        <v>12.53</v>
      </c>
      <c r="AP82" s="1257">
        <v>13.29</v>
      </c>
      <c r="AQ82" s="1258">
        <v>14.06</v>
      </c>
      <c r="AR82" s="1258">
        <v>14.83</v>
      </c>
      <c r="AS82" s="1258">
        <v>15.61</v>
      </c>
      <c r="AT82" s="1258">
        <v>16.38</v>
      </c>
      <c r="AU82" s="1258">
        <v>17.13</v>
      </c>
      <c r="AV82" s="1258">
        <v>17.86</v>
      </c>
      <c r="AW82" s="1258">
        <v>18.600000000000001</v>
      </c>
      <c r="AX82" s="1258">
        <v>19.27</v>
      </c>
      <c r="AY82" s="1259">
        <v>19.86</v>
      </c>
      <c r="AZ82" s="1257">
        <v>20.38</v>
      </c>
      <c r="BA82" s="1258">
        <v>20.84</v>
      </c>
      <c r="BB82" s="1258">
        <v>21.23</v>
      </c>
      <c r="BC82" s="1258">
        <v>21.56</v>
      </c>
      <c r="BD82" s="1258">
        <v>21.84</v>
      </c>
      <c r="BE82" s="1258">
        <v>22.07</v>
      </c>
      <c r="BF82" s="1258">
        <v>22.25</v>
      </c>
      <c r="BG82" s="1258">
        <v>22.4</v>
      </c>
      <c r="BH82" s="1258">
        <v>22.52</v>
      </c>
      <c r="BI82" s="1259">
        <v>22.61</v>
      </c>
      <c r="BJ82" s="1257">
        <v>22.67</v>
      </c>
      <c r="BK82" s="1258">
        <v>22.72</v>
      </c>
      <c r="BL82" s="1258">
        <v>22.75</v>
      </c>
      <c r="BM82" s="1258">
        <v>22.77</v>
      </c>
      <c r="BN82" s="1258">
        <v>22.79</v>
      </c>
      <c r="BO82" s="1258">
        <v>22.8</v>
      </c>
      <c r="BP82" s="1258"/>
      <c r="BQ82" s="1258"/>
      <c r="BR82" s="1258"/>
      <c r="BS82" s="1259"/>
      <c r="BT82" s="1257"/>
      <c r="BU82" s="1258"/>
      <c r="BV82" s="1258"/>
      <c r="BW82" s="1258"/>
      <c r="BX82" s="1258"/>
      <c r="BY82" s="1258"/>
      <c r="BZ82" s="1258"/>
      <c r="CA82" s="1258"/>
      <c r="CB82" s="1258"/>
      <c r="CC82" s="1259"/>
      <c r="CD82" s="1258"/>
      <c r="CE82" s="1258"/>
      <c r="CF82" s="1259"/>
      <c r="CH82" s="1515" t="str">
        <f t="shared" si="1"/>
        <v>WPTPDCIF33</v>
      </c>
      <c r="CI82" s="1166">
        <v>33</v>
      </c>
      <c r="CJ82" s="1257"/>
      <c r="CK82" s="1258">
        <v>0.14000000000000001</v>
      </c>
      <c r="CL82" s="1258">
        <v>0.23</v>
      </c>
      <c r="CM82" s="1258">
        <v>0.32</v>
      </c>
      <c r="CN82" s="1258">
        <v>0.42</v>
      </c>
      <c r="CO82" s="1258">
        <v>0.53</v>
      </c>
      <c r="CP82" s="1258">
        <v>0.66</v>
      </c>
      <c r="CQ82" s="1258">
        <v>0.8</v>
      </c>
      <c r="CR82" s="1259">
        <v>0.95</v>
      </c>
      <c r="CS82" s="1257">
        <v>1.1200000000000001</v>
      </c>
      <c r="CT82" s="1258">
        <v>1.32</v>
      </c>
      <c r="CU82" s="1258">
        <v>1.53</v>
      </c>
      <c r="CV82" s="1258">
        <v>1.76</v>
      </c>
      <c r="CW82" s="1258">
        <v>2.02</v>
      </c>
      <c r="CX82" s="1258">
        <v>2.23</v>
      </c>
      <c r="CY82" s="1258">
        <v>2.46</v>
      </c>
      <c r="CZ82" s="1258">
        <v>2.7</v>
      </c>
      <c r="DA82" s="1258">
        <v>2.95</v>
      </c>
      <c r="DB82" s="1259">
        <v>3.21</v>
      </c>
      <c r="DC82" s="1257">
        <v>3.48</v>
      </c>
      <c r="DD82" s="1258">
        <v>3.76</v>
      </c>
      <c r="DE82" s="1258">
        <v>4.05</v>
      </c>
      <c r="DF82" s="1258">
        <v>4.3499999999999996</v>
      </c>
      <c r="DG82" s="1258">
        <v>4.66</v>
      </c>
      <c r="DH82" s="1258">
        <v>4.9800000000000004</v>
      </c>
      <c r="DI82" s="1258">
        <v>5.31</v>
      </c>
      <c r="DJ82" s="1258">
        <v>5.66</v>
      </c>
      <c r="DK82" s="1258">
        <v>6.02</v>
      </c>
      <c r="DL82" s="1259">
        <v>6.39</v>
      </c>
      <c r="DM82" s="1257">
        <v>6.78</v>
      </c>
      <c r="DN82" s="1258">
        <v>7.18</v>
      </c>
      <c r="DO82" s="1258">
        <v>7.6</v>
      </c>
      <c r="DP82" s="1258">
        <v>8.0399999999999991</v>
      </c>
      <c r="DQ82" s="1258">
        <v>8.49</v>
      </c>
      <c r="DR82" s="1258">
        <v>8.9700000000000006</v>
      </c>
      <c r="DS82" s="1258">
        <v>9.4700000000000006</v>
      </c>
      <c r="DT82" s="1258">
        <v>9.98</v>
      </c>
      <c r="DU82" s="1258">
        <v>10.52</v>
      </c>
      <c r="DV82" s="1259">
        <v>11.07</v>
      </c>
      <c r="DW82" s="1257">
        <v>11.64</v>
      </c>
      <c r="DX82" s="1258">
        <v>12.23</v>
      </c>
      <c r="DY82" s="1258">
        <v>12.83</v>
      </c>
      <c r="DZ82" s="1258">
        <v>13.44</v>
      </c>
      <c r="EA82" s="1258">
        <v>14.06</v>
      </c>
      <c r="EB82" s="1258">
        <v>14.68</v>
      </c>
      <c r="EC82" s="1258">
        <v>15.31</v>
      </c>
      <c r="ED82" s="1258">
        <v>16.02</v>
      </c>
      <c r="EE82" s="1258">
        <v>16.670000000000002</v>
      </c>
      <c r="EF82" s="1259">
        <v>17.260000000000002</v>
      </c>
      <c r="EG82" s="1257">
        <v>17.8</v>
      </c>
      <c r="EH82" s="1258">
        <v>18.28</v>
      </c>
      <c r="EI82" s="1258">
        <v>18.7</v>
      </c>
      <c r="EJ82" s="1258">
        <v>19.079999999999998</v>
      </c>
      <c r="EK82" s="1258">
        <v>19.399999999999999</v>
      </c>
      <c r="EL82" s="1258">
        <v>19.670000000000002</v>
      </c>
      <c r="EM82" s="1258">
        <v>19.899999999999999</v>
      </c>
      <c r="EN82" s="1258">
        <v>20.09</v>
      </c>
      <c r="EO82" s="1258">
        <v>20.239999999999998</v>
      </c>
      <c r="EP82" s="1259">
        <v>20.36</v>
      </c>
      <c r="EQ82" s="1257">
        <v>20.45</v>
      </c>
      <c r="ER82" s="1258">
        <v>20.51</v>
      </c>
      <c r="ES82" s="1258">
        <v>20.56</v>
      </c>
      <c r="ET82" s="1258">
        <v>20.59</v>
      </c>
      <c r="EU82" s="1258">
        <v>20.61</v>
      </c>
      <c r="EV82" s="1258">
        <v>20.63</v>
      </c>
      <c r="EW82" s="1258"/>
      <c r="EX82" s="1258"/>
      <c r="EY82" s="1258"/>
      <c r="EZ82" s="1259"/>
      <c r="FA82" s="1257"/>
      <c r="FB82" s="1258"/>
      <c r="FC82" s="1258"/>
      <c r="FD82" s="1258"/>
      <c r="FE82" s="1258"/>
      <c r="FF82" s="1258"/>
      <c r="FG82" s="1258"/>
      <c r="FH82" s="1258"/>
      <c r="FI82" s="1258"/>
      <c r="FJ82" s="1259"/>
      <c r="FK82" s="1258"/>
      <c r="FL82" s="1258"/>
      <c r="FM82" s="1259"/>
    </row>
    <row r="83" spans="1:169" s="1519" customFormat="1">
      <c r="A83" s="1515" t="s">
        <v>1560</v>
      </c>
      <c r="B83" s="1166">
        <v>34</v>
      </c>
      <c r="C83" s="1257"/>
      <c r="D83" s="1258">
        <v>0.14000000000000001</v>
      </c>
      <c r="E83" s="1258">
        <v>0.23</v>
      </c>
      <c r="F83" s="1258">
        <v>0.32</v>
      </c>
      <c r="G83" s="1258">
        <v>0.42</v>
      </c>
      <c r="H83" s="1258">
        <v>0.53</v>
      </c>
      <c r="I83" s="1258">
        <v>0.66</v>
      </c>
      <c r="J83" s="1258">
        <v>0.8</v>
      </c>
      <c r="K83" s="1259">
        <v>0.95</v>
      </c>
      <c r="L83" s="1257">
        <v>1.1200000000000001</v>
      </c>
      <c r="M83" s="1258">
        <v>1.32</v>
      </c>
      <c r="N83" s="1258">
        <v>1.53</v>
      </c>
      <c r="O83" s="1258">
        <v>1.76</v>
      </c>
      <c r="P83" s="1258">
        <v>2.02</v>
      </c>
      <c r="Q83" s="1258">
        <v>2.2400000000000002</v>
      </c>
      <c r="R83" s="1258">
        <v>2.4700000000000002</v>
      </c>
      <c r="S83" s="1258">
        <v>2.72</v>
      </c>
      <c r="T83" s="1258">
        <v>2.98</v>
      </c>
      <c r="U83" s="1259">
        <v>3.26</v>
      </c>
      <c r="V83" s="1257">
        <v>3.55</v>
      </c>
      <c r="W83" s="1258">
        <v>3.86</v>
      </c>
      <c r="X83" s="1258">
        <v>4.18</v>
      </c>
      <c r="Y83" s="1258">
        <v>4.5199999999999996</v>
      </c>
      <c r="Z83" s="1258">
        <v>4.88</v>
      </c>
      <c r="AA83" s="1258">
        <v>5.26</v>
      </c>
      <c r="AB83" s="1258">
        <v>5.66</v>
      </c>
      <c r="AC83" s="1258">
        <v>6.09</v>
      </c>
      <c r="AD83" s="1258">
        <v>6.54</v>
      </c>
      <c r="AE83" s="1259">
        <v>7.02</v>
      </c>
      <c r="AF83" s="1257">
        <v>7.53</v>
      </c>
      <c r="AG83" s="1258">
        <v>8.07</v>
      </c>
      <c r="AH83" s="1258">
        <v>8.65</v>
      </c>
      <c r="AI83" s="1258">
        <v>9.26</v>
      </c>
      <c r="AJ83" s="1258">
        <v>9.91</v>
      </c>
      <c r="AK83" s="1258">
        <v>10.59</v>
      </c>
      <c r="AL83" s="1258">
        <v>11.31</v>
      </c>
      <c r="AM83" s="1258">
        <v>12.05</v>
      </c>
      <c r="AN83" s="1258">
        <v>12.81</v>
      </c>
      <c r="AO83" s="1259">
        <v>13.59</v>
      </c>
      <c r="AP83" s="1257">
        <v>14.39</v>
      </c>
      <c r="AQ83" s="1258">
        <v>15.19</v>
      </c>
      <c r="AR83" s="1258">
        <v>15.99</v>
      </c>
      <c r="AS83" s="1258">
        <v>16.78</v>
      </c>
      <c r="AT83" s="1258">
        <v>17.559999999999999</v>
      </c>
      <c r="AU83" s="1258">
        <v>18.3</v>
      </c>
      <c r="AV83" s="1258">
        <v>19.07</v>
      </c>
      <c r="AW83" s="1258">
        <v>19.77</v>
      </c>
      <c r="AX83" s="1258">
        <v>20.38</v>
      </c>
      <c r="AY83" s="1259">
        <v>20.92</v>
      </c>
      <c r="AZ83" s="1257">
        <v>21.39</v>
      </c>
      <c r="BA83" s="1258">
        <v>21.79</v>
      </c>
      <c r="BB83" s="1258">
        <v>22.13</v>
      </c>
      <c r="BC83" s="1258">
        <v>22.42</v>
      </c>
      <c r="BD83" s="1258">
        <v>22.66</v>
      </c>
      <c r="BE83" s="1258">
        <v>22.85</v>
      </c>
      <c r="BF83" s="1258">
        <v>23.01</v>
      </c>
      <c r="BG83" s="1258">
        <v>23.13</v>
      </c>
      <c r="BH83" s="1258">
        <v>23.22</v>
      </c>
      <c r="BI83" s="1259">
        <v>23.29</v>
      </c>
      <c r="BJ83" s="1257">
        <v>23.34</v>
      </c>
      <c r="BK83" s="1258">
        <v>23.37</v>
      </c>
      <c r="BL83" s="1258">
        <v>23.39</v>
      </c>
      <c r="BM83" s="1258">
        <v>23.4</v>
      </c>
      <c r="BN83" s="1258">
        <v>23.41</v>
      </c>
      <c r="BO83" s="1258"/>
      <c r="BP83" s="1258"/>
      <c r="BQ83" s="1258"/>
      <c r="BR83" s="1258"/>
      <c r="BS83" s="1259"/>
      <c r="BT83" s="1257"/>
      <c r="BU83" s="1258"/>
      <c r="BV83" s="1258"/>
      <c r="BW83" s="1258"/>
      <c r="BX83" s="1258"/>
      <c r="BY83" s="1258"/>
      <c r="BZ83" s="1258"/>
      <c r="CA83" s="1258"/>
      <c r="CB83" s="1258"/>
      <c r="CC83" s="1259"/>
      <c r="CD83" s="1258"/>
      <c r="CE83" s="1258"/>
      <c r="CF83" s="1259"/>
      <c r="CH83" s="1515" t="str">
        <f t="shared" si="1"/>
        <v>WPTPDCIF34</v>
      </c>
      <c r="CI83" s="1166">
        <v>34</v>
      </c>
      <c r="CJ83" s="1257"/>
      <c r="CK83" s="1258">
        <v>0.15</v>
      </c>
      <c r="CL83" s="1258">
        <v>0.24</v>
      </c>
      <c r="CM83" s="1258">
        <v>0.34</v>
      </c>
      <c r="CN83" s="1258">
        <v>0.45</v>
      </c>
      <c r="CO83" s="1258">
        <v>0.57999999999999996</v>
      </c>
      <c r="CP83" s="1258">
        <v>0.71</v>
      </c>
      <c r="CQ83" s="1258">
        <v>0.87</v>
      </c>
      <c r="CR83" s="1259">
        <v>1.04</v>
      </c>
      <c r="CS83" s="1257">
        <v>1.23</v>
      </c>
      <c r="CT83" s="1258">
        <v>1.44</v>
      </c>
      <c r="CU83" s="1258">
        <v>1.67</v>
      </c>
      <c r="CV83" s="1258">
        <v>1.92</v>
      </c>
      <c r="CW83" s="1258">
        <v>2.2000000000000002</v>
      </c>
      <c r="CX83" s="1258">
        <v>2.4300000000000002</v>
      </c>
      <c r="CY83" s="1258">
        <v>2.68</v>
      </c>
      <c r="CZ83" s="1258">
        <v>2.93</v>
      </c>
      <c r="DA83" s="1258">
        <v>3.2</v>
      </c>
      <c r="DB83" s="1259">
        <v>3.48</v>
      </c>
      <c r="DC83" s="1257">
        <v>3.76</v>
      </c>
      <c r="DD83" s="1258">
        <v>4.0599999999999996</v>
      </c>
      <c r="DE83" s="1258">
        <v>4.37</v>
      </c>
      <c r="DF83" s="1258">
        <v>4.6900000000000004</v>
      </c>
      <c r="DG83" s="1258">
        <v>5.0199999999999996</v>
      </c>
      <c r="DH83" s="1258">
        <v>5.36</v>
      </c>
      <c r="DI83" s="1258">
        <v>5.71</v>
      </c>
      <c r="DJ83" s="1258">
        <v>6.08</v>
      </c>
      <c r="DK83" s="1258">
        <v>6.46</v>
      </c>
      <c r="DL83" s="1259">
        <v>6.86</v>
      </c>
      <c r="DM83" s="1257">
        <v>7.27</v>
      </c>
      <c r="DN83" s="1258">
        <v>7.7</v>
      </c>
      <c r="DO83" s="1258">
        <v>8.14</v>
      </c>
      <c r="DP83" s="1258">
        <v>8.61</v>
      </c>
      <c r="DQ83" s="1258">
        <v>9.1</v>
      </c>
      <c r="DR83" s="1258">
        <v>9.61</v>
      </c>
      <c r="DS83" s="1258">
        <v>10.14</v>
      </c>
      <c r="DT83" s="1258">
        <v>10.69</v>
      </c>
      <c r="DU83" s="1258">
        <v>11.25</v>
      </c>
      <c r="DV83" s="1259">
        <v>11.84</v>
      </c>
      <c r="DW83" s="1257">
        <v>12.44</v>
      </c>
      <c r="DX83" s="1258">
        <v>13.05</v>
      </c>
      <c r="DY83" s="1258">
        <v>13.68</v>
      </c>
      <c r="DZ83" s="1258">
        <v>14.31</v>
      </c>
      <c r="EA83" s="1258">
        <v>14.95</v>
      </c>
      <c r="EB83" s="1258">
        <v>15.59</v>
      </c>
      <c r="EC83" s="1258">
        <v>16.329999999999998</v>
      </c>
      <c r="ED83" s="1258">
        <v>17</v>
      </c>
      <c r="EE83" s="1258">
        <v>17.61</v>
      </c>
      <c r="EF83" s="1259">
        <v>18.16</v>
      </c>
      <c r="EG83" s="1257">
        <v>18.66</v>
      </c>
      <c r="EH83" s="1258">
        <v>19.09</v>
      </c>
      <c r="EI83" s="1258">
        <v>19.48</v>
      </c>
      <c r="EJ83" s="1258">
        <v>19.809999999999999</v>
      </c>
      <c r="EK83" s="1258">
        <v>20.09</v>
      </c>
      <c r="EL83" s="1258">
        <v>20.32</v>
      </c>
      <c r="EM83" s="1258">
        <v>20.52</v>
      </c>
      <c r="EN83" s="1258">
        <v>20.67</v>
      </c>
      <c r="EO83" s="1258">
        <v>20.8</v>
      </c>
      <c r="EP83" s="1259">
        <v>20.89</v>
      </c>
      <c r="EQ83" s="1257">
        <v>20.96</v>
      </c>
      <c r="ER83" s="1258">
        <v>21.01</v>
      </c>
      <c r="ES83" s="1258">
        <v>21.04</v>
      </c>
      <c r="ET83" s="1258">
        <v>21.06</v>
      </c>
      <c r="EU83" s="1258">
        <v>21.07</v>
      </c>
      <c r="EV83" s="1258"/>
      <c r="EW83" s="1258"/>
      <c r="EX83" s="1258"/>
      <c r="EY83" s="1258"/>
      <c r="EZ83" s="1259"/>
      <c r="FA83" s="1257"/>
      <c r="FB83" s="1258"/>
      <c r="FC83" s="1258"/>
      <c r="FD83" s="1258"/>
      <c r="FE83" s="1258"/>
      <c r="FF83" s="1258"/>
      <c r="FG83" s="1258"/>
      <c r="FH83" s="1258"/>
      <c r="FI83" s="1258"/>
      <c r="FJ83" s="1259"/>
      <c r="FK83" s="1258"/>
      <c r="FL83" s="1258"/>
      <c r="FM83" s="1259"/>
    </row>
    <row r="84" spans="1:169" s="1519" customFormat="1">
      <c r="A84" s="1515" t="s">
        <v>1561</v>
      </c>
      <c r="B84" s="1168">
        <v>35</v>
      </c>
      <c r="C84" s="1263"/>
      <c r="D84" s="1264">
        <v>0.16</v>
      </c>
      <c r="E84" s="1264">
        <v>0.25</v>
      </c>
      <c r="F84" s="1264">
        <v>0.35</v>
      </c>
      <c r="G84" s="1264">
        <v>0.46</v>
      </c>
      <c r="H84" s="1264">
        <v>0.57999999999999996</v>
      </c>
      <c r="I84" s="1264">
        <v>0.72</v>
      </c>
      <c r="J84" s="1264">
        <v>0.88</v>
      </c>
      <c r="K84" s="1265">
        <v>1.05</v>
      </c>
      <c r="L84" s="1263">
        <v>1.24</v>
      </c>
      <c r="M84" s="1264">
        <v>1.45</v>
      </c>
      <c r="N84" s="1264">
        <v>1.68</v>
      </c>
      <c r="O84" s="1264">
        <v>1.94</v>
      </c>
      <c r="P84" s="1264">
        <v>2.2200000000000002</v>
      </c>
      <c r="Q84" s="1264">
        <v>2.46</v>
      </c>
      <c r="R84" s="1264">
        <v>2.72</v>
      </c>
      <c r="S84" s="1264">
        <v>2.99</v>
      </c>
      <c r="T84" s="1264">
        <v>3.27</v>
      </c>
      <c r="U84" s="1265">
        <v>3.57</v>
      </c>
      <c r="V84" s="1263">
        <v>3.88</v>
      </c>
      <c r="W84" s="1264">
        <v>4.22</v>
      </c>
      <c r="X84" s="1264">
        <v>4.57</v>
      </c>
      <c r="Y84" s="1264">
        <v>4.9400000000000004</v>
      </c>
      <c r="Z84" s="1264">
        <v>5.33</v>
      </c>
      <c r="AA84" s="1264">
        <v>5.74</v>
      </c>
      <c r="AB84" s="1264">
        <v>6.18</v>
      </c>
      <c r="AC84" s="1264">
        <v>6.64</v>
      </c>
      <c r="AD84" s="1264">
        <v>7.14</v>
      </c>
      <c r="AE84" s="1265">
        <v>7.66</v>
      </c>
      <c r="AF84" s="1263">
        <v>8.2200000000000006</v>
      </c>
      <c r="AG84" s="1264">
        <v>8.81</v>
      </c>
      <c r="AH84" s="1264">
        <v>9.44</v>
      </c>
      <c r="AI84" s="1264">
        <v>10.11</v>
      </c>
      <c r="AJ84" s="1264">
        <v>10.81</v>
      </c>
      <c r="AK84" s="1264">
        <v>11.55</v>
      </c>
      <c r="AL84" s="1264">
        <v>12.31</v>
      </c>
      <c r="AM84" s="1264">
        <v>13.1</v>
      </c>
      <c r="AN84" s="1264">
        <v>13.91</v>
      </c>
      <c r="AO84" s="1265">
        <v>14.73</v>
      </c>
      <c r="AP84" s="1263">
        <v>15.55</v>
      </c>
      <c r="AQ84" s="1264">
        <v>16.38</v>
      </c>
      <c r="AR84" s="1264">
        <v>17.2</v>
      </c>
      <c r="AS84" s="1264">
        <v>17.989999999999998</v>
      </c>
      <c r="AT84" s="1264">
        <v>18.77</v>
      </c>
      <c r="AU84" s="1264">
        <v>19.559999999999999</v>
      </c>
      <c r="AV84" s="1264">
        <v>20.28</v>
      </c>
      <c r="AW84" s="1264">
        <v>20.91</v>
      </c>
      <c r="AX84" s="1264">
        <v>21.47</v>
      </c>
      <c r="AY84" s="1265">
        <v>21.96</v>
      </c>
      <c r="AZ84" s="1263">
        <v>22.37</v>
      </c>
      <c r="BA84" s="1264">
        <v>22.73</v>
      </c>
      <c r="BB84" s="1264">
        <v>23.03</v>
      </c>
      <c r="BC84" s="1264">
        <v>23.27</v>
      </c>
      <c r="BD84" s="1264">
        <v>23.48</v>
      </c>
      <c r="BE84" s="1264">
        <v>23.63</v>
      </c>
      <c r="BF84" s="1264">
        <v>23.76</v>
      </c>
      <c r="BG84" s="1264">
        <v>23.85</v>
      </c>
      <c r="BH84" s="1264">
        <v>23.92</v>
      </c>
      <c r="BI84" s="1265">
        <v>23.97</v>
      </c>
      <c r="BJ84" s="1263">
        <v>24.01</v>
      </c>
      <c r="BK84" s="1264">
        <v>24.03</v>
      </c>
      <c r="BL84" s="1264">
        <v>24.04</v>
      </c>
      <c r="BM84" s="1264">
        <v>24.05</v>
      </c>
      <c r="BN84" s="1264"/>
      <c r="BO84" s="1264"/>
      <c r="BP84" s="1264"/>
      <c r="BQ84" s="1264"/>
      <c r="BR84" s="1264"/>
      <c r="BS84" s="1265"/>
      <c r="BT84" s="1263"/>
      <c r="BU84" s="1264"/>
      <c r="BV84" s="1264"/>
      <c r="BW84" s="1264"/>
      <c r="BX84" s="1264"/>
      <c r="BY84" s="1264"/>
      <c r="BZ84" s="1264"/>
      <c r="CA84" s="1264"/>
      <c r="CB84" s="1264"/>
      <c r="CC84" s="1265"/>
      <c r="CD84" s="1264"/>
      <c r="CE84" s="1264"/>
      <c r="CF84" s="1265"/>
      <c r="CH84" s="1515" t="str">
        <f t="shared" si="1"/>
        <v>WPTPDCIF35</v>
      </c>
      <c r="CI84" s="1168">
        <v>35</v>
      </c>
      <c r="CJ84" s="1263"/>
      <c r="CK84" s="1264">
        <v>0.17</v>
      </c>
      <c r="CL84" s="1264">
        <v>0.26</v>
      </c>
      <c r="CM84" s="1264">
        <v>0.37</v>
      </c>
      <c r="CN84" s="1264">
        <v>0.49</v>
      </c>
      <c r="CO84" s="1264">
        <v>0.63</v>
      </c>
      <c r="CP84" s="1264">
        <v>0.78</v>
      </c>
      <c r="CQ84" s="1264">
        <v>0.95</v>
      </c>
      <c r="CR84" s="1265">
        <v>1.1399999999999999</v>
      </c>
      <c r="CS84" s="1263">
        <v>1.35</v>
      </c>
      <c r="CT84" s="1264">
        <v>1.57</v>
      </c>
      <c r="CU84" s="1264">
        <v>1.82</v>
      </c>
      <c r="CV84" s="1264">
        <v>2.1</v>
      </c>
      <c r="CW84" s="1264">
        <v>2.4</v>
      </c>
      <c r="CX84" s="1264">
        <v>2.65</v>
      </c>
      <c r="CY84" s="1264">
        <v>2.91</v>
      </c>
      <c r="CZ84" s="1264">
        <v>3.19</v>
      </c>
      <c r="DA84" s="1264">
        <v>3.47</v>
      </c>
      <c r="DB84" s="1265">
        <v>3.76</v>
      </c>
      <c r="DC84" s="1263">
        <v>4.07</v>
      </c>
      <c r="DD84" s="1264">
        <v>4.38</v>
      </c>
      <c r="DE84" s="1264">
        <v>4.71</v>
      </c>
      <c r="DF84" s="1264">
        <v>5.05</v>
      </c>
      <c r="DG84" s="1264">
        <v>5.4</v>
      </c>
      <c r="DH84" s="1264">
        <v>5.76</v>
      </c>
      <c r="DI84" s="1264">
        <v>6.14</v>
      </c>
      <c r="DJ84" s="1264">
        <v>6.53</v>
      </c>
      <c r="DK84" s="1264">
        <v>6.93</v>
      </c>
      <c r="DL84" s="1265">
        <v>7.35</v>
      </c>
      <c r="DM84" s="1263">
        <v>7.79</v>
      </c>
      <c r="DN84" s="1264">
        <v>8.25</v>
      </c>
      <c r="DO84" s="1264">
        <v>8.73</v>
      </c>
      <c r="DP84" s="1264">
        <v>9.23</v>
      </c>
      <c r="DQ84" s="1264">
        <v>9.75</v>
      </c>
      <c r="DR84" s="1264">
        <v>10.29</v>
      </c>
      <c r="DS84" s="1264">
        <v>10.85</v>
      </c>
      <c r="DT84" s="1264">
        <v>11.43</v>
      </c>
      <c r="DU84" s="1264">
        <v>12.03</v>
      </c>
      <c r="DV84" s="1265">
        <v>12.65</v>
      </c>
      <c r="DW84" s="1263">
        <v>13.28</v>
      </c>
      <c r="DX84" s="1264">
        <v>13.92</v>
      </c>
      <c r="DY84" s="1264">
        <v>14.57</v>
      </c>
      <c r="DZ84" s="1264">
        <v>15.23</v>
      </c>
      <c r="EA84" s="1264">
        <v>15.89</v>
      </c>
      <c r="EB84" s="1264">
        <v>16.64</v>
      </c>
      <c r="EC84" s="1264">
        <v>17.329999999999998</v>
      </c>
      <c r="ED84" s="1264">
        <v>17.96</v>
      </c>
      <c r="EE84" s="1264">
        <v>18.53</v>
      </c>
      <c r="EF84" s="1265">
        <v>19.04</v>
      </c>
      <c r="EG84" s="1263">
        <v>19.489999999999998</v>
      </c>
      <c r="EH84" s="1264">
        <v>19.89</v>
      </c>
      <c r="EI84" s="1264">
        <v>20.23</v>
      </c>
      <c r="EJ84" s="1264">
        <v>20.52</v>
      </c>
      <c r="EK84" s="1264">
        <v>20.76</v>
      </c>
      <c r="EL84" s="1264">
        <v>20.96</v>
      </c>
      <c r="EM84" s="1264">
        <v>21.12</v>
      </c>
      <c r="EN84" s="1264">
        <v>21.25</v>
      </c>
      <c r="EO84" s="1264">
        <v>21.34</v>
      </c>
      <c r="EP84" s="1265">
        <v>21.41</v>
      </c>
      <c r="EQ84" s="1263">
        <v>21.46</v>
      </c>
      <c r="ER84" s="1264">
        <v>21.5</v>
      </c>
      <c r="ES84" s="1264">
        <v>21.52</v>
      </c>
      <c r="ET84" s="1264">
        <v>21.53</v>
      </c>
      <c r="EU84" s="1264"/>
      <c r="EV84" s="1264"/>
      <c r="EW84" s="1264"/>
      <c r="EX84" s="1264"/>
      <c r="EY84" s="1264"/>
      <c r="EZ84" s="1265"/>
      <c r="FA84" s="1263"/>
      <c r="FB84" s="1264"/>
      <c r="FC84" s="1264"/>
      <c r="FD84" s="1264"/>
      <c r="FE84" s="1264"/>
      <c r="FF84" s="1264"/>
      <c r="FG84" s="1264"/>
      <c r="FH84" s="1264"/>
      <c r="FI84" s="1264"/>
      <c r="FJ84" s="1265"/>
      <c r="FK84" s="1264"/>
      <c r="FL84" s="1264"/>
      <c r="FM84" s="1265"/>
    </row>
    <row r="85" spans="1:169" s="1519" customFormat="1">
      <c r="A85" s="1515" t="s">
        <v>1562</v>
      </c>
      <c r="B85" s="1166">
        <v>36</v>
      </c>
      <c r="C85" s="1257"/>
      <c r="D85" s="1258">
        <v>0.17</v>
      </c>
      <c r="E85" s="1258">
        <v>0.27</v>
      </c>
      <c r="F85" s="1258">
        <v>0.38</v>
      </c>
      <c r="G85" s="1258">
        <v>0.5</v>
      </c>
      <c r="H85" s="1258">
        <v>0.64</v>
      </c>
      <c r="I85" s="1258">
        <v>0.8</v>
      </c>
      <c r="J85" s="1258">
        <v>0.97</v>
      </c>
      <c r="K85" s="1259">
        <v>1.1599999999999999</v>
      </c>
      <c r="L85" s="1257">
        <v>1.37</v>
      </c>
      <c r="M85" s="1258">
        <v>1.6</v>
      </c>
      <c r="N85" s="1258">
        <v>1.86</v>
      </c>
      <c r="O85" s="1258">
        <v>2.14</v>
      </c>
      <c r="P85" s="1258">
        <v>2.44</v>
      </c>
      <c r="Q85" s="1258">
        <v>2.7</v>
      </c>
      <c r="R85" s="1258">
        <v>2.98</v>
      </c>
      <c r="S85" s="1258">
        <v>3.27</v>
      </c>
      <c r="T85" s="1258">
        <v>3.58</v>
      </c>
      <c r="U85" s="1259">
        <v>3.91</v>
      </c>
      <c r="V85" s="1257">
        <v>4.25</v>
      </c>
      <c r="W85" s="1258">
        <v>4.6100000000000003</v>
      </c>
      <c r="X85" s="1258">
        <v>4.99</v>
      </c>
      <c r="Y85" s="1258">
        <v>5.39</v>
      </c>
      <c r="Z85" s="1258">
        <v>5.82</v>
      </c>
      <c r="AA85" s="1258">
        <v>6.27</v>
      </c>
      <c r="AB85" s="1258">
        <v>6.75</v>
      </c>
      <c r="AC85" s="1258">
        <v>7.25</v>
      </c>
      <c r="AD85" s="1258">
        <v>7.79</v>
      </c>
      <c r="AE85" s="1259">
        <v>8.3699999999999992</v>
      </c>
      <c r="AF85" s="1257">
        <v>8.98</v>
      </c>
      <c r="AG85" s="1258">
        <v>9.6300000000000008</v>
      </c>
      <c r="AH85" s="1258">
        <v>10.32</v>
      </c>
      <c r="AI85" s="1258">
        <v>11.04</v>
      </c>
      <c r="AJ85" s="1258">
        <v>11.8</v>
      </c>
      <c r="AK85" s="1258">
        <v>12.59</v>
      </c>
      <c r="AL85" s="1258">
        <v>13.4</v>
      </c>
      <c r="AM85" s="1258">
        <v>14.23</v>
      </c>
      <c r="AN85" s="1258">
        <v>15.08</v>
      </c>
      <c r="AO85" s="1259">
        <v>15.93</v>
      </c>
      <c r="AP85" s="1257">
        <v>16.78</v>
      </c>
      <c r="AQ85" s="1258">
        <v>17.62</v>
      </c>
      <c r="AR85" s="1258">
        <v>18.45</v>
      </c>
      <c r="AS85" s="1258">
        <v>19.25</v>
      </c>
      <c r="AT85" s="1258">
        <v>20.07</v>
      </c>
      <c r="AU85" s="1258">
        <v>20.81</v>
      </c>
      <c r="AV85" s="1258">
        <v>21.47</v>
      </c>
      <c r="AW85" s="1258">
        <v>22.05</v>
      </c>
      <c r="AX85" s="1258">
        <v>22.55</v>
      </c>
      <c r="AY85" s="1259">
        <v>22.98</v>
      </c>
      <c r="AZ85" s="1257">
        <v>23.35</v>
      </c>
      <c r="BA85" s="1258">
        <v>23.66</v>
      </c>
      <c r="BB85" s="1258">
        <v>23.91</v>
      </c>
      <c r="BC85" s="1258">
        <v>24.12</v>
      </c>
      <c r="BD85" s="1258">
        <v>24.29</v>
      </c>
      <c r="BE85" s="1258">
        <v>24.41</v>
      </c>
      <c r="BF85" s="1258">
        <v>24.51</v>
      </c>
      <c r="BG85" s="1258">
        <v>24.58</v>
      </c>
      <c r="BH85" s="1258">
        <v>24.64</v>
      </c>
      <c r="BI85" s="1259">
        <v>24.67</v>
      </c>
      <c r="BJ85" s="1257">
        <v>24.7</v>
      </c>
      <c r="BK85" s="1258">
        <v>24.71</v>
      </c>
      <c r="BL85" s="1258">
        <v>24.72</v>
      </c>
      <c r="BM85" s="1258"/>
      <c r="BN85" s="1258"/>
      <c r="BO85" s="1258"/>
      <c r="BP85" s="1258"/>
      <c r="BQ85" s="1258"/>
      <c r="BR85" s="1258"/>
      <c r="BS85" s="1259"/>
      <c r="BT85" s="1257"/>
      <c r="BU85" s="1258"/>
      <c r="BV85" s="1258"/>
      <c r="BW85" s="1258"/>
      <c r="BX85" s="1258"/>
      <c r="BY85" s="1258"/>
      <c r="BZ85" s="1258"/>
      <c r="CA85" s="1258"/>
      <c r="CB85" s="1258"/>
      <c r="CC85" s="1259"/>
      <c r="CD85" s="1258"/>
      <c r="CE85" s="1258"/>
      <c r="CF85" s="1259"/>
      <c r="CH85" s="1515" t="str">
        <f t="shared" si="1"/>
        <v>WPTPDCIF36</v>
      </c>
      <c r="CI85" s="1166">
        <v>36</v>
      </c>
      <c r="CJ85" s="1257"/>
      <c r="CK85" s="1258">
        <v>0.18</v>
      </c>
      <c r="CL85" s="1258">
        <v>0.28999999999999998</v>
      </c>
      <c r="CM85" s="1258">
        <v>0.41</v>
      </c>
      <c r="CN85" s="1258">
        <v>0.54</v>
      </c>
      <c r="CO85" s="1258">
        <v>0.69</v>
      </c>
      <c r="CP85" s="1258">
        <v>0.86</v>
      </c>
      <c r="CQ85" s="1258">
        <v>1.05</v>
      </c>
      <c r="CR85" s="1259">
        <v>1.25</v>
      </c>
      <c r="CS85" s="1257">
        <v>1.48</v>
      </c>
      <c r="CT85" s="1258">
        <v>1.73</v>
      </c>
      <c r="CU85" s="1258">
        <v>2</v>
      </c>
      <c r="CV85" s="1258">
        <v>2.2999999999999998</v>
      </c>
      <c r="CW85" s="1258">
        <v>2.62</v>
      </c>
      <c r="CX85" s="1258">
        <v>2.89</v>
      </c>
      <c r="CY85" s="1258">
        <v>3.17</v>
      </c>
      <c r="CZ85" s="1258">
        <v>3.46</v>
      </c>
      <c r="DA85" s="1258">
        <v>3.76</v>
      </c>
      <c r="DB85" s="1259">
        <v>4.07</v>
      </c>
      <c r="DC85" s="1257">
        <v>4.3899999999999997</v>
      </c>
      <c r="DD85" s="1258">
        <v>4.7300000000000004</v>
      </c>
      <c r="DE85" s="1258">
        <v>5.08</v>
      </c>
      <c r="DF85" s="1258">
        <v>5.43</v>
      </c>
      <c r="DG85" s="1258">
        <v>5.8</v>
      </c>
      <c r="DH85" s="1258">
        <v>6.19</v>
      </c>
      <c r="DI85" s="1258">
        <v>6.59</v>
      </c>
      <c r="DJ85" s="1258">
        <v>7</v>
      </c>
      <c r="DK85" s="1258">
        <v>7.43</v>
      </c>
      <c r="DL85" s="1259">
        <v>7.88</v>
      </c>
      <c r="DM85" s="1257">
        <v>8.35</v>
      </c>
      <c r="DN85" s="1258">
        <v>8.84</v>
      </c>
      <c r="DO85" s="1258">
        <v>9.35</v>
      </c>
      <c r="DP85" s="1258">
        <v>9.8800000000000008</v>
      </c>
      <c r="DQ85" s="1258">
        <v>10.44</v>
      </c>
      <c r="DR85" s="1258">
        <v>11.02</v>
      </c>
      <c r="DS85" s="1258">
        <v>11.61</v>
      </c>
      <c r="DT85" s="1258">
        <v>12.23</v>
      </c>
      <c r="DU85" s="1258">
        <v>12.86</v>
      </c>
      <c r="DV85" s="1259">
        <v>13.5</v>
      </c>
      <c r="DW85" s="1257">
        <v>14.16</v>
      </c>
      <c r="DX85" s="1258">
        <v>14.83</v>
      </c>
      <c r="DY85" s="1258">
        <v>15.51</v>
      </c>
      <c r="DZ85" s="1258">
        <v>16.18</v>
      </c>
      <c r="EA85" s="1258">
        <v>16.96</v>
      </c>
      <c r="EB85" s="1258">
        <v>17.670000000000002</v>
      </c>
      <c r="EC85" s="1258">
        <v>18.32</v>
      </c>
      <c r="ED85" s="1258">
        <v>18.91</v>
      </c>
      <c r="EE85" s="1258">
        <v>19.43</v>
      </c>
      <c r="EF85" s="1259">
        <v>19.899999999999999</v>
      </c>
      <c r="EG85" s="1257">
        <v>20.3</v>
      </c>
      <c r="EH85" s="1258">
        <v>20.66</v>
      </c>
      <c r="EI85" s="1258">
        <v>20.95</v>
      </c>
      <c r="EJ85" s="1258">
        <v>21.21</v>
      </c>
      <c r="EK85" s="1258">
        <v>21.41</v>
      </c>
      <c r="EL85" s="1258">
        <v>21.58</v>
      </c>
      <c r="EM85" s="1258">
        <v>21.71</v>
      </c>
      <c r="EN85" s="1258">
        <v>21.8</v>
      </c>
      <c r="EO85" s="1258">
        <v>21.88</v>
      </c>
      <c r="EP85" s="1259">
        <v>21.93</v>
      </c>
      <c r="EQ85" s="1257">
        <v>21.96</v>
      </c>
      <c r="ER85" s="1258">
        <v>21.99</v>
      </c>
      <c r="ES85" s="1258">
        <v>22</v>
      </c>
      <c r="ET85" s="1258"/>
      <c r="EU85" s="1258"/>
      <c r="EV85" s="1258"/>
      <c r="EW85" s="1258"/>
      <c r="EX85" s="1258"/>
      <c r="EY85" s="1258"/>
      <c r="EZ85" s="1259"/>
      <c r="FA85" s="1257"/>
      <c r="FB85" s="1258"/>
      <c r="FC85" s="1258"/>
      <c r="FD85" s="1258"/>
      <c r="FE85" s="1258"/>
      <c r="FF85" s="1258"/>
      <c r="FG85" s="1258"/>
      <c r="FH85" s="1258"/>
      <c r="FI85" s="1258"/>
      <c r="FJ85" s="1259"/>
      <c r="FK85" s="1258"/>
      <c r="FL85" s="1258"/>
      <c r="FM85" s="1259"/>
    </row>
    <row r="86" spans="1:169" s="1519" customFormat="1">
      <c r="A86" s="1515" t="s">
        <v>1563</v>
      </c>
      <c r="B86" s="1166">
        <v>37</v>
      </c>
      <c r="C86" s="1257"/>
      <c r="D86" s="1258">
        <v>0.19</v>
      </c>
      <c r="E86" s="1258">
        <v>0.3</v>
      </c>
      <c r="F86" s="1258">
        <v>0.42</v>
      </c>
      <c r="G86" s="1258">
        <v>0.56000000000000005</v>
      </c>
      <c r="H86" s="1258">
        <v>0.72</v>
      </c>
      <c r="I86" s="1258">
        <v>0.89</v>
      </c>
      <c r="J86" s="1258">
        <v>1.08</v>
      </c>
      <c r="K86" s="1259">
        <v>1.29</v>
      </c>
      <c r="L86" s="1257">
        <v>1.52</v>
      </c>
      <c r="M86" s="1258">
        <v>1.77</v>
      </c>
      <c r="N86" s="1258">
        <v>2.0499999999999998</v>
      </c>
      <c r="O86" s="1258">
        <v>2.35</v>
      </c>
      <c r="P86" s="1258">
        <v>2.69</v>
      </c>
      <c r="Q86" s="1258">
        <v>2.97</v>
      </c>
      <c r="R86" s="1258">
        <v>3.27</v>
      </c>
      <c r="S86" s="1258">
        <v>3.59</v>
      </c>
      <c r="T86" s="1258">
        <v>3.92</v>
      </c>
      <c r="U86" s="1259">
        <v>4.28</v>
      </c>
      <c r="V86" s="1257">
        <v>4.6500000000000004</v>
      </c>
      <c r="W86" s="1258">
        <v>5.04</v>
      </c>
      <c r="X86" s="1258">
        <v>5.45</v>
      </c>
      <c r="Y86" s="1258">
        <v>5.89</v>
      </c>
      <c r="Z86" s="1258">
        <v>6.35</v>
      </c>
      <c r="AA86" s="1258">
        <v>6.84</v>
      </c>
      <c r="AB86" s="1258">
        <v>7.37</v>
      </c>
      <c r="AC86" s="1258">
        <v>7.92</v>
      </c>
      <c r="AD86" s="1258">
        <v>8.52</v>
      </c>
      <c r="AE86" s="1259">
        <v>9.14</v>
      </c>
      <c r="AF86" s="1257">
        <v>9.81</v>
      </c>
      <c r="AG86" s="1258">
        <v>10.52</v>
      </c>
      <c r="AH86" s="1258">
        <v>11.27</v>
      </c>
      <c r="AI86" s="1258">
        <v>12.05</v>
      </c>
      <c r="AJ86" s="1258">
        <v>12.86</v>
      </c>
      <c r="AK86" s="1258">
        <v>13.7</v>
      </c>
      <c r="AL86" s="1258">
        <v>14.56</v>
      </c>
      <c r="AM86" s="1258">
        <v>15.43</v>
      </c>
      <c r="AN86" s="1258">
        <v>16.309999999999999</v>
      </c>
      <c r="AO86" s="1259">
        <v>17.190000000000001</v>
      </c>
      <c r="AP86" s="1257">
        <v>18.059999999999999</v>
      </c>
      <c r="AQ86" s="1258">
        <v>18.91</v>
      </c>
      <c r="AR86" s="1258">
        <v>19.739999999999998</v>
      </c>
      <c r="AS86" s="1258">
        <v>20.6</v>
      </c>
      <c r="AT86" s="1258">
        <v>21.36</v>
      </c>
      <c r="AU86" s="1258">
        <v>22.04</v>
      </c>
      <c r="AV86" s="1258">
        <v>22.64</v>
      </c>
      <c r="AW86" s="1258">
        <v>23.16</v>
      </c>
      <c r="AX86" s="1258">
        <v>23.61</v>
      </c>
      <c r="AY86" s="1259">
        <v>23.99</v>
      </c>
      <c r="AZ86" s="1257">
        <v>24.31</v>
      </c>
      <c r="BA86" s="1258">
        <v>24.57</v>
      </c>
      <c r="BB86" s="1258">
        <v>24.79</v>
      </c>
      <c r="BC86" s="1258">
        <v>24.96</v>
      </c>
      <c r="BD86" s="1258">
        <v>25.1</v>
      </c>
      <c r="BE86" s="1258">
        <v>25.2</v>
      </c>
      <c r="BF86" s="1258">
        <v>25.27</v>
      </c>
      <c r="BG86" s="1258">
        <v>25.32</v>
      </c>
      <c r="BH86" s="1258">
        <v>25.36</v>
      </c>
      <c r="BI86" s="1259">
        <v>25.39</v>
      </c>
      <c r="BJ86" s="1257">
        <v>25.4</v>
      </c>
      <c r="BK86" s="1258">
        <v>25.41</v>
      </c>
      <c r="BL86" s="1258"/>
      <c r="BM86" s="1258"/>
      <c r="BN86" s="1258"/>
      <c r="BO86" s="1258"/>
      <c r="BP86" s="1258"/>
      <c r="BQ86" s="1258"/>
      <c r="BR86" s="1258"/>
      <c r="BS86" s="1259"/>
      <c r="BT86" s="1257"/>
      <c r="BU86" s="1258"/>
      <c r="BV86" s="1258"/>
      <c r="BW86" s="1258"/>
      <c r="BX86" s="1258"/>
      <c r="BY86" s="1258"/>
      <c r="BZ86" s="1258"/>
      <c r="CA86" s="1258"/>
      <c r="CB86" s="1258"/>
      <c r="CC86" s="1259"/>
      <c r="CD86" s="1258"/>
      <c r="CE86" s="1258"/>
      <c r="CF86" s="1259"/>
      <c r="CH86" s="1515" t="str">
        <f t="shared" si="1"/>
        <v>WPTPDCIF37</v>
      </c>
      <c r="CI86" s="1166">
        <v>37</v>
      </c>
      <c r="CJ86" s="1257"/>
      <c r="CK86" s="1258">
        <v>0.2</v>
      </c>
      <c r="CL86" s="1258">
        <v>0.32</v>
      </c>
      <c r="CM86" s="1258">
        <v>0.45</v>
      </c>
      <c r="CN86" s="1258">
        <v>0.6</v>
      </c>
      <c r="CO86" s="1258">
        <v>0.76</v>
      </c>
      <c r="CP86" s="1258">
        <v>0.95</v>
      </c>
      <c r="CQ86" s="1258">
        <v>1.1499999999999999</v>
      </c>
      <c r="CR86" s="1259">
        <v>1.37</v>
      </c>
      <c r="CS86" s="1257">
        <v>1.62</v>
      </c>
      <c r="CT86" s="1258">
        <v>1.89</v>
      </c>
      <c r="CU86" s="1258">
        <v>2.1800000000000002</v>
      </c>
      <c r="CV86" s="1258">
        <v>2.5</v>
      </c>
      <c r="CW86" s="1258">
        <v>2.85</v>
      </c>
      <c r="CX86" s="1258">
        <v>3.14</v>
      </c>
      <c r="CY86" s="1258">
        <v>3.43</v>
      </c>
      <c r="CZ86" s="1258">
        <v>3.74</v>
      </c>
      <c r="DA86" s="1258">
        <v>4.0599999999999996</v>
      </c>
      <c r="DB86" s="1259">
        <v>4.3899999999999997</v>
      </c>
      <c r="DC86" s="1257">
        <v>4.74</v>
      </c>
      <c r="DD86" s="1258">
        <v>5.09</v>
      </c>
      <c r="DE86" s="1258">
        <v>5.46</v>
      </c>
      <c r="DF86" s="1258">
        <v>5.84</v>
      </c>
      <c r="DG86" s="1258">
        <v>6.23</v>
      </c>
      <c r="DH86" s="1258">
        <v>6.64</v>
      </c>
      <c r="DI86" s="1258">
        <v>7.06</v>
      </c>
      <c r="DJ86" s="1258">
        <v>7.5</v>
      </c>
      <c r="DK86" s="1258">
        <v>7.96</v>
      </c>
      <c r="DL86" s="1259">
        <v>8.44</v>
      </c>
      <c r="DM86" s="1257">
        <v>8.94</v>
      </c>
      <c r="DN86" s="1258">
        <v>9.4700000000000006</v>
      </c>
      <c r="DO86" s="1258">
        <v>10.01</v>
      </c>
      <c r="DP86" s="1258">
        <v>10.58</v>
      </c>
      <c r="DQ86" s="1258">
        <v>11.17</v>
      </c>
      <c r="DR86" s="1258">
        <v>11.78</v>
      </c>
      <c r="DS86" s="1258">
        <v>12.41</v>
      </c>
      <c r="DT86" s="1258">
        <v>13.06</v>
      </c>
      <c r="DU86" s="1258">
        <v>13.72</v>
      </c>
      <c r="DV86" s="1259">
        <v>14.4</v>
      </c>
      <c r="DW86" s="1257">
        <v>15.09</v>
      </c>
      <c r="DX86" s="1258">
        <v>15.78</v>
      </c>
      <c r="DY86" s="1258">
        <v>16.47</v>
      </c>
      <c r="DZ86" s="1258">
        <v>17.27</v>
      </c>
      <c r="EA86" s="1258">
        <v>18.010000000000002</v>
      </c>
      <c r="EB86" s="1258">
        <v>18.68</v>
      </c>
      <c r="EC86" s="1258">
        <v>19.28</v>
      </c>
      <c r="ED86" s="1258">
        <v>19.829999999999998</v>
      </c>
      <c r="EE86" s="1258">
        <v>20.309999999999999</v>
      </c>
      <c r="EF86" s="1259">
        <v>20.72</v>
      </c>
      <c r="EG86" s="1257">
        <v>21.09</v>
      </c>
      <c r="EH86" s="1258">
        <v>21.4</v>
      </c>
      <c r="EI86" s="1258">
        <v>21.65</v>
      </c>
      <c r="EJ86" s="1258">
        <v>21.87</v>
      </c>
      <c r="EK86" s="1258">
        <v>22.04</v>
      </c>
      <c r="EL86" s="1258">
        <v>22.17</v>
      </c>
      <c r="EM86" s="1258">
        <v>22.27</v>
      </c>
      <c r="EN86" s="1258">
        <v>22.35</v>
      </c>
      <c r="EO86" s="1258">
        <v>22.4</v>
      </c>
      <c r="EP86" s="1259">
        <v>22.44</v>
      </c>
      <c r="EQ86" s="1257">
        <v>22.46</v>
      </c>
      <c r="ER86" s="1258">
        <v>22.48</v>
      </c>
      <c r="ES86" s="1258"/>
      <c r="ET86" s="1258"/>
      <c r="EU86" s="1258"/>
      <c r="EV86" s="1258"/>
      <c r="EW86" s="1258"/>
      <c r="EX86" s="1258"/>
      <c r="EY86" s="1258"/>
      <c r="EZ86" s="1259"/>
      <c r="FA86" s="1257"/>
      <c r="FB86" s="1258"/>
      <c r="FC86" s="1258"/>
      <c r="FD86" s="1258"/>
      <c r="FE86" s="1258"/>
      <c r="FF86" s="1258"/>
      <c r="FG86" s="1258"/>
      <c r="FH86" s="1258"/>
      <c r="FI86" s="1258"/>
      <c r="FJ86" s="1259"/>
      <c r="FK86" s="1258"/>
      <c r="FL86" s="1258"/>
      <c r="FM86" s="1259"/>
    </row>
    <row r="87" spans="1:169" s="1519" customFormat="1">
      <c r="A87" s="1515" t="s">
        <v>1564</v>
      </c>
      <c r="B87" s="1166">
        <v>38</v>
      </c>
      <c r="C87" s="1257"/>
      <c r="D87" s="1258">
        <v>0.21</v>
      </c>
      <c r="E87" s="1258">
        <v>0.33</v>
      </c>
      <c r="F87" s="1258">
        <v>0.47</v>
      </c>
      <c r="G87" s="1258">
        <v>0.63</v>
      </c>
      <c r="H87" s="1258">
        <v>0.8</v>
      </c>
      <c r="I87" s="1258">
        <v>0.99</v>
      </c>
      <c r="J87" s="1258">
        <v>1.2</v>
      </c>
      <c r="K87" s="1259">
        <v>1.43</v>
      </c>
      <c r="L87" s="1257">
        <v>1.68</v>
      </c>
      <c r="M87" s="1258">
        <v>1.95</v>
      </c>
      <c r="N87" s="1258">
        <v>2.2599999999999998</v>
      </c>
      <c r="O87" s="1258">
        <v>2.59</v>
      </c>
      <c r="P87" s="1258">
        <v>2.95</v>
      </c>
      <c r="Q87" s="1258">
        <v>3.26</v>
      </c>
      <c r="R87" s="1258">
        <v>3.59</v>
      </c>
      <c r="S87" s="1258">
        <v>3.93</v>
      </c>
      <c r="T87" s="1258">
        <v>4.29</v>
      </c>
      <c r="U87" s="1259">
        <v>4.67</v>
      </c>
      <c r="V87" s="1257">
        <v>5.08</v>
      </c>
      <c r="W87" s="1258">
        <v>5.5</v>
      </c>
      <c r="X87" s="1258">
        <v>5.95</v>
      </c>
      <c r="Y87" s="1258">
        <v>6.43</v>
      </c>
      <c r="Z87" s="1258">
        <v>6.93</v>
      </c>
      <c r="AA87" s="1258">
        <v>7.47</v>
      </c>
      <c r="AB87" s="1258">
        <v>8.0500000000000007</v>
      </c>
      <c r="AC87" s="1258">
        <v>8.66</v>
      </c>
      <c r="AD87" s="1258">
        <v>9.3000000000000007</v>
      </c>
      <c r="AE87" s="1259">
        <v>9.99</v>
      </c>
      <c r="AF87" s="1257">
        <v>10.72</v>
      </c>
      <c r="AG87" s="1258">
        <v>11.49</v>
      </c>
      <c r="AH87" s="1258">
        <v>12.3</v>
      </c>
      <c r="AI87" s="1258">
        <v>13.14</v>
      </c>
      <c r="AJ87" s="1258">
        <v>14</v>
      </c>
      <c r="AK87" s="1258">
        <v>14.89</v>
      </c>
      <c r="AL87" s="1258">
        <v>15.79</v>
      </c>
      <c r="AM87" s="1258">
        <v>16.7</v>
      </c>
      <c r="AN87" s="1258">
        <v>17.61</v>
      </c>
      <c r="AO87" s="1259">
        <v>18.510000000000002</v>
      </c>
      <c r="AP87" s="1257">
        <v>19.39</v>
      </c>
      <c r="AQ87" s="1258">
        <v>20.239999999999998</v>
      </c>
      <c r="AR87" s="1258">
        <v>21.13</v>
      </c>
      <c r="AS87" s="1258">
        <v>21.93</v>
      </c>
      <c r="AT87" s="1258">
        <v>22.63</v>
      </c>
      <c r="AU87" s="1258">
        <v>23.25</v>
      </c>
      <c r="AV87" s="1258">
        <v>23.79</v>
      </c>
      <c r="AW87" s="1258">
        <v>24.26</v>
      </c>
      <c r="AX87" s="1258">
        <v>24.65</v>
      </c>
      <c r="AY87" s="1259">
        <v>24.98</v>
      </c>
      <c r="AZ87" s="1257">
        <v>25.26</v>
      </c>
      <c r="BA87" s="1258">
        <v>25.48</v>
      </c>
      <c r="BB87" s="1258">
        <v>25.66</v>
      </c>
      <c r="BC87" s="1258">
        <v>25.8</v>
      </c>
      <c r="BD87" s="1258">
        <v>25.9</v>
      </c>
      <c r="BE87" s="1258">
        <v>25.98</v>
      </c>
      <c r="BF87" s="1258">
        <v>26.03</v>
      </c>
      <c r="BG87" s="1258">
        <v>26.07</v>
      </c>
      <c r="BH87" s="1258">
        <v>26.1</v>
      </c>
      <c r="BI87" s="1259">
        <v>26.11</v>
      </c>
      <c r="BJ87" s="1257">
        <v>26.12</v>
      </c>
      <c r="BK87" s="1258"/>
      <c r="BL87" s="1258"/>
      <c r="BM87" s="1258"/>
      <c r="BN87" s="1258"/>
      <c r="BO87" s="1258"/>
      <c r="BP87" s="1258"/>
      <c r="BQ87" s="1258"/>
      <c r="BR87" s="1258"/>
      <c r="BS87" s="1259"/>
      <c r="BT87" s="1257"/>
      <c r="BU87" s="1258"/>
      <c r="BV87" s="1258"/>
      <c r="BW87" s="1258"/>
      <c r="BX87" s="1258"/>
      <c r="BY87" s="1258"/>
      <c r="BZ87" s="1258"/>
      <c r="CA87" s="1258"/>
      <c r="CB87" s="1258"/>
      <c r="CC87" s="1259"/>
      <c r="CD87" s="1258"/>
      <c r="CE87" s="1258"/>
      <c r="CF87" s="1259"/>
      <c r="CH87" s="1515" t="str">
        <f t="shared" si="1"/>
        <v>WPTPDCIF38</v>
      </c>
      <c r="CI87" s="1166">
        <v>38</v>
      </c>
      <c r="CJ87" s="1257"/>
      <c r="CK87" s="1258">
        <v>0.22</v>
      </c>
      <c r="CL87" s="1258">
        <v>0.35</v>
      </c>
      <c r="CM87" s="1258">
        <v>0.5</v>
      </c>
      <c r="CN87" s="1258">
        <v>0.66</v>
      </c>
      <c r="CO87" s="1258">
        <v>0.84</v>
      </c>
      <c r="CP87" s="1258">
        <v>1.04</v>
      </c>
      <c r="CQ87" s="1258">
        <v>1.26</v>
      </c>
      <c r="CR87" s="1259">
        <v>1.5</v>
      </c>
      <c r="CS87" s="1257">
        <v>1.77</v>
      </c>
      <c r="CT87" s="1258">
        <v>2.06</v>
      </c>
      <c r="CU87" s="1258">
        <v>2.38</v>
      </c>
      <c r="CV87" s="1258">
        <v>2.72</v>
      </c>
      <c r="CW87" s="1258">
        <v>3.1</v>
      </c>
      <c r="CX87" s="1258">
        <v>3.4</v>
      </c>
      <c r="CY87" s="1258">
        <v>3.72</v>
      </c>
      <c r="CZ87" s="1258">
        <v>4.04</v>
      </c>
      <c r="DA87" s="1258">
        <v>4.38</v>
      </c>
      <c r="DB87" s="1259">
        <v>4.7300000000000004</v>
      </c>
      <c r="DC87" s="1257">
        <v>5.0999999999999996</v>
      </c>
      <c r="DD87" s="1258">
        <v>5.47</v>
      </c>
      <c r="DE87" s="1258">
        <v>5.86</v>
      </c>
      <c r="DF87" s="1258">
        <v>6.26</v>
      </c>
      <c r="DG87" s="1258">
        <v>6.68</v>
      </c>
      <c r="DH87" s="1258">
        <v>7.11</v>
      </c>
      <c r="DI87" s="1258">
        <v>7.56</v>
      </c>
      <c r="DJ87" s="1258">
        <v>8.0299999999999994</v>
      </c>
      <c r="DK87" s="1258">
        <v>8.52</v>
      </c>
      <c r="DL87" s="1259">
        <v>9.0399999999999991</v>
      </c>
      <c r="DM87" s="1257">
        <v>9.57</v>
      </c>
      <c r="DN87" s="1258">
        <v>10.130000000000001</v>
      </c>
      <c r="DO87" s="1258">
        <v>10.72</v>
      </c>
      <c r="DP87" s="1258">
        <v>11.32</v>
      </c>
      <c r="DQ87" s="1258">
        <v>11.95</v>
      </c>
      <c r="DR87" s="1258">
        <v>12.59</v>
      </c>
      <c r="DS87" s="1258">
        <v>13.26</v>
      </c>
      <c r="DT87" s="1258">
        <v>13.94</v>
      </c>
      <c r="DU87" s="1258">
        <v>14.63</v>
      </c>
      <c r="DV87" s="1259">
        <v>15.34</v>
      </c>
      <c r="DW87" s="1257">
        <v>16.05</v>
      </c>
      <c r="DX87" s="1258">
        <v>16.760000000000002</v>
      </c>
      <c r="DY87" s="1258">
        <v>17.59</v>
      </c>
      <c r="DZ87" s="1258">
        <v>18.350000000000001</v>
      </c>
      <c r="EA87" s="1258">
        <v>19.04</v>
      </c>
      <c r="EB87" s="1258">
        <v>19.66</v>
      </c>
      <c r="EC87" s="1258">
        <v>20.22</v>
      </c>
      <c r="ED87" s="1258">
        <v>20.72</v>
      </c>
      <c r="EE87" s="1258">
        <v>21.15</v>
      </c>
      <c r="EF87" s="1259">
        <v>21.52</v>
      </c>
      <c r="EG87" s="1257">
        <v>21.84</v>
      </c>
      <c r="EH87" s="1258">
        <v>22.11</v>
      </c>
      <c r="EI87" s="1258">
        <v>22.33</v>
      </c>
      <c r="EJ87" s="1258">
        <v>22.5</v>
      </c>
      <c r="EK87" s="1258">
        <v>22.64</v>
      </c>
      <c r="EL87" s="1258">
        <v>22.75</v>
      </c>
      <c r="EM87" s="1258">
        <v>22.82</v>
      </c>
      <c r="EN87" s="1258">
        <v>22.88</v>
      </c>
      <c r="EO87" s="1258">
        <v>22.92</v>
      </c>
      <c r="EP87" s="1259">
        <v>22.94</v>
      </c>
      <c r="EQ87" s="1257">
        <v>22.96</v>
      </c>
      <c r="ER87" s="1258"/>
      <c r="ES87" s="1258"/>
      <c r="ET87" s="1258"/>
      <c r="EU87" s="1258"/>
      <c r="EV87" s="1258"/>
      <c r="EW87" s="1258"/>
      <c r="EX87" s="1258"/>
      <c r="EY87" s="1258"/>
      <c r="EZ87" s="1259"/>
      <c r="FA87" s="1257"/>
      <c r="FB87" s="1258"/>
      <c r="FC87" s="1258"/>
      <c r="FD87" s="1258"/>
      <c r="FE87" s="1258"/>
      <c r="FF87" s="1258"/>
      <c r="FG87" s="1258"/>
      <c r="FH87" s="1258"/>
      <c r="FI87" s="1258"/>
      <c r="FJ87" s="1259"/>
      <c r="FK87" s="1258"/>
      <c r="FL87" s="1258"/>
      <c r="FM87" s="1259"/>
    </row>
    <row r="88" spans="1:169" s="1519" customFormat="1">
      <c r="A88" s="1515" t="s">
        <v>1565</v>
      </c>
      <c r="B88" s="1166">
        <v>39</v>
      </c>
      <c r="C88" s="1257"/>
      <c r="D88" s="1258">
        <v>0.23</v>
      </c>
      <c r="E88" s="1258">
        <v>0.37</v>
      </c>
      <c r="F88" s="1258">
        <v>0.53</v>
      </c>
      <c r="G88" s="1258">
        <v>0.7</v>
      </c>
      <c r="H88" s="1258">
        <v>0.89</v>
      </c>
      <c r="I88" s="1258">
        <v>1.0900000000000001</v>
      </c>
      <c r="J88" s="1258">
        <v>1.32</v>
      </c>
      <c r="K88" s="1259">
        <v>1.57</v>
      </c>
      <c r="L88" s="1257">
        <v>1.85</v>
      </c>
      <c r="M88" s="1258">
        <v>2.15</v>
      </c>
      <c r="N88" s="1258">
        <v>2.48</v>
      </c>
      <c r="O88" s="1258">
        <v>2.84</v>
      </c>
      <c r="P88" s="1258">
        <v>3.23</v>
      </c>
      <c r="Q88" s="1258">
        <v>3.57</v>
      </c>
      <c r="R88" s="1258">
        <v>3.92</v>
      </c>
      <c r="S88" s="1258">
        <v>4.29</v>
      </c>
      <c r="T88" s="1258">
        <v>4.6900000000000004</v>
      </c>
      <c r="U88" s="1259">
        <v>5.0999999999999996</v>
      </c>
      <c r="V88" s="1257">
        <v>5.54</v>
      </c>
      <c r="W88" s="1258">
        <v>6</v>
      </c>
      <c r="X88" s="1258">
        <v>6.49</v>
      </c>
      <c r="Y88" s="1258">
        <v>7.01</v>
      </c>
      <c r="Z88" s="1258">
        <v>7.57</v>
      </c>
      <c r="AA88" s="1258">
        <v>8.16</v>
      </c>
      <c r="AB88" s="1258">
        <v>8.7899999999999991</v>
      </c>
      <c r="AC88" s="1258">
        <v>9.4600000000000009</v>
      </c>
      <c r="AD88" s="1258">
        <v>10.17</v>
      </c>
      <c r="AE88" s="1259">
        <v>10.92</v>
      </c>
      <c r="AF88" s="1257">
        <v>11.71</v>
      </c>
      <c r="AG88" s="1258">
        <v>12.55</v>
      </c>
      <c r="AH88" s="1258">
        <v>13.41</v>
      </c>
      <c r="AI88" s="1258">
        <v>14.31</v>
      </c>
      <c r="AJ88" s="1258">
        <v>15.22</v>
      </c>
      <c r="AK88" s="1258">
        <v>16.149999999999999</v>
      </c>
      <c r="AL88" s="1258">
        <v>17.09</v>
      </c>
      <c r="AM88" s="1258">
        <v>18.03</v>
      </c>
      <c r="AN88" s="1258">
        <v>18.96</v>
      </c>
      <c r="AO88" s="1259">
        <v>19.87</v>
      </c>
      <c r="AP88" s="1257">
        <v>20.76</v>
      </c>
      <c r="AQ88" s="1258">
        <v>21.68</v>
      </c>
      <c r="AR88" s="1258">
        <v>22.5</v>
      </c>
      <c r="AS88" s="1258">
        <v>23.23</v>
      </c>
      <c r="AT88" s="1258">
        <v>23.88</v>
      </c>
      <c r="AU88" s="1258">
        <v>24.44</v>
      </c>
      <c r="AV88" s="1258">
        <v>24.92</v>
      </c>
      <c r="AW88" s="1258">
        <v>25.33</v>
      </c>
      <c r="AX88" s="1258">
        <v>25.67</v>
      </c>
      <c r="AY88" s="1259">
        <v>25.96</v>
      </c>
      <c r="AZ88" s="1257">
        <v>26.19</v>
      </c>
      <c r="BA88" s="1258">
        <v>26.37</v>
      </c>
      <c r="BB88" s="1258">
        <v>26.52</v>
      </c>
      <c r="BC88" s="1258">
        <v>26.63</v>
      </c>
      <c r="BD88" s="1258">
        <v>26.71</v>
      </c>
      <c r="BE88" s="1258">
        <v>26.76</v>
      </c>
      <c r="BF88" s="1258">
        <v>26.8</v>
      </c>
      <c r="BG88" s="1258">
        <v>26.83</v>
      </c>
      <c r="BH88" s="1258">
        <v>26.85</v>
      </c>
      <c r="BI88" s="1259">
        <v>26.86</v>
      </c>
      <c r="BJ88" s="1257"/>
      <c r="BK88" s="1258"/>
      <c r="BL88" s="1258"/>
      <c r="BM88" s="1258"/>
      <c r="BN88" s="1258"/>
      <c r="BO88" s="1258"/>
      <c r="BP88" s="1258"/>
      <c r="BQ88" s="1258"/>
      <c r="BR88" s="1258"/>
      <c r="BS88" s="1259"/>
      <c r="BT88" s="1257"/>
      <c r="BU88" s="1258"/>
      <c r="BV88" s="1258"/>
      <c r="BW88" s="1258"/>
      <c r="BX88" s="1258"/>
      <c r="BY88" s="1258"/>
      <c r="BZ88" s="1258"/>
      <c r="CA88" s="1258"/>
      <c r="CB88" s="1258"/>
      <c r="CC88" s="1259"/>
      <c r="CD88" s="1258"/>
      <c r="CE88" s="1258"/>
      <c r="CF88" s="1259"/>
      <c r="CH88" s="1515" t="str">
        <f t="shared" si="1"/>
        <v>WPTPDCIF39</v>
      </c>
      <c r="CI88" s="1166">
        <v>39</v>
      </c>
      <c r="CJ88" s="1257"/>
      <c r="CK88" s="1258">
        <v>0.24</v>
      </c>
      <c r="CL88" s="1258">
        <v>0.39</v>
      </c>
      <c r="CM88" s="1258">
        <v>0.55000000000000004</v>
      </c>
      <c r="CN88" s="1258">
        <v>0.73</v>
      </c>
      <c r="CO88" s="1258">
        <v>0.92</v>
      </c>
      <c r="CP88" s="1258">
        <v>1.1399999999999999</v>
      </c>
      <c r="CQ88" s="1258">
        <v>1.38</v>
      </c>
      <c r="CR88" s="1259">
        <v>1.65</v>
      </c>
      <c r="CS88" s="1257">
        <v>1.93</v>
      </c>
      <c r="CT88" s="1258">
        <v>2.25</v>
      </c>
      <c r="CU88" s="1258">
        <v>2.58</v>
      </c>
      <c r="CV88" s="1258">
        <v>2.95</v>
      </c>
      <c r="CW88" s="1258">
        <v>3.35</v>
      </c>
      <c r="CX88" s="1258">
        <v>3.67</v>
      </c>
      <c r="CY88" s="1258">
        <v>4.01</v>
      </c>
      <c r="CZ88" s="1258">
        <v>4.3499999999999996</v>
      </c>
      <c r="DA88" s="1258">
        <v>4.71</v>
      </c>
      <c r="DB88" s="1259">
        <v>5.08</v>
      </c>
      <c r="DC88" s="1257">
        <v>5.47</v>
      </c>
      <c r="DD88" s="1258">
        <v>5.86</v>
      </c>
      <c r="DE88" s="1258">
        <v>6.28</v>
      </c>
      <c r="DF88" s="1258">
        <v>6.7</v>
      </c>
      <c r="DG88" s="1258">
        <v>7.15</v>
      </c>
      <c r="DH88" s="1258">
        <v>7.61</v>
      </c>
      <c r="DI88" s="1258">
        <v>8.09</v>
      </c>
      <c r="DJ88" s="1258">
        <v>8.59</v>
      </c>
      <c r="DK88" s="1258">
        <v>9.1199999999999992</v>
      </c>
      <c r="DL88" s="1259">
        <v>9.67</v>
      </c>
      <c r="DM88" s="1257">
        <v>10.24</v>
      </c>
      <c r="DN88" s="1258">
        <v>10.84</v>
      </c>
      <c r="DO88" s="1258">
        <v>11.46</v>
      </c>
      <c r="DP88" s="1258">
        <v>12.1</v>
      </c>
      <c r="DQ88" s="1258">
        <v>12.76</v>
      </c>
      <c r="DR88" s="1258">
        <v>13.44</v>
      </c>
      <c r="DS88" s="1258">
        <v>14.14</v>
      </c>
      <c r="DT88" s="1258">
        <v>14.86</v>
      </c>
      <c r="DU88" s="1258">
        <v>15.58</v>
      </c>
      <c r="DV88" s="1259">
        <v>16.309999999999999</v>
      </c>
      <c r="DW88" s="1257">
        <v>17.05</v>
      </c>
      <c r="DX88" s="1258">
        <v>17.899999999999999</v>
      </c>
      <c r="DY88" s="1258">
        <v>18.68</v>
      </c>
      <c r="DZ88" s="1258">
        <v>19.39</v>
      </c>
      <c r="EA88" s="1258">
        <v>20.04</v>
      </c>
      <c r="EB88" s="1258">
        <v>20.62</v>
      </c>
      <c r="EC88" s="1258">
        <v>21.13</v>
      </c>
      <c r="ED88" s="1258">
        <v>21.57</v>
      </c>
      <c r="EE88" s="1258">
        <v>21.96</v>
      </c>
      <c r="EF88" s="1259">
        <v>22.29</v>
      </c>
      <c r="EG88" s="1257">
        <v>22.56</v>
      </c>
      <c r="EH88" s="1258">
        <v>22.79</v>
      </c>
      <c r="EI88" s="1258">
        <v>22.97</v>
      </c>
      <c r="EJ88" s="1258">
        <v>23.11</v>
      </c>
      <c r="EK88" s="1258">
        <v>23.22</v>
      </c>
      <c r="EL88" s="1258">
        <v>23.3</v>
      </c>
      <c r="EM88" s="1258">
        <v>23.36</v>
      </c>
      <c r="EN88" s="1258">
        <v>23.4</v>
      </c>
      <c r="EO88" s="1258">
        <v>23.42</v>
      </c>
      <c r="EP88" s="1259">
        <v>23.44</v>
      </c>
      <c r="EQ88" s="1257"/>
      <c r="ER88" s="1258"/>
      <c r="ES88" s="1258"/>
      <c r="ET88" s="1258"/>
      <c r="EU88" s="1258"/>
      <c r="EV88" s="1258"/>
      <c r="EW88" s="1258"/>
      <c r="EX88" s="1258"/>
      <c r="EY88" s="1258"/>
      <c r="EZ88" s="1259"/>
      <c r="FA88" s="1257"/>
      <c r="FB88" s="1258"/>
      <c r="FC88" s="1258"/>
      <c r="FD88" s="1258"/>
      <c r="FE88" s="1258"/>
      <c r="FF88" s="1258"/>
      <c r="FG88" s="1258"/>
      <c r="FH88" s="1258"/>
      <c r="FI88" s="1258"/>
      <c r="FJ88" s="1259"/>
      <c r="FK88" s="1258"/>
      <c r="FL88" s="1258"/>
      <c r="FM88" s="1259"/>
    </row>
    <row r="89" spans="1:169" s="1519" customFormat="1">
      <c r="A89" s="1515" t="s">
        <v>1566</v>
      </c>
      <c r="B89" s="1166">
        <v>40</v>
      </c>
      <c r="C89" s="1257"/>
      <c r="D89" s="1258">
        <v>0.26</v>
      </c>
      <c r="E89" s="1258">
        <v>0.41</v>
      </c>
      <c r="F89" s="1258">
        <v>0.59</v>
      </c>
      <c r="G89" s="1258">
        <v>0.77</v>
      </c>
      <c r="H89" s="1258">
        <v>0.98</v>
      </c>
      <c r="I89" s="1258">
        <v>1.21</v>
      </c>
      <c r="J89" s="1258">
        <v>1.46</v>
      </c>
      <c r="K89" s="1259">
        <v>1.73</v>
      </c>
      <c r="L89" s="1257">
        <v>2.0299999999999998</v>
      </c>
      <c r="M89" s="1258">
        <v>2.35</v>
      </c>
      <c r="N89" s="1258">
        <v>2.71</v>
      </c>
      <c r="O89" s="1258">
        <v>3.1</v>
      </c>
      <c r="P89" s="1258">
        <v>3.53</v>
      </c>
      <c r="Q89" s="1258">
        <v>3.89</v>
      </c>
      <c r="R89" s="1258">
        <v>4.28</v>
      </c>
      <c r="S89" s="1258">
        <v>4.68</v>
      </c>
      <c r="T89" s="1258">
        <v>5.1100000000000003</v>
      </c>
      <c r="U89" s="1259">
        <v>5.56</v>
      </c>
      <c r="V89" s="1257">
        <v>6.04</v>
      </c>
      <c r="W89" s="1258">
        <v>6.54</v>
      </c>
      <c r="X89" s="1258">
        <v>7.08</v>
      </c>
      <c r="Y89" s="1258">
        <v>7.65</v>
      </c>
      <c r="Z89" s="1258">
        <v>8.26</v>
      </c>
      <c r="AA89" s="1258">
        <v>8.9</v>
      </c>
      <c r="AB89" s="1258">
        <v>9.59</v>
      </c>
      <c r="AC89" s="1258">
        <v>10.33</v>
      </c>
      <c r="AD89" s="1258">
        <v>11.11</v>
      </c>
      <c r="AE89" s="1259">
        <v>11.93</v>
      </c>
      <c r="AF89" s="1257">
        <v>12.79</v>
      </c>
      <c r="AG89" s="1258">
        <v>13.68</v>
      </c>
      <c r="AH89" s="1258">
        <v>14.6</v>
      </c>
      <c r="AI89" s="1258">
        <v>15.55</v>
      </c>
      <c r="AJ89" s="1258">
        <v>16.510000000000002</v>
      </c>
      <c r="AK89" s="1258">
        <v>17.48</v>
      </c>
      <c r="AL89" s="1258">
        <v>18.45</v>
      </c>
      <c r="AM89" s="1258">
        <v>19.420000000000002</v>
      </c>
      <c r="AN89" s="1258">
        <v>20.36</v>
      </c>
      <c r="AO89" s="1259">
        <v>21.27</v>
      </c>
      <c r="AP89" s="1257">
        <v>22.23</v>
      </c>
      <c r="AQ89" s="1258">
        <v>23.08</v>
      </c>
      <c r="AR89" s="1258">
        <v>23.85</v>
      </c>
      <c r="AS89" s="1258">
        <v>24.51</v>
      </c>
      <c r="AT89" s="1258">
        <v>25.1</v>
      </c>
      <c r="AU89" s="1258">
        <v>25.6</v>
      </c>
      <c r="AV89" s="1258">
        <v>26.02</v>
      </c>
      <c r="AW89" s="1258">
        <v>26.38</v>
      </c>
      <c r="AX89" s="1258">
        <v>26.67</v>
      </c>
      <c r="AY89" s="1259">
        <v>26.91</v>
      </c>
      <c r="AZ89" s="1257">
        <v>27.11</v>
      </c>
      <c r="BA89" s="1258">
        <v>27.25</v>
      </c>
      <c r="BB89" s="1258">
        <v>27.37</v>
      </c>
      <c r="BC89" s="1258">
        <v>27.45</v>
      </c>
      <c r="BD89" s="1258">
        <v>27.51</v>
      </c>
      <c r="BE89" s="1258">
        <v>27.55</v>
      </c>
      <c r="BF89" s="1258">
        <v>27.58</v>
      </c>
      <c r="BG89" s="1258">
        <v>27.6</v>
      </c>
      <c r="BH89" s="1258">
        <v>27.61</v>
      </c>
      <c r="BI89" s="1259"/>
      <c r="BJ89" s="1257"/>
      <c r="BK89" s="1258"/>
      <c r="BL89" s="1258"/>
      <c r="BM89" s="1258"/>
      <c r="BN89" s="1258"/>
      <c r="BO89" s="1258"/>
      <c r="BP89" s="1258"/>
      <c r="BQ89" s="1258"/>
      <c r="BR89" s="1258"/>
      <c r="BS89" s="1259"/>
      <c r="BT89" s="1257"/>
      <c r="BU89" s="1258"/>
      <c r="BV89" s="1258"/>
      <c r="BW89" s="1258"/>
      <c r="BX89" s="1258"/>
      <c r="BY89" s="1258"/>
      <c r="BZ89" s="1258"/>
      <c r="CA89" s="1258"/>
      <c r="CB89" s="1258"/>
      <c r="CC89" s="1259"/>
      <c r="CD89" s="1258"/>
      <c r="CE89" s="1258"/>
      <c r="CF89" s="1259"/>
      <c r="CH89" s="1515" t="str">
        <f t="shared" si="1"/>
        <v>WPTPDCIF40</v>
      </c>
      <c r="CI89" s="1166">
        <v>40</v>
      </c>
      <c r="CJ89" s="1257"/>
      <c r="CK89" s="1258">
        <v>0.27</v>
      </c>
      <c r="CL89" s="1258">
        <v>0.43</v>
      </c>
      <c r="CM89" s="1258">
        <v>0.6</v>
      </c>
      <c r="CN89" s="1258">
        <v>0.8</v>
      </c>
      <c r="CO89" s="1258">
        <v>1.01</v>
      </c>
      <c r="CP89" s="1258">
        <v>1.25</v>
      </c>
      <c r="CQ89" s="1258">
        <v>1.51</v>
      </c>
      <c r="CR89" s="1259">
        <v>1.79</v>
      </c>
      <c r="CS89" s="1257">
        <v>2.1</v>
      </c>
      <c r="CT89" s="1258">
        <v>2.4300000000000002</v>
      </c>
      <c r="CU89" s="1258">
        <v>2.79</v>
      </c>
      <c r="CV89" s="1258">
        <v>3.19</v>
      </c>
      <c r="CW89" s="1258">
        <v>3.61</v>
      </c>
      <c r="CX89" s="1258">
        <v>3.95</v>
      </c>
      <c r="CY89" s="1258">
        <v>4.3099999999999996</v>
      </c>
      <c r="CZ89" s="1258">
        <v>4.67</v>
      </c>
      <c r="DA89" s="1258">
        <v>5.05</v>
      </c>
      <c r="DB89" s="1259">
        <v>5.44</v>
      </c>
      <c r="DC89" s="1257">
        <v>5.85</v>
      </c>
      <c r="DD89" s="1258">
        <v>6.27</v>
      </c>
      <c r="DE89" s="1258">
        <v>6.71</v>
      </c>
      <c r="DF89" s="1258">
        <v>7.16</v>
      </c>
      <c r="DG89" s="1258">
        <v>7.63</v>
      </c>
      <c r="DH89" s="1258">
        <v>8.1300000000000008</v>
      </c>
      <c r="DI89" s="1258">
        <v>8.64</v>
      </c>
      <c r="DJ89" s="1258">
        <v>9.18</v>
      </c>
      <c r="DK89" s="1258">
        <v>9.74</v>
      </c>
      <c r="DL89" s="1259">
        <v>10.33</v>
      </c>
      <c r="DM89" s="1257">
        <v>10.94</v>
      </c>
      <c r="DN89" s="1258">
        <v>11.58</v>
      </c>
      <c r="DO89" s="1258">
        <v>12.24</v>
      </c>
      <c r="DP89" s="1258">
        <v>12.92</v>
      </c>
      <c r="DQ89" s="1258">
        <v>13.62</v>
      </c>
      <c r="DR89" s="1258">
        <v>14.33</v>
      </c>
      <c r="DS89" s="1258">
        <v>15.06</v>
      </c>
      <c r="DT89" s="1258">
        <v>15.81</v>
      </c>
      <c r="DU89" s="1258">
        <v>16.559999999999999</v>
      </c>
      <c r="DV89" s="1259">
        <v>17.32</v>
      </c>
      <c r="DW89" s="1257">
        <v>18.2</v>
      </c>
      <c r="DX89" s="1258">
        <v>19</v>
      </c>
      <c r="DY89" s="1258">
        <v>19.739999999999998</v>
      </c>
      <c r="DZ89" s="1258">
        <v>20.41</v>
      </c>
      <c r="EA89" s="1258">
        <v>21</v>
      </c>
      <c r="EB89" s="1258">
        <v>21.53</v>
      </c>
      <c r="EC89" s="1258">
        <v>21.99</v>
      </c>
      <c r="ED89" s="1258">
        <v>22.39</v>
      </c>
      <c r="EE89" s="1258">
        <v>22.73</v>
      </c>
      <c r="EF89" s="1259">
        <v>23.01</v>
      </c>
      <c r="EG89" s="1257">
        <v>23.25</v>
      </c>
      <c r="EH89" s="1258">
        <v>23.43</v>
      </c>
      <c r="EI89" s="1258">
        <v>23.58</v>
      </c>
      <c r="EJ89" s="1258">
        <v>23.69</v>
      </c>
      <c r="EK89" s="1258">
        <v>23.77</v>
      </c>
      <c r="EL89" s="1258">
        <v>23.83</v>
      </c>
      <c r="EM89" s="1258">
        <v>23.87</v>
      </c>
      <c r="EN89" s="1258">
        <v>23.9</v>
      </c>
      <c r="EO89" s="1258">
        <v>23.91</v>
      </c>
      <c r="EP89" s="1259"/>
      <c r="EQ89" s="1257"/>
      <c r="ER89" s="1258"/>
      <c r="ES89" s="1258"/>
      <c r="ET89" s="1258"/>
      <c r="EU89" s="1258"/>
      <c r="EV89" s="1258"/>
      <c r="EW89" s="1258"/>
      <c r="EX89" s="1258"/>
      <c r="EY89" s="1258"/>
      <c r="EZ89" s="1259"/>
      <c r="FA89" s="1257"/>
      <c r="FB89" s="1258"/>
      <c r="FC89" s="1258"/>
      <c r="FD89" s="1258"/>
      <c r="FE89" s="1258"/>
      <c r="FF89" s="1258"/>
      <c r="FG89" s="1258"/>
      <c r="FH89" s="1258"/>
      <c r="FI89" s="1258"/>
      <c r="FJ89" s="1259"/>
      <c r="FK89" s="1258"/>
      <c r="FL89" s="1258"/>
      <c r="FM89" s="1259"/>
    </row>
    <row r="90" spans="1:169" s="1519" customFormat="1">
      <c r="A90" s="1515" t="s">
        <v>1567</v>
      </c>
      <c r="B90" s="1167">
        <v>41</v>
      </c>
      <c r="C90" s="1260"/>
      <c r="D90" s="1261">
        <v>0.28999999999999998</v>
      </c>
      <c r="E90" s="1261">
        <v>0.46</v>
      </c>
      <c r="F90" s="1261">
        <v>0.65</v>
      </c>
      <c r="G90" s="1261">
        <v>0.85</v>
      </c>
      <c r="H90" s="1261">
        <v>1.08</v>
      </c>
      <c r="I90" s="1261">
        <v>1.32</v>
      </c>
      <c r="J90" s="1261">
        <v>1.59</v>
      </c>
      <c r="K90" s="1262">
        <v>1.89</v>
      </c>
      <c r="L90" s="1260">
        <v>2.21</v>
      </c>
      <c r="M90" s="1261">
        <v>2.57</v>
      </c>
      <c r="N90" s="1261">
        <v>2.96</v>
      </c>
      <c r="O90" s="1261">
        <v>3.38</v>
      </c>
      <c r="P90" s="1261">
        <v>3.84</v>
      </c>
      <c r="Q90" s="1261">
        <v>4.24</v>
      </c>
      <c r="R90" s="1261">
        <v>4.6500000000000004</v>
      </c>
      <c r="S90" s="1261">
        <v>5.09</v>
      </c>
      <c r="T90" s="1261">
        <v>5.56</v>
      </c>
      <c r="U90" s="1262">
        <v>6.05</v>
      </c>
      <c r="V90" s="1260">
        <v>6.57</v>
      </c>
      <c r="W90" s="1261">
        <v>7.12</v>
      </c>
      <c r="X90" s="1261">
        <v>7.71</v>
      </c>
      <c r="Y90" s="1261">
        <v>8.34</v>
      </c>
      <c r="Z90" s="1261">
        <v>9</v>
      </c>
      <c r="AA90" s="1261">
        <v>9.7200000000000006</v>
      </c>
      <c r="AB90" s="1261">
        <v>10.47</v>
      </c>
      <c r="AC90" s="1261">
        <v>11.28</v>
      </c>
      <c r="AD90" s="1261">
        <v>12.12</v>
      </c>
      <c r="AE90" s="1262">
        <v>13.01</v>
      </c>
      <c r="AF90" s="1260">
        <v>13.94</v>
      </c>
      <c r="AG90" s="1261">
        <v>14.89</v>
      </c>
      <c r="AH90" s="1261">
        <v>15.87</v>
      </c>
      <c r="AI90" s="1261">
        <v>16.86</v>
      </c>
      <c r="AJ90" s="1261">
        <v>17.87</v>
      </c>
      <c r="AK90" s="1261">
        <v>18.87</v>
      </c>
      <c r="AL90" s="1261">
        <v>19.87</v>
      </c>
      <c r="AM90" s="1261">
        <v>20.85</v>
      </c>
      <c r="AN90" s="1261">
        <v>21.79</v>
      </c>
      <c r="AO90" s="1262">
        <v>22.78</v>
      </c>
      <c r="AP90" s="1260">
        <v>23.67</v>
      </c>
      <c r="AQ90" s="1261">
        <v>24.46</v>
      </c>
      <c r="AR90" s="1261">
        <v>25.16</v>
      </c>
      <c r="AS90" s="1261">
        <v>25.76</v>
      </c>
      <c r="AT90" s="1261">
        <v>26.28</v>
      </c>
      <c r="AU90" s="1261">
        <v>26.72</v>
      </c>
      <c r="AV90" s="1261">
        <v>27.1</v>
      </c>
      <c r="AW90" s="1261">
        <v>27.4</v>
      </c>
      <c r="AX90" s="1261">
        <v>27.65</v>
      </c>
      <c r="AY90" s="1262">
        <v>27.85</v>
      </c>
      <c r="AZ90" s="1260">
        <v>28.01</v>
      </c>
      <c r="BA90" s="1261">
        <v>28.12</v>
      </c>
      <c r="BB90" s="1261">
        <v>28.21</v>
      </c>
      <c r="BC90" s="1261">
        <v>28.27</v>
      </c>
      <c r="BD90" s="1261">
        <v>28.31</v>
      </c>
      <c r="BE90" s="1261">
        <v>28.34</v>
      </c>
      <c r="BF90" s="1261">
        <v>28.36</v>
      </c>
      <c r="BG90" s="1261">
        <v>28.37</v>
      </c>
      <c r="BH90" s="1261"/>
      <c r="BI90" s="1262"/>
      <c r="BJ90" s="1260"/>
      <c r="BK90" s="1261"/>
      <c r="BL90" s="1261"/>
      <c r="BM90" s="1261"/>
      <c r="BN90" s="1261"/>
      <c r="BO90" s="1261"/>
      <c r="BP90" s="1261"/>
      <c r="BQ90" s="1261"/>
      <c r="BR90" s="1261"/>
      <c r="BS90" s="1262"/>
      <c r="BT90" s="1260"/>
      <c r="BU90" s="1261"/>
      <c r="BV90" s="1261"/>
      <c r="BW90" s="1261"/>
      <c r="BX90" s="1261"/>
      <c r="BY90" s="1261"/>
      <c r="BZ90" s="1261"/>
      <c r="CA90" s="1261"/>
      <c r="CB90" s="1261"/>
      <c r="CC90" s="1262"/>
      <c r="CD90" s="1261"/>
      <c r="CE90" s="1261"/>
      <c r="CF90" s="1262"/>
      <c r="CH90" s="1515" t="str">
        <f t="shared" si="1"/>
        <v>WPTPDCIF41</v>
      </c>
      <c r="CI90" s="1167">
        <v>41</v>
      </c>
      <c r="CJ90" s="1260"/>
      <c r="CK90" s="1261">
        <v>0.3</v>
      </c>
      <c r="CL90" s="1261">
        <v>0.47</v>
      </c>
      <c r="CM90" s="1261">
        <v>0.66</v>
      </c>
      <c r="CN90" s="1261">
        <v>0.87</v>
      </c>
      <c r="CO90" s="1261">
        <v>1.1000000000000001</v>
      </c>
      <c r="CP90" s="1261">
        <v>1.36</v>
      </c>
      <c r="CQ90" s="1261">
        <v>1.64</v>
      </c>
      <c r="CR90" s="1262">
        <v>1.94</v>
      </c>
      <c r="CS90" s="1260">
        <v>2.27</v>
      </c>
      <c r="CT90" s="1261">
        <v>2.62</v>
      </c>
      <c r="CU90" s="1261">
        <v>3.01</v>
      </c>
      <c r="CV90" s="1261">
        <v>3.42</v>
      </c>
      <c r="CW90" s="1261">
        <v>3.87</v>
      </c>
      <c r="CX90" s="1261">
        <v>4.2300000000000004</v>
      </c>
      <c r="CY90" s="1261">
        <v>4.6100000000000003</v>
      </c>
      <c r="CZ90" s="1261">
        <v>5</v>
      </c>
      <c r="DA90" s="1261">
        <v>5.4</v>
      </c>
      <c r="DB90" s="1262">
        <v>5.81</v>
      </c>
      <c r="DC90" s="1260">
        <v>6.24</v>
      </c>
      <c r="DD90" s="1261">
        <v>6.69</v>
      </c>
      <c r="DE90" s="1261">
        <v>7.15</v>
      </c>
      <c r="DF90" s="1261">
        <v>7.64</v>
      </c>
      <c r="DG90" s="1261">
        <v>8.14</v>
      </c>
      <c r="DH90" s="1261">
        <v>8.67</v>
      </c>
      <c r="DI90" s="1261">
        <v>9.2200000000000006</v>
      </c>
      <c r="DJ90" s="1261">
        <v>9.7899999999999991</v>
      </c>
      <c r="DK90" s="1261">
        <v>10.4</v>
      </c>
      <c r="DL90" s="1262">
        <v>11.03</v>
      </c>
      <c r="DM90" s="1260">
        <v>11.68</v>
      </c>
      <c r="DN90" s="1261">
        <v>12.35</v>
      </c>
      <c r="DO90" s="1261">
        <v>13.05</v>
      </c>
      <c r="DP90" s="1261">
        <v>13.77</v>
      </c>
      <c r="DQ90" s="1261">
        <v>14.5</v>
      </c>
      <c r="DR90" s="1261">
        <v>15.26</v>
      </c>
      <c r="DS90" s="1261">
        <v>16.02</v>
      </c>
      <c r="DT90" s="1261">
        <v>16.79</v>
      </c>
      <c r="DU90" s="1261">
        <v>17.57</v>
      </c>
      <c r="DV90" s="1262">
        <v>18.48</v>
      </c>
      <c r="DW90" s="1260">
        <v>19.309999999999999</v>
      </c>
      <c r="DX90" s="1261">
        <v>20.079999999999998</v>
      </c>
      <c r="DY90" s="1261">
        <v>20.76</v>
      </c>
      <c r="DZ90" s="1261">
        <v>21.38</v>
      </c>
      <c r="EA90" s="1261">
        <v>21.92</v>
      </c>
      <c r="EB90" s="1261">
        <v>22.4</v>
      </c>
      <c r="EC90" s="1261">
        <v>22.81</v>
      </c>
      <c r="ED90" s="1261">
        <v>23.16</v>
      </c>
      <c r="EE90" s="1261">
        <v>23.45</v>
      </c>
      <c r="EF90" s="1262">
        <v>23.69</v>
      </c>
      <c r="EG90" s="1260">
        <v>23.89</v>
      </c>
      <c r="EH90" s="1261">
        <v>24.04</v>
      </c>
      <c r="EI90" s="1261">
        <v>24.16</v>
      </c>
      <c r="EJ90" s="1261">
        <v>24.24</v>
      </c>
      <c r="EK90" s="1261">
        <v>24.3</v>
      </c>
      <c r="EL90" s="1261">
        <v>24.34</v>
      </c>
      <c r="EM90" s="1261">
        <v>24.37</v>
      </c>
      <c r="EN90" s="1261">
        <v>24.39</v>
      </c>
      <c r="EO90" s="1261"/>
      <c r="EP90" s="1262"/>
      <c r="EQ90" s="1260"/>
      <c r="ER90" s="1261"/>
      <c r="ES90" s="1261"/>
      <c r="ET90" s="1261"/>
      <c r="EU90" s="1261"/>
      <c r="EV90" s="1261"/>
      <c r="EW90" s="1261"/>
      <c r="EX90" s="1261"/>
      <c r="EY90" s="1261"/>
      <c r="EZ90" s="1262"/>
      <c r="FA90" s="1260"/>
      <c r="FB90" s="1261"/>
      <c r="FC90" s="1261"/>
      <c r="FD90" s="1261"/>
      <c r="FE90" s="1261"/>
      <c r="FF90" s="1261"/>
      <c r="FG90" s="1261"/>
      <c r="FH90" s="1261"/>
      <c r="FI90" s="1261"/>
      <c r="FJ90" s="1262"/>
      <c r="FK90" s="1261"/>
      <c r="FL90" s="1261"/>
      <c r="FM90" s="1262"/>
    </row>
    <row r="91" spans="1:169" s="1519" customFormat="1">
      <c r="A91" s="1515" t="s">
        <v>1568</v>
      </c>
      <c r="B91" s="1166">
        <v>42</v>
      </c>
      <c r="C91" s="1257"/>
      <c r="D91" s="1258">
        <v>0.32</v>
      </c>
      <c r="E91" s="1258">
        <v>0.5</v>
      </c>
      <c r="F91" s="1258">
        <v>0.7</v>
      </c>
      <c r="G91" s="1258">
        <v>0.93</v>
      </c>
      <c r="H91" s="1258">
        <v>1.17</v>
      </c>
      <c r="I91" s="1258">
        <v>1.44</v>
      </c>
      <c r="J91" s="1258">
        <v>1.73</v>
      </c>
      <c r="K91" s="1259">
        <v>2.0499999999999998</v>
      </c>
      <c r="L91" s="1257">
        <v>2.4</v>
      </c>
      <c r="M91" s="1258">
        <v>2.79</v>
      </c>
      <c r="N91" s="1258">
        <v>3.21</v>
      </c>
      <c r="O91" s="1258">
        <v>3.67</v>
      </c>
      <c r="P91" s="1258">
        <v>4.17</v>
      </c>
      <c r="Q91" s="1258">
        <v>4.5999999999999996</v>
      </c>
      <c r="R91" s="1258">
        <v>5.05</v>
      </c>
      <c r="S91" s="1258">
        <v>5.53</v>
      </c>
      <c r="T91" s="1258">
        <v>6.03</v>
      </c>
      <c r="U91" s="1259">
        <v>6.57</v>
      </c>
      <c r="V91" s="1257">
        <v>7.14</v>
      </c>
      <c r="W91" s="1258">
        <v>7.74</v>
      </c>
      <c r="X91" s="1258">
        <v>8.39</v>
      </c>
      <c r="Y91" s="1258">
        <v>9.08</v>
      </c>
      <c r="Z91" s="1258">
        <v>9.81</v>
      </c>
      <c r="AA91" s="1258">
        <v>10.6</v>
      </c>
      <c r="AB91" s="1258">
        <v>11.42</v>
      </c>
      <c r="AC91" s="1258">
        <v>12.3</v>
      </c>
      <c r="AD91" s="1258">
        <v>13.22</v>
      </c>
      <c r="AE91" s="1259">
        <v>14.17</v>
      </c>
      <c r="AF91" s="1257">
        <v>15.16</v>
      </c>
      <c r="AG91" s="1258">
        <v>16.170000000000002</v>
      </c>
      <c r="AH91" s="1258">
        <v>17.2</v>
      </c>
      <c r="AI91" s="1258">
        <v>18.239999999999998</v>
      </c>
      <c r="AJ91" s="1258">
        <v>19.28</v>
      </c>
      <c r="AK91" s="1258">
        <v>20.309999999999999</v>
      </c>
      <c r="AL91" s="1258">
        <v>21.33</v>
      </c>
      <c r="AM91" s="1258">
        <v>22.31</v>
      </c>
      <c r="AN91" s="1258">
        <v>23.34</v>
      </c>
      <c r="AO91" s="1259">
        <v>24.26</v>
      </c>
      <c r="AP91" s="1257">
        <v>25.08</v>
      </c>
      <c r="AQ91" s="1258">
        <v>25.81</v>
      </c>
      <c r="AR91" s="1258">
        <v>26.43</v>
      </c>
      <c r="AS91" s="1258">
        <v>26.97</v>
      </c>
      <c r="AT91" s="1258">
        <v>27.43</v>
      </c>
      <c r="AU91" s="1258">
        <v>27.82</v>
      </c>
      <c r="AV91" s="1258">
        <v>28.14</v>
      </c>
      <c r="AW91" s="1258">
        <v>28.4</v>
      </c>
      <c r="AX91" s="1258">
        <v>28.61</v>
      </c>
      <c r="AY91" s="1259">
        <v>28.77</v>
      </c>
      <c r="AZ91" s="1257">
        <v>28.89</v>
      </c>
      <c r="BA91" s="1258">
        <v>28.98</v>
      </c>
      <c r="BB91" s="1258">
        <v>29.04</v>
      </c>
      <c r="BC91" s="1258">
        <v>29.09</v>
      </c>
      <c r="BD91" s="1258">
        <v>29.12</v>
      </c>
      <c r="BE91" s="1258">
        <v>29.14</v>
      </c>
      <c r="BF91" s="1258">
        <v>29.15</v>
      </c>
      <c r="BG91" s="1258"/>
      <c r="BH91" s="1258"/>
      <c r="BI91" s="1259"/>
      <c r="BJ91" s="1257"/>
      <c r="BK91" s="1258"/>
      <c r="BL91" s="1258"/>
      <c r="BM91" s="1258"/>
      <c r="BN91" s="1258"/>
      <c r="BO91" s="1258"/>
      <c r="BP91" s="1258"/>
      <c r="BQ91" s="1258"/>
      <c r="BR91" s="1258"/>
      <c r="BS91" s="1259"/>
      <c r="BT91" s="1257"/>
      <c r="BU91" s="1258"/>
      <c r="BV91" s="1258"/>
      <c r="BW91" s="1258"/>
      <c r="BX91" s="1258"/>
      <c r="BY91" s="1258"/>
      <c r="BZ91" s="1258"/>
      <c r="CA91" s="1258"/>
      <c r="CB91" s="1258"/>
      <c r="CC91" s="1259"/>
      <c r="CD91" s="1258"/>
      <c r="CE91" s="1258"/>
      <c r="CF91" s="1259"/>
      <c r="CH91" s="1515" t="str">
        <f t="shared" si="1"/>
        <v>WPTPDCIF42</v>
      </c>
      <c r="CI91" s="1166">
        <v>42</v>
      </c>
      <c r="CJ91" s="1257"/>
      <c r="CK91" s="1258">
        <v>0.32</v>
      </c>
      <c r="CL91" s="1258">
        <v>0.51</v>
      </c>
      <c r="CM91" s="1258">
        <v>0.71</v>
      </c>
      <c r="CN91" s="1258">
        <v>0.94</v>
      </c>
      <c r="CO91" s="1258">
        <v>1.19</v>
      </c>
      <c r="CP91" s="1258">
        <v>1.47</v>
      </c>
      <c r="CQ91" s="1258">
        <v>1.76</v>
      </c>
      <c r="CR91" s="1259">
        <v>2.09</v>
      </c>
      <c r="CS91" s="1257">
        <v>2.44</v>
      </c>
      <c r="CT91" s="1258">
        <v>2.81</v>
      </c>
      <c r="CU91" s="1258">
        <v>3.22</v>
      </c>
      <c r="CV91" s="1258">
        <v>3.66</v>
      </c>
      <c r="CW91" s="1258">
        <v>4.1399999999999997</v>
      </c>
      <c r="CX91" s="1258">
        <v>4.5199999999999996</v>
      </c>
      <c r="CY91" s="1258">
        <v>4.92</v>
      </c>
      <c r="CZ91" s="1258">
        <v>5.33</v>
      </c>
      <c r="DA91" s="1258">
        <v>5.75</v>
      </c>
      <c r="DB91" s="1259">
        <v>6.19</v>
      </c>
      <c r="DC91" s="1257">
        <v>6.65</v>
      </c>
      <c r="DD91" s="1258">
        <v>7.12</v>
      </c>
      <c r="DE91" s="1258">
        <v>7.62</v>
      </c>
      <c r="DF91" s="1258">
        <v>8.1300000000000008</v>
      </c>
      <c r="DG91" s="1258">
        <v>8.67</v>
      </c>
      <c r="DH91" s="1258">
        <v>9.24</v>
      </c>
      <c r="DI91" s="1258">
        <v>9.83</v>
      </c>
      <c r="DJ91" s="1258">
        <v>10.44</v>
      </c>
      <c r="DK91" s="1258">
        <v>11.09</v>
      </c>
      <c r="DL91" s="1259">
        <v>11.76</v>
      </c>
      <c r="DM91" s="1257">
        <v>12.45</v>
      </c>
      <c r="DN91" s="1258">
        <v>13.17</v>
      </c>
      <c r="DO91" s="1258">
        <v>13.9</v>
      </c>
      <c r="DP91" s="1258">
        <v>14.66</v>
      </c>
      <c r="DQ91" s="1258">
        <v>15.43</v>
      </c>
      <c r="DR91" s="1258">
        <v>16.22</v>
      </c>
      <c r="DS91" s="1258">
        <v>17.010000000000002</v>
      </c>
      <c r="DT91" s="1258">
        <v>17.809999999999999</v>
      </c>
      <c r="DU91" s="1258">
        <v>18.75</v>
      </c>
      <c r="DV91" s="1259">
        <v>19.61</v>
      </c>
      <c r="DW91" s="1257">
        <v>20.399999999999999</v>
      </c>
      <c r="DX91" s="1258">
        <v>21.11</v>
      </c>
      <c r="DY91" s="1258">
        <v>21.74</v>
      </c>
      <c r="DZ91" s="1258">
        <v>22.31</v>
      </c>
      <c r="EA91" s="1258">
        <v>22.8</v>
      </c>
      <c r="EB91" s="1258">
        <v>23.22</v>
      </c>
      <c r="EC91" s="1258">
        <v>23.59</v>
      </c>
      <c r="ED91" s="1258">
        <v>23.89</v>
      </c>
      <c r="EE91" s="1258">
        <v>24.14</v>
      </c>
      <c r="EF91" s="1259">
        <v>24.34</v>
      </c>
      <c r="EG91" s="1257">
        <v>24.49</v>
      </c>
      <c r="EH91" s="1258">
        <v>24.61</v>
      </c>
      <c r="EI91" s="1258">
        <v>24.7</v>
      </c>
      <c r="EJ91" s="1258">
        <v>24.76</v>
      </c>
      <c r="EK91" s="1258">
        <v>24.81</v>
      </c>
      <c r="EL91" s="1258">
        <v>24.83</v>
      </c>
      <c r="EM91" s="1258">
        <v>24.85</v>
      </c>
      <c r="EN91" s="1258"/>
      <c r="EO91" s="1258"/>
      <c r="EP91" s="1259"/>
      <c r="EQ91" s="1257"/>
      <c r="ER91" s="1258"/>
      <c r="ES91" s="1258"/>
      <c r="ET91" s="1258"/>
      <c r="EU91" s="1258"/>
      <c r="EV91" s="1258"/>
      <c r="EW91" s="1258"/>
      <c r="EX91" s="1258"/>
      <c r="EY91" s="1258"/>
      <c r="EZ91" s="1259"/>
      <c r="FA91" s="1257"/>
      <c r="FB91" s="1258"/>
      <c r="FC91" s="1258"/>
      <c r="FD91" s="1258"/>
      <c r="FE91" s="1258"/>
      <c r="FF91" s="1258"/>
      <c r="FG91" s="1258"/>
      <c r="FH91" s="1258"/>
      <c r="FI91" s="1258"/>
      <c r="FJ91" s="1259"/>
      <c r="FK91" s="1258"/>
      <c r="FL91" s="1258"/>
      <c r="FM91" s="1259"/>
    </row>
    <row r="92" spans="1:169" s="1519" customFormat="1">
      <c r="A92" s="1515" t="s">
        <v>1569</v>
      </c>
      <c r="B92" s="1166">
        <v>43</v>
      </c>
      <c r="C92" s="1257"/>
      <c r="D92" s="1258">
        <v>0.34</v>
      </c>
      <c r="E92" s="1258">
        <v>0.54</v>
      </c>
      <c r="F92" s="1258">
        <v>0.76</v>
      </c>
      <c r="G92" s="1258">
        <v>1</v>
      </c>
      <c r="H92" s="1258">
        <v>1.27</v>
      </c>
      <c r="I92" s="1258">
        <v>1.56</v>
      </c>
      <c r="J92" s="1258">
        <v>1.87</v>
      </c>
      <c r="K92" s="1259">
        <v>2.2200000000000002</v>
      </c>
      <c r="L92" s="1257">
        <v>2.6</v>
      </c>
      <c r="M92" s="1258">
        <v>3.02</v>
      </c>
      <c r="N92" s="1258">
        <v>3.47</v>
      </c>
      <c r="O92" s="1258">
        <v>3.97</v>
      </c>
      <c r="P92" s="1258">
        <v>4.5199999999999996</v>
      </c>
      <c r="Q92" s="1258">
        <v>4.9800000000000004</v>
      </c>
      <c r="R92" s="1258">
        <v>5.47</v>
      </c>
      <c r="S92" s="1258">
        <v>5.99</v>
      </c>
      <c r="T92" s="1258">
        <v>6.55</v>
      </c>
      <c r="U92" s="1259">
        <v>7.13</v>
      </c>
      <c r="V92" s="1257">
        <v>7.76</v>
      </c>
      <c r="W92" s="1258">
        <v>8.42</v>
      </c>
      <c r="X92" s="1258">
        <v>9.14</v>
      </c>
      <c r="Y92" s="1258">
        <v>9.89</v>
      </c>
      <c r="Z92" s="1258">
        <v>10.7</v>
      </c>
      <c r="AA92" s="1258">
        <v>11.56</v>
      </c>
      <c r="AB92" s="1258">
        <v>12.46</v>
      </c>
      <c r="AC92" s="1258">
        <v>13.41</v>
      </c>
      <c r="AD92" s="1258">
        <v>14.4</v>
      </c>
      <c r="AE92" s="1259">
        <v>15.42</v>
      </c>
      <c r="AF92" s="1257">
        <v>16.47</v>
      </c>
      <c r="AG92" s="1258">
        <v>17.53</v>
      </c>
      <c r="AH92" s="1258">
        <v>18.61</v>
      </c>
      <c r="AI92" s="1258">
        <v>19.690000000000001</v>
      </c>
      <c r="AJ92" s="1258">
        <v>20.76</v>
      </c>
      <c r="AK92" s="1258">
        <v>21.81</v>
      </c>
      <c r="AL92" s="1258">
        <v>22.82</v>
      </c>
      <c r="AM92" s="1258">
        <v>23.9</v>
      </c>
      <c r="AN92" s="1258">
        <v>24.86</v>
      </c>
      <c r="AO92" s="1259">
        <v>25.71</v>
      </c>
      <c r="AP92" s="1257">
        <v>26.46</v>
      </c>
      <c r="AQ92" s="1258">
        <v>27.12</v>
      </c>
      <c r="AR92" s="1258">
        <v>27.68</v>
      </c>
      <c r="AS92" s="1258">
        <v>28.16</v>
      </c>
      <c r="AT92" s="1258">
        <v>28.56</v>
      </c>
      <c r="AU92" s="1258">
        <v>28.89</v>
      </c>
      <c r="AV92" s="1258">
        <v>29.16</v>
      </c>
      <c r="AW92" s="1258">
        <v>29.38</v>
      </c>
      <c r="AX92" s="1258">
        <v>29.54</v>
      </c>
      <c r="AY92" s="1259">
        <v>29.67</v>
      </c>
      <c r="AZ92" s="1257">
        <v>29.76</v>
      </c>
      <c r="BA92" s="1258">
        <v>29.83</v>
      </c>
      <c r="BB92" s="1258">
        <v>29.88</v>
      </c>
      <c r="BC92" s="1258">
        <v>29.91</v>
      </c>
      <c r="BD92" s="1258">
        <v>29.93</v>
      </c>
      <c r="BE92" s="1258">
        <v>29.94</v>
      </c>
      <c r="BF92" s="1258"/>
      <c r="BG92" s="1258"/>
      <c r="BH92" s="1258"/>
      <c r="BI92" s="1259"/>
      <c r="BJ92" s="1257"/>
      <c r="BK92" s="1258"/>
      <c r="BL92" s="1258"/>
      <c r="BM92" s="1258"/>
      <c r="BN92" s="1258"/>
      <c r="BO92" s="1258"/>
      <c r="BP92" s="1258"/>
      <c r="BQ92" s="1258"/>
      <c r="BR92" s="1258"/>
      <c r="BS92" s="1259"/>
      <c r="BT92" s="1257"/>
      <c r="BU92" s="1258"/>
      <c r="BV92" s="1258"/>
      <c r="BW92" s="1258"/>
      <c r="BX92" s="1258"/>
      <c r="BY92" s="1258"/>
      <c r="BZ92" s="1258"/>
      <c r="CA92" s="1258"/>
      <c r="CB92" s="1258"/>
      <c r="CC92" s="1259"/>
      <c r="CD92" s="1258"/>
      <c r="CE92" s="1258"/>
      <c r="CF92" s="1259"/>
      <c r="CH92" s="1515" t="str">
        <f t="shared" si="1"/>
        <v>WPTPDCIF43</v>
      </c>
      <c r="CI92" s="1166">
        <v>43</v>
      </c>
      <c r="CJ92" s="1257"/>
      <c r="CK92" s="1258">
        <v>0.35</v>
      </c>
      <c r="CL92" s="1258">
        <v>0.55000000000000004</v>
      </c>
      <c r="CM92" s="1258">
        <v>0.77</v>
      </c>
      <c r="CN92" s="1258">
        <v>1.02</v>
      </c>
      <c r="CO92" s="1258">
        <v>1.29</v>
      </c>
      <c r="CP92" s="1258">
        <v>1.58</v>
      </c>
      <c r="CQ92" s="1258">
        <v>1.89</v>
      </c>
      <c r="CR92" s="1259">
        <v>2.23</v>
      </c>
      <c r="CS92" s="1257">
        <v>2.6</v>
      </c>
      <c r="CT92" s="1258">
        <v>3.01</v>
      </c>
      <c r="CU92" s="1258">
        <v>3.44</v>
      </c>
      <c r="CV92" s="1258">
        <v>3.9</v>
      </c>
      <c r="CW92" s="1258">
        <v>4.41</v>
      </c>
      <c r="CX92" s="1258">
        <v>4.8099999999999996</v>
      </c>
      <c r="CY92" s="1258">
        <v>5.23</v>
      </c>
      <c r="CZ92" s="1258">
        <v>5.66</v>
      </c>
      <c r="DA92" s="1258">
        <v>6.11</v>
      </c>
      <c r="DB92" s="1259">
        <v>6.58</v>
      </c>
      <c r="DC92" s="1257">
        <v>7.07</v>
      </c>
      <c r="DD92" s="1258">
        <v>7.57</v>
      </c>
      <c r="DE92" s="1258">
        <v>8.1</v>
      </c>
      <c r="DF92" s="1258">
        <v>8.65</v>
      </c>
      <c r="DG92" s="1258">
        <v>9.23</v>
      </c>
      <c r="DH92" s="1258">
        <v>9.83</v>
      </c>
      <c r="DI92" s="1258">
        <v>10.47</v>
      </c>
      <c r="DJ92" s="1258">
        <v>11.13</v>
      </c>
      <c r="DK92" s="1258">
        <v>11.81</v>
      </c>
      <c r="DL92" s="1259">
        <v>12.52</v>
      </c>
      <c r="DM92" s="1257">
        <v>13.26</v>
      </c>
      <c r="DN92" s="1258">
        <v>14.01</v>
      </c>
      <c r="DO92" s="1258">
        <v>14.79</v>
      </c>
      <c r="DP92" s="1258">
        <v>15.59</v>
      </c>
      <c r="DQ92" s="1258">
        <v>16.39</v>
      </c>
      <c r="DR92" s="1258">
        <v>17.21</v>
      </c>
      <c r="DS92" s="1258">
        <v>18.03</v>
      </c>
      <c r="DT92" s="1258">
        <v>19</v>
      </c>
      <c r="DU92" s="1258">
        <v>19.899999999999999</v>
      </c>
      <c r="DV92" s="1259">
        <v>20.71</v>
      </c>
      <c r="DW92" s="1257">
        <v>21.44</v>
      </c>
      <c r="DX92" s="1258">
        <v>22.1</v>
      </c>
      <c r="DY92" s="1258">
        <v>22.68</v>
      </c>
      <c r="DZ92" s="1258">
        <v>23.19</v>
      </c>
      <c r="EA92" s="1258">
        <v>23.63</v>
      </c>
      <c r="EB92" s="1258">
        <v>24</v>
      </c>
      <c r="EC92" s="1258">
        <v>24.32</v>
      </c>
      <c r="ED92" s="1258">
        <v>24.57</v>
      </c>
      <c r="EE92" s="1258">
        <v>24.78</v>
      </c>
      <c r="EF92" s="1259">
        <v>24.94</v>
      </c>
      <c r="EG92" s="1257">
        <v>25.07</v>
      </c>
      <c r="EH92" s="1258">
        <v>25.16</v>
      </c>
      <c r="EI92" s="1258">
        <v>25.22</v>
      </c>
      <c r="EJ92" s="1258">
        <v>25.26</v>
      </c>
      <c r="EK92" s="1258">
        <v>25.29</v>
      </c>
      <c r="EL92" s="1258">
        <v>25.31</v>
      </c>
      <c r="EM92" s="1258"/>
      <c r="EN92" s="1258"/>
      <c r="EO92" s="1258"/>
      <c r="EP92" s="1259"/>
      <c r="EQ92" s="1257"/>
      <c r="ER92" s="1258"/>
      <c r="ES92" s="1258"/>
      <c r="ET92" s="1258"/>
      <c r="EU92" s="1258"/>
      <c r="EV92" s="1258"/>
      <c r="EW92" s="1258"/>
      <c r="EX92" s="1258"/>
      <c r="EY92" s="1258"/>
      <c r="EZ92" s="1259"/>
      <c r="FA92" s="1257"/>
      <c r="FB92" s="1258"/>
      <c r="FC92" s="1258"/>
      <c r="FD92" s="1258"/>
      <c r="FE92" s="1258"/>
      <c r="FF92" s="1258"/>
      <c r="FG92" s="1258"/>
      <c r="FH92" s="1258"/>
      <c r="FI92" s="1258"/>
      <c r="FJ92" s="1259"/>
      <c r="FK92" s="1258"/>
      <c r="FL92" s="1258"/>
      <c r="FM92" s="1259"/>
    </row>
    <row r="93" spans="1:169" s="1519" customFormat="1">
      <c r="A93" s="1515" t="s">
        <v>1570</v>
      </c>
      <c r="B93" s="1166">
        <v>44</v>
      </c>
      <c r="C93" s="1257"/>
      <c r="D93" s="1258">
        <v>0.37</v>
      </c>
      <c r="E93" s="1258">
        <v>0.59</v>
      </c>
      <c r="F93" s="1258">
        <v>0.83</v>
      </c>
      <c r="G93" s="1258">
        <v>1.0900000000000001</v>
      </c>
      <c r="H93" s="1258">
        <v>1.37</v>
      </c>
      <c r="I93" s="1258">
        <v>1.69</v>
      </c>
      <c r="J93" s="1258">
        <v>2.0299999999999998</v>
      </c>
      <c r="K93" s="1259">
        <v>2.41</v>
      </c>
      <c r="L93" s="1257">
        <v>2.82</v>
      </c>
      <c r="M93" s="1258">
        <v>3.27</v>
      </c>
      <c r="N93" s="1258">
        <v>3.76</v>
      </c>
      <c r="O93" s="1258">
        <v>4.3</v>
      </c>
      <c r="P93" s="1258">
        <v>4.9000000000000004</v>
      </c>
      <c r="Q93" s="1258">
        <v>5.4</v>
      </c>
      <c r="R93" s="1258">
        <v>5.94</v>
      </c>
      <c r="S93" s="1258">
        <v>6.51</v>
      </c>
      <c r="T93" s="1258">
        <v>7.11</v>
      </c>
      <c r="U93" s="1259">
        <v>7.76</v>
      </c>
      <c r="V93" s="1257">
        <v>8.44</v>
      </c>
      <c r="W93" s="1258">
        <v>9.18</v>
      </c>
      <c r="X93" s="1258">
        <v>9.9600000000000009</v>
      </c>
      <c r="Y93" s="1258">
        <v>10.8</v>
      </c>
      <c r="Z93" s="1258">
        <v>11.68</v>
      </c>
      <c r="AA93" s="1258">
        <v>12.62</v>
      </c>
      <c r="AB93" s="1258">
        <v>13.6</v>
      </c>
      <c r="AC93" s="1258">
        <v>14.62</v>
      </c>
      <c r="AD93" s="1258">
        <v>15.68</v>
      </c>
      <c r="AE93" s="1259">
        <v>16.760000000000002</v>
      </c>
      <c r="AF93" s="1257">
        <v>17.87</v>
      </c>
      <c r="AG93" s="1258">
        <v>18.98</v>
      </c>
      <c r="AH93" s="1258">
        <v>20.100000000000001</v>
      </c>
      <c r="AI93" s="1258">
        <v>21.21</v>
      </c>
      <c r="AJ93" s="1258">
        <v>22.3</v>
      </c>
      <c r="AK93" s="1258">
        <v>23.35</v>
      </c>
      <c r="AL93" s="1258">
        <v>24.47</v>
      </c>
      <c r="AM93" s="1258">
        <v>25.47</v>
      </c>
      <c r="AN93" s="1258">
        <v>26.36</v>
      </c>
      <c r="AO93" s="1259">
        <v>27.14</v>
      </c>
      <c r="AP93" s="1257">
        <v>27.82</v>
      </c>
      <c r="AQ93" s="1258">
        <v>28.41</v>
      </c>
      <c r="AR93" s="1258">
        <v>28.91</v>
      </c>
      <c r="AS93" s="1258">
        <v>29.32</v>
      </c>
      <c r="AT93" s="1258">
        <v>29.67</v>
      </c>
      <c r="AU93" s="1258">
        <v>29.95</v>
      </c>
      <c r="AV93" s="1258">
        <v>30.17</v>
      </c>
      <c r="AW93" s="1258">
        <v>30.35</v>
      </c>
      <c r="AX93" s="1258">
        <v>30.48</v>
      </c>
      <c r="AY93" s="1259">
        <v>30.58</v>
      </c>
      <c r="AZ93" s="1257">
        <v>30.65</v>
      </c>
      <c r="BA93" s="1258">
        <v>30.7</v>
      </c>
      <c r="BB93" s="1258">
        <v>30.73</v>
      </c>
      <c r="BC93" s="1258">
        <v>30.75</v>
      </c>
      <c r="BD93" s="1258">
        <v>30.76</v>
      </c>
      <c r="BE93" s="1258"/>
      <c r="BF93" s="1258"/>
      <c r="BG93" s="1258"/>
      <c r="BH93" s="1258"/>
      <c r="BI93" s="1259"/>
      <c r="BJ93" s="1257"/>
      <c r="BK93" s="1258"/>
      <c r="BL93" s="1258"/>
      <c r="BM93" s="1258"/>
      <c r="BN93" s="1258"/>
      <c r="BO93" s="1258"/>
      <c r="BP93" s="1258"/>
      <c r="BQ93" s="1258"/>
      <c r="BR93" s="1258"/>
      <c r="BS93" s="1259"/>
      <c r="BT93" s="1257"/>
      <c r="BU93" s="1258"/>
      <c r="BV93" s="1258"/>
      <c r="BW93" s="1258"/>
      <c r="BX93" s="1258"/>
      <c r="BY93" s="1258"/>
      <c r="BZ93" s="1258"/>
      <c r="CA93" s="1258"/>
      <c r="CB93" s="1258"/>
      <c r="CC93" s="1259"/>
      <c r="CD93" s="1258"/>
      <c r="CE93" s="1258"/>
      <c r="CF93" s="1259"/>
      <c r="CH93" s="1515" t="str">
        <f t="shared" si="1"/>
        <v>WPTPDCIF44</v>
      </c>
      <c r="CI93" s="1166">
        <v>44</v>
      </c>
      <c r="CJ93" s="1257"/>
      <c r="CK93" s="1258">
        <v>0.38</v>
      </c>
      <c r="CL93" s="1258">
        <v>0.59</v>
      </c>
      <c r="CM93" s="1258">
        <v>0.83</v>
      </c>
      <c r="CN93" s="1258">
        <v>1.1000000000000001</v>
      </c>
      <c r="CO93" s="1258">
        <v>1.38</v>
      </c>
      <c r="CP93" s="1258">
        <v>1.69</v>
      </c>
      <c r="CQ93" s="1258">
        <v>2.02</v>
      </c>
      <c r="CR93" s="1259">
        <v>2.39</v>
      </c>
      <c r="CS93" s="1257">
        <v>2.78</v>
      </c>
      <c r="CT93" s="1258">
        <v>3.2</v>
      </c>
      <c r="CU93" s="1258">
        <v>3.66</v>
      </c>
      <c r="CV93" s="1258">
        <v>4.1500000000000004</v>
      </c>
      <c r="CW93" s="1258">
        <v>4.6900000000000004</v>
      </c>
      <c r="CX93" s="1258">
        <v>5.1100000000000003</v>
      </c>
      <c r="CY93" s="1258">
        <v>5.56</v>
      </c>
      <c r="CZ93" s="1258">
        <v>6.01</v>
      </c>
      <c r="DA93" s="1258">
        <v>6.49</v>
      </c>
      <c r="DB93" s="1259">
        <v>6.99</v>
      </c>
      <c r="DC93" s="1257">
        <v>7.5</v>
      </c>
      <c r="DD93" s="1258">
        <v>8.0399999999999991</v>
      </c>
      <c r="DE93" s="1258">
        <v>8.61</v>
      </c>
      <c r="DF93" s="1258">
        <v>9.1999999999999993</v>
      </c>
      <c r="DG93" s="1258">
        <v>9.82</v>
      </c>
      <c r="DH93" s="1258">
        <v>10.47</v>
      </c>
      <c r="DI93" s="1258">
        <v>11.15</v>
      </c>
      <c r="DJ93" s="1258">
        <v>11.85</v>
      </c>
      <c r="DK93" s="1258">
        <v>12.58</v>
      </c>
      <c r="DL93" s="1259">
        <v>13.33</v>
      </c>
      <c r="DM93" s="1257">
        <v>14.11</v>
      </c>
      <c r="DN93" s="1258">
        <v>14.91</v>
      </c>
      <c r="DO93" s="1258">
        <v>15.73</v>
      </c>
      <c r="DP93" s="1258">
        <v>16.559999999999999</v>
      </c>
      <c r="DQ93" s="1258">
        <v>17.399999999999999</v>
      </c>
      <c r="DR93" s="1258">
        <v>18.25</v>
      </c>
      <c r="DS93" s="1258">
        <v>19.25</v>
      </c>
      <c r="DT93" s="1258">
        <v>20.170000000000002</v>
      </c>
      <c r="DU93" s="1258">
        <v>21.01</v>
      </c>
      <c r="DV93" s="1259">
        <v>21.77</v>
      </c>
      <c r="DW93" s="1257">
        <v>22.45</v>
      </c>
      <c r="DX93" s="1258">
        <v>23.05</v>
      </c>
      <c r="DY93" s="1258">
        <v>23.58</v>
      </c>
      <c r="DZ93" s="1258">
        <v>24.03</v>
      </c>
      <c r="EA93" s="1258">
        <v>24.42</v>
      </c>
      <c r="EB93" s="1258">
        <v>24.74</v>
      </c>
      <c r="EC93" s="1258">
        <v>25.01</v>
      </c>
      <c r="ED93" s="1258">
        <v>25.22</v>
      </c>
      <c r="EE93" s="1258">
        <v>25.39</v>
      </c>
      <c r="EF93" s="1259">
        <v>25.52</v>
      </c>
      <c r="EG93" s="1257">
        <v>25.61</v>
      </c>
      <c r="EH93" s="1258">
        <v>25.68</v>
      </c>
      <c r="EI93" s="1258">
        <v>25.72</v>
      </c>
      <c r="EJ93" s="1258">
        <v>25.75</v>
      </c>
      <c r="EK93" s="1258">
        <v>25.77</v>
      </c>
      <c r="EL93" s="1258"/>
      <c r="EM93" s="1258"/>
      <c r="EN93" s="1258"/>
      <c r="EO93" s="1258"/>
      <c r="EP93" s="1259"/>
      <c r="EQ93" s="1257"/>
      <c r="ER93" s="1258"/>
      <c r="ES93" s="1258"/>
      <c r="ET93" s="1258"/>
      <c r="EU93" s="1258"/>
      <c r="EV93" s="1258"/>
      <c r="EW93" s="1258"/>
      <c r="EX93" s="1258"/>
      <c r="EY93" s="1258"/>
      <c r="EZ93" s="1259"/>
      <c r="FA93" s="1257"/>
      <c r="FB93" s="1258"/>
      <c r="FC93" s="1258"/>
      <c r="FD93" s="1258"/>
      <c r="FE93" s="1258"/>
      <c r="FF93" s="1258"/>
      <c r="FG93" s="1258"/>
      <c r="FH93" s="1258"/>
      <c r="FI93" s="1258"/>
      <c r="FJ93" s="1259"/>
      <c r="FK93" s="1258"/>
      <c r="FL93" s="1258"/>
      <c r="FM93" s="1259"/>
    </row>
    <row r="94" spans="1:169" s="1519" customFormat="1">
      <c r="A94" s="1515" t="s">
        <v>1571</v>
      </c>
      <c r="B94" s="1168">
        <v>45</v>
      </c>
      <c r="C94" s="1263"/>
      <c r="D94" s="1264">
        <v>0.4</v>
      </c>
      <c r="E94" s="1264">
        <v>0.64</v>
      </c>
      <c r="F94" s="1264">
        <v>0.9</v>
      </c>
      <c r="G94" s="1264">
        <v>1.18</v>
      </c>
      <c r="H94" s="1264">
        <v>1.49</v>
      </c>
      <c r="I94" s="1264">
        <v>1.83</v>
      </c>
      <c r="J94" s="1264">
        <v>2.2000000000000002</v>
      </c>
      <c r="K94" s="1265">
        <v>2.6</v>
      </c>
      <c r="L94" s="1263">
        <v>3.05</v>
      </c>
      <c r="M94" s="1264">
        <v>3.54</v>
      </c>
      <c r="N94" s="1264">
        <v>4.08</v>
      </c>
      <c r="O94" s="1264">
        <v>4.66</v>
      </c>
      <c r="P94" s="1264">
        <v>5.31</v>
      </c>
      <c r="Q94" s="1264">
        <v>5.86</v>
      </c>
      <c r="R94" s="1264">
        <v>6.45</v>
      </c>
      <c r="S94" s="1264">
        <v>7.07</v>
      </c>
      <c r="T94" s="1264">
        <v>7.74</v>
      </c>
      <c r="U94" s="1265">
        <v>8.4499999999999993</v>
      </c>
      <c r="V94" s="1263">
        <v>9.1999999999999993</v>
      </c>
      <c r="W94" s="1264">
        <v>10.01</v>
      </c>
      <c r="X94" s="1264">
        <v>10.88</v>
      </c>
      <c r="Y94" s="1264">
        <v>11.79</v>
      </c>
      <c r="Z94" s="1264">
        <v>12.76</v>
      </c>
      <c r="AA94" s="1264">
        <v>13.78</v>
      </c>
      <c r="AB94" s="1264">
        <v>14.84</v>
      </c>
      <c r="AC94" s="1264">
        <v>15.93</v>
      </c>
      <c r="AD94" s="1264">
        <v>17.05</v>
      </c>
      <c r="AE94" s="1265">
        <v>18.2</v>
      </c>
      <c r="AF94" s="1263">
        <v>19.350000000000001</v>
      </c>
      <c r="AG94" s="1264">
        <v>20.51</v>
      </c>
      <c r="AH94" s="1264">
        <v>21.66</v>
      </c>
      <c r="AI94" s="1264">
        <v>22.79</v>
      </c>
      <c r="AJ94" s="1264">
        <v>23.89</v>
      </c>
      <c r="AK94" s="1264">
        <v>25.05</v>
      </c>
      <c r="AL94" s="1264">
        <v>26.1</v>
      </c>
      <c r="AM94" s="1264">
        <v>27.03</v>
      </c>
      <c r="AN94" s="1264">
        <v>27.84</v>
      </c>
      <c r="AO94" s="1265">
        <v>28.55</v>
      </c>
      <c r="AP94" s="1263">
        <v>29.16</v>
      </c>
      <c r="AQ94" s="1264">
        <v>29.68</v>
      </c>
      <c r="AR94" s="1264">
        <v>30.11</v>
      </c>
      <c r="AS94" s="1264">
        <v>30.47</v>
      </c>
      <c r="AT94" s="1264">
        <v>30.77</v>
      </c>
      <c r="AU94" s="1264">
        <v>31</v>
      </c>
      <c r="AV94" s="1264">
        <v>31.18</v>
      </c>
      <c r="AW94" s="1264">
        <v>31.32</v>
      </c>
      <c r="AX94" s="1264">
        <v>31.42</v>
      </c>
      <c r="AY94" s="1265">
        <v>31.5</v>
      </c>
      <c r="AZ94" s="1263">
        <v>31.55</v>
      </c>
      <c r="BA94" s="1264">
        <v>31.58</v>
      </c>
      <c r="BB94" s="1264">
        <v>31.6</v>
      </c>
      <c r="BC94" s="1264">
        <v>31.61</v>
      </c>
      <c r="BD94" s="1264"/>
      <c r="BE94" s="1264"/>
      <c r="BF94" s="1264"/>
      <c r="BG94" s="1264"/>
      <c r="BH94" s="1264"/>
      <c r="BI94" s="1265"/>
      <c r="BJ94" s="1263"/>
      <c r="BK94" s="1264"/>
      <c r="BL94" s="1264"/>
      <c r="BM94" s="1264"/>
      <c r="BN94" s="1264"/>
      <c r="BO94" s="1264"/>
      <c r="BP94" s="1264"/>
      <c r="BQ94" s="1264"/>
      <c r="BR94" s="1264"/>
      <c r="BS94" s="1265"/>
      <c r="BT94" s="1263"/>
      <c r="BU94" s="1264"/>
      <c r="BV94" s="1264"/>
      <c r="BW94" s="1264"/>
      <c r="BX94" s="1264"/>
      <c r="BY94" s="1264"/>
      <c r="BZ94" s="1264"/>
      <c r="CA94" s="1264"/>
      <c r="CB94" s="1264"/>
      <c r="CC94" s="1265"/>
      <c r="CD94" s="1264"/>
      <c r="CE94" s="1264"/>
      <c r="CF94" s="1265"/>
      <c r="CH94" s="1515" t="str">
        <f t="shared" si="1"/>
        <v>WPTPDCIF45</v>
      </c>
      <c r="CI94" s="1168">
        <v>45</v>
      </c>
      <c r="CJ94" s="1263"/>
      <c r="CK94" s="1264">
        <v>0.41</v>
      </c>
      <c r="CL94" s="1264">
        <v>0.64</v>
      </c>
      <c r="CM94" s="1264">
        <v>0.9</v>
      </c>
      <c r="CN94" s="1264">
        <v>1.17</v>
      </c>
      <c r="CO94" s="1264">
        <v>1.48</v>
      </c>
      <c r="CP94" s="1264">
        <v>1.8</v>
      </c>
      <c r="CQ94" s="1264">
        <v>2.16</v>
      </c>
      <c r="CR94" s="1265">
        <v>2.54</v>
      </c>
      <c r="CS94" s="1263">
        <v>2.95</v>
      </c>
      <c r="CT94" s="1264">
        <v>3.4</v>
      </c>
      <c r="CU94" s="1264">
        <v>3.88</v>
      </c>
      <c r="CV94" s="1264">
        <v>4.41</v>
      </c>
      <c r="CW94" s="1264">
        <v>4.97</v>
      </c>
      <c r="CX94" s="1264">
        <v>5.42</v>
      </c>
      <c r="CY94" s="1264">
        <v>5.89</v>
      </c>
      <c r="CZ94" s="1264">
        <v>6.38</v>
      </c>
      <c r="DA94" s="1264">
        <v>6.88</v>
      </c>
      <c r="DB94" s="1265">
        <v>7.41</v>
      </c>
      <c r="DC94" s="1263">
        <v>7.96</v>
      </c>
      <c r="DD94" s="1264">
        <v>8.5399999999999991</v>
      </c>
      <c r="DE94" s="1264">
        <v>9.15</v>
      </c>
      <c r="DF94" s="1264">
        <v>9.7799999999999994</v>
      </c>
      <c r="DG94" s="1264">
        <v>10.45</v>
      </c>
      <c r="DH94" s="1264">
        <v>11.14</v>
      </c>
      <c r="DI94" s="1264">
        <v>11.87</v>
      </c>
      <c r="DJ94" s="1264">
        <v>12.62</v>
      </c>
      <c r="DK94" s="1264">
        <v>13.39</v>
      </c>
      <c r="DL94" s="1265">
        <v>14.19</v>
      </c>
      <c r="DM94" s="1263">
        <v>15.01</v>
      </c>
      <c r="DN94" s="1264">
        <v>15.85</v>
      </c>
      <c r="DO94" s="1264">
        <v>16.7</v>
      </c>
      <c r="DP94" s="1264">
        <v>17.57</v>
      </c>
      <c r="DQ94" s="1264">
        <v>18.440000000000001</v>
      </c>
      <c r="DR94" s="1264">
        <v>19.48</v>
      </c>
      <c r="DS94" s="1264">
        <v>20.43</v>
      </c>
      <c r="DT94" s="1264">
        <v>21.3</v>
      </c>
      <c r="DU94" s="1264">
        <v>22.09</v>
      </c>
      <c r="DV94" s="1265">
        <v>22.79</v>
      </c>
      <c r="DW94" s="1263">
        <v>23.41</v>
      </c>
      <c r="DX94" s="1264">
        <v>23.96</v>
      </c>
      <c r="DY94" s="1264">
        <v>24.43</v>
      </c>
      <c r="DZ94" s="1264">
        <v>24.83</v>
      </c>
      <c r="EA94" s="1264">
        <v>25.16</v>
      </c>
      <c r="EB94" s="1264">
        <v>25.44</v>
      </c>
      <c r="EC94" s="1264">
        <v>25.66</v>
      </c>
      <c r="ED94" s="1264">
        <v>25.83</v>
      </c>
      <c r="EE94" s="1264">
        <v>25.96</v>
      </c>
      <c r="EF94" s="1265">
        <v>26.06</v>
      </c>
      <c r="EG94" s="1263">
        <v>26.13</v>
      </c>
      <c r="EH94" s="1264">
        <v>26.18</v>
      </c>
      <c r="EI94" s="1264">
        <v>26.21</v>
      </c>
      <c r="EJ94" s="1264">
        <v>26.23</v>
      </c>
      <c r="EK94" s="1264"/>
      <c r="EL94" s="1264"/>
      <c r="EM94" s="1264"/>
      <c r="EN94" s="1264"/>
      <c r="EO94" s="1264"/>
      <c r="EP94" s="1265"/>
      <c r="EQ94" s="1263"/>
      <c r="ER94" s="1264"/>
      <c r="ES94" s="1264"/>
      <c r="ET94" s="1264"/>
      <c r="EU94" s="1264"/>
      <c r="EV94" s="1264"/>
      <c r="EW94" s="1264"/>
      <c r="EX94" s="1264"/>
      <c r="EY94" s="1264"/>
      <c r="EZ94" s="1265"/>
      <c r="FA94" s="1263"/>
      <c r="FB94" s="1264"/>
      <c r="FC94" s="1264"/>
      <c r="FD94" s="1264"/>
      <c r="FE94" s="1264"/>
      <c r="FF94" s="1264"/>
      <c r="FG94" s="1264"/>
      <c r="FH94" s="1264"/>
      <c r="FI94" s="1264"/>
      <c r="FJ94" s="1265"/>
      <c r="FK94" s="1264"/>
      <c r="FL94" s="1264"/>
      <c r="FM94" s="1265"/>
    </row>
    <row r="95" spans="1:169" s="1519" customFormat="1">
      <c r="A95" s="1515" t="s">
        <v>1572</v>
      </c>
      <c r="B95" s="1166">
        <v>46</v>
      </c>
      <c r="C95" s="1257"/>
      <c r="D95" s="1258">
        <v>0.44</v>
      </c>
      <c r="E95" s="1258">
        <v>0.69</v>
      </c>
      <c r="F95" s="1258">
        <v>0.97</v>
      </c>
      <c r="G95" s="1258">
        <v>1.28</v>
      </c>
      <c r="H95" s="1258">
        <v>1.61</v>
      </c>
      <c r="I95" s="1258">
        <v>1.98</v>
      </c>
      <c r="J95" s="1258">
        <v>2.38</v>
      </c>
      <c r="K95" s="1259">
        <v>2.82</v>
      </c>
      <c r="L95" s="1257">
        <v>3.3</v>
      </c>
      <c r="M95" s="1258">
        <v>3.83</v>
      </c>
      <c r="N95" s="1258">
        <v>4.42</v>
      </c>
      <c r="O95" s="1258">
        <v>5.0599999999999996</v>
      </c>
      <c r="P95" s="1258">
        <v>5.76</v>
      </c>
      <c r="Q95" s="1258">
        <v>6.36</v>
      </c>
      <c r="R95" s="1258">
        <v>7.01</v>
      </c>
      <c r="S95" s="1258">
        <v>7.7</v>
      </c>
      <c r="T95" s="1258">
        <v>8.43</v>
      </c>
      <c r="U95" s="1259">
        <v>9.2100000000000009</v>
      </c>
      <c r="V95" s="1257">
        <v>10.050000000000001</v>
      </c>
      <c r="W95" s="1258">
        <v>10.94</v>
      </c>
      <c r="X95" s="1258">
        <v>11.89</v>
      </c>
      <c r="Y95" s="1258">
        <v>12.89</v>
      </c>
      <c r="Z95" s="1258">
        <v>13.95</v>
      </c>
      <c r="AA95" s="1258">
        <v>15.04</v>
      </c>
      <c r="AB95" s="1258">
        <v>16.18</v>
      </c>
      <c r="AC95" s="1258">
        <v>17.34</v>
      </c>
      <c r="AD95" s="1258">
        <v>18.53</v>
      </c>
      <c r="AE95" s="1259">
        <v>19.73</v>
      </c>
      <c r="AF95" s="1257">
        <v>20.93</v>
      </c>
      <c r="AG95" s="1258">
        <v>22.13</v>
      </c>
      <c r="AH95" s="1258">
        <v>23.3</v>
      </c>
      <c r="AI95" s="1258">
        <v>24.44</v>
      </c>
      <c r="AJ95" s="1258">
        <v>25.65</v>
      </c>
      <c r="AK95" s="1258">
        <v>26.74</v>
      </c>
      <c r="AL95" s="1258">
        <v>27.71</v>
      </c>
      <c r="AM95" s="1258">
        <v>28.56</v>
      </c>
      <c r="AN95" s="1258">
        <v>29.3</v>
      </c>
      <c r="AO95" s="1259">
        <v>29.94</v>
      </c>
      <c r="AP95" s="1257">
        <v>30.48</v>
      </c>
      <c r="AQ95" s="1258">
        <v>30.93</v>
      </c>
      <c r="AR95" s="1258">
        <v>31.31</v>
      </c>
      <c r="AS95" s="1258">
        <v>31.61</v>
      </c>
      <c r="AT95" s="1258">
        <v>31.86</v>
      </c>
      <c r="AU95" s="1258">
        <v>32.049999999999997</v>
      </c>
      <c r="AV95" s="1258">
        <v>32.19</v>
      </c>
      <c r="AW95" s="1258">
        <v>32.299999999999997</v>
      </c>
      <c r="AX95" s="1258">
        <v>32.369999999999997</v>
      </c>
      <c r="AY95" s="1259">
        <v>32.43</v>
      </c>
      <c r="AZ95" s="1257">
        <v>32.46</v>
      </c>
      <c r="BA95" s="1258">
        <v>32.479999999999997</v>
      </c>
      <c r="BB95" s="1258">
        <v>32.5</v>
      </c>
      <c r="BC95" s="1258"/>
      <c r="BD95" s="1258"/>
      <c r="BE95" s="1258"/>
      <c r="BF95" s="1258"/>
      <c r="BG95" s="1258"/>
      <c r="BH95" s="1258"/>
      <c r="BI95" s="1259"/>
      <c r="BJ95" s="1257"/>
      <c r="BK95" s="1258"/>
      <c r="BL95" s="1258"/>
      <c r="BM95" s="1258"/>
      <c r="BN95" s="1258"/>
      <c r="BO95" s="1258"/>
      <c r="BP95" s="1258"/>
      <c r="BQ95" s="1258"/>
      <c r="BR95" s="1258"/>
      <c r="BS95" s="1259"/>
      <c r="BT95" s="1257"/>
      <c r="BU95" s="1258"/>
      <c r="BV95" s="1258"/>
      <c r="BW95" s="1258"/>
      <c r="BX95" s="1258"/>
      <c r="BY95" s="1258"/>
      <c r="BZ95" s="1258"/>
      <c r="CA95" s="1258"/>
      <c r="CB95" s="1258"/>
      <c r="CC95" s="1259"/>
      <c r="CD95" s="1258"/>
      <c r="CE95" s="1258"/>
      <c r="CF95" s="1259"/>
      <c r="CH95" s="1515" t="str">
        <f t="shared" si="1"/>
        <v>WPTPDCIF46</v>
      </c>
      <c r="CI95" s="1166">
        <v>46</v>
      </c>
      <c r="CJ95" s="1257"/>
      <c r="CK95" s="1258">
        <v>0.44</v>
      </c>
      <c r="CL95" s="1258">
        <v>0.69</v>
      </c>
      <c r="CM95" s="1258">
        <v>0.96</v>
      </c>
      <c r="CN95" s="1258">
        <v>1.25</v>
      </c>
      <c r="CO95" s="1258">
        <v>1.57</v>
      </c>
      <c r="CP95" s="1258">
        <v>1.91</v>
      </c>
      <c r="CQ95" s="1258">
        <v>2.29</v>
      </c>
      <c r="CR95" s="1259">
        <v>2.69</v>
      </c>
      <c r="CS95" s="1257">
        <v>3.13</v>
      </c>
      <c r="CT95" s="1258">
        <v>3.6</v>
      </c>
      <c r="CU95" s="1258">
        <v>4.1100000000000003</v>
      </c>
      <c r="CV95" s="1258">
        <v>4.66</v>
      </c>
      <c r="CW95" s="1258">
        <v>5.26</v>
      </c>
      <c r="CX95" s="1258">
        <v>5.74</v>
      </c>
      <c r="CY95" s="1258">
        <v>6.23</v>
      </c>
      <c r="CZ95" s="1258">
        <v>6.75</v>
      </c>
      <c r="DA95" s="1258">
        <v>7.29</v>
      </c>
      <c r="DB95" s="1259">
        <v>7.86</v>
      </c>
      <c r="DC95" s="1257">
        <v>8.4499999999999993</v>
      </c>
      <c r="DD95" s="1258">
        <v>9.07</v>
      </c>
      <c r="DE95" s="1258">
        <v>9.7200000000000006</v>
      </c>
      <c r="DF95" s="1258">
        <v>10.4</v>
      </c>
      <c r="DG95" s="1258">
        <v>11.12</v>
      </c>
      <c r="DH95" s="1258">
        <v>11.86</v>
      </c>
      <c r="DI95" s="1258">
        <v>12.63</v>
      </c>
      <c r="DJ95" s="1258">
        <v>13.42</v>
      </c>
      <c r="DK95" s="1258">
        <v>14.24</v>
      </c>
      <c r="DL95" s="1259">
        <v>15.09</v>
      </c>
      <c r="DM95" s="1257">
        <v>15.95</v>
      </c>
      <c r="DN95" s="1258">
        <v>16.829999999999998</v>
      </c>
      <c r="DO95" s="1258">
        <v>17.72</v>
      </c>
      <c r="DP95" s="1258">
        <v>18.62</v>
      </c>
      <c r="DQ95" s="1258">
        <v>19.7</v>
      </c>
      <c r="DR95" s="1258">
        <v>20.68</v>
      </c>
      <c r="DS95" s="1258">
        <v>21.58</v>
      </c>
      <c r="DT95" s="1258">
        <v>22.39</v>
      </c>
      <c r="DU95" s="1258">
        <v>23.12</v>
      </c>
      <c r="DV95" s="1259">
        <v>23.76</v>
      </c>
      <c r="DW95" s="1257">
        <v>24.33</v>
      </c>
      <c r="DX95" s="1258">
        <v>24.81</v>
      </c>
      <c r="DY95" s="1258">
        <v>25.23</v>
      </c>
      <c r="DZ95" s="1258">
        <v>25.58</v>
      </c>
      <c r="EA95" s="1258">
        <v>25.86</v>
      </c>
      <c r="EB95" s="1258">
        <v>26.09</v>
      </c>
      <c r="EC95" s="1258">
        <v>26.27</v>
      </c>
      <c r="ED95" s="1258">
        <v>26.4</v>
      </c>
      <c r="EE95" s="1258">
        <v>26.51</v>
      </c>
      <c r="EF95" s="1259">
        <v>26.58</v>
      </c>
      <c r="EG95" s="1257">
        <v>26.63</v>
      </c>
      <c r="EH95" s="1258">
        <v>26.66</v>
      </c>
      <c r="EI95" s="1258">
        <v>26.68</v>
      </c>
      <c r="EJ95" s="1258"/>
      <c r="EK95" s="1258"/>
      <c r="EL95" s="1258"/>
      <c r="EM95" s="1258"/>
      <c r="EN95" s="1258"/>
      <c r="EO95" s="1258"/>
      <c r="EP95" s="1259"/>
      <c r="EQ95" s="1257"/>
      <c r="ER95" s="1258"/>
      <c r="ES95" s="1258"/>
      <c r="ET95" s="1258"/>
      <c r="EU95" s="1258"/>
      <c r="EV95" s="1258"/>
      <c r="EW95" s="1258"/>
      <c r="EX95" s="1258"/>
      <c r="EY95" s="1258"/>
      <c r="EZ95" s="1259"/>
      <c r="FA95" s="1257"/>
      <c r="FB95" s="1258"/>
      <c r="FC95" s="1258"/>
      <c r="FD95" s="1258"/>
      <c r="FE95" s="1258"/>
      <c r="FF95" s="1258"/>
      <c r="FG95" s="1258"/>
      <c r="FH95" s="1258"/>
      <c r="FI95" s="1258"/>
      <c r="FJ95" s="1259"/>
      <c r="FK95" s="1258"/>
      <c r="FL95" s="1258"/>
      <c r="FM95" s="1259"/>
    </row>
    <row r="96" spans="1:169" s="1519" customFormat="1">
      <c r="A96" s="1515" t="s">
        <v>1573</v>
      </c>
      <c r="B96" s="1166">
        <v>47</v>
      </c>
      <c r="C96" s="1257"/>
      <c r="D96" s="1258">
        <v>0.48</v>
      </c>
      <c r="E96" s="1258">
        <v>0.75</v>
      </c>
      <c r="F96" s="1258">
        <v>1.05</v>
      </c>
      <c r="G96" s="1258">
        <v>1.38</v>
      </c>
      <c r="H96" s="1258">
        <v>1.74</v>
      </c>
      <c r="I96" s="1258">
        <v>2.14</v>
      </c>
      <c r="J96" s="1258">
        <v>2.57</v>
      </c>
      <c r="K96" s="1259">
        <v>3.05</v>
      </c>
      <c r="L96" s="1257">
        <v>3.58</v>
      </c>
      <c r="M96" s="1258">
        <v>4.1500000000000004</v>
      </c>
      <c r="N96" s="1258">
        <v>4.79</v>
      </c>
      <c r="O96" s="1258">
        <v>5.49</v>
      </c>
      <c r="P96" s="1258">
        <v>6.26</v>
      </c>
      <c r="Q96" s="1258">
        <v>6.92</v>
      </c>
      <c r="R96" s="1258">
        <v>7.63</v>
      </c>
      <c r="S96" s="1258">
        <v>8.39</v>
      </c>
      <c r="T96" s="1258">
        <v>9.1999999999999993</v>
      </c>
      <c r="U96" s="1259">
        <v>10.06</v>
      </c>
      <c r="V96" s="1257">
        <v>10.99</v>
      </c>
      <c r="W96" s="1258">
        <v>11.97</v>
      </c>
      <c r="X96" s="1258">
        <v>13.01</v>
      </c>
      <c r="Y96" s="1258">
        <v>14.1</v>
      </c>
      <c r="Z96" s="1258">
        <v>15.24</v>
      </c>
      <c r="AA96" s="1258">
        <v>16.41</v>
      </c>
      <c r="AB96" s="1258">
        <v>17.62</v>
      </c>
      <c r="AC96" s="1258">
        <v>18.850000000000001</v>
      </c>
      <c r="AD96" s="1258">
        <v>20.100000000000001</v>
      </c>
      <c r="AE96" s="1259">
        <v>21.35</v>
      </c>
      <c r="AF96" s="1257">
        <v>22.59</v>
      </c>
      <c r="AG96" s="1258">
        <v>23.81</v>
      </c>
      <c r="AH96" s="1258">
        <v>25</v>
      </c>
      <c r="AI96" s="1258">
        <v>26.27</v>
      </c>
      <c r="AJ96" s="1258">
        <v>27.4</v>
      </c>
      <c r="AK96" s="1258">
        <v>28.41</v>
      </c>
      <c r="AL96" s="1258">
        <v>29.3</v>
      </c>
      <c r="AM96" s="1258">
        <v>30.07</v>
      </c>
      <c r="AN96" s="1258">
        <v>30.74</v>
      </c>
      <c r="AO96" s="1259">
        <v>31.3</v>
      </c>
      <c r="AP96" s="1257">
        <v>31.78</v>
      </c>
      <c r="AQ96" s="1258">
        <v>32.17</v>
      </c>
      <c r="AR96" s="1258">
        <v>32.49</v>
      </c>
      <c r="AS96" s="1258">
        <v>32.74</v>
      </c>
      <c r="AT96" s="1258">
        <v>32.94</v>
      </c>
      <c r="AU96" s="1258">
        <v>33.090000000000003</v>
      </c>
      <c r="AV96" s="1258">
        <v>33.200000000000003</v>
      </c>
      <c r="AW96" s="1258">
        <v>33.28</v>
      </c>
      <c r="AX96" s="1258">
        <v>33.340000000000003</v>
      </c>
      <c r="AY96" s="1259">
        <v>33.369999999999997</v>
      </c>
      <c r="AZ96" s="1257">
        <v>33.4</v>
      </c>
      <c r="BA96" s="1258">
        <v>33.409999999999997</v>
      </c>
      <c r="BB96" s="1258"/>
      <c r="BC96" s="1258"/>
      <c r="BD96" s="1258"/>
      <c r="BE96" s="1258"/>
      <c r="BF96" s="1258"/>
      <c r="BG96" s="1258"/>
      <c r="BH96" s="1258"/>
      <c r="BI96" s="1259"/>
      <c r="BJ96" s="1257"/>
      <c r="BK96" s="1258"/>
      <c r="BL96" s="1258"/>
      <c r="BM96" s="1258"/>
      <c r="BN96" s="1258"/>
      <c r="BO96" s="1258"/>
      <c r="BP96" s="1258"/>
      <c r="BQ96" s="1258"/>
      <c r="BR96" s="1258"/>
      <c r="BS96" s="1259"/>
      <c r="BT96" s="1257"/>
      <c r="BU96" s="1258"/>
      <c r="BV96" s="1258"/>
      <c r="BW96" s="1258"/>
      <c r="BX96" s="1258"/>
      <c r="BY96" s="1258"/>
      <c r="BZ96" s="1258"/>
      <c r="CA96" s="1258"/>
      <c r="CB96" s="1258"/>
      <c r="CC96" s="1259"/>
      <c r="CD96" s="1258"/>
      <c r="CE96" s="1258"/>
      <c r="CF96" s="1259"/>
      <c r="CH96" s="1515" t="str">
        <f t="shared" si="1"/>
        <v>WPTPDCIF47</v>
      </c>
      <c r="CI96" s="1166">
        <v>47</v>
      </c>
      <c r="CJ96" s="1257"/>
      <c r="CK96" s="1258">
        <v>0.46</v>
      </c>
      <c r="CL96" s="1258">
        <v>0.73</v>
      </c>
      <c r="CM96" s="1258">
        <v>1.01</v>
      </c>
      <c r="CN96" s="1258">
        <v>1.32</v>
      </c>
      <c r="CO96" s="1258">
        <v>1.66</v>
      </c>
      <c r="CP96" s="1258">
        <v>2.02</v>
      </c>
      <c r="CQ96" s="1258">
        <v>2.41</v>
      </c>
      <c r="CR96" s="1259">
        <v>2.84</v>
      </c>
      <c r="CS96" s="1257">
        <v>3.3</v>
      </c>
      <c r="CT96" s="1258">
        <v>3.8</v>
      </c>
      <c r="CU96" s="1258">
        <v>4.34</v>
      </c>
      <c r="CV96" s="1258">
        <v>4.92</v>
      </c>
      <c r="CW96" s="1258">
        <v>5.55</v>
      </c>
      <c r="CX96" s="1258">
        <v>6.06</v>
      </c>
      <c r="CY96" s="1258">
        <v>6.59</v>
      </c>
      <c r="CZ96" s="1258">
        <v>7.14</v>
      </c>
      <c r="DA96" s="1258">
        <v>7.72</v>
      </c>
      <c r="DB96" s="1259">
        <v>8.32</v>
      </c>
      <c r="DC96" s="1257">
        <v>8.9600000000000009</v>
      </c>
      <c r="DD96" s="1258">
        <v>9.6300000000000008</v>
      </c>
      <c r="DE96" s="1258">
        <v>10.33</v>
      </c>
      <c r="DF96" s="1258">
        <v>11.06</v>
      </c>
      <c r="DG96" s="1258">
        <v>11.82</v>
      </c>
      <c r="DH96" s="1258">
        <v>12.61</v>
      </c>
      <c r="DI96" s="1258">
        <v>13.43</v>
      </c>
      <c r="DJ96" s="1258">
        <v>14.27</v>
      </c>
      <c r="DK96" s="1258">
        <v>15.14</v>
      </c>
      <c r="DL96" s="1259">
        <v>16.03</v>
      </c>
      <c r="DM96" s="1257">
        <v>16.93</v>
      </c>
      <c r="DN96" s="1258">
        <v>17.850000000000001</v>
      </c>
      <c r="DO96" s="1258">
        <v>18.78</v>
      </c>
      <c r="DP96" s="1258">
        <v>19.89</v>
      </c>
      <c r="DQ96" s="1258">
        <v>20.91</v>
      </c>
      <c r="DR96" s="1258">
        <v>21.84</v>
      </c>
      <c r="DS96" s="1258">
        <v>22.69</v>
      </c>
      <c r="DT96" s="1258">
        <v>23.44</v>
      </c>
      <c r="DU96" s="1258">
        <v>24.1</v>
      </c>
      <c r="DV96" s="1259">
        <v>24.69</v>
      </c>
      <c r="DW96" s="1257">
        <v>25.19</v>
      </c>
      <c r="DX96" s="1258">
        <v>25.62</v>
      </c>
      <c r="DY96" s="1258">
        <v>25.98</v>
      </c>
      <c r="DZ96" s="1258">
        <v>26.27</v>
      </c>
      <c r="EA96" s="1258">
        <v>26.51</v>
      </c>
      <c r="EB96" s="1258">
        <v>26.7</v>
      </c>
      <c r="EC96" s="1258">
        <v>26.84</v>
      </c>
      <c r="ED96" s="1258">
        <v>26.94</v>
      </c>
      <c r="EE96" s="1258">
        <v>27.01</v>
      </c>
      <c r="EF96" s="1259">
        <v>27.07</v>
      </c>
      <c r="EG96" s="1257">
        <v>27.1</v>
      </c>
      <c r="EH96" s="1258">
        <v>27.12</v>
      </c>
      <c r="EI96" s="1258"/>
      <c r="EJ96" s="1258"/>
      <c r="EK96" s="1258"/>
      <c r="EL96" s="1258"/>
      <c r="EM96" s="1258"/>
      <c r="EN96" s="1258"/>
      <c r="EO96" s="1258"/>
      <c r="EP96" s="1259"/>
      <c r="EQ96" s="1257"/>
      <c r="ER96" s="1258"/>
      <c r="ES96" s="1258"/>
      <c r="ET96" s="1258"/>
      <c r="EU96" s="1258"/>
      <c r="EV96" s="1258"/>
      <c r="EW96" s="1258"/>
      <c r="EX96" s="1258"/>
      <c r="EY96" s="1258"/>
      <c r="EZ96" s="1259"/>
      <c r="FA96" s="1257"/>
      <c r="FB96" s="1258"/>
      <c r="FC96" s="1258"/>
      <c r="FD96" s="1258"/>
      <c r="FE96" s="1258"/>
      <c r="FF96" s="1258"/>
      <c r="FG96" s="1258"/>
      <c r="FH96" s="1258"/>
      <c r="FI96" s="1258"/>
      <c r="FJ96" s="1259"/>
      <c r="FK96" s="1258"/>
      <c r="FL96" s="1258"/>
      <c r="FM96" s="1259"/>
    </row>
    <row r="97" spans="1:169" s="1519" customFormat="1">
      <c r="A97" s="1515" t="s">
        <v>1574</v>
      </c>
      <c r="B97" s="1166">
        <v>48</v>
      </c>
      <c r="C97" s="1257"/>
      <c r="D97" s="1258">
        <v>0.51</v>
      </c>
      <c r="E97" s="1258">
        <v>0.81</v>
      </c>
      <c r="F97" s="1258">
        <v>1.1299999999999999</v>
      </c>
      <c r="G97" s="1258">
        <v>1.49</v>
      </c>
      <c r="H97" s="1258">
        <v>1.88</v>
      </c>
      <c r="I97" s="1258">
        <v>2.31</v>
      </c>
      <c r="J97" s="1258">
        <v>2.78</v>
      </c>
      <c r="K97" s="1259">
        <v>3.3</v>
      </c>
      <c r="L97" s="1257">
        <v>3.88</v>
      </c>
      <c r="M97" s="1258">
        <v>4.5</v>
      </c>
      <c r="N97" s="1258">
        <v>5.2</v>
      </c>
      <c r="O97" s="1258">
        <v>5.96</v>
      </c>
      <c r="P97" s="1258">
        <v>6.81</v>
      </c>
      <c r="Q97" s="1258">
        <v>7.54</v>
      </c>
      <c r="R97" s="1258">
        <v>8.32</v>
      </c>
      <c r="S97" s="1258">
        <v>9.16</v>
      </c>
      <c r="T97" s="1258">
        <v>10.06</v>
      </c>
      <c r="U97" s="1259">
        <v>11.01</v>
      </c>
      <c r="V97" s="1257">
        <v>12.03</v>
      </c>
      <c r="W97" s="1258">
        <v>13.11</v>
      </c>
      <c r="X97" s="1258">
        <v>14.24</v>
      </c>
      <c r="Y97" s="1258">
        <v>15.42</v>
      </c>
      <c r="Z97" s="1258">
        <v>16.64</v>
      </c>
      <c r="AA97" s="1258">
        <v>17.899999999999999</v>
      </c>
      <c r="AB97" s="1258">
        <v>19.170000000000002</v>
      </c>
      <c r="AC97" s="1258">
        <v>20.47</v>
      </c>
      <c r="AD97" s="1258">
        <v>21.77</v>
      </c>
      <c r="AE97" s="1259">
        <v>23.06</v>
      </c>
      <c r="AF97" s="1257">
        <v>24.33</v>
      </c>
      <c r="AG97" s="1258">
        <v>25.57</v>
      </c>
      <c r="AH97" s="1258">
        <v>26.89</v>
      </c>
      <c r="AI97" s="1258">
        <v>28.08</v>
      </c>
      <c r="AJ97" s="1258">
        <v>29.14</v>
      </c>
      <c r="AK97" s="1258">
        <v>30.06</v>
      </c>
      <c r="AL97" s="1258">
        <v>30.87</v>
      </c>
      <c r="AM97" s="1258">
        <v>31.57</v>
      </c>
      <c r="AN97" s="1258">
        <v>32.159999999999997</v>
      </c>
      <c r="AO97" s="1259">
        <v>32.65</v>
      </c>
      <c r="AP97" s="1257">
        <v>33.06</v>
      </c>
      <c r="AQ97" s="1258">
        <v>33.4</v>
      </c>
      <c r="AR97" s="1258">
        <v>33.659999999999997</v>
      </c>
      <c r="AS97" s="1258">
        <v>33.869999999999997</v>
      </c>
      <c r="AT97" s="1258">
        <v>34.03</v>
      </c>
      <c r="AU97" s="1258">
        <v>34.14</v>
      </c>
      <c r="AV97" s="1258">
        <v>34.229999999999997</v>
      </c>
      <c r="AW97" s="1258">
        <v>34.28</v>
      </c>
      <c r="AX97" s="1258">
        <v>34.32</v>
      </c>
      <c r="AY97" s="1259">
        <v>34.35</v>
      </c>
      <c r="AZ97" s="1257">
        <v>34.36</v>
      </c>
      <c r="BA97" s="1258"/>
      <c r="BB97" s="1258"/>
      <c r="BC97" s="1258"/>
      <c r="BD97" s="1258"/>
      <c r="BE97" s="1258"/>
      <c r="BF97" s="1258"/>
      <c r="BG97" s="1258"/>
      <c r="BH97" s="1258"/>
      <c r="BI97" s="1259"/>
      <c r="BJ97" s="1257"/>
      <c r="BK97" s="1258"/>
      <c r="BL97" s="1258"/>
      <c r="BM97" s="1258"/>
      <c r="BN97" s="1258"/>
      <c r="BO97" s="1258"/>
      <c r="BP97" s="1258"/>
      <c r="BQ97" s="1258"/>
      <c r="BR97" s="1258"/>
      <c r="BS97" s="1259"/>
      <c r="BT97" s="1257"/>
      <c r="BU97" s="1258"/>
      <c r="BV97" s="1258"/>
      <c r="BW97" s="1258"/>
      <c r="BX97" s="1258"/>
      <c r="BY97" s="1258"/>
      <c r="BZ97" s="1258"/>
      <c r="CA97" s="1258"/>
      <c r="CB97" s="1258"/>
      <c r="CC97" s="1259"/>
      <c r="CD97" s="1258"/>
      <c r="CE97" s="1258"/>
      <c r="CF97" s="1259"/>
      <c r="CH97" s="1515" t="str">
        <f t="shared" ref="CH97:CH119" si="2">"WPTPDCIF"&amp;CI97</f>
        <v>WPTPDCIF48</v>
      </c>
      <c r="CI97" s="1166">
        <v>48</v>
      </c>
      <c r="CJ97" s="1257"/>
      <c r="CK97" s="1258">
        <v>0.49</v>
      </c>
      <c r="CL97" s="1258">
        <v>0.76</v>
      </c>
      <c r="CM97" s="1258">
        <v>1.06</v>
      </c>
      <c r="CN97" s="1258">
        <v>1.39</v>
      </c>
      <c r="CO97" s="1258">
        <v>1.74</v>
      </c>
      <c r="CP97" s="1258">
        <v>2.13</v>
      </c>
      <c r="CQ97" s="1258">
        <v>2.54</v>
      </c>
      <c r="CR97" s="1259">
        <v>2.99</v>
      </c>
      <c r="CS97" s="1257">
        <v>3.48</v>
      </c>
      <c r="CT97" s="1258">
        <v>4</v>
      </c>
      <c r="CU97" s="1258">
        <v>4.57</v>
      </c>
      <c r="CV97" s="1258">
        <v>5.19</v>
      </c>
      <c r="CW97" s="1258">
        <v>5.85</v>
      </c>
      <c r="CX97" s="1258">
        <v>6.39</v>
      </c>
      <c r="CY97" s="1258">
        <v>6.96</v>
      </c>
      <c r="CZ97" s="1258">
        <v>7.55</v>
      </c>
      <c r="DA97" s="1258">
        <v>8.17</v>
      </c>
      <c r="DB97" s="1259">
        <v>8.82</v>
      </c>
      <c r="DC97" s="1257">
        <v>9.51</v>
      </c>
      <c r="DD97" s="1258">
        <v>10.23</v>
      </c>
      <c r="DE97" s="1258">
        <v>10.98</v>
      </c>
      <c r="DF97" s="1258">
        <v>11.76</v>
      </c>
      <c r="DG97" s="1258">
        <v>12.57</v>
      </c>
      <c r="DH97" s="1258">
        <v>13.41</v>
      </c>
      <c r="DI97" s="1258">
        <v>14.28</v>
      </c>
      <c r="DJ97" s="1258">
        <v>15.17</v>
      </c>
      <c r="DK97" s="1258">
        <v>16.09</v>
      </c>
      <c r="DL97" s="1259">
        <v>17.02</v>
      </c>
      <c r="DM97" s="1257">
        <v>17.97</v>
      </c>
      <c r="DN97" s="1258">
        <v>18.920000000000002</v>
      </c>
      <c r="DO97" s="1258">
        <v>20.07</v>
      </c>
      <c r="DP97" s="1258">
        <v>21.13</v>
      </c>
      <c r="DQ97" s="1258">
        <v>22.1</v>
      </c>
      <c r="DR97" s="1258">
        <v>22.97</v>
      </c>
      <c r="DS97" s="1258">
        <v>23.75</v>
      </c>
      <c r="DT97" s="1258">
        <v>24.44</v>
      </c>
      <c r="DU97" s="1258">
        <v>25.04</v>
      </c>
      <c r="DV97" s="1259">
        <v>25.56</v>
      </c>
      <c r="DW97" s="1257">
        <v>26.01</v>
      </c>
      <c r="DX97" s="1258">
        <v>26.38</v>
      </c>
      <c r="DY97" s="1258">
        <v>26.69</v>
      </c>
      <c r="DZ97" s="1258">
        <v>26.93</v>
      </c>
      <c r="EA97" s="1258">
        <v>27.12</v>
      </c>
      <c r="EB97" s="1258">
        <v>27.27</v>
      </c>
      <c r="EC97" s="1258">
        <v>27.38</v>
      </c>
      <c r="ED97" s="1258">
        <v>27.45</v>
      </c>
      <c r="EE97" s="1258">
        <v>27.51</v>
      </c>
      <c r="EF97" s="1259">
        <v>27.54</v>
      </c>
      <c r="EG97" s="1257">
        <v>27.56</v>
      </c>
      <c r="EH97" s="1258"/>
      <c r="EI97" s="1258"/>
      <c r="EJ97" s="1258"/>
      <c r="EK97" s="1258"/>
      <c r="EL97" s="1258"/>
      <c r="EM97" s="1258"/>
      <c r="EN97" s="1258"/>
      <c r="EO97" s="1258"/>
      <c r="EP97" s="1259"/>
      <c r="EQ97" s="1257"/>
      <c r="ER97" s="1258"/>
      <c r="ES97" s="1258"/>
      <c r="ET97" s="1258"/>
      <c r="EU97" s="1258"/>
      <c r="EV97" s="1258"/>
      <c r="EW97" s="1258"/>
      <c r="EX97" s="1258"/>
      <c r="EY97" s="1258"/>
      <c r="EZ97" s="1259"/>
      <c r="FA97" s="1257"/>
      <c r="FB97" s="1258"/>
      <c r="FC97" s="1258"/>
      <c r="FD97" s="1258"/>
      <c r="FE97" s="1258"/>
      <c r="FF97" s="1258"/>
      <c r="FG97" s="1258"/>
      <c r="FH97" s="1258"/>
      <c r="FI97" s="1258"/>
      <c r="FJ97" s="1259"/>
      <c r="FK97" s="1258"/>
      <c r="FL97" s="1258"/>
      <c r="FM97" s="1259"/>
    </row>
    <row r="98" spans="1:169" s="1519" customFormat="1">
      <c r="A98" s="1515" t="s">
        <v>1575</v>
      </c>
      <c r="B98" s="1166">
        <v>49</v>
      </c>
      <c r="C98" s="1257"/>
      <c r="D98" s="1258">
        <v>0.55000000000000004</v>
      </c>
      <c r="E98" s="1258">
        <v>0.87</v>
      </c>
      <c r="F98" s="1258">
        <v>1.22</v>
      </c>
      <c r="G98" s="1258">
        <v>1.61</v>
      </c>
      <c r="H98" s="1258">
        <v>2.04</v>
      </c>
      <c r="I98" s="1258">
        <v>2.5</v>
      </c>
      <c r="J98" s="1258">
        <v>3.02</v>
      </c>
      <c r="K98" s="1259">
        <v>3.58</v>
      </c>
      <c r="L98" s="1257">
        <v>4.21</v>
      </c>
      <c r="M98" s="1258">
        <v>4.8899999999999997</v>
      </c>
      <c r="N98" s="1258">
        <v>5.65</v>
      </c>
      <c r="O98" s="1258">
        <v>6.49</v>
      </c>
      <c r="P98" s="1258">
        <v>7.43</v>
      </c>
      <c r="Q98" s="1258">
        <v>8.24</v>
      </c>
      <c r="R98" s="1258">
        <v>9.1</v>
      </c>
      <c r="S98" s="1258">
        <v>10.029999999999999</v>
      </c>
      <c r="T98" s="1258">
        <v>11.02</v>
      </c>
      <c r="U98" s="1259">
        <v>12.08</v>
      </c>
      <c r="V98" s="1257">
        <v>13.19</v>
      </c>
      <c r="W98" s="1258">
        <v>14.37</v>
      </c>
      <c r="X98" s="1258">
        <v>15.59</v>
      </c>
      <c r="Y98" s="1258">
        <v>16.86</v>
      </c>
      <c r="Z98" s="1258">
        <v>18.170000000000002</v>
      </c>
      <c r="AA98" s="1258">
        <v>19.5</v>
      </c>
      <c r="AB98" s="1258">
        <v>20.84</v>
      </c>
      <c r="AC98" s="1258">
        <v>22.19</v>
      </c>
      <c r="AD98" s="1258">
        <v>23.54</v>
      </c>
      <c r="AE98" s="1259">
        <v>24.86</v>
      </c>
      <c r="AF98" s="1257">
        <v>26.15</v>
      </c>
      <c r="AG98" s="1258">
        <v>27.54</v>
      </c>
      <c r="AH98" s="1258">
        <v>28.78</v>
      </c>
      <c r="AI98" s="1258">
        <v>29.88</v>
      </c>
      <c r="AJ98" s="1258">
        <v>30.86</v>
      </c>
      <c r="AK98" s="1258">
        <v>31.7</v>
      </c>
      <c r="AL98" s="1258">
        <v>32.43</v>
      </c>
      <c r="AM98" s="1258">
        <v>33.049999999999997</v>
      </c>
      <c r="AN98" s="1258">
        <v>33.56</v>
      </c>
      <c r="AO98" s="1259">
        <v>33.99</v>
      </c>
      <c r="AP98" s="1257">
        <v>34.340000000000003</v>
      </c>
      <c r="AQ98" s="1258">
        <v>34.619999999999997</v>
      </c>
      <c r="AR98" s="1258">
        <v>34.840000000000003</v>
      </c>
      <c r="AS98" s="1258">
        <v>35</v>
      </c>
      <c r="AT98" s="1258">
        <v>35.119999999999997</v>
      </c>
      <c r="AU98" s="1258">
        <v>35.21</v>
      </c>
      <c r="AV98" s="1258">
        <v>35.270000000000003</v>
      </c>
      <c r="AW98" s="1258">
        <v>35.31</v>
      </c>
      <c r="AX98" s="1258">
        <v>35.340000000000003</v>
      </c>
      <c r="AY98" s="1259">
        <v>35.35</v>
      </c>
      <c r="AZ98" s="1257"/>
      <c r="BA98" s="1258"/>
      <c r="BB98" s="1258"/>
      <c r="BC98" s="1258"/>
      <c r="BD98" s="1258"/>
      <c r="BE98" s="1258"/>
      <c r="BF98" s="1258"/>
      <c r="BG98" s="1258"/>
      <c r="BH98" s="1258"/>
      <c r="BI98" s="1259"/>
      <c r="BJ98" s="1257"/>
      <c r="BK98" s="1258"/>
      <c r="BL98" s="1258"/>
      <c r="BM98" s="1258"/>
      <c r="BN98" s="1258"/>
      <c r="BO98" s="1258"/>
      <c r="BP98" s="1258"/>
      <c r="BQ98" s="1258"/>
      <c r="BR98" s="1258"/>
      <c r="BS98" s="1259"/>
      <c r="BT98" s="1257"/>
      <c r="BU98" s="1258"/>
      <c r="BV98" s="1258"/>
      <c r="BW98" s="1258"/>
      <c r="BX98" s="1258"/>
      <c r="BY98" s="1258"/>
      <c r="BZ98" s="1258"/>
      <c r="CA98" s="1258"/>
      <c r="CB98" s="1258"/>
      <c r="CC98" s="1259"/>
      <c r="CD98" s="1258"/>
      <c r="CE98" s="1258"/>
      <c r="CF98" s="1259"/>
      <c r="CH98" s="1515" t="str">
        <f t="shared" si="2"/>
        <v>WPTPDCIF49</v>
      </c>
      <c r="CI98" s="1166">
        <v>49</v>
      </c>
      <c r="CJ98" s="1257"/>
      <c r="CK98" s="1258">
        <v>0.51</v>
      </c>
      <c r="CL98" s="1258">
        <v>0.8</v>
      </c>
      <c r="CM98" s="1258">
        <v>1.1200000000000001</v>
      </c>
      <c r="CN98" s="1258">
        <v>1.46</v>
      </c>
      <c r="CO98" s="1258">
        <v>1.84</v>
      </c>
      <c r="CP98" s="1258">
        <v>2.2400000000000002</v>
      </c>
      <c r="CQ98" s="1258">
        <v>2.68</v>
      </c>
      <c r="CR98" s="1259">
        <v>3.15</v>
      </c>
      <c r="CS98" s="1257">
        <v>3.66</v>
      </c>
      <c r="CT98" s="1258">
        <v>4.22</v>
      </c>
      <c r="CU98" s="1258">
        <v>4.82</v>
      </c>
      <c r="CV98" s="1258">
        <v>5.47</v>
      </c>
      <c r="CW98" s="1258">
        <v>6.18</v>
      </c>
      <c r="CX98" s="1258">
        <v>6.76</v>
      </c>
      <c r="CY98" s="1258">
        <v>7.37</v>
      </c>
      <c r="CZ98" s="1258">
        <v>8</v>
      </c>
      <c r="DA98" s="1258">
        <v>8.67</v>
      </c>
      <c r="DB98" s="1259">
        <v>9.3699999999999992</v>
      </c>
      <c r="DC98" s="1257">
        <v>10.11</v>
      </c>
      <c r="DD98" s="1258">
        <v>10.88</v>
      </c>
      <c r="DE98" s="1258">
        <v>11.68</v>
      </c>
      <c r="DF98" s="1258">
        <v>12.52</v>
      </c>
      <c r="DG98" s="1258">
        <v>13.38</v>
      </c>
      <c r="DH98" s="1258">
        <v>14.27</v>
      </c>
      <c r="DI98" s="1258">
        <v>15.19</v>
      </c>
      <c r="DJ98" s="1258">
        <v>16.14</v>
      </c>
      <c r="DK98" s="1258">
        <v>17.100000000000001</v>
      </c>
      <c r="DL98" s="1259">
        <v>18.079999999999998</v>
      </c>
      <c r="DM98" s="1257">
        <v>19.059999999999999</v>
      </c>
      <c r="DN98" s="1258">
        <v>20.260000000000002</v>
      </c>
      <c r="DO98" s="1258">
        <v>21.35</v>
      </c>
      <c r="DP98" s="1258">
        <v>22.35</v>
      </c>
      <c r="DQ98" s="1258">
        <v>23.26</v>
      </c>
      <c r="DR98" s="1258">
        <v>24.06</v>
      </c>
      <c r="DS98" s="1258">
        <v>24.78</v>
      </c>
      <c r="DT98" s="1258">
        <v>25.41</v>
      </c>
      <c r="DU98" s="1258">
        <v>25.95</v>
      </c>
      <c r="DV98" s="1259">
        <v>26.41</v>
      </c>
      <c r="DW98" s="1257">
        <v>26.79</v>
      </c>
      <c r="DX98" s="1258">
        <v>27.11</v>
      </c>
      <c r="DY98" s="1258">
        <v>27.36</v>
      </c>
      <c r="DZ98" s="1258">
        <v>27.56</v>
      </c>
      <c r="EA98" s="1258">
        <v>27.72</v>
      </c>
      <c r="EB98" s="1258">
        <v>27.83</v>
      </c>
      <c r="EC98" s="1258">
        <v>27.91</v>
      </c>
      <c r="ED98" s="1258">
        <v>27.96</v>
      </c>
      <c r="EE98" s="1258">
        <v>28</v>
      </c>
      <c r="EF98" s="1259">
        <v>28.02</v>
      </c>
      <c r="EG98" s="1257"/>
      <c r="EH98" s="1258"/>
      <c r="EI98" s="1258"/>
      <c r="EJ98" s="1258"/>
      <c r="EK98" s="1258"/>
      <c r="EL98" s="1258"/>
      <c r="EM98" s="1258"/>
      <c r="EN98" s="1258"/>
      <c r="EO98" s="1258"/>
      <c r="EP98" s="1259"/>
      <c r="EQ98" s="1257"/>
      <c r="ER98" s="1258"/>
      <c r="ES98" s="1258"/>
      <c r="ET98" s="1258"/>
      <c r="EU98" s="1258"/>
      <c r="EV98" s="1258"/>
      <c r="EW98" s="1258"/>
      <c r="EX98" s="1258"/>
      <c r="EY98" s="1258"/>
      <c r="EZ98" s="1259"/>
      <c r="FA98" s="1257"/>
      <c r="FB98" s="1258"/>
      <c r="FC98" s="1258"/>
      <c r="FD98" s="1258"/>
      <c r="FE98" s="1258"/>
      <c r="FF98" s="1258"/>
      <c r="FG98" s="1258"/>
      <c r="FH98" s="1258"/>
      <c r="FI98" s="1258"/>
      <c r="FJ98" s="1259"/>
      <c r="FK98" s="1258"/>
      <c r="FL98" s="1258"/>
      <c r="FM98" s="1259"/>
    </row>
    <row r="99" spans="1:169" s="1519" customFormat="1">
      <c r="A99" s="1515" t="s">
        <v>1576</v>
      </c>
      <c r="B99" s="1166">
        <v>50</v>
      </c>
      <c r="C99" s="1257"/>
      <c r="D99" s="1258">
        <v>0.6</v>
      </c>
      <c r="E99" s="1258">
        <v>0.94</v>
      </c>
      <c r="F99" s="1258">
        <v>1.32</v>
      </c>
      <c r="G99" s="1258">
        <v>1.74</v>
      </c>
      <c r="H99" s="1258">
        <v>2.21</v>
      </c>
      <c r="I99" s="1258">
        <v>2.72</v>
      </c>
      <c r="J99" s="1258">
        <v>3.28</v>
      </c>
      <c r="K99" s="1259">
        <v>3.89</v>
      </c>
      <c r="L99" s="1257">
        <v>4.57</v>
      </c>
      <c r="M99" s="1258">
        <v>5.33</v>
      </c>
      <c r="N99" s="1258">
        <v>6.16</v>
      </c>
      <c r="O99" s="1258">
        <v>7.09</v>
      </c>
      <c r="P99" s="1258">
        <v>8.1199999999999992</v>
      </c>
      <c r="Q99" s="1258">
        <v>9.02</v>
      </c>
      <c r="R99" s="1258">
        <v>9.98</v>
      </c>
      <c r="S99" s="1258">
        <v>11.01</v>
      </c>
      <c r="T99" s="1258">
        <v>12.1</v>
      </c>
      <c r="U99" s="1259">
        <v>13.26</v>
      </c>
      <c r="V99" s="1257">
        <v>14.48</v>
      </c>
      <c r="W99" s="1258">
        <v>15.76</v>
      </c>
      <c r="X99" s="1258">
        <v>17.079999999999998</v>
      </c>
      <c r="Y99" s="1258">
        <v>18.43</v>
      </c>
      <c r="Z99" s="1258">
        <v>19.809999999999999</v>
      </c>
      <c r="AA99" s="1258">
        <v>21.21</v>
      </c>
      <c r="AB99" s="1258">
        <v>22.62</v>
      </c>
      <c r="AC99" s="1258">
        <v>24.02</v>
      </c>
      <c r="AD99" s="1258">
        <v>25.4</v>
      </c>
      <c r="AE99" s="1259">
        <v>26.74</v>
      </c>
      <c r="AF99" s="1257">
        <v>28.2</v>
      </c>
      <c r="AG99" s="1258">
        <v>29.5</v>
      </c>
      <c r="AH99" s="1258">
        <v>30.66</v>
      </c>
      <c r="AI99" s="1258">
        <v>31.68</v>
      </c>
      <c r="AJ99" s="1258">
        <v>32.56</v>
      </c>
      <c r="AK99" s="1258">
        <v>33.32</v>
      </c>
      <c r="AL99" s="1258">
        <v>33.97</v>
      </c>
      <c r="AM99" s="1258">
        <v>34.520000000000003</v>
      </c>
      <c r="AN99" s="1258">
        <v>34.97</v>
      </c>
      <c r="AO99" s="1259">
        <v>35.33</v>
      </c>
      <c r="AP99" s="1257">
        <v>35.619999999999997</v>
      </c>
      <c r="AQ99" s="1258">
        <v>35.85</v>
      </c>
      <c r="AR99" s="1258">
        <v>36.020000000000003</v>
      </c>
      <c r="AS99" s="1258">
        <v>36.15</v>
      </c>
      <c r="AT99" s="1258">
        <v>36.24</v>
      </c>
      <c r="AU99" s="1258">
        <v>36.299999999999997</v>
      </c>
      <c r="AV99" s="1258">
        <v>36.340000000000003</v>
      </c>
      <c r="AW99" s="1258">
        <v>36.369999999999997</v>
      </c>
      <c r="AX99" s="1258">
        <v>36.39</v>
      </c>
      <c r="AY99" s="1259"/>
      <c r="AZ99" s="1257"/>
      <c r="BA99" s="1258"/>
      <c r="BB99" s="1258"/>
      <c r="BC99" s="1258"/>
      <c r="BD99" s="1258"/>
      <c r="BE99" s="1258"/>
      <c r="BF99" s="1258"/>
      <c r="BG99" s="1258"/>
      <c r="BH99" s="1258"/>
      <c r="BI99" s="1259"/>
      <c r="BJ99" s="1257"/>
      <c r="BK99" s="1258"/>
      <c r="BL99" s="1258"/>
      <c r="BM99" s="1258"/>
      <c r="BN99" s="1258"/>
      <c r="BO99" s="1258"/>
      <c r="BP99" s="1258"/>
      <c r="BQ99" s="1258"/>
      <c r="BR99" s="1258"/>
      <c r="BS99" s="1259"/>
      <c r="BT99" s="1257"/>
      <c r="BU99" s="1258"/>
      <c r="BV99" s="1258"/>
      <c r="BW99" s="1258"/>
      <c r="BX99" s="1258"/>
      <c r="BY99" s="1258"/>
      <c r="BZ99" s="1258"/>
      <c r="CA99" s="1258"/>
      <c r="CB99" s="1258"/>
      <c r="CC99" s="1259"/>
      <c r="CD99" s="1258"/>
      <c r="CE99" s="1258"/>
      <c r="CF99" s="1259"/>
      <c r="CH99" s="1515" t="str">
        <f t="shared" si="2"/>
        <v>WPTPDCIF50</v>
      </c>
      <c r="CI99" s="1166">
        <v>50</v>
      </c>
      <c r="CJ99" s="1257"/>
      <c r="CK99" s="1258">
        <v>0.54</v>
      </c>
      <c r="CL99" s="1258">
        <v>0.85</v>
      </c>
      <c r="CM99" s="1258">
        <v>1.18</v>
      </c>
      <c r="CN99" s="1258">
        <v>1.54</v>
      </c>
      <c r="CO99" s="1258">
        <v>1.93</v>
      </c>
      <c r="CP99" s="1258">
        <v>2.36</v>
      </c>
      <c r="CQ99" s="1258">
        <v>2.82</v>
      </c>
      <c r="CR99" s="1259">
        <v>3.32</v>
      </c>
      <c r="CS99" s="1257">
        <v>3.86</v>
      </c>
      <c r="CT99" s="1258">
        <v>4.45</v>
      </c>
      <c r="CU99" s="1258">
        <v>5.09</v>
      </c>
      <c r="CV99" s="1258">
        <v>5.79</v>
      </c>
      <c r="CW99" s="1258">
        <v>6.54</v>
      </c>
      <c r="CX99" s="1258">
        <v>7.16</v>
      </c>
      <c r="CY99" s="1258">
        <v>7.81</v>
      </c>
      <c r="CZ99" s="1258">
        <v>8.5</v>
      </c>
      <c r="DA99" s="1258">
        <v>9.2200000000000006</v>
      </c>
      <c r="DB99" s="1259">
        <v>9.9700000000000006</v>
      </c>
      <c r="DC99" s="1257">
        <v>10.77</v>
      </c>
      <c r="DD99" s="1258">
        <v>11.59</v>
      </c>
      <c r="DE99" s="1258">
        <v>12.45</v>
      </c>
      <c r="DF99" s="1258">
        <v>13.34</v>
      </c>
      <c r="DG99" s="1258">
        <v>14.26</v>
      </c>
      <c r="DH99" s="1258">
        <v>15.21</v>
      </c>
      <c r="DI99" s="1258">
        <v>16.18</v>
      </c>
      <c r="DJ99" s="1258">
        <v>17.170000000000002</v>
      </c>
      <c r="DK99" s="1258">
        <v>18.18</v>
      </c>
      <c r="DL99" s="1259">
        <v>19.2</v>
      </c>
      <c r="DM99" s="1257">
        <v>20.43</v>
      </c>
      <c r="DN99" s="1258">
        <v>21.57</v>
      </c>
      <c r="DO99" s="1258">
        <v>22.61</v>
      </c>
      <c r="DP99" s="1258">
        <v>23.55</v>
      </c>
      <c r="DQ99" s="1258">
        <v>24.39</v>
      </c>
      <c r="DR99" s="1258">
        <v>25.13</v>
      </c>
      <c r="DS99" s="1258">
        <v>25.78</v>
      </c>
      <c r="DT99" s="1258">
        <v>26.34</v>
      </c>
      <c r="DU99" s="1258">
        <v>26.82</v>
      </c>
      <c r="DV99" s="1259">
        <v>27.22</v>
      </c>
      <c r="DW99" s="1257">
        <v>27.55</v>
      </c>
      <c r="DX99" s="1258">
        <v>27.81</v>
      </c>
      <c r="DY99" s="1258">
        <v>28.02</v>
      </c>
      <c r="DZ99" s="1258">
        <v>28.18</v>
      </c>
      <c r="EA99" s="1258">
        <v>28.29</v>
      </c>
      <c r="EB99" s="1258">
        <v>28.37</v>
      </c>
      <c r="EC99" s="1258">
        <v>28.43</v>
      </c>
      <c r="ED99" s="1258">
        <v>28.47</v>
      </c>
      <c r="EE99" s="1258">
        <v>28.49</v>
      </c>
      <c r="EF99" s="1259"/>
      <c r="EG99" s="1257"/>
      <c r="EH99" s="1258"/>
      <c r="EI99" s="1258"/>
      <c r="EJ99" s="1258"/>
      <c r="EK99" s="1258"/>
      <c r="EL99" s="1258"/>
      <c r="EM99" s="1258"/>
      <c r="EN99" s="1258"/>
      <c r="EO99" s="1258"/>
      <c r="EP99" s="1259"/>
      <c r="EQ99" s="1257"/>
      <c r="ER99" s="1258"/>
      <c r="ES99" s="1258"/>
      <c r="ET99" s="1258"/>
      <c r="EU99" s="1258"/>
      <c r="EV99" s="1258"/>
      <c r="EW99" s="1258"/>
      <c r="EX99" s="1258"/>
      <c r="EY99" s="1258"/>
      <c r="EZ99" s="1259"/>
      <c r="FA99" s="1257"/>
      <c r="FB99" s="1258"/>
      <c r="FC99" s="1258"/>
      <c r="FD99" s="1258"/>
      <c r="FE99" s="1258"/>
      <c r="FF99" s="1258"/>
      <c r="FG99" s="1258"/>
      <c r="FH99" s="1258"/>
      <c r="FI99" s="1258"/>
      <c r="FJ99" s="1259"/>
      <c r="FK99" s="1258"/>
      <c r="FL99" s="1258"/>
      <c r="FM99" s="1259"/>
    </row>
    <row r="100" spans="1:169" s="1519" customFormat="1">
      <c r="A100" s="1515" t="s">
        <v>1577</v>
      </c>
      <c r="B100" s="1167">
        <v>51</v>
      </c>
      <c r="C100" s="1260"/>
      <c r="D100" s="1261">
        <v>0.65</v>
      </c>
      <c r="E100" s="1261">
        <v>1.02</v>
      </c>
      <c r="F100" s="1261">
        <v>1.44</v>
      </c>
      <c r="G100" s="1261">
        <v>1.89</v>
      </c>
      <c r="H100" s="1261">
        <v>2.4</v>
      </c>
      <c r="I100" s="1261">
        <v>2.95</v>
      </c>
      <c r="J100" s="1261">
        <v>3.56</v>
      </c>
      <c r="K100" s="1262">
        <v>4.24</v>
      </c>
      <c r="L100" s="1260">
        <v>4.99</v>
      </c>
      <c r="M100" s="1261">
        <v>5.82</v>
      </c>
      <c r="N100" s="1261">
        <v>6.74</v>
      </c>
      <c r="O100" s="1261">
        <v>7.77</v>
      </c>
      <c r="P100" s="1261">
        <v>8.91</v>
      </c>
      <c r="Q100" s="1261">
        <v>9.91</v>
      </c>
      <c r="R100" s="1261">
        <v>10.97</v>
      </c>
      <c r="S100" s="1261">
        <v>12.11</v>
      </c>
      <c r="T100" s="1261">
        <v>13.31</v>
      </c>
      <c r="U100" s="1262">
        <v>14.58</v>
      </c>
      <c r="V100" s="1260">
        <v>15.91</v>
      </c>
      <c r="W100" s="1261">
        <v>17.28</v>
      </c>
      <c r="X100" s="1261">
        <v>18.690000000000001</v>
      </c>
      <c r="Y100" s="1261">
        <v>20.13</v>
      </c>
      <c r="Z100" s="1261">
        <v>21.59</v>
      </c>
      <c r="AA100" s="1261">
        <v>23.05</v>
      </c>
      <c r="AB100" s="1261">
        <v>24.51</v>
      </c>
      <c r="AC100" s="1261">
        <v>25.95</v>
      </c>
      <c r="AD100" s="1261">
        <v>27.35</v>
      </c>
      <c r="AE100" s="1262">
        <v>28.88</v>
      </c>
      <c r="AF100" s="1260">
        <v>30.25</v>
      </c>
      <c r="AG100" s="1261">
        <v>31.46</v>
      </c>
      <c r="AH100" s="1261">
        <v>32.53</v>
      </c>
      <c r="AI100" s="1261">
        <v>33.46</v>
      </c>
      <c r="AJ100" s="1261">
        <v>34.26</v>
      </c>
      <c r="AK100" s="1261">
        <v>34.94</v>
      </c>
      <c r="AL100" s="1261">
        <v>35.51</v>
      </c>
      <c r="AM100" s="1261">
        <v>35.979999999999997</v>
      </c>
      <c r="AN100" s="1261">
        <v>36.36</v>
      </c>
      <c r="AO100" s="1262">
        <v>36.67</v>
      </c>
      <c r="AP100" s="1260">
        <v>36.909999999999997</v>
      </c>
      <c r="AQ100" s="1261">
        <v>37.090000000000003</v>
      </c>
      <c r="AR100" s="1261">
        <v>37.22</v>
      </c>
      <c r="AS100" s="1261">
        <v>37.32</v>
      </c>
      <c r="AT100" s="1261">
        <v>37.380000000000003</v>
      </c>
      <c r="AU100" s="1261">
        <v>37.43</v>
      </c>
      <c r="AV100" s="1261">
        <v>37.46</v>
      </c>
      <c r="AW100" s="1261">
        <v>37.47</v>
      </c>
      <c r="AX100" s="1261"/>
      <c r="AY100" s="1262"/>
      <c r="AZ100" s="1260"/>
      <c r="BA100" s="1261"/>
      <c r="BB100" s="1261"/>
      <c r="BC100" s="1261"/>
      <c r="BD100" s="1261"/>
      <c r="BE100" s="1261"/>
      <c r="BF100" s="1261"/>
      <c r="BG100" s="1261"/>
      <c r="BH100" s="1261"/>
      <c r="BI100" s="1262"/>
      <c r="BJ100" s="1260"/>
      <c r="BK100" s="1261"/>
      <c r="BL100" s="1261"/>
      <c r="BM100" s="1261"/>
      <c r="BN100" s="1261"/>
      <c r="BO100" s="1261"/>
      <c r="BP100" s="1261"/>
      <c r="BQ100" s="1261"/>
      <c r="BR100" s="1261"/>
      <c r="BS100" s="1262"/>
      <c r="BT100" s="1260"/>
      <c r="BU100" s="1261"/>
      <c r="BV100" s="1261"/>
      <c r="BW100" s="1261"/>
      <c r="BX100" s="1261"/>
      <c r="BY100" s="1261"/>
      <c r="BZ100" s="1261"/>
      <c r="CA100" s="1261"/>
      <c r="CB100" s="1261"/>
      <c r="CC100" s="1262"/>
      <c r="CD100" s="1261"/>
      <c r="CE100" s="1261"/>
      <c r="CF100" s="1262"/>
      <c r="CH100" s="1515" t="str">
        <f t="shared" si="2"/>
        <v>WPTPDCIF51</v>
      </c>
      <c r="CI100" s="1167">
        <v>51</v>
      </c>
      <c r="CJ100" s="1260"/>
      <c r="CK100" s="1261">
        <v>0.56999999999999995</v>
      </c>
      <c r="CL100" s="1261">
        <v>0.89</v>
      </c>
      <c r="CM100" s="1261">
        <v>1.24</v>
      </c>
      <c r="CN100" s="1261">
        <v>1.63</v>
      </c>
      <c r="CO100" s="1261">
        <v>2.04</v>
      </c>
      <c r="CP100" s="1261">
        <v>2.4900000000000002</v>
      </c>
      <c r="CQ100" s="1261">
        <v>2.98</v>
      </c>
      <c r="CR100" s="1262">
        <v>3.51</v>
      </c>
      <c r="CS100" s="1260">
        <v>4.08</v>
      </c>
      <c r="CT100" s="1261">
        <v>4.71</v>
      </c>
      <c r="CU100" s="1261">
        <v>5.39</v>
      </c>
      <c r="CV100" s="1261">
        <v>6.13</v>
      </c>
      <c r="CW100" s="1261">
        <v>6.94</v>
      </c>
      <c r="CX100" s="1261">
        <v>7.61</v>
      </c>
      <c r="CY100" s="1261">
        <v>8.31</v>
      </c>
      <c r="CZ100" s="1261">
        <v>9.0500000000000007</v>
      </c>
      <c r="DA100" s="1261">
        <v>9.82</v>
      </c>
      <c r="DB100" s="1262">
        <v>10.64</v>
      </c>
      <c r="DC100" s="1260">
        <v>11.49</v>
      </c>
      <c r="DD100" s="1261">
        <v>12.37</v>
      </c>
      <c r="DE100" s="1261">
        <v>13.29</v>
      </c>
      <c r="DF100" s="1261">
        <v>14.23</v>
      </c>
      <c r="DG100" s="1261">
        <v>15.21</v>
      </c>
      <c r="DH100" s="1261">
        <v>16.21</v>
      </c>
      <c r="DI100" s="1261">
        <v>17.23</v>
      </c>
      <c r="DJ100" s="1261">
        <v>18.27</v>
      </c>
      <c r="DK100" s="1261">
        <v>19.329999999999998</v>
      </c>
      <c r="DL100" s="1262">
        <v>20.61</v>
      </c>
      <c r="DM100" s="1260">
        <v>21.8</v>
      </c>
      <c r="DN100" s="1261">
        <v>22.87</v>
      </c>
      <c r="DO100" s="1261">
        <v>23.85</v>
      </c>
      <c r="DP100" s="1261">
        <v>24.72</v>
      </c>
      <c r="DQ100" s="1261">
        <v>25.49</v>
      </c>
      <c r="DR100" s="1261">
        <v>26.16</v>
      </c>
      <c r="DS100" s="1261">
        <v>26.75</v>
      </c>
      <c r="DT100" s="1261">
        <v>27.24</v>
      </c>
      <c r="DU100" s="1261">
        <v>27.66</v>
      </c>
      <c r="DV100" s="1262">
        <v>28</v>
      </c>
      <c r="DW100" s="1260">
        <v>28.28</v>
      </c>
      <c r="DX100" s="1261">
        <v>28.49</v>
      </c>
      <c r="DY100" s="1261">
        <v>28.65</v>
      </c>
      <c r="DZ100" s="1261">
        <v>28.77</v>
      </c>
      <c r="EA100" s="1261">
        <v>28.86</v>
      </c>
      <c r="EB100" s="1261">
        <v>28.92</v>
      </c>
      <c r="EC100" s="1261">
        <v>28.96</v>
      </c>
      <c r="ED100" s="1261">
        <v>28.98</v>
      </c>
      <c r="EE100" s="1261"/>
      <c r="EF100" s="1262"/>
      <c r="EG100" s="1260"/>
      <c r="EH100" s="1261"/>
      <c r="EI100" s="1261"/>
      <c r="EJ100" s="1261"/>
      <c r="EK100" s="1261"/>
      <c r="EL100" s="1261"/>
      <c r="EM100" s="1261"/>
      <c r="EN100" s="1261"/>
      <c r="EO100" s="1261"/>
      <c r="EP100" s="1262"/>
      <c r="EQ100" s="1260"/>
      <c r="ER100" s="1261"/>
      <c r="ES100" s="1261"/>
      <c r="ET100" s="1261"/>
      <c r="EU100" s="1261"/>
      <c r="EV100" s="1261"/>
      <c r="EW100" s="1261"/>
      <c r="EX100" s="1261"/>
      <c r="EY100" s="1261"/>
      <c r="EZ100" s="1262"/>
      <c r="FA100" s="1260"/>
      <c r="FB100" s="1261"/>
      <c r="FC100" s="1261"/>
      <c r="FD100" s="1261"/>
      <c r="FE100" s="1261"/>
      <c r="FF100" s="1261"/>
      <c r="FG100" s="1261"/>
      <c r="FH100" s="1261"/>
      <c r="FI100" s="1261"/>
      <c r="FJ100" s="1262"/>
      <c r="FK100" s="1261"/>
      <c r="FL100" s="1261"/>
      <c r="FM100" s="1262"/>
    </row>
    <row r="101" spans="1:169" s="1519" customFormat="1">
      <c r="A101" s="1515" t="s">
        <v>1578</v>
      </c>
      <c r="B101" s="1166">
        <v>52</v>
      </c>
      <c r="C101" s="1257"/>
      <c r="D101" s="1258">
        <v>0.7</v>
      </c>
      <c r="E101" s="1258">
        <v>1.1100000000000001</v>
      </c>
      <c r="F101" s="1258">
        <v>1.56</v>
      </c>
      <c r="G101" s="1258">
        <v>2.06</v>
      </c>
      <c r="H101" s="1258">
        <v>2.61</v>
      </c>
      <c r="I101" s="1258">
        <v>3.21</v>
      </c>
      <c r="J101" s="1258">
        <v>3.88</v>
      </c>
      <c r="K101" s="1259">
        <v>4.63</v>
      </c>
      <c r="L101" s="1257">
        <v>5.45</v>
      </c>
      <c r="M101" s="1258">
        <v>6.37</v>
      </c>
      <c r="N101" s="1258">
        <v>7.4</v>
      </c>
      <c r="O101" s="1258">
        <v>8.5399999999999991</v>
      </c>
      <c r="P101" s="1258">
        <v>9.8000000000000007</v>
      </c>
      <c r="Q101" s="1258">
        <v>10.91</v>
      </c>
      <c r="R101" s="1258">
        <v>12.09</v>
      </c>
      <c r="S101" s="1258">
        <v>13.34</v>
      </c>
      <c r="T101" s="1258">
        <v>14.66</v>
      </c>
      <c r="U101" s="1259">
        <v>16.04</v>
      </c>
      <c r="V101" s="1257">
        <v>17.47</v>
      </c>
      <c r="W101" s="1258">
        <v>18.940000000000001</v>
      </c>
      <c r="X101" s="1258">
        <v>20.440000000000001</v>
      </c>
      <c r="Y101" s="1258">
        <v>21.96</v>
      </c>
      <c r="Z101" s="1258">
        <v>23.49</v>
      </c>
      <c r="AA101" s="1258">
        <v>25.01</v>
      </c>
      <c r="AB101" s="1258">
        <v>26.52</v>
      </c>
      <c r="AC101" s="1258">
        <v>27.98</v>
      </c>
      <c r="AD101" s="1258">
        <v>29.58</v>
      </c>
      <c r="AE101" s="1259">
        <v>31.02</v>
      </c>
      <c r="AF101" s="1257">
        <v>32.29</v>
      </c>
      <c r="AG101" s="1258">
        <v>33.42</v>
      </c>
      <c r="AH101" s="1258">
        <v>34.39</v>
      </c>
      <c r="AI101" s="1258">
        <v>35.229999999999997</v>
      </c>
      <c r="AJ101" s="1258">
        <v>35.950000000000003</v>
      </c>
      <c r="AK101" s="1258">
        <v>36.549999999999997</v>
      </c>
      <c r="AL101" s="1258">
        <v>37.04</v>
      </c>
      <c r="AM101" s="1258">
        <v>37.450000000000003</v>
      </c>
      <c r="AN101" s="1258">
        <v>37.770000000000003</v>
      </c>
      <c r="AO101" s="1259">
        <v>38.020000000000003</v>
      </c>
      <c r="AP101" s="1257">
        <v>38.21</v>
      </c>
      <c r="AQ101" s="1258">
        <v>38.35</v>
      </c>
      <c r="AR101" s="1258">
        <v>38.450000000000003</v>
      </c>
      <c r="AS101" s="1258">
        <v>38.520000000000003</v>
      </c>
      <c r="AT101" s="1258">
        <v>38.56</v>
      </c>
      <c r="AU101" s="1258">
        <v>38.590000000000003</v>
      </c>
      <c r="AV101" s="1258">
        <v>38.61</v>
      </c>
      <c r="AW101" s="1258"/>
      <c r="AX101" s="1258"/>
      <c r="AY101" s="1259"/>
      <c r="AZ101" s="1257"/>
      <c r="BA101" s="1258"/>
      <c r="BB101" s="1258"/>
      <c r="BC101" s="1258"/>
      <c r="BD101" s="1258"/>
      <c r="BE101" s="1258"/>
      <c r="BF101" s="1258"/>
      <c r="BG101" s="1258"/>
      <c r="BH101" s="1258"/>
      <c r="BI101" s="1259"/>
      <c r="BJ101" s="1257"/>
      <c r="BK101" s="1258"/>
      <c r="BL101" s="1258"/>
      <c r="BM101" s="1258"/>
      <c r="BN101" s="1258"/>
      <c r="BO101" s="1258"/>
      <c r="BP101" s="1258"/>
      <c r="BQ101" s="1258"/>
      <c r="BR101" s="1258"/>
      <c r="BS101" s="1259"/>
      <c r="BT101" s="1257"/>
      <c r="BU101" s="1258"/>
      <c r="BV101" s="1258"/>
      <c r="BW101" s="1258"/>
      <c r="BX101" s="1258"/>
      <c r="BY101" s="1258"/>
      <c r="BZ101" s="1258"/>
      <c r="CA101" s="1258"/>
      <c r="CB101" s="1258"/>
      <c r="CC101" s="1259"/>
      <c r="CD101" s="1258"/>
      <c r="CE101" s="1258"/>
      <c r="CF101" s="1259"/>
      <c r="CH101" s="1515" t="str">
        <f t="shared" si="2"/>
        <v>WPTPDCIF52</v>
      </c>
      <c r="CI101" s="1166">
        <v>52</v>
      </c>
      <c r="CJ101" s="1257"/>
      <c r="CK101" s="1258">
        <v>0.6</v>
      </c>
      <c r="CL101" s="1258">
        <v>0.94</v>
      </c>
      <c r="CM101" s="1258">
        <v>1.31</v>
      </c>
      <c r="CN101" s="1258">
        <v>1.72</v>
      </c>
      <c r="CO101" s="1258">
        <v>2.16</v>
      </c>
      <c r="CP101" s="1258">
        <v>2.63</v>
      </c>
      <c r="CQ101" s="1258">
        <v>3.15</v>
      </c>
      <c r="CR101" s="1259">
        <v>3.71</v>
      </c>
      <c r="CS101" s="1257">
        <v>4.32</v>
      </c>
      <c r="CT101" s="1258">
        <v>4.9800000000000004</v>
      </c>
      <c r="CU101" s="1258">
        <v>5.71</v>
      </c>
      <c r="CV101" s="1258">
        <v>6.51</v>
      </c>
      <c r="CW101" s="1258">
        <v>7.38</v>
      </c>
      <c r="CX101" s="1258">
        <v>8.1</v>
      </c>
      <c r="CY101" s="1258">
        <v>8.86</v>
      </c>
      <c r="CZ101" s="1258">
        <v>9.66</v>
      </c>
      <c r="DA101" s="1258">
        <v>10.49</v>
      </c>
      <c r="DB101" s="1259">
        <v>11.37</v>
      </c>
      <c r="DC101" s="1257">
        <v>12.28</v>
      </c>
      <c r="DD101" s="1258">
        <v>13.22</v>
      </c>
      <c r="DE101" s="1258">
        <v>14.19</v>
      </c>
      <c r="DF101" s="1258">
        <v>15.2</v>
      </c>
      <c r="DG101" s="1258">
        <v>16.23</v>
      </c>
      <c r="DH101" s="1258">
        <v>17.29</v>
      </c>
      <c r="DI101" s="1258">
        <v>18.37</v>
      </c>
      <c r="DJ101" s="1258">
        <v>19.45</v>
      </c>
      <c r="DK101" s="1258">
        <v>20.79</v>
      </c>
      <c r="DL101" s="1259">
        <v>22.02</v>
      </c>
      <c r="DM101" s="1257">
        <v>23.14</v>
      </c>
      <c r="DN101" s="1258">
        <v>24.15</v>
      </c>
      <c r="DO101" s="1258">
        <v>25.06</v>
      </c>
      <c r="DP101" s="1258">
        <v>25.86</v>
      </c>
      <c r="DQ101" s="1258">
        <v>26.56</v>
      </c>
      <c r="DR101" s="1258">
        <v>27.17</v>
      </c>
      <c r="DS101" s="1258">
        <v>27.68</v>
      </c>
      <c r="DT101" s="1258">
        <v>28.12</v>
      </c>
      <c r="DU101" s="1258">
        <v>28.47</v>
      </c>
      <c r="DV101" s="1259">
        <v>28.76</v>
      </c>
      <c r="DW101" s="1257">
        <v>28.98</v>
      </c>
      <c r="DX101" s="1258">
        <v>29.15</v>
      </c>
      <c r="DY101" s="1258">
        <v>29.27</v>
      </c>
      <c r="DZ101" s="1258">
        <v>29.36</v>
      </c>
      <c r="EA101" s="1258">
        <v>29.42</v>
      </c>
      <c r="EB101" s="1258">
        <v>29.46</v>
      </c>
      <c r="EC101" s="1258">
        <v>29.49</v>
      </c>
      <c r="ED101" s="1258"/>
      <c r="EE101" s="1258"/>
      <c r="EF101" s="1259"/>
      <c r="EG101" s="1257"/>
      <c r="EH101" s="1258"/>
      <c r="EI101" s="1258"/>
      <c r="EJ101" s="1258"/>
      <c r="EK101" s="1258"/>
      <c r="EL101" s="1258"/>
      <c r="EM101" s="1258"/>
      <c r="EN101" s="1258"/>
      <c r="EO101" s="1258"/>
      <c r="EP101" s="1259"/>
      <c r="EQ101" s="1257"/>
      <c r="ER101" s="1258"/>
      <c r="ES101" s="1258"/>
      <c r="ET101" s="1258"/>
      <c r="EU101" s="1258"/>
      <c r="EV101" s="1258"/>
      <c r="EW101" s="1258"/>
      <c r="EX101" s="1258"/>
      <c r="EY101" s="1258"/>
      <c r="EZ101" s="1259"/>
      <c r="FA101" s="1257"/>
      <c r="FB101" s="1258"/>
      <c r="FC101" s="1258"/>
      <c r="FD101" s="1258"/>
      <c r="FE101" s="1258"/>
      <c r="FF101" s="1258"/>
      <c r="FG101" s="1258"/>
      <c r="FH101" s="1258"/>
      <c r="FI101" s="1258"/>
      <c r="FJ101" s="1259"/>
      <c r="FK101" s="1258"/>
      <c r="FL101" s="1258"/>
      <c r="FM101" s="1259"/>
    </row>
    <row r="102" spans="1:169" s="1519" customFormat="1">
      <c r="A102" s="1515" t="s">
        <v>1579</v>
      </c>
      <c r="B102" s="1166">
        <v>53</v>
      </c>
      <c r="C102" s="1257"/>
      <c r="D102" s="1258">
        <v>0.77</v>
      </c>
      <c r="E102" s="1258">
        <v>1.21</v>
      </c>
      <c r="F102" s="1258">
        <v>1.7</v>
      </c>
      <c r="G102" s="1258">
        <v>2.2400000000000002</v>
      </c>
      <c r="H102" s="1258">
        <v>2.84</v>
      </c>
      <c r="I102" s="1258">
        <v>3.51</v>
      </c>
      <c r="J102" s="1258">
        <v>4.25</v>
      </c>
      <c r="K102" s="1259">
        <v>5.07</v>
      </c>
      <c r="L102" s="1257">
        <v>5.99</v>
      </c>
      <c r="M102" s="1258">
        <v>7.01</v>
      </c>
      <c r="N102" s="1258">
        <v>8.14</v>
      </c>
      <c r="O102" s="1258">
        <v>9.41</v>
      </c>
      <c r="P102" s="1258">
        <v>10.81</v>
      </c>
      <c r="Q102" s="1258">
        <v>12.04</v>
      </c>
      <c r="R102" s="1258">
        <v>13.35</v>
      </c>
      <c r="S102" s="1258">
        <v>14.72</v>
      </c>
      <c r="T102" s="1258">
        <v>16.16</v>
      </c>
      <c r="U102" s="1259">
        <v>17.64</v>
      </c>
      <c r="V102" s="1257">
        <v>19.170000000000002</v>
      </c>
      <c r="W102" s="1258">
        <v>20.74</v>
      </c>
      <c r="X102" s="1258">
        <v>22.33</v>
      </c>
      <c r="Y102" s="1258">
        <v>23.92</v>
      </c>
      <c r="Z102" s="1258">
        <v>25.52</v>
      </c>
      <c r="AA102" s="1258">
        <v>27.09</v>
      </c>
      <c r="AB102" s="1258">
        <v>28.62</v>
      </c>
      <c r="AC102" s="1258">
        <v>30.3</v>
      </c>
      <c r="AD102" s="1258">
        <v>31.82</v>
      </c>
      <c r="AE102" s="1259">
        <v>33.159999999999997</v>
      </c>
      <c r="AF102" s="1257">
        <v>34.340000000000003</v>
      </c>
      <c r="AG102" s="1258">
        <v>35.369999999999997</v>
      </c>
      <c r="AH102" s="1258">
        <v>36.25</v>
      </c>
      <c r="AI102" s="1258">
        <v>37</v>
      </c>
      <c r="AJ102" s="1258">
        <v>37.630000000000003</v>
      </c>
      <c r="AK102" s="1258">
        <v>38.15</v>
      </c>
      <c r="AL102" s="1258">
        <v>38.58</v>
      </c>
      <c r="AM102" s="1258">
        <v>38.909999999999997</v>
      </c>
      <c r="AN102" s="1258">
        <v>39.18</v>
      </c>
      <c r="AO102" s="1259">
        <v>39.380000000000003</v>
      </c>
      <c r="AP102" s="1257">
        <v>39.520000000000003</v>
      </c>
      <c r="AQ102" s="1258">
        <v>39.630000000000003</v>
      </c>
      <c r="AR102" s="1258">
        <v>39.700000000000003</v>
      </c>
      <c r="AS102" s="1258">
        <v>39.75</v>
      </c>
      <c r="AT102" s="1258">
        <v>39.78</v>
      </c>
      <c r="AU102" s="1258">
        <v>39.799999999999997</v>
      </c>
      <c r="AV102" s="1258"/>
      <c r="AW102" s="1258"/>
      <c r="AX102" s="1258"/>
      <c r="AY102" s="1259"/>
      <c r="AZ102" s="1257"/>
      <c r="BA102" s="1258"/>
      <c r="BB102" s="1258"/>
      <c r="BC102" s="1258"/>
      <c r="BD102" s="1258"/>
      <c r="BE102" s="1258"/>
      <c r="BF102" s="1258"/>
      <c r="BG102" s="1258"/>
      <c r="BH102" s="1258"/>
      <c r="BI102" s="1259"/>
      <c r="BJ102" s="1257"/>
      <c r="BK102" s="1258"/>
      <c r="BL102" s="1258"/>
      <c r="BM102" s="1258"/>
      <c r="BN102" s="1258"/>
      <c r="BO102" s="1258"/>
      <c r="BP102" s="1258"/>
      <c r="BQ102" s="1258"/>
      <c r="BR102" s="1258"/>
      <c r="BS102" s="1259"/>
      <c r="BT102" s="1257"/>
      <c r="BU102" s="1258"/>
      <c r="BV102" s="1258"/>
      <c r="BW102" s="1258"/>
      <c r="BX102" s="1258"/>
      <c r="BY102" s="1258"/>
      <c r="BZ102" s="1258"/>
      <c r="CA102" s="1258"/>
      <c r="CB102" s="1258"/>
      <c r="CC102" s="1259"/>
      <c r="CD102" s="1258"/>
      <c r="CE102" s="1258"/>
      <c r="CF102" s="1259"/>
      <c r="CH102" s="1515" t="str">
        <f t="shared" si="2"/>
        <v>WPTPDCIF53</v>
      </c>
      <c r="CI102" s="1166">
        <v>53</v>
      </c>
      <c r="CJ102" s="1257"/>
      <c r="CK102" s="1258">
        <v>0.63</v>
      </c>
      <c r="CL102" s="1258">
        <v>0.99</v>
      </c>
      <c r="CM102" s="1258">
        <v>1.39</v>
      </c>
      <c r="CN102" s="1258">
        <v>1.81</v>
      </c>
      <c r="CO102" s="1258">
        <v>2.2799999999999998</v>
      </c>
      <c r="CP102" s="1258">
        <v>2.78</v>
      </c>
      <c r="CQ102" s="1258">
        <v>3.33</v>
      </c>
      <c r="CR102" s="1259">
        <v>3.93</v>
      </c>
      <c r="CS102" s="1257">
        <v>4.58</v>
      </c>
      <c r="CT102" s="1258">
        <v>5.29</v>
      </c>
      <c r="CU102" s="1258">
        <v>6.07</v>
      </c>
      <c r="CV102" s="1258">
        <v>6.93</v>
      </c>
      <c r="CW102" s="1258">
        <v>7.86</v>
      </c>
      <c r="CX102" s="1258">
        <v>8.64</v>
      </c>
      <c r="CY102" s="1258">
        <v>9.4600000000000009</v>
      </c>
      <c r="CZ102" s="1258">
        <v>10.33</v>
      </c>
      <c r="DA102" s="1258">
        <v>11.23</v>
      </c>
      <c r="DB102" s="1259">
        <v>12.16</v>
      </c>
      <c r="DC102" s="1257">
        <v>13.13</v>
      </c>
      <c r="DD102" s="1258">
        <v>14.14</v>
      </c>
      <c r="DE102" s="1258">
        <v>15.18</v>
      </c>
      <c r="DF102" s="1258">
        <v>16.239999999999998</v>
      </c>
      <c r="DG102" s="1258">
        <v>17.34</v>
      </c>
      <c r="DH102" s="1258">
        <v>18.45</v>
      </c>
      <c r="DI102" s="1258">
        <v>19.57</v>
      </c>
      <c r="DJ102" s="1258">
        <v>20.96</v>
      </c>
      <c r="DK102" s="1258">
        <v>22.24</v>
      </c>
      <c r="DL102" s="1259">
        <v>23.41</v>
      </c>
      <c r="DM102" s="1257">
        <v>24.46</v>
      </c>
      <c r="DN102" s="1258">
        <v>25.41</v>
      </c>
      <c r="DO102" s="1258">
        <v>26.24</v>
      </c>
      <c r="DP102" s="1258">
        <v>26.97</v>
      </c>
      <c r="DQ102" s="1258">
        <v>27.6</v>
      </c>
      <c r="DR102" s="1258">
        <v>28.14</v>
      </c>
      <c r="DS102" s="1258">
        <v>28.59</v>
      </c>
      <c r="DT102" s="1258">
        <v>28.96</v>
      </c>
      <c r="DU102" s="1258">
        <v>29.25</v>
      </c>
      <c r="DV102" s="1259">
        <v>29.49</v>
      </c>
      <c r="DW102" s="1257">
        <v>29.66</v>
      </c>
      <c r="DX102" s="1258">
        <v>29.79</v>
      </c>
      <c r="DY102" s="1258">
        <v>29.89</v>
      </c>
      <c r="DZ102" s="1258">
        <v>29.95</v>
      </c>
      <c r="EA102" s="1258">
        <v>29.99</v>
      </c>
      <c r="EB102" s="1258">
        <v>30.02</v>
      </c>
      <c r="EC102" s="1258"/>
      <c r="ED102" s="1258"/>
      <c r="EE102" s="1258"/>
      <c r="EF102" s="1259"/>
      <c r="EG102" s="1257"/>
      <c r="EH102" s="1258"/>
      <c r="EI102" s="1258"/>
      <c r="EJ102" s="1258"/>
      <c r="EK102" s="1258"/>
      <c r="EL102" s="1258"/>
      <c r="EM102" s="1258"/>
      <c r="EN102" s="1258"/>
      <c r="EO102" s="1258"/>
      <c r="EP102" s="1259"/>
      <c r="EQ102" s="1257"/>
      <c r="ER102" s="1258"/>
      <c r="ES102" s="1258"/>
      <c r="ET102" s="1258"/>
      <c r="EU102" s="1258"/>
      <c r="EV102" s="1258"/>
      <c r="EW102" s="1258"/>
      <c r="EX102" s="1258"/>
      <c r="EY102" s="1258"/>
      <c r="EZ102" s="1259"/>
      <c r="FA102" s="1257"/>
      <c r="FB102" s="1258"/>
      <c r="FC102" s="1258"/>
      <c r="FD102" s="1258"/>
      <c r="FE102" s="1258"/>
      <c r="FF102" s="1258"/>
      <c r="FG102" s="1258"/>
      <c r="FH102" s="1258"/>
      <c r="FI102" s="1258"/>
      <c r="FJ102" s="1259"/>
      <c r="FK102" s="1258"/>
      <c r="FL102" s="1258"/>
      <c r="FM102" s="1259"/>
    </row>
    <row r="103" spans="1:169" s="1519" customFormat="1">
      <c r="A103" s="1515" t="s">
        <v>1580</v>
      </c>
      <c r="B103" s="1166">
        <v>54</v>
      </c>
      <c r="C103" s="1257"/>
      <c r="D103" s="1258">
        <v>0.83</v>
      </c>
      <c r="E103" s="1258">
        <v>1.32</v>
      </c>
      <c r="F103" s="1258">
        <v>1.85</v>
      </c>
      <c r="G103" s="1258">
        <v>2.4500000000000002</v>
      </c>
      <c r="H103" s="1258">
        <v>3.1</v>
      </c>
      <c r="I103" s="1258">
        <v>3.84</v>
      </c>
      <c r="J103" s="1258">
        <v>4.66</v>
      </c>
      <c r="K103" s="1259">
        <v>5.57</v>
      </c>
      <c r="L103" s="1257">
        <v>6.59</v>
      </c>
      <c r="M103" s="1258">
        <v>7.73</v>
      </c>
      <c r="N103" s="1258">
        <v>8.99</v>
      </c>
      <c r="O103" s="1258">
        <v>10.4</v>
      </c>
      <c r="P103" s="1258">
        <v>11.96</v>
      </c>
      <c r="Q103" s="1258">
        <v>13.32</v>
      </c>
      <c r="R103" s="1258">
        <v>14.75</v>
      </c>
      <c r="S103" s="1258">
        <v>16.239999999999998</v>
      </c>
      <c r="T103" s="1258">
        <v>17.8</v>
      </c>
      <c r="U103" s="1259">
        <v>19.39</v>
      </c>
      <c r="V103" s="1257">
        <v>21.02</v>
      </c>
      <c r="W103" s="1258">
        <v>22.68</v>
      </c>
      <c r="X103" s="1258">
        <v>24.35</v>
      </c>
      <c r="Y103" s="1258">
        <v>26.02</v>
      </c>
      <c r="Z103" s="1258">
        <v>27.66</v>
      </c>
      <c r="AA103" s="1258">
        <v>29.27</v>
      </c>
      <c r="AB103" s="1258">
        <v>31.04</v>
      </c>
      <c r="AC103" s="1258">
        <v>32.630000000000003</v>
      </c>
      <c r="AD103" s="1258">
        <v>34.049999999999997</v>
      </c>
      <c r="AE103" s="1259">
        <v>35.29</v>
      </c>
      <c r="AF103" s="1257">
        <v>36.369999999999997</v>
      </c>
      <c r="AG103" s="1258">
        <v>37.299999999999997</v>
      </c>
      <c r="AH103" s="1258">
        <v>38.1</v>
      </c>
      <c r="AI103" s="1258">
        <v>38.76</v>
      </c>
      <c r="AJ103" s="1258">
        <v>39.31</v>
      </c>
      <c r="AK103" s="1258">
        <v>39.76</v>
      </c>
      <c r="AL103" s="1258">
        <v>40.11</v>
      </c>
      <c r="AM103" s="1258">
        <v>40.39</v>
      </c>
      <c r="AN103" s="1258">
        <v>40.6</v>
      </c>
      <c r="AO103" s="1259">
        <v>40.76</v>
      </c>
      <c r="AP103" s="1257">
        <v>40.869999999999997</v>
      </c>
      <c r="AQ103" s="1258">
        <v>40.94</v>
      </c>
      <c r="AR103" s="1258">
        <v>40.99</v>
      </c>
      <c r="AS103" s="1258">
        <v>41.03</v>
      </c>
      <c r="AT103" s="1258">
        <v>41.05</v>
      </c>
      <c r="AU103" s="1258"/>
      <c r="AV103" s="1258"/>
      <c r="AW103" s="1258"/>
      <c r="AX103" s="1258"/>
      <c r="AY103" s="1259"/>
      <c r="AZ103" s="1257"/>
      <c r="BA103" s="1258"/>
      <c r="BB103" s="1258"/>
      <c r="BC103" s="1258"/>
      <c r="BD103" s="1258"/>
      <c r="BE103" s="1258"/>
      <c r="BF103" s="1258"/>
      <c r="BG103" s="1258"/>
      <c r="BH103" s="1258"/>
      <c r="BI103" s="1259"/>
      <c r="BJ103" s="1257"/>
      <c r="BK103" s="1258"/>
      <c r="BL103" s="1258"/>
      <c r="BM103" s="1258"/>
      <c r="BN103" s="1258"/>
      <c r="BO103" s="1258"/>
      <c r="BP103" s="1258"/>
      <c r="BQ103" s="1258"/>
      <c r="BR103" s="1258"/>
      <c r="BS103" s="1259"/>
      <c r="BT103" s="1257"/>
      <c r="BU103" s="1258"/>
      <c r="BV103" s="1258"/>
      <c r="BW103" s="1258"/>
      <c r="BX103" s="1258"/>
      <c r="BY103" s="1258"/>
      <c r="BZ103" s="1258"/>
      <c r="CA103" s="1258"/>
      <c r="CB103" s="1258"/>
      <c r="CC103" s="1259"/>
      <c r="CD103" s="1258"/>
      <c r="CE103" s="1258"/>
      <c r="CF103" s="1259"/>
      <c r="CH103" s="1515" t="str">
        <f t="shared" si="2"/>
        <v>WPTPDCIF54</v>
      </c>
      <c r="CI103" s="1166">
        <v>54</v>
      </c>
      <c r="CJ103" s="1257"/>
      <c r="CK103" s="1258">
        <v>0.67</v>
      </c>
      <c r="CL103" s="1258">
        <v>1.05</v>
      </c>
      <c r="CM103" s="1258">
        <v>1.47</v>
      </c>
      <c r="CN103" s="1258">
        <v>1.92</v>
      </c>
      <c r="CO103" s="1258">
        <v>2.41</v>
      </c>
      <c r="CP103" s="1258">
        <v>2.94</v>
      </c>
      <c r="CQ103" s="1258">
        <v>3.53</v>
      </c>
      <c r="CR103" s="1259">
        <v>4.17</v>
      </c>
      <c r="CS103" s="1257">
        <v>4.87</v>
      </c>
      <c r="CT103" s="1258">
        <v>5.63</v>
      </c>
      <c r="CU103" s="1258">
        <v>6.47</v>
      </c>
      <c r="CV103" s="1258">
        <v>7.4</v>
      </c>
      <c r="CW103" s="1258">
        <v>8.41</v>
      </c>
      <c r="CX103" s="1258">
        <v>9.25</v>
      </c>
      <c r="CY103" s="1258">
        <v>10.14</v>
      </c>
      <c r="CZ103" s="1258">
        <v>11.07</v>
      </c>
      <c r="DA103" s="1258">
        <v>12.03</v>
      </c>
      <c r="DB103" s="1259">
        <v>13.03</v>
      </c>
      <c r="DC103" s="1257">
        <v>14.07</v>
      </c>
      <c r="DD103" s="1258">
        <v>15.14</v>
      </c>
      <c r="DE103" s="1258">
        <v>16.239999999999998</v>
      </c>
      <c r="DF103" s="1258">
        <v>17.37</v>
      </c>
      <c r="DG103" s="1258">
        <v>18.52</v>
      </c>
      <c r="DH103" s="1258">
        <v>19.68</v>
      </c>
      <c r="DI103" s="1258">
        <v>21.14</v>
      </c>
      <c r="DJ103" s="1258">
        <v>22.47</v>
      </c>
      <c r="DK103" s="1258">
        <v>23.68</v>
      </c>
      <c r="DL103" s="1259">
        <v>24.78</v>
      </c>
      <c r="DM103" s="1257">
        <v>25.76</v>
      </c>
      <c r="DN103" s="1258">
        <v>26.63</v>
      </c>
      <c r="DO103" s="1258">
        <v>27.39</v>
      </c>
      <c r="DP103" s="1258">
        <v>28.05</v>
      </c>
      <c r="DQ103" s="1258">
        <v>28.61</v>
      </c>
      <c r="DR103" s="1258">
        <v>29.08</v>
      </c>
      <c r="DS103" s="1258">
        <v>29.46</v>
      </c>
      <c r="DT103" s="1258">
        <v>29.77</v>
      </c>
      <c r="DU103" s="1258">
        <v>30.01</v>
      </c>
      <c r="DV103" s="1259">
        <v>30.2</v>
      </c>
      <c r="DW103" s="1257">
        <v>30.33</v>
      </c>
      <c r="DX103" s="1258">
        <v>30.43</v>
      </c>
      <c r="DY103" s="1258">
        <v>30.5</v>
      </c>
      <c r="DZ103" s="1258">
        <v>30.54</v>
      </c>
      <c r="EA103" s="1258">
        <v>30.57</v>
      </c>
      <c r="EB103" s="1258"/>
      <c r="EC103" s="1258"/>
      <c r="ED103" s="1258"/>
      <c r="EE103" s="1258"/>
      <c r="EF103" s="1259"/>
      <c r="EG103" s="1257"/>
      <c r="EH103" s="1258"/>
      <c r="EI103" s="1258"/>
      <c r="EJ103" s="1258"/>
      <c r="EK103" s="1258"/>
      <c r="EL103" s="1258"/>
      <c r="EM103" s="1258"/>
      <c r="EN103" s="1258"/>
      <c r="EO103" s="1258"/>
      <c r="EP103" s="1259"/>
      <c r="EQ103" s="1257"/>
      <c r="ER103" s="1258"/>
      <c r="ES103" s="1258"/>
      <c r="ET103" s="1258"/>
      <c r="EU103" s="1258"/>
      <c r="EV103" s="1258"/>
      <c r="EW103" s="1258"/>
      <c r="EX103" s="1258"/>
      <c r="EY103" s="1258"/>
      <c r="EZ103" s="1259"/>
      <c r="FA103" s="1257"/>
      <c r="FB103" s="1258"/>
      <c r="FC103" s="1258"/>
      <c r="FD103" s="1258"/>
      <c r="FE103" s="1258"/>
      <c r="FF103" s="1258"/>
      <c r="FG103" s="1258"/>
      <c r="FH103" s="1258"/>
      <c r="FI103" s="1258"/>
      <c r="FJ103" s="1259"/>
      <c r="FK103" s="1258"/>
      <c r="FL103" s="1258"/>
      <c r="FM103" s="1259"/>
    </row>
    <row r="104" spans="1:169" s="1519" customFormat="1">
      <c r="A104" s="1515" t="s">
        <v>1581</v>
      </c>
      <c r="B104" s="1168">
        <v>55</v>
      </c>
      <c r="C104" s="1263"/>
      <c r="D104" s="1264">
        <v>0.91</v>
      </c>
      <c r="E104" s="1264">
        <v>1.44</v>
      </c>
      <c r="F104" s="1264">
        <v>2.02</v>
      </c>
      <c r="G104" s="1264">
        <v>2.68</v>
      </c>
      <c r="H104" s="1264">
        <v>3.4</v>
      </c>
      <c r="I104" s="1264">
        <v>4.22</v>
      </c>
      <c r="J104" s="1264">
        <v>5.13</v>
      </c>
      <c r="K104" s="1265">
        <v>6.14</v>
      </c>
      <c r="L104" s="1263">
        <v>7.28</v>
      </c>
      <c r="M104" s="1264">
        <v>8.5500000000000007</v>
      </c>
      <c r="N104" s="1264">
        <v>9.9600000000000009</v>
      </c>
      <c r="O104" s="1264">
        <v>11.52</v>
      </c>
      <c r="P104" s="1264">
        <v>13.25</v>
      </c>
      <c r="Q104" s="1264">
        <v>14.74</v>
      </c>
      <c r="R104" s="1264">
        <v>16.3</v>
      </c>
      <c r="S104" s="1264">
        <v>17.920000000000002</v>
      </c>
      <c r="T104" s="1264">
        <v>19.59</v>
      </c>
      <c r="U104" s="1265">
        <v>21.29</v>
      </c>
      <c r="V104" s="1263">
        <v>23.03</v>
      </c>
      <c r="W104" s="1264">
        <v>24.77</v>
      </c>
      <c r="X104" s="1264">
        <v>26.52</v>
      </c>
      <c r="Y104" s="1264">
        <v>28.24</v>
      </c>
      <c r="Z104" s="1264">
        <v>29.92</v>
      </c>
      <c r="AA104" s="1264">
        <v>31.79</v>
      </c>
      <c r="AB104" s="1264">
        <v>33.47</v>
      </c>
      <c r="AC104" s="1264">
        <v>34.97</v>
      </c>
      <c r="AD104" s="1264">
        <v>36.28</v>
      </c>
      <c r="AE104" s="1265">
        <v>37.42</v>
      </c>
      <c r="AF104" s="1263">
        <v>38.4</v>
      </c>
      <c r="AG104" s="1264">
        <v>39.24</v>
      </c>
      <c r="AH104" s="1264">
        <v>39.94</v>
      </c>
      <c r="AI104" s="1264">
        <v>40.520000000000003</v>
      </c>
      <c r="AJ104" s="1264">
        <v>40.99</v>
      </c>
      <c r="AK104" s="1264">
        <v>41.37</v>
      </c>
      <c r="AL104" s="1264">
        <v>41.66</v>
      </c>
      <c r="AM104" s="1264">
        <v>41.88</v>
      </c>
      <c r="AN104" s="1264">
        <v>42.04</v>
      </c>
      <c r="AO104" s="1265">
        <v>42.16</v>
      </c>
      <c r="AP104" s="1263">
        <v>42.24</v>
      </c>
      <c r="AQ104" s="1264">
        <v>42.3</v>
      </c>
      <c r="AR104" s="1264">
        <v>42.33</v>
      </c>
      <c r="AS104" s="1264">
        <v>42.35</v>
      </c>
      <c r="AT104" s="1264"/>
      <c r="AU104" s="1264"/>
      <c r="AV104" s="1264"/>
      <c r="AW104" s="1264"/>
      <c r="AX104" s="1264"/>
      <c r="AY104" s="1265"/>
      <c r="AZ104" s="1263"/>
      <c r="BA104" s="1264"/>
      <c r="BB104" s="1264"/>
      <c r="BC104" s="1264"/>
      <c r="BD104" s="1264"/>
      <c r="BE104" s="1264"/>
      <c r="BF104" s="1264"/>
      <c r="BG104" s="1264"/>
      <c r="BH104" s="1264"/>
      <c r="BI104" s="1265"/>
      <c r="BJ104" s="1263"/>
      <c r="BK104" s="1264"/>
      <c r="BL104" s="1264"/>
      <c r="BM104" s="1264"/>
      <c r="BN104" s="1264"/>
      <c r="BO104" s="1264"/>
      <c r="BP104" s="1264"/>
      <c r="BQ104" s="1264"/>
      <c r="BR104" s="1264"/>
      <c r="BS104" s="1265"/>
      <c r="BT104" s="1263"/>
      <c r="BU104" s="1264"/>
      <c r="BV104" s="1264"/>
      <c r="BW104" s="1264"/>
      <c r="BX104" s="1264"/>
      <c r="BY104" s="1264"/>
      <c r="BZ104" s="1264"/>
      <c r="CA104" s="1264"/>
      <c r="CB104" s="1264"/>
      <c r="CC104" s="1265"/>
      <c r="CD104" s="1264"/>
      <c r="CE104" s="1264"/>
      <c r="CF104" s="1265"/>
      <c r="CH104" s="1515" t="str">
        <f t="shared" si="2"/>
        <v>WPTPDCIF55</v>
      </c>
      <c r="CI104" s="1168">
        <v>55</v>
      </c>
      <c r="CJ104" s="1263"/>
      <c r="CK104" s="1264">
        <v>0.71</v>
      </c>
      <c r="CL104" s="1264">
        <v>1.1100000000000001</v>
      </c>
      <c r="CM104" s="1264">
        <v>1.55</v>
      </c>
      <c r="CN104" s="1264">
        <v>2.0299999999999998</v>
      </c>
      <c r="CO104" s="1264">
        <v>2.5499999999999998</v>
      </c>
      <c r="CP104" s="1264">
        <v>3.12</v>
      </c>
      <c r="CQ104" s="1264">
        <v>3.75</v>
      </c>
      <c r="CR104" s="1265">
        <v>4.4400000000000004</v>
      </c>
      <c r="CS104" s="1263">
        <v>5.19</v>
      </c>
      <c r="CT104" s="1264">
        <v>6.02</v>
      </c>
      <c r="CU104" s="1264">
        <v>6.92</v>
      </c>
      <c r="CV104" s="1264">
        <v>7.92</v>
      </c>
      <c r="CW104" s="1264">
        <v>9.01</v>
      </c>
      <c r="CX104" s="1264">
        <v>9.93</v>
      </c>
      <c r="CY104" s="1264">
        <v>10.88</v>
      </c>
      <c r="CZ104" s="1264">
        <v>11.88</v>
      </c>
      <c r="DA104" s="1264">
        <v>12.91</v>
      </c>
      <c r="DB104" s="1265">
        <v>13.98</v>
      </c>
      <c r="DC104" s="1263">
        <v>15.09</v>
      </c>
      <c r="DD104" s="1264">
        <v>16.23</v>
      </c>
      <c r="DE104" s="1264">
        <v>17.399999999999999</v>
      </c>
      <c r="DF104" s="1264">
        <v>18.59</v>
      </c>
      <c r="DG104" s="1264">
        <v>19.79</v>
      </c>
      <c r="DH104" s="1264">
        <v>21.3</v>
      </c>
      <c r="DI104" s="1264">
        <v>22.7</v>
      </c>
      <c r="DJ104" s="1264">
        <v>23.96</v>
      </c>
      <c r="DK104" s="1264">
        <v>25.11</v>
      </c>
      <c r="DL104" s="1265">
        <v>26.13</v>
      </c>
      <c r="DM104" s="1263">
        <v>27.04</v>
      </c>
      <c r="DN104" s="1264">
        <v>27.83</v>
      </c>
      <c r="DO104" s="1264">
        <v>28.51</v>
      </c>
      <c r="DP104" s="1264">
        <v>29.1</v>
      </c>
      <c r="DQ104" s="1264">
        <v>29.59</v>
      </c>
      <c r="DR104" s="1264">
        <v>29.99</v>
      </c>
      <c r="DS104" s="1264">
        <v>30.31</v>
      </c>
      <c r="DT104" s="1264">
        <v>30.56</v>
      </c>
      <c r="DU104" s="1264">
        <v>30.76</v>
      </c>
      <c r="DV104" s="1265">
        <v>30.9</v>
      </c>
      <c r="DW104" s="1263">
        <v>31</v>
      </c>
      <c r="DX104" s="1264">
        <v>31.07</v>
      </c>
      <c r="DY104" s="1264">
        <v>31.11</v>
      </c>
      <c r="DZ104" s="1264">
        <v>31.14</v>
      </c>
      <c r="EA104" s="1264"/>
      <c r="EB104" s="1264"/>
      <c r="EC104" s="1264"/>
      <c r="ED104" s="1264"/>
      <c r="EE104" s="1264"/>
      <c r="EF104" s="1265"/>
      <c r="EG104" s="1263"/>
      <c r="EH104" s="1264"/>
      <c r="EI104" s="1264"/>
      <c r="EJ104" s="1264"/>
      <c r="EK104" s="1264"/>
      <c r="EL104" s="1264"/>
      <c r="EM104" s="1264"/>
      <c r="EN104" s="1264"/>
      <c r="EO104" s="1264"/>
      <c r="EP104" s="1265"/>
      <c r="EQ104" s="1263"/>
      <c r="ER104" s="1264"/>
      <c r="ES104" s="1264"/>
      <c r="ET104" s="1264"/>
      <c r="EU104" s="1264"/>
      <c r="EV104" s="1264"/>
      <c r="EW104" s="1264"/>
      <c r="EX104" s="1264"/>
      <c r="EY104" s="1264"/>
      <c r="EZ104" s="1265"/>
      <c r="FA104" s="1263"/>
      <c r="FB104" s="1264"/>
      <c r="FC104" s="1264"/>
      <c r="FD104" s="1264"/>
      <c r="FE104" s="1264"/>
      <c r="FF104" s="1264"/>
      <c r="FG104" s="1264"/>
      <c r="FH104" s="1264"/>
      <c r="FI104" s="1264"/>
      <c r="FJ104" s="1265"/>
      <c r="FK104" s="1264"/>
      <c r="FL104" s="1264"/>
      <c r="FM104" s="1265"/>
    </row>
    <row r="105" spans="1:169" s="1519" customFormat="1">
      <c r="A105" s="1515" t="s">
        <v>1582</v>
      </c>
      <c r="B105" s="1166">
        <v>56</v>
      </c>
      <c r="C105" s="1257"/>
      <c r="D105" s="1258">
        <v>0.99</v>
      </c>
      <c r="E105" s="1258">
        <v>1.57</v>
      </c>
      <c r="F105" s="1258">
        <v>2.2200000000000002</v>
      </c>
      <c r="G105" s="1258">
        <v>2.94</v>
      </c>
      <c r="H105" s="1258">
        <v>3.75</v>
      </c>
      <c r="I105" s="1258">
        <v>4.66</v>
      </c>
      <c r="J105" s="1258">
        <v>5.67</v>
      </c>
      <c r="K105" s="1259">
        <v>6.81</v>
      </c>
      <c r="L105" s="1257">
        <v>8.07</v>
      </c>
      <c r="M105" s="1258">
        <v>9.49</v>
      </c>
      <c r="N105" s="1258">
        <v>11.06</v>
      </c>
      <c r="O105" s="1258">
        <v>12.79</v>
      </c>
      <c r="P105" s="1258">
        <v>14.7</v>
      </c>
      <c r="Q105" s="1258">
        <v>16.329999999999998</v>
      </c>
      <c r="R105" s="1258">
        <v>18.02</v>
      </c>
      <c r="S105" s="1258">
        <v>19.760000000000002</v>
      </c>
      <c r="T105" s="1258">
        <v>21.55</v>
      </c>
      <c r="U105" s="1259">
        <v>23.36</v>
      </c>
      <c r="V105" s="1257">
        <v>25.19</v>
      </c>
      <c r="W105" s="1258">
        <v>27.01</v>
      </c>
      <c r="X105" s="1258">
        <v>28.82</v>
      </c>
      <c r="Y105" s="1258">
        <v>30.58</v>
      </c>
      <c r="Z105" s="1258">
        <v>32.56</v>
      </c>
      <c r="AA105" s="1258">
        <v>34.340000000000003</v>
      </c>
      <c r="AB105" s="1258">
        <v>35.92</v>
      </c>
      <c r="AC105" s="1258">
        <v>37.299999999999997</v>
      </c>
      <c r="AD105" s="1258">
        <v>38.51</v>
      </c>
      <c r="AE105" s="1259">
        <v>39.549999999999997</v>
      </c>
      <c r="AF105" s="1257">
        <v>40.43</v>
      </c>
      <c r="AG105" s="1258">
        <v>41.17</v>
      </c>
      <c r="AH105" s="1258">
        <v>41.79</v>
      </c>
      <c r="AI105" s="1258">
        <v>42.28</v>
      </c>
      <c r="AJ105" s="1258">
        <v>42.68</v>
      </c>
      <c r="AK105" s="1258">
        <v>42.99</v>
      </c>
      <c r="AL105" s="1258">
        <v>43.22</v>
      </c>
      <c r="AM105" s="1258">
        <v>43.4</v>
      </c>
      <c r="AN105" s="1258">
        <v>43.52</v>
      </c>
      <c r="AO105" s="1259">
        <v>43.61</v>
      </c>
      <c r="AP105" s="1257">
        <v>43.66</v>
      </c>
      <c r="AQ105" s="1258">
        <v>43.7</v>
      </c>
      <c r="AR105" s="1258">
        <v>43.72</v>
      </c>
      <c r="AS105" s="1258"/>
      <c r="AT105" s="1258"/>
      <c r="AU105" s="1258"/>
      <c r="AV105" s="1258"/>
      <c r="AW105" s="1258"/>
      <c r="AX105" s="1258"/>
      <c r="AY105" s="1259"/>
      <c r="AZ105" s="1257"/>
      <c r="BA105" s="1258"/>
      <c r="BB105" s="1258"/>
      <c r="BC105" s="1258"/>
      <c r="BD105" s="1258"/>
      <c r="BE105" s="1258"/>
      <c r="BF105" s="1258"/>
      <c r="BG105" s="1258"/>
      <c r="BH105" s="1258"/>
      <c r="BI105" s="1259"/>
      <c r="BJ105" s="1257"/>
      <c r="BK105" s="1258"/>
      <c r="BL105" s="1258"/>
      <c r="BM105" s="1258"/>
      <c r="BN105" s="1258"/>
      <c r="BO105" s="1258"/>
      <c r="BP105" s="1258"/>
      <c r="BQ105" s="1258"/>
      <c r="BR105" s="1258"/>
      <c r="BS105" s="1259"/>
      <c r="BT105" s="1257"/>
      <c r="BU105" s="1258"/>
      <c r="BV105" s="1258"/>
      <c r="BW105" s="1258"/>
      <c r="BX105" s="1258"/>
      <c r="BY105" s="1258"/>
      <c r="BZ105" s="1258"/>
      <c r="CA105" s="1258"/>
      <c r="CB105" s="1258"/>
      <c r="CC105" s="1259"/>
      <c r="CD105" s="1258"/>
      <c r="CE105" s="1258"/>
      <c r="CF105" s="1259"/>
      <c r="CH105" s="1515" t="str">
        <f t="shared" si="2"/>
        <v>WPTPDCIF56</v>
      </c>
      <c r="CI105" s="1166">
        <v>56</v>
      </c>
      <c r="CJ105" s="1257"/>
      <c r="CK105" s="1258">
        <v>0.75</v>
      </c>
      <c r="CL105" s="1258">
        <v>1.18</v>
      </c>
      <c r="CM105" s="1258">
        <v>1.64</v>
      </c>
      <c r="CN105" s="1258">
        <v>2.15</v>
      </c>
      <c r="CO105" s="1258">
        <v>2.71</v>
      </c>
      <c r="CP105" s="1258">
        <v>3.32</v>
      </c>
      <c r="CQ105" s="1258">
        <v>4</v>
      </c>
      <c r="CR105" s="1259">
        <v>4.74</v>
      </c>
      <c r="CS105" s="1257">
        <v>5.55</v>
      </c>
      <c r="CT105" s="1258">
        <v>6.45</v>
      </c>
      <c r="CU105" s="1258">
        <v>7.43</v>
      </c>
      <c r="CV105" s="1258">
        <v>8.51</v>
      </c>
      <c r="CW105" s="1258">
        <v>9.69</v>
      </c>
      <c r="CX105" s="1258">
        <v>10.68</v>
      </c>
      <c r="CY105" s="1258">
        <v>11.7</v>
      </c>
      <c r="CZ105" s="1258">
        <v>12.77</v>
      </c>
      <c r="DA105" s="1258">
        <v>13.88</v>
      </c>
      <c r="DB105" s="1259">
        <v>15.02</v>
      </c>
      <c r="DC105" s="1257">
        <v>16.2</v>
      </c>
      <c r="DD105" s="1258">
        <v>17.41</v>
      </c>
      <c r="DE105" s="1258">
        <v>18.64</v>
      </c>
      <c r="DF105" s="1258">
        <v>19.89</v>
      </c>
      <c r="DG105" s="1258">
        <v>21.47</v>
      </c>
      <c r="DH105" s="1258">
        <v>22.92</v>
      </c>
      <c r="DI105" s="1258">
        <v>24.25</v>
      </c>
      <c r="DJ105" s="1258">
        <v>25.44</v>
      </c>
      <c r="DK105" s="1258">
        <v>26.51</v>
      </c>
      <c r="DL105" s="1259">
        <v>27.46</v>
      </c>
      <c r="DM105" s="1257">
        <v>28.28</v>
      </c>
      <c r="DN105" s="1258">
        <v>29</v>
      </c>
      <c r="DO105" s="1258">
        <v>29.61</v>
      </c>
      <c r="DP105" s="1258">
        <v>30.12</v>
      </c>
      <c r="DQ105" s="1258">
        <v>30.54</v>
      </c>
      <c r="DR105" s="1258">
        <v>30.87</v>
      </c>
      <c r="DS105" s="1258">
        <v>31.14</v>
      </c>
      <c r="DT105" s="1258">
        <v>31.34</v>
      </c>
      <c r="DU105" s="1258">
        <v>31.49</v>
      </c>
      <c r="DV105" s="1259">
        <v>31.59</v>
      </c>
      <c r="DW105" s="1257">
        <v>31.66</v>
      </c>
      <c r="DX105" s="1258">
        <v>31.71</v>
      </c>
      <c r="DY105" s="1258">
        <v>31.74</v>
      </c>
      <c r="DZ105" s="1258"/>
      <c r="EA105" s="1258"/>
      <c r="EB105" s="1258"/>
      <c r="EC105" s="1258"/>
      <c r="ED105" s="1258"/>
      <c r="EE105" s="1258"/>
      <c r="EF105" s="1259"/>
      <c r="EG105" s="1257"/>
      <c r="EH105" s="1258"/>
      <c r="EI105" s="1258"/>
      <c r="EJ105" s="1258"/>
      <c r="EK105" s="1258"/>
      <c r="EL105" s="1258"/>
      <c r="EM105" s="1258"/>
      <c r="EN105" s="1258"/>
      <c r="EO105" s="1258"/>
      <c r="EP105" s="1259"/>
      <c r="EQ105" s="1257"/>
      <c r="ER105" s="1258"/>
      <c r="ES105" s="1258"/>
      <c r="ET105" s="1258"/>
      <c r="EU105" s="1258"/>
      <c r="EV105" s="1258"/>
      <c r="EW105" s="1258"/>
      <c r="EX105" s="1258"/>
      <c r="EY105" s="1258"/>
      <c r="EZ105" s="1259"/>
      <c r="FA105" s="1257"/>
      <c r="FB105" s="1258"/>
      <c r="FC105" s="1258"/>
      <c r="FD105" s="1258"/>
      <c r="FE105" s="1258"/>
      <c r="FF105" s="1258"/>
      <c r="FG105" s="1258"/>
      <c r="FH105" s="1258"/>
      <c r="FI105" s="1258"/>
      <c r="FJ105" s="1259"/>
      <c r="FK105" s="1258"/>
      <c r="FL105" s="1258"/>
      <c r="FM105" s="1259"/>
    </row>
    <row r="106" spans="1:169" s="1519" customFormat="1">
      <c r="A106" s="1515" t="s">
        <v>1583</v>
      </c>
      <c r="B106" s="1166">
        <v>57</v>
      </c>
      <c r="C106" s="1257"/>
      <c r="D106" s="1258">
        <v>1.08</v>
      </c>
      <c r="E106" s="1258">
        <v>1.72</v>
      </c>
      <c r="F106" s="1258">
        <v>2.44</v>
      </c>
      <c r="G106" s="1258">
        <v>3.25</v>
      </c>
      <c r="H106" s="1258">
        <v>4.1500000000000004</v>
      </c>
      <c r="I106" s="1258">
        <v>5.16</v>
      </c>
      <c r="J106" s="1258">
        <v>6.3</v>
      </c>
      <c r="K106" s="1259">
        <v>7.57</v>
      </c>
      <c r="L106" s="1257">
        <v>8.99</v>
      </c>
      <c r="M106" s="1258">
        <v>10.56</v>
      </c>
      <c r="N106" s="1258">
        <v>12.31</v>
      </c>
      <c r="O106" s="1258">
        <v>14.23</v>
      </c>
      <c r="P106" s="1258">
        <v>16.32</v>
      </c>
      <c r="Q106" s="1258">
        <v>18.079999999999998</v>
      </c>
      <c r="R106" s="1258">
        <v>19.91</v>
      </c>
      <c r="S106" s="1258">
        <v>21.77</v>
      </c>
      <c r="T106" s="1258">
        <v>23.67</v>
      </c>
      <c r="U106" s="1259">
        <v>25.58</v>
      </c>
      <c r="V106" s="1257">
        <v>27.5</v>
      </c>
      <c r="W106" s="1258">
        <v>29.4</v>
      </c>
      <c r="X106" s="1258">
        <v>31.25</v>
      </c>
      <c r="Y106" s="1258">
        <v>33.35</v>
      </c>
      <c r="Z106" s="1258">
        <v>35.229999999999997</v>
      </c>
      <c r="AA106" s="1258">
        <v>36.9</v>
      </c>
      <c r="AB106" s="1258">
        <v>38.369999999999997</v>
      </c>
      <c r="AC106" s="1258">
        <v>39.64</v>
      </c>
      <c r="AD106" s="1258">
        <v>40.74</v>
      </c>
      <c r="AE106" s="1259">
        <v>41.68</v>
      </c>
      <c r="AF106" s="1257">
        <v>42.46</v>
      </c>
      <c r="AG106" s="1258">
        <v>43.11</v>
      </c>
      <c r="AH106" s="1258">
        <v>43.64</v>
      </c>
      <c r="AI106" s="1258">
        <v>44.06</v>
      </c>
      <c r="AJ106" s="1258">
        <v>44.39</v>
      </c>
      <c r="AK106" s="1258">
        <v>44.63</v>
      </c>
      <c r="AL106" s="1258">
        <v>44.82</v>
      </c>
      <c r="AM106" s="1258">
        <v>44.95</v>
      </c>
      <c r="AN106" s="1258">
        <v>45.04</v>
      </c>
      <c r="AO106" s="1259">
        <v>45.1</v>
      </c>
      <c r="AP106" s="1257">
        <v>45.14</v>
      </c>
      <c r="AQ106" s="1258">
        <v>45.16</v>
      </c>
      <c r="AR106" s="1258"/>
      <c r="AS106" s="1258"/>
      <c r="AT106" s="1258"/>
      <c r="AU106" s="1258"/>
      <c r="AV106" s="1258"/>
      <c r="AW106" s="1258"/>
      <c r="AX106" s="1258"/>
      <c r="AY106" s="1259"/>
      <c r="AZ106" s="1257"/>
      <c r="BA106" s="1258"/>
      <c r="BB106" s="1258"/>
      <c r="BC106" s="1258"/>
      <c r="BD106" s="1258"/>
      <c r="BE106" s="1258"/>
      <c r="BF106" s="1258"/>
      <c r="BG106" s="1258"/>
      <c r="BH106" s="1258"/>
      <c r="BI106" s="1259"/>
      <c r="BJ106" s="1257"/>
      <c r="BK106" s="1258"/>
      <c r="BL106" s="1258"/>
      <c r="BM106" s="1258"/>
      <c r="BN106" s="1258"/>
      <c r="BO106" s="1258"/>
      <c r="BP106" s="1258"/>
      <c r="BQ106" s="1258"/>
      <c r="BR106" s="1258"/>
      <c r="BS106" s="1259"/>
      <c r="BT106" s="1257"/>
      <c r="BU106" s="1258"/>
      <c r="BV106" s="1258"/>
      <c r="BW106" s="1258"/>
      <c r="BX106" s="1258"/>
      <c r="BY106" s="1258"/>
      <c r="BZ106" s="1258"/>
      <c r="CA106" s="1258"/>
      <c r="CB106" s="1258"/>
      <c r="CC106" s="1259"/>
      <c r="CD106" s="1258"/>
      <c r="CE106" s="1258"/>
      <c r="CF106" s="1259"/>
      <c r="CH106" s="1515" t="str">
        <f t="shared" si="2"/>
        <v>WPTPDCIF57</v>
      </c>
      <c r="CI106" s="1166">
        <v>57</v>
      </c>
      <c r="CJ106" s="1257"/>
      <c r="CK106" s="1258">
        <v>0.79</v>
      </c>
      <c r="CL106" s="1258">
        <v>1.25</v>
      </c>
      <c r="CM106" s="1258">
        <v>1.74</v>
      </c>
      <c r="CN106" s="1258">
        <v>2.29</v>
      </c>
      <c r="CO106" s="1258">
        <v>2.89</v>
      </c>
      <c r="CP106" s="1258">
        <v>3.55</v>
      </c>
      <c r="CQ106" s="1258">
        <v>4.28</v>
      </c>
      <c r="CR106" s="1259">
        <v>5.08</v>
      </c>
      <c r="CS106" s="1257">
        <v>5.96</v>
      </c>
      <c r="CT106" s="1258">
        <v>6.93</v>
      </c>
      <c r="CU106" s="1258">
        <v>8</v>
      </c>
      <c r="CV106" s="1258">
        <v>9.17</v>
      </c>
      <c r="CW106" s="1258">
        <v>10.44</v>
      </c>
      <c r="CX106" s="1258">
        <v>11.5</v>
      </c>
      <c r="CY106" s="1258">
        <v>12.6</v>
      </c>
      <c r="CZ106" s="1258">
        <v>13.75</v>
      </c>
      <c r="DA106" s="1258">
        <v>14.93</v>
      </c>
      <c r="DB106" s="1259">
        <v>16.149999999999999</v>
      </c>
      <c r="DC106" s="1257">
        <v>17.399999999999999</v>
      </c>
      <c r="DD106" s="1258">
        <v>18.68</v>
      </c>
      <c r="DE106" s="1258">
        <v>19.98</v>
      </c>
      <c r="DF106" s="1258">
        <v>21.63</v>
      </c>
      <c r="DG106" s="1258">
        <v>23.15</v>
      </c>
      <c r="DH106" s="1258">
        <v>24.53</v>
      </c>
      <c r="DI106" s="1258">
        <v>25.78</v>
      </c>
      <c r="DJ106" s="1258">
        <v>26.9</v>
      </c>
      <c r="DK106" s="1258">
        <v>27.89</v>
      </c>
      <c r="DL106" s="1259">
        <v>28.76</v>
      </c>
      <c r="DM106" s="1257">
        <v>29.5</v>
      </c>
      <c r="DN106" s="1258">
        <v>30.14</v>
      </c>
      <c r="DO106" s="1258">
        <v>30.67</v>
      </c>
      <c r="DP106" s="1258">
        <v>31.11</v>
      </c>
      <c r="DQ106" s="1258">
        <v>31.46</v>
      </c>
      <c r="DR106" s="1258">
        <v>31.74</v>
      </c>
      <c r="DS106" s="1258">
        <v>31.95</v>
      </c>
      <c r="DT106" s="1258">
        <v>32.1</v>
      </c>
      <c r="DU106" s="1258">
        <v>32.21</v>
      </c>
      <c r="DV106" s="1259">
        <v>32.29</v>
      </c>
      <c r="DW106" s="1257">
        <v>32.340000000000003</v>
      </c>
      <c r="DX106" s="1258">
        <v>32.369999999999997</v>
      </c>
      <c r="DY106" s="1258"/>
      <c r="DZ106" s="1258"/>
      <c r="EA106" s="1258"/>
      <c r="EB106" s="1258"/>
      <c r="EC106" s="1258"/>
      <c r="ED106" s="1258"/>
      <c r="EE106" s="1258"/>
      <c r="EF106" s="1259"/>
      <c r="EG106" s="1257"/>
      <c r="EH106" s="1258"/>
      <c r="EI106" s="1258"/>
      <c r="EJ106" s="1258"/>
      <c r="EK106" s="1258"/>
      <c r="EL106" s="1258"/>
      <c r="EM106" s="1258"/>
      <c r="EN106" s="1258"/>
      <c r="EO106" s="1258"/>
      <c r="EP106" s="1259"/>
      <c r="EQ106" s="1257"/>
      <c r="ER106" s="1258"/>
      <c r="ES106" s="1258"/>
      <c r="ET106" s="1258"/>
      <c r="EU106" s="1258"/>
      <c r="EV106" s="1258"/>
      <c r="EW106" s="1258"/>
      <c r="EX106" s="1258"/>
      <c r="EY106" s="1258"/>
      <c r="EZ106" s="1259"/>
      <c r="FA106" s="1257"/>
      <c r="FB106" s="1258"/>
      <c r="FC106" s="1258"/>
      <c r="FD106" s="1258"/>
      <c r="FE106" s="1258"/>
      <c r="FF106" s="1258"/>
      <c r="FG106" s="1258"/>
      <c r="FH106" s="1258"/>
      <c r="FI106" s="1258"/>
      <c r="FJ106" s="1259"/>
      <c r="FK106" s="1258"/>
      <c r="FL106" s="1258"/>
      <c r="FM106" s="1259"/>
    </row>
    <row r="107" spans="1:169" s="1519" customFormat="1">
      <c r="A107" s="1515" t="s">
        <v>1584</v>
      </c>
      <c r="B107" s="1166">
        <v>58</v>
      </c>
      <c r="C107" s="1257"/>
      <c r="D107" s="1258">
        <v>1.2</v>
      </c>
      <c r="E107" s="1258">
        <v>1.91</v>
      </c>
      <c r="F107" s="1258">
        <v>2.71</v>
      </c>
      <c r="G107" s="1258">
        <v>3.61</v>
      </c>
      <c r="H107" s="1258">
        <v>4.62</v>
      </c>
      <c r="I107" s="1258">
        <v>5.76</v>
      </c>
      <c r="J107" s="1258">
        <v>7.03</v>
      </c>
      <c r="K107" s="1259">
        <v>8.4499999999999993</v>
      </c>
      <c r="L107" s="1257">
        <v>10.039999999999999</v>
      </c>
      <c r="M107" s="1258">
        <v>11.79</v>
      </c>
      <c r="N107" s="1258">
        <v>13.72</v>
      </c>
      <c r="O107" s="1258">
        <v>15.83</v>
      </c>
      <c r="P107" s="1258">
        <v>18.11</v>
      </c>
      <c r="Q107" s="1258">
        <v>20.02</v>
      </c>
      <c r="R107" s="1258">
        <v>21.97</v>
      </c>
      <c r="S107" s="1258">
        <v>23.96</v>
      </c>
      <c r="T107" s="1258">
        <v>25.97</v>
      </c>
      <c r="U107" s="1259">
        <v>27.98</v>
      </c>
      <c r="V107" s="1257">
        <v>29.97</v>
      </c>
      <c r="W107" s="1258">
        <v>31.92</v>
      </c>
      <c r="X107" s="1258">
        <v>34.15</v>
      </c>
      <c r="Y107" s="1258">
        <v>36.14</v>
      </c>
      <c r="Z107" s="1258">
        <v>37.909999999999997</v>
      </c>
      <c r="AA107" s="1258">
        <v>39.47</v>
      </c>
      <c r="AB107" s="1258">
        <v>40.83</v>
      </c>
      <c r="AC107" s="1258">
        <v>41.99</v>
      </c>
      <c r="AD107" s="1258">
        <v>42.98</v>
      </c>
      <c r="AE107" s="1259">
        <v>43.81</v>
      </c>
      <c r="AF107" s="1257">
        <v>44.5</v>
      </c>
      <c r="AG107" s="1258">
        <v>45.06</v>
      </c>
      <c r="AH107" s="1258">
        <v>45.51</v>
      </c>
      <c r="AI107" s="1258">
        <v>45.86</v>
      </c>
      <c r="AJ107" s="1258">
        <v>46.12</v>
      </c>
      <c r="AK107" s="1258">
        <v>46.31</v>
      </c>
      <c r="AL107" s="1258">
        <v>46.45</v>
      </c>
      <c r="AM107" s="1258">
        <v>46.55</v>
      </c>
      <c r="AN107" s="1258">
        <v>46.61</v>
      </c>
      <c r="AO107" s="1259">
        <v>46.65</v>
      </c>
      <c r="AP107" s="1257">
        <v>46.68</v>
      </c>
      <c r="AQ107" s="1258"/>
      <c r="AR107" s="1258"/>
      <c r="AS107" s="1258"/>
      <c r="AT107" s="1258"/>
      <c r="AU107" s="1258"/>
      <c r="AV107" s="1258"/>
      <c r="AW107" s="1258"/>
      <c r="AX107" s="1258"/>
      <c r="AY107" s="1259"/>
      <c r="AZ107" s="1257"/>
      <c r="BA107" s="1258"/>
      <c r="BB107" s="1258"/>
      <c r="BC107" s="1258"/>
      <c r="BD107" s="1258"/>
      <c r="BE107" s="1258"/>
      <c r="BF107" s="1258"/>
      <c r="BG107" s="1258"/>
      <c r="BH107" s="1258"/>
      <c r="BI107" s="1259"/>
      <c r="BJ107" s="1257"/>
      <c r="BK107" s="1258"/>
      <c r="BL107" s="1258"/>
      <c r="BM107" s="1258"/>
      <c r="BN107" s="1258"/>
      <c r="BO107" s="1258"/>
      <c r="BP107" s="1258"/>
      <c r="BQ107" s="1258"/>
      <c r="BR107" s="1258"/>
      <c r="BS107" s="1259"/>
      <c r="BT107" s="1257"/>
      <c r="BU107" s="1258"/>
      <c r="BV107" s="1258"/>
      <c r="BW107" s="1258"/>
      <c r="BX107" s="1258"/>
      <c r="BY107" s="1258"/>
      <c r="BZ107" s="1258"/>
      <c r="CA107" s="1258"/>
      <c r="CB107" s="1258"/>
      <c r="CC107" s="1259"/>
      <c r="CD107" s="1258"/>
      <c r="CE107" s="1258"/>
      <c r="CF107" s="1259"/>
      <c r="CH107" s="1515" t="str">
        <f t="shared" si="2"/>
        <v>WPTPDCIF58</v>
      </c>
      <c r="CI107" s="1166">
        <v>58</v>
      </c>
      <c r="CJ107" s="1257"/>
      <c r="CK107" s="1258">
        <v>0.84</v>
      </c>
      <c r="CL107" s="1258">
        <v>1.33</v>
      </c>
      <c r="CM107" s="1258">
        <v>1.86</v>
      </c>
      <c r="CN107" s="1258">
        <v>2.4500000000000002</v>
      </c>
      <c r="CO107" s="1258">
        <v>3.1</v>
      </c>
      <c r="CP107" s="1258">
        <v>3.81</v>
      </c>
      <c r="CQ107" s="1258">
        <v>4.5999999999999996</v>
      </c>
      <c r="CR107" s="1259">
        <v>5.48</v>
      </c>
      <c r="CS107" s="1257">
        <v>6.43</v>
      </c>
      <c r="CT107" s="1258">
        <v>7.49</v>
      </c>
      <c r="CU107" s="1258">
        <v>8.65</v>
      </c>
      <c r="CV107" s="1258">
        <v>9.91</v>
      </c>
      <c r="CW107" s="1258">
        <v>11.28</v>
      </c>
      <c r="CX107" s="1258">
        <v>12.42</v>
      </c>
      <c r="CY107" s="1258">
        <v>13.6</v>
      </c>
      <c r="CZ107" s="1258">
        <v>14.83</v>
      </c>
      <c r="DA107" s="1258">
        <v>16.09</v>
      </c>
      <c r="DB107" s="1259">
        <v>17.39</v>
      </c>
      <c r="DC107" s="1257">
        <v>18.72</v>
      </c>
      <c r="DD107" s="1258">
        <v>20.07</v>
      </c>
      <c r="DE107" s="1258">
        <v>21.8</v>
      </c>
      <c r="DF107" s="1258">
        <v>23.39</v>
      </c>
      <c r="DG107" s="1258">
        <v>24.83</v>
      </c>
      <c r="DH107" s="1258">
        <v>26.14</v>
      </c>
      <c r="DI107" s="1258">
        <v>27.31</v>
      </c>
      <c r="DJ107" s="1258">
        <v>28.35</v>
      </c>
      <c r="DK107" s="1258">
        <v>29.26</v>
      </c>
      <c r="DL107" s="1259">
        <v>30.04</v>
      </c>
      <c r="DM107" s="1257">
        <v>30.71</v>
      </c>
      <c r="DN107" s="1258">
        <v>31.26</v>
      </c>
      <c r="DO107" s="1258">
        <v>31.72</v>
      </c>
      <c r="DP107" s="1258">
        <v>32.090000000000003</v>
      </c>
      <c r="DQ107" s="1258">
        <v>32.380000000000003</v>
      </c>
      <c r="DR107" s="1258">
        <v>32.6</v>
      </c>
      <c r="DS107" s="1258">
        <v>32.76</v>
      </c>
      <c r="DT107" s="1258">
        <v>32.880000000000003</v>
      </c>
      <c r="DU107" s="1258">
        <v>32.96</v>
      </c>
      <c r="DV107" s="1259">
        <v>33.01</v>
      </c>
      <c r="DW107" s="1257">
        <v>33.04</v>
      </c>
      <c r="DX107" s="1258"/>
      <c r="DY107" s="1258"/>
      <c r="DZ107" s="1258"/>
      <c r="EA107" s="1258"/>
      <c r="EB107" s="1258"/>
      <c r="EC107" s="1258"/>
      <c r="ED107" s="1258"/>
      <c r="EE107" s="1258"/>
      <c r="EF107" s="1259"/>
      <c r="EG107" s="1257"/>
      <c r="EH107" s="1258"/>
      <c r="EI107" s="1258"/>
      <c r="EJ107" s="1258"/>
      <c r="EK107" s="1258"/>
      <c r="EL107" s="1258"/>
      <c r="EM107" s="1258"/>
      <c r="EN107" s="1258"/>
      <c r="EO107" s="1258"/>
      <c r="EP107" s="1259"/>
      <c r="EQ107" s="1257"/>
      <c r="ER107" s="1258"/>
      <c r="ES107" s="1258"/>
      <c r="ET107" s="1258"/>
      <c r="EU107" s="1258"/>
      <c r="EV107" s="1258"/>
      <c r="EW107" s="1258"/>
      <c r="EX107" s="1258"/>
      <c r="EY107" s="1258"/>
      <c r="EZ107" s="1259"/>
      <c r="FA107" s="1257"/>
      <c r="FB107" s="1258"/>
      <c r="FC107" s="1258"/>
      <c r="FD107" s="1258"/>
      <c r="FE107" s="1258"/>
      <c r="FF107" s="1258"/>
      <c r="FG107" s="1258"/>
      <c r="FH107" s="1258"/>
      <c r="FI107" s="1258"/>
      <c r="FJ107" s="1259"/>
      <c r="FK107" s="1258"/>
      <c r="FL107" s="1258"/>
      <c r="FM107" s="1259"/>
    </row>
    <row r="108" spans="1:169" s="1519" customFormat="1">
      <c r="A108" s="1515" t="s">
        <v>1585</v>
      </c>
      <c r="B108" s="1166">
        <v>59</v>
      </c>
      <c r="C108" s="1257"/>
      <c r="D108" s="1258">
        <v>1.34</v>
      </c>
      <c r="E108" s="1258">
        <v>2.14</v>
      </c>
      <c r="F108" s="1258">
        <v>3.03</v>
      </c>
      <c r="G108" s="1258">
        <v>4.05</v>
      </c>
      <c r="H108" s="1258">
        <v>5.18</v>
      </c>
      <c r="I108" s="1258">
        <v>6.46</v>
      </c>
      <c r="J108" s="1258">
        <v>7.88</v>
      </c>
      <c r="K108" s="1259">
        <v>9.4700000000000006</v>
      </c>
      <c r="L108" s="1257">
        <v>11.24</v>
      </c>
      <c r="M108" s="1258">
        <v>13.18</v>
      </c>
      <c r="N108" s="1258">
        <v>15.31</v>
      </c>
      <c r="O108" s="1258">
        <v>17.61</v>
      </c>
      <c r="P108" s="1258">
        <v>20.09</v>
      </c>
      <c r="Q108" s="1258">
        <v>22.14</v>
      </c>
      <c r="R108" s="1258">
        <v>24.22</v>
      </c>
      <c r="S108" s="1258">
        <v>26.33</v>
      </c>
      <c r="T108" s="1258">
        <v>28.45</v>
      </c>
      <c r="U108" s="1259">
        <v>30.54</v>
      </c>
      <c r="V108" s="1257">
        <v>32.6</v>
      </c>
      <c r="W108" s="1258">
        <v>34.96</v>
      </c>
      <c r="X108" s="1258">
        <v>37.08</v>
      </c>
      <c r="Y108" s="1258">
        <v>38.96</v>
      </c>
      <c r="Z108" s="1258">
        <v>40.619999999999997</v>
      </c>
      <c r="AA108" s="1258">
        <v>42.06</v>
      </c>
      <c r="AB108" s="1258">
        <v>43.3</v>
      </c>
      <c r="AC108" s="1258">
        <v>44.35</v>
      </c>
      <c r="AD108" s="1258">
        <v>45.23</v>
      </c>
      <c r="AE108" s="1259">
        <v>45.97</v>
      </c>
      <c r="AF108" s="1257">
        <v>46.56</v>
      </c>
      <c r="AG108" s="1258">
        <v>47.03</v>
      </c>
      <c r="AH108" s="1258">
        <v>47.4</v>
      </c>
      <c r="AI108" s="1258">
        <v>47.68</v>
      </c>
      <c r="AJ108" s="1258">
        <v>47.89</v>
      </c>
      <c r="AK108" s="1258">
        <v>48.04</v>
      </c>
      <c r="AL108" s="1258">
        <v>48.14</v>
      </c>
      <c r="AM108" s="1258">
        <v>48.21</v>
      </c>
      <c r="AN108" s="1258">
        <v>48.25</v>
      </c>
      <c r="AO108" s="1259">
        <v>48.28</v>
      </c>
      <c r="AP108" s="1257"/>
      <c r="AQ108" s="1258"/>
      <c r="AR108" s="1258"/>
      <c r="AS108" s="1258"/>
      <c r="AT108" s="1258"/>
      <c r="AU108" s="1258"/>
      <c r="AV108" s="1258"/>
      <c r="AW108" s="1258"/>
      <c r="AX108" s="1258"/>
      <c r="AY108" s="1259"/>
      <c r="AZ108" s="1257"/>
      <c r="BA108" s="1258"/>
      <c r="BB108" s="1258"/>
      <c r="BC108" s="1258"/>
      <c r="BD108" s="1258"/>
      <c r="BE108" s="1258"/>
      <c r="BF108" s="1258"/>
      <c r="BG108" s="1258"/>
      <c r="BH108" s="1258"/>
      <c r="BI108" s="1259"/>
      <c r="BJ108" s="1257"/>
      <c r="BK108" s="1258"/>
      <c r="BL108" s="1258"/>
      <c r="BM108" s="1258"/>
      <c r="BN108" s="1258"/>
      <c r="BO108" s="1258"/>
      <c r="BP108" s="1258"/>
      <c r="BQ108" s="1258"/>
      <c r="BR108" s="1258"/>
      <c r="BS108" s="1259"/>
      <c r="BT108" s="1257"/>
      <c r="BU108" s="1258"/>
      <c r="BV108" s="1258"/>
      <c r="BW108" s="1258"/>
      <c r="BX108" s="1258"/>
      <c r="BY108" s="1258"/>
      <c r="BZ108" s="1258"/>
      <c r="CA108" s="1258"/>
      <c r="CB108" s="1258"/>
      <c r="CC108" s="1259"/>
      <c r="CD108" s="1258"/>
      <c r="CE108" s="1258"/>
      <c r="CF108" s="1259"/>
      <c r="CH108" s="1515" t="str">
        <f t="shared" si="2"/>
        <v>WPTPDCIF59</v>
      </c>
      <c r="CI108" s="1166">
        <v>59</v>
      </c>
      <c r="CJ108" s="1257"/>
      <c r="CK108" s="1258">
        <v>0.91</v>
      </c>
      <c r="CL108" s="1258">
        <v>1.43</v>
      </c>
      <c r="CM108" s="1258">
        <v>2.0099999999999998</v>
      </c>
      <c r="CN108" s="1258">
        <v>2.64</v>
      </c>
      <c r="CO108" s="1258">
        <v>3.35</v>
      </c>
      <c r="CP108" s="1258">
        <v>4.13</v>
      </c>
      <c r="CQ108" s="1258">
        <v>4.99</v>
      </c>
      <c r="CR108" s="1259">
        <v>5.94</v>
      </c>
      <c r="CS108" s="1257">
        <v>6.98</v>
      </c>
      <c r="CT108" s="1258">
        <v>8.1300000000000008</v>
      </c>
      <c r="CU108" s="1258">
        <v>9.39</v>
      </c>
      <c r="CV108" s="1258">
        <v>10.75</v>
      </c>
      <c r="CW108" s="1258">
        <v>12.22</v>
      </c>
      <c r="CX108" s="1258">
        <v>13.45</v>
      </c>
      <c r="CY108" s="1258">
        <v>14.72</v>
      </c>
      <c r="CZ108" s="1258">
        <v>16.03</v>
      </c>
      <c r="DA108" s="1258">
        <v>17.37</v>
      </c>
      <c r="DB108" s="1259">
        <v>18.75</v>
      </c>
      <c r="DC108" s="1257">
        <v>20.16</v>
      </c>
      <c r="DD108" s="1258">
        <v>21.97</v>
      </c>
      <c r="DE108" s="1258">
        <v>23.64</v>
      </c>
      <c r="DF108" s="1258">
        <v>25.16</v>
      </c>
      <c r="DG108" s="1258">
        <v>26.53</v>
      </c>
      <c r="DH108" s="1258">
        <v>27.76</v>
      </c>
      <c r="DI108" s="1258">
        <v>28.84</v>
      </c>
      <c r="DJ108" s="1258">
        <v>29.79</v>
      </c>
      <c r="DK108" s="1258">
        <v>30.62</v>
      </c>
      <c r="DL108" s="1259">
        <v>31.32</v>
      </c>
      <c r="DM108" s="1257">
        <v>31.9</v>
      </c>
      <c r="DN108" s="1258">
        <v>32.380000000000003</v>
      </c>
      <c r="DO108" s="1258">
        <v>32.770000000000003</v>
      </c>
      <c r="DP108" s="1258">
        <v>33.07</v>
      </c>
      <c r="DQ108" s="1258">
        <v>33.299999999999997</v>
      </c>
      <c r="DR108" s="1258">
        <v>33.47</v>
      </c>
      <c r="DS108" s="1258">
        <v>33.590000000000003</v>
      </c>
      <c r="DT108" s="1258">
        <v>33.68</v>
      </c>
      <c r="DU108" s="1258">
        <v>33.729999999999997</v>
      </c>
      <c r="DV108" s="1259">
        <v>33.76</v>
      </c>
      <c r="DW108" s="1257"/>
      <c r="DX108" s="1258"/>
      <c r="DY108" s="1258"/>
      <c r="DZ108" s="1258"/>
      <c r="EA108" s="1258"/>
      <c r="EB108" s="1258"/>
      <c r="EC108" s="1258"/>
      <c r="ED108" s="1258"/>
      <c r="EE108" s="1258"/>
      <c r="EF108" s="1259"/>
      <c r="EG108" s="1257"/>
      <c r="EH108" s="1258"/>
      <c r="EI108" s="1258"/>
      <c r="EJ108" s="1258"/>
      <c r="EK108" s="1258"/>
      <c r="EL108" s="1258"/>
      <c r="EM108" s="1258"/>
      <c r="EN108" s="1258"/>
      <c r="EO108" s="1258"/>
      <c r="EP108" s="1259"/>
      <c r="EQ108" s="1257"/>
      <c r="ER108" s="1258"/>
      <c r="ES108" s="1258"/>
      <c r="ET108" s="1258"/>
      <c r="EU108" s="1258"/>
      <c r="EV108" s="1258"/>
      <c r="EW108" s="1258"/>
      <c r="EX108" s="1258"/>
      <c r="EY108" s="1258"/>
      <c r="EZ108" s="1259"/>
      <c r="FA108" s="1257"/>
      <c r="FB108" s="1258"/>
      <c r="FC108" s="1258"/>
      <c r="FD108" s="1258"/>
      <c r="FE108" s="1258"/>
      <c r="FF108" s="1258"/>
      <c r="FG108" s="1258"/>
      <c r="FH108" s="1258"/>
      <c r="FI108" s="1258"/>
      <c r="FJ108" s="1259"/>
      <c r="FK108" s="1258"/>
      <c r="FL108" s="1258"/>
      <c r="FM108" s="1259"/>
    </row>
    <row r="109" spans="1:169" s="1519" customFormat="1">
      <c r="A109" s="1515" t="s">
        <v>1586</v>
      </c>
      <c r="B109" s="1166">
        <v>60</v>
      </c>
      <c r="C109" s="1257"/>
      <c r="D109" s="1258">
        <v>1.5</v>
      </c>
      <c r="E109" s="1258">
        <v>2.39</v>
      </c>
      <c r="F109" s="1258">
        <v>3.4</v>
      </c>
      <c r="G109" s="1258">
        <v>4.54</v>
      </c>
      <c r="H109" s="1258">
        <v>5.81</v>
      </c>
      <c r="I109" s="1258">
        <v>7.24</v>
      </c>
      <c r="J109" s="1258">
        <v>8.84</v>
      </c>
      <c r="K109" s="1259">
        <v>10.61</v>
      </c>
      <c r="L109" s="1257">
        <v>12.57</v>
      </c>
      <c r="M109" s="1258">
        <v>14.71</v>
      </c>
      <c r="N109" s="1258">
        <v>17.03</v>
      </c>
      <c r="O109" s="1258">
        <v>19.53</v>
      </c>
      <c r="P109" s="1258">
        <v>22.22</v>
      </c>
      <c r="Q109" s="1258">
        <v>24.41</v>
      </c>
      <c r="R109" s="1258">
        <v>26.62</v>
      </c>
      <c r="S109" s="1258">
        <v>28.85</v>
      </c>
      <c r="T109" s="1258">
        <v>31.06</v>
      </c>
      <c r="U109" s="1259">
        <v>33.22</v>
      </c>
      <c r="V109" s="1257">
        <v>35.74</v>
      </c>
      <c r="W109" s="1258">
        <v>37.99</v>
      </c>
      <c r="X109" s="1258">
        <v>40</v>
      </c>
      <c r="Y109" s="1258">
        <v>41.76</v>
      </c>
      <c r="Z109" s="1258">
        <v>43.29</v>
      </c>
      <c r="AA109" s="1258">
        <v>44.61</v>
      </c>
      <c r="AB109" s="1258">
        <v>45.73</v>
      </c>
      <c r="AC109" s="1258">
        <v>46.67</v>
      </c>
      <c r="AD109" s="1258">
        <v>47.45</v>
      </c>
      <c r="AE109" s="1259">
        <v>48.08</v>
      </c>
      <c r="AF109" s="1257">
        <v>48.59</v>
      </c>
      <c r="AG109" s="1258">
        <v>48.98</v>
      </c>
      <c r="AH109" s="1258">
        <v>49.28</v>
      </c>
      <c r="AI109" s="1258">
        <v>49.5</v>
      </c>
      <c r="AJ109" s="1258">
        <v>49.65</v>
      </c>
      <c r="AK109" s="1258">
        <v>49.76</v>
      </c>
      <c r="AL109" s="1258">
        <v>49.83</v>
      </c>
      <c r="AM109" s="1258">
        <v>49.88</v>
      </c>
      <c r="AN109" s="1258">
        <v>49.91</v>
      </c>
      <c r="AO109" s="1259"/>
      <c r="AP109" s="1257"/>
      <c r="AQ109" s="1258"/>
      <c r="AR109" s="1258"/>
      <c r="AS109" s="1258"/>
      <c r="AT109" s="1258"/>
      <c r="AU109" s="1258"/>
      <c r="AV109" s="1258"/>
      <c r="AW109" s="1258"/>
      <c r="AX109" s="1258"/>
      <c r="AY109" s="1259"/>
      <c r="AZ109" s="1257"/>
      <c r="BA109" s="1258"/>
      <c r="BB109" s="1258"/>
      <c r="BC109" s="1258"/>
      <c r="BD109" s="1258"/>
      <c r="BE109" s="1258"/>
      <c r="BF109" s="1258"/>
      <c r="BG109" s="1258"/>
      <c r="BH109" s="1258"/>
      <c r="BI109" s="1259"/>
      <c r="BJ109" s="1257"/>
      <c r="BK109" s="1258"/>
      <c r="BL109" s="1258"/>
      <c r="BM109" s="1258"/>
      <c r="BN109" s="1258"/>
      <c r="BO109" s="1258"/>
      <c r="BP109" s="1258"/>
      <c r="BQ109" s="1258"/>
      <c r="BR109" s="1258"/>
      <c r="BS109" s="1259"/>
      <c r="BT109" s="1257"/>
      <c r="BU109" s="1258"/>
      <c r="BV109" s="1258"/>
      <c r="BW109" s="1258"/>
      <c r="BX109" s="1258"/>
      <c r="BY109" s="1258"/>
      <c r="BZ109" s="1258"/>
      <c r="CA109" s="1258"/>
      <c r="CB109" s="1258"/>
      <c r="CC109" s="1259"/>
      <c r="CD109" s="1258"/>
      <c r="CE109" s="1258"/>
      <c r="CF109" s="1259"/>
      <c r="CH109" s="1515" t="str">
        <f t="shared" si="2"/>
        <v>WPTPDCIF60</v>
      </c>
      <c r="CI109" s="1166">
        <v>60</v>
      </c>
      <c r="CJ109" s="1257"/>
      <c r="CK109" s="1258">
        <v>0.98</v>
      </c>
      <c r="CL109" s="1258">
        <v>1.54</v>
      </c>
      <c r="CM109" s="1258">
        <v>2.17</v>
      </c>
      <c r="CN109" s="1258">
        <v>2.86</v>
      </c>
      <c r="CO109" s="1258">
        <v>3.63</v>
      </c>
      <c r="CP109" s="1258">
        <v>4.4800000000000004</v>
      </c>
      <c r="CQ109" s="1258">
        <v>5.42</v>
      </c>
      <c r="CR109" s="1259">
        <v>6.46</v>
      </c>
      <c r="CS109" s="1257">
        <v>7.6</v>
      </c>
      <c r="CT109" s="1258">
        <v>8.84</v>
      </c>
      <c r="CU109" s="1258">
        <v>10.19</v>
      </c>
      <c r="CV109" s="1258">
        <v>11.66</v>
      </c>
      <c r="CW109" s="1258">
        <v>13.25</v>
      </c>
      <c r="CX109" s="1258">
        <v>14.57</v>
      </c>
      <c r="CY109" s="1258">
        <v>15.92</v>
      </c>
      <c r="CZ109" s="1258">
        <v>17.32</v>
      </c>
      <c r="DA109" s="1258">
        <v>18.760000000000002</v>
      </c>
      <c r="DB109" s="1259">
        <v>20.22</v>
      </c>
      <c r="DC109" s="1257">
        <v>22.12</v>
      </c>
      <c r="DD109" s="1258">
        <v>23.87</v>
      </c>
      <c r="DE109" s="1258">
        <v>25.47</v>
      </c>
      <c r="DF109" s="1258">
        <v>26.91</v>
      </c>
      <c r="DG109" s="1258">
        <v>28.2</v>
      </c>
      <c r="DH109" s="1258">
        <v>29.34</v>
      </c>
      <c r="DI109" s="1258">
        <v>30.34</v>
      </c>
      <c r="DJ109" s="1258">
        <v>31.2</v>
      </c>
      <c r="DK109" s="1258">
        <v>31.94</v>
      </c>
      <c r="DL109" s="1259">
        <v>32.56</v>
      </c>
      <c r="DM109" s="1257">
        <v>33.06</v>
      </c>
      <c r="DN109" s="1258">
        <v>33.47</v>
      </c>
      <c r="DO109" s="1258">
        <v>33.78</v>
      </c>
      <c r="DP109" s="1258">
        <v>34.03</v>
      </c>
      <c r="DQ109" s="1258">
        <v>34.200000000000003</v>
      </c>
      <c r="DR109" s="1258">
        <v>34.33</v>
      </c>
      <c r="DS109" s="1258">
        <v>34.42</v>
      </c>
      <c r="DT109" s="1258">
        <v>34.479999999999997</v>
      </c>
      <c r="DU109" s="1258">
        <v>34.51</v>
      </c>
      <c r="DV109" s="1259"/>
      <c r="DW109" s="1257"/>
      <c r="DX109" s="1258"/>
      <c r="DY109" s="1258"/>
      <c r="DZ109" s="1258"/>
      <c r="EA109" s="1258"/>
      <c r="EB109" s="1258"/>
      <c r="EC109" s="1258"/>
      <c r="ED109" s="1258"/>
      <c r="EE109" s="1258"/>
      <c r="EF109" s="1259"/>
      <c r="EG109" s="1257"/>
      <c r="EH109" s="1258"/>
      <c r="EI109" s="1258"/>
      <c r="EJ109" s="1258"/>
      <c r="EK109" s="1258"/>
      <c r="EL109" s="1258"/>
      <c r="EM109" s="1258"/>
      <c r="EN109" s="1258"/>
      <c r="EO109" s="1258"/>
      <c r="EP109" s="1259"/>
      <c r="EQ109" s="1257"/>
      <c r="ER109" s="1258"/>
      <c r="ES109" s="1258"/>
      <c r="ET109" s="1258"/>
      <c r="EU109" s="1258"/>
      <c r="EV109" s="1258"/>
      <c r="EW109" s="1258"/>
      <c r="EX109" s="1258"/>
      <c r="EY109" s="1258"/>
      <c r="EZ109" s="1259"/>
      <c r="FA109" s="1257"/>
      <c r="FB109" s="1258"/>
      <c r="FC109" s="1258"/>
      <c r="FD109" s="1258"/>
      <c r="FE109" s="1258"/>
      <c r="FF109" s="1258"/>
      <c r="FG109" s="1258"/>
      <c r="FH109" s="1258"/>
      <c r="FI109" s="1258"/>
      <c r="FJ109" s="1259"/>
      <c r="FK109" s="1258"/>
      <c r="FL109" s="1258"/>
      <c r="FM109" s="1259"/>
    </row>
    <row r="110" spans="1:169" s="1519" customFormat="1">
      <c r="A110" s="1515" t="s">
        <v>1587</v>
      </c>
      <c r="B110" s="1167">
        <v>61</v>
      </c>
      <c r="C110" s="1260"/>
      <c r="D110" s="1261">
        <v>1.68</v>
      </c>
      <c r="E110" s="1261">
        <v>2.68</v>
      </c>
      <c r="F110" s="1261">
        <v>3.82</v>
      </c>
      <c r="G110" s="1261">
        <v>5.09</v>
      </c>
      <c r="H110" s="1261">
        <v>6.53</v>
      </c>
      <c r="I110" s="1261">
        <v>8.1300000000000008</v>
      </c>
      <c r="J110" s="1261">
        <v>9.91</v>
      </c>
      <c r="K110" s="1262">
        <v>11.88</v>
      </c>
      <c r="L110" s="1260">
        <v>14.03</v>
      </c>
      <c r="M110" s="1261">
        <v>16.37</v>
      </c>
      <c r="N110" s="1261">
        <v>18.89</v>
      </c>
      <c r="O110" s="1261">
        <v>21.6</v>
      </c>
      <c r="P110" s="1261">
        <v>24.5</v>
      </c>
      <c r="Q110" s="1261">
        <v>26.83</v>
      </c>
      <c r="R110" s="1261">
        <v>29.17</v>
      </c>
      <c r="S110" s="1261">
        <v>31.5</v>
      </c>
      <c r="T110" s="1261">
        <v>33.78</v>
      </c>
      <c r="U110" s="1262">
        <v>36.46</v>
      </c>
      <c r="V110" s="1260">
        <v>38.869999999999997</v>
      </c>
      <c r="W110" s="1261">
        <v>41</v>
      </c>
      <c r="X110" s="1261">
        <v>42.88</v>
      </c>
      <c r="Y110" s="1261">
        <v>44.51</v>
      </c>
      <c r="Z110" s="1261">
        <v>45.92</v>
      </c>
      <c r="AA110" s="1261">
        <v>47.11</v>
      </c>
      <c r="AB110" s="1261">
        <v>48.12</v>
      </c>
      <c r="AC110" s="1261">
        <v>48.95</v>
      </c>
      <c r="AD110" s="1261">
        <v>49.62</v>
      </c>
      <c r="AE110" s="1262">
        <v>50.16</v>
      </c>
      <c r="AF110" s="1260">
        <v>50.58</v>
      </c>
      <c r="AG110" s="1261">
        <v>50.9</v>
      </c>
      <c r="AH110" s="1261">
        <v>51.13</v>
      </c>
      <c r="AI110" s="1261">
        <v>51.3</v>
      </c>
      <c r="AJ110" s="1261">
        <v>51.41</v>
      </c>
      <c r="AK110" s="1261">
        <v>51.49</v>
      </c>
      <c r="AL110" s="1261">
        <v>51.54</v>
      </c>
      <c r="AM110" s="1261">
        <v>51.57</v>
      </c>
      <c r="AN110" s="1261"/>
      <c r="AO110" s="1262"/>
      <c r="AP110" s="1260"/>
      <c r="AQ110" s="1261"/>
      <c r="AR110" s="1261"/>
      <c r="AS110" s="1261"/>
      <c r="AT110" s="1261"/>
      <c r="AU110" s="1261"/>
      <c r="AV110" s="1261"/>
      <c r="AW110" s="1261"/>
      <c r="AX110" s="1261"/>
      <c r="AY110" s="1262"/>
      <c r="AZ110" s="1260"/>
      <c r="BA110" s="1261"/>
      <c r="BB110" s="1261"/>
      <c r="BC110" s="1261"/>
      <c r="BD110" s="1261"/>
      <c r="BE110" s="1261"/>
      <c r="BF110" s="1261"/>
      <c r="BG110" s="1261"/>
      <c r="BH110" s="1261"/>
      <c r="BI110" s="1262"/>
      <c r="BJ110" s="1260"/>
      <c r="BK110" s="1261"/>
      <c r="BL110" s="1261"/>
      <c r="BM110" s="1261"/>
      <c r="BN110" s="1261"/>
      <c r="BO110" s="1261"/>
      <c r="BP110" s="1261"/>
      <c r="BQ110" s="1261"/>
      <c r="BR110" s="1261"/>
      <c r="BS110" s="1262"/>
      <c r="BT110" s="1260"/>
      <c r="BU110" s="1261"/>
      <c r="BV110" s="1261"/>
      <c r="BW110" s="1261"/>
      <c r="BX110" s="1261"/>
      <c r="BY110" s="1261"/>
      <c r="BZ110" s="1261"/>
      <c r="CA110" s="1261"/>
      <c r="CB110" s="1261"/>
      <c r="CC110" s="1262"/>
      <c r="CD110" s="1261"/>
      <c r="CE110" s="1261"/>
      <c r="CF110" s="1262"/>
      <c r="CH110" s="1515" t="str">
        <f t="shared" si="2"/>
        <v>WPTPDCIF61</v>
      </c>
      <c r="CI110" s="1167">
        <v>61</v>
      </c>
      <c r="CJ110" s="1260"/>
      <c r="CK110" s="1261">
        <v>1.05</v>
      </c>
      <c r="CL110" s="1261">
        <v>1.67</v>
      </c>
      <c r="CM110" s="1261">
        <v>2.35</v>
      </c>
      <c r="CN110" s="1261">
        <v>3.11</v>
      </c>
      <c r="CO110" s="1261">
        <v>3.95</v>
      </c>
      <c r="CP110" s="1261">
        <v>4.88</v>
      </c>
      <c r="CQ110" s="1261">
        <v>5.91</v>
      </c>
      <c r="CR110" s="1262">
        <v>7.04</v>
      </c>
      <c r="CS110" s="1260">
        <v>8.27</v>
      </c>
      <c r="CT110" s="1261">
        <v>9.6199999999999992</v>
      </c>
      <c r="CU110" s="1261">
        <v>11.08</v>
      </c>
      <c r="CV110" s="1261">
        <v>12.66</v>
      </c>
      <c r="CW110" s="1261">
        <v>14.37</v>
      </c>
      <c r="CX110" s="1261">
        <v>15.79</v>
      </c>
      <c r="CY110" s="1261">
        <v>17.239999999999998</v>
      </c>
      <c r="CZ110" s="1261">
        <v>18.73</v>
      </c>
      <c r="DA110" s="1261">
        <v>20.25</v>
      </c>
      <c r="DB110" s="1262">
        <v>22.26</v>
      </c>
      <c r="DC110" s="1260">
        <v>24.1</v>
      </c>
      <c r="DD110" s="1261">
        <v>25.78</v>
      </c>
      <c r="DE110" s="1261">
        <v>27.29</v>
      </c>
      <c r="DF110" s="1261">
        <v>28.65</v>
      </c>
      <c r="DG110" s="1261">
        <v>29.85</v>
      </c>
      <c r="DH110" s="1261">
        <v>30.9</v>
      </c>
      <c r="DI110" s="1261">
        <v>31.81</v>
      </c>
      <c r="DJ110" s="1261">
        <v>32.58</v>
      </c>
      <c r="DK110" s="1261">
        <v>33.229999999999997</v>
      </c>
      <c r="DL110" s="1262">
        <v>33.76</v>
      </c>
      <c r="DM110" s="1260">
        <v>34.19</v>
      </c>
      <c r="DN110" s="1261">
        <v>34.520000000000003</v>
      </c>
      <c r="DO110" s="1261">
        <v>34.78</v>
      </c>
      <c r="DP110" s="1261">
        <v>34.97</v>
      </c>
      <c r="DQ110" s="1261">
        <v>35.1</v>
      </c>
      <c r="DR110" s="1261">
        <v>35.19</v>
      </c>
      <c r="DS110" s="1261">
        <v>35.25</v>
      </c>
      <c r="DT110" s="1261">
        <v>35.29</v>
      </c>
      <c r="DU110" s="1261"/>
      <c r="DV110" s="1262"/>
      <c r="DW110" s="1260"/>
      <c r="DX110" s="1261"/>
      <c r="DY110" s="1261"/>
      <c r="DZ110" s="1261"/>
      <c r="EA110" s="1261"/>
      <c r="EB110" s="1261"/>
      <c r="EC110" s="1261"/>
      <c r="ED110" s="1261"/>
      <c r="EE110" s="1261"/>
      <c r="EF110" s="1262"/>
      <c r="EG110" s="1260"/>
      <c r="EH110" s="1261"/>
      <c r="EI110" s="1261"/>
      <c r="EJ110" s="1261"/>
      <c r="EK110" s="1261"/>
      <c r="EL110" s="1261"/>
      <c r="EM110" s="1261"/>
      <c r="EN110" s="1261"/>
      <c r="EO110" s="1261"/>
      <c r="EP110" s="1262"/>
      <c r="EQ110" s="1260"/>
      <c r="ER110" s="1261"/>
      <c r="ES110" s="1261"/>
      <c r="ET110" s="1261"/>
      <c r="EU110" s="1261"/>
      <c r="EV110" s="1261"/>
      <c r="EW110" s="1261"/>
      <c r="EX110" s="1261"/>
      <c r="EY110" s="1261"/>
      <c r="EZ110" s="1262"/>
      <c r="FA110" s="1260"/>
      <c r="FB110" s="1261"/>
      <c r="FC110" s="1261"/>
      <c r="FD110" s="1261"/>
      <c r="FE110" s="1261"/>
      <c r="FF110" s="1261"/>
      <c r="FG110" s="1261"/>
      <c r="FH110" s="1261"/>
      <c r="FI110" s="1261"/>
      <c r="FJ110" s="1262"/>
      <c r="FK110" s="1261"/>
      <c r="FL110" s="1261"/>
      <c r="FM110" s="1262"/>
    </row>
    <row r="111" spans="1:169" s="1519" customFormat="1">
      <c r="A111" s="1515" t="s">
        <v>1588</v>
      </c>
      <c r="B111" s="1166">
        <v>62</v>
      </c>
      <c r="C111" s="1257"/>
      <c r="D111" s="1258">
        <v>1.89</v>
      </c>
      <c r="E111" s="1258">
        <v>3.02</v>
      </c>
      <c r="F111" s="1258">
        <v>4.29</v>
      </c>
      <c r="G111" s="1258">
        <v>5.73</v>
      </c>
      <c r="H111" s="1258">
        <v>7.33</v>
      </c>
      <c r="I111" s="1258">
        <v>9.1199999999999992</v>
      </c>
      <c r="J111" s="1258">
        <v>11.1</v>
      </c>
      <c r="K111" s="1259">
        <v>13.26</v>
      </c>
      <c r="L111" s="1257">
        <v>15.61</v>
      </c>
      <c r="M111" s="1258">
        <v>18.149999999999999</v>
      </c>
      <c r="N111" s="1258">
        <v>20.89</v>
      </c>
      <c r="O111" s="1258">
        <v>23.81</v>
      </c>
      <c r="P111" s="1258">
        <v>26.92</v>
      </c>
      <c r="Q111" s="1258">
        <v>29.39</v>
      </c>
      <c r="R111" s="1258">
        <v>31.84</v>
      </c>
      <c r="S111" s="1258">
        <v>34.25</v>
      </c>
      <c r="T111" s="1258">
        <v>37.119999999999997</v>
      </c>
      <c r="U111" s="1259">
        <v>39.68</v>
      </c>
      <c r="V111" s="1257">
        <v>41.96</v>
      </c>
      <c r="W111" s="1258">
        <v>43.97</v>
      </c>
      <c r="X111" s="1258">
        <v>45.71</v>
      </c>
      <c r="Y111" s="1258">
        <v>47.21</v>
      </c>
      <c r="Z111" s="1258">
        <v>48.49</v>
      </c>
      <c r="AA111" s="1258">
        <v>49.56</v>
      </c>
      <c r="AB111" s="1258">
        <v>50.45</v>
      </c>
      <c r="AC111" s="1258">
        <v>51.17</v>
      </c>
      <c r="AD111" s="1258">
        <v>51.74</v>
      </c>
      <c r="AE111" s="1259">
        <v>52.19</v>
      </c>
      <c r="AF111" s="1257">
        <v>52.53</v>
      </c>
      <c r="AG111" s="1258">
        <v>52.78</v>
      </c>
      <c r="AH111" s="1258">
        <v>52.96</v>
      </c>
      <c r="AI111" s="1258">
        <v>53.08</v>
      </c>
      <c r="AJ111" s="1258">
        <v>53.16</v>
      </c>
      <c r="AK111" s="1258">
        <v>53.22</v>
      </c>
      <c r="AL111" s="1258">
        <v>53.25</v>
      </c>
      <c r="AM111" s="1258"/>
      <c r="AN111" s="1258"/>
      <c r="AO111" s="1259"/>
      <c r="AP111" s="1257"/>
      <c r="AQ111" s="1258"/>
      <c r="AR111" s="1258"/>
      <c r="AS111" s="1258"/>
      <c r="AT111" s="1258"/>
      <c r="AU111" s="1258"/>
      <c r="AV111" s="1258"/>
      <c r="AW111" s="1258"/>
      <c r="AX111" s="1258"/>
      <c r="AY111" s="1259"/>
      <c r="AZ111" s="1257"/>
      <c r="BA111" s="1258"/>
      <c r="BB111" s="1258"/>
      <c r="BC111" s="1258"/>
      <c r="BD111" s="1258"/>
      <c r="BE111" s="1258"/>
      <c r="BF111" s="1258"/>
      <c r="BG111" s="1258"/>
      <c r="BH111" s="1258"/>
      <c r="BI111" s="1259"/>
      <c r="BJ111" s="1257"/>
      <c r="BK111" s="1258"/>
      <c r="BL111" s="1258"/>
      <c r="BM111" s="1258"/>
      <c r="BN111" s="1258"/>
      <c r="BO111" s="1258"/>
      <c r="BP111" s="1258"/>
      <c r="BQ111" s="1258"/>
      <c r="BR111" s="1258"/>
      <c r="BS111" s="1259"/>
      <c r="BT111" s="1257"/>
      <c r="BU111" s="1258"/>
      <c r="BV111" s="1258"/>
      <c r="BW111" s="1258"/>
      <c r="BX111" s="1258"/>
      <c r="BY111" s="1258"/>
      <c r="BZ111" s="1258"/>
      <c r="CA111" s="1258"/>
      <c r="CB111" s="1258"/>
      <c r="CC111" s="1259"/>
      <c r="CD111" s="1258"/>
      <c r="CE111" s="1258"/>
      <c r="CF111" s="1259"/>
      <c r="CH111" s="1515" t="str">
        <f t="shared" si="2"/>
        <v>WPTPDCIF62</v>
      </c>
      <c r="CI111" s="1166">
        <v>62</v>
      </c>
      <c r="CJ111" s="1257"/>
      <c r="CK111" s="1258">
        <v>1.1499999999999999</v>
      </c>
      <c r="CL111" s="1258">
        <v>1.82</v>
      </c>
      <c r="CM111" s="1258">
        <v>2.57</v>
      </c>
      <c r="CN111" s="1258">
        <v>3.4</v>
      </c>
      <c r="CO111" s="1258">
        <v>4.32</v>
      </c>
      <c r="CP111" s="1258">
        <v>5.34</v>
      </c>
      <c r="CQ111" s="1258">
        <v>6.46</v>
      </c>
      <c r="CR111" s="1259">
        <v>7.69</v>
      </c>
      <c r="CS111" s="1257">
        <v>9.02</v>
      </c>
      <c r="CT111" s="1258">
        <v>10.48</v>
      </c>
      <c r="CU111" s="1258">
        <v>12.05</v>
      </c>
      <c r="CV111" s="1258">
        <v>13.76</v>
      </c>
      <c r="CW111" s="1258">
        <v>15.61</v>
      </c>
      <c r="CX111" s="1258">
        <v>17.12</v>
      </c>
      <c r="CY111" s="1258">
        <v>18.670000000000002</v>
      </c>
      <c r="CZ111" s="1258">
        <v>20.260000000000002</v>
      </c>
      <c r="DA111" s="1258">
        <v>22.37</v>
      </c>
      <c r="DB111" s="1259">
        <v>24.31</v>
      </c>
      <c r="DC111" s="1257">
        <v>26.08</v>
      </c>
      <c r="DD111" s="1258">
        <v>27.68</v>
      </c>
      <c r="DE111" s="1258">
        <v>29.11</v>
      </c>
      <c r="DF111" s="1258">
        <v>30.37</v>
      </c>
      <c r="DG111" s="1258">
        <v>31.48</v>
      </c>
      <c r="DH111" s="1258">
        <v>32.43</v>
      </c>
      <c r="DI111" s="1258">
        <v>33.25</v>
      </c>
      <c r="DJ111" s="1258">
        <v>33.93</v>
      </c>
      <c r="DK111" s="1258">
        <v>34.49</v>
      </c>
      <c r="DL111" s="1259">
        <v>34.94</v>
      </c>
      <c r="DM111" s="1257">
        <v>35.29</v>
      </c>
      <c r="DN111" s="1258">
        <v>35.56</v>
      </c>
      <c r="DO111" s="1258">
        <v>35.76</v>
      </c>
      <c r="DP111" s="1258">
        <v>35.9</v>
      </c>
      <c r="DQ111" s="1258">
        <v>36</v>
      </c>
      <c r="DR111" s="1258">
        <v>36.06</v>
      </c>
      <c r="DS111" s="1258">
        <v>36.1</v>
      </c>
      <c r="DT111" s="1258"/>
      <c r="DU111" s="1258"/>
      <c r="DV111" s="1259"/>
      <c r="DW111" s="1257"/>
      <c r="DX111" s="1258"/>
      <c r="DY111" s="1258"/>
      <c r="DZ111" s="1258"/>
      <c r="EA111" s="1258"/>
      <c r="EB111" s="1258"/>
      <c r="EC111" s="1258"/>
      <c r="ED111" s="1258"/>
      <c r="EE111" s="1258"/>
      <c r="EF111" s="1259"/>
      <c r="EG111" s="1257"/>
      <c r="EH111" s="1258"/>
      <c r="EI111" s="1258"/>
      <c r="EJ111" s="1258"/>
      <c r="EK111" s="1258"/>
      <c r="EL111" s="1258"/>
      <c r="EM111" s="1258"/>
      <c r="EN111" s="1258"/>
      <c r="EO111" s="1258"/>
      <c r="EP111" s="1259"/>
      <c r="EQ111" s="1257"/>
      <c r="ER111" s="1258"/>
      <c r="ES111" s="1258"/>
      <c r="ET111" s="1258"/>
      <c r="EU111" s="1258"/>
      <c r="EV111" s="1258"/>
      <c r="EW111" s="1258"/>
      <c r="EX111" s="1258"/>
      <c r="EY111" s="1258"/>
      <c r="EZ111" s="1259"/>
      <c r="FA111" s="1257"/>
      <c r="FB111" s="1258"/>
      <c r="FC111" s="1258"/>
      <c r="FD111" s="1258"/>
      <c r="FE111" s="1258"/>
      <c r="FF111" s="1258"/>
      <c r="FG111" s="1258"/>
      <c r="FH111" s="1258"/>
      <c r="FI111" s="1258"/>
      <c r="FJ111" s="1259"/>
      <c r="FK111" s="1258"/>
      <c r="FL111" s="1258"/>
      <c r="FM111" s="1259"/>
    </row>
    <row r="112" spans="1:169" s="1519" customFormat="1">
      <c r="A112" s="1515" t="s">
        <v>1589</v>
      </c>
      <c r="B112" s="1166">
        <v>63</v>
      </c>
      <c r="C112" s="1257"/>
      <c r="D112" s="1258">
        <v>2.12</v>
      </c>
      <c r="E112" s="1258">
        <v>3.39</v>
      </c>
      <c r="F112" s="1258">
        <v>4.83</v>
      </c>
      <c r="G112" s="1258">
        <v>6.43</v>
      </c>
      <c r="H112" s="1258">
        <v>8.2200000000000006</v>
      </c>
      <c r="I112" s="1258">
        <v>10.210000000000001</v>
      </c>
      <c r="J112" s="1258">
        <v>12.38</v>
      </c>
      <c r="K112" s="1259">
        <v>14.74</v>
      </c>
      <c r="L112" s="1257">
        <v>17.3</v>
      </c>
      <c r="M112" s="1258">
        <v>20.05</v>
      </c>
      <c r="N112" s="1258">
        <v>23</v>
      </c>
      <c r="O112" s="1258">
        <v>26.15</v>
      </c>
      <c r="P112" s="1258">
        <v>29.47</v>
      </c>
      <c r="Q112" s="1258">
        <v>32.06</v>
      </c>
      <c r="R112" s="1258">
        <v>34.61</v>
      </c>
      <c r="S112" s="1258">
        <v>37.67</v>
      </c>
      <c r="T112" s="1258">
        <v>40.42</v>
      </c>
      <c r="U112" s="1259">
        <v>42.85</v>
      </c>
      <c r="V112" s="1257">
        <v>45</v>
      </c>
      <c r="W112" s="1258">
        <v>46.86</v>
      </c>
      <c r="X112" s="1258">
        <v>48.47</v>
      </c>
      <c r="Y112" s="1258">
        <v>49.83</v>
      </c>
      <c r="Z112" s="1258">
        <v>50.98</v>
      </c>
      <c r="AA112" s="1258">
        <v>51.93</v>
      </c>
      <c r="AB112" s="1258">
        <v>52.7</v>
      </c>
      <c r="AC112" s="1258">
        <v>53.31</v>
      </c>
      <c r="AD112" s="1258">
        <v>53.79</v>
      </c>
      <c r="AE112" s="1259">
        <v>54.15</v>
      </c>
      <c r="AF112" s="1257">
        <v>54.42</v>
      </c>
      <c r="AG112" s="1258">
        <v>54.61</v>
      </c>
      <c r="AH112" s="1258">
        <v>54.74</v>
      </c>
      <c r="AI112" s="1258">
        <v>54.83</v>
      </c>
      <c r="AJ112" s="1258">
        <v>54.89</v>
      </c>
      <c r="AK112" s="1258">
        <v>54.92</v>
      </c>
      <c r="AL112" s="1258"/>
      <c r="AM112" s="1258"/>
      <c r="AN112" s="1258"/>
      <c r="AO112" s="1259"/>
      <c r="AP112" s="1257"/>
      <c r="AQ112" s="1258"/>
      <c r="AR112" s="1258"/>
      <c r="AS112" s="1258"/>
      <c r="AT112" s="1258"/>
      <c r="AU112" s="1258"/>
      <c r="AV112" s="1258"/>
      <c r="AW112" s="1258"/>
      <c r="AX112" s="1258"/>
      <c r="AY112" s="1259"/>
      <c r="AZ112" s="1257"/>
      <c r="BA112" s="1258"/>
      <c r="BB112" s="1258"/>
      <c r="BC112" s="1258"/>
      <c r="BD112" s="1258"/>
      <c r="BE112" s="1258"/>
      <c r="BF112" s="1258"/>
      <c r="BG112" s="1258"/>
      <c r="BH112" s="1258"/>
      <c r="BI112" s="1259"/>
      <c r="BJ112" s="1257"/>
      <c r="BK112" s="1258"/>
      <c r="BL112" s="1258"/>
      <c r="BM112" s="1258"/>
      <c r="BN112" s="1258"/>
      <c r="BO112" s="1258"/>
      <c r="BP112" s="1258"/>
      <c r="BQ112" s="1258"/>
      <c r="BR112" s="1258"/>
      <c r="BS112" s="1259"/>
      <c r="BT112" s="1257"/>
      <c r="BU112" s="1258"/>
      <c r="BV112" s="1258"/>
      <c r="BW112" s="1258"/>
      <c r="BX112" s="1258"/>
      <c r="BY112" s="1258"/>
      <c r="BZ112" s="1258"/>
      <c r="CA112" s="1258"/>
      <c r="CB112" s="1258"/>
      <c r="CC112" s="1259"/>
      <c r="CD112" s="1258"/>
      <c r="CE112" s="1258"/>
      <c r="CF112" s="1259"/>
      <c r="CH112" s="1515" t="str">
        <f t="shared" si="2"/>
        <v>WPTPDCIF63</v>
      </c>
      <c r="CI112" s="1166">
        <v>63</v>
      </c>
      <c r="CJ112" s="1257"/>
      <c r="CK112" s="1258">
        <v>1.26</v>
      </c>
      <c r="CL112" s="1258">
        <v>2</v>
      </c>
      <c r="CM112" s="1258">
        <v>2.82</v>
      </c>
      <c r="CN112" s="1258">
        <v>3.73</v>
      </c>
      <c r="CO112" s="1258">
        <v>4.74</v>
      </c>
      <c r="CP112" s="1258">
        <v>5.85</v>
      </c>
      <c r="CQ112" s="1258">
        <v>7.07</v>
      </c>
      <c r="CR112" s="1259">
        <v>8.4</v>
      </c>
      <c r="CS112" s="1257">
        <v>9.84</v>
      </c>
      <c r="CT112" s="1258">
        <v>11.41</v>
      </c>
      <c r="CU112" s="1258">
        <v>13.11</v>
      </c>
      <c r="CV112" s="1258">
        <v>14.96</v>
      </c>
      <c r="CW112" s="1258">
        <v>16.940000000000001</v>
      </c>
      <c r="CX112" s="1258">
        <v>18.559999999999999</v>
      </c>
      <c r="CY112" s="1258">
        <v>20.21</v>
      </c>
      <c r="CZ112" s="1258">
        <v>22.44</v>
      </c>
      <c r="DA112" s="1258">
        <v>24.49</v>
      </c>
      <c r="DB112" s="1259">
        <v>26.36</v>
      </c>
      <c r="DC112" s="1257">
        <v>28.04</v>
      </c>
      <c r="DD112" s="1258">
        <v>29.55</v>
      </c>
      <c r="DE112" s="1258">
        <v>30.88</v>
      </c>
      <c r="DF112" s="1258">
        <v>32.049999999999997</v>
      </c>
      <c r="DG112" s="1258">
        <v>33.06</v>
      </c>
      <c r="DH112" s="1258">
        <v>33.92</v>
      </c>
      <c r="DI112" s="1258">
        <v>34.64</v>
      </c>
      <c r="DJ112" s="1258">
        <v>35.229999999999997</v>
      </c>
      <c r="DK112" s="1258">
        <v>35.71</v>
      </c>
      <c r="DL112" s="1259">
        <v>36.08</v>
      </c>
      <c r="DM112" s="1257">
        <v>36.36</v>
      </c>
      <c r="DN112" s="1258">
        <v>36.57</v>
      </c>
      <c r="DO112" s="1258">
        <v>36.72</v>
      </c>
      <c r="DP112" s="1258">
        <v>36.82</v>
      </c>
      <c r="DQ112" s="1258">
        <v>36.89</v>
      </c>
      <c r="DR112" s="1258">
        <v>36.93</v>
      </c>
      <c r="DS112" s="1258"/>
      <c r="DT112" s="1258"/>
      <c r="DU112" s="1258"/>
      <c r="DV112" s="1259"/>
      <c r="DW112" s="1257"/>
      <c r="DX112" s="1258"/>
      <c r="DY112" s="1258"/>
      <c r="DZ112" s="1258"/>
      <c r="EA112" s="1258"/>
      <c r="EB112" s="1258"/>
      <c r="EC112" s="1258"/>
      <c r="ED112" s="1258"/>
      <c r="EE112" s="1258"/>
      <c r="EF112" s="1259"/>
      <c r="EG112" s="1257"/>
      <c r="EH112" s="1258"/>
      <c r="EI112" s="1258"/>
      <c r="EJ112" s="1258"/>
      <c r="EK112" s="1258"/>
      <c r="EL112" s="1258"/>
      <c r="EM112" s="1258"/>
      <c r="EN112" s="1258"/>
      <c r="EO112" s="1258"/>
      <c r="EP112" s="1259"/>
      <c r="EQ112" s="1257"/>
      <c r="ER112" s="1258"/>
      <c r="ES112" s="1258"/>
      <c r="ET112" s="1258"/>
      <c r="EU112" s="1258"/>
      <c r="EV112" s="1258"/>
      <c r="EW112" s="1258"/>
      <c r="EX112" s="1258"/>
      <c r="EY112" s="1258"/>
      <c r="EZ112" s="1259"/>
      <c r="FA112" s="1257"/>
      <c r="FB112" s="1258"/>
      <c r="FC112" s="1258"/>
      <c r="FD112" s="1258"/>
      <c r="FE112" s="1258"/>
      <c r="FF112" s="1258"/>
      <c r="FG112" s="1258"/>
      <c r="FH112" s="1258"/>
      <c r="FI112" s="1258"/>
      <c r="FJ112" s="1259"/>
      <c r="FK112" s="1258"/>
      <c r="FL112" s="1258"/>
      <c r="FM112" s="1259"/>
    </row>
    <row r="113" spans="1:169" s="1519" customFormat="1">
      <c r="A113" s="1515" t="s">
        <v>1590</v>
      </c>
      <c r="B113" s="1166">
        <v>64</v>
      </c>
      <c r="C113" s="1257"/>
      <c r="D113" s="1258">
        <v>2.39</v>
      </c>
      <c r="E113" s="1258">
        <v>3.82</v>
      </c>
      <c r="F113" s="1258">
        <v>5.42</v>
      </c>
      <c r="G113" s="1258">
        <v>7.21</v>
      </c>
      <c r="H113" s="1258">
        <v>9.1999999999999993</v>
      </c>
      <c r="I113" s="1258">
        <v>11.37</v>
      </c>
      <c r="J113" s="1258">
        <v>13.74</v>
      </c>
      <c r="K113" s="1259">
        <v>16.309999999999999</v>
      </c>
      <c r="L113" s="1257">
        <v>19.079999999999998</v>
      </c>
      <c r="M113" s="1258">
        <v>22.05</v>
      </c>
      <c r="N113" s="1258">
        <v>25.23</v>
      </c>
      <c r="O113" s="1258">
        <v>28.59</v>
      </c>
      <c r="P113" s="1258">
        <v>32.119999999999997</v>
      </c>
      <c r="Q113" s="1258">
        <v>34.81</v>
      </c>
      <c r="R113" s="1258">
        <v>38.090000000000003</v>
      </c>
      <c r="S113" s="1258">
        <v>41.03</v>
      </c>
      <c r="T113" s="1258">
        <v>43.64</v>
      </c>
      <c r="U113" s="1259">
        <v>45.94</v>
      </c>
      <c r="V113" s="1257">
        <v>47.93</v>
      </c>
      <c r="W113" s="1258">
        <v>49.65</v>
      </c>
      <c r="X113" s="1258">
        <v>51.11</v>
      </c>
      <c r="Y113" s="1258">
        <v>52.34</v>
      </c>
      <c r="Z113" s="1258">
        <v>53.35</v>
      </c>
      <c r="AA113" s="1258">
        <v>54.18</v>
      </c>
      <c r="AB113" s="1258">
        <v>54.84</v>
      </c>
      <c r="AC113" s="1258">
        <v>55.35</v>
      </c>
      <c r="AD113" s="1258">
        <v>55.74</v>
      </c>
      <c r="AE113" s="1259">
        <v>56.02</v>
      </c>
      <c r="AF113" s="1257">
        <v>56.23</v>
      </c>
      <c r="AG113" s="1258">
        <v>56.37</v>
      </c>
      <c r="AH113" s="1258">
        <v>56.46</v>
      </c>
      <c r="AI113" s="1258">
        <v>56.52</v>
      </c>
      <c r="AJ113" s="1258">
        <v>56.56</v>
      </c>
      <c r="AK113" s="1258"/>
      <c r="AL113" s="1258"/>
      <c r="AM113" s="1258"/>
      <c r="AN113" s="1258"/>
      <c r="AO113" s="1259"/>
      <c r="AP113" s="1257"/>
      <c r="AQ113" s="1258"/>
      <c r="AR113" s="1258"/>
      <c r="AS113" s="1258"/>
      <c r="AT113" s="1258"/>
      <c r="AU113" s="1258"/>
      <c r="AV113" s="1258"/>
      <c r="AW113" s="1258"/>
      <c r="AX113" s="1258"/>
      <c r="AY113" s="1259"/>
      <c r="AZ113" s="1257"/>
      <c r="BA113" s="1258"/>
      <c r="BB113" s="1258"/>
      <c r="BC113" s="1258"/>
      <c r="BD113" s="1258"/>
      <c r="BE113" s="1258"/>
      <c r="BF113" s="1258"/>
      <c r="BG113" s="1258"/>
      <c r="BH113" s="1258"/>
      <c r="BI113" s="1259"/>
      <c r="BJ113" s="1257"/>
      <c r="BK113" s="1258"/>
      <c r="BL113" s="1258"/>
      <c r="BM113" s="1258"/>
      <c r="BN113" s="1258"/>
      <c r="BO113" s="1258"/>
      <c r="BP113" s="1258"/>
      <c r="BQ113" s="1258"/>
      <c r="BR113" s="1258"/>
      <c r="BS113" s="1259"/>
      <c r="BT113" s="1257"/>
      <c r="BU113" s="1258"/>
      <c r="BV113" s="1258"/>
      <c r="BW113" s="1258"/>
      <c r="BX113" s="1258"/>
      <c r="BY113" s="1258"/>
      <c r="BZ113" s="1258"/>
      <c r="CA113" s="1258"/>
      <c r="CB113" s="1258"/>
      <c r="CC113" s="1259"/>
      <c r="CD113" s="1258"/>
      <c r="CE113" s="1258"/>
      <c r="CF113" s="1259"/>
      <c r="CH113" s="1515" t="str">
        <f t="shared" si="2"/>
        <v>WPTPDCIF64</v>
      </c>
      <c r="CI113" s="1166">
        <v>64</v>
      </c>
      <c r="CJ113" s="1257"/>
      <c r="CK113" s="1258">
        <v>1.38</v>
      </c>
      <c r="CL113" s="1258">
        <v>2.19</v>
      </c>
      <c r="CM113" s="1258">
        <v>3.09</v>
      </c>
      <c r="CN113" s="1258">
        <v>4.09</v>
      </c>
      <c r="CO113" s="1258">
        <v>5.19</v>
      </c>
      <c r="CP113" s="1258">
        <v>6.4</v>
      </c>
      <c r="CQ113" s="1258">
        <v>7.72</v>
      </c>
      <c r="CR113" s="1259">
        <v>9.16</v>
      </c>
      <c r="CS113" s="1257">
        <v>10.72</v>
      </c>
      <c r="CT113" s="1258">
        <v>12.42</v>
      </c>
      <c r="CU113" s="1258">
        <v>14.26</v>
      </c>
      <c r="CV113" s="1258">
        <v>16.239999999999998</v>
      </c>
      <c r="CW113" s="1258">
        <v>18.37</v>
      </c>
      <c r="CX113" s="1258">
        <v>20.100000000000001</v>
      </c>
      <c r="CY113" s="1258">
        <v>22.45</v>
      </c>
      <c r="CZ113" s="1258">
        <v>24.62</v>
      </c>
      <c r="DA113" s="1258">
        <v>26.59</v>
      </c>
      <c r="DB113" s="1259">
        <v>28.37</v>
      </c>
      <c r="DC113" s="1257">
        <v>29.96</v>
      </c>
      <c r="DD113" s="1258">
        <v>31.37</v>
      </c>
      <c r="DE113" s="1258">
        <v>32.61</v>
      </c>
      <c r="DF113" s="1258">
        <v>33.68</v>
      </c>
      <c r="DG113" s="1258">
        <v>34.590000000000003</v>
      </c>
      <c r="DH113" s="1258">
        <v>35.35</v>
      </c>
      <c r="DI113" s="1258">
        <v>35.97</v>
      </c>
      <c r="DJ113" s="1258">
        <v>36.47</v>
      </c>
      <c r="DK113" s="1258">
        <v>36.869999999999997</v>
      </c>
      <c r="DL113" s="1259">
        <v>37.159999999999997</v>
      </c>
      <c r="DM113" s="1257">
        <v>37.39</v>
      </c>
      <c r="DN113" s="1258">
        <v>37.54</v>
      </c>
      <c r="DO113" s="1258">
        <v>37.65</v>
      </c>
      <c r="DP113" s="1258">
        <v>37.72</v>
      </c>
      <c r="DQ113" s="1258">
        <v>37.76</v>
      </c>
      <c r="DR113" s="1258"/>
      <c r="DS113" s="1258"/>
      <c r="DT113" s="1258"/>
      <c r="DU113" s="1258"/>
      <c r="DV113" s="1259"/>
      <c r="DW113" s="1257"/>
      <c r="DX113" s="1258"/>
      <c r="DY113" s="1258"/>
      <c r="DZ113" s="1258"/>
      <c r="EA113" s="1258"/>
      <c r="EB113" s="1258"/>
      <c r="EC113" s="1258"/>
      <c r="ED113" s="1258"/>
      <c r="EE113" s="1258"/>
      <c r="EF113" s="1259"/>
      <c r="EG113" s="1257"/>
      <c r="EH113" s="1258"/>
      <c r="EI113" s="1258"/>
      <c r="EJ113" s="1258"/>
      <c r="EK113" s="1258"/>
      <c r="EL113" s="1258"/>
      <c r="EM113" s="1258"/>
      <c r="EN113" s="1258"/>
      <c r="EO113" s="1258"/>
      <c r="EP113" s="1259"/>
      <c r="EQ113" s="1257"/>
      <c r="ER113" s="1258"/>
      <c r="ES113" s="1258"/>
      <c r="ET113" s="1258"/>
      <c r="EU113" s="1258"/>
      <c r="EV113" s="1258"/>
      <c r="EW113" s="1258"/>
      <c r="EX113" s="1258"/>
      <c r="EY113" s="1258"/>
      <c r="EZ113" s="1259"/>
      <c r="FA113" s="1257"/>
      <c r="FB113" s="1258"/>
      <c r="FC113" s="1258"/>
      <c r="FD113" s="1258"/>
      <c r="FE113" s="1258"/>
      <c r="FF113" s="1258"/>
      <c r="FG113" s="1258"/>
      <c r="FH113" s="1258"/>
      <c r="FI113" s="1258"/>
      <c r="FJ113" s="1259"/>
      <c r="FK113" s="1258"/>
      <c r="FL113" s="1258"/>
      <c r="FM113" s="1259"/>
    </row>
    <row r="114" spans="1:169" s="1519" customFormat="1">
      <c r="A114" s="1515" t="s">
        <v>1591</v>
      </c>
      <c r="B114" s="1168">
        <v>65</v>
      </c>
      <c r="C114" s="1263"/>
      <c r="D114" s="1264">
        <v>2.68</v>
      </c>
      <c r="E114" s="1264">
        <v>4.29</v>
      </c>
      <c r="F114" s="1264">
        <v>6.07</v>
      </c>
      <c r="G114" s="1264">
        <v>8.06</v>
      </c>
      <c r="H114" s="1264">
        <v>10.23</v>
      </c>
      <c r="I114" s="1264">
        <v>12.6</v>
      </c>
      <c r="J114" s="1264">
        <v>15.17</v>
      </c>
      <c r="K114" s="1265">
        <v>17.95</v>
      </c>
      <c r="L114" s="1263">
        <v>20.94</v>
      </c>
      <c r="M114" s="1264">
        <v>24.14</v>
      </c>
      <c r="N114" s="1264">
        <v>27.53</v>
      </c>
      <c r="O114" s="1264">
        <v>31.1</v>
      </c>
      <c r="P114" s="1264">
        <v>34.82</v>
      </c>
      <c r="Q114" s="1264">
        <v>38.340000000000003</v>
      </c>
      <c r="R114" s="1264">
        <v>41.49</v>
      </c>
      <c r="S114" s="1264">
        <v>44.29</v>
      </c>
      <c r="T114" s="1264">
        <v>46.75</v>
      </c>
      <c r="U114" s="1265">
        <v>48.89</v>
      </c>
      <c r="V114" s="1263">
        <v>50.73</v>
      </c>
      <c r="W114" s="1264">
        <v>52.29</v>
      </c>
      <c r="X114" s="1264">
        <v>53.61</v>
      </c>
      <c r="Y114" s="1264">
        <v>54.7</v>
      </c>
      <c r="Z114" s="1264">
        <v>55.58</v>
      </c>
      <c r="AA114" s="1264">
        <v>56.29</v>
      </c>
      <c r="AB114" s="1264">
        <v>56.84</v>
      </c>
      <c r="AC114" s="1264">
        <v>57.25</v>
      </c>
      <c r="AD114" s="1264">
        <v>57.56</v>
      </c>
      <c r="AE114" s="1265">
        <v>57.78</v>
      </c>
      <c r="AF114" s="1263">
        <v>57.93</v>
      </c>
      <c r="AG114" s="1264">
        <v>58.03</v>
      </c>
      <c r="AH114" s="1264">
        <v>58.1</v>
      </c>
      <c r="AI114" s="1264">
        <v>58.14</v>
      </c>
      <c r="AJ114" s="1264"/>
      <c r="AK114" s="1264"/>
      <c r="AL114" s="1264"/>
      <c r="AM114" s="1264"/>
      <c r="AN114" s="1264"/>
      <c r="AO114" s="1265"/>
      <c r="AP114" s="1263"/>
      <c r="AQ114" s="1264"/>
      <c r="AR114" s="1264"/>
      <c r="AS114" s="1264"/>
      <c r="AT114" s="1264"/>
      <c r="AU114" s="1264"/>
      <c r="AV114" s="1264"/>
      <c r="AW114" s="1264"/>
      <c r="AX114" s="1264"/>
      <c r="AY114" s="1265"/>
      <c r="AZ114" s="1263"/>
      <c r="BA114" s="1264"/>
      <c r="BB114" s="1264"/>
      <c r="BC114" s="1264"/>
      <c r="BD114" s="1264"/>
      <c r="BE114" s="1264"/>
      <c r="BF114" s="1264"/>
      <c r="BG114" s="1264"/>
      <c r="BH114" s="1264"/>
      <c r="BI114" s="1265"/>
      <c r="BJ114" s="1263"/>
      <c r="BK114" s="1264"/>
      <c r="BL114" s="1264"/>
      <c r="BM114" s="1264"/>
      <c r="BN114" s="1264"/>
      <c r="BO114" s="1264"/>
      <c r="BP114" s="1264"/>
      <c r="BQ114" s="1264"/>
      <c r="BR114" s="1264"/>
      <c r="BS114" s="1265"/>
      <c r="BT114" s="1263"/>
      <c r="BU114" s="1264"/>
      <c r="BV114" s="1264"/>
      <c r="BW114" s="1264"/>
      <c r="BX114" s="1264"/>
      <c r="BY114" s="1264"/>
      <c r="BZ114" s="1264"/>
      <c r="CA114" s="1264"/>
      <c r="CB114" s="1264"/>
      <c r="CC114" s="1265"/>
      <c r="CD114" s="1264"/>
      <c r="CE114" s="1264"/>
      <c r="CF114" s="1265"/>
      <c r="CH114" s="1515" t="str">
        <f t="shared" si="2"/>
        <v>WPTPDCIF65</v>
      </c>
      <c r="CI114" s="1168">
        <v>65</v>
      </c>
      <c r="CJ114" s="1263"/>
      <c r="CK114" s="1264">
        <v>1.52</v>
      </c>
      <c r="CL114" s="1264">
        <v>2.4</v>
      </c>
      <c r="CM114" s="1264">
        <v>3.39</v>
      </c>
      <c r="CN114" s="1264">
        <v>4.49</v>
      </c>
      <c r="CO114" s="1264">
        <v>5.68</v>
      </c>
      <c r="CP114" s="1264">
        <v>6.99</v>
      </c>
      <c r="CQ114" s="1264">
        <v>8.42</v>
      </c>
      <c r="CR114" s="1265">
        <v>9.9700000000000006</v>
      </c>
      <c r="CS114" s="1263">
        <v>11.67</v>
      </c>
      <c r="CT114" s="1264">
        <v>13.5</v>
      </c>
      <c r="CU114" s="1264">
        <v>15.49</v>
      </c>
      <c r="CV114" s="1264">
        <v>17.62</v>
      </c>
      <c r="CW114" s="1264">
        <v>19.899999999999999</v>
      </c>
      <c r="CX114" s="1264">
        <v>22.39</v>
      </c>
      <c r="CY114" s="1264">
        <v>24.68</v>
      </c>
      <c r="CZ114" s="1264">
        <v>26.77</v>
      </c>
      <c r="DA114" s="1264">
        <v>28.66</v>
      </c>
      <c r="DB114" s="1265">
        <v>30.34</v>
      </c>
      <c r="DC114" s="1263">
        <v>31.84</v>
      </c>
      <c r="DD114" s="1264">
        <v>33.14</v>
      </c>
      <c r="DE114" s="1264">
        <v>34.270000000000003</v>
      </c>
      <c r="DF114" s="1264">
        <v>35.229999999999997</v>
      </c>
      <c r="DG114" s="1264">
        <v>36.04</v>
      </c>
      <c r="DH114" s="1264">
        <v>36.700000000000003</v>
      </c>
      <c r="DI114" s="1264">
        <v>37.229999999999997</v>
      </c>
      <c r="DJ114" s="1264">
        <v>37.65</v>
      </c>
      <c r="DK114" s="1264">
        <v>37.96</v>
      </c>
      <c r="DL114" s="1265">
        <v>38.200000000000003</v>
      </c>
      <c r="DM114" s="1263">
        <v>38.36</v>
      </c>
      <c r="DN114" s="1264">
        <v>38.479999999999997</v>
      </c>
      <c r="DO114" s="1264">
        <v>38.549999999999997</v>
      </c>
      <c r="DP114" s="1264">
        <v>38.6</v>
      </c>
      <c r="DQ114" s="1264"/>
      <c r="DR114" s="1264"/>
      <c r="DS114" s="1264"/>
      <c r="DT114" s="1264"/>
      <c r="DU114" s="1264"/>
      <c r="DV114" s="1265"/>
      <c r="DW114" s="1263"/>
      <c r="DX114" s="1264"/>
      <c r="DY114" s="1264"/>
      <c r="DZ114" s="1264"/>
      <c r="EA114" s="1264"/>
      <c r="EB114" s="1264"/>
      <c r="EC114" s="1264"/>
      <c r="ED114" s="1264"/>
      <c r="EE114" s="1264"/>
      <c r="EF114" s="1265"/>
      <c r="EG114" s="1263"/>
      <c r="EH114" s="1264"/>
      <c r="EI114" s="1264"/>
      <c r="EJ114" s="1264"/>
      <c r="EK114" s="1264"/>
      <c r="EL114" s="1264"/>
      <c r="EM114" s="1264"/>
      <c r="EN114" s="1264"/>
      <c r="EO114" s="1264"/>
      <c r="EP114" s="1265"/>
      <c r="EQ114" s="1263"/>
      <c r="ER114" s="1264"/>
      <c r="ES114" s="1264"/>
      <c r="ET114" s="1264"/>
      <c r="EU114" s="1264"/>
      <c r="EV114" s="1264"/>
      <c r="EW114" s="1264"/>
      <c r="EX114" s="1264"/>
      <c r="EY114" s="1264"/>
      <c r="EZ114" s="1265"/>
      <c r="FA114" s="1263"/>
      <c r="FB114" s="1264"/>
      <c r="FC114" s="1264"/>
      <c r="FD114" s="1264"/>
      <c r="FE114" s="1264"/>
      <c r="FF114" s="1264"/>
      <c r="FG114" s="1264"/>
      <c r="FH114" s="1264"/>
      <c r="FI114" s="1264"/>
      <c r="FJ114" s="1265"/>
      <c r="FK114" s="1264"/>
      <c r="FL114" s="1264"/>
      <c r="FM114" s="1265"/>
    </row>
    <row r="115" spans="1:169" s="1519" customFormat="1">
      <c r="A115" s="1515" t="s">
        <v>1592</v>
      </c>
      <c r="B115" s="1166">
        <v>66</v>
      </c>
      <c r="C115" s="1257"/>
      <c r="D115" s="1258">
        <v>3.01</v>
      </c>
      <c r="E115" s="1258">
        <v>4.79</v>
      </c>
      <c r="F115" s="1258">
        <v>6.77</v>
      </c>
      <c r="G115" s="1258">
        <v>8.93</v>
      </c>
      <c r="H115" s="1258">
        <v>11.29</v>
      </c>
      <c r="I115" s="1258">
        <v>13.86</v>
      </c>
      <c r="J115" s="1258">
        <v>16.64</v>
      </c>
      <c r="K115" s="1259">
        <v>19.64</v>
      </c>
      <c r="L115" s="1257">
        <v>22.85</v>
      </c>
      <c r="M115" s="1258">
        <v>26.28</v>
      </c>
      <c r="N115" s="1258">
        <v>29.88</v>
      </c>
      <c r="O115" s="1258">
        <v>33.65</v>
      </c>
      <c r="P115" s="1258">
        <v>37.33</v>
      </c>
      <c r="Q115" s="1258">
        <v>40.630000000000003</v>
      </c>
      <c r="R115" s="1258">
        <v>43.57</v>
      </c>
      <c r="S115" s="1258">
        <v>46.15</v>
      </c>
      <c r="T115" s="1258">
        <v>48.39</v>
      </c>
      <c r="U115" s="1259">
        <v>50.32</v>
      </c>
      <c r="V115" s="1257">
        <v>51.97</v>
      </c>
      <c r="W115" s="1258">
        <v>53.34</v>
      </c>
      <c r="X115" s="1258">
        <v>54.49</v>
      </c>
      <c r="Y115" s="1258">
        <v>55.41</v>
      </c>
      <c r="Z115" s="1258">
        <v>56.15</v>
      </c>
      <c r="AA115" s="1258">
        <v>56.73</v>
      </c>
      <c r="AB115" s="1258">
        <v>57.16</v>
      </c>
      <c r="AC115" s="1258">
        <v>57.49</v>
      </c>
      <c r="AD115" s="1258">
        <v>57.72</v>
      </c>
      <c r="AE115" s="1259">
        <v>57.87</v>
      </c>
      <c r="AF115" s="1257">
        <v>57.98</v>
      </c>
      <c r="AG115" s="1258">
        <v>58.05</v>
      </c>
      <c r="AH115" s="1258">
        <v>58.09</v>
      </c>
      <c r="AI115" s="1258"/>
      <c r="AJ115" s="1258"/>
      <c r="AK115" s="1258"/>
      <c r="AL115" s="1258"/>
      <c r="AM115" s="1258"/>
      <c r="AN115" s="1258"/>
      <c r="AO115" s="1259"/>
      <c r="AP115" s="1257"/>
      <c r="AQ115" s="1258"/>
      <c r="AR115" s="1258"/>
      <c r="AS115" s="1258"/>
      <c r="AT115" s="1258"/>
      <c r="AU115" s="1258"/>
      <c r="AV115" s="1258"/>
      <c r="AW115" s="1258"/>
      <c r="AX115" s="1258"/>
      <c r="AY115" s="1259"/>
      <c r="AZ115" s="1257"/>
      <c r="BA115" s="1258"/>
      <c r="BB115" s="1258"/>
      <c r="BC115" s="1258"/>
      <c r="BD115" s="1258"/>
      <c r="BE115" s="1258"/>
      <c r="BF115" s="1258"/>
      <c r="BG115" s="1258"/>
      <c r="BH115" s="1258"/>
      <c r="BI115" s="1259"/>
      <c r="BJ115" s="1257"/>
      <c r="BK115" s="1258"/>
      <c r="BL115" s="1258"/>
      <c r="BM115" s="1258"/>
      <c r="BN115" s="1258"/>
      <c r="BO115" s="1258"/>
      <c r="BP115" s="1258"/>
      <c r="BQ115" s="1258"/>
      <c r="BR115" s="1258"/>
      <c r="BS115" s="1259"/>
      <c r="BT115" s="1257"/>
      <c r="BU115" s="1258"/>
      <c r="BV115" s="1258"/>
      <c r="BW115" s="1258"/>
      <c r="BX115" s="1258"/>
      <c r="BY115" s="1258"/>
      <c r="BZ115" s="1258"/>
      <c r="CA115" s="1258"/>
      <c r="CB115" s="1258"/>
      <c r="CC115" s="1259"/>
      <c r="CD115" s="1258"/>
      <c r="CE115" s="1258"/>
      <c r="CF115" s="1259"/>
      <c r="CH115" s="1515" t="str">
        <f t="shared" si="2"/>
        <v>WPTPDCIF66</v>
      </c>
      <c r="CI115" s="1166">
        <v>66</v>
      </c>
      <c r="CJ115" s="1257"/>
      <c r="CK115" s="1258">
        <v>1.66</v>
      </c>
      <c r="CL115" s="1258">
        <v>2.64</v>
      </c>
      <c r="CM115" s="1258">
        <v>3.73</v>
      </c>
      <c r="CN115" s="1258">
        <v>4.91</v>
      </c>
      <c r="CO115" s="1258">
        <v>6.21</v>
      </c>
      <c r="CP115" s="1258">
        <v>7.62</v>
      </c>
      <c r="CQ115" s="1258">
        <v>9.17</v>
      </c>
      <c r="CR115" s="1259">
        <v>10.85</v>
      </c>
      <c r="CS115" s="1257">
        <v>12.69</v>
      </c>
      <c r="CT115" s="1258">
        <v>14.67</v>
      </c>
      <c r="CU115" s="1258">
        <v>16.809999999999999</v>
      </c>
      <c r="CV115" s="1258">
        <v>19.09</v>
      </c>
      <c r="CW115" s="1258">
        <v>21.67</v>
      </c>
      <c r="CX115" s="1258">
        <v>24.05</v>
      </c>
      <c r="CY115" s="1258">
        <v>26.21</v>
      </c>
      <c r="CZ115" s="1258">
        <v>28.16</v>
      </c>
      <c r="DA115" s="1258">
        <v>29.9</v>
      </c>
      <c r="DB115" s="1259">
        <v>31.45</v>
      </c>
      <c r="DC115" s="1257">
        <v>32.799999999999997</v>
      </c>
      <c r="DD115" s="1258">
        <v>33.97</v>
      </c>
      <c r="DE115" s="1258">
        <v>34.97</v>
      </c>
      <c r="DF115" s="1258">
        <v>35.799999999999997</v>
      </c>
      <c r="DG115" s="1258">
        <v>36.479999999999997</v>
      </c>
      <c r="DH115" s="1258">
        <v>37.03</v>
      </c>
      <c r="DI115" s="1258">
        <v>37.46</v>
      </c>
      <c r="DJ115" s="1258">
        <v>37.79</v>
      </c>
      <c r="DK115" s="1258">
        <v>38.03</v>
      </c>
      <c r="DL115" s="1259">
        <v>38.200000000000003</v>
      </c>
      <c r="DM115" s="1257">
        <v>38.32</v>
      </c>
      <c r="DN115" s="1258">
        <v>38.4</v>
      </c>
      <c r="DO115" s="1258">
        <v>38.450000000000003</v>
      </c>
      <c r="DP115" s="1258"/>
      <c r="DQ115" s="1258"/>
      <c r="DR115" s="1258"/>
      <c r="DS115" s="1258"/>
      <c r="DT115" s="1258"/>
      <c r="DU115" s="1258"/>
      <c r="DV115" s="1259"/>
      <c r="DW115" s="1257"/>
      <c r="DX115" s="1258"/>
      <c r="DY115" s="1258"/>
      <c r="DZ115" s="1258"/>
      <c r="EA115" s="1258"/>
      <c r="EB115" s="1258"/>
      <c r="EC115" s="1258"/>
      <c r="ED115" s="1258"/>
      <c r="EE115" s="1258"/>
      <c r="EF115" s="1259"/>
      <c r="EG115" s="1257"/>
      <c r="EH115" s="1258"/>
      <c r="EI115" s="1258"/>
      <c r="EJ115" s="1258"/>
      <c r="EK115" s="1258"/>
      <c r="EL115" s="1258"/>
      <c r="EM115" s="1258"/>
      <c r="EN115" s="1258"/>
      <c r="EO115" s="1258"/>
      <c r="EP115" s="1259"/>
      <c r="EQ115" s="1257"/>
      <c r="ER115" s="1258"/>
      <c r="ES115" s="1258"/>
      <c r="ET115" s="1258"/>
      <c r="EU115" s="1258"/>
      <c r="EV115" s="1258"/>
      <c r="EW115" s="1258"/>
      <c r="EX115" s="1258"/>
      <c r="EY115" s="1258"/>
      <c r="EZ115" s="1259"/>
      <c r="FA115" s="1257"/>
      <c r="FB115" s="1258"/>
      <c r="FC115" s="1258"/>
      <c r="FD115" s="1258"/>
      <c r="FE115" s="1258"/>
      <c r="FF115" s="1258"/>
      <c r="FG115" s="1258"/>
      <c r="FH115" s="1258"/>
      <c r="FI115" s="1258"/>
      <c r="FJ115" s="1259"/>
      <c r="FK115" s="1258"/>
      <c r="FL115" s="1258"/>
      <c r="FM115" s="1259"/>
    </row>
    <row r="116" spans="1:169" s="1519" customFormat="1">
      <c r="A116" s="1515" t="s">
        <v>1593</v>
      </c>
      <c r="B116" s="1166">
        <v>67</v>
      </c>
      <c r="C116" s="1257"/>
      <c r="D116" s="1258">
        <v>3.34</v>
      </c>
      <c r="E116" s="1258">
        <v>5.31</v>
      </c>
      <c r="F116" s="1258">
        <v>7.46</v>
      </c>
      <c r="G116" s="1258">
        <v>9.8000000000000007</v>
      </c>
      <c r="H116" s="1258">
        <v>12.36</v>
      </c>
      <c r="I116" s="1258">
        <v>15.13</v>
      </c>
      <c r="J116" s="1258">
        <v>18.13</v>
      </c>
      <c r="K116" s="1259">
        <v>21.35</v>
      </c>
      <c r="L116" s="1257">
        <v>24.79</v>
      </c>
      <c r="M116" s="1258">
        <v>28.42</v>
      </c>
      <c r="N116" s="1258">
        <v>32.22</v>
      </c>
      <c r="O116" s="1258">
        <v>36.090000000000003</v>
      </c>
      <c r="P116" s="1258">
        <v>39.549999999999997</v>
      </c>
      <c r="Q116" s="1258">
        <v>42.63</v>
      </c>
      <c r="R116" s="1258">
        <v>45.33</v>
      </c>
      <c r="S116" s="1258">
        <v>47.69</v>
      </c>
      <c r="T116" s="1258">
        <v>49.71</v>
      </c>
      <c r="U116" s="1259">
        <v>51.43</v>
      </c>
      <c r="V116" s="1257">
        <v>52.88</v>
      </c>
      <c r="W116" s="1258">
        <v>54.08</v>
      </c>
      <c r="X116" s="1258">
        <v>55.05</v>
      </c>
      <c r="Y116" s="1258">
        <v>55.82</v>
      </c>
      <c r="Z116" s="1258">
        <v>56.43</v>
      </c>
      <c r="AA116" s="1258">
        <v>56.88</v>
      </c>
      <c r="AB116" s="1258">
        <v>57.22</v>
      </c>
      <c r="AC116" s="1258">
        <v>57.46</v>
      </c>
      <c r="AD116" s="1258">
        <v>57.63</v>
      </c>
      <c r="AE116" s="1259">
        <v>57.74</v>
      </c>
      <c r="AF116" s="1257">
        <v>57.81</v>
      </c>
      <c r="AG116" s="1258">
        <v>57.86</v>
      </c>
      <c r="AH116" s="1258"/>
      <c r="AI116" s="1258"/>
      <c r="AJ116" s="1258"/>
      <c r="AK116" s="1258"/>
      <c r="AL116" s="1258"/>
      <c r="AM116" s="1258"/>
      <c r="AN116" s="1258"/>
      <c r="AO116" s="1259"/>
      <c r="AP116" s="1257"/>
      <c r="AQ116" s="1258"/>
      <c r="AR116" s="1258"/>
      <c r="AS116" s="1258"/>
      <c r="AT116" s="1258"/>
      <c r="AU116" s="1258"/>
      <c r="AV116" s="1258"/>
      <c r="AW116" s="1258"/>
      <c r="AX116" s="1258"/>
      <c r="AY116" s="1259"/>
      <c r="AZ116" s="1257"/>
      <c r="BA116" s="1258"/>
      <c r="BB116" s="1258"/>
      <c r="BC116" s="1258"/>
      <c r="BD116" s="1258"/>
      <c r="BE116" s="1258"/>
      <c r="BF116" s="1258"/>
      <c r="BG116" s="1258"/>
      <c r="BH116" s="1258"/>
      <c r="BI116" s="1259"/>
      <c r="BJ116" s="1257"/>
      <c r="BK116" s="1258"/>
      <c r="BL116" s="1258"/>
      <c r="BM116" s="1258"/>
      <c r="BN116" s="1258"/>
      <c r="BO116" s="1258"/>
      <c r="BP116" s="1258"/>
      <c r="BQ116" s="1258"/>
      <c r="BR116" s="1258"/>
      <c r="BS116" s="1259"/>
      <c r="BT116" s="1257"/>
      <c r="BU116" s="1258"/>
      <c r="BV116" s="1258"/>
      <c r="BW116" s="1258"/>
      <c r="BX116" s="1258"/>
      <c r="BY116" s="1258"/>
      <c r="BZ116" s="1258"/>
      <c r="CA116" s="1258"/>
      <c r="CB116" s="1258"/>
      <c r="CC116" s="1259"/>
      <c r="CD116" s="1258"/>
      <c r="CE116" s="1258"/>
      <c r="CF116" s="1259"/>
      <c r="CH116" s="1515" t="str">
        <f t="shared" si="2"/>
        <v>WPTPDCIF67</v>
      </c>
      <c r="CI116" s="1166">
        <v>67</v>
      </c>
      <c r="CJ116" s="1257"/>
      <c r="CK116" s="1258">
        <v>1.83</v>
      </c>
      <c r="CL116" s="1258">
        <v>2.9</v>
      </c>
      <c r="CM116" s="1258">
        <v>4.08</v>
      </c>
      <c r="CN116" s="1258">
        <v>5.36</v>
      </c>
      <c r="CO116" s="1258">
        <v>6.76</v>
      </c>
      <c r="CP116" s="1258">
        <v>8.3000000000000007</v>
      </c>
      <c r="CQ116" s="1258">
        <v>9.98</v>
      </c>
      <c r="CR116" s="1259">
        <v>11.8</v>
      </c>
      <c r="CS116" s="1257">
        <v>13.78</v>
      </c>
      <c r="CT116" s="1258">
        <v>15.92</v>
      </c>
      <c r="CU116" s="1258">
        <v>18.22</v>
      </c>
      <c r="CV116" s="1258">
        <v>20.89</v>
      </c>
      <c r="CW116" s="1258">
        <v>23.35</v>
      </c>
      <c r="CX116" s="1258">
        <v>25.59</v>
      </c>
      <c r="CY116" s="1258">
        <v>27.61</v>
      </c>
      <c r="CZ116" s="1258">
        <v>29.42</v>
      </c>
      <c r="DA116" s="1258">
        <v>31.03</v>
      </c>
      <c r="DB116" s="1259">
        <v>32.43</v>
      </c>
      <c r="DC116" s="1257">
        <v>33.64</v>
      </c>
      <c r="DD116" s="1258">
        <v>34.67</v>
      </c>
      <c r="DE116" s="1258">
        <v>35.53</v>
      </c>
      <c r="DF116" s="1258">
        <v>36.24</v>
      </c>
      <c r="DG116" s="1258">
        <v>36.81</v>
      </c>
      <c r="DH116" s="1258">
        <v>37.26</v>
      </c>
      <c r="DI116" s="1258">
        <v>37.6</v>
      </c>
      <c r="DJ116" s="1258">
        <v>37.85</v>
      </c>
      <c r="DK116" s="1258">
        <v>38.03</v>
      </c>
      <c r="DL116" s="1259">
        <v>38.15</v>
      </c>
      <c r="DM116" s="1257">
        <v>38.229999999999997</v>
      </c>
      <c r="DN116" s="1258">
        <v>38.28</v>
      </c>
      <c r="DO116" s="1258"/>
      <c r="DP116" s="1258"/>
      <c r="DQ116" s="1258"/>
      <c r="DR116" s="1258"/>
      <c r="DS116" s="1258"/>
      <c r="DT116" s="1258"/>
      <c r="DU116" s="1258"/>
      <c r="DV116" s="1259"/>
      <c r="DW116" s="1257"/>
      <c r="DX116" s="1258"/>
      <c r="DY116" s="1258"/>
      <c r="DZ116" s="1258"/>
      <c r="EA116" s="1258"/>
      <c r="EB116" s="1258"/>
      <c r="EC116" s="1258"/>
      <c r="ED116" s="1258"/>
      <c r="EE116" s="1258"/>
      <c r="EF116" s="1259"/>
      <c r="EG116" s="1257"/>
      <c r="EH116" s="1258"/>
      <c r="EI116" s="1258"/>
      <c r="EJ116" s="1258"/>
      <c r="EK116" s="1258"/>
      <c r="EL116" s="1258"/>
      <c r="EM116" s="1258"/>
      <c r="EN116" s="1258"/>
      <c r="EO116" s="1258"/>
      <c r="EP116" s="1259"/>
      <c r="EQ116" s="1257"/>
      <c r="ER116" s="1258"/>
      <c r="ES116" s="1258"/>
      <c r="ET116" s="1258"/>
      <c r="EU116" s="1258"/>
      <c r="EV116" s="1258"/>
      <c r="EW116" s="1258"/>
      <c r="EX116" s="1258"/>
      <c r="EY116" s="1258"/>
      <c r="EZ116" s="1259"/>
      <c r="FA116" s="1257"/>
      <c r="FB116" s="1258"/>
      <c r="FC116" s="1258"/>
      <c r="FD116" s="1258"/>
      <c r="FE116" s="1258"/>
      <c r="FF116" s="1258"/>
      <c r="FG116" s="1258"/>
      <c r="FH116" s="1258"/>
      <c r="FI116" s="1258"/>
      <c r="FJ116" s="1259"/>
      <c r="FK116" s="1258"/>
      <c r="FL116" s="1258"/>
      <c r="FM116" s="1259"/>
    </row>
    <row r="117" spans="1:169" s="1519" customFormat="1">
      <c r="A117" s="1515" t="s">
        <v>1594</v>
      </c>
      <c r="B117" s="1166">
        <v>68</v>
      </c>
      <c r="C117" s="1257"/>
      <c r="D117" s="1258">
        <v>3.69</v>
      </c>
      <c r="E117" s="1258">
        <v>5.81</v>
      </c>
      <c r="F117" s="1258">
        <v>8.14</v>
      </c>
      <c r="G117" s="1258">
        <v>10.67</v>
      </c>
      <c r="H117" s="1258">
        <v>13.43</v>
      </c>
      <c r="I117" s="1258">
        <v>16.420000000000002</v>
      </c>
      <c r="J117" s="1258">
        <v>19.64</v>
      </c>
      <c r="K117" s="1259">
        <v>23.09</v>
      </c>
      <c r="L117" s="1257">
        <v>26.74</v>
      </c>
      <c r="M117" s="1258">
        <v>30.57</v>
      </c>
      <c r="N117" s="1258">
        <v>34.619999999999997</v>
      </c>
      <c r="O117" s="1258">
        <v>38.26</v>
      </c>
      <c r="P117" s="1258">
        <v>41.48</v>
      </c>
      <c r="Q117" s="1258">
        <v>44.32</v>
      </c>
      <c r="R117" s="1258">
        <v>46.79</v>
      </c>
      <c r="S117" s="1258">
        <v>48.91</v>
      </c>
      <c r="T117" s="1258">
        <v>50.72</v>
      </c>
      <c r="U117" s="1259">
        <v>52.23</v>
      </c>
      <c r="V117" s="1257">
        <v>53.49</v>
      </c>
      <c r="W117" s="1258">
        <v>54.51</v>
      </c>
      <c r="X117" s="1258">
        <v>55.32</v>
      </c>
      <c r="Y117" s="1258">
        <v>55.95</v>
      </c>
      <c r="Z117" s="1258">
        <v>56.43</v>
      </c>
      <c r="AA117" s="1258">
        <v>56.79</v>
      </c>
      <c r="AB117" s="1258">
        <v>57.04</v>
      </c>
      <c r="AC117" s="1258">
        <v>57.22</v>
      </c>
      <c r="AD117" s="1258">
        <v>57.33</v>
      </c>
      <c r="AE117" s="1259">
        <v>57.41</v>
      </c>
      <c r="AF117" s="1257">
        <v>57.45</v>
      </c>
      <c r="AG117" s="1258"/>
      <c r="AH117" s="1258"/>
      <c r="AI117" s="1258"/>
      <c r="AJ117" s="1258"/>
      <c r="AK117" s="1258"/>
      <c r="AL117" s="1258"/>
      <c r="AM117" s="1258"/>
      <c r="AN117" s="1258"/>
      <c r="AO117" s="1259"/>
      <c r="AP117" s="1257"/>
      <c r="AQ117" s="1258"/>
      <c r="AR117" s="1258"/>
      <c r="AS117" s="1258"/>
      <c r="AT117" s="1258"/>
      <c r="AU117" s="1258"/>
      <c r="AV117" s="1258"/>
      <c r="AW117" s="1258"/>
      <c r="AX117" s="1258"/>
      <c r="AY117" s="1259"/>
      <c r="AZ117" s="1257"/>
      <c r="BA117" s="1258"/>
      <c r="BB117" s="1258"/>
      <c r="BC117" s="1258"/>
      <c r="BD117" s="1258"/>
      <c r="BE117" s="1258"/>
      <c r="BF117" s="1258"/>
      <c r="BG117" s="1258"/>
      <c r="BH117" s="1258"/>
      <c r="BI117" s="1259"/>
      <c r="BJ117" s="1257"/>
      <c r="BK117" s="1258"/>
      <c r="BL117" s="1258"/>
      <c r="BM117" s="1258"/>
      <c r="BN117" s="1258"/>
      <c r="BO117" s="1258"/>
      <c r="BP117" s="1258"/>
      <c r="BQ117" s="1258"/>
      <c r="BR117" s="1258"/>
      <c r="BS117" s="1259"/>
      <c r="BT117" s="1257"/>
      <c r="BU117" s="1258"/>
      <c r="BV117" s="1258"/>
      <c r="BW117" s="1258"/>
      <c r="BX117" s="1258"/>
      <c r="BY117" s="1258"/>
      <c r="BZ117" s="1258"/>
      <c r="CA117" s="1258"/>
      <c r="CB117" s="1258"/>
      <c r="CC117" s="1259"/>
      <c r="CD117" s="1258"/>
      <c r="CE117" s="1258"/>
      <c r="CF117" s="1259"/>
      <c r="CH117" s="1515" t="str">
        <f t="shared" si="2"/>
        <v>WPTPDCIF68</v>
      </c>
      <c r="CI117" s="1166">
        <v>68</v>
      </c>
      <c r="CJ117" s="1257"/>
      <c r="CK117" s="1258">
        <v>2.02</v>
      </c>
      <c r="CL117" s="1258">
        <v>3.17</v>
      </c>
      <c r="CM117" s="1258">
        <v>4.4400000000000004</v>
      </c>
      <c r="CN117" s="1258">
        <v>5.83</v>
      </c>
      <c r="CO117" s="1258">
        <v>7.35</v>
      </c>
      <c r="CP117" s="1258">
        <v>9.02</v>
      </c>
      <c r="CQ117" s="1258">
        <v>10.84</v>
      </c>
      <c r="CR117" s="1259">
        <v>12.82</v>
      </c>
      <c r="CS117" s="1257">
        <v>14.96</v>
      </c>
      <c r="CT117" s="1258">
        <v>17.27</v>
      </c>
      <c r="CU117" s="1258">
        <v>20.04</v>
      </c>
      <c r="CV117" s="1258">
        <v>22.59</v>
      </c>
      <c r="CW117" s="1258">
        <v>24.92</v>
      </c>
      <c r="CX117" s="1258">
        <v>27.02</v>
      </c>
      <c r="CY117" s="1258">
        <v>28.9</v>
      </c>
      <c r="CZ117" s="1258">
        <v>30.56</v>
      </c>
      <c r="DA117" s="1258">
        <v>32.01</v>
      </c>
      <c r="DB117" s="1259">
        <v>33.270000000000003</v>
      </c>
      <c r="DC117" s="1257">
        <v>34.340000000000003</v>
      </c>
      <c r="DD117" s="1258">
        <v>35.24</v>
      </c>
      <c r="DE117" s="1258">
        <v>35.979999999999997</v>
      </c>
      <c r="DF117" s="1258">
        <v>36.57</v>
      </c>
      <c r="DG117" s="1258">
        <v>37.03</v>
      </c>
      <c r="DH117" s="1258">
        <v>37.380000000000003</v>
      </c>
      <c r="DI117" s="1258">
        <v>37.64</v>
      </c>
      <c r="DJ117" s="1258">
        <v>37.83</v>
      </c>
      <c r="DK117" s="1258">
        <v>37.950000000000003</v>
      </c>
      <c r="DL117" s="1259">
        <v>38.04</v>
      </c>
      <c r="DM117" s="1257">
        <v>38.090000000000003</v>
      </c>
      <c r="DN117" s="1258"/>
      <c r="DO117" s="1258"/>
      <c r="DP117" s="1258"/>
      <c r="DQ117" s="1258"/>
      <c r="DR117" s="1258"/>
      <c r="DS117" s="1258"/>
      <c r="DT117" s="1258"/>
      <c r="DU117" s="1258"/>
      <c r="DV117" s="1259"/>
      <c r="DW117" s="1257"/>
      <c r="DX117" s="1258"/>
      <c r="DY117" s="1258"/>
      <c r="DZ117" s="1258"/>
      <c r="EA117" s="1258"/>
      <c r="EB117" s="1258"/>
      <c r="EC117" s="1258"/>
      <c r="ED117" s="1258"/>
      <c r="EE117" s="1258"/>
      <c r="EF117" s="1259"/>
      <c r="EG117" s="1257"/>
      <c r="EH117" s="1258"/>
      <c r="EI117" s="1258"/>
      <c r="EJ117" s="1258"/>
      <c r="EK117" s="1258"/>
      <c r="EL117" s="1258"/>
      <c r="EM117" s="1258"/>
      <c r="EN117" s="1258"/>
      <c r="EO117" s="1258"/>
      <c r="EP117" s="1259"/>
      <c r="EQ117" s="1257"/>
      <c r="ER117" s="1258"/>
      <c r="ES117" s="1258"/>
      <c r="ET117" s="1258"/>
      <c r="EU117" s="1258"/>
      <c r="EV117" s="1258"/>
      <c r="EW117" s="1258"/>
      <c r="EX117" s="1258"/>
      <c r="EY117" s="1258"/>
      <c r="EZ117" s="1259"/>
      <c r="FA117" s="1257"/>
      <c r="FB117" s="1258"/>
      <c r="FC117" s="1258"/>
      <c r="FD117" s="1258"/>
      <c r="FE117" s="1258"/>
      <c r="FF117" s="1258"/>
      <c r="FG117" s="1258"/>
      <c r="FH117" s="1258"/>
      <c r="FI117" s="1258"/>
      <c r="FJ117" s="1259"/>
      <c r="FK117" s="1258"/>
      <c r="FL117" s="1258"/>
      <c r="FM117" s="1259"/>
    </row>
    <row r="118" spans="1:169" s="1519" customFormat="1">
      <c r="A118" s="1515" t="s">
        <v>1595</v>
      </c>
      <c r="B118" s="1166">
        <v>69</v>
      </c>
      <c r="C118" s="1257"/>
      <c r="D118" s="1258">
        <v>4.01</v>
      </c>
      <c r="E118" s="1258">
        <v>6.3</v>
      </c>
      <c r="F118" s="1258">
        <v>8.81</v>
      </c>
      <c r="G118" s="1258">
        <v>11.55</v>
      </c>
      <c r="H118" s="1258">
        <v>14.52</v>
      </c>
      <c r="I118" s="1258">
        <v>17.73</v>
      </c>
      <c r="J118" s="1258">
        <v>21.18</v>
      </c>
      <c r="K118" s="1259">
        <v>24.85</v>
      </c>
      <c r="L118" s="1257">
        <v>28.7</v>
      </c>
      <c r="M118" s="1258">
        <v>32.96</v>
      </c>
      <c r="N118" s="1258">
        <v>36.770000000000003</v>
      </c>
      <c r="O118" s="1258">
        <v>40.15</v>
      </c>
      <c r="P118" s="1258">
        <v>43.13</v>
      </c>
      <c r="Q118" s="1258">
        <v>45.72</v>
      </c>
      <c r="R118" s="1258">
        <v>47.95</v>
      </c>
      <c r="S118" s="1258">
        <v>49.84</v>
      </c>
      <c r="T118" s="1258">
        <v>51.43</v>
      </c>
      <c r="U118" s="1259">
        <v>52.75</v>
      </c>
      <c r="V118" s="1257">
        <v>53.82</v>
      </c>
      <c r="W118" s="1258">
        <v>54.67</v>
      </c>
      <c r="X118" s="1258">
        <v>55.34</v>
      </c>
      <c r="Y118" s="1258">
        <v>55.84</v>
      </c>
      <c r="Z118" s="1258">
        <v>56.21</v>
      </c>
      <c r="AA118" s="1258">
        <v>56.48</v>
      </c>
      <c r="AB118" s="1258">
        <v>56.66</v>
      </c>
      <c r="AC118" s="1258">
        <v>56.78</v>
      </c>
      <c r="AD118" s="1258">
        <v>56.86</v>
      </c>
      <c r="AE118" s="1259">
        <v>56.91</v>
      </c>
      <c r="AF118" s="1257"/>
      <c r="AG118" s="1258"/>
      <c r="AH118" s="1258"/>
      <c r="AI118" s="1258"/>
      <c r="AJ118" s="1258"/>
      <c r="AK118" s="1258"/>
      <c r="AL118" s="1258"/>
      <c r="AM118" s="1258"/>
      <c r="AN118" s="1258"/>
      <c r="AO118" s="1259"/>
      <c r="AP118" s="1257"/>
      <c r="AQ118" s="1258"/>
      <c r="AR118" s="1258"/>
      <c r="AS118" s="1258"/>
      <c r="AT118" s="1258"/>
      <c r="AU118" s="1258"/>
      <c r="AV118" s="1258"/>
      <c r="AW118" s="1258"/>
      <c r="AX118" s="1258"/>
      <c r="AY118" s="1259"/>
      <c r="AZ118" s="1257"/>
      <c r="BA118" s="1258"/>
      <c r="BB118" s="1258"/>
      <c r="BC118" s="1258"/>
      <c r="BD118" s="1258"/>
      <c r="BE118" s="1258"/>
      <c r="BF118" s="1258"/>
      <c r="BG118" s="1258"/>
      <c r="BH118" s="1258"/>
      <c r="BI118" s="1259"/>
      <c r="BJ118" s="1257"/>
      <c r="BK118" s="1258"/>
      <c r="BL118" s="1258"/>
      <c r="BM118" s="1258"/>
      <c r="BN118" s="1258"/>
      <c r="BO118" s="1258"/>
      <c r="BP118" s="1258"/>
      <c r="BQ118" s="1258"/>
      <c r="BR118" s="1258"/>
      <c r="BS118" s="1259"/>
      <c r="BT118" s="1257"/>
      <c r="BU118" s="1258"/>
      <c r="BV118" s="1258"/>
      <c r="BW118" s="1258"/>
      <c r="BX118" s="1258"/>
      <c r="BY118" s="1258"/>
      <c r="BZ118" s="1258"/>
      <c r="CA118" s="1258"/>
      <c r="CB118" s="1258"/>
      <c r="CC118" s="1259"/>
      <c r="CD118" s="1258"/>
      <c r="CE118" s="1258"/>
      <c r="CF118" s="1259"/>
      <c r="CH118" s="1515" t="str">
        <f t="shared" si="2"/>
        <v>WPTPDCIF69</v>
      </c>
      <c r="CI118" s="1166">
        <v>69</v>
      </c>
      <c r="CJ118" s="1257"/>
      <c r="CK118" s="1258">
        <v>2.19</v>
      </c>
      <c r="CL118" s="1258">
        <v>3.44</v>
      </c>
      <c r="CM118" s="1258">
        <v>4.8099999999999996</v>
      </c>
      <c r="CN118" s="1258">
        <v>6.32</v>
      </c>
      <c r="CO118" s="1258">
        <v>7.98</v>
      </c>
      <c r="CP118" s="1258">
        <v>9.7899999999999991</v>
      </c>
      <c r="CQ118" s="1258">
        <v>11.77</v>
      </c>
      <c r="CR118" s="1259">
        <v>13.91</v>
      </c>
      <c r="CS118" s="1257">
        <v>16.22</v>
      </c>
      <c r="CT118" s="1258">
        <v>19.11</v>
      </c>
      <c r="CU118" s="1258">
        <v>21.76</v>
      </c>
      <c r="CV118" s="1258">
        <v>24.17</v>
      </c>
      <c r="CW118" s="1258">
        <v>26.36</v>
      </c>
      <c r="CX118" s="1258">
        <v>28.31</v>
      </c>
      <c r="CY118" s="1258">
        <v>30.04</v>
      </c>
      <c r="CZ118" s="1258">
        <v>31.55</v>
      </c>
      <c r="DA118" s="1258">
        <v>32.85</v>
      </c>
      <c r="DB118" s="1259">
        <v>33.97</v>
      </c>
      <c r="DC118" s="1257">
        <v>34.9</v>
      </c>
      <c r="DD118" s="1258">
        <v>35.67</v>
      </c>
      <c r="DE118" s="1258">
        <v>36.28</v>
      </c>
      <c r="DF118" s="1258">
        <v>36.76</v>
      </c>
      <c r="DG118" s="1258">
        <v>37.130000000000003</v>
      </c>
      <c r="DH118" s="1258">
        <v>37.4</v>
      </c>
      <c r="DI118" s="1258">
        <v>37.590000000000003</v>
      </c>
      <c r="DJ118" s="1258">
        <v>37.72</v>
      </c>
      <c r="DK118" s="1258">
        <v>37.81</v>
      </c>
      <c r="DL118" s="1259">
        <v>37.86</v>
      </c>
      <c r="DM118" s="1257"/>
      <c r="DN118" s="1258"/>
      <c r="DO118" s="1258"/>
      <c r="DP118" s="1258"/>
      <c r="DQ118" s="1258"/>
      <c r="DR118" s="1258"/>
      <c r="DS118" s="1258"/>
      <c r="DT118" s="1258"/>
      <c r="DU118" s="1258"/>
      <c r="DV118" s="1259"/>
      <c r="DW118" s="1257"/>
      <c r="DX118" s="1258"/>
      <c r="DY118" s="1258"/>
      <c r="DZ118" s="1258"/>
      <c r="EA118" s="1258"/>
      <c r="EB118" s="1258"/>
      <c r="EC118" s="1258"/>
      <c r="ED118" s="1258"/>
      <c r="EE118" s="1258"/>
      <c r="EF118" s="1259"/>
      <c r="EG118" s="1257"/>
      <c r="EH118" s="1258"/>
      <c r="EI118" s="1258"/>
      <c r="EJ118" s="1258"/>
      <c r="EK118" s="1258"/>
      <c r="EL118" s="1258"/>
      <c r="EM118" s="1258"/>
      <c r="EN118" s="1258"/>
      <c r="EO118" s="1258"/>
      <c r="EP118" s="1259"/>
      <c r="EQ118" s="1257"/>
      <c r="ER118" s="1258"/>
      <c r="ES118" s="1258"/>
      <c r="ET118" s="1258"/>
      <c r="EU118" s="1258"/>
      <c r="EV118" s="1258"/>
      <c r="EW118" s="1258"/>
      <c r="EX118" s="1258"/>
      <c r="EY118" s="1258"/>
      <c r="EZ118" s="1259"/>
      <c r="FA118" s="1257"/>
      <c r="FB118" s="1258"/>
      <c r="FC118" s="1258"/>
      <c r="FD118" s="1258"/>
      <c r="FE118" s="1258"/>
      <c r="FF118" s="1258"/>
      <c r="FG118" s="1258"/>
      <c r="FH118" s="1258"/>
      <c r="FI118" s="1258"/>
      <c r="FJ118" s="1259"/>
      <c r="FK118" s="1258"/>
      <c r="FL118" s="1258"/>
      <c r="FM118" s="1259"/>
    </row>
    <row r="119" spans="1:169" s="1519" customFormat="1">
      <c r="A119" s="1515" t="s">
        <v>1596</v>
      </c>
      <c r="B119" s="1169">
        <v>70</v>
      </c>
      <c r="C119" s="1266"/>
      <c r="D119" s="1267">
        <v>4.28</v>
      </c>
      <c r="E119" s="1267">
        <v>6.75</v>
      </c>
      <c r="F119" s="1267">
        <v>9.4499999999999993</v>
      </c>
      <c r="G119" s="1267">
        <v>12.4</v>
      </c>
      <c r="H119" s="1267">
        <v>15.6</v>
      </c>
      <c r="I119" s="1267">
        <v>19.05</v>
      </c>
      <c r="J119" s="1267">
        <v>22.72</v>
      </c>
      <c r="K119" s="1268">
        <v>26.59</v>
      </c>
      <c r="L119" s="1266">
        <v>31.05</v>
      </c>
      <c r="M119" s="1267">
        <v>35.049999999999997</v>
      </c>
      <c r="N119" s="1267">
        <v>38.61</v>
      </c>
      <c r="O119" s="1267">
        <v>41.73</v>
      </c>
      <c r="P119" s="1267">
        <v>44.45</v>
      </c>
      <c r="Q119" s="1267">
        <v>46.79</v>
      </c>
      <c r="R119" s="1267">
        <v>48.78</v>
      </c>
      <c r="S119" s="1267">
        <v>50.44</v>
      </c>
      <c r="T119" s="1267">
        <v>51.83</v>
      </c>
      <c r="U119" s="1268">
        <v>52.95</v>
      </c>
      <c r="V119" s="1266">
        <v>53.84</v>
      </c>
      <c r="W119" s="1267">
        <v>54.54</v>
      </c>
      <c r="X119" s="1267">
        <v>55.07</v>
      </c>
      <c r="Y119" s="1267">
        <v>55.46</v>
      </c>
      <c r="Z119" s="1267">
        <v>55.74</v>
      </c>
      <c r="AA119" s="1267">
        <v>55.93</v>
      </c>
      <c r="AB119" s="1267">
        <v>56.06</v>
      </c>
      <c r="AC119" s="1267">
        <v>56.14</v>
      </c>
      <c r="AD119" s="1267">
        <v>56.19</v>
      </c>
      <c r="AE119" s="1268"/>
      <c r="AF119" s="1266"/>
      <c r="AG119" s="1267"/>
      <c r="AH119" s="1267"/>
      <c r="AI119" s="1267"/>
      <c r="AJ119" s="1267"/>
      <c r="AK119" s="1267"/>
      <c r="AL119" s="1267"/>
      <c r="AM119" s="1267"/>
      <c r="AN119" s="1267"/>
      <c r="AO119" s="1268"/>
      <c r="AP119" s="1266"/>
      <c r="AQ119" s="1267"/>
      <c r="AR119" s="1267"/>
      <c r="AS119" s="1267"/>
      <c r="AT119" s="1267"/>
      <c r="AU119" s="1267"/>
      <c r="AV119" s="1267"/>
      <c r="AW119" s="1267"/>
      <c r="AX119" s="1267"/>
      <c r="AY119" s="1268"/>
      <c r="AZ119" s="1266"/>
      <c r="BA119" s="1267"/>
      <c r="BB119" s="1267"/>
      <c r="BC119" s="1267"/>
      <c r="BD119" s="1267"/>
      <c r="BE119" s="1267"/>
      <c r="BF119" s="1267"/>
      <c r="BG119" s="1267"/>
      <c r="BH119" s="1267"/>
      <c r="BI119" s="1268"/>
      <c r="BJ119" s="1266"/>
      <c r="BK119" s="1267"/>
      <c r="BL119" s="1267"/>
      <c r="BM119" s="1267"/>
      <c r="BN119" s="1267"/>
      <c r="BO119" s="1267"/>
      <c r="BP119" s="1267"/>
      <c r="BQ119" s="1267"/>
      <c r="BR119" s="1267"/>
      <c r="BS119" s="1268"/>
      <c r="BT119" s="1266"/>
      <c r="BU119" s="1267"/>
      <c r="BV119" s="1267"/>
      <c r="BW119" s="1267"/>
      <c r="BX119" s="1267"/>
      <c r="BY119" s="1267"/>
      <c r="BZ119" s="1267"/>
      <c r="CA119" s="1267"/>
      <c r="CB119" s="1267"/>
      <c r="CC119" s="1268"/>
      <c r="CD119" s="1267"/>
      <c r="CE119" s="1267"/>
      <c r="CF119" s="1268"/>
      <c r="CH119" s="1515" t="str">
        <f t="shared" si="2"/>
        <v>WPTPDCIF70</v>
      </c>
      <c r="CI119" s="1169">
        <v>70</v>
      </c>
      <c r="CJ119" s="1266"/>
      <c r="CK119" s="1267">
        <v>2.34</v>
      </c>
      <c r="CL119" s="1267">
        <v>3.69</v>
      </c>
      <c r="CM119" s="1267">
        <v>5.18</v>
      </c>
      <c r="CN119" s="1267">
        <v>6.83</v>
      </c>
      <c r="CO119" s="1267">
        <v>8.6300000000000008</v>
      </c>
      <c r="CP119" s="1267">
        <v>10.61</v>
      </c>
      <c r="CQ119" s="1267">
        <v>12.75</v>
      </c>
      <c r="CR119" s="1268">
        <v>15.07</v>
      </c>
      <c r="CS119" s="1266">
        <v>18.07</v>
      </c>
      <c r="CT119" s="1267">
        <v>20.83</v>
      </c>
      <c r="CU119" s="1267">
        <v>23.35</v>
      </c>
      <c r="CV119" s="1267">
        <v>25.62</v>
      </c>
      <c r="CW119" s="1267">
        <v>27.65</v>
      </c>
      <c r="CX119" s="1267">
        <v>29.45</v>
      </c>
      <c r="CY119" s="1267">
        <v>31.02</v>
      </c>
      <c r="CZ119" s="1267">
        <v>32.380000000000003</v>
      </c>
      <c r="DA119" s="1267">
        <v>33.54</v>
      </c>
      <c r="DB119" s="1268">
        <v>34.51</v>
      </c>
      <c r="DC119" s="1266">
        <v>35.31</v>
      </c>
      <c r="DD119" s="1267">
        <v>35.950000000000003</v>
      </c>
      <c r="DE119" s="1267">
        <v>36.450000000000003</v>
      </c>
      <c r="DF119" s="1267">
        <v>36.83</v>
      </c>
      <c r="DG119" s="1267">
        <v>37.11</v>
      </c>
      <c r="DH119" s="1267">
        <v>37.31</v>
      </c>
      <c r="DI119" s="1267">
        <v>37.450000000000003</v>
      </c>
      <c r="DJ119" s="1267">
        <v>37.54</v>
      </c>
      <c r="DK119" s="1267">
        <v>37.590000000000003</v>
      </c>
      <c r="DL119" s="1268"/>
      <c r="DM119" s="1266"/>
      <c r="DN119" s="1267"/>
      <c r="DO119" s="1267"/>
      <c r="DP119" s="1267"/>
      <c r="DQ119" s="1267"/>
      <c r="DR119" s="1267"/>
      <c r="DS119" s="1267"/>
      <c r="DT119" s="1267"/>
      <c r="DU119" s="1267"/>
      <c r="DV119" s="1268"/>
      <c r="DW119" s="1266"/>
      <c r="DX119" s="1267"/>
      <c r="DY119" s="1267"/>
      <c r="DZ119" s="1267"/>
      <c r="EA119" s="1267"/>
      <c r="EB119" s="1267"/>
      <c r="EC119" s="1267"/>
      <c r="ED119" s="1267"/>
      <c r="EE119" s="1267"/>
      <c r="EF119" s="1268"/>
      <c r="EG119" s="1266"/>
      <c r="EH119" s="1267"/>
      <c r="EI119" s="1267"/>
      <c r="EJ119" s="1267"/>
      <c r="EK119" s="1267"/>
      <c r="EL119" s="1267"/>
      <c r="EM119" s="1267"/>
      <c r="EN119" s="1267"/>
      <c r="EO119" s="1267"/>
      <c r="EP119" s="1268"/>
      <c r="EQ119" s="1266"/>
      <c r="ER119" s="1267"/>
      <c r="ES119" s="1267"/>
      <c r="ET119" s="1267"/>
      <c r="EU119" s="1267"/>
      <c r="EV119" s="1267"/>
      <c r="EW119" s="1267"/>
      <c r="EX119" s="1267"/>
      <c r="EY119" s="1267"/>
      <c r="EZ119" s="1268"/>
      <c r="FA119" s="1266"/>
      <c r="FB119" s="1267"/>
      <c r="FC119" s="1267"/>
      <c r="FD119" s="1267"/>
      <c r="FE119" s="1267"/>
      <c r="FF119" s="1267"/>
      <c r="FG119" s="1267"/>
      <c r="FH119" s="1267"/>
      <c r="FI119" s="1267"/>
      <c r="FJ119" s="1268"/>
      <c r="FK119" s="1267"/>
      <c r="FL119" s="1267"/>
      <c r="FM119" s="1268"/>
    </row>
    <row r="120" spans="1:169" s="1519" customFormat="1"/>
    <row r="121" spans="1:169" s="1519" customFormat="1"/>
    <row r="122" spans="1:169" s="1519" customFormat="1"/>
    <row r="123" spans="1:169" s="1519" customFormat="1"/>
    <row r="124" spans="1:169" s="1519" customFormat="1"/>
    <row r="125" spans="1:169" s="1519" customFormat="1"/>
    <row r="126" spans="1:169" s="1519" customFormat="1"/>
    <row r="127" spans="1:169" s="1519" customFormat="1"/>
    <row r="128" spans="1:169" s="1519" customFormat="1"/>
    <row r="129" s="1519" customFormat="1"/>
    <row r="130" s="1519" customFormat="1"/>
    <row r="131" s="1519" customFormat="1"/>
    <row r="132" s="1519" customFormat="1"/>
    <row r="133" s="1519" customFormat="1"/>
    <row r="134" s="1519" customFormat="1"/>
    <row r="135" s="1519" customFormat="1"/>
    <row r="136" s="1519" customFormat="1"/>
    <row r="137" s="1519" customFormat="1"/>
    <row r="138" s="1519" customFormat="1"/>
    <row r="139" s="1519" customFormat="1"/>
    <row r="140" s="1519" customFormat="1"/>
    <row r="141" s="1519" customFormat="1"/>
    <row r="142" s="1519" customFormat="1"/>
    <row r="143" s="1519" customFormat="1"/>
  </sheetData>
  <mergeCells count="4">
    <mergeCell ref="B63:B64"/>
    <mergeCell ref="CI63:CI64"/>
    <mergeCell ref="B3:B4"/>
    <mergeCell ref="CI3:CI4"/>
  </mergeCells>
  <conditionalFormatting sqref="C5:CF59">
    <cfRule type="cellIs" dxfId="59" priority="4" operator="equal">
      <formula>0</formula>
    </cfRule>
  </conditionalFormatting>
  <conditionalFormatting sqref="C65:CF119">
    <cfRule type="cellIs" dxfId="58" priority="2" operator="equal">
      <formula>0</formula>
    </cfRule>
  </conditionalFormatting>
  <conditionalFormatting sqref="CJ5:FM59">
    <cfRule type="cellIs" dxfId="57" priority="3" operator="equal">
      <formula>0</formula>
    </cfRule>
  </conditionalFormatting>
  <conditionalFormatting sqref="CJ65:FM119">
    <cfRule type="cellIs" dxfId="56" priority="1" operator="equal">
      <formula>0</formula>
    </cfRule>
  </conditionalFormatting>
  <pageMargins left="0.7" right="0.7" top="0.75" bottom="0.75" header="0.3" footer="0.3"/>
  <pageSetup paperSize="9" orientation="portrait" horizontalDpi="300" verticalDpi="300" r:id="rId1"/>
  <headerFooter>
    <oddFooter>&amp;C&amp;1#&amp;"Calibri"&amp;10&amp;K000000Internal</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BA4F20-BC8B-41B5-A06E-CC19C925F41C}">
  <sheetPr codeName="Sheet33">
    <tabColor rgb="FFFFFF00"/>
  </sheetPr>
  <dimension ref="A1:CH437"/>
  <sheetViews>
    <sheetView showGridLines="0" zoomScale="70" zoomScaleNormal="70" workbookViewId="0">
      <pane xSplit="3" ySplit="4" topLeftCell="D5" activePane="bottomRight" state="frozen"/>
      <selection pane="topRight"/>
      <selection pane="bottomLeft"/>
      <selection pane="bottomRight" activeCell="A5" sqref="A5"/>
    </sheetView>
  </sheetViews>
  <sheetFormatPr defaultColWidth="9.09765625" defaultRowHeight="20.149999999999999" customHeight="1"/>
  <cols>
    <col min="1" max="1" width="13" style="1212" customWidth="1"/>
    <col min="2" max="2" width="10.8984375" style="1207" bestFit="1" customWidth="1"/>
    <col min="3" max="3" width="22.69921875" style="1207" customWidth="1"/>
    <col min="4" max="4" width="13.09765625" style="1207" bestFit="1" customWidth="1"/>
    <col min="5" max="29" width="9.09765625" style="1207"/>
    <col min="30" max="30" width="13.09765625" style="1207" bestFit="1" customWidth="1"/>
    <col min="31" max="16384" width="9.09765625" style="1207"/>
  </cols>
  <sheetData>
    <row r="1" spans="1:86" ht="75.75" customHeight="1">
      <c r="A1" s="1324" t="s">
        <v>1361</v>
      </c>
      <c r="B1" s="1079"/>
      <c r="C1" s="1079"/>
      <c r="D1" s="1079"/>
      <c r="E1" s="1079"/>
      <c r="F1" s="1079"/>
      <c r="G1" s="1079"/>
      <c r="H1" s="1079"/>
      <c r="I1" s="1079"/>
      <c r="J1" s="1079"/>
      <c r="K1" s="1079"/>
      <c r="L1" s="1079"/>
      <c r="M1" s="1079"/>
      <c r="N1" s="1079"/>
      <c r="O1" s="1079"/>
      <c r="P1" s="1079"/>
      <c r="Q1" s="1079"/>
      <c r="R1" s="1079"/>
      <c r="S1" s="1079"/>
      <c r="T1" s="1079"/>
      <c r="U1" s="1079"/>
      <c r="V1" s="1079"/>
      <c r="W1" s="1079"/>
      <c r="X1" s="1079"/>
      <c r="Y1" s="1079"/>
      <c r="Z1" s="1079"/>
      <c r="AA1" s="1079"/>
      <c r="AB1" s="1079"/>
      <c r="AC1" s="1079"/>
      <c r="AD1" s="1216"/>
      <c r="AE1" s="1216"/>
      <c r="AF1" s="1216"/>
      <c r="AG1" s="1216"/>
      <c r="AH1" s="1216"/>
      <c r="AI1" s="1216"/>
      <c r="AJ1" s="1216"/>
      <c r="AK1" s="1216"/>
      <c r="AL1" s="1216"/>
      <c r="AM1" s="1216"/>
      <c r="AN1" s="1216"/>
      <c r="AO1" s="1216"/>
      <c r="AP1" s="1216"/>
      <c r="AQ1" s="1216"/>
      <c r="AR1" s="1216"/>
      <c r="AS1" s="1216"/>
      <c r="AT1" s="1216"/>
      <c r="AU1" s="1216"/>
      <c r="AV1" s="1216"/>
      <c r="AW1" s="1216"/>
      <c r="AX1" s="1216"/>
      <c r="AY1" s="1216"/>
      <c r="AZ1" s="1216"/>
      <c r="BA1" s="1216"/>
      <c r="BB1" s="1216"/>
      <c r="BC1" s="1216"/>
      <c r="BD1" s="1216"/>
      <c r="BE1" s="1216"/>
      <c r="BF1" s="1216"/>
      <c r="BG1" s="1216"/>
      <c r="BH1" s="1216"/>
      <c r="BI1" s="1216"/>
      <c r="BJ1" s="1216"/>
      <c r="BK1" s="1216"/>
      <c r="BL1" s="1216"/>
      <c r="BM1" s="1216"/>
      <c r="BN1" s="1216"/>
      <c r="BO1" s="1216"/>
      <c r="BP1" s="1216"/>
      <c r="BQ1" s="1216"/>
      <c r="BR1" s="1216"/>
      <c r="BS1" s="1216"/>
      <c r="BT1" s="1216"/>
      <c r="BU1" s="1216"/>
      <c r="BV1" s="1216"/>
      <c r="BW1" s="1216"/>
      <c r="BX1" s="1216"/>
      <c r="BY1" s="1216"/>
      <c r="BZ1" s="1216"/>
      <c r="CA1" s="1216"/>
      <c r="CB1" s="1216"/>
      <c r="CC1" s="1216"/>
      <c r="CD1" s="1216"/>
      <c r="CE1" s="1216"/>
      <c r="CF1" s="1216"/>
      <c r="CG1" s="1216"/>
      <c r="CH1" s="1216"/>
    </row>
    <row r="2" spans="1:86" ht="20.149999999999999" customHeight="1">
      <c r="A2" s="1205" t="s">
        <v>1444</v>
      </c>
      <c r="B2" s="1204"/>
      <c r="C2" s="1204"/>
      <c r="D2" s="1204"/>
      <c r="E2" s="1204"/>
      <c r="F2" s="1204"/>
      <c r="G2" s="1204"/>
      <c r="H2" s="1204"/>
      <c r="I2" s="1204"/>
      <c r="J2" s="1204"/>
      <c r="K2" s="1204"/>
      <c r="L2" s="1204"/>
      <c r="M2" s="1204"/>
      <c r="N2" s="1204"/>
      <c r="O2" s="1204"/>
      <c r="P2" s="1204"/>
      <c r="Q2" s="1204"/>
      <c r="R2" s="1204"/>
      <c r="S2" s="1204"/>
      <c r="T2" s="1204"/>
      <c r="U2" s="1204"/>
      <c r="V2" s="1204"/>
      <c r="W2" s="1204"/>
      <c r="X2" s="1204"/>
      <c r="Y2" s="1204"/>
      <c r="Z2" s="1204"/>
      <c r="AA2" s="1204"/>
      <c r="AB2" s="1219"/>
      <c r="AC2" s="1197"/>
      <c r="AD2" s="1216"/>
      <c r="AE2" s="1216"/>
      <c r="AF2" s="1216"/>
      <c r="AG2" s="1216"/>
      <c r="AH2" s="1216"/>
      <c r="AI2" s="1216"/>
      <c r="AJ2" s="1216"/>
      <c r="AK2" s="1216"/>
      <c r="AL2" s="1216"/>
      <c r="AM2" s="1216"/>
      <c r="AN2" s="1216"/>
      <c r="AO2" s="1216"/>
      <c r="AP2" s="1216"/>
      <c r="AQ2" s="1216"/>
      <c r="AR2" s="1216"/>
      <c r="AS2" s="1216"/>
      <c r="AT2" s="1216"/>
      <c r="AU2" s="1216"/>
      <c r="AV2" s="1216"/>
      <c r="AW2" s="1216"/>
      <c r="AX2" s="1216"/>
      <c r="AY2" s="1216"/>
      <c r="AZ2" s="1216"/>
      <c r="BA2" s="1216"/>
      <c r="BB2" s="1216"/>
      <c r="BC2" s="1216"/>
      <c r="BD2" s="1216"/>
      <c r="BE2" s="1216"/>
      <c r="BF2" s="1216"/>
      <c r="BG2" s="1216"/>
      <c r="BH2" s="1216"/>
      <c r="BI2" s="1216"/>
      <c r="BJ2" s="1216"/>
      <c r="BK2" s="1216"/>
      <c r="BL2" s="1216"/>
      <c r="BM2" s="1216"/>
      <c r="BN2" s="1216"/>
      <c r="BO2" s="1216"/>
      <c r="BP2" s="1216"/>
      <c r="BQ2" s="1216"/>
      <c r="BR2" s="1216"/>
      <c r="BS2" s="1216"/>
      <c r="BT2" s="1216"/>
      <c r="BU2" s="1216"/>
      <c r="BV2" s="1216"/>
      <c r="BW2" s="1216"/>
      <c r="BX2" s="1216"/>
      <c r="BY2" s="1216"/>
      <c r="BZ2" s="1216"/>
      <c r="CA2" s="1216"/>
      <c r="CB2" s="1216"/>
      <c r="CC2" s="1216"/>
      <c r="CD2" s="1216"/>
      <c r="CE2" s="1216"/>
      <c r="CF2" s="1216"/>
      <c r="CG2" s="1216"/>
      <c r="CH2" s="1216"/>
    </row>
    <row r="3" spans="1:86" ht="20.149999999999999" customHeight="1">
      <c r="A3" s="2466" t="s">
        <v>1449</v>
      </c>
      <c r="B3" s="2466" t="s">
        <v>567</v>
      </c>
      <c r="C3" s="2471" t="s">
        <v>1477</v>
      </c>
      <c r="D3" s="2466" t="s">
        <v>1437</v>
      </c>
      <c r="E3" s="1201" t="s">
        <v>1438</v>
      </c>
      <c r="F3" s="1202"/>
      <c r="G3" s="1202"/>
      <c r="H3" s="1202"/>
      <c r="I3" s="1202"/>
      <c r="J3" s="1202"/>
      <c r="K3" s="1202"/>
      <c r="L3" s="1202"/>
      <c r="M3" s="1202"/>
      <c r="N3" s="1202"/>
      <c r="O3" s="1202"/>
      <c r="P3" s="1202"/>
      <c r="Q3" s="1202"/>
      <c r="R3" s="1202"/>
      <c r="S3" s="1202"/>
      <c r="T3" s="1202"/>
      <c r="U3" s="1202"/>
      <c r="V3" s="1202"/>
      <c r="W3" s="1202"/>
      <c r="X3" s="1202"/>
      <c r="Y3" s="1202"/>
      <c r="Z3" s="1202"/>
      <c r="AA3" s="1202"/>
      <c r="AB3" s="1203"/>
      <c r="AC3" s="1197"/>
      <c r="AD3" s="1216"/>
      <c r="AE3" s="1216"/>
      <c r="AF3" s="1216"/>
      <c r="AG3" s="1216"/>
      <c r="AH3" s="1216"/>
      <c r="AI3" s="1216"/>
      <c r="AJ3" s="1216"/>
      <c r="AK3" s="1216"/>
      <c r="AL3" s="1216"/>
      <c r="AM3" s="1216"/>
      <c r="AN3" s="1216"/>
      <c r="AO3" s="1216"/>
      <c r="AP3" s="1216"/>
      <c r="AQ3" s="1216"/>
      <c r="AR3" s="1216"/>
      <c r="AS3" s="1216"/>
      <c r="AT3" s="1216"/>
      <c r="AU3" s="1216"/>
      <c r="AV3" s="1216"/>
      <c r="AW3" s="1216"/>
      <c r="AX3" s="1216"/>
      <c r="AY3" s="1216"/>
      <c r="AZ3" s="1216"/>
      <c r="BA3" s="1216"/>
      <c r="BB3" s="1216"/>
      <c r="BC3" s="1216"/>
      <c r="BD3" s="1216"/>
      <c r="BE3" s="1216"/>
      <c r="BF3" s="1216"/>
      <c r="BG3" s="1216"/>
      <c r="BH3" s="1216"/>
      <c r="BI3" s="1216"/>
      <c r="BJ3" s="1216"/>
      <c r="BK3" s="1216"/>
      <c r="BL3" s="1216"/>
      <c r="BM3" s="1216"/>
      <c r="BN3" s="1216"/>
      <c r="BO3" s="1216"/>
      <c r="BP3" s="1216"/>
      <c r="BQ3" s="1216"/>
      <c r="BR3" s="1216"/>
      <c r="BS3" s="1216"/>
      <c r="BT3" s="1216"/>
      <c r="BU3" s="1216"/>
      <c r="BV3" s="1216"/>
      <c r="BW3" s="1216"/>
      <c r="BX3" s="1216"/>
      <c r="BY3" s="1216"/>
      <c r="BZ3" s="1216"/>
      <c r="CA3" s="1216"/>
      <c r="CB3" s="1216"/>
      <c r="CC3" s="1216"/>
      <c r="CD3" s="1216"/>
      <c r="CE3" s="1216"/>
      <c r="CF3" s="1216"/>
      <c r="CG3" s="1216"/>
      <c r="CH3" s="1216"/>
    </row>
    <row r="4" spans="1:86" s="1197" customFormat="1" ht="20.149999999999999" customHeight="1">
      <c r="A4" s="2467" t="s">
        <v>1439</v>
      </c>
      <c r="B4" s="2467" t="s">
        <v>1439</v>
      </c>
      <c r="C4" s="2472" t="s">
        <v>1439</v>
      </c>
      <c r="D4" s="2467" t="s">
        <v>1439</v>
      </c>
      <c r="E4" s="1528"/>
      <c r="F4" s="1198">
        <v>3</v>
      </c>
      <c r="G4" s="1198">
        <v>4</v>
      </c>
      <c r="H4" s="1198">
        <v>5</v>
      </c>
      <c r="I4" s="1198">
        <v>6</v>
      </c>
      <c r="J4" s="1198">
        <v>7</v>
      </c>
      <c r="K4" s="1198">
        <v>8</v>
      </c>
      <c r="L4" s="1198">
        <v>9</v>
      </c>
      <c r="M4" s="1198">
        <v>10</v>
      </c>
      <c r="N4" s="1198">
        <v>11</v>
      </c>
      <c r="O4" s="1198">
        <v>12</v>
      </c>
      <c r="P4" s="1198">
        <v>13</v>
      </c>
      <c r="Q4" s="1198">
        <v>14</v>
      </c>
      <c r="R4" s="1198">
        <v>15</v>
      </c>
      <c r="S4" s="1198">
        <v>16</v>
      </c>
      <c r="T4" s="1198">
        <v>17</v>
      </c>
      <c r="U4" s="1198">
        <v>18</v>
      </c>
      <c r="V4" s="1198">
        <v>19</v>
      </c>
      <c r="W4" s="1198">
        <v>20</v>
      </c>
      <c r="X4" s="1198">
        <v>21</v>
      </c>
      <c r="Y4" s="1198">
        <v>22</v>
      </c>
      <c r="Z4" s="1198">
        <v>23</v>
      </c>
      <c r="AA4" s="1198">
        <v>24</v>
      </c>
      <c r="AB4" s="1200">
        <v>25</v>
      </c>
      <c r="AC4" s="1325">
        <v>26</v>
      </c>
      <c r="AD4" s="1325">
        <v>27</v>
      </c>
      <c r="AE4" s="1326">
        <v>28</v>
      </c>
      <c r="AF4" s="1325">
        <v>29</v>
      </c>
      <c r="AG4" s="1325">
        <v>30</v>
      </c>
      <c r="AH4" s="1326">
        <v>31</v>
      </c>
      <c r="AI4" s="1325">
        <v>32</v>
      </c>
      <c r="AJ4" s="1325">
        <v>33</v>
      </c>
      <c r="AK4" s="1326">
        <v>34</v>
      </c>
      <c r="AL4" s="1325">
        <v>35</v>
      </c>
      <c r="AM4" s="1325">
        <v>36</v>
      </c>
      <c r="AN4" s="1326">
        <v>37</v>
      </c>
      <c r="AO4" s="1325">
        <v>38</v>
      </c>
      <c r="AP4" s="1325">
        <v>39</v>
      </c>
      <c r="AQ4" s="1326">
        <v>40</v>
      </c>
      <c r="AR4" s="1325">
        <v>41</v>
      </c>
      <c r="AS4" s="1325">
        <v>42</v>
      </c>
      <c r="AT4" s="1326">
        <v>43</v>
      </c>
      <c r="AU4" s="1325">
        <v>44</v>
      </c>
      <c r="AV4" s="1325">
        <v>45</v>
      </c>
      <c r="AW4" s="1326">
        <v>46</v>
      </c>
      <c r="AX4" s="1325">
        <v>47</v>
      </c>
      <c r="AY4" s="1325">
        <v>48</v>
      </c>
      <c r="AZ4" s="1326">
        <v>49</v>
      </c>
      <c r="BA4" s="1325">
        <v>50</v>
      </c>
      <c r="BB4" s="1325">
        <v>51</v>
      </c>
      <c r="BC4" s="1326">
        <v>52</v>
      </c>
      <c r="BD4" s="1325">
        <v>53</v>
      </c>
      <c r="BE4" s="1325">
        <v>54</v>
      </c>
      <c r="BF4" s="1326">
        <v>55</v>
      </c>
      <c r="BG4" s="1325">
        <v>56</v>
      </c>
      <c r="BH4" s="1325">
        <v>57</v>
      </c>
      <c r="BI4" s="1326">
        <v>58</v>
      </c>
      <c r="BJ4" s="1325">
        <v>59</v>
      </c>
      <c r="BK4" s="1325">
        <v>60</v>
      </c>
      <c r="BL4" s="1326">
        <v>61</v>
      </c>
      <c r="BM4" s="1325">
        <v>62</v>
      </c>
      <c r="BN4" s="1325">
        <v>63</v>
      </c>
      <c r="BO4" s="1326">
        <v>64</v>
      </c>
      <c r="BP4" s="1325">
        <v>65</v>
      </c>
      <c r="BQ4" s="1325">
        <v>66</v>
      </c>
      <c r="BR4" s="1326">
        <v>67</v>
      </c>
      <c r="BS4" s="1325">
        <v>68</v>
      </c>
      <c r="BT4" s="1325">
        <v>69</v>
      </c>
      <c r="BU4" s="1326">
        <v>70</v>
      </c>
      <c r="BV4" s="1325">
        <v>71</v>
      </c>
      <c r="BW4" s="1325">
        <v>72</v>
      </c>
      <c r="BX4" s="1326">
        <v>73</v>
      </c>
      <c r="BY4" s="1325">
        <v>74</v>
      </c>
      <c r="BZ4" s="1325">
        <v>75</v>
      </c>
      <c r="CA4" s="1326">
        <v>76</v>
      </c>
      <c r="CB4" s="1325">
        <v>77</v>
      </c>
      <c r="CC4" s="1325">
        <v>78</v>
      </c>
      <c r="CD4" s="1326">
        <v>79</v>
      </c>
      <c r="CE4" s="1325">
        <v>80</v>
      </c>
      <c r="CF4" s="1325">
        <v>81</v>
      </c>
      <c r="CG4" s="1326">
        <v>82</v>
      </c>
      <c r="CH4" s="1327">
        <v>83</v>
      </c>
    </row>
    <row r="5" spans="1:86" ht="20.149999999999999" customHeight="1">
      <c r="A5" s="1563" t="s">
        <v>1424</v>
      </c>
      <c r="B5" s="1563" t="s">
        <v>13</v>
      </c>
      <c r="C5" s="1563" t="str">
        <f>A5&amp;B5&amp;D5</f>
        <v>PBPDDM16</v>
      </c>
      <c r="D5" s="1193">
        <v>16</v>
      </c>
      <c r="E5" s="1524"/>
      <c r="F5" s="1529"/>
      <c r="G5" s="1529"/>
      <c r="H5" s="1529"/>
      <c r="I5" s="1529"/>
      <c r="J5" s="1529"/>
      <c r="K5" s="1529"/>
      <c r="L5" s="1529"/>
      <c r="M5" s="1529"/>
      <c r="N5" s="1529"/>
      <c r="O5" s="1529"/>
      <c r="P5" s="1529"/>
      <c r="Q5" s="1529"/>
      <c r="R5" s="1529"/>
      <c r="S5" s="1529"/>
      <c r="T5" s="1529"/>
      <c r="U5" s="1529"/>
      <c r="V5" s="1529"/>
      <c r="W5" s="1529"/>
      <c r="X5" s="1529"/>
      <c r="Y5" s="1529"/>
      <c r="Z5" s="1529"/>
      <c r="AA5" s="1529"/>
      <c r="AB5" s="1530"/>
      <c r="AC5" s="1197"/>
      <c r="AD5" s="1216"/>
      <c r="AE5" s="1216"/>
      <c r="AF5" s="1216"/>
      <c r="AG5" s="1216"/>
      <c r="AH5" s="1216"/>
      <c r="AI5" s="1216"/>
      <c r="AJ5" s="1216"/>
      <c r="AK5" s="1216"/>
      <c r="AL5" s="1216"/>
      <c r="AM5" s="1216"/>
      <c r="AN5" s="1216"/>
      <c r="AO5" s="1216"/>
      <c r="AP5" s="1216"/>
      <c r="AQ5" s="1216"/>
      <c r="AR5" s="1216"/>
      <c r="AS5" s="1216"/>
      <c r="AT5" s="1216"/>
      <c r="AU5" s="1216"/>
      <c r="AV5" s="1216"/>
      <c r="AW5" s="1216"/>
      <c r="AX5" s="1216"/>
      <c r="AY5" s="1216"/>
      <c r="AZ5" s="1216"/>
      <c r="BA5" s="1216"/>
      <c r="BB5" s="1216"/>
      <c r="BC5" s="1216"/>
      <c r="BD5" s="1216"/>
      <c r="BE5" s="1216"/>
      <c r="BF5" s="1216"/>
      <c r="BG5" s="1216"/>
      <c r="BH5" s="1216"/>
      <c r="BI5" s="1216"/>
      <c r="BJ5" s="1216"/>
      <c r="BK5" s="1216"/>
      <c r="BL5" s="1216"/>
      <c r="BM5" s="1216"/>
      <c r="BN5" s="1216"/>
      <c r="BO5" s="1216"/>
      <c r="BP5" s="1216"/>
      <c r="BQ5" s="1216"/>
      <c r="BR5" s="1216"/>
      <c r="BS5" s="1216"/>
      <c r="BT5" s="1216"/>
      <c r="BU5" s="1216"/>
      <c r="BV5" s="1216"/>
      <c r="BW5" s="1216"/>
      <c r="BX5" s="1216"/>
      <c r="BY5" s="1216"/>
      <c r="BZ5" s="1216"/>
      <c r="CA5" s="1216"/>
      <c r="CB5" s="1216"/>
      <c r="CC5" s="1216"/>
      <c r="CD5" s="1216"/>
      <c r="CE5" s="1216"/>
      <c r="CF5" s="1216"/>
      <c r="CG5" s="1216"/>
      <c r="CH5" s="1216"/>
    </row>
    <row r="6" spans="1:86" ht="20.149999999999999" customHeight="1">
      <c r="A6" s="1563" t="s">
        <v>1424</v>
      </c>
      <c r="B6" s="1563" t="s">
        <v>13</v>
      </c>
      <c r="C6" s="1563" t="str">
        <f t="shared" ref="C6:C69" si="0">A6&amp;B6&amp;D6</f>
        <v>PBPDDM17</v>
      </c>
      <c r="D6" s="1193">
        <v>17</v>
      </c>
      <c r="E6" s="1524"/>
      <c r="F6" s="1529"/>
      <c r="G6" s="1529"/>
      <c r="H6" s="1529"/>
      <c r="I6" s="1529"/>
      <c r="J6" s="1529"/>
      <c r="K6" s="1529"/>
      <c r="L6" s="1529"/>
      <c r="M6" s="1529"/>
      <c r="N6" s="1529"/>
      <c r="O6" s="1529"/>
      <c r="P6" s="1529"/>
      <c r="Q6" s="1529"/>
      <c r="R6" s="1529"/>
      <c r="S6" s="1529"/>
      <c r="T6" s="1529"/>
      <c r="U6" s="1529"/>
      <c r="V6" s="1529"/>
      <c r="W6" s="1529"/>
      <c r="X6" s="1529"/>
      <c r="Y6" s="1529"/>
      <c r="Z6" s="1529"/>
      <c r="AA6" s="1529"/>
      <c r="AB6" s="1530"/>
      <c r="AC6" s="1197"/>
      <c r="AD6" s="1216"/>
      <c r="AE6" s="1216"/>
      <c r="AF6" s="1216"/>
      <c r="AG6" s="1216"/>
      <c r="AH6" s="1216"/>
      <c r="AI6" s="1216"/>
      <c r="AJ6" s="1216"/>
      <c r="AK6" s="1216"/>
      <c r="AL6" s="1216"/>
      <c r="AM6" s="1216"/>
      <c r="AN6" s="1216"/>
      <c r="AO6" s="1216"/>
      <c r="AP6" s="1216"/>
      <c r="AQ6" s="1216"/>
      <c r="AR6" s="1216"/>
      <c r="AS6" s="1216"/>
      <c r="AT6" s="1216"/>
      <c r="AU6" s="1216"/>
      <c r="AV6" s="1216"/>
      <c r="AW6" s="1216"/>
      <c r="AX6" s="1216"/>
      <c r="AY6" s="1216"/>
      <c r="AZ6" s="1216"/>
      <c r="BA6" s="1216"/>
      <c r="BB6" s="1216"/>
      <c r="BC6" s="1215"/>
      <c r="BD6" s="1215"/>
      <c r="BE6" s="1215"/>
      <c r="BF6" s="1215"/>
      <c r="BG6" s="1215"/>
      <c r="BH6" s="1215"/>
      <c r="BI6" s="1215"/>
      <c r="BJ6" s="1215"/>
      <c r="BK6" s="1215"/>
      <c r="BL6" s="1215"/>
      <c r="BM6" s="1215"/>
      <c r="BN6" s="1215"/>
      <c r="BO6" s="1215"/>
      <c r="BP6" s="1215"/>
      <c r="BQ6" s="1215"/>
      <c r="BR6" s="1215"/>
      <c r="BS6" s="1215"/>
      <c r="BT6" s="1215"/>
      <c r="BU6" s="1215"/>
      <c r="BV6" s="1215"/>
      <c r="BW6" s="1215"/>
      <c r="BX6" s="1216"/>
      <c r="BY6" s="1216"/>
      <c r="BZ6" s="1216"/>
      <c r="CA6" s="1216"/>
      <c r="CB6" s="1216"/>
      <c r="CC6" s="1216"/>
      <c r="CD6" s="1216"/>
      <c r="CE6" s="1216"/>
      <c r="CF6" s="1216"/>
      <c r="CG6" s="1216"/>
      <c r="CH6" s="1216"/>
    </row>
    <row r="7" spans="1:86" ht="20.149999999999999" customHeight="1">
      <c r="A7" s="1563" t="s">
        <v>1424</v>
      </c>
      <c r="B7" s="1563" t="s">
        <v>13</v>
      </c>
      <c r="C7" s="1563" t="str">
        <f t="shared" si="0"/>
        <v>PBPDDM18</v>
      </c>
      <c r="D7" s="1193">
        <v>18</v>
      </c>
      <c r="E7" s="1524"/>
      <c r="F7" s="1529"/>
      <c r="G7" s="1529"/>
      <c r="H7" s="1529"/>
      <c r="I7" s="1529"/>
      <c r="J7" s="1529"/>
      <c r="K7" s="1529"/>
      <c r="L7" s="1529"/>
      <c r="M7" s="1529"/>
      <c r="N7" s="1529"/>
      <c r="O7" s="1529"/>
      <c r="P7" s="1529"/>
      <c r="Q7" s="1529"/>
      <c r="R7" s="1529"/>
      <c r="S7" s="1529"/>
      <c r="T7" s="1529"/>
      <c r="U7" s="1529"/>
      <c r="V7" s="1529"/>
      <c r="W7" s="1529"/>
      <c r="X7" s="1529"/>
      <c r="Y7" s="1529"/>
      <c r="Z7" s="1529"/>
      <c r="AA7" s="1529"/>
      <c r="AB7" s="1530"/>
      <c r="AC7" s="1197"/>
      <c r="AD7" s="1216"/>
      <c r="AE7" s="1216"/>
      <c r="AF7" s="1216"/>
      <c r="AG7" s="1216"/>
      <c r="AH7" s="1216"/>
      <c r="AI7" s="1216"/>
      <c r="AJ7" s="1216"/>
      <c r="AK7" s="1216"/>
      <c r="AL7" s="1216"/>
      <c r="AM7" s="1216"/>
      <c r="AN7" s="1216"/>
      <c r="AO7" s="1216"/>
      <c r="AP7" s="1216"/>
      <c r="AQ7" s="1216"/>
      <c r="AR7" s="1216"/>
      <c r="AS7" s="1216"/>
      <c r="AT7" s="1216"/>
      <c r="AU7" s="1216"/>
      <c r="AV7" s="1216"/>
      <c r="AW7" s="1216"/>
      <c r="AX7" s="1216"/>
      <c r="AY7" s="1216"/>
      <c r="AZ7" s="1216"/>
      <c r="BA7" s="1216"/>
      <c r="BB7" s="1216"/>
      <c r="BC7" s="1215"/>
      <c r="BD7" s="1215"/>
      <c r="BE7" s="1215"/>
      <c r="BF7" s="1215"/>
      <c r="BG7" s="1215"/>
      <c r="BH7" s="1215"/>
      <c r="BI7" s="1215"/>
      <c r="BJ7" s="1215"/>
      <c r="BK7" s="1215"/>
      <c r="BL7" s="1215"/>
      <c r="BM7" s="1215"/>
      <c r="BN7" s="1215"/>
      <c r="BO7" s="1215"/>
      <c r="BP7" s="1215"/>
      <c r="BQ7" s="1215"/>
      <c r="BR7" s="1215"/>
      <c r="BS7" s="1215"/>
      <c r="BT7" s="1215"/>
      <c r="BU7" s="1215"/>
      <c r="BV7" s="1215"/>
      <c r="BW7" s="1215"/>
      <c r="BX7" s="1216"/>
      <c r="BY7" s="1216"/>
      <c r="BZ7" s="1216"/>
      <c r="CA7" s="1216"/>
      <c r="CB7" s="1216"/>
      <c r="CC7" s="1216"/>
      <c r="CD7" s="1216"/>
      <c r="CE7" s="1216"/>
      <c r="CF7" s="1216"/>
      <c r="CG7" s="1216"/>
      <c r="CH7" s="1216"/>
    </row>
    <row r="8" spans="1:86" ht="20.149999999999999" customHeight="1">
      <c r="A8" s="1563" t="s">
        <v>1424</v>
      </c>
      <c r="B8" s="1563" t="s">
        <v>13</v>
      </c>
      <c r="C8" s="1563" t="str">
        <f t="shared" si="0"/>
        <v>PBPDDM19</v>
      </c>
      <c r="D8" s="1193">
        <v>19</v>
      </c>
      <c r="E8" s="1524"/>
      <c r="F8" s="1529"/>
      <c r="G8" s="1529"/>
      <c r="H8" s="1529"/>
      <c r="I8" s="1529"/>
      <c r="J8" s="1529"/>
      <c r="K8" s="1529"/>
      <c r="L8" s="1529"/>
      <c r="M8" s="1529"/>
      <c r="N8" s="1529"/>
      <c r="O8" s="1529"/>
      <c r="P8" s="1529"/>
      <c r="Q8" s="1529"/>
      <c r="R8" s="1529"/>
      <c r="S8" s="1529"/>
      <c r="T8" s="1529"/>
      <c r="U8" s="1529"/>
      <c r="V8" s="1529"/>
      <c r="W8" s="1529"/>
      <c r="X8" s="1529"/>
      <c r="Y8" s="1529"/>
      <c r="Z8" s="1529"/>
      <c r="AA8" s="1529"/>
      <c r="AB8" s="1530"/>
      <c r="AC8" s="1197"/>
      <c r="AD8" s="1216"/>
      <c r="AE8" s="1216"/>
      <c r="AF8" s="1216"/>
      <c r="AG8" s="1216"/>
      <c r="AH8" s="1216"/>
      <c r="AI8" s="1216"/>
      <c r="AJ8" s="1216"/>
      <c r="AK8" s="1216"/>
      <c r="AL8" s="1216"/>
      <c r="AM8" s="1216"/>
      <c r="AN8" s="1216"/>
      <c r="AO8" s="1216"/>
      <c r="AP8" s="1216"/>
      <c r="AQ8" s="1216"/>
      <c r="AR8" s="1216"/>
      <c r="AS8" s="1216"/>
      <c r="AT8" s="1216"/>
      <c r="AU8" s="1216"/>
      <c r="AV8" s="1216"/>
      <c r="AW8" s="1216"/>
      <c r="AX8" s="1216"/>
      <c r="AY8" s="1216"/>
      <c r="AZ8" s="1216"/>
      <c r="BA8" s="1216"/>
      <c r="BB8" s="1216"/>
      <c r="BC8" s="1215"/>
      <c r="BD8" s="1215"/>
      <c r="BE8" s="1215"/>
      <c r="BF8" s="1215"/>
      <c r="BG8" s="1215"/>
      <c r="BH8" s="1215"/>
      <c r="BI8" s="1215"/>
      <c r="BJ8" s="1215"/>
      <c r="BK8" s="1215"/>
      <c r="BL8" s="1215"/>
      <c r="BM8" s="1215"/>
      <c r="BN8" s="1215"/>
      <c r="BO8" s="1215"/>
      <c r="BP8" s="1215"/>
      <c r="BQ8" s="1215"/>
      <c r="BR8" s="1215"/>
      <c r="BS8" s="1215"/>
      <c r="BT8" s="1215"/>
      <c r="BU8" s="1215"/>
      <c r="BV8" s="1215"/>
      <c r="BW8" s="1215"/>
      <c r="BX8" s="1216"/>
      <c r="BY8" s="1216"/>
      <c r="BZ8" s="1216"/>
      <c r="CA8" s="1216"/>
      <c r="CB8" s="1216"/>
      <c r="CC8" s="1216"/>
      <c r="CD8" s="1216"/>
      <c r="CE8" s="1216"/>
      <c r="CF8" s="1216"/>
      <c r="CG8" s="1216"/>
      <c r="CH8" s="1216"/>
    </row>
    <row r="9" spans="1:86" ht="20.149999999999999" customHeight="1">
      <c r="A9" s="1563" t="s">
        <v>1424</v>
      </c>
      <c r="B9" s="1563" t="s">
        <v>13</v>
      </c>
      <c r="C9" s="1563" t="str">
        <f t="shared" si="0"/>
        <v>PBPDDM20</v>
      </c>
      <c r="D9" s="1193">
        <v>20</v>
      </c>
      <c r="E9" s="1524"/>
      <c r="F9" s="1531">
        <v>0.21</v>
      </c>
      <c r="G9" s="1531">
        <v>0.32</v>
      </c>
      <c r="H9" s="1531">
        <v>0.43</v>
      </c>
      <c r="I9" s="1531">
        <v>0.55000000000000004</v>
      </c>
      <c r="J9" s="1531">
        <v>0.66</v>
      </c>
      <c r="K9" s="1531">
        <v>0.78</v>
      </c>
      <c r="L9" s="1531">
        <v>0.89</v>
      </c>
      <c r="M9" s="1531">
        <v>1.01</v>
      </c>
      <c r="N9" s="1531">
        <v>1.1200000000000001</v>
      </c>
      <c r="O9" s="1531">
        <v>1.24</v>
      </c>
      <c r="P9" s="1531">
        <v>1.36</v>
      </c>
      <c r="Q9" s="1531">
        <v>1.48</v>
      </c>
      <c r="R9" s="1531">
        <v>1.6</v>
      </c>
      <c r="S9" s="1531">
        <v>1.73</v>
      </c>
      <c r="T9" s="1531">
        <v>1.85</v>
      </c>
      <c r="U9" s="1531">
        <v>1.98</v>
      </c>
      <c r="V9" s="1531">
        <v>2.12</v>
      </c>
      <c r="W9" s="1531">
        <v>2.25</v>
      </c>
      <c r="X9" s="1531">
        <v>2.4</v>
      </c>
      <c r="Y9" s="1531">
        <v>2.54</v>
      </c>
      <c r="Z9" s="1531">
        <v>2.69</v>
      </c>
      <c r="AA9" s="1531">
        <v>2.85</v>
      </c>
      <c r="AB9" s="1532">
        <v>3.01</v>
      </c>
      <c r="AC9" s="1197"/>
      <c r="AD9" s="1216"/>
      <c r="AE9" s="1216"/>
      <c r="AF9" s="1216"/>
      <c r="AG9" s="1216"/>
      <c r="AH9" s="1216"/>
      <c r="AI9" s="1216"/>
      <c r="AJ9" s="1216"/>
      <c r="AK9" s="1216"/>
      <c r="AL9" s="1216"/>
      <c r="AM9" s="1216"/>
      <c r="AN9" s="1216"/>
      <c r="AO9" s="1216"/>
      <c r="AP9" s="1216"/>
      <c r="AQ9" s="1216"/>
      <c r="AR9" s="1216"/>
      <c r="AS9" s="1216"/>
      <c r="AT9" s="1216"/>
      <c r="AU9" s="1216"/>
      <c r="AV9" s="1216"/>
      <c r="AW9" s="1216"/>
      <c r="AX9" s="1216"/>
      <c r="AY9" s="1216"/>
      <c r="AZ9" s="1216"/>
      <c r="BA9" s="1216"/>
      <c r="BB9" s="1216"/>
      <c r="BC9" s="1215"/>
      <c r="BD9" s="1215"/>
      <c r="BE9" s="1215"/>
      <c r="BF9" s="1215"/>
      <c r="BG9" s="1215"/>
      <c r="BH9" s="1215"/>
      <c r="BI9" s="1215"/>
      <c r="BJ9" s="1215"/>
      <c r="BK9" s="1215"/>
      <c r="BL9" s="1215"/>
      <c r="BM9" s="1215"/>
      <c r="BN9" s="1215"/>
      <c r="BO9" s="1215"/>
      <c r="BP9" s="1215"/>
      <c r="BQ9" s="1215"/>
      <c r="BR9" s="1215"/>
      <c r="BS9" s="1215"/>
      <c r="BT9" s="1215"/>
      <c r="BU9" s="1215"/>
      <c r="BV9" s="1215"/>
      <c r="BW9" s="1215"/>
      <c r="BX9" s="1216"/>
      <c r="BY9" s="1216"/>
      <c r="BZ9" s="1216"/>
      <c r="CA9" s="1216"/>
      <c r="CB9" s="1216"/>
      <c r="CC9" s="1216"/>
      <c r="CD9" s="1216"/>
      <c r="CE9" s="1216"/>
      <c r="CF9" s="1216"/>
      <c r="CG9" s="1216"/>
      <c r="CH9" s="1216"/>
    </row>
    <row r="10" spans="1:86" ht="20.149999999999999" customHeight="1">
      <c r="A10" s="1563" t="s">
        <v>1424</v>
      </c>
      <c r="B10" s="1563" t="s">
        <v>13</v>
      </c>
      <c r="C10" s="1563" t="str">
        <f t="shared" si="0"/>
        <v>PBPDDM21</v>
      </c>
      <c r="D10" s="1194">
        <v>21</v>
      </c>
      <c r="E10" s="1525"/>
      <c r="F10" s="1533">
        <v>0.22</v>
      </c>
      <c r="G10" s="1533">
        <v>0.33</v>
      </c>
      <c r="H10" s="1533">
        <v>0.45</v>
      </c>
      <c r="I10" s="1533">
        <v>0.56000000000000005</v>
      </c>
      <c r="J10" s="1533">
        <v>0.68</v>
      </c>
      <c r="K10" s="1533">
        <v>0.79</v>
      </c>
      <c r="L10" s="1533">
        <v>0.91</v>
      </c>
      <c r="M10" s="1533">
        <v>1.03</v>
      </c>
      <c r="N10" s="1533">
        <v>1.1499999999999999</v>
      </c>
      <c r="O10" s="1533">
        <v>1.27</v>
      </c>
      <c r="P10" s="1533">
        <v>1.39</v>
      </c>
      <c r="Q10" s="1533">
        <v>1.51</v>
      </c>
      <c r="R10" s="1533">
        <v>1.64</v>
      </c>
      <c r="S10" s="1533">
        <v>1.77</v>
      </c>
      <c r="T10" s="1533">
        <v>1.9</v>
      </c>
      <c r="U10" s="1533">
        <v>2.0299999999999998</v>
      </c>
      <c r="V10" s="1533">
        <v>2.17</v>
      </c>
      <c r="W10" s="1533">
        <v>2.3199999999999998</v>
      </c>
      <c r="X10" s="1533">
        <v>2.46</v>
      </c>
      <c r="Y10" s="1533">
        <v>2.61</v>
      </c>
      <c r="Z10" s="1533">
        <v>2.77</v>
      </c>
      <c r="AA10" s="1533">
        <v>2.93</v>
      </c>
      <c r="AB10" s="1534">
        <v>3.1</v>
      </c>
      <c r="AC10" s="1197"/>
      <c r="AD10" s="1216"/>
      <c r="AE10" s="1216"/>
      <c r="AF10" s="1216"/>
      <c r="AG10" s="1216"/>
      <c r="AH10" s="1216"/>
      <c r="AI10" s="1216"/>
      <c r="AJ10" s="1216"/>
      <c r="AK10" s="1216"/>
      <c r="AL10" s="1216"/>
      <c r="AM10" s="1216"/>
      <c r="AN10" s="1216"/>
      <c r="AO10" s="1216"/>
      <c r="AP10" s="1216"/>
      <c r="AQ10" s="1216"/>
      <c r="AR10" s="1216"/>
      <c r="AS10" s="1216"/>
      <c r="AT10" s="1216"/>
      <c r="AU10" s="1216"/>
      <c r="AV10" s="1216"/>
      <c r="AW10" s="1216"/>
      <c r="AX10" s="1216"/>
      <c r="AY10" s="1216"/>
      <c r="AZ10" s="1216"/>
      <c r="BA10" s="1216"/>
      <c r="BB10" s="1216"/>
      <c r="BC10" s="1215"/>
      <c r="BD10" s="1215"/>
      <c r="BE10" s="1215"/>
      <c r="BF10" s="1215"/>
      <c r="BG10" s="1215"/>
      <c r="BH10" s="1215"/>
      <c r="BI10" s="1215"/>
      <c r="BJ10" s="1215"/>
      <c r="BK10" s="1215"/>
      <c r="BL10" s="1215"/>
      <c r="BM10" s="1215"/>
      <c r="BN10" s="1215"/>
      <c r="BO10" s="1215"/>
      <c r="BP10" s="1215"/>
      <c r="BQ10" s="1215"/>
      <c r="BR10" s="1215"/>
      <c r="BS10" s="1215"/>
      <c r="BT10" s="1215"/>
      <c r="BU10" s="1215"/>
      <c r="BV10" s="1215"/>
      <c r="BW10" s="1215"/>
      <c r="BX10" s="1216"/>
      <c r="BY10" s="1216"/>
      <c r="BZ10" s="1216"/>
      <c r="CA10" s="1216"/>
      <c r="CB10" s="1216"/>
      <c r="CC10" s="1216"/>
      <c r="CD10" s="1216"/>
      <c r="CE10" s="1216"/>
      <c r="CF10" s="1216"/>
      <c r="CG10" s="1216"/>
      <c r="CH10" s="1216"/>
    </row>
    <row r="11" spans="1:86" ht="20.149999999999999" customHeight="1">
      <c r="A11" s="1563" t="s">
        <v>1424</v>
      </c>
      <c r="B11" s="1563" t="s">
        <v>13</v>
      </c>
      <c r="C11" s="1563" t="str">
        <f t="shared" si="0"/>
        <v>PBPDDM22</v>
      </c>
      <c r="D11" s="1193">
        <v>22</v>
      </c>
      <c r="E11" s="1524"/>
      <c r="F11" s="1531">
        <v>0.23</v>
      </c>
      <c r="G11" s="1531">
        <v>0.34</v>
      </c>
      <c r="H11" s="1531">
        <v>0.46</v>
      </c>
      <c r="I11" s="1531">
        <v>0.56999999999999995</v>
      </c>
      <c r="J11" s="1531">
        <v>0.69</v>
      </c>
      <c r="K11" s="1531">
        <v>0.81</v>
      </c>
      <c r="L11" s="1531">
        <v>0.93</v>
      </c>
      <c r="M11" s="1531">
        <v>1.05</v>
      </c>
      <c r="N11" s="1531">
        <v>1.17</v>
      </c>
      <c r="O11" s="1531">
        <v>1.29</v>
      </c>
      <c r="P11" s="1531">
        <v>1.41</v>
      </c>
      <c r="Q11" s="1531">
        <v>1.54</v>
      </c>
      <c r="R11" s="1531">
        <v>1.67</v>
      </c>
      <c r="S11" s="1531">
        <v>1.81</v>
      </c>
      <c r="T11" s="1531">
        <v>1.94</v>
      </c>
      <c r="U11" s="1531">
        <v>2.08</v>
      </c>
      <c r="V11" s="1531">
        <v>2.23</v>
      </c>
      <c r="W11" s="1531">
        <v>2.38</v>
      </c>
      <c r="X11" s="1531">
        <v>2.5299999999999998</v>
      </c>
      <c r="Y11" s="1531">
        <v>2.69</v>
      </c>
      <c r="Z11" s="1531">
        <v>2.85</v>
      </c>
      <c r="AA11" s="1531">
        <v>3.03</v>
      </c>
      <c r="AB11" s="1532">
        <v>3.2</v>
      </c>
      <c r="AC11" s="1197"/>
      <c r="AD11" s="1216"/>
      <c r="AE11" s="1216"/>
      <c r="AF11" s="1216"/>
      <c r="AG11" s="1216"/>
      <c r="AH11" s="1216"/>
      <c r="AI11" s="1216"/>
      <c r="AJ11" s="1216"/>
      <c r="AK11" s="1216"/>
      <c r="AL11" s="1216"/>
      <c r="AM11" s="1216"/>
      <c r="AN11" s="1216"/>
      <c r="AO11" s="1216"/>
      <c r="AP11" s="1216"/>
      <c r="AQ11" s="1216"/>
      <c r="AR11" s="1216"/>
      <c r="AS11" s="1216"/>
      <c r="AT11" s="1216"/>
      <c r="AU11" s="1216"/>
      <c r="AV11" s="1216"/>
      <c r="AW11" s="1216"/>
      <c r="AX11" s="1216"/>
      <c r="AY11" s="1216"/>
      <c r="AZ11" s="1216"/>
      <c r="BA11" s="1216"/>
      <c r="BB11" s="1216"/>
      <c r="BC11" s="1215"/>
      <c r="BD11" s="1215"/>
      <c r="BE11" s="1215"/>
      <c r="BF11" s="1215"/>
      <c r="BG11" s="1215"/>
      <c r="BH11" s="1215"/>
      <c r="BI11" s="1215"/>
      <c r="BJ11" s="1215"/>
      <c r="BK11" s="1215"/>
      <c r="BL11" s="1215"/>
      <c r="BM11" s="1215"/>
      <c r="BN11" s="1215"/>
      <c r="BO11" s="1215"/>
      <c r="BP11" s="1215"/>
      <c r="BQ11" s="1215"/>
      <c r="BR11" s="1215"/>
      <c r="BS11" s="1215"/>
      <c r="BT11" s="1215"/>
      <c r="BU11" s="1215"/>
      <c r="BV11" s="1215"/>
      <c r="BW11" s="1215"/>
      <c r="BX11" s="1216"/>
      <c r="BY11" s="1216"/>
      <c r="BZ11" s="1216"/>
      <c r="CA11" s="1216"/>
      <c r="CB11" s="1216"/>
      <c r="CC11" s="1216"/>
      <c r="CD11" s="1216"/>
      <c r="CE11" s="1216"/>
      <c r="CF11" s="1216"/>
      <c r="CG11" s="1216"/>
      <c r="CH11" s="1216"/>
    </row>
    <row r="12" spans="1:86" ht="20.149999999999999" customHeight="1">
      <c r="A12" s="1563" t="s">
        <v>1424</v>
      </c>
      <c r="B12" s="1563" t="s">
        <v>13</v>
      </c>
      <c r="C12" s="1563" t="str">
        <f t="shared" si="0"/>
        <v>PBPDDM23</v>
      </c>
      <c r="D12" s="1193">
        <v>23</v>
      </c>
      <c r="E12" s="1524"/>
      <c r="F12" s="1531">
        <v>0.23</v>
      </c>
      <c r="G12" s="1531">
        <v>0.35</v>
      </c>
      <c r="H12" s="1531">
        <v>0.47</v>
      </c>
      <c r="I12" s="1531">
        <v>0.57999999999999996</v>
      </c>
      <c r="J12" s="1531">
        <v>0.7</v>
      </c>
      <c r="K12" s="1531">
        <v>0.82</v>
      </c>
      <c r="L12" s="1531">
        <v>0.94</v>
      </c>
      <c r="M12" s="1531">
        <v>1.06</v>
      </c>
      <c r="N12" s="1531">
        <v>1.19</v>
      </c>
      <c r="O12" s="1531">
        <v>1.31</v>
      </c>
      <c r="P12" s="1531">
        <v>1.44</v>
      </c>
      <c r="Q12" s="1531">
        <v>1.57</v>
      </c>
      <c r="R12" s="1531">
        <v>1.71</v>
      </c>
      <c r="S12" s="1531">
        <v>1.85</v>
      </c>
      <c r="T12" s="1531">
        <v>1.99</v>
      </c>
      <c r="U12" s="1531">
        <v>2.14</v>
      </c>
      <c r="V12" s="1531">
        <v>2.29</v>
      </c>
      <c r="W12" s="1531">
        <v>2.44</v>
      </c>
      <c r="X12" s="1531">
        <v>2.6</v>
      </c>
      <c r="Y12" s="1531">
        <v>2.77</v>
      </c>
      <c r="Z12" s="1531">
        <v>2.94</v>
      </c>
      <c r="AA12" s="1531">
        <v>3.12</v>
      </c>
      <c r="AB12" s="1532">
        <v>3.31</v>
      </c>
      <c r="AC12" s="1197"/>
      <c r="AD12" s="1216"/>
      <c r="AE12" s="1216"/>
      <c r="AF12" s="1216"/>
      <c r="AG12" s="1216"/>
      <c r="AH12" s="1216"/>
      <c r="AI12" s="1216"/>
      <c r="AJ12" s="1216"/>
      <c r="AK12" s="1216"/>
      <c r="AL12" s="1216"/>
      <c r="AM12" s="1216"/>
      <c r="AN12" s="1216"/>
      <c r="AO12" s="1216"/>
      <c r="AP12" s="1216"/>
      <c r="AQ12" s="1216"/>
      <c r="AR12" s="1216"/>
      <c r="AS12" s="1216"/>
      <c r="AT12" s="1216"/>
      <c r="AU12" s="1216"/>
      <c r="AV12" s="1216"/>
      <c r="AW12" s="1216"/>
      <c r="AX12" s="1216"/>
      <c r="AY12" s="1216"/>
      <c r="AZ12" s="1216"/>
      <c r="BA12" s="1216"/>
      <c r="BB12" s="1216"/>
      <c r="BC12" s="1215"/>
      <c r="BD12" s="1215"/>
      <c r="BE12" s="1215"/>
      <c r="BF12" s="1215"/>
      <c r="BG12" s="1215"/>
      <c r="BH12" s="1215"/>
      <c r="BI12" s="1215"/>
      <c r="BJ12" s="1215"/>
      <c r="BK12" s="1215"/>
      <c r="BL12" s="1215"/>
      <c r="BM12" s="1215"/>
      <c r="BN12" s="1215"/>
      <c r="BO12" s="1215"/>
      <c r="BP12" s="1215"/>
      <c r="BQ12" s="1215"/>
      <c r="BR12" s="1215"/>
      <c r="BS12" s="1215"/>
      <c r="BT12" s="1215"/>
      <c r="BU12" s="1215"/>
      <c r="BV12" s="1215"/>
      <c r="BW12" s="1215"/>
      <c r="BX12" s="1216"/>
      <c r="BY12" s="1216"/>
      <c r="BZ12" s="1216"/>
      <c r="CA12" s="1216"/>
      <c r="CB12" s="1216"/>
      <c r="CC12" s="1216"/>
      <c r="CD12" s="1216"/>
      <c r="CE12" s="1216"/>
      <c r="CF12" s="1216"/>
      <c r="CG12" s="1216"/>
      <c r="CH12" s="1216"/>
    </row>
    <row r="13" spans="1:86" ht="20.149999999999999" customHeight="1">
      <c r="A13" s="1563" t="s">
        <v>1424</v>
      </c>
      <c r="B13" s="1563" t="s">
        <v>13</v>
      </c>
      <c r="C13" s="1563" t="str">
        <f t="shared" si="0"/>
        <v>PBPDDM24</v>
      </c>
      <c r="D13" s="1193">
        <v>24</v>
      </c>
      <c r="E13" s="1524"/>
      <c r="F13" s="1531">
        <v>0.23</v>
      </c>
      <c r="G13" s="1531">
        <v>0.35</v>
      </c>
      <c r="H13" s="1531">
        <v>0.47</v>
      </c>
      <c r="I13" s="1531">
        <v>0.59</v>
      </c>
      <c r="J13" s="1531">
        <v>0.71</v>
      </c>
      <c r="K13" s="1531">
        <v>0.83</v>
      </c>
      <c r="L13" s="1531">
        <v>0.95</v>
      </c>
      <c r="M13" s="1531">
        <v>1.08</v>
      </c>
      <c r="N13" s="1531">
        <v>1.21</v>
      </c>
      <c r="O13" s="1531">
        <v>1.34</v>
      </c>
      <c r="P13" s="1531">
        <v>1.47</v>
      </c>
      <c r="Q13" s="1531">
        <v>1.61</v>
      </c>
      <c r="R13" s="1531">
        <v>1.75</v>
      </c>
      <c r="S13" s="1531">
        <v>1.89</v>
      </c>
      <c r="T13" s="1531">
        <v>2.04</v>
      </c>
      <c r="U13" s="1531">
        <v>2.19</v>
      </c>
      <c r="V13" s="1531">
        <v>2.35</v>
      </c>
      <c r="W13" s="1531">
        <v>2.52</v>
      </c>
      <c r="X13" s="1531">
        <v>2.69</v>
      </c>
      <c r="Y13" s="1531">
        <v>2.86</v>
      </c>
      <c r="Z13" s="1531">
        <v>3.04</v>
      </c>
      <c r="AA13" s="1531">
        <v>3.23</v>
      </c>
      <c r="AB13" s="1532">
        <v>3.43</v>
      </c>
      <c r="AC13" s="1197"/>
      <c r="AD13" s="1216"/>
      <c r="AE13" s="1216"/>
      <c r="AF13" s="1216"/>
      <c r="AG13" s="1216"/>
      <c r="AH13" s="1216"/>
      <c r="AI13" s="1216"/>
      <c r="AJ13" s="1216"/>
      <c r="AK13" s="1216"/>
      <c r="AL13" s="1216"/>
      <c r="AM13" s="1216"/>
      <c r="AN13" s="1216"/>
      <c r="AO13" s="1216"/>
      <c r="AP13" s="1216"/>
      <c r="AQ13" s="1216"/>
      <c r="AR13" s="1216"/>
      <c r="AS13" s="1216"/>
      <c r="AT13" s="1216"/>
      <c r="AU13" s="1216"/>
      <c r="AV13" s="1216"/>
      <c r="AW13" s="1216"/>
      <c r="AX13" s="1216"/>
      <c r="AY13" s="1216"/>
      <c r="AZ13" s="1216"/>
      <c r="BA13" s="1216"/>
      <c r="BB13" s="1216"/>
      <c r="BC13" s="1216"/>
      <c r="BD13" s="1216"/>
      <c r="BE13" s="1216"/>
      <c r="BF13" s="1216"/>
      <c r="BG13" s="1216"/>
      <c r="BH13" s="1216"/>
      <c r="BI13" s="1216"/>
      <c r="BJ13" s="1216"/>
      <c r="BK13" s="1216"/>
      <c r="BL13" s="1216"/>
      <c r="BM13" s="1216"/>
      <c r="BN13" s="1216"/>
      <c r="BO13" s="1216"/>
      <c r="BP13" s="1216"/>
      <c r="BQ13" s="1216"/>
      <c r="BR13" s="1216"/>
      <c r="BS13" s="1216"/>
      <c r="BT13" s="1216"/>
      <c r="BU13" s="1216"/>
      <c r="BV13" s="1216"/>
      <c r="BW13" s="1216"/>
      <c r="BX13" s="1216"/>
      <c r="BY13" s="1216"/>
      <c r="BZ13" s="1216"/>
      <c r="CA13" s="1216"/>
      <c r="CB13" s="1216"/>
      <c r="CC13" s="1216"/>
      <c r="CD13" s="1216"/>
      <c r="CE13" s="1216"/>
      <c r="CF13" s="1216"/>
      <c r="CG13" s="1216"/>
      <c r="CH13" s="1216"/>
    </row>
    <row r="14" spans="1:86" ht="20.149999999999999" customHeight="1">
      <c r="A14" s="1563" t="s">
        <v>1424</v>
      </c>
      <c r="B14" s="1563" t="s">
        <v>13</v>
      </c>
      <c r="C14" s="1563" t="str">
        <f t="shared" si="0"/>
        <v>PBPDDM25</v>
      </c>
      <c r="D14" s="1195">
        <v>25</v>
      </c>
      <c r="E14" s="1526"/>
      <c r="F14" s="1535">
        <v>0.24</v>
      </c>
      <c r="G14" s="1535">
        <v>0.36</v>
      </c>
      <c r="H14" s="1535">
        <v>0.48</v>
      </c>
      <c r="I14" s="1535">
        <v>0.6</v>
      </c>
      <c r="J14" s="1535">
        <v>0.72</v>
      </c>
      <c r="K14" s="1535">
        <v>0.84</v>
      </c>
      <c r="L14" s="1535">
        <v>0.97</v>
      </c>
      <c r="M14" s="1535">
        <v>1.1000000000000001</v>
      </c>
      <c r="N14" s="1535">
        <v>1.23</v>
      </c>
      <c r="O14" s="1535">
        <v>1.36</v>
      </c>
      <c r="P14" s="1535">
        <v>1.5</v>
      </c>
      <c r="Q14" s="1535">
        <v>1.64</v>
      </c>
      <c r="R14" s="1535">
        <v>1.79</v>
      </c>
      <c r="S14" s="1535">
        <v>1.94</v>
      </c>
      <c r="T14" s="1535">
        <v>2.1</v>
      </c>
      <c r="U14" s="1535">
        <v>2.2599999999999998</v>
      </c>
      <c r="V14" s="1535">
        <v>2.42</v>
      </c>
      <c r="W14" s="1535">
        <v>2.6</v>
      </c>
      <c r="X14" s="1535">
        <v>2.78</v>
      </c>
      <c r="Y14" s="1535">
        <v>2.96</v>
      </c>
      <c r="Z14" s="1535">
        <v>3.16</v>
      </c>
      <c r="AA14" s="1535">
        <v>3.36</v>
      </c>
      <c r="AB14" s="1536">
        <v>3.57</v>
      </c>
      <c r="AC14" s="1197"/>
      <c r="AD14" s="1216"/>
      <c r="AE14" s="1216"/>
      <c r="AF14" s="1216"/>
      <c r="AG14" s="1216"/>
      <c r="AH14" s="1216"/>
      <c r="AI14" s="1216"/>
      <c r="AJ14" s="1216"/>
      <c r="AK14" s="1216"/>
      <c r="AL14" s="1216"/>
      <c r="AM14" s="1216"/>
      <c r="AN14" s="1216"/>
      <c r="AO14" s="1216"/>
      <c r="AP14" s="1216"/>
      <c r="AQ14" s="1216"/>
      <c r="AR14" s="1216"/>
      <c r="AS14" s="1216"/>
      <c r="AT14" s="1216"/>
      <c r="AU14" s="1216"/>
      <c r="AV14" s="1216"/>
      <c r="AW14" s="1216"/>
      <c r="AX14" s="1216"/>
      <c r="AY14" s="1216"/>
      <c r="AZ14" s="1216"/>
      <c r="BA14" s="1216"/>
      <c r="BB14" s="1216"/>
      <c r="BC14" s="1216"/>
      <c r="BD14" s="1216"/>
      <c r="BE14" s="1216"/>
      <c r="BF14" s="1216"/>
      <c r="BG14" s="1216"/>
      <c r="BH14" s="1216"/>
      <c r="BI14" s="1216"/>
      <c r="BJ14" s="1216"/>
      <c r="BK14" s="1216"/>
      <c r="BL14" s="1216"/>
      <c r="BM14" s="1216"/>
      <c r="BN14" s="1216"/>
      <c r="BO14" s="1216"/>
      <c r="BP14" s="1216"/>
      <c r="BQ14" s="1216"/>
      <c r="BR14" s="1216"/>
      <c r="BS14" s="1216"/>
      <c r="BT14" s="1216"/>
      <c r="BU14" s="1216"/>
      <c r="BV14" s="1216"/>
      <c r="BW14" s="1216"/>
      <c r="BX14" s="1216"/>
      <c r="BY14" s="1216"/>
      <c r="BZ14" s="1216"/>
      <c r="CA14" s="1216"/>
      <c r="CB14" s="1216"/>
      <c r="CC14" s="1216"/>
      <c r="CD14" s="1216"/>
      <c r="CE14" s="1216"/>
      <c r="CF14" s="1216"/>
      <c r="CG14" s="1216"/>
      <c r="CH14" s="1216"/>
    </row>
    <row r="15" spans="1:86" ht="20.149999999999999" customHeight="1">
      <c r="A15" s="1563" t="s">
        <v>1424</v>
      </c>
      <c r="B15" s="1563" t="s">
        <v>13</v>
      </c>
      <c r="C15" s="1563" t="str">
        <f t="shared" si="0"/>
        <v>PBPDDM26</v>
      </c>
      <c r="D15" s="1193">
        <v>26</v>
      </c>
      <c r="E15" s="1524"/>
      <c r="F15" s="1531">
        <v>0.24</v>
      </c>
      <c r="G15" s="1531">
        <v>0.36</v>
      </c>
      <c r="H15" s="1531">
        <v>0.48</v>
      </c>
      <c r="I15" s="1531">
        <v>0.61</v>
      </c>
      <c r="J15" s="1531">
        <v>0.73</v>
      </c>
      <c r="K15" s="1531">
        <v>0.86</v>
      </c>
      <c r="L15" s="1531">
        <v>0.99</v>
      </c>
      <c r="M15" s="1531">
        <v>1.1200000000000001</v>
      </c>
      <c r="N15" s="1531">
        <v>1.26</v>
      </c>
      <c r="O15" s="1531">
        <v>1.4</v>
      </c>
      <c r="P15" s="1531">
        <v>1.54</v>
      </c>
      <c r="Q15" s="1531">
        <v>1.69</v>
      </c>
      <c r="R15" s="1531">
        <v>1.84</v>
      </c>
      <c r="S15" s="1531">
        <v>2</v>
      </c>
      <c r="T15" s="1531">
        <v>2.16</v>
      </c>
      <c r="U15" s="1531">
        <v>2.33</v>
      </c>
      <c r="V15" s="1531">
        <v>2.5099999999999998</v>
      </c>
      <c r="W15" s="1531">
        <v>2.69</v>
      </c>
      <c r="X15" s="1531">
        <v>2.88</v>
      </c>
      <c r="Y15" s="1531">
        <v>3.08</v>
      </c>
      <c r="Z15" s="1531">
        <v>3.28</v>
      </c>
      <c r="AA15" s="1531">
        <v>3.5</v>
      </c>
      <c r="AB15" s="1532">
        <v>3.72</v>
      </c>
      <c r="AC15" s="1197"/>
      <c r="AD15" s="1216"/>
      <c r="AE15" s="1216"/>
      <c r="AF15" s="1216"/>
      <c r="AG15" s="1216"/>
      <c r="AH15" s="1216"/>
      <c r="AI15" s="1216"/>
      <c r="AJ15" s="1216"/>
      <c r="AK15" s="1216"/>
      <c r="AL15" s="1216"/>
      <c r="AM15" s="1216"/>
      <c r="AN15" s="1216"/>
      <c r="AO15" s="1216"/>
      <c r="AP15" s="1216"/>
      <c r="AQ15" s="1216"/>
      <c r="AR15" s="1216"/>
      <c r="AS15" s="1216"/>
      <c r="AT15" s="1216"/>
      <c r="AU15" s="1216"/>
      <c r="AV15" s="1216"/>
      <c r="AW15" s="1216"/>
      <c r="AX15" s="1216"/>
      <c r="AY15" s="1216"/>
      <c r="AZ15" s="1216"/>
      <c r="BA15" s="1216"/>
      <c r="BB15" s="1216"/>
      <c r="BC15" s="1216"/>
      <c r="BD15" s="1216"/>
      <c r="BE15" s="1216"/>
      <c r="BF15" s="1216"/>
      <c r="BG15" s="1216"/>
      <c r="BH15" s="1216"/>
      <c r="BI15" s="1216"/>
      <c r="BJ15" s="1216"/>
      <c r="BK15" s="1216"/>
      <c r="BL15" s="1216"/>
      <c r="BM15" s="1216"/>
      <c r="BN15" s="1216"/>
      <c r="BO15" s="1216"/>
      <c r="BP15" s="1216"/>
      <c r="BQ15" s="1216"/>
      <c r="BR15" s="1216"/>
      <c r="BS15" s="1216"/>
      <c r="BT15" s="1216"/>
      <c r="BU15" s="1216"/>
      <c r="BV15" s="1216"/>
      <c r="BW15" s="1216"/>
      <c r="BX15" s="1216"/>
      <c r="BY15" s="1216"/>
      <c r="BZ15" s="1216"/>
      <c r="CA15" s="1216"/>
      <c r="CB15" s="1216"/>
      <c r="CC15" s="1216"/>
      <c r="CD15" s="1216"/>
      <c r="CE15" s="1216"/>
      <c r="CF15" s="1216"/>
      <c r="CG15" s="1216"/>
      <c r="CH15" s="1216"/>
    </row>
    <row r="16" spans="1:86" ht="20.149999999999999" customHeight="1">
      <c r="A16" s="1563" t="s">
        <v>1424</v>
      </c>
      <c r="B16" s="1563" t="s">
        <v>13</v>
      </c>
      <c r="C16" s="1563" t="str">
        <f t="shared" si="0"/>
        <v>PBPDDM27</v>
      </c>
      <c r="D16" s="1193">
        <v>27</v>
      </c>
      <c r="E16" s="1524"/>
      <c r="F16" s="1531">
        <v>0.24</v>
      </c>
      <c r="G16" s="1531">
        <v>0.37</v>
      </c>
      <c r="H16" s="1531">
        <v>0.49</v>
      </c>
      <c r="I16" s="1531">
        <v>0.62</v>
      </c>
      <c r="J16" s="1531">
        <v>0.74</v>
      </c>
      <c r="K16" s="1531">
        <v>0.88</v>
      </c>
      <c r="L16" s="1531">
        <v>1.01</v>
      </c>
      <c r="M16" s="1531">
        <v>1.1499999999999999</v>
      </c>
      <c r="N16" s="1531">
        <v>1.29</v>
      </c>
      <c r="O16" s="1531">
        <v>1.44</v>
      </c>
      <c r="P16" s="1531">
        <v>1.59</v>
      </c>
      <c r="Q16" s="1531">
        <v>1.74</v>
      </c>
      <c r="R16" s="1531">
        <v>1.9</v>
      </c>
      <c r="S16" s="1531">
        <v>2.0699999999999998</v>
      </c>
      <c r="T16" s="1531">
        <v>2.2400000000000002</v>
      </c>
      <c r="U16" s="1531">
        <v>2.42</v>
      </c>
      <c r="V16" s="1531">
        <v>2.6</v>
      </c>
      <c r="W16" s="1531">
        <v>2.8</v>
      </c>
      <c r="X16" s="1531">
        <v>3</v>
      </c>
      <c r="Y16" s="1531">
        <v>3.21</v>
      </c>
      <c r="Z16" s="1531">
        <v>3.42</v>
      </c>
      <c r="AA16" s="1531">
        <v>3.65</v>
      </c>
      <c r="AB16" s="1532">
        <v>3.89</v>
      </c>
      <c r="AC16" s="1197"/>
      <c r="AD16" s="1216"/>
      <c r="AE16" s="1216"/>
      <c r="AF16" s="1216"/>
      <c r="AG16" s="1216"/>
      <c r="AH16" s="1216"/>
      <c r="AI16" s="1216"/>
      <c r="AJ16" s="1216"/>
      <c r="AK16" s="1216"/>
      <c r="AL16" s="1216"/>
      <c r="AM16" s="1216"/>
      <c r="AN16" s="1216"/>
      <c r="AO16" s="1216"/>
      <c r="AP16" s="1216"/>
      <c r="AQ16" s="1216"/>
      <c r="AR16" s="1216"/>
      <c r="AS16" s="1216"/>
      <c r="AT16" s="1216"/>
      <c r="AU16" s="1216"/>
      <c r="AV16" s="1216"/>
      <c r="AW16" s="1216"/>
      <c r="AX16" s="1216"/>
      <c r="AY16" s="1216"/>
      <c r="AZ16" s="1216"/>
      <c r="BA16" s="1216"/>
      <c r="BB16" s="1216"/>
      <c r="BC16" s="1216"/>
      <c r="BD16" s="1216"/>
      <c r="BE16" s="1216"/>
      <c r="BF16" s="1216"/>
      <c r="BG16" s="1216"/>
      <c r="BH16" s="1216"/>
      <c r="BI16" s="1216"/>
      <c r="BJ16" s="1216"/>
      <c r="BK16" s="1216"/>
      <c r="BL16" s="1216"/>
      <c r="BM16" s="1216"/>
      <c r="BN16" s="1216"/>
      <c r="BO16" s="1216"/>
      <c r="BP16" s="1216"/>
      <c r="BQ16" s="1216"/>
      <c r="BR16" s="1216"/>
      <c r="BS16" s="1216"/>
      <c r="BT16" s="1216"/>
      <c r="BU16" s="1216"/>
      <c r="BV16" s="1216"/>
      <c r="BW16" s="1216"/>
      <c r="BX16" s="1216"/>
      <c r="BY16" s="1216"/>
      <c r="BZ16" s="1216"/>
      <c r="CA16" s="1216"/>
      <c r="CB16" s="1216"/>
      <c r="CC16" s="1216"/>
      <c r="CD16" s="1216"/>
      <c r="CE16" s="1216"/>
      <c r="CF16" s="1216"/>
      <c r="CG16" s="1216"/>
      <c r="CH16" s="1216"/>
    </row>
    <row r="17" spans="1:86" ht="20.149999999999999" customHeight="1">
      <c r="A17" s="1563" t="s">
        <v>1424</v>
      </c>
      <c r="B17" s="1563" t="s">
        <v>13</v>
      </c>
      <c r="C17" s="1563" t="str">
        <f t="shared" si="0"/>
        <v>PBPDDM28</v>
      </c>
      <c r="D17" s="1193">
        <v>28</v>
      </c>
      <c r="E17" s="1524"/>
      <c r="F17" s="1531">
        <v>0.25</v>
      </c>
      <c r="G17" s="1531">
        <v>0.37</v>
      </c>
      <c r="H17" s="1531">
        <v>0.5</v>
      </c>
      <c r="I17" s="1531">
        <v>0.63</v>
      </c>
      <c r="J17" s="1531">
        <v>0.76</v>
      </c>
      <c r="K17" s="1531">
        <v>0.9</v>
      </c>
      <c r="L17" s="1531">
        <v>1.04</v>
      </c>
      <c r="M17" s="1531">
        <v>1.18</v>
      </c>
      <c r="N17" s="1531">
        <v>1.33</v>
      </c>
      <c r="O17" s="1531">
        <v>1.48</v>
      </c>
      <c r="P17" s="1531">
        <v>1.64</v>
      </c>
      <c r="Q17" s="1531">
        <v>1.81</v>
      </c>
      <c r="R17" s="1531">
        <v>1.97</v>
      </c>
      <c r="S17" s="1531">
        <v>2.15</v>
      </c>
      <c r="T17" s="1531">
        <v>2.33</v>
      </c>
      <c r="U17" s="1531">
        <v>2.52</v>
      </c>
      <c r="V17" s="1531">
        <v>2.71</v>
      </c>
      <c r="W17" s="1531">
        <v>2.92</v>
      </c>
      <c r="X17" s="1531">
        <v>3.13</v>
      </c>
      <c r="Y17" s="1531">
        <v>3.35</v>
      </c>
      <c r="Z17" s="1531">
        <v>3.59</v>
      </c>
      <c r="AA17" s="1531">
        <v>3.83</v>
      </c>
      <c r="AB17" s="1532">
        <v>4.08</v>
      </c>
      <c r="AC17" s="1197"/>
      <c r="AD17" s="1216"/>
      <c r="AE17" s="1216"/>
      <c r="AF17" s="1216"/>
      <c r="AG17" s="1216"/>
      <c r="AH17" s="1216"/>
      <c r="AI17" s="1216"/>
      <c r="AJ17" s="1216"/>
      <c r="AK17" s="1216"/>
      <c r="AL17" s="1216"/>
      <c r="AM17" s="1216"/>
      <c r="AN17" s="1216"/>
      <c r="AO17" s="1216"/>
      <c r="AP17" s="1216"/>
      <c r="AQ17" s="1216"/>
      <c r="AR17" s="1216"/>
      <c r="AS17" s="1216"/>
      <c r="AT17" s="1216"/>
      <c r="AU17" s="1216"/>
      <c r="AV17" s="1216"/>
      <c r="AW17" s="1216"/>
      <c r="AX17" s="1216"/>
      <c r="AY17" s="1216"/>
      <c r="AZ17" s="1216"/>
      <c r="BA17" s="1216"/>
      <c r="BB17" s="1216"/>
      <c r="BC17" s="1216"/>
      <c r="BD17" s="1216"/>
      <c r="BE17" s="1216"/>
      <c r="BF17" s="1216"/>
      <c r="BG17" s="1216"/>
      <c r="BH17" s="1216"/>
      <c r="BI17" s="1216"/>
      <c r="BJ17" s="1216"/>
      <c r="BK17" s="1216"/>
      <c r="BL17" s="1216"/>
      <c r="BM17" s="1216"/>
      <c r="BN17" s="1216"/>
      <c r="BO17" s="1216"/>
      <c r="BP17" s="1216"/>
      <c r="BQ17" s="1216"/>
      <c r="BR17" s="1216"/>
      <c r="BS17" s="1216"/>
      <c r="BT17" s="1216"/>
      <c r="BU17" s="1216"/>
      <c r="BV17" s="1216"/>
      <c r="BW17" s="1216"/>
      <c r="BX17" s="1216"/>
      <c r="BY17" s="1216"/>
      <c r="BZ17" s="1216"/>
      <c r="CA17" s="1216"/>
      <c r="CB17" s="1216"/>
      <c r="CC17" s="1216"/>
      <c r="CD17" s="1216"/>
      <c r="CE17" s="1216"/>
      <c r="CF17" s="1216"/>
      <c r="CG17" s="1216"/>
      <c r="CH17" s="1216"/>
    </row>
    <row r="18" spans="1:86" ht="20.149999999999999" customHeight="1">
      <c r="A18" s="1563" t="s">
        <v>1424</v>
      </c>
      <c r="B18" s="1563" t="s">
        <v>13</v>
      </c>
      <c r="C18" s="1563" t="str">
        <f t="shared" si="0"/>
        <v>PBPDDM29</v>
      </c>
      <c r="D18" s="1193">
        <v>29</v>
      </c>
      <c r="E18" s="1524"/>
      <c r="F18" s="1531">
        <v>0.25</v>
      </c>
      <c r="G18" s="1531">
        <v>0.38</v>
      </c>
      <c r="H18" s="1531">
        <v>0.51</v>
      </c>
      <c r="I18" s="1531">
        <v>0.65</v>
      </c>
      <c r="J18" s="1531">
        <v>0.78</v>
      </c>
      <c r="K18" s="1531">
        <v>0.93</v>
      </c>
      <c r="L18" s="1531">
        <v>1.07</v>
      </c>
      <c r="M18" s="1531">
        <v>1.22</v>
      </c>
      <c r="N18" s="1531">
        <v>1.38</v>
      </c>
      <c r="O18" s="1531">
        <v>1.54</v>
      </c>
      <c r="P18" s="1531">
        <v>1.71</v>
      </c>
      <c r="Q18" s="1531">
        <v>1.88</v>
      </c>
      <c r="R18" s="1531">
        <v>2.06</v>
      </c>
      <c r="S18" s="1531">
        <v>2.2400000000000002</v>
      </c>
      <c r="T18" s="1531">
        <v>2.4300000000000002</v>
      </c>
      <c r="U18" s="1531">
        <v>2.63</v>
      </c>
      <c r="V18" s="1531">
        <v>2.84</v>
      </c>
      <c r="W18" s="1531">
        <v>3.06</v>
      </c>
      <c r="X18" s="1531">
        <v>3.28</v>
      </c>
      <c r="Y18" s="1531">
        <v>3.52</v>
      </c>
      <c r="Z18" s="1531">
        <v>3.77</v>
      </c>
      <c r="AA18" s="1531">
        <v>4.03</v>
      </c>
      <c r="AB18" s="1532">
        <v>4.3</v>
      </c>
      <c r="AC18" s="1197"/>
      <c r="AD18" s="1216"/>
      <c r="AE18" s="1216"/>
      <c r="AF18" s="1216"/>
      <c r="AG18" s="1216"/>
      <c r="AH18" s="1216"/>
      <c r="AI18" s="1216"/>
      <c r="AJ18" s="1216"/>
      <c r="AK18" s="1216"/>
      <c r="AL18" s="1216"/>
      <c r="AM18" s="1216"/>
      <c r="AN18" s="1216"/>
      <c r="AO18" s="1216"/>
      <c r="AP18" s="1216"/>
      <c r="AQ18" s="1216"/>
      <c r="AR18" s="1216"/>
      <c r="AS18" s="1216"/>
      <c r="AT18" s="1216"/>
      <c r="AU18" s="1216"/>
      <c r="AV18" s="1216"/>
      <c r="AW18" s="1216"/>
      <c r="AX18" s="1216"/>
      <c r="AY18" s="1216"/>
      <c r="AZ18" s="1216"/>
      <c r="BA18" s="1216"/>
      <c r="BB18" s="1216"/>
      <c r="BC18" s="1216"/>
      <c r="BD18" s="1216"/>
      <c r="BE18" s="1216"/>
      <c r="BF18" s="1216"/>
      <c r="BG18" s="1216"/>
      <c r="BH18" s="1216"/>
      <c r="BI18" s="1216"/>
      <c r="BJ18" s="1216"/>
      <c r="BK18" s="1216"/>
      <c r="BL18" s="1216"/>
      <c r="BM18" s="1216"/>
      <c r="BN18" s="1216"/>
      <c r="BO18" s="1216"/>
      <c r="BP18" s="1216"/>
      <c r="BQ18" s="1216"/>
      <c r="BR18" s="1216"/>
      <c r="BS18" s="1216"/>
      <c r="BT18" s="1216"/>
      <c r="BU18" s="1216"/>
      <c r="BV18" s="1216"/>
      <c r="BW18" s="1216"/>
      <c r="BX18" s="1216"/>
      <c r="BY18" s="1216"/>
      <c r="BZ18" s="1216"/>
      <c r="CA18" s="1216"/>
      <c r="CB18" s="1216"/>
      <c r="CC18" s="1216"/>
      <c r="CD18" s="1216"/>
      <c r="CE18" s="1216"/>
      <c r="CF18" s="1216"/>
      <c r="CG18" s="1216"/>
      <c r="CH18" s="1216"/>
    </row>
    <row r="19" spans="1:86" ht="20.149999999999999" customHeight="1">
      <c r="A19" s="1563" t="s">
        <v>1424</v>
      </c>
      <c r="B19" s="1563" t="s">
        <v>13</v>
      </c>
      <c r="C19" s="1563" t="str">
        <f t="shared" si="0"/>
        <v>PBPDDM30</v>
      </c>
      <c r="D19" s="1193">
        <v>30</v>
      </c>
      <c r="E19" s="1524"/>
      <c r="F19" s="1531">
        <v>0.26</v>
      </c>
      <c r="G19" s="1531">
        <v>0.39</v>
      </c>
      <c r="H19" s="1531">
        <v>0.53</v>
      </c>
      <c r="I19" s="1531">
        <v>0.67</v>
      </c>
      <c r="J19" s="1531">
        <v>0.81</v>
      </c>
      <c r="K19" s="1531">
        <v>0.96</v>
      </c>
      <c r="L19" s="1531">
        <v>1.1100000000000001</v>
      </c>
      <c r="M19" s="1531">
        <v>1.27</v>
      </c>
      <c r="N19" s="1531">
        <v>1.44</v>
      </c>
      <c r="O19" s="1531">
        <v>1.61</v>
      </c>
      <c r="P19" s="1531">
        <v>1.78</v>
      </c>
      <c r="Q19" s="1531">
        <v>1.96</v>
      </c>
      <c r="R19" s="1531">
        <v>2.15</v>
      </c>
      <c r="S19" s="1531">
        <v>2.35</v>
      </c>
      <c r="T19" s="1531">
        <v>2.5499999999999998</v>
      </c>
      <c r="U19" s="1531">
        <v>2.76</v>
      </c>
      <c r="V19" s="1531">
        <v>2.98</v>
      </c>
      <c r="W19" s="1531">
        <v>3.21</v>
      </c>
      <c r="X19" s="1531">
        <v>3.46</v>
      </c>
      <c r="Y19" s="1531">
        <v>3.71</v>
      </c>
      <c r="Z19" s="1531">
        <v>3.97</v>
      </c>
      <c r="AA19" s="1531">
        <v>4.25</v>
      </c>
      <c r="AB19" s="1532">
        <v>4.54</v>
      </c>
      <c r="AC19" s="1197"/>
      <c r="AD19" s="1216"/>
      <c r="AE19" s="1216"/>
      <c r="AF19" s="1216"/>
      <c r="AG19" s="1216"/>
      <c r="AH19" s="1216"/>
      <c r="AI19" s="1216"/>
      <c r="AJ19" s="1216"/>
      <c r="AK19" s="1216"/>
      <c r="AL19" s="1216"/>
      <c r="AM19" s="1216"/>
      <c r="AN19" s="1216"/>
      <c r="AO19" s="1216"/>
      <c r="AP19" s="1216"/>
      <c r="AQ19" s="1216"/>
      <c r="AR19" s="1216"/>
      <c r="AS19" s="1216"/>
      <c r="AT19" s="1216"/>
      <c r="AU19" s="1216"/>
      <c r="AV19" s="1216"/>
      <c r="AW19" s="1216"/>
      <c r="AX19" s="1216"/>
      <c r="AY19" s="1216"/>
      <c r="AZ19" s="1216"/>
      <c r="BA19" s="1216"/>
      <c r="BB19" s="1216"/>
      <c r="BC19" s="1216"/>
      <c r="BD19" s="1216"/>
      <c r="BE19" s="1216"/>
      <c r="BF19" s="1216"/>
      <c r="BG19" s="1216"/>
      <c r="BH19" s="1216"/>
      <c r="BI19" s="1216"/>
      <c r="BJ19" s="1216"/>
      <c r="BK19" s="1216"/>
      <c r="BL19" s="1216"/>
      <c r="BM19" s="1216"/>
      <c r="BN19" s="1216"/>
      <c r="BO19" s="1216"/>
      <c r="BP19" s="1216"/>
      <c r="BQ19" s="1216"/>
      <c r="BR19" s="1216"/>
      <c r="BS19" s="1216"/>
      <c r="BT19" s="1216"/>
      <c r="BU19" s="1216"/>
      <c r="BV19" s="1216"/>
      <c r="BW19" s="1216"/>
      <c r="BX19" s="1216"/>
      <c r="BY19" s="1216"/>
      <c r="BZ19" s="1216"/>
      <c r="CA19" s="1216"/>
      <c r="CB19" s="1216"/>
      <c r="CC19" s="1216"/>
      <c r="CD19" s="1216"/>
      <c r="CE19" s="1216"/>
      <c r="CF19" s="1216"/>
      <c r="CG19" s="1216"/>
      <c r="CH19" s="1216"/>
    </row>
    <row r="20" spans="1:86" ht="20.149999999999999" customHeight="1">
      <c r="A20" s="1563" t="s">
        <v>1424</v>
      </c>
      <c r="B20" s="1563" t="s">
        <v>13</v>
      </c>
      <c r="C20" s="1563" t="str">
        <f t="shared" si="0"/>
        <v>PBPDDM31</v>
      </c>
      <c r="D20" s="1194">
        <v>31</v>
      </c>
      <c r="E20" s="1525"/>
      <c r="F20" s="1533">
        <v>0.27</v>
      </c>
      <c r="G20" s="1533">
        <v>0.41</v>
      </c>
      <c r="H20" s="1533">
        <v>0.55000000000000004</v>
      </c>
      <c r="I20" s="1533">
        <v>0.7</v>
      </c>
      <c r="J20" s="1533">
        <v>0.85</v>
      </c>
      <c r="K20" s="1533">
        <v>1</v>
      </c>
      <c r="L20" s="1533">
        <v>1.1599999999999999</v>
      </c>
      <c r="M20" s="1533">
        <v>1.33</v>
      </c>
      <c r="N20" s="1533">
        <v>1.5</v>
      </c>
      <c r="O20" s="1533">
        <v>1.68</v>
      </c>
      <c r="P20" s="1533">
        <v>1.87</v>
      </c>
      <c r="Q20" s="1533">
        <v>2.06</v>
      </c>
      <c r="R20" s="1533">
        <v>2.2599999999999998</v>
      </c>
      <c r="S20" s="1533">
        <v>2.46</v>
      </c>
      <c r="T20" s="1533">
        <v>2.68</v>
      </c>
      <c r="U20" s="1533">
        <v>2.91</v>
      </c>
      <c r="V20" s="1533">
        <v>3.14</v>
      </c>
      <c r="W20" s="1533">
        <v>3.39</v>
      </c>
      <c r="X20" s="1533">
        <v>3.65</v>
      </c>
      <c r="Y20" s="1533">
        <v>3.92</v>
      </c>
      <c r="Z20" s="1533">
        <v>4.2</v>
      </c>
      <c r="AA20" s="1533">
        <v>4.5</v>
      </c>
      <c r="AB20" s="1534">
        <v>4.8099999999999996</v>
      </c>
      <c r="AC20" s="1197"/>
      <c r="AD20" s="1216"/>
      <c r="AE20" s="1216"/>
      <c r="AF20" s="1216"/>
      <c r="AG20" s="1216"/>
      <c r="AH20" s="1216"/>
      <c r="AI20" s="1216"/>
      <c r="AJ20" s="1216"/>
      <c r="AK20" s="1216"/>
      <c r="AL20" s="1216"/>
      <c r="AM20" s="1216"/>
      <c r="AN20" s="1216"/>
      <c r="AO20" s="1216"/>
      <c r="AP20" s="1216"/>
      <c r="AQ20" s="1216"/>
      <c r="AR20" s="1216"/>
      <c r="AS20" s="1216"/>
      <c r="AT20" s="1216"/>
      <c r="AU20" s="1216"/>
      <c r="AV20" s="1216"/>
      <c r="AW20" s="1216"/>
      <c r="AX20" s="1216"/>
      <c r="AY20" s="1216"/>
      <c r="AZ20" s="1216"/>
      <c r="BA20" s="1216"/>
      <c r="BB20" s="1216"/>
      <c r="BC20" s="1216"/>
      <c r="BD20" s="1216"/>
      <c r="BE20" s="1216"/>
      <c r="BF20" s="1216"/>
      <c r="BG20" s="1216"/>
      <c r="BH20" s="1216"/>
      <c r="BI20" s="1216"/>
      <c r="BJ20" s="1216"/>
      <c r="BK20" s="1216"/>
      <c r="BL20" s="1216"/>
      <c r="BM20" s="1216"/>
      <c r="BN20" s="1216"/>
      <c r="BO20" s="1216"/>
      <c r="BP20" s="1216"/>
      <c r="BQ20" s="1216"/>
      <c r="BR20" s="1216"/>
      <c r="BS20" s="1216"/>
      <c r="BT20" s="1216"/>
      <c r="BU20" s="1216"/>
      <c r="BV20" s="1216"/>
      <c r="BW20" s="1216"/>
      <c r="BX20" s="1216"/>
      <c r="BY20" s="1216"/>
      <c r="BZ20" s="1216"/>
      <c r="CA20" s="1216"/>
      <c r="CB20" s="1216"/>
      <c r="CC20" s="1216"/>
      <c r="CD20" s="1216"/>
      <c r="CE20" s="1216"/>
      <c r="CF20" s="1216"/>
      <c r="CG20" s="1216"/>
      <c r="CH20" s="1216"/>
    </row>
    <row r="21" spans="1:86" ht="20.149999999999999" customHeight="1">
      <c r="A21" s="1563" t="s">
        <v>1424</v>
      </c>
      <c r="B21" s="1563" t="s">
        <v>13</v>
      </c>
      <c r="C21" s="1563" t="str">
        <f t="shared" si="0"/>
        <v>PBPDDM32</v>
      </c>
      <c r="D21" s="1193">
        <v>32</v>
      </c>
      <c r="E21" s="1524"/>
      <c r="F21" s="1531">
        <v>0.28000000000000003</v>
      </c>
      <c r="G21" s="1531">
        <v>0.42</v>
      </c>
      <c r="H21" s="1531">
        <v>0.56999999999999995</v>
      </c>
      <c r="I21" s="1531">
        <v>0.73</v>
      </c>
      <c r="J21" s="1531">
        <v>0.88</v>
      </c>
      <c r="K21" s="1531">
        <v>1.05</v>
      </c>
      <c r="L21" s="1531">
        <v>1.22</v>
      </c>
      <c r="M21" s="1531">
        <v>1.39</v>
      </c>
      <c r="N21" s="1531">
        <v>1.58</v>
      </c>
      <c r="O21" s="1531">
        <v>1.76</v>
      </c>
      <c r="P21" s="1531">
        <v>1.96</v>
      </c>
      <c r="Q21" s="1531">
        <v>2.16</v>
      </c>
      <c r="R21" s="1531">
        <v>2.37</v>
      </c>
      <c r="S21" s="1531">
        <v>2.59</v>
      </c>
      <c r="T21" s="1531">
        <v>2.82</v>
      </c>
      <c r="U21" s="1531">
        <v>3.07</v>
      </c>
      <c r="V21" s="1531">
        <v>3.32</v>
      </c>
      <c r="W21" s="1531">
        <v>3.58</v>
      </c>
      <c r="X21" s="1531">
        <v>3.86</v>
      </c>
      <c r="Y21" s="1531">
        <v>4.1500000000000004</v>
      </c>
      <c r="Z21" s="1531">
        <v>4.45</v>
      </c>
      <c r="AA21" s="1531">
        <v>4.7699999999999996</v>
      </c>
      <c r="AB21" s="1532">
        <v>5.0999999999999996</v>
      </c>
      <c r="AC21" s="1197"/>
      <c r="AD21" s="1216"/>
      <c r="AE21" s="1216"/>
      <c r="AF21" s="1216"/>
      <c r="AG21" s="1216"/>
      <c r="AH21" s="1216"/>
      <c r="AI21" s="1216"/>
      <c r="AJ21" s="1216"/>
      <c r="AK21" s="1216"/>
      <c r="AL21" s="1216"/>
      <c r="AM21" s="1216"/>
      <c r="AN21" s="1216"/>
      <c r="AO21" s="1216"/>
      <c r="AP21" s="1216"/>
      <c r="AQ21" s="1216"/>
      <c r="AR21" s="1216"/>
      <c r="AS21" s="1216"/>
      <c r="AT21" s="1216"/>
      <c r="AU21" s="1216"/>
      <c r="AV21" s="1216"/>
      <c r="AW21" s="1216"/>
      <c r="AX21" s="1216"/>
      <c r="AY21" s="1216"/>
      <c r="AZ21" s="1216"/>
      <c r="BA21" s="1216"/>
      <c r="BB21" s="1216"/>
      <c r="BC21" s="1216"/>
      <c r="BD21" s="1216"/>
      <c r="BE21" s="1216"/>
      <c r="BF21" s="1216"/>
      <c r="BG21" s="1216"/>
      <c r="BH21" s="1216"/>
      <c r="BI21" s="1216"/>
      <c r="BJ21" s="1216"/>
      <c r="BK21" s="1216"/>
      <c r="BL21" s="1216"/>
      <c r="BM21" s="1216"/>
      <c r="BN21" s="1216"/>
      <c r="BO21" s="1216"/>
      <c r="BP21" s="1216"/>
      <c r="BQ21" s="1216"/>
      <c r="BR21" s="1216"/>
      <c r="BS21" s="1216"/>
      <c r="BT21" s="1216"/>
      <c r="BU21" s="1216"/>
      <c r="BV21" s="1216"/>
      <c r="BW21" s="1216"/>
      <c r="BX21" s="1216"/>
      <c r="BY21" s="1216"/>
      <c r="BZ21" s="1216"/>
      <c r="CA21" s="1216"/>
      <c r="CB21" s="1216"/>
      <c r="CC21" s="1216"/>
      <c r="CD21" s="1216"/>
      <c r="CE21" s="1216"/>
      <c r="CF21" s="1216"/>
      <c r="CG21" s="1216"/>
      <c r="CH21" s="1216"/>
    </row>
    <row r="22" spans="1:86" ht="20.149999999999999" customHeight="1">
      <c r="A22" s="1563" t="s">
        <v>1424</v>
      </c>
      <c r="B22" s="1563" t="s">
        <v>13</v>
      </c>
      <c r="C22" s="1563" t="str">
        <f t="shared" si="0"/>
        <v>PBPDDM33</v>
      </c>
      <c r="D22" s="1193">
        <v>33</v>
      </c>
      <c r="E22" s="1524"/>
      <c r="F22" s="1531">
        <v>0.28999999999999998</v>
      </c>
      <c r="G22" s="1531">
        <v>0.44</v>
      </c>
      <c r="H22" s="1531">
        <v>0.6</v>
      </c>
      <c r="I22" s="1531">
        <v>0.76</v>
      </c>
      <c r="J22" s="1531">
        <v>0.93</v>
      </c>
      <c r="K22" s="1531">
        <v>1.1000000000000001</v>
      </c>
      <c r="L22" s="1531">
        <v>1.28</v>
      </c>
      <c r="M22" s="1531">
        <v>1.46</v>
      </c>
      <c r="N22" s="1531">
        <v>1.66</v>
      </c>
      <c r="O22" s="1531">
        <v>1.86</v>
      </c>
      <c r="P22" s="1531">
        <v>2.06</v>
      </c>
      <c r="Q22" s="1531">
        <v>2.2799999999999998</v>
      </c>
      <c r="R22" s="1531">
        <v>2.5</v>
      </c>
      <c r="S22" s="1531">
        <v>2.74</v>
      </c>
      <c r="T22" s="1531">
        <v>2.98</v>
      </c>
      <c r="U22" s="1531">
        <v>3.24</v>
      </c>
      <c r="V22" s="1531">
        <v>3.51</v>
      </c>
      <c r="W22" s="1531">
        <v>3.79</v>
      </c>
      <c r="X22" s="1531">
        <v>4.09</v>
      </c>
      <c r="Y22" s="1531">
        <v>4.4000000000000004</v>
      </c>
      <c r="Z22" s="1531">
        <v>4.72</v>
      </c>
      <c r="AA22" s="1531">
        <v>5.07</v>
      </c>
      <c r="AB22" s="1532">
        <v>5.43</v>
      </c>
      <c r="AC22" s="1197"/>
      <c r="AD22" s="1216"/>
      <c r="AE22" s="1216"/>
      <c r="AF22" s="1216"/>
      <c r="AG22" s="1216"/>
      <c r="AH22" s="1216"/>
      <c r="AI22" s="1216"/>
      <c r="AJ22" s="1216"/>
      <c r="AK22" s="1216"/>
      <c r="AL22" s="1216"/>
      <c r="AM22" s="1216"/>
      <c r="AN22" s="1216"/>
      <c r="AO22" s="1216"/>
      <c r="AP22" s="1216"/>
      <c r="AQ22" s="1216"/>
      <c r="AR22" s="1216"/>
      <c r="AS22" s="1216"/>
      <c r="AT22" s="1216"/>
      <c r="AU22" s="1216"/>
      <c r="AV22" s="1216"/>
      <c r="AW22" s="1216"/>
      <c r="AX22" s="1216"/>
      <c r="AY22" s="1216"/>
      <c r="AZ22" s="1216"/>
      <c r="BA22" s="1216"/>
      <c r="BB22" s="1216"/>
      <c r="BC22" s="1216"/>
      <c r="BD22" s="1216"/>
      <c r="BE22" s="1216"/>
      <c r="BF22" s="1216"/>
      <c r="BG22" s="1216"/>
      <c r="BH22" s="1216"/>
      <c r="BI22" s="1216"/>
      <c r="BJ22" s="1216"/>
      <c r="BK22" s="1216"/>
      <c r="BL22" s="1216"/>
      <c r="BM22" s="1216"/>
      <c r="BN22" s="1216"/>
      <c r="BO22" s="1216"/>
      <c r="BP22" s="1216"/>
      <c r="BQ22" s="1216"/>
      <c r="BR22" s="1216"/>
      <c r="BS22" s="1216"/>
      <c r="BT22" s="1216"/>
      <c r="BU22" s="1216"/>
      <c r="BV22" s="1216"/>
      <c r="BW22" s="1216"/>
      <c r="BX22" s="1216"/>
      <c r="BY22" s="1216"/>
      <c r="BZ22" s="1216"/>
      <c r="CA22" s="1216"/>
      <c r="CB22" s="1216"/>
      <c r="CC22" s="1216"/>
      <c r="CD22" s="1216"/>
      <c r="CE22" s="1216"/>
      <c r="CF22" s="1216"/>
      <c r="CG22" s="1216"/>
      <c r="CH22" s="1216"/>
    </row>
    <row r="23" spans="1:86" ht="20.149999999999999" customHeight="1">
      <c r="A23" s="1563" t="s">
        <v>1424</v>
      </c>
      <c r="B23" s="1563" t="s">
        <v>13</v>
      </c>
      <c r="C23" s="1563" t="str">
        <f t="shared" si="0"/>
        <v>PBPDDM34</v>
      </c>
      <c r="D23" s="1193">
        <v>34</v>
      </c>
      <c r="E23" s="1524"/>
      <c r="F23" s="1531">
        <v>0.3</v>
      </c>
      <c r="G23" s="1531">
        <v>0.46</v>
      </c>
      <c r="H23" s="1531">
        <v>0.63</v>
      </c>
      <c r="I23" s="1531">
        <v>0.8</v>
      </c>
      <c r="J23" s="1531">
        <v>0.98</v>
      </c>
      <c r="K23" s="1531">
        <v>1.1599999999999999</v>
      </c>
      <c r="L23" s="1531">
        <v>1.35</v>
      </c>
      <c r="M23" s="1531">
        <v>1.54</v>
      </c>
      <c r="N23" s="1531">
        <v>1.75</v>
      </c>
      <c r="O23" s="1531">
        <v>1.96</v>
      </c>
      <c r="P23" s="1531">
        <v>2.1800000000000002</v>
      </c>
      <c r="Q23" s="1531">
        <v>2.41</v>
      </c>
      <c r="R23" s="1531">
        <v>2.65</v>
      </c>
      <c r="S23" s="1531">
        <v>2.9</v>
      </c>
      <c r="T23" s="1531">
        <v>3.16</v>
      </c>
      <c r="U23" s="1531">
        <v>3.43</v>
      </c>
      <c r="V23" s="1531">
        <v>3.72</v>
      </c>
      <c r="W23" s="1531">
        <v>4.03</v>
      </c>
      <c r="X23" s="1531">
        <v>4.34</v>
      </c>
      <c r="Y23" s="1531">
        <v>4.68</v>
      </c>
      <c r="Z23" s="1531">
        <v>5.03</v>
      </c>
      <c r="AA23" s="1531">
        <v>5.39</v>
      </c>
      <c r="AB23" s="1532">
        <v>5.78</v>
      </c>
      <c r="AC23" s="1197"/>
      <c r="AD23" s="1216"/>
      <c r="AE23" s="1216"/>
      <c r="AF23" s="1216"/>
      <c r="AG23" s="1216"/>
      <c r="AH23" s="1216"/>
      <c r="AI23" s="1216"/>
      <c r="AJ23" s="1216"/>
      <c r="AK23" s="1216"/>
      <c r="AL23" s="1216"/>
      <c r="AM23" s="1216"/>
      <c r="AN23" s="1216"/>
      <c r="AO23" s="1216"/>
      <c r="AP23" s="1216"/>
      <c r="AQ23" s="1216"/>
      <c r="AR23" s="1216"/>
      <c r="AS23" s="1216"/>
      <c r="AT23" s="1216"/>
      <c r="AU23" s="1216"/>
      <c r="AV23" s="1216"/>
      <c r="AW23" s="1216"/>
      <c r="AX23" s="1216"/>
      <c r="AY23" s="1216"/>
      <c r="AZ23" s="1216"/>
      <c r="BA23" s="1216"/>
      <c r="BB23" s="1216"/>
      <c r="BC23" s="1216"/>
      <c r="BD23" s="1216"/>
      <c r="BE23" s="1216"/>
      <c r="BF23" s="1216"/>
      <c r="BG23" s="1216"/>
      <c r="BH23" s="1216"/>
      <c r="BI23" s="1216"/>
      <c r="BJ23" s="1216"/>
      <c r="BK23" s="1216"/>
      <c r="BL23" s="1216"/>
      <c r="BM23" s="1216"/>
      <c r="BN23" s="1216"/>
      <c r="BO23" s="1216"/>
      <c r="BP23" s="1216"/>
      <c r="BQ23" s="1216"/>
      <c r="BR23" s="1216"/>
      <c r="BS23" s="1216"/>
      <c r="BT23" s="1216"/>
      <c r="BU23" s="1216"/>
      <c r="BV23" s="1216"/>
      <c r="BW23" s="1216"/>
      <c r="BX23" s="1216"/>
      <c r="BY23" s="1216"/>
      <c r="BZ23" s="1216"/>
      <c r="CA23" s="1216"/>
      <c r="CB23" s="1216"/>
      <c r="CC23" s="1216"/>
      <c r="CD23" s="1216"/>
      <c r="CE23" s="1216"/>
      <c r="CF23" s="1216"/>
      <c r="CG23" s="1216"/>
      <c r="CH23" s="1216"/>
    </row>
    <row r="24" spans="1:86" ht="20.149999999999999" customHeight="1">
      <c r="A24" s="1563" t="s">
        <v>1424</v>
      </c>
      <c r="B24" s="1563" t="s">
        <v>13</v>
      </c>
      <c r="C24" s="1563" t="str">
        <f t="shared" si="0"/>
        <v>PBPDDM35</v>
      </c>
      <c r="D24" s="1195">
        <v>35</v>
      </c>
      <c r="E24" s="1526"/>
      <c r="F24" s="1535">
        <v>0.32</v>
      </c>
      <c r="G24" s="1535">
        <v>0.49</v>
      </c>
      <c r="H24" s="1535">
        <v>0.66</v>
      </c>
      <c r="I24" s="1535">
        <v>0.84</v>
      </c>
      <c r="J24" s="1535">
        <v>1.03</v>
      </c>
      <c r="K24" s="1535">
        <v>1.22</v>
      </c>
      <c r="L24" s="1535">
        <v>1.42</v>
      </c>
      <c r="M24" s="1535">
        <v>1.63</v>
      </c>
      <c r="N24" s="1535">
        <v>1.84</v>
      </c>
      <c r="O24" s="1535">
        <v>2.0699999999999998</v>
      </c>
      <c r="P24" s="1535">
        <v>2.2999999999999998</v>
      </c>
      <c r="Q24" s="1535">
        <v>2.5499999999999998</v>
      </c>
      <c r="R24" s="1535">
        <v>2.8</v>
      </c>
      <c r="S24" s="1535">
        <v>3.07</v>
      </c>
      <c r="T24" s="1535">
        <v>3.35</v>
      </c>
      <c r="U24" s="1535">
        <v>3.65</v>
      </c>
      <c r="V24" s="1535">
        <v>3.96</v>
      </c>
      <c r="W24" s="1535">
        <v>4.28</v>
      </c>
      <c r="X24" s="1535">
        <v>4.62</v>
      </c>
      <c r="Y24" s="1535">
        <v>4.9800000000000004</v>
      </c>
      <c r="Z24" s="1535">
        <v>5.35</v>
      </c>
      <c r="AA24" s="1535">
        <v>5.75</v>
      </c>
      <c r="AB24" s="1536">
        <v>6.17</v>
      </c>
      <c r="AC24" s="1197"/>
      <c r="AD24" s="1216"/>
      <c r="AE24" s="1216"/>
      <c r="AF24" s="1216"/>
      <c r="AG24" s="1216"/>
      <c r="AH24" s="1216"/>
      <c r="AI24" s="1216"/>
      <c r="AJ24" s="1216"/>
      <c r="AK24" s="1216"/>
      <c r="AL24" s="1216"/>
      <c r="AM24" s="1216"/>
      <c r="AN24" s="1216"/>
      <c r="AO24" s="1216"/>
      <c r="AP24" s="1216"/>
      <c r="AQ24" s="1216"/>
      <c r="AR24" s="1216"/>
      <c r="AS24" s="1216"/>
      <c r="AT24" s="1216"/>
      <c r="AU24" s="1216"/>
      <c r="AV24" s="1216"/>
      <c r="AW24" s="1216"/>
      <c r="AX24" s="1216"/>
      <c r="AY24" s="1216"/>
      <c r="AZ24" s="1216"/>
      <c r="BA24" s="1216"/>
      <c r="BB24" s="1216"/>
      <c r="BC24" s="1216"/>
      <c r="BD24" s="1216"/>
      <c r="BE24" s="1216"/>
      <c r="BF24" s="1216"/>
      <c r="BG24" s="1216"/>
      <c r="BH24" s="1216"/>
      <c r="BI24" s="1216"/>
      <c r="BJ24" s="1216"/>
      <c r="BK24" s="1216"/>
      <c r="BL24" s="1216"/>
      <c r="BM24" s="1216"/>
      <c r="BN24" s="1216"/>
      <c r="BO24" s="1216"/>
      <c r="BP24" s="1216"/>
      <c r="BQ24" s="1216"/>
      <c r="BR24" s="1216"/>
      <c r="BS24" s="1216"/>
      <c r="BT24" s="1216"/>
      <c r="BU24" s="1216"/>
      <c r="BV24" s="1216"/>
      <c r="BW24" s="1216"/>
      <c r="BX24" s="1216"/>
      <c r="BY24" s="1216"/>
      <c r="BZ24" s="1216"/>
      <c r="CA24" s="1216"/>
      <c r="CB24" s="1216"/>
      <c r="CC24" s="1216"/>
      <c r="CD24" s="1216"/>
      <c r="CE24" s="1216"/>
      <c r="CF24" s="1216"/>
      <c r="CG24" s="1216"/>
      <c r="CH24" s="1216"/>
    </row>
    <row r="25" spans="1:86" ht="20.149999999999999" customHeight="1">
      <c r="A25" s="1563" t="s">
        <v>1424</v>
      </c>
      <c r="B25" s="1563" t="s">
        <v>13</v>
      </c>
      <c r="C25" s="1563" t="str">
        <f t="shared" si="0"/>
        <v>PBPDDM36</v>
      </c>
      <c r="D25" s="1193">
        <v>36</v>
      </c>
      <c r="E25" s="1524"/>
      <c r="F25" s="1531">
        <v>0.34</v>
      </c>
      <c r="G25" s="1531">
        <v>0.51</v>
      </c>
      <c r="H25" s="1531">
        <v>0.7</v>
      </c>
      <c r="I25" s="1531">
        <v>0.89</v>
      </c>
      <c r="J25" s="1531">
        <v>1.08</v>
      </c>
      <c r="K25" s="1531">
        <v>1.29</v>
      </c>
      <c r="L25" s="1531">
        <v>1.5</v>
      </c>
      <c r="M25" s="1531">
        <v>1.72</v>
      </c>
      <c r="N25" s="1531">
        <v>1.95</v>
      </c>
      <c r="O25" s="1531">
        <v>2.19</v>
      </c>
      <c r="P25" s="1531">
        <v>2.44</v>
      </c>
      <c r="Q25" s="1531">
        <v>2.7</v>
      </c>
      <c r="R25" s="1531">
        <v>2.97</v>
      </c>
      <c r="S25" s="1531">
        <v>3.26</v>
      </c>
      <c r="T25" s="1531">
        <v>3.56</v>
      </c>
      <c r="U25" s="1531">
        <v>3.88</v>
      </c>
      <c r="V25" s="1531">
        <v>4.21</v>
      </c>
      <c r="W25" s="1531">
        <v>4.5599999999999996</v>
      </c>
      <c r="X25" s="1531">
        <v>4.92</v>
      </c>
      <c r="Y25" s="1531">
        <v>5.31</v>
      </c>
      <c r="Z25" s="1531">
        <v>5.71</v>
      </c>
      <c r="AA25" s="1531">
        <v>6.14</v>
      </c>
      <c r="AB25" s="1532">
        <v>6.59</v>
      </c>
      <c r="AC25" s="1197"/>
      <c r="AD25" s="1216"/>
      <c r="AE25" s="1216"/>
      <c r="AF25" s="1216"/>
      <c r="AG25" s="1216"/>
      <c r="AH25" s="1216"/>
      <c r="AI25" s="1216"/>
      <c r="AJ25" s="1216"/>
      <c r="AK25" s="1216"/>
      <c r="AL25" s="1216"/>
      <c r="AM25" s="1216"/>
      <c r="AN25" s="1216"/>
      <c r="AO25" s="1216"/>
      <c r="AP25" s="1216"/>
      <c r="AQ25" s="1216"/>
      <c r="AR25" s="1216"/>
      <c r="AS25" s="1216"/>
      <c r="AT25" s="1216"/>
      <c r="AU25" s="1216"/>
      <c r="AV25" s="1216"/>
      <c r="AW25" s="1216"/>
      <c r="AX25" s="1216"/>
      <c r="AY25" s="1216"/>
      <c r="AZ25" s="1216"/>
      <c r="BA25" s="1216"/>
      <c r="BB25" s="1216"/>
      <c r="BC25" s="1216"/>
      <c r="BD25" s="1216"/>
      <c r="BE25" s="1216"/>
      <c r="BF25" s="1216"/>
      <c r="BG25" s="1216"/>
      <c r="BH25" s="1216"/>
      <c r="BI25" s="1216"/>
      <c r="BJ25" s="1216"/>
      <c r="BK25" s="1216"/>
      <c r="BL25" s="1216"/>
      <c r="BM25" s="1216"/>
      <c r="BN25" s="1216"/>
      <c r="BO25" s="1216"/>
      <c r="BP25" s="1216"/>
      <c r="BQ25" s="1216"/>
      <c r="BR25" s="1216"/>
      <c r="BS25" s="1216"/>
      <c r="BT25" s="1216"/>
      <c r="BU25" s="1216"/>
      <c r="BV25" s="1216"/>
      <c r="BW25" s="1216"/>
      <c r="BX25" s="1216"/>
      <c r="BY25" s="1216"/>
      <c r="BZ25" s="1216"/>
      <c r="CA25" s="1216"/>
      <c r="CB25" s="1216"/>
      <c r="CC25" s="1216"/>
      <c r="CD25" s="1216"/>
      <c r="CE25" s="1216"/>
      <c r="CF25" s="1216"/>
      <c r="CG25" s="1216"/>
      <c r="CH25" s="1216"/>
    </row>
    <row r="26" spans="1:86" ht="20.149999999999999" customHeight="1">
      <c r="A26" s="1563" t="s">
        <v>1424</v>
      </c>
      <c r="B26" s="1563" t="s">
        <v>13</v>
      </c>
      <c r="C26" s="1563" t="str">
        <f t="shared" si="0"/>
        <v>PBPDDM37</v>
      </c>
      <c r="D26" s="1193">
        <v>37</v>
      </c>
      <c r="E26" s="1524"/>
      <c r="F26" s="1531">
        <v>0.36</v>
      </c>
      <c r="G26" s="1531">
        <v>0.54</v>
      </c>
      <c r="H26" s="1531">
        <v>0.74</v>
      </c>
      <c r="I26" s="1531">
        <v>0.94</v>
      </c>
      <c r="J26" s="1531">
        <v>1.1399999999999999</v>
      </c>
      <c r="K26" s="1531">
        <v>1.36</v>
      </c>
      <c r="L26" s="1531">
        <v>1.58</v>
      </c>
      <c r="M26" s="1531">
        <v>1.82</v>
      </c>
      <c r="N26" s="1531">
        <v>2.06</v>
      </c>
      <c r="O26" s="1531">
        <v>2.3199999999999998</v>
      </c>
      <c r="P26" s="1531">
        <v>2.59</v>
      </c>
      <c r="Q26" s="1531">
        <v>2.87</v>
      </c>
      <c r="R26" s="1531">
        <v>3.16</v>
      </c>
      <c r="S26" s="1531">
        <v>3.47</v>
      </c>
      <c r="T26" s="1531">
        <v>3.79</v>
      </c>
      <c r="U26" s="1531">
        <v>4.13</v>
      </c>
      <c r="V26" s="1531">
        <v>4.49</v>
      </c>
      <c r="W26" s="1531">
        <v>4.8600000000000003</v>
      </c>
      <c r="X26" s="1531">
        <v>5.25</v>
      </c>
      <c r="Y26" s="1531">
        <v>5.67</v>
      </c>
      <c r="Z26" s="1531">
        <v>6.11</v>
      </c>
      <c r="AA26" s="1531">
        <v>6.57</v>
      </c>
      <c r="AB26" s="1532">
        <v>7.05</v>
      </c>
      <c r="AC26" s="1197"/>
      <c r="AD26" s="1216"/>
      <c r="AE26" s="1216"/>
      <c r="AF26" s="1216"/>
      <c r="AG26" s="1216"/>
      <c r="AH26" s="1216"/>
      <c r="AI26" s="1216"/>
      <c r="AJ26" s="1216"/>
      <c r="AK26" s="1216"/>
      <c r="AL26" s="1216"/>
      <c r="AM26" s="1216"/>
      <c r="AN26" s="1216"/>
      <c r="AO26" s="1216"/>
      <c r="AP26" s="1216"/>
      <c r="AQ26" s="1216"/>
      <c r="AR26" s="1216"/>
      <c r="AS26" s="1216"/>
      <c r="AT26" s="1216"/>
      <c r="AU26" s="1216"/>
      <c r="AV26" s="1216"/>
      <c r="AW26" s="1216"/>
      <c r="AX26" s="1216"/>
      <c r="AY26" s="1216"/>
      <c r="AZ26" s="1216"/>
      <c r="BA26" s="1216"/>
      <c r="BB26" s="1216"/>
      <c r="BC26" s="1216"/>
      <c r="BD26" s="1216"/>
      <c r="BE26" s="1216"/>
      <c r="BF26" s="1216"/>
      <c r="BG26" s="1216"/>
      <c r="BH26" s="1216"/>
      <c r="BI26" s="1216"/>
      <c r="BJ26" s="1216"/>
      <c r="BK26" s="1216"/>
      <c r="BL26" s="1216"/>
      <c r="BM26" s="1216"/>
      <c r="BN26" s="1216"/>
      <c r="BO26" s="1216"/>
      <c r="BP26" s="1216"/>
      <c r="BQ26" s="1216"/>
      <c r="BR26" s="1216"/>
      <c r="BS26" s="1216"/>
      <c r="BT26" s="1216"/>
      <c r="BU26" s="1216"/>
      <c r="BV26" s="1216"/>
      <c r="BW26" s="1216"/>
      <c r="BX26" s="1216"/>
      <c r="BY26" s="1216"/>
      <c r="BZ26" s="1216"/>
      <c r="CA26" s="1216"/>
      <c r="CB26" s="1216"/>
      <c r="CC26" s="1216"/>
      <c r="CD26" s="1216"/>
      <c r="CE26" s="1216"/>
      <c r="CF26" s="1216"/>
      <c r="CG26" s="1216"/>
      <c r="CH26" s="1216"/>
    </row>
    <row r="27" spans="1:86" ht="20.149999999999999" customHeight="1">
      <c r="A27" s="1563" t="s">
        <v>1424</v>
      </c>
      <c r="B27" s="1563" t="s">
        <v>13</v>
      </c>
      <c r="C27" s="1563" t="str">
        <f t="shared" si="0"/>
        <v>PBPDDM38</v>
      </c>
      <c r="D27" s="1193">
        <v>38</v>
      </c>
      <c r="E27" s="1524"/>
      <c r="F27" s="1531">
        <v>0.37</v>
      </c>
      <c r="G27" s="1531">
        <v>0.56999999999999995</v>
      </c>
      <c r="H27" s="1531">
        <v>0.78</v>
      </c>
      <c r="I27" s="1531">
        <v>0.99</v>
      </c>
      <c r="J27" s="1531">
        <v>1.21</v>
      </c>
      <c r="K27" s="1531">
        <v>1.44</v>
      </c>
      <c r="L27" s="1531">
        <v>1.68</v>
      </c>
      <c r="M27" s="1531">
        <v>1.93</v>
      </c>
      <c r="N27" s="1531">
        <v>2.19</v>
      </c>
      <c r="O27" s="1531">
        <v>2.46</v>
      </c>
      <c r="P27" s="1531">
        <v>2.75</v>
      </c>
      <c r="Q27" s="1531">
        <v>3.05</v>
      </c>
      <c r="R27" s="1531">
        <v>3.37</v>
      </c>
      <c r="S27" s="1531">
        <v>3.7</v>
      </c>
      <c r="T27" s="1531">
        <v>4.04</v>
      </c>
      <c r="U27" s="1531">
        <v>4.41</v>
      </c>
      <c r="V27" s="1531">
        <v>4.79</v>
      </c>
      <c r="W27" s="1531">
        <v>5.19</v>
      </c>
      <c r="X27" s="1531">
        <v>5.62</v>
      </c>
      <c r="Y27" s="1531">
        <v>6.06</v>
      </c>
      <c r="Z27" s="1531">
        <v>6.54</v>
      </c>
      <c r="AA27" s="1531">
        <v>7.03</v>
      </c>
      <c r="AB27" s="1532">
        <v>7.56</v>
      </c>
      <c r="AC27" s="1197"/>
      <c r="AD27" s="1216"/>
      <c r="AE27" s="1216"/>
      <c r="AF27" s="1216"/>
      <c r="AG27" s="1216"/>
      <c r="AH27" s="1216"/>
      <c r="AI27" s="1216"/>
      <c r="AJ27" s="1216"/>
      <c r="AK27" s="1216"/>
      <c r="AL27" s="1216"/>
      <c r="AM27" s="1216"/>
      <c r="AN27" s="1216"/>
      <c r="AO27" s="1216"/>
      <c r="AP27" s="1216"/>
      <c r="AQ27" s="1216"/>
      <c r="AR27" s="1216"/>
      <c r="AS27" s="1216"/>
      <c r="AT27" s="1216"/>
      <c r="AU27" s="1216"/>
      <c r="AV27" s="1216"/>
      <c r="AW27" s="1216"/>
      <c r="AX27" s="1216"/>
      <c r="AY27" s="1216"/>
      <c r="AZ27" s="1216"/>
      <c r="BA27" s="1216"/>
      <c r="BB27" s="1216"/>
      <c r="BC27" s="1216"/>
      <c r="BD27" s="1216"/>
      <c r="BE27" s="1216"/>
      <c r="BF27" s="1216"/>
      <c r="BG27" s="1216"/>
      <c r="BH27" s="1216"/>
      <c r="BI27" s="1216"/>
      <c r="BJ27" s="1216"/>
      <c r="BK27" s="1216"/>
      <c r="BL27" s="1216"/>
      <c r="BM27" s="1216"/>
      <c r="BN27" s="1216"/>
      <c r="BO27" s="1216"/>
      <c r="BP27" s="1216"/>
      <c r="BQ27" s="1216"/>
      <c r="BR27" s="1216"/>
      <c r="BS27" s="1216"/>
      <c r="BT27" s="1216"/>
      <c r="BU27" s="1216"/>
      <c r="BV27" s="1216"/>
      <c r="BW27" s="1216"/>
      <c r="BX27" s="1216"/>
      <c r="BY27" s="1216"/>
      <c r="BZ27" s="1216"/>
      <c r="CA27" s="1216"/>
      <c r="CB27" s="1216"/>
      <c r="CC27" s="1216"/>
      <c r="CD27" s="1216"/>
      <c r="CE27" s="1216"/>
      <c r="CF27" s="1216"/>
      <c r="CG27" s="1216"/>
      <c r="CH27" s="1216"/>
    </row>
    <row r="28" spans="1:86" ht="20.149999999999999" customHeight="1">
      <c r="A28" s="1563" t="s">
        <v>1424</v>
      </c>
      <c r="B28" s="1563" t="s">
        <v>13</v>
      </c>
      <c r="C28" s="1563" t="str">
        <f t="shared" si="0"/>
        <v>PBPDDM39</v>
      </c>
      <c r="D28" s="1193">
        <v>39</v>
      </c>
      <c r="E28" s="1524"/>
      <c r="F28" s="1531">
        <v>0.4</v>
      </c>
      <c r="G28" s="1531">
        <v>0.6</v>
      </c>
      <c r="H28" s="1531">
        <v>0.82</v>
      </c>
      <c r="I28" s="1531">
        <v>1.05</v>
      </c>
      <c r="J28" s="1531">
        <v>1.28</v>
      </c>
      <c r="K28" s="1531">
        <v>1.53</v>
      </c>
      <c r="L28" s="1531">
        <v>1.78</v>
      </c>
      <c r="M28" s="1531">
        <v>2.0499999999999998</v>
      </c>
      <c r="N28" s="1531">
        <v>2.33</v>
      </c>
      <c r="O28" s="1531">
        <v>2.62</v>
      </c>
      <c r="P28" s="1531">
        <v>2.93</v>
      </c>
      <c r="Q28" s="1531">
        <v>3.25</v>
      </c>
      <c r="R28" s="1531">
        <v>3.59</v>
      </c>
      <c r="S28" s="1531">
        <v>3.94</v>
      </c>
      <c r="T28" s="1531">
        <v>4.32</v>
      </c>
      <c r="U28" s="1531">
        <v>4.71</v>
      </c>
      <c r="V28" s="1531">
        <v>5.12</v>
      </c>
      <c r="W28" s="1531">
        <v>5.56</v>
      </c>
      <c r="X28" s="1531">
        <v>6.01</v>
      </c>
      <c r="Y28" s="1531">
        <v>6.5</v>
      </c>
      <c r="Z28" s="1531">
        <v>7.01</v>
      </c>
      <c r="AA28" s="1531">
        <v>7.55</v>
      </c>
      <c r="AB28" s="1532">
        <v>8.1199999999999992</v>
      </c>
      <c r="AC28" s="1197"/>
      <c r="AD28" s="1216"/>
      <c r="AE28" s="1216"/>
      <c r="AF28" s="1216"/>
      <c r="AG28" s="1216"/>
      <c r="AH28" s="1216"/>
      <c r="AI28" s="1216"/>
      <c r="AJ28" s="1216"/>
      <c r="AK28" s="1216"/>
      <c r="AL28" s="1216"/>
      <c r="AM28" s="1216"/>
      <c r="AN28" s="1216"/>
      <c r="AO28" s="1216"/>
      <c r="AP28" s="1216"/>
      <c r="AQ28" s="1216"/>
      <c r="AR28" s="1216"/>
      <c r="AS28" s="1216"/>
      <c r="AT28" s="1216"/>
      <c r="AU28" s="1216"/>
      <c r="AV28" s="1216"/>
      <c r="AW28" s="1216"/>
      <c r="AX28" s="1216"/>
      <c r="AY28" s="1216"/>
      <c r="AZ28" s="1216"/>
      <c r="BA28" s="1216"/>
      <c r="BB28" s="1216"/>
      <c r="BC28" s="1216"/>
      <c r="BD28" s="1216"/>
      <c r="BE28" s="1216"/>
      <c r="BF28" s="1216"/>
      <c r="BG28" s="1216"/>
      <c r="BH28" s="1216"/>
      <c r="BI28" s="1216"/>
      <c r="BJ28" s="1216"/>
      <c r="BK28" s="1216"/>
      <c r="BL28" s="1216"/>
      <c r="BM28" s="1216"/>
      <c r="BN28" s="1216"/>
      <c r="BO28" s="1216"/>
      <c r="BP28" s="1216"/>
      <c r="BQ28" s="1216"/>
      <c r="BR28" s="1216"/>
      <c r="BS28" s="1216"/>
      <c r="BT28" s="1216"/>
      <c r="BU28" s="1216"/>
      <c r="BV28" s="1216"/>
      <c r="BW28" s="1216"/>
      <c r="BX28" s="1216"/>
      <c r="BY28" s="1216"/>
      <c r="BZ28" s="1216"/>
      <c r="CA28" s="1216"/>
      <c r="CB28" s="1216"/>
      <c r="CC28" s="1216"/>
      <c r="CD28" s="1216"/>
      <c r="CE28" s="1216"/>
      <c r="CF28" s="1216"/>
      <c r="CG28" s="1216"/>
      <c r="CH28" s="1216"/>
    </row>
    <row r="29" spans="1:86" ht="20.149999999999999" customHeight="1">
      <c r="A29" s="1563" t="s">
        <v>1424</v>
      </c>
      <c r="B29" s="1563" t="s">
        <v>13</v>
      </c>
      <c r="C29" s="1563" t="str">
        <f t="shared" si="0"/>
        <v>PBPDDM40</v>
      </c>
      <c r="D29" s="1193">
        <v>40</v>
      </c>
      <c r="E29" s="1524"/>
      <c r="F29" s="1531">
        <v>0.42</v>
      </c>
      <c r="G29" s="1531">
        <v>0.64</v>
      </c>
      <c r="H29" s="1531">
        <v>0.87</v>
      </c>
      <c r="I29" s="1531">
        <v>1.1100000000000001</v>
      </c>
      <c r="J29" s="1531">
        <v>1.36</v>
      </c>
      <c r="K29" s="1531">
        <v>1.62</v>
      </c>
      <c r="L29" s="1531">
        <v>1.9</v>
      </c>
      <c r="M29" s="1531">
        <v>2.1800000000000002</v>
      </c>
      <c r="N29" s="1531">
        <v>2.48</v>
      </c>
      <c r="O29" s="1531">
        <v>2.8</v>
      </c>
      <c r="P29" s="1531">
        <v>3.13</v>
      </c>
      <c r="Q29" s="1531">
        <v>3.47</v>
      </c>
      <c r="R29" s="1531">
        <v>3.84</v>
      </c>
      <c r="S29" s="1531">
        <v>4.22</v>
      </c>
      <c r="T29" s="1531">
        <v>4.62</v>
      </c>
      <c r="U29" s="1531">
        <v>5.04</v>
      </c>
      <c r="V29" s="1531">
        <v>5.48</v>
      </c>
      <c r="W29" s="1531">
        <v>5.95</v>
      </c>
      <c r="X29" s="1531">
        <v>6.45</v>
      </c>
      <c r="Y29" s="1531">
        <v>6.97</v>
      </c>
      <c r="Z29" s="1531">
        <v>7.53</v>
      </c>
      <c r="AA29" s="1531">
        <v>8.1199999999999992</v>
      </c>
      <c r="AB29" s="1532">
        <v>8.74</v>
      </c>
      <c r="AC29" s="1197"/>
      <c r="AD29" s="1216"/>
      <c r="AE29" s="1216"/>
      <c r="AF29" s="1216"/>
      <c r="AG29" s="1216"/>
      <c r="AH29" s="1216"/>
      <c r="AI29" s="1216"/>
      <c r="AJ29" s="1216"/>
      <c r="AK29" s="1216"/>
      <c r="AL29" s="1216"/>
      <c r="AM29" s="1216"/>
      <c r="AN29" s="1216"/>
      <c r="AO29" s="1216"/>
      <c r="AP29" s="1216"/>
      <c r="AQ29" s="1216"/>
      <c r="AR29" s="1216"/>
      <c r="AS29" s="1216"/>
      <c r="AT29" s="1216"/>
      <c r="AU29" s="1216"/>
      <c r="AV29" s="1216"/>
      <c r="AW29" s="1216"/>
      <c r="AX29" s="1216"/>
      <c r="AY29" s="1216"/>
      <c r="AZ29" s="1216"/>
      <c r="BA29" s="1216"/>
      <c r="BB29" s="1216"/>
      <c r="BC29" s="1216"/>
      <c r="BD29" s="1216"/>
      <c r="BE29" s="1216"/>
      <c r="BF29" s="1216"/>
      <c r="BG29" s="1216"/>
      <c r="BH29" s="1216"/>
      <c r="BI29" s="1216"/>
      <c r="BJ29" s="1216"/>
      <c r="BK29" s="1216"/>
      <c r="BL29" s="1216"/>
      <c r="BM29" s="1216"/>
      <c r="BN29" s="1216"/>
      <c r="BO29" s="1216"/>
      <c r="BP29" s="1216"/>
      <c r="BQ29" s="1216"/>
      <c r="BR29" s="1216"/>
      <c r="BS29" s="1216"/>
      <c r="BT29" s="1216"/>
      <c r="BU29" s="1216"/>
      <c r="BV29" s="1216"/>
      <c r="BW29" s="1216"/>
      <c r="BX29" s="1216"/>
      <c r="BY29" s="1216"/>
      <c r="BZ29" s="1216"/>
      <c r="CA29" s="1216"/>
      <c r="CB29" s="1216"/>
      <c r="CC29" s="1216"/>
      <c r="CD29" s="1216"/>
      <c r="CE29" s="1216"/>
      <c r="CF29" s="1216"/>
      <c r="CG29" s="1216"/>
      <c r="CH29" s="1216"/>
    </row>
    <row r="30" spans="1:86" ht="20.149999999999999" customHeight="1">
      <c r="A30" s="1563" t="s">
        <v>1424</v>
      </c>
      <c r="B30" s="1563" t="s">
        <v>13</v>
      </c>
      <c r="C30" s="1563" t="str">
        <f t="shared" si="0"/>
        <v>PBPDDM41</v>
      </c>
      <c r="D30" s="1194">
        <v>41</v>
      </c>
      <c r="E30" s="1525"/>
      <c r="F30" s="1533">
        <v>0.44</v>
      </c>
      <c r="G30" s="1533">
        <v>0.68</v>
      </c>
      <c r="H30" s="1533">
        <v>0.93</v>
      </c>
      <c r="I30" s="1533">
        <v>1.18</v>
      </c>
      <c r="J30" s="1533">
        <v>1.45</v>
      </c>
      <c r="K30" s="1533">
        <v>1.73</v>
      </c>
      <c r="L30" s="1533">
        <v>2.02</v>
      </c>
      <c r="M30" s="1533">
        <v>2.33</v>
      </c>
      <c r="N30" s="1533">
        <v>2.65</v>
      </c>
      <c r="O30" s="1533">
        <v>2.99</v>
      </c>
      <c r="P30" s="1533">
        <v>3.34</v>
      </c>
      <c r="Q30" s="1533">
        <v>3.71</v>
      </c>
      <c r="R30" s="1533">
        <v>4.0999999999999996</v>
      </c>
      <c r="S30" s="1533">
        <v>4.5199999999999996</v>
      </c>
      <c r="T30" s="1533">
        <v>4.95</v>
      </c>
      <c r="U30" s="1533">
        <v>5.4</v>
      </c>
      <c r="V30" s="1533">
        <v>5.88</v>
      </c>
      <c r="W30" s="1533">
        <v>6.39</v>
      </c>
      <c r="X30" s="1533">
        <v>6.93</v>
      </c>
      <c r="Y30" s="1533">
        <v>7.5</v>
      </c>
      <c r="Z30" s="1533">
        <v>8.1</v>
      </c>
      <c r="AA30" s="1533">
        <v>8.74</v>
      </c>
      <c r="AB30" s="1534">
        <v>9.43</v>
      </c>
      <c r="AC30" s="1197"/>
      <c r="AD30" s="1216"/>
      <c r="AE30" s="1216"/>
      <c r="AF30" s="1216"/>
      <c r="AG30" s="1216"/>
      <c r="AH30" s="1216"/>
      <c r="AI30" s="1216"/>
      <c r="AJ30" s="1216"/>
      <c r="AK30" s="1216"/>
      <c r="AL30" s="1216"/>
      <c r="AM30" s="1216"/>
      <c r="AN30" s="1216"/>
      <c r="AO30" s="1216"/>
      <c r="AP30" s="1216"/>
      <c r="AQ30" s="1216"/>
      <c r="AR30" s="1216"/>
      <c r="AS30" s="1216"/>
      <c r="AT30" s="1216"/>
      <c r="AU30" s="1216"/>
      <c r="AV30" s="1216"/>
      <c r="AW30" s="1216"/>
      <c r="AX30" s="1216"/>
      <c r="AY30" s="1216"/>
      <c r="AZ30" s="1216"/>
      <c r="BA30" s="1216"/>
      <c r="BB30" s="1216"/>
      <c r="BC30" s="1216"/>
      <c r="BD30" s="1216"/>
      <c r="BE30" s="1216"/>
      <c r="BF30" s="1216"/>
      <c r="BG30" s="1216"/>
      <c r="BH30" s="1216"/>
      <c r="BI30" s="1216"/>
      <c r="BJ30" s="1216"/>
      <c r="BK30" s="1216"/>
      <c r="BL30" s="1216"/>
      <c r="BM30" s="1216"/>
      <c r="BN30" s="1216"/>
      <c r="BO30" s="1216"/>
      <c r="BP30" s="1216"/>
      <c r="BQ30" s="1216"/>
      <c r="BR30" s="1216"/>
      <c r="BS30" s="1216"/>
      <c r="BT30" s="1216"/>
      <c r="BU30" s="1216"/>
      <c r="BV30" s="1216"/>
      <c r="BW30" s="1216"/>
      <c r="BX30" s="1216"/>
      <c r="BY30" s="1216"/>
      <c r="BZ30" s="1216"/>
      <c r="CA30" s="1216"/>
      <c r="CB30" s="1216"/>
      <c r="CC30" s="1216"/>
      <c r="CD30" s="1216"/>
      <c r="CE30" s="1216"/>
      <c r="CF30" s="1216"/>
      <c r="CG30" s="1216"/>
      <c r="CH30" s="1216"/>
    </row>
    <row r="31" spans="1:86" ht="20.149999999999999" customHeight="1">
      <c r="A31" s="1563" t="s">
        <v>1424</v>
      </c>
      <c r="B31" s="1563" t="s">
        <v>13</v>
      </c>
      <c r="C31" s="1563" t="str">
        <f t="shared" si="0"/>
        <v>PBPDDM42</v>
      </c>
      <c r="D31" s="1193">
        <v>42</v>
      </c>
      <c r="E31" s="1524"/>
      <c r="F31" s="1531">
        <v>0.47</v>
      </c>
      <c r="G31" s="1531">
        <v>0.72</v>
      </c>
      <c r="H31" s="1531">
        <v>0.98</v>
      </c>
      <c r="I31" s="1531">
        <v>1.26</v>
      </c>
      <c r="J31" s="1531">
        <v>1.54</v>
      </c>
      <c r="K31" s="1531">
        <v>1.84</v>
      </c>
      <c r="L31" s="1531">
        <v>2.16</v>
      </c>
      <c r="M31" s="1531">
        <v>2.4900000000000002</v>
      </c>
      <c r="N31" s="1531">
        <v>2.83</v>
      </c>
      <c r="O31" s="1531">
        <v>3.2</v>
      </c>
      <c r="P31" s="1531">
        <v>3.58</v>
      </c>
      <c r="Q31" s="1531">
        <v>3.98</v>
      </c>
      <c r="R31" s="1531">
        <v>4.4000000000000004</v>
      </c>
      <c r="S31" s="1531">
        <v>4.84</v>
      </c>
      <c r="T31" s="1531">
        <v>5.31</v>
      </c>
      <c r="U31" s="1531">
        <v>5.8</v>
      </c>
      <c r="V31" s="1531">
        <v>6.32</v>
      </c>
      <c r="W31" s="1531">
        <v>6.87</v>
      </c>
      <c r="X31" s="1531">
        <v>7.45</v>
      </c>
      <c r="Y31" s="1531">
        <v>8.07</v>
      </c>
      <c r="Z31" s="1531">
        <v>8.73</v>
      </c>
      <c r="AA31" s="1531">
        <v>9.43</v>
      </c>
      <c r="AB31" s="1532">
        <v>10.18</v>
      </c>
      <c r="AC31" s="1197"/>
      <c r="AD31" s="1216"/>
      <c r="AE31" s="1216"/>
      <c r="AF31" s="1216"/>
      <c r="AG31" s="1216"/>
      <c r="AH31" s="1216"/>
      <c r="AI31" s="1216"/>
      <c r="AJ31" s="1216"/>
      <c r="AK31" s="1216"/>
      <c r="AL31" s="1216"/>
      <c r="AM31" s="1216"/>
      <c r="AN31" s="1216"/>
      <c r="AO31" s="1216"/>
      <c r="AP31" s="1216"/>
      <c r="AQ31" s="1216"/>
      <c r="AR31" s="1216"/>
      <c r="AS31" s="1216"/>
      <c r="AT31" s="1216"/>
      <c r="AU31" s="1216"/>
      <c r="AV31" s="1216"/>
      <c r="AW31" s="1216"/>
      <c r="AX31" s="1216"/>
      <c r="AY31" s="1216"/>
      <c r="AZ31" s="1216"/>
      <c r="BA31" s="1216"/>
      <c r="BB31" s="1216"/>
      <c r="BC31" s="1216"/>
      <c r="BD31" s="1216"/>
      <c r="BE31" s="1216"/>
      <c r="BF31" s="1216"/>
      <c r="BG31" s="1216"/>
      <c r="BH31" s="1216"/>
      <c r="BI31" s="1216"/>
      <c r="BJ31" s="1216"/>
      <c r="BK31" s="1216"/>
      <c r="BL31" s="1216"/>
      <c r="BM31" s="1216"/>
      <c r="BN31" s="1216"/>
      <c r="BO31" s="1216"/>
      <c r="BP31" s="1216"/>
      <c r="BQ31" s="1216"/>
      <c r="BR31" s="1216"/>
      <c r="BS31" s="1216"/>
      <c r="BT31" s="1216"/>
      <c r="BU31" s="1216"/>
      <c r="BV31" s="1216"/>
      <c r="BW31" s="1216"/>
      <c r="BX31" s="1216"/>
      <c r="BY31" s="1216"/>
      <c r="BZ31" s="1216"/>
      <c r="CA31" s="1216"/>
      <c r="CB31" s="1216"/>
      <c r="CC31" s="1216"/>
      <c r="CD31" s="1216"/>
      <c r="CE31" s="1216"/>
      <c r="CF31" s="1216"/>
      <c r="CG31" s="1216"/>
      <c r="CH31" s="1216"/>
    </row>
    <row r="32" spans="1:86" ht="20.149999999999999" customHeight="1">
      <c r="A32" s="1563" t="s">
        <v>1424</v>
      </c>
      <c r="B32" s="1563" t="s">
        <v>13</v>
      </c>
      <c r="C32" s="1563" t="str">
        <f t="shared" si="0"/>
        <v>PBPDDM43</v>
      </c>
      <c r="D32" s="1193">
        <v>43</v>
      </c>
      <c r="E32" s="1524"/>
      <c r="F32" s="1531">
        <v>0.5</v>
      </c>
      <c r="G32" s="1531">
        <v>0.77</v>
      </c>
      <c r="H32" s="1531">
        <v>1.05</v>
      </c>
      <c r="I32" s="1531">
        <v>1.34</v>
      </c>
      <c r="J32" s="1531">
        <v>1.65</v>
      </c>
      <c r="K32" s="1531">
        <v>1.97</v>
      </c>
      <c r="L32" s="1531">
        <v>2.31</v>
      </c>
      <c r="M32" s="1531">
        <v>2.67</v>
      </c>
      <c r="N32" s="1531">
        <v>3.04</v>
      </c>
      <c r="O32" s="1531">
        <v>3.43</v>
      </c>
      <c r="P32" s="1531">
        <v>3.84</v>
      </c>
      <c r="Q32" s="1531">
        <v>4.2699999999999996</v>
      </c>
      <c r="R32" s="1531">
        <v>4.72</v>
      </c>
      <c r="S32" s="1531">
        <v>5.2</v>
      </c>
      <c r="T32" s="1531">
        <v>5.7</v>
      </c>
      <c r="U32" s="1531">
        <v>6.24</v>
      </c>
      <c r="V32" s="1531">
        <v>6.8</v>
      </c>
      <c r="W32" s="1531">
        <v>7.4</v>
      </c>
      <c r="X32" s="1531">
        <v>8.0299999999999994</v>
      </c>
      <c r="Y32" s="1531">
        <v>8.7100000000000009</v>
      </c>
      <c r="Z32" s="1531">
        <v>9.43</v>
      </c>
      <c r="AA32" s="1531">
        <v>10.199999999999999</v>
      </c>
      <c r="AB32" s="1532">
        <v>11.02</v>
      </c>
      <c r="AC32" s="1197"/>
      <c r="AD32" s="1216"/>
      <c r="AE32" s="1216"/>
      <c r="AF32" s="1216"/>
      <c r="AG32" s="1216"/>
      <c r="AH32" s="1216"/>
      <c r="AI32" s="1216"/>
      <c r="AJ32" s="1216"/>
      <c r="AK32" s="1216"/>
      <c r="AL32" s="1216"/>
      <c r="AM32" s="1216"/>
      <c r="AN32" s="1216"/>
      <c r="AO32" s="1216"/>
      <c r="AP32" s="1216"/>
      <c r="AQ32" s="1216"/>
      <c r="AR32" s="1216"/>
      <c r="AS32" s="1216"/>
      <c r="AT32" s="1216"/>
      <c r="AU32" s="1216"/>
      <c r="AV32" s="1216"/>
      <c r="AW32" s="1216"/>
      <c r="AX32" s="1216"/>
      <c r="AY32" s="1216"/>
      <c r="AZ32" s="1216"/>
      <c r="BA32" s="1216"/>
      <c r="BB32" s="1216"/>
      <c r="BC32" s="1216"/>
      <c r="BD32" s="1216"/>
      <c r="BE32" s="1216"/>
      <c r="BF32" s="1216"/>
      <c r="BG32" s="1216"/>
      <c r="BH32" s="1216"/>
      <c r="BI32" s="1216"/>
      <c r="BJ32" s="1216"/>
      <c r="BK32" s="1216"/>
      <c r="BL32" s="1216"/>
      <c r="BM32" s="1216"/>
      <c r="BN32" s="1216"/>
      <c r="BO32" s="1216"/>
      <c r="BP32" s="1216"/>
      <c r="BQ32" s="1216"/>
      <c r="BR32" s="1216"/>
      <c r="BS32" s="1216"/>
      <c r="BT32" s="1216"/>
      <c r="BU32" s="1216"/>
      <c r="BV32" s="1216"/>
      <c r="BW32" s="1216"/>
      <c r="BX32" s="1216"/>
      <c r="BY32" s="1216"/>
      <c r="BZ32" s="1216"/>
      <c r="CA32" s="1216"/>
      <c r="CB32" s="1216"/>
      <c r="CC32" s="1216"/>
      <c r="CD32" s="1216"/>
      <c r="CE32" s="1216"/>
      <c r="CF32" s="1216"/>
      <c r="CG32" s="1216"/>
      <c r="CH32" s="1216"/>
    </row>
    <row r="33" spans="1:86" ht="20.149999999999999" customHeight="1">
      <c r="A33" s="1563" t="s">
        <v>1424</v>
      </c>
      <c r="B33" s="1563" t="s">
        <v>13</v>
      </c>
      <c r="C33" s="1563" t="str">
        <f t="shared" si="0"/>
        <v>PBPDDM44</v>
      </c>
      <c r="D33" s="1193">
        <v>44</v>
      </c>
      <c r="E33" s="1524"/>
      <c r="F33" s="1531">
        <v>0.54</v>
      </c>
      <c r="G33" s="1531">
        <v>0.82</v>
      </c>
      <c r="H33" s="1531">
        <v>1.1200000000000001</v>
      </c>
      <c r="I33" s="1531">
        <v>1.44</v>
      </c>
      <c r="J33" s="1531">
        <v>1.77</v>
      </c>
      <c r="K33" s="1531">
        <v>2.12</v>
      </c>
      <c r="L33" s="1531">
        <v>2.48</v>
      </c>
      <c r="M33" s="1531">
        <v>2.86</v>
      </c>
      <c r="N33" s="1531">
        <v>3.26</v>
      </c>
      <c r="O33" s="1531">
        <v>3.68</v>
      </c>
      <c r="P33" s="1531">
        <v>4.12</v>
      </c>
      <c r="Q33" s="1531">
        <v>4.59</v>
      </c>
      <c r="R33" s="1531">
        <v>5.08</v>
      </c>
      <c r="S33" s="1531">
        <v>5.59</v>
      </c>
      <c r="T33" s="1531">
        <v>6.14</v>
      </c>
      <c r="U33" s="1531">
        <v>6.72</v>
      </c>
      <c r="V33" s="1531">
        <v>7.33</v>
      </c>
      <c r="W33" s="1531">
        <v>7.98</v>
      </c>
      <c r="X33" s="1531">
        <v>8.67</v>
      </c>
      <c r="Y33" s="1531">
        <v>9.41</v>
      </c>
      <c r="Z33" s="1531">
        <v>10.199999999999999</v>
      </c>
      <c r="AA33" s="1531">
        <v>11.05</v>
      </c>
      <c r="AB33" s="1532">
        <v>11.95</v>
      </c>
      <c r="AC33" s="1197"/>
      <c r="AD33" s="1216"/>
      <c r="AE33" s="1216"/>
      <c r="AF33" s="1216"/>
      <c r="AG33" s="1216"/>
      <c r="AH33" s="1216"/>
      <c r="AI33" s="1216"/>
      <c r="AJ33" s="1216"/>
      <c r="AK33" s="1216"/>
      <c r="AL33" s="1216"/>
      <c r="AM33" s="1216"/>
      <c r="AN33" s="1216"/>
      <c r="AO33" s="1216"/>
      <c r="AP33" s="1216"/>
      <c r="AQ33" s="1216"/>
      <c r="AR33" s="1216"/>
      <c r="AS33" s="1216"/>
      <c r="AT33" s="1216"/>
      <c r="AU33" s="1216"/>
      <c r="AV33" s="1216"/>
      <c r="AW33" s="1216"/>
      <c r="AX33" s="1216"/>
      <c r="AY33" s="1216"/>
      <c r="AZ33" s="1216"/>
      <c r="BA33" s="1216"/>
      <c r="BB33" s="1216"/>
      <c r="BC33" s="1216"/>
      <c r="BD33" s="1216"/>
      <c r="BE33" s="1216"/>
      <c r="BF33" s="1216"/>
      <c r="BG33" s="1216"/>
      <c r="BH33" s="1216"/>
      <c r="BI33" s="1216"/>
      <c r="BJ33" s="1216"/>
      <c r="BK33" s="1216"/>
      <c r="BL33" s="1216"/>
      <c r="BM33" s="1216"/>
      <c r="BN33" s="1216"/>
      <c r="BO33" s="1216"/>
      <c r="BP33" s="1216"/>
      <c r="BQ33" s="1216"/>
      <c r="BR33" s="1216"/>
      <c r="BS33" s="1216"/>
      <c r="BT33" s="1216"/>
      <c r="BU33" s="1216"/>
      <c r="BV33" s="1216"/>
      <c r="BW33" s="1216"/>
      <c r="BX33" s="1216"/>
      <c r="BY33" s="1216"/>
      <c r="BZ33" s="1216"/>
      <c r="CA33" s="1216"/>
      <c r="CB33" s="1216"/>
      <c r="CC33" s="1216"/>
      <c r="CD33" s="1216"/>
      <c r="CE33" s="1216"/>
      <c r="CF33" s="1216"/>
      <c r="CG33" s="1216"/>
      <c r="CH33" s="1216"/>
    </row>
    <row r="34" spans="1:86" ht="20.149999999999999" customHeight="1">
      <c r="A34" s="1563" t="s">
        <v>1424</v>
      </c>
      <c r="B34" s="1563" t="s">
        <v>13</v>
      </c>
      <c r="C34" s="1563" t="str">
        <f t="shared" si="0"/>
        <v>PBPDDM45</v>
      </c>
      <c r="D34" s="1195">
        <v>45</v>
      </c>
      <c r="E34" s="1526"/>
      <c r="F34" s="1535">
        <v>0.57999999999999996</v>
      </c>
      <c r="G34" s="1535">
        <v>0.88</v>
      </c>
      <c r="H34" s="1535">
        <v>1.21</v>
      </c>
      <c r="I34" s="1535">
        <v>1.54</v>
      </c>
      <c r="J34" s="1535">
        <v>1.9</v>
      </c>
      <c r="K34" s="1535">
        <v>2.27</v>
      </c>
      <c r="L34" s="1535">
        <v>2.66</v>
      </c>
      <c r="M34" s="1535">
        <v>3.07</v>
      </c>
      <c r="N34" s="1535">
        <v>3.5</v>
      </c>
      <c r="O34" s="1535">
        <v>3.96</v>
      </c>
      <c r="P34" s="1535">
        <v>4.43</v>
      </c>
      <c r="Q34" s="1535">
        <v>4.93</v>
      </c>
      <c r="R34" s="1535">
        <v>5.46</v>
      </c>
      <c r="S34" s="1535">
        <v>6.02</v>
      </c>
      <c r="T34" s="1535">
        <v>6.62</v>
      </c>
      <c r="U34" s="1535">
        <v>7.25</v>
      </c>
      <c r="V34" s="1535">
        <v>7.91</v>
      </c>
      <c r="W34" s="1535">
        <v>8.6199999999999992</v>
      </c>
      <c r="X34" s="1535">
        <v>9.3800000000000008</v>
      </c>
      <c r="Y34" s="1535">
        <v>10.19</v>
      </c>
      <c r="Z34" s="1535">
        <v>11.06</v>
      </c>
      <c r="AA34" s="1535">
        <v>11.99</v>
      </c>
      <c r="AB34" s="1536">
        <v>12.98</v>
      </c>
      <c r="AC34" s="1197"/>
      <c r="AD34" s="1216"/>
      <c r="AE34" s="1216"/>
      <c r="AF34" s="1216"/>
      <c r="AG34" s="1216"/>
      <c r="AH34" s="1216"/>
      <c r="AI34" s="1216"/>
      <c r="AJ34" s="1216"/>
      <c r="AK34" s="1216"/>
      <c r="AL34" s="1216"/>
      <c r="AM34" s="1216"/>
      <c r="AN34" s="1216"/>
      <c r="AO34" s="1216"/>
      <c r="AP34" s="1216"/>
      <c r="AQ34" s="1216"/>
      <c r="AR34" s="1216"/>
      <c r="AS34" s="1216"/>
      <c r="AT34" s="1216"/>
      <c r="AU34" s="1216"/>
      <c r="AV34" s="1216"/>
      <c r="AW34" s="1216"/>
      <c r="AX34" s="1216"/>
      <c r="AY34" s="1216"/>
      <c r="AZ34" s="1216"/>
      <c r="BA34" s="1216"/>
      <c r="BB34" s="1216"/>
      <c r="BC34" s="1216"/>
      <c r="BD34" s="1216"/>
      <c r="BE34" s="1216"/>
      <c r="BF34" s="1216"/>
      <c r="BG34" s="1216"/>
      <c r="BH34" s="1216"/>
      <c r="BI34" s="1216"/>
      <c r="BJ34" s="1216"/>
      <c r="BK34" s="1216"/>
      <c r="BL34" s="1216"/>
      <c r="BM34" s="1216"/>
      <c r="BN34" s="1216"/>
      <c r="BO34" s="1216"/>
      <c r="BP34" s="1216"/>
      <c r="BQ34" s="1216"/>
      <c r="BR34" s="1216"/>
      <c r="BS34" s="1216"/>
      <c r="BT34" s="1216"/>
      <c r="BU34" s="1216"/>
      <c r="BV34" s="1216"/>
      <c r="BW34" s="1216"/>
      <c r="BX34" s="1216"/>
      <c r="BY34" s="1216"/>
      <c r="BZ34" s="1216"/>
      <c r="CA34" s="1216"/>
      <c r="CB34" s="1216"/>
      <c r="CC34" s="1216"/>
      <c r="CD34" s="1216"/>
      <c r="CE34" s="1216"/>
      <c r="CF34" s="1216"/>
      <c r="CG34" s="1216"/>
      <c r="CH34" s="1216"/>
    </row>
    <row r="35" spans="1:86" ht="20.149999999999999" customHeight="1">
      <c r="A35" s="1563" t="s">
        <v>1424</v>
      </c>
      <c r="B35" s="1563" t="s">
        <v>13</v>
      </c>
      <c r="C35" s="1563" t="str">
        <f t="shared" si="0"/>
        <v>PBPDDM46</v>
      </c>
      <c r="D35" s="1193">
        <v>46</v>
      </c>
      <c r="E35" s="1524"/>
      <c r="F35" s="1531">
        <v>0.62</v>
      </c>
      <c r="G35" s="1531">
        <v>0.95</v>
      </c>
      <c r="H35" s="1531">
        <v>1.29</v>
      </c>
      <c r="I35" s="1531">
        <v>1.66</v>
      </c>
      <c r="J35" s="1531">
        <v>2.04</v>
      </c>
      <c r="K35" s="1531">
        <v>2.44</v>
      </c>
      <c r="L35" s="1531">
        <v>2.86</v>
      </c>
      <c r="M35" s="1531">
        <v>3.3</v>
      </c>
      <c r="N35" s="1531">
        <v>3.77</v>
      </c>
      <c r="O35" s="1531">
        <v>4.26</v>
      </c>
      <c r="P35" s="1531">
        <v>4.7699999999999996</v>
      </c>
      <c r="Q35" s="1531">
        <v>5.31</v>
      </c>
      <c r="R35" s="1531">
        <v>5.89</v>
      </c>
      <c r="S35" s="1531">
        <v>6.5</v>
      </c>
      <c r="T35" s="1531">
        <v>7.14</v>
      </c>
      <c r="U35" s="1531">
        <v>7.83</v>
      </c>
      <c r="V35" s="1531">
        <v>8.56</v>
      </c>
      <c r="W35" s="1531">
        <v>9.34</v>
      </c>
      <c r="X35" s="1531">
        <v>10.17</v>
      </c>
      <c r="Y35" s="1531">
        <v>11.06</v>
      </c>
      <c r="Z35" s="1531">
        <v>12.01</v>
      </c>
      <c r="AA35" s="1531">
        <v>13.03</v>
      </c>
      <c r="AB35" s="1532">
        <v>14.13</v>
      </c>
      <c r="AC35" s="1197"/>
      <c r="AD35" s="1216"/>
      <c r="AE35" s="1216"/>
      <c r="AF35" s="1216"/>
      <c r="AG35" s="1216"/>
      <c r="AH35" s="1216"/>
      <c r="AI35" s="1216"/>
      <c r="AJ35" s="1216"/>
      <c r="AK35" s="1216"/>
      <c r="AL35" s="1216"/>
      <c r="AM35" s="1216"/>
      <c r="AN35" s="1216"/>
      <c r="AO35" s="1216"/>
      <c r="AP35" s="1216"/>
      <c r="AQ35" s="1216"/>
      <c r="AR35" s="1216"/>
      <c r="AS35" s="1216"/>
      <c r="AT35" s="1216"/>
      <c r="AU35" s="1216"/>
      <c r="AV35" s="1216"/>
      <c r="AW35" s="1216"/>
      <c r="AX35" s="1216"/>
      <c r="AY35" s="1216"/>
      <c r="AZ35" s="1216"/>
      <c r="BA35" s="1216"/>
      <c r="BB35" s="1216"/>
      <c r="BC35" s="1216"/>
      <c r="BD35" s="1216"/>
      <c r="BE35" s="1216"/>
      <c r="BF35" s="1216"/>
      <c r="BG35" s="1216"/>
      <c r="BH35" s="1216"/>
      <c r="BI35" s="1216"/>
      <c r="BJ35" s="1216"/>
      <c r="BK35" s="1216"/>
      <c r="BL35" s="1216"/>
      <c r="BM35" s="1216"/>
      <c r="BN35" s="1216"/>
      <c r="BO35" s="1216"/>
      <c r="BP35" s="1216"/>
      <c r="BQ35" s="1216"/>
      <c r="BR35" s="1216"/>
      <c r="BS35" s="1216"/>
      <c r="BT35" s="1216"/>
      <c r="BU35" s="1216"/>
      <c r="BV35" s="1216"/>
      <c r="BW35" s="1216"/>
      <c r="BX35" s="1216"/>
      <c r="BY35" s="1216"/>
      <c r="BZ35" s="1216"/>
      <c r="CA35" s="1216"/>
      <c r="CB35" s="1216"/>
      <c r="CC35" s="1216"/>
      <c r="CD35" s="1216"/>
      <c r="CE35" s="1216"/>
      <c r="CF35" s="1216"/>
      <c r="CG35" s="1216"/>
      <c r="CH35" s="1216"/>
    </row>
    <row r="36" spans="1:86" ht="20.149999999999999" customHeight="1">
      <c r="A36" s="1563" t="s">
        <v>1424</v>
      </c>
      <c r="B36" s="1563" t="s">
        <v>13</v>
      </c>
      <c r="C36" s="1563" t="str">
        <f t="shared" si="0"/>
        <v>PBPDDM47</v>
      </c>
      <c r="D36" s="1193">
        <v>47</v>
      </c>
      <c r="E36" s="1524"/>
      <c r="F36" s="1531">
        <v>0.66</v>
      </c>
      <c r="G36" s="1531">
        <v>1.02</v>
      </c>
      <c r="H36" s="1531">
        <v>1.39</v>
      </c>
      <c r="I36" s="1531">
        <v>1.78</v>
      </c>
      <c r="J36" s="1531">
        <v>2.19</v>
      </c>
      <c r="K36" s="1531">
        <v>2.62</v>
      </c>
      <c r="L36" s="1531">
        <v>3.08</v>
      </c>
      <c r="M36" s="1531">
        <v>3.55</v>
      </c>
      <c r="N36" s="1531">
        <v>4.05</v>
      </c>
      <c r="O36" s="1531">
        <v>4.58</v>
      </c>
      <c r="P36" s="1531">
        <v>5.14</v>
      </c>
      <c r="Q36" s="1531">
        <v>5.73</v>
      </c>
      <c r="R36" s="1531">
        <v>6.35</v>
      </c>
      <c r="S36" s="1531">
        <v>7.01</v>
      </c>
      <c r="T36" s="1531">
        <v>7.72</v>
      </c>
      <c r="U36" s="1531">
        <v>8.4700000000000006</v>
      </c>
      <c r="V36" s="1531">
        <v>9.27</v>
      </c>
      <c r="W36" s="1531">
        <v>10.119999999999999</v>
      </c>
      <c r="X36" s="1531">
        <v>11.04</v>
      </c>
      <c r="Y36" s="1531">
        <v>12.02</v>
      </c>
      <c r="Z36" s="1531">
        <v>13.07</v>
      </c>
      <c r="AA36" s="1531">
        <v>14.2</v>
      </c>
      <c r="AB36" s="1532">
        <v>15.41</v>
      </c>
      <c r="AC36" s="1197"/>
      <c r="AD36" s="1216"/>
      <c r="AE36" s="1216"/>
      <c r="AF36" s="1216"/>
      <c r="AG36" s="1216"/>
      <c r="AH36" s="1216"/>
      <c r="AI36" s="1216"/>
      <c r="AJ36" s="1216"/>
      <c r="AK36" s="1216"/>
      <c r="AL36" s="1216"/>
      <c r="AM36" s="1216"/>
      <c r="AN36" s="1216"/>
      <c r="AO36" s="1216"/>
      <c r="AP36" s="1216"/>
      <c r="AQ36" s="1216"/>
      <c r="AR36" s="1216"/>
      <c r="AS36" s="1216"/>
      <c r="AT36" s="1216"/>
      <c r="AU36" s="1216"/>
      <c r="AV36" s="1216"/>
      <c r="AW36" s="1216"/>
      <c r="AX36" s="1216"/>
      <c r="AY36" s="1216"/>
      <c r="AZ36" s="1216"/>
      <c r="BA36" s="1216"/>
      <c r="BB36" s="1216"/>
      <c r="BC36" s="1216"/>
      <c r="BD36" s="1216"/>
      <c r="BE36" s="1216"/>
      <c r="BF36" s="1216"/>
      <c r="BG36" s="1216"/>
      <c r="BH36" s="1216"/>
      <c r="BI36" s="1216"/>
      <c r="BJ36" s="1216"/>
      <c r="BK36" s="1216"/>
      <c r="BL36" s="1216"/>
      <c r="BM36" s="1216"/>
      <c r="BN36" s="1216"/>
      <c r="BO36" s="1216"/>
      <c r="BP36" s="1216"/>
      <c r="BQ36" s="1216"/>
      <c r="BR36" s="1216"/>
      <c r="BS36" s="1216"/>
      <c r="BT36" s="1216"/>
      <c r="BU36" s="1216"/>
      <c r="BV36" s="1216"/>
      <c r="BW36" s="1216"/>
      <c r="BX36" s="1216"/>
      <c r="BY36" s="1216"/>
      <c r="BZ36" s="1216"/>
      <c r="CA36" s="1216"/>
      <c r="CB36" s="1216"/>
      <c r="CC36" s="1216"/>
      <c r="CD36" s="1216"/>
      <c r="CE36" s="1216"/>
      <c r="CF36" s="1216"/>
      <c r="CG36" s="1216"/>
      <c r="CH36" s="1216"/>
    </row>
    <row r="37" spans="1:86" ht="20.149999999999999" customHeight="1">
      <c r="A37" s="1563" t="s">
        <v>1424</v>
      </c>
      <c r="B37" s="1563" t="s">
        <v>13</v>
      </c>
      <c r="C37" s="1563" t="str">
        <f t="shared" si="0"/>
        <v>PBPDDM48</v>
      </c>
      <c r="D37" s="1193">
        <v>48</v>
      </c>
      <c r="E37" s="1524"/>
      <c r="F37" s="1531">
        <v>0.71</v>
      </c>
      <c r="G37" s="1531">
        <v>1.0900000000000001</v>
      </c>
      <c r="H37" s="1531">
        <v>1.5</v>
      </c>
      <c r="I37" s="1531">
        <v>1.92</v>
      </c>
      <c r="J37" s="1531">
        <v>2.36</v>
      </c>
      <c r="K37" s="1531">
        <v>2.82</v>
      </c>
      <c r="L37" s="1531">
        <v>3.31</v>
      </c>
      <c r="M37" s="1531">
        <v>3.83</v>
      </c>
      <c r="N37" s="1531">
        <v>4.37</v>
      </c>
      <c r="O37" s="1531">
        <v>4.9400000000000004</v>
      </c>
      <c r="P37" s="1531">
        <v>5.54</v>
      </c>
      <c r="Q37" s="1531">
        <v>6.18</v>
      </c>
      <c r="R37" s="1531">
        <v>6.86</v>
      </c>
      <c r="S37" s="1531">
        <v>7.59</v>
      </c>
      <c r="T37" s="1531">
        <v>8.36</v>
      </c>
      <c r="U37" s="1531">
        <v>9.18</v>
      </c>
      <c r="V37" s="1531">
        <v>10.06</v>
      </c>
      <c r="W37" s="1531">
        <v>11</v>
      </c>
      <c r="X37" s="1531">
        <v>12</v>
      </c>
      <c r="Y37" s="1531">
        <v>13.09</v>
      </c>
      <c r="Z37" s="1531">
        <v>14.25</v>
      </c>
      <c r="AA37" s="1531">
        <v>15.49</v>
      </c>
      <c r="AB37" s="1532">
        <v>16.829999999999998</v>
      </c>
      <c r="AC37" s="1197"/>
      <c r="AD37" s="1216"/>
      <c r="AE37" s="1216"/>
      <c r="AF37" s="1216"/>
      <c r="AG37" s="1216"/>
      <c r="AH37" s="1216"/>
      <c r="AI37" s="1216"/>
      <c r="AJ37" s="1216"/>
      <c r="AK37" s="1216"/>
      <c r="AL37" s="1216"/>
      <c r="AM37" s="1216"/>
      <c r="AN37" s="1216"/>
      <c r="AO37" s="1216"/>
      <c r="AP37" s="1216"/>
      <c r="AQ37" s="1216"/>
      <c r="AR37" s="1216"/>
      <c r="AS37" s="1216"/>
      <c r="AT37" s="1216"/>
      <c r="AU37" s="1216"/>
      <c r="AV37" s="1216"/>
      <c r="AW37" s="1216"/>
      <c r="AX37" s="1216"/>
      <c r="AY37" s="1216"/>
      <c r="AZ37" s="1216"/>
      <c r="BA37" s="1216"/>
      <c r="BB37" s="1216"/>
      <c r="BC37" s="1216"/>
      <c r="BD37" s="1216"/>
      <c r="BE37" s="1216"/>
      <c r="BF37" s="1216"/>
      <c r="BG37" s="1216"/>
      <c r="BH37" s="1216"/>
      <c r="BI37" s="1216"/>
      <c r="BJ37" s="1216"/>
      <c r="BK37" s="1216"/>
      <c r="BL37" s="1216"/>
      <c r="BM37" s="1216"/>
      <c r="BN37" s="1216"/>
      <c r="BO37" s="1216"/>
      <c r="BP37" s="1216"/>
      <c r="BQ37" s="1216"/>
      <c r="BR37" s="1216"/>
      <c r="BS37" s="1216"/>
      <c r="BT37" s="1216"/>
      <c r="BU37" s="1216"/>
      <c r="BV37" s="1216"/>
      <c r="BW37" s="1216"/>
      <c r="BX37" s="1216"/>
      <c r="BY37" s="1216"/>
      <c r="BZ37" s="1216"/>
      <c r="CA37" s="1216"/>
      <c r="CB37" s="1216"/>
      <c r="CC37" s="1216"/>
      <c r="CD37" s="1216"/>
      <c r="CE37" s="1216"/>
      <c r="CF37" s="1216"/>
      <c r="CG37" s="1216"/>
      <c r="CH37" s="1216"/>
    </row>
    <row r="38" spans="1:86" ht="20.149999999999999" customHeight="1">
      <c r="A38" s="1563" t="s">
        <v>1424</v>
      </c>
      <c r="B38" s="1563" t="s">
        <v>13</v>
      </c>
      <c r="C38" s="1563" t="str">
        <f t="shared" si="0"/>
        <v>PBPDDM49</v>
      </c>
      <c r="D38" s="1193">
        <v>49</v>
      </c>
      <c r="E38" s="1524"/>
      <c r="F38" s="1531">
        <v>0.77</v>
      </c>
      <c r="G38" s="1531">
        <v>1.18</v>
      </c>
      <c r="H38" s="1531">
        <v>1.61</v>
      </c>
      <c r="I38" s="1531">
        <v>2.06</v>
      </c>
      <c r="J38" s="1531">
        <v>2.54</v>
      </c>
      <c r="K38" s="1531">
        <v>3.04</v>
      </c>
      <c r="L38" s="1531">
        <v>3.57</v>
      </c>
      <c r="M38" s="1531">
        <v>4.12</v>
      </c>
      <c r="N38" s="1531">
        <v>4.71</v>
      </c>
      <c r="O38" s="1531">
        <v>5.33</v>
      </c>
      <c r="P38" s="1531">
        <v>5.99</v>
      </c>
      <c r="Q38" s="1531">
        <v>6.68</v>
      </c>
      <c r="R38" s="1531">
        <v>7.43</v>
      </c>
      <c r="S38" s="1531">
        <v>8.2200000000000006</v>
      </c>
      <c r="T38" s="1531">
        <v>9.06</v>
      </c>
      <c r="U38" s="1531">
        <v>9.9700000000000006</v>
      </c>
      <c r="V38" s="1531">
        <v>10.93</v>
      </c>
      <c r="W38" s="1531">
        <v>11.97</v>
      </c>
      <c r="X38" s="1531">
        <v>13.08</v>
      </c>
      <c r="Y38" s="1531">
        <v>14.28</v>
      </c>
      <c r="Z38" s="1531">
        <v>15.56</v>
      </c>
      <c r="AA38" s="1531">
        <v>16.940000000000001</v>
      </c>
      <c r="AB38" s="1532">
        <v>18.43</v>
      </c>
      <c r="AC38" s="1197"/>
      <c r="AD38" s="1216"/>
      <c r="AE38" s="1216"/>
      <c r="AF38" s="1216"/>
      <c r="AG38" s="1216"/>
      <c r="AH38" s="1216"/>
      <c r="AI38" s="1216"/>
      <c r="AJ38" s="1216"/>
      <c r="AK38" s="1216"/>
      <c r="AL38" s="1216"/>
      <c r="AM38" s="1216"/>
      <c r="AN38" s="1216"/>
      <c r="AO38" s="1216"/>
      <c r="AP38" s="1216"/>
      <c r="AQ38" s="1216"/>
      <c r="AR38" s="1216"/>
      <c r="AS38" s="1216"/>
      <c r="AT38" s="1216"/>
      <c r="AU38" s="1216"/>
      <c r="AV38" s="1216"/>
      <c r="AW38" s="1216"/>
      <c r="AX38" s="1216"/>
      <c r="AY38" s="1216"/>
      <c r="AZ38" s="1216"/>
      <c r="BA38" s="1216"/>
      <c r="BB38" s="1216"/>
      <c r="BC38" s="1216"/>
      <c r="BD38" s="1216"/>
      <c r="BE38" s="1216"/>
      <c r="BF38" s="1216"/>
      <c r="BG38" s="1216"/>
      <c r="BH38" s="1216"/>
      <c r="BI38" s="1216"/>
      <c r="BJ38" s="1216"/>
      <c r="BK38" s="1216"/>
      <c r="BL38" s="1216"/>
      <c r="BM38" s="1216"/>
      <c r="BN38" s="1216"/>
      <c r="BO38" s="1216"/>
      <c r="BP38" s="1216"/>
      <c r="BQ38" s="1216"/>
      <c r="BR38" s="1216"/>
      <c r="BS38" s="1216"/>
      <c r="BT38" s="1216"/>
      <c r="BU38" s="1216"/>
      <c r="BV38" s="1216"/>
      <c r="BW38" s="1216"/>
      <c r="BX38" s="1216"/>
      <c r="BY38" s="1216"/>
      <c r="BZ38" s="1216"/>
      <c r="CA38" s="1216"/>
      <c r="CB38" s="1216"/>
      <c r="CC38" s="1216"/>
      <c r="CD38" s="1216"/>
      <c r="CE38" s="1216"/>
      <c r="CF38" s="1216"/>
      <c r="CG38" s="1216"/>
      <c r="CH38" s="1216"/>
    </row>
    <row r="39" spans="1:86" ht="20.149999999999999" customHeight="1">
      <c r="A39" s="1563" t="s">
        <v>1424</v>
      </c>
      <c r="B39" s="1563" t="s">
        <v>13</v>
      </c>
      <c r="C39" s="1563" t="str">
        <f t="shared" si="0"/>
        <v>PBPDDM50</v>
      </c>
      <c r="D39" s="1193">
        <v>50</v>
      </c>
      <c r="E39" s="1524"/>
      <c r="F39" s="1531">
        <v>0.82</v>
      </c>
      <c r="G39" s="1531">
        <v>1.27</v>
      </c>
      <c r="H39" s="1531">
        <v>1.73</v>
      </c>
      <c r="I39" s="1531">
        <v>2.2200000000000002</v>
      </c>
      <c r="J39" s="1531">
        <v>2.73</v>
      </c>
      <c r="K39" s="1531">
        <v>3.28</v>
      </c>
      <c r="L39" s="1531">
        <v>3.84</v>
      </c>
      <c r="M39" s="1531">
        <v>4.45</v>
      </c>
      <c r="N39" s="1531">
        <v>5.08</v>
      </c>
      <c r="O39" s="1531">
        <v>5.76</v>
      </c>
      <c r="P39" s="1531">
        <v>6.47</v>
      </c>
      <c r="Q39" s="1531">
        <v>7.24</v>
      </c>
      <c r="R39" s="1531">
        <v>8.0500000000000007</v>
      </c>
      <c r="S39" s="1531">
        <v>8.92</v>
      </c>
      <c r="T39" s="1531">
        <v>9.85</v>
      </c>
      <c r="U39" s="1531">
        <v>10.84</v>
      </c>
      <c r="V39" s="1531">
        <v>11.91</v>
      </c>
      <c r="W39" s="1531">
        <v>13.05</v>
      </c>
      <c r="X39" s="1531">
        <v>14.28</v>
      </c>
      <c r="Y39" s="1531">
        <v>15.61</v>
      </c>
      <c r="Z39" s="1531">
        <v>17.03</v>
      </c>
      <c r="AA39" s="1531">
        <v>18.559999999999999</v>
      </c>
      <c r="AB39" s="1532">
        <v>20.21</v>
      </c>
      <c r="AC39" s="1197"/>
      <c r="AD39" s="1216"/>
      <c r="AE39" s="1216"/>
      <c r="AF39" s="1216"/>
      <c r="AG39" s="1216"/>
      <c r="AH39" s="1216"/>
      <c r="AI39" s="1216"/>
      <c r="AJ39" s="1216"/>
      <c r="AK39" s="1216"/>
      <c r="AL39" s="1216"/>
      <c r="AM39" s="1216"/>
      <c r="AN39" s="1216"/>
      <c r="AO39" s="1216"/>
      <c r="AP39" s="1216"/>
      <c r="AQ39" s="1216"/>
      <c r="AR39" s="1216"/>
      <c r="AS39" s="1216"/>
      <c r="AT39" s="1216"/>
      <c r="AU39" s="1216"/>
      <c r="AV39" s="1216"/>
      <c r="AW39" s="1216"/>
      <c r="AX39" s="1216"/>
      <c r="AY39" s="1216"/>
      <c r="AZ39" s="1216"/>
      <c r="BA39" s="1216"/>
      <c r="BB39" s="1216"/>
      <c r="BC39" s="1216"/>
      <c r="BD39" s="1216"/>
      <c r="BE39" s="1216"/>
      <c r="BF39" s="1216"/>
      <c r="BG39" s="1216"/>
      <c r="BH39" s="1216"/>
      <c r="BI39" s="1216"/>
      <c r="BJ39" s="1216"/>
      <c r="BK39" s="1216"/>
      <c r="BL39" s="1216"/>
      <c r="BM39" s="1216"/>
      <c r="BN39" s="1216"/>
      <c r="BO39" s="1216"/>
      <c r="BP39" s="1216"/>
      <c r="BQ39" s="1216"/>
      <c r="BR39" s="1216"/>
      <c r="BS39" s="1216"/>
      <c r="BT39" s="1216"/>
      <c r="BU39" s="1216"/>
      <c r="BV39" s="1216"/>
      <c r="BW39" s="1216"/>
      <c r="BX39" s="1216"/>
      <c r="BY39" s="1216"/>
      <c r="BZ39" s="1216"/>
      <c r="CA39" s="1216"/>
      <c r="CB39" s="1216"/>
      <c r="CC39" s="1216"/>
      <c r="CD39" s="1216"/>
      <c r="CE39" s="1216"/>
      <c r="CF39" s="1216"/>
      <c r="CG39" s="1216"/>
      <c r="CH39" s="1216"/>
    </row>
    <row r="40" spans="1:86" ht="20.149999999999999" customHeight="1">
      <c r="A40" s="1563" t="s">
        <v>1424</v>
      </c>
      <c r="B40" s="1563" t="s">
        <v>13</v>
      </c>
      <c r="C40" s="1563" t="str">
        <f t="shared" si="0"/>
        <v>PBPDDM51</v>
      </c>
      <c r="D40" s="1194">
        <v>51</v>
      </c>
      <c r="E40" s="1525"/>
      <c r="F40" s="1533">
        <v>0.89</v>
      </c>
      <c r="G40" s="1533">
        <v>1.36</v>
      </c>
      <c r="H40" s="1533">
        <v>1.87</v>
      </c>
      <c r="I40" s="1533">
        <v>2.39</v>
      </c>
      <c r="J40" s="1533">
        <v>2.95</v>
      </c>
      <c r="K40" s="1533">
        <v>3.53</v>
      </c>
      <c r="L40" s="1533">
        <v>4.1500000000000004</v>
      </c>
      <c r="M40" s="1533">
        <v>4.8</v>
      </c>
      <c r="N40" s="1533">
        <v>5.49</v>
      </c>
      <c r="O40" s="1533">
        <v>6.23</v>
      </c>
      <c r="P40" s="1533">
        <v>7.02</v>
      </c>
      <c r="Q40" s="1533">
        <v>7.85</v>
      </c>
      <c r="R40" s="1533">
        <v>8.74</v>
      </c>
      <c r="S40" s="1533">
        <v>9.6999999999999993</v>
      </c>
      <c r="T40" s="1533">
        <v>10.72</v>
      </c>
      <c r="U40" s="1533">
        <v>11.82</v>
      </c>
      <c r="V40" s="1533">
        <v>13</v>
      </c>
      <c r="W40" s="1533">
        <v>14.27</v>
      </c>
      <c r="X40" s="1533">
        <v>15.63</v>
      </c>
      <c r="Y40" s="1533">
        <v>17.100000000000001</v>
      </c>
      <c r="Z40" s="1533">
        <v>18.68</v>
      </c>
      <c r="AA40" s="1533">
        <v>20.38</v>
      </c>
      <c r="AB40" s="1534">
        <v>22.2</v>
      </c>
      <c r="AC40" s="1197"/>
      <c r="AD40" s="1216"/>
      <c r="AE40" s="1216"/>
      <c r="AF40" s="1216"/>
      <c r="AG40" s="1216"/>
      <c r="AH40" s="1216"/>
      <c r="AI40" s="1216"/>
      <c r="AJ40" s="1216"/>
      <c r="AK40" s="1216"/>
      <c r="AL40" s="1216"/>
      <c r="AM40" s="1216"/>
      <c r="AN40" s="1216"/>
      <c r="AO40" s="1216"/>
      <c r="AP40" s="1216"/>
      <c r="AQ40" s="1216"/>
      <c r="AR40" s="1216"/>
      <c r="AS40" s="1216"/>
      <c r="AT40" s="1216"/>
      <c r="AU40" s="1216"/>
      <c r="AV40" s="1216"/>
      <c r="AW40" s="1216"/>
      <c r="AX40" s="1216"/>
      <c r="AY40" s="1216"/>
      <c r="AZ40" s="1216"/>
      <c r="BA40" s="1216"/>
      <c r="BB40" s="1216"/>
      <c r="BC40" s="1216"/>
      <c r="BD40" s="1216"/>
      <c r="BE40" s="1216"/>
      <c r="BF40" s="1216"/>
      <c r="BG40" s="1216"/>
      <c r="BH40" s="1216"/>
      <c r="BI40" s="1216"/>
      <c r="BJ40" s="1216"/>
      <c r="BK40" s="1216"/>
      <c r="BL40" s="1216"/>
      <c r="BM40" s="1216"/>
      <c r="BN40" s="1216"/>
      <c r="BO40" s="1216"/>
      <c r="BP40" s="1216"/>
      <c r="BQ40" s="1216"/>
      <c r="BR40" s="1216"/>
      <c r="BS40" s="1216"/>
      <c r="BT40" s="1216"/>
      <c r="BU40" s="1216"/>
      <c r="BV40" s="1216"/>
      <c r="BW40" s="1216"/>
      <c r="BX40" s="1216"/>
      <c r="BY40" s="1216"/>
      <c r="BZ40" s="1216"/>
      <c r="CA40" s="1216"/>
      <c r="CB40" s="1216"/>
      <c r="CC40" s="1216"/>
      <c r="CD40" s="1216"/>
      <c r="CE40" s="1216"/>
      <c r="CF40" s="1216"/>
      <c r="CG40" s="1216"/>
      <c r="CH40" s="1216"/>
    </row>
    <row r="41" spans="1:86" ht="20.149999999999999" customHeight="1">
      <c r="A41" s="1563" t="s">
        <v>1424</v>
      </c>
      <c r="B41" s="1563" t="s">
        <v>13</v>
      </c>
      <c r="C41" s="1563" t="str">
        <f t="shared" si="0"/>
        <v>PBPDDM52</v>
      </c>
      <c r="D41" s="1193">
        <v>52</v>
      </c>
      <c r="E41" s="1524"/>
      <c r="F41" s="1531">
        <v>0.95</v>
      </c>
      <c r="G41" s="1531">
        <v>1.47</v>
      </c>
      <c r="H41" s="1531">
        <v>2.0099999999999998</v>
      </c>
      <c r="I41" s="1531">
        <v>2.58</v>
      </c>
      <c r="J41" s="1531">
        <v>3.18</v>
      </c>
      <c r="K41" s="1531">
        <v>3.81</v>
      </c>
      <c r="L41" s="1531">
        <v>4.4800000000000004</v>
      </c>
      <c r="M41" s="1531">
        <v>5.19</v>
      </c>
      <c r="N41" s="1531">
        <v>5.95</v>
      </c>
      <c r="O41" s="1531">
        <v>6.76</v>
      </c>
      <c r="P41" s="1531">
        <v>7.62</v>
      </c>
      <c r="Q41" s="1531">
        <v>8.5399999999999991</v>
      </c>
      <c r="R41" s="1531">
        <v>9.52</v>
      </c>
      <c r="S41" s="1531">
        <v>10.57</v>
      </c>
      <c r="T41" s="1531">
        <v>11.7</v>
      </c>
      <c r="U41" s="1531">
        <v>12.92</v>
      </c>
      <c r="V41" s="1531">
        <v>14.22</v>
      </c>
      <c r="W41" s="1531">
        <v>15.63</v>
      </c>
      <c r="X41" s="1531">
        <v>17.14</v>
      </c>
      <c r="Y41" s="1531">
        <v>18.77</v>
      </c>
      <c r="Z41" s="1531">
        <v>20.53</v>
      </c>
      <c r="AA41" s="1531">
        <v>22.41</v>
      </c>
      <c r="AB41" s="1532">
        <v>24.44</v>
      </c>
      <c r="AC41" s="1197"/>
      <c r="AD41" s="1216"/>
      <c r="AE41" s="1216"/>
      <c r="AF41" s="1216"/>
      <c r="AG41" s="1216"/>
      <c r="AH41" s="1216"/>
      <c r="AI41" s="1216"/>
      <c r="AJ41" s="1216"/>
      <c r="AK41" s="1216"/>
      <c r="AL41" s="1216"/>
      <c r="AM41" s="1216"/>
      <c r="AN41" s="1216"/>
      <c r="AO41" s="1216"/>
      <c r="AP41" s="1216"/>
      <c r="AQ41" s="1216"/>
      <c r="AR41" s="1216"/>
      <c r="AS41" s="1216"/>
      <c r="AT41" s="1216"/>
      <c r="AU41" s="1216"/>
      <c r="AV41" s="1216"/>
      <c r="AW41" s="1216"/>
      <c r="AX41" s="1216"/>
      <c r="AY41" s="1216"/>
      <c r="AZ41" s="1216"/>
      <c r="BA41" s="1216"/>
      <c r="BB41" s="1216"/>
      <c r="BC41" s="1216"/>
      <c r="BD41" s="1216"/>
      <c r="BE41" s="1216"/>
      <c r="BF41" s="1216"/>
      <c r="BG41" s="1216"/>
      <c r="BH41" s="1216"/>
      <c r="BI41" s="1216"/>
      <c r="BJ41" s="1216"/>
      <c r="BK41" s="1216"/>
      <c r="BL41" s="1216"/>
      <c r="BM41" s="1216"/>
      <c r="BN41" s="1216"/>
      <c r="BO41" s="1216"/>
      <c r="BP41" s="1216"/>
      <c r="BQ41" s="1216"/>
      <c r="BR41" s="1216"/>
      <c r="BS41" s="1216"/>
      <c r="BT41" s="1216"/>
      <c r="BU41" s="1216"/>
      <c r="BV41" s="1216"/>
      <c r="BW41" s="1216"/>
      <c r="BX41" s="1216"/>
      <c r="BY41" s="1216"/>
      <c r="BZ41" s="1216"/>
      <c r="CA41" s="1216"/>
      <c r="CB41" s="1216"/>
      <c r="CC41" s="1216"/>
      <c r="CD41" s="1216"/>
      <c r="CE41" s="1216"/>
      <c r="CF41" s="1216"/>
      <c r="CG41" s="1216"/>
      <c r="CH41" s="1216"/>
    </row>
    <row r="42" spans="1:86" ht="20.149999999999999" customHeight="1">
      <c r="A42" s="1563" t="s">
        <v>1424</v>
      </c>
      <c r="B42" s="1563" t="s">
        <v>13</v>
      </c>
      <c r="C42" s="1563" t="str">
        <f t="shared" si="0"/>
        <v>PBPDDM53</v>
      </c>
      <c r="D42" s="1193">
        <v>53</v>
      </c>
      <c r="E42" s="1524"/>
      <c r="F42" s="1531">
        <v>1.03</v>
      </c>
      <c r="G42" s="1531">
        <v>1.58</v>
      </c>
      <c r="H42" s="1531">
        <v>2.17</v>
      </c>
      <c r="I42" s="1531">
        <v>2.78</v>
      </c>
      <c r="J42" s="1531">
        <v>3.43</v>
      </c>
      <c r="K42" s="1531">
        <v>4.12</v>
      </c>
      <c r="L42" s="1531">
        <v>4.8499999999999996</v>
      </c>
      <c r="M42" s="1531">
        <v>5.63</v>
      </c>
      <c r="N42" s="1531">
        <v>6.46</v>
      </c>
      <c r="O42" s="1531">
        <v>7.34</v>
      </c>
      <c r="P42" s="1531">
        <v>8.2899999999999991</v>
      </c>
      <c r="Q42" s="1531">
        <v>9.3000000000000007</v>
      </c>
      <c r="R42" s="1531">
        <v>10.39</v>
      </c>
      <c r="S42" s="1531">
        <v>11.55</v>
      </c>
      <c r="T42" s="1531">
        <v>12.8</v>
      </c>
      <c r="U42" s="1531">
        <v>14.15</v>
      </c>
      <c r="V42" s="1531">
        <v>15.6</v>
      </c>
      <c r="W42" s="1531">
        <v>17.16</v>
      </c>
      <c r="X42" s="1531">
        <v>18.84</v>
      </c>
      <c r="Y42" s="1531">
        <v>20.66</v>
      </c>
      <c r="Z42" s="1531">
        <v>22.61</v>
      </c>
      <c r="AA42" s="1531">
        <v>24.7</v>
      </c>
      <c r="AB42" s="1532">
        <v>26.95</v>
      </c>
      <c r="AC42" s="1197"/>
      <c r="AD42" s="1216"/>
      <c r="AE42" s="1216"/>
      <c r="AF42" s="1216"/>
      <c r="AG42" s="1216"/>
      <c r="AH42" s="1216"/>
      <c r="AI42" s="1216"/>
      <c r="AJ42" s="1216"/>
      <c r="AK42" s="1216"/>
      <c r="AL42" s="1216"/>
      <c r="AM42" s="1216"/>
      <c r="AN42" s="1216"/>
      <c r="AO42" s="1216"/>
      <c r="AP42" s="1216"/>
      <c r="AQ42" s="1216"/>
      <c r="AR42" s="1216"/>
      <c r="AS42" s="1216"/>
      <c r="AT42" s="1216"/>
      <c r="AU42" s="1216"/>
      <c r="AV42" s="1216"/>
      <c r="AW42" s="1216"/>
      <c r="AX42" s="1216"/>
      <c r="AY42" s="1216"/>
      <c r="AZ42" s="1216"/>
      <c r="BA42" s="1216"/>
      <c r="BB42" s="1216"/>
      <c r="BC42" s="1216"/>
      <c r="BD42" s="1216"/>
      <c r="BE42" s="1216"/>
      <c r="BF42" s="1216"/>
      <c r="BG42" s="1216"/>
      <c r="BH42" s="1216"/>
      <c r="BI42" s="1216"/>
      <c r="BJ42" s="1216"/>
      <c r="BK42" s="1216"/>
      <c r="BL42" s="1216"/>
      <c r="BM42" s="1216"/>
      <c r="BN42" s="1216"/>
      <c r="BO42" s="1216"/>
      <c r="BP42" s="1216"/>
      <c r="BQ42" s="1216"/>
      <c r="BR42" s="1216"/>
      <c r="BS42" s="1216"/>
      <c r="BT42" s="1216"/>
      <c r="BU42" s="1216"/>
      <c r="BV42" s="1216"/>
      <c r="BW42" s="1216"/>
      <c r="BX42" s="1216"/>
      <c r="BY42" s="1216"/>
      <c r="BZ42" s="1216"/>
      <c r="CA42" s="1216"/>
      <c r="CB42" s="1216"/>
      <c r="CC42" s="1216"/>
      <c r="CD42" s="1216"/>
      <c r="CE42" s="1216"/>
      <c r="CF42" s="1216"/>
      <c r="CG42" s="1216"/>
      <c r="CH42" s="1216"/>
    </row>
    <row r="43" spans="1:86" ht="20.149999999999999" customHeight="1">
      <c r="A43" s="1563" t="s">
        <v>1424</v>
      </c>
      <c r="B43" s="1563" t="s">
        <v>13</v>
      </c>
      <c r="C43" s="1563" t="str">
        <f t="shared" si="0"/>
        <v>PBPDDM54</v>
      </c>
      <c r="D43" s="1193">
        <v>54</v>
      </c>
      <c r="E43" s="1524"/>
      <c r="F43" s="1531">
        <v>1.1100000000000001</v>
      </c>
      <c r="G43" s="1531">
        <v>1.71</v>
      </c>
      <c r="H43" s="1531">
        <v>2.34</v>
      </c>
      <c r="I43" s="1531">
        <v>3.01</v>
      </c>
      <c r="J43" s="1531">
        <v>3.72</v>
      </c>
      <c r="K43" s="1531">
        <v>4.47</v>
      </c>
      <c r="L43" s="1531">
        <v>5.27</v>
      </c>
      <c r="M43" s="1531">
        <v>6.12</v>
      </c>
      <c r="N43" s="1531">
        <v>7.03</v>
      </c>
      <c r="O43" s="1531">
        <v>8</v>
      </c>
      <c r="P43" s="1531">
        <v>9.0500000000000007</v>
      </c>
      <c r="Q43" s="1531">
        <v>10.16</v>
      </c>
      <c r="R43" s="1531">
        <v>11.36</v>
      </c>
      <c r="S43" s="1531">
        <v>12.66</v>
      </c>
      <c r="T43" s="1531">
        <v>14.04</v>
      </c>
      <c r="U43" s="1531">
        <v>15.54</v>
      </c>
      <c r="V43" s="1531">
        <v>17.149999999999999</v>
      </c>
      <c r="W43" s="1531">
        <v>18.89</v>
      </c>
      <c r="X43" s="1531">
        <v>20.76</v>
      </c>
      <c r="Y43" s="1531">
        <v>22.78</v>
      </c>
      <c r="Z43" s="1531">
        <v>24.95</v>
      </c>
      <c r="AA43" s="1531">
        <v>27.27</v>
      </c>
      <c r="AB43" s="1532">
        <v>29.76</v>
      </c>
      <c r="AC43" s="1197"/>
      <c r="AD43" s="1216"/>
      <c r="AE43" s="1216"/>
      <c r="AF43" s="1216"/>
      <c r="AG43" s="1216"/>
      <c r="AH43" s="1216"/>
      <c r="AI43" s="1216"/>
      <c r="AJ43" s="1216"/>
      <c r="AK43" s="1216"/>
      <c r="AL43" s="1216"/>
      <c r="AM43" s="1216"/>
      <c r="AN43" s="1216"/>
      <c r="AO43" s="1216"/>
      <c r="AP43" s="1216"/>
      <c r="AQ43" s="1216"/>
      <c r="AR43" s="1216"/>
      <c r="AS43" s="1216"/>
      <c r="AT43" s="1216"/>
      <c r="AU43" s="1216"/>
      <c r="AV43" s="1216"/>
      <c r="AW43" s="1216"/>
      <c r="AX43" s="1216"/>
      <c r="AY43" s="1216"/>
      <c r="AZ43" s="1216"/>
      <c r="BA43" s="1216"/>
      <c r="BB43" s="1216"/>
      <c r="BC43" s="1216"/>
      <c r="BD43" s="1216"/>
      <c r="BE43" s="1216"/>
      <c r="BF43" s="1216"/>
      <c r="BG43" s="1216"/>
      <c r="BH43" s="1216"/>
      <c r="BI43" s="1216"/>
      <c r="BJ43" s="1216"/>
      <c r="BK43" s="1216"/>
      <c r="BL43" s="1216"/>
      <c r="BM43" s="1216"/>
      <c r="BN43" s="1216"/>
      <c r="BO43" s="1216"/>
      <c r="BP43" s="1216"/>
      <c r="BQ43" s="1216"/>
      <c r="BR43" s="1216"/>
      <c r="BS43" s="1216"/>
      <c r="BT43" s="1216"/>
      <c r="BU43" s="1216"/>
      <c r="BV43" s="1216"/>
      <c r="BW43" s="1216"/>
      <c r="BX43" s="1216"/>
      <c r="BY43" s="1216"/>
      <c r="BZ43" s="1216"/>
      <c r="CA43" s="1216"/>
      <c r="CB43" s="1216"/>
      <c r="CC43" s="1216"/>
      <c r="CD43" s="1216"/>
      <c r="CE43" s="1216"/>
      <c r="CF43" s="1216"/>
      <c r="CG43" s="1216"/>
      <c r="CH43" s="1216"/>
    </row>
    <row r="44" spans="1:86" ht="20.149999999999999" customHeight="1">
      <c r="A44" s="1563" t="s">
        <v>1424</v>
      </c>
      <c r="B44" s="1563" t="s">
        <v>13</v>
      </c>
      <c r="C44" s="1563" t="str">
        <f t="shared" si="0"/>
        <v>PBPDDM55</v>
      </c>
      <c r="D44" s="1195">
        <v>55</v>
      </c>
      <c r="E44" s="1526"/>
      <c r="F44" s="1535">
        <v>1.2</v>
      </c>
      <c r="G44" s="1535">
        <v>1.85</v>
      </c>
      <c r="H44" s="1535">
        <v>2.5299999999999998</v>
      </c>
      <c r="I44" s="1535">
        <v>3.26</v>
      </c>
      <c r="J44" s="1535">
        <v>4.03</v>
      </c>
      <c r="K44" s="1535">
        <v>4.8600000000000003</v>
      </c>
      <c r="L44" s="1535">
        <v>5.73</v>
      </c>
      <c r="M44" s="1535">
        <v>6.67</v>
      </c>
      <c r="N44" s="1535">
        <v>7.67</v>
      </c>
      <c r="O44" s="1535">
        <v>8.75</v>
      </c>
      <c r="P44" s="1535">
        <v>9.9</v>
      </c>
      <c r="Q44" s="1535">
        <v>11.14</v>
      </c>
      <c r="R44" s="1535">
        <v>12.47</v>
      </c>
      <c r="S44" s="1535">
        <v>13.9</v>
      </c>
      <c r="T44" s="1535">
        <v>15.45</v>
      </c>
      <c r="U44" s="1535">
        <v>17.11</v>
      </c>
      <c r="V44" s="1535">
        <v>18.91</v>
      </c>
      <c r="W44" s="1535">
        <v>20.84</v>
      </c>
      <c r="X44" s="1535">
        <v>22.93</v>
      </c>
      <c r="Y44" s="1535">
        <v>25.17</v>
      </c>
      <c r="Z44" s="1535">
        <v>27.58</v>
      </c>
      <c r="AA44" s="1535">
        <v>30.16</v>
      </c>
      <c r="AB44" s="1536">
        <v>32.909999999999997</v>
      </c>
      <c r="AC44" s="1197"/>
      <c r="AD44" s="1216"/>
      <c r="AE44" s="1216"/>
      <c r="AF44" s="1216"/>
      <c r="AG44" s="1216"/>
      <c r="AH44" s="1216"/>
      <c r="AI44" s="1216"/>
      <c r="AJ44" s="1216"/>
      <c r="AK44" s="1216"/>
      <c r="AL44" s="1216"/>
      <c r="AM44" s="1216"/>
      <c r="AN44" s="1216"/>
      <c r="AO44" s="1216"/>
      <c r="AP44" s="1216"/>
      <c r="AQ44" s="1216"/>
      <c r="AR44" s="1216"/>
      <c r="AS44" s="1216"/>
      <c r="AT44" s="1216"/>
      <c r="AU44" s="1216"/>
      <c r="AV44" s="1216"/>
      <c r="AW44" s="1216"/>
      <c r="AX44" s="1216"/>
      <c r="AY44" s="1216"/>
      <c r="AZ44" s="1216"/>
      <c r="BA44" s="1216"/>
      <c r="BB44" s="1216"/>
      <c r="BC44" s="1216"/>
      <c r="BD44" s="1216"/>
      <c r="BE44" s="1216"/>
      <c r="BF44" s="1216"/>
      <c r="BG44" s="1216"/>
      <c r="BH44" s="1216"/>
      <c r="BI44" s="1216"/>
      <c r="BJ44" s="1216"/>
      <c r="BK44" s="1216"/>
      <c r="BL44" s="1216"/>
      <c r="BM44" s="1216"/>
      <c r="BN44" s="1216"/>
      <c r="BO44" s="1216"/>
      <c r="BP44" s="1216"/>
      <c r="BQ44" s="1216"/>
      <c r="BR44" s="1216"/>
      <c r="BS44" s="1216"/>
      <c r="BT44" s="1216"/>
      <c r="BU44" s="1216"/>
      <c r="BV44" s="1216"/>
      <c r="BW44" s="1216"/>
      <c r="BX44" s="1216"/>
      <c r="BY44" s="1216"/>
      <c r="BZ44" s="1216"/>
      <c r="CA44" s="1216"/>
      <c r="CB44" s="1216"/>
      <c r="CC44" s="1216"/>
      <c r="CD44" s="1216"/>
      <c r="CE44" s="1216"/>
      <c r="CF44" s="1216"/>
      <c r="CG44" s="1216"/>
      <c r="CH44" s="1216"/>
    </row>
    <row r="45" spans="1:86" ht="20.149999999999999" customHeight="1">
      <c r="A45" s="1563" t="s">
        <v>1424</v>
      </c>
      <c r="B45" s="1563" t="s">
        <v>13</v>
      </c>
      <c r="C45" s="1563" t="str">
        <f t="shared" si="0"/>
        <v>PBPDDM56</v>
      </c>
      <c r="D45" s="1193">
        <v>56</v>
      </c>
      <c r="E45" s="1524"/>
      <c r="F45" s="1531">
        <v>1.3</v>
      </c>
      <c r="G45" s="1531">
        <v>2</v>
      </c>
      <c r="H45" s="1531">
        <v>2.75</v>
      </c>
      <c r="I45" s="1531">
        <v>3.55</v>
      </c>
      <c r="J45" s="1531">
        <v>4.3899999999999997</v>
      </c>
      <c r="K45" s="1531">
        <v>5.29</v>
      </c>
      <c r="L45" s="1531">
        <v>6.26</v>
      </c>
      <c r="M45" s="1531">
        <v>7.29</v>
      </c>
      <c r="N45" s="1531">
        <v>8.4</v>
      </c>
      <c r="O45" s="1531">
        <v>9.59</v>
      </c>
      <c r="P45" s="1531">
        <v>10.87</v>
      </c>
      <c r="Q45" s="1531">
        <v>12.24</v>
      </c>
      <c r="R45" s="1531">
        <v>13.72</v>
      </c>
      <c r="S45" s="1531">
        <v>15.31</v>
      </c>
      <c r="T45" s="1531">
        <v>17.03</v>
      </c>
      <c r="U45" s="1531">
        <v>18.89</v>
      </c>
      <c r="V45" s="1531">
        <v>20.89</v>
      </c>
      <c r="W45" s="1531">
        <v>23.05</v>
      </c>
      <c r="X45" s="1531">
        <v>25.37</v>
      </c>
      <c r="Y45" s="1531">
        <v>27.87</v>
      </c>
      <c r="Z45" s="1531">
        <v>30.54</v>
      </c>
      <c r="AA45" s="1531">
        <v>33.4</v>
      </c>
      <c r="AB45" s="1532">
        <v>37.090000000000003</v>
      </c>
      <c r="AC45" s="1197"/>
      <c r="AD45" s="1216"/>
      <c r="AE45" s="1216"/>
      <c r="AF45" s="1216"/>
      <c r="AG45" s="1216"/>
      <c r="AH45" s="1216"/>
      <c r="AI45" s="1216"/>
      <c r="AJ45" s="1216"/>
      <c r="AK45" s="1216"/>
      <c r="AL45" s="1216"/>
      <c r="AM45" s="1216"/>
      <c r="AN45" s="1216"/>
      <c r="AO45" s="1216"/>
      <c r="AP45" s="1216"/>
      <c r="AQ45" s="1216"/>
      <c r="AR45" s="1216"/>
      <c r="AS45" s="1216"/>
      <c r="AT45" s="1216"/>
      <c r="AU45" s="1216"/>
      <c r="AV45" s="1216"/>
      <c r="AW45" s="1216"/>
      <c r="AX45" s="1216"/>
      <c r="AY45" s="1216"/>
      <c r="AZ45" s="1216"/>
      <c r="BA45" s="1216"/>
      <c r="BB45" s="1216"/>
      <c r="BC45" s="1216"/>
      <c r="BD45" s="1216"/>
      <c r="BE45" s="1216"/>
      <c r="BF45" s="1216"/>
      <c r="BG45" s="1216"/>
      <c r="BH45" s="1216"/>
      <c r="BI45" s="1216"/>
      <c r="BJ45" s="1216"/>
      <c r="BK45" s="1216"/>
      <c r="BL45" s="1216"/>
      <c r="BM45" s="1216"/>
      <c r="BN45" s="1216"/>
      <c r="BO45" s="1216"/>
      <c r="BP45" s="1216"/>
      <c r="BQ45" s="1216"/>
      <c r="BR45" s="1216"/>
      <c r="BS45" s="1216"/>
      <c r="BT45" s="1216"/>
      <c r="BU45" s="1216"/>
      <c r="BV45" s="1216"/>
      <c r="BW45" s="1216"/>
      <c r="BX45" s="1216"/>
      <c r="BY45" s="1216"/>
      <c r="BZ45" s="1216"/>
      <c r="CA45" s="1216"/>
      <c r="CB45" s="1216"/>
      <c r="CC45" s="1216"/>
      <c r="CD45" s="1216"/>
      <c r="CE45" s="1216"/>
      <c r="CF45" s="1216"/>
      <c r="CG45" s="1216"/>
      <c r="CH45" s="1216"/>
    </row>
    <row r="46" spans="1:86" ht="20.149999999999999" customHeight="1">
      <c r="A46" s="1563" t="s">
        <v>1424</v>
      </c>
      <c r="B46" s="1563" t="s">
        <v>13</v>
      </c>
      <c r="C46" s="1563" t="str">
        <f t="shared" si="0"/>
        <v>PBPDDM57</v>
      </c>
      <c r="D46" s="1193">
        <v>57</v>
      </c>
      <c r="E46" s="1524"/>
      <c r="F46" s="1531">
        <v>1.41</v>
      </c>
      <c r="G46" s="1531">
        <v>2.1800000000000002</v>
      </c>
      <c r="H46" s="1531">
        <v>3</v>
      </c>
      <c r="I46" s="1531">
        <v>3.87</v>
      </c>
      <c r="J46" s="1531">
        <v>4.8</v>
      </c>
      <c r="K46" s="1531">
        <v>5.79</v>
      </c>
      <c r="L46" s="1531">
        <v>6.86</v>
      </c>
      <c r="M46" s="1531">
        <v>8</v>
      </c>
      <c r="N46" s="1531">
        <v>9.2200000000000006</v>
      </c>
      <c r="O46" s="1531">
        <v>10.54</v>
      </c>
      <c r="P46" s="1531">
        <v>11.96</v>
      </c>
      <c r="Q46" s="1531">
        <v>13.49</v>
      </c>
      <c r="R46" s="1531">
        <v>15.14</v>
      </c>
      <c r="S46" s="1531">
        <v>16.91</v>
      </c>
      <c r="T46" s="1531">
        <v>18.829999999999998</v>
      </c>
      <c r="U46" s="1531">
        <v>20.91</v>
      </c>
      <c r="V46" s="1531">
        <v>23.14</v>
      </c>
      <c r="W46" s="1531">
        <v>25.55</v>
      </c>
      <c r="X46" s="1531">
        <v>28.13</v>
      </c>
      <c r="Y46" s="1531">
        <v>30.9</v>
      </c>
      <c r="Z46" s="1531">
        <v>33.869999999999997</v>
      </c>
      <c r="AA46" s="1531">
        <v>37.729999999999997</v>
      </c>
      <c r="AB46" s="1532">
        <v>41.55</v>
      </c>
      <c r="AC46" s="1197"/>
      <c r="AD46" s="1216"/>
      <c r="AE46" s="1216"/>
      <c r="AF46" s="1216"/>
      <c r="AG46" s="1216"/>
      <c r="AH46" s="1216"/>
      <c r="AI46" s="1216"/>
      <c r="AJ46" s="1216"/>
      <c r="AK46" s="1216"/>
      <c r="AL46" s="1216"/>
      <c r="AM46" s="1216"/>
      <c r="AN46" s="1216"/>
      <c r="AO46" s="1216"/>
      <c r="AP46" s="1216"/>
      <c r="AQ46" s="1216"/>
      <c r="AR46" s="1216"/>
      <c r="AS46" s="1216"/>
      <c r="AT46" s="1216"/>
      <c r="AU46" s="1216"/>
      <c r="AV46" s="1216"/>
      <c r="AW46" s="1216"/>
      <c r="AX46" s="1216"/>
      <c r="AY46" s="1216"/>
      <c r="AZ46" s="1216"/>
      <c r="BA46" s="1216"/>
      <c r="BB46" s="1216"/>
      <c r="BC46" s="1216"/>
      <c r="BD46" s="1216"/>
      <c r="BE46" s="1216"/>
      <c r="BF46" s="1216"/>
      <c r="BG46" s="1216"/>
      <c r="BH46" s="1216"/>
      <c r="BI46" s="1216"/>
      <c r="BJ46" s="1216"/>
      <c r="BK46" s="1216"/>
      <c r="BL46" s="1216"/>
      <c r="BM46" s="1216"/>
      <c r="BN46" s="1216"/>
      <c r="BO46" s="1216"/>
      <c r="BP46" s="1216"/>
      <c r="BQ46" s="1216"/>
      <c r="BR46" s="1216"/>
      <c r="BS46" s="1216"/>
      <c r="BT46" s="1216"/>
      <c r="BU46" s="1216"/>
      <c r="BV46" s="1216"/>
      <c r="BW46" s="1216"/>
      <c r="BX46" s="1216"/>
      <c r="BY46" s="1216"/>
      <c r="BZ46" s="1216"/>
      <c r="CA46" s="1216"/>
      <c r="CB46" s="1216"/>
      <c r="CC46" s="1216"/>
      <c r="CD46" s="1216"/>
      <c r="CE46" s="1216"/>
      <c r="CF46" s="1216"/>
      <c r="CG46" s="1216"/>
      <c r="CH46" s="1216"/>
    </row>
    <row r="47" spans="1:86" ht="20.149999999999999" customHeight="1">
      <c r="A47" s="1563" t="s">
        <v>1424</v>
      </c>
      <c r="B47" s="1563" t="s">
        <v>13</v>
      </c>
      <c r="C47" s="1563" t="str">
        <f t="shared" si="0"/>
        <v>PBPDDM58</v>
      </c>
      <c r="D47" s="1193">
        <v>58</v>
      </c>
      <c r="E47" s="1524"/>
      <c r="F47" s="1531">
        <v>1.54</v>
      </c>
      <c r="G47" s="1531">
        <v>2.38</v>
      </c>
      <c r="H47" s="1531">
        <v>3.28</v>
      </c>
      <c r="I47" s="1531">
        <v>4.2300000000000004</v>
      </c>
      <c r="J47" s="1531">
        <v>5.26</v>
      </c>
      <c r="K47" s="1531">
        <v>6.36</v>
      </c>
      <c r="L47" s="1531">
        <v>7.53</v>
      </c>
      <c r="M47" s="1531">
        <v>8.8000000000000007</v>
      </c>
      <c r="N47" s="1531">
        <v>10.16</v>
      </c>
      <c r="O47" s="1531">
        <v>11.62</v>
      </c>
      <c r="P47" s="1531">
        <v>13.2</v>
      </c>
      <c r="Q47" s="1531">
        <v>14.91</v>
      </c>
      <c r="R47" s="1531">
        <v>16.75</v>
      </c>
      <c r="S47" s="1531">
        <v>18.73</v>
      </c>
      <c r="T47" s="1531">
        <v>20.88</v>
      </c>
      <c r="U47" s="1531">
        <v>23.19</v>
      </c>
      <c r="V47" s="1531">
        <v>25.68</v>
      </c>
      <c r="W47" s="1531">
        <v>28.36</v>
      </c>
      <c r="X47" s="1531">
        <v>31.24</v>
      </c>
      <c r="Y47" s="1531">
        <v>34.32</v>
      </c>
      <c r="Z47" s="1531">
        <v>38.36</v>
      </c>
      <c r="AA47" s="1531">
        <v>42.36</v>
      </c>
      <c r="AB47" s="1532">
        <v>46.33</v>
      </c>
      <c r="AC47" s="1197"/>
      <c r="AD47" s="1216"/>
      <c r="AE47" s="1216"/>
      <c r="AF47" s="1216"/>
      <c r="AG47" s="1216"/>
      <c r="AH47" s="1216"/>
      <c r="AI47" s="1216"/>
      <c r="AJ47" s="1216"/>
      <c r="AK47" s="1216"/>
      <c r="AL47" s="1216"/>
      <c r="AM47" s="1216"/>
      <c r="AN47" s="1216"/>
      <c r="AO47" s="1216"/>
      <c r="AP47" s="1216"/>
      <c r="AQ47" s="1216"/>
      <c r="AR47" s="1216"/>
      <c r="AS47" s="1216"/>
      <c r="AT47" s="1216"/>
      <c r="AU47" s="1216"/>
      <c r="AV47" s="1216"/>
      <c r="AW47" s="1216"/>
      <c r="AX47" s="1216"/>
      <c r="AY47" s="1216"/>
      <c r="AZ47" s="1216"/>
      <c r="BA47" s="1216"/>
      <c r="BB47" s="1216"/>
      <c r="BC47" s="1216"/>
      <c r="BD47" s="1216"/>
      <c r="BE47" s="1216"/>
      <c r="BF47" s="1216"/>
      <c r="BG47" s="1216"/>
      <c r="BH47" s="1216"/>
      <c r="BI47" s="1216"/>
      <c r="BJ47" s="1216"/>
      <c r="BK47" s="1216"/>
      <c r="BL47" s="1216"/>
      <c r="BM47" s="1216"/>
      <c r="BN47" s="1216"/>
      <c r="BO47" s="1216"/>
      <c r="BP47" s="1216"/>
      <c r="BQ47" s="1216"/>
      <c r="BR47" s="1216"/>
      <c r="BS47" s="1216"/>
      <c r="BT47" s="1216"/>
      <c r="BU47" s="1216"/>
      <c r="BV47" s="1216"/>
      <c r="BW47" s="1216"/>
      <c r="BX47" s="1216"/>
      <c r="BY47" s="1216"/>
      <c r="BZ47" s="1216"/>
      <c r="CA47" s="1216"/>
      <c r="CB47" s="1216"/>
      <c r="CC47" s="1216"/>
      <c r="CD47" s="1216"/>
      <c r="CE47" s="1216"/>
      <c r="CF47" s="1216"/>
      <c r="CG47" s="1216"/>
      <c r="CH47" s="1216"/>
    </row>
    <row r="48" spans="1:86" ht="20.149999999999999" customHeight="1">
      <c r="A48" s="1563" t="s">
        <v>1424</v>
      </c>
      <c r="B48" s="1563" t="s">
        <v>13</v>
      </c>
      <c r="C48" s="1563" t="str">
        <f t="shared" si="0"/>
        <v>PBPDDM59</v>
      </c>
      <c r="D48" s="1193">
        <v>59</v>
      </c>
      <c r="E48" s="1524"/>
      <c r="F48" s="1531">
        <v>1.68</v>
      </c>
      <c r="G48" s="1531">
        <v>2.6</v>
      </c>
      <c r="H48" s="1531">
        <v>3.59</v>
      </c>
      <c r="I48" s="1531">
        <v>4.6500000000000004</v>
      </c>
      <c r="J48" s="1531">
        <v>5.78</v>
      </c>
      <c r="K48" s="1531">
        <v>7</v>
      </c>
      <c r="L48" s="1531">
        <v>8.3000000000000007</v>
      </c>
      <c r="M48" s="1531">
        <v>9.7100000000000009</v>
      </c>
      <c r="N48" s="1531">
        <v>11.22</v>
      </c>
      <c r="O48" s="1531">
        <v>12.85</v>
      </c>
      <c r="P48" s="1531">
        <v>14.61</v>
      </c>
      <c r="Q48" s="1531">
        <v>16.52</v>
      </c>
      <c r="R48" s="1531">
        <v>18.57</v>
      </c>
      <c r="S48" s="1531">
        <v>20.79</v>
      </c>
      <c r="T48" s="1531">
        <v>23.19</v>
      </c>
      <c r="U48" s="1531">
        <v>25.78</v>
      </c>
      <c r="V48" s="1531">
        <v>28.56</v>
      </c>
      <c r="W48" s="1531">
        <v>31.54</v>
      </c>
      <c r="X48" s="1531">
        <v>34.74</v>
      </c>
      <c r="Y48" s="1531">
        <v>38.97</v>
      </c>
      <c r="Z48" s="1531">
        <v>43.17</v>
      </c>
      <c r="AA48" s="1531">
        <v>47.32</v>
      </c>
      <c r="AB48" s="1532">
        <v>51.43</v>
      </c>
      <c r="AC48" s="1197"/>
      <c r="AD48" s="1216"/>
      <c r="AE48" s="1216"/>
      <c r="AF48" s="1216"/>
      <c r="AG48" s="1216"/>
      <c r="AH48" s="1216"/>
      <c r="AI48" s="1216"/>
      <c r="AJ48" s="1216"/>
      <c r="AK48" s="1216"/>
      <c r="AL48" s="1216"/>
      <c r="AM48" s="1216"/>
      <c r="AN48" s="1216"/>
      <c r="AO48" s="1216"/>
      <c r="AP48" s="1216"/>
      <c r="AQ48" s="1216"/>
      <c r="AR48" s="1216"/>
      <c r="AS48" s="1216"/>
      <c r="AT48" s="1216"/>
      <c r="AU48" s="1216"/>
      <c r="AV48" s="1216"/>
      <c r="AW48" s="1216"/>
      <c r="AX48" s="1216"/>
      <c r="AY48" s="1216"/>
      <c r="AZ48" s="1216"/>
      <c r="BA48" s="1216"/>
      <c r="BB48" s="1216"/>
      <c r="BC48" s="1216"/>
      <c r="BD48" s="1216"/>
      <c r="BE48" s="1216"/>
      <c r="BF48" s="1216"/>
      <c r="BG48" s="1216"/>
      <c r="BH48" s="1216"/>
      <c r="BI48" s="1216"/>
      <c r="BJ48" s="1216"/>
      <c r="BK48" s="1216"/>
      <c r="BL48" s="1216"/>
      <c r="BM48" s="1216"/>
      <c r="BN48" s="1216"/>
      <c r="BO48" s="1216"/>
      <c r="BP48" s="1216"/>
      <c r="BQ48" s="1216"/>
      <c r="BR48" s="1216"/>
      <c r="BS48" s="1216"/>
      <c r="BT48" s="1216"/>
      <c r="BU48" s="1216"/>
      <c r="BV48" s="1216"/>
      <c r="BW48" s="1216"/>
      <c r="BX48" s="1216"/>
      <c r="BY48" s="1216"/>
      <c r="BZ48" s="1216"/>
      <c r="CA48" s="1216"/>
      <c r="CB48" s="1216"/>
      <c r="CC48" s="1216"/>
      <c r="CD48" s="1216"/>
      <c r="CE48" s="1216"/>
      <c r="CF48" s="1216"/>
      <c r="CG48" s="1216"/>
      <c r="CH48" s="1216"/>
    </row>
    <row r="49" spans="1:86" ht="20.149999999999999" customHeight="1">
      <c r="A49" s="1563" t="s">
        <v>1424</v>
      </c>
      <c r="B49" s="1563" t="s">
        <v>13</v>
      </c>
      <c r="C49" s="1563" t="str">
        <f t="shared" si="0"/>
        <v>PBPDDM60</v>
      </c>
      <c r="D49" s="1193">
        <v>60</v>
      </c>
      <c r="E49" s="1524"/>
      <c r="F49" s="1531">
        <v>1.84</v>
      </c>
      <c r="G49" s="1531">
        <v>2.86</v>
      </c>
      <c r="H49" s="1531">
        <v>3.95</v>
      </c>
      <c r="I49" s="1531">
        <v>5.12</v>
      </c>
      <c r="J49" s="1531">
        <v>6.37</v>
      </c>
      <c r="K49" s="1531">
        <v>7.72</v>
      </c>
      <c r="L49" s="1531">
        <v>9.17</v>
      </c>
      <c r="M49" s="1531">
        <v>10.74</v>
      </c>
      <c r="N49" s="1531">
        <v>12.42</v>
      </c>
      <c r="O49" s="1531">
        <v>14.24</v>
      </c>
      <c r="P49" s="1531">
        <v>16.21</v>
      </c>
      <c r="Q49" s="1531">
        <v>18.34</v>
      </c>
      <c r="R49" s="1531">
        <v>20.64</v>
      </c>
      <c r="S49" s="1531">
        <v>23.13</v>
      </c>
      <c r="T49" s="1531">
        <v>25.81</v>
      </c>
      <c r="U49" s="1531">
        <v>28.7</v>
      </c>
      <c r="V49" s="1531">
        <v>31.8</v>
      </c>
      <c r="W49" s="1531">
        <v>35.119999999999997</v>
      </c>
      <c r="X49" s="1531">
        <v>39.56</v>
      </c>
      <c r="Y49" s="1531">
        <v>43.96</v>
      </c>
      <c r="Z49" s="1531">
        <v>48.32</v>
      </c>
      <c r="AA49" s="1531">
        <v>52.63</v>
      </c>
      <c r="AB49" s="1532">
        <v>56.9</v>
      </c>
      <c r="AC49" s="1197"/>
      <c r="AD49" s="1216"/>
      <c r="AE49" s="1216"/>
      <c r="AF49" s="1216"/>
      <c r="AG49" s="1216"/>
      <c r="AH49" s="1216"/>
      <c r="AI49" s="1216"/>
      <c r="AJ49" s="1216"/>
      <c r="AK49" s="1216"/>
      <c r="AL49" s="1216"/>
      <c r="AM49" s="1216"/>
      <c r="AN49" s="1216"/>
      <c r="AO49" s="1216"/>
      <c r="AP49" s="1216"/>
      <c r="AQ49" s="1216"/>
      <c r="AR49" s="1216"/>
      <c r="AS49" s="1216"/>
      <c r="AT49" s="1216"/>
      <c r="AU49" s="1216"/>
      <c r="AV49" s="1216"/>
      <c r="AW49" s="1216"/>
      <c r="AX49" s="1216"/>
      <c r="AY49" s="1216"/>
      <c r="AZ49" s="1216"/>
      <c r="BA49" s="1216"/>
      <c r="BB49" s="1216"/>
      <c r="BC49" s="1216"/>
      <c r="BD49" s="1216"/>
      <c r="BE49" s="1216"/>
      <c r="BF49" s="1216"/>
      <c r="BG49" s="1216"/>
      <c r="BH49" s="1216"/>
      <c r="BI49" s="1216"/>
      <c r="BJ49" s="1216"/>
      <c r="BK49" s="1216"/>
      <c r="BL49" s="1216"/>
      <c r="BM49" s="1216"/>
      <c r="BN49" s="1216"/>
      <c r="BO49" s="1216"/>
      <c r="BP49" s="1216"/>
      <c r="BQ49" s="1216"/>
      <c r="BR49" s="1216"/>
      <c r="BS49" s="1216"/>
      <c r="BT49" s="1216"/>
      <c r="BU49" s="1216"/>
      <c r="BV49" s="1216"/>
      <c r="BW49" s="1216"/>
      <c r="BX49" s="1216"/>
      <c r="BY49" s="1216"/>
      <c r="BZ49" s="1216"/>
      <c r="CA49" s="1216"/>
      <c r="CB49" s="1216"/>
      <c r="CC49" s="1216"/>
      <c r="CD49" s="1216"/>
      <c r="CE49" s="1216"/>
      <c r="CF49" s="1216"/>
      <c r="CG49" s="1216"/>
      <c r="CH49" s="1216"/>
    </row>
    <row r="50" spans="1:86" ht="20.149999999999999" customHeight="1">
      <c r="A50" s="1563" t="s">
        <v>1424</v>
      </c>
      <c r="B50" s="1563" t="s">
        <v>13</v>
      </c>
      <c r="C50" s="1563" t="str">
        <f t="shared" si="0"/>
        <v>PBPDDM61</v>
      </c>
      <c r="D50" s="1194">
        <v>61</v>
      </c>
      <c r="E50" s="1525"/>
      <c r="F50" s="1533">
        <v>2.0299999999999998</v>
      </c>
      <c r="G50" s="1533">
        <v>3.15</v>
      </c>
      <c r="H50" s="1533">
        <v>4.3600000000000003</v>
      </c>
      <c r="I50" s="1533">
        <v>5.65</v>
      </c>
      <c r="J50" s="1533">
        <v>7.04</v>
      </c>
      <c r="K50" s="1533">
        <v>8.5399999999999991</v>
      </c>
      <c r="L50" s="1533">
        <v>10.16</v>
      </c>
      <c r="M50" s="1533">
        <v>11.9</v>
      </c>
      <c r="N50" s="1533">
        <v>13.79</v>
      </c>
      <c r="O50" s="1533">
        <v>15.83</v>
      </c>
      <c r="P50" s="1533">
        <v>18.03</v>
      </c>
      <c r="Q50" s="1533">
        <v>20.420000000000002</v>
      </c>
      <c r="R50" s="1533">
        <v>23</v>
      </c>
      <c r="S50" s="1533">
        <v>25.78</v>
      </c>
      <c r="T50" s="1533">
        <v>28.78</v>
      </c>
      <c r="U50" s="1533">
        <v>32</v>
      </c>
      <c r="V50" s="1533">
        <v>35.450000000000003</v>
      </c>
      <c r="W50" s="1533">
        <v>40.119999999999997</v>
      </c>
      <c r="X50" s="1533">
        <v>44.74</v>
      </c>
      <c r="Y50" s="1533">
        <v>49.31</v>
      </c>
      <c r="Z50" s="1533">
        <v>53.84</v>
      </c>
      <c r="AA50" s="1533">
        <v>58.32</v>
      </c>
      <c r="AB50" s="1534">
        <v>62.76</v>
      </c>
      <c r="AC50" s="1197"/>
      <c r="AD50" s="1216"/>
      <c r="AE50" s="1216"/>
      <c r="AF50" s="1216"/>
      <c r="AG50" s="1216"/>
      <c r="AH50" s="1216"/>
      <c r="AI50" s="1216"/>
      <c r="AJ50" s="1216"/>
      <c r="AK50" s="1216"/>
      <c r="AL50" s="1216"/>
      <c r="AM50" s="1216"/>
      <c r="AN50" s="1216"/>
      <c r="AO50" s="1216"/>
      <c r="AP50" s="1216"/>
      <c r="AQ50" s="1216"/>
      <c r="AR50" s="1216"/>
      <c r="AS50" s="1216"/>
      <c r="AT50" s="1216"/>
      <c r="AU50" s="1216"/>
      <c r="AV50" s="1216"/>
      <c r="AW50" s="1216"/>
      <c r="AX50" s="1216"/>
      <c r="AY50" s="1216"/>
      <c r="AZ50" s="1216"/>
      <c r="BA50" s="1216"/>
      <c r="BB50" s="1216"/>
      <c r="BC50" s="1216"/>
      <c r="BD50" s="1216"/>
      <c r="BE50" s="1216"/>
      <c r="BF50" s="1216"/>
      <c r="BG50" s="1216"/>
      <c r="BH50" s="1216"/>
      <c r="BI50" s="1216"/>
      <c r="BJ50" s="1216"/>
      <c r="BK50" s="1216"/>
      <c r="BL50" s="1216"/>
      <c r="BM50" s="1216"/>
      <c r="BN50" s="1216"/>
      <c r="BO50" s="1216"/>
      <c r="BP50" s="1216"/>
      <c r="BQ50" s="1216"/>
      <c r="BR50" s="1216"/>
      <c r="BS50" s="1216"/>
      <c r="BT50" s="1216"/>
      <c r="BU50" s="1216"/>
      <c r="BV50" s="1216"/>
      <c r="BW50" s="1216"/>
      <c r="BX50" s="1216"/>
      <c r="BY50" s="1216"/>
      <c r="BZ50" s="1216"/>
      <c r="CA50" s="1216"/>
      <c r="CB50" s="1216"/>
      <c r="CC50" s="1216"/>
      <c r="CD50" s="1216"/>
      <c r="CE50" s="1216"/>
      <c r="CF50" s="1216"/>
      <c r="CG50" s="1216"/>
      <c r="CH50" s="1216"/>
    </row>
    <row r="51" spans="1:86" ht="20.149999999999999" customHeight="1">
      <c r="A51" s="1563" t="s">
        <v>1424</v>
      </c>
      <c r="B51" s="1563" t="s">
        <v>13</v>
      </c>
      <c r="C51" s="1563" t="str">
        <f t="shared" si="0"/>
        <v>PBPDDM62</v>
      </c>
      <c r="D51" s="1193">
        <v>62</v>
      </c>
      <c r="E51" s="1524"/>
      <c r="F51" s="1531">
        <v>2.2400000000000002</v>
      </c>
      <c r="G51" s="1531">
        <v>3.48</v>
      </c>
      <c r="H51" s="1531">
        <v>4.82</v>
      </c>
      <c r="I51" s="1531">
        <v>6.26</v>
      </c>
      <c r="J51" s="1531">
        <v>7.8</v>
      </c>
      <c r="K51" s="1531">
        <v>9.4700000000000006</v>
      </c>
      <c r="L51" s="1531">
        <v>11.28</v>
      </c>
      <c r="M51" s="1531">
        <v>13.23</v>
      </c>
      <c r="N51" s="1531">
        <v>15.34</v>
      </c>
      <c r="O51" s="1531">
        <v>17.62</v>
      </c>
      <c r="P51" s="1531">
        <v>20.100000000000001</v>
      </c>
      <c r="Q51" s="1531">
        <v>22.77</v>
      </c>
      <c r="R51" s="1531">
        <v>25.66</v>
      </c>
      <c r="S51" s="1531">
        <v>28.77</v>
      </c>
      <c r="T51" s="1531">
        <v>32.119999999999997</v>
      </c>
      <c r="U51" s="1531">
        <v>35.72</v>
      </c>
      <c r="V51" s="1531">
        <v>40.619999999999997</v>
      </c>
      <c r="W51" s="1531">
        <v>45.48</v>
      </c>
      <c r="X51" s="1531">
        <v>50.29</v>
      </c>
      <c r="Y51" s="1531">
        <v>55.05</v>
      </c>
      <c r="Z51" s="1531">
        <v>59.76</v>
      </c>
      <c r="AA51" s="1531">
        <v>64.430000000000007</v>
      </c>
      <c r="AB51" s="1532">
        <v>69.05</v>
      </c>
      <c r="AC51" s="1197"/>
      <c r="AD51" s="1216"/>
      <c r="AE51" s="1216"/>
      <c r="AF51" s="1216"/>
      <c r="AG51" s="1216"/>
      <c r="AH51" s="1216"/>
      <c r="AI51" s="1216"/>
      <c r="AJ51" s="1216"/>
      <c r="AK51" s="1216"/>
      <c r="AL51" s="1216"/>
      <c r="AM51" s="1216"/>
      <c r="AN51" s="1216"/>
      <c r="AO51" s="1216"/>
      <c r="AP51" s="1216"/>
      <c r="AQ51" s="1216"/>
      <c r="AR51" s="1216"/>
      <c r="AS51" s="1216"/>
      <c r="AT51" s="1216"/>
      <c r="AU51" s="1216"/>
      <c r="AV51" s="1216"/>
      <c r="AW51" s="1216"/>
      <c r="AX51" s="1216"/>
      <c r="AY51" s="1216"/>
      <c r="AZ51" s="1216"/>
      <c r="BA51" s="1216"/>
      <c r="BB51" s="1216"/>
      <c r="BC51" s="1216"/>
      <c r="BD51" s="1216"/>
      <c r="BE51" s="1216"/>
      <c r="BF51" s="1216"/>
      <c r="BG51" s="1216"/>
      <c r="BH51" s="1216"/>
      <c r="BI51" s="1216"/>
      <c r="BJ51" s="1216"/>
      <c r="BK51" s="1216"/>
      <c r="BL51" s="1216"/>
      <c r="BM51" s="1216"/>
      <c r="BN51" s="1216"/>
      <c r="BO51" s="1216"/>
      <c r="BP51" s="1216"/>
      <c r="BQ51" s="1216"/>
      <c r="BR51" s="1216"/>
      <c r="BS51" s="1216"/>
      <c r="BT51" s="1216"/>
      <c r="BU51" s="1216"/>
      <c r="BV51" s="1216"/>
      <c r="BW51" s="1216"/>
      <c r="BX51" s="1216"/>
      <c r="BY51" s="1216"/>
      <c r="BZ51" s="1216"/>
      <c r="CA51" s="1216"/>
      <c r="CB51" s="1216"/>
      <c r="CC51" s="1216"/>
      <c r="CD51" s="1216"/>
      <c r="CE51" s="1216"/>
      <c r="CF51" s="1216"/>
      <c r="CG51" s="1216"/>
      <c r="CH51" s="1216"/>
    </row>
    <row r="52" spans="1:86" ht="20.149999999999999" customHeight="1">
      <c r="A52" s="1563" t="s">
        <v>1424</v>
      </c>
      <c r="B52" s="1563" t="s">
        <v>13</v>
      </c>
      <c r="C52" s="1563" t="str">
        <f t="shared" si="0"/>
        <v>PBPDDM63</v>
      </c>
      <c r="D52" s="1193">
        <v>63</v>
      </c>
      <c r="E52" s="1524"/>
      <c r="F52" s="1531">
        <v>2.48</v>
      </c>
      <c r="G52" s="1531">
        <v>3.86</v>
      </c>
      <c r="H52" s="1531">
        <v>5.34</v>
      </c>
      <c r="I52" s="1531">
        <v>6.94</v>
      </c>
      <c r="J52" s="1531">
        <v>8.66</v>
      </c>
      <c r="K52" s="1531">
        <v>10.53</v>
      </c>
      <c r="L52" s="1531">
        <v>12.55</v>
      </c>
      <c r="M52" s="1531">
        <v>14.73</v>
      </c>
      <c r="N52" s="1531">
        <v>17.100000000000001</v>
      </c>
      <c r="O52" s="1531">
        <v>19.66</v>
      </c>
      <c r="P52" s="1531">
        <v>22.44</v>
      </c>
      <c r="Q52" s="1531">
        <v>25.44</v>
      </c>
      <c r="R52" s="1531">
        <v>28.68</v>
      </c>
      <c r="S52" s="1531">
        <v>32.159999999999997</v>
      </c>
      <c r="T52" s="1531">
        <v>35.9</v>
      </c>
      <c r="U52" s="1531">
        <v>41.06</v>
      </c>
      <c r="V52" s="1531">
        <v>46.17</v>
      </c>
      <c r="W52" s="1531">
        <v>51.23</v>
      </c>
      <c r="X52" s="1531">
        <v>56.24</v>
      </c>
      <c r="Y52" s="1531">
        <v>61.21</v>
      </c>
      <c r="Z52" s="1531">
        <v>66.12</v>
      </c>
      <c r="AA52" s="1531">
        <v>70.98</v>
      </c>
      <c r="AB52" s="1532">
        <v>75.8</v>
      </c>
      <c r="AC52" s="1197"/>
      <c r="AD52" s="1216"/>
      <c r="AE52" s="1216"/>
      <c r="AF52" s="1216"/>
      <c r="AG52" s="1216"/>
      <c r="AH52" s="1216"/>
      <c r="AI52" s="1216"/>
      <c r="AJ52" s="1216"/>
      <c r="AK52" s="1216"/>
      <c r="AL52" s="1216"/>
      <c r="AM52" s="1216"/>
      <c r="AN52" s="1216"/>
      <c r="AO52" s="1216"/>
      <c r="AP52" s="1216"/>
      <c r="AQ52" s="1216"/>
      <c r="AR52" s="1216"/>
      <c r="AS52" s="1216"/>
      <c r="AT52" s="1216"/>
      <c r="AU52" s="1216"/>
      <c r="AV52" s="1216"/>
      <c r="AW52" s="1216"/>
      <c r="AX52" s="1216"/>
      <c r="AY52" s="1216"/>
      <c r="AZ52" s="1216"/>
      <c r="BA52" s="1216"/>
      <c r="BB52" s="1216"/>
      <c r="BC52" s="1216"/>
      <c r="BD52" s="1216"/>
      <c r="BE52" s="1216"/>
      <c r="BF52" s="1216"/>
      <c r="BG52" s="1216"/>
      <c r="BH52" s="1216"/>
      <c r="BI52" s="1216"/>
      <c r="BJ52" s="1216"/>
      <c r="BK52" s="1216"/>
      <c r="BL52" s="1216"/>
      <c r="BM52" s="1216"/>
      <c r="BN52" s="1216"/>
      <c r="BO52" s="1216"/>
      <c r="BP52" s="1216"/>
      <c r="BQ52" s="1216"/>
      <c r="BR52" s="1216"/>
      <c r="BS52" s="1216"/>
      <c r="BT52" s="1216"/>
      <c r="BU52" s="1216"/>
      <c r="BV52" s="1216"/>
      <c r="BW52" s="1216"/>
      <c r="BX52" s="1216"/>
      <c r="BY52" s="1216"/>
      <c r="BZ52" s="1216"/>
      <c r="CA52" s="1216"/>
      <c r="CB52" s="1216"/>
      <c r="CC52" s="1216"/>
      <c r="CD52" s="1216"/>
      <c r="CE52" s="1216"/>
      <c r="CF52" s="1216"/>
      <c r="CG52" s="1216"/>
      <c r="CH52" s="1216"/>
    </row>
    <row r="53" spans="1:86" ht="20.149999999999999" customHeight="1">
      <c r="A53" s="1563" t="s">
        <v>1424</v>
      </c>
      <c r="B53" s="1563" t="s">
        <v>13</v>
      </c>
      <c r="C53" s="1563" t="str">
        <f t="shared" si="0"/>
        <v>PBPDDM64</v>
      </c>
      <c r="D53" s="1193">
        <v>64</v>
      </c>
      <c r="E53" s="1524"/>
      <c r="F53" s="1531">
        <v>2.74</v>
      </c>
      <c r="G53" s="1531">
        <v>4.28</v>
      </c>
      <c r="H53" s="1531">
        <v>5.93</v>
      </c>
      <c r="I53" s="1531">
        <v>7.71</v>
      </c>
      <c r="J53" s="1531">
        <v>9.64</v>
      </c>
      <c r="K53" s="1531">
        <v>11.73</v>
      </c>
      <c r="L53" s="1531">
        <v>13.99</v>
      </c>
      <c r="M53" s="1531">
        <v>16.440000000000001</v>
      </c>
      <c r="N53" s="1531">
        <v>19.100000000000001</v>
      </c>
      <c r="O53" s="1531">
        <v>21.98</v>
      </c>
      <c r="P53" s="1531">
        <v>25.1</v>
      </c>
      <c r="Q53" s="1531">
        <v>28.46</v>
      </c>
      <c r="R53" s="1531">
        <v>32.08</v>
      </c>
      <c r="S53" s="1531">
        <v>35.97</v>
      </c>
      <c r="T53" s="1531">
        <v>41.42</v>
      </c>
      <c r="U53" s="1531">
        <v>46.8</v>
      </c>
      <c r="V53" s="1531">
        <v>52.13</v>
      </c>
      <c r="W53" s="1531">
        <v>57.42</v>
      </c>
      <c r="X53" s="1531">
        <v>62.64</v>
      </c>
      <c r="Y53" s="1531">
        <v>67.819999999999993</v>
      </c>
      <c r="Z53" s="1531">
        <v>72.95</v>
      </c>
      <c r="AA53" s="1531">
        <v>78.02</v>
      </c>
      <c r="AB53" s="1532">
        <v>83.04</v>
      </c>
      <c r="AC53" s="1197"/>
      <c r="AD53" s="1216"/>
      <c r="AE53" s="1216"/>
      <c r="AF53" s="1216"/>
      <c r="AG53" s="1216"/>
      <c r="AH53" s="1216"/>
      <c r="AI53" s="1216"/>
      <c r="AJ53" s="1216"/>
      <c r="AK53" s="1216"/>
      <c r="AL53" s="1216"/>
      <c r="AM53" s="1216"/>
      <c r="AN53" s="1216"/>
      <c r="AO53" s="1216"/>
      <c r="AP53" s="1216"/>
      <c r="AQ53" s="1216"/>
      <c r="AR53" s="1216"/>
      <c r="AS53" s="1216"/>
      <c r="AT53" s="1216"/>
      <c r="AU53" s="1216"/>
      <c r="AV53" s="1216"/>
      <c r="AW53" s="1216"/>
      <c r="AX53" s="1216"/>
      <c r="AY53" s="1216"/>
      <c r="AZ53" s="1216"/>
      <c r="BA53" s="1216"/>
      <c r="BB53" s="1216"/>
      <c r="BC53" s="1216"/>
      <c r="BD53" s="1216"/>
      <c r="BE53" s="1216"/>
      <c r="BF53" s="1216"/>
      <c r="BG53" s="1216"/>
      <c r="BH53" s="1216"/>
      <c r="BI53" s="1216"/>
      <c r="BJ53" s="1216"/>
      <c r="BK53" s="1216"/>
      <c r="BL53" s="1216"/>
      <c r="BM53" s="1216"/>
      <c r="BN53" s="1216"/>
      <c r="BO53" s="1216"/>
      <c r="BP53" s="1216"/>
      <c r="BQ53" s="1216"/>
      <c r="BR53" s="1216"/>
      <c r="BS53" s="1216"/>
      <c r="BT53" s="1216"/>
      <c r="BU53" s="1216"/>
      <c r="BV53" s="1216"/>
      <c r="BW53" s="1216"/>
      <c r="BX53" s="1216"/>
      <c r="BY53" s="1216"/>
      <c r="BZ53" s="1216"/>
      <c r="CA53" s="1216"/>
      <c r="CB53" s="1216"/>
      <c r="CC53" s="1216"/>
      <c r="CD53" s="1216"/>
      <c r="CE53" s="1216"/>
      <c r="CF53" s="1216"/>
      <c r="CG53" s="1216"/>
      <c r="CH53" s="1216"/>
    </row>
    <row r="54" spans="1:86" ht="20.149999999999999" customHeight="1">
      <c r="A54" s="1563" t="s">
        <v>1424</v>
      </c>
      <c r="B54" s="1563" t="s">
        <v>13</v>
      </c>
      <c r="C54" s="1563" t="str">
        <f t="shared" si="0"/>
        <v>PBPDDM65</v>
      </c>
      <c r="D54" s="1195">
        <v>65</v>
      </c>
      <c r="E54" s="1526"/>
      <c r="F54" s="1535">
        <v>3.05</v>
      </c>
      <c r="G54" s="1535">
        <v>4.75</v>
      </c>
      <c r="H54" s="1535">
        <v>6.59</v>
      </c>
      <c r="I54" s="1535">
        <v>8.59</v>
      </c>
      <c r="J54" s="1535">
        <v>10.75</v>
      </c>
      <c r="K54" s="1535">
        <v>13.09</v>
      </c>
      <c r="L54" s="1535">
        <v>15.63</v>
      </c>
      <c r="M54" s="1535">
        <v>18.39</v>
      </c>
      <c r="N54" s="1535">
        <v>21.37</v>
      </c>
      <c r="O54" s="1535">
        <v>24.61</v>
      </c>
      <c r="P54" s="1535">
        <v>28.11</v>
      </c>
      <c r="Q54" s="1535">
        <v>31.88</v>
      </c>
      <c r="R54" s="1535">
        <v>35.93</v>
      </c>
      <c r="S54" s="1535">
        <v>41.67</v>
      </c>
      <c r="T54" s="1535">
        <v>47.35</v>
      </c>
      <c r="U54" s="1535">
        <v>52.98</v>
      </c>
      <c r="V54" s="1535">
        <v>58.55</v>
      </c>
      <c r="W54" s="1535">
        <v>64.06</v>
      </c>
      <c r="X54" s="1535">
        <v>69.52</v>
      </c>
      <c r="Y54" s="1535">
        <v>74.930000000000007</v>
      </c>
      <c r="Z54" s="1535">
        <v>80.28</v>
      </c>
      <c r="AA54" s="1535">
        <v>85.58</v>
      </c>
      <c r="AB54" s="1536">
        <v>90.83</v>
      </c>
      <c r="AC54" s="1197"/>
      <c r="AD54" s="1216"/>
      <c r="AE54" s="1216"/>
      <c r="AF54" s="1216"/>
      <c r="AG54" s="1216"/>
      <c r="AH54" s="1216"/>
      <c r="AI54" s="1216"/>
      <c r="AJ54" s="1216"/>
      <c r="AK54" s="1216"/>
      <c r="AL54" s="1216"/>
      <c r="AM54" s="1216"/>
      <c r="AN54" s="1216"/>
      <c r="AO54" s="1216"/>
      <c r="AP54" s="1216"/>
      <c r="AQ54" s="1216"/>
      <c r="AR54" s="1216"/>
      <c r="AS54" s="1216"/>
      <c r="AT54" s="1216"/>
      <c r="AU54" s="1216"/>
      <c r="AV54" s="1216"/>
      <c r="AW54" s="1216"/>
      <c r="AX54" s="1216"/>
      <c r="AY54" s="1216"/>
      <c r="AZ54" s="1216"/>
      <c r="BA54" s="1216"/>
      <c r="BB54" s="1216"/>
      <c r="BC54" s="1216"/>
      <c r="BD54" s="1216"/>
      <c r="BE54" s="1216"/>
      <c r="BF54" s="1216"/>
      <c r="BG54" s="1216"/>
      <c r="BH54" s="1216"/>
      <c r="BI54" s="1216"/>
      <c r="BJ54" s="1216"/>
      <c r="BK54" s="1216"/>
      <c r="BL54" s="1216"/>
      <c r="BM54" s="1216"/>
      <c r="BN54" s="1216"/>
      <c r="BO54" s="1216"/>
      <c r="BP54" s="1216"/>
      <c r="BQ54" s="1216"/>
      <c r="BR54" s="1216"/>
      <c r="BS54" s="1216"/>
      <c r="BT54" s="1216"/>
      <c r="BU54" s="1216"/>
      <c r="BV54" s="1216"/>
      <c r="BW54" s="1216"/>
      <c r="BX54" s="1216"/>
      <c r="BY54" s="1216"/>
      <c r="BZ54" s="1216"/>
      <c r="CA54" s="1216"/>
      <c r="CB54" s="1216"/>
      <c r="CC54" s="1216"/>
      <c r="CD54" s="1216"/>
      <c r="CE54" s="1216"/>
      <c r="CF54" s="1216"/>
      <c r="CG54" s="1216"/>
      <c r="CH54" s="1216"/>
    </row>
    <row r="55" spans="1:86" ht="20.149999999999999" customHeight="1">
      <c r="A55" s="1563" t="s">
        <v>1424</v>
      </c>
      <c r="B55" s="1563" t="s">
        <v>13</v>
      </c>
      <c r="C55" s="1563" t="str">
        <f t="shared" si="0"/>
        <v>PBPDDM66</v>
      </c>
      <c r="D55" s="1193">
        <v>66</v>
      </c>
      <c r="E55" s="1524"/>
      <c r="F55" s="1531">
        <v>3.39</v>
      </c>
      <c r="G55" s="1531">
        <v>5.29</v>
      </c>
      <c r="H55" s="1531">
        <v>7.35</v>
      </c>
      <c r="I55" s="1531">
        <v>9.58</v>
      </c>
      <c r="J55" s="1531">
        <v>12.01</v>
      </c>
      <c r="K55" s="1531">
        <v>14.64</v>
      </c>
      <c r="L55" s="1531">
        <v>17.5</v>
      </c>
      <c r="M55" s="1531">
        <v>20.6</v>
      </c>
      <c r="N55" s="1531">
        <v>23.95</v>
      </c>
      <c r="O55" s="1531">
        <v>27.59</v>
      </c>
      <c r="P55" s="1531">
        <v>31.51</v>
      </c>
      <c r="Q55" s="1531">
        <v>35.729999999999997</v>
      </c>
      <c r="R55" s="1531">
        <v>41.79</v>
      </c>
      <c r="S55" s="1531">
        <v>47.79</v>
      </c>
      <c r="T55" s="1531">
        <v>53.74</v>
      </c>
      <c r="U55" s="1531">
        <v>59.62</v>
      </c>
      <c r="V55" s="1531">
        <v>65.45</v>
      </c>
      <c r="W55" s="1531">
        <v>71.209999999999994</v>
      </c>
      <c r="X55" s="1531">
        <v>76.92</v>
      </c>
      <c r="Y55" s="1531">
        <v>82.58</v>
      </c>
      <c r="Z55" s="1531">
        <v>88.18</v>
      </c>
      <c r="AA55" s="1531">
        <v>93.72</v>
      </c>
      <c r="AB55" s="1532">
        <v>99.21</v>
      </c>
      <c r="AC55" s="1197"/>
      <c r="AD55" s="1216"/>
      <c r="AE55" s="1216"/>
      <c r="AF55" s="1216"/>
      <c r="AG55" s="1216"/>
      <c r="AH55" s="1216"/>
      <c r="AI55" s="1216"/>
      <c r="AJ55" s="1216"/>
      <c r="AK55" s="1216"/>
      <c r="AL55" s="1216"/>
      <c r="AM55" s="1216"/>
      <c r="AN55" s="1216"/>
      <c r="AO55" s="1216"/>
      <c r="AP55" s="1216"/>
      <c r="AQ55" s="1216"/>
      <c r="AR55" s="1216"/>
      <c r="AS55" s="1216"/>
      <c r="AT55" s="1216"/>
      <c r="AU55" s="1216"/>
      <c r="AV55" s="1216"/>
      <c r="AW55" s="1216"/>
      <c r="AX55" s="1216"/>
      <c r="AY55" s="1216"/>
      <c r="AZ55" s="1216"/>
      <c r="BA55" s="1216"/>
      <c r="BB55" s="1216"/>
      <c r="BC55" s="1216"/>
      <c r="BD55" s="1216"/>
      <c r="BE55" s="1216"/>
      <c r="BF55" s="1216"/>
      <c r="BG55" s="1216"/>
      <c r="BH55" s="1216"/>
      <c r="BI55" s="1216"/>
      <c r="BJ55" s="1216"/>
      <c r="BK55" s="1216"/>
      <c r="BL55" s="1216"/>
      <c r="BM55" s="1216"/>
      <c r="BN55" s="1216"/>
      <c r="BO55" s="1216"/>
      <c r="BP55" s="1216"/>
      <c r="BQ55" s="1216"/>
      <c r="BR55" s="1216"/>
      <c r="BS55" s="1216"/>
      <c r="BT55" s="1216"/>
      <c r="BU55" s="1216"/>
      <c r="BV55" s="1216"/>
      <c r="BW55" s="1216"/>
      <c r="BX55" s="1216"/>
      <c r="BY55" s="1216"/>
      <c r="BZ55" s="1216"/>
      <c r="CA55" s="1216"/>
      <c r="CB55" s="1216"/>
      <c r="CC55" s="1216"/>
      <c r="CD55" s="1216"/>
      <c r="CE55" s="1216"/>
      <c r="CF55" s="1216"/>
      <c r="CG55" s="1216"/>
      <c r="CH55" s="1216"/>
    </row>
    <row r="56" spans="1:86" ht="20.149999999999999" customHeight="1">
      <c r="A56" s="1563" t="s">
        <v>1424</v>
      </c>
      <c r="B56" s="1563" t="s">
        <v>13</v>
      </c>
      <c r="C56" s="1563" t="str">
        <f t="shared" si="0"/>
        <v>PBPDDM67</v>
      </c>
      <c r="D56" s="1193">
        <v>67</v>
      </c>
      <c r="E56" s="1524"/>
      <c r="F56" s="1531">
        <v>3.78</v>
      </c>
      <c r="G56" s="1531">
        <v>5.9</v>
      </c>
      <c r="H56" s="1531">
        <v>8.2100000000000009</v>
      </c>
      <c r="I56" s="1531">
        <v>10.72</v>
      </c>
      <c r="J56" s="1531">
        <v>13.44</v>
      </c>
      <c r="K56" s="1531">
        <v>16.399999999999999</v>
      </c>
      <c r="L56" s="1531">
        <v>19.62</v>
      </c>
      <c r="M56" s="1531">
        <v>23.1</v>
      </c>
      <c r="N56" s="1531">
        <v>26.88</v>
      </c>
      <c r="O56" s="1531">
        <v>30.96</v>
      </c>
      <c r="P56" s="1531">
        <v>35.35</v>
      </c>
      <c r="Q56" s="1531">
        <v>41.76</v>
      </c>
      <c r="R56" s="1531">
        <v>48.11</v>
      </c>
      <c r="S56" s="1531">
        <v>54.39</v>
      </c>
      <c r="T56" s="1531">
        <v>60.61</v>
      </c>
      <c r="U56" s="1531">
        <v>66.77</v>
      </c>
      <c r="V56" s="1531">
        <v>72.87</v>
      </c>
      <c r="W56" s="1531">
        <v>78.91</v>
      </c>
      <c r="X56" s="1531">
        <v>84.89</v>
      </c>
      <c r="Y56" s="1531">
        <v>90.81</v>
      </c>
      <c r="Z56" s="1531">
        <v>96.67</v>
      </c>
      <c r="AA56" s="1531">
        <v>102.47</v>
      </c>
      <c r="AB56" s="1532">
        <v>108.22</v>
      </c>
      <c r="AC56" s="1197"/>
      <c r="AD56" s="1216"/>
      <c r="AE56" s="1216"/>
      <c r="AF56" s="1216"/>
      <c r="AG56" s="1216"/>
      <c r="AH56" s="1216"/>
      <c r="AI56" s="1216"/>
      <c r="AJ56" s="1216"/>
      <c r="AK56" s="1216"/>
      <c r="AL56" s="1216"/>
      <c r="AM56" s="1216"/>
      <c r="AN56" s="1216"/>
      <c r="AO56" s="1216"/>
      <c r="AP56" s="1216"/>
      <c r="AQ56" s="1216"/>
      <c r="AR56" s="1216"/>
      <c r="AS56" s="1216"/>
      <c r="AT56" s="1216"/>
      <c r="AU56" s="1216"/>
      <c r="AV56" s="1216"/>
      <c r="AW56" s="1216"/>
      <c r="AX56" s="1216"/>
      <c r="AY56" s="1216"/>
      <c r="AZ56" s="1216"/>
      <c r="BA56" s="1216"/>
      <c r="BB56" s="1216"/>
      <c r="BC56" s="1216"/>
      <c r="BD56" s="1216"/>
      <c r="BE56" s="1216"/>
      <c r="BF56" s="1216"/>
      <c r="BG56" s="1216"/>
      <c r="BH56" s="1216"/>
      <c r="BI56" s="1216"/>
      <c r="BJ56" s="1216"/>
      <c r="BK56" s="1216"/>
      <c r="BL56" s="1216"/>
      <c r="BM56" s="1216"/>
      <c r="BN56" s="1216"/>
      <c r="BO56" s="1216"/>
      <c r="BP56" s="1216"/>
      <c r="BQ56" s="1216"/>
      <c r="BR56" s="1216"/>
      <c r="BS56" s="1216"/>
      <c r="BT56" s="1216"/>
      <c r="BU56" s="1216"/>
      <c r="BV56" s="1216"/>
      <c r="BW56" s="1216"/>
      <c r="BX56" s="1216"/>
      <c r="BY56" s="1216"/>
      <c r="BZ56" s="1216"/>
      <c r="CA56" s="1216"/>
      <c r="CB56" s="1216"/>
      <c r="CC56" s="1216"/>
      <c r="CD56" s="1216"/>
      <c r="CE56" s="1216"/>
      <c r="CF56" s="1216"/>
      <c r="CG56" s="1216"/>
      <c r="CH56" s="1216"/>
    </row>
    <row r="57" spans="1:86" ht="20.149999999999999" customHeight="1">
      <c r="A57" s="1563" t="s">
        <v>1424</v>
      </c>
      <c r="B57" s="1563" t="s">
        <v>13</v>
      </c>
      <c r="C57" s="1563" t="str">
        <f t="shared" si="0"/>
        <v>PBPDDM68</v>
      </c>
      <c r="D57" s="1193">
        <v>68</v>
      </c>
      <c r="E57" s="1524"/>
      <c r="F57" s="1531">
        <v>4.22</v>
      </c>
      <c r="G57" s="1531">
        <v>6.6</v>
      </c>
      <c r="H57" s="1531">
        <v>9.19</v>
      </c>
      <c r="I57" s="1531">
        <v>12.01</v>
      </c>
      <c r="J57" s="1531">
        <v>15.07</v>
      </c>
      <c r="K57" s="1531">
        <v>18.41</v>
      </c>
      <c r="L57" s="1531">
        <v>22.02</v>
      </c>
      <c r="M57" s="1531">
        <v>25.95</v>
      </c>
      <c r="N57" s="1531">
        <v>30.19</v>
      </c>
      <c r="O57" s="1531">
        <v>34.76</v>
      </c>
      <c r="P57" s="1531">
        <v>41.54</v>
      </c>
      <c r="Q57" s="1531">
        <v>48.26</v>
      </c>
      <c r="R57" s="1531">
        <v>54.91</v>
      </c>
      <c r="S57" s="1531">
        <v>61.5</v>
      </c>
      <c r="T57" s="1531">
        <v>68.02</v>
      </c>
      <c r="U57" s="1531">
        <v>74.47</v>
      </c>
      <c r="V57" s="1531">
        <v>80.87</v>
      </c>
      <c r="W57" s="1531">
        <v>87.19</v>
      </c>
      <c r="X57" s="1531">
        <v>93.46</v>
      </c>
      <c r="Y57" s="1531">
        <v>99.66</v>
      </c>
      <c r="Z57" s="1531">
        <v>105.81</v>
      </c>
      <c r="AA57" s="1531">
        <v>111.89</v>
      </c>
      <c r="AB57" s="1532">
        <v>117.91</v>
      </c>
      <c r="AC57" s="1197"/>
      <c r="AD57" s="1216"/>
      <c r="AE57" s="1216"/>
      <c r="AF57" s="1216"/>
      <c r="AG57" s="1216"/>
      <c r="AH57" s="1216"/>
      <c r="AI57" s="1216"/>
      <c r="AJ57" s="1216"/>
      <c r="AK57" s="1216"/>
      <c r="AL57" s="1216"/>
      <c r="AM57" s="1216"/>
      <c r="AN57" s="1216"/>
      <c r="AO57" s="1216"/>
      <c r="AP57" s="1216"/>
      <c r="AQ57" s="1216"/>
      <c r="AR57" s="1216"/>
      <c r="AS57" s="1216"/>
      <c r="AT57" s="1216"/>
      <c r="AU57" s="1216"/>
      <c r="AV57" s="1216"/>
      <c r="AW57" s="1216"/>
      <c r="AX57" s="1216"/>
      <c r="AY57" s="1216"/>
      <c r="AZ57" s="1216"/>
      <c r="BA57" s="1216"/>
      <c r="BB57" s="1216"/>
      <c r="BC57" s="1216"/>
      <c r="BD57" s="1216"/>
      <c r="BE57" s="1216"/>
      <c r="BF57" s="1216"/>
      <c r="BG57" s="1216"/>
      <c r="BH57" s="1216"/>
      <c r="BI57" s="1216"/>
      <c r="BJ57" s="1216"/>
      <c r="BK57" s="1216"/>
      <c r="BL57" s="1216"/>
      <c r="BM57" s="1216"/>
      <c r="BN57" s="1216"/>
      <c r="BO57" s="1216"/>
      <c r="BP57" s="1216"/>
      <c r="BQ57" s="1216"/>
      <c r="BR57" s="1216"/>
      <c r="BS57" s="1216"/>
      <c r="BT57" s="1216"/>
      <c r="BU57" s="1216"/>
      <c r="BV57" s="1216"/>
      <c r="BW57" s="1216"/>
      <c r="BX57" s="1216"/>
      <c r="BY57" s="1216"/>
      <c r="BZ57" s="1216"/>
      <c r="CA57" s="1216"/>
      <c r="CB57" s="1216"/>
      <c r="CC57" s="1216"/>
      <c r="CD57" s="1216"/>
      <c r="CE57" s="1216"/>
      <c r="CF57" s="1216"/>
      <c r="CG57" s="1216"/>
      <c r="CH57" s="1216"/>
    </row>
    <row r="58" spans="1:86" ht="20.149999999999999" customHeight="1">
      <c r="A58" s="1563" t="s">
        <v>1424</v>
      </c>
      <c r="B58" s="1563" t="s">
        <v>13</v>
      </c>
      <c r="C58" s="1563" t="str">
        <f t="shared" si="0"/>
        <v>PBPDDM69</v>
      </c>
      <c r="D58" s="1193">
        <v>69</v>
      </c>
      <c r="E58" s="1524"/>
      <c r="F58" s="1531">
        <v>4.72</v>
      </c>
      <c r="G58" s="1531">
        <v>7.39</v>
      </c>
      <c r="H58" s="1531">
        <v>10.31</v>
      </c>
      <c r="I58" s="1531">
        <v>13.48</v>
      </c>
      <c r="J58" s="1531">
        <v>16.93</v>
      </c>
      <c r="K58" s="1531">
        <v>20.68</v>
      </c>
      <c r="L58" s="1531">
        <v>24.75</v>
      </c>
      <c r="M58" s="1531">
        <v>29.16</v>
      </c>
      <c r="N58" s="1531">
        <v>33.909999999999997</v>
      </c>
      <c r="O58" s="1531">
        <v>41.1</v>
      </c>
      <c r="P58" s="1531">
        <v>48.22</v>
      </c>
      <c r="Q58" s="1531">
        <v>55.27</v>
      </c>
      <c r="R58" s="1531">
        <v>62.24</v>
      </c>
      <c r="S58" s="1531">
        <v>69.150000000000006</v>
      </c>
      <c r="T58" s="1531">
        <v>75.989999999999995</v>
      </c>
      <c r="U58" s="1531">
        <v>82.76</v>
      </c>
      <c r="V58" s="1531">
        <v>89.47</v>
      </c>
      <c r="W58" s="1531">
        <v>96.11</v>
      </c>
      <c r="X58" s="1531">
        <v>102.68</v>
      </c>
      <c r="Y58" s="1531">
        <v>109.19</v>
      </c>
      <c r="Z58" s="1531">
        <v>115.63</v>
      </c>
      <c r="AA58" s="1531">
        <v>122.01</v>
      </c>
      <c r="AB58" s="1532">
        <v>128.33000000000001</v>
      </c>
      <c r="AC58" s="1197"/>
      <c r="AD58" s="1216"/>
      <c r="AE58" s="1216"/>
      <c r="AF58" s="1216"/>
      <c r="AG58" s="1216"/>
      <c r="AH58" s="1216"/>
      <c r="AI58" s="1216"/>
      <c r="AJ58" s="1216"/>
      <c r="AK58" s="1216"/>
      <c r="AL58" s="1216"/>
      <c r="AM58" s="1216"/>
      <c r="AN58" s="1216"/>
      <c r="AO58" s="1216"/>
      <c r="AP58" s="1216"/>
      <c r="AQ58" s="1216"/>
      <c r="AR58" s="1216"/>
      <c r="AS58" s="1216"/>
      <c r="AT58" s="1216"/>
      <c r="AU58" s="1216"/>
      <c r="AV58" s="1216"/>
      <c r="AW58" s="1216"/>
      <c r="AX58" s="1216"/>
      <c r="AY58" s="1216"/>
      <c r="AZ58" s="1216"/>
      <c r="BA58" s="1216"/>
      <c r="BB58" s="1216"/>
      <c r="BC58" s="1216"/>
      <c r="BD58" s="1216"/>
      <c r="BE58" s="1216"/>
      <c r="BF58" s="1216"/>
      <c r="BG58" s="1216"/>
      <c r="BH58" s="1216"/>
      <c r="BI58" s="1216"/>
      <c r="BJ58" s="1216"/>
      <c r="BK58" s="1216"/>
      <c r="BL58" s="1216"/>
      <c r="BM58" s="1216"/>
      <c r="BN58" s="1216"/>
      <c r="BO58" s="1216"/>
      <c r="BP58" s="1216"/>
      <c r="BQ58" s="1216"/>
      <c r="BR58" s="1216"/>
      <c r="BS58" s="1216"/>
      <c r="BT58" s="1216"/>
      <c r="BU58" s="1216"/>
      <c r="BV58" s="1216"/>
      <c r="BW58" s="1216"/>
      <c r="BX58" s="1216"/>
      <c r="BY58" s="1216"/>
      <c r="BZ58" s="1216"/>
      <c r="CA58" s="1216"/>
      <c r="CB58" s="1216"/>
      <c r="CC58" s="1216"/>
      <c r="CD58" s="1216"/>
      <c r="CE58" s="1216"/>
      <c r="CF58" s="1216"/>
      <c r="CG58" s="1216"/>
      <c r="CH58" s="1216"/>
    </row>
    <row r="59" spans="1:86" ht="20.149999999999999" customHeight="1">
      <c r="A59" s="1563" t="s">
        <v>1424</v>
      </c>
      <c r="B59" s="1563" t="s">
        <v>13</v>
      </c>
      <c r="C59" s="1563" t="str">
        <f t="shared" si="0"/>
        <v>PBPDDM70</v>
      </c>
      <c r="D59" s="1196">
        <v>70</v>
      </c>
      <c r="E59" s="1527"/>
      <c r="F59" s="1537">
        <v>5.29</v>
      </c>
      <c r="G59" s="1537">
        <v>8.3000000000000007</v>
      </c>
      <c r="H59" s="1537">
        <v>11.57</v>
      </c>
      <c r="I59" s="1537">
        <v>15.14</v>
      </c>
      <c r="J59" s="1537">
        <v>19.03</v>
      </c>
      <c r="K59" s="1537">
        <v>23.25</v>
      </c>
      <c r="L59" s="1537">
        <v>27.82</v>
      </c>
      <c r="M59" s="1537">
        <v>32.76</v>
      </c>
      <c r="N59" s="1537">
        <v>40.39</v>
      </c>
      <c r="O59" s="1537">
        <v>47.93</v>
      </c>
      <c r="P59" s="1537">
        <v>55.41</v>
      </c>
      <c r="Q59" s="1537">
        <v>62.81</v>
      </c>
      <c r="R59" s="1537">
        <v>70.13</v>
      </c>
      <c r="S59" s="1537">
        <v>77.38</v>
      </c>
      <c r="T59" s="1537">
        <v>84.56</v>
      </c>
      <c r="U59" s="1537">
        <v>91.68</v>
      </c>
      <c r="V59" s="1537">
        <v>98.71</v>
      </c>
      <c r="W59" s="1537">
        <v>105.68</v>
      </c>
      <c r="X59" s="1537">
        <v>112.59</v>
      </c>
      <c r="Y59" s="1537">
        <v>119.42</v>
      </c>
      <c r="Z59" s="1537">
        <v>126.18</v>
      </c>
      <c r="AA59" s="1537">
        <v>132.88</v>
      </c>
      <c r="AB59" s="1538">
        <v>139.51</v>
      </c>
      <c r="AC59" s="1197"/>
      <c r="AD59" s="1216"/>
      <c r="AE59" s="1216"/>
      <c r="AF59" s="1216"/>
      <c r="AG59" s="1216"/>
      <c r="AH59" s="1216"/>
      <c r="AI59" s="1216"/>
      <c r="AJ59" s="1216"/>
      <c r="AK59" s="1216"/>
      <c r="AL59" s="1216"/>
      <c r="AM59" s="1216"/>
      <c r="AN59" s="1216"/>
      <c r="AO59" s="1216"/>
      <c r="AP59" s="1216"/>
      <c r="AQ59" s="1216"/>
      <c r="AR59" s="1216"/>
      <c r="AS59" s="1216"/>
      <c r="AT59" s="1216"/>
      <c r="AU59" s="1216"/>
      <c r="AV59" s="1216"/>
      <c r="AW59" s="1216"/>
      <c r="AX59" s="1216"/>
      <c r="AY59" s="1216"/>
      <c r="AZ59" s="1216"/>
      <c r="BA59" s="1216"/>
      <c r="BB59" s="1216"/>
      <c r="BC59" s="1216"/>
      <c r="BD59" s="1216"/>
      <c r="BE59" s="1216"/>
      <c r="BF59" s="1216"/>
      <c r="BG59" s="1216"/>
      <c r="BH59" s="1216"/>
      <c r="BI59" s="1216"/>
      <c r="BJ59" s="1216"/>
      <c r="BK59" s="1216"/>
      <c r="BL59" s="1216"/>
      <c r="BM59" s="1216"/>
      <c r="BN59" s="1216"/>
      <c r="BO59" s="1216"/>
      <c r="BP59" s="1216"/>
      <c r="BQ59" s="1216"/>
      <c r="BR59" s="1216"/>
      <c r="BS59" s="1216"/>
      <c r="BT59" s="1216"/>
      <c r="BU59" s="1216"/>
      <c r="BV59" s="1216"/>
      <c r="BW59" s="1216"/>
      <c r="BX59" s="1216"/>
      <c r="BY59" s="1216"/>
      <c r="BZ59" s="1216"/>
      <c r="CA59" s="1216"/>
      <c r="CB59" s="1216"/>
      <c r="CC59" s="1216"/>
      <c r="CD59" s="1216"/>
      <c r="CE59" s="1216"/>
      <c r="CF59" s="1216"/>
      <c r="CG59" s="1216"/>
      <c r="CH59" s="1216"/>
    </row>
    <row r="60" spans="1:86" ht="20.149999999999999" customHeight="1">
      <c r="A60" s="1563" t="s">
        <v>1424</v>
      </c>
      <c r="B60" s="1563" t="s">
        <v>14</v>
      </c>
      <c r="C60" s="1563" t="str">
        <f t="shared" si="0"/>
        <v>PBPDDF16</v>
      </c>
      <c r="D60" s="1193">
        <v>16</v>
      </c>
      <c r="E60" s="1524"/>
      <c r="F60" s="1529"/>
      <c r="G60" s="1529"/>
      <c r="H60" s="1529"/>
      <c r="I60" s="1529"/>
      <c r="J60" s="1529"/>
      <c r="K60" s="1529"/>
      <c r="L60" s="1529"/>
      <c r="M60" s="1529"/>
      <c r="N60" s="1529"/>
      <c r="O60" s="1529"/>
      <c r="P60" s="1529"/>
      <c r="Q60" s="1529"/>
      <c r="R60" s="1529"/>
      <c r="S60" s="1529"/>
      <c r="T60" s="1529"/>
      <c r="U60" s="1529"/>
      <c r="V60" s="1529"/>
      <c r="W60" s="1529"/>
      <c r="X60" s="1529"/>
      <c r="Y60" s="1529"/>
      <c r="Z60" s="1529"/>
      <c r="AA60" s="1529"/>
      <c r="AB60" s="1530"/>
      <c r="AC60" s="1192"/>
      <c r="AD60" s="1213"/>
      <c r="AE60" s="1214"/>
      <c r="AF60" s="1214"/>
      <c r="AG60" s="1214"/>
      <c r="AH60" s="1214"/>
      <c r="AI60" s="1214"/>
      <c r="AJ60" s="1214"/>
      <c r="AK60" s="1214"/>
      <c r="AL60" s="1214"/>
      <c r="AM60" s="1214"/>
      <c r="AN60" s="1214"/>
      <c r="AO60" s="1214"/>
      <c r="AP60" s="1214"/>
      <c r="AQ60" s="1214"/>
      <c r="AR60" s="1214"/>
      <c r="AS60" s="1214"/>
      <c r="AT60" s="1214"/>
      <c r="AU60" s="1214"/>
      <c r="AV60" s="1214"/>
      <c r="AW60" s="1214"/>
      <c r="AX60" s="1214"/>
      <c r="AY60" s="1214"/>
      <c r="AZ60" s="1214"/>
      <c r="BA60" s="1214"/>
      <c r="BB60" s="1214"/>
      <c r="BC60" s="1216"/>
      <c r="BD60" s="1216"/>
      <c r="BE60" s="1216"/>
      <c r="BF60" s="1216"/>
      <c r="BG60" s="1216"/>
      <c r="BH60" s="1216"/>
      <c r="BI60" s="1216"/>
      <c r="BJ60" s="1216"/>
      <c r="BK60" s="1216"/>
      <c r="BL60" s="1216"/>
      <c r="BM60" s="1216"/>
      <c r="BN60" s="1216"/>
      <c r="BO60" s="1216"/>
      <c r="BP60" s="1216"/>
      <c r="BQ60" s="1216"/>
      <c r="BR60" s="1216"/>
      <c r="BS60" s="1216"/>
      <c r="BT60" s="1216"/>
      <c r="BU60" s="1216"/>
      <c r="BV60" s="1216"/>
      <c r="BW60" s="1216"/>
      <c r="BX60" s="1216"/>
      <c r="BY60" s="1216"/>
      <c r="BZ60" s="1216"/>
      <c r="CA60" s="1216"/>
      <c r="CB60" s="1216"/>
      <c r="CC60" s="1216"/>
      <c r="CD60" s="1216"/>
      <c r="CE60" s="1216"/>
      <c r="CF60" s="1216"/>
      <c r="CG60" s="1216"/>
      <c r="CH60" s="1216"/>
    </row>
    <row r="61" spans="1:86" ht="20.149999999999999" customHeight="1">
      <c r="A61" s="1563" t="s">
        <v>1424</v>
      </c>
      <c r="B61" s="1563" t="s">
        <v>14</v>
      </c>
      <c r="C61" s="1563" t="str">
        <f t="shared" si="0"/>
        <v>PBPDDF17</v>
      </c>
      <c r="D61" s="1193">
        <v>17</v>
      </c>
      <c r="E61" s="1524"/>
      <c r="F61" s="1529"/>
      <c r="G61" s="1529"/>
      <c r="H61" s="1529"/>
      <c r="I61" s="1529"/>
      <c r="J61" s="1529"/>
      <c r="K61" s="1529"/>
      <c r="L61" s="1529"/>
      <c r="M61" s="1529"/>
      <c r="N61" s="1529"/>
      <c r="O61" s="1529"/>
      <c r="P61" s="1529"/>
      <c r="Q61" s="1529"/>
      <c r="R61" s="1529"/>
      <c r="S61" s="1529"/>
      <c r="T61" s="1529"/>
      <c r="U61" s="1529"/>
      <c r="V61" s="1529"/>
      <c r="W61" s="1529"/>
      <c r="X61" s="1529"/>
      <c r="Y61" s="1529"/>
      <c r="Z61" s="1529"/>
      <c r="AA61" s="1529"/>
      <c r="AB61" s="1530"/>
      <c r="AC61" s="1192"/>
      <c r="AD61" s="1213"/>
      <c r="AE61" s="1214"/>
      <c r="AF61" s="1214"/>
      <c r="AG61" s="1214"/>
      <c r="AH61" s="1214"/>
      <c r="AI61" s="1214"/>
      <c r="AJ61" s="1214"/>
      <c r="AK61" s="1214"/>
      <c r="AL61" s="1214"/>
      <c r="AM61" s="1214"/>
      <c r="AN61" s="1214"/>
      <c r="AO61" s="1214"/>
      <c r="AP61" s="1214"/>
      <c r="AQ61" s="1214"/>
      <c r="AR61" s="1214"/>
      <c r="AS61" s="1214"/>
      <c r="AT61" s="1214"/>
      <c r="AU61" s="1214"/>
      <c r="AV61" s="1214"/>
      <c r="AW61" s="1214"/>
      <c r="AX61" s="1214"/>
      <c r="AY61" s="1214"/>
      <c r="AZ61" s="1214"/>
      <c r="BA61" s="1214"/>
      <c r="BB61" s="1214"/>
      <c r="BC61" s="1216"/>
      <c r="BD61" s="1216"/>
      <c r="BE61" s="1216"/>
      <c r="BF61" s="1216"/>
      <c r="BG61" s="1216"/>
      <c r="BH61" s="1216"/>
      <c r="BI61" s="1216"/>
      <c r="BJ61" s="1216"/>
      <c r="BK61" s="1216"/>
      <c r="BL61" s="1216"/>
      <c r="BM61" s="1216"/>
      <c r="BN61" s="1216"/>
      <c r="BO61" s="1216"/>
      <c r="BP61" s="1216"/>
      <c r="BQ61" s="1216"/>
      <c r="BR61" s="1216"/>
      <c r="BS61" s="1216"/>
      <c r="BT61" s="1216"/>
      <c r="BU61" s="1216"/>
      <c r="BV61" s="1216"/>
      <c r="BW61" s="1216"/>
      <c r="BX61" s="1216"/>
      <c r="BY61" s="1216"/>
      <c r="BZ61" s="1216"/>
      <c r="CA61" s="1216"/>
      <c r="CB61" s="1216"/>
      <c r="CC61" s="1216"/>
      <c r="CD61" s="1216"/>
      <c r="CE61" s="1216"/>
      <c r="CF61" s="1216"/>
      <c r="CG61" s="1216"/>
      <c r="CH61" s="1216"/>
    </row>
    <row r="62" spans="1:86" ht="20.149999999999999" customHeight="1">
      <c r="A62" s="1563" t="s">
        <v>1424</v>
      </c>
      <c r="B62" s="1563" t="s">
        <v>14</v>
      </c>
      <c r="C62" s="1563" t="str">
        <f t="shared" si="0"/>
        <v>PBPDDF18</v>
      </c>
      <c r="D62" s="1193">
        <v>18</v>
      </c>
      <c r="E62" s="1524"/>
      <c r="F62" s="1529"/>
      <c r="G62" s="1529"/>
      <c r="H62" s="1529"/>
      <c r="I62" s="1529"/>
      <c r="J62" s="1529"/>
      <c r="K62" s="1529"/>
      <c r="L62" s="1529"/>
      <c r="M62" s="1529"/>
      <c r="N62" s="1529"/>
      <c r="O62" s="1529"/>
      <c r="P62" s="1529"/>
      <c r="Q62" s="1529"/>
      <c r="R62" s="1529"/>
      <c r="S62" s="1529"/>
      <c r="T62" s="1529"/>
      <c r="U62" s="1529"/>
      <c r="V62" s="1529"/>
      <c r="W62" s="1529"/>
      <c r="X62" s="1529"/>
      <c r="Y62" s="1529"/>
      <c r="Z62" s="1529"/>
      <c r="AA62" s="1529"/>
      <c r="AB62" s="1530"/>
      <c r="AC62" s="1192"/>
      <c r="AD62" s="1213"/>
      <c r="AE62" s="1214"/>
      <c r="AF62" s="1214"/>
      <c r="AG62" s="1214"/>
      <c r="AH62" s="1214"/>
      <c r="AI62" s="1214"/>
      <c r="AJ62" s="1214"/>
      <c r="AK62" s="1214"/>
      <c r="AL62" s="1214"/>
      <c r="AM62" s="1214"/>
      <c r="AN62" s="1214"/>
      <c r="AO62" s="1214"/>
      <c r="AP62" s="1214"/>
      <c r="AQ62" s="1214"/>
      <c r="AR62" s="1214"/>
      <c r="AS62" s="1214"/>
      <c r="AT62" s="1214"/>
      <c r="AU62" s="1214"/>
      <c r="AV62" s="1214"/>
      <c r="AW62" s="1214"/>
      <c r="AX62" s="1214"/>
      <c r="AY62" s="1214"/>
      <c r="AZ62" s="1214"/>
      <c r="BA62" s="1214"/>
      <c r="BB62" s="1214"/>
      <c r="BC62" s="1216"/>
      <c r="BD62" s="1216"/>
      <c r="BE62" s="1216"/>
      <c r="BF62" s="1216"/>
      <c r="BG62" s="1216"/>
      <c r="BH62" s="1216"/>
      <c r="BI62" s="1216"/>
      <c r="BJ62" s="1216"/>
      <c r="BK62" s="1216"/>
      <c r="BL62" s="1216"/>
      <c r="BM62" s="1216"/>
      <c r="BN62" s="1216"/>
      <c r="BO62" s="1216"/>
      <c r="BP62" s="1216"/>
      <c r="BQ62" s="1216"/>
      <c r="BR62" s="1216"/>
      <c r="BS62" s="1216"/>
      <c r="BT62" s="1216"/>
      <c r="BU62" s="1216"/>
      <c r="BV62" s="1216"/>
      <c r="BW62" s="1216"/>
      <c r="BX62" s="1216"/>
      <c r="BY62" s="1216"/>
      <c r="BZ62" s="1216"/>
      <c r="CA62" s="1216"/>
      <c r="CB62" s="1216"/>
      <c r="CC62" s="1216"/>
      <c r="CD62" s="1216"/>
      <c r="CE62" s="1216"/>
      <c r="CF62" s="1216"/>
      <c r="CG62" s="1216"/>
      <c r="CH62" s="1216"/>
    </row>
    <row r="63" spans="1:86" ht="20.149999999999999" customHeight="1">
      <c r="A63" s="1563" t="s">
        <v>1424</v>
      </c>
      <c r="B63" s="1563" t="s">
        <v>14</v>
      </c>
      <c r="C63" s="1563" t="str">
        <f t="shared" si="0"/>
        <v>PBPDDF19</v>
      </c>
      <c r="D63" s="1193">
        <v>19</v>
      </c>
      <c r="E63" s="1524"/>
      <c r="F63" s="1529"/>
      <c r="G63" s="1529"/>
      <c r="H63" s="1529"/>
      <c r="I63" s="1529"/>
      <c r="J63" s="1529"/>
      <c r="K63" s="1529"/>
      <c r="L63" s="1529"/>
      <c r="M63" s="1529"/>
      <c r="N63" s="1529"/>
      <c r="O63" s="1529"/>
      <c r="P63" s="1529"/>
      <c r="Q63" s="1529"/>
      <c r="R63" s="1529"/>
      <c r="S63" s="1529"/>
      <c r="T63" s="1529"/>
      <c r="U63" s="1529"/>
      <c r="V63" s="1529"/>
      <c r="W63" s="1529"/>
      <c r="X63" s="1529"/>
      <c r="Y63" s="1529"/>
      <c r="Z63" s="1529"/>
      <c r="AA63" s="1529"/>
      <c r="AB63" s="1530"/>
      <c r="AC63" s="1192"/>
      <c r="AD63" s="1213"/>
      <c r="AE63" s="1214"/>
      <c r="AF63" s="1214"/>
      <c r="AG63" s="1214"/>
      <c r="AH63" s="1214"/>
      <c r="AI63" s="1214"/>
      <c r="AJ63" s="1214"/>
      <c r="AK63" s="1214"/>
      <c r="AL63" s="1214"/>
      <c r="AM63" s="1214"/>
      <c r="AN63" s="1214"/>
      <c r="AO63" s="1214"/>
      <c r="AP63" s="1214"/>
      <c r="AQ63" s="1214"/>
      <c r="AR63" s="1214"/>
      <c r="AS63" s="1214"/>
      <c r="AT63" s="1214"/>
      <c r="AU63" s="1214"/>
      <c r="AV63" s="1214"/>
      <c r="AW63" s="1214"/>
      <c r="AX63" s="1214"/>
      <c r="AY63" s="1214"/>
      <c r="AZ63" s="1214"/>
      <c r="BA63" s="1214"/>
      <c r="BB63" s="1214"/>
      <c r="BC63" s="1216"/>
      <c r="BD63" s="1216"/>
      <c r="BE63" s="1216"/>
      <c r="BF63" s="1216"/>
      <c r="BG63" s="1216"/>
      <c r="BH63" s="1216"/>
      <c r="BI63" s="1216"/>
      <c r="BJ63" s="1216"/>
      <c r="BK63" s="1216"/>
      <c r="BL63" s="1216"/>
      <c r="BM63" s="1216"/>
      <c r="BN63" s="1216"/>
      <c r="BO63" s="1216"/>
      <c r="BP63" s="1216"/>
      <c r="BQ63" s="1216"/>
      <c r="BR63" s="1216"/>
      <c r="BS63" s="1216"/>
      <c r="BT63" s="1216"/>
      <c r="BU63" s="1216"/>
      <c r="BV63" s="1216"/>
      <c r="BW63" s="1216"/>
      <c r="BX63" s="1216"/>
      <c r="BY63" s="1216"/>
      <c r="BZ63" s="1216"/>
      <c r="CA63" s="1216"/>
      <c r="CB63" s="1216"/>
      <c r="CC63" s="1216"/>
      <c r="CD63" s="1216"/>
      <c r="CE63" s="1216"/>
      <c r="CF63" s="1216"/>
      <c r="CG63" s="1216"/>
      <c r="CH63" s="1216"/>
    </row>
    <row r="64" spans="1:86" ht="20.149999999999999" customHeight="1">
      <c r="A64" s="1563" t="s">
        <v>1424</v>
      </c>
      <c r="B64" s="1563" t="s">
        <v>14</v>
      </c>
      <c r="C64" s="1563" t="str">
        <f t="shared" si="0"/>
        <v>PBPDDF20</v>
      </c>
      <c r="D64" s="1193">
        <v>20</v>
      </c>
      <c r="E64" s="1524"/>
      <c r="F64" s="1284">
        <v>7.0000000000000007E-2</v>
      </c>
      <c r="G64" s="1284">
        <v>0.1</v>
      </c>
      <c r="H64" s="1284">
        <v>0.14000000000000001</v>
      </c>
      <c r="I64" s="1284">
        <v>0.18</v>
      </c>
      <c r="J64" s="1284">
        <v>0.21</v>
      </c>
      <c r="K64" s="1284">
        <v>0.25</v>
      </c>
      <c r="L64" s="1284">
        <v>0.28999999999999998</v>
      </c>
      <c r="M64" s="1284">
        <v>0.33</v>
      </c>
      <c r="N64" s="1284">
        <v>0.37</v>
      </c>
      <c r="O64" s="1284">
        <v>0.41</v>
      </c>
      <c r="P64" s="1284">
        <v>0.45</v>
      </c>
      <c r="Q64" s="1284">
        <v>0.49</v>
      </c>
      <c r="R64" s="1284">
        <v>0.53</v>
      </c>
      <c r="S64" s="1284">
        <v>0.56999999999999995</v>
      </c>
      <c r="T64" s="1284">
        <v>0.61</v>
      </c>
      <c r="U64" s="1284">
        <v>0.66</v>
      </c>
      <c r="V64" s="1284">
        <v>0.7</v>
      </c>
      <c r="W64" s="1284">
        <v>0.75</v>
      </c>
      <c r="X64" s="1284">
        <v>0.8</v>
      </c>
      <c r="Y64" s="1284">
        <v>0.85</v>
      </c>
      <c r="Z64" s="1284">
        <v>0.9</v>
      </c>
      <c r="AA64" s="1284">
        <v>0.96</v>
      </c>
      <c r="AB64" s="1285">
        <v>1.01</v>
      </c>
      <c r="AC64" s="1192"/>
      <c r="AD64" s="1213"/>
      <c r="AE64" s="1214"/>
      <c r="AF64" s="1214"/>
      <c r="AG64" s="1214"/>
      <c r="AH64" s="1214"/>
      <c r="AI64" s="1214"/>
      <c r="AJ64" s="1214"/>
      <c r="AK64" s="1214"/>
      <c r="AL64" s="1214"/>
      <c r="AM64" s="1214"/>
      <c r="AN64" s="1214"/>
      <c r="AO64" s="1214"/>
      <c r="AP64" s="1214"/>
      <c r="AQ64" s="1214"/>
      <c r="AR64" s="1214"/>
      <c r="AS64" s="1214"/>
      <c r="AT64" s="1214"/>
      <c r="AU64" s="1214"/>
      <c r="AV64" s="1214"/>
      <c r="AW64" s="1214"/>
      <c r="AX64" s="1214"/>
      <c r="AY64" s="1214"/>
      <c r="AZ64" s="1214"/>
      <c r="BA64" s="1214"/>
      <c r="BB64" s="1214"/>
      <c r="BC64" s="1216"/>
      <c r="BD64" s="1216"/>
      <c r="BE64" s="1216"/>
      <c r="BF64" s="1216"/>
      <c r="BG64" s="1216"/>
      <c r="BH64" s="1216"/>
      <c r="BI64" s="1216"/>
      <c r="BJ64" s="1216"/>
      <c r="BK64" s="1216"/>
      <c r="BL64" s="1216"/>
      <c r="BM64" s="1216"/>
      <c r="BN64" s="1216"/>
      <c r="BO64" s="1216"/>
      <c r="BP64" s="1216"/>
      <c r="BQ64" s="1216"/>
      <c r="BR64" s="1216"/>
      <c r="BS64" s="1216"/>
      <c r="BT64" s="1216"/>
      <c r="BU64" s="1216"/>
      <c r="BV64" s="1216"/>
      <c r="BW64" s="1216"/>
      <c r="BX64" s="1216"/>
      <c r="BY64" s="1216"/>
      <c r="BZ64" s="1216"/>
      <c r="CA64" s="1216"/>
      <c r="CB64" s="1216"/>
      <c r="CC64" s="1216"/>
      <c r="CD64" s="1216"/>
      <c r="CE64" s="1216"/>
      <c r="CF64" s="1216"/>
      <c r="CG64" s="1216"/>
      <c r="CH64" s="1216"/>
    </row>
    <row r="65" spans="1:86" ht="20.149999999999999" customHeight="1">
      <c r="A65" s="1563" t="s">
        <v>1424</v>
      </c>
      <c r="B65" s="1563" t="s">
        <v>14</v>
      </c>
      <c r="C65" s="1563" t="str">
        <f t="shared" si="0"/>
        <v>PBPDDF21</v>
      </c>
      <c r="D65" s="1194">
        <v>21</v>
      </c>
      <c r="E65" s="1525"/>
      <c r="F65" s="1286">
        <v>7.0000000000000007E-2</v>
      </c>
      <c r="G65" s="1286">
        <v>0.11</v>
      </c>
      <c r="H65" s="1286">
        <v>0.14000000000000001</v>
      </c>
      <c r="I65" s="1286">
        <v>0.18</v>
      </c>
      <c r="J65" s="1286">
        <v>0.22</v>
      </c>
      <c r="K65" s="1286">
        <v>0.26</v>
      </c>
      <c r="L65" s="1286">
        <v>0.3</v>
      </c>
      <c r="M65" s="1286">
        <v>0.34</v>
      </c>
      <c r="N65" s="1286">
        <v>0.38</v>
      </c>
      <c r="O65" s="1286">
        <v>0.42</v>
      </c>
      <c r="P65" s="1286">
        <v>0.46</v>
      </c>
      <c r="Q65" s="1286">
        <v>0.5</v>
      </c>
      <c r="R65" s="1286">
        <v>0.54</v>
      </c>
      <c r="S65" s="1286">
        <v>0.59</v>
      </c>
      <c r="T65" s="1286">
        <v>0.63</v>
      </c>
      <c r="U65" s="1286">
        <v>0.68</v>
      </c>
      <c r="V65" s="1286">
        <v>0.72</v>
      </c>
      <c r="W65" s="1286">
        <v>0.77</v>
      </c>
      <c r="X65" s="1286">
        <v>0.82</v>
      </c>
      <c r="Y65" s="1286">
        <v>0.88</v>
      </c>
      <c r="Z65" s="1286">
        <v>0.93</v>
      </c>
      <c r="AA65" s="1286">
        <v>0.99</v>
      </c>
      <c r="AB65" s="1287">
        <v>1.05</v>
      </c>
      <c r="AC65" s="1192"/>
      <c r="AD65" s="1213"/>
      <c r="AE65" s="1214"/>
      <c r="AF65" s="1214"/>
      <c r="AG65" s="1214"/>
      <c r="AH65" s="1214"/>
      <c r="AI65" s="1214"/>
      <c r="AJ65" s="1214"/>
      <c r="AK65" s="1214"/>
      <c r="AL65" s="1214"/>
      <c r="AM65" s="1214"/>
      <c r="AN65" s="1214"/>
      <c r="AO65" s="1214"/>
      <c r="AP65" s="1214"/>
      <c r="AQ65" s="1214"/>
      <c r="AR65" s="1214"/>
      <c r="AS65" s="1214"/>
      <c r="AT65" s="1214"/>
      <c r="AU65" s="1214"/>
      <c r="AV65" s="1214"/>
      <c r="AW65" s="1214"/>
      <c r="AX65" s="1214"/>
      <c r="AY65" s="1214"/>
      <c r="AZ65" s="1214"/>
      <c r="BA65" s="1214"/>
      <c r="BB65" s="1214"/>
      <c r="BC65" s="1216"/>
      <c r="BD65" s="1216"/>
      <c r="BE65" s="1216"/>
      <c r="BF65" s="1216"/>
      <c r="BG65" s="1216"/>
      <c r="BH65" s="1216"/>
      <c r="BI65" s="1216"/>
      <c r="BJ65" s="1216"/>
      <c r="BK65" s="1216"/>
      <c r="BL65" s="1216"/>
      <c r="BM65" s="1216"/>
      <c r="BN65" s="1216"/>
      <c r="BO65" s="1216"/>
      <c r="BP65" s="1216"/>
      <c r="BQ65" s="1216"/>
      <c r="BR65" s="1216"/>
      <c r="BS65" s="1216"/>
      <c r="BT65" s="1216"/>
      <c r="BU65" s="1216"/>
      <c r="BV65" s="1216"/>
      <c r="BW65" s="1216"/>
      <c r="BX65" s="1216"/>
      <c r="BY65" s="1216"/>
      <c r="BZ65" s="1216"/>
      <c r="CA65" s="1216"/>
      <c r="CB65" s="1216"/>
      <c r="CC65" s="1216"/>
      <c r="CD65" s="1216"/>
      <c r="CE65" s="1216"/>
      <c r="CF65" s="1216"/>
      <c r="CG65" s="1216"/>
      <c r="CH65" s="1216"/>
    </row>
    <row r="66" spans="1:86" ht="20.149999999999999" customHeight="1">
      <c r="A66" s="1563" t="s">
        <v>1424</v>
      </c>
      <c r="B66" s="1563" t="s">
        <v>14</v>
      </c>
      <c r="C66" s="1563" t="str">
        <f t="shared" si="0"/>
        <v>PBPDDF22</v>
      </c>
      <c r="D66" s="1193">
        <v>22</v>
      </c>
      <c r="E66" s="1524"/>
      <c r="F66" s="1284">
        <v>7.0000000000000007E-2</v>
      </c>
      <c r="G66" s="1284">
        <v>0.11</v>
      </c>
      <c r="H66" s="1284">
        <v>0.15</v>
      </c>
      <c r="I66" s="1284">
        <v>0.19</v>
      </c>
      <c r="J66" s="1284">
        <v>0.23</v>
      </c>
      <c r="K66" s="1284">
        <v>0.27</v>
      </c>
      <c r="L66" s="1284">
        <v>0.31</v>
      </c>
      <c r="M66" s="1284">
        <v>0.35</v>
      </c>
      <c r="N66" s="1284">
        <v>0.39</v>
      </c>
      <c r="O66" s="1284">
        <v>0.43</v>
      </c>
      <c r="P66" s="1284">
        <v>0.47</v>
      </c>
      <c r="Q66" s="1284">
        <v>0.51</v>
      </c>
      <c r="R66" s="1284">
        <v>0.56000000000000005</v>
      </c>
      <c r="S66" s="1284">
        <v>0.6</v>
      </c>
      <c r="T66" s="1284">
        <v>0.65</v>
      </c>
      <c r="U66" s="1284">
        <v>0.7</v>
      </c>
      <c r="V66" s="1284">
        <v>0.75</v>
      </c>
      <c r="W66" s="1284">
        <v>0.8</v>
      </c>
      <c r="X66" s="1284">
        <v>0.85</v>
      </c>
      <c r="Y66" s="1284">
        <v>0.91</v>
      </c>
      <c r="Z66" s="1284">
        <v>0.97</v>
      </c>
      <c r="AA66" s="1284">
        <v>1.03</v>
      </c>
      <c r="AB66" s="1285">
        <v>1.1000000000000001</v>
      </c>
      <c r="AC66" s="1192"/>
      <c r="AD66" s="1213"/>
      <c r="AE66" s="1214"/>
      <c r="AF66" s="1214"/>
      <c r="AG66" s="1214"/>
      <c r="AH66" s="1214"/>
      <c r="AI66" s="1214"/>
      <c r="AJ66" s="1214"/>
      <c r="AK66" s="1214"/>
      <c r="AL66" s="1214"/>
      <c r="AM66" s="1214"/>
      <c r="AN66" s="1214"/>
      <c r="AO66" s="1214"/>
      <c r="AP66" s="1214"/>
      <c r="AQ66" s="1214"/>
      <c r="AR66" s="1214"/>
      <c r="AS66" s="1214"/>
      <c r="AT66" s="1214"/>
      <c r="AU66" s="1214"/>
      <c r="AV66" s="1214"/>
      <c r="AW66" s="1214"/>
      <c r="AX66" s="1214"/>
      <c r="AY66" s="1214"/>
      <c r="AZ66" s="1214"/>
      <c r="BA66" s="1214"/>
      <c r="BB66" s="1214"/>
      <c r="BC66" s="1216"/>
      <c r="BD66" s="1216"/>
      <c r="BE66" s="1216"/>
      <c r="BF66" s="1216"/>
      <c r="BG66" s="1216"/>
      <c r="BH66" s="1216"/>
      <c r="BI66" s="1216"/>
      <c r="BJ66" s="1216"/>
      <c r="BK66" s="1216"/>
      <c r="BL66" s="1216"/>
      <c r="BM66" s="1216"/>
      <c r="BN66" s="1216"/>
      <c r="BO66" s="1216"/>
      <c r="BP66" s="1216"/>
      <c r="BQ66" s="1216"/>
      <c r="BR66" s="1216"/>
      <c r="BS66" s="1216"/>
      <c r="BT66" s="1216"/>
      <c r="BU66" s="1216"/>
      <c r="BV66" s="1216"/>
      <c r="BW66" s="1216"/>
      <c r="BX66" s="1216"/>
      <c r="BY66" s="1216"/>
      <c r="BZ66" s="1216"/>
      <c r="CA66" s="1216"/>
      <c r="CB66" s="1216"/>
      <c r="CC66" s="1216"/>
      <c r="CD66" s="1216"/>
      <c r="CE66" s="1216"/>
      <c r="CF66" s="1216"/>
      <c r="CG66" s="1216"/>
      <c r="CH66" s="1216"/>
    </row>
    <row r="67" spans="1:86" ht="20.149999999999999" customHeight="1">
      <c r="A67" s="1563" t="s">
        <v>1424</v>
      </c>
      <c r="B67" s="1563" t="s">
        <v>14</v>
      </c>
      <c r="C67" s="1563" t="str">
        <f t="shared" si="0"/>
        <v>PBPDDF23</v>
      </c>
      <c r="D67" s="1193">
        <v>23</v>
      </c>
      <c r="E67" s="1524"/>
      <c r="F67" s="1284">
        <v>0.08</v>
      </c>
      <c r="G67" s="1284">
        <v>0.11</v>
      </c>
      <c r="H67" s="1284">
        <v>0.15</v>
      </c>
      <c r="I67" s="1284">
        <v>0.19</v>
      </c>
      <c r="J67" s="1284">
        <v>0.23</v>
      </c>
      <c r="K67" s="1284">
        <v>0.27</v>
      </c>
      <c r="L67" s="1284">
        <v>0.31</v>
      </c>
      <c r="M67" s="1284">
        <v>0.35</v>
      </c>
      <c r="N67" s="1284">
        <v>0.4</v>
      </c>
      <c r="O67" s="1284">
        <v>0.44</v>
      </c>
      <c r="P67" s="1284">
        <v>0.48</v>
      </c>
      <c r="Q67" s="1284">
        <v>0.53</v>
      </c>
      <c r="R67" s="1284">
        <v>0.56999999999999995</v>
      </c>
      <c r="S67" s="1284">
        <v>0.62</v>
      </c>
      <c r="T67" s="1284">
        <v>0.67</v>
      </c>
      <c r="U67" s="1284">
        <v>0.72</v>
      </c>
      <c r="V67" s="1284">
        <v>0.77</v>
      </c>
      <c r="W67" s="1284">
        <v>0.83</v>
      </c>
      <c r="X67" s="1284">
        <v>0.88</v>
      </c>
      <c r="Y67" s="1284">
        <v>0.94</v>
      </c>
      <c r="Z67" s="1284">
        <v>1.01</v>
      </c>
      <c r="AA67" s="1284">
        <v>1.07</v>
      </c>
      <c r="AB67" s="1285">
        <v>1.1399999999999999</v>
      </c>
      <c r="AC67" s="1192"/>
      <c r="AD67" s="1213"/>
      <c r="AE67" s="1214"/>
      <c r="AF67" s="1214"/>
      <c r="AG67" s="1214"/>
      <c r="AH67" s="1214"/>
      <c r="AI67" s="1214"/>
      <c r="AJ67" s="1214"/>
      <c r="AK67" s="1214"/>
      <c r="AL67" s="1214"/>
      <c r="AM67" s="1214"/>
      <c r="AN67" s="1214"/>
      <c r="AO67" s="1214"/>
      <c r="AP67" s="1214"/>
      <c r="AQ67" s="1214"/>
      <c r="AR67" s="1214"/>
      <c r="AS67" s="1214"/>
      <c r="AT67" s="1214"/>
      <c r="AU67" s="1214"/>
      <c r="AV67" s="1214"/>
      <c r="AW67" s="1214"/>
      <c r="AX67" s="1214"/>
      <c r="AY67" s="1214"/>
      <c r="AZ67" s="1214"/>
      <c r="BA67" s="1214"/>
      <c r="BB67" s="1214"/>
      <c r="BC67" s="1216"/>
      <c r="BD67" s="1216"/>
      <c r="BE67" s="1216"/>
      <c r="BF67" s="1216"/>
      <c r="BG67" s="1216"/>
      <c r="BH67" s="1216"/>
      <c r="BI67" s="1216"/>
      <c r="BJ67" s="1216"/>
      <c r="BK67" s="1216"/>
      <c r="BL67" s="1216"/>
      <c r="BM67" s="1216"/>
      <c r="BN67" s="1216"/>
      <c r="BO67" s="1216"/>
      <c r="BP67" s="1216"/>
      <c r="BQ67" s="1216"/>
      <c r="BR67" s="1216"/>
      <c r="BS67" s="1216"/>
      <c r="BT67" s="1216"/>
      <c r="BU67" s="1216"/>
      <c r="BV67" s="1216"/>
      <c r="BW67" s="1216"/>
      <c r="BX67" s="1216"/>
      <c r="BY67" s="1216"/>
      <c r="BZ67" s="1216"/>
      <c r="CA67" s="1216"/>
      <c r="CB67" s="1216"/>
      <c r="CC67" s="1216"/>
      <c r="CD67" s="1216"/>
      <c r="CE67" s="1216"/>
      <c r="CF67" s="1216"/>
      <c r="CG67" s="1216"/>
      <c r="CH67" s="1216"/>
    </row>
    <row r="68" spans="1:86" ht="20.149999999999999" customHeight="1">
      <c r="A68" s="1563" t="s">
        <v>1424</v>
      </c>
      <c r="B68" s="1563" t="s">
        <v>14</v>
      </c>
      <c r="C68" s="1563" t="str">
        <f t="shared" si="0"/>
        <v>PBPDDF24</v>
      </c>
      <c r="D68" s="1193">
        <v>24</v>
      </c>
      <c r="E68" s="1524"/>
      <c r="F68" s="1284">
        <v>0.08</v>
      </c>
      <c r="G68" s="1284">
        <v>0.12</v>
      </c>
      <c r="H68" s="1284">
        <v>0.16</v>
      </c>
      <c r="I68" s="1284">
        <v>0.2</v>
      </c>
      <c r="J68" s="1284">
        <v>0.24</v>
      </c>
      <c r="K68" s="1284">
        <v>0.28000000000000003</v>
      </c>
      <c r="L68" s="1284">
        <v>0.32</v>
      </c>
      <c r="M68" s="1284">
        <v>0.36</v>
      </c>
      <c r="N68" s="1284">
        <v>0.41</v>
      </c>
      <c r="O68" s="1284">
        <v>0.45</v>
      </c>
      <c r="P68" s="1284">
        <v>0.49</v>
      </c>
      <c r="Q68" s="1284">
        <v>0.54</v>
      </c>
      <c r="R68" s="1284">
        <v>0.59</v>
      </c>
      <c r="S68" s="1284">
        <v>0.64</v>
      </c>
      <c r="T68" s="1284">
        <v>0.69</v>
      </c>
      <c r="U68" s="1284">
        <v>0.74</v>
      </c>
      <c r="V68" s="1284">
        <v>0.8</v>
      </c>
      <c r="W68" s="1284">
        <v>0.86</v>
      </c>
      <c r="X68" s="1284">
        <v>0.92</v>
      </c>
      <c r="Y68" s="1284">
        <v>0.98</v>
      </c>
      <c r="Z68" s="1284">
        <v>1.05</v>
      </c>
      <c r="AA68" s="1284">
        <v>1.1200000000000001</v>
      </c>
      <c r="AB68" s="1285">
        <v>1.2</v>
      </c>
      <c r="AC68" s="1192"/>
      <c r="AD68" s="1213"/>
      <c r="AE68" s="1214"/>
      <c r="AF68" s="1214"/>
      <c r="AG68" s="1214"/>
      <c r="AH68" s="1214"/>
      <c r="AI68" s="1214"/>
      <c r="AJ68" s="1214"/>
      <c r="AK68" s="1214"/>
      <c r="AL68" s="1214"/>
      <c r="AM68" s="1214"/>
      <c r="AN68" s="1214"/>
      <c r="AO68" s="1214"/>
      <c r="AP68" s="1214"/>
      <c r="AQ68" s="1214"/>
      <c r="AR68" s="1214"/>
      <c r="AS68" s="1214"/>
      <c r="AT68" s="1214"/>
      <c r="AU68" s="1214"/>
      <c r="AV68" s="1214"/>
      <c r="AW68" s="1214"/>
      <c r="AX68" s="1214"/>
      <c r="AY68" s="1214"/>
      <c r="AZ68" s="1214"/>
      <c r="BA68" s="1214"/>
      <c r="BB68" s="1214"/>
      <c r="BC68" s="1216"/>
      <c r="BD68" s="1216"/>
      <c r="BE68" s="1216"/>
      <c r="BF68" s="1216"/>
      <c r="BG68" s="1216"/>
      <c r="BH68" s="1216"/>
      <c r="BI68" s="1216"/>
      <c r="BJ68" s="1216"/>
      <c r="BK68" s="1216"/>
      <c r="BL68" s="1216"/>
      <c r="BM68" s="1216"/>
      <c r="BN68" s="1216"/>
      <c r="BO68" s="1216"/>
      <c r="BP68" s="1216"/>
      <c r="BQ68" s="1216"/>
      <c r="BR68" s="1216"/>
      <c r="BS68" s="1216"/>
      <c r="BT68" s="1216"/>
      <c r="BU68" s="1216"/>
      <c r="BV68" s="1216"/>
      <c r="BW68" s="1216"/>
      <c r="BX68" s="1216"/>
      <c r="BY68" s="1216"/>
      <c r="BZ68" s="1216"/>
      <c r="CA68" s="1216"/>
      <c r="CB68" s="1216"/>
      <c r="CC68" s="1216"/>
      <c r="CD68" s="1216"/>
      <c r="CE68" s="1216"/>
      <c r="CF68" s="1216"/>
      <c r="CG68" s="1216"/>
      <c r="CH68" s="1216"/>
    </row>
    <row r="69" spans="1:86" ht="20.149999999999999" customHeight="1">
      <c r="A69" s="1563" t="s">
        <v>1424</v>
      </c>
      <c r="B69" s="1563" t="s">
        <v>14</v>
      </c>
      <c r="C69" s="1563" t="str">
        <f t="shared" si="0"/>
        <v>PBPDDF25</v>
      </c>
      <c r="D69" s="1195">
        <v>25</v>
      </c>
      <c r="E69" s="1526"/>
      <c r="F69" s="1288">
        <v>0.08</v>
      </c>
      <c r="G69" s="1288">
        <v>0.12</v>
      </c>
      <c r="H69" s="1288">
        <v>0.16</v>
      </c>
      <c r="I69" s="1288">
        <v>0.2</v>
      </c>
      <c r="J69" s="1288">
        <v>0.24</v>
      </c>
      <c r="K69" s="1288">
        <v>0.28000000000000003</v>
      </c>
      <c r="L69" s="1288">
        <v>0.33</v>
      </c>
      <c r="M69" s="1288">
        <v>0.37</v>
      </c>
      <c r="N69" s="1288">
        <v>0.42</v>
      </c>
      <c r="O69" s="1288">
        <v>0.46</v>
      </c>
      <c r="P69" s="1288">
        <v>0.51</v>
      </c>
      <c r="Q69" s="1288">
        <v>0.56000000000000005</v>
      </c>
      <c r="R69" s="1288">
        <v>0.61</v>
      </c>
      <c r="S69" s="1288">
        <v>0.66</v>
      </c>
      <c r="T69" s="1288">
        <v>0.71</v>
      </c>
      <c r="U69" s="1288">
        <v>0.77</v>
      </c>
      <c r="V69" s="1288">
        <v>0.83</v>
      </c>
      <c r="W69" s="1288">
        <v>0.89</v>
      </c>
      <c r="X69" s="1288">
        <v>0.96</v>
      </c>
      <c r="Y69" s="1288">
        <v>1.03</v>
      </c>
      <c r="Z69" s="1288">
        <v>1.1000000000000001</v>
      </c>
      <c r="AA69" s="1288">
        <v>1.18</v>
      </c>
      <c r="AB69" s="1289">
        <v>1.26</v>
      </c>
      <c r="AC69" s="1192"/>
      <c r="AD69" s="1213"/>
      <c r="AE69" s="1214"/>
      <c r="AF69" s="1214"/>
      <c r="AG69" s="1214"/>
      <c r="AH69" s="1214"/>
      <c r="AI69" s="1214"/>
      <c r="AJ69" s="1214"/>
      <c r="AK69" s="1214"/>
      <c r="AL69" s="1214"/>
      <c r="AM69" s="1214"/>
      <c r="AN69" s="1214"/>
      <c r="AO69" s="1214"/>
      <c r="AP69" s="1214"/>
      <c r="AQ69" s="1214"/>
      <c r="AR69" s="1214"/>
      <c r="AS69" s="1214"/>
      <c r="AT69" s="1214"/>
      <c r="AU69" s="1214"/>
      <c r="AV69" s="1214"/>
      <c r="AW69" s="1214"/>
      <c r="AX69" s="1214"/>
      <c r="AY69" s="1214"/>
      <c r="AZ69" s="1214"/>
      <c r="BA69" s="1214"/>
      <c r="BB69" s="1214"/>
      <c r="BC69" s="1216"/>
      <c r="BD69" s="1216"/>
      <c r="BE69" s="1216"/>
      <c r="BF69" s="1216"/>
      <c r="BG69" s="1216"/>
      <c r="BH69" s="1216"/>
      <c r="BI69" s="1216"/>
      <c r="BJ69" s="1216"/>
      <c r="BK69" s="1216"/>
      <c r="BL69" s="1216"/>
      <c r="BM69" s="1216"/>
      <c r="BN69" s="1216"/>
      <c r="BO69" s="1216"/>
      <c r="BP69" s="1216"/>
      <c r="BQ69" s="1216"/>
      <c r="BR69" s="1216"/>
      <c r="BS69" s="1216"/>
      <c r="BT69" s="1216"/>
      <c r="BU69" s="1216"/>
      <c r="BV69" s="1216"/>
      <c r="BW69" s="1216"/>
      <c r="BX69" s="1216"/>
      <c r="BY69" s="1216"/>
      <c r="BZ69" s="1216"/>
      <c r="CA69" s="1216"/>
      <c r="CB69" s="1216"/>
      <c r="CC69" s="1216"/>
      <c r="CD69" s="1216"/>
      <c r="CE69" s="1216"/>
      <c r="CF69" s="1216"/>
      <c r="CG69" s="1216"/>
      <c r="CH69" s="1216"/>
    </row>
    <row r="70" spans="1:86" ht="20.149999999999999" customHeight="1">
      <c r="A70" s="1563" t="s">
        <v>1424</v>
      </c>
      <c r="B70" s="1563" t="s">
        <v>14</v>
      </c>
      <c r="C70" s="1563" t="str">
        <f t="shared" ref="C70:C114" si="1">A70&amp;B70&amp;D70</f>
        <v>PBPDDF26</v>
      </c>
      <c r="D70" s="1193">
        <v>26</v>
      </c>
      <c r="E70" s="1524"/>
      <c r="F70" s="1284">
        <v>0.08</v>
      </c>
      <c r="G70" s="1284">
        <v>0.12</v>
      </c>
      <c r="H70" s="1284">
        <v>0.16</v>
      </c>
      <c r="I70" s="1284">
        <v>0.21</v>
      </c>
      <c r="J70" s="1284">
        <v>0.25</v>
      </c>
      <c r="K70" s="1284">
        <v>0.28999999999999998</v>
      </c>
      <c r="L70" s="1284">
        <v>0.34</v>
      </c>
      <c r="M70" s="1284">
        <v>0.38</v>
      </c>
      <c r="N70" s="1284">
        <v>0.43</v>
      </c>
      <c r="O70" s="1284">
        <v>0.48</v>
      </c>
      <c r="P70" s="1284">
        <v>0.52</v>
      </c>
      <c r="Q70" s="1284">
        <v>0.57999999999999996</v>
      </c>
      <c r="R70" s="1284">
        <v>0.63</v>
      </c>
      <c r="S70" s="1284">
        <v>0.68</v>
      </c>
      <c r="T70" s="1284">
        <v>0.74</v>
      </c>
      <c r="U70" s="1284">
        <v>0.8</v>
      </c>
      <c r="V70" s="1284">
        <v>0.87</v>
      </c>
      <c r="W70" s="1284">
        <v>0.93</v>
      </c>
      <c r="X70" s="1284">
        <v>1</v>
      </c>
      <c r="Y70" s="1284">
        <v>1.08</v>
      </c>
      <c r="Z70" s="1284">
        <v>1.1499999999999999</v>
      </c>
      <c r="AA70" s="1284">
        <v>1.24</v>
      </c>
      <c r="AB70" s="1285">
        <v>1.32</v>
      </c>
      <c r="AC70" s="1192"/>
      <c r="AD70" s="1213"/>
      <c r="AE70" s="1214"/>
      <c r="AF70" s="1214"/>
      <c r="AG70" s="1214"/>
      <c r="AH70" s="1214"/>
      <c r="AI70" s="1214"/>
      <c r="AJ70" s="1214"/>
      <c r="AK70" s="1214"/>
      <c r="AL70" s="1214"/>
      <c r="AM70" s="1214"/>
      <c r="AN70" s="1214"/>
      <c r="AO70" s="1214"/>
      <c r="AP70" s="1214"/>
      <c r="AQ70" s="1214"/>
      <c r="AR70" s="1214"/>
      <c r="AS70" s="1214"/>
      <c r="AT70" s="1214"/>
      <c r="AU70" s="1214"/>
      <c r="AV70" s="1214"/>
      <c r="AW70" s="1214"/>
      <c r="AX70" s="1214"/>
      <c r="AY70" s="1214"/>
      <c r="AZ70" s="1214"/>
      <c r="BA70" s="1214"/>
      <c r="BB70" s="1214"/>
      <c r="BC70" s="1216"/>
      <c r="BD70" s="1216"/>
      <c r="BE70" s="1216"/>
      <c r="BF70" s="1216"/>
      <c r="BG70" s="1216"/>
      <c r="BH70" s="1216"/>
      <c r="BI70" s="1216"/>
      <c r="BJ70" s="1216"/>
      <c r="BK70" s="1216"/>
      <c r="BL70" s="1216"/>
      <c r="BM70" s="1216"/>
      <c r="BN70" s="1216"/>
      <c r="BO70" s="1216"/>
      <c r="BP70" s="1216"/>
      <c r="BQ70" s="1216"/>
      <c r="BR70" s="1216"/>
      <c r="BS70" s="1216"/>
      <c r="BT70" s="1216"/>
      <c r="BU70" s="1216"/>
      <c r="BV70" s="1216"/>
      <c r="BW70" s="1216"/>
      <c r="BX70" s="1216"/>
      <c r="BY70" s="1216"/>
      <c r="BZ70" s="1216"/>
      <c r="CA70" s="1216"/>
      <c r="CB70" s="1216"/>
      <c r="CC70" s="1216"/>
      <c r="CD70" s="1216"/>
      <c r="CE70" s="1216"/>
      <c r="CF70" s="1216"/>
      <c r="CG70" s="1216"/>
      <c r="CH70" s="1216"/>
    </row>
    <row r="71" spans="1:86" ht="20.149999999999999" customHeight="1">
      <c r="A71" s="1563" t="s">
        <v>1424</v>
      </c>
      <c r="B71" s="1563" t="s">
        <v>14</v>
      </c>
      <c r="C71" s="1563" t="str">
        <f t="shared" si="1"/>
        <v>PBPDDF27</v>
      </c>
      <c r="D71" s="1193">
        <v>27</v>
      </c>
      <c r="E71" s="1524"/>
      <c r="F71" s="1284">
        <v>0.08</v>
      </c>
      <c r="G71" s="1284">
        <v>0.12</v>
      </c>
      <c r="H71" s="1284">
        <v>0.17</v>
      </c>
      <c r="I71" s="1284">
        <v>0.21</v>
      </c>
      <c r="J71" s="1284">
        <v>0.25</v>
      </c>
      <c r="K71" s="1284">
        <v>0.3</v>
      </c>
      <c r="L71" s="1284">
        <v>0.34</v>
      </c>
      <c r="M71" s="1284">
        <v>0.39</v>
      </c>
      <c r="N71" s="1284">
        <v>0.44</v>
      </c>
      <c r="O71" s="1284">
        <v>0.49</v>
      </c>
      <c r="P71" s="1284">
        <v>0.54</v>
      </c>
      <c r="Q71" s="1284">
        <v>0.6</v>
      </c>
      <c r="R71" s="1284">
        <v>0.65</v>
      </c>
      <c r="S71" s="1284">
        <v>0.71</v>
      </c>
      <c r="T71" s="1284">
        <v>0.77</v>
      </c>
      <c r="U71" s="1284">
        <v>0.84</v>
      </c>
      <c r="V71" s="1284">
        <v>0.91</v>
      </c>
      <c r="W71" s="1284">
        <v>0.98</v>
      </c>
      <c r="X71" s="1284">
        <v>1.05</v>
      </c>
      <c r="Y71" s="1284">
        <v>1.1299999999999999</v>
      </c>
      <c r="Z71" s="1284">
        <v>1.22</v>
      </c>
      <c r="AA71" s="1284">
        <v>1.3</v>
      </c>
      <c r="AB71" s="1285">
        <v>1.4</v>
      </c>
      <c r="AC71" s="1192"/>
      <c r="AD71" s="1213"/>
      <c r="AE71" s="1214"/>
      <c r="AF71" s="1214"/>
      <c r="AG71" s="1214"/>
      <c r="AH71" s="1214"/>
      <c r="AI71" s="1214"/>
      <c r="AJ71" s="1214"/>
      <c r="AK71" s="1214"/>
      <c r="AL71" s="1214"/>
      <c r="AM71" s="1214"/>
      <c r="AN71" s="1214"/>
      <c r="AO71" s="1214"/>
      <c r="AP71" s="1214"/>
      <c r="AQ71" s="1214"/>
      <c r="AR71" s="1214"/>
      <c r="AS71" s="1214"/>
      <c r="AT71" s="1214"/>
      <c r="AU71" s="1214"/>
      <c r="AV71" s="1214"/>
      <c r="AW71" s="1214"/>
      <c r="AX71" s="1214"/>
      <c r="AY71" s="1214"/>
      <c r="AZ71" s="1214"/>
      <c r="BA71" s="1214"/>
      <c r="BB71" s="1214"/>
      <c r="BC71" s="1216"/>
      <c r="BD71" s="1216"/>
      <c r="BE71" s="1216"/>
      <c r="BF71" s="1216"/>
      <c r="BG71" s="1216"/>
      <c r="BH71" s="1216"/>
      <c r="BI71" s="1216"/>
      <c r="BJ71" s="1216"/>
      <c r="BK71" s="1216"/>
      <c r="BL71" s="1216"/>
      <c r="BM71" s="1216"/>
      <c r="BN71" s="1216"/>
      <c r="BO71" s="1216"/>
      <c r="BP71" s="1216"/>
      <c r="BQ71" s="1216"/>
      <c r="BR71" s="1216"/>
      <c r="BS71" s="1216"/>
      <c r="BT71" s="1216"/>
      <c r="BU71" s="1216"/>
      <c r="BV71" s="1216"/>
      <c r="BW71" s="1216"/>
      <c r="BX71" s="1216"/>
      <c r="BY71" s="1216"/>
      <c r="BZ71" s="1216"/>
      <c r="CA71" s="1216"/>
      <c r="CB71" s="1216"/>
      <c r="CC71" s="1216"/>
      <c r="CD71" s="1216"/>
      <c r="CE71" s="1216"/>
      <c r="CF71" s="1216"/>
      <c r="CG71" s="1216"/>
      <c r="CH71" s="1216"/>
    </row>
    <row r="72" spans="1:86" ht="20.149999999999999" customHeight="1">
      <c r="A72" s="1563" t="s">
        <v>1424</v>
      </c>
      <c r="B72" s="1563" t="s">
        <v>14</v>
      </c>
      <c r="C72" s="1563" t="str">
        <f t="shared" si="1"/>
        <v>PBPDDF28</v>
      </c>
      <c r="D72" s="1193">
        <v>28</v>
      </c>
      <c r="E72" s="1524"/>
      <c r="F72" s="1284">
        <v>0.08</v>
      </c>
      <c r="G72" s="1284">
        <v>0.13</v>
      </c>
      <c r="H72" s="1284">
        <v>0.17</v>
      </c>
      <c r="I72" s="1284">
        <v>0.22</v>
      </c>
      <c r="J72" s="1284">
        <v>0.26</v>
      </c>
      <c r="K72" s="1284">
        <v>0.31</v>
      </c>
      <c r="L72" s="1284">
        <v>0.36</v>
      </c>
      <c r="M72" s="1284">
        <v>0.4</v>
      </c>
      <c r="N72" s="1284">
        <v>0.46</v>
      </c>
      <c r="O72" s="1284">
        <v>0.51</v>
      </c>
      <c r="P72" s="1284">
        <v>0.56000000000000005</v>
      </c>
      <c r="Q72" s="1284">
        <v>0.62</v>
      </c>
      <c r="R72" s="1284">
        <v>0.68</v>
      </c>
      <c r="S72" s="1284">
        <v>0.74</v>
      </c>
      <c r="T72" s="1284">
        <v>0.81</v>
      </c>
      <c r="U72" s="1284">
        <v>0.88</v>
      </c>
      <c r="V72" s="1284">
        <v>0.95</v>
      </c>
      <c r="W72" s="1284">
        <v>1.03</v>
      </c>
      <c r="X72" s="1284">
        <v>1.1100000000000001</v>
      </c>
      <c r="Y72" s="1284">
        <v>1.19</v>
      </c>
      <c r="Z72" s="1284">
        <v>1.28</v>
      </c>
      <c r="AA72" s="1284">
        <v>1.38</v>
      </c>
      <c r="AB72" s="1285">
        <v>1.48</v>
      </c>
      <c r="AC72" s="1192"/>
      <c r="AD72" s="1213"/>
      <c r="AE72" s="1214"/>
      <c r="AF72" s="1214"/>
      <c r="AG72" s="1214"/>
      <c r="AH72" s="1214"/>
      <c r="AI72" s="1214"/>
      <c r="AJ72" s="1214"/>
      <c r="AK72" s="1214"/>
      <c r="AL72" s="1214"/>
      <c r="AM72" s="1214"/>
      <c r="AN72" s="1214"/>
      <c r="AO72" s="1214"/>
      <c r="AP72" s="1214"/>
      <c r="AQ72" s="1214"/>
      <c r="AR72" s="1214"/>
      <c r="AS72" s="1214"/>
      <c r="AT72" s="1214"/>
      <c r="AU72" s="1214"/>
      <c r="AV72" s="1214"/>
      <c r="AW72" s="1214"/>
      <c r="AX72" s="1214"/>
      <c r="AY72" s="1214"/>
      <c r="AZ72" s="1214"/>
      <c r="BA72" s="1214"/>
      <c r="BB72" s="1214"/>
      <c r="BC72" s="1216"/>
      <c r="BD72" s="1216"/>
      <c r="BE72" s="1216"/>
      <c r="BF72" s="1216"/>
      <c r="BG72" s="1216"/>
      <c r="BH72" s="1216"/>
      <c r="BI72" s="1216"/>
      <c r="BJ72" s="1216"/>
      <c r="BK72" s="1216"/>
      <c r="BL72" s="1216"/>
      <c r="BM72" s="1216"/>
      <c r="BN72" s="1216"/>
      <c r="BO72" s="1216"/>
      <c r="BP72" s="1216"/>
      <c r="BQ72" s="1216"/>
      <c r="BR72" s="1216"/>
      <c r="BS72" s="1216"/>
      <c r="BT72" s="1216"/>
      <c r="BU72" s="1216"/>
      <c r="BV72" s="1216"/>
      <c r="BW72" s="1216"/>
      <c r="BX72" s="1216"/>
      <c r="BY72" s="1216"/>
      <c r="BZ72" s="1216"/>
      <c r="CA72" s="1216"/>
      <c r="CB72" s="1216"/>
      <c r="CC72" s="1216"/>
      <c r="CD72" s="1216"/>
      <c r="CE72" s="1216"/>
      <c r="CF72" s="1216"/>
      <c r="CG72" s="1216"/>
      <c r="CH72" s="1216"/>
    </row>
    <row r="73" spans="1:86" ht="20.149999999999999" customHeight="1">
      <c r="A73" s="1563" t="s">
        <v>1424</v>
      </c>
      <c r="B73" s="1563" t="s">
        <v>14</v>
      </c>
      <c r="C73" s="1563" t="str">
        <f t="shared" si="1"/>
        <v>PBPDDF29</v>
      </c>
      <c r="D73" s="1193">
        <v>29</v>
      </c>
      <c r="E73" s="1524"/>
      <c r="F73" s="1284">
        <v>0.09</v>
      </c>
      <c r="G73" s="1284">
        <v>0.13</v>
      </c>
      <c r="H73" s="1284">
        <v>0.18</v>
      </c>
      <c r="I73" s="1284">
        <v>0.22</v>
      </c>
      <c r="J73" s="1284">
        <v>0.27</v>
      </c>
      <c r="K73" s="1284">
        <v>0.32</v>
      </c>
      <c r="L73" s="1284">
        <v>0.37</v>
      </c>
      <c r="M73" s="1284">
        <v>0.42</v>
      </c>
      <c r="N73" s="1284">
        <v>0.47</v>
      </c>
      <c r="O73" s="1284">
        <v>0.53</v>
      </c>
      <c r="P73" s="1284">
        <v>0.59</v>
      </c>
      <c r="Q73" s="1284">
        <v>0.65</v>
      </c>
      <c r="R73" s="1284">
        <v>0.71</v>
      </c>
      <c r="S73" s="1284">
        <v>0.78</v>
      </c>
      <c r="T73" s="1284">
        <v>0.85</v>
      </c>
      <c r="U73" s="1284">
        <v>0.93</v>
      </c>
      <c r="V73" s="1284">
        <v>1</v>
      </c>
      <c r="W73" s="1284">
        <v>1.0900000000000001</v>
      </c>
      <c r="X73" s="1284">
        <v>1.17</v>
      </c>
      <c r="Y73" s="1284">
        <v>1.27</v>
      </c>
      <c r="Z73" s="1284">
        <v>1.36</v>
      </c>
      <c r="AA73" s="1284">
        <v>1.46</v>
      </c>
      <c r="AB73" s="1285">
        <v>1.57</v>
      </c>
      <c r="AC73" s="1192"/>
      <c r="AD73" s="1213"/>
      <c r="AE73" s="1214"/>
      <c r="AF73" s="1214"/>
      <c r="AG73" s="1214"/>
      <c r="AH73" s="1214"/>
      <c r="AI73" s="1214"/>
      <c r="AJ73" s="1214"/>
      <c r="AK73" s="1214"/>
      <c r="AL73" s="1214"/>
      <c r="AM73" s="1214"/>
      <c r="AN73" s="1214"/>
      <c r="AO73" s="1214"/>
      <c r="AP73" s="1214"/>
      <c r="AQ73" s="1214"/>
      <c r="AR73" s="1214"/>
      <c r="AS73" s="1214"/>
      <c r="AT73" s="1214"/>
      <c r="AU73" s="1214"/>
      <c r="AV73" s="1214"/>
      <c r="AW73" s="1214"/>
      <c r="AX73" s="1214"/>
      <c r="AY73" s="1214"/>
      <c r="AZ73" s="1214"/>
      <c r="BA73" s="1214"/>
      <c r="BB73" s="1214"/>
      <c r="BC73" s="1216"/>
      <c r="BD73" s="1216"/>
      <c r="BE73" s="1216"/>
      <c r="BF73" s="1216"/>
      <c r="BG73" s="1216"/>
      <c r="BH73" s="1216"/>
      <c r="BI73" s="1216"/>
      <c r="BJ73" s="1216"/>
      <c r="BK73" s="1216"/>
      <c r="BL73" s="1216"/>
      <c r="BM73" s="1216"/>
      <c r="BN73" s="1216"/>
      <c r="BO73" s="1216"/>
      <c r="BP73" s="1216"/>
      <c r="BQ73" s="1216"/>
      <c r="BR73" s="1216"/>
      <c r="BS73" s="1216"/>
      <c r="BT73" s="1216"/>
      <c r="BU73" s="1216"/>
      <c r="BV73" s="1216"/>
      <c r="BW73" s="1216"/>
      <c r="BX73" s="1216"/>
      <c r="BY73" s="1216"/>
      <c r="BZ73" s="1216"/>
      <c r="CA73" s="1216"/>
      <c r="CB73" s="1216"/>
      <c r="CC73" s="1216"/>
      <c r="CD73" s="1216"/>
      <c r="CE73" s="1216"/>
      <c r="CF73" s="1216"/>
      <c r="CG73" s="1216"/>
      <c r="CH73" s="1216"/>
    </row>
    <row r="74" spans="1:86" ht="20.149999999999999" customHeight="1">
      <c r="A74" s="1563" t="s">
        <v>1424</v>
      </c>
      <c r="B74" s="1563" t="s">
        <v>14</v>
      </c>
      <c r="C74" s="1563" t="str">
        <f t="shared" si="1"/>
        <v>PBPDDF30</v>
      </c>
      <c r="D74" s="1193">
        <v>30</v>
      </c>
      <c r="E74" s="1524"/>
      <c r="F74" s="1284">
        <v>0.09</v>
      </c>
      <c r="G74" s="1284">
        <v>0.13</v>
      </c>
      <c r="H74" s="1284">
        <v>0.18</v>
      </c>
      <c r="I74" s="1284">
        <v>0.23</v>
      </c>
      <c r="J74" s="1284">
        <v>0.28000000000000003</v>
      </c>
      <c r="K74" s="1284">
        <v>0.33</v>
      </c>
      <c r="L74" s="1284">
        <v>0.38</v>
      </c>
      <c r="M74" s="1284">
        <v>0.44</v>
      </c>
      <c r="N74" s="1284">
        <v>0.49</v>
      </c>
      <c r="O74" s="1284">
        <v>0.55000000000000004</v>
      </c>
      <c r="P74" s="1284">
        <v>0.62</v>
      </c>
      <c r="Q74" s="1284">
        <v>0.68</v>
      </c>
      <c r="R74" s="1284">
        <v>0.75</v>
      </c>
      <c r="S74" s="1284">
        <v>0.82</v>
      </c>
      <c r="T74" s="1284">
        <v>0.9</v>
      </c>
      <c r="U74" s="1284">
        <v>0.98</v>
      </c>
      <c r="V74" s="1284">
        <v>1.06</v>
      </c>
      <c r="W74" s="1284">
        <v>1.1499999999999999</v>
      </c>
      <c r="X74" s="1284">
        <v>1.25</v>
      </c>
      <c r="Y74" s="1284">
        <v>1.35</v>
      </c>
      <c r="Z74" s="1284">
        <v>1.45</v>
      </c>
      <c r="AA74" s="1284">
        <v>1.56</v>
      </c>
      <c r="AB74" s="1285">
        <v>1.68</v>
      </c>
      <c r="AC74" s="1192"/>
      <c r="AD74" s="1213"/>
      <c r="AE74" s="1214"/>
      <c r="AF74" s="1214"/>
      <c r="AG74" s="1214"/>
      <c r="AH74" s="1214"/>
      <c r="AI74" s="1214"/>
      <c r="AJ74" s="1214"/>
      <c r="AK74" s="1214"/>
      <c r="AL74" s="1214"/>
      <c r="AM74" s="1214"/>
      <c r="AN74" s="1214"/>
      <c r="AO74" s="1214"/>
      <c r="AP74" s="1214"/>
      <c r="AQ74" s="1214"/>
      <c r="AR74" s="1214"/>
      <c r="AS74" s="1214"/>
      <c r="AT74" s="1214"/>
      <c r="AU74" s="1214"/>
      <c r="AV74" s="1214"/>
      <c r="AW74" s="1214"/>
      <c r="AX74" s="1214"/>
      <c r="AY74" s="1214"/>
      <c r="AZ74" s="1214"/>
      <c r="BA74" s="1214"/>
      <c r="BB74" s="1214"/>
      <c r="BC74" s="1216"/>
      <c r="BD74" s="1216"/>
      <c r="BE74" s="1216"/>
      <c r="BF74" s="1216"/>
      <c r="BG74" s="1216"/>
      <c r="BH74" s="1216"/>
      <c r="BI74" s="1216"/>
      <c r="BJ74" s="1216"/>
      <c r="BK74" s="1216"/>
      <c r="BL74" s="1216"/>
      <c r="BM74" s="1216"/>
      <c r="BN74" s="1216"/>
      <c r="BO74" s="1216"/>
      <c r="BP74" s="1216"/>
      <c r="BQ74" s="1216"/>
      <c r="BR74" s="1216"/>
      <c r="BS74" s="1216"/>
      <c r="BT74" s="1216"/>
      <c r="BU74" s="1216"/>
      <c r="BV74" s="1216"/>
      <c r="BW74" s="1216"/>
      <c r="BX74" s="1216"/>
      <c r="BY74" s="1216"/>
      <c r="BZ74" s="1216"/>
      <c r="CA74" s="1216"/>
      <c r="CB74" s="1216"/>
      <c r="CC74" s="1216"/>
      <c r="CD74" s="1216"/>
      <c r="CE74" s="1216"/>
      <c r="CF74" s="1216"/>
      <c r="CG74" s="1216"/>
      <c r="CH74" s="1216"/>
    </row>
    <row r="75" spans="1:86" ht="20.149999999999999" customHeight="1">
      <c r="A75" s="1563" t="s">
        <v>1424</v>
      </c>
      <c r="B75" s="1563" t="s">
        <v>14</v>
      </c>
      <c r="C75" s="1563" t="str">
        <f t="shared" si="1"/>
        <v>PBPDDF31</v>
      </c>
      <c r="D75" s="1194">
        <v>31</v>
      </c>
      <c r="E75" s="1525"/>
      <c r="F75" s="1286">
        <v>0.09</v>
      </c>
      <c r="G75" s="1286">
        <v>0.14000000000000001</v>
      </c>
      <c r="H75" s="1286">
        <v>0.19</v>
      </c>
      <c r="I75" s="1286">
        <v>0.24</v>
      </c>
      <c r="J75" s="1286">
        <v>0.28999999999999998</v>
      </c>
      <c r="K75" s="1286">
        <v>0.34</v>
      </c>
      <c r="L75" s="1286">
        <v>0.4</v>
      </c>
      <c r="M75" s="1286">
        <v>0.46</v>
      </c>
      <c r="N75" s="1286">
        <v>0.52</v>
      </c>
      <c r="O75" s="1286">
        <v>0.57999999999999996</v>
      </c>
      <c r="P75" s="1286">
        <v>0.65</v>
      </c>
      <c r="Q75" s="1286">
        <v>0.72</v>
      </c>
      <c r="R75" s="1286">
        <v>0.79</v>
      </c>
      <c r="S75" s="1286">
        <v>0.87</v>
      </c>
      <c r="T75" s="1286">
        <v>0.95</v>
      </c>
      <c r="U75" s="1286">
        <v>1.04</v>
      </c>
      <c r="V75" s="1286">
        <v>1.1299999999999999</v>
      </c>
      <c r="W75" s="1286">
        <v>1.23</v>
      </c>
      <c r="X75" s="1286">
        <v>1.33</v>
      </c>
      <c r="Y75" s="1286">
        <v>1.44</v>
      </c>
      <c r="Z75" s="1286">
        <v>1.55</v>
      </c>
      <c r="AA75" s="1286">
        <v>1.67</v>
      </c>
      <c r="AB75" s="1287">
        <v>1.8</v>
      </c>
      <c r="AC75" s="1192"/>
      <c r="AD75" s="1213"/>
      <c r="AE75" s="1214"/>
      <c r="AF75" s="1214"/>
      <c r="AG75" s="1214"/>
      <c r="AH75" s="1214"/>
      <c r="AI75" s="1214"/>
      <c r="AJ75" s="1214"/>
      <c r="AK75" s="1214"/>
      <c r="AL75" s="1214"/>
      <c r="AM75" s="1214"/>
      <c r="AN75" s="1214"/>
      <c r="AO75" s="1214"/>
      <c r="AP75" s="1214"/>
      <c r="AQ75" s="1214"/>
      <c r="AR75" s="1214"/>
      <c r="AS75" s="1214"/>
      <c r="AT75" s="1214"/>
      <c r="AU75" s="1214"/>
      <c r="AV75" s="1214"/>
      <c r="AW75" s="1214"/>
      <c r="AX75" s="1214"/>
      <c r="AY75" s="1214"/>
      <c r="AZ75" s="1214"/>
      <c r="BA75" s="1214"/>
      <c r="BB75" s="1214"/>
      <c r="BC75" s="1216"/>
      <c r="BD75" s="1216"/>
      <c r="BE75" s="1216"/>
      <c r="BF75" s="1216"/>
      <c r="BG75" s="1216"/>
      <c r="BH75" s="1216"/>
      <c r="BI75" s="1216"/>
      <c r="BJ75" s="1216"/>
      <c r="BK75" s="1216"/>
      <c r="BL75" s="1216"/>
      <c r="BM75" s="1216"/>
      <c r="BN75" s="1216"/>
      <c r="BO75" s="1216"/>
      <c r="BP75" s="1216"/>
      <c r="BQ75" s="1216"/>
      <c r="BR75" s="1216"/>
      <c r="BS75" s="1216"/>
      <c r="BT75" s="1216"/>
      <c r="BU75" s="1216"/>
      <c r="BV75" s="1216"/>
      <c r="BW75" s="1216"/>
      <c r="BX75" s="1216"/>
      <c r="BY75" s="1216"/>
      <c r="BZ75" s="1216"/>
      <c r="CA75" s="1216"/>
      <c r="CB75" s="1216"/>
      <c r="CC75" s="1216"/>
      <c r="CD75" s="1216"/>
      <c r="CE75" s="1216"/>
      <c r="CF75" s="1216"/>
      <c r="CG75" s="1216"/>
      <c r="CH75" s="1216"/>
    </row>
    <row r="76" spans="1:86" ht="20.149999999999999" customHeight="1">
      <c r="A76" s="1563" t="s">
        <v>1424</v>
      </c>
      <c r="B76" s="1563" t="s">
        <v>14</v>
      </c>
      <c r="C76" s="1563" t="str">
        <f t="shared" si="1"/>
        <v>PBPDDF32</v>
      </c>
      <c r="D76" s="1193">
        <v>32</v>
      </c>
      <c r="E76" s="1524"/>
      <c r="F76" s="1284">
        <v>0.1</v>
      </c>
      <c r="G76" s="1284">
        <v>0.14000000000000001</v>
      </c>
      <c r="H76" s="1284">
        <v>0.2</v>
      </c>
      <c r="I76" s="1284">
        <v>0.25</v>
      </c>
      <c r="J76" s="1284">
        <v>0.3</v>
      </c>
      <c r="K76" s="1284">
        <v>0.36</v>
      </c>
      <c r="L76" s="1284">
        <v>0.42</v>
      </c>
      <c r="M76" s="1284">
        <v>0.48</v>
      </c>
      <c r="N76" s="1284">
        <v>0.55000000000000004</v>
      </c>
      <c r="O76" s="1284">
        <v>0.61</v>
      </c>
      <c r="P76" s="1284">
        <v>0.69</v>
      </c>
      <c r="Q76" s="1284">
        <v>0.76</v>
      </c>
      <c r="R76" s="1284">
        <v>0.84</v>
      </c>
      <c r="S76" s="1284">
        <v>0.93</v>
      </c>
      <c r="T76" s="1284">
        <v>1.01</v>
      </c>
      <c r="U76" s="1284">
        <v>1.1100000000000001</v>
      </c>
      <c r="V76" s="1284">
        <v>1.21</v>
      </c>
      <c r="W76" s="1284">
        <v>1.31</v>
      </c>
      <c r="X76" s="1284">
        <v>1.42</v>
      </c>
      <c r="Y76" s="1284">
        <v>1.54</v>
      </c>
      <c r="Z76" s="1284">
        <v>1.66</v>
      </c>
      <c r="AA76" s="1284">
        <v>1.79</v>
      </c>
      <c r="AB76" s="1285">
        <v>1.93</v>
      </c>
      <c r="AC76" s="1192"/>
      <c r="AD76" s="1213"/>
      <c r="AE76" s="1214"/>
      <c r="AF76" s="1214"/>
      <c r="AG76" s="1214"/>
      <c r="AH76" s="1214"/>
      <c r="AI76" s="1214"/>
      <c r="AJ76" s="1214"/>
      <c r="AK76" s="1214"/>
      <c r="AL76" s="1214"/>
      <c r="AM76" s="1214"/>
      <c r="AN76" s="1214"/>
      <c r="AO76" s="1214"/>
      <c r="AP76" s="1214"/>
      <c r="AQ76" s="1214"/>
      <c r="AR76" s="1214"/>
      <c r="AS76" s="1214"/>
      <c r="AT76" s="1214"/>
      <c r="AU76" s="1214"/>
      <c r="AV76" s="1214"/>
      <c r="AW76" s="1214"/>
      <c r="AX76" s="1214"/>
      <c r="AY76" s="1214"/>
      <c r="AZ76" s="1214"/>
      <c r="BA76" s="1214"/>
      <c r="BB76" s="1214"/>
      <c r="BC76" s="1216"/>
      <c r="BD76" s="1216"/>
      <c r="BE76" s="1216"/>
      <c r="BF76" s="1216"/>
      <c r="BG76" s="1216"/>
      <c r="BH76" s="1216"/>
      <c r="BI76" s="1216"/>
      <c r="BJ76" s="1216"/>
      <c r="BK76" s="1216"/>
      <c r="BL76" s="1216"/>
      <c r="BM76" s="1216"/>
      <c r="BN76" s="1216"/>
      <c r="BO76" s="1216"/>
      <c r="BP76" s="1216"/>
      <c r="BQ76" s="1216"/>
      <c r="BR76" s="1216"/>
      <c r="BS76" s="1216"/>
      <c r="BT76" s="1216"/>
      <c r="BU76" s="1216"/>
      <c r="BV76" s="1216"/>
      <c r="BW76" s="1216"/>
      <c r="BX76" s="1216"/>
      <c r="BY76" s="1216"/>
      <c r="BZ76" s="1216"/>
      <c r="CA76" s="1216"/>
      <c r="CB76" s="1216"/>
      <c r="CC76" s="1216"/>
      <c r="CD76" s="1216"/>
      <c r="CE76" s="1216"/>
      <c r="CF76" s="1216"/>
      <c r="CG76" s="1216"/>
      <c r="CH76" s="1216"/>
    </row>
    <row r="77" spans="1:86" ht="20.149999999999999" customHeight="1">
      <c r="A77" s="1563" t="s">
        <v>1424</v>
      </c>
      <c r="B77" s="1563" t="s">
        <v>14</v>
      </c>
      <c r="C77" s="1563" t="str">
        <f t="shared" si="1"/>
        <v>PBPDDF33</v>
      </c>
      <c r="D77" s="1193">
        <v>33</v>
      </c>
      <c r="E77" s="1524"/>
      <c r="F77" s="1284">
        <v>0.1</v>
      </c>
      <c r="G77" s="1284">
        <v>0.15</v>
      </c>
      <c r="H77" s="1284">
        <v>0.2</v>
      </c>
      <c r="I77" s="1284">
        <v>0.26</v>
      </c>
      <c r="J77" s="1284">
        <v>0.32</v>
      </c>
      <c r="K77" s="1284">
        <v>0.38</v>
      </c>
      <c r="L77" s="1284">
        <v>0.44</v>
      </c>
      <c r="M77" s="1284">
        <v>0.51</v>
      </c>
      <c r="N77" s="1284">
        <v>0.57999999999999996</v>
      </c>
      <c r="O77" s="1284">
        <v>0.65</v>
      </c>
      <c r="P77" s="1284">
        <v>0.73</v>
      </c>
      <c r="Q77" s="1284">
        <v>0.81</v>
      </c>
      <c r="R77" s="1284">
        <v>0.9</v>
      </c>
      <c r="S77" s="1284">
        <v>0.99</v>
      </c>
      <c r="T77" s="1284">
        <v>1.08</v>
      </c>
      <c r="U77" s="1284">
        <v>1.19</v>
      </c>
      <c r="V77" s="1284">
        <v>1.29</v>
      </c>
      <c r="W77" s="1284">
        <v>1.4</v>
      </c>
      <c r="X77" s="1284">
        <v>1.52</v>
      </c>
      <c r="Y77" s="1284">
        <v>1.65</v>
      </c>
      <c r="Z77" s="1284">
        <v>1.78</v>
      </c>
      <c r="AA77" s="1284">
        <v>1.93</v>
      </c>
      <c r="AB77" s="1285">
        <v>2.08</v>
      </c>
      <c r="AC77" s="1192"/>
      <c r="AD77" s="1213"/>
      <c r="AE77" s="1214"/>
      <c r="AF77" s="1214"/>
      <c r="AG77" s="1214"/>
      <c r="AH77" s="1214"/>
      <c r="AI77" s="1214"/>
      <c r="AJ77" s="1214"/>
      <c r="AK77" s="1214"/>
      <c r="AL77" s="1214"/>
      <c r="AM77" s="1214"/>
      <c r="AN77" s="1214"/>
      <c r="AO77" s="1214"/>
      <c r="AP77" s="1214"/>
      <c r="AQ77" s="1214"/>
      <c r="AR77" s="1214"/>
      <c r="AS77" s="1214"/>
      <c r="AT77" s="1214"/>
      <c r="AU77" s="1214"/>
      <c r="AV77" s="1214"/>
      <c r="AW77" s="1214"/>
      <c r="AX77" s="1214"/>
      <c r="AY77" s="1214"/>
      <c r="AZ77" s="1214"/>
      <c r="BA77" s="1214"/>
      <c r="BB77" s="1214"/>
      <c r="BC77" s="1216"/>
      <c r="BD77" s="1216"/>
      <c r="BE77" s="1216"/>
      <c r="BF77" s="1216"/>
      <c r="BG77" s="1216"/>
      <c r="BH77" s="1216"/>
      <c r="BI77" s="1216"/>
      <c r="BJ77" s="1216"/>
      <c r="BK77" s="1216"/>
      <c r="BL77" s="1216"/>
      <c r="BM77" s="1216"/>
      <c r="BN77" s="1216"/>
      <c r="BO77" s="1216"/>
      <c r="BP77" s="1216"/>
      <c r="BQ77" s="1216"/>
      <c r="BR77" s="1216"/>
      <c r="BS77" s="1216"/>
      <c r="BT77" s="1216"/>
      <c r="BU77" s="1216"/>
      <c r="BV77" s="1216"/>
      <c r="BW77" s="1216"/>
      <c r="BX77" s="1216"/>
      <c r="BY77" s="1216"/>
      <c r="BZ77" s="1216"/>
      <c r="CA77" s="1216"/>
      <c r="CB77" s="1216"/>
      <c r="CC77" s="1216"/>
      <c r="CD77" s="1216"/>
      <c r="CE77" s="1216"/>
      <c r="CF77" s="1216"/>
      <c r="CG77" s="1216"/>
      <c r="CH77" s="1216"/>
    </row>
    <row r="78" spans="1:86" ht="20.149999999999999" customHeight="1">
      <c r="A78" s="1563" t="s">
        <v>1424</v>
      </c>
      <c r="B78" s="1563" t="s">
        <v>14</v>
      </c>
      <c r="C78" s="1563" t="str">
        <f t="shared" si="1"/>
        <v>PBPDDF34</v>
      </c>
      <c r="D78" s="1193">
        <v>34</v>
      </c>
      <c r="E78" s="1524"/>
      <c r="F78" s="1284">
        <v>0.1</v>
      </c>
      <c r="G78" s="1284">
        <v>0.16</v>
      </c>
      <c r="H78" s="1284">
        <v>0.22</v>
      </c>
      <c r="I78" s="1284">
        <v>0.28000000000000003</v>
      </c>
      <c r="J78" s="1284">
        <v>0.34</v>
      </c>
      <c r="K78" s="1284">
        <v>0.4</v>
      </c>
      <c r="L78" s="1284">
        <v>0.47</v>
      </c>
      <c r="M78" s="1284">
        <v>0.54</v>
      </c>
      <c r="N78" s="1284">
        <v>0.62</v>
      </c>
      <c r="O78" s="1284">
        <v>0.7</v>
      </c>
      <c r="P78" s="1284">
        <v>0.78</v>
      </c>
      <c r="Q78" s="1284">
        <v>0.87</v>
      </c>
      <c r="R78" s="1284">
        <v>0.96</v>
      </c>
      <c r="S78" s="1284">
        <v>1.06</v>
      </c>
      <c r="T78" s="1284">
        <v>1.1599999999999999</v>
      </c>
      <c r="U78" s="1284">
        <v>1.27</v>
      </c>
      <c r="V78" s="1284">
        <v>1.39</v>
      </c>
      <c r="W78" s="1284">
        <v>1.51</v>
      </c>
      <c r="X78" s="1284">
        <v>1.64</v>
      </c>
      <c r="Y78" s="1284">
        <v>1.78</v>
      </c>
      <c r="Z78" s="1284">
        <v>1.92</v>
      </c>
      <c r="AA78" s="1284">
        <v>2.08</v>
      </c>
      <c r="AB78" s="1285">
        <v>2.2400000000000002</v>
      </c>
      <c r="AC78" s="1192"/>
      <c r="AD78" s="1213"/>
      <c r="AE78" s="1214"/>
      <c r="AF78" s="1214"/>
      <c r="AG78" s="1214"/>
      <c r="AH78" s="1214"/>
      <c r="AI78" s="1214"/>
      <c r="AJ78" s="1214"/>
      <c r="AK78" s="1214"/>
      <c r="AL78" s="1214"/>
      <c r="AM78" s="1214"/>
      <c r="AN78" s="1214"/>
      <c r="AO78" s="1214"/>
      <c r="AP78" s="1214"/>
      <c r="AQ78" s="1214"/>
      <c r="AR78" s="1214"/>
      <c r="AS78" s="1214"/>
      <c r="AT78" s="1214"/>
      <c r="AU78" s="1214"/>
      <c r="AV78" s="1214"/>
      <c r="AW78" s="1214"/>
      <c r="AX78" s="1214"/>
      <c r="AY78" s="1214"/>
      <c r="AZ78" s="1214"/>
      <c r="BA78" s="1214"/>
      <c r="BB78" s="1214"/>
      <c r="BC78" s="1216"/>
      <c r="BD78" s="1216"/>
      <c r="BE78" s="1216"/>
      <c r="BF78" s="1216"/>
      <c r="BG78" s="1216"/>
      <c r="BH78" s="1216"/>
      <c r="BI78" s="1216"/>
      <c r="BJ78" s="1216"/>
      <c r="BK78" s="1216"/>
      <c r="BL78" s="1216"/>
      <c r="BM78" s="1216"/>
      <c r="BN78" s="1216"/>
      <c r="BO78" s="1216"/>
      <c r="BP78" s="1216"/>
      <c r="BQ78" s="1216"/>
      <c r="BR78" s="1216"/>
      <c r="BS78" s="1216"/>
      <c r="BT78" s="1216"/>
      <c r="BU78" s="1216"/>
      <c r="BV78" s="1216"/>
      <c r="BW78" s="1216"/>
      <c r="BX78" s="1216"/>
      <c r="BY78" s="1216"/>
      <c r="BZ78" s="1216"/>
      <c r="CA78" s="1216"/>
      <c r="CB78" s="1216"/>
      <c r="CC78" s="1216"/>
      <c r="CD78" s="1216"/>
      <c r="CE78" s="1216"/>
      <c r="CF78" s="1216"/>
      <c r="CG78" s="1216"/>
      <c r="CH78" s="1216"/>
    </row>
    <row r="79" spans="1:86" ht="20.149999999999999" customHeight="1">
      <c r="A79" s="1563" t="s">
        <v>1424</v>
      </c>
      <c r="B79" s="1563" t="s">
        <v>14</v>
      </c>
      <c r="C79" s="1563" t="str">
        <f t="shared" si="1"/>
        <v>PBPDDF35</v>
      </c>
      <c r="D79" s="1195">
        <v>35</v>
      </c>
      <c r="E79" s="1526"/>
      <c r="F79" s="1288">
        <v>0.11</v>
      </c>
      <c r="G79" s="1288">
        <v>0.17</v>
      </c>
      <c r="H79" s="1288">
        <v>0.23</v>
      </c>
      <c r="I79" s="1288">
        <v>0.28999999999999998</v>
      </c>
      <c r="J79" s="1288">
        <v>0.36</v>
      </c>
      <c r="K79" s="1288">
        <v>0.43</v>
      </c>
      <c r="L79" s="1288">
        <v>0.5</v>
      </c>
      <c r="M79" s="1288">
        <v>0.57999999999999996</v>
      </c>
      <c r="N79" s="1288">
        <v>0.66</v>
      </c>
      <c r="O79" s="1288">
        <v>0.75</v>
      </c>
      <c r="P79" s="1288">
        <v>0.84</v>
      </c>
      <c r="Q79" s="1288">
        <v>0.93</v>
      </c>
      <c r="R79" s="1288">
        <v>1.03</v>
      </c>
      <c r="S79" s="1288">
        <v>1.1399999999999999</v>
      </c>
      <c r="T79" s="1288">
        <v>1.25</v>
      </c>
      <c r="U79" s="1288">
        <v>1.37</v>
      </c>
      <c r="V79" s="1288">
        <v>1.49</v>
      </c>
      <c r="W79" s="1288">
        <v>1.63</v>
      </c>
      <c r="X79" s="1288">
        <v>1.77</v>
      </c>
      <c r="Y79" s="1288">
        <v>1.92</v>
      </c>
      <c r="Z79" s="1288">
        <v>2.08</v>
      </c>
      <c r="AA79" s="1288">
        <v>2.25</v>
      </c>
      <c r="AB79" s="1289">
        <v>2.4300000000000002</v>
      </c>
      <c r="AC79" s="1192"/>
      <c r="AD79" s="1213"/>
      <c r="AE79" s="1214"/>
      <c r="AF79" s="1214"/>
      <c r="AG79" s="1214"/>
      <c r="AH79" s="1214"/>
      <c r="AI79" s="1214"/>
      <c r="AJ79" s="1214"/>
      <c r="AK79" s="1214"/>
      <c r="AL79" s="1214"/>
      <c r="AM79" s="1214"/>
      <c r="AN79" s="1214"/>
      <c r="AO79" s="1214"/>
      <c r="AP79" s="1214"/>
      <c r="AQ79" s="1214"/>
      <c r="AR79" s="1214"/>
      <c r="AS79" s="1214"/>
      <c r="AT79" s="1214"/>
      <c r="AU79" s="1214"/>
      <c r="AV79" s="1214"/>
      <c r="AW79" s="1214"/>
      <c r="AX79" s="1214"/>
      <c r="AY79" s="1214"/>
      <c r="AZ79" s="1214"/>
      <c r="BA79" s="1214"/>
      <c r="BB79" s="1214"/>
      <c r="BC79" s="1216"/>
      <c r="BD79" s="1216"/>
      <c r="BE79" s="1216"/>
      <c r="BF79" s="1216"/>
      <c r="BG79" s="1216"/>
      <c r="BH79" s="1216"/>
      <c r="BI79" s="1216"/>
      <c r="BJ79" s="1216"/>
      <c r="BK79" s="1216"/>
      <c r="BL79" s="1216"/>
      <c r="BM79" s="1216"/>
      <c r="BN79" s="1216"/>
      <c r="BO79" s="1216"/>
      <c r="BP79" s="1216"/>
      <c r="BQ79" s="1216"/>
      <c r="BR79" s="1216"/>
      <c r="BS79" s="1216"/>
      <c r="BT79" s="1216"/>
      <c r="BU79" s="1216"/>
      <c r="BV79" s="1216"/>
      <c r="BW79" s="1216"/>
      <c r="BX79" s="1216"/>
      <c r="BY79" s="1216"/>
      <c r="BZ79" s="1216"/>
      <c r="CA79" s="1216"/>
      <c r="CB79" s="1216"/>
      <c r="CC79" s="1216"/>
      <c r="CD79" s="1216"/>
      <c r="CE79" s="1216"/>
      <c r="CF79" s="1216"/>
      <c r="CG79" s="1216"/>
      <c r="CH79" s="1216"/>
    </row>
    <row r="80" spans="1:86" ht="20.149999999999999" customHeight="1">
      <c r="A80" s="1563" t="s">
        <v>1424</v>
      </c>
      <c r="B80" s="1563" t="s">
        <v>14</v>
      </c>
      <c r="C80" s="1563" t="str">
        <f t="shared" si="1"/>
        <v>PBPDDF36</v>
      </c>
      <c r="D80" s="1193">
        <v>36</v>
      </c>
      <c r="E80" s="1524"/>
      <c r="F80" s="1284">
        <v>0.12</v>
      </c>
      <c r="G80" s="1284">
        <v>0.18</v>
      </c>
      <c r="H80" s="1284">
        <v>0.24</v>
      </c>
      <c r="I80" s="1284">
        <v>0.31</v>
      </c>
      <c r="J80" s="1284">
        <v>0.38</v>
      </c>
      <c r="K80" s="1284">
        <v>0.46</v>
      </c>
      <c r="L80" s="1284">
        <v>0.54</v>
      </c>
      <c r="M80" s="1284">
        <v>0.62</v>
      </c>
      <c r="N80" s="1284">
        <v>0.71</v>
      </c>
      <c r="O80" s="1284">
        <v>0.8</v>
      </c>
      <c r="P80" s="1284">
        <v>0.9</v>
      </c>
      <c r="Q80" s="1284">
        <v>1</v>
      </c>
      <c r="R80" s="1284">
        <v>1.1100000000000001</v>
      </c>
      <c r="S80" s="1284">
        <v>1.23</v>
      </c>
      <c r="T80" s="1284">
        <v>1.35</v>
      </c>
      <c r="U80" s="1284">
        <v>1.48</v>
      </c>
      <c r="V80" s="1284">
        <v>1.61</v>
      </c>
      <c r="W80" s="1284">
        <v>1.76</v>
      </c>
      <c r="X80" s="1284">
        <v>1.91</v>
      </c>
      <c r="Y80" s="1284">
        <v>2.0699999999999998</v>
      </c>
      <c r="Z80" s="1284">
        <v>2.25</v>
      </c>
      <c r="AA80" s="1284">
        <v>2.44</v>
      </c>
      <c r="AB80" s="1285">
        <v>2.64</v>
      </c>
      <c r="AC80" s="1192"/>
      <c r="AD80" s="1213"/>
      <c r="AE80" s="1214"/>
      <c r="AF80" s="1214"/>
      <c r="AG80" s="1214"/>
      <c r="AH80" s="1214"/>
      <c r="AI80" s="1214"/>
      <c r="AJ80" s="1214"/>
      <c r="AK80" s="1214"/>
      <c r="AL80" s="1214"/>
      <c r="AM80" s="1214"/>
      <c r="AN80" s="1214"/>
      <c r="AO80" s="1214"/>
      <c r="AP80" s="1214"/>
      <c r="AQ80" s="1214"/>
      <c r="AR80" s="1214"/>
      <c r="AS80" s="1214"/>
      <c r="AT80" s="1214"/>
      <c r="AU80" s="1214"/>
      <c r="AV80" s="1214"/>
      <c r="AW80" s="1214"/>
      <c r="AX80" s="1214"/>
      <c r="AY80" s="1214"/>
      <c r="AZ80" s="1214"/>
      <c r="BA80" s="1214"/>
      <c r="BB80" s="1214"/>
      <c r="BC80" s="1216"/>
      <c r="BD80" s="1216"/>
      <c r="BE80" s="1216"/>
      <c r="BF80" s="1216"/>
      <c r="BG80" s="1216"/>
      <c r="BH80" s="1216"/>
      <c r="BI80" s="1216"/>
      <c r="BJ80" s="1216"/>
      <c r="BK80" s="1216"/>
      <c r="BL80" s="1216"/>
      <c r="BM80" s="1216"/>
      <c r="BN80" s="1216"/>
      <c r="BO80" s="1216"/>
      <c r="BP80" s="1216"/>
      <c r="BQ80" s="1216"/>
      <c r="BR80" s="1216"/>
      <c r="BS80" s="1216"/>
      <c r="BT80" s="1216"/>
      <c r="BU80" s="1216"/>
      <c r="BV80" s="1216"/>
      <c r="BW80" s="1216"/>
      <c r="BX80" s="1216"/>
      <c r="BY80" s="1216"/>
      <c r="BZ80" s="1216"/>
      <c r="CA80" s="1216"/>
      <c r="CB80" s="1216"/>
      <c r="CC80" s="1216"/>
      <c r="CD80" s="1216"/>
      <c r="CE80" s="1216"/>
      <c r="CF80" s="1216"/>
      <c r="CG80" s="1216"/>
      <c r="CH80" s="1216"/>
    </row>
    <row r="81" spans="1:86" ht="20.149999999999999" customHeight="1">
      <c r="A81" s="1563" t="s">
        <v>1424</v>
      </c>
      <c r="B81" s="1563" t="s">
        <v>14</v>
      </c>
      <c r="C81" s="1563" t="str">
        <f t="shared" si="1"/>
        <v>PBPDDF37</v>
      </c>
      <c r="D81" s="1193">
        <v>37</v>
      </c>
      <c r="E81" s="1524"/>
      <c r="F81" s="1284">
        <v>0.12</v>
      </c>
      <c r="G81" s="1284">
        <v>0.19</v>
      </c>
      <c r="H81" s="1284">
        <v>0.26</v>
      </c>
      <c r="I81" s="1284">
        <v>0.34</v>
      </c>
      <c r="J81" s="1284">
        <v>0.41</v>
      </c>
      <c r="K81" s="1284">
        <v>0.49</v>
      </c>
      <c r="L81" s="1284">
        <v>0.57999999999999996</v>
      </c>
      <c r="M81" s="1284">
        <v>0.67</v>
      </c>
      <c r="N81" s="1284">
        <v>0.77</v>
      </c>
      <c r="O81" s="1284">
        <v>0.87</v>
      </c>
      <c r="P81" s="1284">
        <v>0.97</v>
      </c>
      <c r="Q81" s="1284">
        <v>1.08</v>
      </c>
      <c r="R81" s="1284">
        <v>1.2</v>
      </c>
      <c r="S81" s="1284">
        <v>1.32</v>
      </c>
      <c r="T81" s="1284">
        <v>1.46</v>
      </c>
      <c r="U81" s="1284">
        <v>1.6</v>
      </c>
      <c r="V81" s="1284">
        <v>1.74</v>
      </c>
      <c r="W81" s="1284">
        <v>1.9</v>
      </c>
      <c r="X81" s="1284">
        <v>2.0699999999999998</v>
      </c>
      <c r="Y81" s="1284">
        <v>2.25</v>
      </c>
      <c r="Z81" s="1284">
        <v>2.44</v>
      </c>
      <c r="AA81" s="1284">
        <v>2.65</v>
      </c>
      <c r="AB81" s="1285">
        <v>2.87</v>
      </c>
      <c r="AC81" s="1192"/>
      <c r="AD81" s="1213"/>
      <c r="AE81" s="1214"/>
      <c r="AF81" s="1214"/>
      <c r="AG81" s="1214"/>
      <c r="AH81" s="1214"/>
      <c r="AI81" s="1214"/>
      <c r="AJ81" s="1214"/>
      <c r="AK81" s="1214"/>
      <c r="AL81" s="1214"/>
      <c r="AM81" s="1214"/>
      <c r="AN81" s="1214"/>
      <c r="AO81" s="1214"/>
      <c r="AP81" s="1214"/>
      <c r="AQ81" s="1214"/>
      <c r="AR81" s="1214"/>
      <c r="AS81" s="1214"/>
      <c r="AT81" s="1214"/>
      <c r="AU81" s="1214"/>
      <c r="AV81" s="1214"/>
      <c r="AW81" s="1214"/>
      <c r="AX81" s="1214"/>
      <c r="AY81" s="1214"/>
      <c r="AZ81" s="1214"/>
      <c r="BA81" s="1214"/>
      <c r="BB81" s="1214"/>
      <c r="BC81" s="1216"/>
      <c r="BD81" s="1216"/>
      <c r="BE81" s="1216"/>
      <c r="BF81" s="1216"/>
      <c r="BG81" s="1216"/>
      <c r="BH81" s="1216"/>
      <c r="BI81" s="1216"/>
      <c r="BJ81" s="1216"/>
      <c r="BK81" s="1216"/>
      <c r="BL81" s="1216"/>
      <c r="BM81" s="1216"/>
      <c r="BN81" s="1216"/>
      <c r="BO81" s="1216"/>
      <c r="BP81" s="1216"/>
      <c r="BQ81" s="1216"/>
      <c r="BR81" s="1216"/>
      <c r="BS81" s="1216"/>
      <c r="BT81" s="1216"/>
      <c r="BU81" s="1216"/>
      <c r="BV81" s="1216"/>
      <c r="BW81" s="1216"/>
      <c r="BX81" s="1216"/>
      <c r="BY81" s="1216"/>
      <c r="BZ81" s="1216"/>
      <c r="CA81" s="1216"/>
      <c r="CB81" s="1216"/>
      <c r="CC81" s="1216"/>
      <c r="CD81" s="1216"/>
      <c r="CE81" s="1216"/>
      <c r="CF81" s="1216"/>
      <c r="CG81" s="1216"/>
      <c r="CH81" s="1216"/>
    </row>
    <row r="82" spans="1:86" ht="20.149999999999999" customHeight="1">
      <c r="A82" s="1563" t="s">
        <v>1424</v>
      </c>
      <c r="B82" s="1563" t="s">
        <v>14</v>
      </c>
      <c r="C82" s="1563" t="str">
        <f t="shared" si="1"/>
        <v>PBPDDF38</v>
      </c>
      <c r="D82" s="1193">
        <v>38</v>
      </c>
      <c r="E82" s="1524"/>
      <c r="F82" s="1284">
        <v>0.13</v>
      </c>
      <c r="G82" s="1284">
        <v>0.21</v>
      </c>
      <c r="H82" s="1284">
        <v>0.28000000000000003</v>
      </c>
      <c r="I82" s="1284">
        <v>0.36</v>
      </c>
      <c r="J82" s="1284">
        <v>0.44</v>
      </c>
      <c r="K82" s="1284">
        <v>0.53</v>
      </c>
      <c r="L82" s="1284">
        <v>0.63</v>
      </c>
      <c r="M82" s="1284">
        <v>0.72</v>
      </c>
      <c r="N82" s="1284">
        <v>0.83</v>
      </c>
      <c r="O82" s="1284">
        <v>0.93</v>
      </c>
      <c r="P82" s="1284">
        <v>1.05</v>
      </c>
      <c r="Q82" s="1284">
        <v>1.17</v>
      </c>
      <c r="R82" s="1284">
        <v>1.3</v>
      </c>
      <c r="S82" s="1284">
        <v>1.43</v>
      </c>
      <c r="T82" s="1284">
        <v>1.57</v>
      </c>
      <c r="U82" s="1284">
        <v>1.73</v>
      </c>
      <c r="V82" s="1284">
        <v>1.89</v>
      </c>
      <c r="W82" s="1284">
        <v>2.06</v>
      </c>
      <c r="X82" s="1284">
        <v>2.2400000000000002</v>
      </c>
      <c r="Y82" s="1284">
        <v>2.44</v>
      </c>
      <c r="Z82" s="1284">
        <v>2.65</v>
      </c>
      <c r="AA82" s="1284">
        <v>2.88</v>
      </c>
      <c r="AB82" s="1285">
        <v>3.13</v>
      </c>
      <c r="AC82" s="1192"/>
      <c r="AD82" s="1213"/>
      <c r="AE82" s="1214"/>
      <c r="AF82" s="1214"/>
      <c r="AG82" s="1214"/>
      <c r="AH82" s="1214"/>
      <c r="AI82" s="1214"/>
      <c r="AJ82" s="1214"/>
      <c r="AK82" s="1214"/>
      <c r="AL82" s="1214"/>
      <c r="AM82" s="1214"/>
      <c r="AN82" s="1214"/>
      <c r="AO82" s="1214"/>
      <c r="AP82" s="1214"/>
      <c r="AQ82" s="1214"/>
      <c r="AR82" s="1214"/>
      <c r="AS82" s="1214"/>
      <c r="AT82" s="1214"/>
      <c r="AU82" s="1214"/>
      <c r="AV82" s="1214"/>
      <c r="AW82" s="1214"/>
      <c r="AX82" s="1214"/>
      <c r="AY82" s="1214"/>
      <c r="AZ82" s="1214"/>
      <c r="BA82" s="1214"/>
      <c r="BB82" s="1214"/>
      <c r="BC82" s="1216"/>
      <c r="BD82" s="1216"/>
      <c r="BE82" s="1216"/>
      <c r="BF82" s="1216"/>
      <c r="BG82" s="1216"/>
      <c r="BH82" s="1216"/>
      <c r="BI82" s="1216"/>
      <c r="BJ82" s="1216"/>
      <c r="BK82" s="1216"/>
      <c r="BL82" s="1216"/>
      <c r="BM82" s="1216"/>
      <c r="BN82" s="1216"/>
      <c r="BO82" s="1216"/>
      <c r="BP82" s="1216"/>
      <c r="BQ82" s="1216"/>
      <c r="BR82" s="1216"/>
      <c r="BS82" s="1216"/>
      <c r="BT82" s="1216"/>
      <c r="BU82" s="1216"/>
      <c r="BV82" s="1216"/>
      <c r="BW82" s="1216"/>
      <c r="BX82" s="1216"/>
      <c r="BY82" s="1216"/>
      <c r="BZ82" s="1216"/>
      <c r="CA82" s="1216"/>
      <c r="CB82" s="1216"/>
      <c r="CC82" s="1216"/>
      <c r="CD82" s="1216"/>
      <c r="CE82" s="1216"/>
      <c r="CF82" s="1216"/>
      <c r="CG82" s="1216"/>
      <c r="CH82" s="1216"/>
    </row>
    <row r="83" spans="1:86" ht="20.149999999999999" customHeight="1">
      <c r="A83" s="1563" t="s">
        <v>1424</v>
      </c>
      <c r="B83" s="1563" t="s">
        <v>14</v>
      </c>
      <c r="C83" s="1563" t="str">
        <f t="shared" si="1"/>
        <v>PBPDDF39</v>
      </c>
      <c r="D83" s="1193">
        <v>39</v>
      </c>
      <c r="E83" s="1524"/>
      <c r="F83" s="1284">
        <v>0.14000000000000001</v>
      </c>
      <c r="G83" s="1284">
        <v>0.22</v>
      </c>
      <c r="H83" s="1284">
        <v>0.3</v>
      </c>
      <c r="I83" s="1284">
        <v>0.39</v>
      </c>
      <c r="J83" s="1284">
        <v>0.48</v>
      </c>
      <c r="K83" s="1284">
        <v>0.57999999999999996</v>
      </c>
      <c r="L83" s="1284">
        <v>0.68</v>
      </c>
      <c r="M83" s="1284">
        <v>0.78</v>
      </c>
      <c r="N83" s="1284">
        <v>0.89</v>
      </c>
      <c r="O83" s="1284">
        <v>1.01</v>
      </c>
      <c r="P83" s="1284">
        <v>1.1299999999999999</v>
      </c>
      <c r="Q83" s="1284">
        <v>1.26</v>
      </c>
      <c r="R83" s="1284">
        <v>1.4</v>
      </c>
      <c r="S83" s="1284">
        <v>1.55</v>
      </c>
      <c r="T83" s="1284">
        <v>1.71</v>
      </c>
      <c r="U83" s="1284">
        <v>1.87</v>
      </c>
      <c r="V83" s="1284">
        <v>2.0499999999999998</v>
      </c>
      <c r="W83" s="1284">
        <v>2.2400000000000002</v>
      </c>
      <c r="X83" s="1284">
        <v>2.44</v>
      </c>
      <c r="Y83" s="1284">
        <v>2.66</v>
      </c>
      <c r="Z83" s="1284">
        <v>2.89</v>
      </c>
      <c r="AA83" s="1284">
        <v>3.14</v>
      </c>
      <c r="AB83" s="1285">
        <v>3.41</v>
      </c>
      <c r="AC83" s="1192"/>
      <c r="AD83" s="1213"/>
      <c r="AE83" s="1214"/>
      <c r="AF83" s="1214"/>
      <c r="AG83" s="1214"/>
      <c r="AH83" s="1214"/>
      <c r="AI83" s="1214"/>
      <c r="AJ83" s="1214"/>
      <c r="AK83" s="1214"/>
      <c r="AL83" s="1214"/>
      <c r="AM83" s="1214"/>
      <c r="AN83" s="1214"/>
      <c r="AO83" s="1214"/>
      <c r="AP83" s="1214"/>
      <c r="AQ83" s="1214"/>
      <c r="AR83" s="1214"/>
      <c r="AS83" s="1214"/>
      <c r="AT83" s="1214"/>
      <c r="AU83" s="1214"/>
      <c r="AV83" s="1214"/>
      <c r="AW83" s="1214"/>
      <c r="AX83" s="1214"/>
      <c r="AY83" s="1214"/>
      <c r="AZ83" s="1214"/>
      <c r="BA83" s="1214"/>
      <c r="BB83" s="1214"/>
      <c r="BC83" s="1216"/>
      <c r="BD83" s="1216"/>
      <c r="BE83" s="1216"/>
      <c r="BF83" s="1216"/>
      <c r="BG83" s="1216"/>
      <c r="BH83" s="1216"/>
      <c r="BI83" s="1216"/>
      <c r="BJ83" s="1216"/>
      <c r="BK83" s="1216"/>
      <c r="BL83" s="1216"/>
      <c r="BM83" s="1216"/>
      <c r="BN83" s="1216"/>
      <c r="BO83" s="1216"/>
      <c r="BP83" s="1216"/>
      <c r="BQ83" s="1216"/>
      <c r="BR83" s="1216"/>
      <c r="BS83" s="1216"/>
      <c r="BT83" s="1216"/>
      <c r="BU83" s="1216"/>
      <c r="BV83" s="1216"/>
      <c r="BW83" s="1216"/>
      <c r="BX83" s="1216"/>
      <c r="BY83" s="1216"/>
      <c r="BZ83" s="1216"/>
      <c r="CA83" s="1216"/>
      <c r="CB83" s="1216"/>
      <c r="CC83" s="1216"/>
      <c r="CD83" s="1216"/>
      <c r="CE83" s="1216"/>
      <c r="CF83" s="1216"/>
      <c r="CG83" s="1216"/>
      <c r="CH83" s="1216"/>
    </row>
    <row r="84" spans="1:86" ht="20.149999999999999" customHeight="1">
      <c r="A84" s="1563" t="s">
        <v>1424</v>
      </c>
      <c r="B84" s="1563" t="s">
        <v>14</v>
      </c>
      <c r="C84" s="1563" t="str">
        <f t="shared" si="1"/>
        <v>PBPDDF40</v>
      </c>
      <c r="D84" s="1193">
        <v>40</v>
      </c>
      <c r="E84" s="1524"/>
      <c r="F84" s="1284">
        <v>0.16</v>
      </c>
      <c r="G84" s="1284">
        <v>0.24</v>
      </c>
      <c r="H84" s="1284">
        <v>0.33</v>
      </c>
      <c r="I84" s="1284">
        <v>0.42</v>
      </c>
      <c r="J84" s="1284">
        <v>0.52</v>
      </c>
      <c r="K84" s="1284">
        <v>0.62</v>
      </c>
      <c r="L84" s="1284">
        <v>0.73</v>
      </c>
      <c r="M84" s="1284">
        <v>0.84</v>
      </c>
      <c r="N84" s="1284">
        <v>0.97</v>
      </c>
      <c r="O84" s="1284">
        <v>1.0900000000000001</v>
      </c>
      <c r="P84" s="1284">
        <v>1.23</v>
      </c>
      <c r="Q84" s="1284">
        <v>1.37</v>
      </c>
      <c r="R84" s="1284">
        <v>1.52</v>
      </c>
      <c r="S84" s="1284">
        <v>1.68</v>
      </c>
      <c r="T84" s="1284">
        <v>1.85</v>
      </c>
      <c r="U84" s="1284">
        <v>2.0299999999999998</v>
      </c>
      <c r="V84" s="1284">
        <v>2.23</v>
      </c>
      <c r="W84" s="1284">
        <v>2.4300000000000002</v>
      </c>
      <c r="X84" s="1284">
        <v>2.66</v>
      </c>
      <c r="Y84" s="1284">
        <v>2.9</v>
      </c>
      <c r="Z84" s="1284">
        <v>3.15</v>
      </c>
      <c r="AA84" s="1284">
        <v>3.43</v>
      </c>
      <c r="AB84" s="1285">
        <v>3.73</v>
      </c>
      <c r="AC84" s="1192"/>
      <c r="AD84" s="1213"/>
      <c r="AE84" s="1214"/>
      <c r="AF84" s="1214"/>
      <c r="AG84" s="1214"/>
      <c r="AH84" s="1214"/>
      <c r="AI84" s="1214"/>
      <c r="AJ84" s="1214"/>
      <c r="AK84" s="1214"/>
      <c r="AL84" s="1214"/>
      <c r="AM84" s="1214"/>
      <c r="AN84" s="1214"/>
      <c r="AO84" s="1214"/>
      <c r="AP84" s="1214"/>
      <c r="AQ84" s="1214"/>
      <c r="AR84" s="1214"/>
      <c r="AS84" s="1214"/>
      <c r="AT84" s="1214"/>
      <c r="AU84" s="1214"/>
      <c r="AV84" s="1214"/>
      <c r="AW84" s="1214"/>
      <c r="AX84" s="1214"/>
      <c r="AY84" s="1214"/>
      <c r="AZ84" s="1214"/>
      <c r="BA84" s="1214"/>
      <c r="BB84" s="1214"/>
      <c r="BC84" s="1216"/>
      <c r="BD84" s="1216"/>
      <c r="BE84" s="1216"/>
      <c r="BF84" s="1216"/>
      <c r="BG84" s="1216"/>
      <c r="BH84" s="1216"/>
      <c r="BI84" s="1216"/>
      <c r="BJ84" s="1216"/>
      <c r="BK84" s="1216"/>
      <c r="BL84" s="1216"/>
      <c r="BM84" s="1216"/>
      <c r="BN84" s="1216"/>
      <c r="BO84" s="1216"/>
      <c r="BP84" s="1216"/>
      <c r="BQ84" s="1216"/>
      <c r="BR84" s="1216"/>
      <c r="BS84" s="1216"/>
      <c r="BT84" s="1216"/>
      <c r="BU84" s="1216"/>
      <c r="BV84" s="1216"/>
      <c r="BW84" s="1216"/>
      <c r="BX84" s="1216"/>
      <c r="BY84" s="1216"/>
      <c r="BZ84" s="1216"/>
      <c r="CA84" s="1216"/>
      <c r="CB84" s="1216"/>
      <c r="CC84" s="1216"/>
      <c r="CD84" s="1216"/>
      <c r="CE84" s="1216"/>
      <c r="CF84" s="1216"/>
      <c r="CG84" s="1216"/>
      <c r="CH84" s="1216"/>
    </row>
    <row r="85" spans="1:86" ht="20.149999999999999" customHeight="1">
      <c r="A85" s="1563" t="s">
        <v>1424</v>
      </c>
      <c r="B85" s="1563" t="s">
        <v>14</v>
      </c>
      <c r="C85" s="1563" t="str">
        <f t="shared" si="1"/>
        <v>PBPDDF41</v>
      </c>
      <c r="D85" s="1194">
        <v>41</v>
      </c>
      <c r="E85" s="1525"/>
      <c r="F85" s="1286">
        <v>0.17</v>
      </c>
      <c r="G85" s="1286">
        <v>0.26</v>
      </c>
      <c r="H85" s="1286">
        <v>0.35</v>
      </c>
      <c r="I85" s="1286">
        <v>0.46</v>
      </c>
      <c r="J85" s="1286">
        <v>0.56000000000000005</v>
      </c>
      <c r="K85" s="1286">
        <v>0.67</v>
      </c>
      <c r="L85" s="1286">
        <v>0.79</v>
      </c>
      <c r="M85" s="1286">
        <v>0.91</v>
      </c>
      <c r="N85" s="1286">
        <v>1.05</v>
      </c>
      <c r="O85" s="1286">
        <v>1.18</v>
      </c>
      <c r="P85" s="1286">
        <v>1.33</v>
      </c>
      <c r="Q85" s="1286">
        <v>1.48</v>
      </c>
      <c r="R85" s="1286">
        <v>1.65</v>
      </c>
      <c r="S85" s="1286">
        <v>1.82</v>
      </c>
      <c r="T85" s="1286">
        <v>2.0099999999999998</v>
      </c>
      <c r="U85" s="1286">
        <v>2.21</v>
      </c>
      <c r="V85" s="1286">
        <v>2.42</v>
      </c>
      <c r="W85" s="1286">
        <v>2.65</v>
      </c>
      <c r="X85" s="1286">
        <v>2.9</v>
      </c>
      <c r="Y85" s="1286">
        <v>3.16</v>
      </c>
      <c r="Z85" s="1286">
        <v>3.45</v>
      </c>
      <c r="AA85" s="1286">
        <v>3.76</v>
      </c>
      <c r="AB85" s="1287">
        <v>4.09</v>
      </c>
      <c r="AC85" s="1192"/>
      <c r="AD85" s="1213"/>
      <c r="AE85" s="1214"/>
      <c r="AF85" s="1214"/>
      <c r="AG85" s="1214"/>
      <c r="AH85" s="1214"/>
      <c r="AI85" s="1214"/>
      <c r="AJ85" s="1214"/>
      <c r="AK85" s="1214"/>
      <c r="AL85" s="1214"/>
      <c r="AM85" s="1214"/>
      <c r="AN85" s="1214"/>
      <c r="AO85" s="1214"/>
      <c r="AP85" s="1214"/>
      <c r="AQ85" s="1214"/>
      <c r="AR85" s="1214"/>
      <c r="AS85" s="1214"/>
      <c r="AT85" s="1214"/>
      <c r="AU85" s="1214"/>
      <c r="AV85" s="1214"/>
      <c r="AW85" s="1214"/>
      <c r="AX85" s="1214"/>
      <c r="AY85" s="1214"/>
      <c r="AZ85" s="1214"/>
      <c r="BA85" s="1214"/>
      <c r="BB85" s="1214"/>
      <c r="BC85" s="1216"/>
      <c r="BD85" s="1216"/>
      <c r="BE85" s="1216"/>
      <c r="BF85" s="1216"/>
      <c r="BG85" s="1216"/>
      <c r="BH85" s="1216"/>
      <c r="BI85" s="1216"/>
      <c r="BJ85" s="1216"/>
      <c r="BK85" s="1216"/>
      <c r="BL85" s="1216"/>
      <c r="BM85" s="1216"/>
      <c r="BN85" s="1216"/>
      <c r="BO85" s="1216"/>
      <c r="BP85" s="1216"/>
      <c r="BQ85" s="1216"/>
      <c r="BR85" s="1216"/>
      <c r="BS85" s="1216"/>
      <c r="BT85" s="1216"/>
      <c r="BU85" s="1216"/>
      <c r="BV85" s="1216"/>
      <c r="BW85" s="1216"/>
      <c r="BX85" s="1216"/>
      <c r="BY85" s="1216"/>
      <c r="BZ85" s="1216"/>
      <c r="CA85" s="1216"/>
      <c r="CB85" s="1216"/>
      <c r="CC85" s="1216"/>
      <c r="CD85" s="1216"/>
      <c r="CE85" s="1216"/>
      <c r="CF85" s="1216"/>
      <c r="CG85" s="1216"/>
      <c r="CH85" s="1216"/>
    </row>
    <row r="86" spans="1:86" ht="20.149999999999999" customHeight="1">
      <c r="A86" s="1563" t="s">
        <v>1424</v>
      </c>
      <c r="B86" s="1563" t="s">
        <v>14</v>
      </c>
      <c r="C86" s="1563" t="str">
        <f t="shared" si="1"/>
        <v>PBPDDF42</v>
      </c>
      <c r="D86" s="1193">
        <v>42</v>
      </c>
      <c r="E86" s="1524"/>
      <c r="F86" s="1284">
        <v>0.18</v>
      </c>
      <c r="G86" s="1284">
        <v>0.28000000000000003</v>
      </c>
      <c r="H86" s="1284">
        <v>0.38</v>
      </c>
      <c r="I86" s="1284">
        <v>0.49</v>
      </c>
      <c r="J86" s="1284">
        <v>0.61</v>
      </c>
      <c r="K86" s="1284">
        <v>0.73</v>
      </c>
      <c r="L86" s="1284">
        <v>0.86</v>
      </c>
      <c r="M86" s="1284">
        <v>0.99</v>
      </c>
      <c r="N86" s="1284">
        <v>1.1299999999999999</v>
      </c>
      <c r="O86" s="1284">
        <v>1.28</v>
      </c>
      <c r="P86" s="1284">
        <v>1.44</v>
      </c>
      <c r="Q86" s="1284">
        <v>1.61</v>
      </c>
      <c r="R86" s="1284">
        <v>1.79</v>
      </c>
      <c r="S86" s="1284">
        <v>1.98</v>
      </c>
      <c r="T86" s="1284">
        <v>2.19</v>
      </c>
      <c r="U86" s="1284">
        <v>2.4</v>
      </c>
      <c r="V86" s="1284">
        <v>2.64</v>
      </c>
      <c r="W86" s="1284">
        <v>2.89</v>
      </c>
      <c r="X86" s="1284">
        <v>3.16</v>
      </c>
      <c r="Y86" s="1284">
        <v>3.46</v>
      </c>
      <c r="Z86" s="1284">
        <v>3.77</v>
      </c>
      <c r="AA86" s="1284">
        <v>4.12</v>
      </c>
      <c r="AB86" s="1285">
        <v>4.49</v>
      </c>
      <c r="AC86" s="1192"/>
      <c r="AD86" s="1213"/>
      <c r="AE86" s="1214"/>
      <c r="AF86" s="1214"/>
      <c r="AG86" s="1214"/>
      <c r="AH86" s="1214"/>
      <c r="AI86" s="1214"/>
      <c r="AJ86" s="1214"/>
      <c r="AK86" s="1214"/>
      <c r="AL86" s="1214"/>
      <c r="AM86" s="1214"/>
      <c r="AN86" s="1214"/>
      <c r="AO86" s="1214"/>
      <c r="AP86" s="1214"/>
      <c r="AQ86" s="1214"/>
      <c r="AR86" s="1214"/>
      <c r="AS86" s="1214"/>
      <c r="AT86" s="1214"/>
      <c r="AU86" s="1214"/>
      <c r="AV86" s="1214"/>
      <c r="AW86" s="1214"/>
      <c r="AX86" s="1214"/>
      <c r="AY86" s="1214"/>
      <c r="AZ86" s="1214"/>
      <c r="BA86" s="1214"/>
      <c r="BB86" s="1214"/>
      <c r="BC86" s="1216"/>
      <c r="BD86" s="1216"/>
      <c r="BE86" s="1216"/>
      <c r="BF86" s="1216"/>
      <c r="BG86" s="1216"/>
      <c r="BH86" s="1216"/>
      <c r="BI86" s="1216"/>
      <c r="BJ86" s="1216"/>
      <c r="BK86" s="1216"/>
      <c r="BL86" s="1216"/>
      <c r="BM86" s="1216"/>
      <c r="BN86" s="1216"/>
      <c r="BO86" s="1216"/>
      <c r="BP86" s="1216"/>
      <c r="BQ86" s="1216"/>
      <c r="BR86" s="1216"/>
      <c r="BS86" s="1216"/>
      <c r="BT86" s="1216"/>
      <c r="BU86" s="1216"/>
      <c r="BV86" s="1216"/>
      <c r="BW86" s="1216"/>
      <c r="BX86" s="1216"/>
      <c r="BY86" s="1216"/>
      <c r="BZ86" s="1216"/>
      <c r="CA86" s="1216"/>
      <c r="CB86" s="1216"/>
      <c r="CC86" s="1216"/>
      <c r="CD86" s="1216"/>
      <c r="CE86" s="1216"/>
      <c r="CF86" s="1216"/>
      <c r="CG86" s="1216"/>
      <c r="CH86" s="1216"/>
    </row>
    <row r="87" spans="1:86" ht="20.149999999999999" customHeight="1">
      <c r="A87" s="1563" t="s">
        <v>1424</v>
      </c>
      <c r="B87" s="1563" t="s">
        <v>14</v>
      </c>
      <c r="C87" s="1563" t="str">
        <f t="shared" si="1"/>
        <v>PBPDDF43</v>
      </c>
      <c r="D87" s="1193">
        <v>43</v>
      </c>
      <c r="E87" s="1524"/>
      <c r="F87" s="1284">
        <v>0.2</v>
      </c>
      <c r="G87" s="1284">
        <v>0.3</v>
      </c>
      <c r="H87" s="1284">
        <v>0.42</v>
      </c>
      <c r="I87" s="1284">
        <v>0.53</v>
      </c>
      <c r="J87" s="1284">
        <v>0.66</v>
      </c>
      <c r="K87" s="1284">
        <v>0.79</v>
      </c>
      <c r="L87" s="1284">
        <v>0.93</v>
      </c>
      <c r="M87" s="1284">
        <v>1.07</v>
      </c>
      <c r="N87" s="1284">
        <v>1.23</v>
      </c>
      <c r="O87" s="1284">
        <v>1.39</v>
      </c>
      <c r="P87" s="1284">
        <v>1.56</v>
      </c>
      <c r="Q87" s="1284">
        <v>1.75</v>
      </c>
      <c r="R87" s="1284">
        <v>1.94</v>
      </c>
      <c r="S87" s="1284">
        <v>2.15</v>
      </c>
      <c r="T87" s="1284">
        <v>2.38</v>
      </c>
      <c r="U87" s="1284">
        <v>2.62</v>
      </c>
      <c r="V87" s="1284">
        <v>2.88</v>
      </c>
      <c r="W87" s="1284">
        <v>3.16</v>
      </c>
      <c r="X87" s="1284">
        <v>3.46</v>
      </c>
      <c r="Y87" s="1284">
        <v>3.79</v>
      </c>
      <c r="Z87" s="1284">
        <v>4.1399999999999997</v>
      </c>
      <c r="AA87" s="1284">
        <v>4.5199999999999996</v>
      </c>
      <c r="AB87" s="1285">
        <v>4.9400000000000004</v>
      </c>
      <c r="AC87" s="1192"/>
      <c r="AD87" s="1213"/>
      <c r="AE87" s="1214"/>
      <c r="AF87" s="1214"/>
      <c r="AG87" s="1214"/>
      <c r="AH87" s="1214"/>
      <c r="AI87" s="1214"/>
      <c r="AJ87" s="1214"/>
      <c r="AK87" s="1214"/>
      <c r="AL87" s="1214"/>
      <c r="AM87" s="1214"/>
      <c r="AN87" s="1214"/>
      <c r="AO87" s="1214"/>
      <c r="AP87" s="1214"/>
      <c r="AQ87" s="1214"/>
      <c r="AR87" s="1214"/>
      <c r="AS87" s="1214"/>
      <c r="AT87" s="1214"/>
      <c r="AU87" s="1214"/>
      <c r="AV87" s="1214"/>
      <c r="AW87" s="1214"/>
      <c r="AX87" s="1214"/>
      <c r="AY87" s="1214"/>
      <c r="AZ87" s="1214"/>
      <c r="BA87" s="1214"/>
      <c r="BB87" s="1214"/>
      <c r="BC87" s="1216"/>
      <c r="BD87" s="1216"/>
      <c r="BE87" s="1216"/>
      <c r="BF87" s="1216"/>
      <c r="BG87" s="1216"/>
      <c r="BH87" s="1216"/>
      <c r="BI87" s="1216"/>
      <c r="BJ87" s="1216"/>
      <c r="BK87" s="1216"/>
      <c r="BL87" s="1216"/>
      <c r="BM87" s="1216"/>
      <c r="BN87" s="1216"/>
      <c r="BO87" s="1216"/>
      <c r="BP87" s="1216"/>
      <c r="BQ87" s="1216"/>
      <c r="BR87" s="1216"/>
      <c r="BS87" s="1216"/>
      <c r="BT87" s="1216"/>
      <c r="BU87" s="1216"/>
      <c r="BV87" s="1216"/>
      <c r="BW87" s="1216"/>
      <c r="BX87" s="1216"/>
      <c r="BY87" s="1216"/>
      <c r="BZ87" s="1216"/>
      <c r="CA87" s="1216"/>
      <c r="CB87" s="1216"/>
      <c r="CC87" s="1216"/>
      <c r="CD87" s="1216"/>
      <c r="CE87" s="1216"/>
      <c r="CF87" s="1216"/>
      <c r="CG87" s="1216"/>
      <c r="CH87" s="1216"/>
    </row>
    <row r="88" spans="1:86" ht="20.149999999999999" customHeight="1">
      <c r="A88" s="1563" t="s">
        <v>1424</v>
      </c>
      <c r="B88" s="1563" t="s">
        <v>14</v>
      </c>
      <c r="C88" s="1563" t="str">
        <f t="shared" si="1"/>
        <v>PBPDDF44</v>
      </c>
      <c r="D88" s="1193">
        <v>44</v>
      </c>
      <c r="E88" s="1524"/>
      <c r="F88" s="1284">
        <v>0.21</v>
      </c>
      <c r="G88" s="1284">
        <v>0.33</v>
      </c>
      <c r="H88" s="1284">
        <v>0.45</v>
      </c>
      <c r="I88" s="1284">
        <v>0.57999999999999996</v>
      </c>
      <c r="J88" s="1284">
        <v>0.71</v>
      </c>
      <c r="K88" s="1284">
        <v>0.85</v>
      </c>
      <c r="L88" s="1284">
        <v>1</v>
      </c>
      <c r="M88" s="1284">
        <v>1.1599999999999999</v>
      </c>
      <c r="N88" s="1284">
        <v>1.33</v>
      </c>
      <c r="O88" s="1284">
        <v>1.51</v>
      </c>
      <c r="P88" s="1284">
        <v>1.7</v>
      </c>
      <c r="Q88" s="1284">
        <v>1.9</v>
      </c>
      <c r="R88" s="1284">
        <v>2.12</v>
      </c>
      <c r="S88" s="1284">
        <v>2.35</v>
      </c>
      <c r="T88" s="1284">
        <v>2.6</v>
      </c>
      <c r="U88" s="1284">
        <v>2.86</v>
      </c>
      <c r="V88" s="1284">
        <v>3.15</v>
      </c>
      <c r="W88" s="1284">
        <v>3.46</v>
      </c>
      <c r="X88" s="1284">
        <v>3.8</v>
      </c>
      <c r="Y88" s="1284">
        <v>4.16</v>
      </c>
      <c r="Z88" s="1284">
        <v>4.55</v>
      </c>
      <c r="AA88" s="1284">
        <v>4.9800000000000004</v>
      </c>
      <c r="AB88" s="1285">
        <v>5.44</v>
      </c>
      <c r="AC88" s="1192"/>
      <c r="AD88" s="1213"/>
      <c r="AE88" s="1214"/>
      <c r="AF88" s="1214"/>
      <c r="AG88" s="1214"/>
      <c r="AH88" s="1214"/>
      <c r="AI88" s="1214"/>
      <c r="AJ88" s="1214"/>
      <c r="AK88" s="1214"/>
      <c r="AL88" s="1214"/>
      <c r="AM88" s="1214"/>
      <c r="AN88" s="1214"/>
      <c r="AO88" s="1214"/>
      <c r="AP88" s="1214"/>
      <c r="AQ88" s="1214"/>
      <c r="AR88" s="1214"/>
      <c r="AS88" s="1214"/>
      <c r="AT88" s="1214"/>
      <c r="AU88" s="1214"/>
      <c r="AV88" s="1214"/>
      <c r="AW88" s="1214"/>
      <c r="AX88" s="1214"/>
      <c r="AY88" s="1214"/>
      <c r="AZ88" s="1214"/>
      <c r="BA88" s="1214"/>
      <c r="BB88" s="1214"/>
      <c r="BC88" s="1216"/>
      <c r="BD88" s="1216"/>
      <c r="BE88" s="1216"/>
      <c r="BF88" s="1216"/>
      <c r="BG88" s="1216"/>
      <c r="BH88" s="1216"/>
      <c r="BI88" s="1216"/>
      <c r="BJ88" s="1216"/>
      <c r="BK88" s="1216"/>
      <c r="BL88" s="1216"/>
      <c r="BM88" s="1216"/>
      <c r="BN88" s="1216"/>
      <c r="BO88" s="1216"/>
      <c r="BP88" s="1216"/>
      <c r="BQ88" s="1216"/>
      <c r="BR88" s="1216"/>
      <c r="BS88" s="1216"/>
      <c r="BT88" s="1216"/>
      <c r="BU88" s="1216"/>
      <c r="BV88" s="1216"/>
      <c r="BW88" s="1216"/>
      <c r="BX88" s="1216"/>
      <c r="BY88" s="1216"/>
      <c r="BZ88" s="1216"/>
      <c r="CA88" s="1216"/>
      <c r="CB88" s="1216"/>
      <c r="CC88" s="1216"/>
      <c r="CD88" s="1216"/>
      <c r="CE88" s="1216"/>
      <c r="CF88" s="1216"/>
      <c r="CG88" s="1216"/>
      <c r="CH88" s="1216"/>
    </row>
    <row r="89" spans="1:86" ht="20.149999999999999" customHeight="1">
      <c r="A89" s="1563" t="s">
        <v>1424</v>
      </c>
      <c r="B89" s="1563" t="s">
        <v>14</v>
      </c>
      <c r="C89" s="1563" t="str">
        <f t="shared" si="1"/>
        <v>PBPDDF45</v>
      </c>
      <c r="D89" s="1195">
        <v>45</v>
      </c>
      <c r="E89" s="1526"/>
      <c r="F89" s="1288">
        <v>0.23</v>
      </c>
      <c r="G89" s="1288">
        <v>0.36</v>
      </c>
      <c r="H89" s="1288">
        <v>0.49</v>
      </c>
      <c r="I89" s="1288">
        <v>0.63</v>
      </c>
      <c r="J89" s="1288">
        <v>0.77</v>
      </c>
      <c r="K89" s="1288">
        <v>0.92</v>
      </c>
      <c r="L89" s="1288">
        <v>1.0900000000000001</v>
      </c>
      <c r="M89" s="1288">
        <v>1.26</v>
      </c>
      <c r="N89" s="1288">
        <v>1.44</v>
      </c>
      <c r="O89" s="1288">
        <v>1.64</v>
      </c>
      <c r="P89" s="1288">
        <v>1.85</v>
      </c>
      <c r="Q89" s="1288">
        <v>2.0699999999999998</v>
      </c>
      <c r="R89" s="1288">
        <v>2.31</v>
      </c>
      <c r="S89" s="1288">
        <v>2.56</v>
      </c>
      <c r="T89" s="1288">
        <v>2.84</v>
      </c>
      <c r="U89" s="1288">
        <v>3.13</v>
      </c>
      <c r="V89" s="1288">
        <v>3.45</v>
      </c>
      <c r="W89" s="1288">
        <v>3.8</v>
      </c>
      <c r="X89" s="1288">
        <v>4.17</v>
      </c>
      <c r="Y89" s="1288">
        <v>4.57</v>
      </c>
      <c r="Z89" s="1288">
        <v>5.01</v>
      </c>
      <c r="AA89" s="1288">
        <v>5.49</v>
      </c>
      <c r="AB89" s="1289">
        <v>6.02</v>
      </c>
      <c r="AC89" s="1192"/>
      <c r="AD89" s="1213"/>
      <c r="AE89" s="1214"/>
      <c r="AF89" s="1214"/>
      <c r="AG89" s="1214"/>
      <c r="AH89" s="1214"/>
      <c r="AI89" s="1214"/>
      <c r="AJ89" s="1214"/>
      <c r="AK89" s="1214"/>
      <c r="AL89" s="1214"/>
      <c r="AM89" s="1214"/>
      <c r="AN89" s="1214"/>
      <c r="AO89" s="1214"/>
      <c r="AP89" s="1214"/>
      <c r="AQ89" s="1214"/>
      <c r="AR89" s="1214"/>
      <c r="AS89" s="1214"/>
      <c r="AT89" s="1214"/>
      <c r="AU89" s="1214"/>
      <c r="AV89" s="1214"/>
      <c r="AW89" s="1214"/>
      <c r="AX89" s="1214"/>
      <c r="AY89" s="1214"/>
      <c r="AZ89" s="1214"/>
      <c r="BA89" s="1214"/>
      <c r="BB89" s="1214"/>
      <c r="BC89" s="1216"/>
      <c r="BD89" s="1216"/>
      <c r="BE89" s="1216"/>
      <c r="BF89" s="1216"/>
      <c r="BG89" s="1216"/>
      <c r="BH89" s="1216"/>
      <c r="BI89" s="1216"/>
      <c r="BJ89" s="1216"/>
      <c r="BK89" s="1216"/>
      <c r="BL89" s="1216"/>
      <c r="BM89" s="1216"/>
      <c r="BN89" s="1216"/>
      <c r="BO89" s="1216"/>
      <c r="BP89" s="1216"/>
      <c r="BQ89" s="1216"/>
      <c r="BR89" s="1216"/>
      <c r="BS89" s="1216"/>
      <c r="BT89" s="1216"/>
      <c r="BU89" s="1216"/>
      <c r="BV89" s="1216"/>
      <c r="BW89" s="1216"/>
      <c r="BX89" s="1216"/>
      <c r="BY89" s="1216"/>
      <c r="BZ89" s="1216"/>
      <c r="CA89" s="1216"/>
      <c r="CB89" s="1216"/>
      <c r="CC89" s="1216"/>
      <c r="CD89" s="1216"/>
      <c r="CE89" s="1216"/>
      <c r="CF89" s="1216"/>
      <c r="CG89" s="1216"/>
      <c r="CH89" s="1216"/>
    </row>
    <row r="90" spans="1:86" ht="20.149999999999999" customHeight="1">
      <c r="A90" s="1563" t="s">
        <v>1424</v>
      </c>
      <c r="B90" s="1563" t="s">
        <v>14</v>
      </c>
      <c r="C90" s="1563" t="str">
        <f t="shared" si="1"/>
        <v>PBPDDF46</v>
      </c>
      <c r="D90" s="1193">
        <v>46</v>
      </c>
      <c r="E90" s="1524"/>
      <c r="F90" s="1284">
        <v>0.25</v>
      </c>
      <c r="G90" s="1284">
        <v>0.39</v>
      </c>
      <c r="H90" s="1284">
        <v>0.53</v>
      </c>
      <c r="I90" s="1284">
        <v>0.68</v>
      </c>
      <c r="J90" s="1284">
        <v>0.83</v>
      </c>
      <c r="K90" s="1284">
        <v>1</v>
      </c>
      <c r="L90" s="1284">
        <v>1.18</v>
      </c>
      <c r="M90" s="1284">
        <v>1.37</v>
      </c>
      <c r="N90" s="1284">
        <v>1.57</v>
      </c>
      <c r="O90" s="1284">
        <v>1.78</v>
      </c>
      <c r="P90" s="1284">
        <v>2.0099999999999998</v>
      </c>
      <c r="Q90" s="1284">
        <v>2.2599999999999998</v>
      </c>
      <c r="R90" s="1284">
        <v>2.52</v>
      </c>
      <c r="S90" s="1284">
        <v>2.8</v>
      </c>
      <c r="T90" s="1284">
        <v>3.11</v>
      </c>
      <c r="U90" s="1284">
        <v>3.44</v>
      </c>
      <c r="V90" s="1284">
        <v>3.79</v>
      </c>
      <c r="W90" s="1284">
        <v>4.18</v>
      </c>
      <c r="X90" s="1284">
        <v>4.59</v>
      </c>
      <c r="Y90" s="1284">
        <v>5.04</v>
      </c>
      <c r="Z90" s="1284">
        <v>5.54</v>
      </c>
      <c r="AA90" s="1284">
        <v>6.08</v>
      </c>
      <c r="AB90" s="1285">
        <v>6.67</v>
      </c>
      <c r="AC90" s="1192"/>
      <c r="AD90" s="1213"/>
      <c r="AE90" s="1214"/>
      <c r="AF90" s="1214"/>
      <c r="AG90" s="1214"/>
      <c r="AH90" s="1214"/>
      <c r="AI90" s="1214"/>
      <c r="AJ90" s="1214"/>
      <c r="AK90" s="1214"/>
      <c r="AL90" s="1214"/>
      <c r="AM90" s="1214"/>
      <c r="AN90" s="1214"/>
      <c r="AO90" s="1214"/>
      <c r="AP90" s="1214"/>
      <c r="AQ90" s="1214"/>
      <c r="AR90" s="1214"/>
      <c r="AS90" s="1214"/>
      <c r="AT90" s="1214"/>
      <c r="AU90" s="1214"/>
      <c r="AV90" s="1214"/>
      <c r="AW90" s="1214"/>
      <c r="AX90" s="1214"/>
      <c r="AY90" s="1214"/>
      <c r="AZ90" s="1214"/>
      <c r="BA90" s="1214"/>
      <c r="BB90" s="1214"/>
      <c r="BC90" s="1216"/>
      <c r="BD90" s="1216"/>
      <c r="BE90" s="1216"/>
      <c r="BF90" s="1216"/>
      <c r="BG90" s="1216"/>
      <c r="BH90" s="1216"/>
      <c r="BI90" s="1216"/>
      <c r="BJ90" s="1216"/>
      <c r="BK90" s="1216"/>
      <c r="BL90" s="1216"/>
      <c r="BM90" s="1216"/>
      <c r="BN90" s="1216"/>
      <c r="BO90" s="1216"/>
      <c r="BP90" s="1216"/>
      <c r="BQ90" s="1216"/>
      <c r="BR90" s="1216"/>
      <c r="BS90" s="1216"/>
      <c r="BT90" s="1216"/>
      <c r="BU90" s="1216"/>
      <c r="BV90" s="1216"/>
      <c r="BW90" s="1216"/>
      <c r="BX90" s="1216"/>
      <c r="BY90" s="1216"/>
      <c r="BZ90" s="1216"/>
      <c r="CA90" s="1216"/>
      <c r="CB90" s="1216"/>
      <c r="CC90" s="1216"/>
      <c r="CD90" s="1216"/>
      <c r="CE90" s="1216"/>
      <c r="CF90" s="1216"/>
      <c r="CG90" s="1216"/>
      <c r="CH90" s="1216"/>
    </row>
    <row r="91" spans="1:86" ht="20.149999999999999" customHeight="1">
      <c r="A91" s="1563" t="s">
        <v>1424</v>
      </c>
      <c r="B91" s="1563" t="s">
        <v>14</v>
      </c>
      <c r="C91" s="1563" t="str">
        <f t="shared" si="1"/>
        <v>PBPDDF47</v>
      </c>
      <c r="D91" s="1193">
        <v>47</v>
      </c>
      <c r="E91" s="1524"/>
      <c r="F91" s="1284">
        <v>0.27</v>
      </c>
      <c r="G91" s="1284">
        <v>0.42</v>
      </c>
      <c r="H91" s="1284">
        <v>0.56999999999999995</v>
      </c>
      <c r="I91" s="1284">
        <v>0.73</v>
      </c>
      <c r="J91" s="1284">
        <v>0.91</v>
      </c>
      <c r="K91" s="1284">
        <v>1.0900000000000001</v>
      </c>
      <c r="L91" s="1284">
        <v>1.28</v>
      </c>
      <c r="M91" s="1284">
        <v>1.49</v>
      </c>
      <c r="N91" s="1284">
        <v>1.71</v>
      </c>
      <c r="O91" s="1284">
        <v>1.94</v>
      </c>
      <c r="P91" s="1284">
        <v>2.2000000000000002</v>
      </c>
      <c r="Q91" s="1284">
        <v>2.4700000000000002</v>
      </c>
      <c r="R91" s="1284">
        <v>2.76</v>
      </c>
      <c r="S91" s="1284">
        <v>3.07</v>
      </c>
      <c r="T91" s="1284">
        <v>3.41</v>
      </c>
      <c r="U91" s="1284">
        <v>3.78</v>
      </c>
      <c r="V91" s="1284">
        <v>4.17</v>
      </c>
      <c r="W91" s="1284">
        <v>4.5999999999999996</v>
      </c>
      <c r="X91" s="1284">
        <v>5.07</v>
      </c>
      <c r="Y91" s="1284">
        <v>5.58</v>
      </c>
      <c r="Z91" s="1284">
        <v>6.13</v>
      </c>
      <c r="AA91" s="1284">
        <v>6.74</v>
      </c>
      <c r="AB91" s="1285">
        <v>7.41</v>
      </c>
      <c r="AC91" s="1192"/>
      <c r="AD91" s="1213"/>
      <c r="AE91" s="1214"/>
      <c r="AF91" s="1214"/>
      <c r="AG91" s="1214"/>
      <c r="AH91" s="1214"/>
      <c r="AI91" s="1214"/>
      <c r="AJ91" s="1214"/>
      <c r="AK91" s="1214"/>
      <c r="AL91" s="1214"/>
      <c r="AM91" s="1214"/>
      <c r="AN91" s="1214"/>
      <c r="AO91" s="1214"/>
      <c r="AP91" s="1214"/>
      <c r="AQ91" s="1214"/>
      <c r="AR91" s="1214"/>
      <c r="AS91" s="1214"/>
      <c r="AT91" s="1214"/>
      <c r="AU91" s="1214"/>
      <c r="AV91" s="1214"/>
      <c r="AW91" s="1214"/>
      <c r="AX91" s="1214"/>
      <c r="AY91" s="1214"/>
      <c r="AZ91" s="1214"/>
      <c r="BA91" s="1214"/>
      <c r="BB91" s="1214"/>
      <c r="BC91" s="1216"/>
      <c r="BD91" s="1216"/>
      <c r="BE91" s="1216"/>
      <c r="BF91" s="1216"/>
      <c r="BG91" s="1216"/>
      <c r="BH91" s="1216"/>
      <c r="BI91" s="1216"/>
      <c r="BJ91" s="1216"/>
      <c r="BK91" s="1216"/>
      <c r="BL91" s="1216"/>
      <c r="BM91" s="1216"/>
      <c r="BN91" s="1216"/>
      <c r="BO91" s="1216"/>
      <c r="BP91" s="1216"/>
      <c r="BQ91" s="1216"/>
      <c r="BR91" s="1216"/>
      <c r="BS91" s="1216"/>
      <c r="BT91" s="1216"/>
      <c r="BU91" s="1216"/>
      <c r="BV91" s="1216"/>
      <c r="BW91" s="1216"/>
      <c r="BX91" s="1216"/>
      <c r="BY91" s="1216"/>
      <c r="BZ91" s="1216"/>
      <c r="CA91" s="1216"/>
      <c r="CB91" s="1216"/>
      <c r="CC91" s="1216"/>
      <c r="CD91" s="1216"/>
      <c r="CE91" s="1216"/>
      <c r="CF91" s="1216"/>
      <c r="CG91" s="1216"/>
      <c r="CH91" s="1216"/>
    </row>
    <row r="92" spans="1:86" ht="20.149999999999999" customHeight="1">
      <c r="A92" s="1563" t="s">
        <v>1424</v>
      </c>
      <c r="B92" s="1563" t="s">
        <v>14</v>
      </c>
      <c r="C92" s="1563" t="str">
        <f t="shared" si="1"/>
        <v>PBPDDF48</v>
      </c>
      <c r="D92" s="1193">
        <v>48</v>
      </c>
      <c r="E92" s="1524"/>
      <c r="F92" s="1284">
        <v>0.28999999999999998</v>
      </c>
      <c r="G92" s="1284">
        <v>0.45</v>
      </c>
      <c r="H92" s="1284">
        <v>0.62</v>
      </c>
      <c r="I92" s="1284">
        <v>0.8</v>
      </c>
      <c r="J92" s="1284">
        <v>0.98</v>
      </c>
      <c r="K92" s="1284">
        <v>1.18</v>
      </c>
      <c r="L92" s="1284">
        <v>1.4</v>
      </c>
      <c r="M92" s="1284">
        <v>1.62</v>
      </c>
      <c r="N92" s="1284">
        <v>1.87</v>
      </c>
      <c r="O92" s="1284">
        <v>2.13</v>
      </c>
      <c r="P92" s="1284">
        <v>2.41</v>
      </c>
      <c r="Q92" s="1284">
        <v>2.71</v>
      </c>
      <c r="R92" s="1284">
        <v>3.03</v>
      </c>
      <c r="S92" s="1284">
        <v>3.38</v>
      </c>
      <c r="T92" s="1284">
        <v>3.75</v>
      </c>
      <c r="U92" s="1284">
        <v>4.16</v>
      </c>
      <c r="V92" s="1284">
        <v>4.5999999999999996</v>
      </c>
      <c r="W92" s="1284">
        <v>5.08</v>
      </c>
      <c r="X92" s="1284">
        <v>5.61</v>
      </c>
      <c r="Y92" s="1284">
        <v>6.18</v>
      </c>
      <c r="Z92" s="1284">
        <v>6.81</v>
      </c>
      <c r="AA92" s="1284">
        <v>7.5</v>
      </c>
      <c r="AB92" s="1285">
        <v>8.26</v>
      </c>
      <c r="AC92" s="1192"/>
      <c r="AD92" s="1213"/>
      <c r="AE92" s="1214"/>
      <c r="AF92" s="1214"/>
      <c r="AG92" s="1214"/>
      <c r="AH92" s="1214"/>
      <c r="AI92" s="1214"/>
      <c r="AJ92" s="1214"/>
      <c r="AK92" s="1214"/>
      <c r="AL92" s="1214"/>
      <c r="AM92" s="1214"/>
      <c r="AN92" s="1214"/>
      <c r="AO92" s="1214"/>
      <c r="AP92" s="1214"/>
      <c r="AQ92" s="1214"/>
      <c r="AR92" s="1214"/>
      <c r="AS92" s="1214"/>
      <c r="AT92" s="1214"/>
      <c r="AU92" s="1214"/>
      <c r="AV92" s="1214"/>
      <c r="AW92" s="1214"/>
      <c r="AX92" s="1214"/>
      <c r="AY92" s="1214"/>
      <c r="AZ92" s="1214"/>
      <c r="BA92" s="1214"/>
      <c r="BB92" s="1214"/>
      <c r="BC92" s="1216"/>
      <c r="BD92" s="1216"/>
      <c r="BE92" s="1216"/>
      <c r="BF92" s="1216"/>
      <c r="BG92" s="1216"/>
      <c r="BH92" s="1216"/>
      <c r="BI92" s="1216"/>
      <c r="BJ92" s="1216"/>
      <c r="BK92" s="1216"/>
      <c r="BL92" s="1216"/>
      <c r="BM92" s="1216"/>
      <c r="BN92" s="1216"/>
      <c r="BO92" s="1216"/>
      <c r="BP92" s="1216"/>
      <c r="BQ92" s="1216"/>
      <c r="BR92" s="1216"/>
      <c r="BS92" s="1216"/>
      <c r="BT92" s="1216"/>
      <c r="BU92" s="1216"/>
      <c r="BV92" s="1216"/>
      <c r="BW92" s="1216"/>
      <c r="BX92" s="1216"/>
      <c r="BY92" s="1216"/>
      <c r="BZ92" s="1216"/>
      <c r="CA92" s="1216"/>
      <c r="CB92" s="1216"/>
      <c r="CC92" s="1216"/>
      <c r="CD92" s="1216"/>
      <c r="CE92" s="1216"/>
      <c r="CF92" s="1216"/>
      <c r="CG92" s="1216"/>
      <c r="CH92" s="1216"/>
    </row>
    <row r="93" spans="1:86" ht="20.149999999999999" customHeight="1">
      <c r="A93" s="1563" t="s">
        <v>1424</v>
      </c>
      <c r="B93" s="1563" t="s">
        <v>14</v>
      </c>
      <c r="C93" s="1563" t="str">
        <f t="shared" si="1"/>
        <v>PBPDDF49</v>
      </c>
      <c r="D93" s="1193">
        <v>49</v>
      </c>
      <c r="E93" s="1524"/>
      <c r="F93" s="1284">
        <v>0.32</v>
      </c>
      <c r="G93" s="1284">
        <v>0.49</v>
      </c>
      <c r="H93" s="1284">
        <v>0.67</v>
      </c>
      <c r="I93" s="1284">
        <v>0.87</v>
      </c>
      <c r="J93" s="1284">
        <v>1.07</v>
      </c>
      <c r="K93" s="1284">
        <v>1.29</v>
      </c>
      <c r="L93" s="1284">
        <v>1.52</v>
      </c>
      <c r="M93" s="1284">
        <v>1.77</v>
      </c>
      <c r="N93" s="1284">
        <v>2.04</v>
      </c>
      <c r="O93" s="1284">
        <v>2.33</v>
      </c>
      <c r="P93" s="1284">
        <v>2.64</v>
      </c>
      <c r="Q93" s="1284">
        <v>2.97</v>
      </c>
      <c r="R93" s="1284">
        <v>3.33</v>
      </c>
      <c r="S93" s="1284">
        <v>3.72</v>
      </c>
      <c r="T93" s="1284">
        <v>4.1399999999999997</v>
      </c>
      <c r="U93" s="1284">
        <v>4.5999999999999996</v>
      </c>
      <c r="V93" s="1284">
        <v>5.09</v>
      </c>
      <c r="W93" s="1284">
        <v>5.63</v>
      </c>
      <c r="X93" s="1284">
        <v>6.22</v>
      </c>
      <c r="Y93" s="1284">
        <v>6.87</v>
      </c>
      <c r="Z93" s="1284">
        <v>7.59</v>
      </c>
      <c r="AA93" s="1284">
        <v>8.3699999999999992</v>
      </c>
      <c r="AB93" s="1285">
        <v>9.24</v>
      </c>
      <c r="AC93" s="1192"/>
      <c r="AD93" s="1213"/>
      <c r="AE93" s="1214"/>
      <c r="AF93" s="1214"/>
      <c r="AG93" s="1214"/>
      <c r="AH93" s="1214"/>
      <c r="AI93" s="1214"/>
      <c r="AJ93" s="1214"/>
      <c r="AK93" s="1214"/>
      <c r="AL93" s="1214"/>
      <c r="AM93" s="1214"/>
      <c r="AN93" s="1214"/>
      <c r="AO93" s="1214"/>
      <c r="AP93" s="1214"/>
      <c r="AQ93" s="1214"/>
      <c r="AR93" s="1214"/>
      <c r="AS93" s="1214"/>
      <c r="AT93" s="1214"/>
      <c r="AU93" s="1214"/>
      <c r="AV93" s="1214"/>
      <c r="AW93" s="1214"/>
      <c r="AX93" s="1214"/>
      <c r="AY93" s="1214"/>
      <c r="AZ93" s="1214"/>
      <c r="BA93" s="1214"/>
      <c r="BB93" s="1214"/>
      <c r="BC93" s="1216"/>
      <c r="BD93" s="1216"/>
      <c r="BE93" s="1216"/>
      <c r="BF93" s="1216"/>
      <c r="BG93" s="1216"/>
      <c r="BH93" s="1216"/>
      <c r="BI93" s="1216"/>
      <c r="BJ93" s="1216"/>
      <c r="BK93" s="1216"/>
      <c r="BL93" s="1216"/>
      <c r="BM93" s="1216"/>
      <c r="BN93" s="1216"/>
      <c r="BO93" s="1216"/>
      <c r="BP93" s="1216"/>
      <c r="BQ93" s="1216"/>
      <c r="BR93" s="1216"/>
      <c r="BS93" s="1216"/>
      <c r="BT93" s="1216"/>
      <c r="BU93" s="1216"/>
      <c r="BV93" s="1216"/>
      <c r="BW93" s="1216"/>
      <c r="BX93" s="1216"/>
      <c r="BY93" s="1216"/>
      <c r="BZ93" s="1216"/>
      <c r="CA93" s="1216"/>
      <c r="CB93" s="1216"/>
      <c r="CC93" s="1216"/>
      <c r="CD93" s="1216"/>
      <c r="CE93" s="1216"/>
      <c r="CF93" s="1216"/>
      <c r="CG93" s="1216"/>
      <c r="CH93" s="1216"/>
    </row>
    <row r="94" spans="1:86" ht="20.149999999999999" customHeight="1">
      <c r="A94" s="1563" t="s">
        <v>1424</v>
      </c>
      <c r="B94" s="1563" t="s">
        <v>14</v>
      </c>
      <c r="C94" s="1563" t="str">
        <f t="shared" si="1"/>
        <v>PBPDDF50</v>
      </c>
      <c r="D94" s="1193">
        <v>50</v>
      </c>
      <c r="E94" s="1524"/>
      <c r="F94" s="1284">
        <v>0.35</v>
      </c>
      <c r="G94" s="1284">
        <v>0.53</v>
      </c>
      <c r="H94" s="1284">
        <v>0.73</v>
      </c>
      <c r="I94" s="1284">
        <v>0.94</v>
      </c>
      <c r="J94" s="1284">
        <v>1.17</v>
      </c>
      <c r="K94" s="1284">
        <v>1.41</v>
      </c>
      <c r="L94" s="1284">
        <v>1.67</v>
      </c>
      <c r="M94" s="1284">
        <v>1.95</v>
      </c>
      <c r="N94" s="1284">
        <v>2.2400000000000002</v>
      </c>
      <c r="O94" s="1284">
        <v>2.56</v>
      </c>
      <c r="P94" s="1284">
        <v>2.91</v>
      </c>
      <c r="Q94" s="1284">
        <v>3.28</v>
      </c>
      <c r="R94" s="1284">
        <v>3.68</v>
      </c>
      <c r="S94" s="1284">
        <v>4.1100000000000003</v>
      </c>
      <c r="T94" s="1284">
        <v>4.58</v>
      </c>
      <c r="U94" s="1284">
        <v>5.09</v>
      </c>
      <c r="V94" s="1284">
        <v>5.65</v>
      </c>
      <c r="W94" s="1284">
        <v>6.26</v>
      </c>
      <c r="X94" s="1284">
        <v>6.93</v>
      </c>
      <c r="Y94" s="1284">
        <v>7.67</v>
      </c>
      <c r="Z94" s="1284">
        <v>8.48</v>
      </c>
      <c r="AA94" s="1284">
        <v>9.3699999999999992</v>
      </c>
      <c r="AB94" s="1285">
        <v>10.36</v>
      </c>
      <c r="AC94" s="1192"/>
      <c r="AD94" s="1213"/>
      <c r="AE94" s="1214"/>
      <c r="AF94" s="1214"/>
      <c r="AG94" s="1214"/>
      <c r="AH94" s="1214"/>
      <c r="AI94" s="1214"/>
      <c r="AJ94" s="1214"/>
      <c r="AK94" s="1214"/>
      <c r="AL94" s="1214"/>
      <c r="AM94" s="1214"/>
      <c r="AN94" s="1214"/>
      <c r="AO94" s="1214"/>
      <c r="AP94" s="1214"/>
      <c r="AQ94" s="1214"/>
      <c r="AR94" s="1214"/>
      <c r="AS94" s="1214"/>
      <c r="AT94" s="1214"/>
      <c r="AU94" s="1214"/>
      <c r="AV94" s="1214"/>
      <c r="AW94" s="1214"/>
      <c r="AX94" s="1214"/>
      <c r="AY94" s="1214"/>
      <c r="AZ94" s="1214"/>
      <c r="BA94" s="1214"/>
      <c r="BB94" s="1214"/>
      <c r="BC94" s="1216"/>
      <c r="BD94" s="1216"/>
      <c r="BE94" s="1216"/>
      <c r="BF94" s="1216"/>
      <c r="BG94" s="1216"/>
      <c r="BH94" s="1216"/>
      <c r="BI94" s="1216"/>
      <c r="BJ94" s="1216"/>
      <c r="BK94" s="1216"/>
      <c r="BL94" s="1216"/>
      <c r="BM94" s="1216"/>
      <c r="BN94" s="1216"/>
      <c r="BO94" s="1216"/>
      <c r="BP94" s="1216"/>
      <c r="BQ94" s="1216"/>
      <c r="BR94" s="1216"/>
      <c r="BS94" s="1216"/>
      <c r="BT94" s="1216"/>
      <c r="BU94" s="1216"/>
      <c r="BV94" s="1216"/>
      <c r="BW94" s="1216"/>
      <c r="BX94" s="1216"/>
      <c r="BY94" s="1216"/>
      <c r="BZ94" s="1216"/>
      <c r="CA94" s="1216"/>
      <c r="CB94" s="1216"/>
      <c r="CC94" s="1216"/>
      <c r="CD94" s="1216"/>
      <c r="CE94" s="1216"/>
      <c r="CF94" s="1216"/>
      <c r="CG94" s="1216"/>
      <c r="CH94" s="1216"/>
    </row>
    <row r="95" spans="1:86" ht="20.149999999999999" customHeight="1">
      <c r="A95" s="1563" t="s">
        <v>1424</v>
      </c>
      <c r="B95" s="1563" t="s">
        <v>14</v>
      </c>
      <c r="C95" s="1563" t="str">
        <f t="shared" si="1"/>
        <v>PBPDDF51</v>
      </c>
      <c r="D95" s="1194">
        <v>51</v>
      </c>
      <c r="E95" s="1525"/>
      <c r="F95" s="1286">
        <v>0.38</v>
      </c>
      <c r="G95" s="1286">
        <v>0.57999999999999996</v>
      </c>
      <c r="H95" s="1286">
        <v>0.8</v>
      </c>
      <c r="I95" s="1286">
        <v>1.03</v>
      </c>
      <c r="J95" s="1286">
        <v>1.28</v>
      </c>
      <c r="K95" s="1286">
        <v>1.55</v>
      </c>
      <c r="L95" s="1286">
        <v>1.84</v>
      </c>
      <c r="M95" s="1286">
        <v>2.14</v>
      </c>
      <c r="N95" s="1286">
        <v>2.4700000000000002</v>
      </c>
      <c r="O95" s="1286">
        <v>2.83</v>
      </c>
      <c r="P95" s="1286">
        <v>3.21</v>
      </c>
      <c r="Q95" s="1286">
        <v>3.62</v>
      </c>
      <c r="R95" s="1286">
        <v>4.07</v>
      </c>
      <c r="S95" s="1286">
        <v>4.5599999999999996</v>
      </c>
      <c r="T95" s="1286">
        <v>5.08</v>
      </c>
      <c r="U95" s="1286">
        <v>5.66</v>
      </c>
      <c r="V95" s="1286">
        <v>6.29</v>
      </c>
      <c r="W95" s="1286">
        <v>6.98</v>
      </c>
      <c r="X95" s="1286">
        <v>7.74</v>
      </c>
      <c r="Y95" s="1286">
        <v>8.58</v>
      </c>
      <c r="Z95" s="1286">
        <v>9.5</v>
      </c>
      <c r="AA95" s="1286">
        <v>10.52</v>
      </c>
      <c r="AB95" s="1287">
        <v>11.64</v>
      </c>
      <c r="AC95" s="1192"/>
      <c r="AD95" s="1213"/>
      <c r="AE95" s="1214"/>
      <c r="AF95" s="1214"/>
      <c r="AG95" s="1214"/>
      <c r="AH95" s="1214"/>
      <c r="AI95" s="1214"/>
      <c r="AJ95" s="1214"/>
      <c r="AK95" s="1214"/>
      <c r="AL95" s="1214"/>
      <c r="AM95" s="1214"/>
      <c r="AN95" s="1214"/>
      <c r="AO95" s="1214"/>
      <c r="AP95" s="1214"/>
      <c r="AQ95" s="1214"/>
      <c r="AR95" s="1214"/>
      <c r="AS95" s="1214"/>
      <c r="AT95" s="1214"/>
      <c r="AU95" s="1214"/>
      <c r="AV95" s="1214"/>
      <c r="AW95" s="1214"/>
      <c r="AX95" s="1214"/>
      <c r="AY95" s="1214"/>
      <c r="AZ95" s="1214"/>
      <c r="BA95" s="1214"/>
      <c r="BB95" s="1214"/>
      <c r="BC95" s="1216"/>
      <c r="BD95" s="1216"/>
      <c r="BE95" s="1216"/>
      <c r="BF95" s="1216"/>
      <c r="BG95" s="1216"/>
      <c r="BH95" s="1216"/>
      <c r="BI95" s="1216"/>
      <c r="BJ95" s="1216"/>
      <c r="BK95" s="1216"/>
      <c r="BL95" s="1216"/>
      <c r="BM95" s="1216"/>
      <c r="BN95" s="1216"/>
      <c r="BO95" s="1216"/>
      <c r="BP95" s="1216"/>
      <c r="BQ95" s="1216"/>
      <c r="BR95" s="1216"/>
      <c r="BS95" s="1216"/>
      <c r="BT95" s="1216"/>
      <c r="BU95" s="1216"/>
      <c r="BV95" s="1216"/>
      <c r="BW95" s="1216"/>
      <c r="BX95" s="1216"/>
      <c r="BY95" s="1216"/>
      <c r="BZ95" s="1216"/>
      <c r="CA95" s="1216"/>
      <c r="CB95" s="1216"/>
      <c r="CC95" s="1216"/>
      <c r="CD95" s="1216"/>
      <c r="CE95" s="1216"/>
      <c r="CF95" s="1216"/>
      <c r="CG95" s="1216"/>
      <c r="CH95" s="1216"/>
    </row>
    <row r="96" spans="1:86" ht="20.149999999999999" customHeight="1">
      <c r="A96" s="1563" t="s">
        <v>1424</v>
      </c>
      <c r="B96" s="1563" t="s">
        <v>14</v>
      </c>
      <c r="C96" s="1563" t="str">
        <f t="shared" si="1"/>
        <v>PBPDDF52</v>
      </c>
      <c r="D96" s="1193">
        <v>52</v>
      </c>
      <c r="E96" s="1524"/>
      <c r="F96" s="1284">
        <v>0.41</v>
      </c>
      <c r="G96" s="1284">
        <v>0.64</v>
      </c>
      <c r="H96" s="1284">
        <v>0.88</v>
      </c>
      <c r="I96" s="1284">
        <v>1.1399999999999999</v>
      </c>
      <c r="J96" s="1284">
        <v>1.41</v>
      </c>
      <c r="K96" s="1284">
        <v>1.71</v>
      </c>
      <c r="L96" s="1284">
        <v>2.02</v>
      </c>
      <c r="M96" s="1284">
        <v>2.36</v>
      </c>
      <c r="N96" s="1284">
        <v>2.73</v>
      </c>
      <c r="O96" s="1284">
        <v>3.13</v>
      </c>
      <c r="P96" s="1284">
        <v>3.55</v>
      </c>
      <c r="Q96" s="1284">
        <v>4.01</v>
      </c>
      <c r="R96" s="1284">
        <v>4.5199999999999996</v>
      </c>
      <c r="S96" s="1284">
        <v>5.0599999999999996</v>
      </c>
      <c r="T96" s="1284">
        <v>5.66</v>
      </c>
      <c r="U96" s="1284">
        <v>6.31</v>
      </c>
      <c r="V96" s="1284">
        <v>7.02</v>
      </c>
      <c r="W96" s="1284">
        <v>7.81</v>
      </c>
      <c r="X96" s="1284">
        <v>8.67</v>
      </c>
      <c r="Y96" s="1284">
        <v>9.6300000000000008</v>
      </c>
      <c r="Z96" s="1284">
        <v>10.68</v>
      </c>
      <c r="AA96" s="1284">
        <v>11.84</v>
      </c>
      <c r="AB96" s="1285">
        <v>13.11</v>
      </c>
      <c r="AC96" s="1192"/>
      <c r="AD96" s="1213"/>
      <c r="AE96" s="1214"/>
      <c r="AF96" s="1214"/>
      <c r="AG96" s="1214"/>
      <c r="AH96" s="1214"/>
      <c r="AI96" s="1214"/>
      <c r="AJ96" s="1214"/>
      <c r="AK96" s="1214"/>
      <c r="AL96" s="1214"/>
      <c r="AM96" s="1214"/>
      <c r="AN96" s="1214"/>
      <c r="AO96" s="1214"/>
      <c r="AP96" s="1214"/>
      <c r="AQ96" s="1214"/>
      <c r="AR96" s="1214"/>
      <c r="AS96" s="1214"/>
      <c r="AT96" s="1214"/>
      <c r="AU96" s="1214"/>
      <c r="AV96" s="1214"/>
      <c r="AW96" s="1214"/>
      <c r="AX96" s="1214"/>
      <c r="AY96" s="1214"/>
      <c r="AZ96" s="1214"/>
      <c r="BA96" s="1214"/>
      <c r="BB96" s="1214"/>
      <c r="BC96" s="1216"/>
      <c r="BD96" s="1216"/>
      <c r="BE96" s="1216"/>
      <c r="BF96" s="1216"/>
      <c r="BG96" s="1216"/>
      <c r="BH96" s="1216"/>
      <c r="BI96" s="1216"/>
      <c r="BJ96" s="1216"/>
      <c r="BK96" s="1216"/>
      <c r="BL96" s="1216"/>
      <c r="BM96" s="1216"/>
      <c r="BN96" s="1216"/>
      <c r="BO96" s="1216"/>
      <c r="BP96" s="1216"/>
      <c r="BQ96" s="1216"/>
      <c r="BR96" s="1216"/>
      <c r="BS96" s="1216"/>
      <c r="BT96" s="1216"/>
      <c r="BU96" s="1216"/>
      <c r="BV96" s="1216"/>
      <c r="BW96" s="1216"/>
      <c r="BX96" s="1216"/>
      <c r="BY96" s="1216"/>
      <c r="BZ96" s="1216"/>
      <c r="CA96" s="1216"/>
      <c r="CB96" s="1216"/>
      <c r="CC96" s="1216"/>
      <c r="CD96" s="1216"/>
      <c r="CE96" s="1216"/>
      <c r="CF96" s="1216"/>
      <c r="CG96" s="1216"/>
      <c r="CH96" s="1216"/>
    </row>
    <row r="97" spans="1:86" ht="20.149999999999999" customHeight="1">
      <c r="A97" s="1563" t="s">
        <v>1424</v>
      </c>
      <c r="B97" s="1563" t="s">
        <v>14</v>
      </c>
      <c r="C97" s="1563" t="str">
        <f t="shared" si="1"/>
        <v>PBPDDF53</v>
      </c>
      <c r="D97" s="1193">
        <v>53</v>
      </c>
      <c r="E97" s="1524"/>
      <c r="F97" s="1284">
        <v>0.45</v>
      </c>
      <c r="G97" s="1284">
        <v>0.7</v>
      </c>
      <c r="H97" s="1284">
        <v>0.97</v>
      </c>
      <c r="I97" s="1284">
        <v>1.25</v>
      </c>
      <c r="J97" s="1284">
        <v>1.56</v>
      </c>
      <c r="K97" s="1284">
        <v>1.89</v>
      </c>
      <c r="L97" s="1284">
        <v>2.2400000000000002</v>
      </c>
      <c r="M97" s="1284">
        <v>2.62</v>
      </c>
      <c r="N97" s="1284">
        <v>3.02</v>
      </c>
      <c r="O97" s="1284">
        <v>3.46</v>
      </c>
      <c r="P97" s="1284">
        <v>3.94</v>
      </c>
      <c r="Q97" s="1284">
        <v>4.46</v>
      </c>
      <c r="R97" s="1284">
        <v>5.0199999999999996</v>
      </c>
      <c r="S97" s="1284">
        <v>5.64</v>
      </c>
      <c r="T97" s="1284">
        <v>6.31</v>
      </c>
      <c r="U97" s="1284">
        <v>7.05</v>
      </c>
      <c r="V97" s="1284">
        <v>7.86</v>
      </c>
      <c r="W97" s="1284">
        <v>8.76</v>
      </c>
      <c r="X97" s="1284">
        <v>9.75</v>
      </c>
      <c r="Y97" s="1284">
        <v>10.83</v>
      </c>
      <c r="Z97" s="1284">
        <v>12.03</v>
      </c>
      <c r="AA97" s="1284">
        <v>13.35</v>
      </c>
      <c r="AB97" s="1285">
        <v>14.8</v>
      </c>
      <c r="AC97" s="1192"/>
      <c r="AD97" s="1213"/>
      <c r="AE97" s="1214"/>
      <c r="AF97" s="1214"/>
      <c r="AG97" s="1214"/>
      <c r="AH97" s="1214"/>
      <c r="AI97" s="1214"/>
      <c r="AJ97" s="1214"/>
      <c r="AK97" s="1214"/>
      <c r="AL97" s="1214"/>
      <c r="AM97" s="1214"/>
      <c r="AN97" s="1214"/>
      <c r="AO97" s="1214"/>
      <c r="AP97" s="1214"/>
      <c r="AQ97" s="1214"/>
      <c r="AR97" s="1214"/>
      <c r="AS97" s="1214"/>
      <c r="AT97" s="1214"/>
      <c r="AU97" s="1214"/>
      <c r="AV97" s="1214"/>
      <c r="AW97" s="1214"/>
      <c r="AX97" s="1214"/>
      <c r="AY97" s="1214"/>
      <c r="AZ97" s="1214"/>
      <c r="BA97" s="1214"/>
      <c r="BB97" s="1214"/>
      <c r="BC97" s="1216"/>
      <c r="BD97" s="1216"/>
      <c r="BE97" s="1216"/>
      <c r="BF97" s="1216"/>
      <c r="BG97" s="1216"/>
      <c r="BH97" s="1216"/>
      <c r="BI97" s="1216"/>
      <c r="BJ97" s="1216"/>
      <c r="BK97" s="1216"/>
      <c r="BL97" s="1216"/>
      <c r="BM97" s="1216"/>
      <c r="BN97" s="1216"/>
      <c r="BO97" s="1216"/>
      <c r="BP97" s="1216"/>
      <c r="BQ97" s="1216"/>
      <c r="BR97" s="1216"/>
      <c r="BS97" s="1216"/>
      <c r="BT97" s="1216"/>
      <c r="BU97" s="1216"/>
      <c r="BV97" s="1216"/>
      <c r="BW97" s="1216"/>
      <c r="BX97" s="1216"/>
      <c r="BY97" s="1216"/>
      <c r="BZ97" s="1216"/>
      <c r="CA97" s="1216"/>
      <c r="CB97" s="1216"/>
      <c r="CC97" s="1216"/>
      <c r="CD97" s="1216"/>
      <c r="CE97" s="1216"/>
      <c r="CF97" s="1216"/>
      <c r="CG97" s="1216"/>
      <c r="CH97" s="1216"/>
    </row>
    <row r="98" spans="1:86" ht="20.149999999999999" customHeight="1">
      <c r="A98" s="1563" t="s">
        <v>1424</v>
      </c>
      <c r="B98" s="1563" t="s">
        <v>14</v>
      </c>
      <c r="C98" s="1563" t="str">
        <f t="shared" si="1"/>
        <v>PBPDDF54</v>
      </c>
      <c r="D98" s="1193">
        <v>54</v>
      </c>
      <c r="E98" s="1524"/>
      <c r="F98" s="1284">
        <v>0.5</v>
      </c>
      <c r="G98" s="1284">
        <v>0.77</v>
      </c>
      <c r="H98" s="1284">
        <v>1.07</v>
      </c>
      <c r="I98" s="1284">
        <v>1.38</v>
      </c>
      <c r="J98" s="1284">
        <v>1.72</v>
      </c>
      <c r="K98" s="1284">
        <v>2.09</v>
      </c>
      <c r="L98" s="1284">
        <v>2.48</v>
      </c>
      <c r="M98" s="1284">
        <v>2.9</v>
      </c>
      <c r="N98" s="1284">
        <v>3.36</v>
      </c>
      <c r="O98" s="1284">
        <v>3.85</v>
      </c>
      <c r="P98" s="1284">
        <v>4.38</v>
      </c>
      <c r="Q98" s="1284">
        <v>4.97</v>
      </c>
      <c r="R98" s="1284">
        <v>5.6</v>
      </c>
      <c r="S98" s="1284">
        <v>6.3</v>
      </c>
      <c r="T98" s="1284">
        <v>7.06</v>
      </c>
      <c r="U98" s="1284">
        <v>7.9</v>
      </c>
      <c r="V98" s="1284">
        <v>8.83</v>
      </c>
      <c r="W98" s="1284">
        <v>9.85</v>
      </c>
      <c r="X98" s="1284">
        <v>10.98</v>
      </c>
      <c r="Y98" s="1284">
        <v>12.22</v>
      </c>
      <c r="Z98" s="1284">
        <v>13.59</v>
      </c>
      <c r="AA98" s="1284">
        <v>15.09</v>
      </c>
      <c r="AB98" s="1285">
        <v>16.72</v>
      </c>
      <c r="AC98" s="1192"/>
      <c r="AD98" s="1213"/>
      <c r="AE98" s="1214"/>
      <c r="AF98" s="1214"/>
      <c r="AG98" s="1214"/>
      <c r="AH98" s="1214"/>
      <c r="AI98" s="1214"/>
      <c r="AJ98" s="1214"/>
      <c r="AK98" s="1214"/>
      <c r="AL98" s="1214"/>
      <c r="AM98" s="1214"/>
      <c r="AN98" s="1214"/>
      <c r="AO98" s="1214"/>
      <c r="AP98" s="1214"/>
      <c r="AQ98" s="1214"/>
      <c r="AR98" s="1214"/>
      <c r="AS98" s="1214"/>
      <c r="AT98" s="1214"/>
      <c r="AU98" s="1214"/>
      <c r="AV98" s="1214"/>
      <c r="AW98" s="1214"/>
      <c r="AX98" s="1214"/>
      <c r="AY98" s="1214"/>
      <c r="AZ98" s="1214"/>
      <c r="BA98" s="1214"/>
      <c r="BB98" s="1214"/>
      <c r="BC98" s="1216"/>
      <c r="BD98" s="1216"/>
      <c r="BE98" s="1216"/>
      <c r="BF98" s="1216"/>
      <c r="BG98" s="1216"/>
      <c r="BH98" s="1216"/>
      <c r="BI98" s="1216"/>
      <c r="BJ98" s="1216"/>
      <c r="BK98" s="1216"/>
      <c r="BL98" s="1216"/>
      <c r="BM98" s="1216"/>
      <c r="BN98" s="1216"/>
      <c r="BO98" s="1216"/>
      <c r="BP98" s="1216"/>
      <c r="BQ98" s="1216"/>
      <c r="BR98" s="1216"/>
      <c r="BS98" s="1216"/>
      <c r="BT98" s="1216"/>
      <c r="BU98" s="1216"/>
      <c r="BV98" s="1216"/>
      <c r="BW98" s="1216"/>
      <c r="BX98" s="1216"/>
      <c r="BY98" s="1216"/>
      <c r="BZ98" s="1216"/>
      <c r="CA98" s="1216"/>
      <c r="CB98" s="1216"/>
      <c r="CC98" s="1216"/>
      <c r="CD98" s="1216"/>
      <c r="CE98" s="1216"/>
      <c r="CF98" s="1216"/>
      <c r="CG98" s="1216"/>
      <c r="CH98" s="1216"/>
    </row>
    <row r="99" spans="1:86" ht="20.149999999999999" customHeight="1">
      <c r="A99" s="1563" t="s">
        <v>1424</v>
      </c>
      <c r="B99" s="1563" t="s">
        <v>14</v>
      </c>
      <c r="C99" s="1563" t="str">
        <f t="shared" si="1"/>
        <v>PBPDDF55</v>
      </c>
      <c r="D99" s="1195">
        <v>55</v>
      </c>
      <c r="E99" s="1526"/>
      <c r="F99" s="1288">
        <v>0.55000000000000004</v>
      </c>
      <c r="G99" s="1288">
        <v>0.86</v>
      </c>
      <c r="H99" s="1288">
        <v>1.18</v>
      </c>
      <c r="I99" s="1288">
        <v>1.53</v>
      </c>
      <c r="J99" s="1288">
        <v>1.91</v>
      </c>
      <c r="K99" s="1288">
        <v>2.3199999999999998</v>
      </c>
      <c r="L99" s="1288">
        <v>2.75</v>
      </c>
      <c r="M99" s="1288">
        <v>3.22</v>
      </c>
      <c r="N99" s="1288">
        <v>3.73</v>
      </c>
      <c r="O99" s="1288">
        <v>4.29</v>
      </c>
      <c r="P99" s="1288">
        <v>4.8899999999999997</v>
      </c>
      <c r="Q99" s="1288">
        <v>5.55</v>
      </c>
      <c r="R99" s="1288">
        <v>6.27</v>
      </c>
      <c r="S99" s="1288">
        <v>7.06</v>
      </c>
      <c r="T99" s="1288">
        <v>7.93</v>
      </c>
      <c r="U99" s="1288">
        <v>8.89</v>
      </c>
      <c r="V99" s="1288">
        <v>9.9499999999999993</v>
      </c>
      <c r="W99" s="1288">
        <v>11.12</v>
      </c>
      <c r="X99" s="1288">
        <v>12.4</v>
      </c>
      <c r="Y99" s="1288">
        <v>13.82</v>
      </c>
      <c r="Z99" s="1288">
        <v>15.37</v>
      </c>
      <c r="AA99" s="1288">
        <v>17.059999999999999</v>
      </c>
      <c r="AB99" s="1289">
        <v>18.91</v>
      </c>
      <c r="AC99" s="1192"/>
      <c r="AD99" s="1213"/>
      <c r="AE99" s="1214"/>
      <c r="AF99" s="1214"/>
      <c r="AG99" s="1214"/>
      <c r="AH99" s="1214"/>
      <c r="AI99" s="1214"/>
      <c r="AJ99" s="1214"/>
      <c r="AK99" s="1214"/>
      <c r="AL99" s="1214"/>
      <c r="AM99" s="1214"/>
      <c r="AN99" s="1214"/>
      <c r="AO99" s="1214"/>
      <c r="AP99" s="1214"/>
      <c r="AQ99" s="1214"/>
      <c r="AR99" s="1214"/>
      <c r="AS99" s="1214"/>
      <c r="AT99" s="1214"/>
      <c r="AU99" s="1214"/>
      <c r="AV99" s="1214"/>
      <c r="AW99" s="1214"/>
      <c r="AX99" s="1214"/>
      <c r="AY99" s="1214"/>
      <c r="AZ99" s="1214"/>
      <c r="BA99" s="1214"/>
      <c r="BB99" s="1214"/>
      <c r="BC99" s="1216"/>
      <c r="BD99" s="1216"/>
      <c r="BE99" s="1216"/>
      <c r="BF99" s="1216"/>
      <c r="BG99" s="1216"/>
      <c r="BH99" s="1216"/>
      <c r="BI99" s="1216"/>
      <c r="BJ99" s="1216"/>
      <c r="BK99" s="1216"/>
      <c r="BL99" s="1216"/>
      <c r="BM99" s="1216"/>
      <c r="BN99" s="1216"/>
      <c r="BO99" s="1216"/>
      <c r="BP99" s="1216"/>
      <c r="BQ99" s="1216"/>
      <c r="BR99" s="1216"/>
      <c r="BS99" s="1216"/>
      <c r="BT99" s="1216"/>
      <c r="BU99" s="1216"/>
      <c r="BV99" s="1216"/>
      <c r="BW99" s="1216"/>
      <c r="BX99" s="1216"/>
      <c r="BY99" s="1216"/>
      <c r="BZ99" s="1216"/>
      <c r="CA99" s="1216"/>
      <c r="CB99" s="1216"/>
      <c r="CC99" s="1216"/>
      <c r="CD99" s="1216"/>
      <c r="CE99" s="1216"/>
      <c r="CF99" s="1216"/>
      <c r="CG99" s="1216"/>
      <c r="CH99" s="1216"/>
    </row>
    <row r="100" spans="1:86" ht="20.149999999999999" customHeight="1">
      <c r="A100" s="1563" t="s">
        <v>1424</v>
      </c>
      <c r="B100" s="1563" t="s">
        <v>14</v>
      </c>
      <c r="C100" s="1563" t="str">
        <f t="shared" si="1"/>
        <v>PBPDDF56</v>
      </c>
      <c r="D100" s="1193">
        <v>56</v>
      </c>
      <c r="E100" s="1524"/>
      <c r="F100" s="1284">
        <v>0.61</v>
      </c>
      <c r="G100" s="1284">
        <v>0.95</v>
      </c>
      <c r="H100" s="1284">
        <v>1.31</v>
      </c>
      <c r="I100" s="1284">
        <v>1.7</v>
      </c>
      <c r="J100" s="1284">
        <v>2.12</v>
      </c>
      <c r="K100" s="1284">
        <v>2.57</v>
      </c>
      <c r="L100" s="1284">
        <v>3.06</v>
      </c>
      <c r="M100" s="1284">
        <v>3.59</v>
      </c>
      <c r="N100" s="1284">
        <v>4.16</v>
      </c>
      <c r="O100" s="1284">
        <v>4.79</v>
      </c>
      <c r="P100" s="1284">
        <v>5.47</v>
      </c>
      <c r="Q100" s="1284">
        <v>6.21</v>
      </c>
      <c r="R100" s="1284">
        <v>7.03</v>
      </c>
      <c r="S100" s="1284">
        <v>7.93</v>
      </c>
      <c r="T100" s="1284">
        <v>8.93</v>
      </c>
      <c r="U100" s="1284">
        <v>10.029999999999999</v>
      </c>
      <c r="V100" s="1284">
        <v>11.24</v>
      </c>
      <c r="W100" s="1284">
        <v>12.57</v>
      </c>
      <c r="X100" s="1284">
        <v>14.04</v>
      </c>
      <c r="Y100" s="1284">
        <v>15.65</v>
      </c>
      <c r="Z100" s="1284">
        <v>17.41</v>
      </c>
      <c r="AA100" s="1284">
        <v>19.32</v>
      </c>
      <c r="AB100" s="1285">
        <v>21.88</v>
      </c>
      <c r="AC100" s="1192"/>
      <c r="AD100" s="1213"/>
      <c r="AE100" s="1214"/>
      <c r="AF100" s="1214"/>
      <c r="AG100" s="1214"/>
      <c r="AH100" s="1214"/>
      <c r="AI100" s="1214"/>
      <c r="AJ100" s="1214"/>
      <c r="AK100" s="1214"/>
      <c r="AL100" s="1214"/>
      <c r="AM100" s="1214"/>
      <c r="AN100" s="1214"/>
      <c r="AO100" s="1214"/>
      <c r="AP100" s="1214"/>
      <c r="AQ100" s="1214"/>
      <c r="AR100" s="1214"/>
      <c r="AS100" s="1214"/>
      <c r="AT100" s="1214"/>
      <c r="AU100" s="1214"/>
      <c r="AV100" s="1214"/>
      <c r="AW100" s="1214"/>
      <c r="AX100" s="1214"/>
      <c r="AY100" s="1214"/>
      <c r="AZ100" s="1214"/>
      <c r="BA100" s="1214"/>
      <c r="BB100" s="1214"/>
      <c r="BC100" s="1216"/>
      <c r="BD100" s="1216"/>
      <c r="BE100" s="1216"/>
      <c r="BF100" s="1216"/>
      <c r="BG100" s="1216"/>
      <c r="BH100" s="1216"/>
      <c r="BI100" s="1216"/>
      <c r="BJ100" s="1216"/>
      <c r="BK100" s="1216"/>
      <c r="BL100" s="1216"/>
      <c r="BM100" s="1216"/>
      <c r="BN100" s="1216"/>
      <c r="BO100" s="1216"/>
      <c r="BP100" s="1216"/>
      <c r="BQ100" s="1216"/>
      <c r="BR100" s="1216"/>
      <c r="BS100" s="1216"/>
      <c r="BT100" s="1216"/>
      <c r="BU100" s="1216"/>
      <c r="BV100" s="1216"/>
      <c r="BW100" s="1216"/>
      <c r="BX100" s="1216"/>
      <c r="BY100" s="1216"/>
      <c r="BZ100" s="1216"/>
      <c r="CA100" s="1216"/>
      <c r="CB100" s="1216"/>
      <c r="CC100" s="1216"/>
      <c r="CD100" s="1216"/>
      <c r="CE100" s="1216"/>
      <c r="CF100" s="1216"/>
      <c r="CG100" s="1216"/>
      <c r="CH100" s="1216"/>
    </row>
    <row r="101" spans="1:86" ht="20.149999999999999" customHeight="1">
      <c r="A101" s="1563" t="s">
        <v>1424</v>
      </c>
      <c r="B101" s="1563" t="s">
        <v>14</v>
      </c>
      <c r="C101" s="1563" t="str">
        <f t="shared" si="1"/>
        <v>PBPDDF57</v>
      </c>
      <c r="D101" s="1193">
        <v>57</v>
      </c>
      <c r="E101" s="1524"/>
      <c r="F101" s="1284">
        <v>0.68</v>
      </c>
      <c r="G101" s="1284">
        <v>1.05</v>
      </c>
      <c r="H101" s="1284">
        <v>1.46</v>
      </c>
      <c r="I101" s="1284">
        <v>1.89</v>
      </c>
      <c r="J101" s="1284">
        <v>2.36</v>
      </c>
      <c r="K101" s="1284">
        <v>2.86</v>
      </c>
      <c r="L101" s="1284">
        <v>3.41</v>
      </c>
      <c r="M101" s="1284">
        <v>4</v>
      </c>
      <c r="N101" s="1284">
        <v>4.6500000000000004</v>
      </c>
      <c r="O101" s="1284">
        <v>5.36</v>
      </c>
      <c r="P101" s="1284">
        <v>6.13</v>
      </c>
      <c r="Q101" s="1284">
        <v>6.98</v>
      </c>
      <c r="R101" s="1284">
        <v>7.91</v>
      </c>
      <c r="S101" s="1284">
        <v>8.9499999999999993</v>
      </c>
      <c r="T101" s="1284">
        <v>10.08</v>
      </c>
      <c r="U101" s="1284">
        <v>11.34</v>
      </c>
      <c r="V101" s="1284">
        <v>12.72</v>
      </c>
      <c r="W101" s="1284">
        <v>14.25</v>
      </c>
      <c r="X101" s="1284">
        <v>15.92</v>
      </c>
      <c r="Y101" s="1284">
        <v>17.739999999999998</v>
      </c>
      <c r="Z101" s="1284">
        <v>19.73</v>
      </c>
      <c r="AA101" s="1284">
        <v>22.41</v>
      </c>
      <c r="AB101" s="1285">
        <v>25.06</v>
      </c>
      <c r="AC101" s="1192"/>
      <c r="AD101" s="1213"/>
      <c r="AE101" s="1214"/>
      <c r="AF101" s="1214"/>
      <c r="AG101" s="1214"/>
      <c r="AH101" s="1214"/>
      <c r="AI101" s="1214"/>
      <c r="AJ101" s="1214"/>
      <c r="AK101" s="1214"/>
      <c r="AL101" s="1214"/>
      <c r="AM101" s="1214"/>
      <c r="AN101" s="1214"/>
      <c r="AO101" s="1214"/>
      <c r="AP101" s="1214"/>
      <c r="AQ101" s="1214"/>
      <c r="AR101" s="1214"/>
      <c r="AS101" s="1214"/>
      <c r="AT101" s="1214"/>
      <c r="AU101" s="1214"/>
      <c r="AV101" s="1214"/>
      <c r="AW101" s="1214"/>
      <c r="AX101" s="1214"/>
      <c r="AY101" s="1214"/>
      <c r="AZ101" s="1214"/>
      <c r="BA101" s="1214"/>
      <c r="BB101" s="1214"/>
      <c r="BC101" s="1216"/>
      <c r="BD101" s="1216"/>
      <c r="BE101" s="1216"/>
      <c r="BF101" s="1216"/>
      <c r="BG101" s="1216"/>
      <c r="BH101" s="1216"/>
      <c r="BI101" s="1216"/>
      <c r="BJ101" s="1216"/>
      <c r="BK101" s="1216"/>
      <c r="BL101" s="1216"/>
      <c r="BM101" s="1216"/>
      <c r="BN101" s="1216"/>
      <c r="BO101" s="1216"/>
      <c r="BP101" s="1216"/>
      <c r="BQ101" s="1216"/>
      <c r="BR101" s="1216"/>
      <c r="BS101" s="1216"/>
      <c r="BT101" s="1216"/>
      <c r="BU101" s="1216"/>
      <c r="BV101" s="1216"/>
      <c r="BW101" s="1216"/>
      <c r="BX101" s="1216"/>
      <c r="BY101" s="1216"/>
      <c r="BZ101" s="1216"/>
      <c r="CA101" s="1216"/>
      <c r="CB101" s="1216"/>
      <c r="CC101" s="1216"/>
      <c r="CD101" s="1216"/>
      <c r="CE101" s="1216"/>
      <c r="CF101" s="1216"/>
      <c r="CG101" s="1216"/>
      <c r="CH101" s="1216"/>
    </row>
    <row r="102" spans="1:86" ht="20.149999999999999" customHeight="1">
      <c r="A102" s="1563" t="s">
        <v>1424</v>
      </c>
      <c r="B102" s="1563" t="s">
        <v>14</v>
      </c>
      <c r="C102" s="1563" t="str">
        <f t="shared" si="1"/>
        <v>PBPDDF58</v>
      </c>
      <c r="D102" s="1193">
        <v>58</v>
      </c>
      <c r="E102" s="1524"/>
      <c r="F102" s="1284">
        <v>0.75</v>
      </c>
      <c r="G102" s="1284">
        <v>1.17</v>
      </c>
      <c r="H102" s="1284">
        <v>1.62</v>
      </c>
      <c r="I102" s="1284">
        <v>2.11</v>
      </c>
      <c r="J102" s="1284">
        <v>2.63</v>
      </c>
      <c r="K102" s="1284">
        <v>3.19</v>
      </c>
      <c r="L102" s="1284">
        <v>3.81</v>
      </c>
      <c r="M102" s="1284">
        <v>4.4800000000000004</v>
      </c>
      <c r="N102" s="1284">
        <v>5.21</v>
      </c>
      <c r="O102" s="1284">
        <v>6.01</v>
      </c>
      <c r="P102" s="1284">
        <v>6.89</v>
      </c>
      <c r="Q102" s="1284">
        <v>7.86</v>
      </c>
      <c r="R102" s="1284">
        <v>8.93</v>
      </c>
      <c r="S102" s="1284">
        <v>10.119999999999999</v>
      </c>
      <c r="T102" s="1284">
        <v>11.42</v>
      </c>
      <c r="U102" s="1284">
        <v>12.86</v>
      </c>
      <c r="V102" s="1284">
        <v>14.44</v>
      </c>
      <c r="W102" s="1284">
        <v>16.170000000000002</v>
      </c>
      <c r="X102" s="1284">
        <v>18.07</v>
      </c>
      <c r="Y102" s="1284">
        <v>20.13</v>
      </c>
      <c r="Z102" s="1284">
        <v>22.94</v>
      </c>
      <c r="AA102" s="1284">
        <v>25.72</v>
      </c>
      <c r="AB102" s="1285">
        <v>28.47</v>
      </c>
      <c r="AC102" s="1192"/>
      <c r="AD102" s="1213"/>
      <c r="AE102" s="1214"/>
      <c r="AF102" s="1214"/>
      <c r="AG102" s="1214"/>
      <c r="AH102" s="1214"/>
      <c r="AI102" s="1214"/>
      <c r="AJ102" s="1214"/>
      <c r="AK102" s="1214"/>
      <c r="AL102" s="1214"/>
      <c r="AM102" s="1214"/>
      <c r="AN102" s="1214"/>
      <c r="AO102" s="1214"/>
      <c r="AP102" s="1214"/>
      <c r="AQ102" s="1214"/>
      <c r="AR102" s="1214"/>
      <c r="AS102" s="1214"/>
      <c r="AT102" s="1214"/>
      <c r="AU102" s="1214"/>
      <c r="AV102" s="1214"/>
      <c r="AW102" s="1214"/>
      <c r="AX102" s="1214"/>
      <c r="AY102" s="1214"/>
      <c r="AZ102" s="1214"/>
      <c r="BA102" s="1214"/>
      <c r="BB102" s="1214"/>
      <c r="BC102" s="1216"/>
      <c r="BD102" s="1216"/>
      <c r="BE102" s="1216"/>
      <c r="BF102" s="1216"/>
      <c r="BG102" s="1216"/>
      <c r="BH102" s="1216"/>
      <c r="BI102" s="1216"/>
      <c r="BJ102" s="1216"/>
      <c r="BK102" s="1216"/>
      <c r="BL102" s="1216"/>
      <c r="BM102" s="1216"/>
      <c r="BN102" s="1216"/>
      <c r="BO102" s="1216"/>
      <c r="BP102" s="1216"/>
      <c r="BQ102" s="1216"/>
      <c r="BR102" s="1216"/>
      <c r="BS102" s="1216"/>
      <c r="BT102" s="1216"/>
      <c r="BU102" s="1216"/>
      <c r="BV102" s="1216"/>
      <c r="BW102" s="1216"/>
      <c r="BX102" s="1216"/>
      <c r="BY102" s="1216"/>
      <c r="BZ102" s="1216"/>
      <c r="CA102" s="1216"/>
      <c r="CB102" s="1216"/>
      <c r="CC102" s="1216"/>
      <c r="CD102" s="1216"/>
      <c r="CE102" s="1216"/>
      <c r="CF102" s="1216"/>
      <c r="CG102" s="1216"/>
      <c r="CH102" s="1216"/>
    </row>
    <row r="103" spans="1:86" ht="20.149999999999999" customHeight="1">
      <c r="A103" s="1563" t="s">
        <v>1424</v>
      </c>
      <c r="B103" s="1563" t="s">
        <v>14</v>
      </c>
      <c r="C103" s="1563" t="str">
        <f t="shared" si="1"/>
        <v>PBPDDF59</v>
      </c>
      <c r="D103" s="1193">
        <v>59</v>
      </c>
      <c r="E103" s="1524"/>
      <c r="F103" s="1284">
        <v>0.84</v>
      </c>
      <c r="G103" s="1284">
        <v>1.3</v>
      </c>
      <c r="H103" s="1284">
        <v>1.81</v>
      </c>
      <c r="I103" s="1284">
        <v>2.35</v>
      </c>
      <c r="J103" s="1284">
        <v>2.93</v>
      </c>
      <c r="K103" s="1284">
        <v>3.57</v>
      </c>
      <c r="L103" s="1284">
        <v>4.2699999999999996</v>
      </c>
      <c r="M103" s="1284">
        <v>5.03</v>
      </c>
      <c r="N103" s="1284">
        <v>5.86</v>
      </c>
      <c r="O103" s="1284">
        <v>6.77</v>
      </c>
      <c r="P103" s="1284">
        <v>7.78</v>
      </c>
      <c r="Q103" s="1284">
        <v>8.89</v>
      </c>
      <c r="R103" s="1284">
        <v>10.119999999999999</v>
      </c>
      <c r="S103" s="1284">
        <v>11.47</v>
      </c>
      <c r="T103" s="1284">
        <v>12.96</v>
      </c>
      <c r="U103" s="1284">
        <v>14.61</v>
      </c>
      <c r="V103" s="1284">
        <v>16.41</v>
      </c>
      <c r="W103" s="1284">
        <v>18.38</v>
      </c>
      <c r="X103" s="1284">
        <v>20.53</v>
      </c>
      <c r="Y103" s="1284">
        <v>23.47</v>
      </c>
      <c r="Z103" s="1284">
        <v>26.38</v>
      </c>
      <c r="AA103" s="1284">
        <v>29.27</v>
      </c>
      <c r="AB103" s="1285">
        <v>32.130000000000003</v>
      </c>
      <c r="AC103" s="1192"/>
      <c r="AD103" s="1213"/>
      <c r="AE103" s="1214"/>
      <c r="AF103" s="1214"/>
      <c r="AG103" s="1214"/>
      <c r="AH103" s="1214"/>
      <c r="AI103" s="1214"/>
      <c r="AJ103" s="1214"/>
      <c r="AK103" s="1214"/>
      <c r="AL103" s="1214"/>
      <c r="AM103" s="1214"/>
      <c r="AN103" s="1214"/>
      <c r="AO103" s="1214"/>
      <c r="AP103" s="1214"/>
      <c r="AQ103" s="1214"/>
      <c r="AR103" s="1214"/>
      <c r="AS103" s="1214"/>
      <c r="AT103" s="1214"/>
      <c r="AU103" s="1214"/>
      <c r="AV103" s="1214"/>
      <c r="AW103" s="1214"/>
      <c r="AX103" s="1214"/>
      <c r="AY103" s="1214"/>
      <c r="AZ103" s="1214"/>
      <c r="BA103" s="1214"/>
      <c r="BB103" s="1214"/>
      <c r="BC103" s="1216"/>
      <c r="BD103" s="1216"/>
      <c r="BE103" s="1216"/>
      <c r="BF103" s="1216"/>
      <c r="BG103" s="1216"/>
      <c r="BH103" s="1216"/>
      <c r="BI103" s="1216"/>
      <c r="BJ103" s="1216"/>
      <c r="BK103" s="1216"/>
      <c r="BL103" s="1216"/>
      <c r="BM103" s="1216"/>
      <c r="BN103" s="1216"/>
      <c r="BO103" s="1216"/>
      <c r="BP103" s="1216"/>
      <c r="BQ103" s="1216"/>
      <c r="BR103" s="1216"/>
      <c r="BS103" s="1216"/>
      <c r="BT103" s="1216"/>
      <c r="BU103" s="1216"/>
      <c r="BV103" s="1216"/>
      <c r="BW103" s="1216"/>
      <c r="BX103" s="1216"/>
      <c r="BY103" s="1216"/>
      <c r="BZ103" s="1216"/>
      <c r="CA103" s="1216"/>
      <c r="CB103" s="1216"/>
      <c r="CC103" s="1216"/>
      <c r="CD103" s="1216"/>
      <c r="CE103" s="1216"/>
      <c r="CF103" s="1216"/>
      <c r="CG103" s="1216"/>
      <c r="CH103" s="1216"/>
    </row>
    <row r="104" spans="1:86" ht="20.149999999999999" customHeight="1">
      <c r="A104" s="1563" t="s">
        <v>1424</v>
      </c>
      <c r="B104" s="1563" t="s">
        <v>14</v>
      </c>
      <c r="C104" s="1563" t="str">
        <f t="shared" si="1"/>
        <v>PBPDDF60</v>
      </c>
      <c r="D104" s="1193">
        <v>60</v>
      </c>
      <c r="E104" s="1524"/>
      <c r="F104" s="1284">
        <v>0.93</v>
      </c>
      <c r="G104" s="1284">
        <v>1.45</v>
      </c>
      <c r="H104" s="1284">
        <v>2.02</v>
      </c>
      <c r="I104" s="1284">
        <v>2.62</v>
      </c>
      <c r="J104" s="1284">
        <v>3.29</v>
      </c>
      <c r="K104" s="1284">
        <v>4.01</v>
      </c>
      <c r="L104" s="1284">
        <v>4.79</v>
      </c>
      <c r="M104" s="1284">
        <v>5.66</v>
      </c>
      <c r="N104" s="1284">
        <v>6.61</v>
      </c>
      <c r="O104" s="1284">
        <v>7.65</v>
      </c>
      <c r="P104" s="1284">
        <v>8.81</v>
      </c>
      <c r="Q104" s="1284">
        <v>10.08</v>
      </c>
      <c r="R104" s="1284">
        <v>11.49</v>
      </c>
      <c r="S104" s="1284">
        <v>13.04</v>
      </c>
      <c r="T104" s="1284">
        <v>14.75</v>
      </c>
      <c r="U104" s="1284">
        <v>16.63</v>
      </c>
      <c r="V104" s="1284">
        <v>18.68</v>
      </c>
      <c r="W104" s="1284">
        <v>20.91</v>
      </c>
      <c r="X104" s="1284">
        <v>24</v>
      </c>
      <c r="Y104" s="1284">
        <v>27.06</v>
      </c>
      <c r="Z104" s="1284">
        <v>30.09</v>
      </c>
      <c r="AA104" s="1284">
        <v>33.090000000000003</v>
      </c>
      <c r="AB104" s="1285">
        <v>36.06</v>
      </c>
      <c r="AC104" s="1192"/>
      <c r="AD104" s="1213"/>
      <c r="AE104" s="1214"/>
      <c r="AF104" s="1214"/>
      <c r="AG104" s="1214"/>
      <c r="AH104" s="1214"/>
      <c r="AI104" s="1214"/>
      <c r="AJ104" s="1214"/>
      <c r="AK104" s="1214"/>
      <c r="AL104" s="1214"/>
      <c r="AM104" s="1214"/>
      <c r="AN104" s="1214"/>
      <c r="AO104" s="1214"/>
      <c r="AP104" s="1214"/>
      <c r="AQ104" s="1214"/>
      <c r="AR104" s="1214"/>
      <c r="AS104" s="1214"/>
      <c r="AT104" s="1214"/>
      <c r="AU104" s="1214"/>
      <c r="AV104" s="1214"/>
      <c r="AW104" s="1214"/>
      <c r="AX104" s="1214"/>
      <c r="AY104" s="1214"/>
      <c r="AZ104" s="1214"/>
      <c r="BA104" s="1214"/>
      <c r="BB104" s="1214"/>
      <c r="BC104" s="1216"/>
      <c r="BD104" s="1216"/>
      <c r="BE104" s="1216"/>
      <c r="BF104" s="1216"/>
      <c r="BG104" s="1216"/>
      <c r="BH104" s="1216"/>
      <c r="BI104" s="1216"/>
      <c r="BJ104" s="1216"/>
      <c r="BK104" s="1216"/>
      <c r="BL104" s="1216"/>
      <c r="BM104" s="1216"/>
      <c r="BN104" s="1216"/>
      <c r="BO104" s="1216"/>
      <c r="BP104" s="1216"/>
      <c r="BQ104" s="1216"/>
      <c r="BR104" s="1216"/>
      <c r="BS104" s="1216"/>
      <c r="BT104" s="1216"/>
      <c r="BU104" s="1216"/>
      <c r="BV104" s="1216"/>
      <c r="BW104" s="1216"/>
      <c r="BX104" s="1216"/>
      <c r="BY104" s="1216"/>
      <c r="BZ104" s="1216"/>
      <c r="CA104" s="1216"/>
      <c r="CB104" s="1216"/>
      <c r="CC104" s="1216"/>
      <c r="CD104" s="1216"/>
      <c r="CE104" s="1216"/>
      <c r="CF104" s="1216"/>
      <c r="CG104" s="1216"/>
      <c r="CH104" s="1216"/>
    </row>
    <row r="105" spans="1:86" ht="20.149999999999999" customHeight="1">
      <c r="A105" s="1563" t="s">
        <v>1424</v>
      </c>
      <c r="B105" s="1563" t="s">
        <v>14</v>
      </c>
      <c r="C105" s="1563" t="str">
        <f t="shared" si="1"/>
        <v>PBPDDF61</v>
      </c>
      <c r="D105" s="1194">
        <v>61</v>
      </c>
      <c r="E105" s="1525"/>
      <c r="F105" s="1286">
        <v>1.04</v>
      </c>
      <c r="G105" s="1286">
        <v>1.62</v>
      </c>
      <c r="H105" s="1286">
        <v>2.2599999999999998</v>
      </c>
      <c r="I105" s="1286">
        <v>2.94</v>
      </c>
      <c r="J105" s="1286">
        <v>3.69</v>
      </c>
      <c r="K105" s="1286">
        <v>4.51</v>
      </c>
      <c r="L105" s="1286">
        <v>5.41</v>
      </c>
      <c r="M105" s="1286">
        <v>6.39</v>
      </c>
      <c r="N105" s="1286">
        <v>7.48</v>
      </c>
      <c r="O105" s="1286">
        <v>8.68</v>
      </c>
      <c r="P105" s="1286">
        <v>10.01</v>
      </c>
      <c r="Q105" s="1286">
        <v>11.47</v>
      </c>
      <c r="R105" s="1286">
        <v>13.09</v>
      </c>
      <c r="S105" s="1286">
        <v>14.87</v>
      </c>
      <c r="T105" s="1286">
        <v>16.82</v>
      </c>
      <c r="U105" s="1286">
        <v>18.95</v>
      </c>
      <c r="V105" s="1286">
        <v>21.27</v>
      </c>
      <c r="W105" s="1286">
        <v>24.53</v>
      </c>
      <c r="X105" s="1286">
        <v>27.74</v>
      </c>
      <c r="Y105" s="1286">
        <v>30.93</v>
      </c>
      <c r="Z105" s="1286">
        <v>34.090000000000003</v>
      </c>
      <c r="AA105" s="1286">
        <v>37.21</v>
      </c>
      <c r="AB105" s="1287">
        <v>40.299999999999997</v>
      </c>
      <c r="AC105" s="1192"/>
      <c r="AD105" s="1213"/>
      <c r="AE105" s="1214"/>
      <c r="AF105" s="1214"/>
      <c r="AG105" s="1214"/>
      <c r="AH105" s="1214"/>
      <c r="AI105" s="1214"/>
      <c r="AJ105" s="1214"/>
      <c r="AK105" s="1214"/>
      <c r="AL105" s="1214"/>
      <c r="AM105" s="1214"/>
      <c r="AN105" s="1214"/>
      <c r="AO105" s="1214"/>
      <c r="AP105" s="1214"/>
      <c r="AQ105" s="1214"/>
      <c r="AR105" s="1214"/>
      <c r="AS105" s="1214"/>
      <c r="AT105" s="1214"/>
      <c r="AU105" s="1214"/>
      <c r="AV105" s="1214"/>
      <c r="AW105" s="1214"/>
      <c r="AX105" s="1214"/>
      <c r="AY105" s="1214"/>
      <c r="AZ105" s="1214"/>
      <c r="BA105" s="1214"/>
      <c r="BB105" s="1214"/>
      <c r="BC105" s="1216"/>
      <c r="BD105" s="1216"/>
      <c r="BE105" s="1216"/>
      <c r="BF105" s="1216"/>
      <c r="BG105" s="1216"/>
      <c r="BH105" s="1216"/>
      <c r="BI105" s="1216"/>
      <c r="BJ105" s="1216"/>
      <c r="BK105" s="1216"/>
      <c r="BL105" s="1216"/>
      <c r="BM105" s="1216"/>
      <c r="BN105" s="1216"/>
      <c r="BO105" s="1216"/>
      <c r="BP105" s="1216"/>
      <c r="BQ105" s="1216"/>
      <c r="BR105" s="1216"/>
      <c r="BS105" s="1216"/>
      <c r="BT105" s="1216"/>
      <c r="BU105" s="1216"/>
      <c r="BV105" s="1216"/>
      <c r="BW105" s="1216"/>
      <c r="BX105" s="1216"/>
      <c r="BY105" s="1216"/>
      <c r="BZ105" s="1216"/>
      <c r="CA105" s="1216"/>
      <c r="CB105" s="1216"/>
      <c r="CC105" s="1216"/>
      <c r="CD105" s="1216"/>
      <c r="CE105" s="1216"/>
      <c r="CF105" s="1216"/>
      <c r="CG105" s="1216"/>
      <c r="CH105" s="1216"/>
    </row>
    <row r="106" spans="1:86" ht="20.149999999999999" customHeight="1">
      <c r="A106" s="1563" t="s">
        <v>1424</v>
      </c>
      <c r="B106" s="1563" t="s">
        <v>14</v>
      </c>
      <c r="C106" s="1563" t="str">
        <f t="shared" si="1"/>
        <v>PBPDDF62</v>
      </c>
      <c r="D106" s="1193">
        <v>62</v>
      </c>
      <c r="E106" s="1524"/>
      <c r="F106" s="1284">
        <v>1.17</v>
      </c>
      <c r="G106" s="1284">
        <v>1.82</v>
      </c>
      <c r="H106" s="1284">
        <v>2.5299999999999998</v>
      </c>
      <c r="I106" s="1284">
        <v>3.31</v>
      </c>
      <c r="J106" s="1284">
        <v>4.16</v>
      </c>
      <c r="K106" s="1284">
        <v>5.0999999999999996</v>
      </c>
      <c r="L106" s="1284">
        <v>6.12</v>
      </c>
      <c r="M106" s="1284">
        <v>7.25</v>
      </c>
      <c r="N106" s="1284">
        <v>8.5</v>
      </c>
      <c r="O106" s="1284">
        <v>9.89</v>
      </c>
      <c r="P106" s="1284">
        <v>11.41</v>
      </c>
      <c r="Q106" s="1284">
        <v>13.09</v>
      </c>
      <c r="R106" s="1284">
        <v>14.94</v>
      </c>
      <c r="S106" s="1284">
        <v>16.98</v>
      </c>
      <c r="T106" s="1284">
        <v>19.2</v>
      </c>
      <c r="U106" s="1284">
        <v>21.62</v>
      </c>
      <c r="V106" s="1284">
        <v>25.04</v>
      </c>
      <c r="W106" s="1284">
        <v>28.43</v>
      </c>
      <c r="X106" s="1284">
        <v>31.79</v>
      </c>
      <c r="Y106" s="1284">
        <v>35.11</v>
      </c>
      <c r="Z106" s="1284">
        <v>38.4</v>
      </c>
      <c r="AA106" s="1284">
        <v>41.66</v>
      </c>
      <c r="AB106" s="1285">
        <v>44.89</v>
      </c>
      <c r="AC106" s="1192"/>
      <c r="AD106" s="1213"/>
      <c r="AE106" s="1214"/>
      <c r="AF106" s="1214"/>
      <c r="AG106" s="1214"/>
      <c r="AH106" s="1214"/>
      <c r="AI106" s="1214"/>
      <c r="AJ106" s="1214"/>
      <c r="AK106" s="1214"/>
      <c r="AL106" s="1214"/>
      <c r="AM106" s="1214"/>
      <c r="AN106" s="1214"/>
      <c r="AO106" s="1214"/>
      <c r="AP106" s="1214"/>
      <c r="AQ106" s="1214"/>
      <c r="AR106" s="1214"/>
      <c r="AS106" s="1214"/>
      <c r="AT106" s="1214"/>
      <c r="AU106" s="1214"/>
      <c r="AV106" s="1214"/>
      <c r="AW106" s="1214"/>
      <c r="AX106" s="1214"/>
      <c r="AY106" s="1214"/>
      <c r="AZ106" s="1214"/>
      <c r="BA106" s="1214"/>
      <c r="BB106" s="1214"/>
      <c r="BC106" s="1216"/>
      <c r="BD106" s="1216"/>
      <c r="BE106" s="1216"/>
      <c r="BF106" s="1216"/>
      <c r="BG106" s="1216"/>
      <c r="BH106" s="1216"/>
      <c r="BI106" s="1216"/>
      <c r="BJ106" s="1216"/>
      <c r="BK106" s="1216"/>
      <c r="BL106" s="1216"/>
      <c r="BM106" s="1216"/>
      <c r="BN106" s="1216"/>
      <c r="BO106" s="1216"/>
      <c r="BP106" s="1216"/>
      <c r="BQ106" s="1216"/>
      <c r="BR106" s="1216"/>
      <c r="BS106" s="1216"/>
      <c r="BT106" s="1216"/>
      <c r="BU106" s="1216"/>
      <c r="BV106" s="1216"/>
      <c r="BW106" s="1216"/>
      <c r="BX106" s="1216"/>
      <c r="BY106" s="1216"/>
      <c r="BZ106" s="1216"/>
      <c r="CA106" s="1216"/>
      <c r="CB106" s="1216"/>
      <c r="CC106" s="1216"/>
      <c r="CD106" s="1216"/>
      <c r="CE106" s="1216"/>
      <c r="CF106" s="1216"/>
      <c r="CG106" s="1216"/>
      <c r="CH106" s="1216"/>
    </row>
    <row r="107" spans="1:86" ht="20.149999999999999" customHeight="1">
      <c r="A107" s="1563" t="s">
        <v>1424</v>
      </c>
      <c r="B107" s="1563" t="s">
        <v>14</v>
      </c>
      <c r="C107" s="1563" t="str">
        <f t="shared" si="1"/>
        <v>PBPDDF63</v>
      </c>
      <c r="D107" s="1193">
        <v>63</v>
      </c>
      <c r="E107" s="1524"/>
      <c r="F107" s="1284">
        <v>1.31</v>
      </c>
      <c r="G107" s="1284">
        <v>2.0499999999999998</v>
      </c>
      <c r="H107" s="1284">
        <v>2.86</v>
      </c>
      <c r="I107" s="1284">
        <v>3.74</v>
      </c>
      <c r="J107" s="1284">
        <v>4.71</v>
      </c>
      <c r="K107" s="1284">
        <v>5.78</v>
      </c>
      <c r="L107" s="1284">
        <v>6.96</v>
      </c>
      <c r="M107" s="1284">
        <v>8.26</v>
      </c>
      <c r="N107" s="1284">
        <v>9.6999999999999993</v>
      </c>
      <c r="O107" s="1284">
        <v>11.29</v>
      </c>
      <c r="P107" s="1284">
        <v>13.04</v>
      </c>
      <c r="Q107" s="1284">
        <v>14.97</v>
      </c>
      <c r="R107" s="1284">
        <v>17.09</v>
      </c>
      <c r="S107" s="1284">
        <v>19.41</v>
      </c>
      <c r="T107" s="1284">
        <v>21.93</v>
      </c>
      <c r="U107" s="1284">
        <v>25.55</v>
      </c>
      <c r="V107" s="1284">
        <v>29.12</v>
      </c>
      <c r="W107" s="1284">
        <v>32.659999999999997</v>
      </c>
      <c r="X107" s="1284">
        <v>36.17</v>
      </c>
      <c r="Y107" s="1284">
        <v>39.64</v>
      </c>
      <c r="Z107" s="1284">
        <v>43.08</v>
      </c>
      <c r="AA107" s="1284">
        <v>46.48</v>
      </c>
      <c r="AB107" s="1285">
        <v>49.85</v>
      </c>
      <c r="AC107" s="1192"/>
      <c r="AD107" s="1213"/>
      <c r="AE107" s="1214"/>
      <c r="AF107" s="1214"/>
      <c r="AG107" s="1214"/>
      <c r="AH107" s="1214"/>
      <c r="AI107" s="1214"/>
      <c r="AJ107" s="1214"/>
      <c r="AK107" s="1214"/>
      <c r="AL107" s="1214"/>
      <c r="AM107" s="1214"/>
      <c r="AN107" s="1214"/>
      <c r="AO107" s="1214"/>
      <c r="AP107" s="1214"/>
      <c r="AQ107" s="1214"/>
      <c r="AR107" s="1214"/>
      <c r="AS107" s="1214"/>
      <c r="AT107" s="1214"/>
      <c r="AU107" s="1214"/>
      <c r="AV107" s="1214"/>
      <c r="AW107" s="1214"/>
      <c r="AX107" s="1214"/>
      <c r="AY107" s="1214"/>
      <c r="AZ107" s="1214"/>
      <c r="BA107" s="1214"/>
      <c r="BB107" s="1214"/>
      <c r="BC107" s="1216"/>
      <c r="BD107" s="1216"/>
      <c r="BE107" s="1216"/>
      <c r="BF107" s="1216"/>
      <c r="BG107" s="1216"/>
      <c r="BH107" s="1216"/>
      <c r="BI107" s="1216"/>
      <c r="BJ107" s="1216"/>
      <c r="BK107" s="1216"/>
      <c r="BL107" s="1216"/>
      <c r="BM107" s="1216"/>
      <c r="BN107" s="1216"/>
      <c r="BO107" s="1216"/>
      <c r="BP107" s="1216"/>
      <c r="BQ107" s="1216"/>
      <c r="BR107" s="1216"/>
      <c r="BS107" s="1216"/>
      <c r="BT107" s="1216"/>
      <c r="BU107" s="1216"/>
      <c r="BV107" s="1216"/>
      <c r="BW107" s="1216"/>
      <c r="BX107" s="1216"/>
      <c r="BY107" s="1216"/>
      <c r="BZ107" s="1216"/>
      <c r="CA107" s="1216"/>
      <c r="CB107" s="1216"/>
      <c r="CC107" s="1216"/>
      <c r="CD107" s="1216"/>
      <c r="CE107" s="1216"/>
      <c r="CF107" s="1216"/>
      <c r="CG107" s="1216"/>
      <c r="CH107" s="1216"/>
    </row>
    <row r="108" spans="1:86" ht="20.149999999999999" customHeight="1">
      <c r="A108" s="1563" t="s">
        <v>1424</v>
      </c>
      <c r="B108" s="1563" t="s">
        <v>14</v>
      </c>
      <c r="C108" s="1563" t="str">
        <f t="shared" si="1"/>
        <v>PBPDDF64</v>
      </c>
      <c r="D108" s="1193">
        <v>64</v>
      </c>
      <c r="E108" s="1524"/>
      <c r="F108" s="1284">
        <v>1.48</v>
      </c>
      <c r="G108" s="1284">
        <v>2.3199999999999998</v>
      </c>
      <c r="H108" s="1284">
        <v>3.24</v>
      </c>
      <c r="I108" s="1284">
        <v>4.25</v>
      </c>
      <c r="J108" s="1284">
        <v>5.37</v>
      </c>
      <c r="K108" s="1284">
        <v>6.59</v>
      </c>
      <c r="L108" s="1284">
        <v>7.95</v>
      </c>
      <c r="M108" s="1284">
        <v>9.4499999999999993</v>
      </c>
      <c r="N108" s="1284">
        <v>11.11</v>
      </c>
      <c r="O108" s="1284">
        <v>12.94</v>
      </c>
      <c r="P108" s="1284">
        <v>14.95</v>
      </c>
      <c r="Q108" s="1284">
        <v>17.16</v>
      </c>
      <c r="R108" s="1284">
        <v>19.57</v>
      </c>
      <c r="S108" s="1284">
        <v>22.21</v>
      </c>
      <c r="T108" s="1284">
        <v>26.02</v>
      </c>
      <c r="U108" s="1284">
        <v>29.8</v>
      </c>
      <c r="V108" s="1284">
        <v>33.54</v>
      </c>
      <c r="W108" s="1284">
        <v>37.25</v>
      </c>
      <c r="X108" s="1284">
        <v>40.909999999999997</v>
      </c>
      <c r="Y108" s="1284">
        <v>44.55</v>
      </c>
      <c r="Z108" s="1284">
        <v>48.14</v>
      </c>
      <c r="AA108" s="1284">
        <v>51.7</v>
      </c>
      <c r="AB108" s="1285">
        <v>55.22</v>
      </c>
      <c r="AC108" s="1192"/>
      <c r="AD108" s="1213"/>
      <c r="AE108" s="1214"/>
      <c r="AF108" s="1214"/>
      <c r="AG108" s="1214"/>
      <c r="AH108" s="1214"/>
      <c r="AI108" s="1214"/>
      <c r="AJ108" s="1214"/>
      <c r="AK108" s="1214"/>
      <c r="AL108" s="1214"/>
      <c r="AM108" s="1214"/>
      <c r="AN108" s="1214"/>
      <c r="AO108" s="1214"/>
      <c r="AP108" s="1214"/>
      <c r="AQ108" s="1214"/>
      <c r="AR108" s="1214"/>
      <c r="AS108" s="1214"/>
      <c r="AT108" s="1214"/>
      <c r="AU108" s="1214"/>
      <c r="AV108" s="1214"/>
      <c r="AW108" s="1214"/>
      <c r="AX108" s="1214"/>
      <c r="AY108" s="1214"/>
      <c r="AZ108" s="1214"/>
      <c r="BA108" s="1214"/>
      <c r="BB108" s="1214"/>
      <c r="BC108" s="1216"/>
      <c r="BD108" s="1216"/>
      <c r="BE108" s="1216"/>
      <c r="BF108" s="1216"/>
      <c r="BG108" s="1216"/>
      <c r="BH108" s="1216"/>
      <c r="BI108" s="1216"/>
      <c r="BJ108" s="1216"/>
      <c r="BK108" s="1216"/>
      <c r="BL108" s="1216"/>
      <c r="BM108" s="1216"/>
      <c r="BN108" s="1216"/>
      <c r="BO108" s="1216"/>
      <c r="BP108" s="1216"/>
      <c r="BQ108" s="1216"/>
      <c r="BR108" s="1216"/>
      <c r="BS108" s="1216"/>
      <c r="BT108" s="1216"/>
      <c r="BU108" s="1216"/>
      <c r="BV108" s="1216"/>
      <c r="BW108" s="1216"/>
      <c r="BX108" s="1216"/>
      <c r="BY108" s="1216"/>
      <c r="BZ108" s="1216"/>
      <c r="CA108" s="1216"/>
      <c r="CB108" s="1216"/>
      <c r="CC108" s="1216"/>
      <c r="CD108" s="1216"/>
      <c r="CE108" s="1216"/>
      <c r="CF108" s="1216"/>
      <c r="CG108" s="1216"/>
      <c r="CH108" s="1216"/>
    </row>
    <row r="109" spans="1:86" ht="20.149999999999999" customHeight="1">
      <c r="A109" s="1563" t="s">
        <v>1424</v>
      </c>
      <c r="B109" s="1563" t="s">
        <v>14</v>
      </c>
      <c r="C109" s="1563" t="str">
        <f t="shared" si="1"/>
        <v>PBPDDF65</v>
      </c>
      <c r="D109" s="1195">
        <v>65</v>
      </c>
      <c r="E109" s="1526"/>
      <c r="F109" s="1288">
        <v>1.68</v>
      </c>
      <c r="G109" s="1288">
        <v>2.64</v>
      </c>
      <c r="H109" s="1288">
        <v>3.69</v>
      </c>
      <c r="I109" s="1288">
        <v>4.8499999999999996</v>
      </c>
      <c r="J109" s="1288">
        <v>6.13</v>
      </c>
      <c r="K109" s="1288">
        <v>7.55</v>
      </c>
      <c r="L109" s="1288">
        <v>9.11</v>
      </c>
      <c r="M109" s="1288">
        <v>10.84</v>
      </c>
      <c r="N109" s="1288">
        <v>12.75</v>
      </c>
      <c r="O109" s="1288">
        <v>14.85</v>
      </c>
      <c r="P109" s="1288">
        <v>17.149999999999999</v>
      </c>
      <c r="Q109" s="1288">
        <v>19.68</v>
      </c>
      <c r="R109" s="1288">
        <v>22.43</v>
      </c>
      <c r="S109" s="1288">
        <v>26.47</v>
      </c>
      <c r="T109" s="1288">
        <v>30.46</v>
      </c>
      <c r="U109" s="1288">
        <v>34.42</v>
      </c>
      <c r="V109" s="1288">
        <v>38.340000000000003</v>
      </c>
      <c r="W109" s="1288">
        <v>42.22</v>
      </c>
      <c r="X109" s="1288">
        <v>46.07</v>
      </c>
      <c r="Y109" s="1288">
        <v>49.87</v>
      </c>
      <c r="Z109" s="1288">
        <v>53.64</v>
      </c>
      <c r="AA109" s="1288">
        <v>57.37</v>
      </c>
      <c r="AB109" s="1289">
        <v>61.06</v>
      </c>
      <c r="AC109" s="1192"/>
      <c r="AD109" s="1213"/>
      <c r="AE109" s="1214"/>
      <c r="AF109" s="1214"/>
      <c r="AG109" s="1214"/>
      <c r="AH109" s="1214"/>
      <c r="AI109" s="1214"/>
      <c r="AJ109" s="1214"/>
      <c r="AK109" s="1214"/>
      <c r="AL109" s="1214"/>
      <c r="AM109" s="1214"/>
      <c r="AN109" s="1214"/>
      <c r="AO109" s="1214"/>
      <c r="AP109" s="1214"/>
      <c r="AQ109" s="1214"/>
      <c r="AR109" s="1214"/>
      <c r="AS109" s="1214"/>
      <c r="AT109" s="1214"/>
      <c r="AU109" s="1214"/>
      <c r="AV109" s="1214"/>
      <c r="AW109" s="1214"/>
      <c r="AX109" s="1214"/>
      <c r="AY109" s="1214"/>
      <c r="AZ109" s="1214"/>
      <c r="BA109" s="1214"/>
      <c r="BB109" s="1214"/>
      <c r="BC109" s="1216"/>
      <c r="BD109" s="1216"/>
      <c r="BE109" s="1216"/>
      <c r="BF109" s="1216"/>
      <c r="BG109" s="1216"/>
      <c r="BH109" s="1216"/>
      <c r="BI109" s="1216"/>
      <c r="BJ109" s="1216"/>
      <c r="BK109" s="1216"/>
      <c r="BL109" s="1216"/>
      <c r="BM109" s="1216"/>
      <c r="BN109" s="1216"/>
      <c r="BO109" s="1216"/>
      <c r="BP109" s="1216"/>
      <c r="BQ109" s="1216"/>
      <c r="BR109" s="1216"/>
      <c r="BS109" s="1216"/>
      <c r="BT109" s="1216"/>
      <c r="BU109" s="1216"/>
      <c r="BV109" s="1216"/>
      <c r="BW109" s="1216"/>
      <c r="BX109" s="1216"/>
      <c r="BY109" s="1216"/>
      <c r="BZ109" s="1216"/>
      <c r="CA109" s="1216"/>
      <c r="CB109" s="1216"/>
      <c r="CC109" s="1216"/>
      <c r="CD109" s="1216"/>
      <c r="CE109" s="1216"/>
      <c r="CF109" s="1216"/>
      <c r="CG109" s="1216"/>
      <c r="CH109" s="1216"/>
    </row>
    <row r="110" spans="1:86" ht="20.149999999999999" customHeight="1">
      <c r="A110" s="1563" t="s">
        <v>1424</v>
      </c>
      <c r="B110" s="1563" t="s">
        <v>14</v>
      </c>
      <c r="C110" s="1563" t="str">
        <f t="shared" si="1"/>
        <v>PBPDDF66</v>
      </c>
      <c r="D110" s="1193">
        <v>66</v>
      </c>
      <c r="E110" s="1524"/>
      <c r="F110" s="1284">
        <v>1.91</v>
      </c>
      <c r="G110" s="1284">
        <v>3.01</v>
      </c>
      <c r="H110" s="1284">
        <v>4.22</v>
      </c>
      <c r="I110" s="1284">
        <v>5.56</v>
      </c>
      <c r="J110" s="1284">
        <v>7.04</v>
      </c>
      <c r="K110" s="1284">
        <v>8.67</v>
      </c>
      <c r="L110" s="1284">
        <v>10.47</v>
      </c>
      <c r="M110" s="1284">
        <v>12.46</v>
      </c>
      <c r="N110" s="1284">
        <v>14.66</v>
      </c>
      <c r="O110" s="1284">
        <v>17.059999999999999</v>
      </c>
      <c r="P110" s="1284">
        <v>19.7</v>
      </c>
      <c r="Q110" s="1284">
        <v>22.57</v>
      </c>
      <c r="R110" s="1284">
        <v>26.85</v>
      </c>
      <c r="S110" s="1284">
        <v>31.09</v>
      </c>
      <c r="T110" s="1284">
        <v>35.29</v>
      </c>
      <c r="U110" s="1284">
        <v>39.44</v>
      </c>
      <c r="V110" s="1284">
        <v>43.56</v>
      </c>
      <c r="W110" s="1284">
        <v>47.63</v>
      </c>
      <c r="X110" s="1284">
        <v>51.66</v>
      </c>
      <c r="Y110" s="1284">
        <v>55.66</v>
      </c>
      <c r="Z110" s="1284">
        <v>59.61</v>
      </c>
      <c r="AA110" s="1284">
        <v>63.52</v>
      </c>
      <c r="AB110" s="1285">
        <v>67.400000000000006</v>
      </c>
      <c r="AC110" s="1192"/>
      <c r="AD110" s="1213"/>
      <c r="AE110" s="1214"/>
      <c r="AF110" s="1214"/>
      <c r="AG110" s="1214"/>
      <c r="AH110" s="1214"/>
      <c r="AI110" s="1214"/>
      <c r="AJ110" s="1214"/>
      <c r="AK110" s="1214"/>
      <c r="AL110" s="1214"/>
      <c r="AM110" s="1214"/>
      <c r="AN110" s="1214"/>
      <c r="AO110" s="1214"/>
      <c r="AP110" s="1214"/>
      <c r="AQ110" s="1214"/>
      <c r="AR110" s="1214"/>
      <c r="AS110" s="1214"/>
      <c r="AT110" s="1214"/>
      <c r="AU110" s="1214"/>
      <c r="AV110" s="1214"/>
      <c r="AW110" s="1214"/>
      <c r="AX110" s="1214"/>
      <c r="AY110" s="1214"/>
      <c r="AZ110" s="1214"/>
      <c r="BA110" s="1214"/>
      <c r="BB110" s="1214"/>
      <c r="BC110" s="1216"/>
      <c r="BD110" s="1216"/>
      <c r="BE110" s="1216"/>
      <c r="BF110" s="1216"/>
      <c r="BG110" s="1216"/>
      <c r="BH110" s="1216"/>
      <c r="BI110" s="1216"/>
      <c r="BJ110" s="1216"/>
      <c r="BK110" s="1216"/>
      <c r="BL110" s="1216"/>
      <c r="BM110" s="1216"/>
      <c r="BN110" s="1216"/>
      <c r="BO110" s="1216"/>
      <c r="BP110" s="1216"/>
      <c r="BQ110" s="1216"/>
      <c r="BR110" s="1216"/>
      <c r="BS110" s="1216"/>
      <c r="BT110" s="1216"/>
      <c r="BU110" s="1216"/>
      <c r="BV110" s="1216"/>
      <c r="BW110" s="1216"/>
      <c r="BX110" s="1216"/>
      <c r="BY110" s="1216"/>
      <c r="BZ110" s="1216"/>
      <c r="CA110" s="1216"/>
      <c r="CB110" s="1216"/>
      <c r="CC110" s="1216"/>
      <c r="CD110" s="1216"/>
      <c r="CE110" s="1216"/>
      <c r="CF110" s="1216"/>
      <c r="CG110" s="1216"/>
      <c r="CH110" s="1216"/>
    </row>
    <row r="111" spans="1:86" ht="20.149999999999999" customHeight="1">
      <c r="A111" s="1563" t="s">
        <v>1424</v>
      </c>
      <c r="B111" s="1563" t="s">
        <v>14</v>
      </c>
      <c r="C111" s="1563" t="str">
        <f t="shared" si="1"/>
        <v>PBPDDF67</v>
      </c>
      <c r="D111" s="1193">
        <v>67</v>
      </c>
      <c r="E111" s="1524"/>
      <c r="F111" s="1284">
        <v>2.19</v>
      </c>
      <c r="G111" s="1284">
        <v>3.45</v>
      </c>
      <c r="H111" s="1284">
        <v>4.8499999999999996</v>
      </c>
      <c r="I111" s="1284">
        <v>6.39</v>
      </c>
      <c r="J111" s="1284">
        <v>8.1</v>
      </c>
      <c r="K111" s="1284">
        <v>9.98</v>
      </c>
      <c r="L111" s="1284">
        <v>12.06</v>
      </c>
      <c r="M111" s="1284">
        <v>14.35</v>
      </c>
      <c r="N111" s="1284">
        <v>16.86</v>
      </c>
      <c r="O111" s="1284">
        <v>19.62</v>
      </c>
      <c r="P111" s="1284">
        <v>22.62</v>
      </c>
      <c r="Q111" s="1284">
        <v>27.16</v>
      </c>
      <c r="R111" s="1284">
        <v>31.66</v>
      </c>
      <c r="S111" s="1284">
        <v>36.119999999999997</v>
      </c>
      <c r="T111" s="1284">
        <v>40.53</v>
      </c>
      <c r="U111" s="1284">
        <v>44.9</v>
      </c>
      <c r="V111" s="1284">
        <v>49.22</v>
      </c>
      <c r="W111" s="1284">
        <v>53.5</v>
      </c>
      <c r="X111" s="1284">
        <v>57.74</v>
      </c>
      <c r="Y111" s="1284">
        <v>61.94</v>
      </c>
      <c r="Z111" s="1284">
        <v>66.099999999999994</v>
      </c>
      <c r="AA111" s="1284">
        <v>70.209999999999994</v>
      </c>
      <c r="AB111" s="1285">
        <v>74.28</v>
      </c>
      <c r="AC111" s="1192"/>
      <c r="AD111" s="1213"/>
      <c r="AE111" s="1214"/>
      <c r="AF111" s="1214"/>
      <c r="AG111" s="1214"/>
      <c r="AH111" s="1214"/>
      <c r="AI111" s="1214"/>
      <c r="AJ111" s="1214"/>
      <c r="AK111" s="1214"/>
      <c r="AL111" s="1214"/>
      <c r="AM111" s="1214"/>
      <c r="AN111" s="1214"/>
      <c r="AO111" s="1214"/>
      <c r="AP111" s="1214"/>
      <c r="AQ111" s="1214"/>
      <c r="AR111" s="1214"/>
      <c r="AS111" s="1214"/>
      <c r="AT111" s="1214"/>
      <c r="AU111" s="1214"/>
      <c r="AV111" s="1214"/>
      <c r="AW111" s="1214"/>
      <c r="AX111" s="1214"/>
      <c r="AY111" s="1214"/>
      <c r="AZ111" s="1214"/>
      <c r="BA111" s="1214"/>
      <c r="BB111" s="1214"/>
      <c r="BC111" s="1216"/>
      <c r="BD111" s="1216"/>
      <c r="BE111" s="1216"/>
      <c r="BF111" s="1216"/>
      <c r="BG111" s="1216"/>
      <c r="BH111" s="1216"/>
      <c r="BI111" s="1216"/>
      <c r="BJ111" s="1216"/>
      <c r="BK111" s="1216"/>
      <c r="BL111" s="1216"/>
      <c r="BM111" s="1216"/>
      <c r="BN111" s="1216"/>
      <c r="BO111" s="1216"/>
      <c r="BP111" s="1216"/>
      <c r="BQ111" s="1216"/>
      <c r="BR111" s="1216"/>
      <c r="BS111" s="1216"/>
      <c r="BT111" s="1216"/>
      <c r="BU111" s="1216"/>
      <c r="BV111" s="1216"/>
      <c r="BW111" s="1216"/>
      <c r="BX111" s="1216"/>
      <c r="BY111" s="1216"/>
      <c r="BZ111" s="1216"/>
      <c r="CA111" s="1216"/>
      <c r="CB111" s="1216"/>
      <c r="CC111" s="1216"/>
      <c r="CD111" s="1216"/>
      <c r="CE111" s="1216"/>
      <c r="CF111" s="1216"/>
      <c r="CG111" s="1216"/>
      <c r="CH111" s="1216"/>
    </row>
    <row r="112" spans="1:86" ht="20.149999999999999" customHeight="1">
      <c r="A112" s="1563" t="s">
        <v>1424</v>
      </c>
      <c r="B112" s="1563" t="s">
        <v>14</v>
      </c>
      <c r="C112" s="1563" t="str">
        <f t="shared" si="1"/>
        <v>PBPDDF68</v>
      </c>
      <c r="D112" s="1193">
        <v>68</v>
      </c>
      <c r="E112" s="1524"/>
      <c r="F112" s="1284">
        <v>2.52</v>
      </c>
      <c r="G112" s="1284">
        <v>3.97</v>
      </c>
      <c r="H112" s="1284">
        <v>5.58</v>
      </c>
      <c r="I112" s="1284">
        <v>7.36</v>
      </c>
      <c r="J112" s="1284">
        <v>9.33</v>
      </c>
      <c r="K112" s="1284">
        <v>11.5</v>
      </c>
      <c r="L112" s="1284">
        <v>13.9</v>
      </c>
      <c r="M112" s="1284">
        <v>16.52</v>
      </c>
      <c r="N112" s="1284">
        <v>19.399999999999999</v>
      </c>
      <c r="O112" s="1284">
        <v>22.54</v>
      </c>
      <c r="P112" s="1284">
        <v>27.37</v>
      </c>
      <c r="Q112" s="1284">
        <v>32.15</v>
      </c>
      <c r="R112" s="1284">
        <v>36.89</v>
      </c>
      <c r="S112" s="1284">
        <v>41.58</v>
      </c>
      <c r="T112" s="1284">
        <v>46.22</v>
      </c>
      <c r="U112" s="1284">
        <v>50.82</v>
      </c>
      <c r="V112" s="1284">
        <v>55.37</v>
      </c>
      <c r="W112" s="1284">
        <v>59.88</v>
      </c>
      <c r="X112" s="1284">
        <v>64.34</v>
      </c>
      <c r="Y112" s="1284">
        <v>68.760000000000005</v>
      </c>
      <c r="Z112" s="1284">
        <v>73.13</v>
      </c>
      <c r="AA112" s="1284">
        <v>77.47</v>
      </c>
      <c r="AB112" s="1285">
        <v>81.75</v>
      </c>
      <c r="AC112" s="1192"/>
      <c r="AD112" s="1213"/>
      <c r="AE112" s="1214"/>
      <c r="AF112" s="1214"/>
      <c r="AG112" s="1214"/>
      <c r="AH112" s="1214"/>
      <c r="AI112" s="1214"/>
      <c r="AJ112" s="1214"/>
      <c r="AK112" s="1214"/>
      <c r="AL112" s="1214"/>
      <c r="AM112" s="1214"/>
      <c r="AN112" s="1214"/>
      <c r="AO112" s="1214"/>
      <c r="AP112" s="1214"/>
      <c r="AQ112" s="1214"/>
      <c r="AR112" s="1214"/>
      <c r="AS112" s="1214"/>
      <c r="AT112" s="1214"/>
      <c r="AU112" s="1214"/>
      <c r="AV112" s="1214"/>
      <c r="AW112" s="1214"/>
      <c r="AX112" s="1214"/>
      <c r="AY112" s="1214"/>
      <c r="AZ112" s="1214"/>
      <c r="BA112" s="1214"/>
      <c r="BB112" s="1214"/>
      <c r="BC112" s="1216"/>
      <c r="BD112" s="1216"/>
      <c r="BE112" s="1216"/>
      <c r="BF112" s="1216"/>
      <c r="BG112" s="1216"/>
      <c r="BH112" s="1216"/>
      <c r="BI112" s="1216"/>
      <c r="BJ112" s="1216"/>
      <c r="BK112" s="1216"/>
      <c r="BL112" s="1216"/>
      <c r="BM112" s="1216"/>
      <c r="BN112" s="1216"/>
      <c r="BO112" s="1216"/>
      <c r="BP112" s="1216"/>
      <c r="BQ112" s="1216"/>
      <c r="BR112" s="1216"/>
      <c r="BS112" s="1216"/>
      <c r="BT112" s="1216"/>
      <c r="BU112" s="1216"/>
      <c r="BV112" s="1216"/>
      <c r="BW112" s="1216"/>
      <c r="BX112" s="1216"/>
      <c r="BY112" s="1216"/>
      <c r="BZ112" s="1216"/>
      <c r="CA112" s="1216"/>
      <c r="CB112" s="1216"/>
      <c r="CC112" s="1216"/>
      <c r="CD112" s="1216"/>
      <c r="CE112" s="1216"/>
      <c r="CF112" s="1216"/>
      <c r="CG112" s="1216"/>
      <c r="CH112" s="1216"/>
    </row>
    <row r="113" spans="1:86" ht="20.149999999999999" customHeight="1">
      <c r="A113" s="1563" t="s">
        <v>1424</v>
      </c>
      <c r="B113" s="1563" t="s">
        <v>14</v>
      </c>
      <c r="C113" s="1563" t="str">
        <f t="shared" si="1"/>
        <v>PBPDDF69</v>
      </c>
      <c r="D113" s="1193">
        <v>69</v>
      </c>
      <c r="E113" s="1524"/>
      <c r="F113" s="1284">
        <v>2.9</v>
      </c>
      <c r="G113" s="1284">
        <v>4.58</v>
      </c>
      <c r="H113" s="1284">
        <v>6.44</v>
      </c>
      <c r="I113" s="1284">
        <v>8.49</v>
      </c>
      <c r="J113" s="1284">
        <v>10.76</v>
      </c>
      <c r="K113" s="1284">
        <v>13.26</v>
      </c>
      <c r="L113" s="1284">
        <v>16</v>
      </c>
      <c r="M113" s="1284">
        <v>19.010000000000002</v>
      </c>
      <c r="N113" s="1284">
        <v>22.29</v>
      </c>
      <c r="O113" s="1284">
        <v>27.43</v>
      </c>
      <c r="P113" s="1284">
        <v>32.520000000000003</v>
      </c>
      <c r="Q113" s="1284">
        <v>37.57</v>
      </c>
      <c r="R113" s="1284">
        <v>42.56</v>
      </c>
      <c r="S113" s="1284">
        <v>47.5</v>
      </c>
      <c r="T113" s="1284">
        <v>52.4</v>
      </c>
      <c r="U113" s="1284">
        <v>57.24</v>
      </c>
      <c r="V113" s="1284">
        <v>62.04</v>
      </c>
      <c r="W113" s="1284">
        <v>66.790000000000006</v>
      </c>
      <c r="X113" s="1284">
        <v>71.5</v>
      </c>
      <c r="Y113" s="1284">
        <v>76.150000000000006</v>
      </c>
      <c r="Z113" s="1284">
        <v>80.760000000000005</v>
      </c>
      <c r="AA113" s="1284">
        <v>85.33</v>
      </c>
      <c r="AB113" s="1285">
        <v>89.85</v>
      </c>
      <c r="AC113" s="1192"/>
      <c r="AD113" s="1213"/>
      <c r="AE113" s="1214"/>
      <c r="AF113" s="1214"/>
      <c r="AG113" s="1214"/>
      <c r="AH113" s="1214"/>
      <c r="AI113" s="1214"/>
      <c r="AJ113" s="1214"/>
      <c r="AK113" s="1214"/>
      <c r="AL113" s="1214"/>
      <c r="AM113" s="1214"/>
      <c r="AN113" s="1214"/>
      <c r="AO113" s="1214"/>
      <c r="AP113" s="1214"/>
      <c r="AQ113" s="1214"/>
      <c r="AR113" s="1214"/>
      <c r="AS113" s="1214"/>
      <c r="AT113" s="1214"/>
      <c r="AU113" s="1214"/>
      <c r="AV113" s="1214"/>
      <c r="AW113" s="1214"/>
      <c r="AX113" s="1214"/>
      <c r="AY113" s="1214"/>
      <c r="AZ113" s="1214"/>
      <c r="BA113" s="1214"/>
      <c r="BB113" s="1214"/>
      <c r="BC113" s="1216"/>
      <c r="BD113" s="1216"/>
      <c r="BE113" s="1216"/>
      <c r="BF113" s="1216"/>
      <c r="BG113" s="1216"/>
      <c r="BH113" s="1216"/>
      <c r="BI113" s="1216"/>
      <c r="BJ113" s="1216"/>
      <c r="BK113" s="1216"/>
      <c r="BL113" s="1216"/>
      <c r="BM113" s="1216"/>
      <c r="BN113" s="1216"/>
      <c r="BO113" s="1216"/>
      <c r="BP113" s="1216"/>
      <c r="BQ113" s="1216"/>
      <c r="BR113" s="1216"/>
      <c r="BS113" s="1216"/>
      <c r="BT113" s="1216"/>
      <c r="BU113" s="1216"/>
      <c r="BV113" s="1216"/>
      <c r="BW113" s="1216"/>
      <c r="BX113" s="1216"/>
      <c r="BY113" s="1216"/>
      <c r="BZ113" s="1216"/>
      <c r="CA113" s="1216"/>
      <c r="CB113" s="1216"/>
      <c r="CC113" s="1216"/>
      <c r="CD113" s="1216"/>
      <c r="CE113" s="1216"/>
      <c r="CF113" s="1216"/>
      <c r="CG113" s="1216"/>
      <c r="CH113" s="1216"/>
    </row>
    <row r="114" spans="1:86" ht="20.149999999999999" customHeight="1">
      <c r="A114" s="1563" t="s">
        <v>1424</v>
      </c>
      <c r="B114" s="1563" t="s">
        <v>14</v>
      </c>
      <c r="C114" s="1563" t="str">
        <f t="shared" si="1"/>
        <v>PBPDDF70</v>
      </c>
      <c r="D114" s="1196">
        <v>70</v>
      </c>
      <c r="E114" s="1527"/>
      <c r="F114" s="1290">
        <v>3.34</v>
      </c>
      <c r="G114" s="1290">
        <v>5.28</v>
      </c>
      <c r="H114" s="1290">
        <v>7.43</v>
      </c>
      <c r="I114" s="1290">
        <v>9.8000000000000007</v>
      </c>
      <c r="J114" s="1290">
        <v>12.4</v>
      </c>
      <c r="K114" s="1290">
        <v>15.27</v>
      </c>
      <c r="L114" s="1290">
        <v>18.399999999999999</v>
      </c>
      <c r="M114" s="1290">
        <v>21.83</v>
      </c>
      <c r="N114" s="1290">
        <v>27.31</v>
      </c>
      <c r="O114" s="1290">
        <v>32.74</v>
      </c>
      <c r="P114" s="1290">
        <v>38.11</v>
      </c>
      <c r="Q114" s="1290">
        <v>43.43</v>
      </c>
      <c r="R114" s="1290">
        <v>48.7</v>
      </c>
      <c r="S114" s="1290">
        <v>53.92</v>
      </c>
      <c r="T114" s="1290">
        <v>59.08</v>
      </c>
      <c r="U114" s="1290">
        <v>64.19</v>
      </c>
      <c r="V114" s="1290">
        <v>69.260000000000005</v>
      </c>
      <c r="W114" s="1290">
        <v>74.27</v>
      </c>
      <c r="X114" s="1290">
        <v>79.23</v>
      </c>
      <c r="Y114" s="1290">
        <v>84.15</v>
      </c>
      <c r="Z114" s="1290">
        <v>89.01</v>
      </c>
      <c r="AA114" s="1290">
        <v>93.83</v>
      </c>
      <c r="AB114" s="1291">
        <v>98.6</v>
      </c>
      <c r="AC114" s="1192"/>
      <c r="AD114" s="1213"/>
      <c r="AE114" s="1214"/>
      <c r="AF114" s="1214"/>
      <c r="AG114" s="1214"/>
      <c r="AH114" s="1214"/>
      <c r="AI114" s="1214"/>
      <c r="AJ114" s="1214"/>
      <c r="AK114" s="1214"/>
      <c r="AL114" s="1214"/>
      <c r="AM114" s="1214"/>
      <c r="AN114" s="1214"/>
      <c r="AO114" s="1214"/>
      <c r="AP114" s="1214"/>
      <c r="AQ114" s="1214"/>
      <c r="AR114" s="1214"/>
      <c r="AS114" s="1214"/>
      <c r="AT114" s="1214"/>
      <c r="AU114" s="1214"/>
      <c r="AV114" s="1214"/>
      <c r="AW114" s="1214"/>
      <c r="AX114" s="1214"/>
      <c r="AY114" s="1214"/>
      <c r="AZ114" s="1214"/>
      <c r="BA114" s="1214"/>
      <c r="BB114" s="1214"/>
      <c r="BC114" s="1216"/>
      <c r="BD114" s="1216"/>
      <c r="BE114" s="1216"/>
      <c r="BF114" s="1216"/>
      <c r="BG114" s="1216"/>
      <c r="BH114" s="1216"/>
      <c r="BI114" s="1216"/>
      <c r="BJ114" s="1216"/>
      <c r="BK114" s="1216"/>
      <c r="BL114" s="1216"/>
      <c r="BM114" s="1216"/>
      <c r="BN114" s="1216"/>
      <c r="BO114" s="1216"/>
      <c r="BP114" s="1216"/>
      <c r="BQ114" s="1216"/>
      <c r="BR114" s="1216"/>
      <c r="BS114" s="1216"/>
      <c r="BT114" s="1216"/>
      <c r="BU114" s="1216"/>
      <c r="BV114" s="1216"/>
      <c r="BW114" s="1216"/>
      <c r="BX114" s="1216"/>
      <c r="BY114" s="1216"/>
      <c r="BZ114" s="1216"/>
      <c r="CA114" s="1216"/>
      <c r="CB114" s="1216"/>
      <c r="CC114" s="1216"/>
      <c r="CD114" s="1216"/>
      <c r="CE114" s="1216"/>
      <c r="CF114" s="1216"/>
      <c r="CG114" s="1216"/>
      <c r="CH114" s="1216"/>
    </row>
    <row r="115" spans="1:86" s="1208" customFormat="1" ht="20.149999999999999" customHeight="1">
      <c r="A115" s="1205" t="s">
        <v>1445</v>
      </c>
      <c r="B115" s="1204"/>
      <c r="C115" s="1204"/>
      <c r="D115" s="1204"/>
      <c r="E115" s="1218"/>
      <c r="F115" s="1218"/>
      <c r="G115" s="1218"/>
      <c r="H115" s="1218"/>
      <c r="I115" s="1218"/>
      <c r="J115" s="1218"/>
      <c r="K115" s="1218"/>
      <c r="L115" s="1218"/>
      <c r="M115" s="1218"/>
      <c r="N115" s="1218"/>
      <c r="O115" s="1218"/>
      <c r="P115" s="1218"/>
      <c r="Q115" s="1218"/>
      <c r="R115" s="1218"/>
      <c r="S115" s="1218"/>
      <c r="T115" s="1218"/>
      <c r="U115" s="1218"/>
      <c r="V115" s="1218"/>
      <c r="W115" s="1218"/>
      <c r="X115" s="1218"/>
      <c r="Y115" s="1218"/>
      <c r="Z115" s="1218"/>
      <c r="AA115" s="1218"/>
      <c r="AB115" s="1219"/>
      <c r="AC115" s="1192"/>
      <c r="AD115" s="1217"/>
      <c r="AE115" s="1217"/>
      <c r="AF115" s="1217"/>
      <c r="AG115" s="1217"/>
      <c r="AH115" s="1217"/>
      <c r="AI115" s="1217"/>
      <c r="AJ115" s="1217"/>
      <c r="AK115" s="1217"/>
      <c r="AL115" s="1217"/>
      <c r="AM115" s="1217"/>
      <c r="AN115" s="1217"/>
      <c r="AO115" s="1217"/>
      <c r="AP115" s="1217"/>
      <c r="AQ115" s="1217"/>
      <c r="AR115" s="1217"/>
      <c r="AS115" s="1217"/>
      <c r="AT115" s="1217"/>
      <c r="AU115" s="1217"/>
      <c r="AV115" s="1217"/>
      <c r="AW115" s="1217"/>
      <c r="AX115" s="1217"/>
      <c r="AY115" s="1217"/>
      <c r="AZ115" s="1217"/>
      <c r="BA115" s="1217"/>
      <c r="BB115" s="1217"/>
      <c r="BC115" s="1217"/>
      <c r="BD115" s="1217"/>
      <c r="BE115" s="1217"/>
      <c r="BF115" s="1217"/>
      <c r="BG115" s="1217"/>
      <c r="BH115" s="1217"/>
      <c r="BI115" s="1217"/>
      <c r="BJ115" s="1217"/>
      <c r="BK115" s="1217"/>
      <c r="BL115" s="1217"/>
      <c r="BM115" s="1217"/>
      <c r="BN115" s="1217"/>
      <c r="BO115" s="1217"/>
      <c r="BP115" s="1217"/>
      <c r="BQ115" s="1217"/>
      <c r="BR115" s="1217"/>
      <c r="BS115" s="1217"/>
      <c r="BT115" s="1217"/>
      <c r="BU115" s="1217"/>
      <c r="BV115" s="1217"/>
      <c r="BW115" s="1217"/>
      <c r="BX115" s="1217"/>
      <c r="BY115" s="1217"/>
      <c r="BZ115" s="1217"/>
      <c r="CA115" s="1217"/>
      <c r="CB115" s="1217"/>
      <c r="CC115" s="1217"/>
      <c r="CD115" s="1217"/>
      <c r="CE115" s="1217"/>
      <c r="CF115" s="1217"/>
      <c r="CG115" s="1217"/>
      <c r="CH115" s="1217"/>
    </row>
    <row r="116" spans="1:86" ht="20.149999999999999" customHeight="1">
      <c r="A116" s="2466" t="s">
        <v>1449</v>
      </c>
      <c r="B116" s="2466" t="s">
        <v>567</v>
      </c>
      <c r="C116" s="2473" t="s">
        <v>1143</v>
      </c>
      <c r="D116" s="2466" t="s">
        <v>1437</v>
      </c>
      <c r="E116" s="2468" t="s">
        <v>1438</v>
      </c>
      <c r="F116" s="2469"/>
      <c r="G116" s="2469"/>
      <c r="H116" s="2469"/>
      <c r="I116" s="2469"/>
      <c r="J116" s="2469"/>
      <c r="K116" s="2469"/>
      <c r="L116" s="2469"/>
      <c r="M116" s="2469"/>
      <c r="N116" s="2469"/>
      <c r="O116" s="2469"/>
      <c r="P116" s="2469"/>
      <c r="Q116" s="2469"/>
      <c r="R116" s="2469"/>
      <c r="S116" s="2469"/>
      <c r="T116" s="2469"/>
      <c r="U116" s="2469"/>
      <c r="V116" s="2469"/>
      <c r="W116" s="2469"/>
      <c r="X116" s="2469"/>
      <c r="Y116" s="2469"/>
      <c r="Z116" s="2469"/>
      <c r="AA116" s="2469"/>
      <c r="AB116" s="2470"/>
      <c r="AC116" s="1192"/>
      <c r="AD116" s="1216"/>
      <c r="AE116" s="1216"/>
      <c r="AF116" s="1216"/>
      <c r="AG116" s="1216"/>
      <c r="AH116" s="1216"/>
      <c r="AI116" s="1216"/>
      <c r="AJ116" s="1216"/>
      <c r="AK116" s="1216"/>
      <c r="AL116" s="1216"/>
      <c r="AM116" s="1216"/>
      <c r="AN116" s="1216"/>
      <c r="AO116" s="1216"/>
      <c r="AP116" s="1216"/>
      <c r="AQ116" s="1216"/>
      <c r="AR116" s="1216"/>
      <c r="AS116" s="1216"/>
      <c r="AT116" s="1216"/>
      <c r="AU116" s="1216"/>
      <c r="AV116" s="1216"/>
      <c r="AW116" s="1216"/>
      <c r="AX116" s="1216"/>
      <c r="AY116" s="1216"/>
      <c r="AZ116" s="1216"/>
      <c r="BA116" s="1216"/>
      <c r="BB116" s="1216"/>
      <c r="BC116" s="1215"/>
      <c r="BD116" s="1215"/>
      <c r="BE116" s="1215"/>
      <c r="BF116" s="1215"/>
      <c r="BG116" s="1215"/>
      <c r="BH116" s="1215"/>
      <c r="BI116" s="1215"/>
      <c r="BJ116" s="1215"/>
      <c r="BK116" s="1215"/>
      <c r="BL116" s="1215"/>
      <c r="BM116" s="1215"/>
      <c r="BN116" s="1215"/>
      <c r="BO116" s="1215"/>
      <c r="BP116" s="1215"/>
      <c r="BQ116" s="1215"/>
      <c r="BR116" s="1215"/>
      <c r="BS116" s="1215"/>
      <c r="BT116" s="1215"/>
      <c r="BU116" s="1215"/>
      <c r="BV116" s="1215"/>
      <c r="BW116" s="1215"/>
      <c r="BX116" s="1216"/>
      <c r="BY116" s="1216"/>
      <c r="BZ116" s="1216"/>
      <c r="CA116" s="1216"/>
      <c r="CB116" s="1216"/>
      <c r="CC116" s="1216"/>
      <c r="CD116" s="1216"/>
      <c r="CE116" s="1216"/>
      <c r="CF116" s="1216"/>
      <c r="CG116" s="1216"/>
      <c r="CH116" s="1216"/>
    </row>
    <row r="117" spans="1:86" ht="20.149999999999999" customHeight="1">
      <c r="A117" s="2467" t="s">
        <v>1439</v>
      </c>
      <c r="B117" s="2467" t="s">
        <v>1439</v>
      </c>
      <c r="C117" s="2472" t="s">
        <v>1439</v>
      </c>
      <c r="D117" s="2467" t="s">
        <v>1439</v>
      </c>
      <c r="E117" s="1528"/>
      <c r="F117" s="1198">
        <v>3</v>
      </c>
      <c r="G117" s="1198">
        <v>4</v>
      </c>
      <c r="H117" s="1198">
        <v>5</v>
      </c>
      <c r="I117" s="1198">
        <v>6</v>
      </c>
      <c r="J117" s="1198">
        <v>7</v>
      </c>
      <c r="K117" s="1198">
        <v>8</v>
      </c>
      <c r="L117" s="1198">
        <v>9</v>
      </c>
      <c r="M117" s="1198">
        <v>10</v>
      </c>
      <c r="N117" s="1198">
        <v>11</v>
      </c>
      <c r="O117" s="1198">
        <v>12</v>
      </c>
      <c r="P117" s="1198">
        <v>13</v>
      </c>
      <c r="Q117" s="1198">
        <v>14</v>
      </c>
      <c r="R117" s="1198">
        <v>15</v>
      </c>
      <c r="S117" s="1198">
        <v>16</v>
      </c>
      <c r="T117" s="1198">
        <v>17</v>
      </c>
      <c r="U117" s="1198">
        <v>18</v>
      </c>
      <c r="V117" s="1198">
        <v>19</v>
      </c>
      <c r="W117" s="1198">
        <v>20</v>
      </c>
      <c r="X117" s="1198">
        <v>21</v>
      </c>
      <c r="Y117" s="1198">
        <v>22</v>
      </c>
      <c r="Z117" s="1198">
        <v>23</v>
      </c>
      <c r="AA117" s="1198">
        <v>24</v>
      </c>
      <c r="AB117" s="1200">
        <v>25</v>
      </c>
      <c r="AC117" s="1192"/>
      <c r="AD117" s="1216"/>
      <c r="AE117" s="1216"/>
      <c r="AF117" s="1216"/>
      <c r="AG117" s="1216"/>
      <c r="AH117" s="1216"/>
      <c r="AI117" s="1216"/>
      <c r="AJ117" s="1216"/>
      <c r="AK117" s="1216"/>
      <c r="AL117" s="1216"/>
      <c r="AM117" s="1216"/>
      <c r="AN117" s="1216"/>
      <c r="AO117" s="1216"/>
      <c r="AP117" s="1216"/>
      <c r="AQ117" s="1216"/>
      <c r="AR117" s="1216"/>
      <c r="AS117" s="1216"/>
      <c r="AT117" s="1216"/>
      <c r="AU117" s="1216"/>
      <c r="AV117" s="1216"/>
      <c r="AW117" s="1216"/>
      <c r="AX117" s="1216"/>
      <c r="AY117" s="1216"/>
      <c r="AZ117" s="1216"/>
      <c r="BA117" s="1216"/>
      <c r="BB117" s="1216"/>
      <c r="BC117" s="1215"/>
      <c r="BD117" s="1215"/>
      <c r="BE117" s="1215"/>
      <c r="BF117" s="1215"/>
      <c r="BG117" s="1215"/>
      <c r="BH117" s="1215"/>
      <c r="BI117" s="1215"/>
      <c r="BJ117" s="1215"/>
      <c r="BK117" s="1215"/>
      <c r="BL117" s="1215"/>
      <c r="BM117" s="1215"/>
      <c r="BN117" s="1215"/>
      <c r="BO117" s="1215"/>
      <c r="BP117" s="1215"/>
      <c r="BQ117" s="1215"/>
      <c r="BR117" s="1215"/>
      <c r="BS117" s="1215"/>
      <c r="BT117" s="1215"/>
      <c r="BU117" s="1215"/>
      <c r="BV117" s="1215"/>
      <c r="BW117" s="1215"/>
      <c r="BX117" s="1216"/>
      <c r="BY117" s="1216"/>
      <c r="BZ117" s="1216"/>
      <c r="CA117" s="1216"/>
      <c r="CB117" s="1216"/>
      <c r="CC117" s="1216"/>
      <c r="CD117" s="1216"/>
      <c r="CE117" s="1216"/>
      <c r="CF117" s="1216"/>
      <c r="CG117" s="1216"/>
      <c r="CH117" s="1216"/>
    </row>
    <row r="118" spans="1:86" ht="20.149999999999999" customHeight="1">
      <c r="A118" s="1563" t="s">
        <v>1540</v>
      </c>
      <c r="B118" s="1563" t="s">
        <v>13</v>
      </c>
      <c r="C118" s="1563" t="str">
        <f>A118&amp;B118&amp;D118</f>
        <v>PBPDDCIM16</v>
      </c>
      <c r="D118" s="1193">
        <v>16</v>
      </c>
      <c r="E118" s="1524"/>
      <c r="F118" s="1529"/>
      <c r="G118" s="1529"/>
      <c r="H118" s="1529"/>
      <c r="I118" s="1529"/>
      <c r="J118" s="1529"/>
      <c r="K118" s="1529"/>
      <c r="L118" s="1529"/>
      <c r="M118" s="1529"/>
      <c r="N118" s="1529"/>
      <c r="O118" s="1529"/>
      <c r="P118" s="1529"/>
      <c r="Q118" s="1529"/>
      <c r="R118" s="1529"/>
      <c r="S118" s="1529"/>
      <c r="T118" s="1529"/>
      <c r="U118" s="1529"/>
      <c r="V118" s="1529"/>
      <c r="W118" s="1529"/>
      <c r="X118" s="1529"/>
      <c r="Y118" s="1529"/>
      <c r="Z118" s="1529"/>
      <c r="AA118" s="1529"/>
      <c r="AB118" s="1539"/>
      <c r="AC118" s="1192"/>
      <c r="AD118" s="1216"/>
      <c r="AE118" s="1216"/>
      <c r="AF118" s="1216"/>
      <c r="AG118" s="1216"/>
      <c r="AH118" s="1216"/>
      <c r="AI118" s="1216"/>
      <c r="AJ118" s="1216"/>
      <c r="AK118" s="1216"/>
      <c r="AL118" s="1216"/>
      <c r="AM118" s="1216"/>
      <c r="AN118" s="1216"/>
      <c r="AO118" s="1216"/>
      <c r="AP118" s="1216"/>
      <c r="AQ118" s="1216"/>
      <c r="AR118" s="1216"/>
      <c r="AS118" s="1216"/>
      <c r="AT118" s="1216"/>
      <c r="AU118" s="1216"/>
      <c r="AV118" s="1216"/>
      <c r="AW118" s="1216"/>
      <c r="AX118" s="1216"/>
      <c r="AY118" s="1216"/>
      <c r="AZ118" s="1216"/>
      <c r="BA118" s="1216"/>
      <c r="BB118" s="1216"/>
      <c r="BC118" s="1215"/>
      <c r="BD118" s="1215"/>
      <c r="BE118" s="1215"/>
      <c r="BF118" s="1215"/>
      <c r="BG118" s="1215"/>
      <c r="BH118" s="1215"/>
      <c r="BI118" s="1215"/>
      <c r="BJ118" s="1215"/>
      <c r="BK118" s="1215"/>
      <c r="BL118" s="1215"/>
      <c r="BM118" s="1215"/>
      <c r="BN118" s="1215"/>
      <c r="BO118" s="1215"/>
      <c r="BP118" s="1215"/>
      <c r="BQ118" s="1215"/>
      <c r="BR118" s="1215"/>
      <c r="BS118" s="1215"/>
      <c r="BT118" s="1215"/>
      <c r="BU118" s="1215"/>
      <c r="BV118" s="1215"/>
      <c r="BW118" s="1215"/>
      <c r="BX118" s="1216"/>
      <c r="BY118" s="1216"/>
      <c r="BZ118" s="1216"/>
      <c r="CA118" s="1216"/>
      <c r="CB118" s="1216"/>
      <c r="CC118" s="1216"/>
      <c r="CD118" s="1216"/>
      <c r="CE118" s="1216"/>
      <c r="CF118" s="1216"/>
      <c r="CG118" s="1216"/>
      <c r="CH118" s="1216"/>
    </row>
    <row r="119" spans="1:86" ht="20.149999999999999" customHeight="1">
      <c r="A119" s="1563" t="s">
        <v>1540</v>
      </c>
      <c r="B119" s="1563" t="s">
        <v>13</v>
      </c>
      <c r="C119" s="1563" t="str">
        <f t="shared" ref="C119:C182" si="2">A119&amp;B119&amp;D119</f>
        <v>PBPDDCIM17</v>
      </c>
      <c r="D119" s="1193">
        <v>17</v>
      </c>
      <c r="E119" s="1524"/>
      <c r="F119" s="1529"/>
      <c r="G119" s="1529"/>
      <c r="H119" s="1529"/>
      <c r="I119" s="1529"/>
      <c r="J119" s="1529"/>
      <c r="K119" s="1529"/>
      <c r="L119" s="1529"/>
      <c r="M119" s="1529"/>
      <c r="N119" s="1529"/>
      <c r="O119" s="1529"/>
      <c r="P119" s="1529"/>
      <c r="Q119" s="1529"/>
      <c r="R119" s="1529"/>
      <c r="S119" s="1529"/>
      <c r="T119" s="1529"/>
      <c r="U119" s="1529"/>
      <c r="V119" s="1529"/>
      <c r="W119" s="1529"/>
      <c r="X119" s="1529"/>
      <c r="Y119" s="1529"/>
      <c r="Z119" s="1529"/>
      <c r="AA119" s="1529"/>
      <c r="AB119" s="1539"/>
      <c r="AC119" s="1192"/>
      <c r="AD119" s="1216"/>
      <c r="AE119" s="1216"/>
      <c r="AF119" s="1216"/>
      <c r="AG119" s="1216"/>
      <c r="AH119" s="1216"/>
      <c r="AI119" s="1216"/>
      <c r="AJ119" s="1216"/>
      <c r="AK119" s="1216"/>
      <c r="AL119" s="1216"/>
      <c r="AM119" s="1216"/>
      <c r="AN119" s="1216"/>
      <c r="AO119" s="1216"/>
      <c r="AP119" s="1216"/>
      <c r="AQ119" s="1216"/>
      <c r="AR119" s="1216"/>
      <c r="AS119" s="1216"/>
      <c r="AT119" s="1216"/>
      <c r="AU119" s="1216"/>
      <c r="AV119" s="1216"/>
      <c r="AW119" s="1216"/>
      <c r="AX119" s="1216"/>
      <c r="AY119" s="1216"/>
      <c r="AZ119" s="1216"/>
      <c r="BA119" s="1216"/>
      <c r="BB119" s="1216"/>
      <c r="BC119" s="1215"/>
      <c r="BD119" s="1215"/>
      <c r="BE119" s="1215"/>
      <c r="BF119" s="1215"/>
      <c r="BG119" s="1215"/>
      <c r="BH119" s="1215"/>
      <c r="BI119" s="1215"/>
      <c r="BJ119" s="1215"/>
      <c r="BK119" s="1215"/>
      <c r="BL119" s="1215"/>
      <c r="BM119" s="1215"/>
      <c r="BN119" s="1215"/>
      <c r="BO119" s="1215"/>
      <c r="BP119" s="1215"/>
      <c r="BQ119" s="1215"/>
      <c r="BR119" s="1215"/>
      <c r="BS119" s="1215"/>
      <c r="BT119" s="1215"/>
      <c r="BU119" s="1215"/>
      <c r="BV119" s="1215"/>
      <c r="BW119" s="1215"/>
      <c r="BX119" s="1216"/>
      <c r="BY119" s="1216"/>
      <c r="BZ119" s="1216"/>
      <c r="CA119" s="1216"/>
      <c r="CB119" s="1216"/>
      <c r="CC119" s="1216"/>
      <c r="CD119" s="1216"/>
      <c r="CE119" s="1216"/>
      <c r="CF119" s="1216"/>
      <c r="CG119" s="1216"/>
      <c r="CH119" s="1216"/>
    </row>
    <row r="120" spans="1:86" ht="20.149999999999999" customHeight="1">
      <c r="A120" s="1563" t="s">
        <v>1540</v>
      </c>
      <c r="B120" s="1563" t="s">
        <v>13</v>
      </c>
      <c r="C120" s="1563" t="str">
        <f t="shared" si="2"/>
        <v>PBPDDCIM18</v>
      </c>
      <c r="D120" s="1193">
        <v>18</v>
      </c>
      <c r="E120" s="1524"/>
      <c r="F120" s="1529"/>
      <c r="G120" s="1529"/>
      <c r="H120" s="1529"/>
      <c r="I120" s="1529"/>
      <c r="J120" s="1529"/>
      <c r="K120" s="1529"/>
      <c r="L120" s="1529"/>
      <c r="M120" s="1529"/>
      <c r="N120" s="1529"/>
      <c r="O120" s="1529"/>
      <c r="P120" s="1529"/>
      <c r="Q120" s="1529"/>
      <c r="R120" s="1529"/>
      <c r="S120" s="1529"/>
      <c r="T120" s="1529"/>
      <c r="U120" s="1529"/>
      <c r="V120" s="1529"/>
      <c r="W120" s="1529"/>
      <c r="X120" s="1529"/>
      <c r="Y120" s="1529"/>
      <c r="Z120" s="1529"/>
      <c r="AA120" s="1529"/>
      <c r="AB120" s="1539"/>
      <c r="AC120" s="1192"/>
      <c r="AD120" s="1216"/>
      <c r="AE120" s="1216"/>
      <c r="AF120" s="1216"/>
      <c r="AG120" s="1216"/>
      <c r="AH120" s="1216"/>
      <c r="AI120" s="1216"/>
      <c r="AJ120" s="1216"/>
      <c r="AK120" s="1216"/>
      <c r="AL120" s="1216"/>
      <c r="AM120" s="1216"/>
      <c r="AN120" s="1216"/>
      <c r="AO120" s="1216"/>
      <c r="AP120" s="1216"/>
      <c r="AQ120" s="1216"/>
      <c r="AR120" s="1216"/>
      <c r="AS120" s="1216"/>
      <c r="AT120" s="1216"/>
      <c r="AU120" s="1216"/>
      <c r="AV120" s="1216"/>
      <c r="AW120" s="1216"/>
      <c r="AX120" s="1216"/>
      <c r="AY120" s="1216"/>
      <c r="AZ120" s="1216"/>
      <c r="BA120" s="1216"/>
      <c r="BB120" s="1216"/>
      <c r="BC120" s="1215"/>
      <c r="BD120" s="1215"/>
      <c r="BE120" s="1215"/>
      <c r="BF120" s="1215"/>
      <c r="BG120" s="1215"/>
      <c r="BH120" s="1215"/>
      <c r="BI120" s="1215"/>
      <c r="BJ120" s="1215"/>
      <c r="BK120" s="1215"/>
      <c r="BL120" s="1215"/>
      <c r="BM120" s="1215"/>
      <c r="BN120" s="1215"/>
      <c r="BO120" s="1215"/>
      <c r="BP120" s="1215"/>
      <c r="BQ120" s="1215"/>
      <c r="BR120" s="1215"/>
      <c r="BS120" s="1215"/>
      <c r="BT120" s="1215"/>
      <c r="BU120" s="1215"/>
      <c r="BV120" s="1215"/>
      <c r="BW120" s="1215"/>
      <c r="BX120" s="1216"/>
      <c r="BY120" s="1216"/>
      <c r="BZ120" s="1216"/>
      <c r="CA120" s="1216"/>
      <c r="CB120" s="1216"/>
      <c r="CC120" s="1216"/>
      <c r="CD120" s="1216"/>
      <c r="CE120" s="1216"/>
      <c r="CF120" s="1216"/>
      <c r="CG120" s="1216"/>
      <c r="CH120" s="1216"/>
    </row>
    <row r="121" spans="1:86" ht="20.149999999999999" customHeight="1">
      <c r="A121" s="1563" t="s">
        <v>1540</v>
      </c>
      <c r="B121" s="1563" t="s">
        <v>13</v>
      </c>
      <c r="C121" s="1563" t="str">
        <f t="shared" si="2"/>
        <v>PBPDDCIM19</v>
      </c>
      <c r="D121" s="1193">
        <v>19</v>
      </c>
      <c r="E121" s="1524"/>
      <c r="F121" s="1529"/>
      <c r="G121" s="1529"/>
      <c r="H121" s="1529"/>
      <c r="I121" s="1529"/>
      <c r="J121" s="1529"/>
      <c r="K121" s="1529"/>
      <c r="L121" s="1529"/>
      <c r="M121" s="1529"/>
      <c r="N121" s="1529"/>
      <c r="O121" s="1529"/>
      <c r="P121" s="1529"/>
      <c r="Q121" s="1529"/>
      <c r="R121" s="1529"/>
      <c r="S121" s="1529"/>
      <c r="T121" s="1529"/>
      <c r="U121" s="1529"/>
      <c r="V121" s="1529"/>
      <c r="W121" s="1529"/>
      <c r="X121" s="1529"/>
      <c r="Y121" s="1529"/>
      <c r="Z121" s="1529"/>
      <c r="AA121" s="1529"/>
      <c r="AB121" s="1539"/>
      <c r="AC121" s="1192"/>
      <c r="AD121" s="1216"/>
      <c r="AE121" s="1216"/>
      <c r="AF121" s="1216"/>
      <c r="AG121" s="1216"/>
      <c r="AH121" s="1216"/>
      <c r="AI121" s="1216"/>
      <c r="AJ121" s="1216"/>
      <c r="AK121" s="1216"/>
      <c r="AL121" s="1216"/>
      <c r="AM121" s="1216"/>
      <c r="AN121" s="1216"/>
      <c r="AO121" s="1216"/>
      <c r="AP121" s="1216"/>
      <c r="AQ121" s="1216"/>
      <c r="AR121" s="1216"/>
      <c r="AS121" s="1216"/>
      <c r="AT121" s="1216"/>
      <c r="AU121" s="1216"/>
      <c r="AV121" s="1216"/>
      <c r="AW121" s="1216"/>
      <c r="AX121" s="1216"/>
      <c r="AY121" s="1216"/>
      <c r="AZ121" s="1216"/>
      <c r="BA121" s="1216"/>
      <c r="BB121" s="1216"/>
      <c r="BC121" s="1215"/>
      <c r="BD121" s="1215"/>
      <c r="BE121" s="1215"/>
      <c r="BF121" s="1215"/>
      <c r="BG121" s="1215"/>
      <c r="BH121" s="1215"/>
      <c r="BI121" s="1215"/>
      <c r="BJ121" s="1215"/>
      <c r="BK121" s="1215"/>
      <c r="BL121" s="1215"/>
      <c r="BM121" s="1215"/>
      <c r="BN121" s="1215"/>
      <c r="BO121" s="1215"/>
      <c r="BP121" s="1215"/>
      <c r="BQ121" s="1215"/>
      <c r="BR121" s="1215"/>
      <c r="BS121" s="1215"/>
      <c r="BT121" s="1215"/>
      <c r="BU121" s="1215"/>
      <c r="BV121" s="1215"/>
      <c r="BW121" s="1215"/>
      <c r="BX121" s="1216"/>
      <c r="BY121" s="1216"/>
      <c r="BZ121" s="1216"/>
      <c r="CA121" s="1216"/>
      <c r="CB121" s="1216"/>
      <c r="CC121" s="1216"/>
      <c r="CD121" s="1216"/>
      <c r="CE121" s="1216"/>
      <c r="CF121" s="1216"/>
      <c r="CG121" s="1216"/>
      <c r="CH121" s="1216"/>
    </row>
    <row r="122" spans="1:86" ht="20.149999999999999" customHeight="1">
      <c r="A122" s="1563" t="s">
        <v>1540</v>
      </c>
      <c r="B122" s="1563" t="s">
        <v>13</v>
      </c>
      <c r="C122" s="1563" t="str">
        <f t="shared" si="2"/>
        <v>PBPDDCIM20</v>
      </c>
      <c r="D122" s="1193">
        <v>20</v>
      </c>
      <c r="E122" s="1524"/>
      <c r="F122" s="1280">
        <v>0.26</v>
      </c>
      <c r="G122" s="1280">
        <v>0.4</v>
      </c>
      <c r="H122" s="1280">
        <v>0.55000000000000004</v>
      </c>
      <c r="I122" s="1280">
        <v>0.69</v>
      </c>
      <c r="J122" s="1280">
        <v>0.84</v>
      </c>
      <c r="K122" s="1280">
        <v>0.99</v>
      </c>
      <c r="L122" s="1280">
        <v>1.1399999999999999</v>
      </c>
      <c r="M122" s="1280">
        <v>1.3</v>
      </c>
      <c r="N122" s="1280">
        <v>1.46</v>
      </c>
      <c r="O122" s="1280">
        <v>1.63</v>
      </c>
      <c r="P122" s="1280">
        <v>1.8</v>
      </c>
      <c r="Q122" s="1280">
        <v>1.98</v>
      </c>
      <c r="R122" s="1280">
        <v>2.16</v>
      </c>
      <c r="S122" s="1280">
        <v>2.33</v>
      </c>
      <c r="T122" s="1280">
        <v>2.5099999999999998</v>
      </c>
      <c r="U122" s="1280">
        <v>2.69</v>
      </c>
      <c r="V122" s="1280">
        <v>2.88</v>
      </c>
      <c r="W122" s="1280">
        <v>3.07</v>
      </c>
      <c r="X122" s="1280">
        <v>3.28</v>
      </c>
      <c r="Y122" s="1280">
        <v>3.49</v>
      </c>
      <c r="Z122" s="1280">
        <v>3.71</v>
      </c>
      <c r="AA122" s="1280">
        <v>3.95</v>
      </c>
      <c r="AB122" s="1292">
        <v>4.2</v>
      </c>
      <c r="AC122" s="1192"/>
      <c r="AD122" s="1216"/>
      <c r="AE122" s="1216"/>
      <c r="AF122" s="1216"/>
      <c r="AG122" s="1216"/>
      <c r="AH122" s="1216"/>
      <c r="AI122" s="1216"/>
      <c r="AJ122" s="1216"/>
      <c r="AK122" s="1216"/>
      <c r="AL122" s="1216"/>
      <c r="AM122" s="1216"/>
      <c r="AN122" s="1216"/>
      <c r="AO122" s="1216"/>
      <c r="AP122" s="1216"/>
      <c r="AQ122" s="1216"/>
      <c r="AR122" s="1216"/>
      <c r="AS122" s="1216"/>
      <c r="AT122" s="1216"/>
      <c r="AU122" s="1216"/>
      <c r="AV122" s="1216"/>
      <c r="AW122" s="1216"/>
      <c r="AX122" s="1216"/>
      <c r="AY122" s="1216"/>
      <c r="AZ122" s="1216"/>
      <c r="BA122" s="1216"/>
      <c r="BB122" s="1216"/>
      <c r="BC122" s="1215"/>
      <c r="BD122" s="1215"/>
      <c r="BE122" s="1215"/>
      <c r="BF122" s="1215"/>
      <c r="BG122" s="1215"/>
      <c r="BH122" s="1215"/>
      <c r="BI122" s="1215"/>
      <c r="BJ122" s="1215"/>
      <c r="BK122" s="1215"/>
      <c r="BL122" s="1215"/>
      <c r="BM122" s="1215"/>
      <c r="BN122" s="1215"/>
      <c r="BO122" s="1215"/>
      <c r="BP122" s="1215"/>
      <c r="BQ122" s="1215"/>
      <c r="BR122" s="1215"/>
      <c r="BS122" s="1215"/>
      <c r="BT122" s="1215"/>
      <c r="BU122" s="1215"/>
      <c r="BV122" s="1215"/>
      <c r="BW122" s="1215"/>
      <c r="BX122" s="1216"/>
      <c r="BY122" s="1216"/>
      <c r="BZ122" s="1216"/>
      <c r="CA122" s="1216"/>
      <c r="CB122" s="1216"/>
      <c r="CC122" s="1216"/>
      <c r="CD122" s="1216"/>
      <c r="CE122" s="1216"/>
      <c r="CF122" s="1216"/>
      <c r="CG122" s="1216"/>
      <c r="CH122" s="1216"/>
    </row>
    <row r="123" spans="1:86" ht="20.149999999999999" customHeight="1">
      <c r="A123" s="1563" t="s">
        <v>1540</v>
      </c>
      <c r="B123" s="1563" t="s">
        <v>13</v>
      </c>
      <c r="C123" s="1563" t="str">
        <f t="shared" si="2"/>
        <v>PBPDDCIM21</v>
      </c>
      <c r="D123" s="1194">
        <v>21</v>
      </c>
      <c r="E123" s="1525"/>
      <c r="F123" s="1281">
        <v>0.27</v>
      </c>
      <c r="G123" s="1281">
        <v>0.41</v>
      </c>
      <c r="H123" s="1281">
        <v>0.56000000000000005</v>
      </c>
      <c r="I123" s="1281">
        <v>0.7</v>
      </c>
      <c r="J123" s="1281">
        <v>0.85</v>
      </c>
      <c r="K123" s="1281">
        <v>1.01</v>
      </c>
      <c r="L123" s="1281">
        <v>1.1599999999999999</v>
      </c>
      <c r="M123" s="1281">
        <v>1.32</v>
      </c>
      <c r="N123" s="1281">
        <v>1.49</v>
      </c>
      <c r="O123" s="1281">
        <v>1.66</v>
      </c>
      <c r="P123" s="1281">
        <v>1.83</v>
      </c>
      <c r="Q123" s="1281">
        <v>2.0099999999999998</v>
      </c>
      <c r="R123" s="1281">
        <v>2.21</v>
      </c>
      <c r="S123" s="1281">
        <v>2.38</v>
      </c>
      <c r="T123" s="1281">
        <v>2.57</v>
      </c>
      <c r="U123" s="1281">
        <v>2.76</v>
      </c>
      <c r="V123" s="1281">
        <v>2.96</v>
      </c>
      <c r="W123" s="1281">
        <v>3.17</v>
      </c>
      <c r="X123" s="1281">
        <v>3.38</v>
      </c>
      <c r="Y123" s="1281">
        <v>3.61</v>
      </c>
      <c r="Z123" s="1281">
        <v>3.85</v>
      </c>
      <c r="AA123" s="1281">
        <v>4.0999999999999996</v>
      </c>
      <c r="AB123" s="1293">
        <v>4.3600000000000003</v>
      </c>
      <c r="AC123" s="1192"/>
      <c r="AD123" s="1216"/>
      <c r="AE123" s="1216"/>
      <c r="AF123" s="1216"/>
      <c r="AG123" s="1216"/>
      <c r="AH123" s="1216"/>
      <c r="AI123" s="1216"/>
      <c r="AJ123" s="1216"/>
      <c r="AK123" s="1216"/>
      <c r="AL123" s="1216"/>
      <c r="AM123" s="1216"/>
      <c r="AN123" s="1216"/>
      <c r="AO123" s="1216"/>
      <c r="AP123" s="1216"/>
      <c r="AQ123" s="1216"/>
      <c r="AR123" s="1216"/>
      <c r="AS123" s="1216"/>
      <c r="AT123" s="1216"/>
      <c r="AU123" s="1216"/>
      <c r="AV123" s="1216"/>
      <c r="AW123" s="1216"/>
      <c r="AX123" s="1216"/>
      <c r="AY123" s="1216"/>
      <c r="AZ123" s="1216"/>
      <c r="BA123" s="1216"/>
      <c r="BB123" s="1216"/>
      <c r="BC123" s="1215"/>
      <c r="BD123" s="1215"/>
      <c r="BE123" s="1215"/>
      <c r="BF123" s="1215"/>
      <c r="BG123" s="1215"/>
      <c r="BH123" s="1215"/>
      <c r="BI123" s="1215"/>
      <c r="BJ123" s="1215"/>
      <c r="BK123" s="1215"/>
      <c r="BL123" s="1215"/>
      <c r="BM123" s="1215"/>
      <c r="BN123" s="1215"/>
      <c r="BO123" s="1215"/>
      <c r="BP123" s="1215"/>
      <c r="BQ123" s="1215"/>
      <c r="BR123" s="1215"/>
      <c r="BS123" s="1215"/>
      <c r="BT123" s="1215"/>
      <c r="BU123" s="1215"/>
      <c r="BV123" s="1215"/>
      <c r="BW123" s="1215"/>
      <c r="BX123" s="1216"/>
      <c r="BY123" s="1216"/>
      <c r="BZ123" s="1216"/>
      <c r="CA123" s="1216"/>
      <c r="CB123" s="1216"/>
      <c r="CC123" s="1216"/>
      <c r="CD123" s="1216"/>
      <c r="CE123" s="1216"/>
      <c r="CF123" s="1216"/>
      <c r="CG123" s="1216"/>
      <c r="CH123" s="1216"/>
    </row>
    <row r="124" spans="1:86" ht="20.149999999999999" customHeight="1">
      <c r="A124" s="1563" t="s">
        <v>1540</v>
      </c>
      <c r="B124" s="1563" t="s">
        <v>13</v>
      </c>
      <c r="C124" s="1563" t="str">
        <f t="shared" si="2"/>
        <v>PBPDDCIM22</v>
      </c>
      <c r="D124" s="1193">
        <v>22</v>
      </c>
      <c r="E124" s="1524"/>
      <c r="F124" s="1280">
        <v>0.28000000000000003</v>
      </c>
      <c r="G124" s="1280">
        <v>0.42</v>
      </c>
      <c r="H124" s="1280">
        <v>0.56999999999999995</v>
      </c>
      <c r="I124" s="1280">
        <v>0.72</v>
      </c>
      <c r="J124" s="1280">
        <v>0.87</v>
      </c>
      <c r="K124" s="1280">
        <v>1.02</v>
      </c>
      <c r="L124" s="1280">
        <v>1.18</v>
      </c>
      <c r="M124" s="1280">
        <v>1.34</v>
      </c>
      <c r="N124" s="1280">
        <v>1.51</v>
      </c>
      <c r="O124" s="1280">
        <v>1.68</v>
      </c>
      <c r="P124" s="1280">
        <v>1.87</v>
      </c>
      <c r="Q124" s="1280">
        <v>2.06</v>
      </c>
      <c r="R124" s="1280">
        <v>2.25</v>
      </c>
      <c r="S124" s="1280">
        <v>2.44</v>
      </c>
      <c r="T124" s="1280">
        <v>2.63</v>
      </c>
      <c r="U124" s="1280">
        <v>2.84</v>
      </c>
      <c r="V124" s="1280">
        <v>3.05</v>
      </c>
      <c r="W124" s="1280">
        <v>3.27</v>
      </c>
      <c r="X124" s="1280">
        <v>3.5</v>
      </c>
      <c r="Y124" s="1280">
        <v>3.74</v>
      </c>
      <c r="Z124" s="1280">
        <v>4</v>
      </c>
      <c r="AA124" s="1280">
        <v>4.2699999999999996</v>
      </c>
      <c r="AB124" s="1292">
        <v>4.55</v>
      </c>
      <c r="AC124" s="1192"/>
      <c r="AD124" s="1216"/>
      <c r="AE124" s="1216"/>
      <c r="AF124" s="1216"/>
      <c r="AG124" s="1216"/>
      <c r="AH124" s="1216"/>
      <c r="AI124" s="1216"/>
      <c r="AJ124" s="1216"/>
      <c r="AK124" s="1216"/>
      <c r="AL124" s="1216"/>
      <c r="AM124" s="1216"/>
      <c r="AN124" s="1216"/>
      <c r="AO124" s="1216"/>
      <c r="AP124" s="1216"/>
      <c r="AQ124" s="1216"/>
      <c r="AR124" s="1216"/>
      <c r="AS124" s="1216"/>
      <c r="AT124" s="1216"/>
      <c r="AU124" s="1216"/>
      <c r="AV124" s="1216"/>
      <c r="AW124" s="1216"/>
      <c r="AX124" s="1216"/>
      <c r="AY124" s="1216"/>
      <c r="AZ124" s="1216"/>
      <c r="BA124" s="1216"/>
      <c r="BB124" s="1216"/>
      <c r="BC124" s="1215"/>
      <c r="BD124" s="1215"/>
      <c r="BE124" s="1215"/>
      <c r="BF124" s="1215"/>
      <c r="BG124" s="1215"/>
      <c r="BH124" s="1215"/>
      <c r="BI124" s="1215"/>
      <c r="BJ124" s="1215"/>
      <c r="BK124" s="1215"/>
      <c r="BL124" s="1215"/>
      <c r="BM124" s="1215"/>
      <c r="BN124" s="1215"/>
      <c r="BO124" s="1215"/>
      <c r="BP124" s="1215"/>
      <c r="BQ124" s="1215"/>
      <c r="BR124" s="1215"/>
      <c r="BS124" s="1215"/>
      <c r="BT124" s="1215"/>
      <c r="BU124" s="1215"/>
      <c r="BV124" s="1215"/>
      <c r="BW124" s="1215"/>
      <c r="BX124" s="1216"/>
      <c r="BY124" s="1216"/>
      <c r="BZ124" s="1216"/>
      <c r="CA124" s="1216"/>
      <c r="CB124" s="1216"/>
      <c r="CC124" s="1216"/>
      <c r="CD124" s="1216"/>
      <c r="CE124" s="1216"/>
      <c r="CF124" s="1216"/>
      <c r="CG124" s="1216"/>
      <c r="CH124" s="1216"/>
    </row>
    <row r="125" spans="1:86" ht="20.149999999999999" customHeight="1">
      <c r="A125" s="1563" t="s">
        <v>1540</v>
      </c>
      <c r="B125" s="1563" t="s">
        <v>13</v>
      </c>
      <c r="C125" s="1563" t="str">
        <f t="shared" si="2"/>
        <v>PBPDDCIM23</v>
      </c>
      <c r="D125" s="1193">
        <v>23</v>
      </c>
      <c r="E125" s="1524"/>
      <c r="F125" s="1280">
        <v>0.28000000000000003</v>
      </c>
      <c r="G125" s="1280">
        <v>0.43</v>
      </c>
      <c r="H125" s="1280">
        <v>0.56999999999999995</v>
      </c>
      <c r="I125" s="1280">
        <v>0.72</v>
      </c>
      <c r="J125" s="1280">
        <v>0.88</v>
      </c>
      <c r="K125" s="1280">
        <v>1.03</v>
      </c>
      <c r="L125" s="1280">
        <v>1.19</v>
      </c>
      <c r="M125" s="1280">
        <v>1.36</v>
      </c>
      <c r="N125" s="1280">
        <v>1.53</v>
      </c>
      <c r="O125" s="1280">
        <v>1.71</v>
      </c>
      <c r="P125" s="1280">
        <v>1.9</v>
      </c>
      <c r="Q125" s="1280">
        <v>2.1</v>
      </c>
      <c r="R125" s="1280">
        <v>2.31</v>
      </c>
      <c r="S125" s="1280">
        <v>2.5</v>
      </c>
      <c r="T125" s="1280">
        <v>2.71</v>
      </c>
      <c r="U125" s="1280">
        <v>2.92</v>
      </c>
      <c r="V125" s="1280">
        <v>3.15</v>
      </c>
      <c r="W125" s="1280">
        <v>3.38</v>
      </c>
      <c r="X125" s="1280">
        <v>3.63</v>
      </c>
      <c r="Y125" s="1280">
        <v>3.89</v>
      </c>
      <c r="Z125" s="1280">
        <v>4.16</v>
      </c>
      <c r="AA125" s="1280">
        <v>4.45</v>
      </c>
      <c r="AB125" s="1292">
        <v>4.76</v>
      </c>
      <c r="AC125" s="1192"/>
      <c r="AD125" s="1216"/>
      <c r="AE125" s="1216"/>
      <c r="AF125" s="1216"/>
      <c r="AG125" s="1216"/>
      <c r="AH125" s="1216"/>
      <c r="AI125" s="1216"/>
      <c r="AJ125" s="1216"/>
      <c r="AK125" s="1216"/>
      <c r="AL125" s="1216"/>
      <c r="AM125" s="1216"/>
      <c r="AN125" s="1216"/>
      <c r="AO125" s="1216"/>
      <c r="AP125" s="1216"/>
      <c r="AQ125" s="1216"/>
      <c r="AR125" s="1216"/>
      <c r="AS125" s="1216"/>
      <c r="AT125" s="1216"/>
      <c r="AU125" s="1216"/>
      <c r="AV125" s="1216"/>
      <c r="AW125" s="1216"/>
      <c r="AX125" s="1216"/>
      <c r="AY125" s="1216"/>
      <c r="AZ125" s="1216"/>
      <c r="BA125" s="1216"/>
      <c r="BB125" s="1216"/>
      <c r="BC125" s="1215"/>
      <c r="BD125" s="1215"/>
      <c r="BE125" s="1215"/>
      <c r="BF125" s="1215"/>
      <c r="BG125" s="1215"/>
      <c r="BH125" s="1215"/>
      <c r="BI125" s="1215"/>
      <c r="BJ125" s="1215"/>
      <c r="BK125" s="1215"/>
      <c r="BL125" s="1215"/>
      <c r="BM125" s="1215"/>
      <c r="BN125" s="1215"/>
      <c r="BO125" s="1215"/>
      <c r="BP125" s="1215"/>
      <c r="BQ125" s="1215"/>
      <c r="BR125" s="1215"/>
      <c r="BS125" s="1215"/>
      <c r="BT125" s="1215"/>
      <c r="BU125" s="1215"/>
      <c r="BV125" s="1215"/>
      <c r="BW125" s="1215"/>
      <c r="BX125" s="1216"/>
      <c r="BY125" s="1216"/>
      <c r="BZ125" s="1216"/>
      <c r="CA125" s="1216"/>
      <c r="CB125" s="1216"/>
      <c r="CC125" s="1216"/>
      <c r="CD125" s="1216"/>
      <c r="CE125" s="1216"/>
      <c r="CF125" s="1216"/>
      <c r="CG125" s="1216"/>
      <c r="CH125" s="1216"/>
    </row>
    <row r="126" spans="1:86" ht="20.149999999999999" customHeight="1">
      <c r="A126" s="1563" t="s">
        <v>1540</v>
      </c>
      <c r="B126" s="1563" t="s">
        <v>13</v>
      </c>
      <c r="C126" s="1563" t="str">
        <f t="shared" si="2"/>
        <v>PBPDDCIM24</v>
      </c>
      <c r="D126" s="1193">
        <v>24</v>
      </c>
      <c r="E126" s="1524"/>
      <c r="F126" s="1280">
        <v>0.28000000000000003</v>
      </c>
      <c r="G126" s="1280">
        <v>0.43</v>
      </c>
      <c r="H126" s="1280">
        <v>0.57999999999999996</v>
      </c>
      <c r="I126" s="1280">
        <v>0.73</v>
      </c>
      <c r="J126" s="1280">
        <v>0.89</v>
      </c>
      <c r="K126" s="1280">
        <v>1.05</v>
      </c>
      <c r="L126" s="1280">
        <v>1.21</v>
      </c>
      <c r="M126" s="1280">
        <v>1.38</v>
      </c>
      <c r="N126" s="1280">
        <v>1.56</v>
      </c>
      <c r="O126" s="1280">
        <v>1.75</v>
      </c>
      <c r="P126" s="1280">
        <v>1.95</v>
      </c>
      <c r="Q126" s="1280">
        <v>2.15</v>
      </c>
      <c r="R126" s="1280">
        <v>2.37</v>
      </c>
      <c r="S126" s="1280">
        <v>2.58</v>
      </c>
      <c r="T126" s="1280">
        <v>2.8</v>
      </c>
      <c r="U126" s="1280">
        <v>3.03</v>
      </c>
      <c r="V126" s="1280">
        <v>3.27</v>
      </c>
      <c r="W126" s="1280">
        <v>3.52</v>
      </c>
      <c r="X126" s="1280">
        <v>3.78</v>
      </c>
      <c r="Y126" s="1280">
        <v>4.0599999999999996</v>
      </c>
      <c r="Z126" s="1280">
        <v>4.3600000000000003</v>
      </c>
      <c r="AA126" s="1280">
        <v>4.67</v>
      </c>
      <c r="AB126" s="1292">
        <v>4.99</v>
      </c>
      <c r="AC126" s="1192"/>
      <c r="AD126" s="1216"/>
      <c r="AE126" s="1216"/>
      <c r="AF126" s="1216"/>
      <c r="AG126" s="1216"/>
      <c r="AH126" s="1216"/>
      <c r="AI126" s="1216"/>
      <c r="AJ126" s="1216"/>
      <c r="AK126" s="1216"/>
      <c r="AL126" s="1216"/>
      <c r="AM126" s="1216"/>
      <c r="AN126" s="1216"/>
      <c r="AO126" s="1216"/>
      <c r="AP126" s="1216"/>
      <c r="AQ126" s="1216"/>
      <c r="AR126" s="1216"/>
      <c r="AS126" s="1216"/>
      <c r="AT126" s="1216"/>
      <c r="AU126" s="1216"/>
      <c r="AV126" s="1216"/>
      <c r="AW126" s="1216"/>
      <c r="AX126" s="1216"/>
      <c r="AY126" s="1216"/>
      <c r="AZ126" s="1216"/>
      <c r="BA126" s="1216"/>
      <c r="BB126" s="1216"/>
      <c r="BC126" s="1216"/>
      <c r="BD126" s="1216"/>
      <c r="BE126" s="1216"/>
      <c r="BF126" s="1216"/>
      <c r="BG126" s="1216"/>
      <c r="BH126" s="1216"/>
      <c r="BI126" s="1216"/>
      <c r="BJ126" s="1216"/>
      <c r="BK126" s="1216"/>
      <c r="BL126" s="1216"/>
      <c r="BM126" s="1216"/>
      <c r="BN126" s="1216"/>
      <c r="BO126" s="1216"/>
      <c r="BP126" s="1216"/>
      <c r="BQ126" s="1216"/>
      <c r="BR126" s="1216"/>
      <c r="BS126" s="1216"/>
      <c r="BT126" s="1216"/>
      <c r="BU126" s="1216"/>
      <c r="BV126" s="1216"/>
      <c r="BW126" s="1216"/>
      <c r="BX126" s="1216"/>
      <c r="BY126" s="1216"/>
      <c r="BZ126" s="1216"/>
      <c r="CA126" s="1216"/>
      <c r="CB126" s="1216"/>
      <c r="CC126" s="1216"/>
      <c r="CD126" s="1216"/>
      <c r="CE126" s="1216"/>
      <c r="CF126" s="1216"/>
      <c r="CG126" s="1216"/>
      <c r="CH126" s="1216"/>
    </row>
    <row r="127" spans="1:86" ht="20.149999999999999" customHeight="1">
      <c r="A127" s="1563" t="s">
        <v>1540</v>
      </c>
      <c r="B127" s="1563" t="s">
        <v>13</v>
      </c>
      <c r="C127" s="1563" t="str">
        <f t="shared" si="2"/>
        <v>PBPDDCIM25</v>
      </c>
      <c r="D127" s="1195">
        <v>25</v>
      </c>
      <c r="E127" s="1526"/>
      <c r="F127" s="1282">
        <v>0.28999999999999998</v>
      </c>
      <c r="G127" s="1282">
        <v>0.43</v>
      </c>
      <c r="H127" s="1282">
        <v>0.57999999999999996</v>
      </c>
      <c r="I127" s="1282">
        <v>0.74</v>
      </c>
      <c r="J127" s="1282">
        <v>0.9</v>
      </c>
      <c r="K127" s="1282">
        <v>1.06</v>
      </c>
      <c r="L127" s="1282">
        <v>1.23</v>
      </c>
      <c r="M127" s="1282">
        <v>1.41</v>
      </c>
      <c r="N127" s="1282">
        <v>1.6</v>
      </c>
      <c r="O127" s="1282">
        <v>1.79</v>
      </c>
      <c r="P127" s="1282">
        <v>2</v>
      </c>
      <c r="Q127" s="1282">
        <v>2.2200000000000002</v>
      </c>
      <c r="R127" s="1282">
        <v>2.4500000000000002</v>
      </c>
      <c r="S127" s="1282">
        <v>2.67</v>
      </c>
      <c r="T127" s="1282">
        <v>2.9</v>
      </c>
      <c r="U127" s="1282">
        <v>3.15</v>
      </c>
      <c r="V127" s="1282">
        <v>3.41</v>
      </c>
      <c r="W127" s="1282">
        <v>3.68</v>
      </c>
      <c r="X127" s="1282">
        <v>3.96</v>
      </c>
      <c r="Y127" s="1282">
        <v>4.26</v>
      </c>
      <c r="Z127" s="1282">
        <v>4.58</v>
      </c>
      <c r="AA127" s="1282">
        <v>4.91</v>
      </c>
      <c r="AB127" s="1294">
        <v>5.26</v>
      </c>
      <c r="AC127" s="1192"/>
      <c r="AD127" s="1216"/>
      <c r="AE127" s="1216"/>
      <c r="AF127" s="1216"/>
      <c r="AG127" s="1216"/>
      <c r="AH127" s="1216"/>
      <c r="AI127" s="1216"/>
      <c r="AJ127" s="1216"/>
      <c r="AK127" s="1216"/>
      <c r="AL127" s="1216"/>
      <c r="AM127" s="1216"/>
      <c r="AN127" s="1216"/>
      <c r="AO127" s="1216"/>
      <c r="AP127" s="1216"/>
      <c r="AQ127" s="1216"/>
      <c r="AR127" s="1216"/>
      <c r="AS127" s="1216"/>
      <c r="AT127" s="1216"/>
      <c r="AU127" s="1216"/>
      <c r="AV127" s="1216"/>
      <c r="AW127" s="1216"/>
      <c r="AX127" s="1216"/>
      <c r="AY127" s="1216"/>
      <c r="AZ127" s="1216"/>
      <c r="BA127" s="1216"/>
      <c r="BB127" s="1216"/>
      <c r="BC127" s="1216"/>
      <c r="BD127" s="1216"/>
      <c r="BE127" s="1216"/>
      <c r="BF127" s="1216"/>
      <c r="BG127" s="1216"/>
      <c r="BH127" s="1216"/>
      <c r="BI127" s="1216"/>
      <c r="BJ127" s="1216"/>
      <c r="BK127" s="1216"/>
      <c r="BL127" s="1216"/>
      <c r="BM127" s="1216"/>
      <c r="BN127" s="1216"/>
      <c r="BO127" s="1216"/>
      <c r="BP127" s="1216"/>
      <c r="BQ127" s="1216"/>
      <c r="BR127" s="1216"/>
      <c r="BS127" s="1216"/>
      <c r="BT127" s="1216"/>
      <c r="BU127" s="1216"/>
      <c r="BV127" s="1216"/>
      <c r="BW127" s="1216"/>
      <c r="BX127" s="1216"/>
      <c r="BY127" s="1216"/>
      <c r="BZ127" s="1216"/>
      <c r="CA127" s="1216"/>
      <c r="CB127" s="1216"/>
      <c r="CC127" s="1216"/>
      <c r="CD127" s="1216"/>
      <c r="CE127" s="1216"/>
      <c r="CF127" s="1216"/>
      <c r="CG127" s="1216"/>
      <c r="CH127" s="1216"/>
    </row>
    <row r="128" spans="1:86" ht="20.149999999999999" customHeight="1">
      <c r="A128" s="1563" t="s">
        <v>1540</v>
      </c>
      <c r="B128" s="1563" t="s">
        <v>13</v>
      </c>
      <c r="C128" s="1563" t="str">
        <f t="shared" si="2"/>
        <v>PBPDDCIM26</v>
      </c>
      <c r="D128" s="1193">
        <v>26</v>
      </c>
      <c r="E128" s="1524"/>
      <c r="F128" s="1280">
        <v>0.28999999999999998</v>
      </c>
      <c r="G128" s="1280">
        <v>0.44</v>
      </c>
      <c r="H128" s="1280">
        <v>0.59</v>
      </c>
      <c r="I128" s="1280">
        <v>0.75</v>
      </c>
      <c r="J128" s="1280">
        <v>0.91</v>
      </c>
      <c r="K128" s="1280">
        <v>1.08</v>
      </c>
      <c r="L128" s="1280">
        <v>1.26</v>
      </c>
      <c r="M128" s="1280">
        <v>1.45</v>
      </c>
      <c r="N128" s="1280">
        <v>1.64</v>
      </c>
      <c r="O128" s="1280">
        <v>1.85</v>
      </c>
      <c r="P128" s="1280">
        <v>2.0699999999999998</v>
      </c>
      <c r="Q128" s="1280">
        <v>2.2999999999999998</v>
      </c>
      <c r="R128" s="1280">
        <v>2.5499999999999998</v>
      </c>
      <c r="S128" s="1280">
        <v>2.78</v>
      </c>
      <c r="T128" s="1280">
        <v>3.03</v>
      </c>
      <c r="U128" s="1280">
        <v>3.3</v>
      </c>
      <c r="V128" s="1280">
        <v>3.57</v>
      </c>
      <c r="W128" s="1280">
        <v>3.86</v>
      </c>
      <c r="X128" s="1280">
        <v>4.17</v>
      </c>
      <c r="Y128" s="1280">
        <v>4.49</v>
      </c>
      <c r="Z128" s="1280">
        <v>4.84</v>
      </c>
      <c r="AA128" s="1280">
        <v>5.19</v>
      </c>
      <c r="AB128" s="1292">
        <v>5.57</v>
      </c>
      <c r="AC128" s="1192"/>
      <c r="AD128" s="1216"/>
      <c r="AE128" s="1216"/>
      <c r="AF128" s="1216"/>
      <c r="AG128" s="1216"/>
      <c r="AH128" s="1216"/>
      <c r="AI128" s="1216"/>
      <c r="AJ128" s="1216"/>
      <c r="AK128" s="1216"/>
      <c r="AL128" s="1216"/>
      <c r="AM128" s="1216"/>
      <c r="AN128" s="1216"/>
      <c r="AO128" s="1216"/>
      <c r="AP128" s="1216"/>
      <c r="AQ128" s="1216"/>
      <c r="AR128" s="1216"/>
      <c r="AS128" s="1216"/>
      <c r="AT128" s="1216"/>
      <c r="AU128" s="1216"/>
      <c r="AV128" s="1216"/>
      <c r="AW128" s="1216"/>
      <c r="AX128" s="1216"/>
      <c r="AY128" s="1216"/>
      <c r="AZ128" s="1216"/>
      <c r="BA128" s="1216"/>
      <c r="BB128" s="1216"/>
      <c r="BC128" s="1216"/>
      <c r="BD128" s="1216"/>
      <c r="BE128" s="1216"/>
      <c r="BF128" s="1216"/>
      <c r="BG128" s="1216"/>
      <c r="BH128" s="1216"/>
      <c r="BI128" s="1216"/>
      <c r="BJ128" s="1216"/>
      <c r="BK128" s="1216"/>
      <c r="BL128" s="1216"/>
      <c r="BM128" s="1216"/>
      <c r="BN128" s="1216"/>
      <c r="BO128" s="1216"/>
      <c r="BP128" s="1216"/>
      <c r="BQ128" s="1216"/>
      <c r="BR128" s="1216"/>
      <c r="BS128" s="1216"/>
      <c r="BT128" s="1216"/>
      <c r="BU128" s="1216"/>
      <c r="BV128" s="1216"/>
      <c r="BW128" s="1216"/>
      <c r="BX128" s="1216"/>
      <c r="BY128" s="1216"/>
      <c r="BZ128" s="1216"/>
      <c r="CA128" s="1216"/>
      <c r="CB128" s="1216"/>
      <c r="CC128" s="1216"/>
      <c r="CD128" s="1216"/>
      <c r="CE128" s="1216"/>
      <c r="CF128" s="1216"/>
      <c r="CG128" s="1216"/>
      <c r="CH128" s="1216"/>
    </row>
    <row r="129" spans="1:86" ht="20.149999999999999" customHeight="1">
      <c r="A129" s="1563" t="s">
        <v>1540</v>
      </c>
      <c r="B129" s="1563" t="s">
        <v>13</v>
      </c>
      <c r="C129" s="1563" t="str">
        <f t="shared" si="2"/>
        <v>PBPDDCIM27</v>
      </c>
      <c r="D129" s="1193">
        <v>27</v>
      </c>
      <c r="E129" s="1524"/>
      <c r="F129" s="1280">
        <v>0.28999999999999998</v>
      </c>
      <c r="G129" s="1280">
        <v>0.45</v>
      </c>
      <c r="H129" s="1280">
        <v>0.6</v>
      </c>
      <c r="I129" s="1280">
        <v>0.77</v>
      </c>
      <c r="J129" s="1280">
        <v>0.94</v>
      </c>
      <c r="K129" s="1280">
        <v>1.1100000000000001</v>
      </c>
      <c r="L129" s="1280">
        <v>1.3</v>
      </c>
      <c r="M129" s="1280">
        <v>1.5</v>
      </c>
      <c r="N129" s="1280">
        <v>1.7</v>
      </c>
      <c r="O129" s="1280">
        <v>1.92</v>
      </c>
      <c r="P129" s="1280">
        <v>2.15</v>
      </c>
      <c r="Q129" s="1280">
        <v>2.4</v>
      </c>
      <c r="R129" s="1280">
        <v>2.66</v>
      </c>
      <c r="S129" s="1280">
        <v>2.92</v>
      </c>
      <c r="T129" s="1280">
        <v>3.19</v>
      </c>
      <c r="U129" s="1280">
        <v>3.47</v>
      </c>
      <c r="V129" s="1280">
        <v>3.77</v>
      </c>
      <c r="W129" s="1280">
        <v>4.08</v>
      </c>
      <c r="X129" s="1280">
        <v>4.41</v>
      </c>
      <c r="Y129" s="1280">
        <v>4.76</v>
      </c>
      <c r="Z129" s="1280">
        <v>5.13</v>
      </c>
      <c r="AA129" s="1280">
        <v>5.51</v>
      </c>
      <c r="AB129" s="1292">
        <v>5.92</v>
      </c>
      <c r="AC129" s="1192"/>
      <c r="AD129" s="1216"/>
      <c r="AE129" s="1216"/>
      <c r="AF129" s="1216"/>
      <c r="AG129" s="1216"/>
      <c r="AH129" s="1216"/>
      <c r="AI129" s="1216"/>
      <c r="AJ129" s="1216"/>
      <c r="AK129" s="1216"/>
      <c r="AL129" s="1216"/>
      <c r="AM129" s="1216"/>
      <c r="AN129" s="1216"/>
      <c r="AO129" s="1216"/>
      <c r="AP129" s="1216"/>
      <c r="AQ129" s="1216"/>
      <c r="AR129" s="1216"/>
      <c r="AS129" s="1216"/>
      <c r="AT129" s="1216"/>
      <c r="AU129" s="1216"/>
      <c r="AV129" s="1216"/>
      <c r="AW129" s="1216"/>
      <c r="AX129" s="1216"/>
      <c r="AY129" s="1216"/>
      <c r="AZ129" s="1216"/>
      <c r="BA129" s="1216"/>
      <c r="BB129" s="1216"/>
      <c r="BC129" s="1216"/>
      <c r="BD129" s="1216"/>
      <c r="BE129" s="1216"/>
      <c r="BF129" s="1216"/>
      <c r="BG129" s="1216"/>
      <c r="BH129" s="1216"/>
      <c r="BI129" s="1216"/>
      <c r="BJ129" s="1216"/>
      <c r="BK129" s="1216"/>
      <c r="BL129" s="1216"/>
      <c r="BM129" s="1216"/>
      <c r="BN129" s="1216"/>
      <c r="BO129" s="1216"/>
      <c r="BP129" s="1216"/>
      <c r="BQ129" s="1216"/>
      <c r="BR129" s="1216"/>
      <c r="BS129" s="1216"/>
      <c r="BT129" s="1216"/>
      <c r="BU129" s="1216"/>
      <c r="BV129" s="1216"/>
      <c r="BW129" s="1216"/>
      <c r="BX129" s="1216"/>
      <c r="BY129" s="1216"/>
      <c r="BZ129" s="1216"/>
      <c r="CA129" s="1216"/>
      <c r="CB129" s="1216"/>
      <c r="CC129" s="1216"/>
      <c r="CD129" s="1216"/>
      <c r="CE129" s="1216"/>
      <c r="CF129" s="1216"/>
      <c r="CG129" s="1216"/>
      <c r="CH129" s="1216"/>
    </row>
    <row r="130" spans="1:86" ht="20.149999999999999" customHeight="1">
      <c r="A130" s="1563" t="s">
        <v>1540</v>
      </c>
      <c r="B130" s="1563" t="s">
        <v>13</v>
      </c>
      <c r="C130" s="1563" t="str">
        <f t="shared" si="2"/>
        <v>PBPDDCIM28</v>
      </c>
      <c r="D130" s="1193">
        <v>28</v>
      </c>
      <c r="E130" s="1524"/>
      <c r="F130" s="1280">
        <v>0.3</v>
      </c>
      <c r="G130" s="1280">
        <v>0.46</v>
      </c>
      <c r="H130" s="1280">
        <v>0.62</v>
      </c>
      <c r="I130" s="1280">
        <v>0.79</v>
      </c>
      <c r="J130" s="1280">
        <v>0.97</v>
      </c>
      <c r="K130" s="1280">
        <v>1.1499999999999999</v>
      </c>
      <c r="L130" s="1280">
        <v>1.35</v>
      </c>
      <c r="M130" s="1280">
        <v>1.55</v>
      </c>
      <c r="N130" s="1280">
        <v>1.77</v>
      </c>
      <c r="O130" s="1280">
        <v>2.0099999999999998</v>
      </c>
      <c r="P130" s="1280">
        <v>2.25</v>
      </c>
      <c r="Q130" s="1280">
        <v>2.52</v>
      </c>
      <c r="R130" s="1280">
        <v>2.8</v>
      </c>
      <c r="S130" s="1280">
        <v>3.08</v>
      </c>
      <c r="T130" s="1280">
        <v>3.37</v>
      </c>
      <c r="U130" s="1280">
        <v>3.67</v>
      </c>
      <c r="V130" s="1280">
        <v>3.99</v>
      </c>
      <c r="W130" s="1280">
        <v>4.33</v>
      </c>
      <c r="X130" s="1280">
        <v>4.6900000000000004</v>
      </c>
      <c r="Y130" s="1280">
        <v>5.0599999999999996</v>
      </c>
      <c r="Z130" s="1280">
        <v>5.46</v>
      </c>
      <c r="AA130" s="1280">
        <v>5.88</v>
      </c>
      <c r="AB130" s="1292">
        <v>6.32</v>
      </c>
      <c r="AC130" s="1192"/>
      <c r="AD130" s="1216"/>
      <c r="AE130" s="1216"/>
      <c r="AF130" s="1216"/>
      <c r="AG130" s="1216"/>
      <c r="AH130" s="1216"/>
      <c r="AI130" s="1216"/>
      <c r="AJ130" s="1216"/>
      <c r="AK130" s="1216"/>
      <c r="AL130" s="1216"/>
      <c r="AM130" s="1216"/>
      <c r="AN130" s="1216"/>
      <c r="AO130" s="1216"/>
      <c r="AP130" s="1216"/>
      <c r="AQ130" s="1216"/>
      <c r="AR130" s="1216"/>
      <c r="AS130" s="1216"/>
      <c r="AT130" s="1216"/>
      <c r="AU130" s="1216"/>
      <c r="AV130" s="1216"/>
      <c r="AW130" s="1216"/>
      <c r="AX130" s="1216"/>
      <c r="AY130" s="1216"/>
      <c r="AZ130" s="1216"/>
      <c r="BA130" s="1216"/>
      <c r="BB130" s="1216"/>
      <c r="BC130" s="1216"/>
      <c r="BD130" s="1216"/>
      <c r="BE130" s="1216"/>
      <c r="BF130" s="1216"/>
      <c r="BG130" s="1216"/>
      <c r="BH130" s="1216"/>
      <c r="BI130" s="1216"/>
      <c r="BJ130" s="1216"/>
      <c r="BK130" s="1216"/>
      <c r="BL130" s="1216"/>
      <c r="BM130" s="1216"/>
      <c r="BN130" s="1216"/>
      <c r="BO130" s="1216"/>
      <c r="BP130" s="1216"/>
      <c r="BQ130" s="1216"/>
      <c r="BR130" s="1216"/>
      <c r="BS130" s="1216"/>
      <c r="BT130" s="1216"/>
      <c r="BU130" s="1216"/>
      <c r="BV130" s="1216"/>
      <c r="BW130" s="1216"/>
      <c r="BX130" s="1216"/>
      <c r="BY130" s="1216"/>
      <c r="BZ130" s="1216"/>
      <c r="CA130" s="1216"/>
      <c r="CB130" s="1216"/>
      <c r="CC130" s="1216"/>
      <c r="CD130" s="1216"/>
      <c r="CE130" s="1216"/>
      <c r="CF130" s="1216"/>
      <c r="CG130" s="1216"/>
      <c r="CH130" s="1216"/>
    </row>
    <row r="131" spans="1:86" ht="20.149999999999999" customHeight="1">
      <c r="A131" s="1563" t="s">
        <v>1540</v>
      </c>
      <c r="B131" s="1563" t="s">
        <v>13</v>
      </c>
      <c r="C131" s="1563" t="str">
        <f t="shared" si="2"/>
        <v>PBPDDCIM29</v>
      </c>
      <c r="D131" s="1193">
        <v>29</v>
      </c>
      <c r="E131" s="1524"/>
      <c r="F131" s="1280">
        <v>0.31</v>
      </c>
      <c r="G131" s="1280">
        <v>0.47</v>
      </c>
      <c r="H131" s="1280">
        <v>0.64</v>
      </c>
      <c r="I131" s="1280">
        <v>0.82</v>
      </c>
      <c r="J131" s="1280">
        <v>1</v>
      </c>
      <c r="K131" s="1280">
        <v>1.2</v>
      </c>
      <c r="L131" s="1280">
        <v>1.41</v>
      </c>
      <c r="M131" s="1280">
        <v>1.63</v>
      </c>
      <c r="N131" s="1280">
        <v>1.86</v>
      </c>
      <c r="O131" s="1280">
        <v>2.11</v>
      </c>
      <c r="P131" s="1280">
        <v>2.38</v>
      </c>
      <c r="Q131" s="1280">
        <v>2.66</v>
      </c>
      <c r="R131" s="1280">
        <v>2.97</v>
      </c>
      <c r="S131" s="1280">
        <v>3.27</v>
      </c>
      <c r="T131" s="1280">
        <v>3.58</v>
      </c>
      <c r="U131" s="1280">
        <v>3.91</v>
      </c>
      <c r="V131" s="1280">
        <v>4.25</v>
      </c>
      <c r="W131" s="1280">
        <v>4.62</v>
      </c>
      <c r="X131" s="1280">
        <v>5</v>
      </c>
      <c r="Y131" s="1280">
        <v>5.41</v>
      </c>
      <c r="Z131" s="1280">
        <v>5.84</v>
      </c>
      <c r="AA131" s="1280">
        <v>6.28</v>
      </c>
      <c r="AB131" s="1292">
        <v>6.76</v>
      </c>
      <c r="AC131" s="1192"/>
      <c r="AD131" s="1216"/>
      <c r="AE131" s="1216"/>
      <c r="AF131" s="1216"/>
      <c r="AG131" s="1216"/>
      <c r="AH131" s="1216"/>
      <c r="AI131" s="1216"/>
      <c r="AJ131" s="1216"/>
      <c r="AK131" s="1216"/>
      <c r="AL131" s="1216"/>
      <c r="AM131" s="1216"/>
      <c r="AN131" s="1216"/>
      <c r="AO131" s="1216"/>
      <c r="AP131" s="1216"/>
      <c r="AQ131" s="1216"/>
      <c r="AR131" s="1216"/>
      <c r="AS131" s="1216"/>
      <c r="AT131" s="1216"/>
      <c r="AU131" s="1216"/>
      <c r="AV131" s="1216"/>
      <c r="AW131" s="1216"/>
      <c r="AX131" s="1216"/>
      <c r="AY131" s="1216"/>
      <c r="AZ131" s="1216"/>
      <c r="BA131" s="1216"/>
      <c r="BB131" s="1216"/>
      <c r="BC131" s="1216"/>
      <c r="BD131" s="1216"/>
      <c r="BE131" s="1216"/>
      <c r="BF131" s="1216"/>
      <c r="BG131" s="1216"/>
      <c r="BH131" s="1216"/>
      <c r="BI131" s="1216"/>
      <c r="BJ131" s="1216"/>
      <c r="BK131" s="1216"/>
      <c r="BL131" s="1216"/>
      <c r="BM131" s="1216"/>
      <c r="BN131" s="1216"/>
      <c r="BO131" s="1216"/>
      <c r="BP131" s="1216"/>
      <c r="BQ131" s="1216"/>
      <c r="BR131" s="1216"/>
      <c r="BS131" s="1216"/>
      <c r="BT131" s="1216"/>
      <c r="BU131" s="1216"/>
      <c r="BV131" s="1216"/>
      <c r="BW131" s="1216"/>
      <c r="BX131" s="1216"/>
      <c r="BY131" s="1216"/>
      <c r="BZ131" s="1216"/>
      <c r="CA131" s="1216"/>
      <c r="CB131" s="1216"/>
      <c r="CC131" s="1216"/>
      <c r="CD131" s="1216"/>
      <c r="CE131" s="1216"/>
      <c r="CF131" s="1216"/>
      <c r="CG131" s="1216"/>
      <c r="CH131" s="1216"/>
    </row>
    <row r="132" spans="1:86" ht="20.149999999999999" customHeight="1">
      <c r="A132" s="1563" t="s">
        <v>1540</v>
      </c>
      <c r="B132" s="1563" t="s">
        <v>13</v>
      </c>
      <c r="C132" s="1563" t="str">
        <f t="shared" si="2"/>
        <v>PBPDDCIM30</v>
      </c>
      <c r="D132" s="1193">
        <v>30</v>
      </c>
      <c r="E132" s="1524"/>
      <c r="F132" s="1280">
        <v>0.32</v>
      </c>
      <c r="G132" s="1280">
        <v>0.49</v>
      </c>
      <c r="H132" s="1280">
        <v>0.67</v>
      </c>
      <c r="I132" s="1280">
        <v>0.85</v>
      </c>
      <c r="J132" s="1280">
        <v>1.05</v>
      </c>
      <c r="K132" s="1280">
        <v>1.26</v>
      </c>
      <c r="L132" s="1280">
        <v>1.48</v>
      </c>
      <c r="M132" s="1280">
        <v>1.71</v>
      </c>
      <c r="N132" s="1280">
        <v>1.97</v>
      </c>
      <c r="O132" s="1280">
        <v>2.23</v>
      </c>
      <c r="P132" s="1280">
        <v>2.52</v>
      </c>
      <c r="Q132" s="1280">
        <v>2.83</v>
      </c>
      <c r="R132" s="1280">
        <v>3.16</v>
      </c>
      <c r="S132" s="1280">
        <v>3.48</v>
      </c>
      <c r="T132" s="1280">
        <v>3.82</v>
      </c>
      <c r="U132" s="1280">
        <v>4.17</v>
      </c>
      <c r="V132" s="1280">
        <v>4.55</v>
      </c>
      <c r="W132" s="1280">
        <v>4.9400000000000004</v>
      </c>
      <c r="X132" s="1280">
        <v>5.36</v>
      </c>
      <c r="Y132" s="1280">
        <v>5.79</v>
      </c>
      <c r="Z132" s="1280">
        <v>6.25</v>
      </c>
      <c r="AA132" s="1280">
        <v>6.74</v>
      </c>
      <c r="AB132" s="1292">
        <v>7.25</v>
      </c>
      <c r="AC132" s="1192"/>
      <c r="AD132" s="1216"/>
      <c r="AE132" s="1216"/>
      <c r="AF132" s="1216"/>
      <c r="AG132" s="1216"/>
      <c r="AH132" s="1216"/>
      <c r="AI132" s="1216"/>
      <c r="AJ132" s="1216"/>
      <c r="AK132" s="1216"/>
      <c r="AL132" s="1216"/>
      <c r="AM132" s="1216"/>
      <c r="AN132" s="1216"/>
      <c r="AO132" s="1216"/>
      <c r="AP132" s="1216"/>
      <c r="AQ132" s="1216"/>
      <c r="AR132" s="1216"/>
      <c r="AS132" s="1216"/>
      <c r="AT132" s="1216"/>
      <c r="AU132" s="1216"/>
      <c r="AV132" s="1216"/>
      <c r="AW132" s="1216"/>
      <c r="AX132" s="1216"/>
      <c r="AY132" s="1216"/>
      <c r="AZ132" s="1216"/>
      <c r="BA132" s="1216"/>
      <c r="BB132" s="1216"/>
      <c r="BC132" s="1216"/>
      <c r="BD132" s="1216"/>
      <c r="BE132" s="1216"/>
      <c r="BF132" s="1216"/>
      <c r="BG132" s="1216"/>
      <c r="BH132" s="1216"/>
      <c r="BI132" s="1216"/>
      <c r="BJ132" s="1216"/>
      <c r="BK132" s="1216"/>
      <c r="BL132" s="1216"/>
      <c r="BM132" s="1216"/>
      <c r="BN132" s="1216"/>
      <c r="BO132" s="1216"/>
      <c r="BP132" s="1216"/>
      <c r="BQ132" s="1216"/>
      <c r="BR132" s="1216"/>
      <c r="BS132" s="1216"/>
      <c r="BT132" s="1216"/>
      <c r="BU132" s="1216"/>
      <c r="BV132" s="1216"/>
      <c r="BW132" s="1216"/>
      <c r="BX132" s="1216"/>
      <c r="BY132" s="1216"/>
      <c r="BZ132" s="1216"/>
      <c r="CA132" s="1216"/>
      <c r="CB132" s="1216"/>
      <c r="CC132" s="1216"/>
      <c r="CD132" s="1216"/>
      <c r="CE132" s="1216"/>
      <c r="CF132" s="1216"/>
      <c r="CG132" s="1216"/>
      <c r="CH132" s="1216"/>
    </row>
    <row r="133" spans="1:86" ht="20.149999999999999" customHeight="1">
      <c r="A133" s="1563" t="s">
        <v>1540</v>
      </c>
      <c r="B133" s="1563" t="s">
        <v>13</v>
      </c>
      <c r="C133" s="1563" t="str">
        <f t="shared" si="2"/>
        <v>PBPDDCIM31</v>
      </c>
      <c r="D133" s="1194">
        <v>31</v>
      </c>
      <c r="E133" s="1525"/>
      <c r="F133" s="1281">
        <v>0.33</v>
      </c>
      <c r="G133" s="1281">
        <v>0.51</v>
      </c>
      <c r="H133" s="1281">
        <v>0.7</v>
      </c>
      <c r="I133" s="1281">
        <v>0.9</v>
      </c>
      <c r="J133" s="1281">
        <v>1.1100000000000001</v>
      </c>
      <c r="K133" s="1281">
        <v>1.33</v>
      </c>
      <c r="L133" s="1281">
        <v>1.56</v>
      </c>
      <c r="M133" s="1281">
        <v>1.82</v>
      </c>
      <c r="N133" s="1281">
        <v>2.09</v>
      </c>
      <c r="O133" s="1281">
        <v>2.38</v>
      </c>
      <c r="P133" s="1281">
        <v>2.69</v>
      </c>
      <c r="Q133" s="1281">
        <v>3.02</v>
      </c>
      <c r="R133" s="1281">
        <v>3.38</v>
      </c>
      <c r="S133" s="1281">
        <v>3.73</v>
      </c>
      <c r="T133" s="1281">
        <v>4.09</v>
      </c>
      <c r="U133" s="1281">
        <v>4.47</v>
      </c>
      <c r="V133" s="1281">
        <v>4.88</v>
      </c>
      <c r="W133" s="1281">
        <v>5.3</v>
      </c>
      <c r="X133" s="1281">
        <v>5.75</v>
      </c>
      <c r="Y133" s="1281">
        <v>6.22</v>
      </c>
      <c r="Z133" s="1281">
        <v>6.72</v>
      </c>
      <c r="AA133" s="1281">
        <v>7.24</v>
      </c>
      <c r="AB133" s="1293">
        <v>7.79</v>
      </c>
      <c r="AC133" s="1192"/>
      <c r="AD133" s="1216"/>
      <c r="AE133" s="1216"/>
      <c r="AF133" s="1216"/>
      <c r="AG133" s="1216"/>
      <c r="AH133" s="1216"/>
      <c r="AI133" s="1216"/>
      <c r="AJ133" s="1216"/>
      <c r="AK133" s="1216"/>
      <c r="AL133" s="1216"/>
      <c r="AM133" s="1216"/>
      <c r="AN133" s="1216"/>
      <c r="AO133" s="1216"/>
      <c r="AP133" s="1216"/>
      <c r="AQ133" s="1216"/>
      <c r="AR133" s="1216"/>
      <c r="AS133" s="1216"/>
      <c r="AT133" s="1216"/>
      <c r="AU133" s="1216"/>
      <c r="AV133" s="1216"/>
      <c r="AW133" s="1216"/>
      <c r="AX133" s="1216"/>
      <c r="AY133" s="1216"/>
      <c r="AZ133" s="1216"/>
      <c r="BA133" s="1216"/>
      <c r="BB133" s="1216"/>
      <c r="BC133" s="1216"/>
      <c r="BD133" s="1216"/>
      <c r="BE133" s="1216"/>
      <c r="BF133" s="1216"/>
      <c r="BG133" s="1216"/>
      <c r="BH133" s="1216"/>
      <c r="BI133" s="1216"/>
      <c r="BJ133" s="1216"/>
      <c r="BK133" s="1216"/>
      <c r="BL133" s="1216"/>
      <c r="BM133" s="1216"/>
      <c r="BN133" s="1216"/>
      <c r="BO133" s="1216"/>
      <c r="BP133" s="1216"/>
      <c r="BQ133" s="1216"/>
      <c r="BR133" s="1216"/>
      <c r="BS133" s="1216"/>
      <c r="BT133" s="1216"/>
      <c r="BU133" s="1216"/>
      <c r="BV133" s="1216"/>
      <c r="BW133" s="1216"/>
      <c r="BX133" s="1216"/>
      <c r="BY133" s="1216"/>
      <c r="BZ133" s="1216"/>
      <c r="CA133" s="1216"/>
      <c r="CB133" s="1216"/>
      <c r="CC133" s="1216"/>
      <c r="CD133" s="1216"/>
      <c r="CE133" s="1216"/>
      <c r="CF133" s="1216"/>
      <c r="CG133" s="1216"/>
      <c r="CH133" s="1216"/>
    </row>
    <row r="134" spans="1:86" ht="20.149999999999999" customHeight="1">
      <c r="A134" s="1563" t="s">
        <v>1540</v>
      </c>
      <c r="B134" s="1563" t="s">
        <v>13</v>
      </c>
      <c r="C134" s="1563" t="str">
        <f t="shared" si="2"/>
        <v>PBPDDCIM32</v>
      </c>
      <c r="D134" s="1193">
        <v>32</v>
      </c>
      <c r="E134" s="1524"/>
      <c r="F134" s="1280">
        <v>0.35</v>
      </c>
      <c r="G134" s="1280">
        <v>0.54</v>
      </c>
      <c r="H134" s="1280">
        <v>0.74</v>
      </c>
      <c r="I134" s="1280">
        <v>0.95</v>
      </c>
      <c r="J134" s="1280">
        <v>1.17</v>
      </c>
      <c r="K134" s="1280">
        <v>1.41</v>
      </c>
      <c r="L134" s="1280">
        <v>1.66</v>
      </c>
      <c r="M134" s="1280">
        <v>1.93</v>
      </c>
      <c r="N134" s="1280">
        <v>2.2200000000000002</v>
      </c>
      <c r="O134" s="1280">
        <v>2.54</v>
      </c>
      <c r="P134" s="1280">
        <v>2.88</v>
      </c>
      <c r="Q134" s="1280">
        <v>3.24</v>
      </c>
      <c r="R134" s="1280">
        <v>3.63</v>
      </c>
      <c r="S134" s="1280">
        <v>4</v>
      </c>
      <c r="T134" s="1280">
        <v>4.3899999999999997</v>
      </c>
      <c r="U134" s="1280">
        <v>4.8099999999999996</v>
      </c>
      <c r="V134" s="1280">
        <v>5.24</v>
      </c>
      <c r="W134" s="1280">
        <v>5.7</v>
      </c>
      <c r="X134" s="1280">
        <v>6.18</v>
      </c>
      <c r="Y134" s="1280">
        <v>6.69</v>
      </c>
      <c r="Z134" s="1280">
        <v>7.23</v>
      </c>
      <c r="AA134" s="1280">
        <v>7.8</v>
      </c>
      <c r="AB134" s="1292">
        <v>8.39</v>
      </c>
      <c r="AC134" s="1192"/>
      <c r="AD134" s="1216"/>
      <c r="AE134" s="1216"/>
      <c r="AF134" s="1216"/>
      <c r="AG134" s="1216"/>
      <c r="AH134" s="1216"/>
      <c r="AI134" s="1216"/>
      <c r="AJ134" s="1216"/>
      <c r="AK134" s="1216"/>
      <c r="AL134" s="1216"/>
      <c r="AM134" s="1216"/>
      <c r="AN134" s="1216"/>
      <c r="AO134" s="1216"/>
      <c r="AP134" s="1216"/>
      <c r="AQ134" s="1216"/>
      <c r="AR134" s="1216"/>
      <c r="AS134" s="1216"/>
      <c r="AT134" s="1216"/>
      <c r="AU134" s="1216"/>
      <c r="AV134" s="1216"/>
      <c r="AW134" s="1216"/>
      <c r="AX134" s="1216"/>
      <c r="AY134" s="1216"/>
      <c r="AZ134" s="1216"/>
      <c r="BA134" s="1216"/>
      <c r="BB134" s="1216"/>
      <c r="BC134" s="1216"/>
      <c r="BD134" s="1216"/>
      <c r="BE134" s="1216"/>
      <c r="BF134" s="1216"/>
      <c r="BG134" s="1216"/>
      <c r="BH134" s="1216"/>
      <c r="BI134" s="1216"/>
      <c r="BJ134" s="1216"/>
      <c r="BK134" s="1216"/>
      <c r="BL134" s="1216"/>
      <c r="BM134" s="1216"/>
      <c r="BN134" s="1216"/>
      <c r="BO134" s="1216"/>
      <c r="BP134" s="1216"/>
      <c r="BQ134" s="1216"/>
      <c r="BR134" s="1216"/>
      <c r="BS134" s="1216"/>
      <c r="BT134" s="1216"/>
      <c r="BU134" s="1216"/>
      <c r="BV134" s="1216"/>
      <c r="BW134" s="1216"/>
      <c r="BX134" s="1216"/>
      <c r="BY134" s="1216"/>
      <c r="BZ134" s="1216"/>
      <c r="CA134" s="1216"/>
      <c r="CB134" s="1216"/>
      <c r="CC134" s="1216"/>
      <c r="CD134" s="1216"/>
      <c r="CE134" s="1216"/>
      <c r="CF134" s="1216"/>
      <c r="CG134" s="1216"/>
      <c r="CH134" s="1216"/>
    </row>
    <row r="135" spans="1:86" ht="20.149999999999999" customHeight="1">
      <c r="A135" s="1563" t="s">
        <v>1540</v>
      </c>
      <c r="B135" s="1563" t="s">
        <v>13</v>
      </c>
      <c r="C135" s="1563" t="str">
        <f t="shared" si="2"/>
        <v>PBPDDCIM33</v>
      </c>
      <c r="D135" s="1193">
        <v>33</v>
      </c>
      <c r="E135" s="1524"/>
      <c r="F135" s="1280">
        <v>0.37</v>
      </c>
      <c r="G135" s="1280">
        <v>0.56999999999999995</v>
      </c>
      <c r="H135" s="1280">
        <v>0.78</v>
      </c>
      <c r="I135" s="1280">
        <v>1.01</v>
      </c>
      <c r="J135" s="1280">
        <v>1.24</v>
      </c>
      <c r="K135" s="1280">
        <v>1.5</v>
      </c>
      <c r="L135" s="1280">
        <v>1.77</v>
      </c>
      <c r="M135" s="1280">
        <v>2.0699999999999998</v>
      </c>
      <c r="N135" s="1280">
        <v>2.38</v>
      </c>
      <c r="O135" s="1280">
        <v>2.72</v>
      </c>
      <c r="P135" s="1280">
        <v>3.09</v>
      </c>
      <c r="Q135" s="1280">
        <v>3.48</v>
      </c>
      <c r="R135" s="1280">
        <v>3.9</v>
      </c>
      <c r="S135" s="1280">
        <v>4.3</v>
      </c>
      <c r="T135" s="1280">
        <v>4.7300000000000004</v>
      </c>
      <c r="U135" s="1280">
        <v>5.18</v>
      </c>
      <c r="V135" s="1280">
        <v>5.65</v>
      </c>
      <c r="W135" s="1280">
        <v>6.14</v>
      </c>
      <c r="X135" s="1280">
        <v>6.66</v>
      </c>
      <c r="Y135" s="1280">
        <v>7.21</v>
      </c>
      <c r="Z135" s="1280">
        <v>7.79</v>
      </c>
      <c r="AA135" s="1280">
        <v>8.41</v>
      </c>
      <c r="AB135" s="1292">
        <v>9.0500000000000007</v>
      </c>
      <c r="AC135" s="1192"/>
      <c r="AD135" s="1216"/>
      <c r="AE135" s="1216"/>
      <c r="AF135" s="1216"/>
      <c r="AG135" s="1216"/>
      <c r="AH135" s="1216"/>
      <c r="AI135" s="1216"/>
      <c r="AJ135" s="1216"/>
      <c r="AK135" s="1216"/>
      <c r="AL135" s="1216"/>
      <c r="AM135" s="1216"/>
      <c r="AN135" s="1216"/>
      <c r="AO135" s="1216"/>
      <c r="AP135" s="1216"/>
      <c r="AQ135" s="1216"/>
      <c r="AR135" s="1216"/>
      <c r="AS135" s="1216"/>
      <c r="AT135" s="1216"/>
      <c r="AU135" s="1216"/>
      <c r="AV135" s="1216"/>
      <c r="AW135" s="1216"/>
      <c r="AX135" s="1216"/>
      <c r="AY135" s="1216"/>
      <c r="AZ135" s="1216"/>
      <c r="BA135" s="1216"/>
      <c r="BB135" s="1216"/>
      <c r="BC135" s="1216"/>
      <c r="BD135" s="1216"/>
      <c r="BE135" s="1216"/>
      <c r="BF135" s="1216"/>
      <c r="BG135" s="1216"/>
      <c r="BH135" s="1216"/>
      <c r="BI135" s="1216"/>
      <c r="BJ135" s="1216"/>
      <c r="BK135" s="1216"/>
      <c r="BL135" s="1216"/>
      <c r="BM135" s="1216"/>
      <c r="BN135" s="1216"/>
      <c r="BO135" s="1216"/>
      <c r="BP135" s="1216"/>
      <c r="BQ135" s="1216"/>
      <c r="BR135" s="1216"/>
      <c r="BS135" s="1216"/>
      <c r="BT135" s="1216"/>
      <c r="BU135" s="1216"/>
      <c r="BV135" s="1216"/>
      <c r="BW135" s="1216"/>
      <c r="BX135" s="1216"/>
      <c r="BY135" s="1216"/>
      <c r="BZ135" s="1216"/>
      <c r="CA135" s="1216"/>
      <c r="CB135" s="1216"/>
      <c r="CC135" s="1216"/>
      <c r="CD135" s="1216"/>
      <c r="CE135" s="1216"/>
      <c r="CF135" s="1216"/>
      <c r="CG135" s="1216"/>
      <c r="CH135" s="1216"/>
    </row>
    <row r="136" spans="1:86" ht="20.149999999999999" customHeight="1">
      <c r="A136" s="1563" t="s">
        <v>1540</v>
      </c>
      <c r="B136" s="1563" t="s">
        <v>13</v>
      </c>
      <c r="C136" s="1563" t="str">
        <f t="shared" si="2"/>
        <v>PBPDDCIM34</v>
      </c>
      <c r="D136" s="1193">
        <v>34</v>
      </c>
      <c r="E136" s="1524"/>
      <c r="F136" s="1280">
        <v>0.39</v>
      </c>
      <c r="G136" s="1280">
        <v>0.61</v>
      </c>
      <c r="H136" s="1280">
        <v>0.83</v>
      </c>
      <c r="I136" s="1280">
        <v>1.07</v>
      </c>
      <c r="J136" s="1280">
        <v>1.33</v>
      </c>
      <c r="K136" s="1280">
        <v>1.6</v>
      </c>
      <c r="L136" s="1280">
        <v>1.9</v>
      </c>
      <c r="M136" s="1280">
        <v>2.2200000000000002</v>
      </c>
      <c r="N136" s="1280">
        <v>2.56</v>
      </c>
      <c r="O136" s="1280">
        <v>2.93</v>
      </c>
      <c r="P136" s="1280">
        <v>3.32</v>
      </c>
      <c r="Q136" s="1280">
        <v>3.75</v>
      </c>
      <c r="R136" s="1280">
        <v>4.21</v>
      </c>
      <c r="S136" s="1280">
        <v>4.6399999999999997</v>
      </c>
      <c r="T136" s="1280">
        <v>5.0999999999999996</v>
      </c>
      <c r="U136" s="1280">
        <v>5.58</v>
      </c>
      <c r="V136" s="1280">
        <v>6.09</v>
      </c>
      <c r="W136" s="1280">
        <v>6.63</v>
      </c>
      <c r="X136" s="1280">
        <v>7.19</v>
      </c>
      <c r="Y136" s="1280">
        <v>7.79</v>
      </c>
      <c r="Z136" s="1280">
        <v>8.41</v>
      </c>
      <c r="AA136" s="1280">
        <v>9.08</v>
      </c>
      <c r="AB136" s="1292">
        <v>9.7799999999999994</v>
      </c>
      <c r="AC136" s="1192"/>
      <c r="AD136" s="1216"/>
      <c r="AE136" s="1216"/>
      <c r="AF136" s="1216"/>
      <c r="AG136" s="1216"/>
      <c r="AH136" s="1216"/>
      <c r="AI136" s="1216"/>
      <c r="AJ136" s="1216"/>
      <c r="AK136" s="1216"/>
      <c r="AL136" s="1216"/>
      <c r="AM136" s="1216"/>
      <c r="AN136" s="1216"/>
      <c r="AO136" s="1216"/>
      <c r="AP136" s="1216"/>
      <c r="AQ136" s="1216"/>
      <c r="AR136" s="1216"/>
      <c r="AS136" s="1216"/>
      <c r="AT136" s="1216"/>
      <c r="AU136" s="1216"/>
      <c r="AV136" s="1216"/>
      <c r="AW136" s="1216"/>
      <c r="AX136" s="1216"/>
      <c r="AY136" s="1216"/>
      <c r="AZ136" s="1216"/>
      <c r="BA136" s="1216"/>
      <c r="BB136" s="1216"/>
      <c r="BC136" s="1216"/>
      <c r="BD136" s="1216"/>
      <c r="BE136" s="1216"/>
      <c r="BF136" s="1216"/>
      <c r="BG136" s="1216"/>
      <c r="BH136" s="1216"/>
      <c r="BI136" s="1216"/>
      <c r="BJ136" s="1216"/>
      <c r="BK136" s="1216"/>
      <c r="BL136" s="1216"/>
      <c r="BM136" s="1216"/>
      <c r="BN136" s="1216"/>
      <c r="BO136" s="1216"/>
      <c r="BP136" s="1216"/>
      <c r="BQ136" s="1216"/>
      <c r="BR136" s="1216"/>
      <c r="BS136" s="1216"/>
      <c r="BT136" s="1216"/>
      <c r="BU136" s="1216"/>
      <c r="BV136" s="1216"/>
      <c r="BW136" s="1216"/>
      <c r="BX136" s="1216"/>
      <c r="BY136" s="1216"/>
      <c r="BZ136" s="1216"/>
      <c r="CA136" s="1216"/>
      <c r="CB136" s="1216"/>
      <c r="CC136" s="1216"/>
      <c r="CD136" s="1216"/>
      <c r="CE136" s="1216"/>
      <c r="CF136" s="1216"/>
      <c r="CG136" s="1216"/>
      <c r="CH136" s="1216"/>
    </row>
    <row r="137" spans="1:86" ht="20.149999999999999" customHeight="1">
      <c r="A137" s="1563" t="s">
        <v>1540</v>
      </c>
      <c r="B137" s="1563" t="s">
        <v>13</v>
      </c>
      <c r="C137" s="1563" t="str">
        <f t="shared" si="2"/>
        <v>PBPDDCIM35</v>
      </c>
      <c r="D137" s="1195">
        <v>35</v>
      </c>
      <c r="E137" s="1526"/>
      <c r="F137" s="1282">
        <v>0.42</v>
      </c>
      <c r="G137" s="1282">
        <v>0.64</v>
      </c>
      <c r="H137" s="1282">
        <v>0.89</v>
      </c>
      <c r="I137" s="1282">
        <v>1.1499999999999999</v>
      </c>
      <c r="J137" s="1282">
        <v>1.42</v>
      </c>
      <c r="K137" s="1282">
        <v>1.72</v>
      </c>
      <c r="L137" s="1282">
        <v>2.04</v>
      </c>
      <c r="M137" s="1282">
        <v>2.39</v>
      </c>
      <c r="N137" s="1282">
        <v>2.76</v>
      </c>
      <c r="O137" s="1282">
        <v>3.16</v>
      </c>
      <c r="P137" s="1282">
        <v>3.59</v>
      </c>
      <c r="Q137" s="1282">
        <v>4.05</v>
      </c>
      <c r="R137" s="1282">
        <v>4.54</v>
      </c>
      <c r="S137" s="1282">
        <v>5.01</v>
      </c>
      <c r="T137" s="1282">
        <v>5.51</v>
      </c>
      <c r="U137" s="1282">
        <v>6.03</v>
      </c>
      <c r="V137" s="1282">
        <v>6.58</v>
      </c>
      <c r="W137" s="1282">
        <v>7.16</v>
      </c>
      <c r="X137" s="1282">
        <v>7.77</v>
      </c>
      <c r="Y137" s="1282">
        <v>8.41</v>
      </c>
      <c r="Z137" s="1282">
        <v>9.09</v>
      </c>
      <c r="AA137" s="1282">
        <v>9.81</v>
      </c>
      <c r="AB137" s="1294">
        <v>10.57</v>
      </c>
      <c r="AC137" s="1192"/>
      <c r="AD137" s="1216"/>
      <c r="AE137" s="1216"/>
      <c r="AF137" s="1216"/>
      <c r="AG137" s="1216"/>
      <c r="AH137" s="1216"/>
      <c r="AI137" s="1216"/>
      <c r="AJ137" s="1216"/>
      <c r="AK137" s="1216"/>
      <c r="AL137" s="1216"/>
      <c r="AM137" s="1216"/>
      <c r="AN137" s="1216"/>
      <c r="AO137" s="1216"/>
      <c r="AP137" s="1216"/>
      <c r="AQ137" s="1216"/>
      <c r="AR137" s="1216"/>
      <c r="AS137" s="1216"/>
      <c r="AT137" s="1216"/>
      <c r="AU137" s="1216"/>
      <c r="AV137" s="1216"/>
      <c r="AW137" s="1216"/>
      <c r="AX137" s="1216"/>
      <c r="AY137" s="1216"/>
      <c r="AZ137" s="1216"/>
      <c r="BA137" s="1216"/>
      <c r="BB137" s="1216"/>
      <c r="BC137" s="1216"/>
      <c r="BD137" s="1216"/>
      <c r="BE137" s="1216"/>
      <c r="BF137" s="1216"/>
      <c r="BG137" s="1216"/>
      <c r="BH137" s="1216"/>
      <c r="BI137" s="1216"/>
      <c r="BJ137" s="1216"/>
      <c r="BK137" s="1216"/>
      <c r="BL137" s="1216"/>
      <c r="BM137" s="1216"/>
      <c r="BN137" s="1216"/>
      <c r="BO137" s="1216"/>
      <c r="BP137" s="1216"/>
      <c r="BQ137" s="1216"/>
      <c r="BR137" s="1216"/>
      <c r="BS137" s="1216"/>
      <c r="BT137" s="1216"/>
      <c r="BU137" s="1216"/>
      <c r="BV137" s="1216"/>
      <c r="BW137" s="1216"/>
      <c r="BX137" s="1216"/>
      <c r="BY137" s="1216"/>
      <c r="BZ137" s="1216"/>
      <c r="CA137" s="1216"/>
      <c r="CB137" s="1216"/>
      <c r="CC137" s="1216"/>
      <c r="CD137" s="1216"/>
      <c r="CE137" s="1216"/>
      <c r="CF137" s="1216"/>
      <c r="CG137" s="1216"/>
      <c r="CH137" s="1216"/>
    </row>
    <row r="138" spans="1:86" ht="20.149999999999999" customHeight="1">
      <c r="A138" s="1563" t="s">
        <v>1540</v>
      </c>
      <c r="B138" s="1563" t="s">
        <v>13</v>
      </c>
      <c r="C138" s="1563" t="str">
        <f t="shared" si="2"/>
        <v>PBPDDCIM36</v>
      </c>
      <c r="D138" s="1193">
        <v>36</v>
      </c>
      <c r="E138" s="1524"/>
      <c r="F138" s="1280">
        <v>0.44</v>
      </c>
      <c r="G138" s="1280">
        <v>0.69</v>
      </c>
      <c r="H138" s="1280">
        <v>0.95</v>
      </c>
      <c r="I138" s="1280">
        <v>1.23</v>
      </c>
      <c r="J138" s="1280">
        <v>1.53</v>
      </c>
      <c r="K138" s="1280">
        <v>1.85</v>
      </c>
      <c r="L138" s="1280">
        <v>2.2000000000000002</v>
      </c>
      <c r="M138" s="1280">
        <v>2.58</v>
      </c>
      <c r="N138" s="1280">
        <v>2.98</v>
      </c>
      <c r="O138" s="1280">
        <v>3.41</v>
      </c>
      <c r="P138" s="1280">
        <v>3.87</v>
      </c>
      <c r="Q138" s="1280">
        <v>4.37</v>
      </c>
      <c r="R138" s="1280">
        <v>4.91</v>
      </c>
      <c r="S138" s="1280">
        <v>5.42</v>
      </c>
      <c r="T138" s="1280">
        <v>5.95</v>
      </c>
      <c r="U138" s="1280">
        <v>6.52</v>
      </c>
      <c r="V138" s="1280">
        <v>7.11</v>
      </c>
      <c r="W138" s="1280">
        <v>7.74</v>
      </c>
      <c r="X138" s="1280">
        <v>8.4</v>
      </c>
      <c r="Y138" s="1280">
        <v>9.1</v>
      </c>
      <c r="Z138" s="1280">
        <v>9.83</v>
      </c>
      <c r="AA138" s="1280">
        <v>10.61</v>
      </c>
      <c r="AB138" s="1292">
        <v>11.44</v>
      </c>
      <c r="AC138" s="1192"/>
      <c r="AD138" s="1216"/>
      <c r="AE138" s="1216"/>
      <c r="AF138" s="1216"/>
      <c r="AG138" s="1216"/>
      <c r="AH138" s="1216"/>
      <c r="AI138" s="1216"/>
      <c r="AJ138" s="1216"/>
      <c r="AK138" s="1216"/>
      <c r="AL138" s="1216"/>
      <c r="AM138" s="1216"/>
      <c r="AN138" s="1216"/>
      <c r="AO138" s="1216"/>
      <c r="AP138" s="1216"/>
      <c r="AQ138" s="1216"/>
      <c r="AR138" s="1216"/>
      <c r="AS138" s="1216"/>
      <c r="AT138" s="1216"/>
      <c r="AU138" s="1216"/>
      <c r="AV138" s="1216"/>
      <c r="AW138" s="1216"/>
      <c r="AX138" s="1216"/>
      <c r="AY138" s="1216"/>
      <c r="AZ138" s="1216"/>
      <c r="BA138" s="1216"/>
      <c r="BB138" s="1216"/>
      <c r="BC138" s="1216"/>
      <c r="BD138" s="1216"/>
      <c r="BE138" s="1216"/>
      <c r="BF138" s="1216"/>
      <c r="BG138" s="1216"/>
      <c r="BH138" s="1216"/>
      <c r="BI138" s="1216"/>
      <c r="BJ138" s="1216"/>
      <c r="BK138" s="1216"/>
      <c r="BL138" s="1216"/>
      <c r="BM138" s="1216"/>
      <c r="BN138" s="1216"/>
      <c r="BO138" s="1216"/>
      <c r="BP138" s="1216"/>
      <c r="BQ138" s="1216"/>
      <c r="BR138" s="1216"/>
      <c r="BS138" s="1216"/>
      <c r="BT138" s="1216"/>
      <c r="BU138" s="1216"/>
      <c r="BV138" s="1216"/>
      <c r="BW138" s="1216"/>
      <c r="BX138" s="1216"/>
      <c r="BY138" s="1216"/>
      <c r="BZ138" s="1216"/>
      <c r="CA138" s="1216"/>
      <c r="CB138" s="1216"/>
      <c r="CC138" s="1216"/>
      <c r="CD138" s="1216"/>
      <c r="CE138" s="1216"/>
      <c r="CF138" s="1216"/>
      <c r="CG138" s="1216"/>
      <c r="CH138" s="1216"/>
    </row>
    <row r="139" spans="1:86" ht="20.149999999999999" customHeight="1">
      <c r="A139" s="1563" t="s">
        <v>1540</v>
      </c>
      <c r="B139" s="1563" t="s">
        <v>13</v>
      </c>
      <c r="C139" s="1563" t="str">
        <f t="shared" si="2"/>
        <v>PBPDDCIM37</v>
      </c>
      <c r="D139" s="1193">
        <v>37</v>
      </c>
      <c r="E139" s="1524"/>
      <c r="F139" s="1280">
        <v>0.48</v>
      </c>
      <c r="G139" s="1280">
        <v>0.74</v>
      </c>
      <c r="H139" s="1280">
        <v>1.02</v>
      </c>
      <c r="I139" s="1280">
        <v>1.33</v>
      </c>
      <c r="J139" s="1280">
        <v>1.65</v>
      </c>
      <c r="K139" s="1280">
        <v>2</v>
      </c>
      <c r="L139" s="1280">
        <v>2.38</v>
      </c>
      <c r="M139" s="1280">
        <v>2.79</v>
      </c>
      <c r="N139" s="1280">
        <v>3.22</v>
      </c>
      <c r="O139" s="1280">
        <v>3.69</v>
      </c>
      <c r="P139" s="1280">
        <v>4.1900000000000004</v>
      </c>
      <c r="Q139" s="1280">
        <v>4.7300000000000004</v>
      </c>
      <c r="R139" s="1280">
        <v>5.32</v>
      </c>
      <c r="S139" s="1280">
        <v>5.87</v>
      </c>
      <c r="T139" s="1280">
        <v>6.44</v>
      </c>
      <c r="U139" s="1280">
        <v>7.05</v>
      </c>
      <c r="V139" s="1280">
        <v>7.69</v>
      </c>
      <c r="W139" s="1280">
        <v>8.3699999999999992</v>
      </c>
      <c r="X139" s="1280">
        <v>9.09</v>
      </c>
      <c r="Y139" s="1280">
        <v>9.84</v>
      </c>
      <c r="Z139" s="1280">
        <v>10.64</v>
      </c>
      <c r="AA139" s="1280">
        <v>11.49</v>
      </c>
      <c r="AB139" s="1292">
        <v>12.39</v>
      </c>
      <c r="AC139" s="1192"/>
      <c r="AD139" s="1216"/>
      <c r="AE139" s="1216"/>
      <c r="AF139" s="1216"/>
      <c r="AG139" s="1216"/>
      <c r="AH139" s="1216"/>
      <c r="AI139" s="1216"/>
      <c r="AJ139" s="1216"/>
      <c r="AK139" s="1216"/>
      <c r="AL139" s="1216"/>
      <c r="AM139" s="1216"/>
      <c r="AN139" s="1216"/>
      <c r="AO139" s="1216"/>
      <c r="AP139" s="1216"/>
      <c r="AQ139" s="1216"/>
      <c r="AR139" s="1216"/>
      <c r="AS139" s="1216"/>
      <c r="AT139" s="1216"/>
      <c r="AU139" s="1216"/>
      <c r="AV139" s="1216"/>
      <c r="AW139" s="1216"/>
      <c r="AX139" s="1216"/>
      <c r="AY139" s="1216"/>
      <c r="AZ139" s="1216"/>
      <c r="BA139" s="1216"/>
      <c r="BB139" s="1216"/>
      <c r="BC139" s="1216"/>
      <c r="BD139" s="1216"/>
      <c r="BE139" s="1216"/>
      <c r="BF139" s="1216"/>
      <c r="BG139" s="1216"/>
      <c r="BH139" s="1216"/>
      <c r="BI139" s="1216"/>
      <c r="BJ139" s="1216"/>
      <c r="BK139" s="1216"/>
      <c r="BL139" s="1216"/>
      <c r="BM139" s="1216"/>
      <c r="BN139" s="1216"/>
      <c r="BO139" s="1216"/>
      <c r="BP139" s="1216"/>
      <c r="BQ139" s="1216"/>
      <c r="BR139" s="1216"/>
      <c r="BS139" s="1216"/>
      <c r="BT139" s="1216"/>
      <c r="BU139" s="1216"/>
      <c r="BV139" s="1216"/>
      <c r="BW139" s="1216"/>
      <c r="BX139" s="1216"/>
      <c r="BY139" s="1216"/>
      <c r="BZ139" s="1216"/>
      <c r="CA139" s="1216"/>
      <c r="CB139" s="1216"/>
      <c r="CC139" s="1216"/>
      <c r="CD139" s="1216"/>
      <c r="CE139" s="1216"/>
      <c r="CF139" s="1216"/>
      <c r="CG139" s="1216"/>
      <c r="CH139" s="1216"/>
    </row>
    <row r="140" spans="1:86" ht="20.149999999999999" customHeight="1">
      <c r="A140" s="1563" t="s">
        <v>1540</v>
      </c>
      <c r="B140" s="1563" t="s">
        <v>13</v>
      </c>
      <c r="C140" s="1563" t="str">
        <f t="shared" si="2"/>
        <v>PBPDDCIM38</v>
      </c>
      <c r="D140" s="1193">
        <v>38</v>
      </c>
      <c r="E140" s="1524"/>
      <c r="F140" s="1280">
        <v>0.51</v>
      </c>
      <c r="G140" s="1280">
        <v>0.8</v>
      </c>
      <c r="H140" s="1280">
        <v>1.1100000000000001</v>
      </c>
      <c r="I140" s="1280">
        <v>1.44</v>
      </c>
      <c r="J140" s="1280">
        <v>1.79</v>
      </c>
      <c r="K140" s="1280">
        <v>2.17</v>
      </c>
      <c r="L140" s="1280">
        <v>2.58</v>
      </c>
      <c r="M140" s="1280">
        <v>3.02</v>
      </c>
      <c r="N140" s="1280">
        <v>3.49</v>
      </c>
      <c r="O140" s="1280">
        <v>3.99</v>
      </c>
      <c r="P140" s="1280">
        <v>4.54</v>
      </c>
      <c r="Q140" s="1280">
        <v>5.12</v>
      </c>
      <c r="R140" s="1280">
        <v>5.76</v>
      </c>
      <c r="S140" s="1280">
        <v>6.35</v>
      </c>
      <c r="T140" s="1280">
        <v>6.97</v>
      </c>
      <c r="U140" s="1280">
        <v>7.63</v>
      </c>
      <c r="V140" s="1280">
        <v>8.33</v>
      </c>
      <c r="W140" s="1280">
        <v>9.06</v>
      </c>
      <c r="X140" s="1280">
        <v>9.84</v>
      </c>
      <c r="Y140" s="1280">
        <v>10.66</v>
      </c>
      <c r="Z140" s="1280">
        <v>11.53</v>
      </c>
      <c r="AA140" s="1280">
        <v>12.46</v>
      </c>
      <c r="AB140" s="1292">
        <v>13.44</v>
      </c>
      <c r="AC140" s="1192"/>
      <c r="AD140" s="1216"/>
      <c r="AE140" s="1216"/>
      <c r="AF140" s="1216"/>
      <c r="AG140" s="1216"/>
      <c r="AH140" s="1216"/>
      <c r="AI140" s="1216"/>
      <c r="AJ140" s="1216"/>
      <c r="AK140" s="1216"/>
      <c r="AL140" s="1216"/>
      <c r="AM140" s="1216"/>
      <c r="AN140" s="1216"/>
      <c r="AO140" s="1216"/>
      <c r="AP140" s="1216"/>
      <c r="AQ140" s="1216"/>
      <c r="AR140" s="1216"/>
      <c r="AS140" s="1216"/>
      <c r="AT140" s="1216"/>
      <c r="AU140" s="1216"/>
      <c r="AV140" s="1216"/>
      <c r="AW140" s="1216"/>
      <c r="AX140" s="1216"/>
      <c r="AY140" s="1216"/>
      <c r="AZ140" s="1216"/>
      <c r="BA140" s="1216"/>
      <c r="BB140" s="1216"/>
      <c r="BC140" s="1216"/>
      <c r="BD140" s="1216"/>
      <c r="BE140" s="1216"/>
      <c r="BF140" s="1216"/>
      <c r="BG140" s="1216"/>
      <c r="BH140" s="1216"/>
      <c r="BI140" s="1216"/>
      <c r="BJ140" s="1216"/>
      <c r="BK140" s="1216"/>
      <c r="BL140" s="1216"/>
      <c r="BM140" s="1216"/>
      <c r="BN140" s="1216"/>
      <c r="BO140" s="1216"/>
      <c r="BP140" s="1216"/>
      <c r="BQ140" s="1216"/>
      <c r="BR140" s="1216"/>
      <c r="BS140" s="1216"/>
      <c r="BT140" s="1216"/>
      <c r="BU140" s="1216"/>
      <c r="BV140" s="1216"/>
      <c r="BW140" s="1216"/>
      <c r="BX140" s="1216"/>
      <c r="BY140" s="1216"/>
      <c r="BZ140" s="1216"/>
      <c r="CA140" s="1216"/>
      <c r="CB140" s="1216"/>
      <c r="CC140" s="1216"/>
      <c r="CD140" s="1216"/>
      <c r="CE140" s="1216"/>
      <c r="CF140" s="1216"/>
      <c r="CG140" s="1216"/>
      <c r="CH140" s="1216"/>
    </row>
    <row r="141" spans="1:86" ht="20.149999999999999" customHeight="1">
      <c r="A141" s="1563" t="s">
        <v>1540</v>
      </c>
      <c r="B141" s="1563" t="s">
        <v>13</v>
      </c>
      <c r="C141" s="1563" t="str">
        <f t="shared" si="2"/>
        <v>PBPDDCIM39</v>
      </c>
      <c r="D141" s="1193">
        <v>39</v>
      </c>
      <c r="E141" s="1524"/>
      <c r="F141" s="1280">
        <v>0.56000000000000005</v>
      </c>
      <c r="G141" s="1280">
        <v>0.87</v>
      </c>
      <c r="H141" s="1280">
        <v>1.2</v>
      </c>
      <c r="I141" s="1280">
        <v>1.56</v>
      </c>
      <c r="J141" s="1280">
        <v>1.94</v>
      </c>
      <c r="K141" s="1280">
        <v>2.35</v>
      </c>
      <c r="L141" s="1280">
        <v>2.79</v>
      </c>
      <c r="M141" s="1280">
        <v>3.26</v>
      </c>
      <c r="N141" s="1280">
        <v>3.77</v>
      </c>
      <c r="O141" s="1280">
        <v>4.32</v>
      </c>
      <c r="P141" s="1280">
        <v>4.91</v>
      </c>
      <c r="Q141" s="1280">
        <v>5.55</v>
      </c>
      <c r="R141" s="1280">
        <v>6.23</v>
      </c>
      <c r="S141" s="1280">
        <v>6.87</v>
      </c>
      <c r="T141" s="1280">
        <v>7.55</v>
      </c>
      <c r="U141" s="1280">
        <v>8.26</v>
      </c>
      <c r="V141" s="1280">
        <v>9.02</v>
      </c>
      <c r="W141" s="1280">
        <v>9.81</v>
      </c>
      <c r="X141" s="1280">
        <v>10.66</v>
      </c>
      <c r="Y141" s="1280">
        <v>11.55</v>
      </c>
      <c r="Z141" s="1280">
        <v>12.5</v>
      </c>
      <c r="AA141" s="1280">
        <v>13.51</v>
      </c>
      <c r="AB141" s="1292">
        <v>14.59</v>
      </c>
      <c r="AC141" s="1192"/>
      <c r="AD141" s="1216"/>
      <c r="AE141" s="1216"/>
      <c r="AF141" s="1216"/>
      <c r="AG141" s="1216"/>
      <c r="AH141" s="1216"/>
      <c r="AI141" s="1216"/>
      <c r="AJ141" s="1216"/>
      <c r="AK141" s="1216"/>
      <c r="AL141" s="1216"/>
      <c r="AM141" s="1216"/>
      <c r="AN141" s="1216"/>
      <c r="AO141" s="1216"/>
      <c r="AP141" s="1216"/>
      <c r="AQ141" s="1216"/>
      <c r="AR141" s="1216"/>
      <c r="AS141" s="1216"/>
      <c r="AT141" s="1216"/>
      <c r="AU141" s="1216"/>
      <c r="AV141" s="1216"/>
      <c r="AW141" s="1216"/>
      <c r="AX141" s="1216"/>
      <c r="AY141" s="1216"/>
      <c r="AZ141" s="1216"/>
      <c r="BA141" s="1216"/>
      <c r="BB141" s="1216"/>
      <c r="BC141" s="1216"/>
      <c r="BD141" s="1216"/>
      <c r="BE141" s="1216"/>
      <c r="BF141" s="1216"/>
      <c r="BG141" s="1216"/>
      <c r="BH141" s="1216"/>
      <c r="BI141" s="1216"/>
      <c r="BJ141" s="1216"/>
      <c r="BK141" s="1216"/>
      <c r="BL141" s="1216"/>
      <c r="BM141" s="1216"/>
      <c r="BN141" s="1216"/>
      <c r="BO141" s="1216"/>
      <c r="BP141" s="1216"/>
      <c r="BQ141" s="1216"/>
      <c r="BR141" s="1216"/>
      <c r="BS141" s="1216"/>
      <c r="BT141" s="1216"/>
      <c r="BU141" s="1216"/>
      <c r="BV141" s="1216"/>
      <c r="BW141" s="1216"/>
      <c r="BX141" s="1216"/>
      <c r="BY141" s="1216"/>
      <c r="BZ141" s="1216"/>
      <c r="CA141" s="1216"/>
      <c r="CB141" s="1216"/>
      <c r="CC141" s="1216"/>
      <c r="CD141" s="1216"/>
      <c r="CE141" s="1216"/>
      <c r="CF141" s="1216"/>
      <c r="CG141" s="1216"/>
      <c r="CH141" s="1216"/>
    </row>
    <row r="142" spans="1:86" ht="20.149999999999999" customHeight="1">
      <c r="A142" s="1563" t="s">
        <v>1540</v>
      </c>
      <c r="B142" s="1563" t="s">
        <v>13</v>
      </c>
      <c r="C142" s="1563" t="str">
        <f t="shared" si="2"/>
        <v>PBPDDCIM40</v>
      </c>
      <c r="D142" s="1193">
        <v>40</v>
      </c>
      <c r="E142" s="1524"/>
      <c r="F142" s="1280">
        <v>0.6</v>
      </c>
      <c r="G142" s="1280">
        <v>0.94</v>
      </c>
      <c r="H142" s="1280">
        <v>1.3</v>
      </c>
      <c r="I142" s="1280">
        <v>1.68</v>
      </c>
      <c r="J142" s="1280">
        <v>2.1</v>
      </c>
      <c r="K142" s="1280">
        <v>2.54</v>
      </c>
      <c r="L142" s="1280">
        <v>3.02</v>
      </c>
      <c r="M142" s="1280">
        <v>3.53</v>
      </c>
      <c r="N142" s="1280">
        <v>4.08</v>
      </c>
      <c r="O142" s="1280">
        <v>4.68</v>
      </c>
      <c r="P142" s="1280">
        <v>5.31</v>
      </c>
      <c r="Q142" s="1280">
        <v>6</v>
      </c>
      <c r="R142" s="1280">
        <v>6.74</v>
      </c>
      <c r="S142" s="1280">
        <v>7.44</v>
      </c>
      <c r="T142" s="1280">
        <v>8.17</v>
      </c>
      <c r="U142" s="1280">
        <v>8.94</v>
      </c>
      <c r="V142" s="1280">
        <v>9.76</v>
      </c>
      <c r="W142" s="1280">
        <v>10.63</v>
      </c>
      <c r="X142" s="1280">
        <v>11.54</v>
      </c>
      <c r="Y142" s="1280">
        <v>12.52</v>
      </c>
      <c r="Z142" s="1280">
        <v>13.56</v>
      </c>
      <c r="AA142" s="1280">
        <v>14.67</v>
      </c>
      <c r="AB142" s="1292">
        <v>15.85</v>
      </c>
      <c r="AC142" s="1192"/>
      <c r="AD142" s="1216"/>
      <c r="AE142" s="1216"/>
      <c r="AF142" s="1216"/>
      <c r="AG142" s="1216"/>
      <c r="AH142" s="1216"/>
      <c r="AI142" s="1216"/>
      <c r="AJ142" s="1216"/>
      <c r="AK142" s="1216"/>
      <c r="AL142" s="1216"/>
      <c r="AM142" s="1216"/>
      <c r="AN142" s="1216"/>
      <c r="AO142" s="1216"/>
      <c r="AP142" s="1216"/>
      <c r="AQ142" s="1216"/>
      <c r="AR142" s="1216"/>
      <c r="AS142" s="1216"/>
      <c r="AT142" s="1216"/>
      <c r="AU142" s="1216"/>
      <c r="AV142" s="1216"/>
      <c r="AW142" s="1216"/>
      <c r="AX142" s="1216"/>
      <c r="AY142" s="1216"/>
      <c r="AZ142" s="1216"/>
      <c r="BA142" s="1216"/>
      <c r="BB142" s="1216"/>
      <c r="BC142" s="1216"/>
      <c r="BD142" s="1216"/>
      <c r="BE142" s="1216"/>
      <c r="BF142" s="1216"/>
      <c r="BG142" s="1216"/>
      <c r="BH142" s="1216"/>
      <c r="BI142" s="1216"/>
      <c r="BJ142" s="1216"/>
      <c r="BK142" s="1216"/>
      <c r="BL142" s="1216"/>
      <c r="BM142" s="1216"/>
      <c r="BN142" s="1216"/>
      <c r="BO142" s="1216"/>
      <c r="BP142" s="1216"/>
      <c r="BQ142" s="1216"/>
      <c r="BR142" s="1216"/>
      <c r="BS142" s="1216"/>
      <c r="BT142" s="1216"/>
      <c r="BU142" s="1216"/>
      <c r="BV142" s="1216"/>
      <c r="BW142" s="1216"/>
      <c r="BX142" s="1216"/>
      <c r="BY142" s="1216"/>
      <c r="BZ142" s="1216"/>
      <c r="CA142" s="1216"/>
      <c r="CB142" s="1216"/>
      <c r="CC142" s="1216"/>
      <c r="CD142" s="1216"/>
      <c r="CE142" s="1216"/>
      <c r="CF142" s="1216"/>
      <c r="CG142" s="1216"/>
      <c r="CH142" s="1216"/>
    </row>
    <row r="143" spans="1:86" ht="20.149999999999999" customHeight="1">
      <c r="A143" s="1563" t="s">
        <v>1540</v>
      </c>
      <c r="B143" s="1563" t="s">
        <v>13</v>
      </c>
      <c r="C143" s="1563" t="str">
        <f t="shared" si="2"/>
        <v>PBPDDCIM41</v>
      </c>
      <c r="D143" s="1194">
        <v>41</v>
      </c>
      <c r="E143" s="1525"/>
      <c r="F143" s="1281">
        <v>0.65</v>
      </c>
      <c r="G143" s="1281">
        <v>1.02</v>
      </c>
      <c r="H143" s="1281">
        <v>1.4</v>
      </c>
      <c r="I143" s="1281">
        <v>1.82</v>
      </c>
      <c r="J143" s="1281">
        <v>2.27</v>
      </c>
      <c r="K143" s="1281">
        <v>2.75</v>
      </c>
      <c r="L143" s="1281">
        <v>3.26</v>
      </c>
      <c r="M143" s="1281">
        <v>3.82</v>
      </c>
      <c r="N143" s="1281">
        <v>4.41</v>
      </c>
      <c r="O143" s="1281">
        <v>5.05</v>
      </c>
      <c r="P143" s="1281">
        <v>5.74</v>
      </c>
      <c r="Q143" s="1281">
        <v>6.49</v>
      </c>
      <c r="R143" s="1281">
        <v>7.29</v>
      </c>
      <c r="S143" s="1281">
        <v>8.0399999999999991</v>
      </c>
      <c r="T143" s="1281">
        <v>8.84</v>
      </c>
      <c r="U143" s="1281">
        <v>9.68</v>
      </c>
      <c r="V143" s="1281">
        <v>10.56</v>
      </c>
      <c r="W143" s="1281">
        <v>11.51</v>
      </c>
      <c r="X143" s="1281">
        <v>12.51</v>
      </c>
      <c r="Y143" s="1281">
        <v>13.58</v>
      </c>
      <c r="Z143" s="1281">
        <v>14.72</v>
      </c>
      <c r="AA143" s="1281">
        <v>15.94</v>
      </c>
      <c r="AB143" s="1293">
        <v>17.239999999999998</v>
      </c>
      <c r="AC143" s="1192"/>
      <c r="AD143" s="1216"/>
      <c r="AE143" s="1216"/>
      <c r="AF143" s="1216"/>
      <c r="AG143" s="1216"/>
      <c r="AH143" s="1216"/>
      <c r="AI143" s="1216"/>
      <c r="AJ143" s="1216"/>
      <c r="AK143" s="1216"/>
      <c r="AL143" s="1216"/>
      <c r="AM143" s="1216"/>
      <c r="AN143" s="1216"/>
      <c r="AO143" s="1216"/>
      <c r="AP143" s="1216"/>
      <c r="AQ143" s="1216"/>
      <c r="AR143" s="1216"/>
      <c r="AS143" s="1216"/>
      <c r="AT143" s="1216"/>
      <c r="AU143" s="1216"/>
      <c r="AV143" s="1216"/>
      <c r="AW143" s="1216"/>
      <c r="AX143" s="1216"/>
      <c r="AY143" s="1216"/>
      <c r="AZ143" s="1216"/>
      <c r="BA143" s="1216"/>
      <c r="BB143" s="1216"/>
      <c r="BC143" s="1216"/>
      <c r="BD143" s="1216"/>
      <c r="BE143" s="1216"/>
      <c r="BF143" s="1216"/>
      <c r="BG143" s="1216"/>
      <c r="BH143" s="1216"/>
      <c r="BI143" s="1216"/>
      <c r="BJ143" s="1216"/>
      <c r="BK143" s="1216"/>
      <c r="BL143" s="1216"/>
      <c r="BM143" s="1216"/>
      <c r="BN143" s="1216"/>
      <c r="BO143" s="1216"/>
      <c r="BP143" s="1216"/>
      <c r="BQ143" s="1216"/>
      <c r="BR143" s="1216"/>
      <c r="BS143" s="1216"/>
      <c r="BT143" s="1216"/>
      <c r="BU143" s="1216"/>
      <c r="BV143" s="1216"/>
      <c r="BW143" s="1216"/>
      <c r="BX143" s="1216"/>
      <c r="BY143" s="1216"/>
      <c r="BZ143" s="1216"/>
      <c r="CA143" s="1216"/>
      <c r="CB143" s="1216"/>
      <c r="CC143" s="1216"/>
      <c r="CD143" s="1216"/>
      <c r="CE143" s="1216"/>
      <c r="CF143" s="1216"/>
      <c r="CG143" s="1216"/>
      <c r="CH143" s="1216"/>
    </row>
    <row r="144" spans="1:86" ht="20.149999999999999" customHeight="1">
      <c r="A144" s="1563" t="s">
        <v>1540</v>
      </c>
      <c r="B144" s="1563" t="s">
        <v>13</v>
      </c>
      <c r="C144" s="1563" t="str">
        <f t="shared" si="2"/>
        <v>PBPDDCIM42</v>
      </c>
      <c r="D144" s="1193">
        <v>42</v>
      </c>
      <c r="E144" s="1524"/>
      <c r="F144" s="1280">
        <v>0.7</v>
      </c>
      <c r="G144" s="1280">
        <v>1.0900000000000001</v>
      </c>
      <c r="H144" s="1280">
        <v>1.51</v>
      </c>
      <c r="I144" s="1280">
        <v>1.96</v>
      </c>
      <c r="J144" s="1280">
        <v>2.44</v>
      </c>
      <c r="K144" s="1280">
        <v>2.96</v>
      </c>
      <c r="L144" s="1280">
        <v>3.52</v>
      </c>
      <c r="M144" s="1280">
        <v>4.1100000000000003</v>
      </c>
      <c r="N144" s="1280">
        <v>4.76</v>
      </c>
      <c r="O144" s="1280">
        <v>5.45</v>
      </c>
      <c r="P144" s="1280">
        <v>6.2</v>
      </c>
      <c r="Q144" s="1280">
        <v>7</v>
      </c>
      <c r="R144" s="1280">
        <v>7.87</v>
      </c>
      <c r="S144" s="1280">
        <v>8.69</v>
      </c>
      <c r="T144" s="1280">
        <v>9.5500000000000007</v>
      </c>
      <c r="U144" s="1280">
        <v>10.46</v>
      </c>
      <c r="V144" s="1280">
        <v>11.43</v>
      </c>
      <c r="W144" s="1280">
        <v>12.46</v>
      </c>
      <c r="X144" s="1280">
        <v>13.56</v>
      </c>
      <c r="Y144" s="1280">
        <v>14.73</v>
      </c>
      <c r="Z144" s="1280">
        <v>15.98</v>
      </c>
      <c r="AA144" s="1280">
        <v>17.329999999999998</v>
      </c>
      <c r="AB144" s="1292">
        <v>18.77</v>
      </c>
      <c r="AC144" s="1192"/>
      <c r="AD144" s="1216"/>
      <c r="AE144" s="1216"/>
      <c r="AF144" s="1216"/>
      <c r="AG144" s="1216"/>
      <c r="AH144" s="1216"/>
      <c r="AI144" s="1216"/>
      <c r="AJ144" s="1216"/>
      <c r="AK144" s="1216"/>
      <c r="AL144" s="1216"/>
      <c r="AM144" s="1216"/>
      <c r="AN144" s="1216"/>
      <c r="AO144" s="1216"/>
      <c r="AP144" s="1216"/>
      <c r="AQ144" s="1216"/>
      <c r="AR144" s="1216"/>
      <c r="AS144" s="1216"/>
      <c r="AT144" s="1216"/>
      <c r="AU144" s="1216"/>
      <c r="AV144" s="1216"/>
      <c r="AW144" s="1216"/>
      <c r="AX144" s="1216"/>
      <c r="AY144" s="1216"/>
      <c r="AZ144" s="1216"/>
      <c r="BA144" s="1216"/>
      <c r="BB144" s="1216"/>
      <c r="BC144" s="1216"/>
      <c r="BD144" s="1216"/>
      <c r="BE144" s="1216"/>
      <c r="BF144" s="1216"/>
      <c r="BG144" s="1216"/>
      <c r="BH144" s="1216"/>
      <c r="BI144" s="1216"/>
      <c r="BJ144" s="1216"/>
      <c r="BK144" s="1216"/>
      <c r="BL144" s="1216"/>
      <c r="BM144" s="1216"/>
      <c r="BN144" s="1216"/>
      <c r="BO144" s="1216"/>
      <c r="BP144" s="1216"/>
      <c r="BQ144" s="1216"/>
      <c r="BR144" s="1216"/>
      <c r="BS144" s="1216"/>
      <c r="BT144" s="1216"/>
      <c r="BU144" s="1216"/>
      <c r="BV144" s="1216"/>
      <c r="BW144" s="1216"/>
      <c r="BX144" s="1216"/>
      <c r="BY144" s="1216"/>
      <c r="BZ144" s="1216"/>
      <c r="CA144" s="1216"/>
      <c r="CB144" s="1216"/>
      <c r="CC144" s="1216"/>
      <c r="CD144" s="1216"/>
      <c r="CE144" s="1216"/>
      <c r="CF144" s="1216"/>
      <c r="CG144" s="1216"/>
      <c r="CH144" s="1216"/>
    </row>
    <row r="145" spans="1:86" ht="20.149999999999999" customHeight="1">
      <c r="A145" s="1563" t="s">
        <v>1540</v>
      </c>
      <c r="B145" s="1563" t="s">
        <v>13</v>
      </c>
      <c r="C145" s="1563" t="str">
        <f t="shared" si="2"/>
        <v>PBPDDCIM43</v>
      </c>
      <c r="D145" s="1193">
        <v>43</v>
      </c>
      <c r="E145" s="1524"/>
      <c r="F145" s="1280">
        <v>0.76</v>
      </c>
      <c r="G145" s="1280">
        <v>1.17</v>
      </c>
      <c r="H145" s="1280">
        <v>1.62</v>
      </c>
      <c r="I145" s="1280">
        <v>2.11</v>
      </c>
      <c r="J145" s="1280">
        <v>2.63</v>
      </c>
      <c r="K145" s="1280">
        <v>3.19</v>
      </c>
      <c r="L145" s="1280">
        <v>3.79</v>
      </c>
      <c r="M145" s="1280">
        <v>4.43</v>
      </c>
      <c r="N145" s="1280">
        <v>5.13</v>
      </c>
      <c r="O145" s="1280">
        <v>5.88</v>
      </c>
      <c r="P145" s="1280">
        <v>6.69</v>
      </c>
      <c r="Q145" s="1280">
        <v>7.56</v>
      </c>
      <c r="R145" s="1280">
        <v>8.5</v>
      </c>
      <c r="S145" s="1280">
        <v>9.39</v>
      </c>
      <c r="T145" s="1280">
        <v>10.33</v>
      </c>
      <c r="U145" s="1280">
        <v>11.32</v>
      </c>
      <c r="V145" s="1280">
        <v>12.38</v>
      </c>
      <c r="W145" s="1280">
        <v>13.51</v>
      </c>
      <c r="X145" s="1280">
        <v>14.71</v>
      </c>
      <c r="Y145" s="1280">
        <v>16</v>
      </c>
      <c r="Z145" s="1280">
        <v>17.38</v>
      </c>
      <c r="AA145" s="1280">
        <v>18.86</v>
      </c>
      <c r="AB145" s="1292">
        <v>20.45</v>
      </c>
      <c r="AC145" s="1192"/>
      <c r="AD145" s="1216"/>
      <c r="AE145" s="1216"/>
      <c r="AF145" s="1216"/>
      <c r="AG145" s="1216"/>
      <c r="AH145" s="1216"/>
      <c r="AI145" s="1216"/>
      <c r="AJ145" s="1216"/>
      <c r="AK145" s="1216"/>
      <c r="AL145" s="1216"/>
      <c r="AM145" s="1216"/>
      <c r="AN145" s="1216"/>
      <c r="AO145" s="1216"/>
      <c r="AP145" s="1216"/>
      <c r="AQ145" s="1216"/>
      <c r="AR145" s="1216"/>
      <c r="AS145" s="1216"/>
      <c r="AT145" s="1216"/>
      <c r="AU145" s="1216"/>
      <c r="AV145" s="1216"/>
      <c r="AW145" s="1216"/>
      <c r="AX145" s="1216"/>
      <c r="AY145" s="1216"/>
      <c r="AZ145" s="1216"/>
      <c r="BA145" s="1216"/>
      <c r="BB145" s="1216"/>
      <c r="BC145" s="1216"/>
      <c r="BD145" s="1216"/>
      <c r="BE145" s="1216"/>
      <c r="BF145" s="1216"/>
      <c r="BG145" s="1216"/>
      <c r="BH145" s="1216"/>
      <c r="BI145" s="1216"/>
      <c r="BJ145" s="1216"/>
      <c r="BK145" s="1216"/>
      <c r="BL145" s="1216"/>
      <c r="BM145" s="1216"/>
      <c r="BN145" s="1216"/>
      <c r="BO145" s="1216"/>
      <c r="BP145" s="1216"/>
      <c r="BQ145" s="1216"/>
      <c r="BR145" s="1216"/>
      <c r="BS145" s="1216"/>
      <c r="BT145" s="1216"/>
      <c r="BU145" s="1216"/>
      <c r="BV145" s="1216"/>
      <c r="BW145" s="1216"/>
      <c r="BX145" s="1216"/>
      <c r="BY145" s="1216"/>
      <c r="BZ145" s="1216"/>
      <c r="CA145" s="1216"/>
      <c r="CB145" s="1216"/>
      <c r="CC145" s="1216"/>
      <c r="CD145" s="1216"/>
      <c r="CE145" s="1216"/>
      <c r="CF145" s="1216"/>
      <c r="CG145" s="1216"/>
      <c r="CH145" s="1216"/>
    </row>
    <row r="146" spans="1:86" ht="20.149999999999999" customHeight="1">
      <c r="A146" s="1563" t="s">
        <v>1540</v>
      </c>
      <c r="B146" s="1563" t="s">
        <v>13</v>
      </c>
      <c r="C146" s="1563" t="str">
        <f t="shared" si="2"/>
        <v>PBPDDCIM44</v>
      </c>
      <c r="D146" s="1193">
        <v>44</v>
      </c>
      <c r="E146" s="1524"/>
      <c r="F146" s="1280">
        <v>0.81</v>
      </c>
      <c r="G146" s="1280">
        <v>1.26</v>
      </c>
      <c r="H146" s="1280">
        <v>1.75</v>
      </c>
      <c r="I146" s="1280">
        <v>2.27</v>
      </c>
      <c r="J146" s="1280">
        <v>2.83</v>
      </c>
      <c r="K146" s="1280">
        <v>3.43</v>
      </c>
      <c r="L146" s="1280">
        <v>4.08</v>
      </c>
      <c r="M146" s="1280">
        <v>4.78</v>
      </c>
      <c r="N146" s="1280">
        <v>5.53</v>
      </c>
      <c r="O146" s="1280">
        <v>6.35</v>
      </c>
      <c r="P146" s="1280">
        <v>7.22</v>
      </c>
      <c r="Q146" s="1280">
        <v>8.17</v>
      </c>
      <c r="R146" s="1280">
        <v>9.19</v>
      </c>
      <c r="S146" s="1280">
        <v>10.16</v>
      </c>
      <c r="T146" s="1280">
        <v>11.18</v>
      </c>
      <c r="U146" s="1280">
        <v>12.26</v>
      </c>
      <c r="V146" s="1280">
        <v>13.42</v>
      </c>
      <c r="W146" s="1280">
        <v>14.66</v>
      </c>
      <c r="X146" s="1280">
        <v>15.99</v>
      </c>
      <c r="Y146" s="1280">
        <v>17.41</v>
      </c>
      <c r="Z146" s="1280">
        <v>18.940000000000001</v>
      </c>
      <c r="AA146" s="1280">
        <v>20.58</v>
      </c>
      <c r="AB146" s="1292">
        <v>22.33</v>
      </c>
      <c r="AC146" s="1192"/>
      <c r="AD146" s="1216"/>
      <c r="AE146" s="1216"/>
      <c r="AF146" s="1216"/>
      <c r="AG146" s="1216"/>
      <c r="AH146" s="1216"/>
      <c r="AI146" s="1216"/>
      <c r="AJ146" s="1216"/>
      <c r="AK146" s="1216"/>
      <c r="AL146" s="1216"/>
      <c r="AM146" s="1216"/>
      <c r="AN146" s="1216"/>
      <c r="AO146" s="1216"/>
      <c r="AP146" s="1216"/>
      <c r="AQ146" s="1216"/>
      <c r="AR146" s="1216"/>
      <c r="AS146" s="1216"/>
      <c r="AT146" s="1216"/>
      <c r="AU146" s="1216"/>
      <c r="AV146" s="1216"/>
      <c r="AW146" s="1216"/>
      <c r="AX146" s="1216"/>
      <c r="AY146" s="1216"/>
      <c r="AZ146" s="1216"/>
      <c r="BA146" s="1216"/>
      <c r="BB146" s="1216"/>
      <c r="BC146" s="1216"/>
      <c r="BD146" s="1216"/>
      <c r="BE146" s="1216"/>
      <c r="BF146" s="1216"/>
      <c r="BG146" s="1216"/>
      <c r="BH146" s="1216"/>
      <c r="BI146" s="1216"/>
      <c r="BJ146" s="1216"/>
      <c r="BK146" s="1216"/>
      <c r="BL146" s="1216"/>
      <c r="BM146" s="1216"/>
      <c r="BN146" s="1216"/>
      <c r="BO146" s="1216"/>
      <c r="BP146" s="1216"/>
      <c r="BQ146" s="1216"/>
      <c r="BR146" s="1216"/>
      <c r="BS146" s="1216"/>
      <c r="BT146" s="1216"/>
      <c r="BU146" s="1216"/>
      <c r="BV146" s="1216"/>
      <c r="BW146" s="1216"/>
      <c r="BX146" s="1216"/>
      <c r="BY146" s="1216"/>
      <c r="BZ146" s="1216"/>
      <c r="CA146" s="1216"/>
      <c r="CB146" s="1216"/>
      <c r="CC146" s="1216"/>
      <c r="CD146" s="1216"/>
      <c r="CE146" s="1216"/>
      <c r="CF146" s="1216"/>
      <c r="CG146" s="1216"/>
      <c r="CH146" s="1216"/>
    </row>
    <row r="147" spans="1:86" ht="20.149999999999999" customHeight="1">
      <c r="A147" s="1563" t="s">
        <v>1540</v>
      </c>
      <c r="B147" s="1563" t="s">
        <v>13</v>
      </c>
      <c r="C147" s="1563" t="str">
        <f t="shared" si="2"/>
        <v>PBPDDCIM45</v>
      </c>
      <c r="D147" s="1195">
        <v>45</v>
      </c>
      <c r="E147" s="1526"/>
      <c r="F147" s="1282">
        <v>0.88</v>
      </c>
      <c r="G147" s="1282">
        <v>1.36</v>
      </c>
      <c r="H147" s="1282">
        <v>1.89</v>
      </c>
      <c r="I147" s="1282">
        <v>2.4500000000000002</v>
      </c>
      <c r="J147" s="1282">
        <v>3.05</v>
      </c>
      <c r="K147" s="1282">
        <v>3.7</v>
      </c>
      <c r="L147" s="1282">
        <v>4.4000000000000004</v>
      </c>
      <c r="M147" s="1282">
        <v>5.16</v>
      </c>
      <c r="N147" s="1282">
        <v>5.97</v>
      </c>
      <c r="O147" s="1282">
        <v>6.85</v>
      </c>
      <c r="P147" s="1282">
        <v>7.8</v>
      </c>
      <c r="Q147" s="1282">
        <v>8.83</v>
      </c>
      <c r="R147" s="1282">
        <v>9.9499999999999993</v>
      </c>
      <c r="S147" s="1282">
        <v>11</v>
      </c>
      <c r="T147" s="1282">
        <v>12.11</v>
      </c>
      <c r="U147" s="1282">
        <v>13.31</v>
      </c>
      <c r="V147" s="1282">
        <v>14.58</v>
      </c>
      <c r="W147" s="1282">
        <v>15.95</v>
      </c>
      <c r="X147" s="1282">
        <v>17.41</v>
      </c>
      <c r="Y147" s="1282">
        <v>18.989999999999998</v>
      </c>
      <c r="Z147" s="1282">
        <v>20.67</v>
      </c>
      <c r="AA147" s="1282">
        <v>22.49</v>
      </c>
      <c r="AB147" s="1294">
        <v>24.42</v>
      </c>
      <c r="AC147" s="1192"/>
      <c r="AD147" s="1216"/>
      <c r="AE147" s="1216"/>
      <c r="AF147" s="1216"/>
      <c r="AG147" s="1216"/>
      <c r="AH147" s="1216"/>
      <c r="AI147" s="1216"/>
      <c r="AJ147" s="1216"/>
      <c r="AK147" s="1216"/>
      <c r="AL147" s="1216"/>
      <c r="AM147" s="1216"/>
      <c r="AN147" s="1216"/>
      <c r="AO147" s="1216"/>
      <c r="AP147" s="1216"/>
      <c r="AQ147" s="1216"/>
      <c r="AR147" s="1216"/>
      <c r="AS147" s="1216"/>
      <c r="AT147" s="1216"/>
      <c r="AU147" s="1216"/>
      <c r="AV147" s="1216"/>
      <c r="AW147" s="1216"/>
      <c r="AX147" s="1216"/>
      <c r="AY147" s="1216"/>
      <c r="AZ147" s="1216"/>
      <c r="BA147" s="1216"/>
      <c r="BB147" s="1216"/>
      <c r="BC147" s="1216"/>
      <c r="BD147" s="1216"/>
      <c r="BE147" s="1216"/>
      <c r="BF147" s="1216"/>
      <c r="BG147" s="1216"/>
      <c r="BH147" s="1216"/>
      <c r="BI147" s="1216"/>
      <c r="BJ147" s="1216"/>
      <c r="BK147" s="1216"/>
      <c r="BL147" s="1216"/>
      <c r="BM147" s="1216"/>
      <c r="BN147" s="1216"/>
      <c r="BO147" s="1216"/>
      <c r="BP147" s="1216"/>
      <c r="BQ147" s="1216"/>
      <c r="BR147" s="1216"/>
      <c r="BS147" s="1216"/>
      <c r="BT147" s="1216"/>
      <c r="BU147" s="1216"/>
      <c r="BV147" s="1216"/>
      <c r="BW147" s="1216"/>
      <c r="BX147" s="1216"/>
      <c r="BY147" s="1216"/>
      <c r="BZ147" s="1216"/>
      <c r="CA147" s="1216"/>
      <c r="CB147" s="1216"/>
      <c r="CC147" s="1216"/>
      <c r="CD147" s="1216"/>
      <c r="CE147" s="1216"/>
      <c r="CF147" s="1216"/>
      <c r="CG147" s="1216"/>
      <c r="CH147" s="1216"/>
    </row>
    <row r="148" spans="1:86" ht="20.149999999999999" customHeight="1">
      <c r="A148" s="1563" t="s">
        <v>1540</v>
      </c>
      <c r="B148" s="1563" t="s">
        <v>13</v>
      </c>
      <c r="C148" s="1563" t="str">
        <f t="shared" si="2"/>
        <v>PBPDDCIM46</v>
      </c>
      <c r="D148" s="1193">
        <v>46</v>
      </c>
      <c r="E148" s="1524"/>
      <c r="F148" s="1280">
        <v>0.94</v>
      </c>
      <c r="G148" s="1280">
        <v>1.47</v>
      </c>
      <c r="H148" s="1280">
        <v>2.0299999999999998</v>
      </c>
      <c r="I148" s="1280">
        <v>2.64</v>
      </c>
      <c r="J148" s="1280">
        <v>3.29</v>
      </c>
      <c r="K148" s="1280">
        <v>4</v>
      </c>
      <c r="L148" s="1280">
        <v>4.75</v>
      </c>
      <c r="M148" s="1280">
        <v>5.57</v>
      </c>
      <c r="N148" s="1280">
        <v>6.45</v>
      </c>
      <c r="O148" s="1280">
        <v>7.41</v>
      </c>
      <c r="P148" s="1280">
        <v>8.44</v>
      </c>
      <c r="Q148" s="1280">
        <v>9.56</v>
      </c>
      <c r="R148" s="1280">
        <v>10.78</v>
      </c>
      <c r="S148" s="1280">
        <v>11.93</v>
      </c>
      <c r="T148" s="1280">
        <v>13.15</v>
      </c>
      <c r="U148" s="1280">
        <v>14.47</v>
      </c>
      <c r="V148" s="1280">
        <v>15.87</v>
      </c>
      <c r="W148" s="1280">
        <v>17.38</v>
      </c>
      <c r="X148" s="1280">
        <v>19</v>
      </c>
      <c r="Y148" s="1280">
        <v>20.74</v>
      </c>
      <c r="Z148" s="1280">
        <v>22.61</v>
      </c>
      <c r="AA148" s="1280">
        <v>24.61</v>
      </c>
      <c r="AB148" s="1292">
        <v>26.75</v>
      </c>
      <c r="AC148" s="1192"/>
      <c r="AD148" s="1216"/>
      <c r="AE148" s="1216"/>
      <c r="AF148" s="1216"/>
      <c r="AG148" s="1216"/>
      <c r="AH148" s="1216"/>
      <c r="AI148" s="1216"/>
      <c r="AJ148" s="1216"/>
      <c r="AK148" s="1216"/>
      <c r="AL148" s="1216"/>
      <c r="AM148" s="1216"/>
      <c r="AN148" s="1216"/>
      <c r="AO148" s="1216"/>
      <c r="AP148" s="1216"/>
      <c r="AQ148" s="1216"/>
      <c r="AR148" s="1216"/>
      <c r="AS148" s="1216"/>
      <c r="AT148" s="1216"/>
      <c r="AU148" s="1216"/>
      <c r="AV148" s="1216"/>
      <c r="AW148" s="1216"/>
      <c r="AX148" s="1216"/>
      <c r="AY148" s="1216"/>
      <c r="AZ148" s="1216"/>
      <c r="BA148" s="1216"/>
      <c r="BB148" s="1216"/>
      <c r="BC148" s="1216"/>
      <c r="BD148" s="1216"/>
      <c r="BE148" s="1216"/>
      <c r="BF148" s="1216"/>
      <c r="BG148" s="1216"/>
      <c r="BH148" s="1216"/>
      <c r="BI148" s="1216"/>
      <c r="BJ148" s="1216"/>
      <c r="BK148" s="1216"/>
      <c r="BL148" s="1216"/>
      <c r="BM148" s="1216"/>
      <c r="BN148" s="1216"/>
      <c r="BO148" s="1216"/>
      <c r="BP148" s="1216"/>
      <c r="BQ148" s="1216"/>
      <c r="BR148" s="1216"/>
      <c r="BS148" s="1216"/>
      <c r="BT148" s="1216"/>
      <c r="BU148" s="1216"/>
      <c r="BV148" s="1216"/>
      <c r="BW148" s="1216"/>
      <c r="BX148" s="1216"/>
      <c r="BY148" s="1216"/>
      <c r="BZ148" s="1216"/>
      <c r="CA148" s="1216"/>
      <c r="CB148" s="1216"/>
      <c r="CC148" s="1216"/>
      <c r="CD148" s="1216"/>
      <c r="CE148" s="1216"/>
      <c r="CF148" s="1216"/>
      <c r="CG148" s="1216"/>
      <c r="CH148" s="1216"/>
    </row>
    <row r="149" spans="1:86" ht="20.149999999999999" customHeight="1">
      <c r="A149" s="1563" t="s">
        <v>1540</v>
      </c>
      <c r="B149" s="1563" t="s">
        <v>13</v>
      </c>
      <c r="C149" s="1563" t="str">
        <f t="shared" si="2"/>
        <v>PBPDDCIM47</v>
      </c>
      <c r="D149" s="1193">
        <v>47</v>
      </c>
      <c r="E149" s="1524"/>
      <c r="F149" s="1280">
        <v>1.02</v>
      </c>
      <c r="G149" s="1280">
        <v>1.58</v>
      </c>
      <c r="H149" s="1280">
        <v>2.19</v>
      </c>
      <c r="I149" s="1280">
        <v>2.85</v>
      </c>
      <c r="J149" s="1280">
        <v>3.55</v>
      </c>
      <c r="K149" s="1280">
        <v>4.3099999999999996</v>
      </c>
      <c r="L149" s="1280">
        <v>5.13</v>
      </c>
      <c r="M149" s="1280">
        <v>6.02</v>
      </c>
      <c r="N149" s="1280">
        <v>6.98</v>
      </c>
      <c r="O149" s="1280">
        <v>8.01</v>
      </c>
      <c r="P149" s="1280">
        <v>9.14</v>
      </c>
      <c r="Q149" s="1280">
        <v>10.36</v>
      </c>
      <c r="R149" s="1280">
        <v>11.69</v>
      </c>
      <c r="S149" s="1280">
        <v>12.95</v>
      </c>
      <c r="T149" s="1280">
        <v>14.3</v>
      </c>
      <c r="U149" s="1280">
        <v>15.75</v>
      </c>
      <c r="V149" s="1280">
        <v>17.309999999999999</v>
      </c>
      <c r="W149" s="1280">
        <v>18.98</v>
      </c>
      <c r="X149" s="1280">
        <v>20.77</v>
      </c>
      <c r="Y149" s="1280">
        <v>22.7</v>
      </c>
      <c r="Z149" s="1280">
        <v>24.77</v>
      </c>
      <c r="AA149" s="1280">
        <v>26.98</v>
      </c>
      <c r="AB149" s="1292">
        <v>29.34</v>
      </c>
      <c r="AC149" s="1192"/>
      <c r="AD149" s="1216"/>
      <c r="AE149" s="1216"/>
      <c r="AF149" s="1216"/>
      <c r="AG149" s="1216"/>
      <c r="AH149" s="1216"/>
      <c r="AI149" s="1216"/>
      <c r="AJ149" s="1216"/>
      <c r="AK149" s="1216"/>
      <c r="AL149" s="1216"/>
      <c r="AM149" s="1216"/>
      <c r="AN149" s="1216"/>
      <c r="AO149" s="1216"/>
      <c r="AP149" s="1216"/>
      <c r="AQ149" s="1216"/>
      <c r="AR149" s="1216"/>
      <c r="AS149" s="1216"/>
      <c r="AT149" s="1216"/>
      <c r="AU149" s="1216"/>
      <c r="AV149" s="1216"/>
      <c r="AW149" s="1216"/>
      <c r="AX149" s="1216"/>
      <c r="AY149" s="1216"/>
      <c r="AZ149" s="1216"/>
      <c r="BA149" s="1216"/>
      <c r="BB149" s="1216"/>
      <c r="BC149" s="1216"/>
      <c r="BD149" s="1216"/>
      <c r="BE149" s="1216"/>
      <c r="BF149" s="1216"/>
      <c r="BG149" s="1216"/>
      <c r="BH149" s="1216"/>
      <c r="BI149" s="1216"/>
      <c r="BJ149" s="1216"/>
      <c r="BK149" s="1216"/>
      <c r="BL149" s="1216"/>
      <c r="BM149" s="1216"/>
      <c r="BN149" s="1216"/>
      <c r="BO149" s="1216"/>
      <c r="BP149" s="1216"/>
      <c r="BQ149" s="1216"/>
      <c r="BR149" s="1216"/>
      <c r="BS149" s="1216"/>
      <c r="BT149" s="1216"/>
      <c r="BU149" s="1216"/>
      <c r="BV149" s="1216"/>
      <c r="BW149" s="1216"/>
      <c r="BX149" s="1216"/>
      <c r="BY149" s="1216"/>
      <c r="BZ149" s="1216"/>
      <c r="CA149" s="1216"/>
      <c r="CB149" s="1216"/>
      <c r="CC149" s="1216"/>
      <c r="CD149" s="1216"/>
      <c r="CE149" s="1216"/>
      <c r="CF149" s="1216"/>
      <c r="CG149" s="1216"/>
      <c r="CH149" s="1216"/>
    </row>
    <row r="150" spans="1:86" ht="20.149999999999999" customHeight="1">
      <c r="A150" s="1563" t="s">
        <v>1540</v>
      </c>
      <c r="B150" s="1563" t="s">
        <v>13</v>
      </c>
      <c r="C150" s="1563" t="str">
        <f t="shared" si="2"/>
        <v>PBPDDCIM48</v>
      </c>
      <c r="D150" s="1193">
        <v>48</v>
      </c>
      <c r="E150" s="1524"/>
      <c r="F150" s="1280">
        <v>1.1000000000000001</v>
      </c>
      <c r="G150" s="1280">
        <v>1.71</v>
      </c>
      <c r="H150" s="1280">
        <v>2.36</v>
      </c>
      <c r="I150" s="1280">
        <v>3.07</v>
      </c>
      <c r="J150" s="1280">
        <v>3.83</v>
      </c>
      <c r="K150" s="1280">
        <v>4.66</v>
      </c>
      <c r="L150" s="1280">
        <v>5.54</v>
      </c>
      <c r="M150" s="1280">
        <v>6.51</v>
      </c>
      <c r="N150" s="1280">
        <v>7.55</v>
      </c>
      <c r="O150" s="1280">
        <v>8.67</v>
      </c>
      <c r="P150" s="1280">
        <v>9.9</v>
      </c>
      <c r="Q150" s="1280">
        <v>11.24</v>
      </c>
      <c r="R150" s="1280">
        <v>12.7</v>
      </c>
      <c r="S150" s="1280">
        <v>14.09</v>
      </c>
      <c r="T150" s="1280">
        <v>15.59</v>
      </c>
      <c r="U150" s="1280">
        <v>17.190000000000001</v>
      </c>
      <c r="V150" s="1280">
        <v>18.91</v>
      </c>
      <c r="W150" s="1280">
        <v>20.77</v>
      </c>
      <c r="X150" s="1280">
        <v>22.76</v>
      </c>
      <c r="Y150" s="1280">
        <v>24.89</v>
      </c>
      <c r="Z150" s="1280">
        <v>27.18</v>
      </c>
      <c r="AA150" s="1280">
        <v>29.62</v>
      </c>
      <c r="AB150" s="1292">
        <v>32.200000000000003</v>
      </c>
      <c r="AC150" s="1192"/>
      <c r="AD150" s="1216"/>
      <c r="AE150" s="1216"/>
      <c r="AF150" s="1216"/>
      <c r="AG150" s="1216"/>
      <c r="AH150" s="1216"/>
      <c r="AI150" s="1216"/>
      <c r="AJ150" s="1216"/>
      <c r="AK150" s="1216"/>
      <c r="AL150" s="1216"/>
      <c r="AM150" s="1216"/>
      <c r="AN150" s="1216"/>
      <c r="AO150" s="1216"/>
      <c r="AP150" s="1216"/>
      <c r="AQ150" s="1216"/>
      <c r="AR150" s="1216"/>
      <c r="AS150" s="1216"/>
      <c r="AT150" s="1216"/>
      <c r="AU150" s="1216"/>
      <c r="AV150" s="1216"/>
      <c r="AW150" s="1216"/>
      <c r="AX150" s="1216"/>
      <c r="AY150" s="1216"/>
      <c r="AZ150" s="1216"/>
      <c r="BA150" s="1216"/>
      <c r="BB150" s="1216"/>
      <c r="BC150" s="1216"/>
      <c r="BD150" s="1216"/>
      <c r="BE150" s="1216"/>
      <c r="BF150" s="1216"/>
      <c r="BG150" s="1216"/>
      <c r="BH150" s="1216"/>
      <c r="BI150" s="1216"/>
      <c r="BJ150" s="1216"/>
      <c r="BK150" s="1216"/>
      <c r="BL150" s="1216"/>
      <c r="BM150" s="1216"/>
      <c r="BN150" s="1216"/>
      <c r="BO150" s="1216"/>
      <c r="BP150" s="1216"/>
      <c r="BQ150" s="1216"/>
      <c r="BR150" s="1216"/>
      <c r="BS150" s="1216"/>
      <c r="BT150" s="1216"/>
      <c r="BU150" s="1216"/>
      <c r="BV150" s="1216"/>
      <c r="BW150" s="1216"/>
      <c r="BX150" s="1216"/>
      <c r="BY150" s="1216"/>
      <c r="BZ150" s="1216"/>
      <c r="CA150" s="1216"/>
      <c r="CB150" s="1216"/>
      <c r="CC150" s="1216"/>
      <c r="CD150" s="1216"/>
      <c r="CE150" s="1216"/>
      <c r="CF150" s="1216"/>
      <c r="CG150" s="1216"/>
      <c r="CH150" s="1216"/>
    </row>
    <row r="151" spans="1:86" ht="20.149999999999999" customHeight="1">
      <c r="A151" s="1563" t="s">
        <v>1540</v>
      </c>
      <c r="B151" s="1563" t="s">
        <v>13</v>
      </c>
      <c r="C151" s="1563" t="str">
        <f t="shared" si="2"/>
        <v>PBPDDCIM49</v>
      </c>
      <c r="D151" s="1193">
        <v>49</v>
      </c>
      <c r="E151" s="1524"/>
      <c r="F151" s="1280">
        <v>1.18</v>
      </c>
      <c r="G151" s="1280">
        <v>1.84</v>
      </c>
      <c r="H151" s="1280">
        <v>2.5499999999999998</v>
      </c>
      <c r="I151" s="1280">
        <v>3.31</v>
      </c>
      <c r="J151" s="1280">
        <v>4.1399999999999997</v>
      </c>
      <c r="K151" s="1280">
        <v>5.03</v>
      </c>
      <c r="L151" s="1280">
        <v>6</v>
      </c>
      <c r="M151" s="1280">
        <v>7.04</v>
      </c>
      <c r="N151" s="1280">
        <v>8.17</v>
      </c>
      <c r="O151" s="1280">
        <v>9.41</v>
      </c>
      <c r="P151" s="1280">
        <v>10.75</v>
      </c>
      <c r="Q151" s="1280">
        <v>12.22</v>
      </c>
      <c r="R151" s="1280">
        <v>13.84</v>
      </c>
      <c r="S151" s="1280">
        <v>15.37</v>
      </c>
      <c r="T151" s="1280">
        <v>17.03</v>
      </c>
      <c r="U151" s="1280">
        <v>18.809999999999999</v>
      </c>
      <c r="V151" s="1280">
        <v>20.72</v>
      </c>
      <c r="W151" s="1280">
        <v>22.78</v>
      </c>
      <c r="X151" s="1280">
        <v>24.98</v>
      </c>
      <c r="Y151" s="1280">
        <v>27.35</v>
      </c>
      <c r="Z151" s="1280">
        <v>29.87</v>
      </c>
      <c r="AA151" s="1280">
        <v>32.549999999999997</v>
      </c>
      <c r="AB151" s="1292">
        <v>35.39</v>
      </c>
      <c r="AC151" s="1192"/>
      <c r="AD151" s="1216"/>
      <c r="AE151" s="1216"/>
      <c r="AF151" s="1216"/>
      <c r="AG151" s="1216"/>
      <c r="AH151" s="1216"/>
      <c r="AI151" s="1216"/>
      <c r="AJ151" s="1216"/>
      <c r="AK151" s="1216"/>
      <c r="AL151" s="1216"/>
      <c r="AM151" s="1216"/>
      <c r="AN151" s="1216"/>
      <c r="AO151" s="1216"/>
      <c r="AP151" s="1216"/>
      <c r="AQ151" s="1216"/>
      <c r="AR151" s="1216"/>
      <c r="AS151" s="1216"/>
      <c r="AT151" s="1216"/>
      <c r="AU151" s="1216"/>
      <c r="AV151" s="1216"/>
      <c r="AW151" s="1216"/>
      <c r="AX151" s="1216"/>
      <c r="AY151" s="1216"/>
      <c r="AZ151" s="1216"/>
      <c r="BA151" s="1216"/>
      <c r="BB151" s="1216"/>
      <c r="BC151" s="1216"/>
      <c r="BD151" s="1216"/>
      <c r="BE151" s="1216"/>
      <c r="BF151" s="1216"/>
      <c r="BG151" s="1216"/>
      <c r="BH151" s="1216"/>
      <c r="BI151" s="1216"/>
      <c r="BJ151" s="1216"/>
      <c r="BK151" s="1216"/>
      <c r="BL151" s="1216"/>
      <c r="BM151" s="1216"/>
      <c r="BN151" s="1216"/>
      <c r="BO151" s="1216"/>
      <c r="BP151" s="1216"/>
      <c r="BQ151" s="1216"/>
      <c r="BR151" s="1216"/>
      <c r="BS151" s="1216"/>
      <c r="BT151" s="1216"/>
      <c r="BU151" s="1216"/>
      <c r="BV151" s="1216"/>
      <c r="BW151" s="1216"/>
      <c r="BX151" s="1216"/>
      <c r="BY151" s="1216"/>
      <c r="BZ151" s="1216"/>
      <c r="CA151" s="1216"/>
      <c r="CB151" s="1216"/>
      <c r="CC151" s="1216"/>
      <c r="CD151" s="1216"/>
      <c r="CE151" s="1216"/>
      <c r="CF151" s="1216"/>
      <c r="CG151" s="1216"/>
      <c r="CH151" s="1216"/>
    </row>
    <row r="152" spans="1:86" ht="20.149999999999999" customHeight="1">
      <c r="A152" s="1563" t="s">
        <v>1540</v>
      </c>
      <c r="B152" s="1563" t="s">
        <v>13</v>
      </c>
      <c r="C152" s="1563" t="str">
        <f t="shared" si="2"/>
        <v>PBPDDCIM50</v>
      </c>
      <c r="D152" s="1193">
        <v>50</v>
      </c>
      <c r="E152" s="1524"/>
      <c r="F152" s="1280">
        <v>1.27</v>
      </c>
      <c r="G152" s="1280">
        <v>1.99</v>
      </c>
      <c r="H152" s="1280">
        <v>2.75</v>
      </c>
      <c r="I152" s="1280">
        <v>3.58</v>
      </c>
      <c r="J152" s="1280">
        <v>4.47</v>
      </c>
      <c r="K152" s="1280">
        <v>5.44</v>
      </c>
      <c r="L152" s="1280">
        <v>6.49</v>
      </c>
      <c r="M152" s="1280">
        <v>7.63</v>
      </c>
      <c r="N152" s="1280">
        <v>8.8699999999999992</v>
      </c>
      <c r="O152" s="1280">
        <v>10.220000000000001</v>
      </c>
      <c r="P152" s="1280">
        <v>11.7</v>
      </c>
      <c r="Q152" s="1280">
        <v>13.32</v>
      </c>
      <c r="R152" s="1280">
        <v>15.11</v>
      </c>
      <c r="S152" s="1280">
        <v>16.809999999999999</v>
      </c>
      <c r="T152" s="1280">
        <v>18.649999999999999</v>
      </c>
      <c r="U152" s="1280">
        <v>20.62</v>
      </c>
      <c r="V152" s="1280">
        <v>22.75</v>
      </c>
      <c r="W152" s="1280">
        <v>25.03</v>
      </c>
      <c r="X152" s="1280">
        <v>27.48</v>
      </c>
      <c r="Y152" s="1280">
        <v>30.09</v>
      </c>
      <c r="Z152" s="1280">
        <v>32.86</v>
      </c>
      <c r="AA152" s="1280">
        <v>35.81</v>
      </c>
      <c r="AB152" s="1292">
        <v>38.93</v>
      </c>
      <c r="AC152" s="1192"/>
      <c r="AD152" s="1216"/>
      <c r="AE152" s="1216"/>
      <c r="AF152" s="1216"/>
      <c r="AG152" s="1216"/>
      <c r="AH152" s="1216"/>
      <c r="AI152" s="1216"/>
      <c r="AJ152" s="1216"/>
      <c r="AK152" s="1216"/>
      <c r="AL152" s="1216"/>
      <c r="AM152" s="1216"/>
      <c r="AN152" s="1216"/>
      <c r="AO152" s="1216"/>
      <c r="AP152" s="1216"/>
      <c r="AQ152" s="1216"/>
      <c r="AR152" s="1216"/>
      <c r="AS152" s="1216"/>
      <c r="AT152" s="1216"/>
      <c r="AU152" s="1216"/>
      <c r="AV152" s="1216"/>
      <c r="AW152" s="1216"/>
      <c r="AX152" s="1216"/>
      <c r="AY152" s="1216"/>
      <c r="AZ152" s="1216"/>
      <c r="BA152" s="1216"/>
      <c r="BB152" s="1216"/>
      <c r="BC152" s="1216"/>
      <c r="BD152" s="1216"/>
      <c r="BE152" s="1216"/>
      <c r="BF152" s="1216"/>
      <c r="BG152" s="1216"/>
      <c r="BH152" s="1216"/>
      <c r="BI152" s="1216"/>
      <c r="BJ152" s="1216"/>
      <c r="BK152" s="1216"/>
      <c r="BL152" s="1216"/>
      <c r="BM152" s="1216"/>
      <c r="BN152" s="1216"/>
      <c r="BO152" s="1216"/>
      <c r="BP152" s="1216"/>
      <c r="BQ152" s="1216"/>
      <c r="BR152" s="1216"/>
      <c r="BS152" s="1216"/>
      <c r="BT152" s="1216"/>
      <c r="BU152" s="1216"/>
      <c r="BV152" s="1216"/>
      <c r="BW152" s="1216"/>
      <c r="BX152" s="1216"/>
      <c r="BY152" s="1216"/>
      <c r="BZ152" s="1216"/>
      <c r="CA152" s="1216"/>
      <c r="CB152" s="1216"/>
      <c r="CC152" s="1216"/>
      <c r="CD152" s="1216"/>
      <c r="CE152" s="1216"/>
      <c r="CF152" s="1216"/>
      <c r="CG152" s="1216"/>
      <c r="CH152" s="1216"/>
    </row>
    <row r="153" spans="1:86" ht="20.149999999999999" customHeight="1">
      <c r="A153" s="1563" t="s">
        <v>1540</v>
      </c>
      <c r="B153" s="1563" t="s">
        <v>13</v>
      </c>
      <c r="C153" s="1563" t="str">
        <f t="shared" si="2"/>
        <v>PBPDDCIM51</v>
      </c>
      <c r="D153" s="1194">
        <v>51</v>
      </c>
      <c r="E153" s="1525"/>
      <c r="F153" s="1281">
        <v>1.37</v>
      </c>
      <c r="G153" s="1281">
        <v>2.14</v>
      </c>
      <c r="H153" s="1281">
        <v>2.97</v>
      </c>
      <c r="I153" s="1281">
        <v>3.87</v>
      </c>
      <c r="J153" s="1281">
        <v>4.84</v>
      </c>
      <c r="K153" s="1281">
        <v>5.9</v>
      </c>
      <c r="L153" s="1281">
        <v>7.04</v>
      </c>
      <c r="M153" s="1281">
        <v>8.2799999999999994</v>
      </c>
      <c r="N153" s="1281">
        <v>9.64</v>
      </c>
      <c r="O153" s="1281">
        <v>11.13</v>
      </c>
      <c r="P153" s="1281">
        <v>12.77</v>
      </c>
      <c r="Q153" s="1281">
        <v>14.56</v>
      </c>
      <c r="R153" s="1281">
        <v>16.54</v>
      </c>
      <c r="S153" s="1281">
        <v>18.440000000000001</v>
      </c>
      <c r="T153" s="1281">
        <v>20.48</v>
      </c>
      <c r="U153" s="1281">
        <v>22.68</v>
      </c>
      <c r="V153" s="1281">
        <v>25.04</v>
      </c>
      <c r="W153" s="1281">
        <v>27.57</v>
      </c>
      <c r="X153" s="1281">
        <v>30.27</v>
      </c>
      <c r="Y153" s="1281">
        <v>33.15</v>
      </c>
      <c r="Z153" s="1281">
        <v>36.200000000000003</v>
      </c>
      <c r="AA153" s="1281">
        <v>39.44</v>
      </c>
      <c r="AB153" s="1293">
        <v>42.85</v>
      </c>
      <c r="AC153" s="1192"/>
      <c r="AD153" s="1216"/>
      <c r="AE153" s="1216"/>
      <c r="AF153" s="1216"/>
      <c r="AG153" s="1216"/>
      <c r="AH153" s="1216"/>
      <c r="AI153" s="1216"/>
      <c r="AJ153" s="1216"/>
      <c r="AK153" s="1216"/>
      <c r="AL153" s="1216"/>
      <c r="AM153" s="1216"/>
      <c r="AN153" s="1216"/>
      <c r="AO153" s="1216"/>
      <c r="AP153" s="1216"/>
      <c r="AQ153" s="1216"/>
      <c r="AR153" s="1216"/>
      <c r="AS153" s="1216"/>
      <c r="AT153" s="1216"/>
      <c r="AU153" s="1216"/>
      <c r="AV153" s="1216"/>
      <c r="AW153" s="1216"/>
      <c r="AX153" s="1216"/>
      <c r="AY153" s="1216"/>
      <c r="AZ153" s="1216"/>
      <c r="BA153" s="1216"/>
      <c r="BB153" s="1216"/>
      <c r="BC153" s="1216"/>
      <c r="BD153" s="1216"/>
      <c r="BE153" s="1216"/>
      <c r="BF153" s="1216"/>
      <c r="BG153" s="1216"/>
      <c r="BH153" s="1216"/>
      <c r="BI153" s="1216"/>
      <c r="BJ153" s="1216"/>
      <c r="BK153" s="1216"/>
      <c r="BL153" s="1216"/>
      <c r="BM153" s="1216"/>
      <c r="BN153" s="1216"/>
      <c r="BO153" s="1216"/>
      <c r="BP153" s="1216"/>
      <c r="BQ153" s="1216"/>
      <c r="BR153" s="1216"/>
      <c r="BS153" s="1216"/>
      <c r="BT153" s="1216"/>
      <c r="BU153" s="1216"/>
      <c r="BV153" s="1216"/>
      <c r="BW153" s="1216"/>
      <c r="BX153" s="1216"/>
      <c r="BY153" s="1216"/>
      <c r="BZ153" s="1216"/>
      <c r="CA153" s="1216"/>
      <c r="CB153" s="1216"/>
      <c r="CC153" s="1216"/>
      <c r="CD153" s="1216"/>
      <c r="CE153" s="1216"/>
      <c r="CF153" s="1216"/>
      <c r="CG153" s="1216"/>
      <c r="CH153" s="1216"/>
    </row>
    <row r="154" spans="1:86" ht="20.149999999999999" customHeight="1">
      <c r="A154" s="1563" t="s">
        <v>1540</v>
      </c>
      <c r="B154" s="1563" t="s">
        <v>13</v>
      </c>
      <c r="C154" s="1563" t="str">
        <f t="shared" si="2"/>
        <v>PBPDDCIM52</v>
      </c>
      <c r="D154" s="1193">
        <v>52</v>
      </c>
      <c r="E154" s="1524"/>
      <c r="F154" s="1280">
        <v>1.49</v>
      </c>
      <c r="G154" s="1280">
        <v>2.3199999999999998</v>
      </c>
      <c r="H154" s="1280">
        <v>3.22</v>
      </c>
      <c r="I154" s="1280">
        <v>4.1900000000000004</v>
      </c>
      <c r="J154" s="1280">
        <v>5.25</v>
      </c>
      <c r="K154" s="1280">
        <v>6.4</v>
      </c>
      <c r="L154" s="1280">
        <v>7.65</v>
      </c>
      <c r="M154" s="1280">
        <v>9.02</v>
      </c>
      <c r="N154" s="1280">
        <v>10.51</v>
      </c>
      <c r="O154" s="1280">
        <v>12.16</v>
      </c>
      <c r="P154" s="1280">
        <v>13.97</v>
      </c>
      <c r="Q154" s="1280">
        <v>15.97</v>
      </c>
      <c r="R154" s="1280">
        <v>18.170000000000002</v>
      </c>
      <c r="S154" s="1280">
        <v>20.28</v>
      </c>
      <c r="T154" s="1280">
        <v>22.55</v>
      </c>
      <c r="U154" s="1280">
        <v>24.99</v>
      </c>
      <c r="V154" s="1280">
        <v>27.62</v>
      </c>
      <c r="W154" s="1280">
        <v>30.42</v>
      </c>
      <c r="X154" s="1280">
        <v>33.4</v>
      </c>
      <c r="Y154" s="1280">
        <v>36.57</v>
      </c>
      <c r="Z154" s="1280">
        <v>39.93</v>
      </c>
      <c r="AA154" s="1280">
        <v>43.47</v>
      </c>
      <c r="AB154" s="1292">
        <v>47.21</v>
      </c>
      <c r="AC154" s="1192"/>
      <c r="AD154" s="1216"/>
      <c r="AE154" s="1216"/>
      <c r="AF154" s="1216"/>
      <c r="AG154" s="1216"/>
      <c r="AH154" s="1216"/>
      <c r="AI154" s="1216"/>
      <c r="AJ154" s="1216"/>
      <c r="AK154" s="1216"/>
      <c r="AL154" s="1216"/>
      <c r="AM154" s="1216"/>
      <c r="AN154" s="1216"/>
      <c r="AO154" s="1216"/>
      <c r="AP154" s="1216"/>
      <c r="AQ154" s="1216"/>
      <c r="AR154" s="1216"/>
      <c r="AS154" s="1216"/>
      <c r="AT154" s="1216"/>
      <c r="AU154" s="1216"/>
      <c r="AV154" s="1216"/>
      <c r="AW154" s="1216"/>
      <c r="AX154" s="1216"/>
      <c r="AY154" s="1216"/>
      <c r="AZ154" s="1216"/>
      <c r="BA154" s="1216"/>
      <c r="BB154" s="1216"/>
      <c r="BC154" s="1216"/>
      <c r="BD154" s="1216"/>
      <c r="BE154" s="1216"/>
      <c r="BF154" s="1216"/>
      <c r="BG154" s="1216"/>
      <c r="BH154" s="1216"/>
      <c r="BI154" s="1216"/>
      <c r="BJ154" s="1216"/>
      <c r="BK154" s="1216"/>
      <c r="BL154" s="1216"/>
      <c r="BM154" s="1216"/>
      <c r="BN154" s="1216"/>
      <c r="BO154" s="1216"/>
      <c r="BP154" s="1216"/>
      <c r="BQ154" s="1216"/>
      <c r="BR154" s="1216"/>
      <c r="BS154" s="1216"/>
      <c r="BT154" s="1216"/>
      <c r="BU154" s="1216"/>
      <c r="BV154" s="1216"/>
      <c r="BW154" s="1216"/>
      <c r="BX154" s="1216"/>
      <c r="BY154" s="1216"/>
      <c r="BZ154" s="1216"/>
      <c r="CA154" s="1216"/>
      <c r="CB154" s="1216"/>
      <c r="CC154" s="1216"/>
      <c r="CD154" s="1216"/>
      <c r="CE154" s="1216"/>
      <c r="CF154" s="1216"/>
      <c r="CG154" s="1216"/>
      <c r="CH154" s="1216"/>
    </row>
    <row r="155" spans="1:86" ht="20.149999999999999" customHeight="1">
      <c r="A155" s="1563" t="s">
        <v>1540</v>
      </c>
      <c r="B155" s="1563" t="s">
        <v>13</v>
      </c>
      <c r="C155" s="1563" t="str">
        <f t="shared" si="2"/>
        <v>PBPDDCIM53</v>
      </c>
      <c r="D155" s="1193">
        <v>53</v>
      </c>
      <c r="E155" s="1524"/>
      <c r="F155" s="1280">
        <v>1.61</v>
      </c>
      <c r="G155" s="1280">
        <v>2.5099999999999998</v>
      </c>
      <c r="H155" s="1280">
        <v>3.49</v>
      </c>
      <c r="I155" s="1280">
        <v>4.55</v>
      </c>
      <c r="J155" s="1280">
        <v>5.7</v>
      </c>
      <c r="K155" s="1280">
        <v>6.96</v>
      </c>
      <c r="L155" s="1280">
        <v>8.34</v>
      </c>
      <c r="M155" s="1280">
        <v>9.84</v>
      </c>
      <c r="N155" s="1280">
        <v>11.5</v>
      </c>
      <c r="O155" s="1280">
        <v>13.33</v>
      </c>
      <c r="P155" s="1280">
        <v>15.34</v>
      </c>
      <c r="Q155" s="1280">
        <v>17.559999999999999</v>
      </c>
      <c r="R155" s="1280">
        <v>20.010000000000002</v>
      </c>
      <c r="S155" s="1280">
        <v>22.36</v>
      </c>
      <c r="T155" s="1280">
        <v>24.9</v>
      </c>
      <c r="U155" s="1280">
        <v>27.61</v>
      </c>
      <c r="V155" s="1280">
        <v>30.52</v>
      </c>
      <c r="W155" s="1280">
        <v>33.61</v>
      </c>
      <c r="X155" s="1280">
        <v>36.9</v>
      </c>
      <c r="Y155" s="1280">
        <v>40.39</v>
      </c>
      <c r="Z155" s="1280">
        <v>44.08</v>
      </c>
      <c r="AA155" s="1280">
        <v>47.96</v>
      </c>
      <c r="AB155" s="1292">
        <v>52.04</v>
      </c>
      <c r="AC155" s="1192"/>
      <c r="AD155" s="1216"/>
      <c r="AE155" s="1216"/>
      <c r="AF155" s="1216"/>
      <c r="AG155" s="1216"/>
      <c r="AH155" s="1216"/>
      <c r="AI155" s="1216"/>
      <c r="AJ155" s="1216"/>
      <c r="AK155" s="1216"/>
      <c r="AL155" s="1216"/>
      <c r="AM155" s="1216"/>
      <c r="AN155" s="1216"/>
      <c r="AO155" s="1216"/>
      <c r="AP155" s="1216"/>
      <c r="AQ155" s="1216"/>
      <c r="AR155" s="1216"/>
      <c r="AS155" s="1216"/>
      <c r="AT155" s="1216"/>
      <c r="AU155" s="1216"/>
      <c r="AV155" s="1216"/>
      <c r="AW155" s="1216"/>
      <c r="AX155" s="1216"/>
      <c r="AY155" s="1216"/>
      <c r="AZ155" s="1216"/>
      <c r="BA155" s="1216"/>
      <c r="BB155" s="1216"/>
      <c r="BC155" s="1216"/>
      <c r="BD155" s="1216"/>
      <c r="BE155" s="1216"/>
      <c r="BF155" s="1216"/>
      <c r="BG155" s="1216"/>
      <c r="BH155" s="1216"/>
      <c r="BI155" s="1216"/>
      <c r="BJ155" s="1216"/>
      <c r="BK155" s="1216"/>
      <c r="BL155" s="1216"/>
      <c r="BM155" s="1216"/>
      <c r="BN155" s="1216"/>
      <c r="BO155" s="1216"/>
      <c r="BP155" s="1216"/>
      <c r="BQ155" s="1216"/>
      <c r="BR155" s="1216"/>
      <c r="BS155" s="1216"/>
      <c r="BT155" s="1216"/>
      <c r="BU155" s="1216"/>
      <c r="BV155" s="1216"/>
      <c r="BW155" s="1216"/>
      <c r="BX155" s="1216"/>
      <c r="BY155" s="1216"/>
      <c r="BZ155" s="1216"/>
      <c r="CA155" s="1216"/>
      <c r="CB155" s="1216"/>
      <c r="CC155" s="1216"/>
      <c r="CD155" s="1216"/>
      <c r="CE155" s="1216"/>
      <c r="CF155" s="1216"/>
      <c r="CG155" s="1216"/>
      <c r="CH155" s="1216"/>
    </row>
    <row r="156" spans="1:86" ht="20.149999999999999" customHeight="1">
      <c r="A156" s="1563" t="s">
        <v>1540</v>
      </c>
      <c r="B156" s="1563" t="s">
        <v>13</v>
      </c>
      <c r="C156" s="1563" t="str">
        <f t="shared" si="2"/>
        <v>PBPDDCIM54</v>
      </c>
      <c r="D156" s="1193">
        <v>54</v>
      </c>
      <c r="E156" s="1524"/>
      <c r="F156" s="1280">
        <v>1.74</v>
      </c>
      <c r="G156" s="1280">
        <v>2.73</v>
      </c>
      <c r="H156" s="1280">
        <v>3.79</v>
      </c>
      <c r="I156" s="1280">
        <v>4.95</v>
      </c>
      <c r="J156" s="1280">
        <v>6.21</v>
      </c>
      <c r="K156" s="1280">
        <v>7.59</v>
      </c>
      <c r="L156" s="1280">
        <v>9.11</v>
      </c>
      <c r="M156" s="1280">
        <v>10.78</v>
      </c>
      <c r="N156" s="1280">
        <v>12.62</v>
      </c>
      <c r="O156" s="1280">
        <v>14.65</v>
      </c>
      <c r="P156" s="1280">
        <v>16.89</v>
      </c>
      <c r="Q156" s="1280">
        <v>19.37</v>
      </c>
      <c r="R156" s="1280">
        <v>22.11</v>
      </c>
      <c r="S156" s="1280">
        <v>24.73</v>
      </c>
      <c r="T156" s="1280">
        <v>27.55</v>
      </c>
      <c r="U156" s="1280">
        <v>30.56</v>
      </c>
      <c r="V156" s="1280">
        <v>33.770000000000003</v>
      </c>
      <c r="W156" s="1280">
        <v>37.19</v>
      </c>
      <c r="X156" s="1280">
        <v>40.81</v>
      </c>
      <c r="Y156" s="1280">
        <v>44.65</v>
      </c>
      <c r="Z156" s="1280">
        <v>48.69</v>
      </c>
      <c r="AA156" s="1280">
        <v>52.94</v>
      </c>
      <c r="AB156" s="1292">
        <v>57.39</v>
      </c>
      <c r="AC156" s="1192"/>
      <c r="AD156" s="1216"/>
      <c r="AE156" s="1216"/>
      <c r="AF156" s="1216"/>
      <c r="AG156" s="1216"/>
      <c r="AH156" s="1216"/>
      <c r="AI156" s="1216"/>
      <c r="AJ156" s="1216"/>
      <c r="AK156" s="1216"/>
      <c r="AL156" s="1216"/>
      <c r="AM156" s="1216"/>
      <c r="AN156" s="1216"/>
      <c r="AO156" s="1216"/>
      <c r="AP156" s="1216"/>
      <c r="AQ156" s="1216"/>
      <c r="AR156" s="1216"/>
      <c r="AS156" s="1216"/>
      <c r="AT156" s="1216"/>
      <c r="AU156" s="1216"/>
      <c r="AV156" s="1216"/>
      <c r="AW156" s="1216"/>
      <c r="AX156" s="1216"/>
      <c r="AY156" s="1216"/>
      <c r="AZ156" s="1216"/>
      <c r="BA156" s="1216"/>
      <c r="BB156" s="1216"/>
      <c r="BC156" s="1216"/>
      <c r="BD156" s="1216"/>
      <c r="BE156" s="1216"/>
      <c r="BF156" s="1216"/>
      <c r="BG156" s="1216"/>
      <c r="BH156" s="1216"/>
      <c r="BI156" s="1216"/>
      <c r="BJ156" s="1216"/>
      <c r="BK156" s="1216"/>
      <c r="BL156" s="1216"/>
      <c r="BM156" s="1216"/>
      <c r="BN156" s="1216"/>
      <c r="BO156" s="1216"/>
      <c r="BP156" s="1216"/>
      <c r="BQ156" s="1216"/>
      <c r="BR156" s="1216"/>
      <c r="BS156" s="1216"/>
      <c r="BT156" s="1216"/>
      <c r="BU156" s="1216"/>
      <c r="BV156" s="1216"/>
      <c r="BW156" s="1216"/>
      <c r="BX156" s="1216"/>
      <c r="BY156" s="1216"/>
      <c r="BZ156" s="1216"/>
      <c r="CA156" s="1216"/>
      <c r="CB156" s="1216"/>
      <c r="CC156" s="1216"/>
      <c r="CD156" s="1216"/>
      <c r="CE156" s="1216"/>
      <c r="CF156" s="1216"/>
      <c r="CG156" s="1216"/>
      <c r="CH156" s="1216"/>
    </row>
    <row r="157" spans="1:86" ht="20.149999999999999" customHeight="1">
      <c r="A157" s="1563" t="s">
        <v>1540</v>
      </c>
      <c r="B157" s="1563" t="s">
        <v>13</v>
      </c>
      <c r="C157" s="1563" t="str">
        <f t="shared" si="2"/>
        <v>PBPDDCIM55</v>
      </c>
      <c r="D157" s="1195">
        <v>55</v>
      </c>
      <c r="E157" s="1526"/>
      <c r="F157" s="1282">
        <v>1.89</v>
      </c>
      <c r="G157" s="1282">
        <v>2.96</v>
      </c>
      <c r="H157" s="1282">
        <v>4.12</v>
      </c>
      <c r="I157" s="1282">
        <v>5.39</v>
      </c>
      <c r="J157" s="1282">
        <v>6.78</v>
      </c>
      <c r="K157" s="1282">
        <v>8.31</v>
      </c>
      <c r="L157" s="1282">
        <v>9.99</v>
      </c>
      <c r="M157" s="1282">
        <v>11.85</v>
      </c>
      <c r="N157" s="1282">
        <v>13.9</v>
      </c>
      <c r="O157" s="1282">
        <v>16.16</v>
      </c>
      <c r="P157" s="1282">
        <v>18.670000000000002</v>
      </c>
      <c r="Q157" s="1282">
        <v>21.43</v>
      </c>
      <c r="R157" s="1282">
        <v>24.49</v>
      </c>
      <c r="S157" s="1282">
        <v>27.41</v>
      </c>
      <c r="T157" s="1282">
        <v>30.54</v>
      </c>
      <c r="U157" s="1282">
        <v>33.869999999999997</v>
      </c>
      <c r="V157" s="1282">
        <v>37.42</v>
      </c>
      <c r="W157" s="1282">
        <v>41.19</v>
      </c>
      <c r="X157" s="1282">
        <v>45.18</v>
      </c>
      <c r="Y157" s="1282">
        <v>49.4</v>
      </c>
      <c r="Z157" s="1282">
        <v>53.83</v>
      </c>
      <c r="AA157" s="1282">
        <v>58.47</v>
      </c>
      <c r="AB157" s="1294">
        <v>63.3</v>
      </c>
      <c r="AC157" s="1192"/>
      <c r="AD157" s="1216"/>
      <c r="AE157" s="1216"/>
      <c r="AF157" s="1216"/>
      <c r="AG157" s="1216"/>
      <c r="AH157" s="1216"/>
      <c r="AI157" s="1216"/>
      <c r="AJ157" s="1216"/>
      <c r="AK157" s="1216"/>
      <c r="AL157" s="1216"/>
      <c r="AM157" s="1216"/>
      <c r="AN157" s="1216"/>
      <c r="AO157" s="1216"/>
      <c r="AP157" s="1216"/>
      <c r="AQ157" s="1216"/>
      <c r="AR157" s="1216"/>
      <c r="AS157" s="1216"/>
      <c r="AT157" s="1216"/>
      <c r="AU157" s="1216"/>
      <c r="AV157" s="1216"/>
      <c r="AW157" s="1216"/>
      <c r="AX157" s="1216"/>
      <c r="AY157" s="1216"/>
      <c r="AZ157" s="1216"/>
      <c r="BA157" s="1216"/>
      <c r="BB157" s="1216"/>
      <c r="BC157" s="1216"/>
      <c r="BD157" s="1216"/>
      <c r="BE157" s="1216"/>
      <c r="BF157" s="1216"/>
      <c r="BG157" s="1216"/>
      <c r="BH157" s="1216"/>
      <c r="BI157" s="1216"/>
      <c r="BJ157" s="1216"/>
      <c r="BK157" s="1216"/>
      <c r="BL157" s="1216"/>
      <c r="BM157" s="1216"/>
      <c r="BN157" s="1216"/>
      <c r="BO157" s="1216"/>
      <c r="BP157" s="1216"/>
      <c r="BQ157" s="1216"/>
      <c r="BR157" s="1216"/>
      <c r="BS157" s="1216"/>
      <c r="BT157" s="1216"/>
      <c r="BU157" s="1216"/>
      <c r="BV157" s="1216"/>
      <c r="BW157" s="1216"/>
      <c r="BX157" s="1216"/>
      <c r="BY157" s="1216"/>
      <c r="BZ157" s="1216"/>
      <c r="CA157" s="1216"/>
      <c r="CB157" s="1216"/>
      <c r="CC157" s="1216"/>
      <c r="CD157" s="1216"/>
      <c r="CE157" s="1216"/>
      <c r="CF157" s="1216"/>
      <c r="CG157" s="1216"/>
      <c r="CH157" s="1216"/>
    </row>
    <row r="158" spans="1:86" ht="20.149999999999999" customHeight="1">
      <c r="A158" s="1563" t="s">
        <v>1540</v>
      </c>
      <c r="B158" s="1563" t="s">
        <v>13</v>
      </c>
      <c r="C158" s="1563" t="str">
        <f t="shared" si="2"/>
        <v>PBPDDCIM56</v>
      </c>
      <c r="D158" s="1193">
        <v>56</v>
      </c>
      <c r="E158" s="1524"/>
      <c r="F158" s="1280">
        <v>2.06</v>
      </c>
      <c r="G158" s="1280">
        <v>3.22</v>
      </c>
      <c r="H158" s="1280">
        <v>4.5</v>
      </c>
      <c r="I158" s="1280">
        <v>5.9</v>
      </c>
      <c r="J158" s="1280">
        <v>7.44</v>
      </c>
      <c r="K158" s="1280">
        <v>9.1300000000000008</v>
      </c>
      <c r="L158" s="1280">
        <v>11</v>
      </c>
      <c r="M158" s="1280">
        <v>13.07</v>
      </c>
      <c r="N158" s="1280">
        <v>15.36</v>
      </c>
      <c r="O158" s="1280">
        <v>17.89</v>
      </c>
      <c r="P158" s="1280">
        <v>20.7</v>
      </c>
      <c r="Q158" s="1280">
        <v>23.79</v>
      </c>
      <c r="R158" s="1280">
        <v>27.2</v>
      </c>
      <c r="S158" s="1280">
        <v>30.44</v>
      </c>
      <c r="T158" s="1280">
        <v>33.909999999999997</v>
      </c>
      <c r="U158" s="1280">
        <v>37.6</v>
      </c>
      <c r="V158" s="1280">
        <v>41.52</v>
      </c>
      <c r="W158" s="1280">
        <v>45.68</v>
      </c>
      <c r="X158" s="1280">
        <v>50.07</v>
      </c>
      <c r="Y158" s="1280">
        <v>54.69</v>
      </c>
      <c r="Z158" s="1280">
        <v>59.54</v>
      </c>
      <c r="AA158" s="1280">
        <v>64.59</v>
      </c>
      <c r="AB158" s="1292">
        <v>70.430000000000007</v>
      </c>
      <c r="AC158" s="1192"/>
      <c r="AD158" s="1216"/>
      <c r="AE158" s="1216"/>
      <c r="AF158" s="1216"/>
      <c r="AG158" s="1216"/>
      <c r="AH158" s="1216"/>
      <c r="AI158" s="1216"/>
      <c r="AJ158" s="1216"/>
      <c r="AK158" s="1216"/>
      <c r="AL158" s="1216"/>
      <c r="AM158" s="1216"/>
      <c r="AN158" s="1216"/>
      <c r="AO158" s="1216"/>
      <c r="AP158" s="1216"/>
      <c r="AQ158" s="1216"/>
      <c r="AR158" s="1216"/>
      <c r="AS158" s="1216"/>
      <c r="AT158" s="1216"/>
      <c r="AU158" s="1216"/>
      <c r="AV158" s="1216"/>
      <c r="AW158" s="1216"/>
      <c r="AX158" s="1216"/>
      <c r="AY158" s="1216"/>
      <c r="AZ158" s="1216"/>
      <c r="BA158" s="1216"/>
      <c r="BB158" s="1216"/>
      <c r="BC158" s="1216"/>
      <c r="BD158" s="1216"/>
      <c r="BE158" s="1216"/>
      <c r="BF158" s="1216"/>
      <c r="BG158" s="1216"/>
      <c r="BH158" s="1216"/>
      <c r="BI158" s="1216"/>
      <c r="BJ158" s="1216"/>
      <c r="BK158" s="1216"/>
      <c r="BL158" s="1216"/>
      <c r="BM158" s="1216"/>
      <c r="BN158" s="1216"/>
      <c r="BO158" s="1216"/>
      <c r="BP158" s="1216"/>
      <c r="BQ158" s="1216"/>
      <c r="BR158" s="1216"/>
      <c r="BS158" s="1216"/>
      <c r="BT158" s="1216"/>
      <c r="BU158" s="1216"/>
      <c r="BV158" s="1216"/>
      <c r="BW158" s="1216"/>
      <c r="BX158" s="1216"/>
      <c r="BY158" s="1216"/>
      <c r="BZ158" s="1216"/>
      <c r="CA158" s="1216"/>
      <c r="CB158" s="1216"/>
      <c r="CC158" s="1216"/>
      <c r="CD158" s="1216"/>
      <c r="CE158" s="1216"/>
      <c r="CF158" s="1216"/>
      <c r="CG158" s="1216"/>
      <c r="CH158" s="1216"/>
    </row>
    <row r="159" spans="1:86" ht="20.149999999999999" customHeight="1">
      <c r="A159" s="1563" t="s">
        <v>1540</v>
      </c>
      <c r="B159" s="1563" t="s">
        <v>13</v>
      </c>
      <c r="C159" s="1563" t="str">
        <f t="shared" si="2"/>
        <v>PBPDDCIM57</v>
      </c>
      <c r="D159" s="1193">
        <v>57</v>
      </c>
      <c r="E159" s="1524"/>
      <c r="F159" s="1280">
        <v>2.2400000000000002</v>
      </c>
      <c r="G159" s="1280">
        <v>3.52</v>
      </c>
      <c r="H159" s="1280">
        <v>4.93</v>
      </c>
      <c r="I159" s="1280">
        <v>6.48</v>
      </c>
      <c r="J159" s="1280">
        <v>8.19</v>
      </c>
      <c r="K159" s="1280">
        <v>10.08</v>
      </c>
      <c r="L159" s="1280">
        <v>12.17</v>
      </c>
      <c r="M159" s="1280">
        <v>14.48</v>
      </c>
      <c r="N159" s="1280">
        <v>17.04</v>
      </c>
      <c r="O159" s="1280">
        <v>19.88</v>
      </c>
      <c r="P159" s="1280">
        <v>23.01</v>
      </c>
      <c r="Q159" s="1280">
        <v>26.47</v>
      </c>
      <c r="R159" s="1280">
        <v>30.27</v>
      </c>
      <c r="S159" s="1280">
        <v>33.869999999999997</v>
      </c>
      <c r="T159" s="1280">
        <v>37.71</v>
      </c>
      <c r="U159" s="1280">
        <v>41.79</v>
      </c>
      <c r="V159" s="1280">
        <v>46.12</v>
      </c>
      <c r="W159" s="1280">
        <v>50.7</v>
      </c>
      <c r="X159" s="1280">
        <v>55.53</v>
      </c>
      <c r="Y159" s="1280">
        <v>60.59</v>
      </c>
      <c r="Z159" s="1280">
        <v>65.87</v>
      </c>
      <c r="AA159" s="1280">
        <v>72.02</v>
      </c>
      <c r="AB159" s="1292">
        <v>78.11</v>
      </c>
      <c r="AC159" s="1192"/>
      <c r="AD159" s="1216"/>
      <c r="AE159" s="1216"/>
      <c r="AF159" s="1216"/>
      <c r="AG159" s="1216"/>
      <c r="AH159" s="1216"/>
      <c r="AI159" s="1216"/>
      <c r="AJ159" s="1216"/>
      <c r="AK159" s="1216"/>
      <c r="AL159" s="1216"/>
      <c r="AM159" s="1216"/>
      <c r="AN159" s="1216"/>
      <c r="AO159" s="1216"/>
      <c r="AP159" s="1216"/>
      <c r="AQ159" s="1216"/>
      <c r="AR159" s="1216"/>
      <c r="AS159" s="1216"/>
      <c r="AT159" s="1216"/>
      <c r="AU159" s="1216"/>
      <c r="AV159" s="1216"/>
      <c r="AW159" s="1216"/>
      <c r="AX159" s="1216"/>
      <c r="AY159" s="1216"/>
      <c r="AZ159" s="1216"/>
      <c r="BA159" s="1216"/>
      <c r="BB159" s="1216"/>
      <c r="BC159" s="1216"/>
      <c r="BD159" s="1216"/>
      <c r="BE159" s="1216"/>
      <c r="BF159" s="1216"/>
      <c r="BG159" s="1216"/>
      <c r="BH159" s="1216"/>
      <c r="BI159" s="1216"/>
      <c r="BJ159" s="1216"/>
      <c r="BK159" s="1216"/>
      <c r="BL159" s="1216"/>
      <c r="BM159" s="1216"/>
      <c r="BN159" s="1216"/>
      <c r="BO159" s="1216"/>
      <c r="BP159" s="1216"/>
      <c r="BQ159" s="1216"/>
      <c r="BR159" s="1216"/>
      <c r="BS159" s="1216"/>
      <c r="BT159" s="1216"/>
      <c r="BU159" s="1216"/>
      <c r="BV159" s="1216"/>
      <c r="BW159" s="1216"/>
      <c r="BX159" s="1216"/>
      <c r="BY159" s="1216"/>
      <c r="BZ159" s="1216"/>
      <c r="CA159" s="1216"/>
      <c r="CB159" s="1216"/>
      <c r="CC159" s="1216"/>
      <c r="CD159" s="1216"/>
      <c r="CE159" s="1216"/>
      <c r="CF159" s="1216"/>
      <c r="CG159" s="1216"/>
      <c r="CH159" s="1216"/>
    </row>
    <row r="160" spans="1:86" ht="20.149999999999999" customHeight="1">
      <c r="A160" s="1563" t="s">
        <v>1540</v>
      </c>
      <c r="B160" s="1563" t="s">
        <v>13</v>
      </c>
      <c r="C160" s="1563" t="str">
        <f t="shared" si="2"/>
        <v>PBPDDCIM58</v>
      </c>
      <c r="D160" s="1193">
        <v>58</v>
      </c>
      <c r="E160" s="1524"/>
      <c r="F160" s="1280">
        <v>2.46</v>
      </c>
      <c r="G160" s="1280">
        <v>3.88</v>
      </c>
      <c r="H160" s="1280">
        <v>5.44</v>
      </c>
      <c r="I160" s="1280">
        <v>7.16</v>
      </c>
      <c r="J160" s="1280">
        <v>9.07</v>
      </c>
      <c r="K160" s="1280">
        <v>11.18</v>
      </c>
      <c r="L160" s="1280">
        <v>13.51</v>
      </c>
      <c r="M160" s="1280">
        <v>16.11</v>
      </c>
      <c r="N160" s="1280">
        <v>18.98</v>
      </c>
      <c r="O160" s="1280">
        <v>22.15</v>
      </c>
      <c r="P160" s="1280">
        <v>25.66</v>
      </c>
      <c r="Q160" s="1280">
        <v>29.52</v>
      </c>
      <c r="R160" s="1280">
        <v>33.74</v>
      </c>
      <c r="S160" s="1280">
        <v>37.729999999999997</v>
      </c>
      <c r="T160" s="1280">
        <v>41.98</v>
      </c>
      <c r="U160" s="1280">
        <v>46.5</v>
      </c>
      <c r="V160" s="1280">
        <v>51.28</v>
      </c>
      <c r="W160" s="1280">
        <v>56.32</v>
      </c>
      <c r="X160" s="1280">
        <v>61.62</v>
      </c>
      <c r="Y160" s="1280">
        <v>67.150000000000006</v>
      </c>
      <c r="Z160" s="1280">
        <v>73.63</v>
      </c>
      <c r="AA160" s="1280">
        <v>80.040000000000006</v>
      </c>
      <c r="AB160" s="1292">
        <v>86.39</v>
      </c>
      <c r="AC160" s="1192"/>
      <c r="AD160" s="1216"/>
      <c r="AE160" s="1216"/>
      <c r="AF160" s="1216"/>
      <c r="AG160" s="1216"/>
      <c r="AH160" s="1216"/>
      <c r="AI160" s="1216"/>
      <c r="AJ160" s="1216"/>
      <c r="AK160" s="1216"/>
      <c r="AL160" s="1216"/>
      <c r="AM160" s="1216"/>
      <c r="AN160" s="1216"/>
      <c r="AO160" s="1216"/>
      <c r="AP160" s="1216"/>
      <c r="AQ160" s="1216"/>
      <c r="AR160" s="1216"/>
      <c r="AS160" s="1216"/>
      <c r="AT160" s="1216"/>
      <c r="AU160" s="1216"/>
      <c r="AV160" s="1216"/>
      <c r="AW160" s="1216"/>
      <c r="AX160" s="1216"/>
      <c r="AY160" s="1216"/>
      <c r="AZ160" s="1216"/>
      <c r="BA160" s="1216"/>
      <c r="BB160" s="1216"/>
      <c r="BC160" s="1216"/>
      <c r="BD160" s="1216"/>
      <c r="BE160" s="1216"/>
      <c r="BF160" s="1216"/>
      <c r="BG160" s="1216"/>
      <c r="BH160" s="1216"/>
      <c r="BI160" s="1216"/>
      <c r="BJ160" s="1216"/>
      <c r="BK160" s="1216"/>
      <c r="BL160" s="1216"/>
      <c r="BM160" s="1216"/>
      <c r="BN160" s="1216"/>
      <c r="BO160" s="1216"/>
      <c r="BP160" s="1216"/>
      <c r="BQ160" s="1216"/>
      <c r="BR160" s="1216"/>
      <c r="BS160" s="1216"/>
      <c r="BT160" s="1216"/>
      <c r="BU160" s="1216"/>
      <c r="BV160" s="1216"/>
      <c r="BW160" s="1216"/>
      <c r="BX160" s="1216"/>
      <c r="BY160" s="1216"/>
      <c r="BZ160" s="1216"/>
      <c r="CA160" s="1216"/>
      <c r="CB160" s="1216"/>
      <c r="CC160" s="1216"/>
      <c r="CD160" s="1216"/>
      <c r="CE160" s="1216"/>
      <c r="CF160" s="1216"/>
      <c r="CG160" s="1216"/>
      <c r="CH160" s="1216"/>
    </row>
    <row r="161" spans="1:86" ht="20.149999999999999" customHeight="1">
      <c r="A161" s="1563" t="s">
        <v>1540</v>
      </c>
      <c r="B161" s="1563" t="s">
        <v>13</v>
      </c>
      <c r="C161" s="1563" t="str">
        <f t="shared" si="2"/>
        <v>PBPDDCIM59</v>
      </c>
      <c r="D161" s="1193">
        <v>59</v>
      </c>
      <c r="E161" s="1524"/>
      <c r="F161" s="1280">
        <v>2.72</v>
      </c>
      <c r="G161" s="1280">
        <v>4.3</v>
      </c>
      <c r="H161" s="1280">
        <v>6.03</v>
      </c>
      <c r="I161" s="1280">
        <v>7.96</v>
      </c>
      <c r="J161" s="1280">
        <v>10.09</v>
      </c>
      <c r="K161" s="1280">
        <v>12.45</v>
      </c>
      <c r="L161" s="1280">
        <v>15.07</v>
      </c>
      <c r="M161" s="1280">
        <v>17.98</v>
      </c>
      <c r="N161" s="1280">
        <v>21.2</v>
      </c>
      <c r="O161" s="1280">
        <v>24.76</v>
      </c>
      <c r="P161" s="1280">
        <v>28.67</v>
      </c>
      <c r="Q161" s="1280">
        <v>32.96</v>
      </c>
      <c r="R161" s="1280">
        <v>37.659999999999997</v>
      </c>
      <c r="S161" s="1280">
        <v>42.09</v>
      </c>
      <c r="T161" s="1280">
        <v>46.8</v>
      </c>
      <c r="U161" s="1280">
        <v>51.79</v>
      </c>
      <c r="V161" s="1280">
        <v>57.06</v>
      </c>
      <c r="W161" s="1280">
        <v>62.6</v>
      </c>
      <c r="X161" s="1280">
        <v>68.39</v>
      </c>
      <c r="Y161" s="1280">
        <v>75.23</v>
      </c>
      <c r="Z161" s="1280">
        <v>82</v>
      </c>
      <c r="AA161" s="1280">
        <v>88.71</v>
      </c>
      <c r="AB161" s="1292">
        <v>95.34</v>
      </c>
      <c r="AC161" s="1192"/>
      <c r="AD161" s="1216"/>
      <c r="AE161" s="1216"/>
      <c r="AF161" s="1216"/>
      <c r="AG161" s="1216"/>
      <c r="AH161" s="1216"/>
      <c r="AI161" s="1216"/>
      <c r="AJ161" s="1216"/>
      <c r="AK161" s="1216"/>
      <c r="AL161" s="1216"/>
      <c r="AM161" s="1216"/>
      <c r="AN161" s="1216"/>
      <c r="AO161" s="1216"/>
      <c r="AP161" s="1216"/>
      <c r="AQ161" s="1216"/>
      <c r="AR161" s="1216"/>
      <c r="AS161" s="1216"/>
      <c r="AT161" s="1216"/>
      <c r="AU161" s="1216"/>
      <c r="AV161" s="1216"/>
      <c r="AW161" s="1216"/>
      <c r="AX161" s="1216"/>
      <c r="AY161" s="1216"/>
      <c r="AZ161" s="1216"/>
      <c r="BA161" s="1216"/>
      <c r="BB161" s="1216"/>
      <c r="BC161" s="1216"/>
      <c r="BD161" s="1216"/>
      <c r="BE161" s="1216"/>
      <c r="BF161" s="1216"/>
      <c r="BG161" s="1216"/>
      <c r="BH161" s="1216"/>
      <c r="BI161" s="1216"/>
      <c r="BJ161" s="1216"/>
      <c r="BK161" s="1216"/>
      <c r="BL161" s="1216"/>
      <c r="BM161" s="1216"/>
      <c r="BN161" s="1216"/>
      <c r="BO161" s="1216"/>
      <c r="BP161" s="1216"/>
      <c r="BQ161" s="1216"/>
      <c r="BR161" s="1216"/>
      <c r="BS161" s="1216"/>
      <c r="BT161" s="1216"/>
      <c r="BU161" s="1216"/>
      <c r="BV161" s="1216"/>
      <c r="BW161" s="1216"/>
      <c r="BX161" s="1216"/>
      <c r="BY161" s="1216"/>
      <c r="BZ161" s="1216"/>
      <c r="CA161" s="1216"/>
      <c r="CB161" s="1216"/>
      <c r="CC161" s="1216"/>
      <c r="CD161" s="1216"/>
      <c r="CE161" s="1216"/>
      <c r="CF161" s="1216"/>
      <c r="CG161" s="1216"/>
      <c r="CH161" s="1216"/>
    </row>
    <row r="162" spans="1:86" ht="20.149999999999999" customHeight="1">
      <c r="A162" s="1563" t="s">
        <v>1540</v>
      </c>
      <c r="B162" s="1563" t="s">
        <v>13</v>
      </c>
      <c r="C162" s="1563" t="str">
        <f t="shared" si="2"/>
        <v>PBPDDCIM60</v>
      </c>
      <c r="D162" s="1193">
        <v>60</v>
      </c>
      <c r="E162" s="1524"/>
      <c r="F162" s="1280">
        <v>3.02</v>
      </c>
      <c r="G162" s="1280">
        <v>4.7699999999999996</v>
      </c>
      <c r="H162" s="1280">
        <v>6.71</v>
      </c>
      <c r="I162" s="1280">
        <v>8.86</v>
      </c>
      <c r="J162" s="1280">
        <v>11.25</v>
      </c>
      <c r="K162" s="1280">
        <v>13.9</v>
      </c>
      <c r="L162" s="1280">
        <v>16.84</v>
      </c>
      <c r="M162" s="1280">
        <v>20.100000000000001</v>
      </c>
      <c r="N162" s="1280">
        <v>23.71</v>
      </c>
      <c r="O162" s="1280">
        <v>27.68</v>
      </c>
      <c r="P162" s="1280">
        <v>32.04</v>
      </c>
      <c r="Q162" s="1280">
        <v>36.82</v>
      </c>
      <c r="R162" s="1280">
        <v>42.04</v>
      </c>
      <c r="S162" s="1280">
        <v>46.95</v>
      </c>
      <c r="T162" s="1280">
        <v>52.16</v>
      </c>
      <c r="U162" s="1280">
        <v>57.67</v>
      </c>
      <c r="V162" s="1280">
        <v>63.47</v>
      </c>
      <c r="W162" s="1280">
        <v>69.540000000000006</v>
      </c>
      <c r="X162" s="1280">
        <v>76.77</v>
      </c>
      <c r="Y162" s="1280">
        <v>83.92</v>
      </c>
      <c r="Z162" s="1280">
        <v>91</v>
      </c>
      <c r="AA162" s="1280">
        <v>98.01</v>
      </c>
      <c r="AB162" s="1292">
        <v>104.95</v>
      </c>
      <c r="AC162" s="1192"/>
      <c r="AD162" s="1216"/>
      <c r="AE162" s="1216"/>
      <c r="AF162" s="1216"/>
      <c r="AG162" s="1216"/>
      <c r="AH162" s="1216"/>
      <c r="AI162" s="1216"/>
      <c r="AJ162" s="1216"/>
      <c r="AK162" s="1216"/>
      <c r="AL162" s="1216"/>
      <c r="AM162" s="1216"/>
      <c r="AN162" s="1216"/>
      <c r="AO162" s="1216"/>
      <c r="AP162" s="1216"/>
      <c r="AQ162" s="1216"/>
      <c r="AR162" s="1216"/>
      <c r="AS162" s="1216"/>
      <c r="AT162" s="1216"/>
      <c r="AU162" s="1216"/>
      <c r="AV162" s="1216"/>
      <c r="AW162" s="1216"/>
      <c r="AX162" s="1216"/>
      <c r="AY162" s="1216"/>
      <c r="AZ162" s="1216"/>
      <c r="BA162" s="1216"/>
      <c r="BB162" s="1216"/>
      <c r="BC162" s="1216"/>
      <c r="BD162" s="1216"/>
      <c r="BE162" s="1216"/>
      <c r="BF162" s="1216"/>
      <c r="BG162" s="1216"/>
      <c r="BH162" s="1216"/>
      <c r="BI162" s="1216"/>
      <c r="BJ162" s="1216"/>
      <c r="BK162" s="1216"/>
      <c r="BL162" s="1216"/>
      <c r="BM162" s="1216"/>
      <c r="BN162" s="1216"/>
      <c r="BO162" s="1216"/>
      <c r="BP162" s="1216"/>
      <c r="BQ162" s="1216"/>
      <c r="BR162" s="1216"/>
      <c r="BS162" s="1216"/>
      <c r="BT162" s="1216"/>
      <c r="BU162" s="1216"/>
      <c r="BV162" s="1216"/>
      <c r="BW162" s="1216"/>
      <c r="BX162" s="1216"/>
      <c r="BY162" s="1216"/>
      <c r="BZ162" s="1216"/>
      <c r="CA162" s="1216"/>
      <c r="CB162" s="1216"/>
      <c r="CC162" s="1216"/>
      <c r="CD162" s="1216"/>
      <c r="CE162" s="1216"/>
      <c r="CF162" s="1216"/>
      <c r="CG162" s="1216"/>
      <c r="CH162" s="1216"/>
    </row>
    <row r="163" spans="1:86" ht="20.149999999999999" customHeight="1">
      <c r="A163" s="1563" t="s">
        <v>1540</v>
      </c>
      <c r="B163" s="1563" t="s">
        <v>13</v>
      </c>
      <c r="C163" s="1563" t="str">
        <f t="shared" si="2"/>
        <v>PBPDDCIM61</v>
      </c>
      <c r="D163" s="1194">
        <v>61</v>
      </c>
      <c r="E163" s="1525"/>
      <c r="F163" s="1281">
        <v>3.36</v>
      </c>
      <c r="G163" s="1281">
        <v>5.31</v>
      </c>
      <c r="H163" s="1281">
        <v>7.48</v>
      </c>
      <c r="I163" s="1281">
        <v>9.89</v>
      </c>
      <c r="J163" s="1281">
        <v>12.57</v>
      </c>
      <c r="K163" s="1281">
        <v>15.54</v>
      </c>
      <c r="L163" s="1281">
        <v>18.850000000000001</v>
      </c>
      <c r="M163" s="1281">
        <v>22.5</v>
      </c>
      <c r="N163" s="1281">
        <v>26.53</v>
      </c>
      <c r="O163" s="1281">
        <v>30.95</v>
      </c>
      <c r="P163" s="1281">
        <v>35.81</v>
      </c>
      <c r="Q163" s="1281">
        <v>41.12</v>
      </c>
      <c r="R163" s="1281">
        <v>46.92</v>
      </c>
      <c r="S163" s="1281">
        <v>52.36</v>
      </c>
      <c r="T163" s="1281">
        <v>58.12</v>
      </c>
      <c r="U163" s="1281">
        <v>64.2</v>
      </c>
      <c r="V163" s="1281">
        <v>70.56</v>
      </c>
      <c r="W163" s="1281">
        <v>78.2</v>
      </c>
      <c r="X163" s="1281">
        <v>85.76</v>
      </c>
      <c r="Y163" s="1281">
        <v>93.25</v>
      </c>
      <c r="Z163" s="1281">
        <v>100.66</v>
      </c>
      <c r="AA163" s="1281">
        <v>108</v>
      </c>
      <c r="AB163" s="1293">
        <v>115.27</v>
      </c>
      <c r="AC163" s="1192"/>
      <c r="AD163" s="1216"/>
      <c r="AE163" s="1216"/>
      <c r="AF163" s="1216"/>
      <c r="AG163" s="1216"/>
      <c r="AH163" s="1216"/>
      <c r="AI163" s="1216"/>
      <c r="AJ163" s="1216"/>
      <c r="AK163" s="1216"/>
      <c r="AL163" s="1216"/>
      <c r="AM163" s="1216"/>
      <c r="AN163" s="1216"/>
      <c r="AO163" s="1216"/>
      <c r="AP163" s="1216"/>
      <c r="AQ163" s="1216"/>
      <c r="AR163" s="1216"/>
      <c r="AS163" s="1216"/>
      <c r="AT163" s="1216"/>
      <c r="AU163" s="1216"/>
      <c r="AV163" s="1216"/>
      <c r="AW163" s="1216"/>
      <c r="AX163" s="1216"/>
      <c r="AY163" s="1216"/>
      <c r="AZ163" s="1216"/>
      <c r="BA163" s="1216"/>
      <c r="BB163" s="1216"/>
      <c r="BC163" s="1216"/>
      <c r="BD163" s="1216"/>
      <c r="BE163" s="1216"/>
      <c r="BF163" s="1216"/>
      <c r="BG163" s="1216"/>
      <c r="BH163" s="1216"/>
      <c r="BI163" s="1216"/>
      <c r="BJ163" s="1216"/>
      <c r="BK163" s="1216"/>
      <c r="BL163" s="1216"/>
      <c r="BM163" s="1216"/>
      <c r="BN163" s="1216"/>
      <c r="BO163" s="1216"/>
      <c r="BP163" s="1216"/>
      <c r="BQ163" s="1216"/>
      <c r="BR163" s="1216"/>
      <c r="BS163" s="1216"/>
      <c r="BT163" s="1216"/>
      <c r="BU163" s="1216"/>
      <c r="BV163" s="1216"/>
      <c r="BW163" s="1216"/>
      <c r="BX163" s="1216"/>
      <c r="BY163" s="1216"/>
      <c r="BZ163" s="1216"/>
      <c r="CA163" s="1216"/>
      <c r="CB163" s="1216"/>
      <c r="CC163" s="1216"/>
      <c r="CD163" s="1216"/>
      <c r="CE163" s="1216"/>
      <c r="CF163" s="1216"/>
      <c r="CG163" s="1216"/>
      <c r="CH163" s="1216"/>
    </row>
    <row r="164" spans="1:86" ht="20.149999999999999" customHeight="1">
      <c r="A164" s="1563" t="s">
        <v>1540</v>
      </c>
      <c r="B164" s="1563" t="s">
        <v>13</v>
      </c>
      <c r="C164" s="1563" t="str">
        <f t="shared" si="2"/>
        <v>PBPDDCIM62</v>
      </c>
      <c r="D164" s="1193">
        <v>62</v>
      </c>
      <c r="E164" s="1524"/>
      <c r="F164" s="1280">
        <v>3.74</v>
      </c>
      <c r="G164" s="1280">
        <v>5.92</v>
      </c>
      <c r="H164" s="1280">
        <v>8.35</v>
      </c>
      <c r="I164" s="1280">
        <v>11.06</v>
      </c>
      <c r="J164" s="1280">
        <v>14.07</v>
      </c>
      <c r="K164" s="1280">
        <v>17.399999999999999</v>
      </c>
      <c r="L164" s="1280">
        <v>21.1</v>
      </c>
      <c r="M164" s="1280">
        <v>25.18</v>
      </c>
      <c r="N164" s="1280">
        <v>29.67</v>
      </c>
      <c r="O164" s="1280">
        <v>34.6</v>
      </c>
      <c r="P164" s="1280">
        <v>40</v>
      </c>
      <c r="Q164" s="1280">
        <v>45.91</v>
      </c>
      <c r="R164" s="1280">
        <v>52.35</v>
      </c>
      <c r="S164" s="1280">
        <v>58.38</v>
      </c>
      <c r="T164" s="1280">
        <v>64.73</v>
      </c>
      <c r="U164" s="1280">
        <v>71.41</v>
      </c>
      <c r="V164" s="1280">
        <v>79.489999999999995</v>
      </c>
      <c r="W164" s="1280">
        <v>87.5</v>
      </c>
      <c r="X164" s="1280">
        <v>95.42</v>
      </c>
      <c r="Y164" s="1280">
        <v>103.27</v>
      </c>
      <c r="Z164" s="1280">
        <v>111.04</v>
      </c>
      <c r="AA164" s="1280">
        <v>118.73</v>
      </c>
      <c r="AB164" s="1292">
        <v>126.35</v>
      </c>
      <c r="AC164" s="1192"/>
      <c r="AD164" s="1216"/>
      <c r="AE164" s="1216"/>
      <c r="AF164" s="1216"/>
      <c r="AG164" s="1216"/>
      <c r="AH164" s="1216"/>
      <c r="AI164" s="1216"/>
      <c r="AJ164" s="1216"/>
      <c r="AK164" s="1216"/>
      <c r="AL164" s="1216"/>
      <c r="AM164" s="1216"/>
      <c r="AN164" s="1216"/>
      <c r="AO164" s="1216"/>
      <c r="AP164" s="1216"/>
      <c r="AQ164" s="1216"/>
      <c r="AR164" s="1216"/>
      <c r="AS164" s="1216"/>
      <c r="AT164" s="1216"/>
      <c r="AU164" s="1216"/>
      <c r="AV164" s="1216"/>
      <c r="AW164" s="1216"/>
      <c r="AX164" s="1216"/>
      <c r="AY164" s="1216"/>
      <c r="AZ164" s="1216"/>
      <c r="BA164" s="1216"/>
      <c r="BB164" s="1216"/>
      <c r="BC164" s="1216"/>
      <c r="BD164" s="1216"/>
      <c r="BE164" s="1216"/>
      <c r="BF164" s="1216"/>
      <c r="BG164" s="1216"/>
      <c r="BH164" s="1216"/>
      <c r="BI164" s="1216"/>
      <c r="BJ164" s="1216"/>
      <c r="BK164" s="1216"/>
      <c r="BL164" s="1216"/>
      <c r="BM164" s="1216"/>
      <c r="BN164" s="1216"/>
      <c r="BO164" s="1216"/>
      <c r="BP164" s="1216"/>
      <c r="BQ164" s="1216"/>
      <c r="BR164" s="1216"/>
      <c r="BS164" s="1216"/>
      <c r="BT164" s="1216"/>
      <c r="BU164" s="1216"/>
      <c r="BV164" s="1216"/>
      <c r="BW164" s="1216"/>
      <c r="BX164" s="1216"/>
      <c r="BY164" s="1216"/>
      <c r="BZ164" s="1216"/>
      <c r="CA164" s="1216"/>
      <c r="CB164" s="1216"/>
      <c r="CC164" s="1216"/>
      <c r="CD164" s="1216"/>
      <c r="CE164" s="1216"/>
      <c r="CF164" s="1216"/>
      <c r="CG164" s="1216"/>
      <c r="CH164" s="1216"/>
    </row>
    <row r="165" spans="1:86" ht="20.149999999999999" customHeight="1">
      <c r="A165" s="1563" t="s">
        <v>1540</v>
      </c>
      <c r="B165" s="1563" t="s">
        <v>13</v>
      </c>
      <c r="C165" s="1563" t="str">
        <f t="shared" si="2"/>
        <v>PBPDDCIM63</v>
      </c>
      <c r="D165" s="1193">
        <v>63</v>
      </c>
      <c r="E165" s="1524"/>
      <c r="F165" s="1280">
        <v>4.18</v>
      </c>
      <c r="G165" s="1280">
        <v>6.62</v>
      </c>
      <c r="H165" s="1280">
        <v>9.35</v>
      </c>
      <c r="I165" s="1280">
        <v>12.38</v>
      </c>
      <c r="J165" s="1280">
        <v>15.75</v>
      </c>
      <c r="K165" s="1280">
        <v>19.489999999999998</v>
      </c>
      <c r="L165" s="1280">
        <v>23.62</v>
      </c>
      <c r="M165" s="1280">
        <v>28.16</v>
      </c>
      <c r="N165" s="1280">
        <v>33.159999999999997</v>
      </c>
      <c r="O165" s="1280">
        <v>38.65</v>
      </c>
      <c r="P165" s="1280">
        <v>44.66</v>
      </c>
      <c r="Q165" s="1280">
        <v>51.23</v>
      </c>
      <c r="R165" s="1280">
        <v>58.37</v>
      </c>
      <c r="S165" s="1280">
        <v>65.03</v>
      </c>
      <c r="T165" s="1280">
        <v>72.02</v>
      </c>
      <c r="U165" s="1280">
        <v>80.59</v>
      </c>
      <c r="V165" s="1280">
        <v>89.07</v>
      </c>
      <c r="W165" s="1280">
        <v>97.47</v>
      </c>
      <c r="X165" s="1280">
        <v>105.78</v>
      </c>
      <c r="Y165" s="1280">
        <v>114.01</v>
      </c>
      <c r="Z165" s="1280">
        <v>122.16</v>
      </c>
      <c r="AA165" s="1280">
        <v>130.22999999999999</v>
      </c>
      <c r="AB165" s="1292">
        <v>138.22</v>
      </c>
      <c r="AC165" s="1192"/>
      <c r="AD165" s="1216"/>
      <c r="AE165" s="1216"/>
      <c r="AF165" s="1216"/>
      <c r="AG165" s="1216"/>
      <c r="AH165" s="1216"/>
      <c r="AI165" s="1216"/>
      <c r="AJ165" s="1216"/>
      <c r="AK165" s="1216"/>
      <c r="AL165" s="1216"/>
      <c r="AM165" s="1216"/>
      <c r="AN165" s="1216"/>
      <c r="AO165" s="1216"/>
      <c r="AP165" s="1216"/>
      <c r="AQ165" s="1216"/>
      <c r="AR165" s="1216"/>
      <c r="AS165" s="1216"/>
      <c r="AT165" s="1216"/>
      <c r="AU165" s="1216"/>
      <c r="AV165" s="1216"/>
      <c r="AW165" s="1216"/>
      <c r="AX165" s="1216"/>
      <c r="AY165" s="1216"/>
      <c r="AZ165" s="1216"/>
      <c r="BA165" s="1216"/>
      <c r="BB165" s="1216"/>
      <c r="BC165" s="1216"/>
      <c r="BD165" s="1216"/>
      <c r="BE165" s="1216"/>
      <c r="BF165" s="1216"/>
      <c r="BG165" s="1216"/>
      <c r="BH165" s="1216"/>
      <c r="BI165" s="1216"/>
      <c r="BJ165" s="1216"/>
      <c r="BK165" s="1216"/>
      <c r="BL165" s="1216"/>
      <c r="BM165" s="1216"/>
      <c r="BN165" s="1216"/>
      <c r="BO165" s="1216"/>
      <c r="BP165" s="1216"/>
      <c r="BQ165" s="1216"/>
      <c r="BR165" s="1216"/>
      <c r="BS165" s="1216"/>
      <c r="BT165" s="1216"/>
      <c r="BU165" s="1216"/>
      <c r="BV165" s="1216"/>
      <c r="BW165" s="1216"/>
      <c r="BX165" s="1216"/>
      <c r="BY165" s="1216"/>
      <c r="BZ165" s="1216"/>
      <c r="CA165" s="1216"/>
      <c r="CB165" s="1216"/>
      <c r="CC165" s="1216"/>
      <c r="CD165" s="1216"/>
      <c r="CE165" s="1216"/>
      <c r="CF165" s="1216"/>
      <c r="CG165" s="1216"/>
      <c r="CH165" s="1216"/>
    </row>
    <row r="166" spans="1:86" ht="20.149999999999999" customHeight="1">
      <c r="A166" s="1563" t="s">
        <v>1540</v>
      </c>
      <c r="B166" s="1563" t="s">
        <v>13</v>
      </c>
      <c r="C166" s="1563" t="str">
        <f t="shared" si="2"/>
        <v>PBPDDCIM64</v>
      </c>
      <c r="D166" s="1193">
        <v>64</v>
      </c>
      <c r="E166" s="1524"/>
      <c r="F166" s="1280">
        <v>4.67</v>
      </c>
      <c r="G166" s="1280">
        <v>7.41</v>
      </c>
      <c r="H166" s="1280">
        <v>10.47</v>
      </c>
      <c r="I166" s="1280">
        <v>13.86</v>
      </c>
      <c r="J166" s="1280">
        <v>17.64</v>
      </c>
      <c r="K166" s="1280">
        <v>21.8</v>
      </c>
      <c r="L166" s="1280">
        <v>26.4</v>
      </c>
      <c r="M166" s="1280">
        <v>31.46</v>
      </c>
      <c r="N166" s="1280">
        <v>37.020000000000003</v>
      </c>
      <c r="O166" s="1280">
        <v>43.13</v>
      </c>
      <c r="P166" s="1280">
        <v>49.81</v>
      </c>
      <c r="Q166" s="1280">
        <v>57.1</v>
      </c>
      <c r="R166" s="1280">
        <v>65.010000000000005</v>
      </c>
      <c r="S166" s="1280">
        <v>72.34</v>
      </c>
      <c r="T166" s="1280">
        <v>81.42</v>
      </c>
      <c r="U166" s="1280">
        <v>90.41</v>
      </c>
      <c r="V166" s="1280">
        <v>99.31</v>
      </c>
      <c r="W166" s="1280">
        <v>108.13</v>
      </c>
      <c r="X166" s="1280">
        <v>116.85</v>
      </c>
      <c r="Y166" s="1280">
        <v>125.49</v>
      </c>
      <c r="Z166" s="1280">
        <v>134.05000000000001</v>
      </c>
      <c r="AA166" s="1280">
        <v>142.51</v>
      </c>
      <c r="AB166" s="1292">
        <v>150.9</v>
      </c>
      <c r="AC166" s="1192"/>
      <c r="AD166" s="1216"/>
      <c r="AE166" s="1216"/>
      <c r="AF166" s="1216"/>
      <c r="AG166" s="1216"/>
      <c r="AH166" s="1216"/>
      <c r="AI166" s="1216"/>
      <c r="AJ166" s="1216"/>
      <c r="AK166" s="1216"/>
      <c r="AL166" s="1216"/>
      <c r="AM166" s="1216"/>
      <c r="AN166" s="1216"/>
      <c r="AO166" s="1216"/>
      <c r="AP166" s="1216"/>
      <c r="AQ166" s="1216"/>
      <c r="AR166" s="1216"/>
      <c r="AS166" s="1216"/>
      <c r="AT166" s="1216"/>
      <c r="AU166" s="1216"/>
      <c r="AV166" s="1216"/>
      <c r="AW166" s="1216"/>
      <c r="AX166" s="1216"/>
      <c r="AY166" s="1216"/>
      <c r="AZ166" s="1216"/>
      <c r="BA166" s="1216"/>
      <c r="BB166" s="1216"/>
      <c r="BC166" s="1216"/>
      <c r="BD166" s="1216"/>
      <c r="BE166" s="1216"/>
      <c r="BF166" s="1216"/>
      <c r="BG166" s="1216"/>
      <c r="BH166" s="1216"/>
      <c r="BI166" s="1216"/>
      <c r="BJ166" s="1216"/>
      <c r="BK166" s="1216"/>
      <c r="BL166" s="1216"/>
      <c r="BM166" s="1216"/>
      <c r="BN166" s="1216"/>
      <c r="BO166" s="1216"/>
      <c r="BP166" s="1216"/>
      <c r="BQ166" s="1216"/>
      <c r="BR166" s="1216"/>
      <c r="BS166" s="1216"/>
      <c r="BT166" s="1216"/>
      <c r="BU166" s="1216"/>
      <c r="BV166" s="1216"/>
      <c r="BW166" s="1216"/>
      <c r="BX166" s="1216"/>
      <c r="BY166" s="1216"/>
      <c r="BZ166" s="1216"/>
      <c r="CA166" s="1216"/>
      <c r="CB166" s="1216"/>
      <c r="CC166" s="1216"/>
      <c r="CD166" s="1216"/>
      <c r="CE166" s="1216"/>
      <c r="CF166" s="1216"/>
      <c r="CG166" s="1216"/>
      <c r="CH166" s="1216"/>
    </row>
    <row r="167" spans="1:86" ht="20.149999999999999" customHeight="1">
      <c r="A167" s="1563" t="s">
        <v>1540</v>
      </c>
      <c r="B167" s="1563" t="s">
        <v>13</v>
      </c>
      <c r="C167" s="1563" t="str">
        <f t="shared" si="2"/>
        <v>PBPDDCIM65</v>
      </c>
      <c r="D167" s="1195">
        <v>65</v>
      </c>
      <c r="E167" s="1526"/>
      <c r="F167" s="1282">
        <v>5.22</v>
      </c>
      <c r="G167" s="1282">
        <v>8.3000000000000007</v>
      </c>
      <c r="H167" s="1282">
        <v>11.71</v>
      </c>
      <c r="I167" s="1282">
        <v>15.51</v>
      </c>
      <c r="J167" s="1282">
        <v>19.71</v>
      </c>
      <c r="K167" s="1282">
        <v>24.35</v>
      </c>
      <c r="L167" s="1282">
        <v>29.46</v>
      </c>
      <c r="M167" s="1282">
        <v>35.090000000000003</v>
      </c>
      <c r="N167" s="1282">
        <v>41.28</v>
      </c>
      <c r="O167" s="1282">
        <v>48.07</v>
      </c>
      <c r="P167" s="1282">
        <v>55.49</v>
      </c>
      <c r="Q167" s="1282">
        <v>63.56</v>
      </c>
      <c r="R167" s="1282">
        <v>72.290000000000006</v>
      </c>
      <c r="S167" s="1282">
        <v>81.92</v>
      </c>
      <c r="T167" s="1282">
        <v>91.46</v>
      </c>
      <c r="U167" s="1282">
        <v>100.9</v>
      </c>
      <c r="V167" s="1282">
        <v>110.24</v>
      </c>
      <c r="W167" s="1282">
        <v>119.5</v>
      </c>
      <c r="X167" s="1282">
        <v>128.66</v>
      </c>
      <c r="Y167" s="1282">
        <v>137.72999999999999</v>
      </c>
      <c r="Z167" s="1282">
        <v>146.71</v>
      </c>
      <c r="AA167" s="1282">
        <v>155.61000000000001</v>
      </c>
      <c r="AB167" s="1294">
        <v>164.41</v>
      </c>
      <c r="AC167" s="1192"/>
      <c r="AD167" s="1216"/>
      <c r="AE167" s="1216"/>
      <c r="AF167" s="1216"/>
      <c r="AG167" s="1216"/>
      <c r="AH167" s="1216"/>
      <c r="AI167" s="1216"/>
      <c r="AJ167" s="1216"/>
      <c r="AK167" s="1216"/>
      <c r="AL167" s="1216"/>
      <c r="AM167" s="1216"/>
      <c r="AN167" s="1216"/>
      <c r="AO167" s="1216"/>
      <c r="AP167" s="1216"/>
      <c r="AQ167" s="1216"/>
      <c r="AR167" s="1216"/>
      <c r="AS167" s="1216"/>
      <c r="AT167" s="1216"/>
      <c r="AU167" s="1216"/>
      <c r="AV167" s="1216"/>
      <c r="AW167" s="1216"/>
      <c r="AX167" s="1216"/>
      <c r="AY167" s="1216"/>
      <c r="AZ167" s="1216"/>
      <c r="BA167" s="1216"/>
      <c r="BB167" s="1216"/>
      <c r="BC167" s="1216"/>
      <c r="BD167" s="1216"/>
      <c r="BE167" s="1216"/>
      <c r="BF167" s="1216"/>
      <c r="BG167" s="1216"/>
      <c r="BH167" s="1216"/>
      <c r="BI167" s="1216"/>
      <c r="BJ167" s="1216"/>
      <c r="BK167" s="1216"/>
      <c r="BL167" s="1216"/>
      <c r="BM167" s="1216"/>
      <c r="BN167" s="1216"/>
      <c r="BO167" s="1216"/>
      <c r="BP167" s="1216"/>
      <c r="BQ167" s="1216"/>
      <c r="BR167" s="1216"/>
      <c r="BS167" s="1216"/>
      <c r="BT167" s="1216"/>
      <c r="BU167" s="1216"/>
      <c r="BV167" s="1216"/>
      <c r="BW167" s="1216"/>
      <c r="BX167" s="1216"/>
      <c r="BY167" s="1216"/>
      <c r="BZ167" s="1216"/>
      <c r="CA167" s="1216"/>
      <c r="CB167" s="1216"/>
      <c r="CC167" s="1216"/>
      <c r="CD167" s="1216"/>
      <c r="CE167" s="1216"/>
      <c r="CF167" s="1216"/>
      <c r="CG167" s="1216"/>
      <c r="CH167" s="1216"/>
    </row>
    <row r="168" spans="1:86" ht="20.149999999999999" customHeight="1">
      <c r="A168" s="1563" t="s">
        <v>1540</v>
      </c>
      <c r="B168" s="1563" t="s">
        <v>13</v>
      </c>
      <c r="C168" s="1563" t="str">
        <f t="shared" si="2"/>
        <v>PBPDDCIM66</v>
      </c>
      <c r="D168" s="1193">
        <v>66</v>
      </c>
      <c r="E168" s="1524"/>
      <c r="F168" s="1280">
        <v>5.84</v>
      </c>
      <c r="G168" s="1280">
        <v>9.27</v>
      </c>
      <c r="H168" s="1280">
        <v>13.09</v>
      </c>
      <c r="I168" s="1280">
        <v>17.309999999999999</v>
      </c>
      <c r="J168" s="1280">
        <v>21.97</v>
      </c>
      <c r="K168" s="1280">
        <v>27.12</v>
      </c>
      <c r="L168" s="1280">
        <v>32.799999999999997</v>
      </c>
      <c r="M168" s="1280">
        <v>39.06</v>
      </c>
      <c r="N168" s="1280">
        <v>45.94</v>
      </c>
      <c r="O168" s="1280">
        <v>53.49</v>
      </c>
      <c r="P168" s="1280">
        <v>61.71</v>
      </c>
      <c r="Q168" s="1280">
        <v>70.62</v>
      </c>
      <c r="R168" s="1280">
        <v>80.709999999999994</v>
      </c>
      <c r="S168" s="1280">
        <v>90.7</v>
      </c>
      <c r="T168" s="1280">
        <v>100.59</v>
      </c>
      <c r="U168" s="1280">
        <v>110.39</v>
      </c>
      <c r="V168" s="1280">
        <v>120.08</v>
      </c>
      <c r="W168" s="1280">
        <v>129.68</v>
      </c>
      <c r="X168" s="1280">
        <v>139.19</v>
      </c>
      <c r="Y168" s="1280">
        <v>148.6</v>
      </c>
      <c r="Z168" s="1280">
        <v>157.91999999999999</v>
      </c>
      <c r="AA168" s="1280">
        <v>167.14</v>
      </c>
      <c r="AB168" s="1292">
        <v>176.28</v>
      </c>
      <c r="AC168" s="1192"/>
      <c r="AD168" s="1216"/>
      <c r="AE168" s="1216"/>
      <c r="AF168" s="1216"/>
      <c r="AG168" s="1216"/>
      <c r="AH168" s="1216"/>
      <c r="AI168" s="1216"/>
      <c r="AJ168" s="1216"/>
      <c r="AK168" s="1216"/>
      <c r="AL168" s="1216"/>
      <c r="AM168" s="1216"/>
      <c r="AN168" s="1216"/>
      <c r="AO168" s="1216"/>
      <c r="AP168" s="1216"/>
      <c r="AQ168" s="1216"/>
      <c r="AR168" s="1216"/>
      <c r="AS168" s="1216"/>
      <c r="AT168" s="1216"/>
      <c r="AU168" s="1216"/>
      <c r="AV168" s="1216"/>
      <c r="AW168" s="1216"/>
      <c r="AX168" s="1216"/>
      <c r="AY168" s="1216"/>
      <c r="AZ168" s="1216"/>
      <c r="BA168" s="1216"/>
      <c r="BB168" s="1216"/>
      <c r="BC168" s="1216"/>
      <c r="BD168" s="1216"/>
      <c r="BE168" s="1216"/>
      <c r="BF168" s="1216"/>
      <c r="BG168" s="1216"/>
      <c r="BH168" s="1216"/>
      <c r="BI168" s="1216"/>
      <c r="BJ168" s="1216"/>
      <c r="BK168" s="1216"/>
      <c r="BL168" s="1216"/>
      <c r="BM168" s="1216"/>
      <c r="BN168" s="1216"/>
      <c r="BO168" s="1216"/>
      <c r="BP168" s="1216"/>
      <c r="BQ168" s="1216"/>
      <c r="BR168" s="1216"/>
      <c r="BS168" s="1216"/>
      <c r="BT168" s="1216"/>
      <c r="BU168" s="1216"/>
      <c r="BV168" s="1216"/>
      <c r="BW168" s="1216"/>
      <c r="BX168" s="1216"/>
      <c r="BY168" s="1216"/>
      <c r="BZ168" s="1216"/>
      <c r="CA168" s="1216"/>
      <c r="CB168" s="1216"/>
      <c r="CC168" s="1216"/>
      <c r="CD168" s="1216"/>
      <c r="CE168" s="1216"/>
      <c r="CF168" s="1216"/>
      <c r="CG168" s="1216"/>
      <c r="CH168" s="1216"/>
    </row>
    <row r="169" spans="1:86" ht="20.149999999999999" customHeight="1">
      <c r="A169" s="1563" t="s">
        <v>1540</v>
      </c>
      <c r="B169" s="1563" t="s">
        <v>13</v>
      </c>
      <c r="C169" s="1563" t="str">
        <f t="shared" si="2"/>
        <v>PBPDDCIM67</v>
      </c>
      <c r="D169" s="1193">
        <v>67</v>
      </c>
      <c r="E169" s="1524"/>
      <c r="F169" s="1280">
        <v>6.51</v>
      </c>
      <c r="G169" s="1280">
        <v>10.33</v>
      </c>
      <c r="H169" s="1280">
        <v>14.56</v>
      </c>
      <c r="I169" s="1280">
        <v>19.23</v>
      </c>
      <c r="J169" s="1280">
        <v>24.4</v>
      </c>
      <c r="K169" s="1280">
        <v>30.12</v>
      </c>
      <c r="L169" s="1280">
        <v>36.44</v>
      </c>
      <c r="M169" s="1280">
        <v>43.4</v>
      </c>
      <c r="N169" s="1280">
        <v>51.04</v>
      </c>
      <c r="O169" s="1280">
        <v>59.39</v>
      </c>
      <c r="P169" s="1280">
        <v>68.47</v>
      </c>
      <c r="Q169" s="1280">
        <v>79.040000000000006</v>
      </c>
      <c r="R169" s="1280">
        <v>89.51</v>
      </c>
      <c r="S169" s="1280">
        <v>99.87</v>
      </c>
      <c r="T169" s="1280">
        <v>110.13</v>
      </c>
      <c r="U169" s="1280">
        <v>120.28</v>
      </c>
      <c r="V169" s="1280">
        <v>130.34</v>
      </c>
      <c r="W169" s="1280">
        <v>140.29</v>
      </c>
      <c r="X169" s="1280">
        <v>150.15</v>
      </c>
      <c r="Y169" s="1280">
        <v>159.91</v>
      </c>
      <c r="Z169" s="1280">
        <v>169.58</v>
      </c>
      <c r="AA169" s="1280">
        <v>179.14</v>
      </c>
      <c r="AB169" s="1292">
        <v>188.62</v>
      </c>
      <c r="AC169" s="1192"/>
      <c r="AD169" s="1216"/>
      <c r="AE169" s="1216"/>
      <c r="AF169" s="1216"/>
      <c r="AG169" s="1216"/>
      <c r="AH169" s="1216"/>
      <c r="AI169" s="1216"/>
      <c r="AJ169" s="1216"/>
      <c r="AK169" s="1216"/>
      <c r="AL169" s="1216"/>
      <c r="AM169" s="1216"/>
      <c r="AN169" s="1216"/>
      <c r="AO169" s="1216"/>
      <c r="AP169" s="1216"/>
      <c r="AQ169" s="1216"/>
      <c r="AR169" s="1216"/>
      <c r="AS169" s="1216"/>
      <c r="AT169" s="1216"/>
      <c r="AU169" s="1216"/>
      <c r="AV169" s="1216"/>
      <c r="AW169" s="1216"/>
      <c r="AX169" s="1216"/>
      <c r="AY169" s="1216"/>
      <c r="AZ169" s="1216"/>
      <c r="BA169" s="1216"/>
      <c r="BB169" s="1216"/>
      <c r="BC169" s="1216"/>
      <c r="BD169" s="1216"/>
      <c r="BE169" s="1216"/>
      <c r="BF169" s="1216"/>
      <c r="BG169" s="1216"/>
      <c r="BH169" s="1216"/>
      <c r="BI169" s="1216"/>
      <c r="BJ169" s="1216"/>
      <c r="BK169" s="1216"/>
      <c r="BL169" s="1216"/>
      <c r="BM169" s="1216"/>
      <c r="BN169" s="1216"/>
      <c r="BO169" s="1216"/>
      <c r="BP169" s="1216"/>
      <c r="BQ169" s="1216"/>
      <c r="BR169" s="1216"/>
      <c r="BS169" s="1216"/>
      <c r="BT169" s="1216"/>
      <c r="BU169" s="1216"/>
      <c r="BV169" s="1216"/>
      <c r="BW169" s="1216"/>
      <c r="BX169" s="1216"/>
      <c r="BY169" s="1216"/>
      <c r="BZ169" s="1216"/>
      <c r="CA169" s="1216"/>
      <c r="CB169" s="1216"/>
      <c r="CC169" s="1216"/>
      <c r="CD169" s="1216"/>
      <c r="CE169" s="1216"/>
      <c r="CF169" s="1216"/>
      <c r="CG169" s="1216"/>
      <c r="CH169" s="1216"/>
    </row>
    <row r="170" spans="1:86" ht="20.149999999999999" customHeight="1">
      <c r="A170" s="1563" t="s">
        <v>1540</v>
      </c>
      <c r="B170" s="1563" t="s">
        <v>13</v>
      </c>
      <c r="C170" s="1563" t="str">
        <f t="shared" si="2"/>
        <v>PBPDDCIM68</v>
      </c>
      <c r="D170" s="1193">
        <v>68</v>
      </c>
      <c r="E170" s="1524"/>
      <c r="F170" s="1280">
        <v>7.24</v>
      </c>
      <c r="G170" s="1280">
        <v>11.45</v>
      </c>
      <c r="H170" s="1280">
        <v>16.12</v>
      </c>
      <c r="I170" s="1280">
        <v>21.3</v>
      </c>
      <c r="J170" s="1280">
        <v>27.04</v>
      </c>
      <c r="K170" s="1280">
        <v>33.39</v>
      </c>
      <c r="L170" s="1280">
        <v>40.409999999999997</v>
      </c>
      <c r="M170" s="1280">
        <v>48.13</v>
      </c>
      <c r="N170" s="1280">
        <v>56.6</v>
      </c>
      <c r="O170" s="1280">
        <v>65.83</v>
      </c>
      <c r="P170" s="1280">
        <v>76.900000000000006</v>
      </c>
      <c r="Q170" s="1280">
        <v>87.86</v>
      </c>
      <c r="R170" s="1280">
        <v>98.71</v>
      </c>
      <c r="S170" s="1280">
        <v>109.45</v>
      </c>
      <c r="T170" s="1280">
        <v>120.08</v>
      </c>
      <c r="U170" s="1280">
        <v>130.61000000000001</v>
      </c>
      <c r="V170" s="1280">
        <v>141.04</v>
      </c>
      <c r="W170" s="1280">
        <v>151.36000000000001</v>
      </c>
      <c r="X170" s="1280">
        <v>161.58000000000001</v>
      </c>
      <c r="Y170" s="1280">
        <v>171.7</v>
      </c>
      <c r="Z170" s="1280">
        <v>181.72</v>
      </c>
      <c r="AA170" s="1280">
        <v>191.64</v>
      </c>
      <c r="AB170" s="1292">
        <v>201.46</v>
      </c>
      <c r="AC170" s="1192"/>
      <c r="AD170" s="1216"/>
      <c r="AE170" s="1216"/>
      <c r="AF170" s="1216"/>
      <c r="AG170" s="1216"/>
      <c r="AH170" s="1216"/>
      <c r="AI170" s="1216"/>
      <c r="AJ170" s="1216"/>
      <c r="AK170" s="1216"/>
      <c r="AL170" s="1216"/>
      <c r="AM170" s="1216"/>
      <c r="AN170" s="1216"/>
      <c r="AO170" s="1216"/>
      <c r="AP170" s="1216"/>
      <c r="AQ170" s="1216"/>
      <c r="AR170" s="1216"/>
      <c r="AS170" s="1216"/>
      <c r="AT170" s="1216"/>
      <c r="AU170" s="1216"/>
      <c r="AV170" s="1216"/>
      <c r="AW170" s="1216"/>
      <c r="AX170" s="1216"/>
      <c r="AY170" s="1216"/>
      <c r="AZ170" s="1216"/>
      <c r="BA170" s="1216"/>
      <c r="BB170" s="1216"/>
      <c r="BC170" s="1216"/>
      <c r="BD170" s="1216"/>
      <c r="BE170" s="1216"/>
      <c r="BF170" s="1216"/>
      <c r="BG170" s="1216"/>
      <c r="BH170" s="1216"/>
      <c r="BI170" s="1216"/>
      <c r="BJ170" s="1216"/>
      <c r="BK170" s="1216"/>
      <c r="BL170" s="1216"/>
      <c r="BM170" s="1216"/>
      <c r="BN170" s="1216"/>
      <c r="BO170" s="1216"/>
      <c r="BP170" s="1216"/>
      <c r="BQ170" s="1216"/>
      <c r="BR170" s="1216"/>
      <c r="BS170" s="1216"/>
      <c r="BT170" s="1216"/>
      <c r="BU170" s="1216"/>
      <c r="BV170" s="1216"/>
      <c r="BW170" s="1216"/>
      <c r="BX170" s="1216"/>
      <c r="BY170" s="1216"/>
      <c r="BZ170" s="1216"/>
      <c r="CA170" s="1216"/>
      <c r="CB170" s="1216"/>
      <c r="CC170" s="1216"/>
      <c r="CD170" s="1216"/>
      <c r="CE170" s="1216"/>
      <c r="CF170" s="1216"/>
      <c r="CG170" s="1216"/>
      <c r="CH170" s="1216"/>
    </row>
    <row r="171" spans="1:86" ht="20.149999999999999" customHeight="1">
      <c r="A171" s="1563" t="s">
        <v>1540</v>
      </c>
      <c r="B171" s="1563" t="s">
        <v>13</v>
      </c>
      <c r="C171" s="1563" t="str">
        <f t="shared" si="2"/>
        <v>PBPDDCIM69</v>
      </c>
      <c r="D171" s="1193">
        <v>69</v>
      </c>
      <c r="E171" s="1524"/>
      <c r="F171" s="1280">
        <v>7.99</v>
      </c>
      <c r="G171" s="1280">
        <v>12.64</v>
      </c>
      <c r="H171" s="1280">
        <v>17.809999999999999</v>
      </c>
      <c r="I171" s="1280">
        <v>23.55</v>
      </c>
      <c r="J171" s="1280">
        <v>29.92</v>
      </c>
      <c r="K171" s="1280">
        <v>36.979999999999997</v>
      </c>
      <c r="L171" s="1280">
        <v>44.77</v>
      </c>
      <c r="M171" s="1280">
        <v>53.33</v>
      </c>
      <c r="N171" s="1280">
        <v>62.68</v>
      </c>
      <c r="O171" s="1280">
        <v>74.27</v>
      </c>
      <c r="P171" s="1280">
        <v>85.75</v>
      </c>
      <c r="Q171" s="1280">
        <v>97.11</v>
      </c>
      <c r="R171" s="1280">
        <v>108.35</v>
      </c>
      <c r="S171" s="1280">
        <v>119.49</v>
      </c>
      <c r="T171" s="1280">
        <v>130.51</v>
      </c>
      <c r="U171" s="1280">
        <v>141.43</v>
      </c>
      <c r="V171" s="1280">
        <v>152.24</v>
      </c>
      <c r="W171" s="1280">
        <v>162.94</v>
      </c>
      <c r="X171" s="1280">
        <v>173.54</v>
      </c>
      <c r="Y171" s="1280">
        <v>184.03</v>
      </c>
      <c r="Z171" s="1280">
        <v>194.41</v>
      </c>
      <c r="AA171" s="1280">
        <v>204.7</v>
      </c>
      <c r="AB171" s="1292">
        <v>214.88</v>
      </c>
      <c r="AC171" s="1192"/>
      <c r="AD171" s="1216"/>
      <c r="AE171" s="1216"/>
      <c r="AF171" s="1216"/>
      <c r="AG171" s="1216"/>
      <c r="AH171" s="1216"/>
      <c r="AI171" s="1216"/>
      <c r="AJ171" s="1216"/>
      <c r="AK171" s="1216"/>
      <c r="AL171" s="1216"/>
      <c r="AM171" s="1216"/>
      <c r="AN171" s="1216"/>
      <c r="AO171" s="1216"/>
      <c r="AP171" s="1216"/>
      <c r="AQ171" s="1216"/>
      <c r="AR171" s="1216"/>
      <c r="AS171" s="1216"/>
      <c r="AT171" s="1216"/>
      <c r="AU171" s="1216"/>
      <c r="AV171" s="1216"/>
      <c r="AW171" s="1216"/>
      <c r="AX171" s="1216"/>
      <c r="AY171" s="1216"/>
      <c r="AZ171" s="1216"/>
      <c r="BA171" s="1216"/>
      <c r="BB171" s="1216"/>
      <c r="BC171" s="1216"/>
      <c r="BD171" s="1216"/>
      <c r="BE171" s="1216"/>
      <c r="BF171" s="1216"/>
      <c r="BG171" s="1216"/>
      <c r="BH171" s="1216"/>
      <c r="BI171" s="1216"/>
      <c r="BJ171" s="1216"/>
      <c r="BK171" s="1216"/>
      <c r="BL171" s="1216"/>
      <c r="BM171" s="1216"/>
      <c r="BN171" s="1216"/>
      <c r="BO171" s="1216"/>
      <c r="BP171" s="1216"/>
      <c r="BQ171" s="1216"/>
      <c r="BR171" s="1216"/>
      <c r="BS171" s="1216"/>
      <c r="BT171" s="1216"/>
      <c r="BU171" s="1216"/>
      <c r="BV171" s="1216"/>
      <c r="BW171" s="1216"/>
      <c r="BX171" s="1216"/>
      <c r="BY171" s="1216"/>
      <c r="BZ171" s="1216"/>
      <c r="CA171" s="1216"/>
      <c r="CB171" s="1216"/>
      <c r="CC171" s="1216"/>
      <c r="CD171" s="1216"/>
      <c r="CE171" s="1216"/>
      <c r="CF171" s="1216"/>
      <c r="CG171" s="1216"/>
      <c r="CH171" s="1216"/>
    </row>
    <row r="172" spans="1:86" ht="20.149999999999999" customHeight="1">
      <c r="A172" s="1563" t="s">
        <v>1540</v>
      </c>
      <c r="B172" s="1563" t="s">
        <v>13</v>
      </c>
      <c r="C172" s="1563" t="str">
        <f t="shared" si="2"/>
        <v>PBPDDCIM70</v>
      </c>
      <c r="D172" s="1196">
        <v>70</v>
      </c>
      <c r="E172" s="1527"/>
      <c r="F172" s="1283">
        <v>8.75</v>
      </c>
      <c r="G172" s="1283">
        <v>13.89</v>
      </c>
      <c r="H172" s="1283">
        <v>19.61</v>
      </c>
      <c r="I172" s="1283">
        <v>25.98</v>
      </c>
      <c r="J172" s="1283">
        <v>33.049999999999997</v>
      </c>
      <c r="K172" s="1283">
        <v>40.880000000000003</v>
      </c>
      <c r="L172" s="1283">
        <v>49.51</v>
      </c>
      <c r="M172" s="1283">
        <v>58.97</v>
      </c>
      <c r="N172" s="1283">
        <v>71.09</v>
      </c>
      <c r="O172" s="1283">
        <v>83.1</v>
      </c>
      <c r="P172" s="1283">
        <v>94.99</v>
      </c>
      <c r="Q172" s="1283">
        <v>106.76</v>
      </c>
      <c r="R172" s="1283">
        <v>118.41</v>
      </c>
      <c r="S172" s="1283">
        <v>129.94999999999999</v>
      </c>
      <c r="T172" s="1283">
        <v>141.37</v>
      </c>
      <c r="U172" s="1283">
        <v>152.68</v>
      </c>
      <c r="V172" s="1283">
        <v>163.88</v>
      </c>
      <c r="W172" s="1283">
        <v>174.97</v>
      </c>
      <c r="X172" s="1283">
        <v>185.95</v>
      </c>
      <c r="Y172" s="1283">
        <v>196.82</v>
      </c>
      <c r="Z172" s="1283">
        <v>207.58</v>
      </c>
      <c r="AA172" s="1283">
        <v>218.23</v>
      </c>
      <c r="AB172" s="1295">
        <v>228.78</v>
      </c>
      <c r="AC172" s="1192"/>
      <c r="AD172" s="1216"/>
      <c r="AE172" s="1216"/>
      <c r="AF172" s="1216"/>
      <c r="AG172" s="1216"/>
      <c r="AH172" s="1216"/>
      <c r="AI172" s="1216"/>
      <c r="AJ172" s="1216"/>
      <c r="AK172" s="1216"/>
      <c r="AL172" s="1216"/>
      <c r="AM172" s="1216"/>
      <c r="AN172" s="1216"/>
      <c r="AO172" s="1216"/>
      <c r="AP172" s="1216"/>
      <c r="AQ172" s="1216"/>
      <c r="AR172" s="1216"/>
      <c r="AS172" s="1216"/>
      <c r="AT172" s="1216"/>
      <c r="AU172" s="1216"/>
      <c r="AV172" s="1216"/>
      <c r="AW172" s="1216"/>
      <c r="AX172" s="1216"/>
      <c r="AY172" s="1216"/>
      <c r="AZ172" s="1216"/>
      <c r="BA172" s="1216"/>
      <c r="BB172" s="1216"/>
      <c r="BC172" s="1216"/>
      <c r="BD172" s="1216"/>
      <c r="BE172" s="1216"/>
      <c r="BF172" s="1216"/>
      <c r="BG172" s="1216"/>
      <c r="BH172" s="1216"/>
      <c r="BI172" s="1216"/>
      <c r="BJ172" s="1216"/>
      <c r="BK172" s="1216"/>
      <c r="BL172" s="1216"/>
      <c r="BM172" s="1216"/>
      <c r="BN172" s="1216"/>
      <c r="BO172" s="1216"/>
      <c r="BP172" s="1216"/>
      <c r="BQ172" s="1216"/>
      <c r="BR172" s="1216"/>
      <c r="BS172" s="1216"/>
      <c r="BT172" s="1216"/>
      <c r="BU172" s="1216"/>
      <c r="BV172" s="1216"/>
      <c r="BW172" s="1216"/>
      <c r="BX172" s="1216"/>
      <c r="BY172" s="1216"/>
      <c r="BZ172" s="1216"/>
      <c r="CA172" s="1216"/>
      <c r="CB172" s="1216"/>
      <c r="CC172" s="1216"/>
      <c r="CD172" s="1216"/>
      <c r="CE172" s="1216"/>
      <c r="CF172" s="1216"/>
      <c r="CG172" s="1216"/>
      <c r="CH172" s="1216"/>
    </row>
    <row r="173" spans="1:86" ht="20.149999999999999" customHeight="1">
      <c r="A173" s="1563" t="s">
        <v>1540</v>
      </c>
      <c r="B173" s="1563" t="s">
        <v>14</v>
      </c>
      <c r="C173" s="1563" t="str">
        <f t="shared" si="2"/>
        <v>PBPDDCIF16</v>
      </c>
      <c r="D173" s="1193">
        <v>16</v>
      </c>
      <c r="E173" s="1524"/>
      <c r="F173" s="1529"/>
      <c r="G173" s="1529"/>
      <c r="H173" s="1529"/>
      <c r="I173" s="1529"/>
      <c r="J173" s="1529"/>
      <c r="K173" s="1529"/>
      <c r="L173" s="1529"/>
      <c r="M173" s="1529"/>
      <c r="N173" s="1529"/>
      <c r="O173" s="1529"/>
      <c r="P173" s="1529"/>
      <c r="Q173" s="1529"/>
      <c r="R173" s="1529"/>
      <c r="S173" s="1529"/>
      <c r="T173" s="1529"/>
      <c r="U173" s="1529"/>
      <c r="V173" s="1529"/>
      <c r="W173" s="1529"/>
      <c r="X173" s="1529"/>
      <c r="Y173" s="1529"/>
      <c r="Z173" s="1529"/>
      <c r="AA173" s="1529"/>
      <c r="AB173" s="1539"/>
      <c r="AC173" s="1192"/>
      <c r="AD173" s="1213"/>
      <c r="AE173" s="1214"/>
      <c r="AF173" s="1214"/>
      <c r="AG173" s="1214"/>
      <c r="AH173" s="1214"/>
      <c r="AI173" s="1214"/>
      <c r="AJ173" s="1214"/>
      <c r="AK173" s="1214"/>
      <c r="AL173" s="1214"/>
      <c r="AM173" s="1214"/>
      <c r="AN173" s="1214"/>
      <c r="AO173" s="1214"/>
      <c r="AP173" s="1214"/>
      <c r="AQ173" s="1214"/>
      <c r="AR173" s="1214"/>
      <c r="AS173" s="1214"/>
      <c r="AT173" s="1214"/>
      <c r="AU173" s="1214"/>
      <c r="AV173" s="1214"/>
      <c r="AW173" s="1214"/>
      <c r="AX173" s="1214"/>
      <c r="AY173" s="1214"/>
      <c r="AZ173" s="1214"/>
      <c r="BA173" s="1214"/>
      <c r="BB173" s="1214"/>
      <c r="BC173" s="1216"/>
      <c r="BD173" s="1216"/>
      <c r="BE173" s="1216"/>
      <c r="BF173" s="1216"/>
      <c r="BG173" s="1216"/>
      <c r="BH173" s="1216"/>
      <c r="BI173" s="1216"/>
      <c r="BJ173" s="1216"/>
      <c r="BK173" s="1216"/>
      <c r="BL173" s="1216"/>
      <c r="BM173" s="1216"/>
      <c r="BN173" s="1216"/>
      <c r="BO173" s="1216"/>
      <c r="BP173" s="1216"/>
      <c r="BQ173" s="1216"/>
      <c r="BR173" s="1216"/>
      <c r="BS173" s="1216"/>
      <c r="BT173" s="1216"/>
      <c r="BU173" s="1216"/>
      <c r="BV173" s="1216"/>
      <c r="BW173" s="1216"/>
      <c r="BX173" s="1216"/>
      <c r="BY173" s="1216"/>
      <c r="BZ173" s="1216"/>
      <c r="CA173" s="1216"/>
      <c r="CB173" s="1216"/>
      <c r="CC173" s="1216"/>
      <c r="CD173" s="1216"/>
      <c r="CE173" s="1216"/>
      <c r="CF173" s="1216"/>
      <c r="CG173" s="1216"/>
      <c r="CH173" s="1216"/>
    </row>
    <row r="174" spans="1:86" ht="20.149999999999999" customHeight="1">
      <c r="A174" s="1563" t="s">
        <v>1540</v>
      </c>
      <c r="B174" s="1563" t="s">
        <v>14</v>
      </c>
      <c r="C174" s="1563" t="str">
        <f t="shared" si="2"/>
        <v>PBPDDCIF17</v>
      </c>
      <c r="D174" s="1193">
        <v>17</v>
      </c>
      <c r="E174" s="1524"/>
      <c r="F174" s="1529"/>
      <c r="G174" s="1529"/>
      <c r="H174" s="1529"/>
      <c r="I174" s="1529"/>
      <c r="J174" s="1529"/>
      <c r="K174" s="1529"/>
      <c r="L174" s="1529"/>
      <c r="M174" s="1529"/>
      <c r="N174" s="1529"/>
      <c r="O174" s="1529"/>
      <c r="P174" s="1529"/>
      <c r="Q174" s="1529"/>
      <c r="R174" s="1529"/>
      <c r="S174" s="1529"/>
      <c r="T174" s="1529"/>
      <c r="U174" s="1529"/>
      <c r="V174" s="1529"/>
      <c r="W174" s="1529"/>
      <c r="X174" s="1529"/>
      <c r="Y174" s="1529"/>
      <c r="Z174" s="1529"/>
      <c r="AA174" s="1529"/>
      <c r="AB174" s="1539"/>
      <c r="AC174" s="1192"/>
      <c r="AD174" s="1213"/>
      <c r="AE174" s="1214"/>
      <c r="AF174" s="1214"/>
      <c r="AG174" s="1214"/>
      <c r="AH174" s="1214"/>
      <c r="AI174" s="1214"/>
      <c r="AJ174" s="1214"/>
      <c r="AK174" s="1214"/>
      <c r="AL174" s="1214"/>
      <c r="AM174" s="1214"/>
      <c r="AN174" s="1214"/>
      <c r="AO174" s="1214"/>
      <c r="AP174" s="1214"/>
      <c r="AQ174" s="1214"/>
      <c r="AR174" s="1214"/>
      <c r="AS174" s="1214"/>
      <c r="AT174" s="1214"/>
      <c r="AU174" s="1214"/>
      <c r="AV174" s="1214"/>
      <c r="AW174" s="1214"/>
      <c r="AX174" s="1214"/>
      <c r="AY174" s="1214"/>
      <c r="AZ174" s="1214"/>
      <c r="BA174" s="1214"/>
      <c r="BB174" s="1214"/>
      <c r="BC174" s="1216"/>
      <c r="BD174" s="1216"/>
      <c r="BE174" s="1216"/>
      <c r="BF174" s="1216"/>
      <c r="BG174" s="1216"/>
      <c r="BH174" s="1216"/>
      <c r="BI174" s="1216"/>
      <c r="BJ174" s="1216"/>
      <c r="BK174" s="1216"/>
      <c r="BL174" s="1216"/>
      <c r="BM174" s="1216"/>
      <c r="BN174" s="1216"/>
      <c r="BO174" s="1216"/>
      <c r="BP174" s="1216"/>
      <c r="BQ174" s="1216"/>
      <c r="BR174" s="1216"/>
      <c r="BS174" s="1216"/>
      <c r="BT174" s="1216"/>
      <c r="BU174" s="1216"/>
      <c r="BV174" s="1216"/>
      <c r="BW174" s="1216"/>
      <c r="BX174" s="1216"/>
      <c r="BY174" s="1216"/>
      <c r="BZ174" s="1216"/>
      <c r="CA174" s="1216"/>
      <c r="CB174" s="1216"/>
      <c r="CC174" s="1216"/>
      <c r="CD174" s="1216"/>
      <c r="CE174" s="1216"/>
      <c r="CF174" s="1216"/>
      <c r="CG174" s="1216"/>
      <c r="CH174" s="1216"/>
    </row>
    <row r="175" spans="1:86" ht="20.149999999999999" customHeight="1">
      <c r="A175" s="1563" t="s">
        <v>1540</v>
      </c>
      <c r="B175" s="1563" t="s">
        <v>14</v>
      </c>
      <c r="C175" s="1563" t="str">
        <f t="shared" si="2"/>
        <v>PBPDDCIF18</v>
      </c>
      <c r="D175" s="1193">
        <v>18</v>
      </c>
      <c r="E175" s="1524"/>
      <c r="F175" s="1529"/>
      <c r="G175" s="1529"/>
      <c r="H175" s="1529"/>
      <c r="I175" s="1529"/>
      <c r="J175" s="1529"/>
      <c r="K175" s="1529"/>
      <c r="L175" s="1529"/>
      <c r="M175" s="1529"/>
      <c r="N175" s="1529"/>
      <c r="O175" s="1529"/>
      <c r="P175" s="1529"/>
      <c r="Q175" s="1529"/>
      <c r="R175" s="1529"/>
      <c r="S175" s="1529"/>
      <c r="T175" s="1529"/>
      <c r="U175" s="1529"/>
      <c r="V175" s="1529"/>
      <c r="W175" s="1529"/>
      <c r="X175" s="1529"/>
      <c r="Y175" s="1529"/>
      <c r="Z175" s="1529"/>
      <c r="AA175" s="1529"/>
      <c r="AB175" s="1539"/>
      <c r="AC175" s="1192"/>
      <c r="AD175" s="1213"/>
      <c r="AE175" s="1214"/>
      <c r="AF175" s="1214"/>
      <c r="AG175" s="1214"/>
      <c r="AH175" s="1214"/>
      <c r="AI175" s="1214"/>
      <c r="AJ175" s="1214"/>
      <c r="AK175" s="1214"/>
      <c r="AL175" s="1214"/>
      <c r="AM175" s="1214"/>
      <c r="AN175" s="1214"/>
      <c r="AO175" s="1214"/>
      <c r="AP175" s="1214"/>
      <c r="AQ175" s="1214"/>
      <c r="AR175" s="1214"/>
      <c r="AS175" s="1214"/>
      <c r="AT175" s="1214"/>
      <c r="AU175" s="1214"/>
      <c r="AV175" s="1214"/>
      <c r="AW175" s="1214"/>
      <c r="AX175" s="1214"/>
      <c r="AY175" s="1214"/>
      <c r="AZ175" s="1214"/>
      <c r="BA175" s="1214"/>
      <c r="BB175" s="1214"/>
      <c r="BC175" s="1216"/>
      <c r="BD175" s="1216"/>
      <c r="BE175" s="1216"/>
      <c r="BF175" s="1216"/>
      <c r="BG175" s="1216"/>
      <c r="BH175" s="1216"/>
      <c r="BI175" s="1216"/>
      <c r="BJ175" s="1216"/>
      <c r="BK175" s="1216"/>
      <c r="BL175" s="1216"/>
      <c r="BM175" s="1216"/>
      <c r="BN175" s="1216"/>
      <c r="BO175" s="1216"/>
      <c r="BP175" s="1216"/>
      <c r="BQ175" s="1216"/>
      <c r="BR175" s="1216"/>
      <c r="BS175" s="1216"/>
      <c r="BT175" s="1216"/>
      <c r="BU175" s="1216"/>
      <c r="BV175" s="1216"/>
      <c r="BW175" s="1216"/>
      <c r="BX175" s="1216"/>
      <c r="BY175" s="1216"/>
      <c r="BZ175" s="1216"/>
      <c r="CA175" s="1216"/>
      <c r="CB175" s="1216"/>
      <c r="CC175" s="1216"/>
      <c r="CD175" s="1216"/>
      <c r="CE175" s="1216"/>
      <c r="CF175" s="1216"/>
      <c r="CG175" s="1216"/>
      <c r="CH175" s="1216"/>
    </row>
    <row r="176" spans="1:86" ht="20.149999999999999" customHeight="1">
      <c r="A176" s="1563" t="s">
        <v>1540</v>
      </c>
      <c r="B176" s="1563" t="s">
        <v>14</v>
      </c>
      <c r="C176" s="1563" t="str">
        <f t="shared" si="2"/>
        <v>PBPDDCIF19</v>
      </c>
      <c r="D176" s="1193">
        <v>19</v>
      </c>
      <c r="E176" s="1524"/>
      <c r="F176" s="1529"/>
      <c r="G176" s="1529"/>
      <c r="H176" s="1529"/>
      <c r="I176" s="1529"/>
      <c r="J176" s="1529"/>
      <c r="K176" s="1529"/>
      <c r="L176" s="1529"/>
      <c r="M176" s="1529"/>
      <c r="N176" s="1529"/>
      <c r="O176" s="1529"/>
      <c r="P176" s="1529"/>
      <c r="Q176" s="1529"/>
      <c r="R176" s="1529"/>
      <c r="S176" s="1529"/>
      <c r="T176" s="1529"/>
      <c r="U176" s="1529"/>
      <c r="V176" s="1529"/>
      <c r="W176" s="1529"/>
      <c r="X176" s="1529"/>
      <c r="Y176" s="1529"/>
      <c r="Z176" s="1529"/>
      <c r="AA176" s="1529"/>
      <c r="AB176" s="1539"/>
      <c r="AC176" s="1192"/>
      <c r="AD176" s="1213"/>
      <c r="AE176" s="1214"/>
      <c r="AF176" s="1214"/>
      <c r="AG176" s="1214"/>
      <c r="AH176" s="1214"/>
      <c r="AI176" s="1214"/>
      <c r="AJ176" s="1214"/>
      <c r="AK176" s="1214"/>
      <c r="AL176" s="1214"/>
      <c r="AM176" s="1214"/>
      <c r="AN176" s="1214"/>
      <c r="AO176" s="1214"/>
      <c r="AP176" s="1214"/>
      <c r="AQ176" s="1214"/>
      <c r="AR176" s="1214"/>
      <c r="AS176" s="1214"/>
      <c r="AT176" s="1214"/>
      <c r="AU176" s="1214"/>
      <c r="AV176" s="1214"/>
      <c r="AW176" s="1214"/>
      <c r="AX176" s="1214"/>
      <c r="AY176" s="1214"/>
      <c r="AZ176" s="1214"/>
      <c r="BA176" s="1214"/>
      <c r="BB176" s="1214"/>
      <c r="BC176" s="1216"/>
      <c r="BD176" s="1216"/>
      <c r="BE176" s="1216"/>
      <c r="BF176" s="1216"/>
      <c r="BG176" s="1216"/>
      <c r="BH176" s="1216"/>
      <c r="BI176" s="1216"/>
      <c r="BJ176" s="1216"/>
      <c r="BK176" s="1216"/>
      <c r="BL176" s="1216"/>
      <c r="BM176" s="1216"/>
      <c r="BN176" s="1216"/>
      <c r="BO176" s="1216"/>
      <c r="BP176" s="1216"/>
      <c r="BQ176" s="1216"/>
      <c r="BR176" s="1216"/>
      <c r="BS176" s="1216"/>
      <c r="BT176" s="1216"/>
      <c r="BU176" s="1216"/>
      <c r="BV176" s="1216"/>
      <c r="BW176" s="1216"/>
      <c r="BX176" s="1216"/>
      <c r="BY176" s="1216"/>
      <c r="BZ176" s="1216"/>
      <c r="CA176" s="1216"/>
      <c r="CB176" s="1216"/>
      <c r="CC176" s="1216"/>
      <c r="CD176" s="1216"/>
      <c r="CE176" s="1216"/>
      <c r="CF176" s="1216"/>
      <c r="CG176" s="1216"/>
      <c r="CH176" s="1216"/>
    </row>
    <row r="177" spans="1:86" ht="20.149999999999999" customHeight="1">
      <c r="A177" s="1563" t="s">
        <v>1540</v>
      </c>
      <c r="B177" s="1563" t="s">
        <v>14</v>
      </c>
      <c r="C177" s="1563" t="str">
        <f t="shared" si="2"/>
        <v>PBPDDCIF20</v>
      </c>
      <c r="D177" s="1193">
        <v>20</v>
      </c>
      <c r="E177" s="1524"/>
      <c r="F177" s="1284">
        <v>0.15</v>
      </c>
      <c r="G177" s="1284">
        <v>0.22</v>
      </c>
      <c r="H177" s="1284">
        <v>0.31</v>
      </c>
      <c r="I177" s="1284">
        <v>0.39</v>
      </c>
      <c r="J177" s="1284">
        <v>0.47</v>
      </c>
      <c r="K177" s="1284">
        <v>0.56000000000000005</v>
      </c>
      <c r="L177" s="1284">
        <v>0.66</v>
      </c>
      <c r="M177" s="1284">
        <v>0.75</v>
      </c>
      <c r="N177" s="1284">
        <v>0.85</v>
      </c>
      <c r="O177" s="1284">
        <v>0.96</v>
      </c>
      <c r="P177" s="1284">
        <v>1.07</v>
      </c>
      <c r="Q177" s="1284">
        <v>1.19</v>
      </c>
      <c r="R177" s="1284">
        <v>1.32</v>
      </c>
      <c r="S177" s="1284">
        <v>1.42</v>
      </c>
      <c r="T177" s="1284">
        <v>1.54</v>
      </c>
      <c r="U177" s="1284">
        <v>1.66</v>
      </c>
      <c r="V177" s="1284">
        <v>1.78</v>
      </c>
      <c r="W177" s="1284">
        <v>1.91</v>
      </c>
      <c r="X177" s="1284">
        <v>2.0499999999999998</v>
      </c>
      <c r="Y177" s="1284">
        <v>2.19</v>
      </c>
      <c r="Z177" s="1284">
        <v>2.34</v>
      </c>
      <c r="AA177" s="1284">
        <v>2.5</v>
      </c>
      <c r="AB177" s="1296">
        <v>2.68</v>
      </c>
      <c r="AC177" s="1192"/>
      <c r="AD177" s="1213"/>
      <c r="AE177" s="1214"/>
      <c r="AF177" s="1214"/>
      <c r="AG177" s="1214"/>
      <c r="AH177" s="1214"/>
      <c r="AI177" s="1214"/>
      <c r="AJ177" s="1214"/>
      <c r="AK177" s="1214"/>
      <c r="AL177" s="1214"/>
      <c r="AM177" s="1214"/>
      <c r="AN177" s="1214"/>
      <c r="AO177" s="1214"/>
      <c r="AP177" s="1214"/>
      <c r="AQ177" s="1214"/>
      <c r="AR177" s="1214"/>
      <c r="AS177" s="1214"/>
      <c r="AT177" s="1214"/>
      <c r="AU177" s="1214"/>
      <c r="AV177" s="1214"/>
      <c r="AW177" s="1214"/>
      <c r="AX177" s="1214"/>
      <c r="AY177" s="1214"/>
      <c r="AZ177" s="1214"/>
      <c r="BA177" s="1214"/>
      <c r="BB177" s="1214"/>
      <c r="BC177" s="1216"/>
      <c r="BD177" s="1216"/>
      <c r="BE177" s="1216"/>
      <c r="BF177" s="1216"/>
      <c r="BG177" s="1216"/>
      <c r="BH177" s="1216"/>
      <c r="BI177" s="1216"/>
      <c r="BJ177" s="1216"/>
      <c r="BK177" s="1216"/>
      <c r="BL177" s="1216"/>
      <c r="BM177" s="1216"/>
      <c r="BN177" s="1216"/>
      <c r="BO177" s="1216"/>
      <c r="BP177" s="1216"/>
      <c r="BQ177" s="1216"/>
      <c r="BR177" s="1216"/>
      <c r="BS177" s="1216"/>
      <c r="BT177" s="1216"/>
      <c r="BU177" s="1216"/>
      <c r="BV177" s="1216"/>
      <c r="BW177" s="1216"/>
      <c r="BX177" s="1216"/>
      <c r="BY177" s="1216"/>
      <c r="BZ177" s="1216"/>
      <c r="CA177" s="1216"/>
      <c r="CB177" s="1216"/>
      <c r="CC177" s="1216"/>
      <c r="CD177" s="1216"/>
      <c r="CE177" s="1216"/>
      <c r="CF177" s="1216"/>
      <c r="CG177" s="1216"/>
      <c r="CH177" s="1216"/>
    </row>
    <row r="178" spans="1:86" ht="20.149999999999999" customHeight="1">
      <c r="A178" s="1563" t="s">
        <v>1540</v>
      </c>
      <c r="B178" s="1563" t="s">
        <v>14</v>
      </c>
      <c r="C178" s="1563" t="str">
        <f t="shared" si="2"/>
        <v>PBPDDCIF21</v>
      </c>
      <c r="D178" s="1194">
        <v>21</v>
      </c>
      <c r="E178" s="1525"/>
      <c r="F178" s="1286">
        <v>0.15</v>
      </c>
      <c r="G178" s="1286">
        <v>0.23</v>
      </c>
      <c r="H178" s="1286">
        <v>0.31</v>
      </c>
      <c r="I178" s="1286">
        <v>0.39</v>
      </c>
      <c r="J178" s="1286">
        <v>0.48</v>
      </c>
      <c r="K178" s="1286">
        <v>0.56999999999999995</v>
      </c>
      <c r="L178" s="1286">
        <v>0.66</v>
      </c>
      <c r="M178" s="1286">
        <v>0.76</v>
      </c>
      <c r="N178" s="1286">
        <v>0.86</v>
      </c>
      <c r="O178" s="1286">
        <v>0.97</v>
      </c>
      <c r="P178" s="1286">
        <v>1.0900000000000001</v>
      </c>
      <c r="Q178" s="1286">
        <v>1.21</v>
      </c>
      <c r="R178" s="1286">
        <v>1.34</v>
      </c>
      <c r="S178" s="1286">
        <v>1.46</v>
      </c>
      <c r="T178" s="1286">
        <v>1.58</v>
      </c>
      <c r="U178" s="1286">
        <v>1.7</v>
      </c>
      <c r="V178" s="1286">
        <v>1.84</v>
      </c>
      <c r="W178" s="1286">
        <v>1.98</v>
      </c>
      <c r="X178" s="1286">
        <v>2.12</v>
      </c>
      <c r="Y178" s="1286">
        <v>2.2799999999999998</v>
      </c>
      <c r="Z178" s="1286">
        <v>2.44</v>
      </c>
      <c r="AA178" s="1286">
        <v>2.62</v>
      </c>
      <c r="AB178" s="1297">
        <v>2.8</v>
      </c>
      <c r="AC178" s="1192"/>
      <c r="AD178" s="1213"/>
      <c r="AE178" s="1214"/>
      <c r="AF178" s="1214"/>
      <c r="AG178" s="1214"/>
      <c r="AH178" s="1214"/>
      <c r="AI178" s="1214"/>
      <c r="AJ178" s="1214"/>
      <c r="AK178" s="1214"/>
      <c r="AL178" s="1214"/>
      <c r="AM178" s="1214"/>
      <c r="AN178" s="1214"/>
      <c r="AO178" s="1214"/>
      <c r="AP178" s="1214"/>
      <c r="AQ178" s="1214"/>
      <c r="AR178" s="1214"/>
      <c r="AS178" s="1214"/>
      <c r="AT178" s="1214"/>
      <c r="AU178" s="1214"/>
      <c r="AV178" s="1214"/>
      <c r="AW178" s="1214"/>
      <c r="AX178" s="1214"/>
      <c r="AY178" s="1214"/>
      <c r="AZ178" s="1214"/>
      <c r="BA178" s="1214"/>
      <c r="BB178" s="1214"/>
      <c r="BC178" s="1216"/>
      <c r="BD178" s="1216"/>
      <c r="BE178" s="1216"/>
      <c r="BF178" s="1216"/>
      <c r="BG178" s="1216"/>
      <c r="BH178" s="1216"/>
      <c r="BI178" s="1216"/>
      <c r="BJ178" s="1216"/>
      <c r="BK178" s="1216"/>
      <c r="BL178" s="1216"/>
      <c r="BM178" s="1216"/>
      <c r="BN178" s="1216"/>
      <c r="BO178" s="1216"/>
      <c r="BP178" s="1216"/>
      <c r="BQ178" s="1216"/>
      <c r="BR178" s="1216"/>
      <c r="BS178" s="1216"/>
      <c r="BT178" s="1216"/>
      <c r="BU178" s="1216"/>
      <c r="BV178" s="1216"/>
      <c r="BW178" s="1216"/>
      <c r="BX178" s="1216"/>
      <c r="BY178" s="1216"/>
      <c r="BZ178" s="1216"/>
      <c r="CA178" s="1216"/>
      <c r="CB178" s="1216"/>
      <c r="CC178" s="1216"/>
      <c r="CD178" s="1216"/>
      <c r="CE178" s="1216"/>
      <c r="CF178" s="1216"/>
      <c r="CG178" s="1216"/>
      <c r="CH178" s="1216"/>
    </row>
    <row r="179" spans="1:86" ht="20.149999999999999" customHeight="1">
      <c r="A179" s="1563" t="s">
        <v>1540</v>
      </c>
      <c r="B179" s="1563" t="s">
        <v>14</v>
      </c>
      <c r="C179" s="1563" t="str">
        <f t="shared" si="2"/>
        <v>PBPDDCIF22</v>
      </c>
      <c r="D179" s="1193">
        <v>22</v>
      </c>
      <c r="E179" s="1524"/>
      <c r="F179" s="1284">
        <v>0.15</v>
      </c>
      <c r="G179" s="1284">
        <v>0.23</v>
      </c>
      <c r="H179" s="1284">
        <v>0.31</v>
      </c>
      <c r="I179" s="1284">
        <v>0.39</v>
      </c>
      <c r="J179" s="1284">
        <v>0.48</v>
      </c>
      <c r="K179" s="1284">
        <v>0.56999999999999995</v>
      </c>
      <c r="L179" s="1284">
        <v>0.67</v>
      </c>
      <c r="M179" s="1284">
        <v>0.77</v>
      </c>
      <c r="N179" s="1284">
        <v>0.87</v>
      </c>
      <c r="O179" s="1284">
        <v>0.99</v>
      </c>
      <c r="P179" s="1284">
        <v>1.1100000000000001</v>
      </c>
      <c r="Q179" s="1284">
        <v>1.24</v>
      </c>
      <c r="R179" s="1284">
        <v>1.38</v>
      </c>
      <c r="S179" s="1284">
        <v>1.5</v>
      </c>
      <c r="T179" s="1284">
        <v>1.63</v>
      </c>
      <c r="U179" s="1284">
        <v>1.76</v>
      </c>
      <c r="V179" s="1284">
        <v>1.91</v>
      </c>
      <c r="W179" s="1284">
        <v>2.06</v>
      </c>
      <c r="X179" s="1284">
        <v>2.21</v>
      </c>
      <c r="Y179" s="1284">
        <v>2.38</v>
      </c>
      <c r="Z179" s="1284">
        <v>2.56</v>
      </c>
      <c r="AA179" s="1284">
        <v>2.75</v>
      </c>
      <c r="AB179" s="1296">
        <v>2.95</v>
      </c>
      <c r="AC179" s="1192"/>
      <c r="AD179" s="1213"/>
      <c r="AE179" s="1214"/>
      <c r="AF179" s="1214"/>
      <c r="AG179" s="1214"/>
      <c r="AH179" s="1214"/>
      <c r="AI179" s="1214"/>
      <c r="AJ179" s="1214"/>
      <c r="AK179" s="1214"/>
      <c r="AL179" s="1214"/>
      <c r="AM179" s="1214"/>
      <c r="AN179" s="1214"/>
      <c r="AO179" s="1214"/>
      <c r="AP179" s="1214"/>
      <c r="AQ179" s="1214"/>
      <c r="AR179" s="1214"/>
      <c r="AS179" s="1214"/>
      <c r="AT179" s="1214"/>
      <c r="AU179" s="1214"/>
      <c r="AV179" s="1214"/>
      <c r="AW179" s="1214"/>
      <c r="AX179" s="1214"/>
      <c r="AY179" s="1214"/>
      <c r="AZ179" s="1214"/>
      <c r="BA179" s="1214"/>
      <c r="BB179" s="1214"/>
      <c r="BC179" s="1216"/>
      <c r="BD179" s="1216"/>
      <c r="BE179" s="1216"/>
      <c r="BF179" s="1216"/>
      <c r="BG179" s="1216"/>
      <c r="BH179" s="1216"/>
      <c r="BI179" s="1216"/>
      <c r="BJ179" s="1216"/>
      <c r="BK179" s="1216"/>
      <c r="BL179" s="1216"/>
      <c r="BM179" s="1216"/>
      <c r="BN179" s="1216"/>
      <c r="BO179" s="1216"/>
      <c r="BP179" s="1216"/>
      <c r="BQ179" s="1216"/>
      <c r="BR179" s="1216"/>
      <c r="BS179" s="1216"/>
      <c r="BT179" s="1216"/>
      <c r="BU179" s="1216"/>
      <c r="BV179" s="1216"/>
      <c r="BW179" s="1216"/>
      <c r="BX179" s="1216"/>
      <c r="BY179" s="1216"/>
      <c r="BZ179" s="1216"/>
      <c r="CA179" s="1216"/>
      <c r="CB179" s="1216"/>
      <c r="CC179" s="1216"/>
      <c r="CD179" s="1216"/>
      <c r="CE179" s="1216"/>
      <c r="CF179" s="1216"/>
      <c r="CG179" s="1216"/>
      <c r="CH179" s="1216"/>
    </row>
    <row r="180" spans="1:86" ht="20.149999999999999" customHeight="1">
      <c r="A180" s="1563" t="s">
        <v>1540</v>
      </c>
      <c r="B180" s="1563" t="s">
        <v>14</v>
      </c>
      <c r="C180" s="1563" t="str">
        <f t="shared" si="2"/>
        <v>PBPDDCIF23</v>
      </c>
      <c r="D180" s="1193">
        <v>23</v>
      </c>
      <c r="E180" s="1524"/>
      <c r="F180" s="1284">
        <v>0.15</v>
      </c>
      <c r="G180" s="1284">
        <v>0.23</v>
      </c>
      <c r="H180" s="1284">
        <v>0.31</v>
      </c>
      <c r="I180" s="1284">
        <v>0.4</v>
      </c>
      <c r="J180" s="1284">
        <v>0.48</v>
      </c>
      <c r="K180" s="1284">
        <v>0.57999999999999996</v>
      </c>
      <c r="L180" s="1284">
        <v>0.67</v>
      </c>
      <c r="M180" s="1284">
        <v>0.78</v>
      </c>
      <c r="N180" s="1284">
        <v>0.89</v>
      </c>
      <c r="O180" s="1284">
        <v>1.01</v>
      </c>
      <c r="P180" s="1284">
        <v>1.1399999999999999</v>
      </c>
      <c r="Q180" s="1284">
        <v>1.27</v>
      </c>
      <c r="R180" s="1284">
        <v>1.42</v>
      </c>
      <c r="S180" s="1284">
        <v>1.55</v>
      </c>
      <c r="T180" s="1284">
        <v>1.69</v>
      </c>
      <c r="U180" s="1284">
        <v>1.83</v>
      </c>
      <c r="V180" s="1284">
        <v>1.99</v>
      </c>
      <c r="W180" s="1284">
        <v>2.15</v>
      </c>
      <c r="X180" s="1284">
        <v>2.3199999999999998</v>
      </c>
      <c r="Y180" s="1284">
        <v>2.5</v>
      </c>
      <c r="Z180" s="1284">
        <v>2.7</v>
      </c>
      <c r="AA180" s="1284">
        <v>2.9</v>
      </c>
      <c r="AB180" s="1296">
        <v>3.12</v>
      </c>
      <c r="AC180" s="1192"/>
      <c r="AD180" s="1213"/>
      <c r="AE180" s="1214"/>
      <c r="AF180" s="1214"/>
      <c r="AG180" s="1214"/>
      <c r="AH180" s="1214"/>
      <c r="AI180" s="1214"/>
      <c r="AJ180" s="1214"/>
      <c r="AK180" s="1214"/>
      <c r="AL180" s="1214"/>
      <c r="AM180" s="1214"/>
      <c r="AN180" s="1214"/>
      <c r="AO180" s="1214"/>
      <c r="AP180" s="1214"/>
      <c r="AQ180" s="1214"/>
      <c r="AR180" s="1214"/>
      <c r="AS180" s="1214"/>
      <c r="AT180" s="1214"/>
      <c r="AU180" s="1214"/>
      <c r="AV180" s="1214"/>
      <c r="AW180" s="1214"/>
      <c r="AX180" s="1214"/>
      <c r="AY180" s="1214"/>
      <c r="AZ180" s="1214"/>
      <c r="BA180" s="1214"/>
      <c r="BB180" s="1214"/>
      <c r="BC180" s="1216"/>
      <c r="BD180" s="1216"/>
      <c r="BE180" s="1216"/>
      <c r="BF180" s="1216"/>
      <c r="BG180" s="1216"/>
      <c r="BH180" s="1216"/>
      <c r="BI180" s="1216"/>
      <c r="BJ180" s="1216"/>
      <c r="BK180" s="1216"/>
      <c r="BL180" s="1216"/>
      <c r="BM180" s="1216"/>
      <c r="BN180" s="1216"/>
      <c r="BO180" s="1216"/>
      <c r="BP180" s="1216"/>
      <c r="BQ180" s="1216"/>
      <c r="BR180" s="1216"/>
      <c r="BS180" s="1216"/>
      <c r="BT180" s="1216"/>
      <c r="BU180" s="1216"/>
      <c r="BV180" s="1216"/>
      <c r="BW180" s="1216"/>
      <c r="BX180" s="1216"/>
      <c r="BY180" s="1216"/>
      <c r="BZ180" s="1216"/>
      <c r="CA180" s="1216"/>
      <c r="CB180" s="1216"/>
      <c r="CC180" s="1216"/>
      <c r="CD180" s="1216"/>
      <c r="CE180" s="1216"/>
      <c r="CF180" s="1216"/>
      <c r="CG180" s="1216"/>
      <c r="CH180" s="1216"/>
    </row>
    <row r="181" spans="1:86" ht="20.149999999999999" customHeight="1">
      <c r="A181" s="1563" t="s">
        <v>1540</v>
      </c>
      <c r="B181" s="1563" t="s">
        <v>14</v>
      </c>
      <c r="C181" s="1563" t="str">
        <f t="shared" si="2"/>
        <v>PBPDDCIF24</v>
      </c>
      <c r="D181" s="1193">
        <v>24</v>
      </c>
      <c r="E181" s="1524"/>
      <c r="F181" s="1284">
        <v>0.15</v>
      </c>
      <c r="G181" s="1284">
        <v>0.23</v>
      </c>
      <c r="H181" s="1284">
        <v>0.31</v>
      </c>
      <c r="I181" s="1284">
        <v>0.4</v>
      </c>
      <c r="J181" s="1284">
        <v>0.49</v>
      </c>
      <c r="K181" s="1284">
        <v>0.59</v>
      </c>
      <c r="L181" s="1284">
        <v>0.69</v>
      </c>
      <c r="M181" s="1284">
        <v>0.8</v>
      </c>
      <c r="N181" s="1284">
        <v>0.91</v>
      </c>
      <c r="O181" s="1284">
        <v>1.04</v>
      </c>
      <c r="P181" s="1284">
        <v>1.17</v>
      </c>
      <c r="Q181" s="1284">
        <v>1.32</v>
      </c>
      <c r="R181" s="1284">
        <v>1.48</v>
      </c>
      <c r="S181" s="1284">
        <v>1.62</v>
      </c>
      <c r="T181" s="1284">
        <v>1.76</v>
      </c>
      <c r="U181" s="1284">
        <v>1.92</v>
      </c>
      <c r="V181" s="1284">
        <v>2.09</v>
      </c>
      <c r="W181" s="1284">
        <v>2.2599999999999998</v>
      </c>
      <c r="X181" s="1284">
        <v>2.4500000000000002</v>
      </c>
      <c r="Y181" s="1284">
        <v>2.65</v>
      </c>
      <c r="Z181" s="1284">
        <v>2.86</v>
      </c>
      <c r="AA181" s="1284">
        <v>3.08</v>
      </c>
      <c r="AB181" s="1296">
        <v>3.31</v>
      </c>
      <c r="AC181" s="1192"/>
      <c r="AD181" s="1213"/>
      <c r="AE181" s="1214"/>
      <c r="AF181" s="1214"/>
      <c r="AG181" s="1214"/>
      <c r="AH181" s="1214"/>
      <c r="AI181" s="1214"/>
      <c r="AJ181" s="1214"/>
      <c r="AK181" s="1214"/>
      <c r="AL181" s="1214"/>
      <c r="AM181" s="1214"/>
      <c r="AN181" s="1214"/>
      <c r="AO181" s="1214"/>
      <c r="AP181" s="1214"/>
      <c r="AQ181" s="1214"/>
      <c r="AR181" s="1214"/>
      <c r="AS181" s="1214"/>
      <c r="AT181" s="1214"/>
      <c r="AU181" s="1214"/>
      <c r="AV181" s="1214"/>
      <c r="AW181" s="1214"/>
      <c r="AX181" s="1214"/>
      <c r="AY181" s="1214"/>
      <c r="AZ181" s="1214"/>
      <c r="BA181" s="1214"/>
      <c r="BB181" s="1214"/>
      <c r="BC181" s="1216"/>
      <c r="BD181" s="1216"/>
      <c r="BE181" s="1216"/>
      <c r="BF181" s="1216"/>
      <c r="BG181" s="1216"/>
      <c r="BH181" s="1216"/>
      <c r="BI181" s="1216"/>
      <c r="BJ181" s="1216"/>
      <c r="BK181" s="1216"/>
      <c r="BL181" s="1216"/>
      <c r="BM181" s="1216"/>
      <c r="BN181" s="1216"/>
      <c r="BO181" s="1216"/>
      <c r="BP181" s="1216"/>
      <c r="BQ181" s="1216"/>
      <c r="BR181" s="1216"/>
      <c r="BS181" s="1216"/>
      <c r="BT181" s="1216"/>
      <c r="BU181" s="1216"/>
      <c r="BV181" s="1216"/>
      <c r="BW181" s="1216"/>
      <c r="BX181" s="1216"/>
      <c r="BY181" s="1216"/>
      <c r="BZ181" s="1216"/>
      <c r="CA181" s="1216"/>
      <c r="CB181" s="1216"/>
      <c r="CC181" s="1216"/>
      <c r="CD181" s="1216"/>
      <c r="CE181" s="1216"/>
      <c r="CF181" s="1216"/>
      <c r="CG181" s="1216"/>
      <c r="CH181" s="1216"/>
    </row>
    <row r="182" spans="1:86" ht="20.149999999999999" customHeight="1">
      <c r="A182" s="1563" t="s">
        <v>1540</v>
      </c>
      <c r="B182" s="1563" t="s">
        <v>14</v>
      </c>
      <c r="C182" s="1563" t="str">
        <f t="shared" si="2"/>
        <v>PBPDDCIF25</v>
      </c>
      <c r="D182" s="1195">
        <v>25</v>
      </c>
      <c r="E182" s="1526"/>
      <c r="F182" s="1288">
        <v>0.15</v>
      </c>
      <c r="G182" s="1288">
        <v>0.23</v>
      </c>
      <c r="H182" s="1288">
        <v>0.32</v>
      </c>
      <c r="I182" s="1288">
        <v>0.4</v>
      </c>
      <c r="J182" s="1288">
        <v>0.5</v>
      </c>
      <c r="K182" s="1288">
        <v>0.6</v>
      </c>
      <c r="L182" s="1288">
        <v>0.71</v>
      </c>
      <c r="M182" s="1288">
        <v>0.82</v>
      </c>
      <c r="N182" s="1288">
        <v>0.95</v>
      </c>
      <c r="O182" s="1288">
        <v>1.08</v>
      </c>
      <c r="P182" s="1288">
        <v>1.22</v>
      </c>
      <c r="Q182" s="1288">
        <v>1.38</v>
      </c>
      <c r="R182" s="1288">
        <v>1.55</v>
      </c>
      <c r="S182" s="1288">
        <v>1.7</v>
      </c>
      <c r="T182" s="1288">
        <v>1.86</v>
      </c>
      <c r="U182" s="1288">
        <v>2.0299999999999998</v>
      </c>
      <c r="V182" s="1288">
        <v>2.21</v>
      </c>
      <c r="W182" s="1288">
        <v>2.4</v>
      </c>
      <c r="X182" s="1288">
        <v>2.6</v>
      </c>
      <c r="Y182" s="1288">
        <v>2.81</v>
      </c>
      <c r="Z182" s="1288">
        <v>3.04</v>
      </c>
      <c r="AA182" s="1288">
        <v>3.28</v>
      </c>
      <c r="AB182" s="1298">
        <v>3.53</v>
      </c>
      <c r="AC182" s="1192"/>
      <c r="AD182" s="1213"/>
      <c r="AE182" s="1214"/>
      <c r="AF182" s="1214"/>
      <c r="AG182" s="1214"/>
      <c r="AH182" s="1214"/>
      <c r="AI182" s="1214"/>
      <c r="AJ182" s="1214"/>
      <c r="AK182" s="1214"/>
      <c r="AL182" s="1214"/>
      <c r="AM182" s="1214"/>
      <c r="AN182" s="1214"/>
      <c r="AO182" s="1214"/>
      <c r="AP182" s="1214"/>
      <c r="AQ182" s="1214"/>
      <c r="AR182" s="1214"/>
      <c r="AS182" s="1214"/>
      <c r="AT182" s="1214"/>
      <c r="AU182" s="1214"/>
      <c r="AV182" s="1214"/>
      <c r="AW182" s="1214"/>
      <c r="AX182" s="1214"/>
      <c r="AY182" s="1214"/>
      <c r="AZ182" s="1214"/>
      <c r="BA182" s="1214"/>
      <c r="BB182" s="1214"/>
      <c r="BC182" s="1216"/>
      <c r="BD182" s="1216"/>
      <c r="BE182" s="1216"/>
      <c r="BF182" s="1216"/>
      <c r="BG182" s="1216"/>
      <c r="BH182" s="1216"/>
      <c r="BI182" s="1216"/>
      <c r="BJ182" s="1216"/>
      <c r="BK182" s="1216"/>
      <c r="BL182" s="1216"/>
      <c r="BM182" s="1216"/>
      <c r="BN182" s="1216"/>
      <c r="BO182" s="1216"/>
      <c r="BP182" s="1216"/>
      <c r="BQ182" s="1216"/>
      <c r="BR182" s="1216"/>
      <c r="BS182" s="1216"/>
      <c r="BT182" s="1216"/>
      <c r="BU182" s="1216"/>
      <c r="BV182" s="1216"/>
      <c r="BW182" s="1216"/>
      <c r="BX182" s="1216"/>
      <c r="BY182" s="1216"/>
      <c r="BZ182" s="1216"/>
      <c r="CA182" s="1216"/>
      <c r="CB182" s="1216"/>
      <c r="CC182" s="1216"/>
      <c r="CD182" s="1216"/>
      <c r="CE182" s="1216"/>
      <c r="CF182" s="1216"/>
      <c r="CG182" s="1216"/>
      <c r="CH182" s="1216"/>
    </row>
    <row r="183" spans="1:86" ht="20.149999999999999" customHeight="1">
      <c r="A183" s="1563" t="s">
        <v>1540</v>
      </c>
      <c r="B183" s="1563" t="s">
        <v>14</v>
      </c>
      <c r="C183" s="1563" t="str">
        <f t="shared" ref="C183:C227" si="3">A183&amp;B183&amp;D183</f>
        <v>PBPDDCIF26</v>
      </c>
      <c r="D183" s="1193">
        <v>26</v>
      </c>
      <c r="E183" s="1524"/>
      <c r="F183" s="1284">
        <v>0.15</v>
      </c>
      <c r="G183" s="1284">
        <v>0.24</v>
      </c>
      <c r="H183" s="1284">
        <v>0.32</v>
      </c>
      <c r="I183" s="1284">
        <v>0.42</v>
      </c>
      <c r="J183" s="1284">
        <v>0.51</v>
      </c>
      <c r="K183" s="1284">
        <v>0.62</v>
      </c>
      <c r="L183" s="1284">
        <v>0.73</v>
      </c>
      <c r="M183" s="1284">
        <v>0.86</v>
      </c>
      <c r="N183" s="1284">
        <v>0.99</v>
      </c>
      <c r="O183" s="1284">
        <v>1.1299999999999999</v>
      </c>
      <c r="P183" s="1284">
        <v>1.28</v>
      </c>
      <c r="Q183" s="1284">
        <v>1.45</v>
      </c>
      <c r="R183" s="1284">
        <v>1.63</v>
      </c>
      <c r="S183" s="1284">
        <v>1.8</v>
      </c>
      <c r="T183" s="1284">
        <v>1.97</v>
      </c>
      <c r="U183" s="1284">
        <v>2.16</v>
      </c>
      <c r="V183" s="1284">
        <v>2.35</v>
      </c>
      <c r="W183" s="1284">
        <v>2.56</v>
      </c>
      <c r="X183" s="1284">
        <v>2.78</v>
      </c>
      <c r="Y183" s="1284">
        <v>3.01</v>
      </c>
      <c r="Z183" s="1284">
        <v>3.26</v>
      </c>
      <c r="AA183" s="1284">
        <v>3.51</v>
      </c>
      <c r="AB183" s="1296">
        <v>3.79</v>
      </c>
      <c r="AC183" s="1192"/>
      <c r="AD183" s="1213"/>
      <c r="AE183" s="1214"/>
      <c r="AF183" s="1214"/>
      <c r="AG183" s="1214"/>
      <c r="AH183" s="1214"/>
      <c r="AI183" s="1214"/>
      <c r="AJ183" s="1214"/>
      <c r="AK183" s="1214"/>
      <c r="AL183" s="1214"/>
      <c r="AM183" s="1214"/>
      <c r="AN183" s="1214"/>
      <c r="AO183" s="1214"/>
      <c r="AP183" s="1214"/>
      <c r="AQ183" s="1214"/>
      <c r="AR183" s="1214"/>
      <c r="AS183" s="1214"/>
      <c r="AT183" s="1214"/>
      <c r="AU183" s="1214"/>
      <c r="AV183" s="1214"/>
      <c r="AW183" s="1214"/>
      <c r="AX183" s="1214"/>
      <c r="AY183" s="1214"/>
      <c r="AZ183" s="1214"/>
      <c r="BA183" s="1214"/>
      <c r="BB183" s="1214"/>
      <c r="BC183" s="1216"/>
      <c r="BD183" s="1216"/>
      <c r="BE183" s="1216"/>
      <c r="BF183" s="1216"/>
      <c r="BG183" s="1216"/>
      <c r="BH183" s="1216"/>
      <c r="BI183" s="1216"/>
      <c r="BJ183" s="1216"/>
      <c r="BK183" s="1216"/>
      <c r="BL183" s="1216"/>
      <c r="BM183" s="1216"/>
      <c r="BN183" s="1216"/>
      <c r="BO183" s="1216"/>
      <c r="BP183" s="1216"/>
      <c r="BQ183" s="1216"/>
      <c r="BR183" s="1216"/>
      <c r="BS183" s="1216"/>
      <c r="BT183" s="1216"/>
      <c r="BU183" s="1216"/>
      <c r="BV183" s="1216"/>
      <c r="BW183" s="1216"/>
      <c r="BX183" s="1216"/>
      <c r="BY183" s="1216"/>
      <c r="BZ183" s="1216"/>
      <c r="CA183" s="1216"/>
      <c r="CB183" s="1216"/>
      <c r="CC183" s="1216"/>
      <c r="CD183" s="1216"/>
      <c r="CE183" s="1216"/>
      <c r="CF183" s="1216"/>
      <c r="CG183" s="1216"/>
      <c r="CH183" s="1216"/>
    </row>
    <row r="184" spans="1:86" ht="20.149999999999999" customHeight="1">
      <c r="A184" s="1563" t="s">
        <v>1540</v>
      </c>
      <c r="B184" s="1563" t="s">
        <v>14</v>
      </c>
      <c r="C184" s="1563" t="str">
        <f t="shared" si="3"/>
        <v>PBPDDCIF27</v>
      </c>
      <c r="D184" s="1193">
        <v>27</v>
      </c>
      <c r="E184" s="1524"/>
      <c r="F184" s="1284">
        <v>0.16</v>
      </c>
      <c r="G184" s="1284">
        <v>0.24</v>
      </c>
      <c r="H184" s="1284">
        <v>0.33</v>
      </c>
      <c r="I184" s="1284">
        <v>0.43</v>
      </c>
      <c r="J184" s="1284">
        <v>0.54</v>
      </c>
      <c r="K184" s="1284">
        <v>0.65</v>
      </c>
      <c r="L184" s="1284">
        <v>0.77</v>
      </c>
      <c r="M184" s="1284">
        <v>0.9</v>
      </c>
      <c r="N184" s="1284">
        <v>1.04</v>
      </c>
      <c r="O184" s="1284">
        <v>1.2</v>
      </c>
      <c r="P184" s="1284">
        <v>1.36</v>
      </c>
      <c r="Q184" s="1284">
        <v>1.54</v>
      </c>
      <c r="R184" s="1284">
        <v>1.74</v>
      </c>
      <c r="S184" s="1284">
        <v>1.92</v>
      </c>
      <c r="T184" s="1284">
        <v>2.11</v>
      </c>
      <c r="U184" s="1284">
        <v>2.31</v>
      </c>
      <c r="V184" s="1284">
        <v>2.52</v>
      </c>
      <c r="W184" s="1284">
        <v>2.74</v>
      </c>
      <c r="X184" s="1284">
        <v>2.98</v>
      </c>
      <c r="Y184" s="1284">
        <v>3.23</v>
      </c>
      <c r="Z184" s="1284">
        <v>3.5</v>
      </c>
      <c r="AA184" s="1284">
        <v>3.78</v>
      </c>
      <c r="AB184" s="1296">
        <v>4.07</v>
      </c>
      <c r="AC184" s="1192"/>
      <c r="AD184" s="1213"/>
      <c r="AE184" s="1214"/>
      <c r="AF184" s="1214"/>
      <c r="AG184" s="1214"/>
      <c r="AH184" s="1214"/>
      <c r="AI184" s="1214"/>
      <c r="AJ184" s="1214"/>
      <c r="AK184" s="1214"/>
      <c r="AL184" s="1214"/>
      <c r="AM184" s="1214"/>
      <c r="AN184" s="1214"/>
      <c r="AO184" s="1214"/>
      <c r="AP184" s="1214"/>
      <c r="AQ184" s="1214"/>
      <c r="AR184" s="1214"/>
      <c r="AS184" s="1214"/>
      <c r="AT184" s="1214"/>
      <c r="AU184" s="1214"/>
      <c r="AV184" s="1214"/>
      <c r="AW184" s="1214"/>
      <c r="AX184" s="1214"/>
      <c r="AY184" s="1214"/>
      <c r="AZ184" s="1214"/>
      <c r="BA184" s="1214"/>
      <c r="BB184" s="1214"/>
      <c r="BC184" s="1216"/>
      <c r="BD184" s="1216"/>
      <c r="BE184" s="1216"/>
      <c r="BF184" s="1216"/>
      <c r="BG184" s="1216"/>
      <c r="BH184" s="1216"/>
      <c r="BI184" s="1216"/>
      <c r="BJ184" s="1216"/>
      <c r="BK184" s="1216"/>
      <c r="BL184" s="1216"/>
      <c r="BM184" s="1216"/>
      <c r="BN184" s="1216"/>
      <c r="BO184" s="1216"/>
      <c r="BP184" s="1216"/>
      <c r="BQ184" s="1216"/>
      <c r="BR184" s="1216"/>
      <c r="BS184" s="1216"/>
      <c r="BT184" s="1216"/>
      <c r="BU184" s="1216"/>
      <c r="BV184" s="1216"/>
      <c r="BW184" s="1216"/>
      <c r="BX184" s="1216"/>
      <c r="BY184" s="1216"/>
      <c r="BZ184" s="1216"/>
      <c r="CA184" s="1216"/>
      <c r="CB184" s="1216"/>
      <c r="CC184" s="1216"/>
      <c r="CD184" s="1216"/>
      <c r="CE184" s="1216"/>
      <c r="CF184" s="1216"/>
      <c r="CG184" s="1216"/>
      <c r="CH184" s="1216"/>
    </row>
    <row r="185" spans="1:86" ht="20.149999999999999" customHeight="1">
      <c r="A185" s="1563" t="s">
        <v>1540</v>
      </c>
      <c r="B185" s="1563" t="s">
        <v>14</v>
      </c>
      <c r="C185" s="1563" t="str">
        <f t="shared" si="3"/>
        <v>PBPDDCIF28</v>
      </c>
      <c r="D185" s="1193">
        <v>28</v>
      </c>
      <c r="E185" s="1524"/>
      <c r="F185" s="1284">
        <v>0.16</v>
      </c>
      <c r="G185" s="1284">
        <v>0.25</v>
      </c>
      <c r="H185" s="1284">
        <v>0.35</v>
      </c>
      <c r="I185" s="1284">
        <v>0.45</v>
      </c>
      <c r="J185" s="1284">
        <v>0.56999999999999995</v>
      </c>
      <c r="K185" s="1284">
        <v>0.69</v>
      </c>
      <c r="L185" s="1284">
        <v>0.82</v>
      </c>
      <c r="M185" s="1284">
        <v>0.96</v>
      </c>
      <c r="N185" s="1284">
        <v>1.1100000000000001</v>
      </c>
      <c r="O185" s="1284">
        <v>1.27</v>
      </c>
      <c r="P185" s="1284">
        <v>1.45</v>
      </c>
      <c r="Q185" s="1284">
        <v>1.65</v>
      </c>
      <c r="R185" s="1284">
        <v>1.86</v>
      </c>
      <c r="S185" s="1284">
        <v>2.06</v>
      </c>
      <c r="T185" s="1284">
        <v>2.2599999999999998</v>
      </c>
      <c r="U185" s="1284">
        <v>2.48</v>
      </c>
      <c r="V185" s="1284">
        <v>2.71</v>
      </c>
      <c r="W185" s="1284">
        <v>2.96</v>
      </c>
      <c r="X185" s="1284">
        <v>3.21</v>
      </c>
      <c r="Y185" s="1284">
        <v>3.48</v>
      </c>
      <c r="Z185" s="1284">
        <v>3.77</v>
      </c>
      <c r="AA185" s="1284">
        <v>4.07</v>
      </c>
      <c r="AB185" s="1296">
        <v>4.38</v>
      </c>
      <c r="AC185" s="1192"/>
      <c r="AD185" s="1213"/>
      <c r="AE185" s="1214"/>
      <c r="AF185" s="1214"/>
      <c r="AG185" s="1214"/>
      <c r="AH185" s="1214"/>
      <c r="AI185" s="1214"/>
      <c r="AJ185" s="1214"/>
      <c r="AK185" s="1214"/>
      <c r="AL185" s="1214"/>
      <c r="AM185" s="1214"/>
      <c r="AN185" s="1214"/>
      <c r="AO185" s="1214"/>
      <c r="AP185" s="1214"/>
      <c r="AQ185" s="1214"/>
      <c r="AR185" s="1214"/>
      <c r="AS185" s="1214"/>
      <c r="AT185" s="1214"/>
      <c r="AU185" s="1214"/>
      <c r="AV185" s="1214"/>
      <c r="AW185" s="1214"/>
      <c r="AX185" s="1214"/>
      <c r="AY185" s="1214"/>
      <c r="AZ185" s="1214"/>
      <c r="BA185" s="1214"/>
      <c r="BB185" s="1214"/>
      <c r="BC185" s="1216"/>
      <c r="BD185" s="1216"/>
      <c r="BE185" s="1216"/>
      <c r="BF185" s="1216"/>
      <c r="BG185" s="1216"/>
      <c r="BH185" s="1216"/>
      <c r="BI185" s="1216"/>
      <c r="BJ185" s="1216"/>
      <c r="BK185" s="1216"/>
      <c r="BL185" s="1216"/>
      <c r="BM185" s="1216"/>
      <c r="BN185" s="1216"/>
      <c r="BO185" s="1216"/>
      <c r="BP185" s="1216"/>
      <c r="BQ185" s="1216"/>
      <c r="BR185" s="1216"/>
      <c r="BS185" s="1216"/>
      <c r="BT185" s="1216"/>
      <c r="BU185" s="1216"/>
      <c r="BV185" s="1216"/>
      <c r="BW185" s="1216"/>
      <c r="BX185" s="1216"/>
      <c r="BY185" s="1216"/>
      <c r="BZ185" s="1216"/>
      <c r="CA185" s="1216"/>
      <c r="CB185" s="1216"/>
      <c r="CC185" s="1216"/>
      <c r="CD185" s="1216"/>
      <c r="CE185" s="1216"/>
      <c r="CF185" s="1216"/>
      <c r="CG185" s="1216"/>
      <c r="CH185" s="1216"/>
    </row>
    <row r="186" spans="1:86" ht="20.149999999999999" customHeight="1">
      <c r="A186" s="1563" t="s">
        <v>1540</v>
      </c>
      <c r="B186" s="1563" t="s">
        <v>14</v>
      </c>
      <c r="C186" s="1563" t="str">
        <f t="shared" si="3"/>
        <v>PBPDDCIF29</v>
      </c>
      <c r="D186" s="1193">
        <v>29</v>
      </c>
      <c r="E186" s="1524"/>
      <c r="F186" s="1284">
        <v>0.17</v>
      </c>
      <c r="G186" s="1284">
        <v>0.27</v>
      </c>
      <c r="H186" s="1284">
        <v>0.37</v>
      </c>
      <c r="I186" s="1284">
        <v>0.48</v>
      </c>
      <c r="J186" s="1284">
        <v>0.6</v>
      </c>
      <c r="K186" s="1284">
        <v>0.73</v>
      </c>
      <c r="L186" s="1284">
        <v>0.87</v>
      </c>
      <c r="M186" s="1284">
        <v>1.02</v>
      </c>
      <c r="N186" s="1284">
        <v>1.18</v>
      </c>
      <c r="O186" s="1284">
        <v>1.36</v>
      </c>
      <c r="P186" s="1284">
        <v>1.56</v>
      </c>
      <c r="Q186" s="1284">
        <v>1.77</v>
      </c>
      <c r="R186" s="1284">
        <v>2.0099999999999998</v>
      </c>
      <c r="S186" s="1284">
        <v>2.2200000000000002</v>
      </c>
      <c r="T186" s="1284">
        <v>2.44</v>
      </c>
      <c r="U186" s="1284">
        <v>2.68</v>
      </c>
      <c r="V186" s="1284">
        <v>2.93</v>
      </c>
      <c r="W186" s="1284">
        <v>3.19</v>
      </c>
      <c r="X186" s="1284">
        <v>3.47</v>
      </c>
      <c r="Y186" s="1284">
        <v>3.76</v>
      </c>
      <c r="Z186" s="1284">
        <v>4.07</v>
      </c>
      <c r="AA186" s="1284">
        <v>4.3899999999999997</v>
      </c>
      <c r="AB186" s="1296">
        <v>4.7300000000000004</v>
      </c>
      <c r="AC186" s="1192"/>
      <c r="AD186" s="1213"/>
      <c r="AE186" s="1214"/>
      <c r="AF186" s="1214"/>
      <c r="AG186" s="1214"/>
      <c r="AH186" s="1214"/>
      <c r="AI186" s="1214"/>
      <c r="AJ186" s="1214"/>
      <c r="AK186" s="1214"/>
      <c r="AL186" s="1214"/>
      <c r="AM186" s="1214"/>
      <c r="AN186" s="1214"/>
      <c r="AO186" s="1214"/>
      <c r="AP186" s="1214"/>
      <c r="AQ186" s="1214"/>
      <c r="AR186" s="1214"/>
      <c r="AS186" s="1214"/>
      <c r="AT186" s="1214"/>
      <c r="AU186" s="1214"/>
      <c r="AV186" s="1214"/>
      <c r="AW186" s="1214"/>
      <c r="AX186" s="1214"/>
      <c r="AY186" s="1214"/>
      <c r="AZ186" s="1214"/>
      <c r="BA186" s="1214"/>
      <c r="BB186" s="1214"/>
      <c r="BC186" s="1216"/>
      <c r="BD186" s="1216"/>
      <c r="BE186" s="1216"/>
      <c r="BF186" s="1216"/>
      <c r="BG186" s="1216"/>
      <c r="BH186" s="1216"/>
      <c r="BI186" s="1216"/>
      <c r="BJ186" s="1216"/>
      <c r="BK186" s="1216"/>
      <c r="BL186" s="1216"/>
      <c r="BM186" s="1216"/>
      <c r="BN186" s="1216"/>
      <c r="BO186" s="1216"/>
      <c r="BP186" s="1216"/>
      <c r="BQ186" s="1216"/>
      <c r="BR186" s="1216"/>
      <c r="BS186" s="1216"/>
      <c r="BT186" s="1216"/>
      <c r="BU186" s="1216"/>
      <c r="BV186" s="1216"/>
      <c r="BW186" s="1216"/>
      <c r="BX186" s="1216"/>
      <c r="BY186" s="1216"/>
      <c r="BZ186" s="1216"/>
      <c r="CA186" s="1216"/>
      <c r="CB186" s="1216"/>
      <c r="CC186" s="1216"/>
      <c r="CD186" s="1216"/>
      <c r="CE186" s="1216"/>
      <c r="CF186" s="1216"/>
      <c r="CG186" s="1216"/>
      <c r="CH186" s="1216"/>
    </row>
    <row r="187" spans="1:86" ht="20.149999999999999" customHeight="1">
      <c r="A187" s="1563" t="s">
        <v>1540</v>
      </c>
      <c r="B187" s="1563" t="s">
        <v>14</v>
      </c>
      <c r="C187" s="1563" t="str">
        <f t="shared" si="3"/>
        <v>PBPDDCIF30</v>
      </c>
      <c r="D187" s="1193">
        <v>30</v>
      </c>
      <c r="E187" s="1524"/>
      <c r="F187" s="1284">
        <v>0.18</v>
      </c>
      <c r="G187" s="1284">
        <v>0.28999999999999998</v>
      </c>
      <c r="H187" s="1284">
        <v>0.4</v>
      </c>
      <c r="I187" s="1284">
        <v>0.52</v>
      </c>
      <c r="J187" s="1284">
        <v>0.64</v>
      </c>
      <c r="K187" s="1284">
        <v>0.78</v>
      </c>
      <c r="L187" s="1284">
        <v>0.93</v>
      </c>
      <c r="M187" s="1284">
        <v>1.0900000000000001</v>
      </c>
      <c r="N187" s="1284">
        <v>1.27</v>
      </c>
      <c r="O187" s="1284">
        <v>1.47</v>
      </c>
      <c r="P187" s="1284">
        <v>1.68</v>
      </c>
      <c r="Q187" s="1284">
        <v>1.91</v>
      </c>
      <c r="R187" s="1284">
        <v>2.17</v>
      </c>
      <c r="S187" s="1284">
        <v>2.4</v>
      </c>
      <c r="T187" s="1284">
        <v>2.64</v>
      </c>
      <c r="U187" s="1284">
        <v>2.9</v>
      </c>
      <c r="V187" s="1284">
        <v>3.17</v>
      </c>
      <c r="W187" s="1284">
        <v>3.45</v>
      </c>
      <c r="X187" s="1284">
        <v>3.75</v>
      </c>
      <c r="Y187" s="1284">
        <v>4.07</v>
      </c>
      <c r="Z187" s="1284">
        <v>4.4000000000000004</v>
      </c>
      <c r="AA187" s="1284">
        <v>4.74</v>
      </c>
      <c r="AB187" s="1296">
        <v>5.0999999999999996</v>
      </c>
      <c r="AC187" s="1192"/>
      <c r="AD187" s="1213"/>
      <c r="AE187" s="1214"/>
      <c r="AF187" s="1214"/>
      <c r="AG187" s="1214"/>
      <c r="AH187" s="1214"/>
      <c r="AI187" s="1214"/>
      <c r="AJ187" s="1214"/>
      <c r="AK187" s="1214"/>
      <c r="AL187" s="1214"/>
      <c r="AM187" s="1214"/>
      <c r="AN187" s="1214"/>
      <c r="AO187" s="1214"/>
      <c r="AP187" s="1214"/>
      <c r="AQ187" s="1214"/>
      <c r="AR187" s="1214"/>
      <c r="AS187" s="1214"/>
      <c r="AT187" s="1214"/>
      <c r="AU187" s="1214"/>
      <c r="AV187" s="1214"/>
      <c r="AW187" s="1214"/>
      <c r="AX187" s="1214"/>
      <c r="AY187" s="1214"/>
      <c r="AZ187" s="1214"/>
      <c r="BA187" s="1214"/>
      <c r="BB187" s="1214"/>
      <c r="BC187" s="1216"/>
      <c r="BD187" s="1216"/>
      <c r="BE187" s="1216"/>
      <c r="BF187" s="1216"/>
      <c r="BG187" s="1216"/>
      <c r="BH187" s="1216"/>
      <c r="BI187" s="1216"/>
      <c r="BJ187" s="1216"/>
      <c r="BK187" s="1216"/>
      <c r="BL187" s="1216"/>
      <c r="BM187" s="1216"/>
      <c r="BN187" s="1216"/>
      <c r="BO187" s="1216"/>
      <c r="BP187" s="1216"/>
      <c r="BQ187" s="1216"/>
      <c r="BR187" s="1216"/>
      <c r="BS187" s="1216"/>
      <c r="BT187" s="1216"/>
      <c r="BU187" s="1216"/>
      <c r="BV187" s="1216"/>
      <c r="BW187" s="1216"/>
      <c r="BX187" s="1216"/>
      <c r="BY187" s="1216"/>
      <c r="BZ187" s="1216"/>
      <c r="CA187" s="1216"/>
      <c r="CB187" s="1216"/>
      <c r="CC187" s="1216"/>
      <c r="CD187" s="1216"/>
      <c r="CE187" s="1216"/>
      <c r="CF187" s="1216"/>
      <c r="CG187" s="1216"/>
      <c r="CH187" s="1216"/>
    </row>
    <row r="188" spans="1:86" ht="20.149999999999999" customHeight="1">
      <c r="A188" s="1563" t="s">
        <v>1540</v>
      </c>
      <c r="B188" s="1563" t="s">
        <v>14</v>
      </c>
      <c r="C188" s="1563" t="str">
        <f t="shared" si="3"/>
        <v>PBPDDCIF31</v>
      </c>
      <c r="D188" s="1194">
        <v>31</v>
      </c>
      <c r="E188" s="1525"/>
      <c r="F188" s="1286">
        <v>0.2</v>
      </c>
      <c r="G188" s="1286">
        <v>0.31</v>
      </c>
      <c r="H188" s="1286">
        <v>0.42</v>
      </c>
      <c r="I188" s="1286">
        <v>0.55000000000000004</v>
      </c>
      <c r="J188" s="1286">
        <v>0.69</v>
      </c>
      <c r="K188" s="1286">
        <v>0.84</v>
      </c>
      <c r="L188" s="1286">
        <v>1</v>
      </c>
      <c r="M188" s="1286">
        <v>1.18</v>
      </c>
      <c r="N188" s="1286">
        <v>1.37</v>
      </c>
      <c r="O188" s="1286">
        <v>1.58</v>
      </c>
      <c r="P188" s="1286">
        <v>1.82</v>
      </c>
      <c r="Q188" s="1286">
        <v>2.0699999999999998</v>
      </c>
      <c r="R188" s="1286">
        <v>2.35</v>
      </c>
      <c r="S188" s="1286">
        <v>2.6</v>
      </c>
      <c r="T188" s="1286">
        <v>2.86</v>
      </c>
      <c r="U188" s="1286">
        <v>3.14</v>
      </c>
      <c r="V188" s="1286">
        <v>3.43</v>
      </c>
      <c r="W188" s="1286">
        <v>3.74</v>
      </c>
      <c r="X188" s="1286">
        <v>4.0599999999999996</v>
      </c>
      <c r="Y188" s="1286">
        <v>4.4000000000000004</v>
      </c>
      <c r="Z188" s="1286">
        <v>4.75</v>
      </c>
      <c r="AA188" s="1286">
        <v>5.12</v>
      </c>
      <c r="AB188" s="1297">
        <v>5.51</v>
      </c>
      <c r="AC188" s="1192"/>
      <c r="AD188" s="1213"/>
      <c r="AE188" s="1214"/>
      <c r="AF188" s="1214"/>
      <c r="AG188" s="1214"/>
      <c r="AH188" s="1214"/>
      <c r="AI188" s="1214"/>
      <c r="AJ188" s="1214"/>
      <c r="AK188" s="1214"/>
      <c r="AL188" s="1214"/>
      <c r="AM188" s="1214"/>
      <c r="AN188" s="1214"/>
      <c r="AO188" s="1214"/>
      <c r="AP188" s="1214"/>
      <c r="AQ188" s="1214"/>
      <c r="AR188" s="1214"/>
      <c r="AS188" s="1214"/>
      <c r="AT188" s="1214"/>
      <c r="AU188" s="1214"/>
      <c r="AV188" s="1214"/>
      <c r="AW188" s="1214"/>
      <c r="AX188" s="1214"/>
      <c r="AY188" s="1214"/>
      <c r="AZ188" s="1214"/>
      <c r="BA188" s="1214"/>
      <c r="BB188" s="1214"/>
      <c r="BC188" s="1216"/>
      <c r="BD188" s="1216"/>
      <c r="BE188" s="1216"/>
      <c r="BF188" s="1216"/>
      <c r="BG188" s="1216"/>
      <c r="BH188" s="1216"/>
      <c r="BI188" s="1216"/>
      <c r="BJ188" s="1216"/>
      <c r="BK188" s="1216"/>
      <c r="BL188" s="1216"/>
      <c r="BM188" s="1216"/>
      <c r="BN188" s="1216"/>
      <c r="BO188" s="1216"/>
      <c r="BP188" s="1216"/>
      <c r="BQ188" s="1216"/>
      <c r="BR188" s="1216"/>
      <c r="BS188" s="1216"/>
      <c r="BT188" s="1216"/>
      <c r="BU188" s="1216"/>
      <c r="BV188" s="1216"/>
      <c r="BW188" s="1216"/>
      <c r="BX188" s="1216"/>
      <c r="BY188" s="1216"/>
      <c r="BZ188" s="1216"/>
      <c r="CA188" s="1216"/>
      <c r="CB188" s="1216"/>
      <c r="CC188" s="1216"/>
      <c r="CD188" s="1216"/>
      <c r="CE188" s="1216"/>
      <c r="CF188" s="1216"/>
      <c r="CG188" s="1216"/>
      <c r="CH188" s="1216"/>
    </row>
    <row r="189" spans="1:86" ht="20.149999999999999" customHeight="1">
      <c r="A189" s="1563" t="s">
        <v>1540</v>
      </c>
      <c r="B189" s="1563" t="s">
        <v>14</v>
      </c>
      <c r="C189" s="1563" t="str">
        <f t="shared" si="3"/>
        <v>PBPDDCIF32</v>
      </c>
      <c r="D189" s="1193">
        <v>32</v>
      </c>
      <c r="E189" s="1524"/>
      <c r="F189" s="1284">
        <v>0.21</v>
      </c>
      <c r="G189" s="1284">
        <v>0.33</v>
      </c>
      <c r="H189" s="1284">
        <v>0.45</v>
      </c>
      <c r="I189" s="1284">
        <v>0.59</v>
      </c>
      <c r="J189" s="1284">
        <v>0.74</v>
      </c>
      <c r="K189" s="1284">
        <v>0.9</v>
      </c>
      <c r="L189" s="1284">
        <v>1.07</v>
      </c>
      <c r="M189" s="1284">
        <v>1.27</v>
      </c>
      <c r="N189" s="1284">
        <v>1.48</v>
      </c>
      <c r="O189" s="1284">
        <v>1.71</v>
      </c>
      <c r="P189" s="1284">
        <v>1.96</v>
      </c>
      <c r="Q189" s="1284">
        <v>2.2400000000000002</v>
      </c>
      <c r="R189" s="1284">
        <v>2.54</v>
      </c>
      <c r="S189" s="1284">
        <v>2.81</v>
      </c>
      <c r="T189" s="1284">
        <v>3.1</v>
      </c>
      <c r="U189" s="1284">
        <v>3.4</v>
      </c>
      <c r="V189" s="1284">
        <v>3.72</v>
      </c>
      <c r="W189" s="1284">
        <v>4.05</v>
      </c>
      <c r="X189" s="1284">
        <v>4.3899999999999997</v>
      </c>
      <c r="Y189" s="1284">
        <v>4.76</v>
      </c>
      <c r="Z189" s="1284">
        <v>5.14</v>
      </c>
      <c r="AA189" s="1284">
        <v>5.53</v>
      </c>
      <c r="AB189" s="1296">
        <v>5.95</v>
      </c>
      <c r="AC189" s="1192"/>
      <c r="AD189" s="1213"/>
      <c r="AE189" s="1214"/>
      <c r="AF189" s="1214"/>
      <c r="AG189" s="1214"/>
      <c r="AH189" s="1214"/>
      <c r="AI189" s="1214"/>
      <c r="AJ189" s="1214"/>
      <c r="AK189" s="1214"/>
      <c r="AL189" s="1214"/>
      <c r="AM189" s="1214"/>
      <c r="AN189" s="1214"/>
      <c r="AO189" s="1214"/>
      <c r="AP189" s="1214"/>
      <c r="AQ189" s="1214"/>
      <c r="AR189" s="1214"/>
      <c r="AS189" s="1214"/>
      <c r="AT189" s="1214"/>
      <c r="AU189" s="1214"/>
      <c r="AV189" s="1214"/>
      <c r="AW189" s="1214"/>
      <c r="AX189" s="1214"/>
      <c r="AY189" s="1214"/>
      <c r="AZ189" s="1214"/>
      <c r="BA189" s="1214"/>
      <c r="BB189" s="1214"/>
      <c r="BC189" s="1216"/>
      <c r="BD189" s="1216"/>
      <c r="BE189" s="1216"/>
      <c r="BF189" s="1216"/>
      <c r="BG189" s="1216"/>
      <c r="BH189" s="1216"/>
      <c r="BI189" s="1216"/>
      <c r="BJ189" s="1216"/>
      <c r="BK189" s="1216"/>
      <c r="BL189" s="1216"/>
      <c r="BM189" s="1216"/>
      <c r="BN189" s="1216"/>
      <c r="BO189" s="1216"/>
      <c r="BP189" s="1216"/>
      <c r="BQ189" s="1216"/>
      <c r="BR189" s="1216"/>
      <c r="BS189" s="1216"/>
      <c r="BT189" s="1216"/>
      <c r="BU189" s="1216"/>
      <c r="BV189" s="1216"/>
      <c r="BW189" s="1216"/>
      <c r="BX189" s="1216"/>
      <c r="BY189" s="1216"/>
      <c r="BZ189" s="1216"/>
      <c r="CA189" s="1216"/>
      <c r="CB189" s="1216"/>
      <c r="CC189" s="1216"/>
      <c r="CD189" s="1216"/>
      <c r="CE189" s="1216"/>
      <c r="CF189" s="1216"/>
      <c r="CG189" s="1216"/>
      <c r="CH189" s="1216"/>
    </row>
    <row r="190" spans="1:86" ht="20.149999999999999" customHeight="1">
      <c r="A190" s="1563" t="s">
        <v>1540</v>
      </c>
      <c r="B190" s="1563" t="s">
        <v>14</v>
      </c>
      <c r="C190" s="1563" t="str">
        <f t="shared" si="3"/>
        <v>PBPDDCIF33</v>
      </c>
      <c r="D190" s="1193">
        <v>33</v>
      </c>
      <c r="E190" s="1524"/>
      <c r="F190" s="1284">
        <v>0.22</v>
      </c>
      <c r="G190" s="1284">
        <v>0.35</v>
      </c>
      <c r="H190" s="1284">
        <v>0.48</v>
      </c>
      <c r="I190" s="1284">
        <v>0.63</v>
      </c>
      <c r="J190" s="1284">
        <v>0.79</v>
      </c>
      <c r="K190" s="1284">
        <v>0.97</v>
      </c>
      <c r="L190" s="1284">
        <v>1.1599999999999999</v>
      </c>
      <c r="M190" s="1284">
        <v>1.37</v>
      </c>
      <c r="N190" s="1284">
        <v>1.6</v>
      </c>
      <c r="O190" s="1284">
        <v>1.85</v>
      </c>
      <c r="P190" s="1284">
        <v>2.13</v>
      </c>
      <c r="Q190" s="1284">
        <v>2.4300000000000002</v>
      </c>
      <c r="R190" s="1284">
        <v>2.76</v>
      </c>
      <c r="S190" s="1284">
        <v>3.05</v>
      </c>
      <c r="T190" s="1284">
        <v>3.36</v>
      </c>
      <c r="U190" s="1284">
        <v>3.69</v>
      </c>
      <c r="V190" s="1284">
        <v>4.03</v>
      </c>
      <c r="W190" s="1284">
        <v>4.38</v>
      </c>
      <c r="X190" s="1284">
        <v>4.75</v>
      </c>
      <c r="Y190" s="1284">
        <v>5.14</v>
      </c>
      <c r="Z190" s="1284">
        <v>5.55</v>
      </c>
      <c r="AA190" s="1284">
        <v>5.97</v>
      </c>
      <c r="AB190" s="1296">
        <v>6.42</v>
      </c>
      <c r="AC190" s="1192"/>
      <c r="AD190" s="1213"/>
      <c r="AE190" s="1214"/>
      <c r="AF190" s="1214"/>
      <c r="AG190" s="1214"/>
      <c r="AH190" s="1214"/>
      <c r="AI190" s="1214"/>
      <c r="AJ190" s="1214"/>
      <c r="AK190" s="1214"/>
      <c r="AL190" s="1214"/>
      <c r="AM190" s="1214"/>
      <c r="AN190" s="1214"/>
      <c r="AO190" s="1214"/>
      <c r="AP190" s="1214"/>
      <c r="AQ190" s="1214"/>
      <c r="AR190" s="1214"/>
      <c r="AS190" s="1214"/>
      <c r="AT190" s="1214"/>
      <c r="AU190" s="1214"/>
      <c r="AV190" s="1214"/>
      <c r="AW190" s="1214"/>
      <c r="AX190" s="1214"/>
      <c r="AY190" s="1214"/>
      <c r="AZ190" s="1214"/>
      <c r="BA190" s="1214"/>
      <c r="BB190" s="1214"/>
      <c r="BC190" s="1216"/>
      <c r="BD190" s="1216"/>
      <c r="BE190" s="1216"/>
      <c r="BF190" s="1216"/>
      <c r="BG190" s="1216"/>
      <c r="BH190" s="1216"/>
      <c r="BI190" s="1216"/>
      <c r="BJ190" s="1216"/>
      <c r="BK190" s="1216"/>
      <c r="BL190" s="1216"/>
      <c r="BM190" s="1216"/>
      <c r="BN190" s="1216"/>
      <c r="BO190" s="1216"/>
      <c r="BP190" s="1216"/>
      <c r="BQ190" s="1216"/>
      <c r="BR190" s="1216"/>
      <c r="BS190" s="1216"/>
      <c r="BT190" s="1216"/>
      <c r="BU190" s="1216"/>
      <c r="BV190" s="1216"/>
      <c r="BW190" s="1216"/>
      <c r="BX190" s="1216"/>
      <c r="BY190" s="1216"/>
      <c r="BZ190" s="1216"/>
      <c r="CA190" s="1216"/>
      <c r="CB190" s="1216"/>
      <c r="CC190" s="1216"/>
      <c r="CD190" s="1216"/>
      <c r="CE190" s="1216"/>
      <c r="CF190" s="1216"/>
      <c r="CG190" s="1216"/>
      <c r="CH190" s="1216"/>
    </row>
    <row r="191" spans="1:86" ht="20.149999999999999" customHeight="1">
      <c r="A191" s="1563" t="s">
        <v>1540</v>
      </c>
      <c r="B191" s="1563" t="s">
        <v>14</v>
      </c>
      <c r="C191" s="1563" t="str">
        <f t="shared" si="3"/>
        <v>PBPDDCIF34</v>
      </c>
      <c r="D191" s="1193">
        <v>34</v>
      </c>
      <c r="E191" s="1524"/>
      <c r="F191" s="1284">
        <v>0.24</v>
      </c>
      <c r="G191" s="1284">
        <v>0.37</v>
      </c>
      <c r="H191" s="1284">
        <v>0.52</v>
      </c>
      <c r="I191" s="1284">
        <v>0.68</v>
      </c>
      <c r="J191" s="1284">
        <v>0.85</v>
      </c>
      <c r="K191" s="1284">
        <v>1.04</v>
      </c>
      <c r="L191" s="1284">
        <v>1.25</v>
      </c>
      <c r="M191" s="1284">
        <v>1.49</v>
      </c>
      <c r="N191" s="1284">
        <v>1.74</v>
      </c>
      <c r="O191" s="1284">
        <v>2.0099999999999998</v>
      </c>
      <c r="P191" s="1284">
        <v>2.31</v>
      </c>
      <c r="Q191" s="1284">
        <v>2.64</v>
      </c>
      <c r="R191" s="1284">
        <v>3</v>
      </c>
      <c r="S191" s="1284">
        <v>3.31</v>
      </c>
      <c r="T191" s="1284">
        <v>3.65</v>
      </c>
      <c r="U191" s="1284">
        <v>4</v>
      </c>
      <c r="V191" s="1284">
        <v>4.3600000000000003</v>
      </c>
      <c r="W191" s="1284">
        <v>4.74</v>
      </c>
      <c r="X191" s="1284">
        <v>5.14</v>
      </c>
      <c r="Y191" s="1284">
        <v>5.55</v>
      </c>
      <c r="Z191" s="1284">
        <v>5.99</v>
      </c>
      <c r="AA191" s="1284">
        <v>6.44</v>
      </c>
      <c r="AB191" s="1296">
        <v>6.92</v>
      </c>
      <c r="AC191" s="1192"/>
      <c r="AD191" s="1213"/>
      <c r="AE191" s="1214"/>
      <c r="AF191" s="1214"/>
      <c r="AG191" s="1214"/>
      <c r="AH191" s="1214"/>
      <c r="AI191" s="1214"/>
      <c r="AJ191" s="1214"/>
      <c r="AK191" s="1214"/>
      <c r="AL191" s="1214"/>
      <c r="AM191" s="1214"/>
      <c r="AN191" s="1214"/>
      <c r="AO191" s="1214"/>
      <c r="AP191" s="1214"/>
      <c r="AQ191" s="1214"/>
      <c r="AR191" s="1214"/>
      <c r="AS191" s="1214"/>
      <c r="AT191" s="1214"/>
      <c r="AU191" s="1214"/>
      <c r="AV191" s="1214"/>
      <c r="AW191" s="1214"/>
      <c r="AX191" s="1214"/>
      <c r="AY191" s="1214"/>
      <c r="AZ191" s="1214"/>
      <c r="BA191" s="1214"/>
      <c r="BB191" s="1214"/>
      <c r="BC191" s="1216"/>
      <c r="BD191" s="1216"/>
      <c r="BE191" s="1216"/>
      <c r="BF191" s="1216"/>
      <c r="BG191" s="1216"/>
      <c r="BH191" s="1216"/>
      <c r="BI191" s="1216"/>
      <c r="BJ191" s="1216"/>
      <c r="BK191" s="1216"/>
      <c r="BL191" s="1216"/>
      <c r="BM191" s="1216"/>
      <c r="BN191" s="1216"/>
      <c r="BO191" s="1216"/>
      <c r="BP191" s="1216"/>
      <c r="BQ191" s="1216"/>
      <c r="BR191" s="1216"/>
      <c r="BS191" s="1216"/>
      <c r="BT191" s="1216"/>
      <c r="BU191" s="1216"/>
      <c r="BV191" s="1216"/>
      <c r="BW191" s="1216"/>
      <c r="BX191" s="1216"/>
      <c r="BY191" s="1216"/>
      <c r="BZ191" s="1216"/>
      <c r="CA191" s="1216"/>
      <c r="CB191" s="1216"/>
      <c r="CC191" s="1216"/>
      <c r="CD191" s="1216"/>
      <c r="CE191" s="1216"/>
      <c r="CF191" s="1216"/>
      <c r="CG191" s="1216"/>
      <c r="CH191" s="1216"/>
    </row>
    <row r="192" spans="1:86" ht="20.149999999999999" customHeight="1">
      <c r="A192" s="1563" t="s">
        <v>1540</v>
      </c>
      <c r="B192" s="1563" t="s">
        <v>14</v>
      </c>
      <c r="C192" s="1563" t="str">
        <f t="shared" si="3"/>
        <v>PBPDDCIF35</v>
      </c>
      <c r="D192" s="1195">
        <v>35</v>
      </c>
      <c r="E192" s="1526"/>
      <c r="F192" s="1288">
        <v>0.26</v>
      </c>
      <c r="G192" s="1288">
        <v>0.4</v>
      </c>
      <c r="H192" s="1288">
        <v>0.56000000000000005</v>
      </c>
      <c r="I192" s="1288">
        <v>0.73</v>
      </c>
      <c r="J192" s="1288">
        <v>0.92</v>
      </c>
      <c r="K192" s="1288">
        <v>1.1299999999999999</v>
      </c>
      <c r="L192" s="1288">
        <v>1.36</v>
      </c>
      <c r="M192" s="1288">
        <v>1.62</v>
      </c>
      <c r="N192" s="1288">
        <v>1.89</v>
      </c>
      <c r="O192" s="1288">
        <v>2.19</v>
      </c>
      <c r="P192" s="1288">
        <v>2.52</v>
      </c>
      <c r="Q192" s="1288">
        <v>2.87</v>
      </c>
      <c r="R192" s="1288">
        <v>3.26</v>
      </c>
      <c r="S192" s="1288">
        <v>3.6</v>
      </c>
      <c r="T192" s="1288">
        <v>3.96</v>
      </c>
      <c r="U192" s="1288">
        <v>4.33</v>
      </c>
      <c r="V192" s="1288">
        <v>4.72</v>
      </c>
      <c r="W192" s="1288">
        <v>5.13</v>
      </c>
      <c r="X192" s="1288">
        <v>5.56</v>
      </c>
      <c r="Y192" s="1288">
        <v>6</v>
      </c>
      <c r="Z192" s="1288">
        <v>6.47</v>
      </c>
      <c r="AA192" s="1288">
        <v>6.96</v>
      </c>
      <c r="AB192" s="1298">
        <v>7.47</v>
      </c>
      <c r="AC192" s="1192"/>
      <c r="AD192" s="1213"/>
      <c r="AE192" s="1214"/>
      <c r="AF192" s="1214"/>
      <c r="AG192" s="1214"/>
      <c r="AH192" s="1214"/>
      <c r="AI192" s="1214"/>
      <c r="AJ192" s="1214"/>
      <c r="AK192" s="1214"/>
      <c r="AL192" s="1214"/>
      <c r="AM192" s="1214"/>
      <c r="AN192" s="1214"/>
      <c r="AO192" s="1214"/>
      <c r="AP192" s="1214"/>
      <c r="AQ192" s="1214"/>
      <c r="AR192" s="1214"/>
      <c r="AS192" s="1214"/>
      <c r="AT192" s="1214"/>
      <c r="AU192" s="1214"/>
      <c r="AV192" s="1214"/>
      <c r="AW192" s="1214"/>
      <c r="AX192" s="1214"/>
      <c r="AY192" s="1214"/>
      <c r="AZ192" s="1214"/>
      <c r="BA192" s="1214"/>
      <c r="BB192" s="1214"/>
      <c r="BC192" s="1216"/>
      <c r="BD192" s="1216"/>
      <c r="BE192" s="1216"/>
      <c r="BF192" s="1216"/>
      <c r="BG192" s="1216"/>
      <c r="BH192" s="1216"/>
      <c r="BI192" s="1216"/>
      <c r="BJ192" s="1216"/>
      <c r="BK192" s="1216"/>
      <c r="BL192" s="1216"/>
      <c r="BM192" s="1216"/>
      <c r="BN192" s="1216"/>
      <c r="BO192" s="1216"/>
      <c r="BP192" s="1216"/>
      <c r="BQ192" s="1216"/>
      <c r="BR192" s="1216"/>
      <c r="BS192" s="1216"/>
      <c r="BT192" s="1216"/>
      <c r="BU192" s="1216"/>
      <c r="BV192" s="1216"/>
      <c r="BW192" s="1216"/>
      <c r="BX192" s="1216"/>
      <c r="BY192" s="1216"/>
      <c r="BZ192" s="1216"/>
      <c r="CA192" s="1216"/>
      <c r="CB192" s="1216"/>
      <c r="CC192" s="1216"/>
      <c r="CD192" s="1216"/>
      <c r="CE192" s="1216"/>
      <c r="CF192" s="1216"/>
      <c r="CG192" s="1216"/>
      <c r="CH192" s="1216"/>
    </row>
    <row r="193" spans="1:86" ht="20.149999999999999" customHeight="1">
      <c r="A193" s="1563" t="s">
        <v>1540</v>
      </c>
      <c r="B193" s="1563" t="s">
        <v>14</v>
      </c>
      <c r="C193" s="1563" t="str">
        <f t="shared" si="3"/>
        <v>PBPDDCIF36</v>
      </c>
      <c r="D193" s="1193">
        <v>36</v>
      </c>
      <c r="E193" s="1524"/>
      <c r="F193" s="1284">
        <v>0.28000000000000003</v>
      </c>
      <c r="G193" s="1284">
        <v>0.44</v>
      </c>
      <c r="H193" s="1284">
        <v>0.61</v>
      </c>
      <c r="I193" s="1284">
        <v>0.8</v>
      </c>
      <c r="J193" s="1284">
        <v>1.01</v>
      </c>
      <c r="K193" s="1284">
        <v>1.24</v>
      </c>
      <c r="L193" s="1284">
        <v>1.49</v>
      </c>
      <c r="M193" s="1284">
        <v>1.76</v>
      </c>
      <c r="N193" s="1284">
        <v>2.06</v>
      </c>
      <c r="O193" s="1284">
        <v>2.39</v>
      </c>
      <c r="P193" s="1284">
        <v>2.74</v>
      </c>
      <c r="Q193" s="1284">
        <v>3.13</v>
      </c>
      <c r="R193" s="1284">
        <v>3.55</v>
      </c>
      <c r="S193" s="1284">
        <v>3.91</v>
      </c>
      <c r="T193" s="1284">
        <v>4.3</v>
      </c>
      <c r="U193" s="1284">
        <v>4.7</v>
      </c>
      <c r="V193" s="1284">
        <v>5.1100000000000003</v>
      </c>
      <c r="W193" s="1284">
        <v>5.55</v>
      </c>
      <c r="X193" s="1284">
        <v>6.01</v>
      </c>
      <c r="Y193" s="1284">
        <v>6.48</v>
      </c>
      <c r="Z193" s="1284">
        <v>6.98</v>
      </c>
      <c r="AA193" s="1284">
        <v>7.51</v>
      </c>
      <c r="AB193" s="1296">
        <v>8.0500000000000007</v>
      </c>
      <c r="AC193" s="1192"/>
      <c r="AD193" s="1213"/>
      <c r="AE193" s="1214"/>
      <c r="AF193" s="1214"/>
      <c r="AG193" s="1214"/>
      <c r="AH193" s="1214"/>
      <c r="AI193" s="1214"/>
      <c r="AJ193" s="1214"/>
      <c r="AK193" s="1214"/>
      <c r="AL193" s="1214"/>
      <c r="AM193" s="1214"/>
      <c r="AN193" s="1214"/>
      <c r="AO193" s="1214"/>
      <c r="AP193" s="1214"/>
      <c r="AQ193" s="1214"/>
      <c r="AR193" s="1214"/>
      <c r="AS193" s="1214"/>
      <c r="AT193" s="1214"/>
      <c r="AU193" s="1214"/>
      <c r="AV193" s="1214"/>
      <c r="AW193" s="1214"/>
      <c r="AX193" s="1214"/>
      <c r="AY193" s="1214"/>
      <c r="AZ193" s="1214"/>
      <c r="BA193" s="1214"/>
      <c r="BB193" s="1214"/>
      <c r="BC193" s="1216"/>
      <c r="BD193" s="1216"/>
      <c r="BE193" s="1216"/>
      <c r="BF193" s="1216"/>
      <c r="BG193" s="1216"/>
      <c r="BH193" s="1216"/>
      <c r="BI193" s="1216"/>
      <c r="BJ193" s="1216"/>
      <c r="BK193" s="1216"/>
      <c r="BL193" s="1216"/>
      <c r="BM193" s="1216"/>
      <c r="BN193" s="1216"/>
      <c r="BO193" s="1216"/>
      <c r="BP193" s="1216"/>
      <c r="BQ193" s="1216"/>
      <c r="BR193" s="1216"/>
      <c r="BS193" s="1216"/>
      <c r="BT193" s="1216"/>
      <c r="BU193" s="1216"/>
      <c r="BV193" s="1216"/>
      <c r="BW193" s="1216"/>
      <c r="BX193" s="1216"/>
      <c r="BY193" s="1216"/>
      <c r="BZ193" s="1216"/>
      <c r="CA193" s="1216"/>
      <c r="CB193" s="1216"/>
      <c r="CC193" s="1216"/>
      <c r="CD193" s="1216"/>
      <c r="CE193" s="1216"/>
      <c r="CF193" s="1216"/>
      <c r="CG193" s="1216"/>
      <c r="CH193" s="1216"/>
    </row>
    <row r="194" spans="1:86" ht="20.149999999999999" customHeight="1">
      <c r="A194" s="1563" t="s">
        <v>1540</v>
      </c>
      <c r="B194" s="1563" t="s">
        <v>14</v>
      </c>
      <c r="C194" s="1563" t="str">
        <f t="shared" si="3"/>
        <v>PBPDDCIF37</v>
      </c>
      <c r="D194" s="1193">
        <v>37</v>
      </c>
      <c r="E194" s="1524"/>
      <c r="F194" s="1284">
        <v>0.3</v>
      </c>
      <c r="G194" s="1284">
        <v>0.47</v>
      </c>
      <c r="H194" s="1284">
        <v>0.66</v>
      </c>
      <c r="I194" s="1284">
        <v>0.87</v>
      </c>
      <c r="J194" s="1284">
        <v>1.1000000000000001</v>
      </c>
      <c r="K194" s="1284">
        <v>1.35</v>
      </c>
      <c r="L194" s="1284">
        <v>1.63</v>
      </c>
      <c r="M194" s="1284">
        <v>1.92</v>
      </c>
      <c r="N194" s="1284">
        <v>2.25</v>
      </c>
      <c r="O194" s="1284">
        <v>2.6</v>
      </c>
      <c r="P194" s="1284">
        <v>2.99</v>
      </c>
      <c r="Q194" s="1284">
        <v>3.4</v>
      </c>
      <c r="R194" s="1284">
        <v>3.85</v>
      </c>
      <c r="S194" s="1284">
        <v>4.24</v>
      </c>
      <c r="T194" s="1284">
        <v>4.6500000000000004</v>
      </c>
      <c r="U194" s="1284">
        <v>5.08</v>
      </c>
      <c r="V194" s="1284">
        <v>5.53</v>
      </c>
      <c r="W194" s="1284">
        <v>6</v>
      </c>
      <c r="X194" s="1284">
        <v>6.49</v>
      </c>
      <c r="Y194" s="1284">
        <v>7</v>
      </c>
      <c r="Z194" s="1284">
        <v>7.53</v>
      </c>
      <c r="AA194" s="1284">
        <v>8.09</v>
      </c>
      <c r="AB194" s="1296">
        <v>8.68</v>
      </c>
      <c r="AC194" s="1192"/>
      <c r="AD194" s="1213"/>
      <c r="AE194" s="1214"/>
      <c r="AF194" s="1214"/>
      <c r="AG194" s="1214"/>
      <c r="AH194" s="1214"/>
      <c r="AI194" s="1214"/>
      <c r="AJ194" s="1214"/>
      <c r="AK194" s="1214"/>
      <c r="AL194" s="1214"/>
      <c r="AM194" s="1214"/>
      <c r="AN194" s="1214"/>
      <c r="AO194" s="1214"/>
      <c r="AP194" s="1214"/>
      <c r="AQ194" s="1214"/>
      <c r="AR194" s="1214"/>
      <c r="AS194" s="1214"/>
      <c r="AT194" s="1214"/>
      <c r="AU194" s="1214"/>
      <c r="AV194" s="1214"/>
      <c r="AW194" s="1214"/>
      <c r="AX194" s="1214"/>
      <c r="AY194" s="1214"/>
      <c r="AZ194" s="1214"/>
      <c r="BA194" s="1214"/>
      <c r="BB194" s="1214"/>
      <c r="BC194" s="1216"/>
      <c r="BD194" s="1216"/>
      <c r="BE194" s="1216"/>
      <c r="BF194" s="1216"/>
      <c r="BG194" s="1216"/>
      <c r="BH194" s="1216"/>
      <c r="BI194" s="1216"/>
      <c r="BJ194" s="1216"/>
      <c r="BK194" s="1216"/>
      <c r="BL194" s="1216"/>
      <c r="BM194" s="1216"/>
      <c r="BN194" s="1216"/>
      <c r="BO194" s="1216"/>
      <c r="BP194" s="1216"/>
      <c r="BQ194" s="1216"/>
      <c r="BR194" s="1216"/>
      <c r="BS194" s="1216"/>
      <c r="BT194" s="1216"/>
      <c r="BU194" s="1216"/>
      <c r="BV194" s="1216"/>
      <c r="BW194" s="1216"/>
      <c r="BX194" s="1216"/>
      <c r="BY194" s="1216"/>
      <c r="BZ194" s="1216"/>
      <c r="CA194" s="1216"/>
      <c r="CB194" s="1216"/>
      <c r="CC194" s="1216"/>
      <c r="CD194" s="1216"/>
      <c r="CE194" s="1216"/>
      <c r="CF194" s="1216"/>
      <c r="CG194" s="1216"/>
      <c r="CH194" s="1216"/>
    </row>
    <row r="195" spans="1:86" ht="20.149999999999999" customHeight="1">
      <c r="A195" s="1563" t="s">
        <v>1540</v>
      </c>
      <c r="B195" s="1563" t="s">
        <v>14</v>
      </c>
      <c r="C195" s="1563" t="str">
        <f t="shared" si="3"/>
        <v>PBPDDCIF38</v>
      </c>
      <c r="D195" s="1193">
        <v>38</v>
      </c>
      <c r="E195" s="1524"/>
      <c r="F195" s="1284">
        <v>0.33</v>
      </c>
      <c r="G195" s="1284">
        <v>0.52</v>
      </c>
      <c r="H195" s="1284">
        <v>0.73</v>
      </c>
      <c r="I195" s="1284">
        <v>0.96</v>
      </c>
      <c r="J195" s="1284">
        <v>1.21</v>
      </c>
      <c r="K195" s="1284">
        <v>1.48</v>
      </c>
      <c r="L195" s="1284">
        <v>1.78</v>
      </c>
      <c r="M195" s="1284">
        <v>2.1</v>
      </c>
      <c r="N195" s="1284">
        <v>2.4500000000000002</v>
      </c>
      <c r="O195" s="1284">
        <v>2.84</v>
      </c>
      <c r="P195" s="1284">
        <v>3.25</v>
      </c>
      <c r="Q195" s="1284">
        <v>3.7</v>
      </c>
      <c r="R195" s="1284">
        <v>4.18</v>
      </c>
      <c r="S195" s="1284">
        <v>4.5999999999999996</v>
      </c>
      <c r="T195" s="1284">
        <v>5.04</v>
      </c>
      <c r="U195" s="1284">
        <v>5.5</v>
      </c>
      <c r="V195" s="1284">
        <v>5.98</v>
      </c>
      <c r="W195" s="1284">
        <v>6.48</v>
      </c>
      <c r="X195" s="1284">
        <v>7</v>
      </c>
      <c r="Y195" s="1284">
        <v>7.55</v>
      </c>
      <c r="Z195" s="1284">
        <v>8.1199999999999992</v>
      </c>
      <c r="AA195" s="1284">
        <v>8.73</v>
      </c>
      <c r="AB195" s="1296">
        <v>9.36</v>
      </c>
      <c r="AC195" s="1192"/>
      <c r="AD195" s="1213"/>
      <c r="AE195" s="1214"/>
      <c r="AF195" s="1214"/>
      <c r="AG195" s="1214"/>
      <c r="AH195" s="1214"/>
      <c r="AI195" s="1214"/>
      <c r="AJ195" s="1214"/>
      <c r="AK195" s="1214"/>
      <c r="AL195" s="1214"/>
      <c r="AM195" s="1214"/>
      <c r="AN195" s="1214"/>
      <c r="AO195" s="1214"/>
      <c r="AP195" s="1214"/>
      <c r="AQ195" s="1214"/>
      <c r="AR195" s="1214"/>
      <c r="AS195" s="1214"/>
      <c r="AT195" s="1214"/>
      <c r="AU195" s="1214"/>
      <c r="AV195" s="1214"/>
      <c r="AW195" s="1214"/>
      <c r="AX195" s="1214"/>
      <c r="AY195" s="1214"/>
      <c r="AZ195" s="1214"/>
      <c r="BA195" s="1214"/>
      <c r="BB195" s="1214"/>
      <c r="BC195" s="1216"/>
      <c r="BD195" s="1216"/>
      <c r="BE195" s="1216"/>
      <c r="BF195" s="1216"/>
      <c r="BG195" s="1216"/>
      <c r="BH195" s="1216"/>
      <c r="BI195" s="1216"/>
      <c r="BJ195" s="1216"/>
      <c r="BK195" s="1216"/>
      <c r="BL195" s="1216"/>
      <c r="BM195" s="1216"/>
      <c r="BN195" s="1216"/>
      <c r="BO195" s="1216"/>
      <c r="BP195" s="1216"/>
      <c r="BQ195" s="1216"/>
      <c r="BR195" s="1216"/>
      <c r="BS195" s="1216"/>
      <c r="BT195" s="1216"/>
      <c r="BU195" s="1216"/>
      <c r="BV195" s="1216"/>
      <c r="BW195" s="1216"/>
      <c r="BX195" s="1216"/>
      <c r="BY195" s="1216"/>
      <c r="BZ195" s="1216"/>
      <c r="CA195" s="1216"/>
      <c r="CB195" s="1216"/>
      <c r="CC195" s="1216"/>
      <c r="CD195" s="1216"/>
      <c r="CE195" s="1216"/>
      <c r="CF195" s="1216"/>
      <c r="CG195" s="1216"/>
      <c r="CH195" s="1216"/>
    </row>
    <row r="196" spans="1:86" ht="20.149999999999999" customHeight="1">
      <c r="A196" s="1563" t="s">
        <v>1540</v>
      </c>
      <c r="B196" s="1563" t="s">
        <v>14</v>
      </c>
      <c r="C196" s="1563" t="str">
        <f t="shared" si="3"/>
        <v>PBPDDCIF39</v>
      </c>
      <c r="D196" s="1193">
        <v>39</v>
      </c>
      <c r="E196" s="1524"/>
      <c r="F196" s="1284">
        <v>0.36</v>
      </c>
      <c r="G196" s="1284">
        <v>0.56999999999999995</v>
      </c>
      <c r="H196" s="1284">
        <v>0.8</v>
      </c>
      <c r="I196" s="1284">
        <v>1.05</v>
      </c>
      <c r="J196" s="1284">
        <v>1.32</v>
      </c>
      <c r="K196" s="1284">
        <v>1.62</v>
      </c>
      <c r="L196" s="1284">
        <v>1.94</v>
      </c>
      <c r="M196" s="1284">
        <v>2.29</v>
      </c>
      <c r="N196" s="1284">
        <v>2.67</v>
      </c>
      <c r="O196" s="1284">
        <v>3.08</v>
      </c>
      <c r="P196" s="1284">
        <v>3.53</v>
      </c>
      <c r="Q196" s="1284">
        <v>4.01</v>
      </c>
      <c r="R196" s="1284">
        <v>4.5199999999999996</v>
      </c>
      <c r="S196" s="1284">
        <v>4.97</v>
      </c>
      <c r="T196" s="1284">
        <v>5.44</v>
      </c>
      <c r="U196" s="1284">
        <v>5.93</v>
      </c>
      <c r="V196" s="1284">
        <v>6.45</v>
      </c>
      <c r="W196" s="1284">
        <v>6.98</v>
      </c>
      <c r="X196" s="1284">
        <v>7.54</v>
      </c>
      <c r="Y196" s="1284">
        <v>8.1300000000000008</v>
      </c>
      <c r="Z196" s="1284">
        <v>8.75</v>
      </c>
      <c r="AA196" s="1284">
        <v>9.4</v>
      </c>
      <c r="AB196" s="1296">
        <v>10.09</v>
      </c>
      <c r="AC196" s="1192"/>
      <c r="AD196" s="1213"/>
      <c r="AE196" s="1214"/>
      <c r="AF196" s="1214"/>
      <c r="AG196" s="1214"/>
      <c r="AH196" s="1214"/>
      <c r="AI196" s="1214"/>
      <c r="AJ196" s="1214"/>
      <c r="AK196" s="1214"/>
      <c r="AL196" s="1214"/>
      <c r="AM196" s="1214"/>
      <c r="AN196" s="1214"/>
      <c r="AO196" s="1214"/>
      <c r="AP196" s="1214"/>
      <c r="AQ196" s="1214"/>
      <c r="AR196" s="1214"/>
      <c r="AS196" s="1214"/>
      <c r="AT196" s="1214"/>
      <c r="AU196" s="1214"/>
      <c r="AV196" s="1214"/>
      <c r="AW196" s="1214"/>
      <c r="AX196" s="1214"/>
      <c r="AY196" s="1214"/>
      <c r="AZ196" s="1214"/>
      <c r="BA196" s="1214"/>
      <c r="BB196" s="1214"/>
      <c r="BC196" s="1216"/>
      <c r="BD196" s="1216"/>
      <c r="BE196" s="1216"/>
      <c r="BF196" s="1216"/>
      <c r="BG196" s="1216"/>
      <c r="BH196" s="1216"/>
      <c r="BI196" s="1216"/>
      <c r="BJ196" s="1216"/>
      <c r="BK196" s="1216"/>
      <c r="BL196" s="1216"/>
      <c r="BM196" s="1216"/>
      <c r="BN196" s="1216"/>
      <c r="BO196" s="1216"/>
      <c r="BP196" s="1216"/>
      <c r="BQ196" s="1216"/>
      <c r="BR196" s="1216"/>
      <c r="BS196" s="1216"/>
      <c r="BT196" s="1216"/>
      <c r="BU196" s="1216"/>
      <c r="BV196" s="1216"/>
      <c r="BW196" s="1216"/>
      <c r="BX196" s="1216"/>
      <c r="BY196" s="1216"/>
      <c r="BZ196" s="1216"/>
      <c r="CA196" s="1216"/>
      <c r="CB196" s="1216"/>
      <c r="CC196" s="1216"/>
      <c r="CD196" s="1216"/>
      <c r="CE196" s="1216"/>
      <c r="CF196" s="1216"/>
      <c r="CG196" s="1216"/>
      <c r="CH196" s="1216"/>
    </row>
    <row r="197" spans="1:86" ht="20.149999999999999" customHeight="1">
      <c r="A197" s="1563" t="s">
        <v>1540</v>
      </c>
      <c r="B197" s="1563" t="s">
        <v>14</v>
      </c>
      <c r="C197" s="1563" t="str">
        <f t="shared" si="3"/>
        <v>PBPDDCIF40</v>
      </c>
      <c r="D197" s="1193">
        <v>40</v>
      </c>
      <c r="E197" s="1524"/>
      <c r="F197" s="1284">
        <v>0.4</v>
      </c>
      <c r="G197" s="1284">
        <v>0.62</v>
      </c>
      <c r="H197" s="1284">
        <v>0.87</v>
      </c>
      <c r="I197" s="1284">
        <v>1.1399999999999999</v>
      </c>
      <c r="J197" s="1284">
        <v>1.44</v>
      </c>
      <c r="K197" s="1284">
        <v>1.76</v>
      </c>
      <c r="L197" s="1284">
        <v>2.11</v>
      </c>
      <c r="M197" s="1284">
        <v>2.4900000000000002</v>
      </c>
      <c r="N197" s="1284">
        <v>2.9</v>
      </c>
      <c r="O197" s="1284">
        <v>3.34</v>
      </c>
      <c r="P197" s="1284">
        <v>3.82</v>
      </c>
      <c r="Q197" s="1284">
        <v>4.33</v>
      </c>
      <c r="R197" s="1284">
        <v>4.88</v>
      </c>
      <c r="S197" s="1284">
        <v>5.36</v>
      </c>
      <c r="T197" s="1284">
        <v>5.87</v>
      </c>
      <c r="U197" s="1284">
        <v>6.39</v>
      </c>
      <c r="V197" s="1284">
        <v>6.94</v>
      </c>
      <c r="W197" s="1284">
        <v>7.52</v>
      </c>
      <c r="X197" s="1284">
        <v>8.1199999999999992</v>
      </c>
      <c r="Y197" s="1284">
        <v>8.75</v>
      </c>
      <c r="Z197" s="1284">
        <v>9.42</v>
      </c>
      <c r="AA197" s="1284">
        <v>10.119999999999999</v>
      </c>
      <c r="AB197" s="1296">
        <v>10.86</v>
      </c>
      <c r="AC197" s="1192"/>
      <c r="AD197" s="1213"/>
      <c r="AE197" s="1214"/>
      <c r="AF197" s="1214"/>
      <c r="AG197" s="1214"/>
      <c r="AH197" s="1214"/>
      <c r="AI197" s="1214"/>
      <c r="AJ197" s="1214"/>
      <c r="AK197" s="1214"/>
      <c r="AL197" s="1214"/>
      <c r="AM197" s="1214"/>
      <c r="AN197" s="1214"/>
      <c r="AO197" s="1214"/>
      <c r="AP197" s="1214"/>
      <c r="AQ197" s="1214"/>
      <c r="AR197" s="1214"/>
      <c r="AS197" s="1214"/>
      <c r="AT197" s="1214"/>
      <c r="AU197" s="1214"/>
      <c r="AV197" s="1214"/>
      <c r="AW197" s="1214"/>
      <c r="AX197" s="1214"/>
      <c r="AY197" s="1214"/>
      <c r="AZ197" s="1214"/>
      <c r="BA197" s="1214"/>
      <c r="BB197" s="1214"/>
      <c r="BC197" s="1216"/>
      <c r="BD197" s="1216"/>
      <c r="BE197" s="1216"/>
      <c r="BF197" s="1216"/>
      <c r="BG197" s="1216"/>
      <c r="BH197" s="1216"/>
      <c r="BI197" s="1216"/>
      <c r="BJ197" s="1216"/>
      <c r="BK197" s="1216"/>
      <c r="BL197" s="1216"/>
      <c r="BM197" s="1216"/>
      <c r="BN197" s="1216"/>
      <c r="BO197" s="1216"/>
      <c r="BP197" s="1216"/>
      <c r="BQ197" s="1216"/>
      <c r="BR197" s="1216"/>
      <c r="BS197" s="1216"/>
      <c r="BT197" s="1216"/>
      <c r="BU197" s="1216"/>
      <c r="BV197" s="1216"/>
      <c r="BW197" s="1216"/>
      <c r="BX197" s="1216"/>
      <c r="BY197" s="1216"/>
      <c r="BZ197" s="1216"/>
      <c r="CA197" s="1216"/>
      <c r="CB197" s="1216"/>
      <c r="CC197" s="1216"/>
      <c r="CD197" s="1216"/>
      <c r="CE197" s="1216"/>
      <c r="CF197" s="1216"/>
      <c r="CG197" s="1216"/>
      <c r="CH197" s="1216"/>
    </row>
    <row r="198" spans="1:86" ht="20.149999999999999" customHeight="1">
      <c r="A198" s="1563" t="s">
        <v>1540</v>
      </c>
      <c r="B198" s="1563" t="s">
        <v>14</v>
      </c>
      <c r="C198" s="1563" t="str">
        <f t="shared" si="3"/>
        <v>PBPDDCIF41</v>
      </c>
      <c r="D198" s="1194">
        <v>41</v>
      </c>
      <c r="E198" s="1525"/>
      <c r="F198" s="1286">
        <v>0.43</v>
      </c>
      <c r="G198" s="1286">
        <v>0.68</v>
      </c>
      <c r="H198" s="1286">
        <v>0.95</v>
      </c>
      <c r="I198" s="1286">
        <v>1.24</v>
      </c>
      <c r="J198" s="1286">
        <v>1.56</v>
      </c>
      <c r="K198" s="1286">
        <v>1.91</v>
      </c>
      <c r="L198" s="1286">
        <v>2.29</v>
      </c>
      <c r="M198" s="1286">
        <v>2.69</v>
      </c>
      <c r="N198" s="1286">
        <v>3.13</v>
      </c>
      <c r="O198" s="1286">
        <v>3.61</v>
      </c>
      <c r="P198" s="1286">
        <v>4.12</v>
      </c>
      <c r="Q198" s="1286">
        <v>4.67</v>
      </c>
      <c r="R198" s="1286">
        <v>5.26</v>
      </c>
      <c r="S198" s="1286">
        <v>5.77</v>
      </c>
      <c r="T198" s="1286">
        <v>6.31</v>
      </c>
      <c r="U198" s="1286">
        <v>6.87</v>
      </c>
      <c r="V198" s="1286">
        <v>7.46</v>
      </c>
      <c r="W198" s="1286">
        <v>8.08</v>
      </c>
      <c r="X198" s="1286">
        <v>8.7200000000000006</v>
      </c>
      <c r="Y198" s="1286">
        <v>9.41</v>
      </c>
      <c r="Z198" s="1286">
        <v>10.130000000000001</v>
      </c>
      <c r="AA198" s="1286">
        <v>10.89</v>
      </c>
      <c r="AB198" s="1297">
        <v>11.69</v>
      </c>
      <c r="AC198" s="1192"/>
      <c r="AD198" s="1213"/>
      <c r="AE198" s="1214"/>
      <c r="AF198" s="1214"/>
      <c r="AG198" s="1214"/>
      <c r="AH198" s="1214"/>
      <c r="AI198" s="1214"/>
      <c r="AJ198" s="1214"/>
      <c r="AK198" s="1214"/>
      <c r="AL198" s="1214"/>
      <c r="AM198" s="1214"/>
      <c r="AN198" s="1214"/>
      <c r="AO198" s="1214"/>
      <c r="AP198" s="1214"/>
      <c r="AQ198" s="1214"/>
      <c r="AR198" s="1214"/>
      <c r="AS198" s="1214"/>
      <c r="AT198" s="1214"/>
      <c r="AU198" s="1214"/>
      <c r="AV198" s="1214"/>
      <c r="AW198" s="1214"/>
      <c r="AX198" s="1214"/>
      <c r="AY198" s="1214"/>
      <c r="AZ198" s="1214"/>
      <c r="BA198" s="1214"/>
      <c r="BB198" s="1214"/>
      <c r="BC198" s="1216"/>
      <c r="BD198" s="1216"/>
      <c r="BE198" s="1216"/>
      <c r="BF198" s="1216"/>
      <c r="BG198" s="1216"/>
      <c r="BH198" s="1216"/>
      <c r="BI198" s="1216"/>
      <c r="BJ198" s="1216"/>
      <c r="BK198" s="1216"/>
      <c r="BL198" s="1216"/>
      <c r="BM198" s="1216"/>
      <c r="BN198" s="1216"/>
      <c r="BO198" s="1216"/>
      <c r="BP198" s="1216"/>
      <c r="BQ198" s="1216"/>
      <c r="BR198" s="1216"/>
      <c r="BS198" s="1216"/>
      <c r="BT198" s="1216"/>
      <c r="BU198" s="1216"/>
      <c r="BV198" s="1216"/>
      <c r="BW198" s="1216"/>
      <c r="BX198" s="1216"/>
      <c r="BY198" s="1216"/>
      <c r="BZ198" s="1216"/>
      <c r="CA198" s="1216"/>
      <c r="CB198" s="1216"/>
      <c r="CC198" s="1216"/>
      <c r="CD198" s="1216"/>
      <c r="CE198" s="1216"/>
      <c r="CF198" s="1216"/>
      <c r="CG198" s="1216"/>
      <c r="CH198" s="1216"/>
    </row>
    <row r="199" spans="1:86" ht="20.149999999999999" customHeight="1">
      <c r="A199" s="1563" t="s">
        <v>1540</v>
      </c>
      <c r="B199" s="1563" t="s">
        <v>14</v>
      </c>
      <c r="C199" s="1563" t="str">
        <f t="shared" si="3"/>
        <v>PBPDDCIF42</v>
      </c>
      <c r="D199" s="1193">
        <v>42</v>
      </c>
      <c r="E199" s="1524"/>
      <c r="F199" s="1284">
        <v>0.47</v>
      </c>
      <c r="G199" s="1284">
        <v>0.74</v>
      </c>
      <c r="H199" s="1284">
        <v>1.03</v>
      </c>
      <c r="I199" s="1284">
        <v>1.35</v>
      </c>
      <c r="J199" s="1284">
        <v>1.69</v>
      </c>
      <c r="K199" s="1284">
        <v>2.0699999999999998</v>
      </c>
      <c r="L199" s="1284">
        <v>2.4700000000000002</v>
      </c>
      <c r="M199" s="1284">
        <v>2.91</v>
      </c>
      <c r="N199" s="1284">
        <v>3.38</v>
      </c>
      <c r="O199" s="1284">
        <v>3.88</v>
      </c>
      <c r="P199" s="1284">
        <v>4.43</v>
      </c>
      <c r="Q199" s="1284">
        <v>5.01</v>
      </c>
      <c r="R199" s="1284">
        <v>5.64</v>
      </c>
      <c r="S199" s="1284">
        <v>6.19</v>
      </c>
      <c r="T199" s="1284">
        <v>6.77</v>
      </c>
      <c r="U199" s="1284">
        <v>7.37</v>
      </c>
      <c r="V199" s="1284">
        <v>8</v>
      </c>
      <c r="W199" s="1284">
        <v>8.67</v>
      </c>
      <c r="X199" s="1284">
        <v>9.3699999999999992</v>
      </c>
      <c r="Y199" s="1284">
        <v>10.1</v>
      </c>
      <c r="Z199" s="1284">
        <v>10.88</v>
      </c>
      <c r="AA199" s="1284">
        <v>11.71</v>
      </c>
      <c r="AB199" s="1296">
        <v>12.59</v>
      </c>
      <c r="AC199" s="1192"/>
      <c r="AD199" s="1213"/>
      <c r="AE199" s="1214"/>
      <c r="AF199" s="1214"/>
      <c r="AG199" s="1214"/>
      <c r="AH199" s="1214"/>
      <c r="AI199" s="1214"/>
      <c r="AJ199" s="1214"/>
      <c r="AK199" s="1214"/>
      <c r="AL199" s="1214"/>
      <c r="AM199" s="1214"/>
      <c r="AN199" s="1214"/>
      <c r="AO199" s="1214"/>
      <c r="AP199" s="1214"/>
      <c r="AQ199" s="1214"/>
      <c r="AR199" s="1214"/>
      <c r="AS199" s="1214"/>
      <c r="AT199" s="1214"/>
      <c r="AU199" s="1214"/>
      <c r="AV199" s="1214"/>
      <c r="AW199" s="1214"/>
      <c r="AX199" s="1214"/>
      <c r="AY199" s="1214"/>
      <c r="AZ199" s="1214"/>
      <c r="BA199" s="1214"/>
      <c r="BB199" s="1214"/>
      <c r="BC199" s="1216"/>
      <c r="BD199" s="1216"/>
      <c r="BE199" s="1216"/>
      <c r="BF199" s="1216"/>
      <c r="BG199" s="1216"/>
      <c r="BH199" s="1216"/>
      <c r="BI199" s="1216"/>
      <c r="BJ199" s="1216"/>
      <c r="BK199" s="1216"/>
      <c r="BL199" s="1216"/>
      <c r="BM199" s="1216"/>
      <c r="BN199" s="1216"/>
      <c r="BO199" s="1216"/>
      <c r="BP199" s="1216"/>
      <c r="BQ199" s="1216"/>
      <c r="BR199" s="1216"/>
      <c r="BS199" s="1216"/>
      <c r="BT199" s="1216"/>
      <c r="BU199" s="1216"/>
      <c r="BV199" s="1216"/>
      <c r="BW199" s="1216"/>
      <c r="BX199" s="1216"/>
      <c r="BY199" s="1216"/>
      <c r="BZ199" s="1216"/>
      <c r="CA199" s="1216"/>
      <c r="CB199" s="1216"/>
      <c r="CC199" s="1216"/>
      <c r="CD199" s="1216"/>
      <c r="CE199" s="1216"/>
      <c r="CF199" s="1216"/>
      <c r="CG199" s="1216"/>
      <c r="CH199" s="1216"/>
    </row>
    <row r="200" spans="1:86" ht="20.149999999999999" customHeight="1">
      <c r="A200" s="1563" t="s">
        <v>1540</v>
      </c>
      <c r="B200" s="1563" t="s">
        <v>14</v>
      </c>
      <c r="C200" s="1563" t="str">
        <f t="shared" si="3"/>
        <v>PBPDDCIF43</v>
      </c>
      <c r="D200" s="1193">
        <v>43</v>
      </c>
      <c r="E200" s="1524"/>
      <c r="F200" s="1284">
        <v>0.51</v>
      </c>
      <c r="G200" s="1284">
        <v>0.8</v>
      </c>
      <c r="H200" s="1284">
        <v>1.1100000000000001</v>
      </c>
      <c r="I200" s="1284">
        <v>1.46</v>
      </c>
      <c r="J200" s="1284">
        <v>1.83</v>
      </c>
      <c r="K200" s="1284">
        <v>2.23</v>
      </c>
      <c r="L200" s="1284">
        <v>2.66</v>
      </c>
      <c r="M200" s="1284">
        <v>3.12</v>
      </c>
      <c r="N200" s="1284">
        <v>3.63</v>
      </c>
      <c r="O200" s="1284">
        <v>4.16</v>
      </c>
      <c r="P200" s="1284">
        <v>4.75</v>
      </c>
      <c r="Q200" s="1284">
        <v>5.37</v>
      </c>
      <c r="R200" s="1284">
        <v>6.05</v>
      </c>
      <c r="S200" s="1284">
        <v>6.64</v>
      </c>
      <c r="T200" s="1284">
        <v>7.25</v>
      </c>
      <c r="U200" s="1284">
        <v>7.9</v>
      </c>
      <c r="V200" s="1284">
        <v>8.58</v>
      </c>
      <c r="W200" s="1284">
        <v>9.2899999999999991</v>
      </c>
      <c r="X200" s="1284">
        <v>10.050000000000001</v>
      </c>
      <c r="Y200" s="1284">
        <v>10.85</v>
      </c>
      <c r="Z200" s="1284">
        <v>11.69</v>
      </c>
      <c r="AA200" s="1284">
        <v>12.59</v>
      </c>
      <c r="AB200" s="1296">
        <v>13.55</v>
      </c>
      <c r="AC200" s="1192"/>
      <c r="AD200" s="1213"/>
      <c r="AE200" s="1214"/>
      <c r="AF200" s="1214"/>
      <c r="AG200" s="1214"/>
      <c r="AH200" s="1214"/>
      <c r="AI200" s="1214"/>
      <c r="AJ200" s="1214"/>
      <c r="AK200" s="1214"/>
      <c r="AL200" s="1214"/>
      <c r="AM200" s="1214"/>
      <c r="AN200" s="1214"/>
      <c r="AO200" s="1214"/>
      <c r="AP200" s="1214"/>
      <c r="AQ200" s="1214"/>
      <c r="AR200" s="1214"/>
      <c r="AS200" s="1214"/>
      <c r="AT200" s="1214"/>
      <c r="AU200" s="1214"/>
      <c r="AV200" s="1214"/>
      <c r="AW200" s="1214"/>
      <c r="AX200" s="1214"/>
      <c r="AY200" s="1214"/>
      <c r="AZ200" s="1214"/>
      <c r="BA200" s="1214"/>
      <c r="BB200" s="1214"/>
      <c r="BC200" s="1216"/>
      <c r="BD200" s="1216"/>
      <c r="BE200" s="1216"/>
      <c r="BF200" s="1216"/>
      <c r="BG200" s="1216"/>
      <c r="BH200" s="1216"/>
      <c r="BI200" s="1216"/>
      <c r="BJ200" s="1216"/>
      <c r="BK200" s="1216"/>
      <c r="BL200" s="1216"/>
      <c r="BM200" s="1216"/>
      <c r="BN200" s="1216"/>
      <c r="BO200" s="1216"/>
      <c r="BP200" s="1216"/>
      <c r="BQ200" s="1216"/>
      <c r="BR200" s="1216"/>
      <c r="BS200" s="1216"/>
      <c r="BT200" s="1216"/>
      <c r="BU200" s="1216"/>
      <c r="BV200" s="1216"/>
      <c r="BW200" s="1216"/>
      <c r="BX200" s="1216"/>
      <c r="BY200" s="1216"/>
      <c r="BZ200" s="1216"/>
      <c r="CA200" s="1216"/>
      <c r="CB200" s="1216"/>
      <c r="CC200" s="1216"/>
      <c r="CD200" s="1216"/>
      <c r="CE200" s="1216"/>
      <c r="CF200" s="1216"/>
      <c r="CG200" s="1216"/>
      <c r="CH200" s="1216"/>
    </row>
    <row r="201" spans="1:86" ht="20.149999999999999" customHeight="1">
      <c r="A201" s="1563" t="s">
        <v>1540</v>
      </c>
      <c r="B201" s="1563" t="s">
        <v>14</v>
      </c>
      <c r="C201" s="1563" t="str">
        <f t="shared" si="3"/>
        <v>PBPDDCIF44</v>
      </c>
      <c r="D201" s="1193">
        <v>44</v>
      </c>
      <c r="E201" s="1524"/>
      <c r="F201" s="1284">
        <v>0.55000000000000004</v>
      </c>
      <c r="G201" s="1284">
        <v>0.86</v>
      </c>
      <c r="H201" s="1284">
        <v>1.2</v>
      </c>
      <c r="I201" s="1284">
        <v>1.57</v>
      </c>
      <c r="J201" s="1284">
        <v>1.97</v>
      </c>
      <c r="K201" s="1284">
        <v>2.4</v>
      </c>
      <c r="L201" s="1284">
        <v>2.86</v>
      </c>
      <c r="M201" s="1284">
        <v>3.35</v>
      </c>
      <c r="N201" s="1284">
        <v>3.89</v>
      </c>
      <c r="O201" s="1284">
        <v>4.46</v>
      </c>
      <c r="P201" s="1284">
        <v>5.08</v>
      </c>
      <c r="Q201" s="1284">
        <v>5.75</v>
      </c>
      <c r="R201" s="1284">
        <v>6.48</v>
      </c>
      <c r="S201" s="1284">
        <v>7.11</v>
      </c>
      <c r="T201" s="1284">
        <v>7.77</v>
      </c>
      <c r="U201" s="1284">
        <v>8.4600000000000009</v>
      </c>
      <c r="V201" s="1284">
        <v>9.19</v>
      </c>
      <c r="W201" s="1284">
        <v>9.9700000000000006</v>
      </c>
      <c r="X201" s="1284">
        <v>10.79</v>
      </c>
      <c r="Y201" s="1284">
        <v>11.65</v>
      </c>
      <c r="Z201" s="1284">
        <v>12.58</v>
      </c>
      <c r="AA201" s="1284">
        <v>13.56</v>
      </c>
      <c r="AB201" s="1296">
        <v>14.61</v>
      </c>
      <c r="AC201" s="1192"/>
      <c r="AD201" s="1213"/>
      <c r="AE201" s="1214"/>
      <c r="AF201" s="1214"/>
      <c r="AG201" s="1214"/>
      <c r="AH201" s="1214"/>
      <c r="AI201" s="1214"/>
      <c r="AJ201" s="1214"/>
      <c r="AK201" s="1214"/>
      <c r="AL201" s="1214"/>
      <c r="AM201" s="1214"/>
      <c r="AN201" s="1214"/>
      <c r="AO201" s="1214"/>
      <c r="AP201" s="1214"/>
      <c r="AQ201" s="1214"/>
      <c r="AR201" s="1214"/>
      <c r="AS201" s="1214"/>
      <c r="AT201" s="1214"/>
      <c r="AU201" s="1214"/>
      <c r="AV201" s="1214"/>
      <c r="AW201" s="1214"/>
      <c r="AX201" s="1214"/>
      <c r="AY201" s="1214"/>
      <c r="AZ201" s="1214"/>
      <c r="BA201" s="1214"/>
      <c r="BB201" s="1214"/>
      <c r="BC201" s="1216"/>
      <c r="BD201" s="1216"/>
      <c r="BE201" s="1216"/>
      <c r="BF201" s="1216"/>
      <c r="BG201" s="1216"/>
      <c r="BH201" s="1216"/>
      <c r="BI201" s="1216"/>
      <c r="BJ201" s="1216"/>
      <c r="BK201" s="1216"/>
      <c r="BL201" s="1216"/>
      <c r="BM201" s="1216"/>
      <c r="BN201" s="1216"/>
      <c r="BO201" s="1216"/>
      <c r="BP201" s="1216"/>
      <c r="BQ201" s="1216"/>
      <c r="BR201" s="1216"/>
      <c r="BS201" s="1216"/>
      <c r="BT201" s="1216"/>
      <c r="BU201" s="1216"/>
      <c r="BV201" s="1216"/>
      <c r="BW201" s="1216"/>
      <c r="BX201" s="1216"/>
      <c r="BY201" s="1216"/>
      <c r="BZ201" s="1216"/>
      <c r="CA201" s="1216"/>
      <c r="CB201" s="1216"/>
      <c r="CC201" s="1216"/>
      <c r="CD201" s="1216"/>
      <c r="CE201" s="1216"/>
      <c r="CF201" s="1216"/>
      <c r="CG201" s="1216"/>
      <c r="CH201" s="1216"/>
    </row>
    <row r="202" spans="1:86" ht="20.149999999999999" customHeight="1">
      <c r="A202" s="1563" t="s">
        <v>1540</v>
      </c>
      <c r="B202" s="1563" t="s">
        <v>14</v>
      </c>
      <c r="C202" s="1563" t="str">
        <f t="shared" si="3"/>
        <v>PBPDDCIF45</v>
      </c>
      <c r="D202" s="1195">
        <v>45</v>
      </c>
      <c r="E202" s="1526"/>
      <c r="F202" s="1288">
        <v>0.59</v>
      </c>
      <c r="G202" s="1288">
        <v>0.93</v>
      </c>
      <c r="H202" s="1288">
        <v>1.3</v>
      </c>
      <c r="I202" s="1288">
        <v>1.69</v>
      </c>
      <c r="J202" s="1288">
        <v>2.11</v>
      </c>
      <c r="K202" s="1288">
        <v>2.57</v>
      </c>
      <c r="L202" s="1288">
        <v>3.06</v>
      </c>
      <c r="M202" s="1288">
        <v>3.59</v>
      </c>
      <c r="N202" s="1288">
        <v>4.16</v>
      </c>
      <c r="O202" s="1288">
        <v>4.7699999999999996</v>
      </c>
      <c r="P202" s="1288">
        <v>5.44</v>
      </c>
      <c r="Q202" s="1288">
        <v>6.15</v>
      </c>
      <c r="R202" s="1288">
        <v>6.92</v>
      </c>
      <c r="S202" s="1288">
        <v>7.6</v>
      </c>
      <c r="T202" s="1288">
        <v>8.31</v>
      </c>
      <c r="U202" s="1288">
        <v>9.06</v>
      </c>
      <c r="V202" s="1288">
        <v>9.85</v>
      </c>
      <c r="W202" s="1288">
        <v>10.69</v>
      </c>
      <c r="X202" s="1288">
        <v>11.58</v>
      </c>
      <c r="Y202" s="1288">
        <v>12.53</v>
      </c>
      <c r="Z202" s="1288">
        <v>13.54</v>
      </c>
      <c r="AA202" s="1288">
        <v>14.62</v>
      </c>
      <c r="AB202" s="1298">
        <v>15.77</v>
      </c>
      <c r="AC202" s="1192"/>
      <c r="AD202" s="1213"/>
      <c r="AE202" s="1214"/>
      <c r="AF202" s="1214"/>
      <c r="AG202" s="1214"/>
      <c r="AH202" s="1214"/>
      <c r="AI202" s="1214"/>
      <c r="AJ202" s="1214"/>
      <c r="AK202" s="1214"/>
      <c r="AL202" s="1214"/>
      <c r="AM202" s="1214"/>
      <c r="AN202" s="1214"/>
      <c r="AO202" s="1214"/>
      <c r="AP202" s="1214"/>
      <c r="AQ202" s="1214"/>
      <c r="AR202" s="1214"/>
      <c r="AS202" s="1214"/>
      <c r="AT202" s="1214"/>
      <c r="AU202" s="1214"/>
      <c r="AV202" s="1214"/>
      <c r="AW202" s="1214"/>
      <c r="AX202" s="1214"/>
      <c r="AY202" s="1214"/>
      <c r="AZ202" s="1214"/>
      <c r="BA202" s="1214"/>
      <c r="BB202" s="1214"/>
      <c r="BC202" s="1216"/>
      <c r="BD202" s="1216"/>
      <c r="BE202" s="1216"/>
      <c r="BF202" s="1216"/>
      <c r="BG202" s="1216"/>
      <c r="BH202" s="1216"/>
      <c r="BI202" s="1216"/>
      <c r="BJ202" s="1216"/>
      <c r="BK202" s="1216"/>
      <c r="BL202" s="1216"/>
      <c r="BM202" s="1216"/>
      <c r="BN202" s="1216"/>
      <c r="BO202" s="1216"/>
      <c r="BP202" s="1216"/>
      <c r="BQ202" s="1216"/>
      <c r="BR202" s="1216"/>
      <c r="BS202" s="1216"/>
      <c r="BT202" s="1216"/>
      <c r="BU202" s="1216"/>
      <c r="BV202" s="1216"/>
      <c r="BW202" s="1216"/>
      <c r="BX202" s="1216"/>
      <c r="BY202" s="1216"/>
      <c r="BZ202" s="1216"/>
      <c r="CA202" s="1216"/>
      <c r="CB202" s="1216"/>
      <c r="CC202" s="1216"/>
      <c r="CD202" s="1216"/>
      <c r="CE202" s="1216"/>
      <c r="CF202" s="1216"/>
      <c r="CG202" s="1216"/>
      <c r="CH202" s="1216"/>
    </row>
    <row r="203" spans="1:86" ht="20.149999999999999" customHeight="1">
      <c r="A203" s="1563" t="s">
        <v>1540</v>
      </c>
      <c r="B203" s="1563" t="s">
        <v>14</v>
      </c>
      <c r="C203" s="1563" t="str">
        <f t="shared" si="3"/>
        <v>PBPDDCIF46</v>
      </c>
      <c r="D203" s="1193">
        <v>46</v>
      </c>
      <c r="E203" s="1524"/>
      <c r="F203" s="1284">
        <v>0.64</v>
      </c>
      <c r="G203" s="1284">
        <v>1</v>
      </c>
      <c r="H203" s="1284">
        <v>1.39</v>
      </c>
      <c r="I203" s="1284">
        <v>1.81</v>
      </c>
      <c r="J203" s="1284">
        <v>2.2599999999999998</v>
      </c>
      <c r="K203" s="1284">
        <v>2.74</v>
      </c>
      <c r="L203" s="1284">
        <v>3.27</v>
      </c>
      <c r="M203" s="1284">
        <v>3.83</v>
      </c>
      <c r="N203" s="1284">
        <v>4.4400000000000004</v>
      </c>
      <c r="O203" s="1284">
        <v>5.0999999999999996</v>
      </c>
      <c r="P203" s="1284">
        <v>5.81</v>
      </c>
      <c r="Q203" s="1284">
        <v>6.57</v>
      </c>
      <c r="R203" s="1284">
        <v>7.4</v>
      </c>
      <c r="S203" s="1284">
        <v>8.1300000000000008</v>
      </c>
      <c r="T203" s="1284">
        <v>8.89</v>
      </c>
      <c r="U203" s="1284">
        <v>9.6999999999999993</v>
      </c>
      <c r="V203" s="1284">
        <v>10.56</v>
      </c>
      <c r="W203" s="1284">
        <v>11.48</v>
      </c>
      <c r="X203" s="1284">
        <v>12.45</v>
      </c>
      <c r="Y203" s="1284">
        <v>13.48</v>
      </c>
      <c r="Z203" s="1284">
        <v>14.59</v>
      </c>
      <c r="AA203" s="1284">
        <v>15.77</v>
      </c>
      <c r="AB203" s="1296">
        <v>17.04</v>
      </c>
      <c r="AC203" s="1192"/>
      <c r="AD203" s="1213"/>
      <c r="AE203" s="1214"/>
      <c r="AF203" s="1214"/>
      <c r="AG203" s="1214"/>
      <c r="AH203" s="1214"/>
      <c r="AI203" s="1214"/>
      <c r="AJ203" s="1214"/>
      <c r="AK203" s="1214"/>
      <c r="AL203" s="1214"/>
      <c r="AM203" s="1214"/>
      <c r="AN203" s="1214"/>
      <c r="AO203" s="1214"/>
      <c r="AP203" s="1214"/>
      <c r="AQ203" s="1214"/>
      <c r="AR203" s="1214"/>
      <c r="AS203" s="1214"/>
      <c r="AT203" s="1214"/>
      <c r="AU203" s="1214"/>
      <c r="AV203" s="1214"/>
      <c r="AW203" s="1214"/>
      <c r="AX203" s="1214"/>
      <c r="AY203" s="1214"/>
      <c r="AZ203" s="1214"/>
      <c r="BA203" s="1214"/>
      <c r="BB203" s="1214"/>
      <c r="BC203" s="1216"/>
      <c r="BD203" s="1216"/>
      <c r="BE203" s="1216"/>
      <c r="BF203" s="1216"/>
      <c r="BG203" s="1216"/>
      <c r="BH203" s="1216"/>
      <c r="BI203" s="1216"/>
      <c r="BJ203" s="1216"/>
      <c r="BK203" s="1216"/>
      <c r="BL203" s="1216"/>
      <c r="BM203" s="1216"/>
      <c r="BN203" s="1216"/>
      <c r="BO203" s="1216"/>
      <c r="BP203" s="1216"/>
      <c r="BQ203" s="1216"/>
      <c r="BR203" s="1216"/>
      <c r="BS203" s="1216"/>
      <c r="BT203" s="1216"/>
      <c r="BU203" s="1216"/>
      <c r="BV203" s="1216"/>
      <c r="BW203" s="1216"/>
      <c r="BX203" s="1216"/>
      <c r="BY203" s="1216"/>
      <c r="BZ203" s="1216"/>
      <c r="CA203" s="1216"/>
      <c r="CB203" s="1216"/>
      <c r="CC203" s="1216"/>
      <c r="CD203" s="1216"/>
      <c r="CE203" s="1216"/>
      <c r="CF203" s="1216"/>
      <c r="CG203" s="1216"/>
      <c r="CH203" s="1216"/>
    </row>
    <row r="204" spans="1:86" ht="20.149999999999999" customHeight="1">
      <c r="A204" s="1563" t="s">
        <v>1540</v>
      </c>
      <c r="B204" s="1563" t="s">
        <v>14</v>
      </c>
      <c r="C204" s="1563" t="str">
        <f t="shared" si="3"/>
        <v>PBPDDCIF47</v>
      </c>
      <c r="D204" s="1193">
        <v>47</v>
      </c>
      <c r="E204" s="1524"/>
      <c r="F204" s="1284">
        <v>0.69</v>
      </c>
      <c r="G204" s="1284">
        <v>1.07</v>
      </c>
      <c r="H204" s="1284">
        <v>1.48</v>
      </c>
      <c r="I204" s="1284">
        <v>1.93</v>
      </c>
      <c r="J204" s="1284">
        <v>2.4</v>
      </c>
      <c r="K204" s="1284">
        <v>2.92</v>
      </c>
      <c r="L204" s="1284">
        <v>3.48</v>
      </c>
      <c r="M204" s="1284">
        <v>4.08</v>
      </c>
      <c r="N204" s="1284">
        <v>4.7300000000000004</v>
      </c>
      <c r="O204" s="1284">
        <v>5.43</v>
      </c>
      <c r="P204" s="1284">
        <v>6.19</v>
      </c>
      <c r="Q204" s="1284">
        <v>7.01</v>
      </c>
      <c r="R204" s="1284">
        <v>7.9</v>
      </c>
      <c r="S204" s="1284">
        <v>8.68</v>
      </c>
      <c r="T204" s="1284">
        <v>9.51</v>
      </c>
      <c r="U204" s="1284">
        <v>10.39</v>
      </c>
      <c r="V204" s="1284">
        <v>11.33</v>
      </c>
      <c r="W204" s="1284">
        <v>12.33</v>
      </c>
      <c r="X204" s="1284">
        <v>13.39</v>
      </c>
      <c r="Y204" s="1284">
        <v>14.52</v>
      </c>
      <c r="Z204" s="1284">
        <v>15.74</v>
      </c>
      <c r="AA204" s="1284">
        <v>17.05</v>
      </c>
      <c r="AB204" s="1296">
        <v>18.440000000000001</v>
      </c>
      <c r="AC204" s="1192"/>
      <c r="AD204" s="1213"/>
      <c r="AE204" s="1214"/>
      <c r="AF204" s="1214"/>
      <c r="AG204" s="1214"/>
      <c r="AH204" s="1214"/>
      <c r="AI204" s="1214"/>
      <c r="AJ204" s="1214"/>
      <c r="AK204" s="1214"/>
      <c r="AL204" s="1214"/>
      <c r="AM204" s="1214"/>
      <c r="AN204" s="1214"/>
      <c r="AO204" s="1214"/>
      <c r="AP204" s="1214"/>
      <c r="AQ204" s="1214"/>
      <c r="AR204" s="1214"/>
      <c r="AS204" s="1214"/>
      <c r="AT204" s="1214"/>
      <c r="AU204" s="1214"/>
      <c r="AV204" s="1214"/>
      <c r="AW204" s="1214"/>
      <c r="AX204" s="1214"/>
      <c r="AY204" s="1214"/>
      <c r="AZ204" s="1214"/>
      <c r="BA204" s="1214"/>
      <c r="BB204" s="1214"/>
      <c r="BC204" s="1216"/>
      <c r="BD204" s="1216"/>
      <c r="BE204" s="1216"/>
      <c r="BF204" s="1216"/>
      <c r="BG204" s="1216"/>
      <c r="BH204" s="1216"/>
      <c r="BI204" s="1216"/>
      <c r="BJ204" s="1216"/>
      <c r="BK204" s="1216"/>
      <c r="BL204" s="1216"/>
      <c r="BM204" s="1216"/>
      <c r="BN204" s="1216"/>
      <c r="BO204" s="1216"/>
      <c r="BP204" s="1216"/>
      <c r="BQ204" s="1216"/>
      <c r="BR204" s="1216"/>
      <c r="BS204" s="1216"/>
      <c r="BT204" s="1216"/>
      <c r="BU204" s="1216"/>
      <c r="BV204" s="1216"/>
      <c r="BW204" s="1216"/>
      <c r="BX204" s="1216"/>
      <c r="BY204" s="1216"/>
      <c r="BZ204" s="1216"/>
      <c r="CA204" s="1216"/>
      <c r="CB204" s="1216"/>
      <c r="CC204" s="1216"/>
      <c r="CD204" s="1216"/>
      <c r="CE204" s="1216"/>
      <c r="CF204" s="1216"/>
      <c r="CG204" s="1216"/>
      <c r="CH204" s="1216"/>
    </row>
    <row r="205" spans="1:86" ht="20.149999999999999" customHeight="1">
      <c r="A205" s="1563" t="s">
        <v>1540</v>
      </c>
      <c r="B205" s="1563" t="s">
        <v>14</v>
      </c>
      <c r="C205" s="1563" t="str">
        <f t="shared" si="3"/>
        <v>PBPDDCIF48</v>
      </c>
      <c r="D205" s="1193">
        <v>48</v>
      </c>
      <c r="E205" s="1524"/>
      <c r="F205" s="1284">
        <v>0.73</v>
      </c>
      <c r="G205" s="1284">
        <v>1.1299999999999999</v>
      </c>
      <c r="H205" s="1284">
        <v>1.57</v>
      </c>
      <c r="I205" s="1284">
        <v>2.0499999999999998</v>
      </c>
      <c r="J205" s="1284">
        <v>2.56</v>
      </c>
      <c r="K205" s="1284">
        <v>3.11</v>
      </c>
      <c r="L205" s="1284">
        <v>3.7</v>
      </c>
      <c r="M205" s="1284">
        <v>4.3499999999999996</v>
      </c>
      <c r="N205" s="1284">
        <v>5.04</v>
      </c>
      <c r="O205" s="1284">
        <v>5.79</v>
      </c>
      <c r="P205" s="1284">
        <v>6.6</v>
      </c>
      <c r="Q205" s="1284">
        <v>7.48</v>
      </c>
      <c r="R205" s="1284">
        <v>8.44</v>
      </c>
      <c r="S205" s="1284">
        <v>9.2899999999999991</v>
      </c>
      <c r="T205" s="1284">
        <v>10.19</v>
      </c>
      <c r="U205" s="1284">
        <v>11.15</v>
      </c>
      <c r="V205" s="1284">
        <v>12.17</v>
      </c>
      <c r="W205" s="1284">
        <v>13.26</v>
      </c>
      <c r="X205" s="1284">
        <v>14.43</v>
      </c>
      <c r="Y205" s="1284">
        <v>15.68</v>
      </c>
      <c r="Z205" s="1284">
        <v>17.02</v>
      </c>
      <c r="AA205" s="1284">
        <v>18.46</v>
      </c>
      <c r="AB205" s="1296">
        <v>19.989999999999998</v>
      </c>
      <c r="AC205" s="1192"/>
      <c r="AD205" s="1213"/>
      <c r="AE205" s="1214"/>
      <c r="AF205" s="1214"/>
      <c r="AG205" s="1214"/>
      <c r="AH205" s="1214"/>
      <c r="AI205" s="1214"/>
      <c r="AJ205" s="1214"/>
      <c r="AK205" s="1214"/>
      <c r="AL205" s="1214"/>
      <c r="AM205" s="1214"/>
      <c r="AN205" s="1214"/>
      <c r="AO205" s="1214"/>
      <c r="AP205" s="1214"/>
      <c r="AQ205" s="1214"/>
      <c r="AR205" s="1214"/>
      <c r="AS205" s="1214"/>
      <c r="AT205" s="1214"/>
      <c r="AU205" s="1214"/>
      <c r="AV205" s="1214"/>
      <c r="AW205" s="1214"/>
      <c r="AX205" s="1214"/>
      <c r="AY205" s="1214"/>
      <c r="AZ205" s="1214"/>
      <c r="BA205" s="1214"/>
      <c r="BB205" s="1214"/>
      <c r="BC205" s="1216"/>
      <c r="BD205" s="1216"/>
      <c r="BE205" s="1216"/>
      <c r="BF205" s="1216"/>
      <c r="BG205" s="1216"/>
      <c r="BH205" s="1216"/>
      <c r="BI205" s="1216"/>
      <c r="BJ205" s="1216"/>
      <c r="BK205" s="1216"/>
      <c r="BL205" s="1216"/>
      <c r="BM205" s="1216"/>
      <c r="BN205" s="1216"/>
      <c r="BO205" s="1216"/>
      <c r="BP205" s="1216"/>
      <c r="BQ205" s="1216"/>
      <c r="BR205" s="1216"/>
      <c r="BS205" s="1216"/>
      <c r="BT205" s="1216"/>
      <c r="BU205" s="1216"/>
      <c r="BV205" s="1216"/>
      <c r="BW205" s="1216"/>
      <c r="BX205" s="1216"/>
      <c r="BY205" s="1216"/>
      <c r="BZ205" s="1216"/>
      <c r="CA205" s="1216"/>
      <c r="CB205" s="1216"/>
      <c r="CC205" s="1216"/>
      <c r="CD205" s="1216"/>
      <c r="CE205" s="1216"/>
      <c r="CF205" s="1216"/>
      <c r="CG205" s="1216"/>
      <c r="CH205" s="1216"/>
    </row>
    <row r="206" spans="1:86" ht="20.149999999999999" customHeight="1">
      <c r="A206" s="1563" t="s">
        <v>1540</v>
      </c>
      <c r="B206" s="1563" t="s">
        <v>14</v>
      </c>
      <c r="C206" s="1563" t="str">
        <f t="shared" si="3"/>
        <v>PBPDDCIF49</v>
      </c>
      <c r="D206" s="1193">
        <v>49</v>
      </c>
      <c r="E206" s="1524"/>
      <c r="F206" s="1284">
        <v>0.77</v>
      </c>
      <c r="G206" s="1284">
        <v>1.21</v>
      </c>
      <c r="H206" s="1284">
        <v>1.67</v>
      </c>
      <c r="I206" s="1284">
        <v>2.1800000000000002</v>
      </c>
      <c r="J206" s="1284">
        <v>2.72</v>
      </c>
      <c r="K206" s="1284">
        <v>3.31</v>
      </c>
      <c r="L206" s="1284">
        <v>3.95</v>
      </c>
      <c r="M206" s="1284">
        <v>4.63</v>
      </c>
      <c r="N206" s="1284">
        <v>5.38</v>
      </c>
      <c r="O206" s="1284">
        <v>6.18</v>
      </c>
      <c r="P206" s="1284">
        <v>7.06</v>
      </c>
      <c r="Q206" s="1284">
        <v>8</v>
      </c>
      <c r="R206" s="1284">
        <v>9.0299999999999994</v>
      </c>
      <c r="S206" s="1284">
        <v>9.9600000000000009</v>
      </c>
      <c r="T206" s="1284">
        <v>10.94</v>
      </c>
      <c r="U206" s="1284">
        <v>11.99</v>
      </c>
      <c r="V206" s="1284">
        <v>13.11</v>
      </c>
      <c r="W206" s="1284">
        <v>14.31</v>
      </c>
      <c r="X206" s="1284">
        <v>15.6</v>
      </c>
      <c r="Y206" s="1284">
        <v>16.98</v>
      </c>
      <c r="Z206" s="1284">
        <v>18.45</v>
      </c>
      <c r="AA206" s="1284">
        <v>20.04</v>
      </c>
      <c r="AB206" s="1296">
        <v>21.73</v>
      </c>
      <c r="AC206" s="1192"/>
      <c r="AD206" s="1213"/>
      <c r="AE206" s="1214"/>
      <c r="AF206" s="1214"/>
      <c r="AG206" s="1214"/>
      <c r="AH206" s="1214"/>
      <c r="AI206" s="1214"/>
      <c r="AJ206" s="1214"/>
      <c r="AK206" s="1214"/>
      <c r="AL206" s="1214"/>
      <c r="AM206" s="1214"/>
      <c r="AN206" s="1214"/>
      <c r="AO206" s="1214"/>
      <c r="AP206" s="1214"/>
      <c r="AQ206" s="1214"/>
      <c r="AR206" s="1214"/>
      <c r="AS206" s="1214"/>
      <c r="AT206" s="1214"/>
      <c r="AU206" s="1214"/>
      <c r="AV206" s="1214"/>
      <c r="AW206" s="1214"/>
      <c r="AX206" s="1214"/>
      <c r="AY206" s="1214"/>
      <c r="AZ206" s="1214"/>
      <c r="BA206" s="1214"/>
      <c r="BB206" s="1214"/>
      <c r="BC206" s="1216"/>
      <c r="BD206" s="1216"/>
      <c r="BE206" s="1216"/>
      <c r="BF206" s="1216"/>
      <c r="BG206" s="1216"/>
      <c r="BH206" s="1216"/>
      <c r="BI206" s="1216"/>
      <c r="BJ206" s="1216"/>
      <c r="BK206" s="1216"/>
      <c r="BL206" s="1216"/>
      <c r="BM206" s="1216"/>
      <c r="BN206" s="1216"/>
      <c r="BO206" s="1216"/>
      <c r="BP206" s="1216"/>
      <c r="BQ206" s="1216"/>
      <c r="BR206" s="1216"/>
      <c r="BS206" s="1216"/>
      <c r="BT206" s="1216"/>
      <c r="BU206" s="1216"/>
      <c r="BV206" s="1216"/>
      <c r="BW206" s="1216"/>
      <c r="BX206" s="1216"/>
      <c r="BY206" s="1216"/>
      <c r="BZ206" s="1216"/>
      <c r="CA206" s="1216"/>
      <c r="CB206" s="1216"/>
      <c r="CC206" s="1216"/>
      <c r="CD206" s="1216"/>
      <c r="CE206" s="1216"/>
      <c r="CF206" s="1216"/>
      <c r="CG206" s="1216"/>
      <c r="CH206" s="1216"/>
    </row>
    <row r="207" spans="1:86" ht="20.149999999999999" customHeight="1">
      <c r="A207" s="1563" t="s">
        <v>1540</v>
      </c>
      <c r="B207" s="1563" t="s">
        <v>14</v>
      </c>
      <c r="C207" s="1563" t="str">
        <f t="shared" si="3"/>
        <v>PBPDDCIF50</v>
      </c>
      <c r="D207" s="1193">
        <v>50</v>
      </c>
      <c r="E207" s="1524"/>
      <c r="F207" s="1284">
        <v>0.82</v>
      </c>
      <c r="G207" s="1284">
        <v>1.28</v>
      </c>
      <c r="H207" s="1284">
        <v>1.78</v>
      </c>
      <c r="I207" s="1284">
        <v>2.3199999999999998</v>
      </c>
      <c r="J207" s="1284">
        <v>2.9</v>
      </c>
      <c r="K207" s="1284">
        <v>3.53</v>
      </c>
      <c r="L207" s="1284">
        <v>4.21</v>
      </c>
      <c r="M207" s="1284">
        <v>4.95</v>
      </c>
      <c r="N207" s="1284">
        <v>5.75</v>
      </c>
      <c r="O207" s="1284">
        <v>6.62</v>
      </c>
      <c r="P207" s="1284">
        <v>7.56</v>
      </c>
      <c r="Q207" s="1284">
        <v>8.58</v>
      </c>
      <c r="R207" s="1284">
        <v>9.6999999999999993</v>
      </c>
      <c r="S207" s="1284">
        <v>10.71</v>
      </c>
      <c r="T207" s="1284">
        <v>11.78</v>
      </c>
      <c r="U207" s="1284">
        <v>12.93</v>
      </c>
      <c r="V207" s="1284">
        <v>14.17</v>
      </c>
      <c r="W207" s="1284">
        <v>15.49</v>
      </c>
      <c r="X207" s="1284">
        <v>16.91</v>
      </c>
      <c r="Y207" s="1284">
        <v>18.43</v>
      </c>
      <c r="Z207" s="1284">
        <v>20.059999999999999</v>
      </c>
      <c r="AA207" s="1284">
        <v>21.81</v>
      </c>
      <c r="AB207" s="1296">
        <v>23.68</v>
      </c>
      <c r="AC207" s="1192"/>
      <c r="AD207" s="1213"/>
      <c r="AE207" s="1214"/>
      <c r="AF207" s="1214"/>
      <c r="AG207" s="1214"/>
      <c r="AH207" s="1214"/>
      <c r="AI207" s="1214"/>
      <c r="AJ207" s="1214"/>
      <c r="AK207" s="1214"/>
      <c r="AL207" s="1214"/>
      <c r="AM207" s="1214"/>
      <c r="AN207" s="1214"/>
      <c r="AO207" s="1214"/>
      <c r="AP207" s="1214"/>
      <c r="AQ207" s="1214"/>
      <c r="AR207" s="1214"/>
      <c r="AS207" s="1214"/>
      <c r="AT207" s="1214"/>
      <c r="AU207" s="1214"/>
      <c r="AV207" s="1214"/>
      <c r="AW207" s="1214"/>
      <c r="AX207" s="1214"/>
      <c r="AY207" s="1214"/>
      <c r="AZ207" s="1214"/>
      <c r="BA207" s="1214"/>
      <c r="BB207" s="1214"/>
      <c r="BC207" s="1216"/>
      <c r="BD207" s="1216"/>
      <c r="BE207" s="1216"/>
      <c r="BF207" s="1216"/>
      <c r="BG207" s="1216"/>
      <c r="BH207" s="1216"/>
      <c r="BI207" s="1216"/>
      <c r="BJ207" s="1216"/>
      <c r="BK207" s="1216"/>
      <c r="BL207" s="1216"/>
      <c r="BM207" s="1216"/>
      <c r="BN207" s="1216"/>
      <c r="BO207" s="1216"/>
      <c r="BP207" s="1216"/>
      <c r="BQ207" s="1216"/>
      <c r="BR207" s="1216"/>
      <c r="BS207" s="1216"/>
      <c r="BT207" s="1216"/>
      <c r="BU207" s="1216"/>
      <c r="BV207" s="1216"/>
      <c r="BW207" s="1216"/>
      <c r="BX207" s="1216"/>
      <c r="BY207" s="1216"/>
      <c r="BZ207" s="1216"/>
      <c r="CA207" s="1216"/>
      <c r="CB207" s="1216"/>
      <c r="CC207" s="1216"/>
      <c r="CD207" s="1216"/>
      <c r="CE207" s="1216"/>
      <c r="CF207" s="1216"/>
      <c r="CG207" s="1216"/>
      <c r="CH207" s="1216"/>
    </row>
    <row r="208" spans="1:86" ht="20.149999999999999" customHeight="1">
      <c r="A208" s="1563" t="s">
        <v>1540</v>
      </c>
      <c r="B208" s="1563" t="s">
        <v>14</v>
      </c>
      <c r="C208" s="1563" t="str">
        <f t="shared" si="3"/>
        <v>PBPDDCIF51</v>
      </c>
      <c r="D208" s="1194">
        <v>51</v>
      </c>
      <c r="E208" s="1525"/>
      <c r="F208" s="1286">
        <v>0.88</v>
      </c>
      <c r="G208" s="1286">
        <v>1.37</v>
      </c>
      <c r="H208" s="1286">
        <v>1.9</v>
      </c>
      <c r="I208" s="1286">
        <v>2.48</v>
      </c>
      <c r="J208" s="1286">
        <v>3.1</v>
      </c>
      <c r="K208" s="1286">
        <v>3.78</v>
      </c>
      <c r="L208" s="1286">
        <v>4.51</v>
      </c>
      <c r="M208" s="1286">
        <v>5.3</v>
      </c>
      <c r="N208" s="1286">
        <v>6.16</v>
      </c>
      <c r="O208" s="1286">
        <v>7.1</v>
      </c>
      <c r="P208" s="1286">
        <v>8.1199999999999992</v>
      </c>
      <c r="Q208" s="1286">
        <v>9.23</v>
      </c>
      <c r="R208" s="1286">
        <v>10.44</v>
      </c>
      <c r="S208" s="1286">
        <v>11.55</v>
      </c>
      <c r="T208" s="1286">
        <v>12.73</v>
      </c>
      <c r="U208" s="1286">
        <v>14</v>
      </c>
      <c r="V208" s="1286">
        <v>15.36</v>
      </c>
      <c r="W208" s="1286">
        <v>16.82</v>
      </c>
      <c r="X208" s="1286">
        <v>18.38</v>
      </c>
      <c r="Y208" s="1286">
        <v>20.07</v>
      </c>
      <c r="Z208" s="1286">
        <v>21.87</v>
      </c>
      <c r="AA208" s="1286">
        <v>23.8</v>
      </c>
      <c r="AB208" s="1297">
        <v>25.88</v>
      </c>
      <c r="AC208" s="1192"/>
      <c r="AD208" s="1213"/>
      <c r="AE208" s="1214"/>
      <c r="AF208" s="1214"/>
      <c r="AG208" s="1214"/>
      <c r="AH208" s="1214"/>
      <c r="AI208" s="1214"/>
      <c r="AJ208" s="1214"/>
      <c r="AK208" s="1214"/>
      <c r="AL208" s="1214"/>
      <c r="AM208" s="1214"/>
      <c r="AN208" s="1214"/>
      <c r="AO208" s="1214"/>
      <c r="AP208" s="1214"/>
      <c r="AQ208" s="1214"/>
      <c r="AR208" s="1214"/>
      <c r="AS208" s="1214"/>
      <c r="AT208" s="1214"/>
      <c r="AU208" s="1214"/>
      <c r="AV208" s="1214"/>
      <c r="AW208" s="1214"/>
      <c r="AX208" s="1214"/>
      <c r="AY208" s="1214"/>
      <c r="AZ208" s="1214"/>
      <c r="BA208" s="1214"/>
      <c r="BB208" s="1214"/>
      <c r="BC208" s="1216"/>
      <c r="BD208" s="1216"/>
      <c r="BE208" s="1216"/>
      <c r="BF208" s="1216"/>
      <c r="BG208" s="1216"/>
      <c r="BH208" s="1216"/>
      <c r="BI208" s="1216"/>
      <c r="BJ208" s="1216"/>
      <c r="BK208" s="1216"/>
      <c r="BL208" s="1216"/>
      <c r="BM208" s="1216"/>
      <c r="BN208" s="1216"/>
      <c r="BO208" s="1216"/>
      <c r="BP208" s="1216"/>
      <c r="BQ208" s="1216"/>
      <c r="BR208" s="1216"/>
      <c r="BS208" s="1216"/>
      <c r="BT208" s="1216"/>
      <c r="BU208" s="1216"/>
      <c r="BV208" s="1216"/>
      <c r="BW208" s="1216"/>
      <c r="BX208" s="1216"/>
      <c r="BY208" s="1216"/>
      <c r="BZ208" s="1216"/>
      <c r="CA208" s="1216"/>
      <c r="CB208" s="1216"/>
      <c r="CC208" s="1216"/>
      <c r="CD208" s="1216"/>
      <c r="CE208" s="1216"/>
      <c r="CF208" s="1216"/>
      <c r="CG208" s="1216"/>
      <c r="CH208" s="1216"/>
    </row>
    <row r="209" spans="1:86" ht="20.149999999999999" customHeight="1">
      <c r="A209" s="1563" t="s">
        <v>1540</v>
      </c>
      <c r="B209" s="1563" t="s">
        <v>14</v>
      </c>
      <c r="C209" s="1563" t="str">
        <f t="shared" si="3"/>
        <v>PBPDDCIF52</v>
      </c>
      <c r="D209" s="1193">
        <v>52</v>
      </c>
      <c r="E209" s="1524"/>
      <c r="F209" s="1284">
        <v>0.94</v>
      </c>
      <c r="G209" s="1284">
        <v>1.47</v>
      </c>
      <c r="H209" s="1284">
        <v>2.04</v>
      </c>
      <c r="I209" s="1284">
        <v>2.66</v>
      </c>
      <c r="J209" s="1284">
        <v>3.33</v>
      </c>
      <c r="K209" s="1284">
        <v>4.05</v>
      </c>
      <c r="L209" s="1284">
        <v>4.84</v>
      </c>
      <c r="M209" s="1284">
        <v>5.69</v>
      </c>
      <c r="N209" s="1284">
        <v>6.62</v>
      </c>
      <c r="O209" s="1284">
        <v>7.63</v>
      </c>
      <c r="P209" s="1284">
        <v>8.74</v>
      </c>
      <c r="Q209" s="1284">
        <v>9.9499999999999993</v>
      </c>
      <c r="R209" s="1284">
        <v>11.28</v>
      </c>
      <c r="S209" s="1284">
        <v>12.49</v>
      </c>
      <c r="T209" s="1284">
        <v>13.79</v>
      </c>
      <c r="U209" s="1284">
        <v>15.19</v>
      </c>
      <c r="V209" s="1284">
        <v>16.7</v>
      </c>
      <c r="W209" s="1284">
        <v>18.309999999999999</v>
      </c>
      <c r="X209" s="1284">
        <v>20.05</v>
      </c>
      <c r="Y209" s="1284">
        <v>21.91</v>
      </c>
      <c r="Z209" s="1284">
        <v>23.9</v>
      </c>
      <c r="AA209" s="1284">
        <v>26.05</v>
      </c>
      <c r="AB209" s="1296">
        <v>28.34</v>
      </c>
      <c r="AC209" s="1192"/>
      <c r="AD209" s="1213"/>
      <c r="AE209" s="1214"/>
      <c r="AF209" s="1214"/>
      <c r="AG209" s="1214"/>
      <c r="AH209" s="1214"/>
      <c r="AI209" s="1214"/>
      <c r="AJ209" s="1214"/>
      <c r="AK209" s="1214"/>
      <c r="AL209" s="1214"/>
      <c r="AM209" s="1214"/>
      <c r="AN209" s="1214"/>
      <c r="AO209" s="1214"/>
      <c r="AP209" s="1214"/>
      <c r="AQ209" s="1214"/>
      <c r="AR209" s="1214"/>
      <c r="AS209" s="1214"/>
      <c r="AT209" s="1214"/>
      <c r="AU209" s="1214"/>
      <c r="AV209" s="1214"/>
      <c r="AW209" s="1214"/>
      <c r="AX209" s="1214"/>
      <c r="AY209" s="1214"/>
      <c r="AZ209" s="1214"/>
      <c r="BA209" s="1214"/>
      <c r="BB209" s="1214"/>
      <c r="BC209" s="1216"/>
      <c r="BD209" s="1216"/>
      <c r="BE209" s="1216"/>
      <c r="BF209" s="1216"/>
      <c r="BG209" s="1216"/>
      <c r="BH209" s="1216"/>
      <c r="BI209" s="1216"/>
      <c r="BJ209" s="1216"/>
      <c r="BK209" s="1216"/>
      <c r="BL209" s="1216"/>
      <c r="BM209" s="1216"/>
      <c r="BN209" s="1216"/>
      <c r="BO209" s="1216"/>
      <c r="BP209" s="1216"/>
      <c r="BQ209" s="1216"/>
      <c r="BR209" s="1216"/>
      <c r="BS209" s="1216"/>
      <c r="BT209" s="1216"/>
      <c r="BU209" s="1216"/>
      <c r="BV209" s="1216"/>
      <c r="BW209" s="1216"/>
      <c r="BX209" s="1216"/>
      <c r="BY209" s="1216"/>
      <c r="BZ209" s="1216"/>
      <c r="CA209" s="1216"/>
      <c r="CB209" s="1216"/>
      <c r="CC209" s="1216"/>
      <c r="CD209" s="1216"/>
      <c r="CE209" s="1216"/>
      <c r="CF209" s="1216"/>
      <c r="CG209" s="1216"/>
      <c r="CH209" s="1216"/>
    </row>
    <row r="210" spans="1:86" ht="20.149999999999999" customHeight="1">
      <c r="A210" s="1563" t="s">
        <v>1540</v>
      </c>
      <c r="B210" s="1563" t="s">
        <v>14</v>
      </c>
      <c r="C210" s="1563" t="str">
        <f t="shared" si="3"/>
        <v>PBPDDCIF53</v>
      </c>
      <c r="D210" s="1193">
        <v>53</v>
      </c>
      <c r="E210" s="1524"/>
      <c r="F210" s="1284">
        <v>1</v>
      </c>
      <c r="G210" s="1284">
        <v>1.57</v>
      </c>
      <c r="H210" s="1284">
        <v>2.1800000000000002</v>
      </c>
      <c r="I210" s="1284">
        <v>2.85</v>
      </c>
      <c r="J210" s="1284">
        <v>3.57</v>
      </c>
      <c r="K210" s="1284">
        <v>4.3499999999999996</v>
      </c>
      <c r="L210" s="1284">
        <v>5.2</v>
      </c>
      <c r="M210" s="1284">
        <v>6.13</v>
      </c>
      <c r="N210" s="1284">
        <v>7.13</v>
      </c>
      <c r="O210" s="1284">
        <v>8.24</v>
      </c>
      <c r="P210" s="1284">
        <v>9.44</v>
      </c>
      <c r="Q210" s="1284">
        <v>10.76</v>
      </c>
      <c r="R210" s="1284">
        <v>12.22</v>
      </c>
      <c r="S210" s="1284">
        <v>13.56</v>
      </c>
      <c r="T210" s="1284">
        <v>15</v>
      </c>
      <c r="U210" s="1284">
        <v>16.55</v>
      </c>
      <c r="V210" s="1284">
        <v>18.22</v>
      </c>
      <c r="W210" s="1284">
        <v>20</v>
      </c>
      <c r="X210" s="1284">
        <v>21.92</v>
      </c>
      <c r="Y210" s="1284">
        <v>23.98</v>
      </c>
      <c r="Z210" s="1284">
        <v>26.2</v>
      </c>
      <c r="AA210" s="1284">
        <v>28.57</v>
      </c>
      <c r="AB210" s="1296">
        <v>31.11</v>
      </c>
      <c r="AC210" s="1192"/>
      <c r="AD210" s="1213"/>
      <c r="AE210" s="1214"/>
      <c r="AF210" s="1214"/>
      <c r="AG210" s="1214"/>
      <c r="AH210" s="1214"/>
      <c r="AI210" s="1214"/>
      <c r="AJ210" s="1214"/>
      <c r="AK210" s="1214"/>
      <c r="AL210" s="1214"/>
      <c r="AM210" s="1214"/>
      <c r="AN210" s="1214"/>
      <c r="AO210" s="1214"/>
      <c r="AP210" s="1214"/>
      <c r="AQ210" s="1214"/>
      <c r="AR210" s="1214"/>
      <c r="AS210" s="1214"/>
      <c r="AT210" s="1214"/>
      <c r="AU210" s="1214"/>
      <c r="AV210" s="1214"/>
      <c r="AW210" s="1214"/>
      <c r="AX210" s="1214"/>
      <c r="AY210" s="1214"/>
      <c r="AZ210" s="1214"/>
      <c r="BA210" s="1214"/>
      <c r="BB210" s="1214"/>
      <c r="BC210" s="1216"/>
      <c r="BD210" s="1216"/>
      <c r="BE210" s="1216"/>
      <c r="BF210" s="1216"/>
      <c r="BG210" s="1216"/>
      <c r="BH210" s="1216"/>
      <c r="BI210" s="1216"/>
      <c r="BJ210" s="1216"/>
      <c r="BK210" s="1216"/>
      <c r="BL210" s="1216"/>
      <c r="BM210" s="1216"/>
      <c r="BN210" s="1216"/>
      <c r="BO210" s="1216"/>
      <c r="BP210" s="1216"/>
      <c r="BQ210" s="1216"/>
      <c r="BR210" s="1216"/>
      <c r="BS210" s="1216"/>
      <c r="BT210" s="1216"/>
      <c r="BU210" s="1216"/>
      <c r="BV210" s="1216"/>
      <c r="BW210" s="1216"/>
      <c r="BX210" s="1216"/>
      <c r="BY210" s="1216"/>
      <c r="BZ210" s="1216"/>
      <c r="CA210" s="1216"/>
      <c r="CB210" s="1216"/>
      <c r="CC210" s="1216"/>
      <c r="CD210" s="1216"/>
      <c r="CE210" s="1216"/>
      <c r="CF210" s="1216"/>
      <c r="CG210" s="1216"/>
      <c r="CH210" s="1216"/>
    </row>
    <row r="211" spans="1:86" ht="20.149999999999999" customHeight="1">
      <c r="A211" s="1563" t="s">
        <v>1540</v>
      </c>
      <c r="B211" s="1563" t="s">
        <v>14</v>
      </c>
      <c r="C211" s="1563" t="str">
        <f t="shared" si="3"/>
        <v>PBPDDCIF54</v>
      </c>
      <c r="D211" s="1193">
        <v>54</v>
      </c>
      <c r="E211" s="1524"/>
      <c r="F211" s="1284">
        <v>1.08</v>
      </c>
      <c r="G211" s="1284">
        <v>1.69</v>
      </c>
      <c r="H211" s="1284">
        <v>2.35</v>
      </c>
      <c r="I211" s="1284">
        <v>3.06</v>
      </c>
      <c r="J211" s="1284">
        <v>3.84</v>
      </c>
      <c r="K211" s="1284">
        <v>4.68</v>
      </c>
      <c r="L211" s="1284">
        <v>5.61</v>
      </c>
      <c r="M211" s="1284">
        <v>6.61</v>
      </c>
      <c r="N211" s="1284">
        <v>7.71</v>
      </c>
      <c r="O211" s="1284">
        <v>8.91</v>
      </c>
      <c r="P211" s="1284">
        <v>10.23</v>
      </c>
      <c r="Q211" s="1284">
        <v>11.69</v>
      </c>
      <c r="R211" s="1284">
        <v>13.28</v>
      </c>
      <c r="S211" s="1284">
        <v>14.77</v>
      </c>
      <c r="T211" s="1284">
        <v>16.37</v>
      </c>
      <c r="U211" s="1284">
        <v>18.079999999999998</v>
      </c>
      <c r="V211" s="1284">
        <v>19.93</v>
      </c>
      <c r="W211" s="1284">
        <v>21.91</v>
      </c>
      <c r="X211" s="1284">
        <v>24.04</v>
      </c>
      <c r="Y211" s="1284">
        <v>26.33</v>
      </c>
      <c r="Z211" s="1284">
        <v>28.79</v>
      </c>
      <c r="AA211" s="1284">
        <v>31.42</v>
      </c>
      <c r="AB211" s="1296">
        <v>34.229999999999997</v>
      </c>
      <c r="AC211" s="1192"/>
      <c r="AD211" s="1213"/>
      <c r="AE211" s="1214"/>
      <c r="AF211" s="1214"/>
      <c r="AG211" s="1214"/>
      <c r="AH211" s="1214"/>
      <c r="AI211" s="1214"/>
      <c r="AJ211" s="1214"/>
      <c r="AK211" s="1214"/>
      <c r="AL211" s="1214"/>
      <c r="AM211" s="1214"/>
      <c r="AN211" s="1214"/>
      <c r="AO211" s="1214"/>
      <c r="AP211" s="1214"/>
      <c r="AQ211" s="1214"/>
      <c r="AR211" s="1214"/>
      <c r="AS211" s="1214"/>
      <c r="AT211" s="1214"/>
      <c r="AU211" s="1214"/>
      <c r="AV211" s="1214"/>
      <c r="AW211" s="1214"/>
      <c r="AX211" s="1214"/>
      <c r="AY211" s="1214"/>
      <c r="AZ211" s="1214"/>
      <c r="BA211" s="1214"/>
      <c r="BB211" s="1214"/>
      <c r="BC211" s="1216"/>
      <c r="BD211" s="1216"/>
      <c r="BE211" s="1216"/>
      <c r="BF211" s="1216"/>
      <c r="BG211" s="1216"/>
      <c r="BH211" s="1216"/>
      <c r="BI211" s="1216"/>
      <c r="BJ211" s="1216"/>
      <c r="BK211" s="1216"/>
      <c r="BL211" s="1216"/>
      <c r="BM211" s="1216"/>
      <c r="BN211" s="1216"/>
      <c r="BO211" s="1216"/>
      <c r="BP211" s="1216"/>
      <c r="BQ211" s="1216"/>
      <c r="BR211" s="1216"/>
      <c r="BS211" s="1216"/>
      <c r="BT211" s="1216"/>
      <c r="BU211" s="1216"/>
      <c r="BV211" s="1216"/>
      <c r="BW211" s="1216"/>
      <c r="BX211" s="1216"/>
      <c r="BY211" s="1216"/>
      <c r="BZ211" s="1216"/>
      <c r="CA211" s="1216"/>
      <c r="CB211" s="1216"/>
      <c r="CC211" s="1216"/>
      <c r="CD211" s="1216"/>
      <c r="CE211" s="1216"/>
      <c r="CF211" s="1216"/>
      <c r="CG211" s="1216"/>
      <c r="CH211" s="1216"/>
    </row>
    <row r="212" spans="1:86" ht="20.149999999999999" customHeight="1">
      <c r="A212" s="1563" t="s">
        <v>1540</v>
      </c>
      <c r="B212" s="1563" t="s">
        <v>14</v>
      </c>
      <c r="C212" s="1563" t="str">
        <f t="shared" si="3"/>
        <v>PBPDDCIF55</v>
      </c>
      <c r="D212" s="1195">
        <v>55</v>
      </c>
      <c r="E212" s="1526"/>
      <c r="F212" s="1288">
        <v>1.1599999999999999</v>
      </c>
      <c r="G212" s="1288">
        <v>1.82</v>
      </c>
      <c r="H212" s="1288">
        <v>2.5299999999999998</v>
      </c>
      <c r="I212" s="1288">
        <v>3.3</v>
      </c>
      <c r="J212" s="1288">
        <v>4.1399999999999997</v>
      </c>
      <c r="K212" s="1288">
        <v>5.0599999999999996</v>
      </c>
      <c r="L212" s="1288">
        <v>6.06</v>
      </c>
      <c r="M212" s="1288">
        <v>7.16</v>
      </c>
      <c r="N212" s="1288">
        <v>8.36</v>
      </c>
      <c r="O212" s="1288">
        <v>9.68</v>
      </c>
      <c r="P212" s="1288">
        <v>11.13</v>
      </c>
      <c r="Q212" s="1288">
        <v>12.73</v>
      </c>
      <c r="R212" s="1288">
        <v>14.49</v>
      </c>
      <c r="S212" s="1288">
        <v>16.14</v>
      </c>
      <c r="T212" s="1288">
        <v>17.91</v>
      </c>
      <c r="U212" s="1288">
        <v>19.82</v>
      </c>
      <c r="V212" s="1288">
        <v>21.87</v>
      </c>
      <c r="W212" s="1288">
        <v>24.07</v>
      </c>
      <c r="X212" s="1288">
        <v>26.44</v>
      </c>
      <c r="Y212" s="1288">
        <v>28.98</v>
      </c>
      <c r="Z212" s="1288">
        <v>31.7</v>
      </c>
      <c r="AA212" s="1288">
        <v>34.619999999999997</v>
      </c>
      <c r="AB212" s="1298">
        <v>37.72</v>
      </c>
      <c r="AC212" s="1192"/>
      <c r="AD212" s="1213"/>
      <c r="AE212" s="1214"/>
      <c r="AF212" s="1214"/>
      <c r="AG212" s="1214"/>
      <c r="AH212" s="1214"/>
      <c r="AI212" s="1214"/>
      <c r="AJ212" s="1214"/>
      <c r="AK212" s="1214"/>
      <c r="AL212" s="1214"/>
      <c r="AM212" s="1214"/>
      <c r="AN212" s="1214"/>
      <c r="AO212" s="1214"/>
      <c r="AP212" s="1214"/>
      <c r="AQ212" s="1214"/>
      <c r="AR212" s="1214"/>
      <c r="AS212" s="1214"/>
      <c r="AT212" s="1214"/>
      <c r="AU212" s="1214"/>
      <c r="AV212" s="1214"/>
      <c r="AW212" s="1214"/>
      <c r="AX212" s="1214"/>
      <c r="AY212" s="1214"/>
      <c r="AZ212" s="1214"/>
      <c r="BA212" s="1214"/>
      <c r="BB212" s="1214"/>
      <c r="BC212" s="1216"/>
      <c r="BD212" s="1216"/>
      <c r="BE212" s="1216"/>
      <c r="BF212" s="1216"/>
      <c r="BG212" s="1216"/>
      <c r="BH212" s="1216"/>
      <c r="BI212" s="1216"/>
      <c r="BJ212" s="1216"/>
      <c r="BK212" s="1216"/>
      <c r="BL212" s="1216"/>
      <c r="BM212" s="1216"/>
      <c r="BN212" s="1216"/>
      <c r="BO212" s="1216"/>
      <c r="BP212" s="1216"/>
      <c r="BQ212" s="1216"/>
      <c r="BR212" s="1216"/>
      <c r="BS212" s="1216"/>
      <c r="BT212" s="1216"/>
      <c r="BU212" s="1216"/>
      <c r="BV212" s="1216"/>
      <c r="BW212" s="1216"/>
      <c r="BX212" s="1216"/>
      <c r="BY212" s="1216"/>
      <c r="BZ212" s="1216"/>
      <c r="CA212" s="1216"/>
      <c r="CB212" s="1216"/>
      <c r="CC212" s="1216"/>
      <c r="CD212" s="1216"/>
      <c r="CE212" s="1216"/>
      <c r="CF212" s="1216"/>
      <c r="CG212" s="1216"/>
      <c r="CH212" s="1216"/>
    </row>
    <row r="213" spans="1:86" ht="20.149999999999999" customHeight="1">
      <c r="A213" s="1563" t="s">
        <v>1540</v>
      </c>
      <c r="B213" s="1563" t="s">
        <v>14</v>
      </c>
      <c r="C213" s="1563" t="str">
        <f t="shared" si="3"/>
        <v>PBPDDCIF56</v>
      </c>
      <c r="D213" s="1193">
        <v>56</v>
      </c>
      <c r="E213" s="1524"/>
      <c r="F213" s="1284">
        <v>1.25</v>
      </c>
      <c r="G213" s="1284">
        <v>1.96</v>
      </c>
      <c r="H213" s="1284">
        <v>2.73</v>
      </c>
      <c r="I213" s="1284">
        <v>3.56</v>
      </c>
      <c r="J213" s="1284">
        <v>4.4800000000000004</v>
      </c>
      <c r="K213" s="1284">
        <v>5.48</v>
      </c>
      <c r="L213" s="1284">
        <v>6.57</v>
      </c>
      <c r="M213" s="1284">
        <v>7.77</v>
      </c>
      <c r="N213" s="1284">
        <v>9.1</v>
      </c>
      <c r="O213" s="1284">
        <v>10.55</v>
      </c>
      <c r="P213" s="1284">
        <v>12.15</v>
      </c>
      <c r="Q213" s="1284">
        <v>13.92</v>
      </c>
      <c r="R213" s="1284">
        <v>15.87</v>
      </c>
      <c r="S213" s="1284">
        <v>17.7</v>
      </c>
      <c r="T213" s="1284">
        <v>19.670000000000002</v>
      </c>
      <c r="U213" s="1284">
        <v>21.78</v>
      </c>
      <c r="V213" s="1284">
        <v>24.06</v>
      </c>
      <c r="W213" s="1284">
        <v>26.51</v>
      </c>
      <c r="X213" s="1284">
        <v>29.15</v>
      </c>
      <c r="Y213" s="1284">
        <v>31.97</v>
      </c>
      <c r="Z213" s="1284">
        <v>34.99</v>
      </c>
      <c r="AA213" s="1284">
        <v>38.21</v>
      </c>
      <c r="AB213" s="1296">
        <v>42.27</v>
      </c>
      <c r="AC213" s="1192"/>
      <c r="AD213" s="1213"/>
      <c r="AE213" s="1214"/>
      <c r="AF213" s="1214"/>
      <c r="AG213" s="1214"/>
      <c r="AH213" s="1214"/>
      <c r="AI213" s="1214"/>
      <c r="AJ213" s="1214"/>
      <c r="AK213" s="1214"/>
      <c r="AL213" s="1214"/>
      <c r="AM213" s="1214"/>
      <c r="AN213" s="1214"/>
      <c r="AO213" s="1214"/>
      <c r="AP213" s="1214"/>
      <c r="AQ213" s="1214"/>
      <c r="AR213" s="1214"/>
      <c r="AS213" s="1214"/>
      <c r="AT213" s="1214"/>
      <c r="AU213" s="1214"/>
      <c r="AV213" s="1214"/>
      <c r="AW213" s="1214"/>
      <c r="AX213" s="1214"/>
      <c r="AY213" s="1214"/>
      <c r="AZ213" s="1214"/>
      <c r="BA213" s="1214"/>
      <c r="BB213" s="1214"/>
      <c r="BC213" s="1216"/>
      <c r="BD213" s="1216"/>
      <c r="BE213" s="1216"/>
      <c r="BF213" s="1216"/>
      <c r="BG213" s="1216"/>
      <c r="BH213" s="1216"/>
      <c r="BI213" s="1216"/>
      <c r="BJ213" s="1216"/>
      <c r="BK213" s="1216"/>
      <c r="BL213" s="1216"/>
      <c r="BM213" s="1216"/>
      <c r="BN213" s="1216"/>
      <c r="BO213" s="1216"/>
      <c r="BP213" s="1216"/>
      <c r="BQ213" s="1216"/>
      <c r="BR213" s="1216"/>
      <c r="BS213" s="1216"/>
      <c r="BT213" s="1216"/>
      <c r="BU213" s="1216"/>
      <c r="BV213" s="1216"/>
      <c r="BW213" s="1216"/>
      <c r="BX213" s="1216"/>
      <c r="BY213" s="1216"/>
      <c r="BZ213" s="1216"/>
      <c r="CA213" s="1216"/>
      <c r="CB213" s="1216"/>
      <c r="CC213" s="1216"/>
      <c r="CD213" s="1216"/>
      <c r="CE213" s="1216"/>
      <c r="CF213" s="1216"/>
      <c r="CG213" s="1216"/>
      <c r="CH213" s="1216"/>
    </row>
    <row r="214" spans="1:86" ht="20.149999999999999" customHeight="1">
      <c r="A214" s="1563" t="s">
        <v>1540</v>
      </c>
      <c r="B214" s="1563" t="s">
        <v>14</v>
      </c>
      <c r="C214" s="1563" t="str">
        <f t="shared" si="3"/>
        <v>PBPDDCIF57</v>
      </c>
      <c r="D214" s="1193">
        <v>57</v>
      </c>
      <c r="E214" s="1524"/>
      <c r="F214" s="1284">
        <v>1.35</v>
      </c>
      <c r="G214" s="1284">
        <v>2.11</v>
      </c>
      <c r="H214" s="1284">
        <v>2.95</v>
      </c>
      <c r="I214" s="1284">
        <v>3.86</v>
      </c>
      <c r="J214" s="1284">
        <v>4.8600000000000003</v>
      </c>
      <c r="K214" s="1284">
        <v>5.95</v>
      </c>
      <c r="L214" s="1284">
        <v>7.15</v>
      </c>
      <c r="M214" s="1284">
        <v>8.48</v>
      </c>
      <c r="N214" s="1284">
        <v>9.93</v>
      </c>
      <c r="O214" s="1284">
        <v>11.54</v>
      </c>
      <c r="P214" s="1284">
        <v>13.32</v>
      </c>
      <c r="Q214" s="1284">
        <v>15.28</v>
      </c>
      <c r="R214" s="1284">
        <v>17.43</v>
      </c>
      <c r="S214" s="1284">
        <v>19.47</v>
      </c>
      <c r="T214" s="1284">
        <v>21.66</v>
      </c>
      <c r="U214" s="1284">
        <v>24.02</v>
      </c>
      <c r="V214" s="1284">
        <v>26.55</v>
      </c>
      <c r="W214" s="1284">
        <v>29.28</v>
      </c>
      <c r="X214" s="1284">
        <v>32.21</v>
      </c>
      <c r="Y214" s="1284">
        <v>35.35</v>
      </c>
      <c r="Z214" s="1284">
        <v>38.700000000000003</v>
      </c>
      <c r="AA214" s="1284">
        <v>42.94</v>
      </c>
      <c r="AB214" s="1296">
        <v>47.14</v>
      </c>
      <c r="AC214" s="1192"/>
      <c r="AD214" s="1213"/>
      <c r="AE214" s="1214"/>
      <c r="AF214" s="1214"/>
      <c r="AG214" s="1214"/>
      <c r="AH214" s="1214"/>
      <c r="AI214" s="1214"/>
      <c r="AJ214" s="1214"/>
      <c r="AK214" s="1214"/>
      <c r="AL214" s="1214"/>
      <c r="AM214" s="1214"/>
      <c r="AN214" s="1214"/>
      <c r="AO214" s="1214"/>
      <c r="AP214" s="1214"/>
      <c r="AQ214" s="1214"/>
      <c r="AR214" s="1214"/>
      <c r="AS214" s="1214"/>
      <c r="AT214" s="1214"/>
      <c r="AU214" s="1214"/>
      <c r="AV214" s="1214"/>
      <c r="AW214" s="1214"/>
      <c r="AX214" s="1214"/>
      <c r="AY214" s="1214"/>
      <c r="AZ214" s="1214"/>
      <c r="BA214" s="1214"/>
      <c r="BB214" s="1214"/>
      <c r="BC214" s="1216"/>
      <c r="BD214" s="1216"/>
      <c r="BE214" s="1216"/>
      <c r="BF214" s="1216"/>
      <c r="BG214" s="1216"/>
      <c r="BH214" s="1216"/>
      <c r="BI214" s="1216"/>
      <c r="BJ214" s="1216"/>
      <c r="BK214" s="1216"/>
      <c r="BL214" s="1216"/>
      <c r="BM214" s="1216"/>
      <c r="BN214" s="1216"/>
      <c r="BO214" s="1216"/>
      <c r="BP214" s="1216"/>
      <c r="BQ214" s="1216"/>
      <c r="BR214" s="1216"/>
      <c r="BS214" s="1216"/>
      <c r="BT214" s="1216"/>
      <c r="BU214" s="1216"/>
      <c r="BV214" s="1216"/>
      <c r="BW214" s="1216"/>
      <c r="BX214" s="1216"/>
      <c r="BY214" s="1216"/>
      <c r="BZ214" s="1216"/>
      <c r="CA214" s="1216"/>
      <c r="CB214" s="1216"/>
      <c r="CC214" s="1216"/>
      <c r="CD214" s="1216"/>
      <c r="CE214" s="1216"/>
      <c r="CF214" s="1216"/>
      <c r="CG214" s="1216"/>
      <c r="CH214" s="1216"/>
    </row>
    <row r="215" spans="1:86" ht="20.149999999999999" customHeight="1">
      <c r="A215" s="1563" t="s">
        <v>1540</v>
      </c>
      <c r="B215" s="1563" t="s">
        <v>14</v>
      </c>
      <c r="C215" s="1563" t="str">
        <f t="shared" si="3"/>
        <v>PBPDDCIF58</v>
      </c>
      <c r="D215" s="1193">
        <v>58</v>
      </c>
      <c r="E215" s="1524"/>
      <c r="F215" s="1284">
        <v>1.46</v>
      </c>
      <c r="G215" s="1284">
        <v>2.29</v>
      </c>
      <c r="H215" s="1284">
        <v>3.2</v>
      </c>
      <c r="I215" s="1284">
        <v>4.2</v>
      </c>
      <c r="J215" s="1284">
        <v>5.29</v>
      </c>
      <c r="K215" s="1284">
        <v>6.5</v>
      </c>
      <c r="L215" s="1284">
        <v>7.82</v>
      </c>
      <c r="M215" s="1284">
        <v>9.2899999999999991</v>
      </c>
      <c r="N215" s="1284">
        <v>10.9</v>
      </c>
      <c r="O215" s="1284">
        <v>12.69</v>
      </c>
      <c r="P215" s="1284">
        <v>14.66</v>
      </c>
      <c r="Q215" s="1284">
        <v>16.829999999999998</v>
      </c>
      <c r="R215" s="1284">
        <v>19.22</v>
      </c>
      <c r="S215" s="1284">
        <v>21.49</v>
      </c>
      <c r="T215" s="1284">
        <v>23.93</v>
      </c>
      <c r="U215" s="1284">
        <v>26.56</v>
      </c>
      <c r="V215" s="1284">
        <v>29.39</v>
      </c>
      <c r="W215" s="1284">
        <v>32.43</v>
      </c>
      <c r="X215" s="1284">
        <v>35.69</v>
      </c>
      <c r="Y215" s="1284">
        <v>39.17</v>
      </c>
      <c r="Z215" s="1284">
        <v>43.61</v>
      </c>
      <c r="AA215" s="1284">
        <v>48.01</v>
      </c>
      <c r="AB215" s="1296">
        <v>52.37</v>
      </c>
      <c r="AC215" s="1192"/>
      <c r="AD215" s="1213"/>
      <c r="AE215" s="1214"/>
      <c r="AF215" s="1214"/>
      <c r="AG215" s="1214"/>
      <c r="AH215" s="1214"/>
      <c r="AI215" s="1214"/>
      <c r="AJ215" s="1214"/>
      <c r="AK215" s="1214"/>
      <c r="AL215" s="1214"/>
      <c r="AM215" s="1214"/>
      <c r="AN215" s="1214"/>
      <c r="AO215" s="1214"/>
      <c r="AP215" s="1214"/>
      <c r="AQ215" s="1214"/>
      <c r="AR215" s="1214"/>
      <c r="AS215" s="1214"/>
      <c r="AT215" s="1214"/>
      <c r="AU215" s="1214"/>
      <c r="AV215" s="1214"/>
      <c r="AW215" s="1214"/>
      <c r="AX215" s="1214"/>
      <c r="AY215" s="1214"/>
      <c r="AZ215" s="1214"/>
      <c r="BA215" s="1214"/>
      <c r="BB215" s="1214"/>
      <c r="BC215" s="1216"/>
      <c r="BD215" s="1216"/>
      <c r="BE215" s="1216"/>
      <c r="BF215" s="1216"/>
      <c r="BG215" s="1216"/>
      <c r="BH215" s="1216"/>
      <c r="BI215" s="1216"/>
      <c r="BJ215" s="1216"/>
      <c r="BK215" s="1216"/>
      <c r="BL215" s="1216"/>
      <c r="BM215" s="1216"/>
      <c r="BN215" s="1216"/>
      <c r="BO215" s="1216"/>
      <c r="BP215" s="1216"/>
      <c r="BQ215" s="1216"/>
      <c r="BR215" s="1216"/>
      <c r="BS215" s="1216"/>
      <c r="BT215" s="1216"/>
      <c r="BU215" s="1216"/>
      <c r="BV215" s="1216"/>
      <c r="BW215" s="1216"/>
      <c r="BX215" s="1216"/>
      <c r="BY215" s="1216"/>
      <c r="BZ215" s="1216"/>
      <c r="CA215" s="1216"/>
      <c r="CB215" s="1216"/>
      <c r="CC215" s="1216"/>
      <c r="CD215" s="1216"/>
      <c r="CE215" s="1216"/>
      <c r="CF215" s="1216"/>
      <c r="CG215" s="1216"/>
      <c r="CH215" s="1216"/>
    </row>
    <row r="216" spans="1:86" ht="20.149999999999999" customHeight="1">
      <c r="A216" s="1563" t="s">
        <v>1540</v>
      </c>
      <c r="B216" s="1563" t="s">
        <v>14</v>
      </c>
      <c r="C216" s="1563" t="str">
        <f t="shared" si="3"/>
        <v>PBPDDCIF59</v>
      </c>
      <c r="D216" s="1193">
        <v>59</v>
      </c>
      <c r="E216" s="1524"/>
      <c r="F216" s="1284">
        <v>1.59</v>
      </c>
      <c r="G216" s="1284">
        <v>2.5</v>
      </c>
      <c r="H216" s="1284">
        <v>3.5</v>
      </c>
      <c r="I216" s="1284">
        <v>4.5999999999999996</v>
      </c>
      <c r="J216" s="1284">
        <v>5.81</v>
      </c>
      <c r="K216" s="1284">
        <v>7.14</v>
      </c>
      <c r="L216" s="1284">
        <v>8.61</v>
      </c>
      <c r="M216" s="1284">
        <v>10.23</v>
      </c>
      <c r="N216" s="1284">
        <v>12.03</v>
      </c>
      <c r="O216" s="1284">
        <v>14.01</v>
      </c>
      <c r="P216" s="1284">
        <v>16.2</v>
      </c>
      <c r="Q216" s="1284">
        <v>18.62</v>
      </c>
      <c r="R216" s="1284">
        <v>21.28</v>
      </c>
      <c r="S216" s="1284">
        <v>23.81</v>
      </c>
      <c r="T216" s="1284">
        <v>26.54</v>
      </c>
      <c r="U216" s="1284">
        <v>29.48</v>
      </c>
      <c r="V216" s="1284">
        <v>32.64</v>
      </c>
      <c r="W216" s="1284">
        <v>36.020000000000003</v>
      </c>
      <c r="X216" s="1284">
        <v>39.64</v>
      </c>
      <c r="Y216" s="1284">
        <v>44.3</v>
      </c>
      <c r="Z216" s="1284">
        <v>48.92</v>
      </c>
      <c r="AA216" s="1284">
        <v>53.48</v>
      </c>
      <c r="AB216" s="1296">
        <v>58.01</v>
      </c>
      <c r="AC216" s="1192"/>
      <c r="AD216" s="1213"/>
      <c r="AE216" s="1214"/>
      <c r="AF216" s="1214"/>
      <c r="AG216" s="1214"/>
      <c r="AH216" s="1214"/>
      <c r="AI216" s="1214"/>
      <c r="AJ216" s="1214"/>
      <c r="AK216" s="1214"/>
      <c r="AL216" s="1214"/>
      <c r="AM216" s="1214"/>
      <c r="AN216" s="1214"/>
      <c r="AO216" s="1214"/>
      <c r="AP216" s="1214"/>
      <c r="AQ216" s="1214"/>
      <c r="AR216" s="1214"/>
      <c r="AS216" s="1214"/>
      <c r="AT216" s="1214"/>
      <c r="AU216" s="1214"/>
      <c r="AV216" s="1214"/>
      <c r="AW216" s="1214"/>
      <c r="AX216" s="1214"/>
      <c r="AY216" s="1214"/>
      <c r="AZ216" s="1214"/>
      <c r="BA216" s="1214"/>
      <c r="BB216" s="1214"/>
      <c r="BC216" s="1216"/>
      <c r="BD216" s="1216"/>
      <c r="BE216" s="1216"/>
      <c r="BF216" s="1216"/>
      <c r="BG216" s="1216"/>
      <c r="BH216" s="1216"/>
      <c r="BI216" s="1216"/>
      <c r="BJ216" s="1216"/>
      <c r="BK216" s="1216"/>
      <c r="BL216" s="1216"/>
      <c r="BM216" s="1216"/>
      <c r="BN216" s="1216"/>
      <c r="BO216" s="1216"/>
      <c r="BP216" s="1216"/>
      <c r="BQ216" s="1216"/>
      <c r="BR216" s="1216"/>
      <c r="BS216" s="1216"/>
      <c r="BT216" s="1216"/>
      <c r="BU216" s="1216"/>
      <c r="BV216" s="1216"/>
      <c r="BW216" s="1216"/>
      <c r="BX216" s="1216"/>
      <c r="BY216" s="1216"/>
      <c r="BZ216" s="1216"/>
      <c r="CA216" s="1216"/>
      <c r="CB216" s="1216"/>
      <c r="CC216" s="1216"/>
      <c r="CD216" s="1216"/>
      <c r="CE216" s="1216"/>
      <c r="CF216" s="1216"/>
      <c r="CG216" s="1216"/>
      <c r="CH216" s="1216"/>
    </row>
    <row r="217" spans="1:86" ht="20.149999999999999" customHeight="1">
      <c r="A217" s="1563" t="s">
        <v>1540</v>
      </c>
      <c r="B217" s="1563" t="s">
        <v>14</v>
      </c>
      <c r="C217" s="1563" t="str">
        <f t="shared" si="3"/>
        <v>PBPDDCIF60</v>
      </c>
      <c r="D217" s="1193">
        <v>60</v>
      </c>
      <c r="E217" s="1524"/>
      <c r="F217" s="1284">
        <v>1.74</v>
      </c>
      <c r="G217" s="1284">
        <v>2.74</v>
      </c>
      <c r="H217" s="1284">
        <v>3.84</v>
      </c>
      <c r="I217" s="1284">
        <v>5.05</v>
      </c>
      <c r="J217" s="1284">
        <v>6.39</v>
      </c>
      <c r="K217" s="1284">
        <v>7.86</v>
      </c>
      <c r="L217" s="1284">
        <v>9.5</v>
      </c>
      <c r="M217" s="1284">
        <v>11.31</v>
      </c>
      <c r="N217" s="1284">
        <v>13.31</v>
      </c>
      <c r="O217" s="1284">
        <v>15.52</v>
      </c>
      <c r="P217" s="1284">
        <v>17.96</v>
      </c>
      <c r="Q217" s="1284">
        <v>20.65</v>
      </c>
      <c r="R217" s="1284">
        <v>23.62</v>
      </c>
      <c r="S217" s="1284">
        <v>26.45</v>
      </c>
      <c r="T217" s="1284">
        <v>29.5</v>
      </c>
      <c r="U217" s="1284">
        <v>32.78</v>
      </c>
      <c r="V217" s="1284">
        <v>36.299999999999997</v>
      </c>
      <c r="W217" s="1284">
        <v>40.07</v>
      </c>
      <c r="X217" s="1284">
        <v>44.96</v>
      </c>
      <c r="Y217" s="1284">
        <v>49.81</v>
      </c>
      <c r="Z217" s="1284">
        <v>54.61</v>
      </c>
      <c r="AA217" s="1284">
        <v>59.36</v>
      </c>
      <c r="AB217" s="1296">
        <v>64.06</v>
      </c>
      <c r="AC217" s="1192"/>
      <c r="AD217" s="1213"/>
      <c r="AE217" s="1214"/>
      <c r="AF217" s="1214"/>
      <c r="AG217" s="1214"/>
      <c r="AH217" s="1214"/>
      <c r="AI217" s="1214"/>
      <c r="AJ217" s="1214"/>
      <c r="AK217" s="1214"/>
      <c r="AL217" s="1214"/>
      <c r="AM217" s="1214"/>
      <c r="AN217" s="1214"/>
      <c r="AO217" s="1214"/>
      <c r="AP217" s="1214"/>
      <c r="AQ217" s="1214"/>
      <c r="AR217" s="1214"/>
      <c r="AS217" s="1214"/>
      <c r="AT217" s="1214"/>
      <c r="AU217" s="1214"/>
      <c r="AV217" s="1214"/>
      <c r="AW217" s="1214"/>
      <c r="AX217" s="1214"/>
      <c r="AY217" s="1214"/>
      <c r="AZ217" s="1214"/>
      <c r="BA217" s="1214"/>
      <c r="BB217" s="1214"/>
      <c r="BC217" s="1216"/>
      <c r="BD217" s="1216"/>
      <c r="BE217" s="1216"/>
      <c r="BF217" s="1216"/>
      <c r="BG217" s="1216"/>
      <c r="BH217" s="1216"/>
      <c r="BI217" s="1216"/>
      <c r="BJ217" s="1216"/>
      <c r="BK217" s="1216"/>
      <c r="BL217" s="1216"/>
      <c r="BM217" s="1216"/>
      <c r="BN217" s="1216"/>
      <c r="BO217" s="1216"/>
      <c r="BP217" s="1216"/>
      <c r="BQ217" s="1216"/>
      <c r="BR217" s="1216"/>
      <c r="BS217" s="1216"/>
      <c r="BT217" s="1216"/>
      <c r="BU217" s="1216"/>
      <c r="BV217" s="1216"/>
      <c r="BW217" s="1216"/>
      <c r="BX217" s="1216"/>
      <c r="BY217" s="1216"/>
      <c r="BZ217" s="1216"/>
      <c r="CA217" s="1216"/>
      <c r="CB217" s="1216"/>
      <c r="CC217" s="1216"/>
      <c r="CD217" s="1216"/>
      <c r="CE217" s="1216"/>
      <c r="CF217" s="1216"/>
      <c r="CG217" s="1216"/>
      <c r="CH217" s="1216"/>
    </row>
    <row r="218" spans="1:86" ht="20.149999999999999" customHeight="1">
      <c r="A218" s="1563" t="s">
        <v>1540</v>
      </c>
      <c r="B218" s="1563" t="s">
        <v>14</v>
      </c>
      <c r="C218" s="1563" t="str">
        <f t="shared" si="3"/>
        <v>PBPDDCIF61</v>
      </c>
      <c r="D218" s="1194">
        <v>61</v>
      </c>
      <c r="E218" s="1525"/>
      <c r="F218" s="1286">
        <v>1.91</v>
      </c>
      <c r="G218" s="1286">
        <v>3.01</v>
      </c>
      <c r="H218" s="1286">
        <v>4.2300000000000004</v>
      </c>
      <c r="I218" s="1286">
        <v>5.57</v>
      </c>
      <c r="J218" s="1286">
        <v>7.06</v>
      </c>
      <c r="K218" s="1286">
        <v>8.6999999999999993</v>
      </c>
      <c r="L218" s="1286">
        <v>10.52</v>
      </c>
      <c r="M218" s="1286">
        <v>12.54</v>
      </c>
      <c r="N218" s="1286">
        <v>14.78</v>
      </c>
      <c r="O218" s="1286">
        <v>17.239999999999998</v>
      </c>
      <c r="P218" s="1286">
        <v>19.96</v>
      </c>
      <c r="Q218" s="1286">
        <v>22.97</v>
      </c>
      <c r="R218" s="1286">
        <v>26.28</v>
      </c>
      <c r="S218" s="1286">
        <v>29.45</v>
      </c>
      <c r="T218" s="1286">
        <v>32.86</v>
      </c>
      <c r="U218" s="1286">
        <v>36.53</v>
      </c>
      <c r="V218" s="1286">
        <v>40.450000000000003</v>
      </c>
      <c r="W218" s="1286">
        <v>45.6</v>
      </c>
      <c r="X218" s="1286">
        <v>50.69</v>
      </c>
      <c r="Y218" s="1286">
        <v>55.74</v>
      </c>
      <c r="Z218" s="1286">
        <v>60.73</v>
      </c>
      <c r="AA218" s="1286">
        <v>65.680000000000007</v>
      </c>
      <c r="AB218" s="1297">
        <v>70.569999999999993</v>
      </c>
      <c r="AC218" s="1192"/>
      <c r="AD218" s="1213"/>
      <c r="AE218" s="1214"/>
      <c r="AF218" s="1214"/>
      <c r="AG218" s="1214"/>
      <c r="AH218" s="1214"/>
      <c r="AI218" s="1214"/>
      <c r="AJ218" s="1214"/>
      <c r="AK218" s="1214"/>
      <c r="AL218" s="1214"/>
      <c r="AM218" s="1214"/>
      <c r="AN218" s="1214"/>
      <c r="AO218" s="1214"/>
      <c r="AP218" s="1214"/>
      <c r="AQ218" s="1214"/>
      <c r="AR218" s="1214"/>
      <c r="AS218" s="1214"/>
      <c r="AT218" s="1214"/>
      <c r="AU218" s="1214"/>
      <c r="AV218" s="1214"/>
      <c r="AW218" s="1214"/>
      <c r="AX218" s="1214"/>
      <c r="AY218" s="1214"/>
      <c r="AZ218" s="1214"/>
      <c r="BA218" s="1214"/>
      <c r="BB218" s="1214"/>
      <c r="BC218" s="1216"/>
      <c r="BD218" s="1216"/>
      <c r="BE218" s="1216"/>
      <c r="BF218" s="1216"/>
      <c r="BG218" s="1216"/>
      <c r="BH218" s="1216"/>
      <c r="BI218" s="1216"/>
      <c r="BJ218" s="1216"/>
      <c r="BK218" s="1216"/>
      <c r="BL218" s="1216"/>
      <c r="BM218" s="1216"/>
      <c r="BN218" s="1216"/>
      <c r="BO218" s="1216"/>
      <c r="BP218" s="1216"/>
      <c r="BQ218" s="1216"/>
      <c r="BR218" s="1216"/>
      <c r="BS218" s="1216"/>
      <c r="BT218" s="1216"/>
      <c r="BU218" s="1216"/>
      <c r="BV218" s="1216"/>
      <c r="BW218" s="1216"/>
      <c r="BX218" s="1216"/>
      <c r="BY218" s="1216"/>
      <c r="BZ218" s="1216"/>
      <c r="CA218" s="1216"/>
      <c r="CB218" s="1216"/>
      <c r="CC218" s="1216"/>
      <c r="CD218" s="1216"/>
      <c r="CE218" s="1216"/>
      <c r="CF218" s="1216"/>
      <c r="CG218" s="1216"/>
      <c r="CH218" s="1216"/>
    </row>
    <row r="219" spans="1:86" ht="20.149999999999999" customHeight="1">
      <c r="A219" s="1563" t="s">
        <v>1540</v>
      </c>
      <c r="B219" s="1563" t="s">
        <v>14</v>
      </c>
      <c r="C219" s="1563" t="str">
        <f t="shared" si="3"/>
        <v>PBPDDCIF62</v>
      </c>
      <c r="D219" s="1193">
        <v>62</v>
      </c>
      <c r="E219" s="1524"/>
      <c r="F219" s="1284">
        <v>2.11</v>
      </c>
      <c r="G219" s="1284">
        <v>3.33</v>
      </c>
      <c r="H219" s="1284">
        <v>4.68</v>
      </c>
      <c r="I219" s="1284">
        <v>6.18</v>
      </c>
      <c r="J219" s="1284">
        <v>7.83</v>
      </c>
      <c r="K219" s="1284">
        <v>9.67</v>
      </c>
      <c r="L219" s="1284">
        <v>11.71</v>
      </c>
      <c r="M219" s="1284">
        <v>13.96</v>
      </c>
      <c r="N219" s="1284">
        <v>16.46</v>
      </c>
      <c r="O219" s="1284">
        <v>19.21</v>
      </c>
      <c r="P219" s="1284">
        <v>22.25</v>
      </c>
      <c r="Q219" s="1284">
        <v>25.61</v>
      </c>
      <c r="R219" s="1284">
        <v>29.32</v>
      </c>
      <c r="S219" s="1284">
        <v>32.869999999999997</v>
      </c>
      <c r="T219" s="1284">
        <v>36.68</v>
      </c>
      <c r="U219" s="1284">
        <v>40.770000000000003</v>
      </c>
      <c r="V219" s="1284">
        <v>46.19</v>
      </c>
      <c r="W219" s="1284">
        <v>51.56</v>
      </c>
      <c r="X219" s="1284">
        <v>56.87</v>
      </c>
      <c r="Y219" s="1284">
        <v>62.13</v>
      </c>
      <c r="Z219" s="1284">
        <v>67.34</v>
      </c>
      <c r="AA219" s="1284">
        <v>72.489999999999995</v>
      </c>
      <c r="AB219" s="1296">
        <v>77.599999999999994</v>
      </c>
      <c r="AC219" s="1192"/>
      <c r="AD219" s="1213"/>
      <c r="AE219" s="1214"/>
      <c r="AF219" s="1214"/>
      <c r="AG219" s="1214"/>
      <c r="AH219" s="1214"/>
      <c r="AI219" s="1214"/>
      <c r="AJ219" s="1214"/>
      <c r="AK219" s="1214"/>
      <c r="AL219" s="1214"/>
      <c r="AM219" s="1214"/>
      <c r="AN219" s="1214"/>
      <c r="AO219" s="1214"/>
      <c r="AP219" s="1214"/>
      <c r="AQ219" s="1214"/>
      <c r="AR219" s="1214"/>
      <c r="AS219" s="1214"/>
      <c r="AT219" s="1214"/>
      <c r="AU219" s="1214"/>
      <c r="AV219" s="1214"/>
      <c r="AW219" s="1214"/>
      <c r="AX219" s="1214"/>
      <c r="AY219" s="1214"/>
      <c r="AZ219" s="1214"/>
      <c r="BA219" s="1214"/>
      <c r="BB219" s="1214"/>
      <c r="BC219" s="1216"/>
      <c r="BD219" s="1216"/>
      <c r="BE219" s="1216"/>
      <c r="BF219" s="1216"/>
      <c r="BG219" s="1216"/>
      <c r="BH219" s="1216"/>
      <c r="BI219" s="1216"/>
      <c r="BJ219" s="1216"/>
      <c r="BK219" s="1216"/>
      <c r="BL219" s="1216"/>
      <c r="BM219" s="1216"/>
      <c r="BN219" s="1216"/>
      <c r="BO219" s="1216"/>
      <c r="BP219" s="1216"/>
      <c r="BQ219" s="1216"/>
      <c r="BR219" s="1216"/>
      <c r="BS219" s="1216"/>
      <c r="BT219" s="1216"/>
      <c r="BU219" s="1216"/>
      <c r="BV219" s="1216"/>
      <c r="BW219" s="1216"/>
      <c r="BX219" s="1216"/>
      <c r="BY219" s="1216"/>
      <c r="BZ219" s="1216"/>
      <c r="CA219" s="1216"/>
      <c r="CB219" s="1216"/>
      <c r="CC219" s="1216"/>
      <c r="CD219" s="1216"/>
      <c r="CE219" s="1216"/>
      <c r="CF219" s="1216"/>
      <c r="CG219" s="1216"/>
      <c r="CH219" s="1216"/>
    </row>
    <row r="220" spans="1:86" ht="20.149999999999999" customHeight="1">
      <c r="A220" s="1563" t="s">
        <v>1540</v>
      </c>
      <c r="B220" s="1563" t="s">
        <v>14</v>
      </c>
      <c r="C220" s="1563" t="str">
        <f t="shared" si="3"/>
        <v>PBPDDCIF63</v>
      </c>
      <c r="D220" s="1193">
        <v>63</v>
      </c>
      <c r="E220" s="1524"/>
      <c r="F220" s="1284">
        <v>2.34</v>
      </c>
      <c r="G220" s="1284">
        <v>3.7</v>
      </c>
      <c r="H220" s="1284">
        <v>5.2</v>
      </c>
      <c r="I220" s="1284">
        <v>6.87</v>
      </c>
      <c r="J220" s="1284">
        <v>8.73</v>
      </c>
      <c r="K220" s="1284">
        <v>10.79</v>
      </c>
      <c r="L220" s="1284">
        <v>13.06</v>
      </c>
      <c r="M220" s="1284">
        <v>15.59</v>
      </c>
      <c r="N220" s="1284">
        <v>18.37</v>
      </c>
      <c r="O220" s="1284">
        <v>21.46</v>
      </c>
      <c r="P220" s="1284">
        <v>24.87</v>
      </c>
      <c r="Q220" s="1284">
        <v>28.63</v>
      </c>
      <c r="R220" s="1284">
        <v>32.770000000000003</v>
      </c>
      <c r="S220" s="1284">
        <v>36.75</v>
      </c>
      <c r="T220" s="1284">
        <v>41.02</v>
      </c>
      <c r="U220" s="1284">
        <v>46.73</v>
      </c>
      <c r="V220" s="1284">
        <v>52.39</v>
      </c>
      <c r="W220" s="1284">
        <v>57.99</v>
      </c>
      <c r="X220" s="1284">
        <v>63.53</v>
      </c>
      <c r="Y220" s="1284">
        <v>69.02</v>
      </c>
      <c r="Z220" s="1284">
        <v>74.459999999999994</v>
      </c>
      <c r="AA220" s="1284">
        <v>79.84</v>
      </c>
      <c r="AB220" s="1296">
        <v>85.17</v>
      </c>
      <c r="AC220" s="1192"/>
      <c r="AD220" s="1213"/>
      <c r="AE220" s="1214"/>
      <c r="AF220" s="1214"/>
      <c r="AG220" s="1214"/>
      <c r="AH220" s="1214"/>
      <c r="AI220" s="1214"/>
      <c r="AJ220" s="1214"/>
      <c r="AK220" s="1214"/>
      <c r="AL220" s="1214"/>
      <c r="AM220" s="1214"/>
      <c r="AN220" s="1214"/>
      <c r="AO220" s="1214"/>
      <c r="AP220" s="1214"/>
      <c r="AQ220" s="1214"/>
      <c r="AR220" s="1214"/>
      <c r="AS220" s="1214"/>
      <c r="AT220" s="1214"/>
      <c r="AU220" s="1214"/>
      <c r="AV220" s="1214"/>
      <c r="AW220" s="1214"/>
      <c r="AX220" s="1214"/>
      <c r="AY220" s="1214"/>
      <c r="AZ220" s="1214"/>
      <c r="BA220" s="1214"/>
      <c r="BB220" s="1214"/>
      <c r="BC220" s="1216"/>
      <c r="BD220" s="1216"/>
      <c r="BE220" s="1216"/>
      <c r="BF220" s="1216"/>
      <c r="BG220" s="1216"/>
      <c r="BH220" s="1216"/>
      <c r="BI220" s="1216"/>
      <c r="BJ220" s="1216"/>
      <c r="BK220" s="1216"/>
      <c r="BL220" s="1216"/>
      <c r="BM220" s="1216"/>
      <c r="BN220" s="1216"/>
      <c r="BO220" s="1216"/>
      <c r="BP220" s="1216"/>
      <c r="BQ220" s="1216"/>
      <c r="BR220" s="1216"/>
      <c r="BS220" s="1216"/>
      <c r="BT220" s="1216"/>
      <c r="BU220" s="1216"/>
      <c r="BV220" s="1216"/>
      <c r="BW220" s="1216"/>
      <c r="BX220" s="1216"/>
      <c r="BY220" s="1216"/>
      <c r="BZ220" s="1216"/>
      <c r="CA220" s="1216"/>
      <c r="CB220" s="1216"/>
      <c r="CC220" s="1216"/>
      <c r="CD220" s="1216"/>
      <c r="CE220" s="1216"/>
      <c r="CF220" s="1216"/>
      <c r="CG220" s="1216"/>
      <c r="CH220" s="1216"/>
    </row>
    <row r="221" spans="1:86" ht="20.149999999999999" customHeight="1">
      <c r="A221" s="1563" t="s">
        <v>1540</v>
      </c>
      <c r="B221" s="1563" t="s">
        <v>14</v>
      </c>
      <c r="C221" s="1563" t="str">
        <f t="shared" si="3"/>
        <v>PBPDDCIF64</v>
      </c>
      <c r="D221" s="1193">
        <v>64</v>
      </c>
      <c r="E221" s="1524"/>
      <c r="F221" s="1284">
        <v>2.6</v>
      </c>
      <c r="G221" s="1284">
        <v>4.12</v>
      </c>
      <c r="H221" s="1284">
        <v>5.8</v>
      </c>
      <c r="I221" s="1284">
        <v>7.67</v>
      </c>
      <c r="J221" s="1284">
        <v>9.75</v>
      </c>
      <c r="K221" s="1284">
        <v>12.05</v>
      </c>
      <c r="L221" s="1284">
        <v>14.6</v>
      </c>
      <c r="M221" s="1284">
        <v>17.420000000000002</v>
      </c>
      <c r="N221" s="1284">
        <v>20.55</v>
      </c>
      <c r="O221" s="1284">
        <v>24.01</v>
      </c>
      <c r="P221" s="1284">
        <v>27.84</v>
      </c>
      <c r="Q221" s="1284">
        <v>32.049999999999997</v>
      </c>
      <c r="R221" s="1284">
        <v>36.69</v>
      </c>
      <c r="S221" s="1284">
        <v>41.14</v>
      </c>
      <c r="T221" s="1284">
        <v>47.17</v>
      </c>
      <c r="U221" s="1284">
        <v>53.14</v>
      </c>
      <c r="V221" s="1284">
        <v>59.05</v>
      </c>
      <c r="W221" s="1284">
        <v>64.91</v>
      </c>
      <c r="X221" s="1284">
        <v>70.7</v>
      </c>
      <c r="Y221" s="1284">
        <v>76.44</v>
      </c>
      <c r="Z221" s="1284">
        <v>82.12</v>
      </c>
      <c r="AA221" s="1284">
        <v>87.75</v>
      </c>
      <c r="AB221" s="1296">
        <v>93.32</v>
      </c>
      <c r="AC221" s="1192"/>
      <c r="AD221" s="1213"/>
      <c r="AE221" s="1214"/>
      <c r="AF221" s="1214"/>
      <c r="AG221" s="1214"/>
      <c r="AH221" s="1214"/>
      <c r="AI221" s="1214"/>
      <c r="AJ221" s="1214"/>
      <c r="AK221" s="1214"/>
      <c r="AL221" s="1214"/>
      <c r="AM221" s="1214"/>
      <c r="AN221" s="1214"/>
      <c r="AO221" s="1214"/>
      <c r="AP221" s="1214"/>
      <c r="AQ221" s="1214"/>
      <c r="AR221" s="1214"/>
      <c r="AS221" s="1214"/>
      <c r="AT221" s="1214"/>
      <c r="AU221" s="1214"/>
      <c r="AV221" s="1214"/>
      <c r="AW221" s="1214"/>
      <c r="AX221" s="1214"/>
      <c r="AY221" s="1214"/>
      <c r="AZ221" s="1214"/>
      <c r="BA221" s="1214"/>
      <c r="BB221" s="1214"/>
      <c r="BC221" s="1216"/>
      <c r="BD221" s="1216"/>
      <c r="BE221" s="1216"/>
      <c r="BF221" s="1216"/>
      <c r="BG221" s="1216"/>
      <c r="BH221" s="1216"/>
      <c r="BI221" s="1216"/>
      <c r="BJ221" s="1216"/>
      <c r="BK221" s="1216"/>
      <c r="BL221" s="1216"/>
      <c r="BM221" s="1216"/>
      <c r="BN221" s="1216"/>
      <c r="BO221" s="1216"/>
      <c r="BP221" s="1216"/>
      <c r="BQ221" s="1216"/>
      <c r="BR221" s="1216"/>
      <c r="BS221" s="1216"/>
      <c r="BT221" s="1216"/>
      <c r="BU221" s="1216"/>
      <c r="BV221" s="1216"/>
      <c r="BW221" s="1216"/>
      <c r="BX221" s="1216"/>
      <c r="BY221" s="1216"/>
      <c r="BZ221" s="1216"/>
      <c r="CA221" s="1216"/>
      <c r="CB221" s="1216"/>
      <c r="CC221" s="1216"/>
      <c r="CD221" s="1216"/>
      <c r="CE221" s="1216"/>
      <c r="CF221" s="1216"/>
      <c r="CG221" s="1216"/>
      <c r="CH221" s="1216"/>
    </row>
    <row r="222" spans="1:86" ht="20.149999999999999" customHeight="1">
      <c r="A222" s="1563" t="s">
        <v>1540</v>
      </c>
      <c r="B222" s="1563" t="s">
        <v>14</v>
      </c>
      <c r="C222" s="1563" t="str">
        <f t="shared" si="3"/>
        <v>PBPDDCIF65</v>
      </c>
      <c r="D222" s="1195">
        <v>65</v>
      </c>
      <c r="E222" s="1526"/>
      <c r="F222" s="1288">
        <v>2.9</v>
      </c>
      <c r="G222" s="1288">
        <v>4.5999999999999996</v>
      </c>
      <c r="H222" s="1288">
        <v>6.48</v>
      </c>
      <c r="I222" s="1288">
        <v>8.58</v>
      </c>
      <c r="J222" s="1288">
        <v>10.91</v>
      </c>
      <c r="K222" s="1288">
        <v>13.49</v>
      </c>
      <c r="L222" s="1288">
        <v>16.350000000000001</v>
      </c>
      <c r="M222" s="1288">
        <v>19.52</v>
      </c>
      <c r="N222" s="1288">
        <v>23.03</v>
      </c>
      <c r="O222" s="1288">
        <v>26.92</v>
      </c>
      <c r="P222" s="1288">
        <v>31.21</v>
      </c>
      <c r="Q222" s="1288">
        <v>35.93</v>
      </c>
      <c r="R222" s="1288">
        <v>41.11</v>
      </c>
      <c r="S222" s="1288">
        <v>47.49</v>
      </c>
      <c r="T222" s="1288">
        <v>53.8</v>
      </c>
      <c r="U222" s="1288">
        <v>60.05</v>
      </c>
      <c r="V222" s="1288">
        <v>66.239999999999995</v>
      </c>
      <c r="W222" s="1288">
        <v>72.36</v>
      </c>
      <c r="X222" s="1288">
        <v>78.430000000000007</v>
      </c>
      <c r="Y222" s="1288">
        <v>84.43</v>
      </c>
      <c r="Z222" s="1288">
        <v>90.38</v>
      </c>
      <c r="AA222" s="1288">
        <v>96.27</v>
      </c>
      <c r="AB222" s="1298">
        <v>102.1</v>
      </c>
      <c r="AC222" s="1192"/>
      <c r="AD222" s="1213"/>
      <c r="AE222" s="1214"/>
      <c r="AF222" s="1214"/>
      <c r="AG222" s="1214"/>
      <c r="AH222" s="1214"/>
      <c r="AI222" s="1214"/>
      <c r="AJ222" s="1214"/>
      <c r="AK222" s="1214"/>
      <c r="AL222" s="1214"/>
      <c r="AM222" s="1214"/>
      <c r="AN222" s="1214"/>
      <c r="AO222" s="1214"/>
      <c r="AP222" s="1214"/>
      <c r="AQ222" s="1214"/>
      <c r="AR222" s="1214"/>
      <c r="AS222" s="1214"/>
      <c r="AT222" s="1214"/>
      <c r="AU222" s="1214"/>
      <c r="AV222" s="1214"/>
      <c r="AW222" s="1214"/>
      <c r="AX222" s="1214"/>
      <c r="AY222" s="1214"/>
      <c r="AZ222" s="1214"/>
      <c r="BA222" s="1214"/>
      <c r="BB222" s="1214"/>
      <c r="BC222" s="1216"/>
      <c r="BD222" s="1216"/>
      <c r="BE222" s="1216"/>
      <c r="BF222" s="1216"/>
      <c r="BG222" s="1216"/>
      <c r="BH222" s="1216"/>
      <c r="BI222" s="1216"/>
      <c r="BJ222" s="1216"/>
      <c r="BK222" s="1216"/>
      <c r="BL222" s="1216"/>
      <c r="BM222" s="1216"/>
      <c r="BN222" s="1216"/>
      <c r="BO222" s="1216"/>
      <c r="BP222" s="1216"/>
      <c r="BQ222" s="1216"/>
      <c r="BR222" s="1216"/>
      <c r="BS222" s="1216"/>
      <c r="BT222" s="1216"/>
      <c r="BU222" s="1216"/>
      <c r="BV222" s="1216"/>
      <c r="BW222" s="1216"/>
      <c r="BX222" s="1216"/>
      <c r="BY222" s="1216"/>
      <c r="BZ222" s="1216"/>
      <c r="CA222" s="1216"/>
      <c r="CB222" s="1216"/>
      <c r="CC222" s="1216"/>
      <c r="CD222" s="1216"/>
      <c r="CE222" s="1216"/>
      <c r="CF222" s="1216"/>
      <c r="CG222" s="1216"/>
      <c r="CH222" s="1216"/>
    </row>
    <row r="223" spans="1:86" ht="20.149999999999999" customHeight="1">
      <c r="A223" s="1563" t="s">
        <v>1540</v>
      </c>
      <c r="B223" s="1563" t="s">
        <v>14</v>
      </c>
      <c r="C223" s="1563" t="str">
        <f t="shared" si="3"/>
        <v>PBPDDCIF66</v>
      </c>
      <c r="D223" s="1193">
        <v>66</v>
      </c>
      <c r="E223" s="1524"/>
      <c r="F223" s="1284">
        <v>3.24</v>
      </c>
      <c r="G223" s="1284">
        <v>5.15</v>
      </c>
      <c r="H223" s="1284">
        <v>7.27</v>
      </c>
      <c r="I223" s="1284">
        <v>9.6199999999999992</v>
      </c>
      <c r="J223" s="1284">
        <v>12.23</v>
      </c>
      <c r="K223" s="1284">
        <v>15.12</v>
      </c>
      <c r="L223" s="1284">
        <v>18.329999999999998</v>
      </c>
      <c r="M223" s="1284">
        <v>21.9</v>
      </c>
      <c r="N223" s="1284">
        <v>25.85</v>
      </c>
      <c r="O223" s="1284">
        <v>30.21</v>
      </c>
      <c r="P223" s="1284">
        <v>35.03</v>
      </c>
      <c r="Q223" s="1284">
        <v>40.32</v>
      </c>
      <c r="R223" s="1284">
        <v>46.99</v>
      </c>
      <c r="S223" s="1284">
        <v>53.59</v>
      </c>
      <c r="T223" s="1284">
        <v>60.13</v>
      </c>
      <c r="U223" s="1284">
        <v>66.599999999999994</v>
      </c>
      <c r="V223" s="1284">
        <v>73.010000000000005</v>
      </c>
      <c r="W223" s="1284">
        <v>79.36</v>
      </c>
      <c r="X223" s="1284">
        <v>85.64</v>
      </c>
      <c r="Y223" s="1284">
        <v>91.86</v>
      </c>
      <c r="Z223" s="1284">
        <v>98.02</v>
      </c>
      <c r="AA223" s="1284">
        <v>104.12</v>
      </c>
      <c r="AB223" s="1296">
        <v>110.15</v>
      </c>
      <c r="AC223" s="1192"/>
      <c r="AD223" s="1213"/>
      <c r="AE223" s="1214"/>
      <c r="AF223" s="1214"/>
      <c r="AG223" s="1214"/>
      <c r="AH223" s="1214"/>
      <c r="AI223" s="1214"/>
      <c r="AJ223" s="1214"/>
      <c r="AK223" s="1214"/>
      <c r="AL223" s="1214"/>
      <c r="AM223" s="1214"/>
      <c r="AN223" s="1214"/>
      <c r="AO223" s="1214"/>
      <c r="AP223" s="1214"/>
      <c r="AQ223" s="1214"/>
      <c r="AR223" s="1214"/>
      <c r="AS223" s="1214"/>
      <c r="AT223" s="1214"/>
      <c r="AU223" s="1214"/>
      <c r="AV223" s="1214"/>
      <c r="AW223" s="1214"/>
      <c r="AX223" s="1214"/>
      <c r="AY223" s="1214"/>
      <c r="AZ223" s="1214"/>
      <c r="BA223" s="1214"/>
      <c r="BB223" s="1214"/>
      <c r="BC223" s="1216"/>
      <c r="BD223" s="1216"/>
      <c r="BE223" s="1216"/>
      <c r="BF223" s="1216"/>
      <c r="BG223" s="1216"/>
      <c r="BH223" s="1216"/>
      <c r="BI223" s="1216"/>
      <c r="BJ223" s="1216"/>
      <c r="BK223" s="1216"/>
      <c r="BL223" s="1216"/>
      <c r="BM223" s="1216"/>
      <c r="BN223" s="1216"/>
      <c r="BO223" s="1216"/>
      <c r="BP223" s="1216"/>
      <c r="BQ223" s="1216"/>
      <c r="BR223" s="1216"/>
      <c r="BS223" s="1216"/>
      <c r="BT223" s="1216"/>
      <c r="BU223" s="1216"/>
      <c r="BV223" s="1216"/>
      <c r="BW223" s="1216"/>
      <c r="BX223" s="1216"/>
      <c r="BY223" s="1216"/>
      <c r="BZ223" s="1216"/>
      <c r="CA223" s="1216"/>
      <c r="CB223" s="1216"/>
      <c r="CC223" s="1216"/>
      <c r="CD223" s="1216"/>
      <c r="CE223" s="1216"/>
      <c r="CF223" s="1216"/>
      <c r="CG223" s="1216"/>
      <c r="CH223" s="1216"/>
    </row>
    <row r="224" spans="1:86" ht="20.149999999999999" customHeight="1">
      <c r="A224" s="1563" t="s">
        <v>1540</v>
      </c>
      <c r="B224" s="1563" t="s">
        <v>14</v>
      </c>
      <c r="C224" s="1563" t="str">
        <f t="shared" si="3"/>
        <v>PBPDDCIF67</v>
      </c>
      <c r="D224" s="1193">
        <v>67</v>
      </c>
      <c r="E224" s="1524"/>
      <c r="F224" s="1284">
        <v>3.64</v>
      </c>
      <c r="G224" s="1284">
        <v>5.79</v>
      </c>
      <c r="H224" s="1284">
        <v>8.16</v>
      </c>
      <c r="I224" s="1284">
        <v>10.8</v>
      </c>
      <c r="J224" s="1284">
        <v>13.72</v>
      </c>
      <c r="K224" s="1284">
        <v>16.97</v>
      </c>
      <c r="L224" s="1284">
        <v>20.59</v>
      </c>
      <c r="M224" s="1284">
        <v>24.6</v>
      </c>
      <c r="N224" s="1284">
        <v>29.05</v>
      </c>
      <c r="O224" s="1284">
        <v>33.950000000000003</v>
      </c>
      <c r="P224" s="1284">
        <v>39.35</v>
      </c>
      <c r="Q224" s="1284">
        <v>46.34</v>
      </c>
      <c r="R224" s="1284">
        <v>53.26</v>
      </c>
      <c r="S224" s="1284">
        <v>60.1</v>
      </c>
      <c r="T224" s="1284">
        <v>66.88</v>
      </c>
      <c r="U224" s="1284">
        <v>73.599999999999994</v>
      </c>
      <c r="V224" s="1284">
        <v>80.239999999999995</v>
      </c>
      <c r="W224" s="1284">
        <v>86.82</v>
      </c>
      <c r="X224" s="1284">
        <v>93.34</v>
      </c>
      <c r="Y224" s="1284">
        <v>99.79</v>
      </c>
      <c r="Z224" s="1284">
        <v>106.18</v>
      </c>
      <c r="AA224" s="1284">
        <v>112.5</v>
      </c>
      <c r="AB224" s="1296">
        <v>118.76</v>
      </c>
      <c r="AC224" s="1192"/>
      <c r="AD224" s="1213"/>
      <c r="AE224" s="1214"/>
      <c r="AF224" s="1214"/>
      <c r="AG224" s="1214"/>
      <c r="AH224" s="1214"/>
      <c r="AI224" s="1214"/>
      <c r="AJ224" s="1214"/>
      <c r="AK224" s="1214"/>
      <c r="AL224" s="1214"/>
      <c r="AM224" s="1214"/>
      <c r="AN224" s="1214"/>
      <c r="AO224" s="1214"/>
      <c r="AP224" s="1214"/>
      <c r="AQ224" s="1214"/>
      <c r="AR224" s="1214"/>
      <c r="AS224" s="1214"/>
      <c r="AT224" s="1214"/>
      <c r="AU224" s="1214"/>
      <c r="AV224" s="1214"/>
      <c r="AW224" s="1214"/>
      <c r="AX224" s="1214"/>
      <c r="AY224" s="1214"/>
      <c r="AZ224" s="1214"/>
      <c r="BA224" s="1214"/>
      <c r="BB224" s="1214"/>
      <c r="BC224" s="1216"/>
      <c r="BD224" s="1216"/>
      <c r="BE224" s="1216"/>
      <c r="BF224" s="1216"/>
      <c r="BG224" s="1216"/>
      <c r="BH224" s="1216"/>
      <c r="BI224" s="1216"/>
      <c r="BJ224" s="1216"/>
      <c r="BK224" s="1216"/>
      <c r="BL224" s="1216"/>
      <c r="BM224" s="1216"/>
      <c r="BN224" s="1216"/>
      <c r="BO224" s="1216"/>
      <c r="BP224" s="1216"/>
      <c r="BQ224" s="1216"/>
      <c r="BR224" s="1216"/>
      <c r="BS224" s="1216"/>
      <c r="BT224" s="1216"/>
      <c r="BU224" s="1216"/>
      <c r="BV224" s="1216"/>
      <c r="BW224" s="1216"/>
      <c r="BX224" s="1216"/>
      <c r="BY224" s="1216"/>
      <c r="BZ224" s="1216"/>
      <c r="CA224" s="1216"/>
      <c r="CB224" s="1216"/>
      <c r="CC224" s="1216"/>
      <c r="CD224" s="1216"/>
      <c r="CE224" s="1216"/>
      <c r="CF224" s="1216"/>
      <c r="CG224" s="1216"/>
      <c r="CH224" s="1216"/>
    </row>
    <row r="225" spans="1:86" ht="20.149999999999999" customHeight="1">
      <c r="A225" s="1563" t="s">
        <v>1540</v>
      </c>
      <c r="B225" s="1563" t="s">
        <v>14</v>
      </c>
      <c r="C225" s="1563" t="str">
        <f t="shared" si="3"/>
        <v>PBPDDCIF68</v>
      </c>
      <c r="D225" s="1193">
        <v>68</v>
      </c>
      <c r="E225" s="1524"/>
      <c r="F225" s="1284">
        <v>4.0999999999999996</v>
      </c>
      <c r="G225" s="1284">
        <v>6.49</v>
      </c>
      <c r="H225" s="1284">
        <v>9.16</v>
      </c>
      <c r="I225" s="1284">
        <v>12.12</v>
      </c>
      <c r="J225" s="1284">
        <v>15.41</v>
      </c>
      <c r="K225" s="1284">
        <v>19.07</v>
      </c>
      <c r="L225" s="1284">
        <v>23.15</v>
      </c>
      <c r="M225" s="1284">
        <v>27.67</v>
      </c>
      <c r="N225" s="1284">
        <v>32.67</v>
      </c>
      <c r="O225" s="1284">
        <v>38.18</v>
      </c>
      <c r="P225" s="1284">
        <v>45.5</v>
      </c>
      <c r="Q225" s="1284">
        <v>52.76</v>
      </c>
      <c r="R225" s="1284">
        <v>59.94</v>
      </c>
      <c r="S225" s="1284">
        <v>67.05</v>
      </c>
      <c r="T225" s="1284">
        <v>74.09</v>
      </c>
      <c r="U225" s="1284">
        <v>81.05</v>
      </c>
      <c r="V225" s="1284">
        <v>87.96</v>
      </c>
      <c r="W225" s="1284">
        <v>94.79</v>
      </c>
      <c r="X225" s="1284">
        <v>101.55</v>
      </c>
      <c r="Y225" s="1284">
        <v>108.25</v>
      </c>
      <c r="Z225" s="1284">
        <v>114.88</v>
      </c>
      <c r="AA225" s="1284">
        <v>121.45</v>
      </c>
      <c r="AB225" s="1296">
        <v>127.95</v>
      </c>
      <c r="AC225" s="1192"/>
      <c r="AD225" s="1209"/>
      <c r="AE225" s="1210"/>
      <c r="AF225" s="1210"/>
      <c r="AG225" s="1210"/>
      <c r="AH225" s="1210"/>
      <c r="AI225" s="1210"/>
      <c r="AJ225" s="1210"/>
      <c r="AK225" s="1210"/>
      <c r="AL225" s="1210"/>
      <c r="AM225" s="1210"/>
      <c r="AN225" s="1210"/>
      <c r="AO225" s="1210"/>
      <c r="AP225" s="1210"/>
      <c r="AQ225" s="1210"/>
      <c r="AR225" s="1210"/>
      <c r="AS225" s="1210"/>
      <c r="AT225" s="1210"/>
      <c r="AU225" s="1210"/>
      <c r="AV225" s="1210"/>
      <c r="AW225" s="1210"/>
      <c r="AX225" s="1210"/>
      <c r="AY225" s="1210"/>
      <c r="AZ225" s="1210"/>
      <c r="BA225" s="1210"/>
      <c r="BB225" s="1210"/>
      <c r="BC225" s="1211"/>
      <c r="BD225" s="1197"/>
      <c r="BE225" s="1197"/>
      <c r="BF225" s="1197"/>
      <c r="BG225" s="1197"/>
      <c r="BH225" s="1197"/>
      <c r="BI225" s="1197"/>
      <c r="BJ225" s="1197"/>
      <c r="BK225" s="1197"/>
      <c r="BL225" s="1197"/>
      <c r="BM225" s="1197"/>
      <c r="BN225" s="1197"/>
      <c r="BO225" s="1197"/>
      <c r="BP225" s="1197"/>
      <c r="BQ225" s="1197"/>
      <c r="BR225" s="1197"/>
      <c r="BS225" s="1197"/>
      <c r="BT225" s="1197"/>
      <c r="BU225" s="1197"/>
      <c r="BV225" s="1197"/>
      <c r="BW225" s="1197"/>
      <c r="BX225" s="1197"/>
      <c r="BY225" s="1197"/>
      <c r="BZ225" s="1197"/>
      <c r="CA225" s="1197"/>
      <c r="CB225" s="1197"/>
      <c r="CC225" s="1197"/>
      <c r="CD225" s="1197"/>
      <c r="CE225" s="1197"/>
      <c r="CF225" s="1197"/>
      <c r="CG225" s="1197"/>
      <c r="CH225" s="1197"/>
    </row>
    <row r="226" spans="1:86" ht="20.149999999999999" customHeight="1">
      <c r="A226" s="1563" t="s">
        <v>1540</v>
      </c>
      <c r="B226" s="1563" t="s">
        <v>14</v>
      </c>
      <c r="C226" s="1563" t="str">
        <f t="shared" si="3"/>
        <v>PBPDDCIF69</v>
      </c>
      <c r="D226" s="1193">
        <v>69</v>
      </c>
      <c r="E226" s="1524"/>
      <c r="F226" s="1284">
        <v>4.59</v>
      </c>
      <c r="G226" s="1284">
        <v>7.28</v>
      </c>
      <c r="H226" s="1284">
        <v>10.26</v>
      </c>
      <c r="I226" s="1284">
        <v>13.6</v>
      </c>
      <c r="J226" s="1284">
        <v>17.309999999999999</v>
      </c>
      <c r="K226" s="1284">
        <v>21.44</v>
      </c>
      <c r="L226" s="1284">
        <v>26.04</v>
      </c>
      <c r="M226" s="1284">
        <v>31.13</v>
      </c>
      <c r="N226" s="1284">
        <v>36.74</v>
      </c>
      <c r="O226" s="1284">
        <v>44.43</v>
      </c>
      <c r="P226" s="1284">
        <v>52.04</v>
      </c>
      <c r="Q226" s="1284">
        <v>59.58</v>
      </c>
      <c r="R226" s="1284">
        <v>67.040000000000006</v>
      </c>
      <c r="S226" s="1284">
        <v>74.430000000000007</v>
      </c>
      <c r="T226" s="1284">
        <v>81.75</v>
      </c>
      <c r="U226" s="1284">
        <v>88.99</v>
      </c>
      <c r="V226" s="1284">
        <v>96.16</v>
      </c>
      <c r="W226" s="1284">
        <v>103.26</v>
      </c>
      <c r="X226" s="1284">
        <v>110.29</v>
      </c>
      <c r="Y226" s="1284">
        <v>117.25</v>
      </c>
      <c r="Z226" s="1284">
        <v>124.14</v>
      </c>
      <c r="AA226" s="1284">
        <v>130.97</v>
      </c>
      <c r="AB226" s="1296">
        <v>137.72</v>
      </c>
      <c r="AC226" s="1192"/>
      <c r="AD226" s="1209"/>
      <c r="AE226" s="1210"/>
      <c r="AF226" s="1210"/>
      <c r="AG226" s="1210"/>
      <c r="AH226" s="1210"/>
      <c r="AI226" s="1210"/>
      <c r="AJ226" s="1210"/>
      <c r="AK226" s="1210"/>
      <c r="AL226" s="1210"/>
      <c r="AM226" s="1210"/>
      <c r="AN226" s="1210"/>
      <c r="AO226" s="1210"/>
      <c r="AP226" s="1210"/>
      <c r="AQ226" s="1210"/>
      <c r="AR226" s="1210"/>
      <c r="AS226" s="1210"/>
      <c r="AT226" s="1210"/>
      <c r="AU226" s="1210"/>
      <c r="AV226" s="1210"/>
      <c r="AW226" s="1210"/>
      <c r="AX226" s="1210"/>
      <c r="AY226" s="1210"/>
      <c r="AZ226" s="1210"/>
      <c r="BA226" s="1210"/>
      <c r="BB226" s="1210"/>
      <c r="BC226" s="1211"/>
      <c r="BD226" s="1197"/>
      <c r="BE226" s="1197"/>
      <c r="BF226" s="1197"/>
      <c r="BG226" s="1197"/>
      <c r="BH226" s="1197"/>
      <c r="BI226" s="1197"/>
      <c r="BJ226" s="1197"/>
      <c r="BK226" s="1197"/>
      <c r="BL226" s="1197"/>
      <c r="BM226" s="1197"/>
      <c r="BN226" s="1197"/>
      <c r="BO226" s="1197"/>
      <c r="BP226" s="1197"/>
      <c r="BQ226" s="1197"/>
      <c r="BR226" s="1197"/>
      <c r="BS226" s="1197"/>
      <c r="BT226" s="1197"/>
      <c r="BU226" s="1197"/>
      <c r="BV226" s="1197"/>
      <c r="BW226" s="1197"/>
      <c r="BX226" s="1197"/>
      <c r="BY226" s="1197"/>
      <c r="BZ226" s="1197"/>
      <c r="CA226" s="1197"/>
      <c r="CB226" s="1197"/>
      <c r="CC226" s="1197"/>
      <c r="CD226" s="1197"/>
      <c r="CE226" s="1197"/>
      <c r="CF226" s="1197"/>
      <c r="CG226" s="1197"/>
      <c r="CH226" s="1197"/>
    </row>
    <row r="227" spans="1:86" ht="20.149999999999999" customHeight="1">
      <c r="A227" s="1563" t="s">
        <v>1540</v>
      </c>
      <c r="B227" s="1563" t="s">
        <v>14</v>
      </c>
      <c r="C227" s="1563" t="str">
        <f t="shared" si="3"/>
        <v>PBPDDCIF70</v>
      </c>
      <c r="D227" s="1196">
        <v>70</v>
      </c>
      <c r="E227" s="1527"/>
      <c r="F227" s="1290">
        <v>5.12</v>
      </c>
      <c r="G227" s="1290">
        <v>8.1300000000000008</v>
      </c>
      <c r="H227" s="1290">
        <v>11.49</v>
      </c>
      <c r="I227" s="1290">
        <v>15.25</v>
      </c>
      <c r="J227" s="1290">
        <v>19.440000000000001</v>
      </c>
      <c r="K227" s="1290">
        <v>24.11</v>
      </c>
      <c r="L227" s="1290">
        <v>29.28</v>
      </c>
      <c r="M227" s="1290">
        <v>35</v>
      </c>
      <c r="N227" s="1290">
        <v>43.08</v>
      </c>
      <c r="O227" s="1290">
        <v>51.07</v>
      </c>
      <c r="P227" s="1290">
        <v>58.99</v>
      </c>
      <c r="Q227" s="1290">
        <v>66.83</v>
      </c>
      <c r="R227" s="1290">
        <v>74.59</v>
      </c>
      <c r="S227" s="1290">
        <v>82.27</v>
      </c>
      <c r="T227" s="1290">
        <v>89.88</v>
      </c>
      <c r="U227" s="1290">
        <v>97.41</v>
      </c>
      <c r="V227" s="1290">
        <v>104.87</v>
      </c>
      <c r="W227" s="1290">
        <v>112.25</v>
      </c>
      <c r="X227" s="1290">
        <v>119.57</v>
      </c>
      <c r="Y227" s="1290">
        <v>126.8</v>
      </c>
      <c r="Z227" s="1290">
        <v>133.97</v>
      </c>
      <c r="AA227" s="1290">
        <v>141.07</v>
      </c>
      <c r="AB227" s="1299">
        <v>148.09</v>
      </c>
      <c r="AC227" s="1192"/>
      <c r="AD227" s="1209"/>
      <c r="AE227" s="1210"/>
      <c r="AF227" s="1210"/>
      <c r="AG227" s="1210"/>
      <c r="AH227" s="1210"/>
      <c r="AI227" s="1210"/>
      <c r="AJ227" s="1210"/>
      <c r="AK227" s="1210"/>
      <c r="AL227" s="1210"/>
      <c r="AM227" s="1210"/>
      <c r="AN227" s="1210"/>
      <c r="AO227" s="1210"/>
      <c r="AP227" s="1210"/>
      <c r="AQ227" s="1210"/>
      <c r="AR227" s="1210"/>
      <c r="AS227" s="1210"/>
      <c r="AT227" s="1210"/>
      <c r="AU227" s="1210"/>
      <c r="AV227" s="1210"/>
      <c r="AW227" s="1210"/>
      <c r="AX227" s="1210"/>
      <c r="AY227" s="1210"/>
      <c r="AZ227" s="1210"/>
      <c r="BA227" s="1210"/>
      <c r="BB227" s="1210"/>
      <c r="BC227" s="1211"/>
      <c r="BD227" s="1197"/>
      <c r="BE227" s="1197"/>
      <c r="BF227" s="1197"/>
      <c r="BG227" s="1197"/>
      <c r="BH227" s="1197"/>
      <c r="BI227" s="1197"/>
      <c r="BJ227" s="1197"/>
      <c r="BK227" s="1197"/>
      <c r="BL227" s="1197"/>
      <c r="BM227" s="1197"/>
      <c r="BN227" s="1197"/>
      <c r="BO227" s="1197"/>
      <c r="BP227" s="1197"/>
      <c r="BQ227" s="1197"/>
      <c r="BR227" s="1197"/>
      <c r="BS227" s="1197"/>
      <c r="BT227" s="1197"/>
      <c r="BU227" s="1197"/>
      <c r="BV227" s="1197"/>
      <c r="BW227" s="1197"/>
      <c r="BX227" s="1197"/>
      <c r="BY227" s="1197"/>
      <c r="BZ227" s="1197"/>
      <c r="CA227" s="1197"/>
      <c r="CB227" s="1197"/>
      <c r="CC227" s="1197"/>
      <c r="CD227" s="1197"/>
      <c r="CE227" s="1197"/>
      <c r="CF227" s="1197"/>
      <c r="CG227" s="1197"/>
      <c r="CH227" s="1197"/>
    </row>
    <row r="228" spans="1:86" s="1208" customFormat="1" ht="20.149999999999999" customHeight="1">
      <c r="A228" s="1204" t="s">
        <v>1446</v>
      </c>
      <c r="B228" s="1204"/>
      <c r="C228" s="1204"/>
      <c r="D228" s="1204"/>
      <c r="E228" s="1204"/>
      <c r="F228" s="1204"/>
      <c r="G228" s="1204"/>
      <c r="H228" s="1204"/>
      <c r="I228" s="1204"/>
      <c r="J228" s="1204"/>
      <c r="K228" s="1204"/>
      <c r="L228" s="1204"/>
      <c r="M228" s="1204"/>
      <c r="N228" s="1204"/>
      <c r="O228" s="1204"/>
      <c r="P228" s="1204"/>
      <c r="Q228" s="1204"/>
      <c r="R228" s="1204"/>
      <c r="S228" s="1204"/>
      <c r="T228" s="1204"/>
      <c r="U228" s="1204"/>
      <c r="V228" s="1204"/>
      <c r="W228" s="1204"/>
      <c r="X228" s="1204"/>
      <c r="Y228" s="1204"/>
      <c r="Z228" s="1204"/>
      <c r="AA228" s="1204"/>
      <c r="AB228" s="1204"/>
      <c r="AC228" s="1204"/>
      <c r="AD228" s="1204"/>
      <c r="AE228" s="1204"/>
      <c r="AF228" s="1204"/>
      <c r="AG228" s="1204"/>
      <c r="AH228" s="1204"/>
      <c r="AI228" s="1204"/>
      <c r="AJ228" s="1204"/>
      <c r="AK228" s="1204"/>
      <c r="AL228" s="1204"/>
      <c r="AM228" s="1204"/>
      <c r="AN228" s="1204"/>
      <c r="AO228" s="1204"/>
      <c r="AP228" s="1204"/>
      <c r="AQ228" s="1204"/>
      <c r="AR228" s="1204"/>
      <c r="AS228" s="1204"/>
      <c r="AT228" s="1204"/>
      <c r="AU228" s="1204"/>
      <c r="AV228" s="1204"/>
      <c r="AW228" s="1204"/>
      <c r="AX228" s="1204"/>
      <c r="AY228" s="1204"/>
      <c r="AZ228" s="1204"/>
      <c r="BA228" s="1204"/>
      <c r="BB228" s="1204"/>
      <c r="BC228" s="1204"/>
      <c r="BD228" s="1204"/>
      <c r="BE228" s="1204"/>
      <c r="BF228" s="1204"/>
      <c r="BG228" s="1204"/>
      <c r="BH228" s="1204"/>
      <c r="BI228" s="1204"/>
      <c r="BJ228" s="1204"/>
      <c r="BK228" s="1204"/>
      <c r="BL228" s="1204"/>
      <c r="BM228" s="1204"/>
      <c r="BN228" s="1204"/>
      <c r="BO228" s="1204"/>
      <c r="BP228" s="1204"/>
      <c r="BQ228" s="1204"/>
      <c r="BR228" s="1204"/>
      <c r="BS228" s="1204"/>
      <c r="BT228" s="1204"/>
      <c r="BU228" s="1204"/>
      <c r="BV228" s="1204"/>
      <c r="BW228" s="1204"/>
      <c r="BX228" s="1204"/>
      <c r="BY228" s="1204"/>
      <c r="BZ228" s="1204"/>
      <c r="CA228" s="1204"/>
      <c r="CB228" s="1204"/>
      <c r="CC228" s="1204"/>
      <c r="CD228" s="1204"/>
      <c r="CE228" s="1204"/>
      <c r="CF228" s="1204"/>
      <c r="CG228" s="1204"/>
      <c r="CH228" s="1204"/>
    </row>
    <row r="229" spans="1:86" ht="20.149999999999999" customHeight="1">
      <c r="A229" s="2466" t="s">
        <v>1449</v>
      </c>
      <c r="B229" s="2466" t="s">
        <v>567</v>
      </c>
      <c r="C229" s="2473" t="s">
        <v>1143</v>
      </c>
      <c r="D229" s="2464" t="s">
        <v>1440</v>
      </c>
      <c r="E229" s="1201" t="s">
        <v>1441</v>
      </c>
      <c r="F229" s="1202"/>
      <c r="G229" s="1202"/>
      <c r="H229" s="1202"/>
      <c r="I229" s="1202"/>
      <c r="J229" s="1202"/>
      <c r="K229" s="1202"/>
      <c r="L229" s="1202"/>
      <c r="M229" s="1202"/>
      <c r="N229" s="1202"/>
      <c r="O229" s="1202"/>
      <c r="P229" s="1202"/>
      <c r="Q229" s="1202"/>
      <c r="R229" s="1202"/>
      <c r="S229" s="1202"/>
      <c r="T229" s="1202"/>
      <c r="U229" s="1202"/>
      <c r="V229" s="1202"/>
      <c r="W229" s="1202"/>
      <c r="X229" s="1202"/>
      <c r="Y229" s="1202"/>
      <c r="Z229" s="1202"/>
      <c r="AA229" s="1202"/>
      <c r="AB229" s="1202"/>
      <c r="AC229" s="1202"/>
      <c r="AD229" s="1202"/>
      <c r="AE229" s="1202"/>
      <c r="AF229" s="1202"/>
      <c r="AG229" s="1202"/>
      <c r="AH229" s="1202"/>
      <c r="AI229" s="1202"/>
      <c r="AJ229" s="1202"/>
      <c r="AK229" s="1202"/>
      <c r="AL229" s="1202"/>
      <c r="AM229" s="1202"/>
      <c r="AN229" s="1202"/>
      <c r="AO229" s="1202"/>
      <c r="AP229" s="1202"/>
      <c r="AQ229" s="1202"/>
      <c r="AR229" s="1202"/>
      <c r="AS229" s="1202"/>
      <c r="AT229" s="1202"/>
      <c r="AU229" s="1202"/>
      <c r="AV229" s="1202"/>
      <c r="AW229" s="1202"/>
      <c r="AX229" s="1202"/>
      <c r="AY229" s="1202"/>
      <c r="AZ229" s="1202"/>
      <c r="BA229" s="1202"/>
      <c r="BB229" s="1202"/>
      <c r="BC229" s="1202"/>
      <c r="BD229" s="1202"/>
      <c r="BE229" s="1202"/>
      <c r="BF229" s="1202"/>
      <c r="BG229" s="1202"/>
      <c r="BH229" s="1202"/>
      <c r="BI229" s="1202"/>
      <c r="BJ229" s="1202"/>
      <c r="BK229" s="1202"/>
      <c r="BL229" s="1202"/>
      <c r="BM229" s="1202"/>
      <c r="BN229" s="1202"/>
      <c r="BO229" s="1202"/>
      <c r="BP229" s="1202"/>
      <c r="BQ229" s="1202"/>
      <c r="BR229" s="1202"/>
      <c r="BS229" s="1202"/>
      <c r="BT229" s="1202"/>
      <c r="BU229" s="1202"/>
      <c r="BV229" s="1202"/>
      <c r="BW229" s="1202"/>
      <c r="BX229" s="1202"/>
      <c r="BY229" s="1202"/>
      <c r="BZ229" s="1202"/>
      <c r="CA229" s="1202"/>
      <c r="CB229" s="1202"/>
      <c r="CC229" s="1202"/>
      <c r="CD229" s="1202"/>
      <c r="CE229" s="1202"/>
      <c r="CF229" s="1202"/>
      <c r="CG229" s="1202"/>
      <c r="CH229" s="1203"/>
    </row>
    <row r="230" spans="1:86" ht="20.149999999999999" customHeight="1">
      <c r="A230" s="2467" t="s">
        <v>1439</v>
      </c>
      <c r="B230" s="2467" t="s">
        <v>1439</v>
      </c>
      <c r="C230" s="2472" t="s">
        <v>1439</v>
      </c>
      <c r="D230" s="2465"/>
      <c r="E230" s="1528"/>
      <c r="F230" s="1198">
        <v>3</v>
      </c>
      <c r="G230" s="1198">
        <v>4</v>
      </c>
      <c r="H230" s="1198">
        <v>5</v>
      </c>
      <c r="I230" s="1198">
        <v>6</v>
      </c>
      <c r="J230" s="1198">
        <v>7</v>
      </c>
      <c r="K230" s="1198">
        <v>8</v>
      </c>
      <c r="L230" s="1198">
        <v>9</v>
      </c>
      <c r="M230" s="1198">
        <v>10</v>
      </c>
      <c r="N230" s="1198">
        <v>11</v>
      </c>
      <c r="O230" s="1198">
        <v>12</v>
      </c>
      <c r="P230" s="1198">
        <v>13</v>
      </c>
      <c r="Q230" s="1198">
        <v>14</v>
      </c>
      <c r="R230" s="1198">
        <v>15</v>
      </c>
      <c r="S230" s="1198">
        <v>16</v>
      </c>
      <c r="T230" s="1198">
        <v>17</v>
      </c>
      <c r="U230" s="1198">
        <v>18</v>
      </c>
      <c r="V230" s="1198">
        <v>19</v>
      </c>
      <c r="W230" s="1198">
        <v>20</v>
      </c>
      <c r="X230" s="1198">
        <v>21</v>
      </c>
      <c r="Y230" s="1198">
        <v>22</v>
      </c>
      <c r="Z230" s="1198">
        <v>23</v>
      </c>
      <c r="AA230" s="1198">
        <v>24</v>
      </c>
      <c r="AB230" s="1199">
        <v>25</v>
      </c>
      <c r="AC230" s="1198">
        <v>26</v>
      </c>
      <c r="AD230" s="1198">
        <v>27</v>
      </c>
      <c r="AE230" s="1199">
        <v>28</v>
      </c>
      <c r="AF230" s="1198">
        <v>29</v>
      </c>
      <c r="AG230" s="1198">
        <v>30</v>
      </c>
      <c r="AH230" s="1199">
        <v>31</v>
      </c>
      <c r="AI230" s="1198">
        <v>32</v>
      </c>
      <c r="AJ230" s="1198">
        <v>33</v>
      </c>
      <c r="AK230" s="1199">
        <v>34</v>
      </c>
      <c r="AL230" s="1198">
        <v>35</v>
      </c>
      <c r="AM230" s="1198">
        <v>36</v>
      </c>
      <c r="AN230" s="1199">
        <v>37</v>
      </c>
      <c r="AO230" s="1198">
        <v>38</v>
      </c>
      <c r="AP230" s="1198">
        <v>39</v>
      </c>
      <c r="AQ230" s="1199">
        <v>40</v>
      </c>
      <c r="AR230" s="1198">
        <v>41</v>
      </c>
      <c r="AS230" s="1198">
        <v>42</v>
      </c>
      <c r="AT230" s="1199">
        <v>43</v>
      </c>
      <c r="AU230" s="1198">
        <v>44</v>
      </c>
      <c r="AV230" s="1198">
        <v>45</v>
      </c>
      <c r="AW230" s="1199">
        <v>46</v>
      </c>
      <c r="AX230" s="1198">
        <v>47</v>
      </c>
      <c r="AY230" s="1198">
        <v>48</v>
      </c>
      <c r="AZ230" s="1199">
        <v>49</v>
      </c>
      <c r="BA230" s="1198">
        <v>50</v>
      </c>
      <c r="BB230" s="1198">
        <v>51</v>
      </c>
      <c r="BC230" s="1199">
        <v>52</v>
      </c>
      <c r="BD230" s="1198">
        <v>53</v>
      </c>
      <c r="BE230" s="1198">
        <v>54</v>
      </c>
      <c r="BF230" s="1199">
        <v>55</v>
      </c>
      <c r="BG230" s="1198">
        <v>56</v>
      </c>
      <c r="BH230" s="1198">
        <v>57</v>
      </c>
      <c r="BI230" s="1199">
        <v>58</v>
      </c>
      <c r="BJ230" s="1198">
        <v>59</v>
      </c>
      <c r="BK230" s="1198">
        <v>60</v>
      </c>
      <c r="BL230" s="1199">
        <v>61</v>
      </c>
      <c r="BM230" s="1198">
        <v>62</v>
      </c>
      <c r="BN230" s="1198">
        <v>63</v>
      </c>
      <c r="BO230" s="1199">
        <v>64</v>
      </c>
      <c r="BP230" s="1198">
        <v>65</v>
      </c>
      <c r="BQ230" s="1198">
        <v>66</v>
      </c>
      <c r="BR230" s="1199">
        <v>67</v>
      </c>
      <c r="BS230" s="1198">
        <v>68</v>
      </c>
      <c r="BT230" s="1198">
        <v>69</v>
      </c>
      <c r="BU230" s="1199">
        <v>70</v>
      </c>
      <c r="BV230" s="1198">
        <v>71</v>
      </c>
      <c r="BW230" s="1198">
        <v>72</v>
      </c>
      <c r="BX230" s="1199">
        <v>73</v>
      </c>
      <c r="BY230" s="1198">
        <v>74</v>
      </c>
      <c r="BZ230" s="1198">
        <v>75</v>
      </c>
      <c r="CA230" s="1199">
        <v>76</v>
      </c>
      <c r="CB230" s="1198">
        <v>77</v>
      </c>
      <c r="CC230" s="1198">
        <v>78</v>
      </c>
      <c r="CD230" s="1199">
        <v>79</v>
      </c>
      <c r="CE230" s="1198">
        <v>80</v>
      </c>
      <c r="CF230" s="1198">
        <v>81</v>
      </c>
      <c r="CG230" s="1199">
        <v>82</v>
      </c>
      <c r="CH230" s="1200">
        <v>83</v>
      </c>
    </row>
    <row r="231" spans="1:86" ht="20.149999999999999" customHeight="1">
      <c r="A231" s="1563" t="s">
        <v>1427</v>
      </c>
      <c r="B231" s="1563" t="s">
        <v>13</v>
      </c>
      <c r="C231" s="1563" t="str">
        <f>A231&amp;B231&amp;D231</f>
        <v>PBSDDM20</v>
      </c>
      <c r="D231" s="1193">
        <v>20</v>
      </c>
      <c r="E231" s="1540"/>
      <c r="F231" s="1301">
        <v>0.21</v>
      </c>
      <c r="G231" s="1301">
        <v>0.32</v>
      </c>
      <c r="H231" s="1301">
        <v>0.43</v>
      </c>
      <c r="I231" s="1301">
        <v>0.55000000000000004</v>
      </c>
      <c r="J231" s="1301">
        <v>0.66</v>
      </c>
      <c r="K231" s="1301">
        <v>0.78</v>
      </c>
      <c r="L231" s="1301">
        <v>0.89</v>
      </c>
      <c r="M231" s="1302">
        <v>1.01</v>
      </c>
      <c r="N231" s="1300">
        <v>1.1200000000000001</v>
      </c>
      <c r="O231" s="1301">
        <v>1.24</v>
      </c>
      <c r="P231" s="1301">
        <v>1.36</v>
      </c>
      <c r="Q231" s="1301">
        <v>1.48</v>
      </c>
      <c r="R231" s="1301">
        <v>1.6</v>
      </c>
      <c r="S231" s="1301">
        <v>1.73</v>
      </c>
      <c r="T231" s="1301">
        <v>1.85</v>
      </c>
      <c r="U231" s="1301">
        <v>1.98</v>
      </c>
      <c r="V231" s="1301">
        <v>2.12</v>
      </c>
      <c r="W231" s="1302">
        <v>2.25</v>
      </c>
      <c r="X231" s="1300">
        <v>2.4</v>
      </c>
      <c r="Y231" s="1301">
        <v>2.54</v>
      </c>
      <c r="Z231" s="1301">
        <v>2.69</v>
      </c>
      <c r="AA231" s="1301">
        <v>2.85</v>
      </c>
      <c r="AB231" s="1301">
        <v>3.01</v>
      </c>
      <c r="AC231" s="1301">
        <v>3.17</v>
      </c>
      <c r="AD231" s="1301">
        <v>3.34</v>
      </c>
      <c r="AE231" s="1301">
        <v>3.52</v>
      </c>
      <c r="AF231" s="1301">
        <v>3.71</v>
      </c>
      <c r="AG231" s="1302">
        <v>3.9</v>
      </c>
      <c r="AH231" s="1300">
        <v>4.0999999999999996</v>
      </c>
      <c r="AI231" s="1301">
        <v>4.3099999999999996</v>
      </c>
      <c r="AJ231" s="1301">
        <v>4.53</v>
      </c>
      <c r="AK231" s="1301">
        <v>4.76</v>
      </c>
      <c r="AL231" s="1301">
        <v>5</v>
      </c>
      <c r="AM231" s="1301">
        <v>5.26</v>
      </c>
      <c r="AN231" s="1301">
        <v>5.52</v>
      </c>
      <c r="AO231" s="1301">
        <v>5.8</v>
      </c>
      <c r="AP231" s="1301">
        <v>6.09</v>
      </c>
      <c r="AQ231" s="1302">
        <v>6.4</v>
      </c>
      <c r="AR231" s="1300">
        <v>6.72</v>
      </c>
      <c r="AS231" s="1301">
        <v>7.07</v>
      </c>
      <c r="AT231" s="1301">
        <v>7.43</v>
      </c>
      <c r="AU231" s="1301">
        <v>7.81</v>
      </c>
      <c r="AV231" s="1301">
        <v>8.2100000000000009</v>
      </c>
      <c r="AW231" s="1301">
        <v>8.64</v>
      </c>
      <c r="AX231" s="1301">
        <v>9.1</v>
      </c>
      <c r="AY231" s="1301">
        <v>9.59</v>
      </c>
      <c r="AZ231" s="1301">
        <v>10.11</v>
      </c>
      <c r="BA231" s="1302">
        <v>10.66</v>
      </c>
      <c r="BB231" s="1300">
        <v>11.25</v>
      </c>
      <c r="BC231" s="1301">
        <v>11.88</v>
      </c>
      <c r="BD231" s="1301">
        <v>12.56</v>
      </c>
      <c r="BE231" s="1301">
        <v>13.28</v>
      </c>
      <c r="BF231" s="1301">
        <v>14.05</v>
      </c>
      <c r="BG231" s="1301">
        <v>14.87</v>
      </c>
      <c r="BH231" s="1301">
        <v>15.75</v>
      </c>
      <c r="BI231" s="1301">
        <v>16.68</v>
      </c>
      <c r="BJ231" s="1301">
        <v>17.670000000000002</v>
      </c>
      <c r="BK231" s="1302">
        <v>18.72</v>
      </c>
      <c r="BL231" s="1300">
        <v>19.91</v>
      </c>
      <c r="BM231" s="1301">
        <v>21.1</v>
      </c>
      <c r="BN231" s="1301">
        <v>22.28</v>
      </c>
      <c r="BO231" s="1301">
        <v>23.44</v>
      </c>
      <c r="BP231" s="1301">
        <v>24.59</v>
      </c>
      <c r="BQ231" s="1301">
        <v>25.73</v>
      </c>
      <c r="BR231" s="1301">
        <v>26.86</v>
      </c>
      <c r="BS231" s="1301">
        <v>27.98</v>
      </c>
      <c r="BT231" s="1301">
        <v>29.08</v>
      </c>
      <c r="BU231" s="1302">
        <v>30.18</v>
      </c>
      <c r="BV231" s="1300">
        <v>31.27</v>
      </c>
      <c r="BW231" s="1301">
        <v>32.340000000000003</v>
      </c>
      <c r="BX231" s="1301">
        <v>33.4</v>
      </c>
      <c r="BY231" s="1301">
        <v>34.46</v>
      </c>
      <c r="BZ231" s="1301">
        <v>35.5</v>
      </c>
      <c r="CA231" s="1301">
        <v>36.53</v>
      </c>
      <c r="CB231" s="1301">
        <v>37.549999999999997</v>
      </c>
      <c r="CC231" s="1301">
        <v>38.57</v>
      </c>
      <c r="CD231" s="1301">
        <v>39.57</v>
      </c>
      <c r="CE231" s="1302">
        <v>40.56</v>
      </c>
      <c r="CF231" s="1301">
        <v>41.54</v>
      </c>
      <c r="CG231" s="1301">
        <v>42.52</v>
      </c>
      <c r="CH231" s="1302">
        <v>43.48</v>
      </c>
    </row>
    <row r="232" spans="1:86" ht="20.149999999999999" customHeight="1">
      <c r="A232" s="1563" t="s">
        <v>1427</v>
      </c>
      <c r="B232" s="1563" t="s">
        <v>13</v>
      </c>
      <c r="C232" s="1563" t="str">
        <f t="shared" ref="C232:C295" si="4">A232&amp;B232&amp;D232</f>
        <v>PBSDDM21</v>
      </c>
      <c r="D232" s="1194">
        <v>21</v>
      </c>
      <c r="E232" s="1541"/>
      <c r="F232" s="1304">
        <v>0.22</v>
      </c>
      <c r="G232" s="1304">
        <v>0.33</v>
      </c>
      <c r="H232" s="1304">
        <v>0.45</v>
      </c>
      <c r="I232" s="1304">
        <v>0.56000000000000005</v>
      </c>
      <c r="J232" s="1304">
        <v>0.68</v>
      </c>
      <c r="K232" s="1304">
        <v>0.79</v>
      </c>
      <c r="L232" s="1304">
        <v>0.91</v>
      </c>
      <c r="M232" s="1305">
        <v>1.03</v>
      </c>
      <c r="N232" s="1303">
        <v>1.1499999999999999</v>
      </c>
      <c r="O232" s="1304">
        <v>1.27</v>
      </c>
      <c r="P232" s="1304">
        <v>1.39</v>
      </c>
      <c r="Q232" s="1304">
        <v>1.51</v>
      </c>
      <c r="R232" s="1304">
        <v>1.64</v>
      </c>
      <c r="S232" s="1304">
        <v>1.77</v>
      </c>
      <c r="T232" s="1304">
        <v>1.9</v>
      </c>
      <c r="U232" s="1304">
        <v>2.0299999999999998</v>
      </c>
      <c r="V232" s="1304">
        <v>2.17</v>
      </c>
      <c r="W232" s="1305">
        <v>2.3199999999999998</v>
      </c>
      <c r="X232" s="1303">
        <v>2.46</v>
      </c>
      <c r="Y232" s="1304">
        <v>2.61</v>
      </c>
      <c r="Z232" s="1304">
        <v>2.77</v>
      </c>
      <c r="AA232" s="1304">
        <v>2.93</v>
      </c>
      <c r="AB232" s="1304">
        <v>3.1</v>
      </c>
      <c r="AC232" s="1304">
        <v>3.28</v>
      </c>
      <c r="AD232" s="1304">
        <v>3.46</v>
      </c>
      <c r="AE232" s="1304">
        <v>3.65</v>
      </c>
      <c r="AF232" s="1304">
        <v>3.84</v>
      </c>
      <c r="AG232" s="1305">
        <v>4.05</v>
      </c>
      <c r="AH232" s="1303">
        <v>4.26</v>
      </c>
      <c r="AI232" s="1304">
        <v>4.49</v>
      </c>
      <c r="AJ232" s="1304">
        <v>4.72</v>
      </c>
      <c r="AK232" s="1304">
        <v>4.97</v>
      </c>
      <c r="AL232" s="1304">
        <v>5.22</v>
      </c>
      <c r="AM232" s="1304">
        <v>5.49</v>
      </c>
      <c r="AN232" s="1304">
        <v>5.78</v>
      </c>
      <c r="AO232" s="1304">
        <v>6.07</v>
      </c>
      <c r="AP232" s="1304">
        <v>6.39</v>
      </c>
      <c r="AQ232" s="1305">
        <v>6.72</v>
      </c>
      <c r="AR232" s="1303">
        <v>7.06</v>
      </c>
      <c r="AS232" s="1304">
        <v>7.43</v>
      </c>
      <c r="AT232" s="1304">
        <v>7.82</v>
      </c>
      <c r="AU232" s="1304">
        <v>8.24</v>
      </c>
      <c r="AV232" s="1304">
        <v>8.67</v>
      </c>
      <c r="AW232" s="1304">
        <v>9.14</v>
      </c>
      <c r="AX232" s="1304">
        <v>9.64</v>
      </c>
      <c r="AY232" s="1304">
        <v>10.17</v>
      </c>
      <c r="AZ232" s="1304">
        <v>10.73</v>
      </c>
      <c r="BA232" s="1305">
        <v>11.33</v>
      </c>
      <c r="BB232" s="1303">
        <v>11.98</v>
      </c>
      <c r="BC232" s="1304">
        <v>12.66</v>
      </c>
      <c r="BD232" s="1304">
        <v>13.4</v>
      </c>
      <c r="BE232" s="1304">
        <v>14.19</v>
      </c>
      <c r="BF232" s="1304">
        <v>15.03</v>
      </c>
      <c r="BG232" s="1304">
        <v>15.92</v>
      </c>
      <c r="BH232" s="1304">
        <v>16.87</v>
      </c>
      <c r="BI232" s="1304">
        <v>17.89</v>
      </c>
      <c r="BJ232" s="1304">
        <v>18.96</v>
      </c>
      <c r="BK232" s="1305">
        <v>20.18</v>
      </c>
      <c r="BL232" s="1303">
        <v>21.4</v>
      </c>
      <c r="BM232" s="1304">
        <v>22.6</v>
      </c>
      <c r="BN232" s="1304">
        <v>23.79</v>
      </c>
      <c r="BO232" s="1304">
        <v>24.97</v>
      </c>
      <c r="BP232" s="1304">
        <v>26.13</v>
      </c>
      <c r="BQ232" s="1304">
        <v>27.29</v>
      </c>
      <c r="BR232" s="1304">
        <v>28.43</v>
      </c>
      <c r="BS232" s="1304">
        <v>29.57</v>
      </c>
      <c r="BT232" s="1304">
        <v>30.69</v>
      </c>
      <c r="BU232" s="1305">
        <v>31.8</v>
      </c>
      <c r="BV232" s="1303">
        <v>32.9</v>
      </c>
      <c r="BW232" s="1304">
        <v>33.99</v>
      </c>
      <c r="BX232" s="1304">
        <v>35.06</v>
      </c>
      <c r="BY232" s="1304">
        <v>36.130000000000003</v>
      </c>
      <c r="BZ232" s="1304">
        <v>37.19</v>
      </c>
      <c r="CA232" s="1304">
        <v>38.229999999999997</v>
      </c>
      <c r="CB232" s="1304">
        <v>39.270000000000003</v>
      </c>
      <c r="CC232" s="1304">
        <v>40.29</v>
      </c>
      <c r="CD232" s="1304">
        <v>41.31</v>
      </c>
      <c r="CE232" s="1305">
        <v>42.31</v>
      </c>
      <c r="CF232" s="1304">
        <v>43.31</v>
      </c>
      <c r="CG232" s="1304">
        <v>44.3</v>
      </c>
      <c r="CH232" s="1305">
        <v>45.27</v>
      </c>
    </row>
    <row r="233" spans="1:86" ht="20.149999999999999" customHeight="1">
      <c r="A233" s="1563" t="s">
        <v>1427</v>
      </c>
      <c r="B233" s="1563" t="s">
        <v>13</v>
      </c>
      <c r="C233" s="1563" t="str">
        <f t="shared" si="4"/>
        <v>PBSDDM22</v>
      </c>
      <c r="D233" s="1193">
        <v>22</v>
      </c>
      <c r="E233" s="1540"/>
      <c r="F233" s="1301">
        <v>0.23</v>
      </c>
      <c r="G233" s="1301">
        <v>0.34</v>
      </c>
      <c r="H233" s="1301">
        <v>0.46</v>
      </c>
      <c r="I233" s="1301">
        <v>0.56999999999999995</v>
      </c>
      <c r="J233" s="1301">
        <v>0.69</v>
      </c>
      <c r="K233" s="1301">
        <v>0.81</v>
      </c>
      <c r="L233" s="1301">
        <v>0.93</v>
      </c>
      <c r="M233" s="1302">
        <v>1.05</v>
      </c>
      <c r="N233" s="1300">
        <v>1.17</v>
      </c>
      <c r="O233" s="1301">
        <v>1.29</v>
      </c>
      <c r="P233" s="1301">
        <v>1.41</v>
      </c>
      <c r="Q233" s="1301">
        <v>1.54</v>
      </c>
      <c r="R233" s="1301">
        <v>1.67</v>
      </c>
      <c r="S233" s="1301">
        <v>1.81</v>
      </c>
      <c r="T233" s="1301">
        <v>1.94</v>
      </c>
      <c r="U233" s="1301">
        <v>2.08</v>
      </c>
      <c r="V233" s="1301">
        <v>2.23</v>
      </c>
      <c r="W233" s="1302">
        <v>2.38</v>
      </c>
      <c r="X233" s="1300">
        <v>2.5299999999999998</v>
      </c>
      <c r="Y233" s="1301">
        <v>2.69</v>
      </c>
      <c r="Z233" s="1301">
        <v>2.85</v>
      </c>
      <c r="AA233" s="1301">
        <v>3.03</v>
      </c>
      <c r="AB233" s="1301">
        <v>3.2</v>
      </c>
      <c r="AC233" s="1301">
        <v>3.39</v>
      </c>
      <c r="AD233" s="1301">
        <v>3.58</v>
      </c>
      <c r="AE233" s="1301">
        <v>3.78</v>
      </c>
      <c r="AF233" s="1301">
        <v>3.99</v>
      </c>
      <c r="AG233" s="1302">
        <v>4.2</v>
      </c>
      <c r="AH233" s="1300">
        <v>4.43</v>
      </c>
      <c r="AI233" s="1301">
        <v>4.67</v>
      </c>
      <c r="AJ233" s="1301">
        <v>4.92</v>
      </c>
      <c r="AK233" s="1301">
        <v>5.18</v>
      </c>
      <c r="AL233" s="1301">
        <v>5.46</v>
      </c>
      <c r="AM233" s="1301">
        <v>5.75</v>
      </c>
      <c r="AN233" s="1301">
        <v>6.05</v>
      </c>
      <c r="AO233" s="1301">
        <v>6.37</v>
      </c>
      <c r="AP233" s="1301">
        <v>6.7</v>
      </c>
      <c r="AQ233" s="1302">
        <v>7.06</v>
      </c>
      <c r="AR233" s="1300">
        <v>7.43</v>
      </c>
      <c r="AS233" s="1301">
        <v>7.83</v>
      </c>
      <c r="AT233" s="1301">
        <v>8.25</v>
      </c>
      <c r="AU233" s="1301">
        <v>8.6999999999999993</v>
      </c>
      <c r="AV233" s="1301">
        <v>9.18</v>
      </c>
      <c r="AW233" s="1301">
        <v>9.68</v>
      </c>
      <c r="AX233" s="1301">
        <v>10.220000000000001</v>
      </c>
      <c r="AY233" s="1301">
        <v>10.8</v>
      </c>
      <c r="AZ233" s="1301">
        <v>11.41</v>
      </c>
      <c r="BA233" s="1302">
        <v>12.07</v>
      </c>
      <c r="BB233" s="1300">
        <v>12.77</v>
      </c>
      <c r="BC233" s="1301">
        <v>13.52</v>
      </c>
      <c r="BD233" s="1301">
        <v>14.33</v>
      </c>
      <c r="BE233" s="1301">
        <v>15.18</v>
      </c>
      <c r="BF233" s="1301">
        <v>16.100000000000001</v>
      </c>
      <c r="BG233" s="1301">
        <v>17.07</v>
      </c>
      <c r="BH233" s="1301">
        <v>18.100000000000001</v>
      </c>
      <c r="BI233" s="1301">
        <v>19.2</v>
      </c>
      <c r="BJ233" s="1301">
        <v>20.45</v>
      </c>
      <c r="BK233" s="1302">
        <v>21.7</v>
      </c>
      <c r="BL233" s="1300">
        <v>22.93</v>
      </c>
      <c r="BM233" s="1301">
        <v>24.15</v>
      </c>
      <c r="BN233" s="1301">
        <v>25.35</v>
      </c>
      <c r="BO233" s="1301">
        <v>26.55</v>
      </c>
      <c r="BP233" s="1301">
        <v>27.73</v>
      </c>
      <c r="BQ233" s="1301">
        <v>28.9</v>
      </c>
      <c r="BR233" s="1301">
        <v>30.06</v>
      </c>
      <c r="BS233" s="1301">
        <v>31.21</v>
      </c>
      <c r="BT233" s="1301">
        <v>32.340000000000003</v>
      </c>
      <c r="BU233" s="1302">
        <v>33.47</v>
      </c>
      <c r="BV233" s="1300">
        <v>34.58</v>
      </c>
      <c r="BW233" s="1301">
        <v>35.69</v>
      </c>
      <c r="BX233" s="1301">
        <v>36.78</v>
      </c>
      <c r="BY233" s="1301">
        <v>37.86</v>
      </c>
      <c r="BZ233" s="1301">
        <v>38.93</v>
      </c>
      <c r="CA233" s="1301">
        <v>39.99</v>
      </c>
      <c r="CB233" s="1301">
        <v>41.04</v>
      </c>
      <c r="CC233" s="1301">
        <v>42.08</v>
      </c>
      <c r="CD233" s="1301">
        <v>43.11</v>
      </c>
      <c r="CE233" s="1302">
        <v>44.13</v>
      </c>
      <c r="CF233" s="1301">
        <v>45.13</v>
      </c>
      <c r="CG233" s="1301">
        <v>46.13</v>
      </c>
      <c r="CH233" s="1302">
        <v>47.12</v>
      </c>
    </row>
    <row r="234" spans="1:86" ht="20.149999999999999" customHeight="1">
      <c r="A234" s="1563" t="s">
        <v>1427</v>
      </c>
      <c r="B234" s="1563" t="s">
        <v>13</v>
      </c>
      <c r="C234" s="1563" t="str">
        <f t="shared" si="4"/>
        <v>PBSDDM23</v>
      </c>
      <c r="D234" s="1193">
        <v>23</v>
      </c>
      <c r="E234" s="1540"/>
      <c r="F234" s="1301">
        <v>0.23</v>
      </c>
      <c r="G234" s="1301">
        <v>0.35</v>
      </c>
      <c r="H234" s="1301">
        <v>0.47</v>
      </c>
      <c r="I234" s="1301">
        <v>0.57999999999999996</v>
      </c>
      <c r="J234" s="1301">
        <v>0.7</v>
      </c>
      <c r="K234" s="1301">
        <v>0.82</v>
      </c>
      <c r="L234" s="1301">
        <v>0.94</v>
      </c>
      <c r="M234" s="1302">
        <v>1.06</v>
      </c>
      <c r="N234" s="1300">
        <v>1.19</v>
      </c>
      <c r="O234" s="1301">
        <v>1.31</v>
      </c>
      <c r="P234" s="1301">
        <v>1.44</v>
      </c>
      <c r="Q234" s="1301">
        <v>1.57</v>
      </c>
      <c r="R234" s="1301">
        <v>1.71</v>
      </c>
      <c r="S234" s="1301">
        <v>1.85</v>
      </c>
      <c r="T234" s="1301">
        <v>1.99</v>
      </c>
      <c r="U234" s="1301">
        <v>2.14</v>
      </c>
      <c r="V234" s="1301">
        <v>2.29</v>
      </c>
      <c r="W234" s="1302">
        <v>2.44</v>
      </c>
      <c r="X234" s="1300">
        <v>2.6</v>
      </c>
      <c r="Y234" s="1301">
        <v>2.77</v>
      </c>
      <c r="Z234" s="1301">
        <v>2.94</v>
      </c>
      <c r="AA234" s="1301">
        <v>3.12</v>
      </c>
      <c r="AB234" s="1301">
        <v>3.31</v>
      </c>
      <c r="AC234" s="1301">
        <v>3.51</v>
      </c>
      <c r="AD234" s="1301">
        <v>3.71</v>
      </c>
      <c r="AE234" s="1301">
        <v>3.92</v>
      </c>
      <c r="AF234" s="1301">
        <v>4.1399999999999997</v>
      </c>
      <c r="AG234" s="1302">
        <v>4.38</v>
      </c>
      <c r="AH234" s="1300">
        <v>4.62</v>
      </c>
      <c r="AI234" s="1301">
        <v>4.87</v>
      </c>
      <c r="AJ234" s="1301">
        <v>5.14</v>
      </c>
      <c r="AK234" s="1301">
        <v>5.42</v>
      </c>
      <c r="AL234" s="1301">
        <v>5.71</v>
      </c>
      <c r="AM234" s="1301">
        <v>6.02</v>
      </c>
      <c r="AN234" s="1301">
        <v>6.35</v>
      </c>
      <c r="AO234" s="1301">
        <v>6.69</v>
      </c>
      <c r="AP234" s="1301">
        <v>7.05</v>
      </c>
      <c r="AQ234" s="1302">
        <v>7.43</v>
      </c>
      <c r="AR234" s="1300">
        <v>7.84</v>
      </c>
      <c r="AS234" s="1301">
        <v>8.27</v>
      </c>
      <c r="AT234" s="1301">
        <v>8.7200000000000006</v>
      </c>
      <c r="AU234" s="1301">
        <v>9.2100000000000009</v>
      </c>
      <c r="AV234" s="1301">
        <v>9.73</v>
      </c>
      <c r="AW234" s="1301">
        <v>10.28</v>
      </c>
      <c r="AX234" s="1301">
        <v>10.86</v>
      </c>
      <c r="AY234" s="1301">
        <v>11.49</v>
      </c>
      <c r="AZ234" s="1301">
        <v>12.16</v>
      </c>
      <c r="BA234" s="1302">
        <v>12.88</v>
      </c>
      <c r="BB234" s="1300">
        <v>13.65</v>
      </c>
      <c r="BC234" s="1301">
        <v>14.47</v>
      </c>
      <c r="BD234" s="1301">
        <v>15.34</v>
      </c>
      <c r="BE234" s="1301">
        <v>16.28</v>
      </c>
      <c r="BF234" s="1301">
        <v>17.27</v>
      </c>
      <c r="BG234" s="1301">
        <v>18.329999999999998</v>
      </c>
      <c r="BH234" s="1301">
        <v>19.45</v>
      </c>
      <c r="BI234" s="1301">
        <v>20.73</v>
      </c>
      <c r="BJ234" s="1301">
        <v>22.01</v>
      </c>
      <c r="BK234" s="1302">
        <v>23.27</v>
      </c>
      <c r="BL234" s="1300">
        <v>24.51</v>
      </c>
      <c r="BM234" s="1301">
        <v>25.75</v>
      </c>
      <c r="BN234" s="1301">
        <v>26.97</v>
      </c>
      <c r="BO234" s="1301">
        <v>28.18</v>
      </c>
      <c r="BP234" s="1301">
        <v>29.38</v>
      </c>
      <c r="BQ234" s="1301">
        <v>30.57</v>
      </c>
      <c r="BR234" s="1301">
        <v>31.74</v>
      </c>
      <c r="BS234" s="1301">
        <v>32.909999999999997</v>
      </c>
      <c r="BT234" s="1301">
        <v>34.06</v>
      </c>
      <c r="BU234" s="1302">
        <v>35.200000000000003</v>
      </c>
      <c r="BV234" s="1300">
        <v>36.33</v>
      </c>
      <c r="BW234" s="1301">
        <v>37.450000000000003</v>
      </c>
      <c r="BX234" s="1301">
        <v>38.549999999999997</v>
      </c>
      <c r="BY234" s="1301">
        <v>39.65</v>
      </c>
      <c r="BZ234" s="1301">
        <v>40.74</v>
      </c>
      <c r="CA234" s="1301">
        <v>41.81</v>
      </c>
      <c r="CB234" s="1301">
        <v>42.87</v>
      </c>
      <c r="CC234" s="1301">
        <v>43.93</v>
      </c>
      <c r="CD234" s="1301">
        <v>44.97</v>
      </c>
      <c r="CE234" s="1302">
        <v>46</v>
      </c>
      <c r="CF234" s="1301">
        <v>47.03</v>
      </c>
      <c r="CG234" s="1301">
        <v>48.04</v>
      </c>
      <c r="CH234" s="1302">
        <v>49.04</v>
      </c>
    </row>
    <row r="235" spans="1:86" ht="20.149999999999999" customHeight="1">
      <c r="A235" s="1563" t="s">
        <v>1427</v>
      </c>
      <c r="B235" s="1563" t="s">
        <v>13</v>
      </c>
      <c r="C235" s="1563" t="str">
        <f t="shared" si="4"/>
        <v>PBSDDM24</v>
      </c>
      <c r="D235" s="1193">
        <v>24</v>
      </c>
      <c r="E235" s="1540"/>
      <c r="F235" s="1301">
        <v>0.23</v>
      </c>
      <c r="G235" s="1301">
        <v>0.35</v>
      </c>
      <c r="H235" s="1301">
        <v>0.47</v>
      </c>
      <c r="I235" s="1301">
        <v>0.59</v>
      </c>
      <c r="J235" s="1301">
        <v>0.71</v>
      </c>
      <c r="K235" s="1301">
        <v>0.83</v>
      </c>
      <c r="L235" s="1301">
        <v>0.95</v>
      </c>
      <c r="M235" s="1302">
        <v>1.08</v>
      </c>
      <c r="N235" s="1300">
        <v>1.21</v>
      </c>
      <c r="O235" s="1301">
        <v>1.34</v>
      </c>
      <c r="P235" s="1301">
        <v>1.47</v>
      </c>
      <c r="Q235" s="1301">
        <v>1.61</v>
      </c>
      <c r="R235" s="1301">
        <v>1.75</v>
      </c>
      <c r="S235" s="1301">
        <v>1.89</v>
      </c>
      <c r="T235" s="1301">
        <v>2.04</v>
      </c>
      <c r="U235" s="1301">
        <v>2.19</v>
      </c>
      <c r="V235" s="1301">
        <v>2.35</v>
      </c>
      <c r="W235" s="1302">
        <v>2.52</v>
      </c>
      <c r="X235" s="1300">
        <v>2.69</v>
      </c>
      <c r="Y235" s="1301">
        <v>2.86</v>
      </c>
      <c r="Z235" s="1301">
        <v>3.04</v>
      </c>
      <c r="AA235" s="1301">
        <v>3.23</v>
      </c>
      <c r="AB235" s="1301">
        <v>3.43</v>
      </c>
      <c r="AC235" s="1301">
        <v>3.64</v>
      </c>
      <c r="AD235" s="1301">
        <v>3.86</v>
      </c>
      <c r="AE235" s="1301">
        <v>4.08</v>
      </c>
      <c r="AF235" s="1301">
        <v>4.32</v>
      </c>
      <c r="AG235" s="1302">
        <v>4.5599999999999996</v>
      </c>
      <c r="AH235" s="1300">
        <v>4.82</v>
      </c>
      <c r="AI235" s="1301">
        <v>5.09</v>
      </c>
      <c r="AJ235" s="1301">
        <v>5.38</v>
      </c>
      <c r="AK235" s="1301">
        <v>5.68</v>
      </c>
      <c r="AL235" s="1301">
        <v>5.99</v>
      </c>
      <c r="AM235" s="1301">
        <v>6.33</v>
      </c>
      <c r="AN235" s="1301">
        <v>6.67</v>
      </c>
      <c r="AO235" s="1301">
        <v>7.04</v>
      </c>
      <c r="AP235" s="1301">
        <v>7.43</v>
      </c>
      <c r="AQ235" s="1302">
        <v>7.85</v>
      </c>
      <c r="AR235" s="1300">
        <v>8.2799999999999994</v>
      </c>
      <c r="AS235" s="1301">
        <v>8.75</v>
      </c>
      <c r="AT235" s="1301">
        <v>9.25</v>
      </c>
      <c r="AU235" s="1301">
        <v>9.77</v>
      </c>
      <c r="AV235" s="1301">
        <v>10.33</v>
      </c>
      <c r="AW235" s="1301">
        <v>10.93</v>
      </c>
      <c r="AX235" s="1301">
        <v>11.58</v>
      </c>
      <c r="AY235" s="1301">
        <v>12.26</v>
      </c>
      <c r="AZ235" s="1301">
        <v>12.99</v>
      </c>
      <c r="BA235" s="1302">
        <v>13.78</v>
      </c>
      <c r="BB235" s="1300">
        <v>14.62</v>
      </c>
      <c r="BC235" s="1301">
        <v>15.51</v>
      </c>
      <c r="BD235" s="1301">
        <v>16.47</v>
      </c>
      <c r="BE235" s="1301">
        <v>17.48</v>
      </c>
      <c r="BF235" s="1301">
        <v>18.559999999999999</v>
      </c>
      <c r="BG235" s="1301">
        <v>19.71</v>
      </c>
      <c r="BH235" s="1301">
        <v>21.02</v>
      </c>
      <c r="BI235" s="1301">
        <v>22.33</v>
      </c>
      <c r="BJ235" s="1301">
        <v>23.62</v>
      </c>
      <c r="BK235" s="1302">
        <v>24.89</v>
      </c>
      <c r="BL235" s="1300">
        <v>26.16</v>
      </c>
      <c r="BM235" s="1301">
        <v>27.41</v>
      </c>
      <c r="BN235" s="1301">
        <v>28.65</v>
      </c>
      <c r="BO235" s="1301">
        <v>29.88</v>
      </c>
      <c r="BP235" s="1301">
        <v>31.09</v>
      </c>
      <c r="BQ235" s="1301">
        <v>32.299999999999997</v>
      </c>
      <c r="BR235" s="1301">
        <v>33.49</v>
      </c>
      <c r="BS235" s="1301">
        <v>34.67</v>
      </c>
      <c r="BT235" s="1301">
        <v>35.840000000000003</v>
      </c>
      <c r="BU235" s="1302">
        <v>37</v>
      </c>
      <c r="BV235" s="1300">
        <v>38.14</v>
      </c>
      <c r="BW235" s="1301">
        <v>39.270000000000003</v>
      </c>
      <c r="BX235" s="1301">
        <v>40.4</v>
      </c>
      <c r="BY235" s="1301">
        <v>41.51</v>
      </c>
      <c r="BZ235" s="1301">
        <v>42.61</v>
      </c>
      <c r="CA235" s="1301">
        <v>43.7</v>
      </c>
      <c r="CB235" s="1301">
        <v>44.78</v>
      </c>
      <c r="CC235" s="1301">
        <v>45.85</v>
      </c>
      <c r="CD235" s="1301">
        <v>46.9</v>
      </c>
      <c r="CE235" s="1302">
        <v>47.95</v>
      </c>
      <c r="CF235" s="1301">
        <v>48.99</v>
      </c>
      <c r="CG235" s="1301">
        <v>50.01</v>
      </c>
      <c r="CH235" s="1302">
        <v>51.03</v>
      </c>
    </row>
    <row r="236" spans="1:86" ht="20.149999999999999" customHeight="1">
      <c r="A236" s="1563" t="s">
        <v>1427</v>
      </c>
      <c r="B236" s="1563" t="s">
        <v>13</v>
      </c>
      <c r="C236" s="1563" t="str">
        <f t="shared" si="4"/>
        <v>PBSDDM25</v>
      </c>
      <c r="D236" s="1195">
        <v>25</v>
      </c>
      <c r="E236" s="1542"/>
      <c r="F236" s="1307">
        <v>0.24</v>
      </c>
      <c r="G236" s="1307">
        <v>0.36</v>
      </c>
      <c r="H236" s="1307">
        <v>0.48</v>
      </c>
      <c r="I236" s="1307">
        <v>0.6</v>
      </c>
      <c r="J236" s="1307">
        <v>0.72</v>
      </c>
      <c r="K236" s="1307">
        <v>0.84</v>
      </c>
      <c r="L236" s="1307">
        <v>0.97</v>
      </c>
      <c r="M236" s="1308">
        <v>1.1000000000000001</v>
      </c>
      <c r="N236" s="1306">
        <v>1.23</v>
      </c>
      <c r="O236" s="1307">
        <v>1.36</v>
      </c>
      <c r="P236" s="1307">
        <v>1.5</v>
      </c>
      <c r="Q236" s="1307">
        <v>1.64</v>
      </c>
      <c r="R236" s="1307">
        <v>1.79</v>
      </c>
      <c r="S236" s="1307">
        <v>1.94</v>
      </c>
      <c r="T236" s="1307">
        <v>2.1</v>
      </c>
      <c r="U236" s="1307">
        <v>2.2599999999999998</v>
      </c>
      <c r="V236" s="1307">
        <v>2.42</v>
      </c>
      <c r="W236" s="1308">
        <v>2.6</v>
      </c>
      <c r="X236" s="1306">
        <v>2.78</v>
      </c>
      <c r="Y236" s="1307">
        <v>2.96</v>
      </c>
      <c r="Z236" s="1307">
        <v>3.16</v>
      </c>
      <c r="AA236" s="1307">
        <v>3.36</v>
      </c>
      <c r="AB236" s="1307">
        <v>3.57</v>
      </c>
      <c r="AC236" s="1307">
        <v>3.79</v>
      </c>
      <c r="AD236" s="1307">
        <v>4.0199999999999996</v>
      </c>
      <c r="AE236" s="1307">
        <v>4.26</v>
      </c>
      <c r="AF236" s="1307">
        <v>4.51</v>
      </c>
      <c r="AG236" s="1308">
        <v>4.7699999999999996</v>
      </c>
      <c r="AH236" s="1306">
        <v>5.05</v>
      </c>
      <c r="AI236" s="1307">
        <v>5.34</v>
      </c>
      <c r="AJ236" s="1307">
        <v>5.65</v>
      </c>
      <c r="AK236" s="1307">
        <v>5.97</v>
      </c>
      <c r="AL236" s="1307">
        <v>6.3</v>
      </c>
      <c r="AM236" s="1307">
        <v>6.66</v>
      </c>
      <c r="AN236" s="1307">
        <v>7.04</v>
      </c>
      <c r="AO236" s="1307">
        <v>7.43</v>
      </c>
      <c r="AP236" s="1307">
        <v>7.86</v>
      </c>
      <c r="AQ236" s="1308">
        <v>8.3000000000000007</v>
      </c>
      <c r="AR236" s="1306">
        <v>8.7799999999999994</v>
      </c>
      <c r="AS236" s="1307">
        <v>9.2799999999999994</v>
      </c>
      <c r="AT236" s="1307">
        <v>9.82</v>
      </c>
      <c r="AU236" s="1307">
        <v>10.4</v>
      </c>
      <c r="AV236" s="1307">
        <v>11.01</v>
      </c>
      <c r="AW236" s="1307">
        <v>11.66</v>
      </c>
      <c r="AX236" s="1307">
        <v>12.36</v>
      </c>
      <c r="AY236" s="1307">
        <v>13.11</v>
      </c>
      <c r="AZ236" s="1307">
        <v>13.91</v>
      </c>
      <c r="BA236" s="1308">
        <v>14.77</v>
      </c>
      <c r="BB236" s="1306">
        <v>15.68</v>
      </c>
      <c r="BC236" s="1307">
        <v>16.66</v>
      </c>
      <c r="BD236" s="1307">
        <v>17.7</v>
      </c>
      <c r="BE236" s="1307">
        <v>18.8</v>
      </c>
      <c r="BF236" s="1307">
        <v>19.97</v>
      </c>
      <c r="BG236" s="1307">
        <v>21.32</v>
      </c>
      <c r="BH236" s="1307">
        <v>22.66</v>
      </c>
      <c r="BI236" s="1307">
        <v>23.98</v>
      </c>
      <c r="BJ236" s="1307">
        <v>25.29</v>
      </c>
      <c r="BK236" s="1308">
        <v>26.59</v>
      </c>
      <c r="BL236" s="1306">
        <v>27.87</v>
      </c>
      <c r="BM236" s="1307">
        <v>29.14</v>
      </c>
      <c r="BN236" s="1307">
        <v>30.4</v>
      </c>
      <c r="BO236" s="1307">
        <v>31.64</v>
      </c>
      <c r="BP236" s="1307">
        <v>32.880000000000003</v>
      </c>
      <c r="BQ236" s="1307">
        <v>34.1</v>
      </c>
      <c r="BR236" s="1307">
        <v>35.31</v>
      </c>
      <c r="BS236" s="1307">
        <v>36.5</v>
      </c>
      <c r="BT236" s="1307">
        <v>37.69</v>
      </c>
      <c r="BU236" s="1308">
        <v>38.86</v>
      </c>
      <c r="BV236" s="1306">
        <v>40.020000000000003</v>
      </c>
      <c r="BW236" s="1307">
        <v>41.17</v>
      </c>
      <c r="BX236" s="1307">
        <v>42.31</v>
      </c>
      <c r="BY236" s="1307">
        <v>43.44</v>
      </c>
      <c r="BZ236" s="1307">
        <v>44.56</v>
      </c>
      <c r="CA236" s="1307">
        <v>45.66</v>
      </c>
      <c r="CB236" s="1307">
        <v>46.76</v>
      </c>
      <c r="CC236" s="1307">
        <v>47.84</v>
      </c>
      <c r="CD236" s="1307">
        <v>48.91</v>
      </c>
      <c r="CE236" s="1308">
        <v>49.97</v>
      </c>
      <c r="CF236" s="1307">
        <v>51.03</v>
      </c>
      <c r="CG236" s="1307">
        <v>52.07</v>
      </c>
      <c r="CH236" s="1308">
        <v>53.1</v>
      </c>
    </row>
    <row r="237" spans="1:86" ht="20.149999999999999" customHeight="1">
      <c r="A237" s="1563" t="s">
        <v>1427</v>
      </c>
      <c r="B237" s="1563" t="s">
        <v>13</v>
      </c>
      <c r="C237" s="1563" t="str">
        <f t="shared" si="4"/>
        <v>PBSDDM26</v>
      </c>
      <c r="D237" s="1193">
        <v>26</v>
      </c>
      <c r="E237" s="1540"/>
      <c r="F237" s="1301">
        <v>0.24</v>
      </c>
      <c r="G237" s="1301">
        <v>0.36</v>
      </c>
      <c r="H237" s="1301">
        <v>0.48</v>
      </c>
      <c r="I237" s="1301">
        <v>0.61</v>
      </c>
      <c r="J237" s="1301">
        <v>0.73</v>
      </c>
      <c r="K237" s="1301">
        <v>0.86</v>
      </c>
      <c r="L237" s="1301">
        <v>0.99</v>
      </c>
      <c r="M237" s="1302">
        <v>1.1200000000000001</v>
      </c>
      <c r="N237" s="1300">
        <v>1.26</v>
      </c>
      <c r="O237" s="1301">
        <v>1.4</v>
      </c>
      <c r="P237" s="1301">
        <v>1.54</v>
      </c>
      <c r="Q237" s="1301">
        <v>1.69</v>
      </c>
      <c r="R237" s="1301">
        <v>1.84</v>
      </c>
      <c r="S237" s="1301">
        <v>2</v>
      </c>
      <c r="T237" s="1301">
        <v>2.16</v>
      </c>
      <c r="U237" s="1301">
        <v>2.33</v>
      </c>
      <c r="V237" s="1301">
        <v>2.5099999999999998</v>
      </c>
      <c r="W237" s="1302">
        <v>2.69</v>
      </c>
      <c r="X237" s="1300">
        <v>2.88</v>
      </c>
      <c r="Y237" s="1301">
        <v>3.08</v>
      </c>
      <c r="Z237" s="1301">
        <v>3.28</v>
      </c>
      <c r="AA237" s="1301">
        <v>3.5</v>
      </c>
      <c r="AB237" s="1301">
        <v>3.72</v>
      </c>
      <c r="AC237" s="1301">
        <v>3.95</v>
      </c>
      <c r="AD237" s="1301">
        <v>4.2</v>
      </c>
      <c r="AE237" s="1301">
        <v>4.45</v>
      </c>
      <c r="AF237" s="1301">
        <v>4.72</v>
      </c>
      <c r="AG237" s="1302">
        <v>5.01</v>
      </c>
      <c r="AH237" s="1300">
        <v>5.3</v>
      </c>
      <c r="AI237" s="1301">
        <v>5.61</v>
      </c>
      <c r="AJ237" s="1301">
        <v>5.94</v>
      </c>
      <c r="AK237" s="1301">
        <v>6.29</v>
      </c>
      <c r="AL237" s="1301">
        <v>6.65</v>
      </c>
      <c r="AM237" s="1301">
        <v>7.03</v>
      </c>
      <c r="AN237" s="1301">
        <v>7.44</v>
      </c>
      <c r="AO237" s="1301">
        <v>7.87</v>
      </c>
      <c r="AP237" s="1301">
        <v>8.33</v>
      </c>
      <c r="AQ237" s="1302">
        <v>8.81</v>
      </c>
      <c r="AR237" s="1300">
        <v>9.33</v>
      </c>
      <c r="AS237" s="1301">
        <v>9.8800000000000008</v>
      </c>
      <c r="AT237" s="1301">
        <v>10.46</v>
      </c>
      <c r="AU237" s="1301">
        <v>11.09</v>
      </c>
      <c r="AV237" s="1301">
        <v>11.76</v>
      </c>
      <c r="AW237" s="1301">
        <v>12.47</v>
      </c>
      <c r="AX237" s="1301">
        <v>13.24</v>
      </c>
      <c r="AY237" s="1301">
        <v>14.06</v>
      </c>
      <c r="AZ237" s="1301">
        <v>14.93</v>
      </c>
      <c r="BA237" s="1302">
        <v>15.87</v>
      </c>
      <c r="BB237" s="1300">
        <v>16.86</v>
      </c>
      <c r="BC237" s="1301">
        <v>17.93</v>
      </c>
      <c r="BD237" s="1301">
        <v>19.059999999999999</v>
      </c>
      <c r="BE237" s="1301">
        <v>20.25</v>
      </c>
      <c r="BF237" s="1301">
        <v>21.64</v>
      </c>
      <c r="BG237" s="1301">
        <v>23.01</v>
      </c>
      <c r="BH237" s="1301">
        <v>24.36</v>
      </c>
      <c r="BI237" s="1301">
        <v>25.7</v>
      </c>
      <c r="BJ237" s="1301">
        <v>27.03</v>
      </c>
      <c r="BK237" s="1302">
        <v>28.35</v>
      </c>
      <c r="BL237" s="1300">
        <v>29.65</v>
      </c>
      <c r="BM237" s="1301">
        <v>30.94</v>
      </c>
      <c r="BN237" s="1301">
        <v>32.21</v>
      </c>
      <c r="BO237" s="1301">
        <v>33.479999999999997</v>
      </c>
      <c r="BP237" s="1301">
        <v>34.729999999999997</v>
      </c>
      <c r="BQ237" s="1301">
        <v>35.97</v>
      </c>
      <c r="BR237" s="1301">
        <v>37.200000000000003</v>
      </c>
      <c r="BS237" s="1301">
        <v>38.409999999999997</v>
      </c>
      <c r="BT237" s="1301">
        <v>39.61</v>
      </c>
      <c r="BU237" s="1302">
        <v>40.799999999999997</v>
      </c>
      <c r="BV237" s="1300">
        <v>41.98</v>
      </c>
      <c r="BW237" s="1301">
        <v>43.15</v>
      </c>
      <c r="BX237" s="1301">
        <v>44.31</v>
      </c>
      <c r="BY237" s="1301">
        <v>45.45</v>
      </c>
      <c r="BZ237" s="1301">
        <v>46.58</v>
      </c>
      <c r="CA237" s="1301">
        <v>47.71</v>
      </c>
      <c r="CB237" s="1301">
        <v>48.82</v>
      </c>
      <c r="CC237" s="1301">
        <v>49.92</v>
      </c>
      <c r="CD237" s="1301">
        <v>51</v>
      </c>
      <c r="CE237" s="1302">
        <v>52.08</v>
      </c>
      <c r="CF237" s="1301">
        <v>53.15</v>
      </c>
      <c r="CG237" s="1301">
        <v>54.21</v>
      </c>
      <c r="CH237" s="1302">
        <v>55.25</v>
      </c>
    </row>
    <row r="238" spans="1:86" ht="20.149999999999999" customHeight="1">
      <c r="A238" s="1563" t="s">
        <v>1427</v>
      </c>
      <c r="B238" s="1563" t="s">
        <v>13</v>
      </c>
      <c r="C238" s="1563" t="str">
        <f t="shared" si="4"/>
        <v>PBSDDM27</v>
      </c>
      <c r="D238" s="1193">
        <v>27</v>
      </c>
      <c r="E238" s="1540"/>
      <c r="F238" s="1301">
        <v>0.24</v>
      </c>
      <c r="G238" s="1301">
        <v>0.37</v>
      </c>
      <c r="H238" s="1301">
        <v>0.49</v>
      </c>
      <c r="I238" s="1301">
        <v>0.62</v>
      </c>
      <c r="J238" s="1301">
        <v>0.74</v>
      </c>
      <c r="K238" s="1301">
        <v>0.88</v>
      </c>
      <c r="L238" s="1301">
        <v>1.01</v>
      </c>
      <c r="M238" s="1302">
        <v>1.1499999999999999</v>
      </c>
      <c r="N238" s="1300">
        <v>1.29</v>
      </c>
      <c r="O238" s="1301">
        <v>1.44</v>
      </c>
      <c r="P238" s="1301">
        <v>1.59</v>
      </c>
      <c r="Q238" s="1301">
        <v>1.74</v>
      </c>
      <c r="R238" s="1301">
        <v>1.9</v>
      </c>
      <c r="S238" s="1301">
        <v>2.0699999999999998</v>
      </c>
      <c r="T238" s="1301">
        <v>2.2400000000000002</v>
      </c>
      <c r="U238" s="1301">
        <v>2.42</v>
      </c>
      <c r="V238" s="1301">
        <v>2.6</v>
      </c>
      <c r="W238" s="1302">
        <v>2.8</v>
      </c>
      <c r="X238" s="1300">
        <v>3</v>
      </c>
      <c r="Y238" s="1301">
        <v>3.21</v>
      </c>
      <c r="Z238" s="1301">
        <v>3.42</v>
      </c>
      <c r="AA238" s="1301">
        <v>3.65</v>
      </c>
      <c r="AB238" s="1301">
        <v>3.89</v>
      </c>
      <c r="AC238" s="1301">
        <v>4.1399999999999997</v>
      </c>
      <c r="AD238" s="1301">
        <v>4.4000000000000004</v>
      </c>
      <c r="AE238" s="1301">
        <v>4.68</v>
      </c>
      <c r="AF238" s="1301">
        <v>4.96</v>
      </c>
      <c r="AG238" s="1302">
        <v>5.27</v>
      </c>
      <c r="AH238" s="1300">
        <v>5.58</v>
      </c>
      <c r="AI238" s="1301">
        <v>5.92</v>
      </c>
      <c r="AJ238" s="1301">
        <v>6.27</v>
      </c>
      <c r="AK238" s="1301">
        <v>6.64</v>
      </c>
      <c r="AL238" s="1301">
        <v>7.03</v>
      </c>
      <c r="AM238" s="1301">
        <v>7.45</v>
      </c>
      <c r="AN238" s="1301">
        <v>7.89</v>
      </c>
      <c r="AO238" s="1301">
        <v>8.35</v>
      </c>
      <c r="AP238" s="1301">
        <v>8.85</v>
      </c>
      <c r="AQ238" s="1302">
        <v>9.3699999999999992</v>
      </c>
      <c r="AR238" s="1300">
        <v>9.93</v>
      </c>
      <c r="AS238" s="1301">
        <v>10.53</v>
      </c>
      <c r="AT238" s="1301">
        <v>11.17</v>
      </c>
      <c r="AU238" s="1301">
        <v>11.86</v>
      </c>
      <c r="AV238" s="1301">
        <v>12.59</v>
      </c>
      <c r="AW238" s="1301">
        <v>13.37</v>
      </c>
      <c r="AX238" s="1301">
        <v>14.21</v>
      </c>
      <c r="AY238" s="1301">
        <v>15.1</v>
      </c>
      <c r="AZ238" s="1301">
        <v>16.059999999999999</v>
      </c>
      <c r="BA238" s="1302">
        <v>17.079999999999998</v>
      </c>
      <c r="BB238" s="1300">
        <v>18.170000000000002</v>
      </c>
      <c r="BC238" s="1301">
        <v>19.32</v>
      </c>
      <c r="BD238" s="1301">
        <v>20.55</v>
      </c>
      <c r="BE238" s="1301">
        <v>21.97</v>
      </c>
      <c r="BF238" s="1301">
        <v>23.37</v>
      </c>
      <c r="BG238" s="1301">
        <v>24.76</v>
      </c>
      <c r="BH238" s="1301">
        <v>26.13</v>
      </c>
      <c r="BI238" s="1301">
        <v>27.5</v>
      </c>
      <c r="BJ238" s="1301">
        <v>28.85</v>
      </c>
      <c r="BK238" s="1302">
        <v>30.18</v>
      </c>
      <c r="BL238" s="1300">
        <v>31.5</v>
      </c>
      <c r="BM238" s="1301">
        <v>32.81</v>
      </c>
      <c r="BN238" s="1301">
        <v>34.11</v>
      </c>
      <c r="BO238" s="1301">
        <v>35.39</v>
      </c>
      <c r="BP238" s="1301">
        <v>36.659999999999997</v>
      </c>
      <c r="BQ238" s="1301">
        <v>37.92</v>
      </c>
      <c r="BR238" s="1301">
        <v>39.17</v>
      </c>
      <c r="BS238" s="1301">
        <v>40.4</v>
      </c>
      <c r="BT238" s="1301">
        <v>41.62</v>
      </c>
      <c r="BU238" s="1302">
        <v>42.83</v>
      </c>
      <c r="BV238" s="1300">
        <v>44.03</v>
      </c>
      <c r="BW238" s="1301">
        <v>45.21</v>
      </c>
      <c r="BX238" s="1301">
        <v>46.38</v>
      </c>
      <c r="BY238" s="1301">
        <v>47.55</v>
      </c>
      <c r="BZ238" s="1301">
        <v>48.7</v>
      </c>
      <c r="CA238" s="1301">
        <v>49.83</v>
      </c>
      <c r="CB238" s="1301">
        <v>50.96</v>
      </c>
      <c r="CC238" s="1301">
        <v>52.08</v>
      </c>
      <c r="CD238" s="1301">
        <v>53.18</v>
      </c>
      <c r="CE238" s="1302">
        <v>54.28</v>
      </c>
      <c r="CF238" s="1301">
        <v>55.36</v>
      </c>
      <c r="CG238" s="1301">
        <v>56.44</v>
      </c>
      <c r="CH238" s="1302">
        <v>57.5</v>
      </c>
    </row>
    <row r="239" spans="1:86" ht="20.149999999999999" customHeight="1">
      <c r="A239" s="1563" t="s">
        <v>1427</v>
      </c>
      <c r="B239" s="1563" t="s">
        <v>13</v>
      </c>
      <c r="C239" s="1563" t="str">
        <f t="shared" si="4"/>
        <v>PBSDDM28</v>
      </c>
      <c r="D239" s="1193">
        <v>28</v>
      </c>
      <c r="E239" s="1540"/>
      <c r="F239" s="1301">
        <v>0.25</v>
      </c>
      <c r="G239" s="1301">
        <v>0.37</v>
      </c>
      <c r="H239" s="1301">
        <v>0.5</v>
      </c>
      <c r="I239" s="1301">
        <v>0.63</v>
      </c>
      <c r="J239" s="1301">
        <v>0.76</v>
      </c>
      <c r="K239" s="1301">
        <v>0.9</v>
      </c>
      <c r="L239" s="1301">
        <v>1.04</v>
      </c>
      <c r="M239" s="1302">
        <v>1.18</v>
      </c>
      <c r="N239" s="1300">
        <v>1.33</v>
      </c>
      <c r="O239" s="1301">
        <v>1.48</v>
      </c>
      <c r="P239" s="1301">
        <v>1.64</v>
      </c>
      <c r="Q239" s="1301">
        <v>1.81</v>
      </c>
      <c r="R239" s="1301">
        <v>1.97</v>
      </c>
      <c r="S239" s="1301">
        <v>2.15</v>
      </c>
      <c r="T239" s="1301">
        <v>2.33</v>
      </c>
      <c r="U239" s="1301">
        <v>2.52</v>
      </c>
      <c r="V239" s="1301">
        <v>2.71</v>
      </c>
      <c r="W239" s="1302">
        <v>2.92</v>
      </c>
      <c r="X239" s="1300">
        <v>3.13</v>
      </c>
      <c r="Y239" s="1301">
        <v>3.35</v>
      </c>
      <c r="Z239" s="1301">
        <v>3.59</v>
      </c>
      <c r="AA239" s="1301">
        <v>3.83</v>
      </c>
      <c r="AB239" s="1301">
        <v>4.08</v>
      </c>
      <c r="AC239" s="1301">
        <v>4.3499999999999996</v>
      </c>
      <c r="AD239" s="1301">
        <v>4.63</v>
      </c>
      <c r="AE239" s="1301">
        <v>4.92</v>
      </c>
      <c r="AF239" s="1301">
        <v>5.23</v>
      </c>
      <c r="AG239" s="1302">
        <v>5.56</v>
      </c>
      <c r="AH239" s="1300">
        <v>5.9</v>
      </c>
      <c r="AI239" s="1301">
        <v>6.26</v>
      </c>
      <c r="AJ239" s="1301">
        <v>6.63</v>
      </c>
      <c r="AK239" s="1301">
        <v>7.03</v>
      </c>
      <c r="AL239" s="1301">
        <v>7.46</v>
      </c>
      <c r="AM239" s="1301">
        <v>7.91</v>
      </c>
      <c r="AN239" s="1301">
        <v>8.3800000000000008</v>
      </c>
      <c r="AO239" s="1301">
        <v>8.89</v>
      </c>
      <c r="AP239" s="1301">
        <v>9.43</v>
      </c>
      <c r="AQ239" s="1302">
        <v>10</v>
      </c>
      <c r="AR239" s="1300">
        <v>10.61</v>
      </c>
      <c r="AS239" s="1301">
        <v>11.26</v>
      </c>
      <c r="AT239" s="1301">
        <v>11.96</v>
      </c>
      <c r="AU239" s="1301">
        <v>12.71</v>
      </c>
      <c r="AV239" s="1301">
        <v>13.51</v>
      </c>
      <c r="AW239" s="1301">
        <v>14.37</v>
      </c>
      <c r="AX239" s="1301">
        <v>15.28</v>
      </c>
      <c r="AY239" s="1301">
        <v>16.260000000000002</v>
      </c>
      <c r="AZ239" s="1301">
        <v>17.309999999999999</v>
      </c>
      <c r="BA239" s="1302">
        <v>18.420000000000002</v>
      </c>
      <c r="BB239" s="1300">
        <v>19.600000000000001</v>
      </c>
      <c r="BC239" s="1301">
        <v>20.86</v>
      </c>
      <c r="BD239" s="1301">
        <v>22.31</v>
      </c>
      <c r="BE239" s="1301">
        <v>23.75</v>
      </c>
      <c r="BF239" s="1301">
        <v>25.18</v>
      </c>
      <c r="BG239" s="1301">
        <v>26.59</v>
      </c>
      <c r="BH239" s="1301">
        <v>27.98</v>
      </c>
      <c r="BI239" s="1301">
        <v>29.37</v>
      </c>
      <c r="BJ239" s="1301">
        <v>30.74</v>
      </c>
      <c r="BK239" s="1302">
        <v>32.090000000000003</v>
      </c>
      <c r="BL239" s="1300">
        <v>33.44</v>
      </c>
      <c r="BM239" s="1301">
        <v>34.770000000000003</v>
      </c>
      <c r="BN239" s="1301">
        <v>36.08</v>
      </c>
      <c r="BO239" s="1301">
        <v>37.39</v>
      </c>
      <c r="BP239" s="1301">
        <v>38.68</v>
      </c>
      <c r="BQ239" s="1301">
        <v>39.950000000000003</v>
      </c>
      <c r="BR239" s="1301">
        <v>41.22</v>
      </c>
      <c r="BS239" s="1301">
        <v>42.47</v>
      </c>
      <c r="BT239" s="1301">
        <v>43.71</v>
      </c>
      <c r="BU239" s="1302">
        <v>44.94</v>
      </c>
      <c r="BV239" s="1300">
        <v>46.16</v>
      </c>
      <c r="BW239" s="1301">
        <v>47.36</v>
      </c>
      <c r="BX239" s="1301">
        <v>48.55</v>
      </c>
      <c r="BY239" s="1301">
        <v>49.73</v>
      </c>
      <c r="BZ239" s="1301">
        <v>50.9</v>
      </c>
      <c r="CA239" s="1301">
        <v>52.06</v>
      </c>
      <c r="CB239" s="1301">
        <v>53.2</v>
      </c>
      <c r="CC239" s="1301">
        <v>54.34</v>
      </c>
      <c r="CD239" s="1301">
        <v>55.46</v>
      </c>
      <c r="CE239" s="1302">
        <v>56.57</v>
      </c>
      <c r="CF239" s="1301">
        <v>57.67</v>
      </c>
      <c r="CG239" s="1301">
        <v>58.76</v>
      </c>
      <c r="CH239" s="1302">
        <v>59.84</v>
      </c>
    </row>
    <row r="240" spans="1:86" ht="20.149999999999999" customHeight="1">
      <c r="A240" s="1563" t="s">
        <v>1427</v>
      </c>
      <c r="B240" s="1563" t="s">
        <v>13</v>
      </c>
      <c r="C240" s="1563" t="str">
        <f t="shared" si="4"/>
        <v>PBSDDM29</v>
      </c>
      <c r="D240" s="1193">
        <v>29</v>
      </c>
      <c r="E240" s="1540"/>
      <c r="F240" s="1301">
        <v>0.25</v>
      </c>
      <c r="G240" s="1301">
        <v>0.38</v>
      </c>
      <c r="H240" s="1301">
        <v>0.51</v>
      </c>
      <c r="I240" s="1301">
        <v>0.65</v>
      </c>
      <c r="J240" s="1301">
        <v>0.78</v>
      </c>
      <c r="K240" s="1301">
        <v>0.93</v>
      </c>
      <c r="L240" s="1301">
        <v>1.07</v>
      </c>
      <c r="M240" s="1302">
        <v>1.22</v>
      </c>
      <c r="N240" s="1300">
        <v>1.38</v>
      </c>
      <c r="O240" s="1301">
        <v>1.54</v>
      </c>
      <c r="P240" s="1301">
        <v>1.71</v>
      </c>
      <c r="Q240" s="1301">
        <v>1.88</v>
      </c>
      <c r="R240" s="1301">
        <v>2.06</v>
      </c>
      <c r="S240" s="1301">
        <v>2.2400000000000002</v>
      </c>
      <c r="T240" s="1301">
        <v>2.4300000000000002</v>
      </c>
      <c r="U240" s="1301">
        <v>2.63</v>
      </c>
      <c r="V240" s="1301">
        <v>2.84</v>
      </c>
      <c r="W240" s="1302">
        <v>3.06</v>
      </c>
      <c r="X240" s="1300">
        <v>3.28</v>
      </c>
      <c r="Y240" s="1301">
        <v>3.52</v>
      </c>
      <c r="Z240" s="1301">
        <v>3.77</v>
      </c>
      <c r="AA240" s="1301">
        <v>4.03</v>
      </c>
      <c r="AB240" s="1301">
        <v>4.3</v>
      </c>
      <c r="AC240" s="1301">
        <v>4.59</v>
      </c>
      <c r="AD240" s="1301">
        <v>4.8899999999999997</v>
      </c>
      <c r="AE240" s="1301">
        <v>5.2</v>
      </c>
      <c r="AF240" s="1301">
        <v>5.53</v>
      </c>
      <c r="AG240" s="1302">
        <v>5.88</v>
      </c>
      <c r="AH240" s="1300">
        <v>6.24</v>
      </c>
      <c r="AI240" s="1301">
        <v>6.63</v>
      </c>
      <c r="AJ240" s="1301">
        <v>7.04</v>
      </c>
      <c r="AK240" s="1301">
        <v>7.47</v>
      </c>
      <c r="AL240" s="1301">
        <v>7.93</v>
      </c>
      <c r="AM240" s="1301">
        <v>8.42</v>
      </c>
      <c r="AN240" s="1301">
        <v>8.93</v>
      </c>
      <c r="AO240" s="1301">
        <v>9.48</v>
      </c>
      <c r="AP240" s="1301">
        <v>10.07</v>
      </c>
      <c r="AQ240" s="1302">
        <v>10.69</v>
      </c>
      <c r="AR240" s="1300">
        <v>11.36</v>
      </c>
      <c r="AS240" s="1301">
        <v>12.08</v>
      </c>
      <c r="AT240" s="1301">
        <v>12.84</v>
      </c>
      <c r="AU240" s="1301">
        <v>13.66</v>
      </c>
      <c r="AV240" s="1301">
        <v>14.54</v>
      </c>
      <c r="AW240" s="1301">
        <v>15.47</v>
      </c>
      <c r="AX240" s="1301">
        <v>16.47</v>
      </c>
      <c r="AY240" s="1301">
        <v>17.54</v>
      </c>
      <c r="AZ240" s="1301">
        <v>18.68</v>
      </c>
      <c r="BA240" s="1302">
        <v>19.899999999999999</v>
      </c>
      <c r="BB240" s="1300">
        <v>21.18</v>
      </c>
      <c r="BC240" s="1301">
        <v>22.67</v>
      </c>
      <c r="BD240" s="1301">
        <v>24.15</v>
      </c>
      <c r="BE240" s="1301">
        <v>25.61</v>
      </c>
      <c r="BF240" s="1301">
        <v>27.06</v>
      </c>
      <c r="BG240" s="1301">
        <v>28.5</v>
      </c>
      <c r="BH240" s="1301">
        <v>29.92</v>
      </c>
      <c r="BI240" s="1301">
        <v>31.32</v>
      </c>
      <c r="BJ240" s="1301">
        <v>32.71</v>
      </c>
      <c r="BK240" s="1302">
        <v>34.090000000000003</v>
      </c>
      <c r="BL240" s="1300">
        <v>35.46</v>
      </c>
      <c r="BM240" s="1301">
        <v>36.81</v>
      </c>
      <c r="BN240" s="1301">
        <v>38.14</v>
      </c>
      <c r="BO240" s="1301">
        <v>39.47</v>
      </c>
      <c r="BP240" s="1301">
        <v>40.78</v>
      </c>
      <c r="BQ240" s="1301">
        <v>42.08</v>
      </c>
      <c r="BR240" s="1301">
        <v>43.36</v>
      </c>
      <c r="BS240" s="1301">
        <v>44.64</v>
      </c>
      <c r="BT240" s="1301">
        <v>45.9</v>
      </c>
      <c r="BU240" s="1302">
        <v>47.14</v>
      </c>
      <c r="BV240" s="1300">
        <v>48.38</v>
      </c>
      <c r="BW240" s="1301">
        <v>49.6</v>
      </c>
      <c r="BX240" s="1301">
        <v>50.81</v>
      </c>
      <c r="BY240" s="1301">
        <v>52.01</v>
      </c>
      <c r="BZ240" s="1301">
        <v>53.2</v>
      </c>
      <c r="CA240" s="1301">
        <v>54.37</v>
      </c>
      <c r="CB240" s="1301">
        <v>55.54</v>
      </c>
      <c r="CC240" s="1301">
        <v>56.69</v>
      </c>
      <c r="CD240" s="1301">
        <v>57.83</v>
      </c>
      <c r="CE240" s="1302">
        <v>58.96</v>
      </c>
      <c r="CF240" s="1301">
        <v>60.08</v>
      </c>
      <c r="CG240" s="1301">
        <v>61.19</v>
      </c>
      <c r="CH240" s="1302">
        <v>62.28</v>
      </c>
    </row>
    <row r="241" spans="1:86" ht="20.149999999999999" customHeight="1">
      <c r="A241" s="1563" t="s">
        <v>1427</v>
      </c>
      <c r="B241" s="1563" t="s">
        <v>13</v>
      </c>
      <c r="C241" s="1563" t="str">
        <f t="shared" si="4"/>
        <v>PBSDDM30</v>
      </c>
      <c r="D241" s="1193">
        <v>30</v>
      </c>
      <c r="E241" s="1540"/>
      <c r="F241" s="1301">
        <v>0.26</v>
      </c>
      <c r="G241" s="1301">
        <v>0.39</v>
      </c>
      <c r="H241" s="1301">
        <v>0.53</v>
      </c>
      <c r="I241" s="1301">
        <v>0.67</v>
      </c>
      <c r="J241" s="1301">
        <v>0.81</v>
      </c>
      <c r="K241" s="1301">
        <v>0.96</v>
      </c>
      <c r="L241" s="1301">
        <v>1.1100000000000001</v>
      </c>
      <c r="M241" s="1302">
        <v>1.27</v>
      </c>
      <c r="N241" s="1300">
        <v>1.44</v>
      </c>
      <c r="O241" s="1301">
        <v>1.61</v>
      </c>
      <c r="P241" s="1301">
        <v>1.78</v>
      </c>
      <c r="Q241" s="1301">
        <v>1.96</v>
      </c>
      <c r="R241" s="1301">
        <v>2.15</v>
      </c>
      <c r="S241" s="1301">
        <v>2.35</v>
      </c>
      <c r="T241" s="1301">
        <v>2.5499999999999998</v>
      </c>
      <c r="U241" s="1301">
        <v>2.76</v>
      </c>
      <c r="V241" s="1301">
        <v>2.98</v>
      </c>
      <c r="W241" s="1302">
        <v>3.21</v>
      </c>
      <c r="X241" s="1300">
        <v>3.46</v>
      </c>
      <c r="Y241" s="1301">
        <v>3.71</v>
      </c>
      <c r="Z241" s="1301">
        <v>3.97</v>
      </c>
      <c r="AA241" s="1301">
        <v>4.25</v>
      </c>
      <c r="AB241" s="1301">
        <v>4.54</v>
      </c>
      <c r="AC241" s="1301">
        <v>4.8499999999999996</v>
      </c>
      <c r="AD241" s="1301">
        <v>5.17</v>
      </c>
      <c r="AE241" s="1301">
        <v>5.51</v>
      </c>
      <c r="AF241" s="1301">
        <v>5.86</v>
      </c>
      <c r="AG241" s="1302">
        <v>6.24</v>
      </c>
      <c r="AH241" s="1300">
        <v>6.63</v>
      </c>
      <c r="AI241" s="1301">
        <v>7.05</v>
      </c>
      <c r="AJ241" s="1301">
        <v>7.49</v>
      </c>
      <c r="AK241" s="1301">
        <v>7.96</v>
      </c>
      <c r="AL241" s="1301">
        <v>8.4499999999999993</v>
      </c>
      <c r="AM241" s="1301">
        <v>8.98</v>
      </c>
      <c r="AN241" s="1301">
        <v>9.5399999999999991</v>
      </c>
      <c r="AO241" s="1301">
        <v>10.14</v>
      </c>
      <c r="AP241" s="1301">
        <v>10.78</v>
      </c>
      <c r="AQ241" s="1302">
        <v>11.47</v>
      </c>
      <c r="AR241" s="1300">
        <v>12.2</v>
      </c>
      <c r="AS241" s="1301">
        <v>12.98</v>
      </c>
      <c r="AT241" s="1301">
        <v>13.82</v>
      </c>
      <c r="AU241" s="1301">
        <v>14.71</v>
      </c>
      <c r="AV241" s="1301">
        <v>15.67</v>
      </c>
      <c r="AW241" s="1301">
        <v>16.7</v>
      </c>
      <c r="AX241" s="1301">
        <v>17.79</v>
      </c>
      <c r="AY241" s="1301">
        <v>18.96</v>
      </c>
      <c r="AZ241" s="1301">
        <v>20.2</v>
      </c>
      <c r="BA241" s="1302">
        <v>21.52</v>
      </c>
      <c r="BB241" s="1300">
        <v>23.05</v>
      </c>
      <c r="BC241" s="1301">
        <v>24.57</v>
      </c>
      <c r="BD241" s="1301">
        <v>26.07</v>
      </c>
      <c r="BE241" s="1301">
        <v>27.56</v>
      </c>
      <c r="BF241" s="1301">
        <v>29.03</v>
      </c>
      <c r="BG241" s="1301">
        <v>30.49</v>
      </c>
      <c r="BH241" s="1301">
        <v>31.93</v>
      </c>
      <c r="BI241" s="1301">
        <v>33.36</v>
      </c>
      <c r="BJ241" s="1301">
        <v>34.770000000000003</v>
      </c>
      <c r="BK241" s="1302">
        <v>36.17</v>
      </c>
      <c r="BL241" s="1300">
        <v>37.56</v>
      </c>
      <c r="BM241" s="1301">
        <v>38.93</v>
      </c>
      <c r="BN241" s="1301">
        <v>40.29</v>
      </c>
      <c r="BO241" s="1301">
        <v>41.64</v>
      </c>
      <c r="BP241" s="1301">
        <v>42.97</v>
      </c>
      <c r="BQ241" s="1301">
        <v>44.29</v>
      </c>
      <c r="BR241" s="1301">
        <v>45.6</v>
      </c>
      <c r="BS241" s="1301">
        <v>46.89</v>
      </c>
      <c r="BT241" s="1301">
        <v>48.18</v>
      </c>
      <c r="BU241" s="1302">
        <v>49.44</v>
      </c>
      <c r="BV241" s="1300">
        <v>50.7</v>
      </c>
      <c r="BW241" s="1301">
        <v>51.94</v>
      </c>
      <c r="BX241" s="1301">
        <v>53.17</v>
      </c>
      <c r="BY241" s="1301">
        <v>54.39</v>
      </c>
      <c r="BZ241" s="1301">
        <v>55.6</v>
      </c>
      <c r="CA241" s="1301">
        <v>56.79</v>
      </c>
      <c r="CB241" s="1301">
        <v>57.98</v>
      </c>
      <c r="CC241" s="1301">
        <v>59.15</v>
      </c>
      <c r="CD241" s="1301">
        <v>60.31</v>
      </c>
      <c r="CE241" s="1302">
        <v>61.46</v>
      </c>
      <c r="CF241" s="1301">
        <v>62.59</v>
      </c>
      <c r="CG241" s="1301">
        <v>63.72</v>
      </c>
      <c r="CH241" s="1302">
        <v>64.83</v>
      </c>
    </row>
    <row r="242" spans="1:86" ht="20.149999999999999" customHeight="1">
      <c r="A242" s="1563" t="s">
        <v>1427</v>
      </c>
      <c r="B242" s="1563" t="s">
        <v>13</v>
      </c>
      <c r="C242" s="1563" t="str">
        <f t="shared" si="4"/>
        <v>PBSDDM31</v>
      </c>
      <c r="D242" s="1194">
        <v>31</v>
      </c>
      <c r="E242" s="1541"/>
      <c r="F242" s="1304">
        <v>0.27</v>
      </c>
      <c r="G242" s="1304">
        <v>0.41</v>
      </c>
      <c r="H242" s="1304">
        <v>0.55000000000000004</v>
      </c>
      <c r="I242" s="1304">
        <v>0.7</v>
      </c>
      <c r="J242" s="1304">
        <v>0.85</v>
      </c>
      <c r="K242" s="1304">
        <v>1</v>
      </c>
      <c r="L242" s="1304">
        <v>1.1599999999999999</v>
      </c>
      <c r="M242" s="1305">
        <v>1.33</v>
      </c>
      <c r="N242" s="1303">
        <v>1.5</v>
      </c>
      <c r="O242" s="1304">
        <v>1.68</v>
      </c>
      <c r="P242" s="1304">
        <v>1.87</v>
      </c>
      <c r="Q242" s="1304">
        <v>2.06</v>
      </c>
      <c r="R242" s="1304">
        <v>2.2599999999999998</v>
      </c>
      <c r="S242" s="1304">
        <v>2.46</v>
      </c>
      <c r="T242" s="1304">
        <v>2.68</v>
      </c>
      <c r="U242" s="1304">
        <v>2.91</v>
      </c>
      <c r="V242" s="1304">
        <v>3.14</v>
      </c>
      <c r="W242" s="1305">
        <v>3.39</v>
      </c>
      <c r="X242" s="1303">
        <v>3.65</v>
      </c>
      <c r="Y242" s="1304">
        <v>3.92</v>
      </c>
      <c r="Z242" s="1304">
        <v>4.2</v>
      </c>
      <c r="AA242" s="1304">
        <v>4.5</v>
      </c>
      <c r="AB242" s="1304">
        <v>4.8099999999999996</v>
      </c>
      <c r="AC242" s="1304">
        <v>5.14</v>
      </c>
      <c r="AD242" s="1304">
        <v>5.48</v>
      </c>
      <c r="AE242" s="1304">
        <v>5.84</v>
      </c>
      <c r="AF242" s="1304">
        <v>6.23</v>
      </c>
      <c r="AG242" s="1305">
        <v>6.63</v>
      </c>
      <c r="AH242" s="1303">
        <v>7.06</v>
      </c>
      <c r="AI242" s="1304">
        <v>7.51</v>
      </c>
      <c r="AJ242" s="1304">
        <v>7.99</v>
      </c>
      <c r="AK242" s="1304">
        <v>8.49</v>
      </c>
      <c r="AL242" s="1304">
        <v>9.0299999999999994</v>
      </c>
      <c r="AM242" s="1304">
        <v>9.61</v>
      </c>
      <c r="AN242" s="1304">
        <v>10.220000000000001</v>
      </c>
      <c r="AO242" s="1304">
        <v>10.88</v>
      </c>
      <c r="AP242" s="1304">
        <v>11.57</v>
      </c>
      <c r="AQ242" s="1305">
        <v>12.32</v>
      </c>
      <c r="AR242" s="1303">
        <v>13.12</v>
      </c>
      <c r="AS242" s="1304">
        <v>13.98</v>
      </c>
      <c r="AT242" s="1304">
        <v>14.9</v>
      </c>
      <c r="AU242" s="1304">
        <v>15.88</v>
      </c>
      <c r="AV242" s="1304">
        <v>16.93</v>
      </c>
      <c r="AW242" s="1304">
        <v>18.05</v>
      </c>
      <c r="AX242" s="1304">
        <v>19.25</v>
      </c>
      <c r="AY242" s="1304">
        <v>20.52</v>
      </c>
      <c r="AZ242" s="1304">
        <v>21.87</v>
      </c>
      <c r="BA242" s="1305">
        <v>23.44</v>
      </c>
      <c r="BB242" s="1303">
        <v>25</v>
      </c>
      <c r="BC242" s="1304">
        <v>26.54</v>
      </c>
      <c r="BD242" s="1304">
        <v>28.07</v>
      </c>
      <c r="BE242" s="1304">
        <v>29.58</v>
      </c>
      <c r="BF242" s="1304">
        <v>31.08</v>
      </c>
      <c r="BG242" s="1304">
        <v>32.56</v>
      </c>
      <c r="BH242" s="1304">
        <v>34.03</v>
      </c>
      <c r="BI242" s="1304">
        <v>35.479999999999997</v>
      </c>
      <c r="BJ242" s="1304">
        <v>36.92</v>
      </c>
      <c r="BK242" s="1305">
        <v>38.35</v>
      </c>
      <c r="BL242" s="1303">
        <v>39.76</v>
      </c>
      <c r="BM242" s="1304">
        <v>41.16</v>
      </c>
      <c r="BN242" s="1304">
        <v>42.54</v>
      </c>
      <c r="BO242" s="1304">
        <v>43.91</v>
      </c>
      <c r="BP242" s="1304">
        <v>45.26</v>
      </c>
      <c r="BQ242" s="1304">
        <v>46.61</v>
      </c>
      <c r="BR242" s="1304">
        <v>47.93</v>
      </c>
      <c r="BS242" s="1304">
        <v>49.25</v>
      </c>
      <c r="BT242" s="1304">
        <v>50.55</v>
      </c>
      <c r="BU242" s="1305">
        <v>51.84</v>
      </c>
      <c r="BV242" s="1303">
        <v>53.12</v>
      </c>
      <c r="BW242" s="1304">
        <v>54.38</v>
      </c>
      <c r="BX242" s="1304">
        <v>55.64</v>
      </c>
      <c r="BY242" s="1304">
        <v>56.88</v>
      </c>
      <c r="BZ242" s="1304">
        <v>58.1</v>
      </c>
      <c r="CA242" s="1304">
        <v>59.32</v>
      </c>
      <c r="CB242" s="1304">
        <v>60.52</v>
      </c>
      <c r="CC242" s="1304">
        <v>61.71</v>
      </c>
      <c r="CD242" s="1304">
        <v>62.89</v>
      </c>
      <c r="CE242" s="1305">
        <v>64.06</v>
      </c>
      <c r="CF242" s="1304">
        <v>65.22</v>
      </c>
      <c r="CG242" s="1304">
        <v>66.36</v>
      </c>
      <c r="CH242" s="1305">
        <v>67.489999999999995</v>
      </c>
    </row>
    <row r="243" spans="1:86" ht="20.149999999999999" customHeight="1">
      <c r="A243" s="1563" t="s">
        <v>1427</v>
      </c>
      <c r="B243" s="1563" t="s">
        <v>13</v>
      </c>
      <c r="C243" s="1563" t="str">
        <f t="shared" si="4"/>
        <v>PBSDDM32</v>
      </c>
      <c r="D243" s="1193">
        <v>32</v>
      </c>
      <c r="E243" s="1540"/>
      <c r="F243" s="1301">
        <v>0.28000000000000003</v>
      </c>
      <c r="G243" s="1301">
        <v>0.42</v>
      </c>
      <c r="H243" s="1301">
        <v>0.56999999999999995</v>
      </c>
      <c r="I243" s="1301">
        <v>0.73</v>
      </c>
      <c r="J243" s="1301">
        <v>0.88</v>
      </c>
      <c r="K243" s="1301">
        <v>1.05</v>
      </c>
      <c r="L243" s="1301">
        <v>1.22</v>
      </c>
      <c r="M243" s="1302">
        <v>1.39</v>
      </c>
      <c r="N243" s="1300">
        <v>1.58</v>
      </c>
      <c r="O243" s="1301">
        <v>1.76</v>
      </c>
      <c r="P243" s="1301">
        <v>1.96</v>
      </c>
      <c r="Q243" s="1301">
        <v>2.16</v>
      </c>
      <c r="R243" s="1301">
        <v>2.37</v>
      </c>
      <c r="S243" s="1301">
        <v>2.59</v>
      </c>
      <c r="T243" s="1301">
        <v>2.82</v>
      </c>
      <c r="U243" s="1301">
        <v>3.07</v>
      </c>
      <c r="V243" s="1301">
        <v>3.32</v>
      </c>
      <c r="W243" s="1302">
        <v>3.58</v>
      </c>
      <c r="X243" s="1300">
        <v>3.86</v>
      </c>
      <c r="Y243" s="1301">
        <v>4.1500000000000004</v>
      </c>
      <c r="Z243" s="1301">
        <v>4.45</v>
      </c>
      <c r="AA243" s="1301">
        <v>4.7699999999999996</v>
      </c>
      <c r="AB243" s="1301">
        <v>5.0999999999999996</v>
      </c>
      <c r="AC243" s="1301">
        <v>5.46</v>
      </c>
      <c r="AD243" s="1301">
        <v>5.83</v>
      </c>
      <c r="AE243" s="1301">
        <v>6.22</v>
      </c>
      <c r="AF243" s="1301">
        <v>6.63</v>
      </c>
      <c r="AG243" s="1302">
        <v>7.06</v>
      </c>
      <c r="AH243" s="1300">
        <v>7.53</v>
      </c>
      <c r="AI243" s="1301">
        <v>8.01</v>
      </c>
      <c r="AJ243" s="1301">
        <v>8.5299999999999994</v>
      </c>
      <c r="AK243" s="1301">
        <v>9.09</v>
      </c>
      <c r="AL243" s="1301">
        <v>9.67</v>
      </c>
      <c r="AM243" s="1301">
        <v>10.3</v>
      </c>
      <c r="AN243" s="1301">
        <v>10.97</v>
      </c>
      <c r="AO243" s="1301">
        <v>11.69</v>
      </c>
      <c r="AP243" s="1301">
        <v>12.45</v>
      </c>
      <c r="AQ243" s="1302">
        <v>13.27</v>
      </c>
      <c r="AR243" s="1300">
        <v>14.15</v>
      </c>
      <c r="AS243" s="1301">
        <v>15.09</v>
      </c>
      <c r="AT243" s="1301">
        <v>16.09</v>
      </c>
      <c r="AU243" s="1301">
        <v>17.170000000000002</v>
      </c>
      <c r="AV243" s="1301">
        <v>18.32</v>
      </c>
      <c r="AW243" s="1301">
        <v>19.55</v>
      </c>
      <c r="AX243" s="1301">
        <v>20.85</v>
      </c>
      <c r="AY243" s="1301">
        <v>22.23</v>
      </c>
      <c r="AZ243" s="1301">
        <v>23.85</v>
      </c>
      <c r="BA243" s="1302">
        <v>25.45</v>
      </c>
      <c r="BB243" s="1300">
        <v>27.04</v>
      </c>
      <c r="BC243" s="1301">
        <v>28.61</v>
      </c>
      <c r="BD243" s="1301">
        <v>30.16</v>
      </c>
      <c r="BE243" s="1301">
        <v>31.7</v>
      </c>
      <c r="BF243" s="1301">
        <v>33.22</v>
      </c>
      <c r="BG243" s="1301">
        <v>34.729999999999997</v>
      </c>
      <c r="BH243" s="1301">
        <v>36.22</v>
      </c>
      <c r="BI243" s="1301">
        <v>37.700000000000003</v>
      </c>
      <c r="BJ243" s="1301">
        <v>39.17</v>
      </c>
      <c r="BK243" s="1302">
        <v>40.619999999999997</v>
      </c>
      <c r="BL243" s="1300">
        <v>42.05</v>
      </c>
      <c r="BM243" s="1301">
        <v>43.47</v>
      </c>
      <c r="BN243" s="1301">
        <v>44.88</v>
      </c>
      <c r="BO243" s="1301">
        <v>46.27</v>
      </c>
      <c r="BP243" s="1301">
        <v>47.65</v>
      </c>
      <c r="BQ243" s="1301">
        <v>49.02</v>
      </c>
      <c r="BR243" s="1301">
        <v>50.37</v>
      </c>
      <c r="BS243" s="1301">
        <v>51.71</v>
      </c>
      <c r="BT243" s="1301">
        <v>53.03</v>
      </c>
      <c r="BU243" s="1302">
        <v>54.35</v>
      </c>
      <c r="BV243" s="1300">
        <v>55.65</v>
      </c>
      <c r="BW243" s="1301">
        <v>56.93</v>
      </c>
      <c r="BX243" s="1301">
        <v>58.21</v>
      </c>
      <c r="BY243" s="1301">
        <v>59.47</v>
      </c>
      <c r="BZ243" s="1301">
        <v>60.72</v>
      </c>
      <c r="CA243" s="1301">
        <v>61.95</v>
      </c>
      <c r="CB243" s="1301">
        <v>63.18</v>
      </c>
      <c r="CC243" s="1301">
        <v>64.39</v>
      </c>
      <c r="CD243" s="1301">
        <v>65.59</v>
      </c>
      <c r="CE243" s="1302">
        <v>66.78</v>
      </c>
      <c r="CF243" s="1301">
        <v>67.95</v>
      </c>
      <c r="CG243" s="1301">
        <v>69.12</v>
      </c>
      <c r="CH243" s="1302">
        <v>70.27</v>
      </c>
    </row>
    <row r="244" spans="1:86" ht="20.149999999999999" customHeight="1">
      <c r="A244" s="1563" t="s">
        <v>1427</v>
      </c>
      <c r="B244" s="1563" t="s">
        <v>13</v>
      </c>
      <c r="C244" s="1563" t="str">
        <f t="shared" si="4"/>
        <v>PBSDDM33</v>
      </c>
      <c r="D244" s="1193">
        <v>33</v>
      </c>
      <c r="E244" s="1540"/>
      <c r="F244" s="1301">
        <v>0.28999999999999998</v>
      </c>
      <c r="G244" s="1301">
        <v>0.44</v>
      </c>
      <c r="H244" s="1301">
        <v>0.6</v>
      </c>
      <c r="I244" s="1301">
        <v>0.76</v>
      </c>
      <c r="J244" s="1301">
        <v>0.93</v>
      </c>
      <c r="K244" s="1301">
        <v>1.1000000000000001</v>
      </c>
      <c r="L244" s="1301">
        <v>1.28</v>
      </c>
      <c r="M244" s="1302">
        <v>1.46</v>
      </c>
      <c r="N244" s="1300">
        <v>1.66</v>
      </c>
      <c r="O244" s="1301">
        <v>1.86</v>
      </c>
      <c r="P244" s="1301">
        <v>2.06</v>
      </c>
      <c r="Q244" s="1301">
        <v>2.2799999999999998</v>
      </c>
      <c r="R244" s="1301">
        <v>2.5</v>
      </c>
      <c r="S244" s="1301">
        <v>2.74</v>
      </c>
      <c r="T244" s="1301">
        <v>2.98</v>
      </c>
      <c r="U244" s="1301">
        <v>3.24</v>
      </c>
      <c r="V244" s="1301">
        <v>3.51</v>
      </c>
      <c r="W244" s="1302">
        <v>3.79</v>
      </c>
      <c r="X244" s="1300">
        <v>4.09</v>
      </c>
      <c r="Y244" s="1301">
        <v>4.4000000000000004</v>
      </c>
      <c r="Z244" s="1301">
        <v>4.72</v>
      </c>
      <c r="AA244" s="1301">
        <v>5.07</v>
      </c>
      <c r="AB244" s="1301">
        <v>5.43</v>
      </c>
      <c r="AC244" s="1301">
        <v>5.81</v>
      </c>
      <c r="AD244" s="1301">
        <v>6.2</v>
      </c>
      <c r="AE244" s="1301">
        <v>6.63</v>
      </c>
      <c r="AF244" s="1301">
        <v>7.07</v>
      </c>
      <c r="AG244" s="1302">
        <v>7.54</v>
      </c>
      <c r="AH244" s="1300">
        <v>8.0399999999999991</v>
      </c>
      <c r="AI244" s="1301">
        <v>8.57</v>
      </c>
      <c r="AJ244" s="1301">
        <v>9.14</v>
      </c>
      <c r="AK244" s="1301">
        <v>9.74</v>
      </c>
      <c r="AL244" s="1301">
        <v>10.38</v>
      </c>
      <c r="AM244" s="1301">
        <v>11.07</v>
      </c>
      <c r="AN244" s="1301">
        <v>11.8</v>
      </c>
      <c r="AO244" s="1301">
        <v>12.58</v>
      </c>
      <c r="AP244" s="1301">
        <v>13.42</v>
      </c>
      <c r="AQ244" s="1302">
        <v>14.32</v>
      </c>
      <c r="AR244" s="1300">
        <v>15.28</v>
      </c>
      <c r="AS244" s="1301">
        <v>16.309999999999999</v>
      </c>
      <c r="AT244" s="1301">
        <v>17.420000000000002</v>
      </c>
      <c r="AU244" s="1301">
        <v>18.600000000000001</v>
      </c>
      <c r="AV244" s="1301">
        <v>19.850000000000001</v>
      </c>
      <c r="AW244" s="1301">
        <v>21.19</v>
      </c>
      <c r="AX244" s="1301">
        <v>22.61</v>
      </c>
      <c r="AY244" s="1301">
        <v>24.27</v>
      </c>
      <c r="AZ244" s="1301">
        <v>25.92</v>
      </c>
      <c r="BA244" s="1302">
        <v>27.55</v>
      </c>
      <c r="BB244" s="1300">
        <v>29.16</v>
      </c>
      <c r="BC244" s="1301">
        <v>30.76</v>
      </c>
      <c r="BD244" s="1301">
        <v>32.340000000000003</v>
      </c>
      <c r="BE244" s="1301">
        <v>33.909999999999997</v>
      </c>
      <c r="BF244" s="1301">
        <v>35.46</v>
      </c>
      <c r="BG244" s="1301">
        <v>36.99</v>
      </c>
      <c r="BH244" s="1301">
        <v>38.51</v>
      </c>
      <c r="BI244" s="1301">
        <v>40.020000000000003</v>
      </c>
      <c r="BJ244" s="1301">
        <v>41.51</v>
      </c>
      <c r="BK244" s="1302">
        <v>42.98</v>
      </c>
      <c r="BL244" s="1300">
        <v>44.45</v>
      </c>
      <c r="BM244" s="1301">
        <v>45.89</v>
      </c>
      <c r="BN244" s="1301">
        <v>47.32</v>
      </c>
      <c r="BO244" s="1301">
        <v>48.74</v>
      </c>
      <c r="BP244" s="1301">
        <v>50.15</v>
      </c>
      <c r="BQ244" s="1301">
        <v>51.54</v>
      </c>
      <c r="BR244" s="1301">
        <v>52.91</v>
      </c>
      <c r="BS244" s="1301">
        <v>54.28</v>
      </c>
      <c r="BT244" s="1301">
        <v>55.62</v>
      </c>
      <c r="BU244" s="1302">
        <v>56.96</v>
      </c>
      <c r="BV244" s="1300">
        <v>58.28</v>
      </c>
      <c r="BW244" s="1301">
        <v>59.59</v>
      </c>
      <c r="BX244" s="1301">
        <v>60.89</v>
      </c>
      <c r="BY244" s="1301">
        <v>62.17</v>
      </c>
      <c r="BZ244" s="1301">
        <v>63.44</v>
      </c>
      <c r="CA244" s="1301">
        <v>64.7</v>
      </c>
      <c r="CB244" s="1301">
        <v>65.95</v>
      </c>
      <c r="CC244" s="1301">
        <v>67.180000000000007</v>
      </c>
      <c r="CD244" s="1301">
        <v>68.400000000000006</v>
      </c>
      <c r="CE244" s="1302">
        <v>69.61</v>
      </c>
      <c r="CF244" s="1301">
        <v>70.81</v>
      </c>
      <c r="CG244" s="1301">
        <v>72</v>
      </c>
      <c r="CH244" s="1302">
        <v>73.17</v>
      </c>
    </row>
    <row r="245" spans="1:86" ht="20.149999999999999" customHeight="1">
      <c r="A245" s="1563" t="s">
        <v>1427</v>
      </c>
      <c r="B245" s="1563" t="s">
        <v>13</v>
      </c>
      <c r="C245" s="1563" t="str">
        <f t="shared" si="4"/>
        <v>PBSDDM34</v>
      </c>
      <c r="D245" s="1193">
        <v>34</v>
      </c>
      <c r="E245" s="1540"/>
      <c r="F245" s="1301">
        <v>0.3</v>
      </c>
      <c r="G245" s="1301">
        <v>0.46</v>
      </c>
      <c r="H245" s="1301">
        <v>0.63</v>
      </c>
      <c r="I245" s="1301">
        <v>0.8</v>
      </c>
      <c r="J245" s="1301">
        <v>0.98</v>
      </c>
      <c r="K245" s="1301">
        <v>1.1599999999999999</v>
      </c>
      <c r="L245" s="1301">
        <v>1.35</v>
      </c>
      <c r="M245" s="1302">
        <v>1.54</v>
      </c>
      <c r="N245" s="1300">
        <v>1.75</v>
      </c>
      <c r="O245" s="1301">
        <v>1.96</v>
      </c>
      <c r="P245" s="1301">
        <v>2.1800000000000002</v>
      </c>
      <c r="Q245" s="1301">
        <v>2.41</v>
      </c>
      <c r="R245" s="1301">
        <v>2.65</v>
      </c>
      <c r="S245" s="1301">
        <v>2.9</v>
      </c>
      <c r="T245" s="1301">
        <v>3.16</v>
      </c>
      <c r="U245" s="1301">
        <v>3.43</v>
      </c>
      <c r="V245" s="1301">
        <v>3.72</v>
      </c>
      <c r="W245" s="1302">
        <v>4.03</v>
      </c>
      <c r="X245" s="1300">
        <v>4.34</v>
      </c>
      <c r="Y245" s="1301">
        <v>4.68</v>
      </c>
      <c r="Z245" s="1301">
        <v>5.03</v>
      </c>
      <c r="AA245" s="1301">
        <v>5.39</v>
      </c>
      <c r="AB245" s="1301">
        <v>5.78</v>
      </c>
      <c r="AC245" s="1301">
        <v>6.19</v>
      </c>
      <c r="AD245" s="1301">
        <v>6.62</v>
      </c>
      <c r="AE245" s="1301">
        <v>7.07</v>
      </c>
      <c r="AF245" s="1301">
        <v>7.56</v>
      </c>
      <c r="AG245" s="1302">
        <v>8.07</v>
      </c>
      <c r="AH245" s="1300">
        <v>8.61</v>
      </c>
      <c r="AI245" s="1301">
        <v>9.19</v>
      </c>
      <c r="AJ245" s="1301">
        <v>9.81</v>
      </c>
      <c r="AK245" s="1301">
        <v>10.46</v>
      </c>
      <c r="AL245" s="1301">
        <v>11.16</v>
      </c>
      <c r="AM245" s="1301">
        <v>11.91</v>
      </c>
      <c r="AN245" s="1301">
        <v>12.72</v>
      </c>
      <c r="AO245" s="1301">
        <v>13.58</v>
      </c>
      <c r="AP245" s="1301">
        <v>14.5</v>
      </c>
      <c r="AQ245" s="1302">
        <v>15.48</v>
      </c>
      <c r="AR245" s="1300">
        <v>16.54</v>
      </c>
      <c r="AS245" s="1301">
        <v>17.670000000000002</v>
      </c>
      <c r="AT245" s="1301">
        <v>18.88</v>
      </c>
      <c r="AU245" s="1301">
        <v>20.170000000000002</v>
      </c>
      <c r="AV245" s="1301">
        <v>21.54</v>
      </c>
      <c r="AW245" s="1301">
        <v>22.99</v>
      </c>
      <c r="AX245" s="1301">
        <v>24.7</v>
      </c>
      <c r="AY245" s="1301">
        <v>26.4</v>
      </c>
      <c r="AZ245" s="1301">
        <v>28.07</v>
      </c>
      <c r="BA245" s="1302">
        <v>29.73</v>
      </c>
      <c r="BB245" s="1300">
        <v>31.38</v>
      </c>
      <c r="BC245" s="1301">
        <v>33</v>
      </c>
      <c r="BD245" s="1301">
        <v>34.61</v>
      </c>
      <c r="BE245" s="1301">
        <v>36.21</v>
      </c>
      <c r="BF245" s="1301">
        <v>37.79</v>
      </c>
      <c r="BG245" s="1301">
        <v>39.35</v>
      </c>
      <c r="BH245" s="1301">
        <v>40.9</v>
      </c>
      <c r="BI245" s="1301">
        <v>42.43</v>
      </c>
      <c r="BJ245" s="1301">
        <v>43.95</v>
      </c>
      <c r="BK245" s="1302">
        <v>45.45</v>
      </c>
      <c r="BL245" s="1300">
        <v>46.94</v>
      </c>
      <c r="BM245" s="1301">
        <v>48.42</v>
      </c>
      <c r="BN245" s="1301">
        <v>49.87</v>
      </c>
      <c r="BO245" s="1301">
        <v>51.32</v>
      </c>
      <c r="BP245" s="1301">
        <v>52.75</v>
      </c>
      <c r="BQ245" s="1301">
        <v>54.16</v>
      </c>
      <c r="BR245" s="1301">
        <v>55.57</v>
      </c>
      <c r="BS245" s="1301">
        <v>56.95</v>
      </c>
      <c r="BT245" s="1301">
        <v>58.33</v>
      </c>
      <c r="BU245" s="1302">
        <v>59.69</v>
      </c>
      <c r="BV245" s="1300">
        <v>61.04</v>
      </c>
      <c r="BW245" s="1301">
        <v>62.37</v>
      </c>
      <c r="BX245" s="1301">
        <v>63.69</v>
      </c>
      <c r="BY245" s="1301">
        <v>65</v>
      </c>
      <c r="BZ245" s="1301">
        <v>66.290000000000006</v>
      </c>
      <c r="CA245" s="1301">
        <v>67.569999999999993</v>
      </c>
      <c r="CB245" s="1301">
        <v>68.84</v>
      </c>
      <c r="CC245" s="1301">
        <v>70.099999999999994</v>
      </c>
      <c r="CD245" s="1301">
        <v>71.34</v>
      </c>
      <c r="CE245" s="1302">
        <v>72.569999999999993</v>
      </c>
      <c r="CF245" s="1301">
        <v>73.790000000000006</v>
      </c>
      <c r="CG245" s="1301">
        <v>75</v>
      </c>
      <c r="CH245" s="1302">
        <v>76.2</v>
      </c>
    </row>
    <row r="246" spans="1:86" ht="20.149999999999999" customHeight="1">
      <c r="A246" s="1563" t="s">
        <v>1427</v>
      </c>
      <c r="B246" s="1563" t="s">
        <v>13</v>
      </c>
      <c r="C246" s="1563" t="str">
        <f t="shared" si="4"/>
        <v>PBSDDM35</v>
      </c>
      <c r="D246" s="1195">
        <v>35</v>
      </c>
      <c r="E246" s="1542"/>
      <c r="F246" s="1307">
        <v>0.32</v>
      </c>
      <c r="G246" s="1307">
        <v>0.49</v>
      </c>
      <c r="H246" s="1307">
        <v>0.66</v>
      </c>
      <c r="I246" s="1307">
        <v>0.84</v>
      </c>
      <c r="J246" s="1307">
        <v>1.03</v>
      </c>
      <c r="K246" s="1307">
        <v>1.22</v>
      </c>
      <c r="L246" s="1307">
        <v>1.42</v>
      </c>
      <c r="M246" s="1308">
        <v>1.63</v>
      </c>
      <c r="N246" s="1306">
        <v>1.84</v>
      </c>
      <c r="O246" s="1307">
        <v>2.0699999999999998</v>
      </c>
      <c r="P246" s="1307">
        <v>2.2999999999999998</v>
      </c>
      <c r="Q246" s="1307">
        <v>2.5499999999999998</v>
      </c>
      <c r="R246" s="1307">
        <v>2.8</v>
      </c>
      <c r="S246" s="1307">
        <v>3.07</v>
      </c>
      <c r="T246" s="1307">
        <v>3.35</v>
      </c>
      <c r="U246" s="1307">
        <v>3.65</v>
      </c>
      <c r="V246" s="1307">
        <v>3.96</v>
      </c>
      <c r="W246" s="1308">
        <v>4.28</v>
      </c>
      <c r="X246" s="1306">
        <v>4.62</v>
      </c>
      <c r="Y246" s="1307">
        <v>4.9800000000000004</v>
      </c>
      <c r="Z246" s="1307">
        <v>5.35</v>
      </c>
      <c r="AA246" s="1307">
        <v>5.75</v>
      </c>
      <c r="AB246" s="1307">
        <v>6.17</v>
      </c>
      <c r="AC246" s="1307">
        <v>6.61</v>
      </c>
      <c r="AD246" s="1307">
        <v>7.07</v>
      </c>
      <c r="AE246" s="1307">
        <v>7.57</v>
      </c>
      <c r="AF246" s="1307">
        <v>8.09</v>
      </c>
      <c r="AG246" s="1308">
        <v>8.65</v>
      </c>
      <c r="AH246" s="1306">
        <v>9.24</v>
      </c>
      <c r="AI246" s="1307">
        <v>9.8699999999999992</v>
      </c>
      <c r="AJ246" s="1307">
        <v>10.54</v>
      </c>
      <c r="AK246" s="1307">
        <v>11.26</v>
      </c>
      <c r="AL246" s="1307">
        <v>12.03</v>
      </c>
      <c r="AM246" s="1307">
        <v>12.85</v>
      </c>
      <c r="AN246" s="1307">
        <v>13.73</v>
      </c>
      <c r="AO246" s="1307">
        <v>14.67</v>
      </c>
      <c r="AP246" s="1307">
        <v>15.68</v>
      </c>
      <c r="AQ246" s="1308">
        <v>16.77</v>
      </c>
      <c r="AR246" s="1306">
        <v>17.93</v>
      </c>
      <c r="AS246" s="1307">
        <v>19.170000000000002</v>
      </c>
      <c r="AT246" s="1307">
        <v>20.49</v>
      </c>
      <c r="AU246" s="1307">
        <v>21.9</v>
      </c>
      <c r="AV246" s="1307">
        <v>23.39</v>
      </c>
      <c r="AW246" s="1307">
        <v>25.15</v>
      </c>
      <c r="AX246" s="1307">
        <v>26.89</v>
      </c>
      <c r="AY246" s="1307">
        <v>28.62</v>
      </c>
      <c r="AZ246" s="1307">
        <v>30.32</v>
      </c>
      <c r="BA246" s="1308">
        <v>32.020000000000003</v>
      </c>
      <c r="BB246" s="1306">
        <v>33.69</v>
      </c>
      <c r="BC246" s="1307">
        <v>35.35</v>
      </c>
      <c r="BD246" s="1307">
        <v>36.99</v>
      </c>
      <c r="BE246" s="1307">
        <v>38.619999999999997</v>
      </c>
      <c r="BF246" s="1307">
        <v>40.22</v>
      </c>
      <c r="BG246" s="1307">
        <v>41.82</v>
      </c>
      <c r="BH246" s="1307">
        <v>43.4</v>
      </c>
      <c r="BI246" s="1307">
        <v>44.96</v>
      </c>
      <c r="BJ246" s="1307">
        <v>46.5</v>
      </c>
      <c r="BK246" s="1308">
        <v>48.03</v>
      </c>
      <c r="BL246" s="1306">
        <v>49.55</v>
      </c>
      <c r="BM246" s="1307">
        <v>51.05</v>
      </c>
      <c r="BN246" s="1307">
        <v>52.54</v>
      </c>
      <c r="BO246" s="1307">
        <v>54.01</v>
      </c>
      <c r="BP246" s="1307">
        <v>55.47</v>
      </c>
      <c r="BQ246" s="1307">
        <v>56.91</v>
      </c>
      <c r="BR246" s="1307">
        <v>58.34</v>
      </c>
      <c r="BS246" s="1307">
        <v>59.75</v>
      </c>
      <c r="BT246" s="1307">
        <v>61.15</v>
      </c>
      <c r="BU246" s="1308">
        <v>62.54</v>
      </c>
      <c r="BV246" s="1306">
        <v>63.91</v>
      </c>
      <c r="BW246" s="1307">
        <v>65.27</v>
      </c>
      <c r="BX246" s="1307">
        <v>66.61</v>
      </c>
      <c r="BY246" s="1307">
        <v>67.94</v>
      </c>
      <c r="BZ246" s="1307">
        <v>69.260000000000005</v>
      </c>
      <c r="CA246" s="1307">
        <v>70.569999999999993</v>
      </c>
      <c r="CB246" s="1307">
        <v>71.86</v>
      </c>
      <c r="CC246" s="1307">
        <v>73.14</v>
      </c>
      <c r="CD246" s="1307">
        <v>74.41</v>
      </c>
      <c r="CE246" s="1308">
        <v>75.66</v>
      </c>
      <c r="CF246" s="1307">
        <v>76.91</v>
      </c>
      <c r="CG246" s="1307">
        <v>78.14</v>
      </c>
      <c r="CH246" s="1308">
        <v>79.349999999999994</v>
      </c>
    </row>
    <row r="247" spans="1:86" ht="20.149999999999999" customHeight="1">
      <c r="A247" s="1563" t="s">
        <v>1427</v>
      </c>
      <c r="B247" s="1563" t="s">
        <v>13</v>
      </c>
      <c r="C247" s="1563" t="str">
        <f t="shared" si="4"/>
        <v>PBSDDM36</v>
      </c>
      <c r="D247" s="1193">
        <v>36</v>
      </c>
      <c r="E247" s="1540"/>
      <c r="F247" s="1301">
        <v>0.34</v>
      </c>
      <c r="G247" s="1301">
        <v>0.51</v>
      </c>
      <c r="H247" s="1301">
        <v>0.7</v>
      </c>
      <c r="I247" s="1301">
        <v>0.89</v>
      </c>
      <c r="J247" s="1301">
        <v>1.08</v>
      </c>
      <c r="K247" s="1301">
        <v>1.29</v>
      </c>
      <c r="L247" s="1301">
        <v>1.5</v>
      </c>
      <c r="M247" s="1302">
        <v>1.72</v>
      </c>
      <c r="N247" s="1300">
        <v>1.95</v>
      </c>
      <c r="O247" s="1301">
        <v>2.19</v>
      </c>
      <c r="P247" s="1301">
        <v>2.44</v>
      </c>
      <c r="Q247" s="1301">
        <v>2.7</v>
      </c>
      <c r="R247" s="1301">
        <v>2.97</v>
      </c>
      <c r="S247" s="1301">
        <v>3.26</v>
      </c>
      <c r="T247" s="1301">
        <v>3.56</v>
      </c>
      <c r="U247" s="1301">
        <v>3.88</v>
      </c>
      <c r="V247" s="1301">
        <v>4.21</v>
      </c>
      <c r="W247" s="1302">
        <v>4.5599999999999996</v>
      </c>
      <c r="X247" s="1300">
        <v>4.92</v>
      </c>
      <c r="Y247" s="1301">
        <v>5.31</v>
      </c>
      <c r="Z247" s="1301">
        <v>5.71</v>
      </c>
      <c r="AA247" s="1301">
        <v>6.14</v>
      </c>
      <c r="AB247" s="1301">
        <v>6.59</v>
      </c>
      <c r="AC247" s="1301">
        <v>7.07</v>
      </c>
      <c r="AD247" s="1301">
        <v>7.57</v>
      </c>
      <c r="AE247" s="1301">
        <v>8.11</v>
      </c>
      <c r="AF247" s="1301">
        <v>8.68</v>
      </c>
      <c r="AG247" s="1302">
        <v>9.2799999999999994</v>
      </c>
      <c r="AH247" s="1300">
        <v>9.93</v>
      </c>
      <c r="AI247" s="1301">
        <v>10.62</v>
      </c>
      <c r="AJ247" s="1301">
        <v>11.35</v>
      </c>
      <c r="AK247" s="1301">
        <v>12.14</v>
      </c>
      <c r="AL247" s="1301">
        <v>12.98</v>
      </c>
      <c r="AM247" s="1301">
        <v>13.88</v>
      </c>
      <c r="AN247" s="1301">
        <v>14.85</v>
      </c>
      <c r="AO247" s="1301">
        <v>15.89</v>
      </c>
      <c r="AP247" s="1301">
        <v>17</v>
      </c>
      <c r="AQ247" s="1302">
        <v>18.190000000000001</v>
      </c>
      <c r="AR247" s="1300">
        <v>19.46</v>
      </c>
      <c r="AS247" s="1301">
        <v>20.82</v>
      </c>
      <c r="AT247" s="1301">
        <v>22.26</v>
      </c>
      <c r="AU247" s="1301">
        <v>23.79</v>
      </c>
      <c r="AV247" s="1301">
        <v>25.61</v>
      </c>
      <c r="AW247" s="1301">
        <v>27.4</v>
      </c>
      <c r="AX247" s="1301">
        <v>29.18</v>
      </c>
      <c r="AY247" s="1301">
        <v>30.94</v>
      </c>
      <c r="AZ247" s="1301">
        <v>32.68</v>
      </c>
      <c r="BA247" s="1302">
        <v>34.4</v>
      </c>
      <c r="BB247" s="1300">
        <v>36.11</v>
      </c>
      <c r="BC247" s="1301">
        <v>37.799999999999997</v>
      </c>
      <c r="BD247" s="1301">
        <v>39.47</v>
      </c>
      <c r="BE247" s="1301">
        <v>41.13</v>
      </c>
      <c r="BF247" s="1301">
        <v>42.77</v>
      </c>
      <c r="BG247" s="1301">
        <v>44.39</v>
      </c>
      <c r="BH247" s="1301">
        <v>46</v>
      </c>
      <c r="BI247" s="1301">
        <v>47.59</v>
      </c>
      <c r="BJ247" s="1301">
        <v>49.17</v>
      </c>
      <c r="BK247" s="1302">
        <v>50.73</v>
      </c>
      <c r="BL247" s="1300">
        <v>52.27</v>
      </c>
      <c r="BM247" s="1301">
        <v>53.8</v>
      </c>
      <c r="BN247" s="1301">
        <v>55.32</v>
      </c>
      <c r="BO247" s="1301">
        <v>56.82</v>
      </c>
      <c r="BP247" s="1301">
        <v>58.3</v>
      </c>
      <c r="BQ247" s="1301">
        <v>59.77</v>
      </c>
      <c r="BR247" s="1301">
        <v>61.23</v>
      </c>
      <c r="BS247" s="1301">
        <v>62.67</v>
      </c>
      <c r="BT247" s="1301">
        <v>64.099999999999994</v>
      </c>
      <c r="BU247" s="1302">
        <v>65.510000000000005</v>
      </c>
      <c r="BV247" s="1300">
        <v>66.91</v>
      </c>
      <c r="BW247" s="1301">
        <v>68.3</v>
      </c>
      <c r="BX247" s="1301">
        <v>69.67</v>
      </c>
      <c r="BY247" s="1301">
        <v>71.02</v>
      </c>
      <c r="BZ247" s="1301">
        <v>72.37</v>
      </c>
      <c r="CA247" s="1301">
        <v>73.7</v>
      </c>
      <c r="CB247" s="1301">
        <v>75.02</v>
      </c>
      <c r="CC247" s="1301">
        <v>76.319999999999993</v>
      </c>
      <c r="CD247" s="1301">
        <v>77.61</v>
      </c>
      <c r="CE247" s="1302">
        <v>78.89</v>
      </c>
      <c r="CF247" s="1301">
        <v>80.16</v>
      </c>
      <c r="CG247" s="1301">
        <v>81.41</v>
      </c>
      <c r="CH247" s="1302">
        <v>82.65</v>
      </c>
    </row>
    <row r="248" spans="1:86" ht="20.149999999999999" customHeight="1">
      <c r="A248" s="1563" t="s">
        <v>1427</v>
      </c>
      <c r="B248" s="1563" t="s">
        <v>13</v>
      </c>
      <c r="C248" s="1563" t="str">
        <f t="shared" si="4"/>
        <v>PBSDDM37</v>
      </c>
      <c r="D248" s="1193">
        <v>37</v>
      </c>
      <c r="E248" s="1540"/>
      <c r="F248" s="1301">
        <v>0.36</v>
      </c>
      <c r="G248" s="1301">
        <v>0.54</v>
      </c>
      <c r="H248" s="1301">
        <v>0.74</v>
      </c>
      <c r="I248" s="1301">
        <v>0.94</v>
      </c>
      <c r="J248" s="1301">
        <v>1.1399999999999999</v>
      </c>
      <c r="K248" s="1301">
        <v>1.36</v>
      </c>
      <c r="L248" s="1301">
        <v>1.58</v>
      </c>
      <c r="M248" s="1302">
        <v>1.82</v>
      </c>
      <c r="N248" s="1300">
        <v>2.06</v>
      </c>
      <c r="O248" s="1301">
        <v>2.3199999999999998</v>
      </c>
      <c r="P248" s="1301">
        <v>2.59</v>
      </c>
      <c r="Q248" s="1301">
        <v>2.87</v>
      </c>
      <c r="R248" s="1301">
        <v>3.16</v>
      </c>
      <c r="S248" s="1301">
        <v>3.47</v>
      </c>
      <c r="T248" s="1301">
        <v>3.79</v>
      </c>
      <c r="U248" s="1301">
        <v>4.13</v>
      </c>
      <c r="V248" s="1301">
        <v>4.49</v>
      </c>
      <c r="W248" s="1302">
        <v>4.8600000000000003</v>
      </c>
      <c r="X248" s="1300">
        <v>5.25</v>
      </c>
      <c r="Y248" s="1301">
        <v>5.67</v>
      </c>
      <c r="Z248" s="1301">
        <v>6.11</v>
      </c>
      <c r="AA248" s="1301">
        <v>6.57</v>
      </c>
      <c r="AB248" s="1301">
        <v>7.05</v>
      </c>
      <c r="AC248" s="1301">
        <v>7.57</v>
      </c>
      <c r="AD248" s="1301">
        <v>8.1199999999999992</v>
      </c>
      <c r="AE248" s="1301">
        <v>8.6999999999999993</v>
      </c>
      <c r="AF248" s="1301">
        <v>9.32</v>
      </c>
      <c r="AG248" s="1302">
        <v>9.98</v>
      </c>
      <c r="AH248" s="1300">
        <v>10.69</v>
      </c>
      <c r="AI248" s="1301">
        <v>11.44</v>
      </c>
      <c r="AJ248" s="1301">
        <v>12.25</v>
      </c>
      <c r="AK248" s="1301">
        <v>13.11</v>
      </c>
      <c r="AL248" s="1301">
        <v>14.04</v>
      </c>
      <c r="AM248" s="1301">
        <v>15.03</v>
      </c>
      <c r="AN248" s="1301">
        <v>16.09</v>
      </c>
      <c r="AO248" s="1301">
        <v>17.23</v>
      </c>
      <c r="AP248" s="1301">
        <v>18.45</v>
      </c>
      <c r="AQ248" s="1302">
        <v>19.760000000000002</v>
      </c>
      <c r="AR248" s="1300">
        <v>21.15</v>
      </c>
      <c r="AS248" s="1301">
        <v>22.64</v>
      </c>
      <c r="AT248" s="1301">
        <v>24.21</v>
      </c>
      <c r="AU248" s="1301">
        <v>26.08</v>
      </c>
      <c r="AV248" s="1301">
        <v>27.92</v>
      </c>
      <c r="AW248" s="1301">
        <v>29.75</v>
      </c>
      <c r="AX248" s="1301">
        <v>31.57</v>
      </c>
      <c r="AY248" s="1301">
        <v>33.36</v>
      </c>
      <c r="AZ248" s="1301">
        <v>35.14</v>
      </c>
      <c r="BA248" s="1302">
        <v>36.89</v>
      </c>
      <c r="BB248" s="1300">
        <v>38.630000000000003</v>
      </c>
      <c r="BC248" s="1301">
        <v>40.36</v>
      </c>
      <c r="BD248" s="1301">
        <v>42.06</v>
      </c>
      <c r="BE248" s="1301">
        <v>43.75</v>
      </c>
      <c r="BF248" s="1301">
        <v>45.43</v>
      </c>
      <c r="BG248" s="1301">
        <v>47.08</v>
      </c>
      <c r="BH248" s="1301">
        <v>48.72</v>
      </c>
      <c r="BI248" s="1301">
        <v>50.35</v>
      </c>
      <c r="BJ248" s="1301">
        <v>51.95</v>
      </c>
      <c r="BK248" s="1302">
        <v>53.55</v>
      </c>
      <c r="BL248" s="1300">
        <v>55.12</v>
      </c>
      <c r="BM248" s="1301">
        <v>56.68</v>
      </c>
      <c r="BN248" s="1301">
        <v>58.23</v>
      </c>
      <c r="BO248" s="1301">
        <v>59.76</v>
      </c>
      <c r="BP248" s="1301">
        <v>61.27</v>
      </c>
      <c r="BQ248" s="1301">
        <v>62.77</v>
      </c>
      <c r="BR248" s="1301">
        <v>64.260000000000005</v>
      </c>
      <c r="BS248" s="1301">
        <v>65.73</v>
      </c>
      <c r="BT248" s="1301">
        <v>67.180000000000007</v>
      </c>
      <c r="BU248" s="1302">
        <v>68.62</v>
      </c>
      <c r="BV248" s="1300">
        <v>70.05</v>
      </c>
      <c r="BW248" s="1301">
        <v>71.459999999999994</v>
      </c>
      <c r="BX248" s="1301">
        <v>72.86</v>
      </c>
      <c r="BY248" s="1301">
        <v>74.239999999999995</v>
      </c>
      <c r="BZ248" s="1301">
        <v>75.61</v>
      </c>
      <c r="CA248" s="1301">
        <v>76.97</v>
      </c>
      <c r="CB248" s="1301">
        <v>78.319999999999993</v>
      </c>
      <c r="CC248" s="1301">
        <v>79.650000000000006</v>
      </c>
      <c r="CD248" s="1301">
        <v>80.959999999999994</v>
      </c>
      <c r="CE248" s="1302">
        <v>82.27</v>
      </c>
      <c r="CF248" s="1301">
        <v>83.56</v>
      </c>
      <c r="CG248" s="1301">
        <v>84.84</v>
      </c>
      <c r="CH248" s="1302">
        <v>86.11</v>
      </c>
    </row>
    <row r="249" spans="1:86" ht="20.149999999999999" customHeight="1">
      <c r="A249" s="1563" t="s">
        <v>1427</v>
      </c>
      <c r="B249" s="1563" t="s">
        <v>13</v>
      </c>
      <c r="C249" s="1563" t="str">
        <f t="shared" si="4"/>
        <v>PBSDDM38</v>
      </c>
      <c r="D249" s="1193">
        <v>38</v>
      </c>
      <c r="E249" s="1540"/>
      <c r="F249" s="1301">
        <v>0.37</v>
      </c>
      <c r="G249" s="1301">
        <v>0.56999999999999995</v>
      </c>
      <c r="H249" s="1301">
        <v>0.78</v>
      </c>
      <c r="I249" s="1301">
        <v>0.99</v>
      </c>
      <c r="J249" s="1301">
        <v>1.21</v>
      </c>
      <c r="K249" s="1301">
        <v>1.44</v>
      </c>
      <c r="L249" s="1301">
        <v>1.68</v>
      </c>
      <c r="M249" s="1302">
        <v>1.93</v>
      </c>
      <c r="N249" s="1300">
        <v>2.19</v>
      </c>
      <c r="O249" s="1301">
        <v>2.46</v>
      </c>
      <c r="P249" s="1301">
        <v>2.75</v>
      </c>
      <c r="Q249" s="1301">
        <v>3.05</v>
      </c>
      <c r="R249" s="1301">
        <v>3.37</v>
      </c>
      <c r="S249" s="1301">
        <v>3.7</v>
      </c>
      <c r="T249" s="1301">
        <v>4.04</v>
      </c>
      <c r="U249" s="1301">
        <v>4.41</v>
      </c>
      <c r="V249" s="1301">
        <v>4.79</v>
      </c>
      <c r="W249" s="1302">
        <v>5.19</v>
      </c>
      <c r="X249" s="1300">
        <v>5.62</v>
      </c>
      <c r="Y249" s="1301">
        <v>6.06</v>
      </c>
      <c r="Z249" s="1301">
        <v>6.54</v>
      </c>
      <c r="AA249" s="1301">
        <v>7.03</v>
      </c>
      <c r="AB249" s="1301">
        <v>7.56</v>
      </c>
      <c r="AC249" s="1301">
        <v>8.1300000000000008</v>
      </c>
      <c r="AD249" s="1301">
        <v>8.7200000000000006</v>
      </c>
      <c r="AE249" s="1301">
        <v>9.36</v>
      </c>
      <c r="AF249" s="1301">
        <v>10.029999999999999</v>
      </c>
      <c r="AG249" s="1302">
        <v>10.76</v>
      </c>
      <c r="AH249" s="1300">
        <v>11.53</v>
      </c>
      <c r="AI249" s="1301">
        <v>12.36</v>
      </c>
      <c r="AJ249" s="1301">
        <v>13.24</v>
      </c>
      <c r="AK249" s="1301">
        <v>14.19</v>
      </c>
      <c r="AL249" s="1301">
        <v>15.21</v>
      </c>
      <c r="AM249" s="1301">
        <v>16.3</v>
      </c>
      <c r="AN249" s="1301">
        <v>17.47</v>
      </c>
      <c r="AO249" s="1301">
        <v>18.72</v>
      </c>
      <c r="AP249" s="1301">
        <v>20.059999999999999</v>
      </c>
      <c r="AQ249" s="1302">
        <v>21.5</v>
      </c>
      <c r="AR249" s="1300">
        <v>23.02</v>
      </c>
      <c r="AS249" s="1301">
        <v>24.64</v>
      </c>
      <c r="AT249" s="1301">
        <v>26.56</v>
      </c>
      <c r="AU249" s="1301">
        <v>28.46</v>
      </c>
      <c r="AV249" s="1301">
        <v>30.35</v>
      </c>
      <c r="AW249" s="1301">
        <v>32.22</v>
      </c>
      <c r="AX249" s="1301">
        <v>34.07</v>
      </c>
      <c r="AY249" s="1301">
        <v>35.9</v>
      </c>
      <c r="AZ249" s="1301">
        <v>37.71</v>
      </c>
      <c r="BA249" s="1302">
        <v>39.5</v>
      </c>
      <c r="BB249" s="1300">
        <v>41.28</v>
      </c>
      <c r="BC249" s="1301">
        <v>43.04</v>
      </c>
      <c r="BD249" s="1301">
        <v>44.78</v>
      </c>
      <c r="BE249" s="1301">
        <v>46.5</v>
      </c>
      <c r="BF249" s="1301">
        <v>48.21</v>
      </c>
      <c r="BG249" s="1301">
        <v>49.9</v>
      </c>
      <c r="BH249" s="1301">
        <v>51.57</v>
      </c>
      <c r="BI249" s="1301">
        <v>53.23</v>
      </c>
      <c r="BJ249" s="1301">
        <v>54.87</v>
      </c>
      <c r="BK249" s="1302">
        <v>56.49</v>
      </c>
      <c r="BL249" s="1300">
        <v>58.1</v>
      </c>
      <c r="BM249" s="1301">
        <v>59.69</v>
      </c>
      <c r="BN249" s="1301">
        <v>61.27</v>
      </c>
      <c r="BO249" s="1301">
        <v>62.83</v>
      </c>
      <c r="BP249" s="1301">
        <v>64.38</v>
      </c>
      <c r="BQ249" s="1301">
        <v>65.91</v>
      </c>
      <c r="BR249" s="1301">
        <v>67.42</v>
      </c>
      <c r="BS249" s="1301">
        <v>68.92</v>
      </c>
      <c r="BT249" s="1301">
        <v>70.400000000000006</v>
      </c>
      <c r="BU249" s="1302">
        <v>71.88</v>
      </c>
      <c r="BV249" s="1300">
        <v>73.33</v>
      </c>
      <c r="BW249" s="1301">
        <v>74.77</v>
      </c>
      <c r="BX249" s="1301">
        <v>76.2</v>
      </c>
      <c r="BY249" s="1301">
        <v>77.61</v>
      </c>
      <c r="BZ249" s="1301">
        <v>79.010000000000005</v>
      </c>
      <c r="CA249" s="1301">
        <v>80.400000000000006</v>
      </c>
      <c r="CB249" s="1301">
        <v>81.77</v>
      </c>
      <c r="CC249" s="1301">
        <v>83.13</v>
      </c>
      <c r="CD249" s="1301">
        <v>84.47</v>
      </c>
      <c r="CE249" s="1302">
        <v>85.8</v>
      </c>
      <c r="CF249" s="1301">
        <v>87.12</v>
      </c>
      <c r="CG249" s="1301">
        <v>88.42</v>
      </c>
      <c r="CH249" s="1302">
        <v>89.72</v>
      </c>
    </row>
    <row r="250" spans="1:86" ht="20.149999999999999" customHeight="1">
      <c r="A250" s="1563" t="s">
        <v>1427</v>
      </c>
      <c r="B250" s="1563" t="s">
        <v>13</v>
      </c>
      <c r="C250" s="1563" t="str">
        <f t="shared" si="4"/>
        <v>PBSDDM39</v>
      </c>
      <c r="D250" s="1193">
        <v>39</v>
      </c>
      <c r="E250" s="1540"/>
      <c r="F250" s="1301">
        <v>0.4</v>
      </c>
      <c r="G250" s="1301">
        <v>0.6</v>
      </c>
      <c r="H250" s="1301">
        <v>0.82</v>
      </c>
      <c r="I250" s="1301">
        <v>1.05</v>
      </c>
      <c r="J250" s="1301">
        <v>1.28</v>
      </c>
      <c r="K250" s="1301">
        <v>1.53</v>
      </c>
      <c r="L250" s="1301">
        <v>1.78</v>
      </c>
      <c r="M250" s="1302">
        <v>2.0499999999999998</v>
      </c>
      <c r="N250" s="1300">
        <v>2.33</v>
      </c>
      <c r="O250" s="1301">
        <v>2.62</v>
      </c>
      <c r="P250" s="1301">
        <v>2.93</v>
      </c>
      <c r="Q250" s="1301">
        <v>3.25</v>
      </c>
      <c r="R250" s="1301">
        <v>3.59</v>
      </c>
      <c r="S250" s="1301">
        <v>3.94</v>
      </c>
      <c r="T250" s="1301">
        <v>4.32</v>
      </c>
      <c r="U250" s="1301">
        <v>4.71</v>
      </c>
      <c r="V250" s="1301">
        <v>5.12</v>
      </c>
      <c r="W250" s="1302">
        <v>5.56</v>
      </c>
      <c r="X250" s="1300">
        <v>6.01</v>
      </c>
      <c r="Y250" s="1301">
        <v>6.5</v>
      </c>
      <c r="Z250" s="1301">
        <v>7.01</v>
      </c>
      <c r="AA250" s="1301">
        <v>7.55</v>
      </c>
      <c r="AB250" s="1301">
        <v>8.1199999999999992</v>
      </c>
      <c r="AC250" s="1301">
        <v>8.74</v>
      </c>
      <c r="AD250" s="1301">
        <v>9.39</v>
      </c>
      <c r="AE250" s="1301">
        <v>10.08</v>
      </c>
      <c r="AF250" s="1301">
        <v>10.82</v>
      </c>
      <c r="AG250" s="1302">
        <v>11.61</v>
      </c>
      <c r="AH250" s="1300">
        <v>12.46</v>
      </c>
      <c r="AI250" s="1301">
        <v>13.37</v>
      </c>
      <c r="AJ250" s="1301">
        <v>14.34</v>
      </c>
      <c r="AK250" s="1301">
        <v>15.39</v>
      </c>
      <c r="AL250" s="1301">
        <v>16.510000000000002</v>
      </c>
      <c r="AM250" s="1301">
        <v>17.71</v>
      </c>
      <c r="AN250" s="1301">
        <v>19</v>
      </c>
      <c r="AO250" s="1301">
        <v>20.37</v>
      </c>
      <c r="AP250" s="1301">
        <v>21.84</v>
      </c>
      <c r="AQ250" s="1302">
        <v>23.41</v>
      </c>
      <c r="AR250" s="1300">
        <v>25.07</v>
      </c>
      <c r="AS250" s="1301">
        <v>27.06</v>
      </c>
      <c r="AT250" s="1301">
        <v>29.02</v>
      </c>
      <c r="AU250" s="1301">
        <v>30.96</v>
      </c>
      <c r="AV250" s="1301">
        <v>32.89</v>
      </c>
      <c r="AW250" s="1301">
        <v>34.79</v>
      </c>
      <c r="AX250" s="1301">
        <v>36.68</v>
      </c>
      <c r="AY250" s="1301">
        <v>38.549999999999997</v>
      </c>
      <c r="AZ250" s="1301">
        <v>40.4</v>
      </c>
      <c r="BA250" s="1302">
        <v>42.23</v>
      </c>
      <c r="BB250" s="1300">
        <v>44.05</v>
      </c>
      <c r="BC250" s="1301">
        <v>45.84</v>
      </c>
      <c r="BD250" s="1301">
        <v>47.62</v>
      </c>
      <c r="BE250" s="1301">
        <v>49.38</v>
      </c>
      <c r="BF250" s="1301">
        <v>51.12</v>
      </c>
      <c r="BG250" s="1301">
        <v>52.85</v>
      </c>
      <c r="BH250" s="1301">
        <v>54.55</v>
      </c>
      <c r="BI250" s="1301">
        <v>56.25</v>
      </c>
      <c r="BJ250" s="1301">
        <v>57.92</v>
      </c>
      <c r="BK250" s="1302">
        <v>59.58</v>
      </c>
      <c r="BL250" s="1300">
        <v>61.22</v>
      </c>
      <c r="BM250" s="1301">
        <v>62.85</v>
      </c>
      <c r="BN250" s="1301">
        <v>64.45</v>
      </c>
      <c r="BO250" s="1301">
        <v>66.05</v>
      </c>
      <c r="BP250" s="1301">
        <v>67.63</v>
      </c>
      <c r="BQ250" s="1301">
        <v>69.19</v>
      </c>
      <c r="BR250" s="1301">
        <v>70.73</v>
      </c>
      <c r="BS250" s="1301">
        <v>72.27</v>
      </c>
      <c r="BT250" s="1301">
        <v>73.78</v>
      </c>
      <c r="BU250" s="1302">
        <v>75.28</v>
      </c>
      <c r="BV250" s="1300">
        <v>76.77</v>
      </c>
      <c r="BW250" s="1301">
        <v>78.239999999999995</v>
      </c>
      <c r="BX250" s="1301">
        <v>79.7</v>
      </c>
      <c r="BY250" s="1301">
        <v>81.14</v>
      </c>
      <c r="BZ250" s="1301">
        <v>82.57</v>
      </c>
      <c r="CA250" s="1301">
        <v>83.98</v>
      </c>
      <c r="CB250" s="1301">
        <v>85.38</v>
      </c>
      <c r="CC250" s="1301">
        <v>86.77</v>
      </c>
      <c r="CD250" s="1301">
        <v>88.14</v>
      </c>
      <c r="CE250" s="1302">
        <v>89.5</v>
      </c>
      <c r="CF250" s="1301">
        <v>90.84</v>
      </c>
      <c r="CG250" s="1301">
        <v>92.18</v>
      </c>
      <c r="CH250" s="1302">
        <v>93.5</v>
      </c>
    </row>
    <row r="251" spans="1:86" ht="20.149999999999999" customHeight="1">
      <c r="A251" s="1563" t="s">
        <v>1427</v>
      </c>
      <c r="B251" s="1563" t="s">
        <v>13</v>
      </c>
      <c r="C251" s="1563" t="str">
        <f t="shared" si="4"/>
        <v>PBSDDM40</v>
      </c>
      <c r="D251" s="1193">
        <v>40</v>
      </c>
      <c r="E251" s="1540"/>
      <c r="F251" s="1301">
        <v>0.42</v>
      </c>
      <c r="G251" s="1301">
        <v>0.64</v>
      </c>
      <c r="H251" s="1301">
        <v>0.87</v>
      </c>
      <c r="I251" s="1301">
        <v>1.1100000000000001</v>
      </c>
      <c r="J251" s="1301">
        <v>1.36</v>
      </c>
      <c r="K251" s="1301">
        <v>1.62</v>
      </c>
      <c r="L251" s="1301">
        <v>1.9</v>
      </c>
      <c r="M251" s="1302">
        <v>2.1800000000000002</v>
      </c>
      <c r="N251" s="1300">
        <v>2.48</v>
      </c>
      <c r="O251" s="1301">
        <v>2.8</v>
      </c>
      <c r="P251" s="1301">
        <v>3.13</v>
      </c>
      <c r="Q251" s="1301">
        <v>3.47</v>
      </c>
      <c r="R251" s="1301">
        <v>3.84</v>
      </c>
      <c r="S251" s="1301">
        <v>4.22</v>
      </c>
      <c r="T251" s="1301">
        <v>4.62</v>
      </c>
      <c r="U251" s="1301">
        <v>5.04</v>
      </c>
      <c r="V251" s="1301">
        <v>5.48</v>
      </c>
      <c r="W251" s="1302">
        <v>5.95</v>
      </c>
      <c r="X251" s="1300">
        <v>6.45</v>
      </c>
      <c r="Y251" s="1301">
        <v>6.97</v>
      </c>
      <c r="Z251" s="1301">
        <v>7.53</v>
      </c>
      <c r="AA251" s="1301">
        <v>8.1199999999999992</v>
      </c>
      <c r="AB251" s="1301">
        <v>8.74</v>
      </c>
      <c r="AC251" s="1301">
        <v>9.41</v>
      </c>
      <c r="AD251" s="1301">
        <v>10.119999999999999</v>
      </c>
      <c r="AE251" s="1301">
        <v>10.88</v>
      </c>
      <c r="AF251" s="1301">
        <v>11.69</v>
      </c>
      <c r="AG251" s="1302">
        <v>12.56</v>
      </c>
      <c r="AH251" s="1300">
        <v>13.5</v>
      </c>
      <c r="AI251" s="1301">
        <v>14.5</v>
      </c>
      <c r="AJ251" s="1301">
        <v>15.57</v>
      </c>
      <c r="AK251" s="1301">
        <v>16.72</v>
      </c>
      <c r="AL251" s="1301">
        <v>17.95</v>
      </c>
      <c r="AM251" s="1301">
        <v>19.27</v>
      </c>
      <c r="AN251" s="1301">
        <v>20.69</v>
      </c>
      <c r="AO251" s="1301">
        <v>22.2</v>
      </c>
      <c r="AP251" s="1301">
        <v>23.81</v>
      </c>
      <c r="AQ251" s="1302">
        <v>25.52</v>
      </c>
      <c r="AR251" s="1300">
        <v>27.57</v>
      </c>
      <c r="AS251" s="1301">
        <v>29.59</v>
      </c>
      <c r="AT251" s="1301">
        <v>31.6</v>
      </c>
      <c r="AU251" s="1301">
        <v>33.58</v>
      </c>
      <c r="AV251" s="1301">
        <v>35.549999999999997</v>
      </c>
      <c r="AW251" s="1301">
        <v>37.5</v>
      </c>
      <c r="AX251" s="1301">
        <v>39.42</v>
      </c>
      <c r="AY251" s="1301">
        <v>41.33</v>
      </c>
      <c r="AZ251" s="1301">
        <v>43.22</v>
      </c>
      <c r="BA251" s="1302">
        <v>45.09</v>
      </c>
      <c r="BB251" s="1300">
        <v>46.95</v>
      </c>
      <c r="BC251" s="1301">
        <v>48.78</v>
      </c>
      <c r="BD251" s="1301">
        <v>50.59</v>
      </c>
      <c r="BE251" s="1301">
        <v>52.39</v>
      </c>
      <c r="BF251" s="1301">
        <v>54.17</v>
      </c>
      <c r="BG251" s="1301">
        <v>55.94</v>
      </c>
      <c r="BH251" s="1301">
        <v>57.68</v>
      </c>
      <c r="BI251" s="1301">
        <v>59.41</v>
      </c>
      <c r="BJ251" s="1301">
        <v>61.12</v>
      </c>
      <c r="BK251" s="1302">
        <v>62.81</v>
      </c>
      <c r="BL251" s="1300">
        <v>64.489999999999995</v>
      </c>
      <c r="BM251" s="1301">
        <v>66.150000000000006</v>
      </c>
      <c r="BN251" s="1301">
        <v>67.790000000000006</v>
      </c>
      <c r="BO251" s="1301">
        <v>69.42</v>
      </c>
      <c r="BP251" s="1301">
        <v>71.03</v>
      </c>
      <c r="BQ251" s="1301">
        <v>72.63</v>
      </c>
      <c r="BR251" s="1301">
        <v>74.209999999999994</v>
      </c>
      <c r="BS251" s="1301">
        <v>75.77</v>
      </c>
      <c r="BT251" s="1301">
        <v>77.319999999999993</v>
      </c>
      <c r="BU251" s="1302">
        <v>78.849999999999994</v>
      </c>
      <c r="BV251" s="1300">
        <v>80.37</v>
      </c>
      <c r="BW251" s="1301">
        <v>81.87</v>
      </c>
      <c r="BX251" s="1301">
        <v>83.36</v>
      </c>
      <c r="BY251" s="1301">
        <v>84.84</v>
      </c>
      <c r="BZ251" s="1301">
        <v>86.29</v>
      </c>
      <c r="CA251" s="1301">
        <v>87.74</v>
      </c>
      <c r="CB251" s="1301">
        <v>89.17</v>
      </c>
      <c r="CC251" s="1301">
        <v>90.58</v>
      </c>
      <c r="CD251" s="1301">
        <v>91.99</v>
      </c>
      <c r="CE251" s="1302">
        <v>93.37</v>
      </c>
      <c r="CF251" s="1301">
        <v>94.75</v>
      </c>
      <c r="CG251" s="1301">
        <v>96.11</v>
      </c>
      <c r="CH251" s="1302">
        <v>97.46</v>
      </c>
    </row>
    <row r="252" spans="1:86" ht="20.149999999999999" customHeight="1">
      <c r="A252" s="1563" t="s">
        <v>1427</v>
      </c>
      <c r="B252" s="1563" t="s">
        <v>13</v>
      </c>
      <c r="C252" s="1563" t="str">
        <f t="shared" si="4"/>
        <v>PBSDDM41</v>
      </c>
      <c r="D252" s="1194">
        <v>41</v>
      </c>
      <c r="E252" s="1541"/>
      <c r="F252" s="1304">
        <v>0.44</v>
      </c>
      <c r="G252" s="1304">
        <v>0.68</v>
      </c>
      <c r="H252" s="1304">
        <v>0.93</v>
      </c>
      <c r="I252" s="1304">
        <v>1.18</v>
      </c>
      <c r="J252" s="1304">
        <v>1.45</v>
      </c>
      <c r="K252" s="1304">
        <v>1.73</v>
      </c>
      <c r="L252" s="1304">
        <v>2.02</v>
      </c>
      <c r="M252" s="1305">
        <v>2.33</v>
      </c>
      <c r="N252" s="1303">
        <v>2.65</v>
      </c>
      <c r="O252" s="1304">
        <v>2.99</v>
      </c>
      <c r="P252" s="1304">
        <v>3.34</v>
      </c>
      <c r="Q252" s="1304">
        <v>3.71</v>
      </c>
      <c r="R252" s="1304">
        <v>4.0999999999999996</v>
      </c>
      <c r="S252" s="1304">
        <v>4.5199999999999996</v>
      </c>
      <c r="T252" s="1304">
        <v>4.95</v>
      </c>
      <c r="U252" s="1304">
        <v>5.4</v>
      </c>
      <c r="V252" s="1304">
        <v>5.88</v>
      </c>
      <c r="W252" s="1305">
        <v>6.39</v>
      </c>
      <c r="X252" s="1303">
        <v>6.93</v>
      </c>
      <c r="Y252" s="1304">
        <v>7.5</v>
      </c>
      <c r="Z252" s="1304">
        <v>8.1</v>
      </c>
      <c r="AA252" s="1304">
        <v>8.74</v>
      </c>
      <c r="AB252" s="1304">
        <v>9.43</v>
      </c>
      <c r="AC252" s="1304">
        <v>10.16</v>
      </c>
      <c r="AD252" s="1304">
        <v>10.94</v>
      </c>
      <c r="AE252" s="1304">
        <v>11.77</v>
      </c>
      <c r="AF252" s="1304">
        <v>12.66</v>
      </c>
      <c r="AG252" s="1305">
        <v>13.62</v>
      </c>
      <c r="AH252" s="1303">
        <v>14.64</v>
      </c>
      <c r="AI252" s="1304">
        <v>15.75</v>
      </c>
      <c r="AJ252" s="1304">
        <v>16.93</v>
      </c>
      <c r="AK252" s="1304">
        <v>18.190000000000001</v>
      </c>
      <c r="AL252" s="1304">
        <v>19.55</v>
      </c>
      <c r="AM252" s="1304">
        <v>21.01</v>
      </c>
      <c r="AN252" s="1304">
        <v>22.56</v>
      </c>
      <c r="AO252" s="1304">
        <v>24.22</v>
      </c>
      <c r="AP252" s="1304">
        <v>25.98</v>
      </c>
      <c r="AQ252" s="1305">
        <v>28.09</v>
      </c>
      <c r="AR252" s="1303">
        <v>30.18</v>
      </c>
      <c r="AS252" s="1304">
        <v>32.25</v>
      </c>
      <c r="AT252" s="1304">
        <v>34.299999999999997</v>
      </c>
      <c r="AU252" s="1304">
        <v>36.33</v>
      </c>
      <c r="AV252" s="1304">
        <v>38.340000000000003</v>
      </c>
      <c r="AW252" s="1304">
        <v>40.33</v>
      </c>
      <c r="AX252" s="1304">
        <v>42.3</v>
      </c>
      <c r="AY252" s="1304">
        <v>44.25</v>
      </c>
      <c r="AZ252" s="1304">
        <v>46.18</v>
      </c>
      <c r="BA252" s="1305">
        <v>48.09</v>
      </c>
      <c r="BB252" s="1303">
        <v>49.99</v>
      </c>
      <c r="BC252" s="1304">
        <v>51.86</v>
      </c>
      <c r="BD252" s="1304">
        <v>53.72</v>
      </c>
      <c r="BE252" s="1304">
        <v>55.55</v>
      </c>
      <c r="BF252" s="1304">
        <v>57.37</v>
      </c>
      <c r="BG252" s="1304">
        <v>59.18</v>
      </c>
      <c r="BH252" s="1304">
        <v>60.96</v>
      </c>
      <c r="BI252" s="1304">
        <v>62.72</v>
      </c>
      <c r="BJ252" s="1304">
        <v>64.47</v>
      </c>
      <c r="BK252" s="1305">
        <v>66.2</v>
      </c>
      <c r="BL252" s="1303">
        <v>67.92</v>
      </c>
      <c r="BM252" s="1304">
        <v>69.61</v>
      </c>
      <c r="BN252" s="1304">
        <v>71.290000000000006</v>
      </c>
      <c r="BO252" s="1304">
        <v>72.959999999999994</v>
      </c>
      <c r="BP252" s="1304">
        <v>74.599999999999994</v>
      </c>
      <c r="BQ252" s="1304">
        <v>76.239999999999995</v>
      </c>
      <c r="BR252" s="1304">
        <v>77.849999999999994</v>
      </c>
      <c r="BS252" s="1304">
        <v>79.45</v>
      </c>
      <c r="BT252" s="1304">
        <v>81.03</v>
      </c>
      <c r="BU252" s="1305">
        <v>82.6</v>
      </c>
      <c r="BV252" s="1303">
        <v>84.15</v>
      </c>
      <c r="BW252" s="1304">
        <v>85.69</v>
      </c>
      <c r="BX252" s="1304">
        <v>87.21</v>
      </c>
      <c r="BY252" s="1304">
        <v>88.71</v>
      </c>
      <c r="BZ252" s="1304">
        <v>90.2</v>
      </c>
      <c r="CA252" s="1304">
        <v>91.68</v>
      </c>
      <c r="CB252" s="1304">
        <v>93.14</v>
      </c>
      <c r="CC252" s="1304">
        <v>94.59</v>
      </c>
      <c r="CD252" s="1304">
        <v>96.02</v>
      </c>
      <c r="CE252" s="1305">
        <v>97.44</v>
      </c>
      <c r="CF252" s="1304">
        <v>98.84</v>
      </c>
      <c r="CG252" s="1304">
        <v>100.24</v>
      </c>
      <c r="CH252" s="1305">
        <v>101.61</v>
      </c>
    </row>
    <row r="253" spans="1:86" ht="20.149999999999999" customHeight="1">
      <c r="A253" s="1563" t="s">
        <v>1427</v>
      </c>
      <c r="B253" s="1563" t="s">
        <v>13</v>
      </c>
      <c r="C253" s="1563" t="str">
        <f t="shared" si="4"/>
        <v>PBSDDM42</v>
      </c>
      <c r="D253" s="1193">
        <v>42</v>
      </c>
      <c r="E253" s="1540"/>
      <c r="F253" s="1301">
        <v>0.47</v>
      </c>
      <c r="G253" s="1301">
        <v>0.72</v>
      </c>
      <c r="H253" s="1301">
        <v>0.98</v>
      </c>
      <c r="I253" s="1301">
        <v>1.26</v>
      </c>
      <c r="J253" s="1301">
        <v>1.54</v>
      </c>
      <c r="K253" s="1301">
        <v>1.84</v>
      </c>
      <c r="L253" s="1301">
        <v>2.16</v>
      </c>
      <c r="M253" s="1302">
        <v>2.4900000000000002</v>
      </c>
      <c r="N253" s="1300">
        <v>2.83</v>
      </c>
      <c r="O253" s="1301">
        <v>3.2</v>
      </c>
      <c r="P253" s="1301">
        <v>3.58</v>
      </c>
      <c r="Q253" s="1301">
        <v>3.98</v>
      </c>
      <c r="R253" s="1301">
        <v>4.4000000000000004</v>
      </c>
      <c r="S253" s="1301">
        <v>4.84</v>
      </c>
      <c r="T253" s="1301">
        <v>5.31</v>
      </c>
      <c r="U253" s="1301">
        <v>5.8</v>
      </c>
      <c r="V253" s="1301">
        <v>6.32</v>
      </c>
      <c r="W253" s="1302">
        <v>6.87</v>
      </c>
      <c r="X253" s="1300">
        <v>7.45</v>
      </c>
      <c r="Y253" s="1301">
        <v>8.07</v>
      </c>
      <c r="Z253" s="1301">
        <v>8.73</v>
      </c>
      <c r="AA253" s="1301">
        <v>9.43</v>
      </c>
      <c r="AB253" s="1301">
        <v>10.18</v>
      </c>
      <c r="AC253" s="1301">
        <v>10.98</v>
      </c>
      <c r="AD253" s="1301">
        <v>11.84</v>
      </c>
      <c r="AE253" s="1301">
        <v>12.75</v>
      </c>
      <c r="AF253" s="1301">
        <v>13.74</v>
      </c>
      <c r="AG253" s="1302">
        <v>14.79</v>
      </c>
      <c r="AH253" s="1300">
        <v>15.92</v>
      </c>
      <c r="AI253" s="1301">
        <v>17.14</v>
      </c>
      <c r="AJ253" s="1301">
        <v>18.440000000000001</v>
      </c>
      <c r="AK253" s="1301">
        <v>19.84</v>
      </c>
      <c r="AL253" s="1301">
        <v>21.33</v>
      </c>
      <c r="AM253" s="1301">
        <v>22.93</v>
      </c>
      <c r="AN253" s="1301">
        <v>24.63</v>
      </c>
      <c r="AO253" s="1301">
        <v>26.44</v>
      </c>
      <c r="AP253" s="1301">
        <v>28.63</v>
      </c>
      <c r="AQ253" s="1302">
        <v>30.79</v>
      </c>
      <c r="AR253" s="1300">
        <v>32.92</v>
      </c>
      <c r="AS253" s="1301">
        <v>35.04</v>
      </c>
      <c r="AT253" s="1301">
        <v>37.14</v>
      </c>
      <c r="AU253" s="1301">
        <v>39.21</v>
      </c>
      <c r="AV253" s="1301">
        <v>41.27</v>
      </c>
      <c r="AW253" s="1301">
        <v>43.3</v>
      </c>
      <c r="AX253" s="1301">
        <v>45.32</v>
      </c>
      <c r="AY253" s="1301">
        <v>47.31</v>
      </c>
      <c r="AZ253" s="1301">
        <v>49.29</v>
      </c>
      <c r="BA253" s="1302">
        <v>51.24</v>
      </c>
      <c r="BB253" s="1300">
        <v>53.18</v>
      </c>
      <c r="BC253" s="1301">
        <v>55.1</v>
      </c>
      <c r="BD253" s="1301">
        <v>56.99</v>
      </c>
      <c r="BE253" s="1301">
        <v>58.87</v>
      </c>
      <c r="BF253" s="1301">
        <v>60.73</v>
      </c>
      <c r="BG253" s="1301">
        <v>62.58</v>
      </c>
      <c r="BH253" s="1301">
        <v>64.400000000000006</v>
      </c>
      <c r="BI253" s="1301">
        <v>66.209999999999994</v>
      </c>
      <c r="BJ253" s="1301">
        <v>67.989999999999995</v>
      </c>
      <c r="BK253" s="1302">
        <v>69.760000000000005</v>
      </c>
      <c r="BL253" s="1300">
        <v>71.52</v>
      </c>
      <c r="BM253" s="1301">
        <v>73.25</v>
      </c>
      <c r="BN253" s="1301">
        <v>74.97</v>
      </c>
      <c r="BO253" s="1301">
        <v>76.67</v>
      </c>
      <c r="BP253" s="1301">
        <v>78.349999999999994</v>
      </c>
      <c r="BQ253" s="1301">
        <v>80.02</v>
      </c>
      <c r="BR253" s="1301">
        <v>81.67</v>
      </c>
      <c r="BS253" s="1301">
        <v>83.31</v>
      </c>
      <c r="BT253" s="1301">
        <v>84.93</v>
      </c>
      <c r="BU253" s="1302">
        <v>86.53</v>
      </c>
      <c r="BV253" s="1300">
        <v>88.12</v>
      </c>
      <c r="BW253" s="1301">
        <v>89.69</v>
      </c>
      <c r="BX253" s="1301">
        <v>91.24</v>
      </c>
      <c r="BY253" s="1301">
        <v>92.78</v>
      </c>
      <c r="BZ253" s="1301">
        <v>94.31</v>
      </c>
      <c r="CA253" s="1301">
        <v>95.82</v>
      </c>
      <c r="CB253" s="1301">
        <v>97.31</v>
      </c>
      <c r="CC253" s="1301">
        <v>98.79</v>
      </c>
      <c r="CD253" s="1301">
        <v>100.26</v>
      </c>
      <c r="CE253" s="1302">
        <v>101.71</v>
      </c>
      <c r="CF253" s="1301">
        <v>103.14</v>
      </c>
      <c r="CG253" s="1301">
        <v>104.57</v>
      </c>
      <c r="CH253" s="1302">
        <v>105.97</v>
      </c>
    </row>
    <row r="254" spans="1:86" ht="20.149999999999999" customHeight="1">
      <c r="A254" s="1563" t="s">
        <v>1427</v>
      </c>
      <c r="B254" s="1563" t="s">
        <v>13</v>
      </c>
      <c r="C254" s="1563" t="str">
        <f t="shared" si="4"/>
        <v>PBSDDM43</v>
      </c>
      <c r="D254" s="1193">
        <v>43</v>
      </c>
      <c r="E254" s="1540"/>
      <c r="F254" s="1301">
        <v>0.5</v>
      </c>
      <c r="G254" s="1301">
        <v>0.77</v>
      </c>
      <c r="H254" s="1301">
        <v>1.05</v>
      </c>
      <c r="I254" s="1301">
        <v>1.34</v>
      </c>
      <c r="J254" s="1301">
        <v>1.65</v>
      </c>
      <c r="K254" s="1301">
        <v>1.97</v>
      </c>
      <c r="L254" s="1301">
        <v>2.31</v>
      </c>
      <c r="M254" s="1302">
        <v>2.67</v>
      </c>
      <c r="N254" s="1300">
        <v>3.04</v>
      </c>
      <c r="O254" s="1301">
        <v>3.43</v>
      </c>
      <c r="P254" s="1301">
        <v>3.84</v>
      </c>
      <c r="Q254" s="1301">
        <v>4.2699999999999996</v>
      </c>
      <c r="R254" s="1301">
        <v>4.72</v>
      </c>
      <c r="S254" s="1301">
        <v>5.2</v>
      </c>
      <c r="T254" s="1301">
        <v>5.7</v>
      </c>
      <c r="U254" s="1301">
        <v>6.24</v>
      </c>
      <c r="V254" s="1301">
        <v>6.8</v>
      </c>
      <c r="W254" s="1302">
        <v>7.4</v>
      </c>
      <c r="X254" s="1300">
        <v>8.0299999999999994</v>
      </c>
      <c r="Y254" s="1301">
        <v>8.7100000000000009</v>
      </c>
      <c r="Z254" s="1301">
        <v>9.43</v>
      </c>
      <c r="AA254" s="1301">
        <v>10.199999999999999</v>
      </c>
      <c r="AB254" s="1301">
        <v>11.02</v>
      </c>
      <c r="AC254" s="1301">
        <v>11.9</v>
      </c>
      <c r="AD254" s="1301">
        <v>12.84</v>
      </c>
      <c r="AE254" s="1301">
        <v>13.85</v>
      </c>
      <c r="AF254" s="1301">
        <v>14.93</v>
      </c>
      <c r="AG254" s="1302">
        <v>16.09</v>
      </c>
      <c r="AH254" s="1300">
        <v>17.34</v>
      </c>
      <c r="AI254" s="1301">
        <v>18.68</v>
      </c>
      <c r="AJ254" s="1301">
        <v>20.12</v>
      </c>
      <c r="AK254" s="1301">
        <v>21.66</v>
      </c>
      <c r="AL254" s="1301">
        <v>23.3</v>
      </c>
      <c r="AM254" s="1301">
        <v>25.06</v>
      </c>
      <c r="AN254" s="1301">
        <v>26.92</v>
      </c>
      <c r="AO254" s="1301">
        <v>29.18</v>
      </c>
      <c r="AP254" s="1301">
        <v>31.41</v>
      </c>
      <c r="AQ254" s="1302">
        <v>33.619999999999997</v>
      </c>
      <c r="AR254" s="1300">
        <v>35.81</v>
      </c>
      <c r="AS254" s="1301">
        <v>37.97</v>
      </c>
      <c r="AT254" s="1301">
        <v>40.119999999999997</v>
      </c>
      <c r="AU254" s="1301">
        <v>42.24</v>
      </c>
      <c r="AV254" s="1301">
        <v>44.34</v>
      </c>
      <c r="AW254" s="1301">
        <v>46.43</v>
      </c>
      <c r="AX254" s="1301">
        <v>48.49</v>
      </c>
      <c r="AY254" s="1301">
        <v>50.53</v>
      </c>
      <c r="AZ254" s="1301">
        <v>52.55</v>
      </c>
      <c r="BA254" s="1302">
        <v>54.55</v>
      </c>
      <c r="BB254" s="1300">
        <v>56.53</v>
      </c>
      <c r="BC254" s="1301">
        <v>58.49</v>
      </c>
      <c r="BD254" s="1301">
        <v>60.44</v>
      </c>
      <c r="BE254" s="1301">
        <v>62.36</v>
      </c>
      <c r="BF254" s="1301">
        <v>64.260000000000005</v>
      </c>
      <c r="BG254" s="1301">
        <v>66.150000000000006</v>
      </c>
      <c r="BH254" s="1301">
        <v>68.010000000000005</v>
      </c>
      <c r="BI254" s="1301">
        <v>69.86</v>
      </c>
      <c r="BJ254" s="1301">
        <v>71.69</v>
      </c>
      <c r="BK254" s="1302">
        <v>73.5</v>
      </c>
      <c r="BL254" s="1300">
        <v>75.3</v>
      </c>
      <c r="BM254" s="1301">
        <v>77.069999999999993</v>
      </c>
      <c r="BN254" s="1301">
        <v>78.83</v>
      </c>
      <c r="BO254" s="1301">
        <v>80.569999999999993</v>
      </c>
      <c r="BP254" s="1301">
        <v>82.29</v>
      </c>
      <c r="BQ254" s="1301">
        <v>84</v>
      </c>
      <c r="BR254" s="1301">
        <v>85.69</v>
      </c>
      <c r="BS254" s="1301">
        <v>87.36</v>
      </c>
      <c r="BT254" s="1301">
        <v>89.02</v>
      </c>
      <c r="BU254" s="1302">
        <v>90.66</v>
      </c>
      <c r="BV254" s="1300">
        <v>92.28</v>
      </c>
      <c r="BW254" s="1301">
        <v>93.89</v>
      </c>
      <c r="BX254" s="1301">
        <v>95.48</v>
      </c>
      <c r="BY254" s="1301">
        <v>97.06</v>
      </c>
      <c r="BZ254" s="1301">
        <v>98.62</v>
      </c>
      <c r="CA254" s="1301">
        <v>100.16</v>
      </c>
      <c r="CB254" s="1301">
        <v>101.69</v>
      </c>
      <c r="CC254" s="1301">
        <v>103.21</v>
      </c>
      <c r="CD254" s="1301">
        <v>104.71</v>
      </c>
      <c r="CE254" s="1302">
        <v>106.19</v>
      </c>
      <c r="CF254" s="1301">
        <v>107.66</v>
      </c>
      <c r="CG254" s="1301">
        <v>109.12</v>
      </c>
      <c r="CH254" s="1302">
        <v>110.56</v>
      </c>
    </row>
    <row r="255" spans="1:86" ht="20.149999999999999" customHeight="1">
      <c r="A255" s="1563" t="s">
        <v>1427</v>
      </c>
      <c r="B255" s="1563" t="s">
        <v>13</v>
      </c>
      <c r="C255" s="1563" t="str">
        <f t="shared" si="4"/>
        <v>PBSDDM44</v>
      </c>
      <c r="D255" s="1193">
        <v>44</v>
      </c>
      <c r="E255" s="1540"/>
      <c r="F255" s="1301">
        <v>0.54</v>
      </c>
      <c r="G255" s="1301">
        <v>0.82</v>
      </c>
      <c r="H255" s="1301">
        <v>1.1200000000000001</v>
      </c>
      <c r="I255" s="1301">
        <v>1.44</v>
      </c>
      <c r="J255" s="1301">
        <v>1.77</v>
      </c>
      <c r="K255" s="1301">
        <v>2.12</v>
      </c>
      <c r="L255" s="1301">
        <v>2.48</v>
      </c>
      <c r="M255" s="1302">
        <v>2.86</v>
      </c>
      <c r="N255" s="1300">
        <v>3.26</v>
      </c>
      <c r="O255" s="1301">
        <v>3.68</v>
      </c>
      <c r="P255" s="1301">
        <v>4.12</v>
      </c>
      <c r="Q255" s="1301">
        <v>4.59</v>
      </c>
      <c r="R255" s="1301">
        <v>5.08</v>
      </c>
      <c r="S255" s="1301">
        <v>5.59</v>
      </c>
      <c r="T255" s="1301">
        <v>6.14</v>
      </c>
      <c r="U255" s="1301">
        <v>6.72</v>
      </c>
      <c r="V255" s="1301">
        <v>7.33</v>
      </c>
      <c r="W255" s="1302">
        <v>7.98</v>
      </c>
      <c r="X255" s="1300">
        <v>8.67</v>
      </c>
      <c r="Y255" s="1301">
        <v>9.41</v>
      </c>
      <c r="Z255" s="1301">
        <v>10.199999999999999</v>
      </c>
      <c r="AA255" s="1301">
        <v>11.05</v>
      </c>
      <c r="AB255" s="1301">
        <v>11.95</v>
      </c>
      <c r="AC255" s="1301">
        <v>12.91</v>
      </c>
      <c r="AD255" s="1301">
        <v>13.95</v>
      </c>
      <c r="AE255" s="1301">
        <v>15.06</v>
      </c>
      <c r="AF255" s="1301">
        <v>16.260000000000002</v>
      </c>
      <c r="AG255" s="1302">
        <v>17.54</v>
      </c>
      <c r="AH255" s="1300">
        <v>18.920000000000002</v>
      </c>
      <c r="AI255" s="1301">
        <v>20.399999999999999</v>
      </c>
      <c r="AJ255" s="1301">
        <v>21.98</v>
      </c>
      <c r="AK255" s="1301">
        <v>23.68</v>
      </c>
      <c r="AL255" s="1301">
        <v>25.48</v>
      </c>
      <c r="AM255" s="1301">
        <v>27.41</v>
      </c>
      <c r="AN255" s="1301">
        <v>29.74</v>
      </c>
      <c r="AO255" s="1301">
        <v>32.049999999999997</v>
      </c>
      <c r="AP255" s="1301">
        <v>34.33</v>
      </c>
      <c r="AQ255" s="1302">
        <v>36.590000000000003</v>
      </c>
      <c r="AR255" s="1300">
        <v>38.840000000000003</v>
      </c>
      <c r="AS255" s="1301">
        <v>41.05</v>
      </c>
      <c r="AT255" s="1301">
        <v>43.25</v>
      </c>
      <c r="AU255" s="1301">
        <v>45.42</v>
      </c>
      <c r="AV255" s="1301">
        <v>47.58</v>
      </c>
      <c r="AW255" s="1301">
        <v>49.71</v>
      </c>
      <c r="AX255" s="1301">
        <v>51.82</v>
      </c>
      <c r="AY255" s="1301">
        <v>53.91</v>
      </c>
      <c r="AZ255" s="1301">
        <v>55.98</v>
      </c>
      <c r="BA255" s="1302">
        <v>58.03</v>
      </c>
      <c r="BB255" s="1300">
        <v>60.06</v>
      </c>
      <c r="BC255" s="1301">
        <v>62.07</v>
      </c>
      <c r="BD255" s="1301">
        <v>64.05</v>
      </c>
      <c r="BE255" s="1301">
        <v>66.02</v>
      </c>
      <c r="BF255" s="1301">
        <v>67.97</v>
      </c>
      <c r="BG255" s="1301">
        <v>69.900000000000006</v>
      </c>
      <c r="BH255" s="1301">
        <v>71.81</v>
      </c>
      <c r="BI255" s="1301">
        <v>73.709999999999994</v>
      </c>
      <c r="BJ255" s="1301">
        <v>75.58</v>
      </c>
      <c r="BK255" s="1302">
        <v>77.430000000000007</v>
      </c>
      <c r="BL255" s="1300">
        <v>79.27</v>
      </c>
      <c r="BM255" s="1301">
        <v>81.09</v>
      </c>
      <c r="BN255" s="1301">
        <v>82.89</v>
      </c>
      <c r="BO255" s="1301">
        <v>84.67</v>
      </c>
      <c r="BP255" s="1301">
        <v>86.43</v>
      </c>
      <c r="BQ255" s="1301">
        <v>88.18</v>
      </c>
      <c r="BR255" s="1301">
        <v>89.91</v>
      </c>
      <c r="BS255" s="1301">
        <v>91.62</v>
      </c>
      <c r="BT255" s="1301">
        <v>93.32</v>
      </c>
      <c r="BU255" s="1302">
        <v>95</v>
      </c>
      <c r="BV255" s="1300">
        <v>96.66</v>
      </c>
      <c r="BW255" s="1301">
        <v>98.31</v>
      </c>
      <c r="BX255" s="1301">
        <v>99.94</v>
      </c>
      <c r="BY255" s="1301">
        <v>101.55</v>
      </c>
      <c r="BZ255" s="1301">
        <v>103.15</v>
      </c>
      <c r="CA255" s="1301">
        <v>104.73</v>
      </c>
      <c r="CB255" s="1301">
        <v>106.3</v>
      </c>
      <c r="CC255" s="1301">
        <v>107.85</v>
      </c>
      <c r="CD255" s="1301">
        <v>109.38</v>
      </c>
      <c r="CE255" s="1302">
        <v>110.9</v>
      </c>
      <c r="CF255" s="1301">
        <v>112.41</v>
      </c>
      <c r="CG255" s="1301">
        <v>113.9</v>
      </c>
      <c r="CH255" s="1302">
        <v>115.37</v>
      </c>
    </row>
    <row r="256" spans="1:86" ht="20.149999999999999" customHeight="1">
      <c r="A256" s="1563" t="s">
        <v>1427</v>
      </c>
      <c r="B256" s="1563" t="s">
        <v>13</v>
      </c>
      <c r="C256" s="1563" t="str">
        <f t="shared" si="4"/>
        <v>PBSDDM45</v>
      </c>
      <c r="D256" s="1195">
        <v>45</v>
      </c>
      <c r="E256" s="1542"/>
      <c r="F256" s="1307">
        <v>0.57999999999999996</v>
      </c>
      <c r="G256" s="1307">
        <v>0.88</v>
      </c>
      <c r="H256" s="1307">
        <v>1.21</v>
      </c>
      <c r="I256" s="1307">
        <v>1.54</v>
      </c>
      <c r="J256" s="1307">
        <v>1.9</v>
      </c>
      <c r="K256" s="1307">
        <v>2.27</v>
      </c>
      <c r="L256" s="1307">
        <v>2.66</v>
      </c>
      <c r="M256" s="1308">
        <v>3.07</v>
      </c>
      <c r="N256" s="1306">
        <v>3.5</v>
      </c>
      <c r="O256" s="1307">
        <v>3.96</v>
      </c>
      <c r="P256" s="1307">
        <v>4.43</v>
      </c>
      <c r="Q256" s="1307">
        <v>4.93</v>
      </c>
      <c r="R256" s="1307">
        <v>5.46</v>
      </c>
      <c r="S256" s="1307">
        <v>6.02</v>
      </c>
      <c r="T256" s="1307">
        <v>6.62</v>
      </c>
      <c r="U256" s="1307">
        <v>7.25</v>
      </c>
      <c r="V256" s="1307">
        <v>7.91</v>
      </c>
      <c r="W256" s="1308">
        <v>8.6199999999999992</v>
      </c>
      <c r="X256" s="1306">
        <v>9.3800000000000008</v>
      </c>
      <c r="Y256" s="1307">
        <v>10.19</v>
      </c>
      <c r="Z256" s="1307">
        <v>11.06</v>
      </c>
      <c r="AA256" s="1307">
        <v>11.99</v>
      </c>
      <c r="AB256" s="1307">
        <v>12.98</v>
      </c>
      <c r="AC256" s="1307">
        <v>14.05</v>
      </c>
      <c r="AD256" s="1307">
        <v>15.19</v>
      </c>
      <c r="AE256" s="1307">
        <v>16.420000000000002</v>
      </c>
      <c r="AF256" s="1307">
        <v>17.739999999999998</v>
      </c>
      <c r="AG256" s="1308">
        <v>19.16</v>
      </c>
      <c r="AH256" s="1306">
        <v>20.68</v>
      </c>
      <c r="AI256" s="1307">
        <v>22.31</v>
      </c>
      <c r="AJ256" s="1307">
        <v>24.06</v>
      </c>
      <c r="AK256" s="1307">
        <v>25.92</v>
      </c>
      <c r="AL256" s="1307">
        <v>27.9</v>
      </c>
      <c r="AM256" s="1307">
        <v>30.31</v>
      </c>
      <c r="AN256" s="1307">
        <v>32.700000000000003</v>
      </c>
      <c r="AO256" s="1307">
        <v>35.06</v>
      </c>
      <c r="AP256" s="1307">
        <v>37.409999999999997</v>
      </c>
      <c r="AQ256" s="1308">
        <v>39.729999999999997</v>
      </c>
      <c r="AR256" s="1306">
        <v>42.02</v>
      </c>
      <c r="AS256" s="1307">
        <v>44.29</v>
      </c>
      <c r="AT256" s="1307">
        <v>46.54</v>
      </c>
      <c r="AU256" s="1307">
        <v>48.77</v>
      </c>
      <c r="AV256" s="1307">
        <v>50.98</v>
      </c>
      <c r="AW256" s="1307">
        <v>53.16</v>
      </c>
      <c r="AX256" s="1307">
        <v>55.33</v>
      </c>
      <c r="AY256" s="1307">
        <v>57.47</v>
      </c>
      <c r="AZ256" s="1307">
        <v>59.59</v>
      </c>
      <c r="BA256" s="1308">
        <v>61.69</v>
      </c>
      <c r="BB256" s="1306">
        <v>63.76</v>
      </c>
      <c r="BC256" s="1307">
        <v>65.819999999999993</v>
      </c>
      <c r="BD256" s="1307">
        <v>67.86</v>
      </c>
      <c r="BE256" s="1307">
        <v>69.88</v>
      </c>
      <c r="BF256" s="1307">
        <v>71.87</v>
      </c>
      <c r="BG256" s="1307">
        <v>73.849999999999994</v>
      </c>
      <c r="BH256" s="1307">
        <v>75.81</v>
      </c>
      <c r="BI256" s="1307">
        <v>77.75</v>
      </c>
      <c r="BJ256" s="1307">
        <v>79.67</v>
      </c>
      <c r="BK256" s="1308">
        <v>81.569999999999993</v>
      </c>
      <c r="BL256" s="1306">
        <v>83.45</v>
      </c>
      <c r="BM256" s="1307">
        <v>85.31</v>
      </c>
      <c r="BN256" s="1307">
        <v>87.16</v>
      </c>
      <c r="BO256" s="1307">
        <v>88.98</v>
      </c>
      <c r="BP256" s="1307">
        <v>90.79</v>
      </c>
      <c r="BQ256" s="1307">
        <v>92.58</v>
      </c>
      <c r="BR256" s="1307">
        <v>94.35</v>
      </c>
      <c r="BS256" s="1307">
        <v>96.11</v>
      </c>
      <c r="BT256" s="1307">
        <v>97.85</v>
      </c>
      <c r="BU256" s="1308">
        <v>99.57</v>
      </c>
      <c r="BV256" s="1306">
        <v>101.27</v>
      </c>
      <c r="BW256" s="1307">
        <v>102.96</v>
      </c>
      <c r="BX256" s="1307">
        <v>104.62</v>
      </c>
      <c r="BY256" s="1307">
        <v>106.28</v>
      </c>
      <c r="BZ256" s="1307">
        <v>107.91</v>
      </c>
      <c r="CA256" s="1307">
        <v>109.54</v>
      </c>
      <c r="CB256" s="1307">
        <v>111.14</v>
      </c>
      <c r="CC256" s="1307">
        <v>112.73</v>
      </c>
      <c r="CD256" s="1307">
        <v>114.3</v>
      </c>
      <c r="CE256" s="1308">
        <v>115.86</v>
      </c>
      <c r="CF256" s="1307">
        <v>117.4</v>
      </c>
      <c r="CG256" s="1307">
        <v>118.93</v>
      </c>
      <c r="CH256" s="1308">
        <v>120.44</v>
      </c>
    </row>
    <row r="257" spans="1:86" ht="20.149999999999999" customHeight="1">
      <c r="A257" s="1563" t="s">
        <v>1427</v>
      </c>
      <c r="B257" s="1563" t="s">
        <v>13</v>
      </c>
      <c r="C257" s="1563" t="str">
        <f t="shared" si="4"/>
        <v>PBSDDM46</v>
      </c>
      <c r="D257" s="1193">
        <v>46</v>
      </c>
      <c r="E257" s="1540"/>
      <c r="F257" s="1301">
        <v>0.62</v>
      </c>
      <c r="G257" s="1301">
        <v>0.95</v>
      </c>
      <c r="H257" s="1301">
        <v>1.29</v>
      </c>
      <c r="I257" s="1301">
        <v>1.66</v>
      </c>
      <c r="J257" s="1301">
        <v>2.04</v>
      </c>
      <c r="K257" s="1301">
        <v>2.44</v>
      </c>
      <c r="L257" s="1301">
        <v>2.86</v>
      </c>
      <c r="M257" s="1302">
        <v>3.3</v>
      </c>
      <c r="N257" s="1300">
        <v>3.77</v>
      </c>
      <c r="O257" s="1301">
        <v>4.26</v>
      </c>
      <c r="P257" s="1301">
        <v>4.7699999999999996</v>
      </c>
      <c r="Q257" s="1301">
        <v>5.31</v>
      </c>
      <c r="R257" s="1301">
        <v>5.89</v>
      </c>
      <c r="S257" s="1301">
        <v>6.5</v>
      </c>
      <c r="T257" s="1301">
        <v>7.14</v>
      </c>
      <c r="U257" s="1301">
        <v>7.83</v>
      </c>
      <c r="V257" s="1301">
        <v>8.56</v>
      </c>
      <c r="W257" s="1302">
        <v>9.34</v>
      </c>
      <c r="X257" s="1300">
        <v>10.17</v>
      </c>
      <c r="Y257" s="1301">
        <v>11.06</v>
      </c>
      <c r="Z257" s="1301">
        <v>12.01</v>
      </c>
      <c r="AA257" s="1301">
        <v>13.03</v>
      </c>
      <c r="AB257" s="1301">
        <v>14.13</v>
      </c>
      <c r="AC257" s="1301">
        <v>15.3</v>
      </c>
      <c r="AD257" s="1301">
        <v>16.57</v>
      </c>
      <c r="AE257" s="1301">
        <v>17.93</v>
      </c>
      <c r="AF257" s="1301">
        <v>19.39</v>
      </c>
      <c r="AG257" s="1302">
        <v>20.96</v>
      </c>
      <c r="AH257" s="1300">
        <v>22.64</v>
      </c>
      <c r="AI257" s="1301">
        <v>24.44</v>
      </c>
      <c r="AJ257" s="1301">
        <v>26.35</v>
      </c>
      <c r="AK257" s="1301">
        <v>28.4</v>
      </c>
      <c r="AL257" s="1301">
        <v>30.89</v>
      </c>
      <c r="AM257" s="1301">
        <v>33.369999999999997</v>
      </c>
      <c r="AN257" s="1301">
        <v>35.82</v>
      </c>
      <c r="AO257" s="1301">
        <v>38.24</v>
      </c>
      <c r="AP257" s="1301">
        <v>40.64</v>
      </c>
      <c r="AQ257" s="1302">
        <v>43.02</v>
      </c>
      <c r="AR257" s="1300">
        <v>45.37</v>
      </c>
      <c r="AS257" s="1301">
        <v>47.7</v>
      </c>
      <c r="AT257" s="1301">
        <v>50.01</v>
      </c>
      <c r="AU257" s="1301">
        <v>52.3</v>
      </c>
      <c r="AV257" s="1301">
        <v>54.56</v>
      </c>
      <c r="AW257" s="1301">
        <v>56.8</v>
      </c>
      <c r="AX257" s="1301">
        <v>59.01</v>
      </c>
      <c r="AY257" s="1301">
        <v>61.21</v>
      </c>
      <c r="AZ257" s="1301">
        <v>63.38</v>
      </c>
      <c r="BA257" s="1302">
        <v>65.540000000000006</v>
      </c>
      <c r="BB257" s="1300">
        <v>67.67</v>
      </c>
      <c r="BC257" s="1301">
        <v>69.78</v>
      </c>
      <c r="BD257" s="1301">
        <v>71.86</v>
      </c>
      <c r="BE257" s="1301">
        <v>73.930000000000007</v>
      </c>
      <c r="BF257" s="1301">
        <v>75.98</v>
      </c>
      <c r="BG257" s="1301">
        <v>78.010000000000005</v>
      </c>
      <c r="BH257" s="1301">
        <v>80.02</v>
      </c>
      <c r="BI257" s="1301">
        <v>82</v>
      </c>
      <c r="BJ257" s="1301">
        <v>83.97</v>
      </c>
      <c r="BK257" s="1302">
        <v>85.92</v>
      </c>
      <c r="BL257" s="1300">
        <v>87.85</v>
      </c>
      <c r="BM257" s="1301">
        <v>89.76</v>
      </c>
      <c r="BN257" s="1301">
        <v>91.65</v>
      </c>
      <c r="BO257" s="1301">
        <v>93.52</v>
      </c>
      <c r="BP257" s="1301">
        <v>95.37</v>
      </c>
      <c r="BQ257" s="1301">
        <v>97.21</v>
      </c>
      <c r="BR257" s="1301">
        <v>99.03</v>
      </c>
      <c r="BS257" s="1301">
        <v>100.83</v>
      </c>
      <c r="BT257" s="1301">
        <v>102.61</v>
      </c>
      <c r="BU257" s="1302">
        <v>104.37</v>
      </c>
      <c r="BV257" s="1300">
        <v>106.12</v>
      </c>
      <c r="BW257" s="1301">
        <v>107.85</v>
      </c>
      <c r="BX257" s="1301">
        <v>109.56</v>
      </c>
      <c r="BY257" s="1301">
        <v>111.25</v>
      </c>
      <c r="BZ257" s="1301">
        <v>112.93</v>
      </c>
      <c r="CA257" s="1301">
        <v>114.59</v>
      </c>
      <c r="CB257" s="1301">
        <v>116.24</v>
      </c>
      <c r="CC257" s="1301">
        <v>117.87</v>
      </c>
      <c r="CD257" s="1301">
        <v>119.48</v>
      </c>
      <c r="CE257" s="1302">
        <v>121.08</v>
      </c>
      <c r="CF257" s="1301">
        <v>122.66</v>
      </c>
      <c r="CG257" s="1301">
        <v>124.22</v>
      </c>
      <c r="CH257" s="1302">
        <v>125.77</v>
      </c>
    </row>
    <row r="258" spans="1:86" ht="20.149999999999999" customHeight="1">
      <c r="A258" s="1563" t="s">
        <v>1427</v>
      </c>
      <c r="B258" s="1563" t="s">
        <v>13</v>
      </c>
      <c r="C258" s="1563" t="str">
        <f t="shared" si="4"/>
        <v>PBSDDM47</v>
      </c>
      <c r="D258" s="1193">
        <v>47</v>
      </c>
      <c r="E258" s="1540"/>
      <c r="F258" s="1301">
        <v>0.66</v>
      </c>
      <c r="G258" s="1301">
        <v>1.02</v>
      </c>
      <c r="H258" s="1301">
        <v>1.39</v>
      </c>
      <c r="I258" s="1301">
        <v>1.78</v>
      </c>
      <c r="J258" s="1301">
        <v>2.19</v>
      </c>
      <c r="K258" s="1301">
        <v>2.62</v>
      </c>
      <c r="L258" s="1301">
        <v>3.08</v>
      </c>
      <c r="M258" s="1302">
        <v>3.55</v>
      </c>
      <c r="N258" s="1300">
        <v>4.05</v>
      </c>
      <c r="O258" s="1301">
        <v>4.58</v>
      </c>
      <c r="P258" s="1301">
        <v>5.14</v>
      </c>
      <c r="Q258" s="1301">
        <v>5.73</v>
      </c>
      <c r="R258" s="1301">
        <v>6.35</v>
      </c>
      <c r="S258" s="1301">
        <v>7.01</v>
      </c>
      <c r="T258" s="1301">
        <v>7.72</v>
      </c>
      <c r="U258" s="1301">
        <v>8.4700000000000006</v>
      </c>
      <c r="V258" s="1301">
        <v>9.27</v>
      </c>
      <c r="W258" s="1302">
        <v>10.119999999999999</v>
      </c>
      <c r="X258" s="1300">
        <v>11.04</v>
      </c>
      <c r="Y258" s="1301">
        <v>12.02</v>
      </c>
      <c r="Z258" s="1301">
        <v>13.07</v>
      </c>
      <c r="AA258" s="1301">
        <v>14.2</v>
      </c>
      <c r="AB258" s="1301">
        <v>15.41</v>
      </c>
      <c r="AC258" s="1301">
        <v>16.71</v>
      </c>
      <c r="AD258" s="1301">
        <v>18.11</v>
      </c>
      <c r="AE258" s="1301">
        <v>19.61</v>
      </c>
      <c r="AF258" s="1301">
        <v>21.23</v>
      </c>
      <c r="AG258" s="1302">
        <v>22.96</v>
      </c>
      <c r="AH258" s="1300">
        <v>24.81</v>
      </c>
      <c r="AI258" s="1301">
        <v>26.79</v>
      </c>
      <c r="AJ258" s="1301">
        <v>28.9</v>
      </c>
      <c r="AK258" s="1301">
        <v>31.49</v>
      </c>
      <c r="AL258" s="1301">
        <v>34.049999999999997</v>
      </c>
      <c r="AM258" s="1301">
        <v>36.590000000000003</v>
      </c>
      <c r="AN258" s="1301">
        <v>39.1</v>
      </c>
      <c r="AO258" s="1301">
        <v>41.59</v>
      </c>
      <c r="AP258" s="1301">
        <v>44.05</v>
      </c>
      <c r="AQ258" s="1302">
        <v>46.49</v>
      </c>
      <c r="AR258" s="1300">
        <v>48.91</v>
      </c>
      <c r="AS258" s="1301">
        <v>51.3</v>
      </c>
      <c r="AT258" s="1301">
        <v>53.66</v>
      </c>
      <c r="AU258" s="1301">
        <v>56.01</v>
      </c>
      <c r="AV258" s="1301">
        <v>58.33</v>
      </c>
      <c r="AW258" s="1301">
        <v>60.63</v>
      </c>
      <c r="AX258" s="1301">
        <v>62.9</v>
      </c>
      <c r="AY258" s="1301">
        <v>65.150000000000006</v>
      </c>
      <c r="AZ258" s="1301">
        <v>67.38</v>
      </c>
      <c r="BA258" s="1302">
        <v>69.59</v>
      </c>
      <c r="BB258" s="1300">
        <v>71.78</v>
      </c>
      <c r="BC258" s="1301">
        <v>73.94</v>
      </c>
      <c r="BD258" s="1301">
        <v>76.08</v>
      </c>
      <c r="BE258" s="1301">
        <v>78.209999999999994</v>
      </c>
      <c r="BF258" s="1301">
        <v>80.31</v>
      </c>
      <c r="BG258" s="1301">
        <v>82.39</v>
      </c>
      <c r="BH258" s="1301">
        <v>84.45</v>
      </c>
      <c r="BI258" s="1301">
        <v>86.48</v>
      </c>
      <c r="BJ258" s="1301">
        <v>88.5</v>
      </c>
      <c r="BK258" s="1302">
        <v>90.5</v>
      </c>
      <c r="BL258" s="1300">
        <v>92.48</v>
      </c>
      <c r="BM258" s="1301">
        <v>94.44</v>
      </c>
      <c r="BN258" s="1301">
        <v>96.38</v>
      </c>
      <c r="BO258" s="1301">
        <v>98.3</v>
      </c>
      <c r="BP258" s="1301">
        <v>100.2</v>
      </c>
      <c r="BQ258" s="1301">
        <v>102.09</v>
      </c>
      <c r="BR258" s="1301">
        <v>103.95</v>
      </c>
      <c r="BS258" s="1301">
        <v>105.8</v>
      </c>
      <c r="BT258" s="1301">
        <v>107.62</v>
      </c>
      <c r="BU258" s="1302">
        <v>109.43</v>
      </c>
      <c r="BV258" s="1300">
        <v>111.23</v>
      </c>
      <c r="BW258" s="1301">
        <v>113</v>
      </c>
      <c r="BX258" s="1301">
        <v>114.76</v>
      </c>
      <c r="BY258" s="1301">
        <v>116.49</v>
      </c>
      <c r="BZ258" s="1301">
        <v>118.22</v>
      </c>
      <c r="CA258" s="1301">
        <v>119.92</v>
      </c>
      <c r="CB258" s="1301">
        <v>121.61</v>
      </c>
      <c r="CC258" s="1301">
        <v>123.28</v>
      </c>
      <c r="CD258" s="1301">
        <v>124.93</v>
      </c>
      <c r="CE258" s="1302">
        <v>126.57</v>
      </c>
      <c r="CF258" s="1301">
        <v>128.19</v>
      </c>
      <c r="CG258" s="1301">
        <v>129.80000000000001</v>
      </c>
      <c r="CH258" s="1302">
        <v>131.38999999999999</v>
      </c>
    </row>
    <row r="259" spans="1:86" ht="20.149999999999999" customHeight="1">
      <c r="A259" s="1563" t="s">
        <v>1427</v>
      </c>
      <c r="B259" s="1563" t="s">
        <v>13</v>
      </c>
      <c r="C259" s="1563" t="str">
        <f t="shared" si="4"/>
        <v>PBSDDM48</v>
      </c>
      <c r="D259" s="1193">
        <v>48</v>
      </c>
      <c r="E259" s="1540"/>
      <c r="F259" s="1301">
        <v>0.71</v>
      </c>
      <c r="G259" s="1301">
        <v>1.0900000000000001</v>
      </c>
      <c r="H259" s="1301">
        <v>1.5</v>
      </c>
      <c r="I259" s="1301">
        <v>1.92</v>
      </c>
      <c r="J259" s="1301">
        <v>2.36</v>
      </c>
      <c r="K259" s="1301">
        <v>2.82</v>
      </c>
      <c r="L259" s="1301">
        <v>3.31</v>
      </c>
      <c r="M259" s="1302">
        <v>3.83</v>
      </c>
      <c r="N259" s="1300">
        <v>4.37</v>
      </c>
      <c r="O259" s="1301">
        <v>4.9400000000000004</v>
      </c>
      <c r="P259" s="1301">
        <v>5.54</v>
      </c>
      <c r="Q259" s="1301">
        <v>6.18</v>
      </c>
      <c r="R259" s="1301">
        <v>6.86</v>
      </c>
      <c r="S259" s="1301">
        <v>7.59</v>
      </c>
      <c r="T259" s="1301">
        <v>8.36</v>
      </c>
      <c r="U259" s="1301">
        <v>9.18</v>
      </c>
      <c r="V259" s="1301">
        <v>10.06</v>
      </c>
      <c r="W259" s="1302">
        <v>11</v>
      </c>
      <c r="X259" s="1300">
        <v>12</v>
      </c>
      <c r="Y259" s="1301">
        <v>13.09</v>
      </c>
      <c r="Z259" s="1301">
        <v>14.25</v>
      </c>
      <c r="AA259" s="1301">
        <v>15.49</v>
      </c>
      <c r="AB259" s="1301">
        <v>16.829999999999998</v>
      </c>
      <c r="AC259" s="1301">
        <v>18.27</v>
      </c>
      <c r="AD259" s="1301">
        <v>19.82</v>
      </c>
      <c r="AE259" s="1301">
        <v>21.49</v>
      </c>
      <c r="AF259" s="1301">
        <v>23.27</v>
      </c>
      <c r="AG259" s="1302">
        <v>25.19</v>
      </c>
      <c r="AH259" s="1300">
        <v>27.23</v>
      </c>
      <c r="AI259" s="1301">
        <v>29.4</v>
      </c>
      <c r="AJ259" s="1301">
        <v>32.090000000000003</v>
      </c>
      <c r="AK259" s="1301">
        <v>34.74</v>
      </c>
      <c r="AL259" s="1301">
        <v>37.380000000000003</v>
      </c>
      <c r="AM259" s="1301">
        <v>39.979999999999997</v>
      </c>
      <c r="AN259" s="1301">
        <v>42.56</v>
      </c>
      <c r="AO259" s="1301">
        <v>45.12</v>
      </c>
      <c r="AP259" s="1301">
        <v>47.65</v>
      </c>
      <c r="AQ259" s="1302">
        <v>50.15</v>
      </c>
      <c r="AR259" s="1300">
        <v>52.63</v>
      </c>
      <c r="AS259" s="1301">
        <v>55.08</v>
      </c>
      <c r="AT259" s="1301">
        <v>57.51</v>
      </c>
      <c r="AU259" s="1301">
        <v>59.92</v>
      </c>
      <c r="AV259" s="1301">
        <v>62.3</v>
      </c>
      <c r="AW259" s="1301">
        <v>64.66</v>
      </c>
      <c r="AX259" s="1301">
        <v>67</v>
      </c>
      <c r="AY259" s="1301">
        <v>69.31</v>
      </c>
      <c r="AZ259" s="1301">
        <v>71.599999999999994</v>
      </c>
      <c r="BA259" s="1302">
        <v>73.86</v>
      </c>
      <c r="BB259" s="1300">
        <v>76.11</v>
      </c>
      <c r="BC259" s="1301">
        <v>78.33</v>
      </c>
      <c r="BD259" s="1301">
        <v>80.53</v>
      </c>
      <c r="BE259" s="1301">
        <v>82.71</v>
      </c>
      <c r="BF259" s="1301">
        <v>84.87</v>
      </c>
      <c r="BG259" s="1301">
        <v>87</v>
      </c>
      <c r="BH259" s="1301">
        <v>89.12</v>
      </c>
      <c r="BI259" s="1301">
        <v>91.21</v>
      </c>
      <c r="BJ259" s="1301">
        <v>93.28</v>
      </c>
      <c r="BK259" s="1302">
        <v>95.33</v>
      </c>
      <c r="BL259" s="1300">
        <v>97.37</v>
      </c>
      <c r="BM259" s="1301">
        <v>99.38</v>
      </c>
      <c r="BN259" s="1301">
        <v>101.37</v>
      </c>
      <c r="BO259" s="1301">
        <v>103.34</v>
      </c>
      <c r="BP259" s="1301">
        <v>105.29</v>
      </c>
      <c r="BQ259" s="1301">
        <v>107.23</v>
      </c>
      <c r="BR259" s="1301">
        <v>109.14</v>
      </c>
      <c r="BS259" s="1301">
        <v>111.04</v>
      </c>
      <c r="BT259" s="1301">
        <v>112.91</v>
      </c>
      <c r="BU259" s="1302">
        <v>114.77</v>
      </c>
      <c r="BV259" s="1300">
        <v>116.61</v>
      </c>
      <c r="BW259" s="1301">
        <v>118.43</v>
      </c>
      <c r="BX259" s="1301">
        <v>120.23</v>
      </c>
      <c r="BY259" s="1301">
        <v>122.02</v>
      </c>
      <c r="BZ259" s="1301">
        <v>123.79</v>
      </c>
      <c r="CA259" s="1301">
        <v>125.54</v>
      </c>
      <c r="CB259" s="1301">
        <v>127.27</v>
      </c>
      <c r="CC259" s="1301">
        <v>128.99</v>
      </c>
      <c r="CD259" s="1301">
        <v>130.68</v>
      </c>
      <c r="CE259" s="1302">
        <v>132.37</v>
      </c>
      <c r="CF259" s="1301">
        <v>134.03</v>
      </c>
      <c r="CG259" s="1301">
        <v>135.68</v>
      </c>
      <c r="CH259" s="1302">
        <v>137.31</v>
      </c>
    </row>
    <row r="260" spans="1:86" ht="20.149999999999999" customHeight="1">
      <c r="A260" s="1563" t="s">
        <v>1427</v>
      </c>
      <c r="B260" s="1563" t="s">
        <v>13</v>
      </c>
      <c r="C260" s="1563" t="str">
        <f t="shared" si="4"/>
        <v>PBSDDM49</v>
      </c>
      <c r="D260" s="1193">
        <v>49</v>
      </c>
      <c r="E260" s="1540"/>
      <c r="F260" s="1301">
        <v>0.77</v>
      </c>
      <c r="G260" s="1301">
        <v>1.18</v>
      </c>
      <c r="H260" s="1301">
        <v>1.61</v>
      </c>
      <c r="I260" s="1301">
        <v>2.06</v>
      </c>
      <c r="J260" s="1301">
        <v>2.54</v>
      </c>
      <c r="K260" s="1301">
        <v>3.04</v>
      </c>
      <c r="L260" s="1301">
        <v>3.57</v>
      </c>
      <c r="M260" s="1302">
        <v>4.12</v>
      </c>
      <c r="N260" s="1300">
        <v>4.71</v>
      </c>
      <c r="O260" s="1301">
        <v>5.33</v>
      </c>
      <c r="P260" s="1301">
        <v>5.99</v>
      </c>
      <c r="Q260" s="1301">
        <v>6.68</v>
      </c>
      <c r="R260" s="1301">
        <v>7.43</v>
      </c>
      <c r="S260" s="1301">
        <v>8.2200000000000006</v>
      </c>
      <c r="T260" s="1301">
        <v>9.06</v>
      </c>
      <c r="U260" s="1301">
        <v>9.9700000000000006</v>
      </c>
      <c r="V260" s="1301">
        <v>10.93</v>
      </c>
      <c r="W260" s="1302">
        <v>11.97</v>
      </c>
      <c r="X260" s="1300">
        <v>13.08</v>
      </c>
      <c r="Y260" s="1301">
        <v>14.28</v>
      </c>
      <c r="Z260" s="1301">
        <v>15.56</v>
      </c>
      <c r="AA260" s="1301">
        <v>16.940000000000001</v>
      </c>
      <c r="AB260" s="1301">
        <v>18.43</v>
      </c>
      <c r="AC260" s="1301">
        <v>20.02</v>
      </c>
      <c r="AD260" s="1301">
        <v>21.74</v>
      </c>
      <c r="AE260" s="1301">
        <v>23.58</v>
      </c>
      <c r="AF260" s="1301">
        <v>25.56</v>
      </c>
      <c r="AG260" s="1302">
        <v>27.66</v>
      </c>
      <c r="AH260" s="1300">
        <v>29.91</v>
      </c>
      <c r="AI260" s="1301">
        <v>32.69</v>
      </c>
      <c r="AJ260" s="1301">
        <v>35.450000000000003</v>
      </c>
      <c r="AK260" s="1301">
        <v>38.18</v>
      </c>
      <c r="AL260" s="1301">
        <v>40.89</v>
      </c>
      <c r="AM260" s="1301">
        <v>43.56</v>
      </c>
      <c r="AN260" s="1301">
        <v>46.21</v>
      </c>
      <c r="AO260" s="1301">
        <v>48.84</v>
      </c>
      <c r="AP260" s="1301">
        <v>51.44</v>
      </c>
      <c r="AQ260" s="1302">
        <v>54.01</v>
      </c>
      <c r="AR260" s="1300">
        <v>56.56</v>
      </c>
      <c r="AS260" s="1301">
        <v>59.08</v>
      </c>
      <c r="AT260" s="1301">
        <v>61.58</v>
      </c>
      <c r="AU260" s="1301">
        <v>64.05</v>
      </c>
      <c r="AV260" s="1301">
        <v>66.5</v>
      </c>
      <c r="AW260" s="1301">
        <v>68.92</v>
      </c>
      <c r="AX260" s="1301">
        <v>71.319999999999993</v>
      </c>
      <c r="AY260" s="1301">
        <v>73.69</v>
      </c>
      <c r="AZ260" s="1301">
        <v>76.05</v>
      </c>
      <c r="BA260" s="1302">
        <v>78.38</v>
      </c>
      <c r="BB260" s="1300">
        <v>80.680000000000007</v>
      </c>
      <c r="BC260" s="1301">
        <v>82.96</v>
      </c>
      <c r="BD260" s="1301">
        <v>85.22</v>
      </c>
      <c r="BE260" s="1301">
        <v>87.46</v>
      </c>
      <c r="BF260" s="1301">
        <v>89.68</v>
      </c>
      <c r="BG260" s="1301">
        <v>91.87</v>
      </c>
      <c r="BH260" s="1301">
        <v>94.04</v>
      </c>
      <c r="BI260" s="1301">
        <v>96.2</v>
      </c>
      <c r="BJ260" s="1301">
        <v>98.32</v>
      </c>
      <c r="BK260" s="1302">
        <v>100.43</v>
      </c>
      <c r="BL260" s="1300">
        <v>102.52</v>
      </c>
      <c r="BM260" s="1301">
        <v>104.59</v>
      </c>
      <c r="BN260" s="1301">
        <v>106.63</v>
      </c>
      <c r="BO260" s="1301">
        <v>108.66</v>
      </c>
      <c r="BP260" s="1301">
        <v>110.67</v>
      </c>
      <c r="BQ260" s="1301">
        <v>112.65</v>
      </c>
      <c r="BR260" s="1301">
        <v>114.62</v>
      </c>
      <c r="BS260" s="1301">
        <v>116.57</v>
      </c>
      <c r="BT260" s="1301">
        <v>118.49</v>
      </c>
      <c r="BU260" s="1302">
        <v>120.4</v>
      </c>
      <c r="BV260" s="1300">
        <v>122.29</v>
      </c>
      <c r="BW260" s="1301">
        <v>124.16</v>
      </c>
      <c r="BX260" s="1301">
        <v>126.02</v>
      </c>
      <c r="BY260" s="1301">
        <v>127.85</v>
      </c>
      <c r="BZ260" s="1301">
        <v>129.66999999999999</v>
      </c>
      <c r="CA260" s="1301">
        <v>131.46</v>
      </c>
      <c r="CB260" s="1301">
        <v>133.24</v>
      </c>
      <c r="CC260" s="1301">
        <v>135.01</v>
      </c>
      <c r="CD260" s="1301">
        <v>136.75</v>
      </c>
      <c r="CE260" s="1302">
        <v>138.47999999999999</v>
      </c>
      <c r="CF260" s="1301">
        <v>140.19</v>
      </c>
      <c r="CG260" s="1301">
        <v>141.88</v>
      </c>
      <c r="CH260" s="1302">
        <v>143.56</v>
      </c>
    </row>
    <row r="261" spans="1:86" ht="20.149999999999999" customHeight="1">
      <c r="A261" s="1563" t="s">
        <v>1427</v>
      </c>
      <c r="B261" s="1563" t="s">
        <v>13</v>
      </c>
      <c r="C261" s="1563" t="str">
        <f t="shared" si="4"/>
        <v>PBSDDM50</v>
      </c>
      <c r="D261" s="1193">
        <v>50</v>
      </c>
      <c r="E261" s="1540"/>
      <c r="F261" s="1301">
        <v>0.82</v>
      </c>
      <c r="G261" s="1301">
        <v>1.27</v>
      </c>
      <c r="H261" s="1301">
        <v>1.73</v>
      </c>
      <c r="I261" s="1301">
        <v>2.2200000000000002</v>
      </c>
      <c r="J261" s="1301">
        <v>2.73</v>
      </c>
      <c r="K261" s="1301">
        <v>3.28</v>
      </c>
      <c r="L261" s="1301">
        <v>3.84</v>
      </c>
      <c r="M261" s="1302">
        <v>4.45</v>
      </c>
      <c r="N261" s="1300">
        <v>5.08</v>
      </c>
      <c r="O261" s="1301">
        <v>5.76</v>
      </c>
      <c r="P261" s="1301">
        <v>6.47</v>
      </c>
      <c r="Q261" s="1301">
        <v>7.24</v>
      </c>
      <c r="R261" s="1301">
        <v>8.0500000000000007</v>
      </c>
      <c r="S261" s="1301">
        <v>8.92</v>
      </c>
      <c r="T261" s="1301">
        <v>9.85</v>
      </c>
      <c r="U261" s="1301">
        <v>10.84</v>
      </c>
      <c r="V261" s="1301">
        <v>11.91</v>
      </c>
      <c r="W261" s="1302">
        <v>13.05</v>
      </c>
      <c r="X261" s="1300">
        <v>14.28</v>
      </c>
      <c r="Y261" s="1301">
        <v>15.61</v>
      </c>
      <c r="Z261" s="1301">
        <v>17.03</v>
      </c>
      <c r="AA261" s="1301">
        <v>18.559999999999999</v>
      </c>
      <c r="AB261" s="1301">
        <v>20.21</v>
      </c>
      <c r="AC261" s="1301">
        <v>21.98</v>
      </c>
      <c r="AD261" s="1301">
        <v>23.88</v>
      </c>
      <c r="AE261" s="1301">
        <v>25.92</v>
      </c>
      <c r="AF261" s="1301">
        <v>28.1</v>
      </c>
      <c r="AG261" s="1302">
        <v>30.41</v>
      </c>
      <c r="AH261" s="1300">
        <v>33.31</v>
      </c>
      <c r="AI261" s="1301">
        <v>36.17</v>
      </c>
      <c r="AJ261" s="1301">
        <v>39.01</v>
      </c>
      <c r="AK261" s="1301">
        <v>41.82</v>
      </c>
      <c r="AL261" s="1301">
        <v>44.6</v>
      </c>
      <c r="AM261" s="1301">
        <v>47.35</v>
      </c>
      <c r="AN261" s="1301">
        <v>50.07</v>
      </c>
      <c r="AO261" s="1301">
        <v>52.77</v>
      </c>
      <c r="AP261" s="1301">
        <v>55.44</v>
      </c>
      <c r="AQ261" s="1302">
        <v>58.09</v>
      </c>
      <c r="AR261" s="1300">
        <v>60.71</v>
      </c>
      <c r="AS261" s="1301">
        <v>63.3</v>
      </c>
      <c r="AT261" s="1301">
        <v>65.87</v>
      </c>
      <c r="AU261" s="1301">
        <v>68.41</v>
      </c>
      <c r="AV261" s="1301">
        <v>70.930000000000007</v>
      </c>
      <c r="AW261" s="1301">
        <v>73.42</v>
      </c>
      <c r="AX261" s="1301">
        <v>75.88</v>
      </c>
      <c r="AY261" s="1301">
        <v>78.33</v>
      </c>
      <c r="AZ261" s="1301">
        <v>80.75</v>
      </c>
      <c r="BA261" s="1302">
        <v>83.14</v>
      </c>
      <c r="BB261" s="1300">
        <v>85.51</v>
      </c>
      <c r="BC261" s="1301">
        <v>87.86</v>
      </c>
      <c r="BD261" s="1301">
        <v>90.18</v>
      </c>
      <c r="BE261" s="1301">
        <v>92.48</v>
      </c>
      <c r="BF261" s="1301">
        <v>94.76</v>
      </c>
      <c r="BG261" s="1301">
        <v>97.02</v>
      </c>
      <c r="BH261" s="1301">
        <v>99.25</v>
      </c>
      <c r="BI261" s="1301">
        <v>101.46</v>
      </c>
      <c r="BJ261" s="1301">
        <v>103.65</v>
      </c>
      <c r="BK261" s="1302">
        <v>105.82</v>
      </c>
      <c r="BL261" s="1300">
        <v>107.97</v>
      </c>
      <c r="BM261" s="1301">
        <v>110.09</v>
      </c>
      <c r="BN261" s="1301">
        <v>112.2</v>
      </c>
      <c r="BO261" s="1301">
        <v>114.28</v>
      </c>
      <c r="BP261" s="1301">
        <v>116.34</v>
      </c>
      <c r="BQ261" s="1301">
        <v>118.38</v>
      </c>
      <c r="BR261" s="1301">
        <v>120.41</v>
      </c>
      <c r="BS261" s="1301">
        <v>122.41</v>
      </c>
      <c r="BT261" s="1301">
        <v>124.39</v>
      </c>
      <c r="BU261" s="1302">
        <v>126.35</v>
      </c>
      <c r="BV261" s="1300">
        <v>128.29</v>
      </c>
      <c r="BW261" s="1301">
        <v>130.22</v>
      </c>
      <c r="BX261" s="1301">
        <v>132.12</v>
      </c>
      <c r="BY261" s="1301">
        <v>134.01</v>
      </c>
      <c r="BZ261" s="1301">
        <v>135.88</v>
      </c>
      <c r="CA261" s="1301">
        <v>137.72999999999999</v>
      </c>
      <c r="CB261" s="1301">
        <v>139.56</v>
      </c>
      <c r="CC261" s="1301">
        <v>141.37</v>
      </c>
      <c r="CD261" s="1301">
        <v>143.16</v>
      </c>
      <c r="CE261" s="1302">
        <v>144.94</v>
      </c>
      <c r="CF261" s="1301">
        <v>146.69999999999999</v>
      </c>
      <c r="CG261" s="1301">
        <v>148.44</v>
      </c>
      <c r="CH261" s="1302">
        <v>150.16</v>
      </c>
    </row>
    <row r="262" spans="1:86" ht="20.149999999999999" customHeight="1">
      <c r="A262" s="1563" t="s">
        <v>1427</v>
      </c>
      <c r="B262" s="1563" t="s">
        <v>13</v>
      </c>
      <c r="C262" s="1563" t="str">
        <f t="shared" si="4"/>
        <v>PBSDDM51</v>
      </c>
      <c r="D262" s="1194">
        <v>51</v>
      </c>
      <c r="E262" s="1541"/>
      <c r="F262" s="1304">
        <v>0.89</v>
      </c>
      <c r="G262" s="1304">
        <v>1.36</v>
      </c>
      <c r="H262" s="1304">
        <v>1.87</v>
      </c>
      <c r="I262" s="1304">
        <v>2.39</v>
      </c>
      <c r="J262" s="1304">
        <v>2.95</v>
      </c>
      <c r="K262" s="1304">
        <v>3.53</v>
      </c>
      <c r="L262" s="1304">
        <v>4.1500000000000004</v>
      </c>
      <c r="M262" s="1305">
        <v>4.8</v>
      </c>
      <c r="N262" s="1303">
        <v>5.49</v>
      </c>
      <c r="O262" s="1304">
        <v>6.23</v>
      </c>
      <c r="P262" s="1304">
        <v>7.02</v>
      </c>
      <c r="Q262" s="1304">
        <v>7.85</v>
      </c>
      <c r="R262" s="1304">
        <v>8.74</v>
      </c>
      <c r="S262" s="1304">
        <v>9.6999999999999993</v>
      </c>
      <c r="T262" s="1304">
        <v>10.72</v>
      </c>
      <c r="U262" s="1304">
        <v>11.82</v>
      </c>
      <c r="V262" s="1304">
        <v>13</v>
      </c>
      <c r="W262" s="1305">
        <v>14.27</v>
      </c>
      <c r="X262" s="1303">
        <v>15.63</v>
      </c>
      <c r="Y262" s="1304">
        <v>17.100000000000001</v>
      </c>
      <c r="Z262" s="1304">
        <v>18.68</v>
      </c>
      <c r="AA262" s="1304">
        <v>20.38</v>
      </c>
      <c r="AB262" s="1304">
        <v>22.2</v>
      </c>
      <c r="AC262" s="1304">
        <v>24.17</v>
      </c>
      <c r="AD262" s="1304">
        <v>26.27</v>
      </c>
      <c r="AE262" s="1304">
        <v>28.52</v>
      </c>
      <c r="AF262" s="1304">
        <v>30.92</v>
      </c>
      <c r="AG262" s="1305">
        <v>33.93</v>
      </c>
      <c r="AH262" s="1303">
        <v>36.9</v>
      </c>
      <c r="AI262" s="1304">
        <v>39.85</v>
      </c>
      <c r="AJ262" s="1304">
        <v>42.77</v>
      </c>
      <c r="AK262" s="1304">
        <v>45.66</v>
      </c>
      <c r="AL262" s="1304">
        <v>48.52</v>
      </c>
      <c r="AM262" s="1304">
        <v>51.35</v>
      </c>
      <c r="AN262" s="1304">
        <v>54.16</v>
      </c>
      <c r="AO262" s="1304">
        <v>56.93</v>
      </c>
      <c r="AP262" s="1304">
        <v>59.68</v>
      </c>
      <c r="AQ262" s="1305">
        <v>62.4</v>
      </c>
      <c r="AR262" s="1303">
        <v>65.099999999999994</v>
      </c>
      <c r="AS262" s="1304">
        <v>67.77</v>
      </c>
      <c r="AT262" s="1304">
        <v>70.41</v>
      </c>
      <c r="AU262" s="1304">
        <v>73.02</v>
      </c>
      <c r="AV262" s="1304">
        <v>75.61</v>
      </c>
      <c r="AW262" s="1304">
        <v>78.180000000000007</v>
      </c>
      <c r="AX262" s="1304">
        <v>80.72</v>
      </c>
      <c r="AY262" s="1304">
        <v>83.23</v>
      </c>
      <c r="AZ262" s="1304">
        <v>85.72</v>
      </c>
      <c r="BA262" s="1305">
        <v>88.18</v>
      </c>
      <c r="BB262" s="1303">
        <v>90.62</v>
      </c>
      <c r="BC262" s="1304">
        <v>93.04</v>
      </c>
      <c r="BD262" s="1304">
        <v>95.43</v>
      </c>
      <c r="BE262" s="1304">
        <v>97.8</v>
      </c>
      <c r="BF262" s="1304">
        <v>100.14</v>
      </c>
      <c r="BG262" s="1304">
        <v>102.46</v>
      </c>
      <c r="BH262" s="1304">
        <v>104.76</v>
      </c>
      <c r="BI262" s="1304">
        <v>107.04</v>
      </c>
      <c r="BJ262" s="1304">
        <v>109.29</v>
      </c>
      <c r="BK262" s="1305">
        <v>111.52</v>
      </c>
      <c r="BL262" s="1303">
        <v>113.73</v>
      </c>
      <c r="BM262" s="1304">
        <v>115.91</v>
      </c>
      <c r="BN262" s="1304">
        <v>118.08</v>
      </c>
      <c r="BO262" s="1304">
        <v>120.22</v>
      </c>
      <c r="BP262" s="1304">
        <v>122.35</v>
      </c>
      <c r="BQ262" s="1304">
        <v>124.45</v>
      </c>
      <c r="BR262" s="1304">
        <v>126.53</v>
      </c>
      <c r="BS262" s="1304">
        <v>128.59</v>
      </c>
      <c r="BT262" s="1304">
        <v>130.63</v>
      </c>
      <c r="BU262" s="1305">
        <v>132.65</v>
      </c>
      <c r="BV262" s="1303">
        <v>134.65</v>
      </c>
      <c r="BW262" s="1304">
        <v>136.63</v>
      </c>
      <c r="BX262" s="1304">
        <v>138.59</v>
      </c>
      <c r="BY262" s="1304">
        <v>140.53</v>
      </c>
      <c r="BZ262" s="1304">
        <v>142.44999999999999</v>
      </c>
      <c r="CA262" s="1304">
        <v>144.35</v>
      </c>
      <c r="CB262" s="1304">
        <v>146.22999999999999</v>
      </c>
      <c r="CC262" s="1304">
        <v>148.1</v>
      </c>
      <c r="CD262" s="1304">
        <v>149.94</v>
      </c>
      <c r="CE262" s="1305">
        <v>151.77000000000001</v>
      </c>
      <c r="CF262" s="1304">
        <v>153.58000000000001</v>
      </c>
      <c r="CG262" s="1304">
        <v>155.37</v>
      </c>
      <c r="CH262" s="1305">
        <v>157.15</v>
      </c>
    </row>
    <row r="263" spans="1:86" ht="20.149999999999999" customHeight="1">
      <c r="A263" s="1563" t="s">
        <v>1427</v>
      </c>
      <c r="B263" s="1563" t="s">
        <v>13</v>
      </c>
      <c r="C263" s="1563" t="str">
        <f t="shared" si="4"/>
        <v>PBSDDM52</v>
      </c>
      <c r="D263" s="1193">
        <v>52</v>
      </c>
      <c r="E263" s="1540"/>
      <c r="F263" s="1301">
        <v>0.95</v>
      </c>
      <c r="G263" s="1301">
        <v>1.47</v>
      </c>
      <c r="H263" s="1301">
        <v>2.0099999999999998</v>
      </c>
      <c r="I263" s="1301">
        <v>2.58</v>
      </c>
      <c r="J263" s="1301">
        <v>3.18</v>
      </c>
      <c r="K263" s="1301">
        <v>3.81</v>
      </c>
      <c r="L263" s="1301">
        <v>4.4800000000000004</v>
      </c>
      <c r="M263" s="1302">
        <v>5.19</v>
      </c>
      <c r="N263" s="1300">
        <v>5.95</v>
      </c>
      <c r="O263" s="1301">
        <v>6.76</v>
      </c>
      <c r="P263" s="1301">
        <v>7.62</v>
      </c>
      <c r="Q263" s="1301">
        <v>8.5399999999999991</v>
      </c>
      <c r="R263" s="1301">
        <v>9.52</v>
      </c>
      <c r="S263" s="1301">
        <v>10.57</v>
      </c>
      <c r="T263" s="1301">
        <v>11.7</v>
      </c>
      <c r="U263" s="1301">
        <v>12.92</v>
      </c>
      <c r="V263" s="1301">
        <v>14.22</v>
      </c>
      <c r="W263" s="1302">
        <v>15.63</v>
      </c>
      <c r="X263" s="1300">
        <v>17.14</v>
      </c>
      <c r="Y263" s="1301">
        <v>18.77</v>
      </c>
      <c r="Z263" s="1301">
        <v>20.53</v>
      </c>
      <c r="AA263" s="1301">
        <v>22.41</v>
      </c>
      <c r="AB263" s="1301">
        <v>24.44</v>
      </c>
      <c r="AC263" s="1301">
        <v>26.62</v>
      </c>
      <c r="AD263" s="1301">
        <v>28.94</v>
      </c>
      <c r="AE263" s="1301">
        <v>31.42</v>
      </c>
      <c r="AF263" s="1301">
        <v>34.549999999999997</v>
      </c>
      <c r="AG263" s="1302">
        <v>37.65</v>
      </c>
      <c r="AH263" s="1300">
        <v>40.71</v>
      </c>
      <c r="AI263" s="1301">
        <v>43.75</v>
      </c>
      <c r="AJ263" s="1301">
        <v>46.75</v>
      </c>
      <c r="AK263" s="1301">
        <v>49.73</v>
      </c>
      <c r="AL263" s="1301">
        <v>52.68</v>
      </c>
      <c r="AM263" s="1301">
        <v>55.59</v>
      </c>
      <c r="AN263" s="1301">
        <v>58.48</v>
      </c>
      <c r="AO263" s="1301">
        <v>61.34</v>
      </c>
      <c r="AP263" s="1301">
        <v>64.17</v>
      </c>
      <c r="AQ263" s="1302">
        <v>66.97</v>
      </c>
      <c r="AR263" s="1300">
        <v>69.75</v>
      </c>
      <c r="AS263" s="1301">
        <v>72.5</v>
      </c>
      <c r="AT263" s="1301">
        <v>75.22</v>
      </c>
      <c r="AU263" s="1301">
        <v>77.91</v>
      </c>
      <c r="AV263" s="1301">
        <v>80.58</v>
      </c>
      <c r="AW263" s="1301">
        <v>83.22</v>
      </c>
      <c r="AX263" s="1301">
        <v>85.83</v>
      </c>
      <c r="AY263" s="1301">
        <v>88.42</v>
      </c>
      <c r="AZ263" s="1301">
        <v>90.99</v>
      </c>
      <c r="BA263" s="1302">
        <v>93.52</v>
      </c>
      <c r="BB263" s="1300">
        <v>96.04</v>
      </c>
      <c r="BC263" s="1301">
        <v>98.52</v>
      </c>
      <c r="BD263" s="1301">
        <v>100.99</v>
      </c>
      <c r="BE263" s="1301">
        <v>103.42</v>
      </c>
      <c r="BF263" s="1301">
        <v>105.84</v>
      </c>
      <c r="BG263" s="1301">
        <v>108.23</v>
      </c>
      <c r="BH263" s="1301">
        <v>110.6</v>
      </c>
      <c r="BI263" s="1301">
        <v>112.94</v>
      </c>
      <c r="BJ263" s="1301">
        <v>115.26</v>
      </c>
      <c r="BK263" s="1302">
        <v>117.56</v>
      </c>
      <c r="BL263" s="1300">
        <v>119.83</v>
      </c>
      <c r="BM263" s="1301">
        <v>122.08</v>
      </c>
      <c r="BN263" s="1301">
        <v>124.31</v>
      </c>
      <c r="BO263" s="1301">
        <v>126.52</v>
      </c>
      <c r="BP263" s="1301">
        <v>128.71</v>
      </c>
      <c r="BQ263" s="1301">
        <v>130.87</v>
      </c>
      <c r="BR263" s="1301">
        <v>133.01</v>
      </c>
      <c r="BS263" s="1301">
        <v>135.13999999999999</v>
      </c>
      <c r="BT263" s="1301">
        <v>137.24</v>
      </c>
      <c r="BU263" s="1302">
        <v>139.32</v>
      </c>
      <c r="BV263" s="1300">
        <v>141.37</v>
      </c>
      <c r="BW263" s="1301">
        <v>143.41</v>
      </c>
      <c r="BX263" s="1301">
        <v>145.43</v>
      </c>
      <c r="BY263" s="1301">
        <v>147.43</v>
      </c>
      <c r="BZ263" s="1301">
        <v>149.41</v>
      </c>
      <c r="CA263" s="1301">
        <v>151.37</v>
      </c>
      <c r="CB263" s="1301">
        <v>153.31</v>
      </c>
      <c r="CC263" s="1301">
        <v>155.22999999999999</v>
      </c>
      <c r="CD263" s="1301">
        <v>157.13</v>
      </c>
      <c r="CE263" s="1302">
        <v>159.01</v>
      </c>
      <c r="CF263" s="1301">
        <v>160.88</v>
      </c>
      <c r="CG263" s="1301">
        <v>162.72</v>
      </c>
      <c r="CH263" s="1302">
        <v>164.55</v>
      </c>
    </row>
    <row r="264" spans="1:86" ht="20.149999999999999" customHeight="1">
      <c r="A264" s="1563" t="s">
        <v>1427</v>
      </c>
      <c r="B264" s="1563" t="s">
        <v>13</v>
      </c>
      <c r="C264" s="1563" t="str">
        <f t="shared" si="4"/>
        <v>PBSDDM53</v>
      </c>
      <c r="D264" s="1193">
        <v>53</v>
      </c>
      <c r="E264" s="1540"/>
      <c r="F264" s="1301">
        <v>1.03</v>
      </c>
      <c r="G264" s="1301">
        <v>1.58</v>
      </c>
      <c r="H264" s="1301">
        <v>2.17</v>
      </c>
      <c r="I264" s="1301">
        <v>2.78</v>
      </c>
      <c r="J264" s="1301">
        <v>3.43</v>
      </c>
      <c r="K264" s="1301">
        <v>4.12</v>
      </c>
      <c r="L264" s="1301">
        <v>4.8499999999999996</v>
      </c>
      <c r="M264" s="1302">
        <v>5.63</v>
      </c>
      <c r="N264" s="1300">
        <v>6.46</v>
      </c>
      <c r="O264" s="1301">
        <v>7.34</v>
      </c>
      <c r="P264" s="1301">
        <v>8.2899999999999991</v>
      </c>
      <c r="Q264" s="1301">
        <v>9.3000000000000007</v>
      </c>
      <c r="R264" s="1301">
        <v>10.39</v>
      </c>
      <c r="S264" s="1301">
        <v>11.55</v>
      </c>
      <c r="T264" s="1301">
        <v>12.8</v>
      </c>
      <c r="U264" s="1301">
        <v>14.15</v>
      </c>
      <c r="V264" s="1301">
        <v>15.6</v>
      </c>
      <c r="W264" s="1302">
        <v>17.16</v>
      </c>
      <c r="X264" s="1300">
        <v>18.84</v>
      </c>
      <c r="Y264" s="1301">
        <v>20.66</v>
      </c>
      <c r="Z264" s="1301">
        <v>22.61</v>
      </c>
      <c r="AA264" s="1301">
        <v>24.7</v>
      </c>
      <c r="AB264" s="1301">
        <v>26.95</v>
      </c>
      <c r="AC264" s="1301">
        <v>29.36</v>
      </c>
      <c r="AD264" s="1301">
        <v>31.92</v>
      </c>
      <c r="AE264" s="1301">
        <v>35.18</v>
      </c>
      <c r="AF264" s="1301">
        <v>38.4</v>
      </c>
      <c r="AG264" s="1302">
        <v>41.6</v>
      </c>
      <c r="AH264" s="1300">
        <v>44.76</v>
      </c>
      <c r="AI264" s="1301">
        <v>47.88</v>
      </c>
      <c r="AJ264" s="1301">
        <v>50.98</v>
      </c>
      <c r="AK264" s="1301">
        <v>54.05</v>
      </c>
      <c r="AL264" s="1301">
        <v>57.09</v>
      </c>
      <c r="AM264" s="1301">
        <v>60.09</v>
      </c>
      <c r="AN264" s="1301">
        <v>63.07</v>
      </c>
      <c r="AO264" s="1301">
        <v>66.02</v>
      </c>
      <c r="AP264" s="1301">
        <v>68.94</v>
      </c>
      <c r="AQ264" s="1302">
        <v>71.83</v>
      </c>
      <c r="AR264" s="1300">
        <v>74.69</v>
      </c>
      <c r="AS264" s="1301">
        <v>77.52</v>
      </c>
      <c r="AT264" s="1301">
        <v>80.319999999999993</v>
      </c>
      <c r="AU264" s="1301">
        <v>83.1</v>
      </c>
      <c r="AV264" s="1301">
        <v>85.85</v>
      </c>
      <c r="AW264" s="1301">
        <v>88.57</v>
      </c>
      <c r="AX264" s="1301">
        <v>91.27</v>
      </c>
      <c r="AY264" s="1301">
        <v>93.93</v>
      </c>
      <c r="AZ264" s="1301">
        <v>96.58</v>
      </c>
      <c r="BA264" s="1302">
        <v>99.19</v>
      </c>
      <c r="BB264" s="1300">
        <v>101.78</v>
      </c>
      <c r="BC264" s="1301">
        <v>104.35</v>
      </c>
      <c r="BD264" s="1301">
        <v>106.88</v>
      </c>
      <c r="BE264" s="1301">
        <v>109.4</v>
      </c>
      <c r="BF264" s="1301">
        <v>111.89</v>
      </c>
      <c r="BG264" s="1301">
        <v>114.35</v>
      </c>
      <c r="BH264" s="1301">
        <v>116.79</v>
      </c>
      <c r="BI264" s="1301">
        <v>119.21</v>
      </c>
      <c r="BJ264" s="1301">
        <v>121.6</v>
      </c>
      <c r="BK264" s="1302">
        <v>123.97</v>
      </c>
      <c r="BL264" s="1300">
        <v>126.31</v>
      </c>
      <c r="BM264" s="1301">
        <v>128.63</v>
      </c>
      <c r="BN264" s="1301">
        <v>130.93</v>
      </c>
      <c r="BO264" s="1301">
        <v>133.21</v>
      </c>
      <c r="BP264" s="1301">
        <v>135.46</v>
      </c>
      <c r="BQ264" s="1301">
        <v>137.69</v>
      </c>
      <c r="BR264" s="1301">
        <v>139.9</v>
      </c>
      <c r="BS264" s="1301">
        <v>142.09</v>
      </c>
      <c r="BT264" s="1301">
        <v>144.25</v>
      </c>
      <c r="BU264" s="1302">
        <v>146.38999999999999</v>
      </c>
      <c r="BV264" s="1300">
        <v>148.52000000000001</v>
      </c>
      <c r="BW264" s="1301">
        <v>150.62</v>
      </c>
      <c r="BX264" s="1301">
        <v>152.69999999999999</v>
      </c>
      <c r="BY264" s="1301">
        <v>154.76</v>
      </c>
      <c r="BZ264" s="1301">
        <v>156.80000000000001</v>
      </c>
      <c r="CA264" s="1301">
        <v>158.82</v>
      </c>
      <c r="CB264" s="1301">
        <v>160.82</v>
      </c>
      <c r="CC264" s="1301">
        <v>162.80000000000001</v>
      </c>
      <c r="CD264" s="1301">
        <v>164.76</v>
      </c>
      <c r="CE264" s="1302">
        <v>166.7</v>
      </c>
      <c r="CF264" s="1301">
        <v>168.62</v>
      </c>
      <c r="CG264" s="1301">
        <v>170.52</v>
      </c>
      <c r="CH264" s="1302">
        <v>172.41</v>
      </c>
    </row>
    <row r="265" spans="1:86" ht="20.149999999999999" customHeight="1">
      <c r="A265" s="1563" t="s">
        <v>1427</v>
      </c>
      <c r="B265" s="1563" t="s">
        <v>13</v>
      </c>
      <c r="C265" s="1563" t="str">
        <f t="shared" si="4"/>
        <v>PBSDDM54</v>
      </c>
      <c r="D265" s="1193">
        <v>54</v>
      </c>
      <c r="E265" s="1540"/>
      <c r="F265" s="1301">
        <v>1.1100000000000001</v>
      </c>
      <c r="G265" s="1301">
        <v>1.71</v>
      </c>
      <c r="H265" s="1301">
        <v>2.34</v>
      </c>
      <c r="I265" s="1301">
        <v>3.01</v>
      </c>
      <c r="J265" s="1301">
        <v>3.72</v>
      </c>
      <c r="K265" s="1301">
        <v>4.47</v>
      </c>
      <c r="L265" s="1301">
        <v>5.27</v>
      </c>
      <c r="M265" s="1302">
        <v>6.12</v>
      </c>
      <c r="N265" s="1300">
        <v>7.03</v>
      </c>
      <c r="O265" s="1301">
        <v>8</v>
      </c>
      <c r="P265" s="1301">
        <v>9.0500000000000007</v>
      </c>
      <c r="Q265" s="1301">
        <v>10.16</v>
      </c>
      <c r="R265" s="1301">
        <v>11.36</v>
      </c>
      <c r="S265" s="1301">
        <v>12.66</v>
      </c>
      <c r="T265" s="1301">
        <v>14.04</v>
      </c>
      <c r="U265" s="1301">
        <v>15.54</v>
      </c>
      <c r="V265" s="1301">
        <v>17.149999999999999</v>
      </c>
      <c r="W265" s="1302">
        <v>18.89</v>
      </c>
      <c r="X265" s="1300">
        <v>20.76</v>
      </c>
      <c r="Y265" s="1301">
        <v>22.78</v>
      </c>
      <c r="Z265" s="1301">
        <v>24.95</v>
      </c>
      <c r="AA265" s="1301">
        <v>27.27</v>
      </c>
      <c r="AB265" s="1301">
        <v>29.76</v>
      </c>
      <c r="AC265" s="1301">
        <v>32.42</v>
      </c>
      <c r="AD265" s="1301">
        <v>35.81</v>
      </c>
      <c r="AE265" s="1301">
        <v>39.17</v>
      </c>
      <c r="AF265" s="1301">
        <v>42.5</v>
      </c>
      <c r="AG265" s="1302">
        <v>45.79</v>
      </c>
      <c r="AH265" s="1300">
        <v>49.05</v>
      </c>
      <c r="AI265" s="1301">
        <v>52.28</v>
      </c>
      <c r="AJ265" s="1301">
        <v>55.48</v>
      </c>
      <c r="AK265" s="1301">
        <v>58.64</v>
      </c>
      <c r="AL265" s="1301">
        <v>61.78</v>
      </c>
      <c r="AM265" s="1301">
        <v>64.88</v>
      </c>
      <c r="AN265" s="1301">
        <v>67.95</v>
      </c>
      <c r="AO265" s="1301">
        <v>70.989999999999995</v>
      </c>
      <c r="AP265" s="1301">
        <v>74</v>
      </c>
      <c r="AQ265" s="1302">
        <v>76.98</v>
      </c>
      <c r="AR265" s="1300">
        <v>79.930000000000007</v>
      </c>
      <c r="AS265" s="1301">
        <v>82.86</v>
      </c>
      <c r="AT265" s="1301">
        <v>85.75</v>
      </c>
      <c r="AU265" s="1301">
        <v>88.62</v>
      </c>
      <c r="AV265" s="1301">
        <v>91.45</v>
      </c>
      <c r="AW265" s="1301">
        <v>94.26</v>
      </c>
      <c r="AX265" s="1301">
        <v>97.04</v>
      </c>
      <c r="AY265" s="1301">
        <v>99.79</v>
      </c>
      <c r="AZ265" s="1301">
        <v>102.52</v>
      </c>
      <c r="BA265" s="1302">
        <v>105.22</v>
      </c>
      <c r="BB265" s="1300">
        <v>107.89</v>
      </c>
      <c r="BC265" s="1301">
        <v>110.54</v>
      </c>
      <c r="BD265" s="1301">
        <v>113.16</v>
      </c>
      <c r="BE265" s="1301">
        <v>115.75</v>
      </c>
      <c r="BF265" s="1301">
        <v>118.32</v>
      </c>
      <c r="BG265" s="1301">
        <v>120.86</v>
      </c>
      <c r="BH265" s="1301">
        <v>123.38</v>
      </c>
      <c r="BI265" s="1301">
        <v>125.87</v>
      </c>
      <c r="BJ265" s="1301">
        <v>128.34</v>
      </c>
      <c r="BK265" s="1302">
        <v>130.78</v>
      </c>
      <c r="BL265" s="1300">
        <v>133.19999999999999</v>
      </c>
      <c r="BM265" s="1301">
        <v>135.59</v>
      </c>
      <c r="BN265" s="1301">
        <v>137.97</v>
      </c>
      <c r="BO265" s="1301">
        <v>140.31</v>
      </c>
      <c r="BP265" s="1301">
        <v>142.63999999999999</v>
      </c>
      <c r="BQ265" s="1301">
        <v>144.94</v>
      </c>
      <c r="BR265" s="1301">
        <v>147.22</v>
      </c>
      <c r="BS265" s="1301">
        <v>149.47</v>
      </c>
      <c r="BT265" s="1301">
        <v>151.71</v>
      </c>
      <c r="BU265" s="1302">
        <v>153.91999999999999</v>
      </c>
      <c r="BV265" s="1300">
        <v>156.11000000000001</v>
      </c>
      <c r="BW265" s="1301">
        <v>158.28</v>
      </c>
      <c r="BX265" s="1301">
        <v>160.43</v>
      </c>
      <c r="BY265" s="1301">
        <v>162.55000000000001</v>
      </c>
      <c r="BZ265" s="1301">
        <v>164.66</v>
      </c>
      <c r="CA265" s="1301">
        <v>166.74</v>
      </c>
      <c r="CB265" s="1301">
        <v>168.8</v>
      </c>
      <c r="CC265" s="1301">
        <v>170.84</v>
      </c>
      <c r="CD265" s="1301">
        <v>172.87</v>
      </c>
      <c r="CE265" s="1302">
        <v>174.87</v>
      </c>
      <c r="CF265" s="1301">
        <v>176.85</v>
      </c>
      <c r="CG265" s="1301">
        <v>178.81</v>
      </c>
      <c r="CH265" s="1302">
        <v>180.76</v>
      </c>
    </row>
    <row r="266" spans="1:86" ht="20.149999999999999" customHeight="1">
      <c r="A266" s="1563" t="s">
        <v>1427</v>
      </c>
      <c r="B266" s="1563" t="s">
        <v>13</v>
      </c>
      <c r="C266" s="1563" t="str">
        <f t="shared" si="4"/>
        <v>PBSDDM55</v>
      </c>
      <c r="D266" s="1195">
        <v>55</v>
      </c>
      <c r="E266" s="1542"/>
      <c r="F266" s="1307">
        <v>1.2</v>
      </c>
      <c r="G266" s="1307">
        <v>1.85</v>
      </c>
      <c r="H266" s="1307">
        <v>2.5299999999999998</v>
      </c>
      <c r="I266" s="1307">
        <v>3.26</v>
      </c>
      <c r="J266" s="1307">
        <v>4.03</v>
      </c>
      <c r="K266" s="1307">
        <v>4.8600000000000003</v>
      </c>
      <c r="L266" s="1307">
        <v>5.73</v>
      </c>
      <c r="M266" s="1308">
        <v>6.67</v>
      </c>
      <c r="N266" s="1306">
        <v>7.67</v>
      </c>
      <c r="O266" s="1307">
        <v>8.75</v>
      </c>
      <c r="P266" s="1307">
        <v>9.9</v>
      </c>
      <c r="Q266" s="1307">
        <v>11.14</v>
      </c>
      <c r="R266" s="1307">
        <v>12.47</v>
      </c>
      <c r="S266" s="1307">
        <v>13.9</v>
      </c>
      <c r="T266" s="1307">
        <v>15.45</v>
      </c>
      <c r="U266" s="1307">
        <v>17.11</v>
      </c>
      <c r="V266" s="1307">
        <v>18.91</v>
      </c>
      <c r="W266" s="1308">
        <v>20.84</v>
      </c>
      <c r="X266" s="1306">
        <v>22.93</v>
      </c>
      <c r="Y266" s="1307">
        <v>25.17</v>
      </c>
      <c r="Z266" s="1307">
        <v>27.58</v>
      </c>
      <c r="AA266" s="1307">
        <v>30.16</v>
      </c>
      <c r="AB266" s="1307">
        <v>32.909999999999997</v>
      </c>
      <c r="AC266" s="1307">
        <v>36.450000000000003</v>
      </c>
      <c r="AD266" s="1307">
        <v>39.96</v>
      </c>
      <c r="AE266" s="1307">
        <v>43.43</v>
      </c>
      <c r="AF266" s="1307">
        <v>46.86</v>
      </c>
      <c r="AG266" s="1308">
        <v>50.26</v>
      </c>
      <c r="AH266" s="1306">
        <v>53.63</v>
      </c>
      <c r="AI266" s="1307">
        <v>56.96</v>
      </c>
      <c r="AJ266" s="1307">
        <v>60.26</v>
      </c>
      <c r="AK266" s="1307">
        <v>63.53</v>
      </c>
      <c r="AL266" s="1307">
        <v>66.77</v>
      </c>
      <c r="AM266" s="1307">
        <v>69.97</v>
      </c>
      <c r="AN266" s="1307">
        <v>73.150000000000006</v>
      </c>
      <c r="AO266" s="1307">
        <v>76.290000000000006</v>
      </c>
      <c r="AP266" s="1307">
        <v>79.400000000000006</v>
      </c>
      <c r="AQ266" s="1308">
        <v>82.47</v>
      </c>
      <c r="AR266" s="1306">
        <v>85.52</v>
      </c>
      <c r="AS266" s="1307">
        <v>88.54</v>
      </c>
      <c r="AT266" s="1307">
        <v>91.53</v>
      </c>
      <c r="AU266" s="1307">
        <v>94.49</v>
      </c>
      <c r="AV266" s="1307">
        <v>97.42</v>
      </c>
      <c r="AW266" s="1307">
        <v>100.32</v>
      </c>
      <c r="AX266" s="1307">
        <v>103.19</v>
      </c>
      <c r="AY266" s="1307">
        <v>106.03</v>
      </c>
      <c r="AZ266" s="1307">
        <v>108.85</v>
      </c>
      <c r="BA266" s="1308">
        <v>111.64</v>
      </c>
      <c r="BB266" s="1306">
        <v>114.4</v>
      </c>
      <c r="BC266" s="1307">
        <v>117.13</v>
      </c>
      <c r="BD266" s="1307">
        <v>119.83</v>
      </c>
      <c r="BE266" s="1307">
        <v>122.51</v>
      </c>
      <c r="BF266" s="1307">
        <v>125.16</v>
      </c>
      <c r="BG266" s="1307">
        <v>127.79</v>
      </c>
      <c r="BH266" s="1307">
        <v>130.38999999999999</v>
      </c>
      <c r="BI266" s="1307">
        <v>132.96</v>
      </c>
      <c r="BJ266" s="1307">
        <v>135.51</v>
      </c>
      <c r="BK266" s="1308">
        <v>138.04</v>
      </c>
      <c r="BL266" s="1306">
        <v>140.53</v>
      </c>
      <c r="BM266" s="1307">
        <v>143.01</v>
      </c>
      <c r="BN266" s="1307">
        <v>145.46</v>
      </c>
      <c r="BO266" s="1307">
        <v>147.88</v>
      </c>
      <c r="BP266" s="1307">
        <v>150.28</v>
      </c>
      <c r="BQ266" s="1307">
        <v>152.66</v>
      </c>
      <c r="BR266" s="1307">
        <v>155.01</v>
      </c>
      <c r="BS266" s="1307">
        <v>157.34</v>
      </c>
      <c r="BT266" s="1307">
        <v>159.65</v>
      </c>
      <c r="BU266" s="1308">
        <v>161.94</v>
      </c>
      <c r="BV266" s="1306">
        <v>164.2</v>
      </c>
      <c r="BW266" s="1307">
        <v>166.44</v>
      </c>
      <c r="BX266" s="1307">
        <v>168.65</v>
      </c>
      <c r="BY266" s="1307">
        <v>170.85</v>
      </c>
      <c r="BZ266" s="1307">
        <v>173.02</v>
      </c>
      <c r="CA266" s="1307">
        <v>175.17</v>
      </c>
      <c r="CB266" s="1307">
        <v>177.3</v>
      </c>
      <c r="CC266" s="1307">
        <v>179.41</v>
      </c>
      <c r="CD266" s="1307">
        <v>181.5</v>
      </c>
      <c r="CE266" s="1308">
        <v>183.57</v>
      </c>
      <c r="CF266" s="1307">
        <v>185.62</v>
      </c>
      <c r="CG266" s="1307">
        <v>187.65</v>
      </c>
      <c r="CH266" s="1308">
        <v>189.65</v>
      </c>
    </row>
    <row r="267" spans="1:86" ht="20.149999999999999" customHeight="1">
      <c r="A267" s="1563" t="s">
        <v>1427</v>
      </c>
      <c r="B267" s="1563" t="s">
        <v>13</v>
      </c>
      <c r="C267" s="1563" t="str">
        <f t="shared" si="4"/>
        <v>PBSDDM56</v>
      </c>
      <c r="D267" s="1193">
        <v>56</v>
      </c>
      <c r="E267" s="1540"/>
      <c r="F267" s="1301">
        <v>1.3</v>
      </c>
      <c r="G267" s="1301">
        <v>2</v>
      </c>
      <c r="H267" s="1301">
        <v>2.75</v>
      </c>
      <c r="I267" s="1301">
        <v>3.55</v>
      </c>
      <c r="J267" s="1301">
        <v>4.3899999999999997</v>
      </c>
      <c r="K267" s="1301">
        <v>5.29</v>
      </c>
      <c r="L267" s="1301">
        <v>6.26</v>
      </c>
      <c r="M267" s="1302">
        <v>7.29</v>
      </c>
      <c r="N267" s="1300">
        <v>8.4</v>
      </c>
      <c r="O267" s="1301">
        <v>9.59</v>
      </c>
      <c r="P267" s="1301">
        <v>10.87</v>
      </c>
      <c r="Q267" s="1301">
        <v>12.24</v>
      </c>
      <c r="R267" s="1301">
        <v>13.72</v>
      </c>
      <c r="S267" s="1301">
        <v>15.31</v>
      </c>
      <c r="T267" s="1301">
        <v>17.03</v>
      </c>
      <c r="U267" s="1301">
        <v>18.89</v>
      </c>
      <c r="V267" s="1301">
        <v>20.89</v>
      </c>
      <c r="W267" s="1302">
        <v>23.05</v>
      </c>
      <c r="X267" s="1300">
        <v>25.37</v>
      </c>
      <c r="Y267" s="1301">
        <v>27.87</v>
      </c>
      <c r="Z267" s="1301">
        <v>30.54</v>
      </c>
      <c r="AA267" s="1301">
        <v>33.4</v>
      </c>
      <c r="AB267" s="1301">
        <v>37.090000000000003</v>
      </c>
      <c r="AC267" s="1301">
        <v>40.75</v>
      </c>
      <c r="AD267" s="1301">
        <v>44.37</v>
      </c>
      <c r="AE267" s="1301">
        <v>47.96</v>
      </c>
      <c r="AF267" s="1301">
        <v>51.51</v>
      </c>
      <c r="AG267" s="1302">
        <v>55.03</v>
      </c>
      <c r="AH267" s="1300">
        <v>58.51</v>
      </c>
      <c r="AI267" s="1301">
        <v>61.96</v>
      </c>
      <c r="AJ267" s="1301">
        <v>65.37</v>
      </c>
      <c r="AK267" s="1301">
        <v>68.75</v>
      </c>
      <c r="AL267" s="1301">
        <v>72.09</v>
      </c>
      <c r="AM267" s="1301">
        <v>75.41</v>
      </c>
      <c r="AN267" s="1301">
        <v>78.69</v>
      </c>
      <c r="AO267" s="1301">
        <v>81.93</v>
      </c>
      <c r="AP267" s="1301">
        <v>85.15</v>
      </c>
      <c r="AQ267" s="1302">
        <v>88.33</v>
      </c>
      <c r="AR267" s="1300">
        <v>91.48</v>
      </c>
      <c r="AS267" s="1301">
        <v>94.6</v>
      </c>
      <c r="AT267" s="1301">
        <v>97.69</v>
      </c>
      <c r="AU267" s="1301">
        <v>100.75</v>
      </c>
      <c r="AV267" s="1301">
        <v>103.78</v>
      </c>
      <c r="AW267" s="1301">
        <v>106.78</v>
      </c>
      <c r="AX267" s="1301">
        <v>109.75</v>
      </c>
      <c r="AY267" s="1301">
        <v>112.69</v>
      </c>
      <c r="AZ267" s="1301">
        <v>115.6</v>
      </c>
      <c r="BA267" s="1302">
        <v>118.48</v>
      </c>
      <c r="BB267" s="1300">
        <v>121.33</v>
      </c>
      <c r="BC267" s="1301">
        <v>124.16</v>
      </c>
      <c r="BD267" s="1301">
        <v>126.96</v>
      </c>
      <c r="BE267" s="1301">
        <v>129.72999999999999</v>
      </c>
      <c r="BF267" s="1301">
        <v>132.47</v>
      </c>
      <c r="BG267" s="1301">
        <v>135.18</v>
      </c>
      <c r="BH267" s="1301">
        <v>137.87</v>
      </c>
      <c r="BI267" s="1301">
        <v>140.53</v>
      </c>
      <c r="BJ267" s="1301">
        <v>143.16999999999999</v>
      </c>
      <c r="BK267" s="1302">
        <v>145.78</v>
      </c>
      <c r="BL267" s="1300">
        <v>148.36000000000001</v>
      </c>
      <c r="BM267" s="1301">
        <v>150.91999999999999</v>
      </c>
      <c r="BN267" s="1301">
        <v>153.44999999999999</v>
      </c>
      <c r="BO267" s="1301">
        <v>155.94999999999999</v>
      </c>
      <c r="BP267" s="1301">
        <v>158.44</v>
      </c>
      <c r="BQ267" s="1301">
        <v>160.88999999999999</v>
      </c>
      <c r="BR267" s="1301">
        <v>163.33000000000001</v>
      </c>
      <c r="BS267" s="1301">
        <v>165.74</v>
      </c>
      <c r="BT267" s="1301">
        <v>168.12</v>
      </c>
      <c r="BU267" s="1302">
        <v>170.48</v>
      </c>
      <c r="BV267" s="1300">
        <v>172.82</v>
      </c>
      <c r="BW267" s="1301">
        <v>175.14</v>
      </c>
      <c r="BX267" s="1301">
        <v>177.43</v>
      </c>
      <c r="BY267" s="1301">
        <v>179.7</v>
      </c>
      <c r="BZ267" s="1301">
        <v>181.95</v>
      </c>
      <c r="CA267" s="1301">
        <v>184.17</v>
      </c>
      <c r="CB267" s="1301">
        <v>186.37</v>
      </c>
      <c r="CC267" s="1301">
        <v>188.55</v>
      </c>
      <c r="CD267" s="1301">
        <v>190.71</v>
      </c>
      <c r="CE267" s="1302">
        <v>192.85</v>
      </c>
      <c r="CF267" s="1301">
        <v>194.97</v>
      </c>
      <c r="CG267" s="1301">
        <v>197.06</v>
      </c>
      <c r="CH267" s="1302">
        <v>199.14</v>
      </c>
    </row>
    <row r="268" spans="1:86" ht="20.149999999999999" customHeight="1">
      <c r="A268" s="1563" t="s">
        <v>1427</v>
      </c>
      <c r="B268" s="1563" t="s">
        <v>13</v>
      </c>
      <c r="C268" s="1563" t="str">
        <f t="shared" si="4"/>
        <v>PBSDDM57</v>
      </c>
      <c r="D268" s="1193">
        <v>57</v>
      </c>
      <c r="E268" s="1540"/>
      <c r="F268" s="1301">
        <v>1.41</v>
      </c>
      <c r="G268" s="1301">
        <v>2.1800000000000002</v>
      </c>
      <c r="H268" s="1301">
        <v>3</v>
      </c>
      <c r="I268" s="1301">
        <v>3.87</v>
      </c>
      <c r="J268" s="1301">
        <v>4.8</v>
      </c>
      <c r="K268" s="1301">
        <v>5.79</v>
      </c>
      <c r="L268" s="1301">
        <v>6.86</v>
      </c>
      <c r="M268" s="1302">
        <v>8</v>
      </c>
      <c r="N268" s="1300">
        <v>9.2200000000000006</v>
      </c>
      <c r="O268" s="1301">
        <v>10.54</v>
      </c>
      <c r="P268" s="1301">
        <v>11.96</v>
      </c>
      <c r="Q268" s="1301">
        <v>13.49</v>
      </c>
      <c r="R268" s="1301">
        <v>15.14</v>
      </c>
      <c r="S268" s="1301">
        <v>16.91</v>
      </c>
      <c r="T268" s="1301">
        <v>18.829999999999998</v>
      </c>
      <c r="U268" s="1301">
        <v>20.91</v>
      </c>
      <c r="V268" s="1301">
        <v>23.14</v>
      </c>
      <c r="W268" s="1302">
        <v>25.55</v>
      </c>
      <c r="X268" s="1300">
        <v>28.13</v>
      </c>
      <c r="Y268" s="1301">
        <v>30.9</v>
      </c>
      <c r="Z268" s="1301">
        <v>33.869999999999997</v>
      </c>
      <c r="AA268" s="1301">
        <v>37.729999999999997</v>
      </c>
      <c r="AB268" s="1301">
        <v>41.55</v>
      </c>
      <c r="AC268" s="1301">
        <v>45.34</v>
      </c>
      <c r="AD268" s="1301">
        <v>49.09</v>
      </c>
      <c r="AE268" s="1301">
        <v>52.8</v>
      </c>
      <c r="AF268" s="1301">
        <v>56.48</v>
      </c>
      <c r="AG268" s="1302">
        <v>60.12</v>
      </c>
      <c r="AH268" s="1300">
        <v>63.72</v>
      </c>
      <c r="AI268" s="1301">
        <v>67.290000000000006</v>
      </c>
      <c r="AJ268" s="1301">
        <v>70.819999999999993</v>
      </c>
      <c r="AK268" s="1301">
        <v>74.319999999999993</v>
      </c>
      <c r="AL268" s="1301">
        <v>77.78</v>
      </c>
      <c r="AM268" s="1301">
        <v>81.209999999999994</v>
      </c>
      <c r="AN268" s="1301">
        <v>84.6</v>
      </c>
      <c r="AO268" s="1301">
        <v>87.97</v>
      </c>
      <c r="AP268" s="1301">
        <v>91.29</v>
      </c>
      <c r="AQ268" s="1302">
        <v>94.59</v>
      </c>
      <c r="AR268" s="1300">
        <v>97.85</v>
      </c>
      <c r="AS268" s="1301">
        <v>101.08</v>
      </c>
      <c r="AT268" s="1301">
        <v>104.28</v>
      </c>
      <c r="AU268" s="1301">
        <v>107.44</v>
      </c>
      <c r="AV268" s="1301">
        <v>110.58</v>
      </c>
      <c r="AW268" s="1301">
        <v>113.68</v>
      </c>
      <c r="AX268" s="1301">
        <v>116.75</v>
      </c>
      <c r="AY268" s="1301">
        <v>119.8</v>
      </c>
      <c r="AZ268" s="1301">
        <v>122.81</v>
      </c>
      <c r="BA268" s="1302">
        <v>125.79</v>
      </c>
      <c r="BB268" s="1300">
        <v>128.74</v>
      </c>
      <c r="BC268" s="1301">
        <v>131.66999999999999</v>
      </c>
      <c r="BD268" s="1301">
        <v>134.56</v>
      </c>
      <c r="BE268" s="1301">
        <v>137.43</v>
      </c>
      <c r="BF268" s="1301">
        <v>140.27000000000001</v>
      </c>
      <c r="BG268" s="1301">
        <v>143.08000000000001</v>
      </c>
      <c r="BH268" s="1301">
        <v>145.86000000000001</v>
      </c>
      <c r="BI268" s="1301">
        <v>148.61000000000001</v>
      </c>
      <c r="BJ268" s="1301">
        <v>151.34</v>
      </c>
      <c r="BK268" s="1302">
        <v>154.04</v>
      </c>
      <c r="BL268" s="1300">
        <v>156.71</v>
      </c>
      <c r="BM268" s="1301">
        <v>159.36000000000001</v>
      </c>
      <c r="BN268" s="1301">
        <v>161.97999999999999</v>
      </c>
      <c r="BO268" s="1301">
        <v>164.58</v>
      </c>
      <c r="BP268" s="1301">
        <v>167.14</v>
      </c>
      <c r="BQ268" s="1301">
        <v>169.69</v>
      </c>
      <c r="BR268" s="1301">
        <v>172.21</v>
      </c>
      <c r="BS268" s="1301">
        <v>174.7</v>
      </c>
      <c r="BT268" s="1301">
        <v>177.17</v>
      </c>
      <c r="BU268" s="1302">
        <v>179.61</v>
      </c>
      <c r="BV268" s="1300">
        <v>182.03</v>
      </c>
      <c r="BW268" s="1301">
        <v>184.43</v>
      </c>
      <c r="BX268" s="1301">
        <v>186.8</v>
      </c>
      <c r="BY268" s="1301">
        <v>189.15</v>
      </c>
      <c r="BZ268" s="1301">
        <v>191.48</v>
      </c>
      <c r="CA268" s="1301">
        <v>193.78</v>
      </c>
      <c r="CB268" s="1301">
        <v>196.06</v>
      </c>
      <c r="CC268" s="1301">
        <v>198.32</v>
      </c>
      <c r="CD268" s="1301">
        <v>200.55</v>
      </c>
      <c r="CE268" s="1302">
        <v>202.76</v>
      </c>
      <c r="CF268" s="1301">
        <v>204.96</v>
      </c>
      <c r="CG268" s="1301">
        <v>207.12</v>
      </c>
      <c r="CH268" s="1302">
        <v>209.27</v>
      </c>
    </row>
    <row r="269" spans="1:86" ht="20.149999999999999" customHeight="1">
      <c r="A269" s="1563" t="s">
        <v>1427</v>
      </c>
      <c r="B269" s="1563" t="s">
        <v>13</v>
      </c>
      <c r="C269" s="1563" t="str">
        <f t="shared" si="4"/>
        <v>PBSDDM58</v>
      </c>
      <c r="D269" s="1193">
        <v>58</v>
      </c>
      <c r="E269" s="1540"/>
      <c r="F269" s="1301">
        <v>1.54</v>
      </c>
      <c r="G269" s="1301">
        <v>2.38</v>
      </c>
      <c r="H269" s="1301">
        <v>3.28</v>
      </c>
      <c r="I269" s="1301">
        <v>4.2300000000000004</v>
      </c>
      <c r="J269" s="1301">
        <v>5.26</v>
      </c>
      <c r="K269" s="1301">
        <v>6.36</v>
      </c>
      <c r="L269" s="1301">
        <v>7.53</v>
      </c>
      <c r="M269" s="1302">
        <v>8.8000000000000007</v>
      </c>
      <c r="N269" s="1300">
        <v>10.16</v>
      </c>
      <c r="O269" s="1301">
        <v>11.62</v>
      </c>
      <c r="P269" s="1301">
        <v>13.2</v>
      </c>
      <c r="Q269" s="1301">
        <v>14.91</v>
      </c>
      <c r="R269" s="1301">
        <v>16.75</v>
      </c>
      <c r="S269" s="1301">
        <v>18.73</v>
      </c>
      <c r="T269" s="1301">
        <v>20.88</v>
      </c>
      <c r="U269" s="1301">
        <v>23.19</v>
      </c>
      <c r="V269" s="1301">
        <v>25.68</v>
      </c>
      <c r="W269" s="1302">
        <v>28.36</v>
      </c>
      <c r="X269" s="1300">
        <v>31.24</v>
      </c>
      <c r="Y269" s="1301">
        <v>34.32</v>
      </c>
      <c r="Z269" s="1301">
        <v>38.36</v>
      </c>
      <c r="AA269" s="1301">
        <v>42.36</v>
      </c>
      <c r="AB269" s="1301">
        <v>46.33</v>
      </c>
      <c r="AC269" s="1301">
        <v>50.25</v>
      </c>
      <c r="AD269" s="1301">
        <v>54.13</v>
      </c>
      <c r="AE269" s="1301">
        <v>57.98</v>
      </c>
      <c r="AF269" s="1301">
        <v>61.79</v>
      </c>
      <c r="AG269" s="1302">
        <v>65.56</v>
      </c>
      <c r="AH269" s="1300">
        <v>69.290000000000006</v>
      </c>
      <c r="AI269" s="1301">
        <v>72.989999999999995</v>
      </c>
      <c r="AJ269" s="1301">
        <v>76.650000000000006</v>
      </c>
      <c r="AK269" s="1301">
        <v>80.27</v>
      </c>
      <c r="AL269" s="1301">
        <v>83.86</v>
      </c>
      <c r="AM269" s="1301">
        <v>87.41</v>
      </c>
      <c r="AN269" s="1301">
        <v>90.93</v>
      </c>
      <c r="AO269" s="1301">
        <v>94.41</v>
      </c>
      <c r="AP269" s="1301">
        <v>97.86</v>
      </c>
      <c r="AQ269" s="1302">
        <v>101.28</v>
      </c>
      <c r="AR269" s="1300">
        <v>104.66</v>
      </c>
      <c r="AS269" s="1301">
        <v>108</v>
      </c>
      <c r="AT269" s="1301">
        <v>111.31</v>
      </c>
      <c r="AU269" s="1301">
        <v>114.6</v>
      </c>
      <c r="AV269" s="1301">
        <v>117.84</v>
      </c>
      <c r="AW269" s="1301">
        <v>121.06</v>
      </c>
      <c r="AX269" s="1301">
        <v>124.24</v>
      </c>
      <c r="AY269" s="1301">
        <v>127.4</v>
      </c>
      <c r="AZ269" s="1301">
        <v>130.52000000000001</v>
      </c>
      <c r="BA269" s="1302">
        <v>133.61000000000001</v>
      </c>
      <c r="BB269" s="1300">
        <v>136.66999999999999</v>
      </c>
      <c r="BC269" s="1301">
        <v>139.69999999999999</v>
      </c>
      <c r="BD269" s="1301">
        <v>142.69999999999999</v>
      </c>
      <c r="BE269" s="1301">
        <v>145.66999999999999</v>
      </c>
      <c r="BF269" s="1301">
        <v>148.61000000000001</v>
      </c>
      <c r="BG269" s="1301">
        <v>151.52000000000001</v>
      </c>
      <c r="BH269" s="1301">
        <v>154.4</v>
      </c>
      <c r="BI269" s="1301">
        <v>157.25</v>
      </c>
      <c r="BJ269" s="1301">
        <v>160.08000000000001</v>
      </c>
      <c r="BK269" s="1302">
        <v>162.88</v>
      </c>
      <c r="BL269" s="1300">
        <v>165.65</v>
      </c>
      <c r="BM269" s="1301">
        <v>168.39</v>
      </c>
      <c r="BN269" s="1301">
        <v>171.1</v>
      </c>
      <c r="BO269" s="1301">
        <v>173.79</v>
      </c>
      <c r="BP269" s="1301">
        <v>176.45</v>
      </c>
      <c r="BQ269" s="1301">
        <v>179.09</v>
      </c>
      <c r="BR269" s="1301">
        <v>181.7</v>
      </c>
      <c r="BS269" s="1301">
        <v>184.28</v>
      </c>
      <c r="BT269" s="1301">
        <v>186.84</v>
      </c>
      <c r="BU269" s="1302">
        <v>189.37</v>
      </c>
      <c r="BV269" s="1300">
        <v>191.88</v>
      </c>
      <c r="BW269" s="1301">
        <v>194.36</v>
      </c>
      <c r="BX269" s="1301">
        <v>196.82</v>
      </c>
      <c r="BY269" s="1301">
        <v>199.26</v>
      </c>
      <c r="BZ269" s="1301">
        <v>201.67</v>
      </c>
      <c r="CA269" s="1301">
        <v>204.05</v>
      </c>
      <c r="CB269" s="1301">
        <v>206.41</v>
      </c>
      <c r="CC269" s="1301">
        <v>208.75</v>
      </c>
      <c r="CD269" s="1301">
        <v>211.07</v>
      </c>
      <c r="CE269" s="1302">
        <v>213.36</v>
      </c>
      <c r="CF269" s="1301">
        <v>215.63</v>
      </c>
      <c r="CG269" s="1301">
        <v>217.88</v>
      </c>
      <c r="CH269" s="1302">
        <v>220.11</v>
      </c>
    </row>
    <row r="270" spans="1:86" ht="20.149999999999999" customHeight="1">
      <c r="A270" s="1563" t="s">
        <v>1427</v>
      </c>
      <c r="B270" s="1563" t="s">
        <v>13</v>
      </c>
      <c r="C270" s="1563" t="str">
        <f t="shared" si="4"/>
        <v>PBSDDM59</v>
      </c>
      <c r="D270" s="1193">
        <v>59</v>
      </c>
      <c r="E270" s="1540"/>
      <c r="F270" s="1301">
        <v>1.68</v>
      </c>
      <c r="G270" s="1301">
        <v>2.6</v>
      </c>
      <c r="H270" s="1301">
        <v>3.59</v>
      </c>
      <c r="I270" s="1301">
        <v>4.6500000000000004</v>
      </c>
      <c r="J270" s="1301">
        <v>5.78</v>
      </c>
      <c r="K270" s="1301">
        <v>7</v>
      </c>
      <c r="L270" s="1301">
        <v>8.3000000000000007</v>
      </c>
      <c r="M270" s="1302">
        <v>9.7100000000000009</v>
      </c>
      <c r="N270" s="1300">
        <v>11.22</v>
      </c>
      <c r="O270" s="1301">
        <v>12.85</v>
      </c>
      <c r="P270" s="1301">
        <v>14.61</v>
      </c>
      <c r="Q270" s="1301">
        <v>16.52</v>
      </c>
      <c r="R270" s="1301">
        <v>18.57</v>
      </c>
      <c r="S270" s="1301">
        <v>20.79</v>
      </c>
      <c r="T270" s="1301">
        <v>23.19</v>
      </c>
      <c r="U270" s="1301">
        <v>25.78</v>
      </c>
      <c r="V270" s="1301">
        <v>28.56</v>
      </c>
      <c r="W270" s="1302">
        <v>31.54</v>
      </c>
      <c r="X270" s="1300">
        <v>34.74</v>
      </c>
      <c r="Y270" s="1301">
        <v>38.97</v>
      </c>
      <c r="Z270" s="1301">
        <v>43.17</v>
      </c>
      <c r="AA270" s="1301">
        <v>47.32</v>
      </c>
      <c r="AB270" s="1301">
        <v>51.43</v>
      </c>
      <c r="AC270" s="1301">
        <v>55.5</v>
      </c>
      <c r="AD270" s="1301">
        <v>59.53</v>
      </c>
      <c r="AE270" s="1301">
        <v>63.52</v>
      </c>
      <c r="AF270" s="1301">
        <v>67.47</v>
      </c>
      <c r="AG270" s="1302">
        <v>71.38</v>
      </c>
      <c r="AH270" s="1300">
        <v>75.260000000000005</v>
      </c>
      <c r="AI270" s="1301">
        <v>79.09</v>
      </c>
      <c r="AJ270" s="1301">
        <v>82.89</v>
      </c>
      <c r="AK270" s="1301">
        <v>86.65</v>
      </c>
      <c r="AL270" s="1301">
        <v>90.37</v>
      </c>
      <c r="AM270" s="1301">
        <v>94.05</v>
      </c>
      <c r="AN270" s="1301">
        <v>97.7</v>
      </c>
      <c r="AO270" s="1301">
        <v>101.31</v>
      </c>
      <c r="AP270" s="1301">
        <v>104.89</v>
      </c>
      <c r="AQ270" s="1302">
        <v>108.43</v>
      </c>
      <c r="AR270" s="1300">
        <v>111.94</v>
      </c>
      <c r="AS270" s="1301">
        <v>115.41</v>
      </c>
      <c r="AT270" s="1301">
        <v>118.85</v>
      </c>
      <c r="AU270" s="1301">
        <v>122.25</v>
      </c>
      <c r="AV270" s="1301">
        <v>125.62</v>
      </c>
      <c r="AW270" s="1301">
        <v>128.94999999999999</v>
      </c>
      <c r="AX270" s="1301">
        <v>132.26</v>
      </c>
      <c r="AY270" s="1301">
        <v>135.53</v>
      </c>
      <c r="AZ270" s="1301">
        <v>138.76</v>
      </c>
      <c r="BA270" s="1302">
        <v>141.97</v>
      </c>
      <c r="BB270" s="1300">
        <v>145.13999999999999</v>
      </c>
      <c r="BC270" s="1301">
        <v>148.29</v>
      </c>
      <c r="BD270" s="1301">
        <v>151.4</v>
      </c>
      <c r="BE270" s="1301">
        <v>154.47999999999999</v>
      </c>
      <c r="BF270" s="1301">
        <v>157.53</v>
      </c>
      <c r="BG270" s="1301">
        <v>160.55000000000001</v>
      </c>
      <c r="BH270" s="1301">
        <v>163.54</v>
      </c>
      <c r="BI270" s="1301">
        <v>166.5</v>
      </c>
      <c r="BJ270" s="1301">
        <v>169.43</v>
      </c>
      <c r="BK270" s="1302">
        <v>172.33</v>
      </c>
      <c r="BL270" s="1300">
        <v>175.21</v>
      </c>
      <c r="BM270" s="1301">
        <v>178.05</v>
      </c>
      <c r="BN270" s="1301">
        <v>180.87</v>
      </c>
      <c r="BO270" s="1301">
        <v>183.66</v>
      </c>
      <c r="BP270" s="1301">
        <v>186.42</v>
      </c>
      <c r="BQ270" s="1301">
        <v>189.15</v>
      </c>
      <c r="BR270" s="1301">
        <v>191.86</v>
      </c>
      <c r="BS270" s="1301">
        <v>194.54</v>
      </c>
      <c r="BT270" s="1301">
        <v>197.19</v>
      </c>
      <c r="BU270" s="1302">
        <v>199.82</v>
      </c>
      <c r="BV270" s="1300">
        <v>202.42</v>
      </c>
      <c r="BW270" s="1301">
        <v>205</v>
      </c>
      <c r="BX270" s="1301">
        <v>207.55</v>
      </c>
      <c r="BY270" s="1301">
        <v>210.07</v>
      </c>
      <c r="BZ270" s="1301">
        <v>212.57</v>
      </c>
      <c r="CA270" s="1301">
        <v>215.04</v>
      </c>
      <c r="CB270" s="1301">
        <v>217.5</v>
      </c>
      <c r="CC270" s="1301">
        <v>219.92</v>
      </c>
      <c r="CD270" s="1301">
        <v>222.32</v>
      </c>
      <c r="CE270" s="1302">
        <v>224.7</v>
      </c>
      <c r="CF270" s="1301">
        <v>227.06</v>
      </c>
      <c r="CG270" s="1301">
        <v>229.39</v>
      </c>
      <c r="CH270" s="1302">
        <v>231.7</v>
      </c>
    </row>
    <row r="271" spans="1:86" ht="20.149999999999999" customHeight="1">
      <c r="A271" s="1563" t="s">
        <v>1427</v>
      </c>
      <c r="B271" s="1563" t="s">
        <v>13</v>
      </c>
      <c r="C271" s="1563" t="str">
        <f t="shared" si="4"/>
        <v>PBSDDM60</v>
      </c>
      <c r="D271" s="1193">
        <v>60</v>
      </c>
      <c r="E271" s="1540"/>
      <c r="F271" s="1301">
        <v>1.84</v>
      </c>
      <c r="G271" s="1301">
        <v>2.86</v>
      </c>
      <c r="H271" s="1301">
        <v>3.95</v>
      </c>
      <c r="I271" s="1301">
        <v>5.12</v>
      </c>
      <c r="J271" s="1301">
        <v>6.37</v>
      </c>
      <c r="K271" s="1301">
        <v>7.72</v>
      </c>
      <c r="L271" s="1301">
        <v>9.17</v>
      </c>
      <c r="M271" s="1302">
        <v>10.74</v>
      </c>
      <c r="N271" s="1300">
        <v>12.42</v>
      </c>
      <c r="O271" s="1301">
        <v>14.24</v>
      </c>
      <c r="P271" s="1301">
        <v>16.21</v>
      </c>
      <c r="Q271" s="1301">
        <v>18.34</v>
      </c>
      <c r="R271" s="1301">
        <v>20.64</v>
      </c>
      <c r="S271" s="1301">
        <v>23.13</v>
      </c>
      <c r="T271" s="1301">
        <v>25.81</v>
      </c>
      <c r="U271" s="1301">
        <v>28.7</v>
      </c>
      <c r="V271" s="1301">
        <v>31.8</v>
      </c>
      <c r="W271" s="1302">
        <v>35.119999999999997</v>
      </c>
      <c r="X271" s="1300">
        <v>39.56</v>
      </c>
      <c r="Y271" s="1301">
        <v>43.96</v>
      </c>
      <c r="Z271" s="1301">
        <v>48.32</v>
      </c>
      <c r="AA271" s="1301">
        <v>52.63</v>
      </c>
      <c r="AB271" s="1301">
        <v>56.9</v>
      </c>
      <c r="AC271" s="1301">
        <v>61.13</v>
      </c>
      <c r="AD271" s="1301">
        <v>65.31</v>
      </c>
      <c r="AE271" s="1301">
        <v>69.459999999999994</v>
      </c>
      <c r="AF271" s="1301">
        <v>73.56</v>
      </c>
      <c r="AG271" s="1302">
        <v>77.62</v>
      </c>
      <c r="AH271" s="1300">
        <v>81.64</v>
      </c>
      <c r="AI271" s="1301">
        <v>85.63</v>
      </c>
      <c r="AJ271" s="1301">
        <v>89.57</v>
      </c>
      <c r="AK271" s="1301">
        <v>93.47</v>
      </c>
      <c r="AL271" s="1301">
        <v>97.34</v>
      </c>
      <c r="AM271" s="1301">
        <v>101.16</v>
      </c>
      <c r="AN271" s="1301">
        <v>104.95</v>
      </c>
      <c r="AO271" s="1301">
        <v>108.7</v>
      </c>
      <c r="AP271" s="1301">
        <v>112.42</v>
      </c>
      <c r="AQ271" s="1302">
        <v>116.1</v>
      </c>
      <c r="AR271" s="1300">
        <v>119.74</v>
      </c>
      <c r="AS271" s="1301">
        <v>123.34</v>
      </c>
      <c r="AT271" s="1301">
        <v>126.91</v>
      </c>
      <c r="AU271" s="1301">
        <v>130.44999999999999</v>
      </c>
      <c r="AV271" s="1301">
        <v>133.94</v>
      </c>
      <c r="AW271" s="1301">
        <v>137.41</v>
      </c>
      <c r="AX271" s="1301">
        <v>140.84</v>
      </c>
      <c r="AY271" s="1301">
        <v>144.22999999999999</v>
      </c>
      <c r="AZ271" s="1301">
        <v>147.6</v>
      </c>
      <c r="BA271" s="1302">
        <v>150.93</v>
      </c>
      <c r="BB271" s="1300">
        <v>154.22</v>
      </c>
      <c r="BC271" s="1301">
        <v>157.49</v>
      </c>
      <c r="BD271" s="1301">
        <v>160.72</v>
      </c>
      <c r="BE271" s="1301">
        <v>163.92</v>
      </c>
      <c r="BF271" s="1301">
        <v>167.08</v>
      </c>
      <c r="BG271" s="1301">
        <v>170.22</v>
      </c>
      <c r="BH271" s="1301">
        <v>173.33</v>
      </c>
      <c r="BI271" s="1301">
        <v>176.4</v>
      </c>
      <c r="BJ271" s="1301">
        <v>179.44</v>
      </c>
      <c r="BK271" s="1302">
        <v>182.46</v>
      </c>
      <c r="BL271" s="1300">
        <v>185.44</v>
      </c>
      <c r="BM271" s="1301">
        <v>188.4</v>
      </c>
      <c r="BN271" s="1301">
        <v>191.32</v>
      </c>
      <c r="BO271" s="1301">
        <v>194.22</v>
      </c>
      <c r="BP271" s="1301">
        <v>197.09</v>
      </c>
      <c r="BQ271" s="1301">
        <v>199.92</v>
      </c>
      <c r="BR271" s="1301">
        <v>202.74</v>
      </c>
      <c r="BS271" s="1301">
        <v>205.52</v>
      </c>
      <c r="BT271" s="1301">
        <v>208.27</v>
      </c>
      <c r="BU271" s="1302">
        <v>211</v>
      </c>
      <c r="BV271" s="1300">
        <v>213.7</v>
      </c>
      <c r="BW271" s="1301">
        <v>216.38</v>
      </c>
      <c r="BX271" s="1301">
        <v>219.03</v>
      </c>
      <c r="BY271" s="1301">
        <v>221.65</v>
      </c>
      <c r="BZ271" s="1301">
        <v>224.24</v>
      </c>
      <c r="CA271" s="1301">
        <v>226.82</v>
      </c>
      <c r="CB271" s="1301">
        <v>229.36</v>
      </c>
      <c r="CC271" s="1301">
        <v>231.88</v>
      </c>
      <c r="CD271" s="1301">
        <v>234.37</v>
      </c>
      <c r="CE271" s="1302">
        <v>236.84</v>
      </c>
      <c r="CF271" s="1301">
        <v>239.29</v>
      </c>
      <c r="CG271" s="1301">
        <v>241.71</v>
      </c>
      <c r="CH271" s="1302">
        <v>244.11</v>
      </c>
    </row>
    <row r="272" spans="1:86" ht="20.149999999999999" customHeight="1">
      <c r="A272" s="1563" t="s">
        <v>1427</v>
      </c>
      <c r="B272" s="1563" t="s">
        <v>13</v>
      </c>
      <c r="C272" s="1563" t="str">
        <f t="shared" si="4"/>
        <v>PBSDDM61</v>
      </c>
      <c r="D272" s="1194">
        <v>61</v>
      </c>
      <c r="E272" s="1541"/>
      <c r="F272" s="1304">
        <v>2.0299999999999998</v>
      </c>
      <c r="G272" s="1304">
        <v>3.15</v>
      </c>
      <c r="H272" s="1304">
        <v>4.3600000000000003</v>
      </c>
      <c r="I272" s="1304">
        <v>5.65</v>
      </c>
      <c r="J272" s="1304">
        <v>7.04</v>
      </c>
      <c r="K272" s="1304">
        <v>8.5399999999999991</v>
      </c>
      <c r="L272" s="1304">
        <v>10.16</v>
      </c>
      <c r="M272" s="1305">
        <v>11.9</v>
      </c>
      <c r="N272" s="1303">
        <v>13.79</v>
      </c>
      <c r="O272" s="1304">
        <v>15.83</v>
      </c>
      <c r="P272" s="1304">
        <v>18.03</v>
      </c>
      <c r="Q272" s="1304">
        <v>20.420000000000002</v>
      </c>
      <c r="R272" s="1304">
        <v>23</v>
      </c>
      <c r="S272" s="1304">
        <v>25.78</v>
      </c>
      <c r="T272" s="1304">
        <v>28.78</v>
      </c>
      <c r="U272" s="1304">
        <v>32</v>
      </c>
      <c r="V272" s="1304">
        <v>35.450000000000003</v>
      </c>
      <c r="W272" s="1305">
        <v>40.119999999999997</v>
      </c>
      <c r="X272" s="1303">
        <v>44.74</v>
      </c>
      <c r="Y272" s="1304">
        <v>49.31</v>
      </c>
      <c r="Z272" s="1304">
        <v>53.84</v>
      </c>
      <c r="AA272" s="1304">
        <v>58.32</v>
      </c>
      <c r="AB272" s="1304">
        <v>62.76</v>
      </c>
      <c r="AC272" s="1304">
        <v>67.16</v>
      </c>
      <c r="AD272" s="1304">
        <v>71.510000000000005</v>
      </c>
      <c r="AE272" s="1304">
        <v>75.819999999999993</v>
      </c>
      <c r="AF272" s="1304">
        <v>80.08</v>
      </c>
      <c r="AG272" s="1305">
        <v>84.31</v>
      </c>
      <c r="AH272" s="1303">
        <v>88.49</v>
      </c>
      <c r="AI272" s="1304">
        <v>92.63</v>
      </c>
      <c r="AJ272" s="1304">
        <v>96.73</v>
      </c>
      <c r="AK272" s="1304">
        <v>100.79</v>
      </c>
      <c r="AL272" s="1304">
        <v>104.8</v>
      </c>
      <c r="AM272" s="1304">
        <v>108.78</v>
      </c>
      <c r="AN272" s="1304">
        <v>112.72</v>
      </c>
      <c r="AO272" s="1304">
        <v>116.62</v>
      </c>
      <c r="AP272" s="1304">
        <v>120.49</v>
      </c>
      <c r="AQ272" s="1305">
        <v>124.31</v>
      </c>
      <c r="AR272" s="1303">
        <v>128.09</v>
      </c>
      <c r="AS272" s="1304">
        <v>131.84</v>
      </c>
      <c r="AT272" s="1304">
        <v>135.55000000000001</v>
      </c>
      <c r="AU272" s="1304">
        <v>139.22999999999999</v>
      </c>
      <c r="AV272" s="1304">
        <v>142.87</v>
      </c>
      <c r="AW272" s="1304">
        <v>146.47</v>
      </c>
      <c r="AX272" s="1304">
        <v>150.03</v>
      </c>
      <c r="AY272" s="1304">
        <v>153.56</v>
      </c>
      <c r="AZ272" s="1304">
        <v>157.06</v>
      </c>
      <c r="BA272" s="1305">
        <v>160.52000000000001</v>
      </c>
      <c r="BB272" s="1303">
        <v>163.95</v>
      </c>
      <c r="BC272" s="1304">
        <v>167.34</v>
      </c>
      <c r="BD272" s="1304">
        <v>170.7</v>
      </c>
      <c r="BE272" s="1304">
        <v>174.03</v>
      </c>
      <c r="BF272" s="1304">
        <v>177.32</v>
      </c>
      <c r="BG272" s="1304">
        <v>180.58</v>
      </c>
      <c r="BH272" s="1304">
        <v>183.81</v>
      </c>
      <c r="BI272" s="1304">
        <v>187.01</v>
      </c>
      <c r="BJ272" s="1304">
        <v>190.17</v>
      </c>
      <c r="BK272" s="1305">
        <v>193.31</v>
      </c>
      <c r="BL272" s="1303">
        <v>196.41</v>
      </c>
      <c r="BM272" s="1304">
        <v>199.48</v>
      </c>
      <c r="BN272" s="1304">
        <v>202.52</v>
      </c>
      <c r="BO272" s="1304">
        <v>205.53</v>
      </c>
      <c r="BP272" s="1304">
        <v>208.51</v>
      </c>
      <c r="BQ272" s="1304">
        <v>211.47</v>
      </c>
      <c r="BR272" s="1304">
        <v>214.39</v>
      </c>
      <c r="BS272" s="1304">
        <v>217.28</v>
      </c>
      <c r="BT272" s="1304">
        <v>220.15</v>
      </c>
      <c r="BU272" s="1305">
        <v>222.98</v>
      </c>
      <c r="BV272" s="1303">
        <v>225.79</v>
      </c>
      <c r="BW272" s="1304">
        <v>228.57</v>
      </c>
      <c r="BX272" s="1304">
        <v>231.33</v>
      </c>
      <c r="BY272" s="1304">
        <v>234.05</v>
      </c>
      <c r="BZ272" s="1304">
        <v>236.75</v>
      </c>
      <c r="CA272" s="1304">
        <v>239.43</v>
      </c>
      <c r="CB272" s="1304">
        <v>242.07</v>
      </c>
      <c r="CC272" s="1304">
        <v>244.69</v>
      </c>
      <c r="CD272" s="1304">
        <v>247.28</v>
      </c>
      <c r="CE272" s="1305">
        <v>249.85</v>
      </c>
      <c r="CF272" s="1304">
        <v>252.4</v>
      </c>
      <c r="CG272" s="1304">
        <v>254.91</v>
      </c>
      <c r="CH272" s="1305">
        <v>257.41000000000003</v>
      </c>
    </row>
    <row r="273" spans="1:86" ht="20.149999999999999" customHeight="1">
      <c r="A273" s="1563" t="s">
        <v>1427</v>
      </c>
      <c r="B273" s="1563" t="s">
        <v>13</v>
      </c>
      <c r="C273" s="1563" t="str">
        <f t="shared" si="4"/>
        <v>PBSDDM62</v>
      </c>
      <c r="D273" s="1193">
        <v>62</v>
      </c>
      <c r="E273" s="1540"/>
      <c r="F273" s="1301">
        <v>2.2400000000000002</v>
      </c>
      <c r="G273" s="1301">
        <v>3.48</v>
      </c>
      <c r="H273" s="1301">
        <v>4.82</v>
      </c>
      <c r="I273" s="1301">
        <v>6.26</v>
      </c>
      <c r="J273" s="1301">
        <v>7.8</v>
      </c>
      <c r="K273" s="1301">
        <v>9.4700000000000006</v>
      </c>
      <c r="L273" s="1301">
        <v>11.28</v>
      </c>
      <c r="M273" s="1302">
        <v>13.23</v>
      </c>
      <c r="N273" s="1300">
        <v>15.34</v>
      </c>
      <c r="O273" s="1301">
        <v>17.62</v>
      </c>
      <c r="P273" s="1301">
        <v>20.100000000000001</v>
      </c>
      <c r="Q273" s="1301">
        <v>22.77</v>
      </c>
      <c r="R273" s="1301">
        <v>25.66</v>
      </c>
      <c r="S273" s="1301">
        <v>28.77</v>
      </c>
      <c r="T273" s="1301">
        <v>32.119999999999997</v>
      </c>
      <c r="U273" s="1301">
        <v>35.72</v>
      </c>
      <c r="V273" s="1301">
        <v>40.619999999999997</v>
      </c>
      <c r="W273" s="1302">
        <v>45.48</v>
      </c>
      <c r="X273" s="1300">
        <v>50.29</v>
      </c>
      <c r="Y273" s="1301">
        <v>55.05</v>
      </c>
      <c r="Z273" s="1301">
        <v>59.76</v>
      </c>
      <c r="AA273" s="1301">
        <v>64.430000000000007</v>
      </c>
      <c r="AB273" s="1301">
        <v>69.05</v>
      </c>
      <c r="AC273" s="1301">
        <v>73.62</v>
      </c>
      <c r="AD273" s="1301">
        <v>78.150000000000006</v>
      </c>
      <c r="AE273" s="1301">
        <v>82.64</v>
      </c>
      <c r="AF273" s="1301">
        <v>87.08</v>
      </c>
      <c r="AG273" s="1302">
        <v>91.47</v>
      </c>
      <c r="AH273" s="1300">
        <v>95.83</v>
      </c>
      <c r="AI273" s="1301">
        <v>100.14</v>
      </c>
      <c r="AJ273" s="1301">
        <v>104.4</v>
      </c>
      <c r="AK273" s="1301">
        <v>108.63</v>
      </c>
      <c r="AL273" s="1301">
        <v>112.81</v>
      </c>
      <c r="AM273" s="1301">
        <v>116.95</v>
      </c>
      <c r="AN273" s="1301">
        <v>121.05</v>
      </c>
      <c r="AO273" s="1301">
        <v>125.11</v>
      </c>
      <c r="AP273" s="1301">
        <v>129.13</v>
      </c>
      <c r="AQ273" s="1302">
        <v>133.11000000000001</v>
      </c>
      <c r="AR273" s="1300">
        <v>137.06</v>
      </c>
      <c r="AS273" s="1301">
        <v>140.96</v>
      </c>
      <c r="AT273" s="1301">
        <v>144.82</v>
      </c>
      <c r="AU273" s="1301">
        <v>148.63999999999999</v>
      </c>
      <c r="AV273" s="1301">
        <v>152.43</v>
      </c>
      <c r="AW273" s="1301">
        <v>156.18</v>
      </c>
      <c r="AX273" s="1301">
        <v>159.88999999999999</v>
      </c>
      <c r="AY273" s="1301">
        <v>163.57</v>
      </c>
      <c r="AZ273" s="1301">
        <v>167.21</v>
      </c>
      <c r="BA273" s="1302">
        <v>170.81</v>
      </c>
      <c r="BB273" s="1300">
        <v>174.38</v>
      </c>
      <c r="BC273" s="1301">
        <v>177.91</v>
      </c>
      <c r="BD273" s="1301">
        <v>181.41</v>
      </c>
      <c r="BE273" s="1301">
        <v>184.87</v>
      </c>
      <c r="BF273" s="1301">
        <v>188.3</v>
      </c>
      <c r="BG273" s="1301">
        <v>191.69</v>
      </c>
      <c r="BH273" s="1301">
        <v>195.05</v>
      </c>
      <c r="BI273" s="1301">
        <v>198.38</v>
      </c>
      <c r="BJ273" s="1301">
        <v>201.67</v>
      </c>
      <c r="BK273" s="1302">
        <v>204.94</v>
      </c>
      <c r="BL273" s="1300">
        <v>208.17</v>
      </c>
      <c r="BM273" s="1301">
        <v>211.36</v>
      </c>
      <c r="BN273" s="1301">
        <v>214.53</v>
      </c>
      <c r="BO273" s="1301">
        <v>217.66</v>
      </c>
      <c r="BP273" s="1301">
        <v>220.77</v>
      </c>
      <c r="BQ273" s="1301">
        <v>223.84</v>
      </c>
      <c r="BR273" s="1301">
        <v>226.88</v>
      </c>
      <c r="BS273" s="1301">
        <v>229.89</v>
      </c>
      <c r="BT273" s="1301">
        <v>232.88</v>
      </c>
      <c r="BU273" s="1302">
        <v>235.83</v>
      </c>
      <c r="BV273" s="1300">
        <v>238.75</v>
      </c>
      <c r="BW273" s="1301">
        <v>241.65</v>
      </c>
      <c r="BX273" s="1301">
        <v>244.51</v>
      </c>
      <c r="BY273" s="1301">
        <v>247.35</v>
      </c>
      <c r="BZ273" s="1301">
        <v>250.16</v>
      </c>
      <c r="CA273" s="1301">
        <v>252.94</v>
      </c>
      <c r="CB273" s="1301">
        <v>255.7</v>
      </c>
      <c r="CC273" s="1301">
        <v>258.42</v>
      </c>
      <c r="CD273" s="1301">
        <v>261.12</v>
      </c>
      <c r="CE273" s="1302">
        <v>263.8</v>
      </c>
      <c r="CF273" s="1301">
        <v>266.44</v>
      </c>
      <c r="CG273" s="1301">
        <v>269.06</v>
      </c>
      <c r="CH273" s="1302">
        <v>271.66000000000003</v>
      </c>
    </row>
    <row r="274" spans="1:86" ht="20.149999999999999" customHeight="1">
      <c r="A274" s="1563" t="s">
        <v>1427</v>
      </c>
      <c r="B274" s="1563" t="s">
        <v>13</v>
      </c>
      <c r="C274" s="1563" t="str">
        <f t="shared" si="4"/>
        <v>PBSDDM63</v>
      </c>
      <c r="D274" s="1193">
        <v>63</v>
      </c>
      <c r="E274" s="1540"/>
      <c r="F274" s="1301">
        <v>2.48</v>
      </c>
      <c r="G274" s="1301">
        <v>3.86</v>
      </c>
      <c r="H274" s="1301">
        <v>5.34</v>
      </c>
      <c r="I274" s="1301">
        <v>6.94</v>
      </c>
      <c r="J274" s="1301">
        <v>8.66</v>
      </c>
      <c r="K274" s="1301">
        <v>10.53</v>
      </c>
      <c r="L274" s="1301">
        <v>12.55</v>
      </c>
      <c r="M274" s="1302">
        <v>14.73</v>
      </c>
      <c r="N274" s="1300">
        <v>17.100000000000001</v>
      </c>
      <c r="O274" s="1301">
        <v>19.66</v>
      </c>
      <c r="P274" s="1301">
        <v>22.44</v>
      </c>
      <c r="Q274" s="1301">
        <v>25.44</v>
      </c>
      <c r="R274" s="1301">
        <v>28.68</v>
      </c>
      <c r="S274" s="1301">
        <v>32.159999999999997</v>
      </c>
      <c r="T274" s="1301">
        <v>35.9</v>
      </c>
      <c r="U274" s="1301">
        <v>41.06</v>
      </c>
      <c r="V274" s="1301">
        <v>46.17</v>
      </c>
      <c r="W274" s="1302">
        <v>51.23</v>
      </c>
      <c r="X274" s="1300">
        <v>56.24</v>
      </c>
      <c r="Y274" s="1301">
        <v>61.21</v>
      </c>
      <c r="Z274" s="1301">
        <v>66.12</v>
      </c>
      <c r="AA274" s="1301">
        <v>70.98</v>
      </c>
      <c r="AB274" s="1301">
        <v>75.8</v>
      </c>
      <c r="AC274" s="1301">
        <v>80.56</v>
      </c>
      <c r="AD274" s="1301">
        <v>85.28</v>
      </c>
      <c r="AE274" s="1301">
        <v>89.96</v>
      </c>
      <c r="AF274" s="1301">
        <v>94.59</v>
      </c>
      <c r="AG274" s="1302">
        <v>99.17</v>
      </c>
      <c r="AH274" s="1300">
        <v>103.7</v>
      </c>
      <c r="AI274" s="1301">
        <v>108.2</v>
      </c>
      <c r="AJ274" s="1301">
        <v>112.64</v>
      </c>
      <c r="AK274" s="1301">
        <v>117.04</v>
      </c>
      <c r="AL274" s="1301">
        <v>121.4</v>
      </c>
      <c r="AM274" s="1301">
        <v>125.72</v>
      </c>
      <c r="AN274" s="1301">
        <v>129.99</v>
      </c>
      <c r="AO274" s="1301">
        <v>134.22</v>
      </c>
      <c r="AP274" s="1301">
        <v>138.41</v>
      </c>
      <c r="AQ274" s="1302">
        <v>142.56</v>
      </c>
      <c r="AR274" s="1300">
        <v>146.66999999999999</v>
      </c>
      <c r="AS274" s="1301">
        <v>150.72999999999999</v>
      </c>
      <c r="AT274" s="1301">
        <v>154.76</v>
      </c>
      <c r="AU274" s="1301">
        <v>158.75</v>
      </c>
      <c r="AV274" s="1301">
        <v>162.69</v>
      </c>
      <c r="AW274" s="1301">
        <v>166.6</v>
      </c>
      <c r="AX274" s="1301">
        <v>170.47</v>
      </c>
      <c r="AY274" s="1301">
        <v>174.3</v>
      </c>
      <c r="AZ274" s="1301">
        <v>178.09</v>
      </c>
      <c r="BA274" s="1302">
        <v>181.85</v>
      </c>
      <c r="BB274" s="1300">
        <v>185.56</v>
      </c>
      <c r="BC274" s="1301">
        <v>189.24</v>
      </c>
      <c r="BD274" s="1301">
        <v>192.89</v>
      </c>
      <c r="BE274" s="1301">
        <v>196.5</v>
      </c>
      <c r="BF274" s="1301">
        <v>200.07</v>
      </c>
      <c r="BG274" s="1301">
        <v>203.61</v>
      </c>
      <c r="BH274" s="1301">
        <v>207.11</v>
      </c>
      <c r="BI274" s="1301">
        <v>210.58</v>
      </c>
      <c r="BJ274" s="1301">
        <v>214.01</v>
      </c>
      <c r="BK274" s="1302">
        <v>217.41</v>
      </c>
      <c r="BL274" s="1300">
        <v>220.78</v>
      </c>
      <c r="BM274" s="1301">
        <v>224.11</v>
      </c>
      <c r="BN274" s="1301">
        <v>227.41</v>
      </c>
      <c r="BO274" s="1301">
        <v>230.67</v>
      </c>
      <c r="BP274" s="1301">
        <v>233.91</v>
      </c>
      <c r="BQ274" s="1301">
        <v>237.11</v>
      </c>
      <c r="BR274" s="1301">
        <v>240.28</v>
      </c>
      <c r="BS274" s="1301">
        <v>243.42</v>
      </c>
      <c r="BT274" s="1301">
        <v>246.53</v>
      </c>
      <c r="BU274" s="1302">
        <v>249.61</v>
      </c>
      <c r="BV274" s="1300">
        <v>252.65</v>
      </c>
      <c r="BW274" s="1301">
        <v>255.67</v>
      </c>
      <c r="BX274" s="1301">
        <v>258.66000000000003</v>
      </c>
      <c r="BY274" s="1301">
        <v>261.61</v>
      </c>
      <c r="BZ274" s="1301">
        <v>264.54000000000002</v>
      </c>
      <c r="CA274" s="1301">
        <v>267.44</v>
      </c>
      <c r="CB274" s="1301">
        <v>270.31</v>
      </c>
      <c r="CC274" s="1301">
        <v>273.14999999999998</v>
      </c>
      <c r="CD274" s="1301">
        <v>275.97000000000003</v>
      </c>
      <c r="CE274" s="1302">
        <v>278.75</v>
      </c>
      <c r="CF274" s="1301">
        <v>281.51</v>
      </c>
      <c r="CG274" s="1301">
        <v>284.24</v>
      </c>
      <c r="CH274" s="1302">
        <v>286.94</v>
      </c>
    </row>
    <row r="275" spans="1:86" ht="20.149999999999999" customHeight="1">
      <c r="A275" s="1563" t="s">
        <v>1427</v>
      </c>
      <c r="B275" s="1563" t="s">
        <v>13</v>
      </c>
      <c r="C275" s="1563" t="str">
        <f t="shared" si="4"/>
        <v>PBSDDM64</v>
      </c>
      <c r="D275" s="1193">
        <v>64</v>
      </c>
      <c r="E275" s="1540"/>
      <c r="F275" s="1301">
        <v>2.74</v>
      </c>
      <c r="G275" s="1301">
        <v>4.28</v>
      </c>
      <c r="H275" s="1301">
        <v>5.93</v>
      </c>
      <c r="I275" s="1301">
        <v>7.71</v>
      </c>
      <c r="J275" s="1301">
        <v>9.64</v>
      </c>
      <c r="K275" s="1301">
        <v>11.73</v>
      </c>
      <c r="L275" s="1301">
        <v>13.99</v>
      </c>
      <c r="M275" s="1302">
        <v>16.440000000000001</v>
      </c>
      <c r="N275" s="1300">
        <v>19.100000000000001</v>
      </c>
      <c r="O275" s="1301">
        <v>21.98</v>
      </c>
      <c r="P275" s="1301">
        <v>25.1</v>
      </c>
      <c r="Q275" s="1301">
        <v>28.46</v>
      </c>
      <c r="R275" s="1301">
        <v>32.08</v>
      </c>
      <c r="S275" s="1301">
        <v>35.97</v>
      </c>
      <c r="T275" s="1301">
        <v>41.42</v>
      </c>
      <c r="U275" s="1301">
        <v>46.8</v>
      </c>
      <c r="V275" s="1301">
        <v>52.13</v>
      </c>
      <c r="W275" s="1302">
        <v>57.42</v>
      </c>
      <c r="X275" s="1300">
        <v>62.64</v>
      </c>
      <c r="Y275" s="1301">
        <v>67.819999999999993</v>
      </c>
      <c r="Z275" s="1301">
        <v>72.95</v>
      </c>
      <c r="AA275" s="1301">
        <v>78.02</v>
      </c>
      <c r="AB275" s="1301">
        <v>83.04</v>
      </c>
      <c r="AC275" s="1301">
        <v>88.02</v>
      </c>
      <c r="AD275" s="1301">
        <v>92.94</v>
      </c>
      <c r="AE275" s="1301">
        <v>97.82</v>
      </c>
      <c r="AF275" s="1301">
        <v>102.65</v>
      </c>
      <c r="AG275" s="1302">
        <v>107.43</v>
      </c>
      <c r="AH275" s="1300">
        <v>112.16</v>
      </c>
      <c r="AI275" s="1301">
        <v>116.85</v>
      </c>
      <c r="AJ275" s="1301">
        <v>121.49</v>
      </c>
      <c r="AK275" s="1301">
        <v>126.08</v>
      </c>
      <c r="AL275" s="1301">
        <v>130.63</v>
      </c>
      <c r="AM275" s="1301">
        <v>135.13</v>
      </c>
      <c r="AN275" s="1301">
        <v>139.59</v>
      </c>
      <c r="AO275" s="1301">
        <v>144.01</v>
      </c>
      <c r="AP275" s="1301">
        <v>148.38</v>
      </c>
      <c r="AQ275" s="1302">
        <v>152.69999999999999</v>
      </c>
      <c r="AR275" s="1300">
        <v>156.99</v>
      </c>
      <c r="AS275" s="1301">
        <v>161.22999999999999</v>
      </c>
      <c r="AT275" s="1301">
        <v>165.43</v>
      </c>
      <c r="AU275" s="1301">
        <v>169.59</v>
      </c>
      <c r="AV275" s="1301">
        <v>173.71</v>
      </c>
      <c r="AW275" s="1301">
        <v>177.78</v>
      </c>
      <c r="AX275" s="1301">
        <v>181.82</v>
      </c>
      <c r="AY275" s="1301">
        <v>185.82</v>
      </c>
      <c r="AZ275" s="1301">
        <v>189.77</v>
      </c>
      <c r="BA275" s="1302">
        <v>193.69</v>
      </c>
      <c r="BB275" s="1300">
        <v>197.57</v>
      </c>
      <c r="BC275" s="1301">
        <v>201.41</v>
      </c>
      <c r="BD275" s="1301">
        <v>205.21</v>
      </c>
      <c r="BE275" s="1301">
        <v>208.98</v>
      </c>
      <c r="BF275" s="1301">
        <v>212.7</v>
      </c>
      <c r="BG275" s="1301">
        <v>216.4</v>
      </c>
      <c r="BH275" s="1301">
        <v>220.05</v>
      </c>
      <c r="BI275" s="1301">
        <v>223.67</v>
      </c>
      <c r="BJ275" s="1301">
        <v>227.25</v>
      </c>
      <c r="BK275" s="1302">
        <v>230.8</v>
      </c>
      <c r="BL275" s="1300">
        <v>234.31</v>
      </c>
      <c r="BM275" s="1301">
        <v>237.78</v>
      </c>
      <c r="BN275" s="1301">
        <v>241.23</v>
      </c>
      <c r="BO275" s="1301">
        <v>244.64</v>
      </c>
      <c r="BP275" s="1301">
        <v>248.01</v>
      </c>
      <c r="BQ275" s="1301">
        <v>251.35</v>
      </c>
      <c r="BR275" s="1301">
        <v>254.66</v>
      </c>
      <c r="BS275" s="1301">
        <v>257.93</v>
      </c>
      <c r="BT275" s="1301">
        <v>261.18</v>
      </c>
      <c r="BU275" s="1302">
        <v>264.39</v>
      </c>
      <c r="BV275" s="1300">
        <v>267.57</v>
      </c>
      <c r="BW275" s="1301">
        <v>270.70999999999998</v>
      </c>
      <c r="BX275" s="1301">
        <v>273.83</v>
      </c>
      <c r="BY275" s="1301">
        <v>276.92</v>
      </c>
      <c r="BZ275" s="1301">
        <v>279.97000000000003</v>
      </c>
      <c r="CA275" s="1301">
        <v>282.99</v>
      </c>
      <c r="CB275" s="1301">
        <v>285.99</v>
      </c>
      <c r="CC275" s="1301">
        <v>288.95</v>
      </c>
      <c r="CD275" s="1301">
        <v>291.89</v>
      </c>
      <c r="CE275" s="1302">
        <v>294.8</v>
      </c>
      <c r="CF275" s="1301">
        <v>297.67</v>
      </c>
      <c r="CG275" s="1301">
        <v>300.52</v>
      </c>
      <c r="CH275" s="1302">
        <v>303.35000000000002</v>
      </c>
    </row>
    <row r="276" spans="1:86" ht="20.149999999999999" customHeight="1">
      <c r="A276" s="1563" t="s">
        <v>1427</v>
      </c>
      <c r="B276" s="1563" t="s">
        <v>13</v>
      </c>
      <c r="C276" s="1563" t="str">
        <f t="shared" si="4"/>
        <v>PBSDDM65</v>
      </c>
      <c r="D276" s="1195">
        <v>65</v>
      </c>
      <c r="E276" s="1542"/>
      <c r="F276" s="1307">
        <v>3.05</v>
      </c>
      <c r="G276" s="1307">
        <v>4.75</v>
      </c>
      <c r="H276" s="1307">
        <v>6.59</v>
      </c>
      <c r="I276" s="1307">
        <v>8.59</v>
      </c>
      <c r="J276" s="1307">
        <v>10.75</v>
      </c>
      <c r="K276" s="1307">
        <v>13.09</v>
      </c>
      <c r="L276" s="1307">
        <v>15.63</v>
      </c>
      <c r="M276" s="1308">
        <v>18.39</v>
      </c>
      <c r="N276" s="1306">
        <v>21.37</v>
      </c>
      <c r="O276" s="1307">
        <v>24.61</v>
      </c>
      <c r="P276" s="1307">
        <v>28.11</v>
      </c>
      <c r="Q276" s="1307">
        <v>31.88</v>
      </c>
      <c r="R276" s="1307">
        <v>35.93</v>
      </c>
      <c r="S276" s="1307">
        <v>41.67</v>
      </c>
      <c r="T276" s="1307">
        <v>47.35</v>
      </c>
      <c r="U276" s="1307">
        <v>52.98</v>
      </c>
      <c r="V276" s="1307">
        <v>58.55</v>
      </c>
      <c r="W276" s="1308">
        <v>64.06</v>
      </c>
      <c r="X276" s="1306">
        <v>69.52</v>
      </c>
      <c r="Y276" s="1307">
        <v>74.930000000000007</v>
      </c>
      <c r="Z276" s="1307">
        <v>80.28</v>
      </c>
      <c r="AA276" s="1307">
        <v>85.58</v>
      </c>
      <c r="AB276" s="1307">
        <v>90.83</v>
      </c>
      <c r="AC276" s="1307">
        <v>96.03</v>
      </c>
      <c r="AD276" s="1307">
        <v>101.17</v>
      </c>
      <c r="AE276" s="1307">
        <v>106.27</v>
      </c>
      <c r="AF276" s="1307">
        <v>111.31</v>
      </c>
      <c r="AG276" s="1308">
        <v>116.3</v>
      </c>
      <c r="AH276" s="1306">
        <v>121.25</v>
      </c>
      <c r="AI276" s="1307">
        <v>126.14</v>
      </c>
      <c r="AJ276" s="1307">
        <v>130.99</v>
      </c>
      <c r="AK276" s="1307">
        <v>135.79</v>
      </c>
      <c r="AL276" s="1307">
        <v>140.54</v>
      </c>
      <c r="AM276" s="1307">
        <v>145.24</v>
      </c>
      <c r="AN276" s="1307">
        <v>149.9</v>
      </c>
      <c r="AO276" s="1307">
        <v>154.51</v>
      </c>
      <c r="AP276" s="1307">
        <v>159.08000000000001</v>
      </c>
      <c r="AQ276" s="1308">
        <v>163.6</v>
      </c>
      <c r="AR276" s="1306">
        <v>168.07</v>
      </c>
      <c r="AS276" s="1307">
        <v>172.5</v>
      </c>
      <c r="AT276" s="1307">
        <v>176.89</v>
      </c>
      <c r="AU276" s="1307">
        <v>181.23</v>
      </c>
      <c r="AV276" s="1307">
        <v>185.54</v>
      </c>
      <c r="AW276" s="1307">
        <v>189.79</v>
      </c>
      <c r="AX276" s="1307">
        <v>194.01</v>
      </c>
      <c r="AY276" s="1307">
        <v>198.18</v>
      </c>
      <c r="AZ276" s="1307">
        <v>202.32</v>
      </c>
      <c r="BA276" s="1308">
        <v>206.41</v>
      </c>
      <c r="BB276" s="1306">
        <v>210.46</v>
      </c>
      <c r="BC276" s="1307">
        <v>214.47</v>
      </c>
      <c r="BD276" s="1307">
        <v>218.45</v>
      </c>
      <c r="BE276" s="1307">
        <v>222.38</v>
      </c>
      <c r="BF276" s="1307">
        <v>226.27</v>
      </c>
      <c r="BG276" s="1307">
        <v>230.13</v>
      </c>
      <c r="BH276" s="1307">
        <v>233.94</v>
      </c>
      <c r="BI276" s="1307">
        <v>237.72</v>
      </c>
      <c r="BJ276" s="1307">
        <v>241.46</v>
      </c>
      <c r="BK276" s="1308">
        <v>245.17</v>
      </c>
      <c r="BL276" s="1306">
        <v>248.84</v>
      </c>
      <c r="BM276" s="1307">
        <v>252.47</v>
      </c>
      <c r="BN276" s="1307">
        <v>256.06</v>
      </c>
      <c r="BO276" s="1307">
        <v>259.62</v>
      </c>
      <c r="BP276" s="1307">
        <v>263.14999999999998</v>
      </c>
      <c r="BQ276" s="1307">
        <v>266.64</v>
      </c>
      <c r="BR276" s="1307">
        <v>270.08999999999997</v>
      </c>
      <c r="BS276" s="1307">
        <v>273.52</v>
      </c>
      <c r="BT276" s="1307">
        <v>276.89999999999998</v>
      </c>
      <c r="BU276" s="1308">
        <v>280.26</v>
      </c>
      <c r="BV276" s="1306">
        <v>283.58</v>
      </c>
      <c r="BW276" s="1307">
        <v>286.86</v>
      </c>
      <c r="BX276" s="1307">
        <v>290.12</v>
      </c>
      <c r="BY276" s="1307">
        <v>293.33999999999997</v>
      </c>
      <c r="BZ276" s="1307">
        <v>296.52999999999997</v>
      </c>
      <c r="CA276" s="1307">
        <v>299.69</v>
      </c>
      <c r="CB276" s="1307">
        <v>302.82</v>
      </c>
      <c r="CC276" s="1307">
        <v>305.92</v>
      </c>
      <c r="CD276" s="1307">
        <v>308.98</v>
      </c>
      <c r="CE276" s="1308">
        <v>312.02</v>
      </c>
      <c r="CF276" s="1307">
        <v>315.02999999999997</v>
      </c>
      <c r="CG276" s="1307">
        <v>318</v>
      </c>
      <c r="CH276" s="1308">
        <v>320.95</v>
      </c>
    </row>
    <row r="277" spans="1:86" ht="20.149999999999999" customHeight="1">
      <c r="A277" s="1563" t="s">
        <v>1427</v>
      </c>
      <c r="B277" s="1563" t="s">
        <v>13</v>
      </c>
      <c r="C277" s="1563" t="str">
        <f t="shared" si="4"/>
        <v>PBSDDM66</v>
      </c>
      <c r="D277" s="1193">
        <v>66</v>
      </c>
      <c r="E277" s="1540"/>
      <c r="F277" s="1301">
        <v>3.39</v>
      </c>
      <c r="G277" s="1301">
        <v>5.29</v>
      </c>
      <c r="H277" s="1301">
        <v>7.35</v>
      </c>
      <c r="I277" s="1301">
        <v>9.58</v>
      </c>
      <c r="J277" s="1301">
        <v>12.01</v>
      </c>
      <c r="K277" s="1301">
        <v>14.64</v>
      </c>
      <c r="L277" s="1301">
        <v>17.5</v>
      </c>
      <c r="M277" s="1302">
        <v>20.6</v>
      </c>
      <c r="N277" s="1300">
        <v>23.95</v>
      </c>
      <c r="O277" s="1301">
        <v>27.59</v>
      </c>
      <c r="P277" s="1301">
        <v>31.51</v>
      </c>
      <c r="Q277" s="1301">
        <v>35.729999999999997</v>
      </c>
      <c r="R277" s="1301">
        <v>41.79</v>
      </c>
      <c r="S277" s="1301">
        <v>47.79</v>
      </c>
      <c r="T277" s="1301">
        <v>53.74</v>
      </c>
      <c r="U277" s="1301">
        <v>59.62</v>
      </c>
      <c r="V277" s="1301">
        <v>65.45</v>
      </c>
      <c r="W277" s="1302">
        <v>71.209999999999994</v>
      </c>
      <c r="X277" s="1300">
        <v>76.92</v>
      </c>
      <c r="Y277" s="1301">
        <v>82.58</v>
      </c>
      <c r="Z277" s="1301">
        <v>88.18</v>
      </c>
      <c r="AA277" s="1301">
        <v>93.72</v>
      </c>
      <c r="AB277" s="1301">
        <v>99.21</v>
      </c>
      <c r="AC277" s="1301">
        <v>104.64</v>
      </c>
      <c r="AD277" s="1301">
        <v>110.02</v>
      </c>
      <c r="AE277" s="1301">
        <v>115.35</v>
      </c>
      <c r="AF277" s="1301">
        <v>120.62</v>
      </c>
      <c r="AG277" s="1302">
        <v>125.84</v>
      </c>
      <c r="AH277" s="1300">
        <v>131.01</v>
      </c>
      <c r="AI277" s="1301">
        <v>136.13</v>
      </c>
      <c r="AJ277" s="1301">
        <v>141.19999999999999</v>
      </c>
      <c r="AK277" s="1301">
        <v>146.22</v>
      </c>
      <c r="AL277" s="1301">
        <v>151.19</v>
      </c>
      <c r="AM277" s="1301">
        <v>156.11000000000001</v>
      </c>
      <c r="AN277" s="1301">
        <v>160.97999999999999</v>
      </c>
      <c r="AO277" s="1301">
        <v>165.8</v>
      </c>
      <c r="AP277" s="1301">
        <v>170.57</v>
      </c>
      <c r="AQ277" s="1302">
        <v>175.3</v>
      </c>
      <c r="AR277" s="1300">
        <v>179.98</v>
      </c>
      <c r="AS277" s="1301">
        <v>184.62</v>
      </c>
      <c r="AT277" s="1301">
        <v>189.2</v>
      </c>
      <c r="AU277" s="1301">
        <v>193.75</v>
      </c>
      <c r="AV277" s="1301">
        <v>198.24</v>
      </c>
      <c r="AW277" s="1301">
        <v>202.7</v>
      </c>
      <c r="AX277" s="1301">
        <v>207.11</v>
      </c>
      <c r="AY277" s="1301">
        <v>211.47</v>
      </c>
      <c r="AZ277" s="1301">
        <v>215.79</v>
      </c>
      <c r="BA277" s="1302">
        <v>220.07</v>
      </c>
      <c r="BB277" s="1300">
        <v>224.31</v>
      </c>
      <c r="BC277" s="1301">
        <v>228.51</v>
      </c>
      <c r="BD277" s="1301">
        <v>232.66</v>
      </c>
      <c r="BE277" s="1301">
        <v>236.77</v>
      </c>
      <c r="BF277" s="1301">
        <v>240.84</v>
      </c>
      <c r="BG277" s="1301">
        <v>244.87</v>
      </c>
      <c r="BH277" s="1301">
        <v>248.87</v>
      </c>
      <c r="BI277" s="1301">
        <v>252.82</v>
      </c>
      <c r="BJ277" s="1301">
        <v>256.73</v>
      </c>
      <c r="BK277" s="1302">
        <v>260.60000000000002</v>
      </c>
      <c r="BL277" s="1300">
        <v>264.44</v>
      </c>
      <c r="BM277" s="1301">
        <v>268.24</v>
      </c>
      <c r="BN277" s="1301">
        <v>272</v>
      </c>
      <c r="BO277" s="1301">
        <v>275.72000000000003</v>
      </c>
      <c r="BP277" s="1301">
        <v>279.41000000000003</v>
      </c>
      <c r="BQ277" s="1301">
        <v>283.06</v>
      </c>
      <c r="BR277" s="1301">
        <v>286.67</v>
      </c>
      <c r="BS277" s="1301">
        <v>290.25</v>
      </c>
      <c r="BT277" s="1301">
        <v>293.79000000000002</v>
      </c>
      <c r="BU277" s="1302">
        <v>297.3</v>
      </c>
      <c r="BV277" s="1300">
        <v>300.77</v>
      </c>
      <c r="BW277" s="1301">
        <v>304.20999999999998</v>
      </c>
      <c r="BX277" s="1301">
        <v>307.61</v>
      </c>
      <c r="BY277" s="1301">
        <v>310.98</v>
      </c>
      <c r="BZ277" s="1301">
        <v>314.32</v>
      </c>
      <c r="CA277" s="1301">
        <v>317.62</v>
      </c>
      <c r="CB277" s="1301">
        <v>320.89</v>
      </c>
      <c r="CC277" s="1301">
        <v>324.13</v>
      </c>
      <c r="CD277" s="1301">
        <v>327.33999999999997</v>
      </c>
      <c r="CE277" s="1302">
        <v>330.52</v>
      </c>
      <c r="CF277" s="1301">
        <v>333.66</v>
      </c>
      <c r="CG277" s="1301">
        <v>336.77</v>
      </c>
      <c r="CH277" s="1302">
        <v>339.85</v>
      </c>
    </row>
    <row r="278" spans="1:86" ht="20.149999999999999" customHeight="1">
      <c r="A278" s="1563" t="s">
        <v>1427</v>
      </c>
      <c r="B278" s="1563" t="s">
        <v>13</v>
      </c>
      <c r="C278" s="1563" t="str">
        <f t="shared" si="4"/>
        <v>PBSDDM67</v>
      </c>
      <c r="D278" s="1193">
        <v>67</v>
      </c>
      <c r="E278" s="1540"/>
      <c r="F278" s="1301">
        <v>3.78</v>
      </c>
      <c r="G278" s="1301">
        <v>5.9</v>
      </c>
      <c r="H278" s="1301">
        <v>8.2100000000000009</v>
      </c>
      <c r="I278" s="1301">
        <v>10.72</v>
      </c>
      <c r="J278" s="1301">
        <v>13.44</v>
      </c>
      <c r="K278" s="1301">
        <v>16.399999999999999</v>
      </c>
      <c r="L278" s="1301">
        <v>19.62</v>
      </c>
      <c r="M278" s="1302">
        <v>23.1</v>
      </c>
      <c r="N278" s="1300">
        <v>26.88</v>
      </c>
      <c r="O278" s="1301">
        <v>30.96</v>
      </c>
      <c r="P278" s="1301">
        <v>35.35</v>
      </c>
      <c r="Q278" s="1301">
        <v>41.76</v>
      </c>
      <c r="R278" s="1301">
        <v>48.11</v>
      </c>
      <c r="S278" s="1301">
        <v>54.39</v>
      </c>
      <c r="T278" s="1301">
        <v>60.61</v>
      </c>
      <c r="U278" s="1301">
        <v>66.77</v>
      </c>
      <c r="V278" s="1301">
        <v>72.87</v>
      </c>
      <c r="W278" s="1302">
        <v>78.91</v>
      </c>
      <c r="X278" s="1300">
        <v>84.89</v>
      </c>
      <c r="Y278" s="1301">
        <v>90.81</v>
      </c>
      <c r="Z278" s="1301">
        <v>96.67</v>
      </c>
      <c r="AA278" s="1301">
        <v>102.47</v>
      </c>
      <c r="AB278" s="1301">
        <v>108.22</v>
      </c>
      <c r="AC278" s="1301">
        <v>113.91</v>
      </c>
      <c r="AD278" s="1301">
        <v>119.54</v>
      </c>
      <c r="AE278" s="1301">
        <v>125.12</v>
      </c>
      <c r="AF278" s="1301">
        <v>130.63999999999999</v>
      </c>
      <c r="AG278" s="1302">
        <v>136.1</v>
      </c>
      <c r="AH278" s="1300">
        <v>141.52000000000001</v>
      </c>
      <c r="AI278" s="1301">
        <v>146.88</v>
      </c>
      <c r="AJ278" s="1301">
        <v>152.18</v>
      </c>
      <c r="AK278" s="1301">
        <v>157.43</v>
      </c>
      <c r="AL278" s="1301">
        <v>162.63999999999999</v>
      </c>
      <c r="AM278" s="1301">
        <v>167.79</v>
      </c>
      <c r="AN278" s="1301">
        <v>172.88</v>
      </c>
      <c r="AO278" s="1301">
        <v>177.93</v>
      </c>
      <c r="AP278" s="1301">
        <v>182.93</v>
      </c>
      <c r="AQ278" s="1302">
        <v>187.88</v>
      </c>
      <c r="AR278" s="1300">
        <v>192.78</v>
      </c>
      <c r="AS278" s="1301">
        <v>197.63</v>
      </c>
      <c r="AT278" s="1301">
        <v>202.43</v>
      </c>
      <c r="AU278" s="1301">
        <v>207.19</v>
      </c>
      <c r="AV278" s="1301">
        <v>211.9</v>
      </c>
      <c r="AW278" s="1301">
        <v>216.56</v>
      </c>
      <c r="AX278" s="1301">
        <v>221.18</v>
      </c>
      <c r="AY278" s="1301">
        <v>225.75</v>
      </c>
      <c r="AZ278" s="1301">
        <v>230.27</v>
      </c>
      <c r="BA278" s="1302">
        <v>234.75</v>
      </c>
      <c r="BB278" s="1300">
        <v>239.19</v>
      </c>
      <c r="BC278" s="1301">
        <v>243.58</v>
      </c>
      <c r="BD278" s="1301">
        <v>247.93</v>
      </c>
      <c r="BE278" s="1301">
        <v>252.23</v>
      </c>
      <c r="BF278" s="1301">
        <v>256.5</v>
      </c>
      <c r="BG278" s="1301">
        <v>260.72000000000003</v>
      </c>
      <c r="BH278" s="1301">
        <v>264.89999999999998</v>
      </c>
      <c r="BI278" s="1301">
        <v>269.02999999999997</v>
      </c>
      <c r="BJ278" s="1301">
        <v>273.13</v>
      </c>
      <c r="BK278" s="1302">
        <v>277.19</v>
      </c>
      <c r="BL278" s="1300">
        <v>281.2</v>
      </c>
      <c r="BM278" s="1301">
        <v>285.18</v>
      </c>
      <c r="BN278" s="1301">
        <v>289.11</v>
      </c>
      <c r="BO278" s="1301">
        <v>293.01</v>
      </c>
      <c r="BP278" s="1301">
        <v>296.87</v>
      </c>
      <c r="BQ278" s="1301">
        <v>300.69</v>
      </c>
      <c r="BR278" s="1301">
        <v>304.47000000000003</v>
      </c>
      <c r="BS278" s="1301">
        <v>308.22000000000003</v>
      </c>
      <c r="BT278" s="1301">
        <v>311.93</v>
      </c>
      <c r="BU278" s="1302">
        <v>315.60000000000002</v>
      </c>
      <c r="BV278" s="1300">
        <v>319.24</v>
      </c>
      <c r="BW278" s="1301">
        <v>322.83</v>
      </c>
      <c r="BX278" s="1301">
        <v>326.39999999999998</v>
      </c>
      <c r="BY278" s="1301">
        <v>329.93</v>
      </c>
      <c r="BZ278" s="1301">
        <v>333.42</v>
      </c>
      <c r="CA278" s="1301">
        <v>336.88</v>
      </c>
      <c r="CB278" s="1301">
        <v>340.3</v>
      </c>
      <c r="CC278" s="1301">
        <v>343.69</v>
      </c>
      <c r="CD278" s="1301">
        <v>347.05</v>
      </c>
      <c r="CE278" s="1302">
        <v>350.38</v>
      </c>
      <c r="CF278" s="1301">
        <v>353.67</v>
      </c>
      <c r="CG278" s="1301">
        <v>356.92</v>
      </c>
      <c r="CH278" s="1302">
        <v>360.15</v>
      </c>
    </row>
    <row r="279" spans="1:86" ht="20.149999999999999" customHeight="1">
      <c r="A279" s="1563" t="s">
        <v>1427</v>
      </c>
      <c r="B279" s="1563" t="s">
        <v>13</v>
      </c>
      <c r="C279" s="1563" t="str">
        <f t="shared" si="4"/>
        <v>PBSDDM68</v>
      </c>
      <c r="D279" s="1193">
        <v>68</v>
      </c>
      <c r="E279" s="1540"/>
      <c r="F279" s="1301">
        <v>4.22</v>
      </c>
      <c r="G279" s="1301">
        <v>6.6</v>
      </c>
      <c r="H279" s="1301">
        <v>9.19</v>
      </c>
      <c r="I279" s="1301">
        <v>12.01</v>
      </c>
      <c r="J279" s="1301">
        <v>15.07</v>
      </c>
      <c r="K279" s="1301">
        <v>18.41</v>
      </c>
      <c r="L279" s="1301">
        <v>22.02</v>
      </c>
      <c r="M279" s="1302">
        <v>25.95</v>
      </c>
      <c r="N279" s="1300">
        <v>30.19</v>
      </c>
      <c r="O279" s="1301">
        <v>34.76</v>
      </c>
      <c r="P279" s="1301">
        <v>41.54</v>
      </c>
      <c r="Q279" s="1301">
        <v>48.26</v>
      </c>
      <c r="R279" s="1301">
        <v>54.91</v>
      </c>
      <c r="S279" s="1301">
        <v>61.5</v>
      </c>
      <c r="T279" s="1301">
        <v>68.02</v>
      </c>
      <c r="U279" s="1301">
        <v>74.47</v>
      </c>
      <c r="V279" s="1301">
        <v>80.87</v>
      </c>
      <c r="W279" s="1302">
        <v>87.19</v>
      </c>
      <c r="X279" s="1300">
        <v>93.46</v>
      </c>
      <c r="Y279" s="1301">
        <v>99.66</v>
      </c>
      <c r="Z279" s="1301">
        <v>105.81</v>
      </c>
      <c r="AA279" s="1301">
        <v>111.89</v>
      </c>
      <c r="AB279" s="1301">
        <v>117.91</v>
      </c>
      <c r="AC279" s="1301">
        <v>123.87</v>
      </c>
      <c r="AD279" s="1301">
        <v>129.77000000000001</v>
      </c>
      <c r="AE279" s="1301">
        <v>135.62</v>
      </c>
      <c r="AF279" s="1301">
        <v>141.4</v>
      </c>
      <c r="AG279" s="1302">
        <v>147.13</v>
      </c>
      <c r="AH279" s="1300">
        <v>152.81</v>
      </c>
      <c r="AI279" s="1301">
        <v>158.41999999999999</v>
      </c>
      <c r="AJ279" s="1301">
        <v>163.98</v>
      </c>
      <c r="AK279" s="1301">
        <v>169.49</v>
      </c>
      <c r="AL279" s="1301">
        <v>174.94</v>
      </c>
      <c r="AM279" s="1301">
        <v>180.34</v>
      </c>
      <c r="AN279" s="1301">
        <v>185.68</v>
      </c>
      <c r="AO279" s="1301">
        <v>190.97</v>
      </c>
      <c r="AP279" s="1301">
        <v>196.21</v>
      </c>
      <c r="AQ279" s="1302">
        <v>201.4</v>
      </c>
      <c r="AR279" s="1300">
        <v>206.53</v>
      </c>
      <c r="AS279" s="1301">
        <v>211.62</v>
      </c>
      <c r="AT279" s="1301">
        <v>216.65</v>
      </c>
      <c r="AU279" s="1301">
        <v>221.63</v>
      </c>
      <c r="AV279" s="1301">
        <v>226.57</v>
      </c>
      <c r="AW279" s="1301">
        <v>231.45</v>
      </c>
      <c r="AX279" s="1301">
        <v>236.29</v>
      </c>
      <c r="AY279" s="1301">
        <v>241.08</v>
      </c>
      <c r="AZ279" s="1301">
        <v>245.82</v>
      </c>
      <c r="BA279" s="1302">
        <v>250.52</v>
      </c>
      <c r="BB279" s="1300">
        <v>255.17</v>
      </c>
      <c r="BC279" s="1301">
        <v>259.77</v>
      </c>
      <c r="BD279" s="1301">
        <v>264.33</v>
      </c>
      <c r="BE279" s="1301">
        <v>268.83999999999997</v>
      </c>
      <c r="BF279" s="1301">
        <v>273.31</v>
      </c>
      <c r="BG279" s="1301">
        <v>277.73</v>
      </c>
      <c r="BH279" s="1301">
        <v>282.11</v>
      </c>
      <c r="BI279" s="1301">
        <v>286.45</v>
      </c>
      <c r="BJ279" s="1301">
        <v>290.74</v>
      </c>
      <c r="BK279" s="1302">
        <v>294.99</v>
      </c>
      <c r="BL279" s="1300">
        <v>299.2</v>
      </c>
      <c r="BM279" s="1301">
        <v>303.37</v>
      </c>
      <c r="BN279" s="1301">
        <v>307.49</v>
      </c>
      <c r="BO279" s="1301">
        <v>311.58</v>
      </c>
      <c r="BP279" s="1301">
        <v>315.62</v>
      </c>
      <c r="BQ279" s="1301">
        <v>319.62</v>
      </c>
      <c r="BR279" s="1301">
        <v>323.58999999999997</v>
      </c>
      <c r="BS279" s="1301">
        <v>327.51</v>
      </c>
      <c r="BT279" s="1301">
        <v>331.4</v>
      </c>
      <c r="BU279" s="1302">
        <v>335.25</v>
      </c>
      <c r="BV279" s="1300">
        <v>339.06</v>
      </c>
      <c r="BW279" s="1301">
        <v>342.83</v>
      </c>
      <c r="BX279" s="1301">
        <v>346.57</v>
      </c>
      <c r="BY279" s="1301">
        <v>350.26</v>
      </c>
      <c r="BZ279" s="1301">
        <v>353.92</v>
      </c>
      <c r="CA279" s="1301">
        <v>357.55</v>
      </c>
      <c r="CB279" s="1301">
        <v>361.14</v>
      </c>
      <c r="CC279" s="1301">
        <v>364.69</v>
      </c>
      <c r="CD279" s="1301">
        <v>368.21</v>
      </c>
      <c r="CE279" s="1302">
        <v>371.69</v>
      </c>
      <c r="CF279" s="1301">
        <v>375.14</v>
      </c>
      <c r="CG279" s="1301">
        <v>378.56</v>
      </c>
      <c r="CH279" s="1302">
        <v>381.94</v>
      </c>
    </row>
    <row r="280" spans="1:86" ht="20.149999999999999" customHeight="1">
      <c r="A280" s="1563" t="s">
        <v>1427</v>
      </c>
      <c r="B280" s="1563" t="s">
        <v>13</v>
      </c>
      <c r="C280" s="1563" t="str">
        <f t="shared" si="4"/>
        <v>PBSDDM69</v>
      </c>
      <c r="D280" s="1193">
        <v>69</v>
      </c>
      <c r="E280" s="1540"/>
      <c r="F280" s="1301">
        <v>4.72</v>
      </c>
      <c r="G280" s="1301">
        <v>7.39</v>
      </c>
      <c r="H280" s="1301">
        <v>10.31</v>
      </c>
      <c r="I280" s="1301">
        <v>13.48</v>
      </c>
      <c r="J280" s="1301">
        <v>16.93</v>
      </c>
      <c r="K280" s="1301">
        <v>20.68</v>
      </c>
      <c r="L280" s="1301">
        <v>24.75</v>
      </c>
      <c r="M280" s="1302">
        <v>29.16</v>
      </c>
      <c r="N280" s="1300">
        <v>33.909999999999997</v>
      </c>
      <c r="O280" s="1301">
        <v>41.1</v>
      </c>
      <c r="P280" s="1301">
        <v>48.22</v>
      </c>
      <c r="Q280" s="1301">
        <v>55.27</v>
      </c>
      <c r="R280" s="1301">
        <v>62.24</v>
      </c>
      <c r="S280" s="1301">
        <v>69.150000000000006</v>
      </c>
      <c r="T280" s="1301">
        <v>75.989999999999995</v>
      </c>
      <c r="U280" s="1301">
        <v>82.76</v>
      </c>
      <c r="V280" s="1301">
        <v>89.47</v>
      </c>
      <c r="W280" s="1302">
        <v>96.11</v>
      </c>
      <c r="X280" s="1300">
        <v>102.68</v>
      </c>
      <c r="Y280" s="1301">
        <v>109.19</v>
      </c>
      <c r="Z280" s="1301">
        <v>115.63</v>
      </c>
      <c r="AA280" s="1301">
        <v>122.01</v>
      </c>
      <c r="AB280" s="1301">
        <v>128.33000000000001</v>
      </c>
      <c r="AC280" s="1301">
        <v>134.58000000000001</v>
      </c>
      <c r="AD280" s="1301">
        <v>140.77000000000001</v>
      </c>
      <c r="AE280" s="1301">
        <v>146.91</v>
      </c>
      <c r="AF280" s="1301">
        <v>152.97999999999999</v>
      </c>
      <c r="AG280" s="1302">
        <v>158.99</v>
      </c>
      <c r="AH280" s="1300">
        <v>164.94</v>
      </c>
      <c r="AI280" s="1301">
        <v>170.83</v>
      </c>
      <c r="AJ280" s="1301">
        <v>176.66</v>
      </c>
      <c r="AK280" s="1301">
        <v>182.44</v>
      </c>
      <c r="AL280" s="1301">
        <v>188.15</v>
      </c>
      <c r="AM280" s="1301">
        <v>193.82</v>
      </c>
      <c r="AN280" s="1301">
        <v>199.42</v>
      </c>
      <c r="AO280" s="1301">
        <v>204.97</v>
      </c>
      <c r="AP280" s="1301">
        <v>210.47</v>
      </c>
      <c r="AQ280" s="1302">
        <v>215.91</v>
      </c>
      <c r="AR280" s="1300">
        <v>221.29</v>
      </c>
      <c r="AS280" s="1301">
        <v>226.63</v>
      </c>
      <c r="AT280" s="1301">
        <v>231.91</v>
      </c>
      <c r="AU280" s="1301">
        <v>237.14</v>
      </c>
      <c r="AV280" s="1301">
        <v>242.31</v>
      </c>
      <c r="AW280" s="1301">
        <v>247.44</v>
      </c>
      <c r="AX280" s="1301">
        <v>252.51</v>
      </c>
      <c r="AY280" s="1301">
        <v>257.54000000000002</v>
      </c>
      <c r="AZ280" s="1301">
        <v>262.51</v>
      </c>
      <c r="BA280" s="1302">
        <v>267.44</v>
      </c>
      <c r="BB280" s="1300">
        <v>272.32</v>
      </c>
      <c r="BC280" s="1301">
        <v>277.14</v>
      </c>
      <c r="BD280" s="1301">
        <v>281.92</v>
      </c>
      <c r="BE280" s="1301">
        <v>286.66000000000003</v>
      </c>
      <c r="BF280" s="1301">
        <v>291.33999999999997</v>
      </c>
      <c r="BG280" s="1301">
        <v>295.98</v>
      </c>
      <c r="BH280" s="1301">
        <v>300.58</v>
      </c>
      <c r="BI280" s="1301">
        <v>305.13</v>
      </c>
      <c r="BJ280" s="1301">
        <v>309.63</v>
      </c>
      <c r="BK280" s="1302">
        <v>314.08999999999997</v>
      </c>
      <c r="BL280" s="1300">
        <v>318.5</v>
      </c>
      <c r="BM280" s="1301">
        <v>322.88</v>
      </c>
      <c r="BN280" s="1301">
        <v>327.2</v>
      </c>
      <c r="BO280" s="1301">
        <v>331.49</v>
      </c>
      <c r="BP280" s="1301">
        <v>335.73</v>
      </c>
      <c r="BQ280" s="1301">
        <v>339.93</v>
      </c>
      <c r="BR280" s="1301">
        <v>344.09</v>
      </c>
      <c r="BS280" s="1301">
        <v>348.21</v>
      </c>
      <c r="BT280" s="1301">
        <v>352.29</v>
      </c>
      <c r="BU280" s="1302">
        <v>356.32</v>
      </c>
      <c r="BV280" s="1300">
        <v>360.32</v>
      </c>
      <c r="BW280" s="1301">
        <v>364.28</v>
      </c>
      <c r="BX280" s="1301">
        <v>368.19</v>
      </c>
      <c r="BY280" s="1301">
        <v>372.07</v>
      </c>
      <c r="BZ280" s="1301">
        <v>375.91</v>
      </c>
      <c r="CA280" s="1301">
        <v>379.72</v>
      </c>
      <c r="CB280" s="1301">
        <v>383.48</v>
      </c>
      <c r="CC280" s="1301">
        <v>387.21</v>
      </c>
      <c r="CD280" s="1301">
        <v>390.9</v>
      </c>
      <c r="CE280" s="1302">
        <v>394.55</v>
      </c>
      <c r="CF280" s="1301">
        <v>398.17</v>
      </c>
      <c r="CG280" s="1301">
        <v>401.75</v>
      </c>
      <c r="CH280" s="1302">
        <v>405.3</v>
      </c>
    </row>
    <row r="281" spans="1:86" ht="20.149999999999999" customHeight="1">
      <c r="A281" s="1563" t="s">
        <v>1427</v>
      </c>
      <c r="B281" s="1563" t="s">
        <v>13</v>
      </c>
      <c r="C281" s="1563" t="str">
        <f t="shared" si="4"/>
        <v>PBSDDM70</v>
      </c>
      <c r="D281" s="1196">
        <v>70</v>
      </c>
      <c r="E281" s="1543"/>
      <c r="F281" s="1310">
        <v>5.29</v>
      </c>
      <c r="G281" s="1310">
        <v>8.3000000000000007</v>
      </c>
      <c r="H281" s="1310">
        <v>11.57</v>
      </c>
      <c r="I281" s="1310">
        <v>15.14</v>
      </c>
      <c r="J281" s="1310">
        <v>19.03</v>
      </c>
      <c r="K281" s="1310">
        <v>23.25</v>
      </c>
      <c r="L281" s="1310">
        <v>27.82</v>
      </c>
      <c r="M281" s="1311">
        <v>32.76</v>
      </c>
      <c r="N281" s="1309">
        <v>40.39</v>
      </c>
      <c r="O281" s="1310">
        <v>47.93</v>
      </c>
      <c r="P281" s="1310">
        <v>55.41</v>
      </c>
      <c r="Q281" s="1310">
        <v>62.81</v>
      </c>
      <c r="R281" s="1310">
        <v>70.13</v>
      </c>
      <c r="S281" s="1310">
        <v>77.38</v>
      </c>
      <c r="T281" s="1310">
        <v>84.56</v>
      </c>
      <c r="U281" s="1310">
        <v>91.68</v>
      </c>
      <c r="V281" s="1310">
        <v>98.71</v>
      </c>
      <c r="W281" s="1311">
        <v>105.68</v>
      </c>
      <c r="X281" s="1309">
        <v>112.59</v>
      </c>
      <c r="Y281" s="1310">
        <v>119.42</v>
      </c>
      <c r="Z281" s="1310">
        <v>126.18</v>
      </c>
      <c r="AA281" s="1310">
        <v>132.88</v>
      </c>
      <c r="AB281" s="1310">
        <v>139.51</v>
      </c>
      <c r="AC281" s="1310">
        <v>146.08000000000001</v>
      </c>
      <c r="AD281" s="1310">
        <v>152.58000000000001</v>
      </c>
      <c r="AE281" s="1310">
        <v>159.02000000000001</v>
      </c>
      <c r="AF281" s="1310">
        <v>165.39</v>
      </c>
      <c r="AG281" s="1311">
        <v>171.7</v>
      </c>
      <c r="AH281" s="1309">
        <v>177.95</v>
      </c>
      <c r="AI281" s="1310">
        <v>184.13</v>
      </c>
      <c r="AJ281" s="1310">
        <v>190.26</v>
      </c>
      <c r="AK281" s="1310">
        <v>196.32</v>
      </c>
      <c r="AL281" s="1310">
        <v>202.32</v>
      </c>
      <c r="AM281" s="1310">
        <v>208.27</v>
      </c>
      <c r="AN281" s="1310">
        <v>214.15</v>
      </c>
      <c r="AO281" s="1310">
        <v>219.98</v>
      </c>
      <c r="AP281" s="1310">
        <v>225.75</v>
      </c>
      <c r="AQ281" s="1311">
        <v>231.46</v>
      </c>
      <c r="AR281" s="1309">
        <v>237.12</v>
      </c>
      <c r="AS281" s="1310">
        <v>242.72</v>
      </c>
      <c r="AT281" s="1310">
        <v>248.26</v>
      </c>
      <c r="AU281" s="1310">
        <v>253.75</v>
      </c>
      <c r="AV281" s="1310">
        <v>259.19</v>
      </c>
      <c r="AW281" s="1310">
        <v>264.57</v>
      </c>
      <c r="AX281" s="1310">
        <v>269.89999999999998</v>
      </c>
      <c r="AY281" s="1310">
        <v>275.17</v>
      </c>
      <c r="AZ281" s="1310">
        <v>280.39</v>
      </c>
      <c r="BA281" s="1311">
        <v>285.56</v>
      </c>
      <c r="BB281" s="1309">
        <v>290.68</v>
      </c>
      <c r="BC281" s="1310">
        <v>295.75</v>
      </c>
      <c r="BD281" s="1310">
        <v>300.77</v>
      </c>
      <c r="BE281" s="1310">
        <v>305.74</v>
      </c>
      <c r="BF281" s="1310">
        <v>310.66000000000003</v>
      </c>
      <c r="BG281" s="1310">
        <v>315.52999999999997</v>
      </c>
      <c r="BH281" s="1310">
        <v>320.36</v>
      </c>
      <c r="BI281" s="1310">
        <v>325.13</v>
      </c>
      <c r="BJ281" s="1310">
        <v>329.86</v>
      </c>
      <c r="BK281" s="1311">
        <v>334.54</v>
      </c>
      <c r="BL281" s="1309">
        <v>339.18</v>
      </c>
      <c r="BM281" s="1310">
        <v>343.77</v>
      </c>
      <c r="BN281" s="1310">
        <v>348.31</v>
      </c>
      <c r="BO281" s="1310">
        <v>352.81</v>
      </c>
      <c r="BP281" s="1310">
        <v>357.26</v>
      </c>
      <c r="BQ281" s="1310">
        <v>361.67</v>
      </c>
      <c r="BR281" s="1310">
        <v>366.04</v>
      </c>
      <c r="BS281" s="1310">
        <v>370.36</v>
      </c>
      <c r="BT281" s="1310">
        <v>374.64</v>
      </c>
      <c r="BU281" s="1311">
        <v>378.88</v>
      </c>
      <c r="BV281" s="1309">
        <v>383.08</v>
      </c>
      <c r="BW281" s="1310">
        <v>387.23</v>
      </c>
      <c r="BX281" s="1310">
        <v>391.35</v>
      </c>
      <c r="BY281" s="1310">
        <v>395.42</v>
      </c>
      <c r="BZ281" s="1310">
        <v>399.45</v>
      </c>
      <c r="CA281" s="1310">
        <v>403.44</v>
      </c>
      <c r="CB281" s="1310">
        <v>407.4</v>
      </c>
      <c r="CC281" s="1310">
        <v>411.31</v>
      </c>
      <c r="CD281" s="1310">
        <v>415.19</v>
      </c>
      <c r="CE281" s="1311">
        <v>419.02</v>
      </c>
      <c r="CF281" s="1310">
        <v>422.82</v>
      </c>
      <c r="CG281" s="1310">
        <v>426.58</v>
      </c>
      <c r="CH281" s="1311">
        <v>430.31</v>
      </c>
    </row>
    <row r="282" spans="1:86" ht="20.149999999999999" customHeight="1">
      <c r="A282" s="1563" t="s">
        <v>1427</v>
      </c>
      <c r="B282" s="1563" t="s">
        <v>14</v>
      </c>
      <c r="C282" s="1563" t="str">
        <f t="shared" si="4"/>
        <v>PBSDDF20</v>
      </c>
      <c r="D282" s="1193">
        <v>20</v>
      </c>
      <c r="E282" s="1540"/>
      <c r="F282" s="1313">
        <v>7.0000000000000007E-2</v>
      </c>
      <c r="G282" s="1313">
        <v>0.1</v>
      </c>
      <c r="H282" s="1313">
        <v>0.14000000000000001</v>
      </c>
      <c r="I282" s="1313">
        <v>0.18</v>
      </c>
      <c r="J282" s="1313">
        <v>0.21</v>
      </c>
      <c r="K282" s="1313">
        <v>0.25</v>
      </c>
      <c r="L282" s="1313">
        <v>0.28999999999999998</v>
      </c>
      <c r="M282" s="1314">
        <v>0.33</v>
      </c>
      <c r="N282" s="1312">
        <v>0.37</v>
      </c>
      <c r="O282" s="1313">
        <v>0.41</v>
      </c>
      <c r="P282" s="1313">
        <v>0.45</v>
      </c>
      <c r="Q282" s="1313">
        <v>0.49</v>
      </c>
      <c r="R282" s="1313">
        <v>0.53</v>
      </c>
      <c r="S282" s="1313">
        <v>0.56999999999999995</v>
      </c>
      <c r="T282" s="1313">
        <v>0.61</v>
      </c>
      <c r="U282" s="1313">
        <v>0.66</v>
      </c>
      <c r="V282" s="1313">
        <v>0.7</v>
      </c>
      <c r="W282" s="1314">
        <v>0.75</v>
      </c>
      <c r="X282" s="1312">
        <v>0.8</v>
      </c>
      <c r="Y282" s="1313">
        <v>0.85</v>
      </c>
      <c r="Z282" s="1313">
        <v>0.9</v>
      </c>
      <c r="AA282" s="1313">
        <v>0.96</v>
      </c>
      <c r="AB282" s="1313">
        <v>1.01</v>
      </c>
      <c r="AC282" s="1313">
        <v>1.07</v>
      </c>
      <c r="AD282" s="1313">
        <v>1.1399999999999999</v>
      </c>
      <c r="AE282" s="1313">
        <v>1.2</v>
      </c>
      <c r="AF282" s="1313">
        <v>1.27</v>
      </c>
      <c r="AG282" s="1314">
        <v>1.34</v>
      </c>
      <c r="AH282" s="1312">
        <v>1.42</v>
      </c>
      <c r="AI282" s="1313">
        <v>1.5</v>
      </c>
      <c r="AJ282" s="1313">
        <v>1.59</v>
      </c>
      <c r="AK282" s="1313">
        <v>1.68</v>
      </c>
      <c r="AL282" s="1313">
        <v>1.77</v>
      </c>
      <c r="AM282" s="1313">
        <v>1.87</v>
      </c>
      <c r="AN282" s="1313">
        <v>1.98</v>
      </c>
      <c r="AO282" s="1313">
        <v>2.1</v>
      </c>
      <c r="AP282" s="1313">
        <v>2.2200000000000002</v>
      </c>
      <c r="AQ282" s="1314">
        <v>2.35</v>
      </c>
      <c r="AR282" s="1312">
        <v>2.4900000000000002</v>
      </c>
      <c r="AS282" s="1313">
        <v>2.64</v>
      </c>
      <c r="AT282" s="1313">
        <v>2.8</v>
      </c>
      <c r="AU282" s="1313">
        <v>2.98</v>
      </c>
      <c r="AV282" s="1313">
        <v>3.17</v>
      </c>
      <c r="AW282" s="1313">
        <v>3.37</v>
      </c>
      <c r="AX282" s="1313">
        <v>3.59</v>
      </c>
      <c r="AY282" s="1313">
        <v>3.83</v>
      </c>
      <c r="AZ282" s="1313">
        <v>4.09</v>
      </c>
      <c r="BA282" s="1314">
        <v>4.38</v>
      </c>
      <c r="BB282" s="1312">
        <v>4.6900000000000004</v>
      </c>
      <c r="BC282" s="1313">
        <v>5.03</v>
      </c>
      <c r="BD282" s="1313">
        <v>5.41</v>
      </c>
      <c r="BE282" s="1313">
        <v>5.82</v>
      </c>
      <c r="BF282" s="1313">
        <v>6.28</v>
      </c>
      <c r="BG282" s="1313">
        <v>6.78</v>
      </c>
      <c r="BH282" s="1313">
        <v>7.32</v>
      </c>
      <c r="BI282" s="1313">
        <v>7.92</v>
      </c>
      <c r="BJ282" s="1313">
        <v>8.58</v>
      </c>
      <c r="BK282" s="1314">
        <v>9.2899999999999991</v>
      </c>
      <c r="BL282" s="1312">
        <v>10.119999999999999</v>
      </c>
      <c r="BM282" s="1313">
        <v>10.95</v>
      </c>
      <c r="BN282" s="1313">
        <v>11.77</v>
      </c>
      <c r="BO282" s="1313">
        <v>12.58</v>
      </c>
      <c r="BP282" s="1313">
        <v>13.38</v>
      </c>
      <c r="BQ282" s="1313">
        <v>14.18</v>
      </c>
      <c r="BR282" s="1313">
        <v>14.96</v>
      </c>
      <c r="BS282" s="1313">
        <v>15.74</v>
      </c>
      <c r="BT282" s="1313">
        <v>16.52</v>
      </c>
      <c r="BU282" s="1314">
        <v>17.28</v>
      </c>
      <c r="BV282" s="1312">
        <v>18.04</v>
      </c>
      <c r="BW282" s="1313">
        <v>18.78</v>
      </c>
      <c r="BX282" s="1313">
        <v>19.53</v>
      </c>
      <c r="BY282" s="1313">
        <v>20.260000000000002</v>
      </c>
      <c r="BZ282" s="1313">
        <v>20.99</v>
      </c>
      <c r="CA282" s="1313">
        <v>21.71</v>
      </c>
      <c r="CB282" s="1313">
        <v>22.42</v>
      </c>
      <c r="CC282" s="1313">
        <v>23.12</v>
      </c>
      <c r="CD282" s="1313">
        <v>23.82</v>
      </c>
      <c r="CE282" s="1314">
        <v>24.51</v>
      </c>
      <c r="CF282" s="1313">
        <v>25.2</v>
      </c>
      <c r="CG282" s="1313">
        <v>25.88</v>
      </c>
      <c r="CH282" s="1314">
        <v>26.55</v>
      </c>
    </row>
    <row r="283" spans="1:86" ht="20.149999999999999" customHeight="1">
      <c r="A283" s="1563" t="s">
        <v>1427</v>
      </c>
      <c r="B283" s="1563" t="s">
        <v>14</v>
      </c>
      <c r="C283" s="1563" t="str">
        <f t="shared" si="4"/>
        <v>PBSDDF21</v>
      </c>
      <c r="D283" s="1194">
        <v>21</v>
      </c>
      <c r="E283" s="1541"/>
      <c r="F283" s="1316">
        <v>7.0000000000000007E-2</v>
      </c>
      <c r="G283" s="1316">
        <v>0.11</v>
      </c>
      <c r="H283" s="1316">
        <v>0.14000000000000001</v>
      </c>
      <c r="I283" s="1316">
        <v>0.18</v>
      </c>
      <c r="J283" s="1316">
        <v>0.22</v>
      </c>
      <c r="K283" s="1316">
        <v>0.26</v>
      </c>
      <c r="L283" s="1316">
        <v>0.3</v>
      </c>
      <c r="M283" s="1317">
        <v>0.34</v>
      </c>
      <c r="N283" s="1315">
        <v>0.38</v>
      </c>
      <c r="O283" s="1316">
        <v>0.42</v>
      </c>
      <c r="P283" s="1316">
        <v>0.46</v>
      </c>
      <c r="Q283" s="1316">
        <v>0.5</v>
      </c>
      <c r="R283" s="1316">
        <v>0.54</v>
      </c>
      <c r="S283" s="1316">
        <v>0.59</v>
      </c>
      <c r="T283" s="1316">
        <v>0.63</v>
      </c>
      <c r="U283" s="1316">
        <v>0.68</v>
      </c>
      <c r="V283" s="1316">
        <v>0.72</v>
      </c>
      <c r="W283" s="1317">
        <v>0.77</v>
      </c>
      <c r="X283" s="1315">
        <v>0.82</v>
      </c>
      <c r="Y283" s="1316">
        <v>0.88</v>
      </c>
      <c r="Z283" s="1316">
        <v>0.93</v>
      </c>
      <c r="AA283" s="1316">
        <v>0.99</v>
      </c>
      <c r="AB283" s="1316">
        <v>1.05</v>
      </c>
      <c r="AC283" s="1316">
        <v>1.1200000000000001</v>
      </c>
      <c r="AD283" s="1316">
        <v>1.18</v>
      </c>
      <c r="AE283" s="1316">
        <v>1.25</v>
      </c>
      <c r="AF283" s="1316">
        <v>1.33</v>
      </c>
      <c r="AG283" s="1317">
        <v>1.41</v>
      </c>
      <c r="AH283" s="1315">
        <v>1.49</v>
      </c>
      <c r="AI283" s="1316">
        <v>1.58</v>
      </c>
      <c r="AJ283" s="1316">
        <v>1.67</v>
      </c>
      <c r="AK283" s="1316">
        <v>1.76</v>
      </c>
      <c r="AL283" s="1316">
        <v>1.87</v>
      </c>
      <c r="AM283" s="1316">
        <v>1.98</v>
      </c>
      <c r="AN283" s="1316">
        <v>2.09</v>
      </c>
      <c r="AO283" s="1316">
        <v>2.2200000000000002</v>
      </c>
      <c r="AP283" s="1316">
        <v>2.35</v>
      </c>
      <c r="AQ283" s="1317">
        <v>2.5</v>
      </c>
      <c r="AR283" s="1315">
        <v>2.65</v>
      </c>
      <c r="AS283" s="1316">
        <v>2.82</v>
      </c>
      <c r="AT283" s="1316">
        <v>2.99</v>
      </c>
      <c r="AU283" s="1316">
        <v>3.19</v>
      </c>
      <c r="AV283" s="1316">
        <v>3.39</v>
      </c>
      <c r="AW283" s="1316">
        <v>3.62</v>
      </c>
      <c r="AX283" s="1316">
        <v>3.86</v>
      </c>
      <c r="AY283" s="1316">
        <v>4.13</v>
      </c>
      <c r="AZ283" s="1316">
        <v>4.42</v>
      </c>
      <c r="BA283" s="1317">
        <v>4.74</v>
      </c>
      <c r="BB283" s="1315">
        <v>5.09</v>
      </c>
      <c r="BC283" s="1316">
        <v>5.47</v>
      </c>
      <c r="BD283" s="1316">
        <v>5.9</v>
      </c>
      <c r="BE283" s="1316">
        <v>6.36</v>
      </c>
      <c r="BF283" s="1316">
        <v>6.87</v>
      </c>
      <c r="BG283" s="1316">
        <v>7.43</v>
      </c>
      <c r="BH283" s="1316">
        <v>8.0399999999999991</v>
      </c>
      <c r="BI283" s="1316">
        <v>8.7100000000000009</v>
      </c>
      <c r="BJ283" s="1316">
        <v>9.44</v>
      </c>
      <c r="BK283" s="1317">
        <v>10.29</v>
      </c>
      <c r="BL283" s="1315">
        <v>11.14</v>
      </c>
      <c r="BM283" s="1316">
        <v>11.98</v>
      </c>
      <c r="BN283" s="1316">
        <v>12.81</v>
      </c>
      <c r="BO283" s="1316">
        <v>13.63</v>
      </c>
      <c r="BP283" s="1316">
        <v>14.44</v>
      </c>
      <c r="BQ283" s="1316">
        <v>15.25</v>
      </c>
      <c r="BR283" s="1316">
        <v>16.04</v>
      </c>
      <c r="BS283" s="1316">
        <v>16.829999999999998</v>
      </c>
      <c r="BT283" s="1316">
        <v>17.61</v>
      </c>
      <c r="BU283" s="1317">
        <v>18.39</v>
      </c>
      <c r="BV283" s="1315">
        <v>19.149999999999999</v>
      </c>
      <c r="BW283" s="1316">
        <v>19.91</v>
      </c>
      <c r="BX283" s="1316">
        <v>20.66</v>
      </c>
      <c r="BY283" s="1316">
        <v>21.41</v>
      </c>
      <c r="BZ283" s="1316">
        <v>22.14</v>
      </c>
      <c r="CA283" s="1316">
        <v>22.87</v>
      </c>
      <c r="CB283" s="1316">
        <v>23.59</v>
      </c>
      <c r="CC283" s="1316">
        <v>24.31</v>
      </c>
      <c r="CD283" s="1316">
        <v>25.01</v>
      </c>
      <c r="CE283" s="1317">
        <v>25.71</v>
      </c>
      <c r="CF283" s="1316">
        <v>26.41</v>
      </c>
      <c r="CG283" s="1316">
        <v>27.09</v>
      </c>
      <c r="CH283" s="1317">
        <v>27.77</v>
      </c>
    </row>
    <row r="284" spans="1:86" ht="20.149999999999999" customHeight="1">
      <c r="A284" s="1563" t="s">
        <v>1427</v>
      </c>
      <c r="B284" s="1563" t="s">
        <v>14</v>
      </c>
      <c r="C284" s="1563" t="str">
        <f t="shared" si="4"/>
        <v>PBSDDF22</v>
      </c>
      <c r="D284" s="1193">
        <v>22</v>
      </c>
      <c r="E284" s="1540"/>
      <c r="F284" s="1313">
        <v>7.0000000000000007E-2</v>
      </c>
      <c r="G284" s="1313">
        <v>0.11</v>
      </c>
      <c r="H284" s="1313">
        <v>0.15</v>
      </c>
      <c r="I284" s="1313">
        <v>0.19</v>
      </c>
      <c r="J284" s="1313">
        <v>0.23</v>
      </c>
      <c r="K284" s="1313">
        <v>0.27</v>
      </c>
      <c r="L284" s="1313">
        <v>0.31</v>
      </c>
      <c r="M284" s="1314">
        <v>0.35</v>
      </c>
      <c r="N284" s="1312">
        <v>0.39</v>
      </c>
      <c r="O284" s="1313">
        <v>0.43</v>
      </c>
      <c r="P284" s="1313">
        <v>0.47</v>
      </c>
      <c r="Q284" s="1313">
        <v>0.51</v>
      </c>
      <c r="R284" s="1313">
        <v>0.56000000000000005</v>
      </c>
      <c r="S284" s="1313">
        <v>0.6</v>
      </c>
      <c r="T284" s="1313">
        <v>0.65</v>
      </c>
      <c r="U284" s="1313">
        <v>0.7</v>
      </c>
      <c r="V284" s="1313">
        <v>0.75</v>
      </c>
      <c r="W284" s="1314">
        <v>0.8</v>
      </c>
      <c r="X284" s="1312">
        <v>0.85</v>
      </c>
      <c r="Y284" s="1313">
        <v>0.91</v>
      </c>
      <c r="Z284" s="1313">
        <v>0.97</v>
      </c>
      <c r="AA284" s="1313">
        <v>1.03</v>
      </c>
      <c r="AB284" s="1313">
        <v>1.1000000000000001</v>
      </c>
      <c r="AC284" s="1313">
        <v>1.1599999999999999</v>
      </c>
      <c r="AD284" s="1313">
        <v>1.24</v>
      </c>
      <c r="AE284" s="1313">
        <v>1.31</v>
      </c>
      <c r="AF284" s="1313">
        <v>1.39</v>
      </c>
      <c r="AG284" s="1314">
        <v>1.47</v>
      </c>
      <c r="AH284" s="1312">
        <v>1.56</v>
      </c>
      <c r="AI284" s="1313">
        <v>1.66</v>
      </c>
      <c r="AJ284" s="1313">
        <v>1.76</v>
      </c>
      <c r="AK284" s="1313">
        <v>1.86</v>
      </c>
      <c r="AL284" s="1313">
        <v>1.97</v>
      </c>
      <c r="AM284" s="1313">
        <v>2.09</v>
      </c>
      <c r="AN284" s="1313">
        <v>2.2200000000000002</v>
      </c>
      <c r="AO284" s="1313">
        <v>2.36</v>
      </c>
      <c r="AP284" s="1313">
        <v>2.5</v>
      </c>
      <c r="AQ284" s="1314">
        <v>2.66</v>
      </c>
      <c r="AR284" s="1312">
        <v>2.83</v>
      </c>
      <c r="AS284" s="1313">
        <v>3.01</v>
      </c>
      <c r="AT284" s="1313">
        <v>3.21</v>
      </c>
      <c r="AU284" s="1313">
        <v>3.42</v>
      </c>
      <c r="AV284" s="1313">
        <v>3.65</v>
      </c>
      <c r="AW284" s="1313">
        <v>3.9</v>
      </c>
      <c r="AX284" s="1313">
        <v>4.17</v>
      </c>
      <c r="AY284" s="1313">
        <v>4.47</v>
      </c>
      <c r="AZ284" s="1313">
        <v>4.79</v>
      </c>
      <c r="BA284" s="1314">
        <v>5.15</v>
      </c>
      <c r="BB284" s="1312">
        <v>5.54</v>
      </c>
      <c r="BC284" s="1313">
        <v>5.97</v>
      </c>
      <c r="BD284" s="1313">
        <v>6.45</v>
      </c>
      <c r="BE284" s="1313">
        <v>6.97</v>
      </c>
      <c r="BF284" s="1313">
        <v>7.54</v>
      </c>
      <c r="BG284" s="1313">
        <v>8.17</v>
      </c>
      <c r="BH284" s="1313">
        <v>8.85</v>
      </c>
      <c r="BI284" s="1313">
        <v>9.59</v>
      </c>
      <c r="BJ284" s="1313">
        <v>10.47</v>
      </c>
      <c r="BK284" s="1314">
        <v>11.33</v>
      </c>
      <c r="BL284" s="1312">
        <v>12.19</v>
      </c>
      <c r="BM284" s="1313">
        <v>13.04</v>
      </c>
      <c r="BN284" s="1313">
        <v>13.88</v>
      </c>
      <c r="BO284" s="1313">
        <v>14.71</v>
      </c>
      <c r="BP284" s="1313">
        <v>15.54</v>
      </c>
      <c r="BQ284" s="1313">
        <v>16.350000000000001</v>
      </c>
      <c r="BR284" s="1313">
        <v>17.16</v>
      </c>
      <c r="BS284" s="1313">
        <v>17.96</v>
      </c>
      <c r="BT284" s="1313">
        <v>18.75</v>
      </c>
      <c r="BU284" s="1314">
        <v>19.53</v>
      </c>
      <c r="BV284" s="1312">
        <v>20.309999999999999</v>
      </c>
      <c r="BW284" s="1313">
        <v>21.08</v>
      </c>
      <c r="BX284" s="1313">
        <v>21.84</v>
      </c>
      <c r="BY284" s="1313">
        <v>22.59</v>
      </c>
      <c r="BZ284" s="1313">
        <v>23.34</v>
      </c>
      <c r="CA284" s="1313">
        <v>24.08</v>
      </c>
      <c r="CB284" s="1313">
        <v>24.81</v>
      </c>
      <c r="CC284" s="1313">
        <v>25.53</v>
      </c>
      <c r="CD284" s="1313">
        <v>26.25</v>
      </c>
      <c r="CE284" s="1314">
        <v>26.96</v>
      </c>
      <c r="CF284" s="1313">
        <v>27.66</v>
      </c>
      <c r="CG284" s="1313">
        <v>28.36</v>
      </c>
      <c r="CH284" s="1314">
        <v>29.05</v>
      </c>
    </row>
    <row r="285" spans="1:86" ht="20.149999999999999" customHeight="1">
      <c r="A285" s="1563" t="s">
        <v>1427</v>
      </c>
      <c r="B285" s="1563" t="s">
        <v>14</v>
      </c>
      <c r="C285" s="1563" t="str">
        <f t="shared" si="4"/>
        <v>PBSDDF23</v>
      </c>
      <c r="D285" s="1193">
        <v>23</v>
      </c>
      <c r="E285" s="1540"/>
      <c r="F285" s="1313">
        <v>0.08</v>
      </c>
      <c r="G285" s="1313">
        <v>0.11</v>
      </c>
      <c r="H285" s="1313">
        <v>0.15</v>
      </c>
      <c r="I285" s="1313">
        <v>0.19</v>
      </c>
      <c r="J285" s="1313">
        <v>0.23</v>
      </c>
      <c r="K285" s="1313">
        <v>0.27</v>
      </c>
      <c r="L285" s="1313">
        <v>0.31</v>
      </c>
      <c r="M285" s="1314">
        <v>0.35</v>
      </c>
      <c r="N285" s="1312">
        <v>0.4</v>
      </c>
      <c r="O285" s="1313">
        <v>0.44</v>
      </c>
      <c r="P285" s="1313">
        <v>0.48</v>
      </c>
      <c r="Q285" s="1313">
        <v>0.53</v>
      </c>
      <c r="R285" s="1313">
        <v>0.56999999999999995</v>
      </c>
      <c r="S285" s="1313">
        <v>0.62</v>
      </c>
      <c r="T285" s="1313">
        <v>0.67</v>
      </c>
      <c r="U285" s="1313">
        <v>0.72</v>
      </c>
      <c r="V285" s="1313">
        <v>0.77</v>
      </c>
      <c r="W285" s="1314">
        <v>0.83</v>
      </c>
      <c r="X285" s="1312">
        <v>0.88</v>
      </c>
      <c r="Y285" s="1313">
        <v>0.94</v>
      </c>
      <c r="Z285" s="1313">
        <v>1.01</v>
      </c>
      <c r="AA285" s="1313">
        <v>1.07</v>
      </c>
      <c r="AB285" s="1313">
        <v>1.1399999999999999</v>
      </c>
      <c r="AC285" s="1313">
        <v>1.22</v>
      </c>
      <c r="AD285" s="1313">
        <v>1.29</v>
      </c>
      <c r="AE285" s="1313">
        <v>1.37</v>
      </c>
      <c r="AF285" s="1313">
        <v>1.46</v>
      </c>
      <c r="AG285" s="1314">
        <v>1.55</v>
      </c>
      <c r="AH285" s="1312">
        <v>1.65</v>
      </c>
      <c r="AI285" s="1313">
        <v>1.75</v>
      </c>
      <c r="AJ285" s="1313">
        <v>1.85</v>
      </c>
      <c r="AK285" s="1313">
        <v>1.97</v>
      </c>
      <c r="AL285" s="1313">
        <v>2.09</v>
      </c>
      <c r="AM285" s="1313">
        <v>2.2200000000000002</v>
      </c>
      <c r="AN285" s="1313">
        <v>2.36</v>
      </c>
      <c r="AO285" s="1313">
        <v>2.5099999999999998</v>
      </c>
      <c r="AP285" s="1313">
        <v>2.67</v>
      </c>
      <c r="AQ285" s="1314">
        <v>2.84</v>
      </c>
      <c r="AR285" s="1312">
        <v>3.03</v>
      </c>
      <c r="AS285" s="1313">
        <v>3.23</v>
      </c>
      <c r="AT285" s="1313">
        <v>3.45</v>
      </c>
      <c r="AU285" s="1313">
        <v>3.68</v>
      </c>
      <c r="AV285" s="1313">
        <v>3.94</v>
      </c>
      <c r="AW285" s="1313">
        <v>4.21</v>
      </c>
      <c r="AX285" s="1313">
        <v>4.5199999999999996</v>
      </c>
      <c r="AY285" s="1313">
        <v>4.8499999999999996</v>
      </c>
      <c r="AZ285" s="1313">
        <v>5.21</v>
      </c>
      <c r="BA285" s="1314">
        <v>5.61</v>
      </c>
      <c r="BB285" s="1312">
        <v>6.06</v>
      </c>
      <c r="BC285" s="1313">
        <v>6.54</v>
      </c>
      <c r="BD285" s="1313">
        <v>7.07</v>
      </c>
      <c r="BE285" s="1313">
        <v>7.66</v>
      </c>
      <c r="BF285" s="1313">
        <v>8.3000000000000007</v>
      </c>
      <c r="BG285" s="1313">
        <v>9</v>
      </c>
      <c r="BH285" s="1313">
        <v>9.75</v>
      </c>
      <c r="BI285" s="1313">
        <v>10.65</v>
      </c>
      <c r="BJ285" s="1313">
        <v>11.53</v>
      </c>
      <c r="BK285" s="1314">
        <v>12.41</v>
      </c>
      <c r="BL285" s="1312">
        <v>13.28</v>
      </c>
      <c r="BM285" s="1313">
        <v>14.14</v>
      </c>
      <c r="BN285" s="1313">
        <v>14.99</v>
      </c>
      <c r="BO285" s="1313">
        <v>15.84</v>
      </c>
      <c r="BP285" s="1313">
        <v>16.670000000000002</v>
      </c>
      <c r="BQ285" s="1313">
        <v>17.5</v>
      </c>
      <c r="BR285" s="1313">
        <v>18.32</v>
      </c>
      <c r="BS285" s="1313">
        <v>19.13</v>
      </c>
      <c r="BT285" s="1313">
        <v>19.93</v>
      </c>
      <c r="BU285" s="1314">
        <v>20.72</v>
      </c>
      <c r="BV285" s="1312">
        <v>21.51</v>
      </c>
      <c r="BW285" s="1313">
        <v>22.29</v>
      </c>
      <c r="BX285" s="1313">
        <v>23.06</v>
      </c>
      <c r="BY285" s="1313">
        <v>23.82</v>
      </c>
      <c r="BZ285" s="1313">
        <v>24.58</v>
      </c>
      <c r="CA285" s="1313">
        <v>25.33</v>
      </c>
      <c r="CB285" s="1313">
        <v>26.07</v>
      </c>
      <c r="CC285" s="1313">
        <v>26.8</v>
      </c>
      <c r="CD285" s="1313">
        <v>27.53</v>
      </c>
      <c r="CE285" s="1314">
        <v>28.25</v>
      </c>
      <c r="CF285" s="1313">
        <v>28.96</v>
      </c>
      <c r="CG285" s="1313">
        <v>29.67</v>
      </c>
      <c r="CH285" s="1314">
        <v>30.36</v>
      </c>
    </row>
    <row r="286" spans="1:86" ht="20.149999999999999" customHeight="1">
      <c r="A286" s="1563" t="s">
        <v>1427</v>
      </c>
      <c r="B286" s="1563" t="s">
        <v>14</v>
      </c>
      <c r="C286" s="1563" t="str">
        <f t="shared" si="4"/>
        <v>PBSDDF24</v>
      </c>
      <c r="D286" s="1193">
        <v>24</v>
      </c>
      <c r="E286" s="1540"/>
      <c r="F286" s="1313">
        <v>0.08</v>
      </c>
      <c r="G286" s="1313">
        <v>0.12</v>
      </c>
      <c r="H286" s="1313">
        <v>0.16</v>
      </c>
      <c r="I286" s="1313">
        <v>0.2</v>
      </c>
      <c r="J286" s="1313">
        <v>0.24</v>
      </c>
      <c r="K286" s="1313">
        <v>0.28000000000000003</v>
      </c>
      <c r="L286" s="1313">
        <v>0.32</v>
      </c>
      <c r="M286" s="1314">
        <v>0.36</v>
      </c>
      <c r="N286" s="1312">
        <v>0.41</v>
      </c>
      <c r="O286" s="1313">
        <v>0.45</v>
      </c>
      <c r="P286" s="1313">
        <v>0.49</v>
      </c>
      <c r="Q286" s="1313">
        <v>0.54</v>
      </c>
      <c r="R286" s="1313">
        <v>0.59</v>
      </c>
      <c r="S286" s="1313">
        <v>0.64</v>
      </c>
      <c r="T286" s="1313">
        <v>0.69</v>
      </c>
      <c r="U286" s="1313">
        <v>0.74</v>
      </c>
      <c r="V286" s="1313">
        <v>0.8</v>
      </c>
      <c r="W286" s="1314">
        <v>0.86</v>
      </c>
      <c r="X286" s="1312">
        <v>0.92</v>
      </c>
      <c r="Y286" s="1313">
        <v>0.98</v>
      </c>
      <c r="Z286" s="1313">
        <v>1.05</v>
      </c>
      <c r="AA286" s="1313">
        <v>1.1200000000000001</v>
      </c>
      <c r="AB286" s="1313">
        <v>1.2</v>
      </c>
      <c r="AC286" s="1313">
        <v>1.27</v>
      </c>
      <c r="AD286" s="1313">
        <v>1.36</v>
      </c>
      <c r="AE286" s="1313">
        <v>1.44</v>
      </c>
      <c r="AF286" s="1313">
        <v>1.54</v>
      </c>
      <c r="AG286" s="1314">
        <v>1.63</v>
      </c>
      <c r="AH286" s="1312">
        <v>1.74</v>
      </c>
      <c r="AI286" s="1313">
        <v>1.85</v>
      </c>
      <c r="AJ286" s="1313">
        <v>1.96</v>
      </c>
      <c r="AK286" s="1313">
        <v>2.09</v>
      </c>
      <c r="AL286" s="1313">
        <v>2.2200000000000002</v>
      </c>
      <c r="AM286" s="1313">
        <v>2.36</v>
      </c>
      <c r="AN286" s="1313">
        <v>2.52</v>
      </c>
      <c r="AO286" s="1313">
        <v>2.68</v>
      </c>
      <c r="AP286" s="1313">
        <v>2.86</v>
      </c>
      <c r="AQ286" s="1314">
        <v>3.05</v>
      </c>
      <c r="AR286" s="1312">
        <v>3.25</v>
      </c>
      <c r="AS286" s="1313">
        <v>3.47</v>
      </c>
      <c r="AT286" s="1313">
        <v>3.71</v>
      </c>
      <c r="AU286" s="1313">
        <v>3.97</v>
      </c>
      <c r="AV286" s="1313">
        <v>4.26</v>
      </c>
      <c r="AW286" s="1313">
        <v>4.57</v>
      </c>
      <c r="AX286" s="1313">
        <v>4.91</v>
      </c>
      <c r="AY286" s="1313">
        <v>5.28</v>
      </c>
      <c r="AZ286" s="1313">
        <v>5.69</v>
      </c>
      <c r="BA286" s="1314">
        <v>6.14</v>
      </c>
      <c r="BB286" s="1312">
        <v>6.63</v>
      </c>
      <c r="BC286" s="1313">
        <v>7.18</v>
      </c>
      <c r="BD286" s="1313">
        <v>7.78</v>
      </c>
      <c r="BE286" s="1313">
        <v>8.43</v>
      </c>
      <c r="BF286" s="1313">
        <v>9.14</v>
      </c>
      <c r="BG286" s="1313">
        <v>9.92</v>
      </c>
      <c r="BH286" s="1313">
        <v>10.83</v>
      </c>
      <c r="BI286" s="1313">
        <v>11.74</v>
      </c>
      <c r="BJ286" s="1313">
        <v>12.64</v>
      </c>
      <c r="BK286" s="1314">
        <v>13.53</v>
      </c>
      <c r="BL286" s="1312">
        <v>14.41</v>
      </c>
      <c r="BM286" s="1313">
        <v>15.28</v>
      </c>
      <c r="BN286" s="1313">
        <v>16.149999999999999</v>
      </c>
      <c r="BO286" s="1313">
        <v>17</v>
      </c>
      <c r="BP286" s="1313">
        <v>17.850000000000001</v>
      </c>
      <c r="BQ286" s="1313">
        <v>18.690000000000001</v>
      </c>
      <c r="BR286" s="1313">
        <v>19.52</v>
      </c>
      <c r="BS286" s="1313">
        <v>20.34</v>
      </c>
      <c r="BT286" s="1313">
        <v>21.15</v>
      </c>
      <c r="BU286" s="1314">
        <v>21.96</v>
      </c>
      <c r="BV286" s="1312">
        <v>22.75</v>
      </c>
      <c r="BW286" s="1313">
        <v>23.54</v>
      </c>
      <c r="BX286" s="1313">
        <v>24.33</v>
      </c>
      <c r="BY286" s="1313">
        <v>25.1</v>
      </c>
      <c r="BZ286" s="1313">
        <v>25.87</v>
      </c>
      <c r="CA286" s="1313">
        <v>26.63</v>
      </c>
      <c r="CB286" s="1313">
        <v>27.38</v>
      </c>
      <c r="CC286" s="1313">
        <v>28.12</v>
      </c>
      <c r="CD286" s="1313">
        <v>28.86</v>
      </c>
      <c r="CE286" s="1314">
        <v>29.59</v>
      </c>
      <c r="CF286" s="1313">
        <v>30.31</v>
      </c>
      <c r="CG286" s="1313">
        <v>31.02</v>
      </c>
      <c r="CH286" s="1314">
        <v>31.73</v>
      </c>
    </row>
    <row r="287" spans="1:86" ht="20.149999999999999" customHeight="1">
      <c r="A287" s="1563" t="s">
        <v>1427</v>
      </c>
      <c r="B287" s="1563" t="s">
        <v>14</v>
      </c>
      <c r="C287" s="1563" t="str">
        <f t="shared" si="4"/>
        <v>PBSDDF25</v>
      </c>
      <c r="D287" s="1195">
        <v>25</v>
      </c>
      <c r="E287" s="1542"/>
      <c r="F287" s="1319">
        <v>0.08</v>
      </c>
      <c r="G287" s="1319">
        <v>0.12</v>
      </c>
      <c r="H287" s="1319">
        <v>0.16</v>
      </c>
      <c r="I287" s="1319">
        <v>0.2</v>
      </c>
      <c r="J287" s="1319">
        <v>0.24</v>
      </c>
      <c r="K287" s="1319">
        <v>0.28000000000000003</v>
      </c>
      <c r="L287" s="1319">
        <v>0.33</v>
      </c>
      <c r="M287" s="1320">
        <v>0.37</v>
      </c>
      <c r="N287" s="1318">
        <v>0.42</v>
      </c>
      <c r="O287" s="1319">
        <v>0.46</v>
      </c>
      <c r="P287" s="1319">
        <v>0.51</v>
      </c>
      <c r="Q287" s="1319">
        <v>0.56000000000000005</v>
      </c>
      <c r="R287" s="1319">
        <v>0.61</v>
      </c>
      <c r="S287" s="1319">
        <v>0.66</v>
      </c>
      <c r="T287" s="1319">
        <v>0.71</v>
      </c>
      <c r="U287" s="1319">
        <v>0.77</v>
      </c>
      <c r="V287" s="1319">
        <v>0.83</v>
      </c>
      <c r="W287" s="1320">
        <v>0.89</v>
      </c>
      <c r="X287" s="1318">
        <v>0.96</v>
      </c>
      <c r="Y287" s="1319">
        <v>1.03</v>
      </c>
      <c r="Z287" s="1319">
        <v>1.1000000000000001</v>
      </c>
      <c r="AA287" s="1319">
        <v>1.18</v>
      </c>
      <c r="AB287" s="1319">
        <v>1.26</v>
      </c>
      <c r="AC287" s="1319">
        <v>1.34</v>
      </c>
      <c r="AD287" s="1319">
        <v>1.43</v>
      </c>
      <c r="AE287" s="1319">
        <v>1.52</v>
      </c>
      <c r="AF287" s="1319">
        <v>1.62</v>
      </c>
      <c r="AG287" s="1320">
        <v>1.73</v>
      </c>
      <c r="AH287" s="1318">
        <v>1.84</v>
      </c>
      <c r="AI287" s="1319">
        <v>1.96</v>
      </c>
      <c r="AJ287" s="1319">
        <v>2.09</v>
      </c>
      <c r="AK287" s="1319">
        <v>2.2200000000000002</v>
      </c>
      <c r="AL287" s="1319">
        <v>2.37</v>
      </c>
      <c r="AM287" s="1319">
        <v>2.52</v>
      </c>
      <c r="AN287" s="1319">
        <v>2.69</v>
      </c>
      <c r="AO287" s="1319">
        <v>2.87</v>
      </c>
      <c r="AP287" s="1319">
        <v>3.06</v>
      </c>
      <c r="AQ287" s="1320">
        <v>3.27</v>
      </c>
      <c r="AR287" s="1318">
        <v>3.5</v>
      </c>
      <c r="AS287" s="1319">
        <v>3.74</v>
      </c>
      <c r="AT287" s="1319">
        <v>4.01</v>
      </c>
      <c r="AU287" s="1319">
        <v>4.3</v>
      </c>
      <c r="AV287" s="1319">
        <v>4.62</v>
      </c>
      <c r="AW287" s="1319">
        <v>4.96</v>
      </c>
      <c r="AX287" s="1319">
        <v>5.35</v>
      </c>
      <c r="AY287" s="1319">
        <v>5.76</v>
      </c>
      <c r="AZ287" s="1319">
        <v>6.22</v>
      </c>
      <c r="BA287" s="1320">
        <v>6.73</v>
      </c>
      <c r="BB287" s="1318">
        <v>7.29</v>
      </c>
      <c r="BC287" s="1319">
        <v>7.9</v>
      </c>
      <c r="BD287" s="1319">
        <v>8.57</v>
      </c>
      <c r="BE287" s="1319">
        <v>9.3000000000000007</v>
      </c>
      <c r="BF287" s="1319">
        <v>10.09</v>
      </c>
      <c r="BG287" s="1319">
        <v>11.03</v>
      </c>
      <c r="BH287" s="1319">
        <v>11.96</v>
      </c>
      <c r="BI287" s="1319">
        <v>12.88</v>
      </c>
      <c r="BJ287" s="1319">
        <v>13.79</v>
      </c>
      <c r="BK287" s="1320">
        <v>14.69</v>
      </c>
      <c r="BL287" s="1318">
        <v>15.58</v>
      </c>
      <c r="BM287" s="1319">
        <v>16.47</v>
      </c>
      <c r="BN287" s="1319">
        <v>17.34</v>
      </c>
      <c r="BO287" s="1319">
        <v>18.21</v>
      </c>
      <c r="BP287" s="1319">
        <v>19.07</v>
      </c>
      <c r="BQ287" s="1319">
        <v>19.920000000000002</v>
      </c>
      <c r="BR287" s="1319">
        <v>20.76</v>
      </c>
      <c r="BS287" s="1319">
        <v>21.6</v>
      </c>
      <c r="BT287" s="1319">
        <v>22.42</v>
      </c>
      <c r="BU287" s="1320">
        <v>23.24</v>
      </c>
      <c r="BV287" s="1318">
        <v>24.05</v>
      </c>
      <c r="BW287" s="1319">
        <v>24.85</v>
      </c>
      <c r="BX287" s="1319">
        <v>25.64</v>
      </c>
      <c r="BY287" s="1319">
        <v>26.42</v>
      </c>
      <c r="BZ287" s="1319">
        <v>27.2</v>
      </c>
      <c r="CA287" s="1319">
        <v>27.97</v>
      </c>
      <c r="CB287" s="1319">
        <v>28.73</v>
      </c>
      <c r="CC287" s="1319">
        <v>29.49</v>
      </c>
      <c r="CD287" s="1319">
        <v>30.23</v>
      </c>
      <c r="CE287" s="1320">
        <v>30.97</v>
      </c>
      <c r="CF287" s="1319">
        <v>31.71</v>
      </c>
      <c r="CG287" s="1319">
        <v>32.43</v>
      </c>
      <c r="CH287" s="1320">
        <v>33.15</v>
      </c>
    </row>
    <row r="288" spans="1:86" ht="20.149999999999999" customHeight="1">
      <c r="A288" s="1563" t="s">
        <v>1427</v>
      </c>
      <c r="B288" s="1563" t="s">
        <v>14</v>
      </c>
      <c r="C288" s="1563" t="str">
        <f t="shared" si="4"/>
        <v>PBSDDF26</v>
      </c>
      <c r="D288" s="1193">
        <v>26</v>
      </c>
      <c r="E288" s="1540"/>
      <c r="F288" s="1313">
        <v>0.08</v>
      </c>
      <c r="G288" s="1313">
        <v>0.12</v>
      </c>
      <c r="H288" s="1313">
        <v>0.16</v>
      </c>
      <c r="I288" s="1313">
        <v>0.21</v>
      </c>
      <c r="J288" s="1313">
        <v>0.25</v>
      </c>
      <c r="K288" s="1313">
        <v>0.28999999999999998</v>
      </c>
      <c r="L288" s="1313">
        <v>0.34</v>
      </c>
      <c r="M288" s="1314">
        <v>0.38</v>
      </c>
      <c r="N288" s="1312">
        <v>0.43</v>
      </c>
      <c r="O288" s="1313">
        <v>0.48</v>
      </c>
      <c r="P288" s="1313">
        <v>0.52</v>
      </c>
      <c r="Q288" s="1313">
        <v>0.57999999999999996</v>
      </c>
      <c r="R288" s="1313">
        <v>0.63</v>
      </c>
      <c r="S288" s="1313">
        <v>0.68</v>
      </c>
      <c r="T288" s="1313">
        <v>0.74</v>
      </c>
      <c r="U288" s="1313">
        <v>0.8</v>
      </c>
      <c r="V288" s="1313">
        <v>0.87</v>
      </c>
      <c r="W288" s="1314">
        <v>0.93</v>
      </c>
      <c r="X288" s="1312">
        <v>1</v>
      </c>
      <c r="Y288" s="1313">
        <v>1.08</v>
      </c>
      <c r="Z288" s="1313">
        <v>1.1499999999999999</v>
      </c>
      <c r="AA288" s="1313">
        <v>1.24</v>
      </c>
      <c r="AB288" s="1313">
        <v>1.32</v>
      </c>
      <c r="AC288" s="1313">
        <v>1.41</v>
      </c>
      <c r="AD288" s="1313">
        <v>1.51</v>
      </c>
      <c r="AE288" s="1313">
        <v>1.61</v>
      </c>
      <c r="AF288" s="1313">
        <v>1.72</v>
      </c>
      <c r="AG288" s="1314">
        <v>1.83</v>
      </c>
      <c r="AH288" s="1312">
        <v>1.95</v>
      </c>
      <c r="AI288" s="1313">
        <v>2.08</v>
      </c>
      <c r="AJ288" s="1313">
        <v>2.2200000000000002</v>
      </c>
      <c r="AK288" s="1313">
        <v>2.37</v>
      </c>
      <c r="AL288" s="1313">
        <v>2.5299999999999998</v>
      </c>
      <c r="AM288" s="1313">
        <v>2.7</v>
      </c>
      <c r="AN288" s="1313">
        <v>2.89</v>
      </c>
      <c r="AO288" s="1313">
        <v>3.08</v>
      </c>
      <c r="AP288" s="1313">
        <v>3.3</v>
      </c>
      <c r="AQ288" s="1314">
        <v>3.53</v>
      </c>
      <c r="AR288" s="1312">
        <v>3.78</v>
      </c>
      <c r="AS288" s="1313">
        <v>4.05</v>
      </c>
      <c r="AT288" s="1313">
        <v>4.3499999999999996</v>
      </c>
      <c r="AU288" s="1313">
        <v>4.67</v>
      </c>
      <c r="AV288" s="1313">
        <v>5.03</v>
      </c>
      <c r="AW288" s="1313">
        <v>5.42</v>
      </c>
      <c r="AX288" s="1313">
        <v>5.84</v>
      </c>
      <c r="AY288" s="1313">
        <v>6.31</v>
      </c>
      <c r="AZ288" s="1313">
        <v>6.83</v>
      </c>
      <c r="BA288" s="1314">
        <v>7.4</v>
      </c>
      <c r="BB288" s="1312">
        <v>8.0299999999999994</v>
      </c>
      <c r="BC288" s="1313">
        <v>8.7100000000000009</v>
      </c>
      <c r="BD288" s="1313">
        <v>9.4600000000000009</v>
      </c>
      <c r="BE288" s="1313">
        <v>10.27</v>
      </c>
      <c r="BF288" s="1313">
        <v>11.23</v>
      </c>
      <c r="BG288" s="1313">
        <v>12.18</v>
      </c>
      <c r="BH288" s="1313">
        <v>13.12</v>
      </c>
      <c r="BI288" s="1313">
        <v>14.06</v>
      </c>
      <c r="BJ288" s="1313">
        <v>14.98</v>
      </c>
      <c r="BK288" s="1314">
        <v>15.9</v>
      </c>
      <c r="BL288" s="1312">
        <v>16.8</v>
      </c>
      <c r="BM288" s="1313">
        <v>17.7</v>
      </c>
      <c r="BN288" s="1313">
        <v>18.59</v>
      </c>
      <c r="BO288" s="1313">
        <v>19.47</v>
      </c>
      <c r="BP288" s="1313">
        <v>20.34</v>
      </c>
      <c r="BQ288" s="1313">
        <v>21.2</v>
      </c>
      <c r="BR288" s="1313">
        <v>22.06</v>
      </c>
      <c r="BS288" s="1313">
        <v>22.9</v>
      </c>
      <c r="BT288" s="1313">
        <v>23.74</v>
      </c>
      <c r="BU288" s="1314">
        <v>24.57</v>
      </c>
      <c r="BV288" s="1312">
        <v>25.39</v>
      </c>
      <c r="BW288" s="1313">
        <v>26.2</v>
      </c>
      <c r="BX288" s="1313">
        <v>27</v>
      </c>
      <c r="BY288" s="1313">
        <v>27.8</v>
      </c>
      <c r="BZ288" s="1313">
        <v>28.59</v>
      </c>
      <c r="CA288" s="1313">
        <v>29.37</v>
      </c>
      <c r="CB288" s="1313">
        <v>30.14</v>
      </c>
      <c r="CC288" s="1313">
        <v>30.91</v>
      </c>
      <c r="CD288" s="1313">
        <v>31.67</v>
      </c>
      <c r="CE288" s="1314">
        <v>32.42</v>
      </c>
      <c r="CF288" s="1313">
        <v>33.159999999999997</v>
      </c>
      <c r="CG288" s="1313">
        <v>33.9</v>
      </c>
      <c r="CH288" s="1314">
        <v>34.619999999999997</v>
      </c>
    </row>
    <row r="289" spans="1:86" ht="20.149999999999999" customHeight="1">
      <c r="A289" s="1563" t="s">
        <v>1427</v>
      </c>
      <c r="B289" s="1563" t="s">
        <v>14</v>
      </c>
      <c r="C289" s="1563" t="str">
        <f t="shared" si="4"/>
        <v>PBSDDF27</v>
      </c>
      <c r="D289" s="1193">
        <v>27</v>
      </c>
      <c r="E289" s="1540"/>
      <c r="F289" s="1313">
        <v>0.08</v>
      </c>
      <c r="G289" s="1313">
        <v>0.12</v>
      </c>
      <c r="H289" s="1313">
        <v>0.17</v>
      </c>
      <c r="I289" s="1313">
        <v>0.21</v>
      </c>
      <c r="J289" s="1313">
        <v>0.25</v>
      </c>
      <c r="K289" s="1313">
        <v>0.3</v>
      </c>
      <c r="L289" s="1313">
        <v>0.34</v>
      </c>
      <c r="M289" s="1314">
        <v>0.39</v>
      </c>
      <c r="N289" s="1312">
        <v>0.44</v>
      </c>
      <c r="O289" s="1313">
        <v>0.49</v>
      </c>
      <c r="P289" s="1313">
        <v>0.54</v>
      </c>
      <c r="Q289" s="1313">
        <v>0.6</v>
      </c>
      <c r="R289" s="1313">
        <v>0.65</v>
      </c>
      <c r="S289" s="1313">
        <v>0.71</v>
      </c>
      <c r="T289" s="1313">
        <v>0.77</v>
      </c>
      <c r="U289" s="1313">
        <v>0.84</v>
      </c>
      <c r="V289" s="1313">
        <v>0.91</v>
      </c>
      <c r="W289" s="1314">
        <v>0.98</v>
      </c>
      <c r="X289" s="1312">
        <v>1.05</v>
      </c>
      <c r="Y289" s="1313">
        <v>1.1299999999999999</v>
      </c>
      <c r="Z289" s="1313">
        <v>1.22</v>
      </c>
      <c r="AA289" s="1313">
        <v>1.3</v>
      </c>
      <c r="AB289" s="1313">
        <v>1.4</v>
      </c>
      <c r="AC289" s="1313">
        <v>1.49</v>
      </c>
      <c r="AD289" s="1313">
        <v>1.6</v>
      </c>
      <c r="AE289" s="1313">
        <v>1.71</v>
      </c>
      <c r="AF289" s="1313">
        <v>1.82</v>
      </c>
      <c r="AG289" s="1314">
        <v>1.95</v>
      </c>
      <c r="AH289" s="1312">
        <v>2.08</v>
      </c>
      <c r="AI289" s="1313">
        <v>2.2200000000000002</v>
      </c>
      <c r="AJ289" s="1313">
        <v>2.38</v>
      </c>
      <c r="AK289" s="1313">
        <v>2.54</v>
      </c>
      <c r="AL289" s="1313">
        <v>2.71</v>
      </c>
      <c r="AM289" s="1313">
        <v>2.9</v>
      </c>
      <c r="AN289" s="1313">
        <v>3.1</v>
      </c>
      <c r="AO289" s="1313">
        <v>3.32</v>
      </c>
      <c r="AP289" s="1313">
        <v>3.56</v>
      </c>
      <c r="AQ289" s="1314">
        <v>3.81</v>
      </c>
      <c r="AR289" s="1312">
        <v>4.09</v>
      </c>
      <c r="AS289" s="1313">
        <v>4.4000000000000004</v>
      </c>
      <c r="AT289" s="1313">
        <v>4.7300000000000004</v>
      </c>
      <c r="AU289" s="1313">
        <v>5.09</v>
      </c>
      <c r="AV289" s="1313">
        <v>5.49</v>
      </c>
      <c r="AW289" s="1313">
        <v>5.93</v>
      </c>
      <c r="AX289" s="1313">
        <v>6.41</v>
      </c>
      <c r="AY289" s="1313">
        <v>6.94</v>
      </c>
      <c r="AZ289" s="1313">
        <v>7.52</v>
      </c>
      <c r="BA289" s="1314">
        <v>8.16</v>
      </c>
      <c r="BB289" s="1312">
        <v>8.86</v>
      </c>
      <c r="BC289" s="1313">
        <v>9.6199999999999992</v>
      </c>
      <c r="BD289" s="1313">
        <v>10.45</v>
      </c>
      <c r="BE289" s="1313">
        <v>11.43</v>
      </c>
      <c r="BF289" s="1313">
        <v>12.41</v>
      </c>
      <c r="BG289" s="1313">
        <v>13.38</v>
      </c>
      <c r="BH289" s="1313">
        <v>14.34</v>
      </c>
      <c r="BI289" s="1313">
        <v>15.28</v>
      </c>
      <c r="BJ289" s="1313">
        <v>16.22</v>
      </c>
      <c r="BK289" s="1314">
        <v>17.149999999999999</v>
      </c>
      <c r="BL289" s="1312">
        <v>18.07</v>
      </c>
      <c r="BM289" s="1313">
        <v>18.98</v>
      </c>
      <c r="BN289" s="1313">
        <v>19.88</v>
      </c>
      <c r="BO289" s="1313">
        <v>20.78</v>
      </c>
      <c r="BP289" s="1313">
        <v>21.66</v>
      </c>
      <c r="BQ289" s="1313">
        <v>22.54</v>
      </c>
      <c r="BR289" s="1313">
        <v>23.4</v>
      </c>
      <c r="BS289" s="1313">
        <v>24.26</v>
      </c>
      <c r="BT289" s="1313">
        <v>25.11</v>
      </c>
      <c r="BU289" s="1314">
        <v>25.95</v>
      </c>
      <c r="BV289" s="1312">
        <v>26.78</v>
      </c>
      <c r="BW289" s="1313">
        <v>27.61</v>
      </c>
      <c r="BX289" s="1313">
        <v>28.42</v>
      </c>
      <c r="BY289" s="1313">
        <v>29.23</v>
      </c>
      <c r="BZ289" s="1313">
        <v>30.03</v>
      </c>
      <c r="CA289" s="1313">
        <v>30.82</v>
      </c>
      <c r="CB289" s="1313">
        <v>31.61</v>
      </c>
      <c r="CC289" s="1313">
        <v>32.39</v>
      </c>
      <c r="CD289" s="1313">
        <v>33.159999999999997</v>
      </c>
      <c r="CE289" s="1314">
        <v>33.92</v>
      </c>
      <c r="CF289" s="1313">
        <v>34.67</v>
      </c>
      <c r="CG289" s="1313">
        <v>35.42</v>
      </c>
      <c r="CH289" s="1314">
        <v>36.159999999999997</v>
      </c>
    </row>
    <row r="290" spans="1:86" ht="20.149999999999999" customHeight="1">
      <c r="A290" s="1563" t="s">
        <v>1427</v>
      </c>
      <c r="B290" s="1563" t="s">
        <v>14</v>
      </c>
      <c r="C290" s="1563" t="str">
        <f t="shared" si="4"/>
        <v>PBSDDF28</v>
      </c>
      <c r="D290" s="1193">
        <v>28</v>
      </c>
      <c r="E290" s="1540"/>
      <c r="F290" s="1313">
        <v>0.08</v>
      </c>
      <c r="G290" s="1313">
        <v>0.13</v>
      </c>
      <c r="H290" s="1313">
        <v>0.17</v>
      </c>
      <c r="I290" s="1313">
        <v>0.22</v>
      </c>
      <c r="J290" s="1313">
        <v>0.26</v>
      </c>
      <c r="K290" s="1313">
        <v>0.31</v>
      </c>
      <c r="L290" s="1313">
        <v>0.36</v>
      </c>
      <c r="M290" s="1314">
        <v>0.4</v>
      </c>
      <c r="N290" s="1312">
        <v>0.46</v>
      </c>
      <c r="O290" s="1313">
        <v>0.51</v>
      </c>
      <c r="P290" s="1313">
        <v>0.56000000000000005</v>
      </c>
      <c r="Q290" s="1313">
        <v>0.62</v>
      </c>
      <c r="R290" s="1313">
        <v>0.68</v>
      </c>
      <c r="S290" s="1313">
        <v>0.74</v>
      </c>
      <c r="T290" s="1313">
        <v>0.81</v>
      </c>
      <c r="U290" s="1313">
        <v>0.88</v>
      </c>
      <c r="V290" s="1313">
        <v>0.95</v>
      </c>
      <c r="W290" s="1314">
        <v>1.03</v>
      </c>
      <c r="X290" s="1312">
        <v>1.1100000000000001</v>
      </c>
      <c r="Y290" s="1313">
        <v>1.19</v>
      </c>
      <c r="Z290" s="1313">
        <v>1.28</v>
      </c>
      <c r="AA290" s="1313">
        <v>1.38</v>
      </c>
      <c r="AB290" s="1313">
        <v>1.48</v>
      </c>
      <c r="AC290" s="1313">
        <v>1.59</v>
      </c>
      <c r="AD290" s="1313">
        <v>1.7</v>
      </c>
      <c r="AE290" s="1313">
        <v>1.82</v>
      </c>
      <c r="AF290" s="1313">
        <v>1.94</v>
      </c>
      <c r="AG290" s="1314">
        <v>2.08</v>
      </c>
      <c r="AH290" s="1312">
        <v>2.23</v>
      </c>
      <c r="AI290" s="1313">
        <v>2.38</v>
      </c>
      <c r="AJ290" s="1313">
        <v>2.5499999999999998</v>
      </c>
      <c r="AK290" s="1313">
        <v>2.73</v>
      </c>
      <c r="AL290" s="1313">
        <v>2.92</v>
      </c>
      <c r="AM290" s="1313">
        <v>3.12</v>
      </c>
      <c r="AN290" s="1313">
        <v>3.35</v>
      </c>
      <c r="AO290" s="1313">
        <v>3.59</v>
      </c>
      <c r="AP290" s="1313">
        <v>3.85</v>
      </c>
      <c r="AQ290" s="1314">
        <v>4.1399999999999997</v>
      </c>
      <c r="AR290" s="1312">
        <v>4.45</v>
      </c>
      <c r="AS290" s="1313">
        <v>4.78</v>
      </c>
      <c r="AT290" s="1313">
        <v>5.16</v>
      </c>
      <c r="AU290" s="1313">
        <v>5.56</v>
      </c>
      <c r="AV290" s="1313">
        <v>6.01</v>
      </c>
      <c r="AW290" s="1313">
        <v>6.5</v>
      </c>
      <c r="AX290" s="1313">
        <v>7.05</v>
      </c>
      <c r="AY290" s="1313">
        <v>7.64</v>
      </c>
      <c r="AZ290" s="1313">
        <v>8.3000000000000007</v>
      </c>
      <c r="BA290" s="1314">
        <v>9.01</v>
      </c>
      <c r="BB290" s="1312">
        <v>9.7899999999999991</v>
      </c>
      <c r="BC290" s="1313">
        <v>10.64</v>
      </c>
      <c r="BD290" s="1313">
        <v>11.65</v>
      </c>
      <c r="BE290" s="1313">
        <v>12.65</v>
      </c>
      <c r="BF290" s="1313">
        <v>13.64</v>
      </c>
      <c r="BG290" s="1313">
        <v>14.63</v>
      </c>
      <c r="BH290" s="1313">
        <v>15.6</v>
      </c>
      <c r="BI290" s="1313">
        <v>16.559999999999999</v>
      </c>
      <c r="BJ290" s="1313">
        <v>17.510000000000002</v>
      </c>
      <c r="BK290" s="1314">
        <v>18.46</v>
      </c>
      <c r="BL290" s="1312">
        <v>19.39</v>
      </c>
      <c r="BM290" s="1313">
        <v>20.309999999999999</v>
      </c>
      <c r="BN290" s="1313">
        <v>21.23</v>
      </c>
      <c r="BO290" s="1313">
        <v>22.14</v>
      </c>
      <c r="BP290" s="1313">
        <v>23.03</v>
      </c>
      <c r="BQ290" s="1313">
        <v>23.92</v>
      </c>
      <c r="BR290" s="1313">
        <v>24.8</v>
      </c>
      <c r="BS290" s="1313">
        <v>25.67</v>
      </c>
      <c r="BT290" s="1313">
        <v>26.54</v>
      </c>
      <c r="BU290" s="1314">
        <v>27.39</v>
      </c>
      <c r="BV290" s="1312">
        <v>28.24</v>
      </c>
      <c r="BW290" s="1313">
        <v>29.07</v>
      </c>
      <c r="BX290" s="1313">
        <v>29.9</v>
      </c>
      <c r="BY290" s="1313">
        <v>30.72</v>
      </c>
      <c r="BZ290" s="1313">
        <v>31.53</v>
      </c>
      <c r="CA290" s="1313">
        <v>32.340000000000003</v>
      </c>
      <c r="CB290" s="1313">
        <v>33.14</v>
      </c>
      <c r="CC290" s="1313">
        <v>33.92</v>
      </c>
      <c r="CD290" s="1313">
        <v>34.700000000000003</v>
      </c>
      <c r="CE290" s="1314">
        <v>35.479999999999997</v>
      </c>
      <c r="CF290" s="1313">
        <v>36.24</v>
      </c>
      <c r="CG290" s="1313">
        <v>37</v>
      </c>
      <c r="CH290" s="1314">
        <v>37.75</v>
      </c>
    </row>
    <row r="291" spans="1:86" ht="20.149999999999999" customHeight="1">
      <c r="A291" s="1563" t="s">
        <v>1427</v>
      </c>
      <c r="B291" s="1563" t="s">
        <v>14</v>
      </c>
      <c r="C291" s="1563" t="str">
        <f t="shared" si="4"/>
        <v>PBSDDF29</v>
      </c>
      <c r="D291" s="1193">
        <v>29</v>
      </c>
      <c r="E291" s="1540"/>
      <c r="F291" s="1313">
        <v>0.09</v>
      </c>
      <c r="G291" s="1313">
        <v>0.13</v>
      </c>
      <c r="H291" s="1313">
        <v>0.18</v>
      </c>
      <c r="I291" s="1313">
        <v>0.22</v>
      </c>
      <c r="J291" s="1313">
        <v>0.27</v>
      </c>
      <c r="K291" s="1313">
        <v>0.32</v>
      </c>
      <c r="L291" s="1313">
        <v>0.37</v>
      </c>
      <c r="M291" s="1314">
        <v>0.42</v>
      </c>
      <c r="N291" s="1312">
        <v>0.47</v>
      </c>
      <c r="O291" s="1313">
        <v>0.53</v>
      </c>
      <c r="P291" s="1313">
        <v>0.59</v>
      </c>
      <c r="Q291" s="1313">
        <v>0.65</v>
      </c>
      <c r="R291" s="1313">
        <v>0.71</v>
      </c>
      <c r="S291" s="1313">
        <v>0.78</v>
      </c>
      <c r="T291" s="1313">
        <v>0.85</v>
      </c>
      <c r="U291" s="1313">
        <v>0.93</v>
      </c>
      <c r="V291" s="1313">
        <v>1</v>
      </c>
      <c r="W291" s="1314">
        <v>1.0900000000000001</v>
      </c>
      <c r="X291" s="1312">
        <v>1.17</v>
      </c>
      <c r="Y291" s="1313">
        <v>1.27</v>
      </c>
      <c r="Z291" s="1313">
        <v>1.36</v>
      </c>
      <c r="AA291" s="1313">
        <v>1.46</v>
      </c>
      <c r="AB291" s="1313">
        <v>1.57</v>
      </c>
      <c r="AC291" s="1313">
        <v>1.69</v>
      </c>
      <c r="AD291" s="1313">
        <v>1.81</v>
      </c>
      <c r="AE291" s="1313">
        <v>1.94</v>
      </c>
      <c r="AF291" s="1313">
        <v>2.08</v>
      </c>
      <c r="AG291" s="1314">
        <v>2.23</v>
      </c>
      <c r="AH291" s="1312">
        <v>2.39</v>
      </c>
      <c r="AI291" s="1313">
        <v>2.56</v>
      </c>
      <c r="AJ291" s="1313">
        <v>2.74</v>
      </c>
      <c r="AK291" s="1313">
        <v>2.94</v>
      </c>
      <c r="AL291" s="1313">
        <v>3.15</v>
      </c>
      <c r="AM291" s="1313">
        <v>3.38</v>
      </c>
      <c r="AN291" s="1313">
        <v>3.62</v>
      </c>
      <c r="AO291" s="1313">
        <v>3.89</v>
      </c>
      <c r="AP291" s="1313">
        <v>4.18</v>
      </c>
      <c r="AQ291" s="1314">
        <v>4.5</v>
      </c>
      <c r="AR291" s="1312">
        <v>4.8499999999999996</v>
      </c>
      <c r="AS291" s="1313">
        <v>5.23</v>
      </c>
      <c r="AT291" s="1313">
        <v>5.64</v>
      </c>
      <c r="AU291" s="1313">
        <v>6.1</v>
      </c>
      <c r="AV291" s="1313">
        <v>6.6</v>
      </c>
      <c r="AW291" s="1313">
        <v>7.16</v>
      </c>
      <c r="AX291" s="1313">
        <v>7.77</v>
      </c>
      <c r="AY291" s="1313">
        <v>8.44</v>
      </c>
      <c r="AZ291" s="1313">
        <v>9.17</v>
      </c>
      <c r="BA291" s="1314">
        <v>9.9700000000000006</v>
      </c>
      <c r="BB291" s="1312">
        <v>10.84</v>
      </c>
      <c r="BC291" s="1313">
        <v>11.88</v>
      </c>
      <c r="BD291" s="1313">
        <v>12.9</v>
      </c>
      <c r="BE291" s="1313">
        <v>13.92</v>
      </c>
      <c r="BF291" s="1313">
        <v>14.93</v>
      </c>
      <c r="BG291" s="1313">
        <v>15.92</v>
      </c>
      <c r="BH291" s="1313">
        <v>16.91</v>
      </c>
      <c r="BI291" s="1313">
        <v>17.89</v>
      </c>
      <c r="BJ291" s="1313">
        <v>18.86</v>
      </c>
      <c r="BK291" s="1314">
        <v>19.809999999999999</v>
      </c>
      <c r="BL291" s="1312">
        <v>20.76</v>
      </c>
      <c r="BM291" s="1313">
        <v>21.7</v>
      </c>
      <c r="BN291" s="1313">
        <v>22.63</v>
      </c>
      <c r="BO291" s="1313">
        <v>23.55</v>
      </c>
      <c r="BP291" s="1313">
        <v>24.46</v>
      </c>
      <c r="BQ291" s="1313">
        <v>25.37</v>
      </c>
      <c r="BR291" s="1313">
        <v>26.26</v>
      </c>
      <c r="BS291" s="1313">
        <v>27.15</v>
      </c>
      <c r="BT291" s="1313">
        <v>28.02</v>
      </c>
      <c r="BU291" s="1314">
        <v>28.89</v>
      </c>
      <c r="BV291" s="1312">
        <v>29.75</v>
      </c>
      <c r="BW291" s="1313">
        <v>30.6</v>
      </c>
      <c r="BX291" s="1313">
        <v>31.44</v>
      </c>
      <c r="BY291" s="1313">
        <v>32.270000000000003</v>
      </c>
      <c r="BZ291" s="1313">
        <v>33.1</v>
      </c>
      <c r="CA291" s="1313">
        <v>33.92</v>
      </c>
      <c r="CB291" s="1313">
        <v>34.72</v>
      </c>
      <c r="CC291" s="1313">
        <v>35.53</v>
      </c>
      <c r="CD291" s="1313">
        <v>36.32</v>
      </c>
      <c r="CE291" s="1314">
        <v>37.1</v>
      </c>
      <c r="CF291" s="1313">
        <v>37.880000000000003</v>
      </c>
      <c r="CG291" s="1313">
        <v>38.65</v>
      </c>
      <c r="CH291" s="1314">
        <v>39.409999999999997</v>
      </c>
    </row>
    <row r="292" spans="1:86" ht="20.149999999999999" customHeight="1">
      <c r="A292" s="1563" t="s">
        <v>1427</v>
      </c>
      <c r="B292" s="1563" t="s">
        <v>14</v>
      </c>
      <c r="C292" s="1563" t="str">
        <f t="shared" si="4"/>
        <v>PBSDDF30</v>
      </c>
      <c r="D292" s="1193">
        <v>30</v>
      </c>
      <c r="E292" s="1540"/>
      <c r="F292" s="1313">
        <v>0.09</v>
      </c>
      <c r="G292" s="1313">
        <v>0.13</v>
      </c>
      <c r="H292" s="1313">
        <v>0.18</v>
      </c>
      <c r="I292" s="1313">
        <v>0.23</v>
      </c>
      <c r="J292" s="1313">
        <v>0.28000000000000003</v>
      </c>
      <c r="K292" s="1313">
        <v>0.33</v>
      </c>
      <c r="L292" s="1313">
        <v>0.38</v>
      </c>
      <c r="M292" s="1314">
        <v>0.44</v>
      </c>
      <c r="N292" s="1312">
        <v>0.49</v>
      </c>
      <c r="O292" s="1313">
        <v>0.55000000000000004</v>
      </c>
      <c r="P292" s="1313">
        <v>0.62</v>
      </c>
      <c r="Q292" s="1313">
        <v>0.68</v>
      </c>
      <c r="R292" s="1313">
        <v>0.75</v>
      </c>
      <c r="S292" s="1313">
        <v>0.82</v>
      </c>
      <c r="T292" s="1313">
        <v>0.9</v>
      </c>
      <c r="U292" s="1313">
        <v>0.98</v>
      </c>
      <c r="V292" s="1313">
        <v>1.06</v>
      </c>
      <c r="W292" s="1314">
        <v>1.1499999999999999</v>
      </c>
      <c r="X292" s="1312">
        <v>1.25</v>
      </c>
      <c r="Y292" s="1313">
        <v>1.35</v>
      </c>
      <c r="Z292" s="1313">
        <v>1.45</v>
      </c>
      <c r="AA292" s="1313">
        <v>1.56</v>
      </c>
      <c r="AB292" s="1313">
        <v>1.68</v>
      </c>
      <c r="AC292" s="1313">
        <v>1.8</v>
      </c>
      <c r="AD292" s="1313">
        <v>1.94</v>
      </c>
      <c r="AE292" s="1313">
        <v>2.08</v>
      </c>
      <c r="AF292" s="1313">
        <v>2.23</v>
      </c>
      <c r="AG292" s="1314">
        <v>2.39</v>
      </c>
      <c r="AH292" s="1312">
        <v>2.57</v>
      </c>
      <c r="AI292" s="1313">
        <v>2.75</v>
      </c>
      <c r="AJ292" s="1313">
        <v>2.95</v>
      </c>
      <c r="AK292" s="1313">
        <v>3.17</v>
      </c>
      <c r="AL292" s="1313">
        <v>3.4</v>
      </c>
      <c r="AM292" s="1313">
        <v>3.66</v>
      </c>
      <c r="AN292" s="1313">
        <v>3.93</v>
      </c>
      <c r="AO292" s="1313">
        <v>4.2300000000000004</v>
      </c>
      <c r="AP292" s="1313">
        <v>4.55</v>
      </c>
      <c r="AQ292" s="1314">
        <v>4.91</v>
      </c>
      <c r="AR292" s="1312">
        <v>5.3</v>
      </c>
      <c r="AS292" s="1313">
        <v>5.72</v>
      </c>
      <c r="AT292" s="1313">
        <v>6.19</v>
      </c>
      <c r="AU292" s="1313">
        <v>6.71</v>
      </c>
      <c r="AV292" s="1313">
        <v>7.28</v>
      </c>
      <c r="AW292" s="1313">
        <v>7.9</v>
      </c>
      <c r="AX292" s="1313">
        <v>8.59</v>
      </c>
      <c r="AY292" s="1313">
        <v>9.34</v>
      </c>
      <c r="AZ292" s="1313">
        <v>10.16</v>
      </c>
      <c r="BA292" s="1314">
        <v>11.04</v>
      </c>
      <c r="BB292" s="1312">
        <v>12.11</v>
      </c>
      <c r="BC292" s="1313">
        <v>13.16</v>
      </c>
      <c r="BD292" s="1313">
        <v>14.21</v>
      </c>
      <c r="BE292" s="1313">
        <v>15.24</v>
      </c>
      <c r="BF292" s="1313">
        <v>16.260000000000002</v>
      </c>
      <c r="BG292" s="1313">
        <v>17.28</v>
      </c>
      <c r="BH292" s="1313">
        <v>18.28</v>
      </c>
      <c r="BI292" s="1313">
        <v>19.27</v>
      </c>
      <c r="BJ292" s="1313">
        <v>20.260000000000002</v>
      </c>
      <c r="BK292" s="1314">
        <v>21.23</v>
      </c>
      <c r="BL292" s="1312">
        <v>22.19</v>
      </c>
      <c r="BM292" s="1313">
        <v>23.15</v>
      </c>
      <c r="BN292" s="1313">
        <v>24.09</v>
      </c>
      <c r="BO292" s="1313">
        <v>25.03</v>
      </c>
      <c r="BP292" s="1313">
        <v>25.95</v>
      </c>
      <c r="BQ292" s="1313">
        <v>26.87</v>
      </c>
      <c r="BR292" s="1313">
        <v>27.78</v>
      </c>
      <c r="BS292" s="1313">
        <v>28.68</v>
      </c>
      <c r="BT292" s="1313">
        <v>29.57</v>
      </c>
      <c r="BU292" s="1314">
        <v>30.45</v>
      </c>
      <c r="BV292" s="1312">
        <v>31.32</v>
      </c>
      <c r="BW292" s="1313">
        <v>32.19</v>
      </c>
      <c r="BX292" s="1313">
        <v>33.04</v>
      </c>
      <c r="BY292" s="1313">
        <v>33.89</v>
      </c>
      <c r="BZ292" s="1313">
        <v>34.729999999999997</v>
      </c>
      <c r="CA292" s="1313">
        <v>35.56</v>
      </c>
      <c r="CB292" s="1313">
        <v>36.380000000000003</v>
      </c>
      <c r="CC292" s="1313">
        <v>37.19</v>
      </c>
      <c r="CD292" s="1313">
        <v>38</v>
      </c>
      <c r="CE292" s="1314">
        <v>38.799999999999997</v>
      </c>
      <c r="CF292" s="1313">
        <v>39.590000000000003</v>
      </c>
      <c r="CG292" s="1313">
        <v>40.369999999999997</v>
      </c>
      <c r="CH292" s="1314">
        <v>41.14</v>
      </c>
    </row>
    <row r="293" spans="1:86" ht="20.149999999999999" customHeight="1">
      <c r="A293" s="1563" t="s">
        <v>1427</v>
      </c>
      <c r="B293" s="1563" t="s">
        <v>14</v>
      </c>
      <c r="C293" s="1563" t="str">
        <f t="shared" si="4"/>
        <v>PBSDDF31</v>
      </c>
      <c r="D293" s="1194">
        <v>31</v>
      </c>
      <c r="E293" s="1541"/>
      <c r="F293" s="1316">
        <v>0.09</v>
      </c>
      <c r="G293" s="1316">
        <v>0.14000000000000001</v>
      </c>
      <c r="H293" s="1316">
        <v>0.19</v>
      </c>
      <c r="I293" s="1316">
        <v>0.24</v>
      </c>
      <c r="J293" s="1316">
        <v>0.28999999999999998</v>
      </c>
      <c r="K293" s="1316">
        <v>0.34</v>
      </c>
      <c r="L293" s="1316">
        <v>0.4</v>
      </c>
      <c r="M293" s="1317">
        <v>0.46</v>
      </c>
      <c r="N293" s="1315">
        <v>0.52</v>
      </c>
      <c r="O293" s="1316">
        <v>0.57999999999999996</v>
      </c>
      <c r="P293" s="1316">
        <v>0.65</v>
      </c>
      <c r="Q293" s="1316">
        <v>0.72</v>
      </c>
      <c r="R293" s="1316">
        <v>0.79</v>
      </c>
      <c r="S293" s="1316">
        <v>0.87</v>
      </c>
      <c r="T293" s="1316">
        <v>0.95</v>
      </c>
      <c r="U293" s="1316">
        <v>1.04</v>
      </c>
      <c r="V293" s="1316">
        <v>1.1299999999999999</v>
      </c>
      <c r="W293" s="1317">
        <v>1.23</v>
      </c>
      <c r="X293" s="1315">
        <v>1.33</v>
      </c>
      <c r="Y293" s="1316">
        <v>1.44</v>
      </c>
      <c r="Z293" s="1316">
        <v>1.55</v>
      </c>
      <c r="AA293" s="1316">
        <v>1.67</v>
      </c>
      <c r="AB293" s="1316">
        <v>1.8</v>
      </c>
      <c r="AC293" s="1316">
        <v>1.93</v>
      </c>
      <c r="AD293" s="1316">
        <v>2.08</v>
      </c>
      <c r="AE293" s="1316">
        <v>2.23</v>
      </c>
      <c r="AF293" s="1316">
        <v>2.4</v>
      </c>
      <c r="AG293" s="1317">
        <v>2.58</v>
      </c>
      <c r="AH293" s="1315">
        <v>2.77</v>
      </c>
      <c r="AI293" s="1316">
        <v>2.97</v>
      </c>
      <c r="AJ293" s="1316">
        <v>3.2</v>
      </c>
      <c r="AK293" s="1316">
        <v>3.44</v>
      </c>
      <c r="AL293" s="1316">
        <v>3.69</v>
      </c>
      <c r="AM293" s="1316">
        <v>3.98</v>
      </c>
      <c r="AN293" s="1316">
        <v>4.28</v>
      </c>
      <c r="AO293" s="1316">
        <v>4.6100000000000003</v>
      </c>
      <c r="AP293" s="1316">
        <v>4.9800000000000004</v>
      </c>
      <c r="AQ293" s="1317">
        <v>5.37</v>
      </c>
      <c r="AR293" s="1315">
        <v>5.81</v>
      </c>
      <c r="AS293" s="1316">
        <v>6.29</v>
      </c>
      <c r="AT293" s="1316">
        <v>6.82</v>
      </c>
      <c r="AU293" s="1316">
        <v>7.4</v>
      </c>
      <c r="AV293" s="1316">
        <v>8.0399999999999991</v>
      </c>
      <c r="AW293" s="1316">
        <v>8.74</v>
      </c>
      <c r="AX293" s="1316">
        <v>9.51</v>
      </c>
      <c r="AY293" s="1316">
        <v>10.35</v>
      </c>
      <c r="AZ293" s="1316">
        <v>11.26</v>
      </c>
      <c r="BA293" s="1317">
        <v>12.35</v>
      </c>
      <c r="BB293" s="1315">
        <v>13.43</v>
      </c>
      <c r="BC293" s="1316">
        <v>14.51</v>
      </c>
      <c r="BD293" s="1316">
        <v>15.57</v>
      </c>
      <c r="BE293" s="1316">
        <v>16.62</v>
      </c>
      <c r="BF293" s="1316">
        <v>17.66</v>
      </c>
      <c r="BG293" s="1316">
        <v>18.690000000000001</v>
      </c>
      <c r="BH293" s="1316">
        <v>19.71</v>
      </c>
      <c r="BI293" s="1316">
        <v>20.72</v>
      </c>
      <c r="BJ293" s="1316">
        <v>21.72</v>
      </c>
      <c r="BK293" s="1317">
        <v>22.71</v>
      </c>
      <c r="BL293" s="1315">
        <v>23.69</v>
      </c>
      <c r="BM293" s="1316">
        <v>24.66</v>
      </c>
      <c r="BN293" s="1316">
        <v>25.62</v>
      </c>
      <c r="BO293" s="1316">
        <v>26.57</v>
      </c>
      <c r="BP293" s="1316">
        <v>27.51</v>
      </c>
      <c r="BQ293" s="1316">
        <v>28.44</v>
      </c>
      <c r="BR293" s="1316">
        <v>29.37</v>
      </c>
      <c r="BS293" s="1316">
        <v>30.28</v>
      </c>
      <c r="BT293" s="1316">
        <v>31.18</v>
      </c>
      <c r="BU293" s="1317">
        <v>32.08</v>
      </c>
      <c r="BV293" s="1315">
        <v>32.97</v>
      </c>
      <c r="BW293" s="1316">
        <v>33.85</v>
      </c>
      <c r="BX293" s="1316">
        <v>34.71</v>
      </c>
      <c r="BY293" s="1316">
        <v>35.58</v>
      </c>
      <c r="BZ293" s="1316">
        <v>36.43</v>
      </c>
      <c r="CA293" s="1316">
        <v>37.270000000000003</v>
      </c>
      <c r="CB293" s="1316">
        <v>38.11</v>
      </c>
      <c r="CC293" s="1316">
        <v>38.94</v>
      </c>
      <c r="CD293" s="1316">
        <v>39.75</v>
      </c>
      <c r="CE293" s="1317">
        <v>40.57</v>
      </c>
      <c r="CF293" s="1316">
        <v>41.37</v>
      </c>
      <c r="CG293" s="1316">
        <v>42.16</v>
      </c>
      <c r="CH293" s="1317">
        <v>42.95</v>
      </c>
    </row>
    <row r="294" spans="1:86" ht="20.149999999999999" customHeight="1">
      <c r="A294" s="1563" t="s">
        <v>1427</v>
      </c>
      <c r="B294" s="1563" t="s">
        <v>14</v>
      </c>
      <c r="C294" s="1563" t="str">
        <f t="shared" si="4"/>
        <v>PBSDDF32</v>
      </c>
      <c r="D294" s="1193">
        <v>32</v>
      </c>
      <c r="E294" s="1540"/>
      <c r="F294" s="1313">
        <v>0.1</v>
      </c>
      <c r="G294" s="1313">
        <v>0.14000000000000001</v>
      </c>
      <c r="H294" s="1313">
        <v>0.2</v>
      </c>
      <c r="I294" s="1313">
        <v>0.25</v>
      </c>
      <c r="J294" s="1313">
        <v>0.3</v>
      </c>
      <c r="K294" s="1313">
        <v>0.36</v>
      </c>
      <c r="L294" s="1313">
        <v>0.42</v>
      </c>
      <c r="M294" s="1314">
        <v>0.48</v>
      </c>
      <c r="N294" s="1312">
        <v>0.55000000000000004</v>
      </c>
      <c r="O294" s="1313">
        <v>0.61</v>
      </c>
      <c r="P294" s="1313">
        <v>0.69</v>
      </c>
      <c r="Q294" s="1313">
        <v>0.76</v>
      </c>
      <c r="R294" s="1313">
        <v>0.84</v>
      </c>
      <c r="S294" s="1313">
        <v>0.93</v>
      </c>
      <c r="T294" s="1313">
        <v>1.01</v>
      </c>
      <c r="U294" s="1313">
        <v>1.1100000000000001</v>
      </c>
      <c r="V294" s="1313">
        <v>1.21</v>
      </c>
      <c r="W294" s="1314">
        <v>1.31</v>
      </c>
      <c r="X294" s="1312">
        <v>1.42</v>
      </c>
      <c r="Y294" s="1313">
        <v>1.54</v>
      </c>
      <c r="Z294" s="1313">
        <v>1.66</v>
      </c>
      <c r="AA294" s="1313">
        <v>1.79</v>
      </c>
      <c r="AB294" s="1313">
        <v>1.93</v>
      </c>
      <c r="AC294" s="1313">
        <v>2.08</v>
      </c>
      <c r="AD294" s="1313">
        <v>2.2400000000000002</v>
      </c>
      <c r="AE294" s="1313">
        <v>2.41</v>
      </c>
      <c r="AF294" s="1313">
        <v>2.59</v>
      </c>
      <c r="AG294" s="1314">
        <v>2.79</v>
      </c>
      <c r="AH294" s="1312">
        <v>3</v>
      </c>
      <c r="AI294" s="1313">
        <v>3.22</v>
      </c>
      <c r="AJ294" s="1313">
        <v>3.47</v>
      </c>
      <c r="AK294" s="1313">
        <v>3.73</v>
      </c>
      <c r="AL294" s="1313">
        <v>4.0199999999999996</v>
      </c>
      <c r="AM294" s="1313">
        <v>4.33</v>
      </c>
      <c r="AN294" s="1313">
        <v>4.67</v>
      </c>
      <c r="AO294" s="1313">
        <v>5.05</v>
      </c>
      <c r="AP294" s="1313">
        <v>5.45</v>
      </c>
      <c r="AQ294" s="1314">
        <v>5.9</v>
      </c>
      <c r="AR294" s="1312">
        <v>6.39</v>
      </c>
      <c r="AS294" s="1313">
        <v>6.93</v>
      </c>
      <c r="AT294" s="1313">
        <v>7.53</v>
      </c>
      <c r="AU294" s="1313">
        <v>8.18</v>
      </c>
      <c r="AV294" s="1313">
        <v>8.9</v>
      </c>
      <c r="AW294" s="1313">
        <v>9.69</v>
      </c>
      <c r="AX294" s="1313">
        <v>10.55</v>
      </c>
      <c r="AY294" s="1313">
        <v>11.48</v>
      </c>
      <c r="AZ294" s="1313">
        <v>12.61</v>
      </c>
      <c r="BA294" s="1314">
        <v>13.72</v>
      </c>
      <c r="BB294" s="1312">
        <v>14.82</v>
      </c>
      <c r="BC294" s="1313">
        <v>15.91</v>
      </c>
      <c r="BD294" s="1313">
        <v>16.989999999999998</v>
      </c>
      <c r="BE294" s="1313">
        <v>18.059999999999999</v>
      </c>
      <c r="BF294" s="1313">
        <v>19.11</v>
      </c>
      <c r="BG294" s="1313">
        <v>20.16</v>
      </c>
      <c r="BH294" s="1313">
        <v>21.2</v>
      </c>
      <c r="BI294" s="1313">
        <v>22.22</v>
      </c>
      <c r="BJ294" s="1313">
        <v>23.24</v>
      </c>
      <c r="BK294" s="1314">
        <v>24.25</v>
      </c>
      <c r="BL294" s="1312">
        <v>25.24</v>
      </c>
      <c r="BM294" s="1313">
        <v>26.23</v>
      </c>
      <c r="BN294" s="1313">
        <v>27.21</v>
      </c>
      <c r="BO294" s="1313">
        <v>28.17</v>
      </c>
      <c r="BP294" s="1313">
        <v>29.13</v>
      </c>
      <c r="BQ294" s="1313">
        <v>30.08</v>
      </c>
      <c r="BR294" s="1313">
        <v>31.02</v>
      </c>
      <c r="BS294" s="1313">
        <v>31.95</v>
      </c>
      <c r="BT294" s="1313">
        <v>32.869999999999997</v>
      </c>
      <c r="BU294" s="1314">
        <v>33.78</v>
      </c>
      <c r="BV294" s="1312">
        <v>34.68</v>
      </c>
      <c r="BW294" s="1313">
        <v>35.58</v>
      </c>
      <c r="BX294" s="1313">
        <v>36.46</v>
      </c>
      <c r="BY294" s="1313">
        <v>37.340000000000003</v>
      </c>
      <c r="BZ294" s="1313">
        <v>38.200000000000003</v>
      </c>
      <c r="CA294" s="1313">
        <v>39.06</v>
      </c>
      <c r="CB294" s="1313">
        <v>39.909999999999997</v>
      </c>
      <c r="CC294" s="1313">
        <v>40.75</v>
      </c>
      <c r="CD294" s="1313">
        <v>41.59</v>
      </c>
      <c r="CE294" s="1314">
        <v>42.41</v>
      </c>
      <c r="CF294" s="1313">
        <v>43.23</v>
      </c>
      <c r="CG294" s="1313">
        <v>44.04</v>
      </c>
      <c r="CH294" s="1314">
        <v>44.84</v>
      </c>
    </row>
    <row r="295" spans="1:86" ht="20.149999999999999" customHeight="1">
      <c r="A295" s="1563" t="s">
        <v>1427</v>
      </c>
      <c r="B295" s="1563" t="s">
        <v>14</v>
      </c>
      <c r="C295" s="1563" t="str">
        <f t="shared" si="4"/>
        <v>PBSDDF33</v>
      </c>
      <c r="D295" s="1193">
        <v>33</v>
      </c>
      <c r="E295" s="1540"/>
      <c r="F295" s="1313">
        <v>0.1</v>
      </c>
      <c r="G295" s="1313">
        <v>0.15</v>
      </c>
      <c r="H295" s="1313">
        <v>0.2</v>
      </c>
      <c r="I295" s="1313">
        <v>0.26</v>
      </c>
      <c r="J295" s="1313">
        <v>0.32</v>
      </c>
      <c r="K295" s="1313">
        <v>0.38</v>
      </c>
      <c r="L295" s="1313">
        <v>0.44</v>
      </c>
      <c r="M295" s="1314">
        <v>0.51</v>
      </c>
      <c r="N295" s="1312">
        <v>0.57999999999999996</v>
      </c>
      <c r="O295" s="1313">
        <v>0.65</v>
      </c>
      <c r="P295" s="1313">
        <v>0.73</v>
      </c>
      <c r="Q295" s="1313">
        <v>0.81</v>
      </c>
      <c r="R295" s="1313">
        <v>0.9</v>
      </c>
      <c r="S295" s="1313">
        <v>0.99</v>
      </c>
      <c r="T295" s="1313">
        <v>1.08</v>
      </c>
      <c r="U295" s="1313">
        <v>1.19</v>
      </c>
      <c r="V295" s="1313">
        <v>1.29</v>
      </c>
      <c r="W295" s="1314">
        <v>1.4</v>
      </c>
      <c r="X295" s="1312">
        <v>1.52</v>
      </c>
      <c r="Y295" s="1313">
        <v>1.65</v>
      </c>
      <c r="Z295" s="1313">
        <v>1.78</v>
      </c>
      <c r="AA295" s="1313">
        <v>1.93</v>
      </c>
      <c r="AB295" s="1313">
        <v>2.08</v>
      </c>
      <c r="AC295" s="1313">
        <v>2.2400000000000002</v>
      </c>
      <c r="AD295" s="1313">
        <v>2.42</v>
      </c>
      <c r="AE295" s="1313">
        <v>2.6</v>
      </c>
      <c r="AF295" s="1313">
        <v>2.8</v>
      </c>
      <c r="AG295" s="1314">
        <v>3.02</v>
      </c>
      <c r="AH295" s="1312">
        <v>3.25</v>
      </c>
      <c r="AI295" s="1313">
        <v>3.5</v>
      </c>
      <c r="AJ295" s="1313">
        <v>3.77</v>
      </c>
      <c r="AK295" s="1313">
        <v>4.07</v>
      </c>
      <c r="AL295" s="1313">
        <v>4.3899999999999997</v>
      </c>
      <c r="AM295" s="1313">
        <v>4.74</v>
      </c>
      <c r="AN295" s="1313">
        <v>5.12</v>
      </c>
      <c r="AO295" s="1313">
        <v>5.54</v>
      </c>
      <c r="AP295" s="1313">
        <v>5.99</v>
      </c>
      <c r="AQ295" s="1314">
        <v>6.5</v>
      </c>
      <c r="AR295" s="1312">
        <v>7.05</v>
      </c>
      <c r="AS295" s="1313">
        <v>7.66</v>
      </c>
      <c r="AT295" s="1313">
        <v>8.33</v>
      </c>
      <c r="AU295" s="1313">
        <v>9.07</v>
      </c>
      <c r="AV295" s="1313">
        <v>9.8800000000000008</v>
      </c>
      <c r="AW295" s="1313">
        <v>10.76</v>
      </c>
      <c r="AX295" s="1313">
        <v>11.71</v>
      </c>
      <c r="AY295" s="1313">
        <v>12.87</v>
      </c>
      <c r="AZ295" s="1313">
        <v>14.01</v>
      </c>
      <c r="BA295" s="1314">
        <v>15.14</v>
      </c>
      <c r="BB295" s="1312">
        <v>16.260000000000002</v>
      </c>
      <c r="BC295" s="1313">
        <v>17.37</v>
      </c>
      <c r="BD295" s="1313">
        <v>18.47</v>
      </c>
      <c r="BE295" s="1313">
        <v>19.559999999999999</v>
      </c>
      <c r="BF295" s="1313">
        <v>20.63</v>
      </c>
      <c r="BG295" s="1313">
        <v>21.7</v>
      </c>
      <c r="BH295" s="1313">
        <v>22.75</v>
      </c>
      <c r="BI295" s="1313">
        <v>23.8</v>
      </c>
      <c r="BJ295" s="1313">
        <v>24.83</v>
      </c>
      <c r="BK295" s="1314">
        <v>25.86</v>
      </c>
      <c r="BL295" s="1312">
        <v>26.87</v>
      </c>
      <c r="BM295" s="1313">
        <v>27.87</v>
      </c>
      <c r="BN295" s="1313">
        <v>28.87</v>
      </c>
      <c r="BO295" s="1313">
        <v>29.85</v>
      </c>
      <c r="BP295" s="1313">
        <v>30.83</v>
      </c>
      <c r="BQ295" s="1313">
        <v>31.79</v>
      </c>
      <c r="BR295" s="1313">
        <v>32.75</v>
      </c>
      <c r="BS295" s="1313">
        <v>33.69</v>
      </c>
      <c r="BT295" s="1313">
        <v>34.630000000000003</v>
      </c>
      <c r="BU295" s="1314">
        <v>35.56</v>
      </c>
      <c r="BV295" s="1312">
        <v>36.47</v>
      </c>
      <c r="BW295" s="1313">
        <v>37.380000000000003</v>
      </c>
      <c r="BX295" s="1313">
        <v>38.28</v>
      </c>
      <c r="BY295" s="1313">
        <v>39.17</v>
      </c>
      <c r="BZ295" s="1313">
        <v>40.06</v>
      </c>
      <c r="CA295" s="1313">
        <v>40.93</v>
      </c>
      <c r="CB295" s="1313">
        <v>41.79</v>
      </c>
      <c r="CC295" s="1313">
        <v>42.65</v>
      </c>
      <c r="CD295" s="1313">
        <v>43.5</v>
      </c>
      <c r="CE295" s="1314">
        <v>44.34</v>
      </c>
      <c r="CF295" s="1313">
        <v>45.17</v>
      </c>
      <c r="CG295" s="1313">
        <v>45.99</v>
      </c>
      <c r="CH295" s="1314">
        <v>46.81</v>
      </c>
    </row>
    <row r="296" spans="1:86" ht="20.149999999999999" customHeight="1">
      <c r="A296" s="1563" t="s">
        <v>1427</v>
      </c>
      <c r="B296" s="1563" t="s">
        <v>14</v>
      </c>
      <c r="C296" s="1563" t="str">
        <f t="shared" ref="C296:C332" si="5">A296&amp;B296&amp;D296</f>
        <v>PBSDDF34</v>
      </c>
      <c r="D296" s="1193">
        <v>34</v>
      </c>
      <c r="E296" s="1540"/>
      <c r="F296" s="1313">
        <v>0.1</v>
      </c>
      <c r="G296" s="1313">
        <v>0.16</v>
      </c>
      <c r="H296" s="1313">
        <v>0.22</v>
      </c>
      <c r="I296" s="1313">
        <v>0.28000000000000003</v>
      </c>
      <c r="J296" s="1313">
        <v>0.34</v>
      </c>
      <c r="K296" s="1313">
        <v>0.4</v>
      </c>
      <c r="L296" s="1313">
        <v>0.47</v>
      </c>
      <c r="M296" s="1314">
        <v>0.54</v>
      </c>
      <c r="N296" s="1312">
        <v>0.62</v>
      </c>
      <c r="O296" s="1313">
        <v>0.7</v>
      </c>
      <c r="P296" s="1313">
        <v>0.78</v>
      </c>
      <c r="Q296" s="1313">
        <v>0.87</v>
      </c>
      <c r="R296" s="1313">
        <v>0.96</v>
      </c>
      <c r="S296" s="1313">
        <v>1.06</v>
      </c>
      <c r="T296" s="1313">
        <v>1.1599999999999999</v>
      </c>
      <c r="U296" s="1313">
        <v>1.27</v>
      </c>
      <c r="V296" s="1313">
        <v>1.39</v>
      </c>
      <c r="W296" s="1314">
        <v>1.51</v>
      </c>
      <c r="X296" s="1312">
        <v>1.64</v>
      </c>
      <c r="Y296" s="1313">
        <v>1.78</v>
      </c>
      <c r="Z296" s="1313">
        <v>1.92</v>
      </c>
      <c r="AA296" s="1313">
        <v>2.08</v>
      </c>
      <c r="AB296" s="1313">
        <v>2.2400000000000002</v>
      </c>
      <c r="AC296" s="1313">
        <v>2.42</v>
      </c>
      <c r="AD296" s="1313">
        <v>2.61</v>
      </c>
      <c r="AE296" s="1313">
        <v>2.82</v>
      </c>
      <c r="AF296" s="1313">
        <v>3.04</v>
      </c>
      <c r="AG296" s="1314">
        <v>3.28</v>
      </c>
      <c r="AH296" s="1312">
        <v>3.54</v>
      </c>
      <c r="AI296" s="1313">
        <v>3.81</v>
      </c>
      <c r="AJ296" s="1313">
        <v>4.12</v>
      </c>
      <c r="AK296" s="1313">
        <v>4.4400000000000004</v>
      </c>
      <c r="AL296" s="1313">
        <v>4.8</v>
      </c>
      <c r="AM296" s="1313">
        <v>5.19</v>
      </c>
      <c r="AN296" s="1313">
        <v>5.62</v>
      </c>
      <c r="AO296" s="1313">
        <v>6.09</v>
      </c>
      <c r="AP296" s="1313">
        <v>6.61</v>
      </c>
      <c r="AQ296" s="1314">
        <v>7.18</v>
      </c>
      <c r="AR296" s="1312">
        <v>7.8</v>
      </c>
      <c r="AS296" s="1313">
        <v>8.49</v>
      </c>
      <c r="AT296" s="1313">
        <v>9.24</v>
      </c>
      <c r="AU296" s="1313">
        <v>10.07</v>
      </c>
      <c r="AV296" s="1313">
        <v>10.97</v>
      </c>
      <c r="AW296" s="1313">
        <v>11.96</v>
      </c>
      <c r="AX296" s="1313">
        <v>13.14</v>
      </c>
      <c r="AY296" s="1313">
        <v>14.32</v>
      </c>
      <c r="AZ296" s="1313">
        <v>15.48</v>
      </c>
      <c r="BA296" s="1314">
        <v>16.63</v>
      </c>
      <c r="BB296" s="1312">
        <v>17.77</v>
      </c>
      <c r="BC296" s="1313">
        <v>18.899999999999999</v>
      </c>
      <c r="BD296" s="1313">
        <v>20.02</v>
      </c>
      <c r="BE296" s="1313">
        <v>21.12</v>
      </c>
      <c r="BF296" s="1313">
        <v>22.22</v>
      </c>
      <c r="BG296" s="1313">
        <v>23.3</v>
      </c>
      <c r="BH296" s="1313">
        <v>24.38</v>
      </c>
      <c r="BI296" s="1313">
        <v>25.44</v>
      </c>
      <c r="BJ296" s="1313">
        <v>26.5</v>
      </c>
      <c r="BK296" s="1314">
        <v>27.54</v>
      </c>
      <c r="BL296" s="1312">
        <v>28.57</v>
      </c>
      <c r="BM296" s="1313">
        <v>29.59</v>
      </c>
      <c r="BN296" s="1313">
        <v>30.6</v>
      </c>
      <c r="BO296" s="1313">
        <v>31.61</v>
      </c>
      <c r="BP296" s="1313">
        <v>32.6</v>
      </c>
      <c r="BQ296" s="1313">
        <v>33.58</v>
      </c>
      <c r="BR296" s="1313">
        <v>34.549999999999997</v>
      </c>
      <c r="BS296" s="1313">
        <v>35.51</v>
      </c>
      <c r="BT296" s="1313">
        <v>36.47</v>
      </c>
      <c r="BU296" s="1314">
        <v>37.409999999999997</v>
      </c>
      <c r="BV296" s="1312">
        <v>38.35</v>
      </c>
      <c r="BW296" s="1313">
        <v>39.270000000000003</v>
      </c>
      <c r="BX296" s="1313">
        <v>40.19</v>
      </c>
      <c r="BY296" s="1313">
        <v>41.09</v>
      </c>
      <c r="BZ296" s="1313">
        <v>41.99</v>
      </c>
      <c r="CA296" s="1313">
        <v>42.88</v>
      </c>
      <c r="CB296" s="1313">
        <v>43.76</v>
      </c>
      <c r="CC296" s="1313">
        <v>44.63</v>
      </c>
      <c r="CD296" s="1313">
        <v>45.5</v>
      </c>
      <c r="CE296" s="1314">
        <v>46.35</v>
      </c>
      <c r="CF296" s="1313">
        <v>47.2</v>
      </c>
      <c r="CG296" s="1313">
        <v>48.03</v>
      </c>
      <c r="CH296" s="1314">
        <v>48.86</v>
      </c>
    </row>
    <row r="297" spans="1:86" ht="20.149999999999999" customHeight="1">
      <c r="A297" s="1563" t="s">
        <v>1427</v>
      </c>
      <c r="B297" s="1563" t="s">
        <v>14</v>
      </c>
      <c r="C297" s="1563" t="str">
        <f t="shared" si="5"/>
        <v>PBSDDF35</v>
      </c>
      <c r="D297" s="1195">
        <v>35</v>
      </c>
      <c r="E297" s="1542"/>
      <c r="F297" s="1319">
        <v>0.11</v>
      </c>
      <c r="G297" s="1319">
        <v>0.17</v>
      </c>
      <c r="H297" s="1319">
        <v>0.23</v>
      </c>
      <c r="I297" s="1319">
        <v>0.28999999999999998</v>
      </c>
      <c r="J297" s="1319">
        <v>0.36</v>
      </c>
      <c r="K297" s="1319">
        <v>0.43</v>
      </c>
      <c r="L297" s="1319">
        <v>0.5</v>
      </c>
      <c r="M297" s="1320">
        <v>0.57999999999999996</v>
      </c>
      <c r="N297" s="1318">
        <v>0.66</v>
      </c>
      <c r="O297" s="1319">
        <v>0.75</v>
      </c>
      <c r="P297" s="1319">
        <v>0.84</v>
      </c>
      <c r="Q297" s="1319">
        <v>0.93</v>
      </c>
      <c r="R297" s="1319">
        <v>1.03</v>
      </c>
      <c r="S297" s="1319">
        <v>1.1399999999999999</v>
      </c>
      <c r="T297" s="1319">
        <v>1.25</v>
      </c>
      <c r="U297" s="1319">
        <v>1.37</v>
      </c>
      <c r="V297" s="1319">
        <v>1.49</v>
      </c>
      <c r="W297" s="1320">
        <v>1.63</v>
      </c>
      <c r="X297" s="1318">
        <v>1.77</v>
      </c>
      <c r="Y297" s="1319">
        <v>1.92</v>
      </c>
      <c r="Z297" s="1319">
        <v>2.08</v>
      </c>
      <c r="AA297" s="1319">
        <v>2.25</v>
      </c>
      <c r="AB297" s="1319">
        <v>2.4300000000000002</v>
      </c>
      <c r="AC297" s="1319">
        <v>2.63</v>
      </c>
      <c r="AD297" s="1319">
        <v>2.84</v>
      </c>
      <c r="AE297" s="1319">
        <v>3.06</v>
      </c>
      <c r="AF297" s="1319">
        <v>3.31</v>
      </c>
      <c r="AG297" s="1320">
        <v>3.57</v>
      </c>
      <c r="AH297" s="1318">
        <v>3.86</v>
      </c>
      <c r="AI297" s="1319">
        <v>4.17</v>
      </c>
      <c r="AJ297" s="1319">
        <v>4.5</v>
      </c>
      <c r="AK297" s="1319">
        <v>4.87</v>
      </c>
      <c r="AL297" s="1319">
        <v>5.27</v>
      </c>
      <c r="AM297" s="1319">
        <v>5.71</v>
      </c>
      <c r="AN297" s="1319">
        <v>6.19</v>
      </c>
      <c r="AO297" s="1319">
        <v>6.72</v>
      </c>
      <c r="AP297" s="1319">
        <v>7.3</v>
      </c>
      <c r="AQ297" s="1320">
        <v>7.94</v>
      </c>
      <c r="AR297" s="1318">
        <v>8.65</v>
      </c>
      <c r="AS297" s="1319">
        <v>9.42</v>
      </c>
      <c r="AT297" s="1319">
        <v>10.27</v>
      </c>
      <c r="AU297" s="1319">
        <v>11.2</v>
      </c>
      <c r="AV297" s="1319">
        <v>12.2</v>
      </c>
      <c r="AW297" s="1319">
        <v>13.43</v>
      </c>
      <c r="AX297" s="1319">
        <v>14.63</v>
      </c>
      <c r="AY297" s="1319">
        <v>15.83</v>
      </c>
      <c r="AZ297" s="1319">
        <v>17.010000000000002</v>
      </c>
      <c r="BA297" s="1320">
        <v>18.190000000000001</v>
      </c>
      <c r="BB297" s="1318">
        <v>19.350000000000001</v>
      </c>
      <c r="BC297" s="1319">
        <v>20.5</v>
      </c>
      <c r="BD297" s="1319">
        <v>21.64</v>
      </c>
      <c r="BE297" s="1319">
        <v>22.76</v>
      </c>
      <c r="BF297" s="1319">
        <v>23.88</v>
      </c>
      <c r="BG297" s="1319">
        <v>24.98</v>
      </c>
      <c r="BH297" s="1319">
        <v>26.08</v>
      </c>
      <c r="BI297" s="1319">
        <v>27.16</v>
      </c>
      <c r="BJ297" s="1319">
        <v>28.23</v>
      </c>
      <c r="BK297" s="1320">
        <v>29.3</v>
      </c>
      <c r="BL297" s="1318">
        <v>30.35</v>
      </c>
      <c r="BM297" s="1319">
        <v>31.39</v>
      </c>
      <c r="BN297" s="1319">
        <v>32.42</v>
      </c>
      <c r="BO297" s="1319">
        <v>33.44</v>
      </c>
      <c r="BP297" s="1319">
        <v>34.450000000000003</v>
      </c>
      <c r="BQ297" s="1319">
        <v>35.450000000000003</v>
      </c>
      <c r="BR297" s="1319">
        <v>36.44</v>
      </c>
      <c r="BS297" s="1319">
        <v>37.42</v>
      </c>
      <c r="BT297" s="1319">
        <v>38.39</v>
      </c>
      <c r="BU297" s="1320">
        <v>39.35</v>
      </c>
      <c r="BV297" s="1318">
        <v>40.299999999999997</v>
      </c>
      <c r="BW297" s="1319">
        <v>41.24</v>
      </c>
      <c r="BX297" s="1319">
        <v>42.18</v>
      </c>
      <c r="BY297" s="1319">
        <v>43.1</v>
      </c>
      <c r="BZ297" s="1319">
        <v>44.02</v>
      </c>
      <c r="CA297" s="1319">
        <v>44.92</v>
      </c>
      <c r="CB297" s="1319">
        <v>45.82</v>
      </c>
      <c r="CC297" s="1319">
        <v>46.71</v>
      </c>
      <c r="CD297" s="1319">
        <v>47.58</v>
      </c>
      <c r="CE297" s="1320">
        <v>48.45</v>
      </c>
      <c r="CF297" s="1319">
        <v>49.32</v>
      </c>
      <c r="CG297" s="1319">
        <v>50.17</v>
      </c>
      <c r="CH297" s="1320">
        <v>51.01</v>
      </c>
    </row>
    <row r="298" spans="1:86" ht="20.149999999999999" customHeight="1">
      <c r="A298" s="1563" t="s">
        <v>1427</v>
      </c>
      <c r="B298" s="1563" t="s">
        <v>14</v>
      </c>
      <c r="C298" s="1563" t="str">
        <f t="shared" si="5"/>
        <v>PBSDDF36</v>
      </c>
      <c r="D298" s="1193">
        <v>36</v>
      </c>
      <c r="E298" s="1540"/>
      <c r="F298" s="1313">
        <v>0.12</v>
      </c>
      <c r="G298" s="1313">
        <v>0.18</v>
      </c>
      <c r="H298" s="1313">
        <v>0.24</v>
      </c>
      <c r="I298" s="1313">
        <v>0.31</v>
      </c>
      <c r="J298" s="1313">
        <v>0.38</v>
      </c>
      <c r="K298" s="1313">
        <v>0.46</v>
      </c>
      <c r="L298" s="1313">
        <v>0.54</v>
      </c>
      <c r="M298" s="1314">
        <v>0.62</v>
      </c>
      <c r="N298" s="1312">
        <v>0.71</v>
      </c>
      <c r="O298" s="1313">
        <v>0.8</v>
      </c>
      <c r="P298" s="1313">
        <v>0.9</v>
      </c>
      <c r="Q298" s="1313">
        <v>1</v>
      </c>
      <c r="R298" s="1313">
        <v>1.1100000000000001</v>
      </c>
      <c r="S298" s="1313">
        <v>1.23</v>
      </c>
      <c r="T298" s="1313">
        <v>1.35</v>
      </c>
      <c r="U298" s="1313">
        <v>1.48</v>
      </c>
      <c r="V298" s="1313">
        <v>1.61</v>
      </c>
      <c r="W298" s="1314">
        <v>1.76</v>
      </c>
      <c r="X298" s="1312">
        <v>1.91</v>
      </c>
      <c r="Y298" s="1313">
        <v>2.0699999999999998</v>
      </c>
      <c r="Z298" s="1313">
        <v>2.25</v>
      </c>
      <c r="AA298" s="1313">
        <v>2.44</v>
      </c>
      <c r="AB298" s="1313">
        <v>2.64</v>
      </c>
      <c r="AC298" s="1313">
        <v>2.85</v>
      </c>
      <c r="AD298" s="1313">
        <v>3.09</v>
      </c>
      <c r="AE298" s="1313">
        <v>3.34</v>
      </c>
      <c r="AF298" s="1313">
        <v>3.61</v>
      </c>
      <c r="AG298" s="1314">
        <v>3.9</v>
      </c>
      <c r="AH298" s="1312">
        <v>4.22</v>
      </c>
      <c r="AI298" s="1313">
        <v>4.5599999999999996</v>
      </c>
      <c r="AJ298" s="1313">
        <v>4.9400000000000004</v>
      </c>
      <c r="AK298" s="1313">
        <v>5.35</v>
      </c>
      <c r="AL298" s="1313">
        <v>5.8</v>
      </c>
      <c r="AM298" s="1313">
        <v>6.29</v>
      </c>
      <c r="AN298" s="1313">
        <v>6.83</v>
      </c>
      <c r="AO298" s="1313">
        <v>7.43</v>
      </c>
      <c r="AP298" s="1313">
        <v>8.09</v>
      </c>
      <c r="AQ298" s="1314">
        <v>8.82</v>
      </c>
      <c r="AR298" s="1312">
        <v>9.61</v>
      </c>
      <c r="AS298" s="1313">
        <v>10.48</v>
      </c>
      <c r="AT298" s="1313">
        <v>11.43</v>
      </c>
      <c r="AU298" s="1313">
        <v>12.46</v>
      </c>
      <c r="AV298" s="1313">
        <v>13.72</v>
      </c>
      <c r="AW298" s="1313">
        <v>14.96</v>
      </c>
      <c r="AX298" s="1313">
        <v>16.190000000000001</v>
      </c>
      <c r="AY298" s="1313">
        <v>17.41</v>
      </c>
      <c r="AZ298" s="1313">
        <v>18.62</v>
      </c>
      <c r="BA298" s="1314">
        <v>19.809999999999999</v>
      </c>
      <c r="BB298" s="1312">
        <v>21</v>
      </c>
      <c r="BC298" s="1313">
        <v>22.17</v>
      </c>
      <c r="BD298" s="1313">
        <v>23.33</v>
      </c>
      <c r="BE298" s="1313">
        <v>24.48</v>
      </c>
      <c r="BF298" s="1313">
        <v>25.61</v>
      </c>
      <c r="BG298" s="1313">
        <v>26.74</v>
      </c>
      <c r="BH298" s="1313">
        <v>27.86</v>
      </c>
      <c r="BI298" s="1313">
        <v>28.96</v>
      </c>
      <c r="BJ298" s="1313">
        <v>30.05</v>
      </c>
      <c r="BK298" s="1314">
        <v>31.13</v>
      </c>
      <c r="BL298" s="1312">
        <v>32.200000000000003</v>
      </c>
      <c r="BM298" s="1313">
        <v>33.26</v>
      </c>
      <c r="BN298" s="1313">
        <v>34.31</v>
      </c>
      <c r="BO298" s="1313">
        <v>35.35</v>
      </c>
      <c r="BP298" s="1313">
        <v>36.380000000000003</v>
      </c>
      <c r="BQ298" s="1313">
        <v>37.4</v>
      </c>
      <c r="BR298" s="1313">
        <v>38.409999999999997</v>
      </c>
      <c r="BS298" s="1313">
        <v>39.409999999999997</v>
      </c>
      <c r="BT298" s="1313">
        <v>40.4</v>
      </c>
      <c r="BU298" s="1314">
        <v>41.38</v>
      </c>
      <c r="BV298" s="1312">
        <v>42.35</v>
      </c>
      <c r="BW298" s="1313">
        <v>43.31</v>
      </c>
      <c r="BX298" s="1313">
        <v>44.26</v>
      </c>
      <c r="BY298" s="1313">
        <v>45.2</v>
      </c>
      <c r="BZ298" s="1313">
        <v>46.13</v>
      </c>
      <c r="CA298" s="1313">
        <v>47.06</v>
      </c>
      <c r="CB298" s="1313">
        <v>47.97</v>
      </c>
      <c r="CC298" s="1313">
        <v>48.87</v>
      </c>
      <c r="CD298" s="1313">
        <v>49.77</v>
      </c>
      <c r="CE298" s="1314">
        <v>50.66</v>
      </c>
      <c r="CF298" s="1313">
        <v>51.53</v>
      </c>
      <c r="CG298" s="1313">
        <v>52.4</v>
      </c>
      <c r="CH298" s="1314">
        <v>53.26</v>
      </c>
    </row>
    <row r="299" spans="1:86" ht="20.149999999999999" customHeight="1">
      <c r="A299" s="1563" t="s">
        <v>1427</v>
      </c>
      <c r="B299" s="1563" t="s">
        <v>14</v>
      </c>
      <c r="C299" s="1563" t="str">
        <f t="shared" si="5"/>
        <v>PBSDDF37</v>
      </c>
      <c r="D299" s="1193">
        <v>37</v>
      </c>
      <c r="E299" s="1540"/>
      <c r="F299" s="1313">
        <v>0.12</v>
      </c>
      <c r="G299" s="1313">
        <v>0.19</v>
      </c>
      <c r="H299" s="1313">
        <v>0.26</v>
      </c>
      <c r="I299" s="1313">
        <v>0.34</v>
      </c>
      <c r="J299" s="1313">
        <v>0.41</v>
      </c>
      <c r="K299" s="1313">
        <v>0.49</v>
      </c>
      <c r="L299" s="1313">
        <v>0.57999999999999996</v>
      </c>
      <c r="M299" s="1314">
        <v>0.67</v>
      </c>
      <c r="N299" s="1312">
        <v>0.77</v>
      </c>
      <c r="O299" s="1313">
        <v>0.87</v>
      </c>
      <c r="P299" s="1313">
        <v>0.97</v>
      </c>
      <c r="Q299" s="1313">
        <v>1.08</v>
      </c>
      <c r="R299" s="1313">
        <v>1.2</v>
      </c>
      <c r="S299" s="1313">
        <v>1.32</v>
      </c>
      <c r="T299" s="1313">
        <v>1.46</v>
      </c>
      <c r="U299" s="1313">
        <v>1.6</v>
      </c>
      <c r="V299" s="1313">
        <v>1.74</v>
      </c>
      <c r="W299" s="1314">
        <v>1.9</v>
      </c>
      <c r="X299" s="1312">
        <v>2.0699999999999998</v>
      </c>
      <c r="Y299" s="1313">
        <v>2.25</v>
      </c>
      <c r="Z299" s="1313">
        <v>2.44</v>
      </c>
      <c r="AA299" s="1313">
        <v>2.65</v>
      </c>
      <c r="AB299" s="1313">
        <v>2.87</v>
      </c>
      <c r="AC299" s="1313">
        <v>3.11</v>
      </c>
      <c r="AD299" s="1313">
        <v>3.36</v>
      </c>
      <c r="AE299" s="1313">
        <v>3.64</v>
      </c>
      <c r="AF299" s="1313">
        <v>3.94</v>
      </c>
      <c r="AG299" s="1314">
        <v>4.2699999999999996</v>
      </c>
      <c r="AH299" s="1312">
        <v>4.62</v>
      </c>
      <c r="AI299" s="1313">
        <v>5.01</v>
      </c>
      <c r="AJ299" s="1313">
        <v>5.43</v>
      </c>
      <c r="AK299" s="1313">
        <v>5.89</v>
      </c>
      <c r="AL299" s="1313">
        <v>6.4</v>
      </c>
      <c r="AM299" s="1313">
        <v>6.95</v>
      </c>
      <c r="AN299" s="1313">
        <v>7.57</v>
      </c>
      <c r="AO299" s="1313">
        <v>8.24</v>
      </c>
      <c r="AP299" s="1313">
        <v>8.99</v>
      </c>
      <c r="AQ299" s="1314">
        <v>9.8000000000000007</v>
      </c>
      <c r="AR299" s="1312">
        <v>10.69</v>
      </c>
      <c r="AS299" s="1313">
        <v>11.67</v>
      </c>
      <c r="AT299" s="1313">
        <v>12.73</v>
      </c>
      <c r="AU299" s="1313">
        <v>14.02</v>
      </c>
      <c r="AV299" s="1313">
        <v>15.3</v>
      </c>
      <c r="AW299" s="1313">
        <v>16.57</v>
      </c>
      <c r="AX299" s="1313">
        <v>17.829999999999998</v>
      </c>
      <c r="AY299" s="1313">
        <v>19.07</v>
      </c>
      <c r="AZ299" s="1313">
        <v>20.3</v>
      </c>
      <c r="BA299" s="1314">
        <v>21.52</v>
      </c>
      <c r="BB299" s="1312">
        <v>22.72</v>
      </c>
      <c r="BC299" s="1313">
        <v>23.92</v>
      </c>
      <c r="BD299" s="1313">
        <v>25.1</v>
      </c>
      <c r="BE299" s="1313">
        <v>26.27</v>
      </c>
      <c r="BF299" s="1313">
        <v>27.43</v>
      </c>
      <c r="BG299" s="1313">
        <v>28.58</v>
      </c>
      <c r="BH299" s="1313">
        <v>29.71</v>
      </c>
      <c r="BI299" s="1313">
        <v>30.84</v>
      </c>
      <c r="BJ299" s="1313">
        <v>31.95</v>
      </c>
      <c r="BK299" s="1314">
        <v>33.06</v>
      </c>
      <c r="BL299" s="1312">
        <v>34.15</v>
      </c>
      <c r="BM299" s="1313">
        <v>35.229999999999997</v>
      </c>
      <c r="BN299" s="1313">
        <v>36.299999999999997</v>
      </c>
      <c r="BO299" s="1313">
        <v>37.36</v>
      </c>
      <c r="BP299" s="1313">
        <v>38.409999999999997</v>
      </c>
      <c r="BQ299" s="1313">
        <v>39.450000000000003</v>
      </c>
      <c r="BR299" s="1313">
        <v>40.479999999999997</v>
      </c>
      <c r="BS299" s="1313">
        <v>41.5</v>
      </c>
      <c r="BT299" s="1313">
        <v>42.5</v>
      </c>
      <c r="BU299" s="1314">
        <v>43.5</v>
      </c>
      <c r="BV299" s="1312">
        <v>44.49</v>
      </c>
      <c r="BW299" s="1313">
        <v>45.47</v>
      </c>
      <c r="BX299" s="1313">
        <v>46.44</v>
      </c>
      <c r="BY299" s="1313">
        <v>47.4</v>
      </c>
      <c r="BZ299" s="1313">
        <v>48.35</v>
      </c>
      <c r="CA299" s="1313">
        <v>49.29</v>
      </c>
      <c r="CB299" s="1313">
        <v>50.22</v>
      </c>
      <c r="CC299" s="1313">
        <v>51.14</v>
      </c>
      <c r="CD299" s="1313">
        <v>52.05</v>
      </c>
      <c r="CE299" s="1314">
        <v>52.96</v>
      </c>
      <c r="CF299" s="1313">
        <v>53.85</v>
      </c>
      <c r="CG299" s="1313">
        <v>54.74</v>
      </c>
      <c r="CH299" s="1314">
        <v>55.62</v>
      </c>
    </row>
    <row r="300" spans="1:86" ht="20.149999999999999" customHeight="1">
      <c r="A300" s="1563" t="s">
        <v>1427</v>
      </c>
      <c r="B300" s="1563" t="s">
        <v>14</v>
      </c>
      <c r="C300" s="1563" t="str">
        <f t="shared" si="5"/>
        <v>PBSDDF38</v>
      </c>
      <c r="D300" s="1193">
        <v>38</v>
      </c>
      <c r="E300" s="1540"/>
      <c r="F300" s="1313">
        <v>0.13</v>
      </c>
      <c r="G300" s="1313">
        <v>0.21</v>
      </c>
      <c r="H300" s="1313">
        <v>0.28000000000000003</v>
      </c>
      <c r="I300" s="1313">
        <v>0.36</v>
      </c>
      <c r="J300" s="1313">
        <v>0.44</v>
      </c>
      <c r="K300" s="1313">
        <v>0.53</v>
      </c>
      <c r="L300" s="1313">
        <v>0.63</v>
      </c>
      <c r="M300" s="1314">
        <v>0.72</v>
      </c>
      <c r="N300" s="1312">
        <v>0.83</v>
      </c>
      <c r="O300" s="1313">
        <v>0.93</v>
      </c>
      <c r="P300" s="1313">
        <v>1.05</v>
      </c>
      <c r="Q300" s="1313">
        <v>1.17</v>
      </c>
      <c r="R300" s="1313">
        <v>1.3</v>
      </c>
      <c r="S300" s="1313">
        <v>1.43</v>
      </c>
      <c r="T300" s="1313">
        <v>1.57</v>
      </c>
      <c r="U300" s="1313">
        <v>1.73</v>
      </c>
      <c r="V300" s="1313">
        <v>1.89</v>
      </c>
      <c r="W300" s="1314">
        <v>2.06</v>
      </c>
      <c r="X300" s="1312">
        <v>2.2400000000000002</v>
      </c>
      <c r="Y300" s="1313">
        <v>2.44</v>
      </c>
      <c r="Z300" s="1313">
        <v>2.65</v>
      </c>
      <c r="AA300" s="1313">
        <v>2.88</v>
      </c>
      <c r="AB300" s="1313">
        <v>3.13</v>
      </c>
      <c r="AC300" s="1313">
        <v>3.39</v>
      </c>
      <c r="AD300" s="1313">
        <v>3.67</v>
      </c>
      <c r="AE300" s="1313">
        <v>3.98</v>
      </c>
      <c r="AF300" s="1313">
        <v>4.32</v>
      </c>
      <c r="AG300" s="1314">
        <v>4.68</v>
      </c>
      <c r="AH300" s="1312">
        <v>5.07</v>
      </c>
      <c r="AI300" s="1313">
        <v>5.51</v>
      </c>
      <c r="AJ300" s="1313">
        <v>5.98</v>
      </c>
      <c r="AK300" s="1313">
        <v>6.5</v>
      </c>
      <c r="AL300" s="1313">
        <v>7.07</v>
      </c>
      <c r="AM300" s="1313">
        <v>7.7</v>
      </c>
      <c r="AN300" s="1313">
        <v>8.4</v>
      </c>
      <c r="AO300" s="1313">
        <v>9.16</v>
      </c>
      <c r="AP300" s="1313">
        <v>10</v>
      </c>
      <c r="AQ300" s="1314">
        <v>10.91</v>
      </c>
      <c r="AR300" s="1312">
        <v>11.92</v>
      </c>
      <c r="AS300" s="1313">
        <v>13</v>
      </c>
      <c r="AT300" s="1313">
        <v>14.34</v>
      </c>
      <c r="AU300" s="1313">
        <v>15.66</v>
      </c>
      <c r="AV300" s="1313">
        <v>16.96</v>
      </c>
      <c r="AW300" s="1313">
        <v>18.260000000000002</v>
      </c>
      <c r="AX300" s="1313">
        <v>19.54</v>
      </c>
      <c r="AY300" s="1313">
        <v>20.8</v>
      </c>
      <c r="AZ300" s="1313">
        <v>22.06</v>
      </c>
      <c r="BA300" s="1314">
        <v>23.3</v>
      </c>
      <c r="BB300" s="1312">
        <v>24.53</v>
      </c>
      <c r="BC300" s="1313">
        <v>25.75</v>
      </c>
      <c r="BD300" s="1313">
        <v>26.96</v>
      </c>
      <c r="BE300" s="1313">
        <v>28.15</v>
      </c>
      <c r="BF300" s="1313">
        <v>29.33</v>
      </c>
      <c r="BG300" s="1313">
        <v>30.5</v>
      </c>
      <c r="BH300" s="1313">
        <v>31.66</v>
      </c>
      <c r="BI300" s="1313">
        <v>32.81</v>
      </c>
      <c r="BJ300" s="1313">
        <v>33.950000000000003</v>
      </c>
      <c r="BK300" s="1314">
        <v>35.07</v>
      </c>
      <c r="BL300" s="1312">
        <v>36.18</v>
      </c>
      <c r="BM300" s="1313">
        <v>37.29</v>
      </c>
      <c r="BN300" s="1313">
        <v>38.380000000000003</v>
      </c>
      <c r="BO300" s="1313">
        <v>39.46</v>
      </c>
      <c r="BP300" s="1313">
        <v>40.53</v>
      </c>
      <c r="BQ300" s="1313">
        <v>41.59</v>
      </c>
      <c r="BR300" s="1313">
        <v>42.64</v>
      </c>
      <c r="BS300" s="1313">
        <v>43.68</v>
      </c>
      <c r="BT300" s="1313">
        <v>44.71</v>
      </c>
      <c r="BU300" s="1314">
        <v>45.72</v>
      </c>
      <c r="BV300" s="1312">
        <v>46.73</v>
      </c>
      <c r="BW300" s="1313">
        <v>47.73</v>
      </c>
      <c r="BX300" s="1313">
        <v>48.72</v>
      </c>
      <c r="BY300" s="1313">
        <v>49.7</v>
      </c>
      <c r="BZ300" s="1313">
        <v>50.67</v>
      </c>
      <c r="CA300" s="1313">
        <v>51.63</v>
      </c>
      <c r="CB300" s="1313">
        <v>52.58</v>
      </c>
      <c r="CC300" s="1313">
        <v>53.52</v>
      </c>
      <c r="CD300" s="1313">
        <v>54.45</v>
      </c>
      <c r="CE300" s="1314">
        <v>55.37</v>
      </c>
      <c r="CF300" s="1313">
        <v>56.28</v>
      </c>
      <c r="CG300" s="1313">
        <v>57.19</v>
      </c>
      <c r="CH300" s="1314">
        <v>58.08</v>
      </c>
    </row>
    <row r="301" spans="1:86" ht="20.149999999999999" customHeight="1">
      <c r="A301" s="1563" t="s">
        <v>1427</v>
      </c>
      <c r="B301" s="1563" t="s">
        <v>14</v>
      </c>
      <c r="C301" s="1563" t="str">
        <f t="shared" si="5"/>
        <v>PBSDDF39</v>
      </c>
      <c r="D301" s="1193">
        <v>39</v>
      </c>
      <c r="E301" s="1540"/>
      <c r="F301" s="1313">
        <v>0.14000000000000001</v>
      </c>
      <c r="G301" s="1313">
        <v>0.22</v>
      </c>
      <c r="H301" s="1313">
        <v>0.3</v>
      </c>
      <c r="I301" s="1313">
        <v>0.39</v>
      </c>
      <c r="J301" s="1313">
        <v>0.48</v>
      </c>
      <c r="K301" s="1313">
        <v>0.57999999999999996</v>
      </c>
      <c r="L301" s="1313">
        <v>0.68</v>
      </c>
      <c r="M301" s="1314">
        <v>0.78</v>
      </c>
      <c r="N301" s="1312">
        <v>0.89</v>
      </c>
      <c r="O301" s="1313">
        <v>1.01</v>
      </c>
      <c r="P301" s="1313">
        <v>1.1299999999999999</v>
      </c>
      <c r="Q301" s="1313">
        <v>1.26</v>
      </c>
      <c r="R301" s="1313">
        <v>1.4</v>
      </c>
      <c r="S301" s="1313">
        <v>1.55</v>
      </c>
      <c r="T301" s="1313">
        <v>1.71</v>
      </c>
      <c r="U301" s="1313">
        <v>1.87</v>
      </c>
      <c r="V301" s="1313">
        <v>2.0499999999999998</v>
      </c>
      <c r="W301" s="1314">
        <v>2.2400000000000002</v>
      </c>
      <c r="X301" s="1312">
        <v>2.44</v>
      </c>
      <c r="Y301" s="1313">
        <v>2.66</v>
      </c>
      <c r="Z301" s="1313">
        <v>2.89</v>
      </c>
      <c r="AA301" s="1313">
        <v>3.14</v>
      </c>
      <c r="AB301" s="1313">
        <v>3.41</v>
      </c>
      <c r="AC301" s="1313">
        <v>3.7</v>
      </c>
      <c r="AD301" s="1313">
        <v>4.0199999999999996</v>
      </c>
      <c r="AE301" s="1313">
        <v>4.3600000000000003</v>
      </c>
      <c r="AF301" s="1313">
        <v>4.74</v>
      </c>
      <c r="AG301" s="1314">
        <v>5.14</v>
      </c>
      <c r="AH301" s="1312">
        <v>5.59</v>
      </c>
      <c r="AI301" s="1313">
        <v>6.07</v>
      </c>
      <c r="AJ301" s="1313">
        <v>6.61</v>
      </c>
      <c r="AK301" s="1313">
        <v>7.19</v>
      </c>
      <c r="AL301" s="1313">
        <v>7.84</v>
      </c>
      <c r="AM301" s="1313">
        <v>8.5500000000000007</v>
      </c>
      <c r="AN301" s="1313">
        <v>9.34</v>
      </c>
      <c r="AO301" s="1313">
        <v>10.199999999999999</v>
      </c>
      <c r="AP301" s="1313">
        <v>11.14</v>
      </c>
      <c r="AQ301" s="1314">
        <v>12.17</v>
      </c>
      <c r="AR301" s="1312">
        <v>13.29</v>
      </c>
      <c r="AS301" s="1313">
        <v>14.66</v>
      </c>
      <c r="AT301" s="1313">
        <v>16.02</v>
      </c>
      <c r="AU301" s="1313">
        <v>17.37</v>
      </c>
      <c r="AV301" s="1313">
        <v>18.7</v>
      </c>
      <c r="AW301" s="1313">
        <v>20.02</v>
      </c>
      <c r="AX301" s="1313">
        <v>21.33</v>
      </c>
      <c r="AY301" s="1313">
        <v>22.62</v>
      </c>
      <c r="AZ301" s="1313">
        <v>23.9</v>
      </c>
      <c r="BA301" s="1314">
        <v>25.17</v>
      </c>
      <c r="BB301" s="1312">
        <v>26.42</v>
      </c>
      <c r="BC301" s="1313">
        <v>27.67</v>
      </c>
      <c r="BD301" s="1313">
        <v>28.9</v>
      </c>
      <c r="BE301" s="1313">
        <v>30.12</v>
      </c>
      <c r="BF301" s="1313">
        <v>31.32</v>
      </c>
      <c r="BG301" s="1313">
        <v>32.520000000000003</v>
      </c>
      <c r="BH301" s="1313">
        <v>33.700000000000003</v>
      </c>
      <c r="BI301" s="1313">
        <v>34.869999999999997</v>
      </c>
      <c r="BJ301" s="1313">
        <v>36.03</v>
      </c>
      <c r="BK301" s="1314">
        <v>37.18</v>
      </c>
      <c r="BL301" s="1312">
        <v>38.32</v>
      </c>
      <c r="BM301" s="1313">
        <v>39.44</v>
      </c>
      <c r="BN301" s="1313">
        <v>40.56</v>
      </c>
      <c r="BO301" s="1313">
        <v>41.66</v>
      </c>
      <c r="BP301" s="1313">
        <v>42.75</v>
      </c>
      <c r="BQ301" s="1313">
        <v>43.83</v>
      </c>
      <c r="BR301" s="1313">
        <v>44.9</v>
      </c>
      <c r="BS301" s="1313">
        <v>45.96</v>
      </c>
      <c r="BT301" s="1313">
        <v>47.01</v>
      </c>
      <c r="BU301" s="1314">
        <v>48.05</v>
      </c>
      <c r="BV301" s="1312">
        <v>49.08</v>
      </c>
      <c r="BW301" s="1313">
        <v>50.1</v>
      </c>
      <c r="BX301" s="1313">
        <v>51.11</v>
      </c>
      <c r="BY301" s="1313">
        <v>52.11</v>
      </c>
      <c r="BZ301" s="1313">
        <v>53.1</v>
      </c>
      <c r="CA301" s="1313">
        <v>54.08</v>
      </c>
      <c r="CB301" s="1313">
        <v>55.05</v>
      </c>
      <c r="CC301" s="1313">
        <v>56.01</v>
      </c>
      <c r="CD301" s="1313">
        <v>56.96</v>
      </c>
      <c r="CE301" s="1314">
        <v>57.9</v>
      </c>
      <c r="CF301" s="1313">
        <v>58.83</v>
      </c>
      <c r="CG301" s="1313">
        <v>59.75</v>
      </c>
      <c r="CH301" s="1314">
        <v>60.66</v>
      </c>
    </row>
    <row r="302" spans="1:86" ht="20.149999999999999" customHeight="1">
      <c r="A302" s="1563" t="s">
        <v>1427</v>
      </c>
      <c r="B302" s="1563" t="s">
        <v>14</v>
      </c>
      <c r="C302" s="1563" t="str">
        <f t="shared" si="5"/>
        <v>PBSDDF40</v>
      </c>
      <c r="D302" s="1193">
        <v>40</v>
      </c>
      <c r="E302" s="1540"/>
      <c r="F302" s="1313">
        <v>0.16</v>
      </c>
      <c r="G302" s="1313">
        <v>0.24</v>
      </c>
      <c r="H302" s="1313">
        <v>0.33</v>
      </c>
      <c r="I302" s="1313">
        <v>0.42</v>
      </c>
      <c r="J302" s="1313">
        <v>0.52</v>
      </c>
      <c r="K302" s="1313">
        <v>0.62</v>
      </c>
      <c r="L302" s="1313">
        <v>0.73</v>
      </c>
      <c r="M302" s="1314">
        <v>0.84</v>
      </c>
      <c r="N302" s="1312">
        <v>0.97</v>
      </c>
      <c r="O302" s="1313">
        <v>1.0900000000000001</v>
      </c>
      <c r="P302" s="1313">
        <v>1.23</v>
      </c>
      <c r="Q302" s="1313">
        <v>1.37</v>
      </c>
      <c r="R302" s="1313">
        <v>1.52</v>
      </c>
      <c r="S302" s="1313">
        <v>1.68</v>
      </c>
      <c r="T302" s="1313">
        <v>1.85</v>
      </c>
      <c r="U302" s="1313">
        <v>2.0299999999999998</v>
      </c>
      <c r="V302" s="1313">
        <v>2.23</v>
      </c>
      <c r="W302" s="1314">
        <v>2.4300000000000002</v>
      </c>
      <c r="X302" s="1312">
        <v>2.66</v>
      </c>
      <c r="Y302" s="1313">
        <v>2.9</v>
      </c>
      <c r="Z302" s="1313">
        <v>3.15</v>
      </c>
      <c r="AA302" s="1313">
        <v>3.43</v>
      </c>
      <c r="AB302" s="1313">
        <v>3.73</v>
      </c>
      <c r="AC302" s="1313">
        <v>4.0599999999999996</v>
      </c>
      <c r="AD302" s="1313">
        <v>4.41</v>
      </c>
      <c r="AE302" s="1313">
        <v>4.79</v>
      </c>
      <c r="AF302" s="1313">
        <v>5.21</v>
      </c>
      <c r="AG302" s="1314">
        <v>5.66</v>
      </c>
      <c r="AH302" s="1312">
        <v>6.16</v>
      </c>
      <c r="AI302" s="1313">
        <v>6.71</v>
      </c>
      <c r="AJ302" s="1313">
        <v>7.32</v>
      </c>
      <c r="AK302" s="1313">
        <v>7.98</v>
      </c>
      <c r="AL302" s="1313">
        <v>8.7100000000000009</v>
      </c>
      <c r="AM302" s="1313">
        <v>9.52</v>
      </c>
      <c r="AN302" s="1313">
        <v>10.4</v>
      </c>
      <c r="AO302" s="1313">
        <v>11.37</v>
      </c>
      <c r="AP302" s="1313">
        <v>12.43</v>
      </c>
      <c r="AQ302" s="1314">
        <v>13.58</v>
      </c>
      <c r="AR302" s="1312">
        <v>14.99</v>
      </c>
      <c r="AS302" s="1313">
        <v>16.399999999999999</v>
      </c>
      <c r="AT302" s="1313">
        <v>17.78</v>
      </c>
      <c r="AU302" s="1313">
        <v>19.16</v>
      </c>
      <c r="AV302" s="1313">
        <v>20.52</v>
      </c>
      <c r="AW302" s="1313">
        <v>21.87</v>
      </c>
      <c r="AX302" s="1313">
        <v>23.2</v>
      </c>
      <c r="AY302" s="1313">
        <v>24.52</v>
      </c>
      <c r="AZ302" s="1313">
        <v>25.83</v>
      </c>
      <c r="BA302" s="1314">
        <v>27.13</v>
      </c>
      <c r="BB302" s="1312">
        <v>28.41</v>
      </c>
      <c r="BC302" s="1313">
        <v>29.68</v>
      </c>
      <c r="BD302" s="1313">
        <v>30.93</v>
      </c>
      <c r="BE302" s="1313">
        <v>32.18</v>
      </c>
      <c r="BF302" s="1313">
        <v>33.409999999999997</v>
      </c>
      <c r="BG302" s="1313">
        <v>34.630000000000003</v>
      </c>
      <c r="BH302" s="1313">
        <v>35.840000000000003</v>
      </c>
      <c r="BI302" s="1313">
        <v>37.03</v>
      </c>
      <c r="BJ302" s="1313">
        <v>38.22</v>
      </c>
      <c r="BK302" s="1314">
        <v>39.39</v>
      </c>
      <c r="BL302" s="1312">
        <v>40.549999999999997</v>
      </c>
      <c r="BM302" s="1313">
        <v>41.7</v>
      </c>
      <c r="BN302" s="1313">
        <v>42.84</v>
      </c>
      <c r="BO302" s="1313">
        <v>43.96</v>
      </c>
      <c r="BP302" s="1313">
        <v>45.08</v>
      </c>
      <c r="BQ302" s="1313">
        <v>46.18</v>
      </c>
      <c r="BR302" s="1313">
        <v>47.28</v>
      </c>
      <c r="BS302" s="1313">
        <v>48.36</v>
      </c>
      <c r="BT302" s="1313">
        <v>49.43</v>
      </c>
      <c r="BU302" s="1314">
        <v>50.49</v>
      </c>
      <c r="BV302" s="1312">
        <v>51.54</v>
      </c>
      <c r="BW302" s="1313">
        <v>52.58</v>
      </c>
      <c r="BX302" s="1313">
        <v>53.61</v>
      </c>
      <c r="BY302" s="1313">
        <v>54.63</v>
      </c>
      <c r="BZ302" s="1313">
        <v>55.64</v>
      </c>
      <c r="CA302" s="1313">
        <v>56.64</v>
      </c>
      <c r="CB302" s="1313">
        <v>57.63</v>
      </c>
      <c r="CC302" s="1313">
        <v>58.61</v>
      </c>
      <c r="CD302" s="1313">
        <v>59.58</v>
      </c>
      <c r="CE302" s="1314">
        <v>60.55</v>
      </c>
      <c r="CF302" s="1313">
        <v>61.5</v>
      </c>
      <c r="CG302" s="1313">
        <v>62.44</v>
      </c>
      <c r="CH302" s="1314">
        <v>63.37</v>
      </c>
    </row>
    <row r="303" spans="1:86" ht="20.149999999999999" customHeight="1">
      <c r="A303" s="1563" t="s">
        <v>1427</v>
      </c>
      <c r="B303" s="1563" t="s">
        <v>14</v>
      </c>
      <c r="C303" s="1563" t="str">
        <f t="shared" si="5"/>
        <v>PBSDDF41</v>
      </c>
      <c r="D303" s="1194">
        <v>41</v>
      </c>
      <c r="E303" s="1541"/>
      <c r="F303" s="1316">
        <v>0.17</v>
      </c>
      <c r="G303" s="1316">
        <v>0.26</v>
      </c>
      <c r="H303" s="1316">
        <v>0.35</v>
      </c>
      <c r="I303" s="1316">
        <v>0.46</v>
      </c>
      <c r="J303" s="1316">
        <v>0.56000000000000005</v>
      </c>
      <c r="K303" s="1316">
        <v>0.67</v>
      </c>
      <c r="L303" s="1316">
        <v>0.79</v>
      </c>
      <c r="M303" s="1317">
        <v>0.91</v>
      </c>
      <c r="N303" s="1315">
        <v>1.05</v>
      </c>
      <c r="O303" s="1316">
        <v>1.18</v>
      </c>
      <c r="P303" s="1316">
        <v>1.33</v>
      </c>
      <c r="Q303" s="1316">
        <v>1.48</v>
      </c>
      <c r="R303" s="1316">
        <v>1.65</v>
      </c>
      <c r="S303" s="1316">
        <v>1.82</v>
      </c>
      <c r="T303" s="1316">
        <v>2.0099999999999998</v>
      </c>
      <c r="U303" s="1316">
        <v>2.21</v>
      </c>
      <c r="V303" s="1316">
        <v>2.42</v>
      </c>
      <c r="W303" s="1317">
        <v>2.65</v>
      </c>
      <c r="X303" s="1315">
        <v>2.9</v>
      </c>
      <c r="Y303" s="1316">
        <v>3.16</v>
      </c>
      <c r="Z303" s="1316">
        <v>3.45</v>
      </c>
      <c r="AA303" s="1316">
        <v>3.76</v>
      </c>
      <c r="AB303" s="1316">
        <v>4.09</v>
      </c>
      <c r="AC303" s="1316">
        <v>4.45</v>
      </c>
      <c r="AD303" s="1316">
        <v>4.84</v>
      </c>
      <c r="AE303" s="1316">
        <v>5.27</v>
      </c>
      <c r="AF303" s="1316">
        <v>5.74</v>
      </c>
      <c r="AG303" s="1317">
        <v>6.25</v>
      </c>
      <c r="AH303" s="1315">
        <v>6.82</v>
      </c>
      <c r="AI303" s="1316">
        <v>7.44</v>
      </c>
      <c r="AJ303" s="1316">
        <v>8.1199999999999992</v>
      </c>
      <c r="AK303" s="1316">
        <v>8.8699999999999992</v>
      </c>
      <c r="AL303" s="1316">
        <v>9.6999999999999993</v>
      </c>
      <c r="AM303" s="1316">
        <v>10.61</v>
      </c>
      <c r="AN303" s="1316">
        <v>11.61</v>
      </c>
      <c r="AO303" s="1316">
        <v>12.69</v>
      </c>
      <c r="AP303" s="1316">
        <v>13.88</v>
      </c>
      <c r="AQ303" s="1317">
        <v>15.34</v>
      </c>
      <c r="AR303" s="1315">
        <v>16.78</v>
      </c>
      <c r="AS303" s="1316">
        <v>18.22</v>
      </c>
      <c r="AT303" s="1316">
        <v>19.64</v>
      </c>
      <c r="AU303" s="1316">
        <v>21.04</v>
      </c>
      <c r="AV303" s="1316">
        <v>22.43</v>
      </c>
      <c r="AW303" s="1316">
        <v>23.81</v>
      </c>
      <c r="AX303" s="1316">
        <v>25.17</v>
      </c>
      <c r="AY303" s="1316">
        <v>26.52</v>
      </c>
      <c r="AZ303" s="1316">
        <v>27.86</v>
      </c>
      <c r="BA303" s="1317">
        <v>29.18</v>
      </c>
      <c r="BB303" s="1315">
        <v>30.49</v>
      </c>
      <c r="BC303" s="1316">
        <v>31.79</v>
      </c>
      <c r="BD303" s="1316">
        <v>33.07</v>
      </c>
      <c r="BE303" s="1316">
        <v>34.340000000000003</v>
      </c>
      <c r="BF303" s="1316">
        <v>35.6</v>
      </c>
      <c r="BG303" s="1316">
        <v>36.85</v>
      </c>
      <c r="BH303" s="1316">
        <v>38.08</v>
      </c>
      <c r="BI303" s="1316">
        <v>39.299999999999997</v>
      </c>
      <c r="BJ303" s="1316">
        <v>40.51</v>
      </c>
      <c r="BK303" s="1317">
        <v>41.71</v>
      </c>
      <c r="BL303" s="1315">
        <v>42.9</v>
      </c>
      <c r="BM303" s="1316">
        <v>44.07</v>
      </c>
      <c r="BN303" s="1316">
        <v>45.23</v>
      </c>
      <c r="BO303" s="1316">
        <v>46.38</v>
      </c>
      <c r="BP303" s="1316">
        <v>47.52</v>
      </c>
      <c r="BQ303" s="1316">
        <v>48.65</v>
      </c>
      <c r="BR303" s="1316">
        <v>49.77</v>
      </c>
      <c r="BS303" s="1316">
        <v>50.87</v>
      </c>
      <c r="BT303" s="1316">
        <v>51.97</v>
      </c>
      <c r="BU303" s="1317">
        <v>53.05</v>
      </c>
      <c r="BV303" s="1315">
        <v>54.13</v>
      </c>
      <c r="BW303" s="1316">
        <v>55.19</v>
      </c>
      <c r="BX303" s="1316">
        <v>56.24</v>
      </c>
      <c r="BY303" s="1316">
        <v>57.28</v>
      </c>
      <c r="BZ303" s="1316">
        <v>58.32</v>
      </c>
      <c r="CA303" s="1316">
        <v>59.34</v>
      </c>
      <c r="CB303" s="1316">
        <v>60.35</v>
      </c>
      <c r="CC303" s="1316">
        <v>61.35</v>
      </c>
      <c r="CD303" s="1316">
        <v>62.34</v>
      </c>
      <c r="CE303" s="1317">
        <v>63.32</v>
      </c>
      <c r="CF303" s="1316">
        <v>64.3</v>
      </c>
      <c r="CG303" s="1316">
        <v>65.260000000000005</v>
      </c>
      <c r="CH303" s="1317">
        <v>66.209999999999994</v>
      </c>
    </row>
    <row r="304" spans="1:86" ht="20.149999999999999" customHeight="1">
      <c r="A304" s="1563" t="s">
        <v>1427</v>
      </c>
      <c r="B304" s="1563" t="s">
        <v>14</v>
      </c>
      <c r="C304" s="1563" t="str">
        <f t="shared" si="5"/>
        <v>PBSDDF42</v>
      </c>
      <c r="D304" s="1193">
        <v>42</v>
      </c>
      <c r="E304" s="1540"/>
      <c r="F304" s="1313">
        <v>0.18</v>
      </c>
      <c r="G304" s="1313">
        <v>0.28000000000000003</v>
      </c>
      <c r="H304" s="1313">
        <v>0.38</v>
      </c>
      <c r="I304" s="1313">
        <v>0.49</v>
      </c>
      <c r="J304" s="1313">
        <v>0.61</v>
      </c>
      <c r="K304" s="1313">
        <v>0.73</v>
      </c>
      <c r="L304" s="1313">
        <v>0.86</v>
      </c>
      <c r="M304" s="1314">
        <v>0.99</v>
      </c>
      <c r="N304" s="1312">
        <v>1.1299999999999999</v>
      </c>
      <c r="O304" s="1313">
        <v>1.28</v>
      </c>
      <c r="P304" s="1313">
        <v>1.44</v>
      </c>
      <c r="Q304" s="1313">
        <v>1.61</v>
      </c>
      <c r="R304" s="1313">
        <v>1.79</v>
      </c>
      <c r="S304" s="1313">
        <v>1.98</v>
      </c>
      <c r="T304" s="1313">
        <v>2.19</v>
      </c>
      <c r="U304" s="1313">
        <v>2.4</v>
      </c>
      <c r="V304" s="1313">
        <v>2.64</v>
      </c>
      <c r="W304" s="1314">
        <v>2.89</v>
      </c>
      <c r="X304" s="1312">
        <v>3.16</v>
      </c>
      <c r="Y304" s="1313">
        <v>3.46</v>
      </c>
      <c r="Z304" s="1313">
        <v>3.77</v>
      </c>
      <c r="AA304" s="1313">
        <v>4.12</v>
      </c>
      <c r="AB304" s="1313">
        <v>4.49</v>
      </c>
      <c r="AC304" s="1313">
        <v>4.8899999999999997</v>
      </c>
      <c r="AD304" s="1313">
        <v>5.33</v>
      </c>
      <c r="AE304" s="1313">
        <v>5.81</v>
      </c>
      <c r="AF304" s="1313">
        <v>6.34</v>
      </c>
      <c r="AG304" s="1314">
        <v>6.92</v>
      </c>
      <c r="AH304" s="1312">
        <v>7.56</v>
      </c>
      <c r="AI304" s="1313">
        <v>8.26</v>
      </c>
      <c r="AJ304" s="1313">
        <v>9.0399999999999991</v>
      </c>
      <c r="AK304" s="1313">
        <v>9.89</v>
      </c>
      <c r="AL304" s="1313">
        <v>10.82</v>
      </c>
      <c r="AM304" s="1313">
        <v>11.85</v>
      </c>
      <c r="AN304" s="1313">
        <v>12.97</v>
      </c>
      <c r="AO304" s="1313">
        <v>14.18</v>
      </c>
      <c r="AP304" s="1313">
        <v>15.69</v>
      </c>
      <c r="AQ304" s="1314">
        <v>17.18</v>
      </c>
      <c r="AR304" s="1312">
        <v>18.66</v>
      </c>
      <c r="AS304" s="1313">
        <v>20.13</v>
      </c>
      <c r="AT304" s="1313">
        <v>21.58</v>
      </c>
      <c r="AU304" s="1313">
        <v>23.01</v>
      </c>
      <c r="AV304" s="1313">
        <v>24.44</v>
      </c>
      <c r="AW304" s="1313">
        <v>25.84</v>
      </c>
      <c r="AX304" s="1313">
        <v>27.24</v>
      </c>
      <c r="AY304" s="1313">
        <v>28.62</v>
      </c>
      <c r="AZ304" s="1313">
        <v>29.98</v>
      </c>
      <c r="BA304" s="1314">
        <v>31.34</v>
      </c>
      <c r="BB304" s="1312">
        <v>32.67</v>
      </c>
      <c r="BC304" s="1313">
        <v>34</v>
      </c>
      <c r="BD304" s="1313">
        <v>35.31</v>
      </c>
      <c r="BE304" s="1313">
        <v>36.61</v>
      </c>
      <c r="BF304" s="1313">
        <v>37.9</v>
      </c>
      <c r="BG304" s="1313">
        <v>39.17</v>
      </c>
      <c r="BH304" s="1313">
        <v>40.44</v>
      </c>
      <c r="BI304" s="1313">
        <v>41.68</v>
      </c>
      <c r="BJ304" s="1313">
        <v>42.92</v>
      </c>
      <c r="BK304" s="1314">
        <v>44.15</v>
      </c>
      <c r="BL304" s="1312">
        <v>45.36</v>
      </c>
      <c r="BM304" s="1313">
        <v>46.56</v>
      </c>
      <c r="BN304" s="1313">
        <v>47.75</v>
      </c>
      <c r="BO304" s="1313">
        <v>48.92</v>
      </c>
      <c r="BP304" s="1313">
        <v>50.09</v>
      </c>
      <c r="BQ304" s="1313">
        <v>51.24</v>
      </c>
      <c r="BR304" s="1313">
        <v>52.38</v>
      </c>
      <c r="BS304" s="1313">
        <v>53.51</v>
      </c>
      <c r="BT304" s="1313">
        <v>54.63</v>
      </c>
      <c r="BU304" s="1314">
        <v>55.74</v>
      </c>
      <c r="BV304" s="1312">
        <v>56.84</v>
      </c>
      <c r="BW304" s="1313">
        <v>57.93</v>
      </c>
      <c r="BX304" s="1313">
        <v>59</v>
      </c>
      <c r="BY304" s="1313">
        <v>60.07</v>
      </c>
      <c r="BZ304" s="1313">
        <v>61.12</v>
      </c>
      <c r="CA304" s="1313">
        <v>62.17</v>
      </c>
      <c r="CB304" s="1313">
        <v>63.2</v>
      </c>
      <c r="CC304" s="1313">
        <v>64.22</v>
      </c>
      <c r="CD304" s="1313">
        <v>65.239999999999995</v>
      </c>
      <c r="CE304" s="1314">
        <v>66.239999999999995</v>
      </c>
      <c r="CF304" s="1313">
        <v>67.23</v>
      </c>
      <c r="CG304" s="1313">
        <v>68.22</v>
      </c>
      <c r="CH304" s="1314">
        <v>69.19</v>
      </c>
    </row>
    <row r="305" spans="1:86" ht="20.149999999999999" customHeight="1">
      <c r="A305" s="1563" t="s">
        <v>1427</v>
      </c>
      <c r="B305" s="1563" t="s">
        <v>14</v>
      </c>
      <c r="C305" s="1563" t="str">
        <f t="shared" si="5"/>
        <v>PBSDDF43</v>
      </c>
      <c r="D305" s="1193">
        <v>43</v>
      </c>
      <c r="E305" s="1540"/>
      <c r="F305" s="1313">
        <v>0.2</v>
      </c>
      <c r="G305" s="1313">
        <v>0.3</v>
      </c>
      <c r="H305" s="1313">
        <v>0.42</v>
      </c>
      <c r="I305" s="1313">
        <v>0.53</v>
      </c>
      <c r="J305" s="1313">
        <v>0.66</v>
      </c>
      <c r="K305" s="1313">
        <v>0.79</v>
      </c>
      <c r="L305" s="1313">
        <v>0.93</v>
      </c>
      <c r="M305" s="1314">
        <v>1.07</v>
      </c>
      <c r="N305" s="1312">
        <v>1.23</v>
      </c>
      <c r="O305" s="1313">
        <v>1.39</v>
      </c>
      <c r="P305" s="1313">
        <v>1.56</v>
      </c>
      <c r="Q305" s="1313">
        <v>1.75</v>
      </c>
      <c r="R305" s="1313">
        <v>1.94</v>
      </c>
      <c r="S305" s="1313">
        <v>2.15</v>
      </c>
      <c r="T305" s="1313">
        <v>2.38</v>
      </c>
      <c r="U305" s="1313">
        <v>2.62</v>
      </c>
      <c r="V305" s="1313">
        <v>2.88</v>
      </c>
      <c r="W305" s="1314">
        <v>3.16</v>
      </c>
      <c r="X305" s="1312">
        <v>3.46</v>
      </c>
      <c r="Y305" s="1313">
        <v>3.79</v>
      </c>
      <c r="Z305" s="1313">
        <v>4.1399999999999997</v>
      </c>
      <c r="AA305" s="1313">
        <v>4.5199999999999996</v>
      </c>
      <c r="AB305" s="1313">
        <v>4.9400000000000004</v>
      </c>
      <c r="AC305" s="1313">
        <v>5.39</v>
      </c>
      <c r="AD305" s="1313">
        <v>5.89</v>
      </c>
      <c r="AE305" s="1313">
        <v>6.43</v>
      </c>
      <c r="AF305" s="1313">
        <v>7.03</v>
      </c>
      <c r="AG305" s="1314">
        <v>7.68</v>
      </c>
      <c r="AH305" s="1312">
        <v>8.4</v>
      </c>
      <c r="AI305" s="1313">
        <v>9.1999999999999993</v>
      </c>
      <c r="AJ305" s="1313">
        <v>10.08</v>
      </c>
      <c r="AK305" s="1313">
        <v>11.04</v>
      </c>
      <c r="AL305" s="1313">
        <v>12.09</v>
      </c>
      <c r="AM305" s="1313">
        <v>13.24</v>
      </c>
      <c r="AN305" s="1313">
        <v>14.5</v>
      </c>
      <c r="AO305" s="1313">
        <v>16.05</v>
      </c>
      <c r="AP305" s="1313">
        <v>17.600000000000001</v>
      </c>
      <c r="AQ305" s="1314">
        <v>19.13</v>
      </c>
      <c r="AR305" s="1312">
        <v>20.64</v>
      </c>
      <c r="AS305" s="1313">
        <v>22.14</v>
      </c>
      <c r="AT305" s="1313">
        <v>23.62</v>
      </c>
      <c r="AU305" s="1313">
        <v>25.09</v>
      </c>
      <c r="AV305" s="1313">
        <v>26.54</v>
      </c>
      <c r="AW305" s="1313">
        <v>27.98</v>
      </c>
      <c r="AX305" s="1313">
        <v>29.41</v>
      </c>
      <c r="AY305" s="1313">
        <v>30.82</v>
      </c>
      <c r="AZ305" s="1313">
        <v>32.22</v>
      </c>
      <c r="BA305" s="1314">
        <v>33.6</v>
      </c>
      <c r="BB305" s="1312">
        <v>34.97</v>
      </c>
      <c r="BC305" s="1313">
        <v>36.33</v>
      </c>
      <c r="BD305" s="1313">
        <v>37.67</v>
      </c>
      <c r="BE305" s="1313">
        <v>39</v>
      </c>
      <c r="BF305" s="1313">
        <v>40.32</v>
      </c>
      <c r="BG305" s="1313">
        <v>41.62</v>
      </c>
      <c r="BH305" s="1313">
        <v>42.91</v>
      </c>
      <c r="BI305" s="1313">
        <v>44.19</v>
      </c>
      <c r="BJ305" s="1313">
        <v>45.45</v>
      </c>
      <c r="BK305" s="1314">
        <v>46.7</v>
      </c>
      <c r="BL305" s="1312">
        <v>47.95</v>
      </c>
      <c r="BM305" s="1313">
        <v>49.17</v>
      </c>
      <c r="BN305" s="1313">
        <v>50.39</v>
      </c>
      <c r="BO305" s="1313">
        <v>51.59</v>
      </c>
      <c r="BP305" s="1313">
        <v>52.78</v>
      </c>
      <c r="BQ305" s="1313">
        <v>53.96</v>
      </c>
      <c r="BR305" s="1313">
        <v>55.13</v>
      </c>
      <c r="BS305" s="1313">
        <v>56.29</v>
      </c>
      <c r="BT305" s="1313">
        <v>57.43</v>
      </c>
      <c r="BU305" s="1314">
        <v>58.57</v>
      </c>
      <c r="BV305" s="1312">
        <v>59.69</v>
      </c>
      <c r="BW305" s="1313">
        <v>60.8</v>
      </c>
      <c r="BX305" s="1313">
        <v>61.9</v>
      </c>
      <c r="BY305" s="1313">
        <v>62.99</v>
      </c>
      <c r="BZ305" s="1313">
        <v>64.069999999999993</v>
      </c>
      <c r="CA305" s="1313">
        <v>65.14</v>
      </c>
      <c r="CB305" s="1313">
        <v>66.2</v>
      </c>
      <c r="CC305" s="1313">
        <v>67.239999999999995</v>
      </c>
      <c r="CD305" s="1313">
        <v>68.28</v>
      </c>
      <c r="CE305" s="1314">
        <v>69.31</v>
      </c>
      <c r="CF305" s="1313">
        <v>70.319999999999993</v>
      </c>
      <c r="CG305" s="1313">
        <v>71.33</v>
      </c>
      <c r="CH305" s="1314">
        <v>72.33</v>
      </c>
    </row>
    <row r="306" spans="1:86" ht="20.149999999999999" customHeight="1">
      <c r="A306" s="1563" t="s">
        <v>1427</v>
      </c>
      <c r="B306" s="1563" t="s">
        <v>14</v>
      </c>
      <c r="C306" s="1563" t="str">
        <f t="shared" si="5"/>
        <v>PBSDDF44</v>
      </c>
      <c r="D306" s="1193">
        <v>44</v>
      </c>
      <c r="E306" s="1540"/>
      <c r="F306" s="1313">
        <v>0.21</v>
      </c>
      <c r="G306" s="1313">
        <v>0.33</v>
      </c>
      <c r="H306" s="1313">
        <v>0.45</v>
      </c>
      <c r="I306" s="1313">
        <v>0.57999999999999996</v>
      </c>
      <c r="J306" s="1313">
        <v>0.71</v>
      </c>
      <c r="K306" s="1313">
        <v>0.85</v>
      </c>
      <c r="L306" s="1313">
        <v>1</v>
      </c>
      <c r="M306" s="1314">
        <v>1.1599999999999999</v>
      </c>
      <c r="N306" s="1312">
        <v>1.33</v>
      </c>
      <c r="O306" s="1313">
        <v>1.51</v>
      </c>
      <c r="P306" s="1313">
        <v>1.7</v>
      </c>
      <c r="Q306" s="1313">
        <v>1.9</v>
      </c>
      <c r="R306" s="1313">
        <v>2.12</v>
      </c>
      <c r="S306" s="1313">
        <v>2.35</v>
      </c>
      <c r="T306" s="1313">
        <v>2.6</v>
      </c>
      <c r="U306" s="1313">
        <v>2.86</v>
      </c>
      <c r="V306" s="1313">
        <v>3.15</v>
      </c>
      <c r="W306" s="1314">
        <v>3.46</v>
      </c>
      <c r="X306" s="1312">
        <v>3.8</v>
      </c>
      <c r="Y306" s="1313">
        <v>4.16</v>
      </c>
      <c r="Z306" s="1313">
        <v>4.55</v>
      </c>
      <c r="AA306" s="1313">
        <v>4.9800000000000004</v>
      </c>
      <c r="AB306" s="1313">
        <v>5.44</v>
      </c>
      <c r="AC306" s="1313">
        <v>5.95</v>
      </c>
      <c r="AD306" s="1313">
        <v>6.51</v>
      </c>
      <c r="AE306" s="1313">
        <v>7.13</v>
      </c>
      <c r="AF306" s="1313">
        <v>7.8</v>
      </c>
      <c r="AG306" s="1314">
        <v>8.5500000000000007</v>
      </c>
      <c r="AH306" s="1312">
        <v>9.3699999999999992</v>
      </c>
      <c r="AI306" s="1313">
        <v>10.27</v>
      </c>
      <c r="AJ306" s="1313">
        <v>11.26</v>
      </c>
      <c r="AK306" s="1313">
        <v>12.34</v>
      </c>
      <c r="AL306" s="1313">
        <v>13.53</v>
      </c>
      <c r="AM306" s="1313">
        <v>14.82</v>
      </c>
      <c r="AN306" s="1313">
        <v>16.43</v>
      </c>
      <c r="AO306" s="1313">
        <v>18.02</v>
      </c>
      <c r="AP306" s="1313">
        <v>19.600000000000001</v>
      </c>
      <c r="AQ306" s="1314">
        <v>21.17</v>
      </c>
      <c r="AR306" s="1312">
        <v>22.72</v>
      </c>
      <c r="AS306" s="1313">
        <v>24.25</v>
      </c>
      <c r="AT306" s="1313">
        <v>25.77</v>
      </c>
      <c r="AU306" s="1313">
        <v>27.27</v>
      </c>
      <c r="AV306" s="1313">
        <v>28.76</v>
      </c>
      <c r="AW306" s="1313">
        <v>30.23</v>
      </c>
      <c r="AX306" s="1313">
        <v>31.69</v>
      </c>
      <c r="AY306" s="1313">
        <v>33.14</v>
      </c>
      <c r="AZ306" s="1313">
        <v>34.57</v>
      </c>
      <c r="BA306" s="1314">
        <v>35.979999999999997</v>
      </c>
      <c r="BB306" s="1312">
        <v>37.39</v>
      </c>
      <c r="BC306" s="1313">
        <v>38.770000000000003</v>
      </c>
      <c r="BD306" s="1313">
        <v>40.15</v>
      </c>
      <c r="BE306" s="1313">
        <v>41.51</v>
      </c>
      <c r="BF306" s="1313">
        <v>42.86</v>
      </c>
      <c r="BG306" s="1313">
        <v>44.19</v>
      </c>
      <c r="BH306" s="1313">
        <v>45.51</v>
      </c>
      <c r="BI306" s="1313">
        <v>46.82</v>
      </c>
      <c r="BJ306" s="1313">
        <v>48.12</v>
      </c>
      <c r="BK306" s="1314">
        <v>49.4</v>
      </c>
      <c r="BL306" s="1312">
        <v>50.67</v>
      </c>
      <c r="BM306" s="1313">
        <v>51.92</v>
      </c>
      <c r="BN306" s="1313">
        <v>53.17</v>
      </c>
      <c r="BO306" s="1313">
        <v>54.4</v>
      </c>
      <c r="BP306" s="1313">
        <v>55.62</v>
      </c>
      <c r="BQ306" s="1313">
        <v>56.83</v>
      </c>
      <c r="BR306" s="1313">
        <v>58.02</v>
      </c>
      <c r="BS306" s="1313">
        <v>59.21</v>
      </c>
      <c r="BT306" s="1313">
        <v>60.38</v>
      </c>
      <c r="BU306" s="1314">
        <v>61.54</v>
      </c>
      <c r="BV306" s="1312">
        <v>62.69</v>
      </c>
      <c r="BW306" s="1313">
        <v>63.83</v>
      </c>
      <c r="BX306" s="1313">
        <v>64.95</v>
      </c>
      <c r="BY306" s="1313">
        <v>66.069999999999993</v>
      </c>
      <c r="BZ306" s="1313">
        <v>67.17</v>
      </c>
      <c r="CA306" s="1313">
        <v>68.27</v>
      </c>
      <c r="CB306" s="1313">
        <v>69.349999999999994</v>
      </c>
      <c r="CC306" s="1313">
        <v>70.42</v>
      </c>
      <c r="CD306" s="1313">
        <v>71.48</v>
      </c>
      <c r="CE306" s="1314">
        <v>72.53</v>
      </c>
      <c r="CF306" s="1313">
        <v>73.569999999999993</v>
      </c>
      <c r="CG306" s="1313">
        <v>74.599999999999994</v>
      </c>
      <c r="CH306" s="1314">
        <v>75.62</v>
      </c>
    </row>
    <row r="307" spans="1:86" ht="20.149999999999999" customHeight="1">
      <c r="A307" s="1563" t="s">
        <v>1427</v>
      </c>
      <c r="B307" s="1563" t="s">
        <v>14</v>
      </c>
      <c r="C307" s="1563" t="str">
        <f t="shared" si="5"/>
        <v>PBSDDF45</v>
      </c>
      <c r="D307" s="1195">
        <v>45</v>
      </c>
      <c r="E307" s="1542"/>
      <c r="F307" s="1319">
        <v>0.23</v>
      </c>
      <c r="G307" s="1319">
        <v>0.36</v>
      </c>
      <c r="H307" s="1319">
        <v>0.49</v>
      </c>
      <c r="I307" s="1319">
        <v>0.63</v>
      </c>
      <c r="J307" s="1319">
        <v>0.77</v>
      </c>
      <c r="K307" s="1319">
        <v>0.92</v>
      </c>
      <c r="L307" s="1319">
        <v>1.0900000000000001</v>
      </c>
      <c r="M307" s="1320">
        <v>1.26</v>
      </c>
      <c r="N307" s="1318">
        <v>1.44</v>
      </c>
      <c r="O307" s="1319">
        <v>1.64</v>
      </c>
      <c r="P307" s="1319">
        <v>1.85</v>
      </c>
      <c r="Q307" s="1319">
        <v>2.0699999999999998</v>
      </c>
      <c r="R307" s="1319">
        <v>2.31</v>
      </c>
      <c r="S307" s="1319">
        <v>2.56</v>
      </c>
      <c r="T307" s="1319">
        <v>2.84</v>
      </c>
      <c r="U307" s="1319">
        <v>3.13</v>
      </c>
      <c r="V307" s="1319">
        <v>3.45</v>
      </c>
      <c r="W307" s="1320">
        <v>3.8</v>
      </c>
      <c r="X307" s="1318">
        <v>4.17</v>
      </c>
      <c r="Y307" s="1319">
        <v>4.57</v>
      </c>
      <c r="Z307" s="1319">
        <v>5.01</v>
      </c>
      <c r="AA307" s="1319">
        <v>5.49</v>
      </c>
      <c r="AB307" s="1319">
        <v>6.02</v>
      </c>
      <c r="AC307" s="1319">
        <v>6.59</v>
      </c>
      <c r="AD307" s="1319">
        <v>7.22</v>
      </c>
      <c r="AE307" s="1319">
        <v>7.92</v>
      </c>
      <c r="AF307" s="1319">
        <v>8.69</v>
      </c>
      <c r="AG307" s="1320">
        <v>9.5299999999999994</v>
      </c>
      <c r="AH307" s="1318">
        <v>10.46</v>
      </c>
      <c r="AI307" s="1319">
        <v>11.48</v>
      </c>
      <c r="AJ307" s="1319">
        <v>12.6</v>
      </c>
      <c r="AK307" s="1319">
        <v>13.82</v>
      </c>
      <c r="AL307" s="1319">
        <v>15.15</v>
      </c>
      <c r="AM307" s="1319">
        <v>16.809999999999999</v>
      </c>
      <c r="AN307" s="1319">
        <v>18.46</v>
      </c>
      <c r="AO307" s="1319">
        <v>20.100000000000001</v>
      </c>
      <c r="AP307" s="1319">
        <v>21.72</v>
      </c>
      <c r="AQ307" s="1320">
        <v>23.32</v>
      </c>
      <c r="AR307" s="1318">
        <v>24.91</v>
      </c>
      <c r="AS307" s="1319">
        <v>26.48</v>
      </c>
      <c r="AT307" s="1319">
        <v>28.03</v>
      </c>
      <c r="AU307" s="1319">
        <v>29.57</v>
      </c>
      <c r="AV307" s="1319">
        <v>31.1</v>
      </c>
      <c r="AW307" s="1319">
        <v>32.6</v>
      </c>
      <c r="AX307" s="1319">
        <v>34.1</v>
      </c>
      <c r="AY307" s="1319">
        <v>35.58</v>
      </c>
      <c r="AZ307" s="1319">
        <v>37.04</v>
      </c>
      <c r="BA307" s="1320">
        <v>38.49</v>
      </c>
      <c r="BB307" s="1318">
        <v>39.93</v>
      </c>
      <c r="BC307" s="1319">
        <v>41.35</v>
      </c>
      <c r="BD307" s="1319">
        <v>42.76</v>
      </c>
      <c r="BE307" s="1319">
        <v>44.15</v>
      </c>
      <c r="BF307" s="1319">
        <v>45.53</v>
      </c>
      <c r="BG307" s="1319">
        <v>46.9</v>
      </c>
      <c r="BH307" s="1319">
        <v>48.25</v>
      </c>
      <c r="BI307" s="1319">
        <v>49.59</v>
      </c>
      <c r="BJ307" s="1319">
        <v>50.92</v>
      </c>
      <c r="BK307" s="1320">
        <v>52.23</v>
      </c>
      <c r="BL307" s="1318">
        <v>53.53</v>
      </c>
      <c r="BM307" s="1319">
        <v>54.82</v>
      </c>
      <c r="BN307" s="1319">
        <v>56.1</v>
      </c>
      <c r="BO307" s="1319">
        <v>57.36</v>
      </c>
      <c r="BP307" s="1319">
        <v>58.61</v>
      </c>
      <c r="BQ307" s="1319">
        <v>59.84</v>
      </c>
      <c r="BR307" s="1319">
        <v>61.07</v>
      </c>
      <c r="BS307" s="1319">
        <v>62.28</v>
      </c>
      <c r="BT307" s="1319">
        <v>63.48</v>
      </c>
      <c r="BU307" s="1320">
        <v>64.67</v>
      </c>
      <c r="BV307" s="1318">
        <v>65.849999999999994</v>
      </c>
      <c r="BW307" s="1319">
        <v>67.010000000000005</v>
      </c>
      <c r="BX307" s="1319">
        <v>68.17</v>
      </c>
      <c r="BY307" s="1319">
        <v>69.31</v>
      </c>
      <c r="BZ307" s="1319">
        <v>70.44</v>
      </c>
      <c r="CA307" s="1319">
        <v>71.56</v>
      </c>
      <c r="CB307" s="1319">
        <v>72.67</v>
      </c>
      <c r="CC307" s="1319">
        <v>73.77</v>
      </c>
      <c r="CD307" s="1319">
        <v>74.849999999999994</v>
      </c>
      <c r="CE307" s="1320">
        <v>75.930000000000007</v>
      </c>
      <c r="CF307" s="1319">
        <v>77</v>
      </c>
      <c r="CG307" s="1319">
        <v>78.05</v>
      </c>
      <c r="CH307" s="1320">
        <v>79.099999999999994</v>
      </c>
    </row>
    <row r="308" spans="1:86" ht="20.149999999999999" customHeight="1">
      <c r="A308" s="1563" t="s">
        <v>1427</v>
      </c>
      <c r="B308" s="1563" t="s">
        <v>14</v>
      </c>
      <c r="C308" s="1563" t="str">
        <f t="shared" si="5"/>
        <v>PBSDDF46</v>
      </c>
      <c r="D308" s="1193">
        <v>46</v>
      </c>
      <c r="E308" s="1540"/>
      <c r="F308" s="1313">
        <v>0.25</v>
      </c>
      <c r="G308" s="1313">
        <v>0.39</v>
      </c>
      <c r="H308" s="1313">
        <v>0.53</v>
      </c>
      <c r="I308" s="1313">
        <v>0.68</v>
      </c>
      <c r="J308" s="1313">
        <v>0.83</v>
      </c>
      <c r="K308" s="1313">
        <v>1</v>
      </c>
      <c r="L308" s="1313">
        <v>1.18</v>
      </c>
      <c r="M308" s="1314">
        <v>1.37</v>
      </c>
      <c r="N308" s="1312">
        <v>1.57</v>
      </c>
      <c r="O308" s="1313">
        <v>1.78</v>
      </c>
      <c r="P308" s="1313">
        <v>2.0099999999999998</v>
      </c>
      <c r="Q308" s="1313">
        <v>2.2599999999999998</v>
      </c>
      <c r="R308" s="1313">
        <v>2.52</v>
      </c>
      <c r="S308" s="1313">
        <v>2.8</v>
      </c>
      <c r="T308" s="1313">
        <v>3.11</v>
      </c>
      <c r="U308" s="1313">
        <v>3.44</v>
      </c>
      <c r="V308" s="1313">
        <v>3.79</v>
      </c>
      <c r="W308" s="1314">
        <v>4.18</v>
      </c>
      <c r="X308" s="1312">
        <v>4.59</v>
      </c>
      <c r="Y308" s="1313">
        <v>5.04</v>
      </c>
      <c r="Z308" s="1313">
        <v>5.54</v>
      </c>
      <c r="AA308" s="1313">
        <v>6.08</v>
      </c>
      <c r="AB308" s="1313">
        <v>6.67</v>
      </c>
      <c r="AC308" s="1313">
        <v>7.32</v>
      </c>
      <c r="AD308" s="1313">
        <v>8.0399999999999991</v>
      </c>
      <c r="AE308" s="1313">
        <v>8.83</v>
      </c>
      <c r="AF308" s="1313">
        <v>9.6999999999999993</v>
      </c>
      <c r="AG308" s="1314">
        <v>10.65</v>
      </c>
      <c r="AH308" s="1312">
        <v>11.7</v>
      </c>
      <c r="AI308" s="1313">
        <v>12.86</v>
      </c>
      <c r="AJ308" s="1313">
        <v>14.11</v>
      </c>
      <c r="AK308" s="1313">
        <v>15.48</v>
      </c>
      <c r="AL308" s="1313">
        <v>17.21</v>
      </c>
      <c r="AM308" s="1313">
        <v>18.920000000000002</v>
      </c>
      <c r="AN308" s="1313">
        <v>20.61</v>
      </c>
      <c r="AO308" s="1313">
        <v>22.29</v>
      </c>
      <c r="AP308" s="1313">
        <v>23.94</v>
      </c>
      <c r="AQ308" s="1314">
        <v>25.59</v>
      </c>
      <c r="AR308" s="1312">
        <v>27.21</v>
      </c>
      <c r="AS308" s="1313">
        <v>28.82</v>
      </c>
      <c r="AT308" s="1313">
        <v>30.42</v>
      </c>
      <c r="AU308" s="1313">
        <v>31.99</v>
      </c>
      <c r="AV308" s="1313">
        <v>33.56</v>
      </c>
      <c r="AW308" s="1313">
        <v>35.1</v>
      </c>
      <c r="AX308" s="1313">
        <v>36.64</v>
      </c>
      <c r="AY308" s="1313">
        <v>38.15</v>
      </c>
      <c r="AZ308" s="1313">
        <v>39.659999999999997</v>
      </c>
      <c r="BA308" s="1314">
        <v>41.14</v>
      </c>
      <c r="BB308" s="1312">
        <v>42.61</v>
      </c>
      <c r="BC308" s="1313">
        <v>44.07</v>
      </c>
      <c r="BD308" s="1313">
        <v>45.51</v>
      </c>
      <c r="BE308" s="1313">
        <v>46.94</v>
      </c>
      <c r="BF308" s="1313">
        <v>48.36</v>
      </c>
      <c r="BG308" s="1313">
        <v>49.76</v>
      </c>
      <c r="BH308" s="1313">
        <v>51.15</v>
      </c>
      <c r="BI308" s="1313">
        <v>52.52</v>
      </c>
      <c r="BJ308" s="1313">
        <v>53.88</v>
      </c>
      <c r="BK308" s="1314">
        <v>55.22</v>
      </c>
      <c r="BL308" s="1312">
        <v>56.56</v>
      </c>
      <c r="BM308" s="1313">
        <v>57.88</v>
      </c>
      <c r="BN308" s="1313">
        <v>59.18</v>
      </c>
      <c r="BO308" s="1313">
        <v>60.48</v>
      </c>
      <c r="BP308" s="1313">
        <v>61.76</v>
      </c>
      <c r="BQ308" s="1313">
        <v>63.02</v>
      </c>
      <c r="BR308" s="1313">
        <v>64.28</v>
      </c>
      <c r="BS308" s="1313">
        <v>65.52</v>
      </c>
      <c r="BT308" s="1313">
        <v>66.75</v>
      </c>
      <c r="BU308" s="1314">
        <v>67.97</v>
      </c>
      <c r="BV308" s="1312">
        <v>69.180000000000007</v>
      </c>
      <c r="BW308" s="1313">
        <v>70.37</v>
      </c>
      <c r="BX308" s="1313">
        <v>71.56</v>
      </c>
      <c r="BY308" s="1313">
        <v>72.73</v>
      </c>
      <c r="BZ308" s="1313">
        <v>73.89</v>
      </c>
      <c r="CA308" s="1313">
        <v>75.03</v>
      </c>
      <c r="CB308" s="1313">
        <v>76.17</v>
      </c>
      <c r="CC308" s="1313">
        <v>77.3</v>
      </c>
      <c r="CD308" s="1313">
        <v>78.41</v>
      </c>
      <c r="CE308" s="1314">
        <v>79.510000000000005</v>
      </c>
      <c r="CF308" s="1313">
        <v>80.61</v>
      </c>
      <c r="CG308" s="1313">
        <v>81.69</v>
      </c>
      <c r="CH308" s="1314">
        <v>82.76</v>
      </c>
    </row>
    <row r="309" spans="1:86" ht="20.149999999999999" customHeight="1">
      <c r="A309" s="1563" t="s">
        <v>1427</v>
      </c>
      <c r="B309" s="1563" t="s">
        <v>14</v>
      </c>
      <c r="C309" s="1563" t="str">
        <f t="shared" si="5"/>
        <v>PBSDDF47</v>
      </c>
      <c r="D309" s="1193">
        <v>47</v>
      </c>
      <c r="E309" s="1540"/>
      <c r="F309" s="1313">
        <v>0.27</v>
      </c>
      <c r="G309" s="1313">
        <v>0.42</v>
      </c>
      <c r="H309" s="1313">
        <v>0.56999999999999995</v>
      </c>
      <c r="I309" s="1313">
        <v>0.73</v>
      </c>
      <c r="J309" s="1313">
        <v>0.91</v>
      </c>
      <c r="K309" s="1313">
        <v>1.0900000000000001</v>
      </c>
      <c r="L309" s="1313">
        <v>1.28</v>
      </c>
      <c r="M309" s="1314">
        <v>1.49</v>
      </c>
      <c r="N309" s="1312">
        <v>1.71</v>
      </c>
      <c r="O309" s="1313">
        <v>1.94</v>
      </c>
      <c r="P309" s="1313">
        <v>2.2000000000000002</v>
      </c>
      <c r="Q309" s="1313">
        <v>2.4700000000000002</v>
      </c>
      <c r="R309" s="1313">
        <v>2.76</v>
      </c>
      <c r="S309" s="1313">
        <v>3.07</v>
      </c>
      <c r="T309" s="1313">
        <v>3.41</v>
      </c>
      <c r="U309" s="1313">
        <v>3.78</v>
      </c>
      <c r="V309" s="1313">
        <v>4.17</v>
      </c>
      <c r="W309" s="1314">
        <v>4.5999999999999996</v>
      </c>
      <c r="X309" s="1312">
        <v>5.07</v>
      </c>
      <c r="Y309" s="1313">
        <v>5.58</v>
      </c>
      <c r="Z309" s="1313">
        <v>6.13</v>
      </c>
      <c r="AA309" s="1313">
        <v>6.74</v>
      </c>
      <c r="AB309" s="1313">
        <v>7.41</v>
      </c>
      <c r="AC309" s="1313">
        <v>8.15</v>
      </c>
      <c r="AD309" s="1313">
        <v>8.9600000000000009</v>
      </c>
      <c r="AE309" s="1313">
        <v>9.86</v>
      </c>
      <c r="AF309" s="1313">
        <v>10.85</v>
      </c>
      <c r="AG309" s="1314">
        <v>11.93</v>
      </c>
      <c r="AH309" s="1312">
        <v>13.12</v>
      </c>
      <c r="AI309" s="1313">
        <v>14.42</v>
      </c>
      <c r="AJ309" s="1313">
        <v>15.83</v>
      </c>
      <c r="AK309" s="1313">
        <v>17.62</v>
      </c>
      <c r="AL309" s="1313">
        <v>19.39</v>
      </c>
      <c r="AM309" s="1313">
        <v>21.14</v>
      </c>
      <c r="AN309" s="1313">
        <v>22.88</v>
      </c>
      <c r="AO309" s="1313">
        <v>24.59</v>
      </c>
      <c r="AP309" s="1313">
        <v>26.3</v>
      </c>
      <c r="AQ309" s="1314">
        <v>27.98</v>
      </c>
      <c r="AR309" s="1312">
        <v>29.65</v>
      </c>
      <c r="AS309" s="1313">
        <v>31.3</v>
      </c>
      <c r="AT309" s="1313">
        <v>32.94</v>
      </c>
      <c r="AU309" s="1313">
        <v>34.549999999999997</v>
      </c>
      <c r="AV309" s="1313">
        <v>36.159999999999997</v>
      </c>
      <c r="AW309" s="1313">
        <v>37.74</v>
      </c>
      <c r="AX309" s="1313">
        <v>39.32</v>
      </c>
      <c r="AY309" s="1313">
        <v>40.869999999999997</v>
      </c>
      <c r="AZ309" s="1313">
        <v>42.41</v>
      </c>
      <c r="BA309" s="1314">
        <v>43.94</v>
      </c>
      <c r="BB309" s="1312">
        <v>45.45</v>
      </c>
      <c r="BC309" s="1313">
        <v>46.94</v>
      </c>
      <c r="BD309" s="1313">
        <v>48.42</v>
      </c>
      <c r="BE309" s="1313">
        <v>49.89</v>
      </c>
      <c r="BF309" s="1313">
        <v>51.34</v>
      </c>
      <c r="BG309" s="1313">
        <v>52.78</v>
      </c>
      <c r="BH309" s="1313">
        <v>54.2</v>
      </c>
      <c r="BI309" s="1313">
        <v>55.61</v>
      </c>
      <c r="BJ309" s="1313">
        <v>57</v>
      </c>
      <c r="BK309" s="1314">
        <v>58.38</v>
      </c>
      <c r="BL309" s="1312">
        <v>59.75</v>
      </c>
      <c r="BM309" s="1313">
        <v>61.1</v>
      </c>
      <c r="BN309" s="1313">
        <v>62.44</v>
      </c>
      <c r="BO309" s="1313">
        <v>63.77</v>
      </c>
      <c r="BP309" s="1313">
        <v>65.08</v>
      </c>
      <c r="BQ309" s="1313">
        <v>66.38</v>
      </c>
      <c r="BR309" s="1313">
        <v>67.67</v>
      </c>
      <c r="BS309" s="1313">
        <v>68.95</v>
      </c>
      <c r="BT309" s="1313">
        <v>70.209999999999994</v>
      </c>
      <c r="BU309" s="1314">
        <v>71.459999999999994</v>
      </c>
      <c r="BV309" s="1312">
        <v>72.7</v>
      </c>
      <c r="BW309" s="1313">
        <v>73.92</v>
      </c>
      <c r="BX309" s="1313">
        <v>75.14</v>
      </c>
      <c r="BY309" s="1313">
        <v>76.34</v>
      </c>
      <c r="BZ309" s="1313">
        <v>77.53</v>
      </c>
      <c r="CA309" s="1313">
        <v>78.7</v>
      </c>
      <c r="CB309" s="1313">
        <v>79.87</v>
      </c>
      <c r="CC309" s="1313">
        <v>81.02</v>
      </c>
      <c r="CD309" s="1313">
        <v>82.17</v>
      </c>
      <c r="CE309" s="1314">
        <v>83.3</v>
      </c>
      <c r="CF309" s="1313">
        <v>84.42</v>
      </c>
      <c r="CG309" s="1313">
        <v>85.53</v>
      </c>
      <c r="CH309" s="1314">
        <v>86.63</v>
      </c>
    </row>
    <row r="310" spans="1:86" ht="20.149999999999999" customHeight="1">
      <c r="A310" s="1563" t="s">
        <v>1427</v>
      </c>
      <c r="B310" s="1563" t="s">
        <v>14</v>
      </c>
      <c r="C310" s="1563" t="str">
        <f t="shared" si="5"/>
        <v>PBSDDF48</v>
      </c>
      <c r="D310" s="1193">
        <v>48</v>
      </c>
      <c r="E310" s="1540"/>
      <c r="F310" s="1313">
        <v>0.28999999999999998</v>
      </c>
      <c r="G310" s="1313">
        <v>0.45</v>
      </c>
      <c r="H310" s="1313">
        <v>0.62</v>
      </c>
      <c r="I310" s="1313">
        <v>0.8</v>
      </c>
      <c r="J310" s="1313">
        <v>0.98</v>
      </c>
      <c r="K310" s="1313">
        <v>1.18</v>
      </c>
      <c r="L310" s="1313">
        <v>1.4</v>
      </c>
      <c r="M310" s="1314">
        <v>1.62</v>
      </c>
      <c r="N310" s="1312">
        <v>1.87</v>
      </c>
      <c r="O310" s="1313">
        <v>2.13</v>
      </c>
      <c r="P310" s="1313">
        <v>2.41</v>
      </c>
      <c r="Q310" s="1313">
        <v>2.71</v>
      </c>
      <c r="R310" s="1313">
        <v>3.03</v>
      </c>
      <c r="S310" s="1313">
        <v>3.38</v>
      </c>
      <c r="T310" s="1313">
        <v>3.75</v>
      </c>
      <c r="U310" s="1313">
        <v>4.16</v>
      </c>
      <c r="V310" s="1313">
        <v>4.5999999999999996</v>
      </c>
      <c r="W310" s="1314">
        <v>5.08</v>
      </c>
      <c r="X310" s="1312">
        <v>5.61</v>
      </c>
      <c r="Y310" s="1313">
        <v>6.18</v>
      </c>
      <c r="Z310" s="1313">
        <v>6.81</v>
      </c>
      <c r="AA310" s="1313">
        <v>7.5</v>
      </c>
      <c r="AB310" s="1313">
        <v>8.26</v>
      </c>
      <c r="AC310" s="1313">
        <v>9.1</v>
      </c>
      <c r="AD310" s="1313">
        <v>10.029999999999999</v>
      </c>
      <c r="AE310" s="1313">
        <v>11.04</v>
      </c>
      <c r="AF310" s="1313">
        <v>12.16</v>
      </c>
      <c r="AG310" s="1314">
        <v>13.39</v>
      </c>
      <c r="AH310" s="1312">
        <v>14.73</v>
      </c>
      <c r="AI310" s="1313">
        <v>16.18</v>
      </c>
      <c r="AJ310" s="1313">
        <v>18.04</v>
      </c>
      <c r="AK310" s="1313">
        <v>19.87</v>
      </c>
      <c r="AL310" s="1313">
        <v>21.69</v>
      </c>
      <c r="AM310" s="1313">
        <v>23.49</v>
      </c>
      <c r="AN310" s="1313">
        <v>25.27</v>
      </c>
      <c r="AO310" s="1313">
        <v>27.04</v>
      </c>
      <c r="AP310" s="1313">
        <v>28.78</v>
      </c>
      <c r="AQ310" s="1314">
        <v>30.51</v>
      </c>
      <c r="AR310" s="1312">
        <v>32.229999999999997</v>
      </c>
      <c r="AS310" s="1313">
        <v>33.92</v>
      </c>
      <c r="AT310" s="1313">
        <v>35.6</v>
      </c>
      <c r="AU310" s="1313">
        <v>37.26</v>
      </c>
      <c r="AV310" s="1313">
        <v>38.909999999999997</v>
      </c>
      <c r="AW310" s="1313">
        <v>40.54</v>
      </c>
      <c r="AX310" s="1313">
        <v>42.15</v>
      </c>
      <c r="AY310" s="1313">
        <v>43.75</v>
      </c>
      <c r="AZ310" s="1313">
        <v>45.33</v>
      </c>
      <c r="BA310" s="1314">
        <v>46.89</v>
      </c>
      <c r="BB310" s="1312">
        <v>48.44</v>
      </c>
      <c r="BC310" s="1313">
        <v>49.98</v>
      </c>
      <c r="BD310" s="1313">
        <v>51.5</v>
      </c>
      <c r="BE310" s="1313">
        <v>53</v>
      </c>
      <c r="BF310" s="1313">
        <v>54.49</v>
      </c>
      <c r="BG310" s="1313">
        <v>55.97</v>
      </c>
      <c r="BH310" s="1313">
        <v>57.43</v>
      </c>
      <c r="BI310" s="1313">
        <v>58.87</v>
      </c>
      <c r="BJ310" s="1313">
        <v>60.31</v>
      </c>
      <c r="BK310" s="1314">
        <v>61.72</v>
      </c>
      <c r="BL310" s="1312">
        <v>63.13</v>
      </c>
      <c r="BM310" s="1313">
        <v>64.52</v>
      </c>
      <c r="BN310" s="1313">
        <v>65.89</v>
      </c>
      <c r="BO310" s="1313">
        <v>67.25</v>
      </c>
      <c r="BP310" s="1313">
        <v>68.599999999999994</v>
      </c>
      <c r="BQ310" s="1313">
        <v>69.94</v>
      </c>
      <c r="BR310" s="1313">
        <v>71.260000000000005</v>
      </c>
      <c r="BS310" s="1313">
        <v>72.569999999999993</v>
      </c>
      <c r="BT310" s="1313">
        <v>73.86</v>
      </c>
      <c r="BU310" s="1314">
        <v>75.150000000000006</v>
      </c>
      <c r="BV310" s="1312">
        <v>76.42</v>
      </c>
      <c r="BW310" s="1313">
        <v>77.680000000000007</v>
      </c>
      <c r="BX310" s="1313">
        <v>78.92</v>
      </c>
      <c r="BY310" s="1313">
        <v>80.150000000000006</v>
      </c>
      <c r="BZ310" s="1313">
        <v>81.38</v>
      </c>
      <c r="CA310" s="1313">
        <v>82.58</v>
      </c>
      <c r="CB310" s="1313">
        <v>83.78</v>
      </c>
      <c r="CC310" s="1313">
        <v>84.97</v>
      </c>
      <c r="CD310" s="1313">
        <v>86.14</v>
      </c>
      <c r="CE310" s="1314">
        <v>87.3</v>
      </c>
      <c r="CF310" s="1313">
        <v>88.45</v>
      </c>
      <c r="CG310" s="1313">
        <v>89.59</v>
      </c>
      <c r="CH310" s="1314">
        <v>90.72</v>
      </c>
    </row>
    <row r="311" spans="1:86" ht="20.149999999999999" customHeight="1">
      <c r="A311" s="1563" t="s">
        <v>1427</v>
      </c>
      <c r="B311" s="1563" t="s">
        <v>14</v>
      </c>
      <c r="C311" s="1563" t="str">
        <f t="shared" si="5"/>
        <v>PBSDDF49</v>
      </c>
      <c r="D311" s="1193">
        <v>49</v>
      </c>
      <c r="E311" s="1540"/>
      <c r="F311" s="1313">
        <v>0.32</v>
      </c>
      <c r="G311" s="1313">
        <v>0.49</v>
      </c>
      <c r="H311" s="1313">
        <v>0.67</v>
      </c>
      <c r="I311" s="1313">
        <v>0.87</v>
      </c>
      <c r="J311" s="1313">
        <v>1.07</v>
      </c>
      <c r="K311" s="1313">
        <v>1.29</v>
      </c>
      <c r="L311" s="1313">
        <v>1.52</v>
      </c>
      <c r="M311" s="1314">
        <v>1.77</v>
      </c>
      <c r="N311" s="1312">
        <v>2.04</v>
      </c>
      <c r="O311" s="1313">
        <v>2.33</v>
      </c>
      <c r="P311" s="1313">
        <v>2.64</v>
      </c>
      <c r="Q311" s="1313">
        <v>2.97</v>
      </c>
      <c r="R311" s="1313">
        <v>3.33</v>
      </c>
      <c r="S311" s="1313">
        <v>3.72</v>
      </c>
      <c r="T311" s="1313">
        <v>4.1399999999999997</v>
      </c>
      <c r="U311" s="1313">
        <v>4.5999999999999996</v>
      </c>
      <c r="V311" s="1313">
        <v>5.09</v>
      </c>
      <c r="W311" s="1314">
        <v>5.63</v>
      </c>
      <c r="X311" s="1312">
        <v>6.22</v>
      </c>
      <c r="Y311" s="1313">
        <v>6.87</v>
      </c>
      <c r="Z311" s="1313">
        <v>7.59</v>
      </c>
      <c r="AA311" s="1313">
        <v>8.3699999999999992</v>
      </c>
      <c r="AB311" s="1313">
        <v>9.24</v>
      </c>
      <c r="AC311" s="1313">
        <v>10.19</v>
      </c>
      <c r="AD311" s="1313">
        <v>11.24</v>
      </c>
      <c r="AE311" s="1313">
        <v>12.4</v>
      </c>
      <c r="AF311" s="1313">
        <v>13.66</v>
      </c>
      <c r="AG311" s="1314">
        <v>15.04</v>
      </c>
      <c r="AH311" s="1312">
        <v>16.55</v>
      </c>
      <c r="AI311" s="1313">
        <v>18.47</v>
      </c>
      <c r="AJ311" s="1313">
        <v>20.38</v>
      </c>
      <c r="AK311" s="1313">
        <v>22.26</v>
      </c>
      <c r="AL311" s="1313">
        <v>24.13</v>
      </c>
      <c r="AM311" s="1313">
        <v>25.98</v>
      </c>
      <c r="AN311" s="1313">
        <v>27.81</v>
      </c>
      <c r="AO311" s="1313">
        <v>29.62</v>
      </c>
      <c r="AP311" s="1313">
        <v>31.42</v>
      </c>
      <c r="AQ311" s="1314">
        <v>33.200000000000003</v>
      </c>
      <c r="AR311" s="1312">
        <v>34.950000000000003</v>
      </c>
      <c r="AS311" s="1313">
        <v>36.700000000000003</v>
      </c>
      <c r="AT311" s="1313">
        <v>38.42</v>
      </c>
      <c r="AU311" s="1313">
        <v>40.130000000000003</v>
      </c>
      <c r="AV311" s="1313">
        <v>41.82</v>
      </c>
      <c r="AW311" s="1313">
        <v>43.49</v>
      </c>
      <c r="AX311" s="1313">
        <v>45.15</v>
      </c>
      <c r="AY311" s="1313">
        <v>46.79</v>
      </c>
      <c r="AZ311" s="1313">
        <v>48.42</v>
      </c>
      <c r="BA311" s="1314">
        <v>50.03</v>
      </c>
      <c r="BB311" s="1312">
        <v>51.62</v>
      </c>
      <c r="BC311" s="1313">
        <v>53.19</v>
      </c>
      <c r="BD311" s="1313">
        <v>54.76</v>
      </c>
      <c r="BE311" s="1313">
        <v>56.3</v>
      </c>
      <c r="BF311" s="1313">
        <v>57.83</v>
      </c>
      <c r="BG311" s="1313">
        <v>59.35</v>
      </c>
      <c r="BH311" s="1313">
        <v>60.85</v>
      </c>
      <c r="BI311" s="1313">
        <v>62.33</v>
      </c>
      <c r="BJ311" s="1313">
        <v>63.8</v>
      </c>
      <c r="BK311" s="1314">
        <v>65.260000000000005</v>
      </c>
      <c r="BL311" s="1312">
        <v>66.7</v>
      </c>
      <c r="BM311" s="1313">
        <v>68.13</v>
      </c>
      <c r="BN311" s="1313">
        <v>69.540000000000006</v>
      </c>
      <c r="BO311" s="1313">
        <v>70.94</v>
      </c>
      <c r="BP311" s="1313">
        <v>72.33</v>
      </c>
      <c r="BQ311" s="1313">
        <v>73.7</v>
      </c>
      <c r="BR311" s="1313">
        <v>75.06</v>
      </c>
      <c r="BS311" s="1313">
        <v>76.400000000000006</v>
      </c>
      <c r="BT311" s="1313">
        <v>77.739999999999995</v>
      </c>
      <c r="BU311" s="1314">
        <v>79.05</v>
      </c>
      <c r="BV311" s="1312">
        <v>80.36</v>
      </c>
      <c r="BW311" s="1313">
        <v>81.650000000000006</v>
      </c>
      <c r="BX311" s="1313">
        <v>82.93</v>
      </c>
      <c r="BY311" s="1313">
        <v>84.2</v>
      </c>
      <c r="BZ311" s="1313">
        <v>85.45</v>
      </c>
      <c r="CA311" s="1313">
        <v>86.69</v>
      </c>
      <c r="CB311" s="1313">
        <v>87.92</v>
      </c>
      <c r="CC311" s="1313">
        <v>89.14</v>
      </c>
      <c r="CD311" s="1313">
        <v>90.35</v>
      </c>
      <c r="CE311" s="1314">
        <v>91.54</v>
      </c>
      <c r="CF311" s="1313">
        <v>92.72</v>
      </c>
      <c r="CG311" s="1313">
        <v>93.89</v>
      </c>
      <c r="CH311" s="1314">
        <v>95.05</v>
      </c>
    </row>
    <row r="312" spans="1:86" ht="20.149999999999999" customHeight="1">
      <c r="A312" s="1563" t="s">
        <v>1427</v>
      </c>
      <c r="B312" s="1563" t="s">
        <v>14</v>
      </c>
      <c r="C312" s="1563" t="str">
        <f t="shared" si="5"/>
        <v>PBSDDF50</v>
      </c>
      <c r="D312" s="1193">
        <v>50</v>
      </c>
      <c r="E312" s="1540"/>
      <c r="F312" s="1313">
        <v>0.35</v>
      </c>
      <c r="G312" s="1313">
        <v>0.53</v>
      </c>
      <c r="H312" s="1313">
        <v>0.73</v>
      </c>
      <c r="I312" s="1313">
        <v>0.94</v>
      </c>
      <c r="J312" s="1313">
        <v>1.17</v>
      </c>
      <c r="K312" s="1313">
        <v>1.41</v>
      </c>
      <c r="L312" s="1313">
        <v>1.67</v>
      </c>
      <c r="M312" s="1314">
        <v>1.95</v>
      </c>
      <c r="N312" s="1312">
        <v>2.2400000000000002</v>
      </c>
      <c r="O312" s="1313">
        <v>2.56</v>
      </c>
      <c r="P312" s="1313">
        <v>2.91</v>
      </c>
      <c r="Q312" s="1313">
        <v>3.28</v>
      </c>
      <c r="R312" s="1313">
        <v>3.68</v>
      </c>
      <c r="S312" s="1313">
        <v>4.1100000000000003</v>
      </c>
      <c r="T312" s="1313">
        <v>4.58</v>
      </c>
      <c r="U312" s="1313">
        <v>5.09</v>
      </c>
      <c r="V312" s="1313">
        <v>5.65</v>
      </c>
      <c r="W312" s="1314">
        <v>6.26</v>
      </c>
      <c r="X312" s="1312">
        <v>6.93</v>
      </c>
      <c r="Y312" s="1313">
        <v>7.67</v>
      </c>
      <c r="Z312" s="1313">
        <v>8.48</v>
      </c>
      <c r="AA312" s="1313">
        <v>9.3699999999999992</v>
      </c>
      <c r="AB312" s="1313">
        <v>10.36</v>
      </c>
      <c r="AC312" s="1313">
        <v>11.44</v>
      </c>
      <c r="AD312" s="1313">
        <v>12.63</v>
      </c>
      <c r="AE312" s="1313">
        <v>13.94</v>
      </c>
      <c r="AF312" s="1313">
        <v>15.37</v>
      </c>
      <c r="AG312" s="1314">
        <v>16.920000000000002</v>
      </c>
      <c r="AH312" s="1312">
        <v>18.920000000000002</v>
      </c>
      <c r="AI312" s="1313">
        <v>20.9</v>
      </c>
      <c r="AJ312" s="1313">
        <v>22.86</v>
      </c>
      <c r="AK312" s="1313">
        <v>24.8</v>
      </c>
      <c r="AL312" s="1313">
        <v>26.72</v>
      </c>
      <c r="AM312" s="1313">
        <v>28.62</v>
      </c>
      <c r="AN312" s="1313">
        <v>30.5</v>
      </c>
      <c r="AO312" s="1313">
        <v>32.369999999999997</v>
      </c>
      <c r="AP312" s="1313">
        <v>34.21</v>
      </c>
      <c r="AQ312" s="1314">
        <v>36.04</v>
      </c>
      <c r="AR312" s="1312">
        <v>37.85</v>
      </c>
      <c r="AS312" s="1313">
        <v>39.64</v>
      </c>
      <c r="AT312" s="1313">
        <v>41.41</v>
      </c>
      <c r="AU312" s="1313">
        <v>43.17</v>
      </c>
      <c r="AV312" s="1313">
        <v>44.91</v>
      </c>
      <c r="AW312" s="1313">
        <v>46.63</v>
      </c>
      <c r="AX312" s="1313">
        <v>48.33</v>
      </c>
      <c r="AY312" s="1313">
        <v>50.02</v>
      </c>
      <c r="AZ312" s="1313">
        <v>51.69</v>
      </c>
      <c r="BA312" s="1314">
        <v>53.35</v>
      </c>
      <c r="BB312" s="1312">
        <v>54.98</v>
      </c>
      <c r="BC312" s="1313">
        <v>56.61</v>
      </c>
      <c r="BD312" s="1313">
        <v>58.21</v>
      </c>
      <c r="BE312" s="1313">
        <v>59.8</v>
      </c>
      <c r="BF312" s="1313">
        <v>61.38</v>
      </c>
      <c r="BG312" s="1313">
        <v>62.93</v>
      </c>
      <c r="BH312" s="1313">
        <v>64.48</v>
      </c>
      <c r="BI312" s="1313">
        <v>66</v>
      </c>
      <c r="BJ312" s="1313">
        <v>67.52</v>
      </c>
      <c r="BK312" s="1314">
        <v>69.010000000000005</v>
      </c>
      <c r="BL312" s="1312">
        <v>70.5</v>
      </c>
      <c r="BM312" s="1313">
        <v>71.97</v>
      </c>
      <c r="BN312" s="1313">
        <v>73.42</v>
      </c>
      <c r="BO312" s="1313">
        <v>74.86</v>
      </c>
      <c r="BP312" s="1313">
        <v>76.28</v>
      </c>
      <c r="BQ312" s="1313">
        <v>77.69</v>
      </c>
      <c r="BR312" s="1313">
        <v>79.09</v>
      </c>
      <c r="BS312" s="1313">
        <v>80.47</v>
      </c>
      <c r="BT312" s="1313">
        <v>81.84</v>
      </c>
      <c r="BU312" s="1314">
        <v>83.2</v>
      </c>
      <c r="BV312" s="1312">
        <v>84.54</v>
      </c>
      <c r="BW312" s="1313">
        <v>85.87</v>
      </c>
      <c r="BX312" s="1313">
        <v>87.19</v>
      </c>
      <c r="BY312" s="1313">
        <v>88.49</v>
      </c>
      <c r="BZ312" s="1313">
        <v>89.78</v>
      </c>
      <c r="CA312" s="1313">
        <v>91.06</v>
      </c>
      <c r="CB312" s="1313">
        <v>92.32</v>
      </c>
      <c r="CC312" s="1313">
        <v>93.57</v>
      </c>
      <c r="CD312" s="1313">
        <v>94.81</v>
      </c>
      <c r="CE312" s="1314">
        <v>96.04</v>
      </c>
      <c r="CF312" s="1313">
        <v>97.25</v>
      </c>
      <c r="CG312" s="1313">
        <v>98.46</v>
      </c>
      <c r="CH312" s="1314">
        <v>99.65</v>
      </c>
    </row>
    <row r="313" spans="1:86" ht="20.149999999999999" customHeight="1">
      <c r="A313" s="1563" t="s">
        <v>1427</v>
      </c>
      <c r="B313" s="1563" t="s">
        <v>14</v>
      </c>
      <c r="C313" s="1563" t="str">
        <f t="shared" si="5"/>
        <v>PBSDDF51</v>
      </c>
      <c r="D313" s="1194">
        <v>51</v>
      </c>
      <c r="E313" s="1541"/>
      <c r="F313" s="1316">
        <v>0.38</v>
      </c>
      <c r="G313" s="1316">
        <v>0.57999999999999996</v>
      </c>
      <c r="H313" s="1316">
        <v>0.8</v>
      </c>
      <c r="I313" s="1316">
        <v>1.03</v>
      </c>
      <c r="J313" s="1316">
        <v>1.28</v>
      </c>
      <c r="K313" s="1316">
        <v>1.55</v>
      </c>
      <c r="L313" s="1316">
        <v>1.84</v>
      </c>
      <c r="M313" s="1317">
        <v>2.14</v>
      </c>
      <c r="N313" s="1315">
        <v>2.4700000000000002</v>
      </c>
      <c r="O313" s="1316">
        <v>2.83</v>
      </c>
      <c r="P313" s="1316">
        <v>3.21</v>
      </c>
      <c r="Q313" s="1316">
        <v>3.62</v>
      </c>
      <c r="R313" s="1316">
        <v>4.07</v>
      </c>
      <c r="S313" s="1316">
        <v>4.5599999999999996</v>
      </c>
      <c r="T313" s="1316">
        <v>5.08</v>
      </c>
      <c r="U313" s="1316">
        <v>5.66</v>
      </c>
      <c r="V313" s="1316">
        <v>6.29</v>
      </c>
      <c r="W313" s="1317">
        <v>6.98</v>
      </c>
      <c r="X313" s="1315">
        <v>7.74</v>
      </c>
      <c r="Y313" s="1316">
        <v>8.58</v>
      </c>
      <c r="Z313" s="1316">
        <v>9.5</v>
      </c>
      <c r="AA313" s="1316">
        <v>10.52</v>
      </c>
      <c r="AB313" s="1316">
        <v>11.64</v>
      </c>
      <c r="AC313" s="1316">
        <v>12.87</v>
      </c>
      <c r="AD313" s="1316">
        <v>14.22</v>
      </c>
      <c r="AE313" s="1316">
        <v>15.7</v>
      </c>
      <c r="AF313" s="1316">
        <v>17.309999999999999</v>
      </c>
      <c r="AG313" s="1317">
        <v>19.38</v>
      </c>
      <c r="AH313" s="1315">
        <v>21.44</v>
      </c>
      <c r="AI313" s="1316">
        <v>23.48</v>
      </c>
      <c r="AJ313" s="1316">
        <v>25.49</v>
      </c>
      <c r="AK313" s="1316">
        <v>27.49</v>
      </c>
      <c r="AL313" s="1316">
        <v>29.47</v>
      </c>
      <c r="AM313" s="1316">
        <v>31.42</v>
      </c>
      <c r="AN313" s="1316">
        <v>33.36</v>
      </c>
      <c r="AO313" s="1316">
        <v>35.28</v>
      </c>
      <c r="AP313" s="1316">
        <v>37.18</v>
      </c>
      <c r="AQ313" s="1317">
        <v>39.06</v>
      </c>
      <c r="AR313" s="1315">
        <v>40.92</v>
      </c>
      <c r="AS313" s="1316">
        <v>42.77</v>
      </c>
      <c r="AT313" s="1316">
        <v>44.59</v>
      </c>
      <c r="AU313" s="1316">
        <v>46.4</v>
      </c>
      <c r="AV313" s="1316">
        <v>48.19</v>
      </c>
      <c r="AW313" s="1316">
        <v>49.96</v>
      </c>
      <c r="AX313" s="1316">
        <v>51.72</v>
      </c>
      <c r="AY313" s="1316">
        <v>53.45</v>
      </c>
      <c r="AZ313" s="1316">
        <v>55.17</v>
      </c>
      <c r="BA313" s="1317">
        <v>56.87</v>
      </c>
      <c r="BB313" s="1315">
        <v>58.56</v>
      </c>
      <c r="BC313" s="1316">
        <v>60.23</v>
      </c>
      <c r="BD313" s="1316">
        <v>61.88</v>
      </c>
      <c r="BE313" s="1316">
        <v>63.52</v>
      </c>
      <c r="BF313" s="1316">
        <v>65.14</v>
      </c>
      <c r="BG313" s="1316">
        <v>66.739999999999995</v>
      </c>
      <c r="BH313" s="1316">
        <v>68.33</v>
      </c>
      <c r="BI313" s="1316">
        <v>69.900000000000006</v>
      </c>
      <c r="BJ313" s="1316">
        <v>71.459999999999994</v>
      </c>
      <c r="BK313" s="1317">
        <v>73</v>
      </c>
      <c r="BL313" s="1315">
        <v>74.53</v>
      </c>
      <c r="BM313" s="1316">
        <v>76.040000000000006</v>
      </c>
      <c r="BN313" s="1316">
        <v>77.53</v>
      </c>
      <c r="BO313" s="1316">
        <v>79.02</v>
      </c>
      <c r="BP313" s="1316">
        <v>80.48</v>
      </c>
      <c r="BQ313" s="1316">
        <v>81.93</v>
      </c>
      <c r="BR313" s="1316">
        <v>83.37</v>
      </c>
      <c r="BS313" s="1316">
        <v>84.8</v>
      </c>
      <c r="BT313" s="1316">
        <v>86.2</v>
      </c>
      <c r="BU313" s="1317">
        <v>87.6</v>
      </c>
      <c r="BV313" s="1315">
        <v>88.98</v>
      </c>
      <c r="BW313" s="1316">
        <v>90.35</v>
      </c>
      <c r="BX313" s="1316">
        <v>91.7</v>
      </c>
      <c r="BY313" s="1316">
        <v>93.05</v>
      </c>
      <c r="BZ313" s="1316">
        <v>94.37</v>
      </c>
      <c r="CA313" s="1316">
        <v>95.69</v>
      </c>
      <c r="CB313" s="1316">
        <v>96.99</v>
      </c>
      <c r="CC313" s="1316">
        <v>98.28</v>
      </c>
      <c r="CD313" s="1316">
        <v>99.55</v>
      </c>
      <c r="CE313" s="1317">
        <v>100.82</v>
      </c>
      <c r="CF313" s="1316">
        <v>102.07</v>
      </c>
      <c r="CG313" s="1316">
        <v>103.31</v>
      </c>
      <c r="CH313" s="1317">
        <v>104.53</v>
      </c>
    </row>
    <row r="314" spans="1:86" ht="20.149999999999999" customHeight="1">
      <c r="A314" s="1563" t="s">
        <v>1427</v>
      </c>
      <c r="B314" s="1563" t="s">
        <v>14</v>
      </c>
      <c r="C314" s="1563" t="str">
        <f t="shared" si="5"/>
        <v>PBSDDF52</v>
      </c>
      <c r="D314" s="1193">
        <v>52</v>
      </c>
      <c r="E314" s="1540"/>
      <c r="F314" s="1313">
        <v>0.41</v>
      </c>
      <c r="G314" s="1313">
        <v>0.64</v>
      </c>
      <c r="H314" s="1313">
        <v>0.88</v>
      </c>
      <c r="I314" s="1313">
        <v>1.1399999999999999</v>
      </c>
      <c r="J314" s="1313">
        <v>1.41</v>
      </c>
      <c r="K314" s="1313">
        <v>1.71</v>
      </c>
      <c r="L314" s="1313">
        <v>2.02</v>
      </c>
      <c r="M314" s="1314">
        <v>2.36</v>
      </c>
      <c r="N314" s="1312">
        <v>2.73</v>
      </c>
      <c r="O314" s="1313">
        <v>3.13</v>
      </c>
      <c r="P314" s="1313">
        <v>3.55</v>
      </c>
      <c r="Q314" s="1313">
        <v>4.01</v>
      </c>
      <c r="R314" s="1313">
        <v>4.5199999999999996</v>
      </c>
      <c r="S314" s="1313">
        <v>5.0599999999999996</v>
      </c>
      <c r="T314" s="1313">
        <v>5.66</v>
      </c>
      <c r="U314" s="1313">
        <v>6.31</v>
      </c>
      <c r="V314" s="1313">
        <v>7.02</v>
      </c>
      <c r="W314" s="1314">
        <v>7.81</v>
      </c>
      <c r="X314" s="1312">
        <v>8.67</v>
      </c>
      <c r="Y314" s="1313">
        <v>9.6300000000000008</v>
      </c>
      <c r="Z314" s="1313">
        <v>10.68</v>
      </c>
      <c r="AA314" s="1313">
        <v>11.84</v>
      </c>
      <c r="AB314" s="1313">
        <v>13.11</v>
      </c>
      <c r="AC314" s="1313">
        <v>14.51</v>
      </c>
      <c r="AD314" s="1313">
        <v>16.04</v>
      </c>
      <c r="AE314" s="1313">
        <v>17.7</v>
      </c>
      <c r="AF314" s="1313">
        <v>19.86</v>
      </c>
      <c r="AG314" s="1314">
        <v>22</v>
      </c>
      <c r="AH314" s="1312">
        <v>24.12</v>
      </c>
      <c r="AI314" s="1313">
        <v>26.22</v>
      </c>
      <c r="AJ314" s="1313">
        <v>28.29</v>
      </c>
      <c r="AK314" s="1313">
        <v>30.35</v>
      </c>
      <c r="AL314" s="1313">
        <v>32.39</v>
      </c>
      <c r="AM314" s="1313">
        <v>34.4</v>
      </c>
      <c r="AN314" s="1313">
        <v>36.4</v>
      </c>
      <c r="AO314" s="1313">
        <v>38.380000000000003</v>
      </c>
      <c r="AP314" s="1313">
        <v>40.340000000000003</v>
      </c>
      <c r="AQ314" s="1314">
        <v>42.27</v>
      </c>
      <c r="AR314" s="1312">
        <v>44.19</v>
      </c>
      <c r="AS314" s="1313">
        <v>46.09</v>
      </c>
      <c r="AT314" s="1313">
        <v>47.97</v>
      </c>
      <c r="AU314" s="1313">
        <v>49.83</v>
      </c>
      <c r="AV314" s="1313">
        <v>51.68</v>
      </c>
      <c r="AW314" s="1313">
        <v>53.5</v>
      </c>
      <c r="AX314" s="1313">
        <v>55.31</v>
      </c>
      <c r="AY314" s="1313">
        <v>57.1</v>
      </c>
      <c r="AZ314" s="1313">
        <v>58.87</v>
      </c>
      <c r="BA314" s="1314">
        <v>60.63</v>
      </c>
      <c r="BB314" s="1312">
        <v>62.36</v>
      </c>
      <c r="BC314" s="1313">
        <v>64.08</v>
      </c>
      <c r="BD314" s="1313">
        <v>65.790000000000006</v>
      </c>
      <c r="BE314" s="1313">
        <v>67.47</v>
      </c>
      <c r="BF314" s="1313">
        <v>69.14</v>
      </c>
      <c r="BG314" s="1313">
        <v>70.790000000000006</v>
      </c>
      <c r="BH314" s="1313">
        <v>72.430000000000007</v>
      </c>
      <c r="BI314" s="1313">
        <v>74.05</v>
      </c>
      <c r="BJ314" s="1313">
        <v>75.650000000000006</v>
      </c>
      <c r="BK314" s="1314">
        <v>77.239999999999995</v>
      </c>
      <c r="BL314" s="1312">
        <v>78.81</v>
      </c>
      <c r="BM314" s="1313">
        <v>80.37</v>
      </c>
      <c r="BN314" s="1313">
        <v>81.91</v>
      </c>
      <c r="BO314" s="1313">
        <v>83.44</v>
      </c>
      <c r="BP314" s="1313">
        <v>84.95</v>
      </c>
      <c r="BQ314" s="1313">
        <v>86.45</v>
      </c>
      <c r="BR314" s="1313">
        <v>87.93</v>
      </c>
      <c r="BS314" s="1313">
        <v>89.39</v>
      </c>
      <c r="BT314" s="1313">
        <v>90.84</v>
      </c>
      <c r="BU314" s="1314">
        <v>92.28</v>
      </c>
      <c r="BV314" s="1312">
        <v>93.71</v>
      </c>
      <c r="BW314" s="1313">
        <v>95.12</v>
      </c>
      <c r="BX314" s="1313">
        <v>96.51</v>
      </c>
      <c r="BY314" s="1313">
        <v>97.89</v>
      </c>
      <c r="BZ314" s="1313">
        <v>99.26</v>
      </c>
      <c r="CA314" s="1313">
        <v>100.61</v>
      </c>
      <c r="CB314" s="1313">
        <v>101.96</v>
      </c>
      <c r="CC314" s="1313">
        <v>103.28</v>
      </c>
      <c r="CD314" s="1313">
        <v>104.6</v>
      </c>
      <c r="CE314" s="1314">
        <v>105.9</v>
      </c>
      <c r="CF314" s="1313">
        <v>107.19</v>
      </c>
      <c r="CG314" s="1313">
        <v>108.46</v>
      </c>
      <c r="CH314" s="1314">
        <v>109.73</v>
      </c>
    </row>
    <row r="315" spans="1:86" ht="20.149999999999999" customHeight="1">
      <c r="A315" s="1563" t="s">
        <v>1427</v>
      </c>
      <c r="B315" s="1563" t="s">
        <v>14</v>
      </c>
      <c r="C315" s="1563" t="str">
        <f t="shared" si="5"/>
        <v>PBSDDF53</v>
      </c>
      <c r="D315" s="1193">
        <v>53</v>
      </c>
      <c r="E315" s="1540"/>
      <c r="F315" s="1313">
        <v>0.45</v>
      </c>
      <c r="G315" s="1313">
        <v>0.7</v>
      </c>
      <c r="H315" s="1313">
        <v>0.97</v>
      </c>
      <c r="I315" s="1313">
        <v>1.25</v>
      </c>
      <c r="J315" s="1313">
        <v>1.56</v>
      </c>
      <c r="K315" s="1313">
        <v>1.89</v>
      </c>
      <c r="L315" s="1313">
        <v>2.2400000000000002</v>
      </c>
      <c r="M315" s="1314">
        <v>2.62</v>
      </c>
      <c r="N315" s="1312">
        <v>3.02</v>
      </c>
      <c r="O315" s="1313">
        <v>3.46</v>
      </c>
      <c r="P315" s="1313">
        <v>3.94</v>
      </c>
      <c r="Q315" s="1313">
        <v>4.46</v>
      </c>
      <c r="R315" s="1313">
        <v>5.0199999999999996</v>
      </c>
      <c r="S315" s="1313">
        <v>5.64</v>
      </c>
      <c r="T315" s="1313">
        <v>6.31</v>
      </c>
      <c r="U315" s="1313">
        <v>7.05</v>
      </c>
      <c r="V315" s="1313">
        <v>7.86</v>
      </c>
      <c r="W315" s="1314">
        <v>8.76</v>
      </c>
      <c r="X315" s="1312">
        <v>9.75</v>
      </c>
      <c r="Y315" s="1313">
        <v>10.83</v>
      </c>
      <c r="Z315" s="1313">
        <v>12.03</v>
      </c>
      <c r="AA315" s="1313">
        <v>13.35</v>
      </c>
      <c r="AB315" s="1313">
        <v>14.8</v>
      </c>
      <c r="AC315" s="1313">
        <v>16.38</v>
      </c>
      <c r="AD315" s="1313">
        <v>18.100000000000001</v>
      </c>
      <c r="AE315" s="1313">
        <v>20.350000000000001</v>
      </c>
      <c r="AF315" s="1313">
        <v>22.58</v>
      </c>
      <c r="AG315" s="1314">
        <v>24.79</v>
      </c>
      <c r="AH315" s="1312">
        <v>26.97</v>
      </c>
      <c r="AI315" s="1313">
        <v>29.14</v>
      </c>
      <c r="AJ315" s="1313">
        <v>31.28</v>
      </c>
      <c r="AK315" s="1313">
        <v>33.4</v>
      </c>
      <c r="AL315" s="1313">
        <v>35.5</v>
      </c>
      <c r="AM315" s="1313">
        <v>37.58</v>
      </c>
      <c r="AN315" s="1313">
        <v>39.64</v>
      </c>
      <c r="AO315" s="1313">
        <v>41.68</v>
      </c>
      <c r="AP315" s="1313">
        <v>43.7</v>
      </c>
      <c r="AQ315" s="1314">
        <v>45.69</v>
      </c>
      <c r="AR315" s="1312">
        <v>47.67</v>
      </c>
      <c r="AS315" s="1313">
        <v>49.63</v>
      </c>
      <c r="AT315" s="1313">
        <v>51.57</v>
      </c>
      <c r="AU315" s="1313">
        <v>53.49</v>
      </c>
      <c r="AV315" s="1313">
        <v>55.39</v>
      </c>
      <c r="AW315" s="1313">
        <v>57.28</v>
      </c>
      <c r="AX315" s="1313">
        <v>59.14</v>
      </c>
      <c r="AY315" s="1313">
        <v>60.99</v>
      </c>
      <c r="AZ315" s="1313">
        <v>62.81</v>
      </c>
      <c r="BA315" s="1314">
        <v>64.62</v>
      </c>
      <c r="BB315" s="1312">
        <v>66.41</v>
      </c>
      <c r="BC315" s="1313">
        <v>68.19</v>
      </c>
      <c r="BD315" s="1313">
        <v>69.94</v>
      </c>
      <c r="BE315" s="1313">
        <v>71.680000000000007</v>
      </c>
      <c r="BF315" s="1313">
        <v>73.400000000000006</v>
      </c>
      <c r="BG315" s="1313">
        <v>75.11</v>
      </c>
      <c r="BH315" s="1313">
        <v>76.790000000000006</v>
      </c>
      <c r="BI315" s="1313">
        <v>78.459999999999994</v>
      </c>
      <c r="BJ315" s="1313">
        <v>80.12</v>
      </c>
      <c r="BK315" s="1314">
        <v>81.760000000000005</v>
      </c>
      <c r="BL315" s="1312">
        <v>83.38</v>
      </c>
      <c r="BM315" s="1313">
        <v>84.98</v>
      </c>
      <c r="BN315" s="1313">
        <v>86.57</v>
      </c>
      <c r="BO315" s="1313">
        <v>88.15</v>
      </c>
      <c r="BP315" s="1313">
        <v>89.71</v>
      </c>
      <c r="BQ315" s="1313">
        <v>91.25</v>
      </c>
      <c r="BR315" s="1313">
        <v>92.78</v>
      </c>
      <c r="BS315" s="1313">
        <v>94.29</v>
      </c>
      <c r="BT315" s="1313">
        <v>95.79</v>
      </c>
      <c r="BU315" s="1314">
        <v>97.27</v>
      </c>
      <c r="BV315" s="1312">
        <v>98.74</v>
      </c>
      <c r="BW315" s="1313">
        <v>100.19</v>
      </c>
      <c r="BX315" s="1313">
        <v>101.63</v>
      </c>
      <c r="BY315" s="1313">
        <v>103.05</v>
      </c>
      <c r="BZ315" s="1313">
        <v>104.46</v>
      </c>
      <c r="CA315" s="1313">
        <v>105.86</v>
      </c>
      <c r="CB315" s="1313">
        <v>107.24</v>
      </c>
      <c r="CC315" s="1313">
        <v>108.61</v>
      </c>
      <c r="CD315" s="1313">
        <v>109.97</v>
      </c>
      <c r="CE315" s="1314">
        <v>111.31</v>
      </c>
      <c r="CF315" s="1313">
        <v>112.64</v>
      </c>
      <c r="CG315" s="1313">
        <v>113.96</v>
      </c>
      <c r="CH315" s="1314">
        <v>115.26</v>
      </c>
    </row>
    <row r="316" spans="1:86" ht="20.149999999999999" customHeight="1">
      <c r="A316" s="1563" t="s">
        <v>1427</v>
      </c>
      <c r="B316" s="1563" t="s">
        <v>14</v>
      </c>
      <c r="C316" s="1563" t="str">
        <f t="shared" si="5"/>
        <v>PBSDDF54</v>
      </c>
      <c r="D316" s="1193">
        <v>54</v>
      </c>
      <c r="E316" s="1540"/>
      <c r="F316" s="1313">
        <v>0.5</v>
      </c>
      <c r="G316" s="1313">
        <v>0.77</v>
      </c>
      <c r="H316" s="1313">
        <v>1.07</v>
      </c>
      <c r="I316" s="1313">
        <v>1.38</v>
      </c>
      <c r="J316" s="1313">
        <v>1.72</v>
      </c>
      <c r="K316" s="1313">
        <v>2.09</v>
      </c>
      <c r="L316" s="1313">
        <v>2.48</v>
      </c>
      <c r="M316" s="1314">
        <v>2.9</v>
      </c>
      <c r="N316" s="1312">
        <v>3.36</v>
      </c>
      <c r="O316" s="1313">
        <v>3.85</v>
      </c>
      <c r="P316" s="1313">
        <v>4.38</v>
      </c>
      <c r="Q316" s="1313">
        <v>4.97</v>
      </c>
      <c r="R316" s="1313">
        <v>5.6</v>
      </c>
      <c r="S316" s="1313">
        <v>6.3</v>
      </c>
      <c r="T316" s="1313">
        <v>7.06</v>
      </c>
      <c r="U316" s="1313">
        <v>7.9</v>
      </c>
      <c r="V316" s="1313">
        <v>8.83</v>
      </c>
      <c r="W316" s="1314">
        <v>9.85</v>
      </c>
      <c r="X316" s="1312">
        <v>10.98</v>
      </c>
      <c r="Y316" s="1313">
        <v>12.22</v>
      </c>
      <c r="Z316" s="1313">
        <v>13.59</v>
      </c>
      <c r="AA316" s="1313">
        <v>15.09</v>
      </c>
      <c r="AB316" s="1313">
        <v>16.72</v>
      </c>
      <c r="AC316" s="1313">
        <v>18.5</v>
      </c>
      <c r="AD316" s="1313">
        <v>20.85</v>
      </c>
      <c r="AE316" s="1313">
        <v>23.17</v>
      </c>
      <c r="AF316" s="1313">
        <v>25.48</v>
      </c>
      <c r="AG316" s="1314">
        <v>27.76</v>
      </c>
      <c r="AH316" s="1312">
        <v>30.01</v>
      </c>
      <c r="AI316" s="1313">
        <v>32.25</v>
      </c>
      <c r="AJ316" s="1313">
        <v>34.46</v>
      </c>
      <c r="AK316" s="1313">
        <v>36.65</v>
      </c>
      <c r="AL316" s="1313">
        <v>38.82</v>
      </c>
      <c r="AM316" s="1313">
        <v>40.96</v>
      </c>
      <c r="AN316" s="1313">
        <v>43.09</v>
      </c>
      <c r="AO316" s="1313">
        <v>45.19</v>
      </c>
      <c r="AP316" s="1313">
        <v>47.28</v>
      </c>
      <c r="AQ316" s="1314">
        <v>49.34</v>
      </c>
      <c r="AR316" s="1312">
        <v>51.38</v>
      </c>
      <c r="AS316" s="1313">
        <v>53.41</v>
      </c>
      <c r="AT316" s="1313">
        <v>55.41</v>
      </c>
      <c r="AU316" s="1313">
        <v>57.39</v>
      </c>
      <c r="AV316" s="1313">
        <v>59.35</v>
      </c>
      <c r="AW316" s="1313">
        <v>61.3</v>
      </c>
      <c r="AX316" s="1313">
        <v>63.22</v>
      </c>
      <c r="AY316" s="1313">
        <v>65.13</v>
      </c>
      <c r="AZ316" s="1313">
        <v>67.010000000000005</v>
      </c>
      <c r="BA316" s="1314">
        <v>68.88</v>
      </c>
      <c r="BB316" s="1312">
        <v>70.73</v>
      </c>
      <c r="BC316" s="1313">
        <v>72.56</v>
      </c>
      <c r="BD316" s="1313">
        <v>74.37</v>
      </c>
      <c r="BE316" s="1313">
        <v>76.17</v>
      </c>
      <c r="BF316" s="1313">
        <v>77.95</v>
      </c>
      <c r="BG316" s="1313">
        <v>79.709999999999994</v>
      </c>
      <c r="BH316" s="1313">
        <v>81.45</v>
      </c>
      <c r="BI316" s="1313">
        <v>83.17</v>
      </c>
      <c r="BJ316" s="1313">
        <v>84.88</v>
      </c>
      <c r="BK316" s="1314">
        <v>86.57</v>
      </c>
      <c r="BL316" s="1312">
        <v>88.24</v>
      </c>
      <c r="BM316" s="1313">
        <v>89.9</v>
      </c>
      <c r="BN316" s="1313">
        <v>91.54</v>
      </c>
      <c r="BO316" s="1313">
        <v>93.17</v>
      </c>
      <c r="BP316" s="1313">
        <v>94.78</v>
      </c>
      <c r="BQ316" s="1313">
        <v>96.37</v>
      </c>
      <c r="BR316" s="1313">
        <v>97.95</v>
      </c>
      <c r="BS316" s="1313">
        <v>99.51</v>
      </c>
      <c r="BT316" s="1313">
        <v>101.05</v>
      </c>
      <c r="BU316" s="1314">
        <v>102.58</v>
      </c>
      <c r="BV316" s="1312">
        <v>104.1</v>
      </c>
      <c r="BW316" s="1313">
        <v>105.6</v>
      </c>
      <c r="BX316" s="1313">
        <v>107.09</v>
      </c>
      <c r="BY316" s="1313">
        <v>108.56</v>
      </c>
      <c r="BZ316" s="1313">
        <v>110.01</v>
      </c>
      <c r="CA316" s="1313">
        <v>111.46</v>
      </c>
      <c r="CB316" s="1313">
        <v>112.88</v>
      </c>
      <c r="CC316" s="1313">
        <v>114.3</v>
      </c>
      <c r="CD316" s="1313">
        <v>115.7</v>
      </c>
      <c r="CE316" s="1314">
        <v>117.08</v>
      </c>
      <c r="CF316" s="1313">
        <v>118.45</v>
      </c>
      <c r="CG316" s="1313">
        <v>119.81</v>
      </c>
      <c r="CH316" s="1314">
        <v>121.16</v>
      </c>
    </row>
    <row r="317" spans="1:86" ht="20.149999999999999" customHeight="1">
      <c r="A317" s="1563" t="s">
        <v>1427</v>
      </c>
      <c r="B317" s="1563" t="s">
        <v>14</v>
      </c>
      <c r="C317" s="1563" t="str">
        <f t="shared" si="5"/>
        <v>PBSDDF55</v>
      </c>
      <c r="D317" s="1195">
        <v>55</v>
      </c>
      <c r="E317" s="1542"/>
      <c r="F317" s="1319">
        <v>0.55000000000000004</v>
      </c>
      <c r="G317" s="1319">
        <v>0.86</v>
      </c>
      <c r="H317" s="1319">
        <v>1.18</v>
      </c>
      <c r="I317" s="1319">
        <v>1.53</v>
      </c>
      <c r="J317" s="1319">
        <v>1.91</v>
      </c>
      <c r="K317" s="1319">
        <v>2.3199999999999998</v>
      </c>
      <c r="L317" s="1319">
        <v>2.75</v>
      </c>
      <c r="M317" s="1320">
        <v>3.22</v>
      </c>
      <c r="N317" s="1318">
        <v>3.73</v>
      </c>
      <c r="O317" s="1319">
        <v>4.29</v>
      </c>
      <c r="P317" s="1319">
        <v>4.8899999999999997</v>
      </c>
      <c r="Q317" s="1319">
        <v>5.55</v>
      </c>
      <c r="R317" s="1319">
        <v>6.27</v>
      </c>
      <c r="S317" s="1319">
        <v>7.06</v>
      </c>
      <c r="T317" s="1319">
        <v>7.93</v>
      </c>
      <c r="U317" s="1319">
        <v>8.89</v>
      </c>
      <c r="V317" s="1319">
        <v>9.9499999999999993</v>
      </c>
      <c r="W317" s="1320">
        <v>11.12</v>
      </c>
      <c r="X317" s="1318">
        <v>12.4</v>
      </c>
      <c r="Y317" s="1319">
        <v>13.82</v>
      </c>
      <c r="Z317" s="1319">
        <v>15.37</v>
      </c>
      <c r="AA317" s="1319">
        <v>17.059999999999999</v>
      </c>
      <c r="AB317" s="1319">
        <v>18.91</v>
      </c>
      <c r="AC317" s="1319">
        <v>21.36</v>
      </c>
      <c r="AD317" s="1319">
        <v>23.79</v>
      </c>
      <c r="AE317" s="1319">
        <v>26.19</v>
      </c>
      <c r="AF317" s="1319">
        <v>28.57</v>
      </c>
      <c r="AG317" s="1320">
        <v>30.92</v>
      </c>
      <c r="AH317" s="1318">
        <v>33.26</v>
      </c>
      <c r="AI317" s="1319">
        <v>35.57</v>
      </c>
      <c r="AJ317" s="1319">
        <v>37.85</v>
      </c>
      <c r="AK317" s="1319">
        <v>40.11</v>
      </c>
      <c r="AL317" s="1319">
        <v>42.36</v>
      </c>
      <c r="AM317" s="1319">
        <v>44.57</v>
      </c>
      <c r="AN317" s="1319">
        <v>46.77</v>
      </c>
      <c r="AO317" s="1319">
        <v>48.95</v>
      </c>
      <c r="AP317" s="1319">
        <v>51.1</v>
      </c>
      <c r="AQ317" s="1320">
        <v>53.23</v>
      </c>
      <c r="AR317" s="1318">
        <v>55.34</v>
      </c>
      <c r="AS317" s="1319">
        <v>57.43</v>
      </c>
      <c r="AT317" s="1319">
        <v>59.5</v>
      </c>
      <c r="AU317" s="1319">
        <v>61.55</v>
      </c>
      <c r="AV317" s="1319">
        <v>63.58</v>
      </c>
      <c r="AW317" s="1319">
        <v>65.59</v>
      </c>
      <c r="AX317" s="1319">
        <v>67.58</v>
      </c>
      <c r="AY317" s="1319">
        <v>69.55</v>
      </c>
      <c r="AZ317" s="1319">
        <v>71.5</v>
      </c>
      <c r="BA317" s="1320">
        <v>73.430000000000007</v>
      </c>
      <c r="BB317" s="1318">
        <v>75.34</v>
      </c>
      <c r="BC317" s="1319">
        <v>77.23</v>
      </c>
      <c r="BD317" s="1319">
        <v>79.099999999999994</v>
      </c>
      <c r="BE317" s="1319">
        <v>80.959999999999994</v>
      </c>
      <c r="BF317" s="1319">
        <v>82.8</v>
      </c>
      <c r="BG317" s="1319">
        <v>84.61</v>
      </c>
      <c r="BH317" s="1319">
        <v>86.41</v>
      </c>
      <c r="BI317" s="1319">
        <v>88.2</v>
      </c>
      <c r="BJ317" s="1319">
        <v>89.96</v>
      </c>
      <c r="BK317" s="1320">
        <v>91.71</v>
      </c>
      <c r="BL317" s="1318">
        <v>93.44</v>
      </c>
      <c r="BM317" s="1319">
        <v>95.15</v>
      </c>
      <c r="BN317" s="1319">
        <v>96.85</v>
      </c>
      <c r="BO317" s="1319">
        <v>98.53</v>
      </c>
      <c r="BP317" s="1319">
        <v>100.19</v>
      </c>
      <c r="BQ317" s="1319">
        <v>101.84</v>
      </c>
      <c r="BR317" s="1319">
        <v>103.47</v>
      </c>
      <c r="BS317" s="1319">
        <v>105.08</v>
      </c>
      <c r="BT317" s="1319">
        <v>106.68</v>
      </c>
      <c r="BU317" s="1320">
        <v>108.26</v>
      </c>
      <c r="BV317" s="1318">
        <v>109.83</v>
      </c>
      <c r="BW317" s="1319">
        <v>111.38</v>
      </c>
      <c r="BX317" s="1319">
        <v>112.91</v>
      </c>
      <c r="BY317" s="1319">
        <v>114.43</v>
      </c>
      <c r="BZ317" s="1319">
        <v>115.94</v>
      </c>
      <c r="CA317" s="1319">
        <v>117.43</v>
      </c>
      <c r="CB317" s="1319">
        <v>118.9</v>
      </c>
      <c r="CC317" s="1319">
        <v>120.36</v>
      </c>
      <c r="CD317" s="1319">
        <v>121.81</v>
      </c>
      <c r="CE317" s="1320">
        <v>123.24</v>
      </c>
      <c r="CF317" s="1319">
        <v>124.66</v>
      </c>
      <c r="CG317" s="1319">
        <v>126.06</v>
      </c>
      <c r="CH317" s="1320">
        <v>127.45</v>
      </c>
    </row>
    <row r="318" spans="1:86" ht="20.149999999999999" customHeight="1">
      <c r="A318" s="1563" t="s">
        <v>1427</v>
      </c>
      <c r="B318" s="1563" t="s">
        <v>14</v>
      </c>
      <c r="C318" s="1563" t="str">
        <f t="shared" si="5"/>
        <v>PBSDDF56</v>
      </c>
      <c r="D318" s="1193">
        <v>56</v>
      </c>
      <c r="E318" s="1540"/>
      <c r="F318" s="1313">
        <v>0.61</v>
      </c>
      <c r="G318" s="1313">
        <v>0.95</v>
      </c>
      <c r="H318" s="1313">
        <v>1.31</v>
      </c>
      <c r="I318" s="1313">
        <v>1.7</v>
      </c>
      <c r="J318" s="1313">
        <v>2.12</v>
      </c>
      <c r="K318" s="1313">
        <v>2.57</v>
      </c>
      <c r="L318" s="1313">
        <v>3.06</v>
      </c>
      <c r="M318" s="1314">
        <v>3.59</v>
      </c>
      <c r="N318" s="1312">
        <v>4.16</v>
      </c>
      <c r="O318" s="1313">
        <v>4.79</v>
      </c>
      <c r="P318" s="1313">
        <v>5.47</v>
      </c>
      <c r="Q318" s="1313">
        <v>6.21</v>
      </c>
      <c r="R318" s="1313">
        <v>7.03</v>
      </c>
      <c r="S318" s="1313">
        <v>7.93</v>
      </c>
      <c r="T318" s="1313">
        <v>8.93</v>
      </c>
      <c r="U318" s="1313">
        <v>10.029999999999999</v>
      </c>
      <c r="V318" s="1313">
        <v>11.24</v>
      </c>
      <c r="W318" s="1314">
        <v>12.57</v>
      </c>
      <c r="X318" s="1312">
        <v>14.04</v>
      </c>
      <c r="Y318" s="1313">
        <v>15.65</v>
      </c>
      <c r="Z318" s="1313">
        <v>17.41</v>
      </c>
      <c r="AA318" s="1313">
        <v>19.32</v>
      </c>
      <c r="AB318" s="1313">
        <v>21.88</v>
      </c>
      <c r="AC318" s="1313">
        <v>24.42</v>
      </c>
      <c r="AD318" s="1313">
        <v>26.93</v>
      </c>
      <c r="AE318" s="1313">
        <v>29.41</v>
      </c>
      <c r="AF318" s="1313">
        <v>31.87</v>
      </c>
      <c r="AG318" s="1314">
        <v>34.31</v>
      </c>
      <c r="AH318" s="1312">
        <v>36.72</v>
      </c>
      <c r="AI318" s="1313">
        <v>39.11</v>
      </c>
      <c r="AJ318" s="1313">
        <v>41.48</v>
      </c>
      <c r="AK318" s="1313">
        <v>43.82</v>
      </c>
      <c r="AL318" s="1313">
        <v>46.14</v>
      </c>
      <c r="AM318" s="1313">
        <v>48.43</v>
      </c>
      <c r="AN318" s="1313">
        <v>50.71</v>
      </c>
      <c r="AO318" s="1313">
        <v>52.96</v>
      </c>
      <c r="AP318" s="1313">
        <v>55.19</v>
      </c>
      <c r="AQ318" s="1314">
        <v>57.39</v>
      </c>
      <c r="AR318" s="1312">
        <v>59.58</v>
      </c>
      <c r="AS318" s="1313">
        <v>61.74</v>
      </c>
      <c r="AT318" s="1313">
        <v>63.88</v>
      </c>
      <c r="AU318" s="1313">
        <v>66</v>
      </c>
      <c r="AV318" s="1313">
        <v>68.099999999999994</v>
      </c>
      <c r="AW318" s="1313">
        <v>70.180000000000007</v>
      </c>
      <c r="AX318" s="1313">
        <v>72.23</v>
      </c>
      <c r="AY318" s="1313">
        <v>74.27</v>
      </c>
      <c r="AZ318" s="1313">
        <v>76.290000000000006</v>
      </c>
      <c r="BA318" s="1314">
        <v>78.28</v>
      </c>
      <c r="BB318" s="1312">
        <v>80.260000000000005</v>
      </c>
      <c r="BC318" s="1313">
        <v>82.22</v>
      </c>
      <c r="BD318" s="1313">
        <v>84.16</v>
      </c>
      <c r="BE318" s="1313">
        <v>86.08</v>
      </c>
      <c r="BF318" s="1313">
        <v>87.98</v>
      </c>
      <c r="BG318" s="1313">
        <v>89.86</v>
      </c>
      <c r="BH318" s="1313">
        <v>91.72</v>
      </c>
      <c r="BI318" s="1313">
        <v>93.57</v>
      </c>
      <c r="BJ318" s="1313">
        <v>95.39</v>
      </c>
      <c r="BK318" s="1314">
        <v>97.2</v>
      </c>
      <c r="BL318" s="1312">
        <v>98.99</v>
      </c>
      <c r="BM318" s="1313">
        <v>100.76</v>
      </c>
      <c r="BN318" s="1313">
        <v>102.52</v>
      </c>
      <c r="BO318" s="1313">
        <v>104.25</v>
      </c>
      <c r="BP318" s="1313">
        <v>105.97</v>
      </c>
      <c r="BQ318" s="1313">
        <v>107.68</v>
      </c>
      <c r="BR318" s="1313">
        <v>109.36</v>
      </c>
      <c r="BS318" s="1313">
        <v>111.03</v>
      </c>
      <c r="BT318" s="1313">
        <v>112.69</v>
      </c>
      <c r="BU318" s="1314">
        <v>114.32</v>
      </c>
      <c r="BV318" s="1312">
        <v>115.94</v>
      </c>
      <c r="BW318" s="1313">
        <v>117.55</v>
      </c>
      <c r="BX318" s="1313">
        <v>119.14</v>
      </c>
      <c r="BY318" s="1313">
        <v>120.71</v>
      </c>
      <c r="BZ318" s="1313">
        <v>122.27</v>
      </c>
      <c r="CA318" s="1313">
        <v>123.81</v>
      </c>
      <c r="CB318" s="1313">
        <v>125.34</v>
      </c>
      <c r="CC318" s="1313">
        <v>126.85</v>
      </c>
      <c r="CD318" s="1313">
        <v>128.34</v>
      </c>
      <c r="CE318" s="1314">
        <v>129.82</v>
      </c>
      <c r="CF318" s="1313">
        <v>131.29</v>
      </c>
      <c r="CG318" s="1313">
        <v>132.74</v>
      </c>
      <c r="CH318" s="1314">
        <v>134.18</v>
      </c>
    </row>
    <row r="319" spans="1:86" ht="20.149999999999999" customHeight="1">
      <c r="A319" s="1563" t="s">
        <v>1427</v>
      </c>
      <c r="B319" s="1563" t="s">
        <v>14</v>
      </c>
      <c r="C319" s="1563" t="str">
        <f t="shared" si="5"/>
        <v>PBSDDF57</v>
      </c>
      <c r="D319" s="1193">
        <v>57</v>
      </c>
      <c r="E319" s="1540"/>
      <c r="F319" s="1313">
        <v>0.68</v>
      </c>
      <c r="G319" s="1313">
        <v>1.05</v>
      </c>
      <c r="H319" s="1313">
        <v>1.46</v>
      </c>
      <c r="I319" s="1313">
        <v>1.89</v>
      </c>
      <c r="J319" s="1313">
        <v>2.36</v>
      </c>
      <c r="K319" s="1313">
        <v>2.86</v>
      </c>
      <c r="L319" s="1313">
        <v>3.41</v>
      </c>
      <c r="M319" s="1314">
        <v>4</v>
      </c>
      <c r="N319" s="1312">
        <v>4.6500000000000004</v>
      </c>
      <c r="O319" s="1313">
        <v>5.36</v>
      </c>
      <c r="P319" s="1313">
        <v>6.13</v>
      </c>
      <c r="Q319" s="1313">
        <v>6.98</v>
      </c>
      <c r="R319" s="1313">
        <v>7.91</v>
      </c>
      <c r="S319" s="1313">
        <v>8.9499999999999993</v>
      </c>
      <c r="T319" s="1313">
        <v>10.08</v>
      </c>
      <c r="U319" s="1313">
        <v>11.34</v>
      </c>
      <c r="V319" s="1313">
        <v>12.72</v>
      </c>
      <c r="W319" s="1314">
        <v>14.25</v>
      </c>
      <c r="X319" s="1312">
        <v>15.92</v>
      </c>
      <c r="Y319" s="1313">
        <v>17.739999999999998</v>
      </c>
      <c r="Z319" s="1313">
        <v>19.73</v>
      </c>
      <c r="AA319" s="1313">
        <v>22.41</v>
      </c>
      <c r="AB319" s="1313">
        <v>25.06</v>
      </c>
      <c r="AC319" s="1313">
        <v>27.69</v>
      </c>
      <c r="AD319" s="1313">
        <v>30.29</v>
      </c>
      <c r="AE319" s="1313">
        <v>32.86</v>
      </c>
      <c r="AF319" s="1313">
        <v>35.409999999999997</v>
      </c>
      <c r="AG319" s="1314">
        <v>37.94</v>
      </c>
      <c r="AH319" s="1312">
        <v>40.43</v>
      </c>
      <c r="AI319" s="1313">
        <v>42.91</v>
      </c>
      <c r="AJ319" s="1313">
        <v>45.36</v>
      </c>
      <c r="AK319" s="1313">
        <v>47.78</v>
      </c>
      <c r="AL319" s="1313">
        <v>50.19</v>
      </c>
      <c r="AM319" s="1313">
        <v>52.56</v>
      </c>
      <c r="AN319" s="1313">
        <v>54.92</v>
      </c>
      <c r="AO319" s="1313">
        <v>57.25</v>
      </c>
      <c r="AP319" s="1313">
        <v>59.56</v>
      </c>
      <c r="AQ319" s="1314">
        <v>61.84</v>
      </c>
      <c r="AR319" s="1312">
        <v>64.099999999999994</v>
      </c>
      <c r="AS319" s="1313">
        <v>66.34</v>
      </c>
      <c r="AT319" s="1313">
        <v>68.56</v>
      </c>
      <c r="AU319" s="1313">
        <v>70.760000000000005</v>
      </c>
      <c r="AV319" s="1313">
        <v>72.930000000000007</v>
      </c>
      <c r="AW319" s="1313">
        <v>75.08</v>
      </c>
      <c r="AX319" s="1313">
        <v>77.22</v>
      </c>
      <c r="AY319" s="1313">
        <v>79.33</v>
      </c>
      <c r="AZ319" s="1313">
        <v>81.42</v>
      </c>
      <c r="BA319" s="1314">
        <v>83.48</v>
      </c>
      <c r="BB319" s="1312">
        <v>85.53</v>
      </c>
      <c r="BC319" s="1313">
        <v>87.56</v>
      </c>
      <c r="BD319" s="1313">
        <v>89.57</v>
      </c>
      <c r="BE319" s="1313">
        <v>91.56</v>
      </c>
      <c r="BF319" s="1313">
        <v>93.52</v>
      </c>
      <c r="BG319" s="1313">
        <v>95.47</v>
      </c>
      <c r="BH319" s="1313">
        <v>97.4</v>
      </c>
      <c r="BI319" s="1313">
        <v>99.31</v>
      </c>
      <c r="BJ319" s="1313">
        <v>101.2</v>
      </c>
      <c r="BK319" s="1314">
        <v>103.08</v>
      </c>
      <c r="BL319" s="1312">
        <v>104.93</v>
      </c>
      <c r="BM319" s="1313">
        <v>106.77</v>
      </c>
      <c r="BN319" s="1313">
        <v>108.58</v>
      </c>
      <c r="BO319" s="1313">
        <v>110.38</v>
      </c>
      <c r="BP319" s="1313">
        <v>112.17</v>
      </c>
      <c r="BQ319" s="1313">
        <v>113.93</v>
      </c>
      <c r="BR319" s="1313">
        <v>115.68</v>
      </c>
      <c r="BS319" s="1313">
        <v>117.41</v>
      </c>
      <c r="BT319" s="1313">
        <v>119.12</v>
      </c>
      <c r="BU319" s="1314">
        <v>120.81</v>
      </c>
      <c r="BV319" s="1312">
        <v>122.49</v>
      </c>
      <c r="BW319" s="1313">
        <v>124.15</v>
      </c>
      <c r="BX319" s="1313">
        <v>125.8</v>
      </c>
      <c r="BY319" s="1313">
        <v>127.43</v>
      </c>
      <c r="BZ319" s="1313">
        <v>129.04</v>
      </c>
      <c r="CA319" s="1313">
        <v>130.63999999999999</v>
      </c>
      <c r="CB319" s="1313">
        <v>132.22</v>
      </c>
      <c r="CC319" s="1313">
        <v>133.79</v>
      </c>
      <c r="CD319" s="1313">
        <v>135.34</v>
      </c>
      <c r="CE319" s="1314">
        <v>136.87</v>
      </c>
      <c r="CF319" s="1313">
        <v>138.38999999999999</v>
      </c>
      <c r="CG319" s="1313">
        <v>139.88999999999999</v>
      </c>
      <c r="CH319" s="1314">
        <v>141.38</v>
      </c>
    </row>
    <row r="320" spans="1:86" ht="20.149999999999999" customHeight="1">
      <c r="A320" s="1563" t="s">
        <v>1427</v>
      </c>
      <c r="B320" s="1563" t="s">
        <v>14</v>
      </c>
      <c r="C320" s="1563" t="str">
        <f t="shared" si="5"/>
        <v>PBSDDF58</v>
      </c>
      <c r="D320" s="1193">
        <v>58</v>
      </c>
      <c r="E320" s="1540"/>
      <c r="F320" s="1313">
        <v>0.75</v>
      </c>
      <c r="G320" s="1313">
        <v>1.17</v>
      </c>
      <c r="H320" s="1313">
        <v>1.62</v>
      </c>
      <c r="I320" s="1313">
        <v>2.11</v>
      </c>
      <c r="J320" s="1313">
        <v>2.63</v>
      </c>
      <c r="K320" s="1313">
        <v>3.19</v>
      </c>
      <c r="L320" s="1313">
        <v>3.81</v>
      </c>
      <c r="M320" s="1314">
        <v>4.4800000000000004</v>
      </c>
      <c r="N320" s="1312">
        <v>5.21</v>
      </c>
      <c r="O320" s="1313">
        <v>6.01</v>
      </c>
      <c r="P320" s="1313">
        <v>6.89</v>
      </c>
      <c r="Q320" s="1313">
        <v>7.86</v>
      </c>
      <c r="R320" s="1313">
        <v>8.93</v>
      </c>
      <c r="S320" s="1313">
        <v>10.119999999999999</v>
      </c>
      <c r="T320" s="1313">
        <v>11.42</v>
      </c>
      <c r="U320" s="1313">
        <v>12.86</v>
      </c>
      <c r="V320" s="1313">
        <v>14.44</v>
      </c>
      <c r="W320" s="1314">
        <v>16.170000000000002</v>
      </c>
      <c r="X320" s="1312">
        <v>18.07</v>
      </c>
      <c r="Y320" s="1313">
        <v>20.13</v>
      </c>
      <c r="Z320" s="1313">
        <v>22.94</v>
      </c>
      <c r="AA320" s="1313">
        <v>25.72</v>
      </c>
      <c r="AB320" s="1313">
        <v>28.47</v>
      </c>
      <c r="AC320" s="1313">
        <v>31.19</v>
      </c>
      <c r="AD320" s="1313">
        <v>33.89</v>
      </c>
      <c r="AE320" s="1313">
        <v>36.56</v>
      </c>
      <c r="AF320" s="1313">
        <v>39.200000000000003</v>
      </c>
      <c r="AG320" s="1314">
        <v>41.82</v>
      </c>
      <c r="AH320" s="1312">
        <v>44.41</v>
      </c>
      <c r="AI320" s="1313">
        <v>46.98</v>
      </c>
      <c r="AJ320" s="1313">
        <v>49.52</v>
      </c>
      <c r="AK320" s="1313">
        <v>52.03</v>
      </c>
      <c r="AL320" s="1313">
        <v>54.52</v>
      </c>
      <c r="AM320" s="1313">
        <v>56.99</v>
      </c>
      <c r="AN320" s="1313">
        <v>59.43</v>
      </c>
      <c r="AO320" s="1313">
        <v>61.85</v>
      </c>
      <c r="AP320" s="1313">
        <v>64.239999999999995</v>
      </c>
      <c r="AQ320" s="1314">
        <v>66.61</v>
      </c>
      <c r="AR320" s="1312">
        <v>68.959999999999994</v>
      </c>
      <c r="AS320" s="1313">
        <v>71.28</v>
      </c>
      <c r="AT320" s="1313">
        <v>73.58</v>
      </c>
      <c r="AU320" s="1313">
        <v>75.86</v>
      </c>
      <c r="AV320" s="1313">
        <v>78.11</v>
      </c>
      <c r="AW320" s="1313">
        <v>80.349999999999994</v>
      </c>
      <c r="AX320" s="1313">
        <v>82.56</v>
      </c>
      <c r="AY320" s="1313">
        <v>84.75</v>
      </c>
      <c r="AZ320" s="1313">
        <v>86.91</v>
      </c>
      <c r="BA320" s="1314">
        <v>89.06</v>
      </c>
      <c r="BB320" s="1312">
        <v>91.18</v>
      </c>
      <c r="BC320" s="1313">
        <v>93.28</v>
      </c>
      <c r="BD320" s="1313">
        <v>95.37</v>
      </c>
      <c r="BE320" s="1313">
        <v>97.43</v>
      </c>
      <c r="BF320" s="1313">
        <v>99.47</v>
      </c>
      <c r="BG320" s="1313">
        <v>101.49</v>
      </c>
      <c r="BH320" s="1313">
        <v>103.49</v>
      </c>
      <c r="BI320" s="1313">
        <v>105.47</v>
      </c>
      <c r="BJ320" s="1313">
        <v>107.43</v>
      </c>
      <c r="BK320" s="1314">
        <v>109.38</v>
      </c>
      <c r="BL320" s="1312">
        <v>111.3</v>
      </c>
      <c r="BM320" s="1313">
        <v>113.2</v>
      </c>
      <c r="BN320" s="1313">
        <v>115.09</v>
      </c>
      <c r="BO320" s="1313">
        <v>116.95</v>
      </c>
      <c r="BP320" s="1313">
        <v>118.8</v>
      </c>
      <c r="BQ320" s="1313">
        <v>120.63</v>
      </c>
      <c r="BR320" s="1313">
        <v>122.44</v>
      </c>
      <c r="BS320" s="1313">
        <v>124.24</v>
      </c>
      <c r="BT320" s="1313">
        <v>126.01</v>
      </c>
      <c r="BU320" s="1314">
        <v>127.77</v>
      </c>
      <c r="BV320" s="1312">
        <v>129.51</v>
      </c>
      <c r="BW320" s="1313">
        <v>131.22999999999999</v>
      </c>
      <c r="BX320" s="1313">
        <v>132.94</v>
      </c>
      <c r="BY320" s="1313">
        <v>134.63</v>
      </c>
      <c r="BZ320" s="1313">
        <v>136.30000000000001</v>
      </c>
      <c r="CA320" s="1313">
        <v>137.96</v>
      </c>
      <c r="CB320" s="1313">
        <v>139.6</v>
      </c>
      <c r="CC320" s="1313">
        <v>141.22</v>
      </c>
      <c r="CD320" s="1313">
        <v>142.83000000000001</v>
      </c>
      <c r="CE320" s="1314">
        <v>144.41999999999999</v>
      </c>
      <c r="CF320" s="1313">
        <v>146</v>
      </c>
      <c r="CG320" s="1313">
        <v>147.56</v>
      </c>
      <c r="CH320" s="1314">
        <v>149.1</v>
      </c>
    </row>
    <row r="321" spans="1:86" ht="20.149999999999999" customHeight="1">
      <c r="A321" s="1563" t="s">
        <v>1427</v>
      </c>
      <c r="B321" s="1563" t="s">
        <v>14</v>
      </c>
      <c r="C321" s="1563" t="str">
        <f t="shared" si="5"/>
        <v>PBSDDF59</v>
      </c>
      <c r="D321" s="1193">
        <v>59</v>
      </c>
      <c r="E321" s="1540"/>
      <c r="F321" s="1313">
        <v>0.84</v>
      </c>
      <c r="G321" s="1313">
        <v>1.3</v>
      </c>
      <c r="H321" s="1313">
        <v>1.81</v>
      </c>
      <c r="I321" s="1313">
        <v>2.35</v>
      </c>
      <c r="J321" s="1313">
        <v>2.93</v>
      </c>
      <c r="K321" s="1313">
        <v>3.57</v>
      </c>
      <c r="L321" s="1313">
        <v>4.2699999999999996</v>
      </c>
      <c r="M321" s="1314">
        <v>5.03</v>
      </c>
      <c r="N321" s="1312">
        <v>5.86</v>
      </c>
      <c r="O321" s="1313">
        <v>6.77</v>
      </c>
      <c r="P321" s="1313">
        <v>7.78</v>
      </c>
      <c r="Q321" s="1313">
        <v>8.89</v>
      </c>
      <c r="R321" s="1313">
        <v>10.119999999999999</v>
      </c>
      <c r="S321" s="1313">
        <v>11.47</v>
      </c>
      <c r="T321" s="1313">
        <v>12.96</v>
      </c>
      <c r="U321" s="1313">
        <v>14.61</v>
      </c>
      <c r="V321" s="1313">
        <v>16.41</v>
      </c>
      <c r="W321" s="1314">
        <v>18.38</v>
      </c>
      <c r="X321" s="1312">
        <v>20.53</v>
      </c>
      <c r="Y321" s="1313">
        <v>23.47</v>
      </c>
      <c r="Z321" s="1313">
        <v>26.38</v>
      </c>
      <c r="AA321" s="1313">
        <v>29.27</v>
      </c>
      <c r="AB321" s="1313">
        <v>32.130000000000003</v>
      </c>
      <c r="AC321" s="1313">
        <v>34.950000000000003</v>
      </c>
      <c r="AD321" s="1313">
        <v>37.75</v>
      </c>
      <c r="AE321" s="1313">
        <v>40.53</v>
      </c>
      <c r="AF321" s="1313">
        <v>43.27</v>
      </c>
      <c r="AG321" s="1314">
        <v>45.99</v>
      </c>
      <c r="AH321" s="1312">
        <v>48.68</v>
      </c>
      <c r="AI321" s="1313">
        <v>51.35</v>
      </c>
      <c r="AJ321" s="1313">
        <v>53.98</v>
      </c>
      <c r="AK321" s="1313">
        <v>56.6</v>
      </c>
      <c r="AL321" s="1313">
        <v>59.18</v>
      </c>
      <c r="AM321" s="1313">
        <v>61.74</v>
      </c>
      <c r="AN321" s="1313">
        <v>64.28</v>
      </c>
      <c r="AO321" s="1313">
        <v>66.790000000000006</v>
      </c>
      <c r="AP321" s="1313">
        <v>69.27</v>
      </c>
      <c r="AQ321" s="1314">
        <v>71.739999999999995</v>
      </c>
      <c r="AR321" s="1312">
        <v>74.17</v>
      </c>
      <c r="AS321" s="1313">
        <v>76.58</v>
      </c>
      <c r="AT321" s="1313">
        <v>78.97</v>
      </c>
      <c r="AU321" s="1313">
        <v>81.34</v>
      </c>
      <c r="AV321" s="1313">
        <v>83.68</v>
      </c>
      <c r="AW321" s="1313">
        <v>86</v>
      </c>
      <c r="AX321" s="1313">
        <v>88.29</v>
      </c>
      <c r="AY321" s="1313">
        <v>90.56</v>
      </c>
      <c r="AZ321" s="1313">
        <v>92.81</v>
      </c>
      <c r="BA321" s="1314">
        <v>95.04</v>
      </c>
      <c r="BB321" s="1312">
        <v>97.25</v>
      </c>
      <c r="BC321" s="1313">
        <v>99.43</v>
      </c>
      <c r="BD321" s="1313">
        <v>101.59</v>
      </c>
      <c r="BE321" s="1313">
        <v>103.73</v>
      </c>
      <c r="BF321" s="1313">
        <v>105.85</v>
      </c>
      <c r="BG321" s="1313">
        <v>107.95</v>
      </c>
      <c r="BH321" s="1313">
        <v>110.03</v>
      </c>
      <c r="BI321" s="1313">
        <v>112.09</v>
      </c>
      <c r="BJ321" s="1313">
        <v>114.12</v>
      </c>
      <c r="BK321" s="1314">
        <v>116.14</v>
      </c>
      <c r="BL321" s="1312">
        <v>118.14</v>
      </c>
      <c r="BM321" s="1313">
        <v>120.11</v>
      </c>
      <c r="BN321" s="1313">
        <v>122.07</v>
      </c>
      <c r="BO321" s="1313">
        <v>124.01</v>
      </c>
      <c r="BP321" s="1313">
        <v>125.93</v>
      </c>
      <c r="BQ321" s="1313">
        <v>127.83</v>
      </c>
      <c r="BR321" s="1313">
        <v>129.71</v>
      </c>
      <c r="BS321" s="1313">
        <v>131.57</v>
      </c>
      <c r="BT321" s="1313">
        <v>133.41999999999999</v>
      </c>
      <c r="BU321" s="1314">
        <v>135.24</v>
      </c>
      <c r="BV321" s="1312">
        <v>137.05000000000001</v>
      </c>
      <c r="BW321" s="1313">
        <v>138.84</v>
      </c>
      <c r="BX321" s="1313">
        <v>140.61000000000001</v>
      </c>
      <c r="BY321" s="1313">
        <v>142.36000000000001</v>
      </c>
      <c r="BZ321" s="1313">
        <v>144.1</v>
      </c>
      <c r="CA321" s="1313">
        <v>145.82</v>
      </c>
      <c r="CB321" s="1313">
        <v>147.52000000000001</v>
      </c>
      <c r="CC321" s="1313">
        <v>149.21</v>
      </c>
      <c r="CD321" s="1313">
        <v>150.88</v>
      </c>
      <c r="CE321" s="1314">
        <v>152.53</v>
      </c>
      <c r="CF321" s="1313">
        <v>154.16999999999999</v>
      </c>
      <c r="CG321" s="1313">
        <v>155.79</v>
      </c>
      <c r="CH321" s="1314">
        <v>157.38999999999999</v>
      </c>
    </row>
    <row r="322" spans="1:86" ht="20.149999999999999" customHeight="1">
      <c r="A322" s="1563" t="s">
        <v>1427</v>
      </c>
      <c r="B322" s="1563" t="s">
        <v>14</v>
      </c>
      <c r="C322" s="1563" t="str">
        <f t="shared" si="5"/>
        <v>PBSDDF60</v>
      </c>
      <c r="D322" s="1193">
        <v>60</v>
      </c>
      <c r="E322" s="1540"/>
      <c r="F322" s="1313">
        <v>0.93</v>
      </c>
      <c r="G322" s="1313">
        <v>1.45</v>
      </c>
      <c r="H322" s="1313">
        <v>2.02</v>
      </c>
      <c r="I322" s="1313">
        <v>2.62</v>
      </c>
      <c r="J322" s="1313">
        <v>3.29</v>
      </c>
      <c r="K322" s="1313">
        <v>4.01</v>
      </c>
      <c r="L322" s="1313">
        <v>4.79</v>
      </c>
      <c r="M322" s="1314">
        <v>5.66</v>
      </c>
      <c r="N322" s="1312">
        <v>6.61</v>
      </c>
      <c r="O322" s="1313">
        <v>7.65</v>
      </c>
      <c r="P322" s="1313">
        <v>8.81</v>
      </c>
      <c r="Q322" s="1313">
        <v>10.08</v>
      </c>
      <c r="R322" s="1313">
        <v>11.49</v>
      </c>
      <c r="S322" s="1313">
        <v>13.04</v>
      </c>
      <c r="T322" s="1313">
        <v>14.75</v>
      </c>
      <c r="U322" s="1313">
        <v>16.63</v>
      </c>
      <c r="V322" s="1313">
        <v>18.68</v>
      </c>
      <c r="W322" s="1314">
        <v>20.91</v>
      </c>
      <c r="X322" s="1312">
        <v>24</v>
      </c>
      <c r="Y322" s="1313">
        <v>27.06</v>
      </c>
      <c r="Z322" s="1313">
        <v>30.09</v>
      </c>
      <c r="AA322" s="1313">
        <v>33.090000000000003</v>
      </c>
      <c r="AB322" s="1313">
        <v>36.06</v>
      </c>
      <c r="AC322" s="1313">
        <v>39</v>
      </c>
      <c r="AD322" s="1313">
        <v>41.91</v>
      </c>
      <c r="AE322" s="1313">
        <v>44.8</v>
      </c>
      <c r="AF322" s="1313">
        <v>47.65</v>
      </c>
      <c r="AG322" s="1314">
        <v>50.48</v>
      </c>
      <c r="AH322" s="1312">
        <v>53.28</v>
      </c>
      <c r="AI322" s="1313">
        <v>56.05</v>
      </c>
      <c r="AJ322" s="1313">
        <v>58.79</v>
      </c>
      <c r="AK322" s="1313">
        <v>61.51</v>
      </c>
      <c r="AL322" s="1313">
        <v>64.2</v>
      </c>
      <c r="AM322" s="1313">
        <v>66.86</v>
      </c>
      <c r="AN322" s="1313">
        <v>69.489999999999995</v>
      </c>
      <c r="AO322" s="1313">
        <v>72.099999999999994</v>
      </c>
      <c r="AP322" s="1313">
        <v>74.69</v>
      </c>
      <c r="AQ322" s="1314">
        <v>77.25</v>
      </c>
      <c r="AR322" s="1312">
        <v>79.78</v>
      </c>
      <c r="AS322" s="1313">
        <v>82.29</v>
      </c>
      <c r="AT322" s="1313">
        <v>84.77</v>
      </c>
      <c r="AU322" s="1313">
        <v>87.23</v>
      </c>
      <c r="AV322" s="1313">
        <v>89.67</v>
      </c>
      <c r="AW322" s="1313">
        <v>92.08</v>
      </c>
      <c r="AX322" s="1313">
        <v>94.46</v>
      </c>
      <c r="AY322" s="1313">
        <v>96.82</v>
      </c>
      <c r="AZ322" s="1313">
        <v>99.16</v>
      </c>
      <c r="BA322" s="1314">
        <v>101.48</v>
      </c>
      <c r="BB322" s="1312">
        <v>103.77</v>
      </c>
      <c r="BC322" s="1313">
        <v>106.04</v>
      </c>
      <c r="BD322" s="1313">
        <v>108.29</v>
      </c>
      <c r="BE322" s="1313">
        <v>110.52</v>
      </c>
      <c r="BF322" s="1313">
        <v>112.72</v>
      </c>
      <c r="BG322" s="1313">
        <v>114.9</v>
      </c>
      <c r="BH322" s="1313">
        <v>117.07</v>
      </c>
      <c r="BI322" s="1313">
        <v>119.2</v>
      </c>
      <c r="BJ322" s="1313">
        <v>121.32</v>
      </c>
      <c r="BK322" s="1314">
        <v>123.42</v>
      </c>
      <c r="BL322" s="1312">
        <v>125.5</v>
      </c>
      <c r="BM322" s="1313">
        <v>127.55</v>
      </c>
      <c r="BN322" s="1313">
        <v>129.59</v>
      </c>
      <c r="BO322" s="1313">
        <v>131.6</v>
      </c>
      <c r="BP322" s="1313">
        <v>133.6</v>
      </c>
      <c r="BQ322" s="1313">
        <v>135.57</v>
      </c>
      <c r="BR322" s="1313">
        <v>137.53</v>
      </c>
      <c r="BS322" s="1313">
        <v>139.46</v>
      </c>
      <c r="BT322" s="1313">
        <v>141.38</v>
      </c>
      <c r="BU322" s="1314">
        <v>143.28</v>
      </c>
      <c r="BV322" s="1312">
        <v>145.16</v>
      </c>
      <c r="BW322" s="1313">
        <v>147.02000000000001</v>
      </c>
      <c r="BX322" s="1313">
        <v>148.86000000000001</v>
      </c>
      <c r="BY322" s="1313">
        <v>150.69</v>
      </c>
      <c r="BZ322" s="1313">
        <v>152.49</v>
      </c>
      <c r="CA322" s="1313">
        <v>154.28</v>
      </c>
      <c r="CB322" s="1313">
        <v>156.05000000000001</v>
      </c>
      <c r="CC322" s="1313">
        <v>157.80000000000001</v>
      </c>
      <c r="CD322" s="1313">
        <v>159.54</v>
      </c>
      <c r="CE322" s="1314">
        <v>161.26</v>
      </c>
      <c r="CF322" s="1313">
        <v>162.96</v>
      </c>
      <c r="CG322" s="1313">
        <v>164.65</v>
      </c>
      <c r="CH322" s="1314">
        <v>166.31</v>
      </c>
    </row>
    <row r="323" spans="1:86" ht="20.149999999999999" customHeight="1">
      <c r="A323" s="1563" t="s">
        <v>1427</v>
      </c>
      <c r="B323" s="1563" t="s">
        <v>14</v>
      </c>
      <c r="C323" s="1563" t="str">
        <f t="shared" si="5"/>
        <v>PBSDDF61</v>
      </c>
      <c r="D323" s="1194">
        <v>61</v>
      </c>
      <c r="E323" s="1541"/>
      <c r="F323" s="1316">
        <v>1.04</v>
      </c>
      <c r="G323" s="1316">
        <v>1.62</v>
      </c>
      <c r="H323" s="1316">
        <v>2.2599999999999998</v>
      </c>
      <c r="I323" s="1316">
        <v>2.94</v>
      </c>
      <c r="J323" s="1316">
        <v>3.69</v>
      </c>
      <c r="K323" s="1316">
        <v>4.51</v>
      </c>
      <c r="L323" s="1316">
        <v>5.41</v>
      </c>
      <c r="M323" s="1317">
        <v>6.39</v>
      </c>
      <c r="N323" s="1315">
        <v>7.48</v>
      </c>
      <c r="O323" s="1316">
        <v>8.68</v>
      </c>
      <c r="P323" s="1316">
        <v>10.01</v>
      </c>
      <c r="Q323" s="1316">
        <v>11.47</v>
      </c>
      <c r="R323" s="1316">
        <v>13.09</v>
      </c>
      <c r="S323" s="1316">
        <v>14.87</v>
      </c>
      <c r="T323" s="1316">
        <v>16.82</v>
      </c>
      <c r="U323" s="1316">
        <v>18.95</v>
      </c>
      <c r="V323" s="1316">
        <v>21.27</v>
      </c>
      <c r="W323" s="1317">
        <v>24.53</v>
      </c>
      <c r="X323" s="1315">
        <v>27.74</v>
      </c>
      <c r="Y323" s="1316">
        <v>30.93</v>
      </c>
      <c r="Z323" s="1316">
        <v>34.090000000000003</v>
      </c>
      <c r="AA323" s="1316">
        <v>37.21</v>
      </c>
      <c r="AB323" s="1316">
        <v>40.299999999999997</v>
      </c>
      <c r="AC323" s="1316">
        <v>43.37</v>
      </c>
      <c r="AD323" s="1316">
        <v>46.4</v>
      </c>
      <c r="AE323" s="1316">
        <v>49.4</v>
      </c>
      <c r="AF323" s="1316">
        <v>52.37</v>
      </c>
      <c r="AG323" s="1317">
        <v>55.32</v>
      </c>
      <c r="AH323" s="1315">
        <v>58.23</v>
      </c>
      <c r="AI323" s="1316">
        <v>61.11</v>
      </c>
      <c r="AJ323" s="1316">
        <v>63.97</v>
      </c>
      <c r="AK323" s="1316">
        <v>66.8</v>
      </c>
      <c r="AL323" s="1316">
        <v>69.599999999999994</v>
      </c>
      <c r="AM323" s="1316">
        <v>72.37</v>
      </c>
      <c r="AN323" s="1316">
        <v>75.12</v>
      </c>
      <c r="AO323" s="1316">
        <v>77.83</v>
      </c>
      <c r="AP323" s="1316">
        <v>80.52</v>
      </c>
      <c r="AQ323" s="1317">
        <v>83.19</v>
      </c>
      <c r="AR323" s="1315">
        <v>85.83</v>
      </c>
      <c r="AS323" s="1316">
        <v>88.44</v>
      </c>
      <c r="AT323" s="1316">
        <v>91.02</v>
      </c>
      <c r="AU323" s="1316">
        <v>93.58</v>
      </c>
      <c r="AV323" s="1316">
        <v>96.12</v>
      </c>
      <c r="AW323" s="1316">
        <v>98.63</v>
      </c>
      <c r="AX323" s="1316">
        <v>101.11</v>
      </c>
      <c r="AY323" s="1316">
        <v>103.57</v>
      </c>
      <c r="AZ323" s="1316">
        <v>106.01</v>
      </c>
      <c r="BA323" s="1317">
        <v>108.42</v>
      </c>
      <c r="BB323" s="1315">
        <v>110.81</v>
      </c>
      <c r="BC323" s="1316">
        <v>113.17</v>
      </c>
      <c r="BD323" s="1316">
        <v>115.52</v>
      </c>
      <c r="BE323" s="1316">
        <v>117.83</v>
      </c>
      <c r="BF323" s="1316">
        <v>120.13</v>
      </c>
      <c r="BG323" s="1316">
        <v>122.4</v>
      </c>
      <c r="BH323" s="1316">
        <v>124.65</v>
      </c>
      <c r="BI323" s="1316">
        <v>126.88</v>
      </c>
      <c r="BJ323" s="1316">
        <v>129.08000000000001</v>
      </c>
      <c r="BK323" s="1317">
        <v>131.27000000000001</v>
      </c>
      <c r="BL323" s="1315">
        <v>133.43</v>
      </c>
      <c r="BM323" s="1316">
        <v>135.57</v>
      </c>
      <c r="BN323" s="1316">
        <v>137.69</v>
      </c>
      <c r="BO323" s="1316">
        <v>139.79</v>
      </c>
      <c r="BP323" s="1316">
        <v>141.86000000000001</v>
      </c>
      <c r="BQ323" s="1316">
        <v>143.91999999999999</v>
      </c>
      <c r="BR323" s="1316">
        <v>145.96</v>
      </c>
      <c r="BS323" s="1316">
        <v>147.97</v>
      </c>
      <c r="BT323" s="1316">
        <v>149.97</v>
      </c>
      <c r="BU323" s="1317">
        <v>151.94999999999999</v>
      </c>
      <c r="BV323" s="1315">
        <v>153.9</v>
      </c>
      <c r="BW323" s="1316">
        <v>155.84</v>
      </c>
      <c r="BX323" s="1316">
        <v>157.76</v>
      </c>
      <c r="BY323" s="1316">
        <v>159.66</v>
      </c>
      <c r="BZ323" s="1316">
        <v>161.54</v>
      </c>
      <c r="CA323" s="1316">
        <v>163.4</v>
      </c>
      <c r="CB323" s="1316">
        <v>165.25</v>
      </c>
      <c r="CC323" s="1316">
        <v>167.07</v>
      </c>
      <c r="CD323" s="1316">
        <v>168.88</v>
      </c>
      <c r="CE323" s="1317">
        <v>170.67</v>
      </c>
      <c r="CF323" s="1316">
        <v>172.44</v>
      </c>
      <c r="CG323" s="1316">
        <v>174.19</v>
      </c>
      <c r="CH323" s="1317">
        <v>175.93</v>
      </c>
    </row>
    <row r="324" spans="1:86" ht="20.149999999999999" customHeight="1">
      <c r="A324" s="1563" t="s">
        <v>1427</v>
      </c>
      <c r="B324" s="1563" t="s">
        <v>14</v>
      </c>
      <c r="C324" s="1563" t="str">
        <f t="shared" si="5"/>
        <v>PBSDDF62</v>
      </c>
      <c r="D324" s="1193">
        <v>62</v>
      </c>
      <c r="E324" s="1540"/>
      <c r="F324" s="1313">
        <v>1.17</v>
      </c>
      <c r="G324" s="1313">
        <v>1.82</v>
      </c>
      <c r="H324" s="1313">
        <v>2.5299999999999998</v>
      </c>
      <c r="I324" s="1313">
        <v>3.31</v>
      </c>
      <c r="J324" s="1313">
        <v>4.16</v>
      </c>
      <c r="K324" s="1313">
        <v>5.0999999999999996</v>
      </c>
      <c r="L324" s="1313">
        <v>6.12</v>
      </c>
      <c r="M324" s="1314">
        <v>7.25</v>
      </c>
      <c r="N324" s="1312">
        <v>8.5</v>
      </c>
      <c r="O324" s="1313">
        <v>9.89</v>
      </c>
      <c r="P324" s="1313">
        <v>11.41</v>
      </c>
      <c r="Q324" s="1313">
        <v>13.09</v>
      </c>
      <c r="R324" s="1313">
        <v>14.94</v>
      </c>
      <c r="S324" s="1313">
        <v>16.98</v>
      </c>
      <c r="T324" s="1313">
        <v>19.2</v>
      </c>
      <c r="U324" s="1313">
        <v>21.62</v>
      </c>
      <c r="V324" s="1313">
        <v>25.04</v>
      </c>
      <c r="W324" s="1314">
        <v>28.43</v>
      </c>
      <c r="X324" s="1312">
        <v>31.79</v>
      </c>
      <c r="Y324" s="1313">
        <v>35.11</v>
      </c>
      <c r="Z324" s="1313">
        <v>38.4</v>
      </c>
      <c r="AA324" s="1313">
        <v>41.66</v>
      </c>
      <c r="AB324" s="1313">
        <v>44.89</v>
      </c>
      <c r="AC324" s="1313">
        <v>48.08</v>
      </c>
      <c r="AD324" s="1313">
        <v>51.24</v>
      </c>
      <c r="AE324" s="1313">
        <v>54.37</v>
      </c>
      <c r="AF324" s="1313">
        <v>57.47</v>
      </c>
      <c r="AG324" s="1314">
        <v>60.54</v>
      </c>
      <c r="AH324" s="1312">
        <v>63.58</v>
      </c>
      <c r="AI324" s="1313">
        <v>66.59</v>
      </c>
      <c r="AJ324" s="1313">
        <v>69.569999999999993</v>
      </c>
      <c r="AK324" s="1313">
        <v>72.52</v>
      </c>
      <c r="AL324" s="1313">
        <v>75.44</v>
      </c>
      <c r="AM324" s="1313">
        <v>78.33</v>
      </c>
      <c r="AN324" s="1313">
        <v>81.19</v>
      </c>
      <c r="AO324" s="1313">
        <v>84.02</v>
      </c>
      <c r="AP324" s="1313">
        <v>86.83</v>
      </c>
      <c r="AQ324" s="1314">
        <v>89.61</v>
      </c>
      <c r="AR324" s="1312">
        <v>92.36</v>
      </c>
      <c r="AS324" s="1313">
        <v>95.08</v>
      </c>
      <c r="AT324" s="1313">
        <v>97.78</v>
      </c>
      <c r="AU324" s="1313">
        <v>100.45</v>
      </c>
      <c r="AV324" s="1313">
        <v>103.09</v>
      </c>
      <c r="AW324" s="1313">
        <v>105.71</v>
      </c>
      <c r="AX324" s="1313">
        <v>108.3</v>
      </c>
      <c r="AY324" s="1313">
        <v>110.87</v>
      </c>
      <c r="AZ324" s="1313">
        <v>113.41</v>
      </c>
      <c r="BA324" s="1314">
        <v>115.92</v>
      </c>
      <c r="BB324" s="1312">
        <v>118.41</v>
      </c>
      <c r="BC324" s="1313">
        <v>120.88</v>
      </c>
      <c r="BD324" s="1313">
        <v>123.32</v>
      </c>
      <c r="BE324" s="1313">
        <v>125.74</v>
      </c>
      <c r="BF324" s="1313">
        <v>128.13</v>
      </c>
      <c r="BG324" s="1313">
        <v>130.5</v>
      </c>
      <c r="BH324" s="1313">
        <v>132.84</v>
      </c>
      <c r="BI324" s="1313">
        <v>135.16999999999999</v>
      </c>
      <c r="BJ324" s="1313">
        <v>137.47</v>
      </c>
      <c r="BK324" s="1314">
        <v>139.74</v>
      </c>
      <c r="BL324" s="1312">
        <v>142</v>
      </c>
      <c r="BM324" s="1313">
        <v>144.22999999999999</v>
      </c>
      <c r="BN324" s="1313">
        <v>146.44</v>
      </c>
      <c r="BO324" s="1313">
        <v>148.63</v>
      </c>
      <c r="BP324" s="1313">
        <v>150.79</v>
      </c>
      <c r="BQ324" s="1313">
        <v>152.94</v>
      </c>
      <c r="BR324" s="1313">
        <v>155.06</v>
      </c>
      <c r="BS324" s="1313">
        <v>157.16999999999999</v>
      </c>
      <c r="BT324" s="1313">
        <v>159.25</v>
      </c>
      <c r="BU324" s="1314">
        <v>161.31</v>
      </c>
      <c r="BV324" s="1312">
        <v>163.35</v>
      </c>
      <c r="BW324" s="1313">
        <v>165.37</v>
      </c>
      <c r="BX324" s="1313">
        <v>167.37</v>
      </c>
      <c r="BY324" s="1313">
        <v>169.35</v>
      </c>
      <c r="BZ324" s="1313">
        <v>171.31</v>
      </c>
      <c r="CA324" s="1313">
        <v>173.25</v>
      </c>
      <c r="CB324" s="1313">
        <v>175.18</v>
      </c>
      <c r="CC324" s="1313">
        <v>177.08</v>
      </c>
      <c r="CD324" s="1313">
        <v>178.97</v>
      </c>
      <c r="CE324" s="1314">
        <v>180.83</v>
      </c>
      <c r="CF324" s="1313">
        <v>182.68</v>
      </c>
      <c r="CG324" s="1313">
        <v>184.51</v>
      </c>
      <c r="CH324" s="1314">
        <v>186.32</v>
      </c>
    </row>
    <row r="325" spans="1:86" ht="20.149999999999999" customHeight="1">
      <c r="A325" s="1563" t="s">
        <v>1427</v>
      </c>
      <c r="B325" s="1563" t="s">
        <v>14</v>
      </c>
      <c r="C325" s="1563" t="str">
        <f t="shared" si="5"/>
        <v>PBSDDF63</v>
      </c>
      <c r="D325" s="1193">
        <v>63</v>
      </c>
      <c r="E325" s="1540"/>
      <c r="F325" s="1313">
        <v>1.31</v>
      </c>
      <c r="G325" s="1313">
        <v>2.0499999999999998</v>
      </c>
      <c r="H325" s="1313">
        <v>2.86</v>
      </c>
      <c r="I325" s="1313">
        <v>3.74</v>
      </c>
      <c r="J325" s="1313">
        <v>4.71</v>
      </c>
      <c r="K325" s="1313">
        <v>5.78</v>
      </c>
      <c r="L325" s="1313">
        <v>6.96</v>
      </c>
      <c r="M325" s="1314">
        <v>8.26</v>
      </c>
      <c r="N325" s="1312">
        <v>9.6999999999999993</v>
      </c>
      <c r="O325" s="1313">
        <v>11.29</v>
      </c>
      <c r="P325" s="1313">
        <v>13.04</v>
      </c>
      <c r="Q325" s="1313">
        <v>14.97</v>
      </c>
      <c r="R325" s="1313">
        <v>17.09</v>
      </c>
      <c r="S325" s="1313">
        <v>19.41</v>
      </c>
      <c r="T325" s="1313">
        <v>21.93</v>
      </c>
      <c r="U325" s="1313">
        <v>25.55</v>
      </c>
      <c r="V325" s="1313">
        <v>29.12</v>
      </c>
      <c r="W325" s="1314">
        <v>32.659999999999997</v>
      </c>
      <c r="X325" s="1312">
        <v>36.17</v>
      </c>
      <c r="Y325" s="1313">
        <v>39.64</v>
      </c>
      <c r="Z325" s="1313">
        <v>43.08</v>
      </c>
      <c r="AA325" s="1313">
        <v>46.48</v>
      </c>
      <c r="AB325" s="1313">
        <v>49.85</v>
      </c>
      <c r="AC325" s="1313">
        <v>53.18</v>
      </c>
      <c r="AD325" s="1313">
        <v>56.48</v>
      </c>
      <c r="AE325" s="1313">
        <v>59.75</v>
      </c>
      <c r="AF325" s="1313">
        <v>62.99</v>
      </c>
      <c r="AG325" s="1314">
        <v>66.2</v>
      </c>
      <c r="AH325" s="1312">
        <v>69.37</v>
      </c>
      <c r="AI325" s="1313">
        <v>72.510000000000005</v>
      </c>
      <c r="AJ325" s="1313">
        <v>75.62</v>
      </c>
      <c r="AK325" s="1313">
        <v>78.7</v>
      </c>
      <c r="AL325" s="1313">
        <v>81.75</v>
      </c>
      <c r="AM325" s="1313">
        <v>84.77</v>
      </c>
      <c r="AN325" s="1313">
        <v>87.76</v>
      </c>
      <c r="AO325" s="1313">
        <v>90.72</v>
      </c>
      <c r="AP325" s="1313">
        <v>93.65</v>
      </c>
      <c r="AQ325" s="1314">
        <v>96.55</v>
      </c>
      <c r="AR325" s="1312">
        <v>99.43</v>
      </c>
      <c r="AS325" s="1313">
        <v>102.27</v>
      </c>
      <c r="AT325" s="1313">
        <v>105.09</v>
      </c>
      <c r="AU325" s="1313">
        <v>107.88</v>
      </c>
      <c r="AV325" s="1313">
        <v>110.64</v>
      </c>
      <c r="AW325" s="1313">
        <v>113.37</v>
      </c>
      <c r="AX325" s="1313">
        <v>116.08</v>
      </c>
      <c r="AY325" s="1313">
        <v>118.76</v>
      </c>
      <c r="AZ325" s="1313">
        <v>121.41</v>
      </c>
      <c r="BA325" s="1314">
        <v>124.04</v>
      </c>
      <c r="BB325" s="1312">
        <v>126.64</v>
      </c>
      <c r="BC325" s="1313">
        <v>129.21</v>
      </c>
      <c r="BD325" s="1313">
        <v>131.76</v>
      </c>
      <c r="BE325" s="1313">
        <v>134.29</v>
      </c>
      <c r="BF325" s="1313">
        <v>136.79</v>
      </c>
      <c r="BG325" s="1313">
        <v>139.26</v>
      </c>
      <c r="BH325" s="1313">
        <v>141.71</v>
      </c>
      <c r="BI325" s="1313">
        <v>144.13999999999999</v>
      </c>
      <c r="BJ325" s="1313">
        <v>146.54</v>
      </c>
      <c r="BK325" s="1314">
        <v>148.91999999999999</v>
      </c>
      <c r="BL325" s="1312">
        <v>151.27000000000001</v>
      </c>
      <c r="BM325" s="1313">
        <v>153.6</v>
      </c>
      <c r="BN325" s="1313">
        <v>155.91</v>
      </c>
      <c r="BO325" s="1313">
        <v>158.19999999999999</v>
      </c>
      <c r="BP325" s="1313">
        <v>160.46</v>
      </c>
      <c r="BQ325" s="1313">
        <v>162.69999999999999</v>
      </c>
      <c r="BR325" s="1313">
        <v>164.92</v>
      </c>
      <c r="BS325" s="1313">
        <v>167.11</v>
      </c>
      <c r="BT325" s="1313">
        <v>169.29</v>
      </c>
      <c r="BU325" s="1314">
        <v>171.44</v>
      </c>
      <c r="BV325" s="1312">
        <v>173.57</v>
      </c>
      <c r="BW325" s="1313">
        <v>175.68</v>
      </c>
      <c r="BX325" s="1313">
        <v>177.77</v>
      </c>
      <c r="BY325" s="1313">
        <v>179.84</v>
      </c>
      <c r="BZ325" s="1313">
        <v>181.89</v>
      </c>
      <c r="CA325" s="1313">
        <v>183.92</v>
      </c>
      <c r="CB325" s="1313">
        <v>185.93</v>
      </c>
      <c r="CC325" s="1313">
        <v>187.91</v>
      </c>
      <c r="CD325" s="1313">
        <v>189.88</v>
      </c>
      <c r="CE325" s="1314">
        <v>191.83</v>
      </c>
      <c r="CF325" s="1313">
        <v>193.76</v>
      </c>
      <c r="CG325" s="1313">
        <v>195.67</v>
      </c>
      <c r="CH325" s="1314">
        <v>197.56</v>
      </c>
    </row>
    <row r="326" spans="1:86" ht="20.149999999999999" customHeight="1">
      <c r="A326" s="1563" t="s">
        <v>1427</v>
      </c>
      <c r="B326" s="1563" t="s">
        <v>14</v>
      </c>
      <c r="C326" s="1563" t="str">
        <f t="shared" si="5"/>
        <v>PBSDDF64</v>
      </c>
      <c r="D326" s="1193">
        <v>64</v>
      </c>
      <c r="E326" s="1540"/>
      <c r="F326" s="1313">
        <v>1.48</v>
      </c>
      <c r="G326" s="1313">
        <v>2.3199999999999998</v>
      </c>
      <c r="H326" s="1313">
        <v>3.24</v>
      </c>
      <c r="I326" s="1313">
        <v>4.25</v>
      </c>
      <c r="J326" s="1313">
        <v>5.37</v>
      </c>
      <c r="K326" s="1313">
        <v>6.59</v>
      </c>
      <c r="L326" s="1313">
        <v>7.95</v>
      </c>
      <c r="M326" s="1314">
        <v>9.4499999999999993</v>
      </c>
      <c r="N326" s="1312">
        <v>11.11</v>
      </c>
      <c r="O326" s="1313">
        <v>12.94</v>
      </c>
      <c r="P326" s="1313">
        <v>14.95</v>
      </c>
      <c r="Q326" s="1313">
        <v>17.16</v>
      </c>
      <c r="R326" s="1313">
        <v>19.57</v>
      </c>
      <c r="S326" s="1313">
        <v>22.21</v>
      </c>
      <c r="T326" s="1313">
        <v>26.02</v>
      </c>
      <c r="U326" s="1313">
        <v>29.8</v>
      </c>
      <c r="V326" s="1313">
        <v>33.54</v>
      </c>
      <c r="W326" s="1314">
        <v>37.25</v>
      </c>
      <c r="X326" s="1312">
        <v>40.909999999999997</v>
      </c>
      <c r="Y326" s="1313">
        <v>44.55</v>
      </c>
      <c r="Z326" s="1313">
        <v>48.14</v>
      </c>
      <c r="AA326" s="1313">
        <v>51.7</v>
      </c>
      <c r="AB326" s="1313">
        <v>55.22</v>
      </c>
      <c r="AC326" s="1313">
        <v>58.71</v>
      </c>
      <c r="AD326" s="1313">
        <v>62.17</v>
      </c>
      <c r="AE326" s="1313">
        <v>65.59</v>
      </c>
      <c r="AF326" s="1313">
        <v>68.97</v>
      </c>
      <c r="AG326" s="1314">
        <v>72.33</v>
      </c>
      <c r="AH326" s="1312">
        <v>75.650000000000006</v>
      </c>
      <c r="AI326" s="1313">
        <v>78.930000000000007</v>
      </c>
      <c r="AJ326" s="1313">
        <v>82.19</v>
      </c>
      <c r="AK326" s="1313">
        <v>85.41</v>
      </c>
      <c r="AL326" s="1313">
        <v>88.6</v>
      </c>
      <c r="AM326" s="1313">
        <v>91.76</v>
      </c>
      <c r="AN326" s="1313">
        <v>94.89</v>
      </c>
      <c r="AO326" s="1313">
        <v>97.98</v>
      </c>
      <c r="AP326" s="1313">
        <v>101.05</v>
      </c>
      <c r="AQ326" s="1314">
        <v>104.09</v>
      </c>
      <c r="AR326" s="1312">
        <v>107.09</v>
      </c>
      <c r="AS326" s="1313">
        <v>110.07</v>
      </c>
      <c r="AT326" s="1313">
        <v>113.01</v>
      </c>
      <c r="AU326" s="1313">
        <v>115.93</v>
      </c>
      <c r="AV326" s="1313">
        <v>118.82</v>
      </c>
      <c r="AW326" s="1313">
        <v>121.68</v>
      </c>
      <c r="AX326" s="1313">
        <v>124.51</v>
      </c>
      <c r="AY326" s="1313">
        <v>127.31</v>
      </c>
      <c r="AZ326" s="1313">
        <v>130.09</v>
      </c>
      <c r="BA326" s="1314">
        <v>132.84</v>
      </c>
      <c r="BB326" s="1312">
        <v>135.56</v>
      </c>
      <c r="BC326" s="1313">
        <v>138.25</v>
      </c>
      <c r="BD326" s="1313">
        <v>140.91999999999999</v>
      </c>
      <c r="BE326" s="1313">
        <v>143.56</v>
      </c>
      <c r="BF326" s="1313">
        <v>146.16999999999999</v>
      </c>
      <c r="BG326" s="1313">
        <v>148.76</v>
      </c>
      <c r="BH326" s="1313">
        <v>151.32</v>
      </c>
      <c r="BI326" s="1313">
        <v>153.86000000000001</v>
      </c>
      <c r="BJ326" s="1313">
        <v>156.38</v>
      </c>
      <c r="BK326" s="1314">
        <v>158.86000000000001</v>
      </c>
      <c r="BL326" s="1312">
        <v>161.33000000000001</v>
      </c>
      <c r="BM326" s="1313">
        <v>163.76</v>
      </c>
      <c r="BN326" s="1313">
        <v>166.18</v>
      </c>
      <c r="BO326" s="1313">
        <v>168.57</v>
      </c>
      <c r="BP326" s="1313">
        <v>170.94</v>
      </c>
      <c r="BQ326" s="1313">
        <v>173.28</v>
      </c>
      <c r="BR326" s="1313">
        <v>175.6</v>
      </c>
      <c r="BS326" s="1313">
        <v>177.9</v>
      </c>
      <c r="BT326" s="1313">
        <v>180.17</v>
      </c>
      <c r="BU326" s="1314">
        <v>182.43</v>
      </c>
      <c r="BV326" s="1312">
        <v>184.65</v>
      </c>
      <c r="BW326" s="1313">
        <v>186.86</v>
      </c>
      <c r="BX326" s="1313">
        <v>189.05</v>
      </c>
      <c r="BY326" s="1313">
        <v>191.21</v>
      </c>
      <c r="BZ326" s="1313">
        <v>193.36</v>
      </c>
      <c r="CA326" s="1313">
        <v>195.48</v>
      </c>
      <c r="CB326" s="1313">
        <v>197.58</v>
      </c>
      <c r="CC326" s="1313">
        <v>199.66</v>
      </c>
      <c r="CD326" s="1313">
        <v>201.72</v>
      </c>
      <c r="CE326" s="1314">
        <v>203.76</v>
      </c>
      <c r="CF326" s="1313">
        <v>205.77</v>
      </c>
      <c r="CG326" s="1313">
        <v>207.77</v>
      </c>
      <c r="CH326" s="1314">
        <v>209.75</v>
      </c>
    </row>
    <row r="327" spans="1:86" ht="20.149999999999999" customHeight="1">
      <c r="A327" s="1563" t="s">
        <v>1427</v>
      </c>
      <c r="B327" s="1563" t="s">
        <v>14</v>
      </c>
      <c r="C327" s="1563" t="str">
        <f t="shared" si="5"/>
        <v>PBSDDF65</v>
      </c>
      <c r="D327" s="1195">
        <v>65</v>
      </c>
      <c r="E327" s="1542"/>
      <c r="F327" s="1319">
        <v>1.68</v>
      </c>
      <c r="G327" s="1319">
        <v>2.64</v>
      </c>
      <c r="H327" s="1319">
        <v>3.69</v>
      </c>
      <c r="I327" s="1319">
        <v>4.8499999999999996</v>
      </c>
      <c r="J327" s="1319">
        <v>6.13</v>
      </c>
      <c r="K327" s="1319">
        <v>7.55</v>
      </c>
      <c r="L327" s="1319">
        <v>9.11</v>
      </c>
      <c r="M327" s="1320">
        <v>10.84</v>
      </c>
      <c r="N327" s="1318">
        <v>12.75</v>
      </c>
      <c r="O327" s="1319">
        <v>14.85</v>
      </c>
      <c r="P327" s="1319">
        <v>17.149999999999999</v>
      </c>
      <c r="Q327" s="1319">
        <v>19.68</v>
      </c>
      <c r="R327" s="1319">
        <v>22.43</v>
      </c>
      <c r="S327" s="1319">
        <v>26.47</v>
      </c>
      <c r="T327" s="1319">
        <v>30.46</v>
      </c>
      <c r="U327" s="1319">
        <v>34.42</v>
      </c>
      <c r="V327" s="1319">
        <v>38.340000000000003</v>
      </c>
      <c r="W327" s="1320">
        <v>42.22</v>
      </c>
      <c r="X327" s="1318">
        <v>46.07</v>
      </c>
      <c r="Y327" s="1319">
        <v>49.87</v>
      </c>
      <c r="Z327" s="1319">
        <v>53.64</v>
      </c>
      <c r="AA327" s="1319">
        <v>57.37</v>
      </c>
      <c r="AB327" s="1319">
        <v>61.06</v>
      </c>
      <c r="AC327" s="1319">
        <v>64.72</v>
      </c>
      <c r="AD327" s="1319">
        <v>68.34</v>
      </c>
      <c r="AE327" s="1319">
        <v>71.92</v>
      </c>
      <c r="AF327" s="1319">
        <v>75.47</v>
      </c>
      <c r="AG327" s="1320">
        <v>78.98</v>
      </c>
      <c r="AH327" s="1318">
        <v>82.46</v>
      </c>
      <c r="AI327" s="1319">
        <v>85.9</v>
      </c>
      <c r="AJ327" s="1319">
        <v>89.31</v>
      </c>
      <c r="AK327" s="1319">
        <v>92.69</v>
      </c>
      <c r="AL327" s="1319">
        <v>96.03</v>
      </c>
      <c r="AM327" s="1319">
        <v>99.34</v>
      </c>
      <c r="AN327" s="1319">
        <v>102.62</v>
      </c>
      <c r="AO327" s="1319">
        <v>105.87</v>
      </c>
      <c r="AP327" s="1319">
        <v>109.08</v>
      </c>
      <c r="AQ327" s="1320">
        <v>112.26</v>
      </c>
      <c r="AR327" s="1318">
        <v>115.41</v>
      </c>
      <c r="AS327" s="1319">
        <v>118.53</v>
      </c>
      <c r="AT327" s="1319">
        <v>121.61</v>
      </c>
      <c r="AU327" s="1319">
        <v>124.67</v>
      </c>
      <c r="AV327" s="1319">
        <v>127.7</v>
      </c>
      <c r="AW327" s="1319">
        <v>130.69</v>
      </c>
      <c r="AX327" s="1319">
        <v>133.66</v>
      </c>
      <c r="AY327" s="1319">
        <v>136.6</v>
      </c>
      <c r="AZ327" s="1319">
        <v>139.5</v>
      </c>
      <c r="BA327" s="1320">
        <v>142.38</v>
      </c>
      <c r="BB327" s="1318">
        <v>145.22999999999999</v>
      </c>
      <c r="BC327" s="1319">
        <v>148.06</v>
      </c>
      <c r="BD327" s="1319">
        <v>150.85</v>
      </c>
      <c r="BE327" s="1319">
        <v>153.62</v>
      </c>
      <c r="BF327" s="1319">
        <v>156.36000000000001</v>
      </c>
      <c r="BG327" s="1319">
        <v>159.07</v>
      </c>
      <c r="BH327" s="1319">
        <v>161.76</v>
      </c>
      <c r="BI327" s="1319">
        <v>164.42</v>
      </c>
      <c r="BJ327" s="1319">
        <v>167.05</v>
      </c>
      <c r="BK327" s="1320">
        <v>169.65</v>
      </c>
      <c r="BL327" s="1318">
        <v>172.24</v>
      </c>
      <c r="BM327" s="1319">
        <v>174.79</v>
      </c>
      <c r="BN327" s="1319">
        <v>177.32</v>
      </c>
      <c r="BO327" s="1319">
        <v>179.83</v>
      </c>
      <c r="BP327" s="1319">
        <v>182.31</v>
      </c>
      <c r="BQ327" s="1319">
        <v>184.76</v>
      </c>
      <c r="BR327" s="1319">
        <v>187.19</v>
      </c>
      <c r="BS327" s="1319">
        <v>189.6</v>
      </c>
      <c r="BT327" s="1319">
        <v>191.98</v>
      </c>
      <c r="BU327" s="1320">
        <v>194.34</v>
      </c>
      <c r="BV327" s="1318">
        <v>196.68</v>
      </c>
      <c r="BW327" s="1319">
        <v>198.99</v>
      </c>
      <c r="BX327" s="1319">
        <v>201.28</v>
      </c>
      <c r="BY327" s="1319">
        <v>203.55</v>
      </c>
      <c r="BZ327" s="1319">
        <v>205.8</v>
      </c>
      <c r="CA327" s="1319">
        <v>208.02</v>
      </c>
      <c r="CB327" s="1319">
        <v>210.22</v>
      </c>
      <c r="CC327" s="1319">
        <v>212.4</v>
      </c>
      <c r="CD327" s="1319">
        <v>214.56</v>
      </c>
      <c r="CE327" s="1320">
        <v>216.69</v>
      </c>
      <c r="CF327" s="1319">
        <v>218.81</v>
      </c>
      <c r="CG327" s="1319">
        <v>220.9</v>
      </c>
      <c r="CH327" s="1320">
        <v>222.98</v>
      </c>
    </row>
    <row r="328" spans="1:86" ht="20.149999999999999" customHeight="1">
      <c r="A328" s="1563" t="s">
        <v>1427</v>
      </c>
      <c r="B328" s="1563" t="s">
        <v>14</v>
      </c>
      <c r="C328" s="1563" t="str">
        <f t="shared" si="5"/>
        <v>PBSDDF66</v>
      </c>
      <c r="D328" s="1193">
        <v>66</v>
      </c>
      <c r="E328" s="1540"/>
      <c r="F328" s="1313">
        <v>1.91</v>
      </c>
      <c r="G328" s="1313">
        <v>3.01</v>
      </c>
      <c r="H328" s="1313">
        <v>4.22</v>
      </c>
      <c r="I328" s="1313">
        <v>5.56</v>
      </c>
      <c r="J328" s="1313">
        <v>7.04</v>
      </c>
      <c r="K328" s="1313">
        <v>8.67</v>
      </c>
      <c r="L328" s="1313">
        <v>10.47</v>
      </c>
      <c r="M328" s="1314">
        <v>12.46</v>
      </c>
      <c r="N328" s="1312">
        <v>14.66</v>
      </c>
      <c r="O328" s="1313">
        <v>17.059999999999999</v>
      </c>
      <c r="P328" s="1313">
        <v>19.7</v>
      </c>
      <c r="Q328" s="1313">
        <v>22.57</v>
      </c>
      <c r="R328" s="1313">
        <v>26.85</v>
      </c>
      <c r="S328" s="1313">
        <v>31.09</v>
      </c>
      <c r="T328" s="1313">
        <v>35.29</v>
      </c>
      <c r="U328" s="1313">
        <v>39.44</v>
      </c>
      <c r="V328" s="1313">
        <v>43.56</v>
      </c>
      <c r="W328" s="1314">
        <v>47.63</v>
      </c>
      <c r="X328" s="1312">
        <v>51.66</v>
      </c>
      <c r="Y328" s="1313">
        <v>55.66</v>
      </c>
      <c r="Z328" s="1313">
        <v>59.61</v>
      </c>
      <c r="AA328" s="1313">
        <v>63.52</v>
      </c>
      <c r="AB328" s="1313">
        <v>67.400000000000006</v>
      </c>
      <c r="AC328" s="1313">
        <v>71.239999999999995</v>
      </c>
      <c r="AD328" s="1313">
        <v>75.03</v>
      </c>
      <c r="AE328" s="1313">
        <v>78.8</v>
      </c>
      <c r="AF328" s="1313">
        <v>82.52</v>
      </c>
      <c r="AG328" s="1314">
        <v>86.21</v>
      </c>
      <c r="AH328" s="1312">
        <v>89.86</v>
      </c>
      <c r="AI328" s="1313">
        <v>93.47</v>
      </c>
      <c r="AJ328" s="1313">
        <v>97.05</v>
      </c>
      <c r="AK328" s="1313">
        <v>100.6</v>
      </c>
      <c r="AL328" s="1313">
        <v>104.1</v>
      </c>
      <c r="AM328" s="1313">
        <v>107.58</v>
      </c>
      <c r="AN328" s="1313">
        <v>111.02</v>
      </c>
      <c r="AO328" s="1313">
        <v>114.42</v>
      </c>
      <c r="AP328" s="1313">
        <v>117.79</v>
      </c>
      <c r="AQ328" s="1314">
        <v>121.13</v>
      </c>
      <c r="AR328" s="1312">
        <v>124.44</v>
      </c>
      <c r="AS328" s="1313">
        <v>127.71</v>
      </c>
      <c r="AT328" s="1313">
        <v>130.94999999999999</v>
      </c>
      <c r="AU328" s="1313">
        <v>134.16</v>
      </c>
      <c r="AV328" s="1313">
        <v>137.33000000000001</v>
      </c>
      <c r="AW328" s="1313">
        <v>140.47999999999999</v>
      </c>
      <c r="AX328" s="1313">
        <v>143.59</v>
      </c>
      <c r="AY328" s="1313">
        <v>146.66999999999999</v>
      </c>
      <c r="AZ328" s="1313">
        <v>149.72999999999999</v>
      </c>
      <c r="BA328" s="1314">
        <v>152.75</v>
      </c>
      <c r="BB328" s="1312">
        <v>155.74</v>
      </c>
      <c r="BC328" s="1313">
        <v>158.69999999999999</v>
      </c>
      <c r="BD328" s="1313">
        <v>161.63999999999999</v>
      </c>
      <c r="BE328" s="1313">
        <v>164.54</v>
      </c>
      <c r="BF328" s="1313">
        <v>167.42</v>
      </c>
      <c r="BG328" s="1313">
        <v>170.26</v>
      </c>
      <c r="BH328" s="1313">
        <v>173.08</v>
      </c>
      <c r="BI328" s="1313">
        <v>175.87</v>
      </c>
      <c r="BJ328" s="1313">
        <v>178.63</v>
      </c>
      <c r="BK328" s="1314">
        <v>181.37</v>
      </c>
      <c r="BL328" s="1312">
        <v>184.08</v>
      </c>
      <c r="BM328" s="1313">
        <v>186.76</v>
      </c>
      <c r="BN328" s="1313">
        <v>189.42</v>
      </c>
      <c r="BO328" s="1313">
        <v>192.05</v>
      </c>
      <c r="BP328" s="1313">
        <v>194.65</v>
      </c>
      <c r="BQ328" s="1313">
        <v>197.23</v>
      </c>
      <c r="BR328" s="1313">
        <v>199.78</v>
      </c>
      <c r="BS328" s="1313">
        <v>202.3</v>
      </c>
      <c r="BT328" s="1313">
        <v>204.8</v>
      </c>
      <c r="BU328" s="1314">
        <v>207.28</v>
      </c>
      <c r="BV328" s="1312">
        <v>209.73</v>
      </c>
      <c r="BW328" s="1313">
        <v>212.16</v>
      </c>
      <c r="BX328" s="1313">
        <v>214.57</v>
      </c>
      <c r="BY328" s="1313">
        <v>216.95</v>
      </c>
      <c r="BZ328" s="1313">
        <v>219.3</v>
      </c>
      <c r="CA328" s="1313">
        <v>221.63</v>
      </c>
      <c r="CB328" s="1313">
        <v>223.94</v>
      </c>
      <c r="CC328" s="1313">
        <v>226.23</v>
      </c>
      <c r="CD328" s="1313">
        <v>228.5</v>
      </c>
      <c r="CE328" s="1314">
        <v>230.74</v>
      </c>
      <c r="CF328" s="1313">
        <v>232.96</v>
      </c>
      <c r="CG328" s="1313">
        <v>235.16</v>
      </c>
      <c r="CH328" s="1314">
        <v>237.33</v>
      </c>
    </row>
    <row r="329" spans="1:86" ht="20.149999999999999" customHeight="1">
      <c r="A329" s="1563" t="s">
        <v>1427</v>
      </c>
      <c r="B329" s="1563" t="s">
        <v>14</v>
      </c>
      <c r="C329" s="1563" t="str">
        <f t="shared" si="5"/>
        <v>PBSDDF67</v>
      </c>
      <c r="D329" s="1193">
        <v>67</v>
      </c>
      <c r="E329" s="1540"/>
      <c r="F329" s="1313">
        <v>2.19</v>
      </c>
      <c r="G329" s="1313">
        <v>3.45</v>
      </c>
      <c r="H329" s="1313">
        <v>4.8499999999999996</v>
      </c>
      <c r="I329" s="1313">
        <v>6.39</v>
      </c>
      <c r="J329" s="1313">
        <v>8.1</v>
      </c>
      <c r="K329" s="1313">
        <v>9.98</v>
      </c>
      <c r="L329" s="1313">
        <v>12.06</v>
      </c>
      <c r="M329" s="1314">
        <v>14.35</v>
      </c>
      <c r="N329" s="1312">
        <v>16.86</v>
      </c>
      <c r="O329" s="1313">
        <v>19.62</v>
      </c>
      <c r="P329" s="1313">
        <v>22.62</v>
      </c>
      <c r="Q329" s="1313">
        <v>27.16</v>
      </c>
      <c r="R329" s="1313">
        <v>31.66</v>
      </c>
      <c r="S329" s="1313">
        <v>36.119999999999997</v>
      </c>
      <c r="T329" s="1313">
        <v>40.53</v>
      </c>
      <c r="U329" s="1313">
        <v>44.9</v>
      </c>
      <c r="V329" s="1313">
        <v>49.22</v>
      </c>
      <c r="W329" s="1314">
        <v>53.5</v>
      </c>
      <c r="X329" s="1312">
        <v>57.74</v>
      </c>
      <c r="Y329" s="1313">
        <v>61.94</v>
      </c>
      <c r="Z329" s="1313">
        <v>66.099999999999994</v>
      </c>
      <c r="AA329" s="1313">
        <v>70.209999999999994</v>
      </c>
      <c r="AB329" s="1313">
        <v>74.28</v>
      </c>
      <c r="AC329" s="1313">
        <v>78.319999999999993</v>
      </c>
      <c r="AD329" s="1313">
        <v>82.31</v>
      </c>
      <c r="AE329" s="1313">
        <v>86.26</v>
      </c>
      <c r="AF329" s="1313">
        <v>90.18</v>
      </c>
      <c r="AG329" s="1314">
        <v>94.05</v>
      </c>
      <c r="AH329" s="1312">
        <v>97.89</v>
      </c>
      <c r="AI329" s="1313">
        <v>101.69</v>
      </c>
      <c r="AJ329" s="1313">
        <v>105.45</v>
      </c>
      <c r="AK329" s="1313">
        <v>109.18</v>
      </c>
      <c r="AL329" s="1313">
        <v>112.87</v>
      </c>
      <c r="AM329" s="1313">
        <v>116.52</v>
      </c>
      <c r="AN329" s="1313">
        <v>120.13</v>
      </c>
      <c r="AO329" s="1313">
        <v>123.71</v>
      </c>
      <c r="AP329" s="1313">
        <v>127.26</v>
      </c>
      <c r="AQ329" s="1314">
        <v>130.77000000000001</v>
      </c>
      <c r="AR329" s="1312">
        <v>134.24</v>
      </c>
      <c r="AS329" s="1313">
        <v>137.68</v>
      </c>
      <c r="AT329" s="1313">
        <v>141.08000000000001</v>
      </c>
      <c r="AU329" s="1313">
        <v>144.46</v>
      </c>
      <c r="AV329" s="1313">
        <v>147.80000000000001</v>
      </c>
      <c r="AW329" s="1313">
        <v>151.1</v>
      </c>
      <c r="AX329" s="1313">
        <v>154.37</v>
      </c>
      <c r="AY329" s="1313">
        <v>157.61000000000001</v>
      </c>
      <c r="AZ329" s="1313">
        <v>160.82</v>
      </c>
      <c r="BA329" s="1314">
        <v>164</v>
      </c>
      <c r="BB329" s="1312">
        <v>167.14</v>
      </c>
      <c r="BC329" s="1313">
        <v>170.26</v>
      </c>
      <c r="BD329" s="1313">
        <v>173.34</v>
      </c>
      <c r="BE329" s="1313">
        <v>176.39</v>
      </c>
      <c r="BF329" s="1313">
        <v>179.42</v>
      </c>
      <c r="BG329" s="1313">
        <v>182.41</v>
      </c>
      <c r="BH329" s="1313">
        <v>185.37</v>
      </c>
      <c r="BI329" s="1313">
        <v>188.3</v>
      </c>
      <c r="BJ329" s="1313">
        <v>191.21</v>
      </c>
      <c r="BK329" s="1314">
        <v>194.08</v>
      </c>
      <c r="BL329" s="1312">
        <v>196.93</v>
      </c>
      <c r="BM329" s="1313">
        <v>199.75</v>
      </c>
      <c r="BN329" s="1313">
        <v>202.54</v>
      </c>
      <c r="BO329" s="1313">
        <v>205.31</v>
      </c>
      <c r="BP329" s="1313">
        <v>208.04</v>
      </c>
      <c r="BQ329" s="1313">
        <v>210.75</v>
      </c>
      <c r="BR329" s="1313">
        <v>213.43</v>
      </c>
      <c r="BS329" s="1313">
        <v>216.09</v>
      </c>
      <c r="BT329" s="1313">
        <v>218.72</v>
      </c>
      <c r="BU329" s="1314">
        <v>221.32</v>
      </c>
      <c r="BV329" s="1312">
        <v>223.9</v>
      </c>
      <c r="BW329" s="1313">
        <v>226.45</v>
      </c>
      <c r="BX329" s="1313">
        <v>228.98</v>
      </c>
      <c r="BY329" s="1313">
        <v>231.48</v>
      </c>
      <c r="BZ329" s="1313">
        <v>233.96</v>
      </c>
      <c r="CA329" s="1313">
        <v>236.41</v>
      </c>
      <c r="CB329" s="1313">
        <v>238.84</v>
      </c>
      <c r="CC329" s="1313">
        <v>241.24</v>
      </c>
      <c r="CD329" s="1313">
        <v>243.62</v>
      </c>
      <c r="CE329" s="1314">
        <v>245.98</v>
      </c>
      <c r="CF329" s="1313">
        <v>248.31</v>
      </c>
      <c r="CG329" s="1313">
        <v>250.62</v>
      </c>
      <c r="CH329" s="1314">
        <v>252.91</v>
      </c>
    </row>
    <row r="330" spans="1:86" ht="20.149999999999999" customHeight="1">
      <c r="A330" s="1563" t="s">
        <v>1427</v>
      </c>
      <c r="B330" s="1563" t="s">
        <v>14</v>
      </c>
      <c r="C330" s="1563" t="str">
        <f t="shared" si="5"/>
        <v>PBSDDF68</v>
      </c>
      <c r="D330" s="1193">
        <v>68</v>
      </c>
      <c r="E330" s="1540"/>
      <c r="F330" s="1313">
        <v>2.52</v>
      </c>
      <c r="G330" s="1313">
        <v>3.97</v>
      </c>
      <c r="H330" s="1313">
        <v>5.58</v>
      </c>
      <c r="I330" s="1313">
        <v>7.36</v>
      </c>
      <c r="J330" s="1313">
        <v>9.33</v>
      </c>
      <c r="K330" s="1313">
        <v>11.5</v>
      </c>
      <c r="L330" s="1313">
        <v>13.9</v>
      </c>
      <c r="M330" s="1314">
        <v>16.52</v>
      </c>
      <c r="N330" s="1312">
        <v>19.399999999999999</v>
      </c>
      <c r="O330" s="1313">
        <v>22.54</v>
      </c>
      <c r="P330" s="1313">
        <v>27.37</v>
      </c>
      <c r="Q330" s="1313">
        <v>32.15</v>
      </c>
      <c r="R330" s="1313">
        <v>36.89</v>
      </c>
      <c r="S330" s="1313">
        <v>41.58</v>
      </c>
      <c r="T330" s="1313">
        <v>46.22</v>
      </c>
      <c r="U330" s="1313">
        <v>50.82</v>
      </c>
      <c r="V330" s="1313">
        <v>55.37</v>
      </c>
      <c r="W330" s="1314">
        <v>59.88</v>
      </c>
      <c r="X330" s="1312">
        <v>64.34</v>
      </c>
      <c r="Y330" s="1313">
        <v>68.760000000000005</v>
      </c>
      <c r="Z330" s="1313">
        <v>73.13</v>
      </c>
      <c r="AA330" s="1313">
        <v>77.47</v>
      </c>
      <c r="AB330" s="1313">
        <v>81.75</v>
      </c>
      <c r="AC330" s="1313">
        <v>86</v>
      </c>
      <c r="AD330" s="1313">
        <v>90.2</v>
      </c>
      <c r="AE330" s="1313">
        <v>94.37</v>
      </c>
      <c r="AF330" s="1313">
        <v>98.49</v>
      </c>
      <c r="AG330" s="1314">
        <v>102.57</v>
      </c>
      <c r="AH330" s="1312">
        <v>106.61</v>
      </c>
      <c r="AI330" s="1313">
        <v>110.61</v>
      </c>
      <c r="AJ330" s="1313">
        <v>114.57</v>
      </c>
      <c r="AK330" s="1313">
        <v>118.49</v>
      </c>
      <c r="AL330" s="1313">
        <v>122.37</v>
      </c>
      <c r="AM330" s="1313">
        <v>126.21</v>
      </c>
      <c r="AN330" s="1313">
        <v>130.02000000000001</v>
      </c>
      <c r="AO330" s="1313">
        <v>133.79</v>
      </c>
      <c r="AP330" s="1313">
        <v>137.52000000000001</v>
      </c>
      <c r="AQ330" s="1314">
        <v>141.21</v>
      </c>
      <c r="AR330" s="1312">
        <v>144.87</v>
      </c>
      <c r="AS330" s="1313">
        <v>148.49</v>
      </c>
      <c r="AT330" s="1313">
        <v>152.07</v>
      </c>
      <c r="AU330" s="1313">
        <v>155.62</v>
      </c>
      <c r="AV330" s="1313">
        <v>159.13999999999999</v>
      </c>
      <c r="AW330" s="1313">
        <v>162.62</v>
      </c>
      <c r="AX330" s="1313">
        <v>166.06</v>
      </c>
      <c r="AY330" s="1313">
        <v>169.47</v>
      </c>
      <c r="AZ330" s="1313">
        <v>172.85</v>
      </c>
      <c r="BA330" s="1314">
        <v>176.2</v>
      </c>
      <c r="BB330" s="1312">
        <v>179.51</v>
      </c>
      <c r="BC330" s="1313">
        <v>182.78</v>
      </c>
      <c r="BD330" s="1313">
        <v>186.03</v>
      </c>
      <c r="BE330" s="1313">
        <v>189.24</v>
      </c>
      <c r="BF330" s="1313">
        <v>192.42</v>
      </c>
      <c r="BG330" s="1313">
        <v>195.57</v>
      </c>
      <c r="BH330" s="1313">
        <v>198.69</v>
      </c>
      <c r="BI330" s="1313">
        <v>201.78</v>
      </c>
      <c r="BJ330" s="1313">
        <v>204.84</v>
      </c>
      <c r="BK330" s="1314">
        <v>207.87</v>
      </c>
      <c r="BL330" s="1312">
        <v>210.86</v>
      </c>
      <c r="BM330" s="1313">
        <v>213.83</v>
      </c>
      <c r="BN330" s="1313">
        <v>216.77</v>
      </c>
      <c r="BO330" s="1313">
        <v>219.68</v>
      </c>
      <c r="BP330" s="1313">
        <v>222.56</v>
      </c>
      <c r="BQ330" s="1313">
        <v>225.41</v>
      </c>
      <c r="BR330" s="1313">
        <v>228.23</v>
      </c>
      <c r="BS330" s="1313">
        <v>231.03</v>
      </c>
      <c r="BT330" s="1313">
        <v>233.8</v>
      </c>
      <c r="BU330" s="1314">
        <v>236.54</v>
      </c>
      <c r="BV330" s="1312">
        <v>239.25</v>
      </c>
      <c r="BW330" s="1313">
        <v>241.94</v>
      </c>
      <c r="BX330" s="1313">
        <v>244.6</v>
      </c>
      <c r="BY330" s="1313">
        <v>247.23</v>
      </c>
      <c r="BZ330" s="1313">
        <v>249.84</v>
      </c>
      <c r="CA330" s="1313">
        <v>252.42</v>
      </c>
      <c r="CB330" s="1313">
        <v>254.98</v>
      </c>
      <c r="CC330" s="1313">
        <v>257.51</v>
      </c>
      <c r="CD330" s="1313">
        <v>260.01</v>
      </c>
      <c r="CE330" s="1314">
        <v>262.49</v>
      </c>
      <c r="CF330" s="1313">
        <v>264.95</v>
      </c>
      <c r="CG330" s="1313">
        <v>267.38</v>
      </c>
      <c r="CH330" s="1314">
        <v>269.79000000000002</v>
      </c>
    </row>
    <row r="331" spans="1:86" ht="20.149999999999999" customHeight="1">
      <c r="A331" s="1563" t="s">
        <v>1427</v>
      </c>
      <c r="B331" s="1563" t="s">
        <v>14</v>
      </c>
      <c r="C331" s="1563" t="str">
        <f t="shared" si="5"/>
        <v>PBSDDF69</v>
      </c>
      <c r="D331" s="1193">
        <v>69</v>
      </c>
      <c r="E331" s="1540"/>
      <c r="F331" s="1313">
        <v>2.9</v>
      </c>
      <c r="G331" s="1313">
        <v>4.58</v>
      </c>
      <c r="H331" s="1313">
        <v>6.44</v>
      </c>
      <c r="I331" s="1313">
        <v>8.49</v>
      </c>
      <c r="J331" s="1313">
        <v>10.76</v>
      </c>
      <c r="K331" s="1313">
        <v>13.26</v>
      </c>
      <c r="L331" s="1313">
        <v>16</v>
      </c>
      <c r="M331" s="1314">
        <v>19.010000000000002</v>
      </c>
      <c r="N331" s="1312">
        <v>22.29</v>
      </c>
      <c r="O331" s="1313">
        <v>27.43</v>
      </c>
      <c r="P331" s="1313">
        <v>32.520000000000003</v>
      </c>
      <c r="Q331" s="1313">
        <v>37.57</v>
      </c>
      <c r="R331" s="1313">
        <v>42.56</v>
      </c>
      <c r="S331" s="1313">
        <v>47.5</v>
      </c>
      <c r="T331" s="1313">
        <v>52.4</v>
      </c>
      <c r="U331" s="1313">
        <v>57.24</v>
      </c>
      <c r="V331" s="1313">
        <v>62.04</v>
      </c>
      <c r="W331" s="1314">
        <v>66.790000000000006</v>
      </c>
      <c r="X331" s="1312">
        <v>71.5</v>
      </c>
      <c r="Y331" s="1313">
        <v>76.150000000000006</v>
      </c>
      <c r="Z331" s="1313">
        <v>80.760000000000005</v>
      </c>
      <c r="AA331" s="1313">
        <v>85.33</v>
      </c>
      <c r="AB331" s="1313">
        <v>89.85</v>
      </c>
      <c r="AC331" s="1313">
        <v>94.32</v>
      </c>
      <c r="AD331" s="1313">
        <v>98.75</v>
      </c>
      <c r="AE331" s="1313">
        <v>103.14</v>
      </c>
      <c r="AF331" s="1313">
        <v>107.49</v>
      </c>
      <c r="AG331" s="1314">
        <v>111.79</v>
      </c>
      <c r="AH331" s="1312">
        <v>116.04</v>
      </c>
      <c r="AI331" s="1313">
        <v>120.26</v>
      </c>
      <c r="AJ331" s="1313">
        <v>124.43</v>
      </c>
      <c r="AK331" s="1313">
        <v>128.57</v>
      </c>
      <c r="AL331" s="1313">
        <v>132.66</v>
      </c>
      <c r="AM331" s="1313">
        <v>136.71</v>
      </c>
      <c r="AN331" s="1313">
        <v>140.72</v>
      </c>
      <c r="AO331" s="1313">
        <v>144.69</v>
      </c>
      <c r="AP331" s="1313">
        <v>148.62</v>
      </c>
      <c r="AQ331" s="1314">
        <v>152.52000000000001</v>
      </c>
      <c r="AR331" s="1312">
        <v>156.37</v>
      </c>
      <c r="AS331" s="1313">
        <v>160.19</v>
      </c>
      <c r="AT331" s="1313">
        <v>163.97</v>
      </c>
      <c r="AU331" s="1313">
        <v>167.71</v>
      </c>
      <c r="AV331" s="1313">
        <v>171.41</v>
      </c>
      <c r="AW331" s="1313">
        <v>175.08</v>
      </c>
      <c r="AX331" s="1313">
        <v>178.71</v>
      </c>
      <c r="AY331" s="1313">
        <v>182.31</v>
      </c>
      <c r="AZ331" s="1313">
        <v>185.87</v>
      </c>
      <c r="BA331" s="1314">
        <v>189.39</v>
      </c>
      <c r="BB331" s="1312">
        <v>192.88</v>
      </c>
      <c r="BC331" s="1313">
        <v>196.34</v>
      </c>
      <c r="BD331" s="1313">
        <v>199.76</v>
      </c>
      <c r="BE331" s="1313">
        <v>203.14</v>
      </c>
      <c r="BF331" s="1313">
        <v>206.5</v>
      </c>
      <c r="BG331" s="1313">
        <v>209.82</v>
      </c>
      <c r="BH331" s="1313">
        <v>213.11</v>
      </c>
      <c r="BI331" s="1313">
        <v>216.36</v>
      </c>
      <c r="BJ331" s="1313">
        <v>219.58</v>
      </c>
      <c r="BK331" s="1314">
        <v>222.77</v>
      </c>
      <c r="BL331" s="1312">
        <v>225.93</v>
      </c>
      <c r="BM331" s="1313">
        <v>229.06</v>
      </c>
      <c r="BN331" s="1313">
        <v>232.16</v>
      </c>
      <c r="BO331" s="1313">
        <v>235.22</v>
      </c>
      <c r="BP331" s="1313">
        <v>238.26</v>
      </c>
      <c r="BQ331" s="1313">
        <v>241.27</v>
      </c>
      <c r="BR331" s="1313">
        <v>244.24</v>
      </c>
      <c r="BS331" s="1313">
        <v>247.19</v>
      </c>
      <c r="BT331" s="1313">
        <v>250.11</v>
      </c>
      <c r="BU331" s="1314">
        <v>252.99</v>
      </c>
      <c r="BV331" s="1312">
        <v>255.85</v>
      </c>
      <c r="BW331" s="1313">
        <v>258.69</v>
      </c>
      <c r="BX331" s="1313">
        <v>261.49</v>
      </c>
      <c r="BY331" s="1313">
        <v>264.27</v>
      </c>
      <c r="BZ331" s="1313">
        <v>267.01</v>
      </c>
      <c r="CA331" s="1313">
        <v>269.73</v>
      </c>
      <c r="CB331" s="1313">
        <v>272.43</v>
      </c>
      <c r="CC331" s="1313">
        <v>275.10000000000002</v>
      </c>
      <c r="CD331" s="1313">
        <v>277.74</v>
      </c>
      <c r="CE331" s="1314">
        <v>280.35000000000002</v>
      </c>
      <c r="CF331" s="1313">
        <v>282.94</v>
      </c>
      <c r="CG331" s="1313">
        <v>285.5</v>
      </c>
      <c r="CH331" s="1314">
        <v>288.04000000000002</v>
      </c>
    </row>
    <row r="332" spans="1:86" ht="20.149999999999999" customHeight="1">
      <c r="A332" s="1563" t="s">
        <v>1427</v>
      </c>
      <c r="B332" s="1563" t="s">
        <v>14</v>
      </c>
      <c r="C332" s="1563" t="str">
        <f t="shared" si="5"/>
        <v>PBSDDF70</v>
      </c>
      <c r="D332" s="1196">
        <v>70</v>
      </c>
      <c r="E332" s="1543"/>
      <c r="F332" s="1322">
        <v>3.34</v>
      </c>
      <c r="G332" s="1322">
        <v>5.28</v>
      </c>
      <c r="H332" s="1322">
        <v>7.43</v>
      </c>
      <c r="I332" s="1322">
        <v>9.8000000000000007</v>
      </c>
      <c r="J332" s="1322">
        <v>12.4</v>
      </c>
      <c r="K332" s="1322">
        <v>15.27</v>
      </c>
      <c r="L332" s="1322">
        <v>18.399999999999999</v>
      </c>
      <c r="M332" s="1323">
        <v>21.83</v>
      </c>
      <c r="N332" s="1321">
        <v>27.31</v>
      </c>
      <c r="O332" s="1322">
        <v>32.74</v>
      </c>
      <c r="P332" s="1322">
        <v>38.11</v>
      </c>
      <c r="Q332" s="1322">
        <v>43.43</v>
      </c>
      <c r="R332" s="1322">
        <v>48.7</v>
      </c>
      <c r="S332" s="1322">
        <v>53.92</v>
      </c>
      <c r="T332" s="1322">
        <v>59.08</v>
      </c>
      <c r="U332" s="1322">
        <v>64.19</v>
      </c>
      <c r="V332" s="1322">
        <v>69.260000000000005</v>
      </c>
      <c r="W332" s="1323">
        <v>74.27</v>
      </c>
      <c r="X332" s="1321">
        <v>79.23</v>
      </c>
      <c r="Y332" s="1322">
        <v>84.15</v>
      </c>
      <c r="Z332" s="1322">
        <v>89.01</v>
      </c>
      <c r="AA332" s="1322">
        <v>93.83</v>
      </c>
      <c r="AB332" s="1322">
        <v>98.6</v>
      </c>
      <c r="AC332" s="1322">
        <v>103.32</v>
      </c>
      <c r="AD332" s="1322">
        <v>107.99</v>
      </c>
      <c r="AE332" s="1322">
        <v>112.62</v>
      </c>
      <c r="AF332" s="1322">
        <v>117.21</v>
      </c>
      <c r="AG332" s="1323">
        <v>121.74</v>
      </c>
      <c r="AH332" s="1321">
        <v>126.24</v>
      </c>
      <c r="AI332" s="1322">
        <v>130.69</v>
      </c>
      <c r="AJ332" s="1322">
        <v>135.09</v>
      </c>
      <c r="AK332" s="1322">
        <v>139.44999999999999</v>
      </c>
      <c r="AL332" s="1322">
        <v>143.77000000000001</v>
      </c>
      <c r="AM332" s="1322">
        <v>148.04</v>
      </c>
      <c r="AN332" s="1322">
        <v>152.27000000000001</v>
      </c>
      <c r="AO332" s="1322">
        <v>156.47</v>
      </c>
      <c r="AP332" s="1322">
        <v>160.61000000000001</v>
      </c>
      <c r="AQ332" s="1323">
        <v>164.72</v>
      </c>
      <c r="AR332" s="1321">
        <v>168.79</v>
      </c>
      <c r="AS332" s="1322">
        <v>172.82</v>
      </c>
      <c r="AT332" s="1322">
        <v>176.8</v>
      </c>
      <c r="AU332" s="1322">
        <v>180.75</v>
      </c>
      <c r="AV332" s="1322">
        <v>184.66</v>
      </c>
      <c r="AW332" s="1322">
        <v>188.53</v>
      </c>
      <c r="AX332" s="1322">
        <v>192.36</v>
      </c>
      <c r="AY332" s="1322">
        <v>196.15</v>
      </c>
      <c r="AZ332" s="1322">
        <v>199.91</v>
      </c>
      <c r="BA332" s="1323">
        <v>203.63</v>
      </c>
      <c r="BB332" s="1321">
        <v>207.31</v>
      </c>
      <c r="BC332" s="1322">
        <v>210.96</v>
      </c>
      <c r="BD332" s="1322">
        <v>214.57</v>
      </c>
      <c r="BE332" s="1322">
        <v>218.14</v>
      </c>
      <c r="BF332" s="1322">
        <v>221.68</v>
      </c>
      <c r="BG332" s="1322">
        <v>225.18</v>
      </c>
      <c r="BH332" s="1322">
        <v>228.65</v>
      </c>
      <c r="BI332" s="1322">
        <v>232.08</v>
      </c>
      <c r="BJ332" s="1322">
        <v>235.49</v>
      </c>
      <c r="BK332" s="1323">
        <v>238.85</v>
      </c>
      <c r="BL332" s="1321">
        <v>242.19</v>
      </c>
      <c r="BM332" s="1322">
        <v>245.49</v>
      </c>
      <c r="BN332" s="1322">
        <v>248.75</v>
      </c>
      <c r="BO332" s="1322">
        <v>251.99</v>
      </c>
      <c r="BP332" s="1322">
        <v>255.19</v>
      </c>
      <c r="BQ332" s="1322">
        <v>258.36</v>
      </c>
      <c r="BR332" s="1322">
        <v>261.5</v>
      </c>
      <c r="BS332" s="1322">
        <v>264.61</v>
      </c>
      <c r="BT332" s="1322">
        <v>267.69</v>
      </c>
      <c r="BU332" s="1323">
        <v>270.74</v>
      </c>
      <c r="BV332" s="1321">
        <v>273.76</v>
      </c>
      <c r="BW332" s="1322">
        <v>276.74</v>
      </c>
      <c r="BX332" s="1322">
        <v>279.7</v>
      </c>
      <c r="BY332" s="1322">
        <v>282.63</v>
      </c>
      <c r="BZ332" s="1322">
        <v>285.52999999999997</v>
      </c>
      <c r="CA332" s="1322">
        <v>288.39999999999998</v>
      </c>
      <c r="CB332" s="1322">
        <v>291.24</v>
      </c>
      <c r="CC332" s="1322">
        <v>294.06</v>
      </c>
      <c r="CD332" s="1322">
        <v>296.85000000000002</v>
      </c>
      <c r="CE332" s="1323">
        <v>299.60000000000002</v>
      </c>
      <c r="CF332" s="1322">
        <v>302.33999999999997</v>
      </c>
      <c r="CG332" s="1322">
        <v>305.04000000000002</v>
      </c>
      <c r="CH332" s="1323">
        <v>307.72000000000003</v>
      </c>
    </row>
    <row r="333" spans="1:86" s="1208" customFormat="1" ht="20.149999999999999" customHeight="1">
      <c r="A333" s="1204" t="s">
        <v>1442</v>
      </c>
      <c r="B333" s="1204"/>
      <c r="C333" s="1204"/>
      <c r="D333" s="1204"/>
      <c r="E333" s="1204"/>
      <c r="F333" s="1204"/>
      <c r="G333" s="1204"/>
      <c r="H333" s="1204"/>
      <c r="I333" s="1204"/>
      <c r="J333" s="1204"/>
      <c r="K333" s="1204"/>
      <c r="L333" s="1204"/>
      <c r="M333" s="1204"/>
      <c r="N333" s="1204"/>
      <c r="O333" s="1204"/>
      <c r="P333" s="1204"/>
      <c r="Q333" s="1204"/>
      <c r="R333" s="1204"/>
      <c r="S333" s="1204"/>
      <c r="T333" s="1204"/>
      <c r="U333" s="1204"/>
      <c r="V333" s="1204"/>
      <c r="W333" s="1204"/>
      <c r="X333" s="1204"/>
      <c r="Y333" s="1204"/>
      <c r="Z333" s="1204"/>
      <c r="AA333" s="1204"/>
      <c r="AB333" s="1204"/>
      <c r="AC333" s="1204"/>
      <c r="AD333" s="1204"/>
      <c r="AE333" s="1204"/>
      <c r="AF333" s="1204"/>
      <c r="AG333" s="1204"/>
      <c r="AH333" s="1204"/>
      <c r="AI333" s="1204"/>
      <c r="AJ333" s="1204"/>
      <c r="AK333" s="1204"/>
      <c r="AL333" s="1204"/>
      <c r="AM333" s="1204"/>
      <c r="AN333" s="1204"/>
      <c r="AO333" s="1204"/>
      <c r="AP333" s="1204"/>
      <c r="AQ333" s="1204"/>
      <c r="AR333" s="1204"/>
      <c r="AS333" s="1204"/>
      <c r="AT333" s="1204"/>
      <c r="AU333" s="1204"/>
      <c r="AV333" s="1204"/>
      <c r="AW333" s="1204"/>
      <c r="AX333" s="1204"/>
      <c r="AY333" s="1204"/>
      <c r="AZ333" s="1204"/>
      <c r="BA333" s="1204"/>
      <c r="BB333" s="1204"/>
      <c r="BC333" s="1204"/>
      <c r="BD333" s="1204"/>
      <c r="BE333" s="1204"/>
      <c r="BF333" s="1204"/>
      <c r="BG333" s="1204"/>
      <c r="BH333" s="1204"/>
      <c r="BI333" s="1204"/>
      <c r="BJ333" s="1204"/>
      <c r="BK333" s="1204"/>
      <c r="BL333" s="1204"/>
      <c r="BM333" s="1204"/>
      <c r="BN333" s="1204"/>
      <c r="BO333" s="1204"/>
      <c r="BP333" s="1204"/>
      <c r="BQ333" s="1204"/>
      <c r="BR333" s="1204"/>
      <c r="BS333" s="1204"/>
      <c r="BT333" s="1204"/>
      <c r="BU333" s="1204"/>
      <c r="BV333" s="1204"/>
      <c r="BW333" s="1204"/>
      <c r="BX333" s="1204"/>
      <c r="BY333" s="1204"/>
      <c r="BZ333" s="1204"/>
      <c r="CA333" s="1204"/>
      <c r="CB333" s="1204"/>
      <c r="CC333" s="1204"/>
      <c r="CD333" s="1204"/>
      <c r="CE333" s="1204"/>
      <c r="CF333" s="1204"/>
      <c r="CG333" s="1204"/>
      <c r="CH333" s="1204"/>
    </row>
    <row r="334" spans="1:86" ht="20.149999999999999" customHeight="1">
      <c r="A334" s="2466" t="s">
        <v>1449</v>
      </c>
      <c r="B334" s="2466" t="s">
        <v>567</v>
      </c>
      <c r="C334" s="2473" t="s">
        <v>1143</v>
      </c>
      <c r="D334" s="2464" t="s">
        <v>1440</v>
      </c>
      <c r="E334" s="1201" t="s">
        <v>1441</v>
      </c>
      <c r="F334" s="1202"/>
      <c r="G334" s="1202"/>
      <c r="H334" s="1202"/>
      <c r="I334" s="1202"/>
      <c r="J334" s="1202"/>
      <c r="K334" s="1202"/>
      <c r="L334" s="1202"/>
      <c r="M334" s="1202"/>
      <c r="N334" s="1202"/>
      <c r="O334" s="1202"/>
      <c r="P334" s="1202"/>
      <c r="Q334" s="1202"/>
      <c r="R334" s="1202"/>
      <c r="S334" s="1202"/>
      <c r="T334" s="1202"/>
      <c r="U334" s="1202"/>
      <c r="V334" s="1202"/>
      <c r="W334" s="1202"/>
      <c r="X334" s="1202"/>
      <c r="Y334" s="1202"/>
      <c r="Z334" s="1202"/>
      <c r="AA334" s="1202"/>
      <c r="AB334" s="1202"/>
      <c r="AC334" s="1202"/>
      <c r="AD334" s="1202"/>
      <c r="AE334" s="1202"/>
      <c r="AF334" s="1202"/>
      <c r="AG334" s="1202"/>
      <c r="AH334" s="1202"/>
      <c r="AI334" s="1202"/>
      <c r="AJ334" s="1202"/>
      <c r="AK334" s="1202"/>
      <c r="AL334" s="1202"/>
      <c r="AM334" s="1202"/>
      <c r="AN334" s="1202"/>
      <c r="AO334" s="1202"/>
      <c r="AP334" s="1202"/>
      <c r="AQ334" s="1202"/>
      <c r="AR334" s="1202"/>
      <c r="AS334" s="1202"/>
      <c r="AT334" s="1202"/>
      <c r="AU334" s="1202"/>
      <c r="AV334" s="1202"/>
      <c r="AW334" s="1202"/>
      <c r="AX334" s="1202"/>
      <c r="AY334" s="1202"/>
      <c r="AZ334" s="1202"/>
      <c r="BA334" s="1202"/>
      <c r="BB334" s="1202"/>
      <c r="BC334" s="1202"/>
      <c r="BD334" s="1202"/>
      <c r="BE334" s="1202"/>
      <c r="BF334" s="1202"/>
      <c r="BG334" s="1202"/>
      <c r="BH334" s="1202"/>
      <c r="BI334" s="1202"/>
      <c r="BJ334" s="1202"/>
      <c r="BK334" s="1202"/>
      <c r="BL334" s="1202"/>
      <c r="BM334" s="1202"/>
      <c r="BN334" s="1202"/>
      <c r="BO334" s="1202"/>
      <c r="BP334" s="1202"/>
      <c r="BQ334" s="1202"/>
      <c r="BR334" s="1202"/>
      <c r="BS334" s="1202"/>
      <c r="BT334" s="1202"/>
      <c r="BU334" s="1202"/>
      <c r="BV334" s="1202"/>
      <c r="BW334" s="1202"/>
      <c r="BX334" s="1202"/>
      <c r="BY334" s="1202"/>
      <c r="BZ334" s="1202"/>
      <c r="CA334" s="1202"/>
      <c r="CB334" s="1202"/>
      <c r="CC334" s="1202"/>
      <c r="CD334" s="1202"/>
      <c r="CE334" s="1202"/>
      <c r="CF334" s="1202"/>
      <c r="CG334" s="1202"/>
      <c r="CH334" s="1203"/>
    </row>
    <row r="335" spans="1:86" ht="20.149999999999999" customHeight="1">
      <c r="A335" s="2467" t="s">
        <v>1439</v>
      </c>
      <c r="B335" s="2467" t="s">
        <v>1439</v>
      </c>
      <c r="C335" s="2472" t="s">
        <v>1439</v>
      </c>
      <c r="D335" s="2465"/>
      <c r="E335" s="1528"/>
      <c r="F335" s="1198">
        <v>3</v>
      </c>
      <c r="G335" s="1198">
        <v>4</v>
      </c>
      <c r="H335" s="1198">
        <v>5</v>
      </c>
      <c r="I335" s="1198">
        <v>6</v>
      </c>
      <c r="J335" s="1198">
        <v>7</v>
      </c>
      <c r="K335" s="1198">
        <v>8</v>
      </c>
      <c r="L335" s="1198">
        <v>9</v>
      </c>
      <c r="M335" s="1198">
        <v>10</v>
      </c>
      <c r="N335" s="1198">
        <v>11</v>
      </c>
      <c r="O335" s="1198">
        <v>12</v>
      </c>
      <c r="P335" s="1198">
        <v>13</v>
      </c>
      <c r="Q335" s="1198">
        <v>14</v>
      </c>
      <c r="R335" s="1198">
        <v>15</v>
      </c>
      <c r="S335" s="1198">
        <v>16</v>
      </c>
      <c r="T335" s="1198">
        <v>17</v>
      </c>
      <c r="U335" s="1198">
        <v>18</v>
      </c>
      <c r="V335" s="1198">
        <v>19</v>
      </c>
      <c r="W335" s="1198">
        <v>20</v>
      </c>
      <c r="X335" s="1198">
        <v>21</v>
      </c>
      <c r="Y335" s="1198">
        <v>22</v>
      </c>
      <c r="Z335" s="1198">
        <v>23</v>
      </c>
      <c r="AA335" s="1198">
        <v>24</v>
      </c>
      <c r="AB335" s="1199">
        <v>25</v>
      </c>
      <c r="AC335" s="1198">
        <v>26</v>
      </c>
      <c r="AD335" s="1198">
        <v>27</v>
      </c>
      <c r="AE335" s="1199">
        <v>28</v>
      </c>
      <c r="AF335" s="1198">
        <v>29</v>
      </c>
      <c r="AG335" s="1198">
        <v>30</v>
      </c>
      <c r="AH335" s="1199">
        <v>31</v>
      </c>
      <c r="AI335" s="1198">
        <v>32</v>
      </c>
      <c r="AJ335" s="1198">
        <v>33</v>
      </c>
      <c r="AK335" s="1199">
        <v>34</v>
      </c>
      <c r="AL335" s="1198">
        <v>35</v>
      </c>
      <c r="AM335" s="1198">
        <v>36</v>
      </c>
      <c r="AN335" s="1199">
        <v>37</v>
      </c>
      <c r="AO335" s="1198">
        <v>38</v>
      </c>
      <c r="AP335" s="1198">
        <v>39</v>
      </c>
      <c r="AQ335" s="1199">
        <v>40</v>
      </c>
      <c r="AR335" s="1198">
        <v>41</v>
      </c>
      <c r="AS335" s="1198">
        <v>42</v>
      </c>
      <c r="AT335" s="1199">
        <v>43</v>
      </c>
      <c r="AU335" s="1198">
        <v>44</v>
      </c>
      <c r="AV335" s="1198">
        <v>45</v>
      </c>
      <c r="AW335" s="1199">
        <v>46</v>
      </c>
      <c r="AX335" s="1198">
        <v>47</v>
      </c>
      <c r="AY335" s="1198">
        <v>48</v>
      </c>
      <c r="AZ335" s="1199">
        <v>49</v>
      </c>
      <c r="BA335" s="1198">
        <v>50</v>
      </c>
      <c r="BB335" s="1198">
        <v>51</v>
      </c>
      <c r="BC335" s="1199">
        <v>52</v>
      </c>
      <c r="BD335" s="1198">
        <v>53</v>
      </c>
      <c r="BE335" s="1198">
        <v>54</v>
      </c>
      <c r="BF335" s="1199">
        <v>55</v>
      </c>
      <c r="BG335" s="1198">
        <v>56</v>
      </c>
      <c r="BH335" s="1198">
        <v>57</v>
      </c>
      <c r="BI335" s="1199">
        <v>58</v>
      </c>
      <c r="BJ335" s="1198">
        <v>59</v>
      </c>
      <c r="BK335" s="1198">
        <v>60</v>
      </c>
      <c r="BL335" s="1199">
        <v>61</v>
      </c>
      <c r="BM335" s="1198">
        <v>62</v>
      </c>
      <c r="BN335" s="1198">
        <v>63</v>
      </c>
      <c r="BO335" s="1199">
        <v>64</v>
      </c>
      <c r="BP335" s="1198">
        <v>65</v>
      </c>
      <c r="BQ335" s="1198">
        <v>66</v>
      </c>
      <c r="BR335" s="1199">
        <v>67</v>
      </c>
      <c r="BS335" s="1198">
        <v>68</v>
      </c>
      <c r="BT335" s="1198">
        <v>69</v>
      </c>
      <c r="BU335" s="1199">
        <v>70</v>
      </c>
      <c r="BV335" s="1198">
        <v>71</v>
      </c>
      <c r="BW335" s="1198">
        <v>72</v>
      </c>
      <c r="BX335" s="1199">
        <v>73</v>
      </c>
      <c r="BY335" s="1198">
        <v>74</v>
      </c>
      <c r="BZ335" s="1198">
        <v>75</v>
      </c>
      <c r="CA335" s="1199">
        <v>76</v>
      </c>
      <c r="CB335" s="1198">
        <v>77</v>
      </c>
      <c r="CC335" s="1198">
        <v>78</v>
      </c>
      <c r="CD335" s="1199">
        <v>79</v>
      </c>
      <c r="CE335" s="1198">
        <v>80</v>
      </c>
      <c r="CF335" s="1198">
        <v>81</v>
      </c>
      <c r="CG335" s="1199">
        <v>82</v>
      </c>
      <c r="CH335" s="1200">
        <v>83</v>
      </c>
    </row>
    <row r="336" spans="1:86" ht="20.149999999999999" customHeight="1">
      <c r="A336" s="1563" t="s">
        <v>1541</v>
      </c>
      <c r="B336" s="1563" t="s">
        <v>13</v>
      </c>
      <c r="C336" s="1563" t="str">
        <f>A336&amp;B336&amp;D336</f>
        <v>PBSDDCIM20</v>
      </c>
      <c r="D336" s="1193">
        <v>20</v>
      </c>
      <c r="E336" s="1300"/>
      <c r="F336" s="1301">
        <v>0.26</v>
      </c>
      <c r="G336" s="1301">
        <v>0.4</v>
      </c>
      <c r="H336" s="1301">
        <v>0.55000000000000004</v>
      </c>
      <c r="I336" s="1301">
        <v>0.69</v>
      </c>
      <c r="J336" s="1301">
        <v>0.84</v>
      </c>
      <c r="K336" s="1301">
        <v>0.99</v>
      </c>
      <c r="L336" s="1301">
        <v>1.1399999999999999</v>
      </c>
      <c r="M336" s="1302">
        <v>1.3</v>
      </c>
      <c r="N336" s="1300">
        <v>1.46</v>
      </c>
      <c r="O336" s="1301">
        <v>1.63</v>
      </c>
      <c r="P336" s="1301">
        <v>1.8</v>
      </c>
      <c r="Q336" s="1301">
        <v>1.98</v>
      </c>
      <c r="R336" s="1301">
        <v>2.16</v>
      </c>
      <c r="S336" s="1301">
        <v>2.33</v>
      </c>
      <c r="T336" s="1301">
        <v>2.5099999999999998</v>
      </c>
      <c r="U336" s="1301">
        <v>2.69</v>
      </c>
      <c r="V336" s="1301">
        <v>2.88</v>
      </c>
      <c r="W336" s="1302">
        <v>3.07</v>
      </c>
      <c r="X336" s="1300">
        <v>3.28</v>
      </c>
      <c r="Y336" s="1301">
        <v>3.49</v>
      </c>
      <c r="Z336" s="1301">
        <v>3.71</v>
      </c>
      <c r="AA336" s="1301">
        <v>3.95</v>
      </c>
      <c r="AB336" s="1301">
        <v>4.2</v>
      </c>
      <c r="AC336" s="1301">
        <v>4.46</v>
      </c>
      <c r="AD336" s="1301">
        <v>4.7300000000000004</v>
      </c>
      <c r="AE336" s="1301">
        <v>5.01</v>
      </c>
      <c r="AF336" s="1301">
        <v>5.32</v>
      </c>
      <c r="AG336" s="1302">
        <v>5.63</v>
      </c>
      <c r="AH336" s="1300">
        <v>5.97</v>
      </c>
      <c r="AI336" s="1301">
        <v>6.32</v>
      </c>
      <c r="AJ336" s="1301">
        <v>6.69</v>
      </c>
      <c r="AK336" s="1301">
        <v>7.08</v>
      </c>
      <c r="AL336" s="1301">
        <v>7.49</v>
      </c>
      <c r="AM336" s="1301">
        <v>7.92</v>
      </c>
      <c r="AN336" s="1301">
        <v>8.3800000000000008</v>
      </c>
      <c r="AO336" s="1301">
        <v>8.86</v>
      </c>
      <c r="AP336" s="1301">
        <v>9.3699999999999992</v>
      </c>
      <c r="AQ336" s="1302">
        <v>9.9</v>
      </c>
      <c r="AR336" s="1300">
        <v>10.47</v>
      </c>
      <c r="AS336" s="1301">
        <v>11.07</v>
      </c>
      <c r="AT336" s="1301">
        <v>11.71</v>
      </c>
      <c r="AU336" s="1301">
        <v>12.39</v>
      </c>
      <c r="AV336" s="1301">
        <v>13.11</v>
      </c>
      <c r="AW336" s="1301">
        <v>13.88</v>
      </c>
      <c r="AX336" s="1301">
        <v>14.7</v>
      </c>
      <c r="AY336" s="1301">
        <v>15.57</v>
      </c>
      <c r="AZ336" s="1301">
        <v>16.5</v>
      </c>
      <c r="BA336" s="1302">
        <v>17.48</v>
      </c>
      <c r="BB336" s="1300">
        <v>18.53</v>
      </c>
      <c r="BC336" s="1301">
        <v>19.63</v>
      </c>
      <c r="BD336" s="1301">
        <v>20.8</v>
      </c>
      <c r="BE336" s="1301">
        <v>22.02</v>
      </c>
      <c r="BF336" s="1301">
        <v>23.31</v>
      </c>
      <c r="BG336" s="1301">
        <v>24.65</v>
      </c>
      <c r="BH336" s="1301">
        <v>26.05</v>
      </c>
      <c r="BI336" s="1301">
        <v>27.5</v>
      </c>
      <c r="BJ336" s="1301">
        <v>29</v>
      </c>
      <c r="BK336" s="1302">
        <v>30.54</v>
      </c>
      <c r="BL336" s="1300">
        <v>32.18</v>
      </c>
      <c r="BM336" s="1301">
        <v>33.81</v>
      </c>
      <c r="BN336" s="1301">
        <v>35.42</v>
      </c>
      <c r="BO336" s="1301">
        <v>37.01</v>
      </c>
      <c r="BP336" s="1301">
        <v>38.58</v>
      </c>
      <c r="BQ336" s="1301">
        <v>40.14</v>
      </c>
      <c r="BR336" s="1301">
        <v>41.69</v>
      </c>
      <c r="BS336" s="1301">
        <v>43.22</v>
      </c>
      <c r="BT336" s="1301">
        <v>44.73</v>
      </c>
      <c r="BU336" s="1302">
        <v>46.23</v>
      </c>
      <c r="BV336" s="1300">
        <v>47.72</v>
      </c>
      <c r="BW336" s="1301">
        <v>49.19</v>
      </c>
      <c r="BX336" s="1301">
        <v>50.65</v>
      </c>
      <c r="BY336" s="1301">
        <v>52.09</v>
      </c>
      <c r="BZ336" s="1301">
        <v>53.51</v>
      </c>
      <c r="CA336" s="1301">
        <v>54.93</v>
      </c>
      <c r="CB336" s="1301">
        <v>56.33</v>
      </c>
      <c r="CC336" s="1301">
        <v>57.71</v>
      </c>
      <c r="CD336" s="1301">
        <v>59.08</v>
      </c>
      <c r="CE336" s="1302">
        <v>60.44</v>
      </c>
      <c r="CF336" s="1301">
        <v>61.78</v>
      </c>
      <c r="CG336" s="1301">
        <v>63.12</v>
      </c>
      <c r="CH336" s="1302">
        <v>64.430000000000007</v>
      </c>
    </row>
    <row r="337" spans="1:86" ht="20.149999999999999" customHeight="1">
      <c r="A337" s="1563" t="s">
        <v>1541</v>
      </c>
      <c r="B337" s="1563" t="s">
        <v>13</v>
      </c>
      <c r="C337" s="1563" t="str">
        <f t="shared" ref="C337:C386" si="6">A337&amp;B337&amp;D337</f>
        <v>PBSDDCIM21</v>
      </c>
      <c r="D337" s="1194">
        <v>21</v>
      </c>
      <c r="E337" s="1303"/>
      <c r="F337" s="1304">
        <v>0.27</v>
      </c>
      <c r="G337" s="1304">
        <v>0.41</v>
      </c>
      <c r="H337" s="1304">
        <v>0.56000000000000005</v>
      </c>
      <c r="I337" s="1304">
        <v>0.7</v>
      </c>
      <c r="J337" s="1304">
        <v>0.85</v>
      </c>
      <c r="K337" s="1304">
        <v>1.01</v>
      </c>
      <c r="L337" s="1304">
        <v>1.1599999999999999</v>
      </c>
      <c r="M337" s="1305">
        <v>1.32</v>
      </c>
      <c r="N337" s="1303">
        <v>1.49</v>
      </c>
      <c r="O337" s="1304">
        <v>1.66</v>
      </c>
      <c r="P337" s="1304">
        <v>1.83</v>
      </c>
      <c r="Q337" s="1304">
        <v>2.0099999999999998</v>
      </c>
      <c r="R337" s="1304">
        <v>2.21</v>
      </c>
      <c r="S337" s="1304">
        <v>2.38</v>
      </c>
      <c r="T337" s="1304">
        <v>2.57</v>
      </c>
      <c r="U337" s="1304">
        <v>2.76</v>
      </c>
      <c r="V337" s="1304">
        <v>2.96</v>
      </c>
      <c r="W337" s="1305">
        <v>3.17</v>
      </c>
      <c r="X337" s="1303">
        <v>3.38</v>
      </c>
      <c r="Y337" s="1304">
        <v>3.61</v>
      </c>
      <c r="Z337" s="1304">
        <v>3.85</v>
      </c>
      <c r="AA337" s="1304">
        <v>4.0999999999999996</v>
      </c>
      <c r="AB337" s="1304">
        <v>4.3600000000000003</v>
      </c>
      <c r="AC337" s="1304">
        <v>4.6399999999999997</v>
      </c>
      <c r="AD337" s="1304">
        <v>4.93</v>
      </c>
      <c r="AE337" s="1304">
        <v>5.24</v>
      </c>
      <c r="AF337" s="1304">
        <v>5.56</v>
      </c>
      <c r="AG337" s="1305">
        <v>5.9</v>
      </c>
      <c r="AH337" s="1303">
        <v>6.26</v>
      </c>
      <c r="AI337" s="1304">
        <v>6.64</v>
      </c>
      <c r="AJ337" s="1304">
        <v>7.04</v>
      </c>
      <c r="AK337" s="1304">
        <v>7.46</v>
      </c>
      <c r="AL337" s="1304">
        <v>7.9</v>
      </c>
      <c r="AM337" s="1304">
        <v>8.36</v>
      </c>
      <c r="AN337" s="1304">
        <v>8.86</v>
      </c>
      <c r="AO337" s="1304">
        <v>9.3699999999999992</v>
      </c>
      <c r="AP337" s="1304">
        <v>9.92</v>
      </c>
      <c r="AQ337" s="1305">
        <v>10.5</v>
      </c>
      <c r="AR337" s="1303">
        <v>11.12</v>
      </c>
      <c r="AS337" s="1304">
        <v>11.77</v>
      </c>
      <c r="AT337" s="1304">
        <v>12.46</v>
      </c>
      <c r="AU337" s="1304">
        <v>13.2</v>
      </c>
      <c r="AV337" s="1304">
        <v>13.98</v>
      </c>
      <c r="AW337" s="1304">
        <v>14.82</v>
      </c>
      <c r="AX337" s="1304">
        <v>15.71</v>
      </c>
      <c r="AY337" s="1304">
        <v>16.66</v>
      </c>
      <c r="AZ337" s="1304">
        <v>17.670000000000002</v>
      </c>
      <c r="BA337" s="1305">
        <v>18.739999999999998</v>
      </c>
      <c r="BB337" s="1303">
        <v>19.87</v>
      </c>
      <c r="BC337" s="1304">
        <v>21.06</v>
      </c>
      <c r="BD337" s="1304">
        <v>22.32</v>
      </c>
      <c r="BE337" s="1304">
        <v>23.63</v>
      </c>
      <c r="BF337" s="1304">
        <v>25.01</v>
      </c>
      <c r="BG337" s="1304">
        <v>26.44</v>
      </c>
      <c r="BH337" s="1304">
        <v>27.92</v>
      </c>
      <c r="BI337" s="1304">
        <v>29.46</v>
      </c>
      <c r="BJ337" s="1304">
        <v>31.04</v>
      </c>
      <c r="BK337" s="1305">
        <v>32.72</v>
      </c>
      <c r="BL337" s="1303">
        <v>34.39</v>
      </c>
      <c r="BM337" s="1304">
        <v>36.04</v>
      </c>
      <c r="BN337" s="1304">
        <v>37.67</v>
      </c>
      <c r="BO337" s="1304">
        <v>39.29</v>
      </c>
      <c r="BP337" s="1304">
        <v>40.89</v>
      </c>
      <c r="BQ337" s="1304">
        <v>42.47</v>
      </c>
      <c r="BR337" s="1304">
        <v>44.04</v>
      </c>
      <c r="BS337" s="1304">
        <v>45.59</v>
      </c>
      <c r="BT337" s="1304">
        <v>47.13</v>
      </c>
      <c r="BU337" s="1305">
        <v>48.65</v>
      </c>
      <c r="BV337" s="1303">
        <v>50.16</v>
      </c>
      <c r="BW337" s="1304">
        <v>51.66</v>
      </c>
      <c r="BX337" s="1304">
        <v>53.13</v>
      </c>
      <c r="BY337" s="1304">
        <v>54.6</v>
      </c>
      <c r="BZ337" s="1304">
        <v>56.05</v>
      </c>
      <c r="CA337" s="1304">
        <v>57.48</v>
      </c>
      <c r="CB337" s="1304">
        <v>58.9</v>
      </c>
      <c r="CC337" s="1304">
        <v>60.31</v>
      </c>
      <c r="CD337" s="1304">
        <v>61.7</v>
      </c>
      <c r="CE337" s="1305">
        <v>63.08</v>
      </c>
      <c r="CF337" s="1304">
        <v>64.44</v>
      </c>
      <c r="CG337" s="1304">
        <v>65.790000000000006</v>
      </c>
      <c r="CH337" s="1305">
        <v>67.13</v>
      </c>
    </row>
    <row r="338" spans="1:86" ht="20.149999999999999" customHeight="1">
      <c r="A338" s="1563" t="s">
        <v>1541</v>
      </c>
      <c r="B338" s="1563" t="s">
        <v>13</v>
      </c>
      <c r="C338" s="1563" t="str">
        <f t="shared" si="6"/>
        <v>PBSDDCIM22</v>
      </c>
      <c r="D338" s="1193">
        <v>22</v>
      </c>
      <c r="E338" s="1300"/>
      <c r="F338" s="1301">
        <v>0.28000000000000003</v>
      </c>
      <c r="G338" s="1301">
        <v>0.42</v>
      </c>
      <c r="H338" s="1301">
        <v>0.56999999999999995</v>
      </c>
      <c r="I338" s="1301">
        <v>0.72</v>
      </c>
      <c r="J338" s="1301">
        <v>0.87</v>
      </c>
      <c r="K338" s="1301">
        <v>1.02</v>
      </c>
      <c r="L338" s="1301">
        <v>1.18</v>
      </c>
      <c r="M338" s="1302">
        <v>1.34</v>
      </c>
      <c r="N338" s="1300">
        <v>1.51</v>
      </c>
      <c r="O338" s="1301">
        <v>1.68</v>
      </c>
      <c r="P338" s="1301">
        <v>1.87</v>
      </c>
      <c r="Q338" s="1301">
        <v>2.06</v>
      </c>
      <c r="R338" s="1301">
        <v>2.25</v>
      </c>
      <c r="S338" s="1301">
        <v>2.44</v>
      </c>
      <c r="T338" s="1301">
        <v>2.63</v>
      </c>
      <c r="U338" s="1301">
        <v>2.84</v>
      </c>
      <c r="V338" s="1301">
        <v>3.05</v>
      </c>
      <c r="W338" s="1302">
        <v>3.27</v>
      </c>
      <c r="X338" s="1300">
        <v>3.5</v>
      </c>
      <c r="Y338" s="1301">
        <v>3.74</v>
      </c>
      <c r="Z338" s="1301">
        <v>4</v>
      </c>
      <c r="AA338" s="1301">
        <v>4.2699999999999996</v>
      </c>
      <c r="AB338" s="1301">
        <v>4.55</v>
      </c>
      <c r="AC338" s="1301">
        <v>4.8499999999999996</v>
      </c>
      <c r="AD338" s="1301">
        <v>5.16</v>
      </c>
      <c r="AE338" s="1301">
        <v>5.49</v>
      </c>
      <c r="AF338" s="1301">
        <v>5.84</v>
      </c>
      <c r="AG338" s="1302">
        <v>6.2</v>
      </c>
      <c r="AH338" s="1300">
        <v>6.59</v>
      </c>
      <c r="AI338" s="1301">
        <v>6.99</v>
      </c>
      <c r="AJ338" s="1301">
        <v>7.42</v>
      </c>
      <c r="AK338" s="1301">
        <v>7.87</v>
      </c>
      <c r="AL338" s="1301">
        <v>8.35</v>
      </c>
      <c r="AM338" s="1301">
        <v>8.85</v>
      </c>
      <c r="AN338" s="1301">
        <v>9.3800000000000008</v>
      </c>
      <c r="AO338" s="1301">
        <v>9.94</v>
      </c>
      <c r="AP338" s="1301">
        <v>10.53</v>
      </c>
      <c r="AQ338" s="1302">
        <v>11.16</v>
      </c>
      <c r="AR338" s="1300">
        <v>11.82</v>
      </c>
      <c r="AS338" s="1301">
        <v>12.53</v>
      </c>
      <c r="AT338" s="1301">
        <v>13.29</v>
      </c>
      <c r="AU338" s="1301">
        <v>14.09</v>
      </c>
      <c r="AV338" s="1301">
        <v>14.94</v>
      </c>
      <c r="AW338" s="1301">
        <v>15.86</v>
      </c>
      <c r="AX338" s="1301">
        <v>16.829999999999998</v>
      </c>
      <c r="AY338" s="1301">
        <v>17.86</v>
      </c>
      <c r="AZ338" s="1301">
        <v>18.95</v>
      </c>
      <c r="BA338" s="1302">
        <v>20.11</v>
      </c>
      <c r="BB338" s="1300">
        <v>21.33</v>
      </c>
      <c r="BC338" s="1301">
        <v>22.62</v>
      </c>
      <c r="BD338" s="1301">
        <v>23.96</v>
      </c>
      <c r="BE338" s="1301">
        <v>25.37</v>
      </c>
      <c r="BF338" s="1301">
        <v>26.84</v>
      </c>
      <c r="BG338" s="1301">
        <v>28.36</v>
      </c>
      <c r="BH338" s="1301">
        <v>29.93</v>
      </c>
      <c r="BI338" s="1301">
        <v>31.56</v>
      </c>
      <c r="BJ338" s="1301">
        <v>33.28</v>
      </c>
      <c r="BK338" s="1302">
        <v>34.99</v>
      </c>
      <c r="BL338" s="1300">
        <v>36.68</v>
      </c>
      <c r="BM338" s="1301">
        <v>38.36</v>
      </c>
      <c r="BN338" s="1301">
        <v>40.01</v>
      </c>
      <c r="BO338" s="1301">
        <v>41.66</v>
      </c>
      <c r="BP338" s="1301">
        <v>43.28</v>
      </c>
      <c r="BQ338" s="1301">
        <v>44.89</v>
      </c>
      <c r="BR338" s="1301">
        <v>46.48</v>
      </c>
      <c r="BS338" s="1301">
        <v>48.06</v>
      </c>
      <c r="BT338" s="1301">
        <v>49.62</v>
      </c>
      <c r="BU338" s="1302">
        <v>51.17</v>
      </c>
      <c r="BV338" s="1300">
        <v>52.7</v>
      </c>
      <c r="BW338" s="1301">
        <v>54.22</v>
      </c>
      <c r="BX338" s="1301">
        <v>55.72</v>
      </c>
      <c r="BY338" s="1301">
        <v>57.21</v>
      </c>
      <c r="BZ338" s="1301">
        <v>58.68</v>
      </c>
      <c r="CA338" s="1301">
        <v>60.13</v>
      </c>
      <c r="CB338" s="1301">
        <v>61.58</v>
      </c>
      <c r="CC338" s="1301">
        <v>63.01</v>
      </c>
      <c r="CD338" s="1301">
        <v>64.42</v>
      </c>
      <c r="CE338" s="1302">
        <v>65.819999999999993</v>
      </c>
      <c r="CF338" s="1301">
        <v>67.209999999999994</v>
      </c>
      <c r="CG338" s="1301">
        <v>68.58</v>
      </c>
      <c r="CH338" s="1302">
        <v>69.94</v>
      </c>
    </row>
    <row r="339" spans="1:86" ht="20.149999999999999" customHeight="1">
      <c r="A339" s="1563" t="s">
        <v>1541</v>
      </c>
      <c r="B339" s="1563" t="s">
        <v>13</v>
      </c>
      <c r="C339" s="1563" t="str">
        <f t="shared" si="6"/>
        <v>PBSDDCIM23</v>
      </c>
      <c r="D339" s="1193">
        <v>23</v>
      </c>
      <c r="E339" s="1300"/>
      <c r="F339" s="1301">
        <v>0.28000000000000003</v>
      </c>
      <c r="G339" s="1301">
        <v>0.43</v>
      </c>
      <c r="H339" s="1301">
        <v>0.56999999999999995</v>
      </c>
      <c r="I339" s="1301">
        <v>0.72</v>
      </c>
      <c r="J339" s="1301">
        <v>0.88</v>
      </c>
      <c r="K339" s="1301">
        <v>1.03</v>
      </c>
      <c r="L339" s="1301">
        <v>1.19</v>
      </c>
      <c r="M339" s="1302">
        <v>1.36</v>
      </c>
      <c r="N339" s="1300">
        <v>1.53</v>
      </c>
      <c r="O339" s="1301">
        <v>1.71</v>
      </c>
      <c r="P339" s="1301">
        <v>1.9</v>
      </c>
      <c r="Q339" s="1301">
        <v>2.1</v>
      </c>
      <c r="R339" s="1301">
        <v>2.31</v>
      </c>
      <c r="S339" s="1301">
        <v>2.5</v>
      </c>
      <c r="T339" s="1301">
        <v>2.71</v>
      </c>
      <c r="U339" s="1301">
        <v>2.92</v>
      </c>
      <c r="V339" s="1301">
        <v>3.15</v>
      </c>
      <c r="W339" s="1302">
        <v>3.38</v>
      </c>
      <c r="X339" s="1300">
        <v>3.63</v>
      </c>
      <c r="Y339" s="1301">
        <v>3.89</v>
      </c>
      <c r="Z339" s="1301">
        <v>4.16</v>
      </c>
      <c r="AA339" s="1301">
        <v>4.45</v>
      </c>
      <c r="AB339" s="1301">
        <v>4.76</v>
      </c>
      <c r="AC339" s="1301">
        <v>5.08</v>
      </c>
      <c r="AD339" s="1301">
        <v>5.41</v>
      </c>
      <c r="AE339" s="1301">
        <v>5.77</v>
      </c>
      <c r="AF339" s="1301">
        <v>6.14</v>
      </c>
      <c r="AG339" s="1302">
        <v>6.53</v>
      </c>
      <c r="AH339" s="1300">
        <v>6.95</v>
      </c>
      <c r="AI339" s="1301">
        <v>7.39</v>
      </c>
      <c r="AJ339" s="1301">
        <v>7.85</v>
      </c>
      <c r="AK339" s="1301">
        <v>8.33</v>
      </c>
      <c r="AL339" s="1301">
        <v>8.84</v>
      </c>
      <c r="AM339" s="1301">
        <v>9.3800000000000008</v>
      </c>
      <c r="AN339" s="1301">
        <v>9.9600000000000009</v>
      </c>
      <c r="AO339" s="1301">
        <v>10.56</v>
      </c>
      <c r="AP339" s="1301">
        <v>11.2</v>
      </c>
      <c r="AQ339" s="1302">
        <v>11.88</v>
      </c>
      <c r="AR339" s="1300">
        <v>12.61</v>
      </c>
      <c r="AS339" s="1301">
        <v>13.38</v>
      </c>
      <c r="AT339" s="1301">
        <v>14.2</v>
      </c>
      <c r="AU339" s="1301">
        <v>15.07</v>
      </c>
      <c r="AV339" s="1301">
        <v>16.010000000000002</v>
      </c>
      <c r="AW339" s="1301">
        <v>17</v>
      </c>
      <c r="AX339" s="1301">
        <v>18.05</v>
      </c>
      <c r="AY339" s="1301">
        <v>19.18</v>
      </c>
      <c r="AZ339" s="1301">
        <v>20.36</v>
      </c>
      <c r="BA339" s="1302">
        <v>21.61</v>
      </c>
      <c r="BB339" s="1300">
        <v>22.93</v>
      </c>
      <c r="BC339" s="1301">
        <v>24.31</v>
      </c>
      <c r="BD339" s="1301">
        <v>25.75</v>
      </c>
      <c r="BE339" s="1301">
        <v>27.25</v>
      </c>
      <c r="BF339" s="1301">
        <v>28.81</v>
      </c>
      <c r="BG339" s="1301">
        <v>30.43</v>
      </c>
      <c r="BH339" s="1301">
        <v>32.090000000000003</v>
      </c>
      <c r="BI339" s="1301">
        <v>33.86</v>
      </c>
      <c r="BJ339" s="1301">
        <v>35.61</v>
      </c>
      <c r="BK339" s="1302">
        <v>37.35</v>
      </c>
      <c r="BL339" s="1300">
        <v>39.07</v>
      </c>
      <c r="BM339" s="1301">
        <v>40.770000000000003</v>
      </c>
      <c r="BN339" s="1301">
        <v>42.45</v>
      </c>
      <c r="BO339" s="1301">
        <v>44.12</v>
      </c>
      <c r="BP339" s="1301">
        <v>45.77</v>
      </c>
      <c r="BQ339" s="1301">
        <v>47.41</v>
      </c>
      <c r="BR339" s="1301">
        <v>49.03</v>
      </c>
      <c r="BS339" s="1301">
        <v>50.63</v>
      </c>
      <c r="BT339" s="1301">
        <v>52.22</v>
      </c>
      <c r="BU339" s="1302">
        <v>53.79</v>
      </c>
      <c r="BV339" s="1300">
        <v>55.35</v>
      </c>
      <c r="BW339" s="1301">
        <v>56.89</v>
      </c>
      <c r="BX339" s="1301">
        <v>58.41</v>
      </c>
      <c r="BY339" s="1301">
        <v>59.92</v>
      </c>
      <c r="BZ339" s="1301">
        <v>61.42</v>
      </c>
      <c r="CA339" s="1301">
        <v>62.9</v>
      </c>
      <c r="CB339" s="1301">
        <v>64.36</v>
      </c>
      <c r="CC339" s="1301">
        <v>65.819999999999993</v>
      </c>
      <c r="CD339" s="1301">
        <v>67.25</v>
      </c>
      <c r="CE339" s="1302">
        <v>68.680000000000007</v>
      </c>
      <c r="CF339" s="1301">
        <v>70.08</v>
      </c>
      <c r="CG339" s="1301">
        <v>71.48</v>
      </c>
      <c r="CH339" s="1302">
        <v>72.86</v>
      </c>
    </row>
    <row r="340" spans="1:86" ht="20.149999999999999" customHeight="1">
      <c r="A340" s="1563" t="s">
        <v>1541</v>
      </c>
      <c r="B340" s="1563" t="s">
        <v>13</v>
      </c>
      <c r="C340" s="1563" t="str">
        <f t="shared" si="6"/>
        <v>PBSDDCIM24</v>
      </c>
      <c r="D340" s="1193">
        <v>24</v>
      </c>
      <c r="E340" s="1300"/>
      <c r="F340" s="1301">
        <v>0.28000000000000003</v>
      </c>
      <c r="G340" s="1301">
        <v>0.43</v>
      </c>
      <c r="H340" s="1301">
        <v>0.57999999999999996</v>
      </c>
      <c r="I340" s="1301">
        <v>0.73</v>
      </c>
      <c r="J340" s="1301">
        <v>0.89</v>
      </c>
      <c r="K340" s="1301">
        <v>1.05</v>
      </c>
      <c r="L340" s="1301">
        <v>1.21</v>
      </c>
      <c r="M340" s="1302">
        <v>1.38</v>
      </c>
      <c r="N340" s="1300">
        <v>1.56</v>
      </c>
      <c r="O340" s="1301">
        <v>1.75</v>
      </c>
      <c r="P340" s="1301">
        <v>1.95</v>
      </c>
      <c r="Q340" s="1301">
        <v>2.15</v>
      </c>
      <c r="R340" s="1301">
        <v>2.37</v>
      </c>
      <c r="S340" s="1301">
        <v>2.58</v>
      </c>
      <c r="T340" s="1301">
        <v>2.8</v>
      </c>
      <c r="U340" s="1301">
        <v>3.03</v>
      </c>
      <c r="V340" s="1301">
        <v>3.27</v>
      </c>
      <c r="W340" s="1302">
        <v>3.52</v>
      </c>
      <c r="X340" s="1300">
        <v>3.78</v>
      </c>
      <c r="Y340" s="1301">
        <v>4.0599999999999996</v>
      </c>
      <c r="Z340" s="1301">
        <v>4.3600000000000003</v>
      </c>
      <c r="AA340" s="1301">
        <v>4.67</v>
      </c>
      <c r="AB340" s="1301">
        <v>4.99</v>
      </c>
      <c r="AC340" s="1301">
        <v>5.34</v>
      </c>
      <c r="AD340" s="1301">
        <v>5.7</v>
      </c>
      <c r="AE340" s="1301">
        <v>6.08</v>
      </c>
      <c r="AF340" s="1301">
        <v>6.48</v>
      </c>
      <c r="AG340" s="1302">
        <v>6.91</v>
      </c>
      <c r="AH340" s="1300">
        <v>7.35</v>
      </c>
      <c r="AI340" s="1301">
        <v>7.82</v>
      </c>
      <c r="AJ340" s="1301">
        <v>8.32</v>
      </c>
      <c r="AK340" s="1301">
        <v>8.84</v>
      </c>
      <c r="AL340" s="1301">
        <v>9.4</v>
      </c>
      <c r="AM340" s="1301">
        <v>9.98</v>
      </c>
      <c r="AN340" s="1301">
        <v>10.6</v>
      </c>
      <c r="AO340" s="1301">
        <v>11.25</v>
      </c>
      <c r="AP340" s="1301">
        <v>11.95</v>
      </c>
      <c r="AQ340" s="1302">
        <v>12.69</v>
      </c>
      <c r="AR340" s="1300">
        <v>13.48</v>
      </c>
      <c r="AS340" s="1301">
        <v>14.32</v>
      </c>
      <c r="AT340" s="1301">
        <v>15.21</v>
      </c>
      <c r="AU340" s="1301">
        <v>16.170000000000002</v>
      </c>
      <c r="AV340" s="1301">
        <v>17.18</v>
      </c>
      <c r="AW340" s="1301">
        <v>18.260000000000002</v>
      </c>
      <c r="AX340" s="1301">
        <v>19.41</v>
      </c>
      <c r="AY340" s="1301">
        <v>20.63</v>
      </c>
      <c r="AZ340" s="1301">
        <v>21.91</v>
      </c>
      <c r="BA340" s="1302">
        <v>23.26</v>
      </c>
      <c r="BB340" s="1300">
        <v>24.67</v>
      </c>
      <c r="BC340" s="1301">
        <v>26.15</v>
      </c>
      <c r="BD340" s="1301">
        <v>27.69</v>
      </c>
      <c r="BE340" s="1301">
        <v>29.29</v>
      </c>
      <c r="BF340" s="1301">
        <v>30.94</v>
      </c>
      <c r="BG340" s="1301">
        <v>32.65</v>
      </c>
      <c r="BH340" s="1301">
        <v>34.47</v>
      </c>
      <c r="BI340" s="1301">
        <v>36.270000000000003</v>
      </c>
      <c r="BJ340" s="1301">
        <v>38.049999999999997</v>
      </c>
      <c r="BK340" s="1302">
        <v>39.81</v>
      </c>
      <c r="BL340" s="1300">
        <v>41.56</v>
      </c>
      <c r="BM340" s="1301">
        <v>43.29</v>
      </c>
      <c r="BN340" s="1301">
        <v>45</v>
      </c>
      <c r="BO340" s="1301">
        <v>46.7</v>
      </c>
      <c r="BP340" s="1301">
        <v>48.38</v>
      </c>
      <c r="BQ340" s="1301">
        <v>50.04</v>
      </c>
      <c r="BR340" s="1301">
        <v>51.69</v>
      </c>
      <c r="BS340" s="1301">
        <v>53.32</v>
      </c>
      <c r="BT340" s="1301">
        <v>54.93</v>
      </c>
      <c r="BU340" s="1302">
        <v>56.53</v>
      </c>
      <c r="BV340" s="1300">
        <v>58.11</v>
      </c>
      <c r="BW340" s="1301">
        <v>59.68</v>
      </c>
      <c r="BX340" s="1301">
        <v>61.23</v>
      </c>
      <c r="BY340" s="1301">
        <v>62.76</v>
      </c>
      <c r="BZ340" s="1301">
        <v>64.28</v>
      </c>
      <c r="CA340" s="1301">
        <v>65.790000000000006</v>
      </c>
      <c r="CB340" s="1301">
        <v>67.28</v>
      </c>
      <c r="CC340" s="1301">
        <v>68.75</v>
      </c>
      <c r="CD340" s="1301">
        <v>70.209999999999994</v>
      </c>
      <c r="CE340" s="1302">
        <v>71.66</v>
      </c>
      <c r="CF340" s="1301">
        <v>73.09</v>
      </c>
      <c r="CG340" s="1301">
        <v>74.510000000000005</v>
      </c>
      <c r="CH340" s="1302">
        <v>75.91</v>
      </c>
    </row>
    <row r="341" spans="1:86" ht="20.149999999999999" customHeight="1">
      <c r="A341" s="1563" t="s">
        <v>1541</v>
      </c>
      <c r="B341" s="1563" t="s">
        <v>13</v>
      </c>
      <c r="C341" s="1563" t="str">
        <f t="shared" si="6"/>
        <v>PBSDDCIM25</v>
      </c>
      <c r="D341" s="1195">
        <v>25</v>
      </c>
      <c r="E341" s="1306"/>
      <c r="F341" s="1307">
        <v>0.28999999999999998</v>
      </c>
      <c r="G341" s="1307">
        <v>0.43</v>
      </c>
      <c r="H341" s="1307">
        <v>0.57999999999999996</v>
      </c>
      <c r="I341" s="1307">
        <v>0.74</v>
      </c>
      <c r="J341" s="1307">
        <v>0.9</v>
      </c>
      <c r="K341" s="1307">
        <v>1.06</v>
      </c>
      <c r="L341" s="1307">
        <v>1.23</v>
      </c>
      <c r="M341" s="1308">
        <v>1.41</v>
      </c>
      <c r="N341" s="1306">
        <v>1.6</v>
      </c>
      <c r="O341" s="1307">
        <v>1.79</v>
      </c>
      <c r="P341" s="1307">
        <v>2</v>
      </c>
      <c r="Q341" s="1307">
        <v>2.2200000000000002</v>
      </c>
      <c r="R341" s="1307">
        <v>2.4500000000000002</v>
      </c>
      <c r="S341" s="1307">
        <v>2.67</v>
      </c>
      <c r="T341" s="1307">
        <v>2.9</v>
      </c>
      <c r="U341" s="1307">
        <v>3.15</v>
      </c>
      <c r="V341" s="1307">
        <v>3.41</v>
      </c>
      <c r="W341" s="1308">
        <v>3.68</v>
      </c>
      <c r="X341" s="1306">
        <v>3.96</v>
      </c>
      <c r="Y341" s="1307">
        <v>4.26</v>
      </c>
      <c r="Z341" s="1307">
        <v>4.58</v>
      </c>
      <c r="AA341" s="1307">
        <v>4.91</v>
      </c>
      <c r="AB341" s="1307">
        <v>5.26</v>
      </c>
      <c r="AC341" s="1307">
        <v>5.63</v>
      </c>
      <c r="AD341" s="1307">
        <v>6.02</v>
      </c>
      <c r="AE341" s="1307">
        <v>6.43</v>
      </c>
      <c r="AF341" s="1307">
        <v>6.87</v>
      </c>
      <c r="AG341" s="1308">
        <v>7.32</v>
      </c>
      <c r="AH341" s="1306">
        <v>7.8</v>
      </c>
      <c r="AI341" s="1307">
        <v>8.31</v>
      </c>
      <c r="AJ341" s="1307">
        <v>8.85</v>
      </c>
      <c r="AK341" s="1307">
        <v>9.41</v>
      </c>
      <c r="AL341" s="1307">
        <v>10.01</v>
      </c>
      <c r="AM341" s="1307">
        <v>10.64</v>
      </c>
      <c r="AN341" s="1307">
        <v>11.31</v>
      </c>
      <c r="AO341" s="1307">
        <v>12.02</v>
      </c>
      <c r="AP341" s="1307">
        <v>12.78</v>
      </c>
      <c r="AQ341" s="1308">
        <v>13.59</v>
      </c>
      <c r="AR341" s="1306">
        <v>14.45</v>
      </c>
      <c r="AS341" s="1307">
        <v>15.36</v>
      </c>
      <c r="AT341" s="1307">
        <v>16.34</v>
      </c>
      <c r="AU341" s="1307">
        <v>17.38</v>
      </c>
      <c r="AV341" s="1307">
        <v>18.489999999999998</v>
      </c>
      <c r="AW341" s="1307">
        <v>19.66</v>
      </c>
      <c r="AX341" s="1307">
        <v>20.91</v>
      </c>
      <c r="AY341" s="1307">
        <v>22.22</v>
      </c>
      <c r="AZ341" s="1307">
        <v>23.6</v>
      </c>
      <c r="BA341" s="1308">
        <v>25.05</v>
      </c>
      <c r="BB341" s="1306">
        <v>26.57</v>
      </c>
      <c r="BC341" s="1307">
        <v>28.15</v>
      </c>
      <c r="BD341" s="1307">
        <v>29.79</v>
      </c>
      <c r="BE341" s="1307">
        <v>31.49</v>
      </c>
      <c r="BF341" s="1307">
        <v>33.24</v>
      </c>
      <c r="BG341" s="1307">
        <v>35.1</v>
      </c>
      <c r="BH341" s="1307">
        <v>36.950000000000003</v>
      </c>
      <c r="BI341" s="1307">
        <v>38.78</v>
      </c>
      <c r="BJ341" s="1307">
        <v>40.6</v>
      </c>
      <c r="BK341" s="1308">
        <v>42.39</v>
      </c>
      <c r="BL341" s="1306">
        <v>44.17</v>
      </c>
      <c r="BM341" s="1307">
        <v>45.93</v>
      </c>
      <c r="BN341" s="1307">
        <v>47.67</v>
      </c>
      <c r="BO341" s="1307">
        <v>49.39</v>
      </c>
      <c r="BP341" s="1307">
        <v>51.1</v>
      </c>
      <c r="BQ341" s="1307">
        <v>52.79</v>
      </c>
      <c r="BR341" s="1307">
        <v>54.47</v>
      </c>
      <c r="BS341" s="1307">
        <v>56.12</v>
      </c>
      <c r="BT341" s="1307">
        <v>57.76</v>
      </c>
      <c r="BU341" s="1308">
        <v>59.39</v>
      </c>
      <c r="BV341" s="1306">
        <v>61</v>
      </c>
      <c r="BW341" s="1307">
        <v>62.59</v>
      </c>
      <c r="BX341" s="1307">
        <v>64.17</v>
      </c>
      <c r="BY341" s="1307">
        <v>65.73</v>
      </c>
      <c r="BZ341" s="1307">
        <v>67.28</v>
      </c>
      <c r="CA341" s="1307">
        <v>68.81</v>
      </c>
      <c r="CB341" s="1307">
        <v>70.319999999999993</v>
      </c>
      <c r="CC341" s="1307">
        <v>71.819999999999993</v>
      </c>
      <c r="CD341" s="1307">
        <v>73.31</v>
      </c>
      <c r="CE341" s="1308">
        <v>74.78</v>
      </c>
      <c r="CF341" s="1307">
        <v>76.239999999999995</v>
      </c>
      <c r="CG341" s="1307">
        <v>77.680000000000007</v>
      </c>
      <c r="CH341" s="1308">
        <v>79.099999999999994</v>
      </c>
    </row>
    <row r="342" spans="1:86" ht="20.149999999999999" customHeight="1">
      <c r="A342" s="1563" t="s">
        <v>1541</v>
      </c>
      <c r="B342" s="1563" t="s">
        <v>13</v>
      </c>
      <c r="C342" s="1563" t="str">
        <f t="shared" si="6"/>
        <v>PBSDDCIM26</v>
      </c>
      <c r="D342" s="1193">
        <v>26</v>
      </c>
      <c r="E342" s="1300"/>
      <c r="F342" s="1301">
        <v>0.28999999999999998</v>
      </c>
      <c r="G342" s="1301">
        <v>0.44</v>
      </c>
      <c r="H342" s="1301">
        <v>0.59</v>
      </c>
      <c r="I342" s="1301">
        <v>0.75</v>
      </c>
      <c r="J342" s="1301">
        <v>0.91</v>
      </c>
      <c r="K342" s="1301">
        <v>1.08</v>
      </c>
      <c r="L342" s="1301">
        <v>1.26</v>
      </c>
      <c r="M342" s="1302">
        <v>1.45</v>
      </c>
      <c r="N342" s="1300">
        <v>1.64</v>
      </c>
      <c r="O342" s="1301">
        <v>1.85</v>
      </c>
      <c r="P342" s="1301">
        <v>2.0699999999999998</v>
      </c>
      <c r="Q342" s="1301">
        <v>2.2999999999999998</v>
      </c>
      <c r="R342" s="1301">
        <v>2.5499999999999998</v>
      </c>
      <c r="S342" s="1301">
        <v>2.78</v>
      </c>
      <c r="T342" s="1301">
        <v>3.03</v>
      </c>
      <c r="U342" s="1301">
        <v>3.3</v>
      </c>
      <c r="V342" s="1301">
        <v>3.57</v>
      </c>
      <c r="W342" s="1302">
        <v>3.86</v>
      </c>
      <c r="X342" s="1300">
        <v>4.17</v>
      </c>
      <c r="Y342" s="1301">
        <v>4.49</v>
      </c>
      <c r="Z342" s="1301">
        <v>4.84</v>
      </c>
      <c r="AA342" s="1301">
        <v>5.19</v>
      </c>
      <c r="AB342" s="1301">
        <v>5.57</v>
      </c>
      <c r="AC342" s="1301">
        <v>5.97</v>
      </c>
      <c r="AD342" s="1301">
        <v>6.39</v>
      </c>
      <c r="AE342" s="1301">
        <v>6.83</v>
      </c>
      <c r="AF342" s="1301">
        <v>7.3</v>
      </c>
      <c r="AG342" s="1302">
        <v>7.79</v>
      </c>
      <c r="AH342" s="1300">
        <v>8.31</v>
      </c>
      <c r="AI342" s="1301">
        <v>8.86</v>
      </c>
      <c r="AJ342" s="1301">
        <v>9.43</v>
      </c>
      <c r="AK342" s="1301">
        <v>10.039999999999999</v>
      </c>
      <c r="AL342" s="1301">
        <v>10.69</v>
      </c>
      <c r="AM342" s="1301">
        <v>11.38</v>
      </c>
      <c r="AN342" s="1301">
        <v>12.11</v>
      </c>
      <c r="AO342" s="1301">
        <v>12.88</v>
      </c>
      <c r="AP342" s="1301">
        <v>13.71</v>
      </c>
      <c r="AQ342" s="1302">
        <v>14.59</v>
      </c>
      <c r="AR342" s="1300">
        <v>15.52</v>
      </c>
      <c r="AS342" s="1301">
        <v>16.52</v>
      </c>
      <c r="AT342" s="1301">
        <v>17.59</v>
      </c>
      <c r="AU342" s="1301">
        <v>18.73</v>
      </c>
      <c r="AV342" s="1301">
        <v>19.93</v>
      </c>
      <c r="AW342" s="1301">
        <v>21.21</v>
      </c>
      <c r="AX342" s="1301">
        <v>22.55</v>
      </c>
      <c r="AY342" s="1301">
        <v>23.97</v>
      </c>
      <c r="AZ342" s="1301">
        <v>25.45</v>
      </c>
      <c r="BA342" s="1302">
        <v>27.01</v>
      </c>
      <c r="BB342" s="1300">
        <v>28.63</v>
      </c>
      <c r="BC342" s="1301">
        <v>30.32</v>
      </c>
      <c r="BD342" s="1301">
        <v>32.06</v>
      </c>
      <c r="BE342" s="1301">
        <v>33.85</v>
      </c>
      <c r="BF342" s="1301">
        <v>35.770000000000003</v>
      </c>
      <c r="BG342" s="1301">
        <v>37.67</v>
      </c>
      <c r="BH342" s="1301">
        <v>39.549999999999997</v>
      </c>
      <c r="BI342" s="1301">
        <v>41.42</v>
      </c>
      <c r="BJ342" s="1301">
        <v>43.26</v>
      </c>
      <c r="BK342" s="1302">
        <v>45.09</v>
      </c>
      <c r="BL342" s="1300">
        <v>46.9</v>
      </c>
      <c r="BM342" s="1301">
        <v>48.69</v>
      </c>
      <c r="BN342" s="1301">
        <v>50.46</v>
      </c>
      <c r="BO342" s="1301">
        <v>52.21</v>
      </c>
      <c r="BP342" s="1301">
        <v>53.95</v>
      </c>
      <c r="BQ342" s="1301">
        <v>55.67</v>
      </c>
      <c r="BR342" s="1301">
        <v>57.38</v>
      </c>
      <c r="BS342" s="1301">
        <v>59.06</v>
      </c>
      <c r="BT342" s="1301">
        <v>60.73</v>
      </c>
      <c r="BU342" s="1302">
        <v>62.39</v>
      </c>
      <c r="BV342" s="1300">
        <v>64.02</v>
      </c>
      <c r="BW342" s="1301">
        <v>65.64</v>
      </c>
      <c r="BX342" s="1301">
        <v>67.25</v>
      </c>
      <c r="BY342" s="1301">
        <v>68.84</v>
      </c>
      <c r="BZ342" s="1301">
        <v>70.41</v>
      </c>
      <c r="CA342" s="1301">
        <v>71.97</v>
      </c>
      <c r="CB342" s="1301">
        <v>73.510000000000005</v>
      </c>
      <c r="CC342" s="1301">
        <v>75.040000000000006</v>
      </c>
      <c r="CD342" s="1301">
        <v>76.55</v>
      </c>
      <c r="CE342" s="1302">
        <v>78.05</v>
      </c>
      <c r="CF342" s="1301">
        <v>79.53</v>
      </c>
      <c r="CG342" s="1301">
        <v>80.989999999999995</v>
      </c>
      <c r="CH342" s="1302">
        <v>82.45</v>
      </c>
    </row>
    <row r="343" spans="1:86" ht="20.149999999999999" customHeight="1">
      <c r="A343" s="1563" t="s">
        <v>1541</v>
      </c>
      <c r="B343" s="1563" t="s">
        <v>13</v>
      </c>
      <c r="C343" s="1563" t="str">
        <f t="shared" si="6"/>
        <v>PBSDDCIM27</v>
      </c>
      <c r="D343" s="1193">
        <v>27</v>
      </c>
      <c r="E343" s="1300"/>
      <c r="F343" s="1301">
        <v>0.28999999999999998</v>
      </c>
      <c r="G343" s="1301">
        <v>0.45</v>
      </c>
      <c r="H343" s="1301">
        <v>0.6</v>
      </c>
      <c r="I343" s="1301">
        <v>0.77</v>
      </c>
      <c r="J343" s="1301">
        <v>0.94</v>
      </c>
      <c r="K343" s="1301">
        <v>1.1100000000000001</v>
      </c>
      <c r="L343" s="1301">
        <v>1.3</v>
      </c>
      <c r="M343" s="1302">
        <v>1.5</v>
      </c>
      <c r="N343" s="1300">
        <v>1.7</v>
      </c>
      <c r="O343" s="1301">
        <v>1.92</v>
      </c>
      <c r="P343" s="1301">
        <v>2.15</v>
      </c>
      <c r="Q343" s="1301">
        <v>2.4</v>
      </c>
      <c r="R343" s="1301">
        <v>2.66</v>
      </c>
      <c r="S343" s="1301">
        <v>2.92</v>
      </c>
      <c r="T343" s="1301">
        <v>3.19</v>
      </c>
      <c r="U343" s="1301">
        <v>3.47</v>
      </c>
      <c r="V343" s="1301">
        <v>3.77</v>
      </c>
      <c r="W343" s="1302">
        <v>4.08</v>
      </c>
      <c r="X343" s="1300">
        <v>4.41</v>
      </c>
      <c r="Y343" s="1301">
        <v>4.76</v>
      </c>
      <c r="Z343" s="1301">
        <v>5.13</v>
      </c>
      <c r="AA343" s="1301">
        <v>5.51</v>
      </c>
      <c r="AB343" s="1301">
        <v>5.92</v>
      </c>
      <c r="AC343" s="1301">
        <v>6.35</v>
      </c>
      <c r="AD343" s="1301">
        <v>6.8</v>
      </c>
      <c r="AE343" s="1301">
        <v>7.28</v>
      </c>
      <c r="AF343" s="1301">
        <v>7.78</v>
      </c>
      <c r="AG343" s="1302">
        <v>8.31</v>
      </c>
      <c r="AH343" s="1300">
        <v>8.8699999999999992</v>
      </c>
      <c r="AI343" s="1301">
        <v>9.4600000000000009</v>
      </c>
      <c r="AJ343" s="1301">
        <v>10.09</v>
      </c>
      <c r="AK343" s="1301">
        <v>10.75</v>
      </c>
      <c r="AL343" s="1301">
        <v>11.45</v>
      </c>
      <c r="AM343" s="1301">
        <v>12.2</v>
      </c>
      <c r="AN343" s="1301">
        <v>12.99</v>
      </c>
      <c r="AO343" s="1301">
        <v>13.84</v>
      </c>
      <c r="AP343" s="1301">
        <v>14.74</v>
      </c>
      <c r="AQ343" s="1302">
        <v>15.7</v>
      </c>
      <c r="AR343" s="1300">
        <v>16.72</v>
      </c>
      <c r="AS343" s="1301">
        <v>17.82</v>
      </c>
      <c r="AT343" s="1301">
        <v>18.98</v>
      </c>
      <c r="AU343" s="1301">
        <v>20.22</v>
      </c>
      <c r="AV343" s="1301">
        <v>21.52</v>
      </c>
      <c r="AW343" s="1301">
        <v>22.9</v>
      </c>
      <c r="AX343" s="1301">
        <v>24.36</v>
      </c>
      <c r="AY343" s="1301">
        <v>25.88</v>
      </c>
      <c r="AZ343" s="1301">
        <v>27.48</v>
      </c>
      <c r="BA343" s="1302">
        <v>29.14</v>
      </c>
      <c r="BB343" s="1300">
        <v>30.87</v>
      </c>
      <c r="BC343" s="1301">
        <v>32.659999999999997</v>
      </c>
      <c r="BD343" s="1301">
        <v>34.51</v>
      </c>
      <c r="BE343" s="1301">
        <v>36.479999999999997</v>
      </c>
      <c r="BF343" s="1301">
        <v>38.43</v>
      </c>
      <c r="BG343" s="1301">
        <v>40.369999999999997</v>
      </c>
      <c r="BH343" s="1301">
        <v>42.28</v>
      </c>
      <c r="BI343" s="1301">
        <v>44.18</v>
      </c>
      <c r="BJ343" s="1301">
        <v>46.06</v>
      </c>
      <c r="BK343" s="1302">
        <v>47.92</v>
      </c>
      <c r="BL343" s="1300">
        <v>49.76</v>
      </c>
      <c r="BM343" s="1301">
        <v>51.58</v>
      </c>
      <c r="BN343" s="1301">
        <v>53.39</v>
      </c>
      <c r="BO343" s="1301">
        <v>55.17</v>
      </c>
      <c r="BP343" s="1301">
        <v>56.94</v>
      </c>
      <c r="BQ343" s="1301">
        <v>58.69</v>
      </c>
      <c r="BR343" s="1301">
        <v>60.43</v>
      </c>
      <c r="BS343" s="1301">
        <v>62.14</v>
      </c>
      <c r="BT343" s="1301">
        <v>63.84</v>
      </c>
      <c r="BU343" s="1302">
        <v>65.53</v>
      </c>
      <c r="BV343" s="1300">
        <v>67.19</v>
      </c>
      <c r="BW343" s="1301">
        <v>68.84</v>
      </c>
      <c r="BX343" s="1301">
        <v>70.48</v>
      </c>
      <c r="BY343" s="1301">
        <v>72.099999999999994</v>
      </c>
      <c r="BZ343" s="1301">
        <v>73.7</v>
      </c>
      <c r="CA343" s="1301">
        <v>75.28</v>
      </c>
      <c r="CB343" s="1301">
        <v>76.849999999999994</v>
      </c>
      <c r="CC343" s="1301">
        <v>78.41</v>
      </c>
      <c r="CD343" s="1301">
        <v>79.95</v>
      </c>
      <c r="CE343" s="1302">
        <v>81.47</v>
      </c>
      <c r="CF343" s="1301">
        <v>82.98</v>
      </c>
      <c r="CG343" s="1301">
        <v>84.47</v>
      </c>
      <c r="CH343" s="1302">
        <v>85.95</v>
      </c>
    </row>
    <row r="344" spans="1:86" ht="20.149999999999999" customHeight="1">
      <c r="A344" s="1563" t="s">
        <v>1541</v>
      </c>
      <c r="B344" s="1563" t="s">
        <v>13</v>
      </c>
      <c r="C344" s="1563" t="str">
        <f t="shared" si="6"/>
        <v>PBSDDCIM28</v>
      </c>
      <c r="D344" s="1193">
        <v>28</v>
      </c>
      <c r="E344" s="1300"/>
      <c r="F344" s="1301">
        <v>0.3</v>
      </c>
      <c r="G344" s="1301">
        <v>0.46</v>
      </c>
      <c r="H344" s="1301">
        <v>0.62</v>
      </c>
      <c r="I344" s="1301">
        <v>0.79</v>
      </c>
      <c r="J344" s="1301">
        <v>0.97</v>
      </c>
      <c r="K344" s="1301">
        <v>1.1499999999999999</v>
      </c>
      <c r="L344" s="1301">
        <v>1.35</v>
      </c>
      <c r="M344" s="1302">
        <v>1.55</v>
      </c>
      <c r="N344" s="1300">
        <v>1.77</v>
      </c>
      <c r="O344" s="1301">
        <v>2.0099999999999998</v>
      </c>
      <c r="P344" s="1301">
        <v>2.25</v>
      </c>
      <c r="Q344" s="1301">
        <v>2.52</v>
      </c>
      <c r="R344" s="1301">
        <v>2.8</v>
      </c>
      <c r="S344" s="1301">
        <v>3.08</v>
      </c>
      <c r="T344" s="1301">
        <v>3.37</v>
      </c>
      <c r="U344" s="1301">
        <v>3.67</v>
      </c>
      <c r="V344" s="1301">
        <v>3.99</v>
      </c>
      <c r="W344" s="1302">
        <v>4.33</v>
      </c>
      <c r="X344" s="1300">
        <v>4.6900000000000004</v>
      </c>
      <c r="Y344" s="1301">
        <v>5.0599999999999996</v>
      </c>
      <c r="Z344" s="1301">
        <v>5.46</v>
      </c>
      <c r="AA344" s="1301">
        <v>5.88</v>
      </c>
      <c r="AB344" s="1301">
        <v>6.32</v>
      </c>
      <c r="AC344" s="1301">
        <v>6.78</v>
      </c>
      <c r="AD344" s="1301">
        <v>7.27</v>
      </c>
      <c r="AE344" s="1301">
        <v>7.78</v>
      </c>
      <c r="AF344" s="1301">
        <v>8.32</v>
      </c>
      <c r="AG344" s="1302">
        <v>8.9</v>
      </c>
      <c r="AH344" s="1300">
        <v>9.5</v>
      </c>
      <c r="AI344" s="1301">
        <v>10.14</v>
      </c>
      <c r="AJ344" s="1301">
        <v>10.82</v>
      </c>
      <c r="AK344" s="1301">
        <v>11.54</v>
      </c>
      <c r="AL344" s="1301">
        <v>12.3</v>
      </c>
      <c r="AM344" s="1301">
        <v>13.11</v>
      </c>
      <c r="AN344" s="1301">
        <v>13.98</v>
      </c>
      <c r="AO344" s="1301">
        <v>14.9</v>
      </c>
      <c r="AP344" s="1301">
        <v>15.89</v>
      </c>
      <c r="AQ344" s="1302">
        <v>16.940000000000001</v>
      </c>
      <c r="AR344" s="1300">
        <v>18.059999999999999</v>
      </c>
      <c r="AS344" s="1301">
        <v>19.25</v>
      </c>
      <c r="AT344" s="1301">
        <v>20.52</v>
      </c>
      <c r="AU344" s="1301">
        <v>21.86</v>
      </c>
      <c r="AV344" s="1301">
        <v>23.28</v>
      </c>
      <c r="AW344" s="1301">
        <v>24.77</v>
      </c>
      <c r="AX344" s="1301">
        <v>26.33</v>
      </c>
      <c r="AY344" s="1301">
        <v>27.97</v>
      </c>
      <c r="AZ344" s="1301">
        <v>29.68</v>
      </c>
      <c r="BA344" s="1302">
        <v>31.46</v>
      </c>
      <c r="BB344" s="1300">
        <v>33.299999999999997</v>
      </c>
      <c r="BC344" s="1301">
        <v>35.19</v>
      </c>
      <c r="BD344" s="1301">
        <v>37.22</v>
      </c>
      <c r="BE344" s="1301">
        <v>39.229999999999997</v>
      </c>
      <c r="BF344" s="1301">
        <v>41.22</v>
      </c>
      <c r="BG344" s="1301">
        <v>43.19</v>
      </c>
      <c r="BH344" s="1301">
        <v>45.14</v>
      </c>
      <c r="BI344" s="1301">
        <v>47.08</v>
      </c>
      <c r="BJ344" s="1301">
        <v>48.99</v>
      </c>
      <c r="BK344" s="1302">
        <v>50.88</v>
      </c>
      <c r="BL344" s="1300">
        <v>52.76</v>
      </c>
      <c r="BM344" s="1301">
        <v>54.62</v>
      </c>
      <c r="BN344" s="1301">
        <v>56.45</v>
      </c>
      <c r="BO344" s="1301">
        <v>58.27</v>
      </c>
      <c r="BP344" s="1301">
        <v>60.08</v>
      </c>
      <c r="BQ344" s="1301">
        <v>61.86</v>
      </c>
      <c r="BR344" s="1301">
        <v>63.63</v>
      </c>
      <c r="BS344" s="1301">
        <v>65.38</v>
      </c>
      <c r="BT344" s="1301">
        <v>67.11</v>
      </c>
      <c r="BU344" s="1302">
        <v>68.819999999999993</v>
      </c>
      <c r="BV344" s="1300">
        <v>70.52</v>
      </c>
      <c r="BW344" s="1301">
        <v>72.2</v>
      </c>
      <c r="BX344" s="1301">
        <v>73.86</v>
      </c>
      <c r="BY344" s="1301">
        <v>75.510000000000005</v>
      </c>
      <c r="BZ344" s="1301">
        <v>77.14</v>
      </c>
      <c r="CA344" s="1301">
        <v>78.760000000000005</v>
      </c>
      <c r="CB344" s="1301">
        <v>80.36</v>
      </c>
      <c r="CC344" s="1301">
        <v>81.94</v>
      </c>
      <c r="CD344" s="1301">
        <v>83.51</v>
      </c>
      <c r="CE344" s="1302">
        <v>85.06</v>
      </c>
      <c r="CF344" s="1301">
        <v>86.6</v>
      </c>
      <c r="CG344" s="1301">
        <v>88.12</v>
      </c>
      <c r="CH344" s="1302">
        <v>89.63</v>
      </c>
    </row>
    <row r="345" spans="1:86" ht="20.149999999999999" customHeight="1">
      <c r="A345" s="1563" t="s">
        <v>1541</v>
      </c>
      <c r="B345" s="1563" t="s">
        <v>13</v>
      </c>
      <c r="C345" s="1563" t="str">
        <f t="shared" si="6"/>
        <v>PBSDDCIM29</v>
      </c>
      <c r="D345" s="1193">
        <v>29</v>
      </c>
      <c r="E345" s="1300"/>
      <c r="F345" s="1301">
        <v>0.31</v>
      </c>
      <c r="G345" s="1301">
        <v>0.47</v>
      </c>
      <c r="H345" s="1301">
        <v>0.64</v>
      </c>
      <c r="I345" s="1301">
        <v>0.82</v>
      </c>
      <c r="J345" s="1301">
        <v>1</v>
      </c>
      <c r="K345" s="1301">
        <v>1.2</v>
      </c>
      <c r="L345" s="1301">
        <v>1.41</v>
      </c>
      <c r="M345" s="1302">
        <v>1.63</v>
      </c>
      <c r="N345" s="1300">
        <v>1.86</v>
      </c>
      <c r="O345" s="1301">
        <v>2.11</v>
      </c>
      <c r="P345" s="1301">
        <v>2.38</v>
      </c>
      <c r="Q345" s="1301">
        <v>2.66</v>
      </c>
      <c r="R345" s="1301">
        <v>2.97</v>
      </c>
      <c r="S345" s="1301">
        <v>3.27</v>
      </c>
      <c r="T345" s="1301">
        <v>3.58</v>
      </c>
      <c r="U345" s="1301">
        <v>3.91</v>
      </c>
      <c r="V345" s="1301">
        <v>4.25</v>
      </c>
      <c r="W345" s="1302">
        <v>4.62</v>
      </c>
      <c r="X345" s="1300">
        <v>5</v>
      </c>
      <c r="Y345" s="1301">
        <v>5.41</v>
      </c>
      <c r="Z345" s="1301">
        <v>5.84</v>
      </c>
      <c r="AA345" s="1301">
        <v>6.28</v>
      </c>
      <c r="AB345" s="1301">
        <v>6.76</v>
      </c>
      <c r="AC345" s="1301">
        <v>7.26</v>
      </c>
      <c r="AD345" s="1301">
        <v>7.78</v>
      </c>
      <c r="AE345" s="1301">
        <v>8.34</v>
      </c>
      <c r="AF345" s="1301">
        <v>8.93</v>
      </c>
      <c r="AG345" s="1302">
        <v>9.5500000000000007</v>
      </c>
      <c r="AH345" s="1300">
        <v>10.199999999999999</v>
      </c>
      <c r="AI345" s="1301">
        <v>10.9</v>
      </c>
      <c r="AJ345" s="1301">
        <v>11.63</v>
      </c>
      <c r="AK345" s="1301">
        <v>12.41</v>
      </c>
      <c r="AL345" s="1301">
        <v>13.25</v>
      </c>
      <c r="AM345" s="1301">
        <v>14.13</v>
      </c>
      <c r="AN345" s="1301">
        <v>15.08</v>
      </c>
      <c r="AO345" s="1301">
        <v>16.09</v>
      </c>
      <c r="AP345" s="1301">
        <v>17.170000000000002</v>
      </c>
      <c r="AQ345" s="1302">
        <v>18.309999999999999</v>
      </c>
      <c r="AR345" s="1300">
        <v>19.54</v>
      </c>
      <c r="AS345" s="1301">
        <v>20.84</v>
      </c>
      <c r="AT345" s="1301">
        <v>22.22</v>
      </c>
      <c r="AU345" s="1301">
        <v>23.67</v>
      </c>
      <c r="AV345" s="1301">
        <v>25.2</v>
      </c>
      <c r="AW345" s="1301">
        <v>26.81</v>
      </c>
      <c r="AX345" s="1301">
        <v>28.49</v>
      </c>
      <c r="AY345" s="1301">
        <v>30.25</v>
      </c>
      <c r="AZ345" s="1301">
        <v>32.07</v>
      </c>
      <c r="BA345" s="1302">
        <v>33.96</v>
      </c>
      <c r="BB345" s="1300">
        <v>35.909999999999997</v>
      </c>
      <c r="BC345" s="1301">
        <v>38</v>
      </c>
      <c r="BD345" s="1301">
        <v>40.07</v>
      </c>
      <c r="BE345" s="1301">
        <v>42.12</v>
      </c>
      <c r="BF345" s="1301">
        <v>44.15</v>
      </c>
      <c r="BG345" s="1301">
        <v>46.16</v>
      </c>
      <c r="BH345" s="1301">
        <v>48.15</v>
      </c>
      <c r="BI345" s="1301">
        <v>50.12</v>
      </c>
      <c r="BJ345" s="1301">
        <v>52.07</v>
      </c>
      <c r="BK345" s="1302">
        <v>54</v>
      </c>
      <c r="BL345" s="1300">
        <v>55.91</v>
      </c>
      <c r="BM345" s="1301">
        <v>57.8</v>
      </c>
      <c r="BN345" s="1301">
        <v>59.67</v>
      </c>
      <c r="BO345" s="1301">
        <v>61.53</v>
      </c>
      <c r="BP345" s="1301">
        <v>63.36</v>
      </c>
      <c r="BQ345" s="1301">
        <v>65.180000000000007</v>
      </c>
      <c r="BR345" s="1301">
        <v>66.98</v>
      </c>
      <c r="BS345" s="1301">
        <v>68.77</v>
      </c>
      <c r="BT345" s="1301">
        <v>70.53</v>
      </c>
      <c r="BU345" s="1302">
        <v>72.28</v>
      </c>
      <c r="BV345" s="1300">
        <v>74.010000000000005</v>
      </c>
      <c r="BW345" s="1301">
        <v>75.72</v>
      </c>
      <c r="BX345" s="1301">
        <v>77.42</v>
      </c>
      <c r="BY345" s="1301">
        <v>79.099999999999994</v>
      </c>
      <c r="BZ345" s="1301">
        <v>80.760000000000005</v>
      </c>
      <c r="CA345" s="1301">
        <v>82.41</v>
      </c>
      <c r="CB345" s="1301">
        <v>84.04</v>
      </c>
      <c r="CC345" s="1301">
        <v>85.65</v>
      </c>
      <c r="CD345" s="1301">
        <v>87.25</v>
      </c>
      <c r="CE345" s="1302">
        <v>88.83</v>
      </c>
      <c r="CF345" s="1301">
        <v>90.4</v>
      </c>
      <c r="CG345" s="1301">
        <v>91.95</v>
      </c>
      <c r="CH345" s="1302">
        <v>93.48</v>
      </c>
    </row>
    <row r="346" spans="1:86" ht="20.149999999999999" customHeight="1">
      <c r="A346" s="1563" t="s">
        <v>1541</v>
      </c>
      <c r="B346" s="1563" t="s">
        <v>13</v>
      </c>
      <c r="C346" s="1563" t="str">
        <f t="shared" si="6"/>
        <v>PBSDDCIM30</v>
      </c>
      <c r="D346" s="1193">
        <v>30</v>
      </c>
      <c r="E346" s="1300"/>
      <c r="F346" s="1301">
        <v>0.32</v>
      </c>
      <c r="G346" s="1301">
        <v>0.49</v>
      </c>
      <c r="H346" s="1301">
        <v>0.67</v>
      </c>
      <c r="I346" s="1301">
        <v>0.85</v>
      </c>
      <c r="J346" s="1301">
        <v>1.05</v>
      </c>
      <c r="K346" s="1301">
        <v>1.26</v>
      </c>
      <c r="L346" s="1301">
        <v>1.48</v>
      </c>
      <c r="M346" s="1302">
        <v>1.71</v>
      </c>
      <c r="N346" s="1300">
        <v>1.97</v>
      </c>
      <c r="O346" s="1301">
        <v>2.23</v>
      </c>
      <c r="P346" s="1301">
        <v>2.52</v>
      </c>
      <c r="Q346" s="1301">
        <v>2.83</v>
      </c>
      <c r="R346" s="1301">
        <v>3.16</v>
      </c>
      <c r="S346" s="1301">
        <v>3.48</v>
      </c>
      <c r="T346" s="1301">
        <v>3.82</v>
      </c>
      <c r="U346" s="1301">
        <v>4.17</v>
      </c>
      <c r="V346" s="1301">
        <v>4.55</v>
      </c>
      <c r="W346" s="1302">
        <v>4.9400000000000004</v>
      </c>
      <c r="X346" s="1300">
        <v>5.36</v>
      </c>
      <c r="Y346" s="1301">
        <v>5.79</v>
      </c>
      <c r="Z346" s="1301">
        <v>6.25</v>
      </c>
      <c r="AA346" s="1301">
        <v>6.74</v>
      </c>
      <c r="AB346" s="1301">
        <v>7.25</v>
      </c>
      <c r="AC346" s="1301">
        <v>7.79</v>
      </c>
      <c r="AD346" s="1301">
        <v>8.36</v>
      </c>
      <c r="AE346" s="1301">
        <v>8.9600000000000009</v>
      </c>
      <c r="AF346" s="1301">
        <v>9.59</v>
      </c>
      <c r="AG346" s="1302">
        <v>10.26</v>
      </c>
      <c r="AH346" s="1300">
        <v>10.98</v>
      </c>
      <c r="AI346" s="1301">
        <v>11.73</v>
      </c>
      <c r="AJ346" s="1301">
        <v>12.53</v>
      </c>
      <c r="AK346" s="1301">
        <v>13.38</v>
      </c>
      <c r="AL346" s="1301">
        <v>14.29</v>
      </c>
      <c r="AM346" s="1301">
        <v>15.26</v>
      </c>
      <c r="AN346" s="1301">
        <v>16.3</v>
      </c>
      <c r="AO346" s="1301">
        <v>17.399999999999999</v>
      </c>
      <c r="AP346" s="1301">
        <v>18.579999999999998</v>
      </c>
      <c r="AQ346" s="1302">
        <v>19.84</v>
      </c>
      <c r="AR346" s="1300">
        <v>21.17</v>
      </c>
      <c r="AS346" s="1301">
        <v>22.59</v>
      </c>
      <c r="AT346" s="1301">
        <v>24.08</v>
      </c>
      <c r="AU346" s="1301">
        <v>25.65</v>
      </c>
      <c r="AV346" s="1301">
        <v>27.31</v>
      </c>
      <c r="AW346" s="1301">
        <v>29.04</v>
      </c>
      <c r="AX346" s="1301">
        <v>30.84</v>
      </c>
      <c r="AY346" s="1301">
        <v>32.72</v>
      </c>
      <c r="AZ346" s="1301">
        <v>34.659999999999997</v>
      </c>
      <c r="BA346" s="1302">
        <v>36.659999999999997</v>
      </c>
      <c r="BB346" s="1300">
        <v>38.82</v>
      </c>
      <c r="BC346" s="1301">
        <v>40.950000000000003</v>
      </c>
      <c r="BD346" s="1301">
        <v>43.06</v>
      </c>
      <c r="BE346" s="1301">
        <v>45.15</v>
      </c>
      <c r="BF346" s="1301">
        <v>47.22</v>
      </c>
      <c r="BG346" s="1301">
        <v>49.27</v>
      </c>
      <c r="BH346" s="1301">
        <v>51.29</v>
      </c>
      <c r="BI346" s="1301">
        <v>53.3</v>
      </c>
      <c r="BJ346" s="1301">
        <v>55.29</v>
      </c>
      <c r="BK346" s="1302">
        <v>57.26</v>
      </c>
      <c r="BL346" s="1300">
        <v>59.21</v>
      </c>
      <c r="BM346" s="1301">
        <v>61.14</v>
      </c>
      <c r="BN346" s="1301">
        <v>63.05</v>
      </c>
      <c r="BO346" s="1301">
        <v>64.94</v>
      </c>
      <c r="BP346" s="1301">
        <v>66.81</v>
      </c>
      <c r="BQ346" s="1301">
        <v>68.67</v>
      </c>
      <c r="BR346" s="1301">
        <v>70.5</v>
      </c>
      <c r="BS346" s="1301">
        <v>72.319999999999993</v>
      </c>
      <c r="BT346" s="1301">
        <v>74.12</v>
      </c>
      <c r="BU346" s="1302">
        <v>75.900000000000006</v>
      </c>
      <c r="BV346" s="1300">
        <v>77.67</v>
      </c>
      <c r="BW346" s="1301">
        <v>79.41</v>
      </c>
      <c r="BX346" s="1301">
        <v>81.14</v>
      </c>
      <c r="BY346" s="1301">
        <v>82.85</v>
      </c>
      <c r="BZ346" s="1301">
        <v>84.55</v>
      </c>
      <c r="CA346" s="1301">
        <v>86.23</v>
      </c>
      <c r="CB346" s="1301">
        <v>87.89</v>
      </c>
      <c r="CC346" s="1301">
        <v>89.54</v>
      </c>
      <c r="CD346" s="1301">
        <v>91.17</v>
      </c>
      <c r="CE346" s="1302">
        <v>92.78</v>
      </c>
      <c r="CF346" s="1301">
        <v>94.38</v>
      </c>
      <c r="CG346" s="1301">
        <v>95.96</v>
      </c>
      <c r="CH346" s="1302">
        <v>97.52</v>
      </c>
    </row>
    <row r="347" spans="1:86" ht="20.149999999999999" customHeight="1">
      <c r="A347" s="1563" t="s">
        <v>1541</v>
      </c>
      <c r="B347" s="1563" t="s">
        <v>13</v>
      </c>
      <c r="C347" s="1563" t="str">
        <f t="shared" si="6"/>
        <v>PBSDDCIM31</v>
      </c>
      <c r="D347" s="1194">
        <v>31</v>
      </c>
      <c r="E347" s="1303"/>
      <c r="F347" s="1304">
        <v>0.33</v>
      </c>
      <c r="G347" s="1304">
        <v>0.51</v>
      </c>
      <c r="H347" s="1304">
        <v>0.7</v>
      </c>
      <c r="I347" s="1304">
        <v>0.9</v>
      </c>
      <c r="J347" s="1304">
        <v>1.1100000000000001</v>
      </c>
      <c r="K347" s="1304">
        <v>1.33</v>
      </c>
      <c r="L347" s="1304">
        <v>1.56</v>
      </c>
      <c r="M347" s="1305">
        <v>1.82</v>
      </c>
      <c r="N347" s="1303">
        <v>2.09</v>
      </c>
      <c r="O347" s="1304">
        <v>2.38</v>
      </c>
      <c r="P347" s="1304">
        <v>2.69</v>
      </c>
      <c r="Q347" s="1304">
        <v>3.02</v>
      </c>
      <c r="R347" s="1304">
        <v>3.38</v>
      </c>
      <c r="S347" s="1304">
        <v>3.73</v>
      </c>
      <c r="T347" s="1304">
        <v>4.09</v>
      </c>
      <c r="U347" s="1304">
        <v>4.47</v>
      </c>
      <c r="V347" s="1304">
        <v>4.88</v>
      </c>
      <c r="W347" s="1305">
        <v>5.3</v>
      </c>
      <c r="X347" s="1303">
        <v>5.75</v>
      </c>
      <c r="Y347" s="1304">
        <v>6.22</v>
      </c>
      <c r="Z347" s="1304">
        <v>6.72</v>
      </c>
      <c r="AA347" s="1304">
        <v>7.24</v>
      </c>
      <c r="AB347" s="1304">
        <v>7.79</v>
      </c>
      <c r="AC347" s="1304">
        <v>8.3800000000000008</v>
      </c>
      <c r="AD347" s="1304">
        <v>8.99</v>
      </c>
      <c r="AE347" s="1304">
        <v>9.64</v>
      </c>
      <c r="AF347" s="1304">
        <v>10.33</v>
      </c>
      <c r="AG347" s="1305">
        <v>11.06</v>
      </c>
      <c r="AH347" s="1303">
        <v>11.83</v>
      </c>
      <c r="AI347" s="1304">
        <v>12.65</v>
      </c>
      <c r="AJ347" s="1304">
        <v>13.53</v>
      </c>
      <c r="AK347" s="1304">
        <v>14.46</v>
      </c>
      <c r="AL347" s="1304">
        <v>15.46</v>
      </c>
      <c r="AM347" s="1304">
        <v>16.52</v>
      </c>
      <c r="AN347" s="1304">
        <v>17.649999999999999</v>
      </c>
      <c r="AO347" s="1304">
        <v>18.86</v>
      </c>
      <c r="AP347" s="1304">
        <v>20.149999999999999</v>
      </c>
      <c r="AQ347" s="1305">
        <v>21.52</v>
      </c>
      <c r="AR347" s="1303">
        <v>22.97</v>
      </c>
      <c r="AS347" s="1304">
        <v>24.51</v>
      </c>
      <c r="AT347" s="1304">
        <v>26.12</v>
      </c>
      <c r="AU347" s="1304">
        <v>27.82</v>
      </c>
      <c r="AV347" s="1304">
        <v>29.6</v>
      </c>
      <c r="AW347" s="1304">
        <v>31.46</v>
      </c>
      <c r="AX347" s="1304">
        <v>33.39</v>
      </c>
      <c r="AY347" s="1304">
        <v>35.39</v>
      </c>
      <c r="AZ347" s="1304">
        <v>37.450000000000003</v>
      </c>
      <c r="BA347" s="1305">
        <v>39.67</v>
      </c>
      <c r="BB347" s="1303">
        <v>41.87</v>
      </c>
      <c r="BC347" s="1304">
        <v>44.04</v>
      </c>
      <c r="BD347" s="1304">
        <v>46.19</v>
      </c>
      <c r="BE347" s="1304">
        <v>48.33</v>
      </c>
      <c r="BF347" s="1304">
        <v>50.44</v>
      </c>
      <c r="BG347" s="1304">
        <v>52.53</v>
      </c>
      <c r="BH347" s="1304">
        <v>54.6</v>
      </c>
      <c r="BI347" s="1304">
        <v>56.64</v>
      </c>
      <c r="BJ347" s="1304">
        <v>58.67</v>
      </c>
      <c r="BK347" s="1305">
        <v>60.68</v>
      </c>
      <c r="BL347" s="1303">
        <v>62.67</v>
      </c>
      <c r="BM347" s="1304">
        <v>64.64</v>
      </c>
      <c r="BN347" s="1304">
        <v>66.59</v>
      </c>
      <c r="BO347" s="1304">
        <v>68.52</v>
      </c>
      <c r="BP347" s="1304">
        <v>70.430000000000007</v>
      </c>
      <c r="BQ347" s="1304">
        <v>72.319999999999993</v>
      </c>
      <c r="BR347" s="1304">
        <v>74.19</v>
      </c>
      <c r="BS347" s="1304">
        <v>76.05</v>
      </c>
      <c r="BT347" s="1304">
        <v>77.88</v>
      </c>
      <c r="BU347" s="1305">
        <v>79.7</v>
      </c>
      <c r="BV347" s="1303">
        <v>81.5</v>
      </c>
      <c r="BW347" s="1304">
        <v>83.28</v>
      </c>
      <c r="BX347" s="1304">
        <v>85.05</v>
      </c>
      <c r="BY347" s="1304">
        <v>86.8</v>
      </c>
      <c r="BZ347" s="1304">
        <v>88.53</v>
      </c>
      <c r="CA347" s="1304">
        <v>90.24</v>
      </c>
      <c r="CB347" s="1304">
        <v>91.94</v>
      </c>
      <c r="CC347" s="1304">
        <v>93.61</v>
      </c>
      <c r="CD347" s="1304">
        <v>95.28</v>
      </c>
      <c r="CE347" s="1305">
        <v>96.92</v>
      </c>
      <c r="CF347" s="1304">
        <v>98.55</v>
      </c>
      <c r="CG347" s="1304">
        <v>100.17</v>
      </c>
      <c r="CH347" s="1305">
        <v>101.76</v>
      </c>
    </row>
    <row r="348" spans="1:86" ht="20.149999999999999" customHeight="1">
      <c r="A348" s="1563" t="s">
        <v>1541</v>
      </c>
      <c r="B348" s="1563" t="s">
        <v>13</v>
      </c>
      <c r="C348" s="1563" t="str">
        <f t="shared" si="6"/>
        <v>PBSDDCIM32</v>
      </c>
      <c r="D348" s="1193">
        <v>32</v>
      </c>
      <c r="E348" s="1300"/>
      <c r="F348" s="1301">
        <v>0.35</v>
      </c>
      <c r="G348" s="1301">
        <v>0.54</v>
      </c>
      <c r="H348" s="1301">
        <v>0.74</v>
      </c>
      <c r="I348" s="1301">
        <v>0.95</v>
      </c>
      <c r="J348" s="1301">
        <v>1.17</v>
      </c>
      <c r="K348" s="1301">
        <v>1.41</v>
      </c>
      <c r="L348" s="1301">
        <v>1.66</v>
      </c>
      <c r="M348" s="1302">
        <v>1.93</v>
      </c>
      <c r="N348" s="1300">
        <v>2.2200000000000002</v>
      </c>
      <c r="O348" s="1301">
        <v>2.54</v>
      </c>
      <c r="P348" s="1301">
        <v>2.88</v>
      </c>
      <c r="Q348" s="1301">
        <v>3.24</v>
      </c>
      <c r="R348" s="1301">
        <v>3.63</v>
      </c>
      <c r="S348" s="1301">
        <v>4</v>
      </c>
      <c r="T348" s="1301">
        <v>4.3899999999999997</v>
      </c>
      <c r="U348" s="1301">
        <v>4.8099999999999996</v>
      </c>
      <c r="V348" s="1301">
        <v>5.24</v>
      </c>
      <c r="W348" s="1302">
        <v>5.7</v>
      </c>
      <c r="X348" s="1300">
        <v>6.18</v>
      </c>
      <c r="Y348" s="1301">
        <v>6.69</v>
      </c>
      <c r="Z348" s="1301">
        <v>7.23</v>
      </c>
      <c r="AA348" s="1301">
        <v>7.8</v>
      </c>
      <c r="AB348" s="1301">
        <v>8.39</v>
      </c>
      <c r="AC348" s="1301">
        <v>9.0299999999999994</v>
      </c>
      <c r="AD348" s="1301">
        <v>9.69</v>
      </c>
      <c r="AE348" s="1301">
        <v>10.4</v>
      </c>
      <c r="AF348" s="1301">
        <v>11.14</v>
      </c>
      <c r="AG348" s="1302">
        <v>11.94</v>
      </c>
      <c r="AH348" s="1300">
        <v>12.78</v>
      </c>
      <c r="AI348" s="1301">
        <v>13.67</v>
      </c>
      <c r="AJ348" s="1301">
        <v>14.63</v>
      </c>
      <c r="AK348" s="1301">
        <v>15.65</v>
      </c>
      <c r="AL348" s="1301">
        <v>16.739999999999998</v>
      </c>
      <c r="AM348" s="1301">
        <v>17.91</v>
      </c>
      <c r="AN348" s="1301">
        <v>19.149999999999999</v>
      </c>
      <c r="AO348" s="1301">
        <v>20.47</v>
      </c>
      <c r="AP348" s="1301">
        <v>21.88</v>
      </c>
      <c r="AQ348" s="1302">
        <v>23.37</v>
      </c>
      <c r="AR348" s="1300">
        <v>24.95</v>
      </c>
      <c r="AS348" s="1301">
        <v>26.61</v>
      </c>
      <c r="AT348" s="1301">
        <v>28.36</v>
      </c>
      <c r="AU348" s="1301">
        <v>30.19</v>
      </c>
      <c r="AV348" s="1301">
        <v>32.1</v>
      </c>
      <c r="AW348" s="1301">
        <v>34.090000000000003</v>
      </c>
      <c r="AX348" s="1301">
        <v>36.14</v>
      </c>
      <c r="AY348" s="1301">
        <v>38.270000000000003</v>
      </c>
      <c r="AZ348" s="1301">
        <v>40.549999999999997</v>
      </c>
      <c r="BA348" s="1302">
        <v>42.82</v>
      </c>
      <c r="BB348" s="1300">
        <v>45.06</v>
      </c>
      <c r="BC348" s="1301">
        <v>47.28</v>
      </c>
      <c r="BD348" s="1301">
        <v>49.48</v>
      </c>
      <c r="BE348" s="1301">
        <v>51.66</v>
      </c>
      <c r="BF348" s="1301">
        <v>53.81</v>
      </c>
      <c r="BG348" s="1301">
        <v>55.94</v>
      </c>
      <c r="BH348" s="1301">
        <v>58.06</v>
      </c>
      <c r="BI348" s="1301">
        <v>60.15</v>
      </c>
      <c r="BJ348" s="1301">
        <v>62.22</v>
      </c>
      <c r="BK348" s="1302">
        <v>64.27</v>
      </c>
      <c r="BL348" s="1300">
        <v>66.3</v>
      </c>
      <c r="BM348" s="1301">
        <v>68.31</v>
      </c>
      <c r="BN348" s="1301">
        <v>70.3</v>
      </c>
      <c r="BO348" s="1301">
        <v>72.27</v>
      </c>
      <c r="BP348" s="1301">
        <v>74.22</v>
      </c>
      <c r="BQ348" s="1301">
        <v>76.150000000000006</v>
      </c>
      <c r="BR348" s="1301">
        <v>78.06</v>
      </c>
      <c r="BS348" s="1301">
        <v>79.959999999999994</v>
      </c>
      <c r="BT348" s="1301">
        <v>81.83</v>
      </c>
      <c r="BU348" s="1302">
        <v>83.69</v>
      </c>
      <c r="BV348" s="1300">
        <v>85.53</v>
      </c>
      <c r="BW348" s="1301">
        <v>87.35</v>
      </c>
      <c r="BX348" s="1301">
        <v>89.15</v>
      </c>
      <c r="BY348" s="1301">
        <v>90.93</v>
      </c>
      <c r="BZ348" s="1301">
        <v>92.7</v>
      </c>
      <c r="CA348" s="1301">
        <v>94.45</v>
      </c>
      <c r="CB348" s="1301">
        <v>96.18</v>
      </c>
      <c r="CC348" s="1301">
        <v>97.89</v>
      </c>
      <c r="CD348" s="1301">
        <v>99.59</v>
      </c>
      <c r="CE348" s="1302">
        <v>101.27</v>
      </c>
      <c r="CF348" s="1301">
        <v>102.93</v>
      </c>
      <c r="CG348" s="1301">
        <v>104.58</v>
      </c>
      <c r="CH348" s="1302">
        <v>106.21</v>
      </c>
    </row>
    <row r="349" spans="1:86" ht="20.149999999999999" customHeight="1">
      <c r="A349" s="1563" t="s">
        <v>1541</v>
      </c>
      <c r="B349" s="1563" t="s">
        <v>13</v>
      </c>
      <c r="C349" s="1563" t="str">
        <f t="shared" si="6"/>
        <v>PBSDDCIM33</v>
      </c>
      <c r="D349" s="1193">
        <v>33</v>
      </c>
      <c r="E349" s="1300"/>
      <c r="F349" s="1301">
        <v>0.37</v>
      </c>
      <c r="G349" s="1301">
        <v>0.56999999999999995</v>
      </c>
      <c r="H349" s="1301">
        <v>0.78</v>
      </c>
      <c r="I349" s="1301">
        <v>1.01</v>
      </c>
      <c r="J349" s="1301">
        <v>1.24</v>
      </c>
      <c r="K349" s="1301">
        <v>1.5</v>
      </c>
      <c r="L349" s="1301">
        <v>1.77</v>
      </c>
      <c r="M349" s="1302">
        <v>2.0699999999999998</v>
      </c>
      <c r="N349" s="1300">
        <v>2.38</v>
      </c>
      <c r="O349" s="1301">
        <v>2.72</v>
      </c>
      <c r="P349" s="1301">
        <v>3.09</v>
      </c>
      <c r="Q349" s="1301">
        <v>3.48</v>
      </c>
      <c r="R349" s="1301">
        <v>3.9</v>
      </c>
      <c r="S349" s="1301">
        <v>4.3</v>
      </c>
      <c r="T349" s="1301">
        <v>4.7300000000000004</v>
      </c>
      <c r="U349" s="1301">
        <v>5.18</v>
      </c>
      <c r="V349" s="1301">
        <v>5.65</v>
      </c>
      <c r="W349" s="1302">
        <v>6.14</v>
      </c>
      <c r="X349" s="1300">
        <v>6.66</v>
      </c>
      <c r="Y349" s="1301">
        <v>7.21</v>
      </c>
      <c r="Z349" s="1301">
        <v>7.79</v>
      </c>
      <c r="AA349" s="1301">
        <v>8.41</v>
      </c>
      <c r="AB349" s="1301">
        <v>9.0500000000000007</v>
      </c>
      <c r="AC349" s="1301">
        <v>9.74</v>
      </c>
      <c r="AD349" s="1301">
        <v>10.46</v>
      </c>
      <c r="AE349" s="1301">
        <v>11.22</v>
      </c>
      <c r="AF349" s="1301">
        <v>12.04</v>
      </c>
      <c r="AG349" s="1302">
        <v>12.9</v>
      </c>
      <c r="AH349" s="1300">
        <v>13.82</v>
      </c>
      <c r="AI349" s="1301">
        <v>14.8</v>
      </c>
      <c r="AJ349" s="1301">
        <v>15.85</v>
      </c>
      <c r="AK349" s="1301">
        <v>16.97</v>
      </c>
      <c r="AL349" s="1301">
        <v>18.170000000000002</v>
      </c>
      <c r="AM349" s="1301">
        <v>19.440000000000001</v>
      </c>
      <c r="AN349" s="1301">
        <v>20.8</v>
      </c>
      <c r="AO349" s="1301">
        <v>22.25</v>
      </c>
      <c r="AP349" s="1301">
        <v>23.78</v>
      </c>
      <c r="AQ349" s="1302">
        <v>25.41</v>
      </c>
      <c r="AR349" s="1300">
        <v>27.12</v>
      </c>
      <c r="AS349" s="1301">
        <v>28.91</v>
      </c>
      <c r="AT349" s="1301">
        <v>30.79</v>
      </c>
      <c r="AU349" s="1301">
        <v>32.76</v>
      </c>
      <c r="AV349" s="1301">
        <v>34.81</v>
      </c>
      <c r="AW349" s="1301">
        <v>36.93</v>
      </c>
      <c r="AX349" s="1301">
        <v>39.11</v>
      </c>
      <c r="AY349" s="1301">
        <v>41.47</v>
      </c>
      <c r="AZ349" s="1301">
        <v>43.81</v>
      </c>
      <c r="BA349" s="1302">
        <v>46.12</v>
      </c>
      <c r="BB349" s="1300">
        <v>48.41</v>
      </c>
      <c r="BC349" s="1301">
        <v>50.68</v>
      </c>
      <c r="BD349" s="1301">
        <v>52.93</v>
      </c>
      <c r="BE349" s="1301">
        <v>55.15</v>
      </c>
      <c r="BF349" s="1301">
        <v>57.35</v>
      </c>
      <c r="BG349" s="1301">
        <v>59.53</v>
      </c>
      <c r="BH349" s="1301">
        <v>61.69</v>
      </c>
      <c r="BI349" s="1301">
        <v>63.82</v>
      </c>
      <c r="BJ349" s="1301">
        <v>65.94</v>
      </c>
      <c r="BK349" s="1302">
        <v>68.03</v>
      </c>
      <c r="BL349" s="1300">
        <v>70.11</v>
      </c>
      <c r="BM349" s="1301">
        <v>72.16</v>
      </c>
      <c r="BN349" s="1301">
        <v>74.19</v>
      </c>
      <c r="BO349" s="1301">
        <v>76.209999999999994</v>
      </c>
      <c r="BP349" s="1301">
        <v>78.2</v>
      </c>
      <c r="BQ349" s="1301">
        <v>80.17</v>
      </c>
      <c r="BR349" s="1301">
        <v>82.12</v>
      </c>
      <c r="BS349" s="1301">
        <v>84.06</v>
      </c>
      <c r="BT349" s="1301">
        <v>85.97</v>
      </c>
      <c r="BU349" s="1302">
        <v>87.87</v>
      </c>
      <c r="BV349" s="1300">
        <v>89.75</v>
      </c>
      <c r="BW349" s="1301">
        <v>91.6</v>
      </c>
      <c r="BX349" s="1301">
        <v>93.44</v>
      </c>
      <c r="BY349" s="1301">
        <v>95.27</v>
      </c>
      <c r="BZ349" s="1301">
        <v>97.07</v>
      </c>
      <c r="CA349" s="1301">
        <v>98.86</v>
      </c>
      <c r="CB349" s="1301">
        <v>100.63</v>
      </c>
      <c r="CC349" s="1301">
        <v>102.38</v>
      </c>
      <c r="CD349" s="1301">
        <v>104.11</v>
      </c>
      <c r="CE349" s="1302">
        <v>105.83</v>
      </c>
      <c r="CF349" s="1301">
        <v>107.53</v>
      </c>
      <c r="CG349" s="1301">
        <v>109.21</v>
      </c>
      <c r="CH349" s="1302">
        <v>110.87</v>
      </c>
    </row>
    <row r="350" spans="1:86" ht="20.149999999999999" customHeight="1">
      <c r="A350" s="1563" t="s">
        <v>1541</v>
      </c>
      <c r="B350" s="1563" t="s">
        <v>13</v>
      </c>
      <c r="C350" s="1563" t="str">
        <f t="shared" si="6"/>
        <v>PBSDDCIM34</v>
      </c>
      <c r="D350" s="1193">
        <v>34</v>
      </c>
      <c r="E350" s="1300"/>
      <c r="F350" s="1301">
        <v>0.39</v>
      </c>
      <c r="G350" s="1301">
        <v>0.61</v>
      </c>
      <c r="H350" s="1301">
        <v>0.83</v>
      </c>
      <c r="I350" s="1301">
        <v>1.07</v>
      </c>
      <c r="J350" s="1301">
        <v>1.33</v>
      </c>
      <c r="K350" s="1301">
        <v>1.6</v>
      </c>
      <c r="L350" s="1301">
        <v>1.9</v>
      </c>
      <c r="M350" s="1302">
        <v>2.2200000000000002</v>
      </c>
      <c r="N350" s="1300">
        <v>2.56</v>
      </c>
      <c r="O350" s="1301">
        <v>2.93</v>
      </c>
      <c r="P350" s="1301">
        <v>3.32</v>
      </c>
      <c r="Q350" s="1301">
        <v>3.75</v>
      </c>
      <c r="R350" s="1301">
        <v>4.21</v>
      </c>
      <c r="S350" s="1301">
        <v>4.6399999999999997</v>
      </c>
      <c r="T350" s="1301">
        <v>5.0999999999999996</v>
      </c>
      <c r="U350" s="1301">
        <v>5.58</v>
      </c>
      <c r="V350" s="1301">
        <v>6.09</v>
      </c>
      <c r="W350" s="1302">
        <v>6.63</v>
      </c>
      <c r="X350" s="1300">
        <v>7.19</v>
      </c>
      <c r="Y350" s="1301">
        <v>7.79</v>
      </c>
      <c r="Z350" s="1301">
        <v>8.41</v>
      </c>
      <c r="AA350" s="1301">
        <v>9.08</v>
      </c>
      <c r="AB350" s="1301">
        <v>9.7799999999999994</v>
      </c>
      <c r="AC350" s="1301">
        <v>10.52</v>
      </c>
      <c r="AD350" s="1301">
        <v>11.3</v>
      </c>
      <c r="AE350" s="1301">
        <v>12.14</v>
      </c>
      <c r="AF350" s="1301">
        <v>13.02</v>
      </c>
      <c r="AG350" s="1302">
        <v>13.97</v>
      </c>
      <c r="AH350" s="1300">
        <v>14.98</v>
      </c>
      <c r="AI350" s="1301">
        <v>16.05</v>
      </c>
      <c r="AJ350" s="1301">
        <v>17.2</v>
      </c>
      <c r="AK350" s="1301">
        <v>18.43</v>
      </c>
      <c r="AL350" s="1301">
        <v>19.739999999999998</v>
      </c>
      <c r="AM350" s="1301">
        <v>21.14</v>
      </c>
      <c r="AN350" s="1301">
        <v>22.63</v>
      </c>
      <c r="AO350" s="1301">
        <v>24.21</v>
      </c>
      <c r="AP350" s="1301">
        <v>25.87</v>
      </c>
      <c r="AQ350" s="1302">
        <v>27.63</v>
      </c>
      <c r="AR350" s="1300">
        <v>29.48</v>
      </c>
      <c r="AS350" s="1301">
        <v>31.42</v>
      </c>
      <c r="AT350" s="1301">
        <v>33.44</v>
      </c>
      <c r="AU350" s="1301">
        <v>35.549999999999997</v>
      </c>
      <c r="AV350" s="1301">
        <v>37.74</v>
      </c>
      <c r="AW350" s="1301">
        <v>39.99</v>
      </c>
      <c r="AX350" s="1301">
        <v>42.43</v>
      </c>
      <c r="AY350" s="1301">
        <v>44.84</v>
      </c>
      <c r="AZ350" s="1301">
        <v>47.23</v>
      </c>
      <c r="BA350" s="1302">
        <v>49.59</v>
      </c>
      <c r="BB350" s="1300">
        <v>51.93</v>
      </c>
      <c r="BC350" s="1301">
        <v>54.25</v>
      </c>
      <c r="BD350" s="1301">
        <v>56.54</v>
      </c>
      <c r="BE350" s="1301">
        <v>58.82</v>
      </c>
      <c r="BF350" s="1301">
        <v>61.07</v>
      </c>
      <c r="BG350" s="1301">
        <v>63.29</v>
      </c>
      <c r="BH350" s="1301">
        <v>65.5</v>
      </c>
      <c r="BI350" s="1301">
        <v>67.680000000000007</v>
      </c>
      <c r="BJ350" s="1301">
        <v>69.84</v>
      </c>
      <c r="BK350" s="1302">
        <v>71.98</v>
      </c>
      <c r="BL350" s="1300">
        <v>74.099999999999994</v>
      </c>
      <c r="BM350" s="1301">
        <v>76.2</v>
      </c>
      <c r="BN350" s="1301">
        <v>78.28</v>
      </c>
      <c r="BO350" s="1301">
        <v>80.34</v>
      </c>
      <c r="BP350" s="1301">
        <v>82.37</v>
      </c>
      <c r="BQ350" s="1301">
        <v>84.39</v>
      </c>
      <c r="BR350" s="1301">
        <v>86.39</v>
      </c>
      <c r="BS350" s="1301">
        <v>88.36</v>
      </c>
      <c r="BT350" s="1301">
        <v>90.32</v>
      </c>
      <c r="BU350" s="1302">
        <v>92.26</v>
      </c>
      <c r="BV350" s="1300">
        <v>94.18</v>
      </c>
      <c r="BW350" s="1301">
        <v>96.07</v>
      </c>
      <c r="BX350" s="1301">
        <v>97.96</v>
      </c>
      <c r="BY350" s="1301">
        <v>99.82</v>
      </c>
      <c r="BZ350" s="1301">
        <v>101.66</v>
      </c>
      <c r="CA350" s="1301">
        <v>103.49</v>
      </c>
      <c r="CB350" s="1301">
        <v>105.29</v>
      </c>
      <c r="CC350" s="1301">
        <v>107.08</v>
      </c>
      <c r="CD350" s="1301">
        <v>108.86</v>
      </c>
      <c r="CE350" s="1302">
        <v>110.61</v>
      </c>
      <c r="CF350" s="1301">
        <v>112.35</v>
      </c>
      <c r="CG350" s="1301">
        <v>114.07</v>
      </c>
      <c r="CH350" s="1302">
        <v>115.77</v>
      </c>
    </row>
    <row r="351" spans="1:86" ht="20.149999999999999" customHeight="1">
      <c r="A351" s="1563" t="s">
        <v>1541</v>
      </c>
      <c r="B351" s="1563" t="s">
        <v>13</v>
      </c>
      <c r="C351" s="1563" t="str">
        <f t="shared" si="6"/>
        <v>PBSDDCIM35</v>
      </c>
      <c r="D351" s="1195">
        <v>35</v>
      </c>
      <c r="E351" s="1306"/>
      <c r="F351" s="1307">
        <v>0.42</v>
      </c>
      <c r="G351" s="1307">
        <v>0.64</v>
      </c>
      <c r="H351" s="1307">
        <v>0.89</v>
      </c>
      <c r="I351" s="1307">
        <v>1.1499999999999999</v>
      </c>
      <c r="J351" s="1307">
        <v>1.42</v>
      </c>
      <c r="K351" s="1307">
        <v>1.72</v>
      </c>
      <c r="L351" s="1307">
        <v>2.04</v>
      </c>
      <c r="M351" s="1308">
        <v>2.39</v>
      </c>
      <c r="N351" s="1306">
        <v>2.76</v>
      </c>
      <c r="O351" s="1307">
        <v>3.16</v>
      </c>
      <c r="P351" s="1307">
        <v>3.59</v>
      </c>
      <c r="Q351" s="1307">
        <v>4.05</v>
      </c>
      <c r="R351" s="1307">
        <v>4.54</v>
      </c>
      <c r="S351" s="1307">
        <v>5.01</v>
      </c>
      <c r="T351" s="1307">
        <v>5.51</v>
      </c>
      <c r="U351" s="1307">
        <v>6.03</v>
      </c>
      <c r="V351" s="1307">
        <v>6.58</v>
      </c>
      <c r="W351" s="1308">
        <v>7.16</v>
      </c>
      <c r="X351" s="1306">
        <v>7.77</v>
      </c>
      <c r="Y351" s="1307">
        <v>8.41</v>
      </c>
      <c r="Z351" s="1307">
        <v>9.09</v>
      </c>
      <c r="AA351" s="1307">
        <v>9.81</v>
      </c>
      <c r="AB351" s="1307">
        <v>10.57</v>
      </c>
      <c r="AC351" s="1307">
        <v>11.37</v>
      </c>
      <c r="AD351" s="1307">
        <v>12.23</v>
      </c>
      <c r="AE351" s="1307">
        <v>13.14</v>
      </c>
      <c r="AF351" s="1307">
        <v>14.11</v>
      </c>
      <c r="AG351" s="1308">
        <v>15.14</v>
      </c>
      <c r="AH351" s="1306">
        <v>16.25</v>
      </c>
      <c r="AI351" s="1307">
        <v>17.43</v>
      </c>
      <c r="AJ351" s="1307">
        <v>18.690000000000001</v>
      </c>
      <c r="AK351" s="1307">
        <v>20.04</v>
      </c>
      <c r="AL351" s="1307">
        <v>21.48</v>
      </c>
      <c r="AM351" s="1307">
        <v>23.01</v>
      </c>
      <c r="AN351" s="1307">
        <v>24.63</v>
      </c>
      <c r="AO351" s="1307">
        <v>26.35</v>
      </c>
      <c r="AP351" s="1307">
        <v>28.16</v>
      </c>
      <c r="AQ351" s="1308">
        <v>30.06</v>
      </c>
      <c r="AR351" s="1306">
        <v>32.06</v>
      </c>
      <c r="AS351" s="1307">
        <v>34.15</v>
      </c>
      <c r="AT351" s="1307">
        <v>36.32</v>
      </c>
      <c r="AU351" s="1307">
        <v>38.57</v>
      </c>
      <c r="AV351" s="1307">
        <v>40.89</v>
      </c>
      <c r="AW351" s="1307">
        <v>43.41</v>
      </c>
      <c r="AX351" s="1307">
        <v>45.9</v>
      </c>
      <c r="AY351" s="1307">
        <v>48.37</v>
      </c>
      <c r="AZ351" s="1307">
        <v>50.81</v>
      </c>
      <c r="BA351" s="1308">
        <v>53.23</v>
      </c>
      <c r="BB351" s="1306">
        <v>55.62</v>
      </c>
      <c r="BC351" s="1307">
        <v>57.99</v>
      </c>
      <c r="BD351" s="1307">
        <v>60.34</v>
      </c>
      <c r="BE351" s="1307">
        <v>62.66</v>
      </c>
      <c r="BF351" s="1307">
        <v>64.959999999999994</v>
      </c>
      <c r="BG351" s="1307">
        <v>67.239999999999995</v>
      </c>
      <c r="BH351" s="1307">
        <v>69.5</v>
      </c>
      <c r="BI351" s="1307">
        <v>71.73</v>
      </c>
      <c r="BJ351" s="1307">
        <v>73.94</v>
      </c>
      <c r="BK351" s="1308">
        <v>76.13</v>
      </c>
      <c r="BL351" s="1306">
        <v>78.290000000000006</v>
      </c>
      <c r="BM351" s="1307">
        <v>80.44</v>
      </c>
      <c r="BN351" s="1307">
        <v>82.57</v>
      </c>
      <c r="BO351" s="1307">
        <v>84.67</v>
      </c>
      <c r="BP351" s="1307">
        <v>86.75</v>
      </c>
      <c r="BQ351" s="1307">
        <v>88.81</v>
      </c>
      <c r="BR351" s="1307">
        <v>90.85</v>
      </c>
      <c r="BS351" s="1307">
        <v>92.88</v>
      </c>
      <c r="BT351" s="1307">
        <v>94.88</v>
      </c>
      <c r="BU351" s="1308">
        <v>96.86</v>
      </c>
      <c r="BV351" s="1306">
        <v>98.82</v>
      </c>
      <c r="BW351" s="1307">
        <v>100.76</v>
      </c>
      <c r="BX351" s="1307">
        <v>102.69</v>
      </c>
      <c r="BY351" s="1307">
        <v>104.59</v>
      </c>
      <c r="BZ351" s="1307">
        <v>106.48</v>
      </c>
      <c r="CA351" s="1307">
        <v>108.34</v>
      </c>
      <c r="CB351" s="1307">
        <v>110.19</v>
      </c>
      <c r="CC351" s="1307">
        <v>112.02</v>
      </c>
      <c r="CD351" s="1307">
        <v>113.83</v>
      </c>
      <c r="CE351" s="1308">
        <v>115.63</v>
      </c>
      <c r="CF351" s="1307">
        <v>117.4</v>
      </c>
      <c r="CG351" s="1307">
        <v>119.16</v>
      </c>
      <c r="CH351" s="1308">
        <v>120.9</v>
      </c>
    </row>
    <row r="352" spans="1:86" ht="20.149999999999999" customHeight="1">
      <c r="A352" s="1563" t="s">
        <v>1541</v>
      </c>
      <c r="B352" s="1563" t="s">
        <v>13</v>
      </c>
      <c r="C352" s="1563" t="str">
        <f t="shared" si="6"/>
        <v>PBSDDCIM36</v>
      </c>
      <c r="D352" s="1193">
        <v>36</v>
      </c>
      <c r="E352" s="1300"/>
      <c r="F352" s="1301">
        <v>0.44</v>
      </c>
      <c r="G352" s="1301">
        <v>0.69</v>
      </c>
      <c r="H352" s="1301">
        <v>0.95</v>
      </c>
      <c r="I352" s="1301">
        <v>1.23</v>
      </c>
      <c r="J352" s="1301">
        <v>1.53</v>
      </c>
      <c r="K352" s="1301">
        <v>1.85</v>
      </c>
      <c r="L352" s="1301">
        <v>2.2000000000000002</v>
      </c>
      <c r="M352" s="1302">
        <v>2.58</v>
      </c>
      <c r="N352" s="1300">
        <v>2.98</v>
      </c>
      <c r="O352" s="1301">
        <v>3.41</v>
      </c>
      <c r="P352" s="1301">
        <v>3.87</v>
      </c>
      <c r="Q352" s="1301">
        <v>4.37</v>
      </c>
      <c r="R352" s="1301">
        <v>4.91</v>
      </c>
      <c r="S352" s="1301">
        <v>5.42</v>
      </c>
      <c r="T352" s="1301">
        <v>5.95</v>
      </c>
      <c r="U352" s="1301">
        <v>6.52</v>
      </c>
      <c r="V352" s="1301">
        <v>7.11</v>
      </c>
      <c r="W352" s="1302">
        <v>7.74</v>
      </c>
      <c r="X352" s="1300">
        <v>8.4</v>
      </c>
      <c r="Y352" s="1301">
        <v>9.1</v>
      </c>
      <c r="Z352" s="1301">
        <v>9.83</v>
      </c>
      <c r="AA352" s="1301">
        <v>10.61</v>
      </c>
      <c r="AB352" s="1301">
        <v>11.44</v>
      </c>
      <c r="AC352" s="1301">
        <v>12.32</v>
      </c>
      <c r="AD352" s="1301">
        <v>13.25</v>
      </c>
      <c r="AE352" s="1301">
        <v>14.25</v>
      </c>
      <c r="AF352" s="1301">
        <v>15.31</v>
      </c>
      <c r="AG352" s="1302">
        <v>16.440000000000001</v>
      </c>
      <c r="AH352" s="1300">
        <v>17.66</v>
      </c>
      <c r="AI352" s="1301">
        <v>18.95</v>
      </c>
      <c r="AJ352" s="1301">
        <v>20.34</v>
      </c>
      <c r="AK352" s="1301">
        <v>21.82</v>
      </c>
      <c r="AL352" s="1301">
        <v>23.4</v>
      </c>
      <c r="AM352" s="1301">
        <v>25.07</v>
      </c>
      <c r="AN352" s="1301">
        <v>26.84</v>
      </c>
      <c r="AO352" s="1301">
        <v>28.7</v>
      </c>
      <c r="AP352" s="1301">
        <v>30.66</v>
      </c>
      <c r="AQ352" s="1302">
        <v>32.72</v>
      </c>
      <c r="AR352" s="1300">
        <v>34.869999999999997</v>
      </c>
      <c r="AS352" s="1301">
        <v>37.11</v>
      </c>
      <c r="AT352" s="1301">
        <v>39.43</v>
      </c>
      <c r="AU352" s="1301">
        <v>41.83</v>
      </c>
      <c r="AV352" s="1301">
        <v>44.43</v>
      </c>
      <c r="AW352" s="1301">
        <v>47</v>
      </c>
      <c r="AX352" s="1301">
        <v>49.55</v>
      </c>
      <c r="AY352" s="1301">
        <v>52.07</v>
      </c>
      <c r="AZ352" s="1301">
        <v>54.57</v>
      </c>
      <c r="BA352" s="1302">
        <v>57.05</v>
      </c>
      <c r="BB352" s="1300">
        <v>59.5</v>
      </c>
      <c r="BC352" s="1301">
        <v>61.92</v>
      </c>
      <c r="BD352" s="1301">
        <v>64.319999999999993</v>
      </c>
      <c r="BE352" s="1301">
        <v>66.7</v>
      </c>
      <c r="BF352" s="1301">
        <v>69.06</v>
      </c>
      <c r="BG352" s="1301">
        <v>71.39</v>
      </c>
      <c r="BH352" s="1301">
        <v>73.69</v>
      </c>
      <c r="BI352" s="1301">
        <v>75.98</v>
      </c>
      <c r="BJ352" s="1301">
        <v>78.239999999999995</v>
      </c>
      <c r="BK352" s="1302">
        <v>80.48</v>
      </c>
      <c r="BL352" s="1300">
        <v>82.7</v>
      </c>
      <c r="BM352" s="1301">
        <v>84.89</v>
      </c>
      <c r="BN352" s="1301">
        <v>87.07</v>
      </c>
      <c r="BO352" s="1301">
        <v>89.22</v>
      </c>
      <c r="BP352" s="1301">
        <v>91.35</v>
      </c>
      <c r="BQ352" s="1301">
        <v>93.46</v>
      </c>
      <c r="BR352" s="1301">
        <v>95.55</v>
      </c>
      <c r="BS352" s="1301">
        <v>97.62</v>
      </c>
      <c r="BT352" s="1301">
        <v>99.67</v>
      </c>
      <c r="BU352" s="1302">
        <v>101.69</v>
      </c>
      <c r="BV352" s="1300">
        <v>103.7</v>
      </c>
      <c r="BW352" s="1301">
        <v>105.69</v>
      </c>
      <c r="BX352" s="1301">
        <v>107.66</v>
      </c>
      <c r="BY352" s="1301">
        <v>109.61</v>
      </c>
      <c r="BZ352" s="1301">
        <v>111.53</v>
      </c>
      <c r="CA352" s="1301">
        <v>113.44</v>
      </c>
      <c r="CB352" s="1301">
        <v>115.34</v>
      </c>
      <c r="CC352" s="1301">
        <v>117.21</v>
      </c>
      <c r="CD352" s="1301">
        <v>119.06</v>
      </c>
      <c r="CE352" s="1302">
        <v>120.9</v>
      </c>
      <c r="CF352" s="1301">
        <v>122.71</v>
      </c>
      <c r="CG352" s="1301">
        <v>124.51</v>
      </c>
      <c r="CH352" s="1302">
        <v>126.3</v>
      </c>
    </row>
    <row r="353" spans="1:86" ht="20.149999999999999" customHeight="1">
      <c r="A353" s="1563" t="s">
        <v>1541</v>
      </c>
      <c r="B353" s="1563" t="s">
        <v>13</v>
      </c>
      <c r="C353" s="1563" t="str">
        <f t="shared" si="6"/>
        <v>PBSDDCIM37</v>
      </c>
      <c r="D353" s="1193">
        <v>37</v>
      </c>
      <c r="E353" s="1300"/>
      <c r="F353" s="1301">
        <v>0.48</v>
      </c>
      <c r="G353" s="1301">
        <v>0.74</v>
      </c>
      <c r="H353" s="1301">
        <v>1.02</v>
      </c>
      <c r="I353" s="1301">
        <v>1.33</v>
      </c>
      <c r="J353" s="1301">
        <v>1.65</v>
      </c>
      <c r="K353" s="1301">
        <v>2</v>
      </c>
      <c r="L353" s="1301">
        <v>2.38</v>
      </c>
      <c r="M353" s="1302">
        <v>2.79</v>
      </c>
      <c r="N353" s="1300">
        <v>3.22</v>
      </c>
      <c r="O353" s="1301">
        <v>3.69</v>
      </c>
      <c r="P353" s="1301">
        <v>4.1900000000000004</v>
      </c>
      <c r="Q353" s="1301">
        <v>4.7300000000000004</v>
      </c>
      <c r="R353" s="1301">
        <v>5.32</v>
      </c>
      <c r="S353" s="1301">
        <v>5.87</v>
      </c>
      <c r="T353" s="1301">
        <v>6.44</v>
      </c>
      <c r="U353" s="1301">
        <v>7.05</v>
      </c>
      <c r="V353" s="1301">
        <v>7.69</v>
      </c>
      <c r="W353" s="1302">
        <v>8.3699999999999992</v>
      </c>
      <c r="X353" s="1300">
        <v>9.09</v>
      </c>
      <c r="Y353" s="1301">
        <v>9.84</v>
      </c>
      <c r="Z353" s="1301">
        <v>10.64</v>
      </c>
      <c r="AA353" s="1301">
        <v>11.49</v>
      </c>
      <c r="AB353" s="1301">
        <v>12.39</v>
      </c>
      <c r="AC353" s="1301">
        <v>13.35</v>
      </c>
      <c r="AD353" s="1301">
        <v>14.38</v>
      </c>
      <c r="AE353" s="1301">
        <v>15.47</v>
      </c>
      <c r="AF353" s="1301">
        <v>16.63</v>
      </c>
      <c r="AG353" s="1302">
        <v>17.88</v>
      </c>
      <c r="AH353" s="1300">
        <v>19.22</v>
      </c>
      <c r="AI353" s="1301">
        <v>20.64</v>
      </c>
      <c r="AJ353" s="1301">
        <v>22.16</v>
      </c>
      <c r="AK353" s="1301">
        <v>23.79</v>
      </c>
      <c r="AL353" s="1301">
        <v>25.51</v>
      </c>
      <c r="AM353" s="1301">
        <v>27.33</v>
      </c>
      <c r="AN353" s="1301">
        <v>29.25</v>
      </c>
      <c r="AO353" s="1301">
        <v>31.27</v>
      </c>
      <c r="AP353" s="1301">
        <v>33.39</v>
      </c>
      <c r="AQ353" s="1302">
        <v>35.61</v>
      </c>
      <c r="AR353" s="1300">
        <v>37.92</v>
      </c>
      <c r="AS353" s="1301">
        <v>40.32</v>
      </c>
      <c r="AT353" s="1301">
        <v>42.79</v>
      </c>
      <c r="AU353" s="1301">
        <v>45.48</v>
      </c>
      <c r="AV353" s="1301">
        <v>48.14</v>
      </c>
      <c r="AW353" s="1301">
        <v>50.78</v>
      </c>
      <c r="AX353" s="1301">
        <v>53.39</v>
      </c>
      <c r="AY353" s="1301">
        <v>55.97</v>
      </c>
      <c r="AZ353" s="1301">
        <v>58.53</v>
      </c>
      <c r="BA353" s="1302">
        <v>61.06</v>
      </c>
      <c r="BB353" s="1300">
        <v>63.57</v>
      </c>
      <c r="BC353" s="1301">
        <v>66.05</v>
      </c>
      <c r="BD353" s="1301">
        <v>68.510000000000005</v>
      </c>
      <c r="BE353" s="1301">
        <v>70.95</v>
      </c>
      <c r="BF353" s="1301">
        <v>73.36</v>
      </c>
      <c r="BG353" s="1301">
        <v>75.739999999999995</v>
      </c>
      <c r="BH353" s="1301">
        <v>78.11</v>
      </c>
      <c r="BI353" s="1301">
        <v>80.44</v>
      </c>
      <c r="BJ353" s="1301">
        <v>82.76</v>
      </c>
      <c r="BK353" s="1302">
        <v>85.05</v>
      </c>
      <c r="BL353" s="1300">
        <v>87.32</v>
      </c>
      <c r="BM353" s="1301">
        <v>89.57</v>
      </c>
      <c r="BN353" s="1301">
        <v>91.8</v>
      </c>
      <c r="BO353" s="1301">
        <v>94</v>
      </c>
      <c r="BP353" s="1301">
        <v>96.18</v>
      </c>
      <c r="BQ353" s="1301">
        <v>98.34</v>
      </c>
      <c r="BR353" s="1301">
        <v>100.48</v>
      </c>
      <c r="BS353" s="1301">
        <v>102.6</v>
      </c>
      <c r="BT353" s="1301">
        <v>104.7</v>
      </c>
      <c r="BU353" s="1302">
        <v>106.77</v>
      </c>
      <c r="BV353" s="1300">
        <v>108.83</v>
      </c>
      <c r="BW353" s="1301">
        <v>110.86</v>
      </c>
      <c r="BX353" s="1301">
        <v>112.88</v>
      </c>
      <c r="BY353" s="1301">
        <v>114.87</v>
      </c>
      <c r="BZ353" s="1301">
        <v>116.85</v>
      </c>
      <c r="CA353" s="1301">
        <v>118.8</v>
      </c>
      <c r="CB353" s="1301">
        <v>120.74</v>
      </c>
      <c r="CC353" s="1301">
        <v>122.66</v>
      </c>
      <c r="CD353" s="1301">
        <v>124.56</v>
      </c>
      <c r="CE353" s="1302">
        <v>126.44</v>
      </c>
      <c r="CF353" s="1301">
        <v>128.30000000000001</v>
      </c>
      <c r="CG353" s="1301">
        <v>130.13999999999999</v>
      </c>
      <c r="CH353" s="1302">
        <v>131.96</v>
      </c>
    </row>
    <row r="354" spans="1:86" ht="20.149999999999999" customHeight="1">
      <c r="A354" s="1563" t="s">
        <v>1541</v>
      </c>
      <c r="B354" s="1563" t="s">
        <v>13</v>
      </c>
      <c r="C354" s="1563" t="str">
        <f t="shared" si="6"/>
        <v>PBSDDCIM38</v>
      </c>
      <c r="D354" s="1193">
        <v>38</v>
      </c>
      <c r="E354" s="1300"/>
      <c r="F354" s="1301">
        <v>0.51</v>
      </c>
      <c r="G354" s="1301">
        <v>0.8</v>
      </c>
      <c r="H354" s="1301">
        <v>1.1100000000000001</v>
      </c>
      <c r="I354" s="1301">
        <v>1.44</v>
      </c>
      <c r="J354" s="1301">
        <v>1.79</v>
      </c>
      <c r="K354" s="1301">
        <v>2.17</v>
      </c>
      <c r="L354" s="1301">
        <v>2.58</v>
      </c>
      <c r="M354" s="1302">
        <v>3.02</v>
      </c>
      <c r="N354" s="1300">
        <v>3.49</v>
      </c>
      <c r="O354" s="1301">
        <v>3.99</v>
      </c>
      <c r="P354" s="1301">
        <v>4.54</v>
      </c>
      <c r="Q354" s="1301">
        <v>5.12</v>
      </c>
      <c r="R354" s="1301">
        <v>5.76</v>
      </c>
      <c r="S354" s="1301">
        <v>6.35</v>
      </c>
      <c r="T354" s="1301">
        <v>6.97</v>
      </c>
      <c r="U354" s="1301">
        <v>7.63</v>
      </c>
      <c r="V354" s="1301">
        <v>8.33</v>
      </c>
      <c r="W354" s="1302">
        <v>9.06</v>
      </c>
      <c r="X354" s="1300">
        <v>9.84</v>
      </c>
      <c r="Y354" s="1301">
        <v>10.66</v>
      </c>
      <c r="Z354" s="1301">
        <v>11.53</v>
      </c>
      <c r="AA354" s="1301">
        <v>12.46</v>
      </c>
      <c r="AB354" s="1301">
        <v>13.44</v>
      </c>
      <c r="AC354" s="1301">
        <v>14.49</v>
      </c>
      <c r="AD354" s="1301">
        <v>15.61</v>
      </c>
      <c r="AE354" s="1301">
        <v>16.809999999999999</v>
      </c>
      <c r="AF354" s="1301">
        <v>18.100000000000001</v>
      </c>
      <c r="AG354" s="1302">
        <v>19.47</v>
      </c>
      <c r="AH354" s="1300">
        <v>20.94</v>
      </c>
      <c r="AI354" s="1301">
        <v>22.5</v>
      </c>
      <c r="AJ354" s="1301">
        <v>24.17</v>
      </c>
      <c r="AK354" s="1301">
        <v>25.95</v>
      </c>
      <c r="AL354" s="1301">
        <v>27.82</v>
      </c>
      <c r="AM354" s="1301">
        <v>29.8</v>
      </c>
      <c r="AN354" s="1301">
        <v>31.89</v>
      </c>
      <c r="AO354" s="1301">
        <v>34.07</v>
      </c>
      <c r="AP354" s="1301">
        <v>36.36</v>
      </c>
      <c r="AQ354" s="1302">
        <v>38.75</v>
      </c>
      <c r="AR354" s="1300">
        <v>41.22</v>
      </c>
      <c r="AS354" s="1301">
        <v>43.78</v>
      </c>
      <c r="AT354" s="1301">
        <v>46.56</v>
      </c>
      <c r="AU354" s="1301">
        <v>49.31</v>
      </c>
      <c r="AV354" s="1301">
        <v>52.04</v>
      </c>
      <c r="AW354" s="1301">
        <v>54.74</v>
      </c>
      <c r="AX354" s="1301">
        <v>57.42</v>
      </c>
      <c r="AY354" s="1301">
        <v>60.06</v>
      </c>
      <c r="AZ354" s="1301">
        <v>62.68</v>
      </c>
      <c r="BA354" s="1302">
        <v>65.28</v>
      </c>
      <c r="BB354" s="1300">
        <v>67.849999999999994</v>
      </c>
      <c r="BC354" s="1301">
        <v>70.39</v>
      </c>
      <c r="BD354" s="1301">
        <v>72.91</v>
      </c>
      <c r="BE354" s="1301">
        <v>75.400000000000006</v>
      </c>
      <c r="BF354" s="1301">
        <v>77.87</v>
      </c>
      <c r="BG354" s="1301">
        <v>80.319999999999993</v>
      </c>
      <c r="BH354" s="1301">
        <v>82.74</v>
      </c>
      <c r="BI354" s="1301">
        <v>85.14</v>
      </c>
      <c r="BJ354" s="1301">
        <v>87.51</v>
      </c>
      <c r="BK354" s="1302">
        <v>89.86</v>
      </c>
      <c r="BL354" s="1300">
        <v>92.18</v>
      </c>
      <c r="BM354" s="1301">
        <v>94.49</v>
      </c>
      <c r="BN354" s="1301">
        <v>96.77</v>
      </c>
      <c r="BO354" s="1301">
        <v>99.02</v>
      </c>
      <c r="BP354" s="1301">
        <v>101.26</v>
      </c>
      <c r="BQ354" s="1301">
        <v>103.47</v>
      </c>
      <c r="BR354" s="1301">
        <v>105.66</v>
      </c>
      <c r="BS354" s="1301">
        <v>107.83</v>
      </c>
      <c r="BT354" s="1301">
        <v>109.98</v>
      </c>
      <c r="BU354" s="1302">
        <v>112.11</v>
      </c>
      <c r="BV354" s="1300">
        <v>114.21</v>
      </c>
      <c r="BW354" s="1301">
        <v>116.3</v>
      </c>
      <c r="BX354" s="1301">
        <v>118.36</v>
      </c>
      <c r="BY354" s="1301">
        <v>120.41</v>
      </c>
      <c r="BZ354" s="1301">
        <v>122.43</v>
      </c>
      <c r="CA354" s="1301">
        <v>124.43</v>
      </c>
      <c r="CB354" s="1301">
        <v>126.42</v>
      </c>
      <c r="CC354" s="1301">
        <v>128.38</v>
      </c>
      <c r="CD354" s="1301">
        <v>130.33000000000001</v>
      </c>
      <c r="CE354" s="1302">
        <v>132.25</v>
      </c>
      <c r="CF354" s="1301">
        <v>134.16</v>
      </c>
      <c r="CG354" s="1301">
        <v>136.05000000000001</v>
      </c>
      <c r="CH354" s="1302">
        <v>137.91</v>
      </c>
    </row>
    <row r="355" spans="1:86" ht="20.149999999999999" customHeight="1">
      <c r="A355" s="1563" t="s">
        <v>1541</v>
      </c>
      <c r="B355" s="1563" t="s">
        <v>13</v>
      </c>
      <c r="C355" s="1563" t="str">
        <f t="shared" si="6"/>
        <v>PBSDDCIM39</v>
      </c>
      <c r="D355" s="1193">
        <v>39</v>
      </c>
      <c r="E355" s="1300"/>
      <c r="F355" s="1301">
        <v>0.56000000000000005</v>
      </c>
      <c r="G355" s="1301">
        <v>0.87</v>
      </c>
      <c r="H355" s="1301">
        <v>1.2</v>
      </c>
      <c r="I355" s="1301">
        <v>1.56</v>
      </c>
      <c r="J355" s="1301">
        <v>1.94</v>
      </c>
      <c r="K355" s="1301">
        <v>2.35</v>
      </c>
      <c r="L355" s="1301">
        <v>2.79</v>
      </c>
      <c r="M355" s="1302">
        <v>3.26</v>
      </c>
      <c r="N355" s="1300">
        <v>3.77</v>
      </c>
      <c r="O355" s="1301">
        <v>4.32</v>
      </c>
      <c r="P355" s="1301">
        <v>4.91</v>
      </c>
      <c r="Q355" s="1301">
        <v>5.55</v>
      </c>
      <c r="R355" s="1301">
        <v>6.23</v>
      </c>
      <c r="S355" s="1301">
        <v>6.87</v>
      </c>
      <c r="T355" s="1301">
        <v>7.55</v>
      </c>
      <c r="U355" s="1301">
        <v>8.26</v>
      </c>
      <c r="V355" s="1301">
        <v>9.02</v>
      </c>
      <c r="W355" s="1302">
        <v>9.81</v>
      </c>
      <c r="X355" s="1300">
        <v>10.66</v>
      </c>
      <c r="Y355" s="1301">
        <v>11.55</v>
      </c>
      <c r="Z355" s="1301">
        <v>12.5</v>
      </c>
      <c r="AA355" s="1301">
        <v>13.51</v>
      </c>
      <c r="AB355" s="1301">
        <v>14.59</v>
      </c>
      <c r="AC355" s="1301">
        <v>15.74</v>
      </c>
      <c r="AD355" s="1301">
        <v>16.98</v>
      </c>
      <c r="AE355" s="1301">
        <v>18.3</v>
      </c>
      <c r="AF355" s="1301">
        <v>19.71</v>
      </c>
      <c r="AG355" s="1302">
        <v>21.22</v>
      </c>
      <c r="AH355" s="1300">
        <v>22.84</v>
      </c>
      <c r="AI355" s="1301">
        <v>24.56</v>
      </c>
      <c r="AJ355" s="1301">
        <v>26.38</v>
      </c>
      <c r="AK355" s="1301">
        <v>28.32</v>
      </c>
      <c r="AL355" s="1301">
        <v>30.36</v>
      </c>
      <c r="AM355" s="1301">
        <v>32.51</v>
      </c>
      <c r="AN355" s="1301">
        <v>34.770000000000003</v>
      </c>
      <c r="AO355" s="1301">
        <v>37.130000000000003</v>
      </c>
      <c r="AP355" s="1301">
        <v>39.590000000000003</v>
      </c>
      <c r="AQ355" s="1302">
        <v>42.14</v>
      </c>
      <c r="AR355" s="1300">
        <v>44.78</v>
      </c>
      <c r="AS355" s="1301">
        <v>47.67</v>
      </c>
      <c r="AT355" s="1301">
        <v>50.52</v>
      </c>
      <c r="AU355" s="1301">
        <v>53.34</v>
      </c>
      <c r="AV355" s="1301">
        <v>56.14</v>
      </c>
      <c r="AW355" s="1301">
        <v>58.91</v>
      </c>
      <c r="AX355" s="1301">
        <v>61.65</v>
      </c>
      <c r="AY355" s="1301">
        <v>64.36</v>
      </c>
      <c r="AZ355" s="1301">
        <v>67.05</v>
      </c>
      <c r="BA355" s="1302">
        <v>69.709999999999994</v>
      </c>
      <c r="BB355" s="1300">
        <v>72.34</v>
      </c>
      <c r="BC355" s="1301">
        <v>74.95</v>
      </c>
      <c r="BD355" s="1301">
        <v>77.53</v>
      </c>
      <c r="BE355" s="1301">
        <v>80.09</v>
      </c>
      <c r="BF355" s="1301">
        <v>82.62</v>
      </c>
      <c r="BG355" s="1301">
        <v>85.12</v>
      </c>
      <c r="BH355" s="1301">
        <v>87.61</v>
      </c>
      <c r="BI355" s="1301">
        <v>90.06</v>
      </c>
      <c r="BJ355" s="1301">
        <v>92.49</v>
      </c>
      <c r="BK355" s="1302">
        <v>94.9</v>
      </c>
      <c r="BL355" s="1300">
        <v>97.29</v>
      </c>
      <c r="BM355" s="1301">
        <v>99.65</v>
      </c>
      <c r="BN355" s="1301">
        <v>101.98</v>
      </c>
      <c r="BO355" s="1301">
        <v>104.3</v>
      </c>
      <c r="BP355" s="1301">
        <v>106.59</v>
      </c>
      <c r="BQ355" s="1301">
        <v>108.86</v>
      </c>
      <c r="BR355" s="1301">
        <v>111.11</v>
      </c>
      <c r="BS355" s="1301">
        <v>113.33</v>
      </c>
      <c r="BT355" s="1301">
        <v>115.53</v>
      </c>
      <c r="BU355" s="1302">
        <v>117.71</v>
      </c>
      <c r="BV355" s="1300">
        <v>119.87</v>
      </c>
      <c r="BW355" s="1301">
        <v>122.01</v>
      </c>
      <c r="BX355" s="1301">
        <v>124.12</v>
      </c>
      <c r="BY355" s="1301">
        <v>126.22</v>
      </c>
      <c r="BZ355" s="1301">
        <v>128.29</v>
      </c>
      <c r="CA355" s="1301">
        <v>130.35</v>
      </c>
      <c r="CB355" s="1301">
        <v>132.38</v>
      </c>
      <c r="CC355" s="1301">
        <v>134.38999999999999</v>
      </c>
      <c r="CD355" s="1301">
        <v>136.38999999999999</v>
      </c>
      <c r="CE355" s="1302">
        <v>138.36000000000001</v>
      </c>
      <c r="CF355" s="1301">
        <v>140.31</v>
      </c>
      <c r="CG355" s="1301">
        <v>142.25</v>
      </c>
      <c r="CH355" s="1302">
        <v>144.16</v>
      </c>
    </row>
    <row r="356" spans="1:86" ht="20.149999999999999" customHeight="1">
      <c r="A356" s="1563" t="s">
        <v>1541</v>
      </c>
      <c r="B356" s="1563" t="s">
        <v>13</v>
      </c>
      <c r="C356" s="1563" t="str">
        <f t="shared" si="6"/>
        <v>PBSDDCIM40</v>
      </c>
      <c r="D356" s="1193">
        <v>40</v>
      </c>
      <c r="E356" s="1300"/>
      <c r="F356" s="1301">
        <v>0.6</v>
      </c>
      <c r="G356" s="1301">
        <v>0.94</v>
      </c>
      <c r="H356" s="1301">
        <v>1.3</v>
      </c>
      <c r="I356" s="1301">
        <v>1.68</v>
      </c>
      <c r="J356" s="1301">
        <v>2.1</v>
      </c>
      <c r="K356" s="1301">
        <v>2.54</v>
      </c>
      <c r="L356" s="1301">
        <v>3.02</v>
      </c>
      <c r="M356" s="1302">
        <v>3.53</v>
      </c>
      <c r="N356" s="1300">
        <v>4.08</v>
      </c>
      <c r="O356" s="1301">
        <v>4.68</v>
      </c>
      <c r="P356" s="1301">
        <v>5.31</v>
      </c>
      <c r="Q356" s="1301">
        <v>6</v>
      </c>
      <c r="R356" s="1301">
        <v>6.74</v>
      </c>
      <c r="S356" s="1301">
        <v>7.44</v>
      </c>
      <c r="T356" s="1301">
        <v>8.17</v>
      </c>
      <c r="U356" s="1301">
        <v>8.94</v>
      </c>
      <c r="V356" s="1301">
        <v>9.76</v>
      </c>
      <c r="W356" s="1302">
        <v>10.63</v>
      </c>
      <c r="X356" s="1300">
        <v>11.54</v>
      </c>
      <c r="Y356" s="1301">
        <v>12.52</v>
      </c>
      <c r="Z356" s="1301">
        <v>13.56</v>
      </c>
      <c r="AA356" s="1301">
        <v>14.67</v>
      </c>
      <c r="AB356" s="1301">
        <v>15.85</v>
      </c>
      <c r="AC356" s="1301">
        <v>17.12</v>
      </c>
      <c r="AD356" s="1301">
        <v>18.48</v>
      </c>
      <c r="AE356" s="1301">
        <v>19.93</v>
      </c>
      <c r="AF356" s="1301">
        <v>21.49</v>
      </c>
      <c r="AG356" s="1302">
        <v>23.15</v>
      </c>
      <c r="AH356" s="1300">
        <v>24.93</v>
      </c>
      <c r="AI356" s="1301">
        <v>26.81</v>
      </c>
      <c r="AJ356" s="1301">
        <v>28.8</v>
      </c>
      <c r="AK356" s="1301">
        <v>30.91</v>
      </c>
      <c r="AL356" s="1301">
        <v>33.130000000000003</v>
      </c>
      <c r="AM356" s="1301">
        <v>35.46</v>
      </c>
      <c r="AN356" s="1301">
        <v>37.9</v>
      </c>
      <c r="AO356" s="1301">
        <v>40.44</v>
      </c>
      <c r="AP356" s="1301">
        <v>43.08</v>
      </c>
      <c r="AQ356" s="1302">
        <v>45.81</v>
      </c>
      <c r="AR356" s="1300">
        <v>48.8</v>
      </c>
      <c r="AS356" s="1301">
        <v>51.75</v>
      </c>
      <c r="AT356" s="1301">
        <v>54.68</v>
      </c>
      <c r="AU356" s="1301">
        <v>57.57</v>
      </c>
      <c r="AV356" s="1301">
        <v>60.44</v>
      </c>
      <c r="AW356" s="1301">
        <v>63.28</v>
      </c>
      <c r="AX356" s="1301">
        <v>66.09</v>
      </c>
      <c r="AY356" s="1301">
        <v>68.87</v>
      </c>
      <c r="AZ356" s="1301">
        <v>71.63</v>
      </c>
      <c r="BA356" s="1302">
        <v>74.36</v>
      </c>
      <c r="BB356" s="1300">
        <v>77.06</v>
      </c>
      <c r="BC356" s="1301">
        <v>79.739999999999995</v>
      </c>
      <c r="BD356" s="1301">
        <v>82.38</v>
      </c>
      <c r="BE356" s="1301">
        <v>85.01</v>
      </c>
      <c r="BF356" s="1301">
        <v>87.6</v>
      </c>
      <c r="BG356" s="1301">
        <v>90.17</v>
      </c>
      <c r="BH356" s="1301">
        <v>92.72</v>
      </c>
      <c r="BI356" s="1301">
        <v>95.24</v>
      </c>
      <c r="BJ356" s="1301">
        <v>97.73</v>
      </c>
      <c r="BK356" s="1302">
        <v>100.2</v>
      </c>
      <c r="BL356" s="1300">
        <v>102.65</v>
      </c>
      <c r="BM356" s="1301">
        <v>105.07</v>
      </c>
      <c r="BN356" s="1301">
        <v>107.47</v>
      </c>
      <c r="BO356" s="1301">
        <v>109.84</v>
      </c>
      <c r="BP356" s="1301">
        <v>112.19</v>
      </c>
      <c r="BQ356" s="1301">
        <v>114.52</v>
      </c>
      <c r="BR356" s="1301">
        <v>116.82</v>
      </c>
      <c r="BS356" s="1301">
        <v>119.1</v>
      </c>
      <c r="BT356" s="1301">
        <v>121.36</v>
      </c>
      <c r="BU356" s="1302">
        <v>123.6</v>
      </c>
      <c r="BV356" s="1300">
        <v>125.81</v>
      </c>
      <c r="BW356" s="1301">
        <v>128</v>
      </c>
      <c r="BX356" s="1301">
        <v>130.16999999999999</v>
      </c>
      <c r="BY356" s="1301">
        <v>132.32</v>
      </c>
      <c r="BZ356" s="1301">
        <v>134.44999999999999</v>
      </c>
      <c r="CA356" s="1301">
        <v>136.56</v>
      </c>
      <c r="CB356" s="1301">
        <v>138.63999999999999</v>
      </c>
      <c r="CC356" s="1301">
        <v>140.71</v>
      </c>
      <c r="CD356" s="1301">
        <v>142.75</v>
      </c>
      <c r="CE356" s="1302">
        <v>144.78</v>
      </c>
      <c r="CF356" s="1301">
        <v>146.78</v>
      </c>
      <c r="CG356" s="1301">
        <v>148.77000000000001</v>
      </c>
      <c r="CH356" s="1302">
        <v>150.72999999999999</v>
      </c>
    </row>
    <row r="357" spans="1:86" ht="20.149999999999999" customHeight="1">
      <c r="A357" s="1563" t="s">
        <v>1541</v>
      </c>
      <c r="B357" s="1563" t="s">
        <v>13</v>
      </c>
      <c r="C357" s="1563" t="str">
        <f t="shared" si="6"/>
        <v>PBSDDCIM41</v>
      </c>
      <c r="D357" s="1194">
        <v>41</v>
      </c>
      <c r="E357" s="1303"/>
      <c r="F357" s="1304">
        <v>0.65</v>
      </c>
      <c r="G357" s="1304">
        <v>1.02</v>
      </c>
      <c r="H357" s="1304">
        <v>1.4</v>
      </c>
      <c r="I357" s="1304">
        <v>1.82</v>
      </c>
      <c r="J357" s="1304">
        <v>2.27</v>
      </c>
      <c r="K357" s="1304">
        <v>2.75</v>
      </c>
      <c r="L357" s="1304">
        <v>3.26</v>
      </c>
      <c r="M357" s="1305">
        <v>3.82</v>
      </c>
      <c r="N357" s="1303">
        <v>4.41</v>
      </c>
      <c r="O357" s="1304">
        <v>5.05</v>
      </c>
      <c r="P357" s="1304">
        <v>5.74</v>
      </c>
      <c r="Q357" s="1304">
        <v>6.49</v>
      </c>
      <c r="R357" s="1304">
        <v>7.29</v>
      </c>
      <c r="S357" s="1304">
        <v>8.0399999999999991</v>
      </c>
      <c r="T357" s="1304">
        <v>8.84</v>
      </c>
      <c r="U357" s="1304">
        <v>9.68</v>
      </c>
      <c r="V357" s="1304">
        <v>10.56</v>
      </c>
      <c r="W357" s="1305">
        <v>11.51</v>
      </c>
      <c r="X357" s="1303">
        <v>12.51</v>
      </c>
      <c r="Y357" s="1304">
        <v>13.58</v>
      </c>
      <c r="Z357" s="1304">
        <v>14.72</v>
      </c>
      <c r="AA357" s="1304">
        <v>15.94</v>
      </c>
      <c r="AB357" s="1304">
        <v>17.239999999999998</v>
      </c>
      <c r="AC357" s="1304">
        <v>18.64</v>
      </c>
      <c r="AD357" s="1304">
        <v>20.14</v>
      </c>
      <c r="AE357" s="1304">
        <v>21.74</v>
      </c>
      <c r="AF357" s="1304">
        <v>23.45</v>
      </c>
      <c r="AG357" s="1305">
        <v>25.28</v>
      </c>
      <c r="AH357" s="1303">
        <v>27.22</v>
      </c>
      <c r="AI357" s="1304">
        <v>29.28</v>
      </c>
      <c r="AJ357" s="1304">
        <v>31.45</v>
      </c>
      <c r="AK357" s="1304">
        <v>33.74</v>
      </c>
      <c r="AL357" s="1304">
        <v>36.15</v>
      </c>
      <c r="AM357" s="1304">
        <v>38.67</v>
      </c>
      <c r="AN357" s="1304">
        <v>41.3</v>
      </c>
      <c r="AO357" s="1304">
        <v>44.03</v>
      </c>
      <c r="AP357" s="1304">
        <v>46.85</v>
      </c>
      <c r="AQ357" s="1305">
        <v>49.95</v>
      </c>
      <c r="AR357" s="1303">
        <v>53.01</v>
      </c>
      <c r="AS357" s="1304">
        <v>56.04</v>
      </c>
      <c r="AT357" s="1304">
        <v>59.04</v>
      </c>
      <c r="AU357" s="1304">
        <v>62.02</v>
      </c>
      <c r="AV357" s="1304">
        <v>64.959999999999994</v>
      </c>
      <c r="AW357" s="1304">
        <v>67.87</v>
      </c>
      <c r="AX357" s="1304">
        <v>70.760000000000005</v>
      </c>
      <c r="AY357" s="1304">
        <v>73.62</v>
      </c>
      <c r="AZ357" s="1304">
        <v>76.44</v>
      </c>
      <c r="BA357" s="1305">
        <v>79.239999999999995</v>
      </c>
      <c r="BB357" s="1303">
        <v>82.02</v>
      </c>
      <c r="BC357" s="1304">
        <v>84.76</v>
      </c>
      <c r="BD357" s="1304">
        <v>87.48</v>
      </c>
      <c r="BE357" s="1304">
        <v>90.17</v>
      </c>
      <c r="BF357" s="1304">
        <v>92.84</v>
      </c>
      <c r="BG357" s="1304">
        <v>95.47</v>
      </c>
      <c r="BH357" s="1304">
        <v>98.09</v>
      </c>
      <c r="BI357" s="1304">
        <v>100.67</v>
      </c>
      <c r="BJ357" s="1304">
        <v>103.23</v>
      </c>
      <c r="BK357" s="1305">
        <v>105.77</v>
      </c>
      <c r="BL357" s="1303">
        <v>108.28</v>
      </c>
      <c r="BM357" s="1304">
        <v>110.76</v>
      </c>
      <c r="BN357" s="1304">
        <v>113.22</v>
      </c>
      <c r="BO357" s="1304">
        <v>115.66</v>
      </c>
      <c r="BP357" s="1304">
        <v>118.07</v>
      </c>
      <c r="BQ357" s="1304">
        <v>120.46</v>
      </c>
      <c r="BR357" s="1304">
        <v>122.82</v>
      </c>
      <c r="BS357" s="1304">
        <v>125.16</v>
      </c>
      <c r="BT357" s="1304">
        <v>127.48</v>
      </c>
      <c r="BU357" s="1305">
        <v>129.78</v>
      </c>
      <c r="BV357" s="1303">
        <v>132.05000000000001</v>
      </c>
      <c r="BW357" s="1304">
        <v>134.30000000000001</v>
      </c>
      <c r="BX357" s="1304">
        <v>136.53</v>
      </c>
      <c r="BY357" s="1304">
        <v>138.72999999999999</v>
      </c>
      <c r="BZ357" s="1304">
        <v>140.91999999999999</v>
      </c>
      <c r="CA357" s="1304">
        <v>143.08000000000001</v>
      </c>
      <c r="CB357" s="1304">
        <v>145.22</v>
      </c>
      <c r="CC357" s="1304">
        <v>147.34</v>
      </c>
      <c r="CD357" s="1304">
        <v>149.44</v>
      </c>
      <c r="CE357" s="1305">
        <v>151.51</v>
      </c>
      <c r="CF357" s="1304">
        <v>153.57</v>
      </c>
      <c r="CG357" s="1304">
        <v>155.61000000000001</v>
      </c>
      <c r="CH357" s="1305">
        <v>157.62</v>
      </c>
    </row>
    <row r="358" spans="1:86" ht="20.149999999999999" customHeight="1">
      <c r="A358" s="1563" t="s">
        <v>1541</v>
      </c>
      <c r="B358" s="1563" t="s">
        <v>13</v>
      </c>
      <c r="C358" s="1563" t="str">
        <f t="shared" si="6"/>
        <v>PBSDDCIM42</v>
      </c>
      <c r="D358" s="1193">
        <v>42</v>
      </c>
      <c r="E358" s="1300"/>
      <c r="F358" s="1301">
        <v>0.7</v>
      </c>
      <c r="G358" s="1301">
        <v>1.0900000000000001</v>
      </c>
      <c r="H358" s="1301">
        <v>1.51</v>
      </c>
      <c r="I358" s="1301">
        <v>1.96</v>
      </c>
      <c r="J358" s="1301">
        <v>2.44</v>
      </c>
      <c r="K358" s="1301">
        <v>2.96</v>
      </c>
      <c r="L358" s="1301">
        <v>3.52</v>
      </c>
      <c r="M358" s="1302">
        <v>4.1100000000000003</v>
      </c>
      <c r="N358" s="1300">
        <v>4.76</v>
      </c>
      <c r="O358" s="1301">
        <v>5.45</v>
      </c>
      <c r="P358" s="1301">
        <v>6.2</v>
      </c>
      <c r="Q358" s="1301">
        <v>7</v>
      </c>
      <c r="R358" s="1301">
        <v>7.87</v>
      </c>
      <c r="S358" s="1301">
        <v>8.69</v>
      </c>
      <c r="T358" s="1301">
        <v>9.5500000000000007</v>
      </c>
      <c r="U358" s="1301">
        <v>10.46</v>
      </c>
      <c r="V358" s="1301">
        <v>11.43</v>
      </c>
      <c r="W358" s="1302">
        <v>12.46</v>
      </c>
      <c r="X358" s="1300">
        <v>13.56</v>
      </c>
      <c r="Y358" s="1301">
        <v>14.73</v>
      </c>
      <c r="Z358" s="1301">
        <v>15.98</v>
      </c>
      <c r="AA358" s="1301">
        <v>17.329999999999998</v>
      </c>
      <c r="AB358" s="1301">
        <v>18.77</v>
      </c>
      <c r="AC358" s="1301">
        <v>20.309999999999999</v>
      </c>
      <c r="AD358" s="1301">
        <v>21.96</v>
      </c>
      <c r="AE358" s="1301">
        <v>23.73</v>
      </c>
      <c r="AF358" s="1301">
        <v>25.61</v>
      </c>
      <c r="AG358" s="1302">
        <v>27.61</v>
      </c>
      <c r="AH358" s="1300">
        <v>29.74</v>
      </c>
      <c r="AI358" s="1301">
        <v>31.98</v>
      </c>
      <c r="AJ358" s="1301">
        <v>34.35</v>
      </c>
      <c r="AK358" s="1301">
        <v>36.83</v>
      </c>
      <c r="AL358" s="1301">
        <v>39.44</v>
      </c>
      <c r="AM358" s="1301">
        <v>42.16</v>
      </c>
      <c r="AN358" s="1301">
        <v>44.98</v>
      </c>
      <c r="AO358" s="1301">
        <v>47.9</v>
      </c>
      <c r="AP358" s="1301">
        <v>51.11</v>
      </c>
      <c r="AQ358" s="1302">
        <v>54.29</v>
      </c>
      <c r="AR358" s="1300">
        <v>57.43</v>
      </c>
      <c r="AS358" s="1301">
        <v>60.55</v>
      </c>
      <c r="AT358" s="1301">
        <v>63.63</v>
      </c>
      <c r="AU358" s="1301">
        <v>66.680000000000007</v>
      </c>
      <c r="AV358" s="1301">
        <v>69.7</v>
      </c>
      <c r="AW358" s="1301">
        <v>72.7</v>
      </c>
      <c r="AX358" s="1301">
        <v>75.66</v>
      </c>
      <c r="AY358" s="1301">
        <v>78.59</v>
      </c>
      <c r="AZ358" s="1301">
        <v>81.5</v>
      </c>
      <c r="BA358" s="1302">
        <v>84.37</v>
      </c>
      <c r="BB358" s="1300">
        <v>87.22</v>
      </c>
      <c r="BC358" s="1301">
        <v>90.04</v>
      </c>
      <c r="BD358" s="1301">
        <v>92.83</v>
      </c>
      <c r="BE358" s="1301">
        <v>95.59</v>
      </c>
      <c r="BF358" s="1301">
        <v>98.33</v>
      </c>
      <c r="BG358" s="1301">
        <v>101.04</v>
      </c>
      <c r="BH358" s="1301">
        <v>103.72</v>
      </c>
      <c r="BI358" s="1301">
        <v>106.37</v>
      </c>
      <c r="BJ358" s="1301">
        <v>109</v>
      </c>
      <c r="BK358" s="1302">
        <v>111.61</v>
      </c>
      <c r="BL358" s="1300">
        <v>114.18</v>
      </c>
      <c r="BM358" s="1301">
        <v>116.74</v>
      </c>
      <c r="BN358" s="1301">
        <v>119.26</v>
      </c>
      <c r="BO358" s="1301">
        <v>121.77</v>
      </c>
      <c r="BP358" s="1301">
        <v>124.24</v>
      </c>
      <c r="BQ358" s="1301">
        <v>126.69</v>
      </c>
      <c r="BR358" s="1301">
        <v>129.12</v>
      </c>
      <c r="BS358" s="1301">
        <v>131.53</v>
      </c>
      <c r="BT358" s="1301">
        <v>133.91</v>
      </c>
      <c r="BU358" s="1302">
        <v>136.26</v>
      </c>
      <c r="BV358" s="1300">
        <v>138.6</v>
      </c>
      <c r="BW358" s="1301">
        <v>140.91</v>
      </c>
      <c r="BX358" s="1301">
        <v>143.19</v>
      </c>
      <c r="BY358" s="1301">
        <v>145.46</v>
      </c>
      <c r="BZ358" s="1301">
        <v>147.69999999999999</v>
      </c>
      <c r="CA358" s="1301">
        <v>149.91999999999999</v>
      </c>
      <c r="CB358" s="1301">
        <v>152.12</v>
      </c>
      <c r="CC358" s="1301">
        <v>154.30000000000001</v>
      </c>
      <c r="CD358" s="1301">
        <v>156.44999999999999</v>
      </c>
      <c r="CE358" s="1302">
        <v>158.58000000000001</v>
      </c>
      <c r="CF358" s="1301">
        <v>160.69999999999999</v>
      </c>
      <c r="CG358" s="1301">
        <v>162.79</v>
      </c>
      <c r="CH358" s="1302">
        <v>164.86</v>
      </c>
    </row>
    <row r="359" spans="1:86" ht="20.149999999999999" customHeight="1">
      <c r="A359" s="1563" t="s">
        <v>1541</v>
      </c>
      <c r="B359" s="1563" t="s">
        <v>13</v>
      </c>
      <c r="C359" s="1563" t="str">
        <f t="shared" si="6"/>
        <v>PBSDDCIM43</v>
      </c>
      <c r="D359" s="1193">
        <v>43</v>
      </c>
      <c r="E359" s="1300"/>
      <c r="F359" s="1301">
        <v>0.76</v>
      </c>
      <c r="G359" s="1301">
        <v>1.17</v>
      </c>
      <c r="H359" s="1301">
        <v>1.62</v>
      </c>
      <c r="I359" s="1301">
        <v>2.11</v>
      </c>
      <c r="J359" s="1301">
        <v>2.63</v>
      </c>
      <c r="K359" s="1301">
        <v>3.19</v>
      </c>
      <c r="L359" s="1301">
        <v>3.79</v>
      </c>
      <c r="M359" s="1302">
        <v>4.43</v>
      </c>
      <c r="N359" s="1300">
        <v>5.13</v>
      </c>
      <c r="O359" s="1301">
        <v>5.88</v>
      </c>
      <c r="P359" s="1301">
        <v>6.69</v>
      </c>
      <c r="Q359" s="1301">
        <v>7.56</v>
      </c>
      <c r="R359" s="1301">
        <v>8.5</v>
      </c>
      <c r="S359" s="1301">
        <v>9.39</v>
      </c>
      <c r="T359" s="1301">
        <v>10.33</v>
      </c>
      <c r="U359" s="1301">
        <v>11.32</v>
      </c>
      <c r="V359" s="1301">
        <v>12.38</v>
      </c>
      <c r="W359" s="1302">
        <v>13.51</v>
      </c>
      <c r="X359" s="1300">
        <v>14.71</v>
      </c>
      <c r="Y359" s="1301">
        <v>16</v>
      </c>
      <c r="Z359" s="1301">
        <v>17.38</v>
      </c>
      <c r="AA359" s="1301">
        <v>18.86</v>
      </c>
      <c r="AB359" s="1301">
        <v>20.45</v>
      </c>
      <c r="AC359" s="1301">
        <v>22.16</v>
      </c>
      <c r="AD359" s="1301">
        <v>23.98</v>
      </c>
      <c r="AE359" s="1301">
        <v>25.92</v>
      </c>
      <c r="AF359" s="1301">
        <v>27.99</v>
      </c>
      <c r="AG359" s="1302">
        <v>30.18</v>
      </c>
      <c r="AH359" s="1300">
        <v>32.5</v>
      </c>
      <c r="AI359" s="1301">
        <v>34.94</v>
      </c>
      <c r="AJ359" s="1301">
        <v>37.51</v>
      </c>
      <c r="AK359" s="1301">
        <v>40.21</v>
      </c>
      <c r="AL359" s="1301">
        <v>43.02</v>
      </c>
      <c r="AM359" s="1301">
        <v>45.94</v>
      </c>
      <c r="AN359" s="1301">
        <v>48.96</v>
      </c>
      <c r="AO359" s="1301">
        <v>52.29</v>
      </c>
      <c r="AP359" s="1301">
        <v>55.59</v>
      </c>
      <c r="AQ359" s="1302">
        <v>58.85</v>
      </c>
      <c r="AR359" s="1300">
        <v>62.09</v>
      </c>
      <c r="AS359" s="1301">
        <v>65.290000000000006</v>
      </c>
      <c r="AT359" s="1301">
        <v>68.45</v>
      </c>
      <c r="AU359" s="1301">
        <v>71.59</v>
      </c>
      <c r="AV359" s="1301">
        <v>74.7</v>
      </c>
      <c r="AW359" s="1301">
        <v>77.77</v>
      </c>
      <c r="AX359" s="1301">
        <v>80.819999999999993</v>
      </c>
      <c r="AY359" s="1301">
        <v>83.83</v>
      </c>
      <c r="AZ359" s="1301">
        <v>86.81</v>
      </c>
      <c r="BA359" s="1302">
        <v>89.77</v>
      </c>
      <c r="BB359" s="1300">
        <v>92.69</v>
      </c>
      <c r="BC359" s="1301">
        <v>95.59</v>
      </c>
      <c r="BD359" s="1301">
        <v>98.46</v>
      </c>
      <c r="BE359" s="1301">
        <v>101.3</v>
      </c>
      <c r="BF359" s="1301">
        <v>104.11</v>
      </c>
      <c r="BG359" s="1301">
        <v>106.89</v>
      </c>
      <c r="BH359" s="1301">
        <v>109.65</v>
      </c>
      <c r="BI359" s="1301">
        <v>112.38</v>
      </c>
      <c r="BJ359" s="1301">
        <v>115.08</v>
      </c>
      <c r="BK359" s="1302">
        <v>117.76</v>
      </c>
      <c r="BL359" s="1300">
        <v>120.4</v>
      </c>
      <c r="BM359" s="1301">
        <v>123.03</v>
      </c>
      <c r="BN359" s="1301">
        <v>125.62</v>
      </c>
      <c r="BO359" s="1301">
        <v>128.19</v>
      </c>
      <c r="BP359" s="1301">
        <v>130.74</v>
      </c>
      <c r="BQ359" s="1301">
        <v>133.26</v>
      </c>
      <c r="BR359" s="1301">
        <v>135.75</v>
      </c>
      <c r="BS359" s="1301">
        <v>138.22</v>
      </c>
      <c r="BT359" s="1301">
        <v>140.66999999999999</v>
      </c>
      <c r="BU359" s="1302">
        <v>143.09</v>
      </c>
      <c r="BV359" s="1300">
        <v>145.49</v>
      </c>
      <c r="BW359" s="1301">
        <v>147.86000000000001</v>
      </c>
      <c r="BX359" s="1301">
        <v>150.21</v>
      </c>
      <c r="BY359" s="1301">
        <v>152.54</v>
      </c>
      <c r="BZ359" s="1301">
        <v>154.84</v>
      </c>
      <c r="CA359" s="1301">
        <v>157.13</v>
      </c>
      <c r="CB359" s="1301">
        <v>159.38</v>
      </c>
      <c r="CC359" s="1301">
        <v>161.62</v>
      </c>
      <c r="CD359" s="1301">
        <v>163.83000000000001</v>
      </c>
      <c r="CE359" s="1302">
        <v>166.03</v>
      </c>
      <c r="CF359" s="1301">
        <v>168.2</v>
      </c>
      <c r="CG359" s="1301">
        <v>170.35</v>
      </c>
      <c r="CH359" s="1302">
        <v>172.47</v>
      </c>
    </row>
    <row r="360" spans="1:86" ht="20.149999999999999" customHeight="1">
      <c r="A360" s="1563" t="s">
        <v>1541</v>
      </c>
      <c r="B360" s="1563" t="s">
        <v>13</v>
      </c>
      <c r="C360" s="1563" t="str">
        <f t="shared" si="6"/>
        <v>PBSDDCIM44</v>
      </c>
      <c r="D360" s="1193">
        <v>44</v>
      </c>
      <c r="E360" s="1300"/>
      <c r="F360" s="1301">
        <v>0.81</v>
      </c>
      <c r="G360" s="1301">
        <v>1.26</v>
      </c>
      <c r="H360" s="1301">
        <v>1.75</v>
      </c>
      <c r="I360" s="1301">
        <v>2.27</v>
      </c>
      <c r="J360" s="1301">
        <v>2.83</v>
      </c>
      <c r="K360" s="1301">
        <v>3.43</v>
      </c>
      <c r="L360" s="1301">
        <v>4.08</v>
      </c>
      <c r="M360" s="1302">
        <v>4.78</v>
      </c>
      <c r="N360" s="1300">
        <v>5.53</v>
      </c>
      <c r="O360" s="1301">
        <v>6.35</v>
      </c>
      <c r="P360" s="1301">
        <v>7.22</v>
      </c>
      <c r="Q360" s="1301">
        <v>8.17</v>
      </c>
      <c r="R360" s="1301">
        <v>9.19</v>
      </c>
      <c r="S360" s="1301">
        <v>10.16</v>
      </c>
      <c r="T360" s="1301">
        <v>11.18</v>
      </c>
      <c r="U360" s="1301">
        <v>12.26</v>
      </c>
      <c r="V360" s="1301">
        <v>13.42</v>
      </c>
      <c r="W360" s="1302">
        <v>14.66</v>
      </c>
      <c r="X360" s="1300">
        <v>15.99</v>
      </c>
      <c r="Y360" s="1301">
        <v>17.41</v>
      </c>
      <c r="Z360" s="1301">
        <v>18.940000000000001</v>
      </c>
      <c r="AA360" s="1301">
        <v>20.58</v>
      </c>
      <c r="AB360" s="1301">
        <v>22.33</v>
      </c>
      <c r="AC360" s="1301">
        <v>24.21</v>
      </c>
      <c r="AD360" s="1301">
        <v>26.22</v>
      </c>
      <c r="AE360" s="1301">
        <v>28.35</v>
      </c>
      <c r="AF360" s="1301">
        <v>30.62</v>
      </c>
      <c r="AG360" s="1302">
        <v>33.01</v>
      </c>
      <c r="AH360" s="1300">
        <v>35.54</v>
      </c>
      <c r="AI360" s="1301">
        <v>38.200000000000003</v>
      </c>
      <c r="AJ360" s="1301">
        <v>40.98</v>
      </c>
      <c r="AK360" s="1301">
        <v>43.89</v>
      </c>
      <c r="AL360" s="1301">
        <v>46.92</v>
      </c>
      <c r="AM360" s="1301">
        <v>50.05</v>
      </c>
      <c r="AN360" s="1301">
        <v>53.51</v>
      </c>
      <c r="AO360" s="1301">
        <v>56.93</v>
      </c>
      <c r="AP360" s="1301">
        <v>60.32</v>
      </c>
      <c r="AQ360" s="1302">
        <v>63.68</v>
      </c>
      <c r="AR360" s="1300">
        <v>67</v>
      </c>
      <c r="AS360" s="1301">
        <v>70.290000000000006</v>
      </c>
      <c r="AT360" s="1301">
        <v>73.55</v>
      </c>
      <c r="AU360" s="1301">
        <v>76.78</v>
      </c>
      <c r="AV360" s="1301">
        <v>79.97</v>
      </c>
      <c r="AW360" s="1301">
        <v>83.13</v>
      </c>
      <c r="AX360" s="1301">
        <v>86.26</v>
      </c>
      <c r="AY360" s="1301">
        <v>89.36</v>
      </c>
      <c r="AZ360" s="1301">
        <v>92.43</v>
      </c>
      <c r="BA360" s="1302">
        <v>95.47</v>
      </c>
      <c r="BB360" s="1300">
        <v>98.48</v>
      </c>
      <c r="BC360" s="1301">
        <v>101.46</v>
      </c>
      <c r="BD360" s="1301">
        <v>104.41</v>
      </c>
      <c r="BE360" s="1301">
        <v>107.33</v>
      </c>
      <c r="BF360" s="1301">
        <v>110.22</v>
      </c>
      <c r="BG360" s="1301">
        <v>113.08</v>
      </c>
      <c r="BH360" s="1301">
        <v>115.91</v>
      </c>
      <c r="BI360" s="1301">
        <v>118.72</v>
      </c>
      <c r="BJ360" s="1301">
        <v>121.5</v>
      </c>
      <c r="BK360" s="1302">
        <v>124.25</v>
      </c>
      <c r="BL360" s="1300">
        <v>126.97</v>
      </c>
      <c r="BM360" s="1301">
        <v>129.66999999999999</v>
      </c>
      <c r="BN360" s="1301">
        <v>132.34</v>
      </c>
      <c r="BO360" s="1301">
        <v>134.97999999999999</v>
      </c>
      <c r="BP360" s="1301">
        <v>137.6</v>
      </c>
      <c r="BQ360" s="1301">
        <v>140.19</v>
      </c>
      <c r="BR360" s="1301">
        <v>142.76</v>
      </c>
      <c r="BS360" s="1301">
        <v>145.30000000000001</v>
      </c>
      <c r="BT360" s="1301">
        <v>147.81</v>
      </c>
      <c r="BU360" s="1302">
        <v>150.30000000000001</v>
      </c>
      <c r="BV360" s="1300">
        <v>152.77000000000001</v>
      </c>
      <c r="BW360" s="1301">
        <v>155.21</v>
      </c>
      <c r="BX360" s="1301">
        <v>157.63</v>
      </c>
      <c r="BY360" s="1301">
        <v>160.02000000000001</v>
      </c>
      <c r="BZ360" s="1301">
        <v>162.38999999999999</v>
      </c>
      <c r="CA360" s="1301">
        <v>164.73</v>
      </c>
      <c r="CB360" s="1301">
        <v>167.06</v>
      </c>
      <c r="CC360" s="1301">
        <v>169.36</v>
      </c>
      <c r="CD360" s="1301">
        <v>171.63</v>
      </c>
      <c r="CE360" s="1302">
        <v>173.89</v>
      </c>
      <c r="CF360" s="1301">
        <v>176.12</v>
      </c>
      <c r="CG360" s="1301">
        <v>178.33</v>
      </c>
      <c r="CH360" s="1302">
        <v>180.52</v>
      </c>
    </row>
    <row r="361" spans="1:86" ht="20.149999999999999" customHeight="1">
      <c r="A361" s="1563" t="s">
        <v>1541</v>
      </c>
      <c r="B361" s="1563" t="s">
        <v>13</v>
      </c>
      <c r="C361" s="1563" t="str">
        <f t="shared" si="6"/>
        <v>PBSDDCIM45</v>
      </c>
      <c r="D361" s="1195">
        <v>45</v>
      </c>
      <c r="E361" s="1306"/>
      <c r="F361" s="1307">
        <v>0.88</v>
      </c>
      <c r="G361" s="1307">
        <v>1.36</v>
      </c>
      <c r="H361" s="1307">
        <v>1.89</v>
      </c>
      <c r="I361" s="1307">
        <v>2.4500000000000002</v>
      </c>
      <c r="J361" s="1307">
        <v>3.05</v>
      </c>
      <c r="K361" s="1307">
        <v>3.7</v>
      </c>
      <c r="L361" s="1307">
        <v>4.4000000000000004</v>
      </c>
      <c r="M361" s="1308">
        <v>5.16</v>
      </c>
      <c r="N361" s="1306">
        <v>5.97</v>
      </c>
      <c r="O361" s="1307">
        <v>6.85</v>
      </c>
      <c r="P361" s="1307">
        <v>7.8</v>
      </c>
      <c r="Q361" s="1307">
        <v>8.83</v>
      </c>
      <c r="R361" s="1307">
        <v>9.9499999999999993</v>
      </c>
      <c r="S361" s="1307">
        <v>11</v>
      </c>
      <c r="T361" s="1307">
        <v>12.11</v>
      </c>
      <c r="U361" s="1307">
        <v>13.31</v>
      </c>
      <c r="V361" s="1307">
        <v>14.58</v>
      </c>
      <c r="W361" s="1308">
        <v>15.95</v>
      </c>
      <c r="X361" s="1306">
        <v>17.41</v>
      </c>
      <c r="Y361" s="1307">
        <v>18.989999999999998</v>
      </c>
      <c r="Z361" s="1307">
        <v>20.67</v>
      </c>
      <c r="AA361" s="1307">
        <v>22.49</v>
      </c>
      <c r="AB361" s="1307">
        <v>24.42</v>
      </c>
      <c r="AC361" s="1307">
        <v>26.5</v>
      </c>
      <c r="AD361" s="1307">
        <v>28.7</v>
      </c>
      <c r="AE361" s="1307">
        <v>31.04</v>
      </c>
      <c r="AF361" s="1307">
        <v>33.520000000000003</v>
      </c>
      <c r="AG361" s="1308">
        <v>36.130000000000003</v>
      </c>
      <c r="AH361" s="1306">
        <v>38.880000000000003</v>
      </c>
      <c r="AI361" s="1307">
        <v>41.76</v>
      </c>
      <c r="AJ361" s="1307">
        <v>44.78</v>
      </c>
      <c r="AK361" s="1307">
        <v>47.91</v>
      </c>
      <c r="AL361" s="1307">
        <v>51.16</v>
      </c>
      <c r="AM361" s="1307">
        <v>54.76</v>
      </c>
      <c r="AN361" s="1307">
        <v>58.31</v>
      </c>
      <c r="AO361" s="1307">
        <v>61.84</v>
      </c>
      <c r="AP361" s="1307">
        <v>65.33</v>
      </c>
      <c r="AQ361" s="1308">
        <v>68.78</v>
      </c>
      <c r="AR361" s="1306">
        <v>72.2</v>
      </c>
      <c r="AS361" s="1307">
        <v>75.59</v>
      </c>
      <c r="AT361" s="1307">
        <v>78.94</v>
      </c>
      <c r="AU361" s="1307">
        <v>82.26</v>
      </c>
      <c r="AV361" s="1307">
        <v>85.55</v>
      </c>
      <c r="AW361" s="1307">
        <v>88.8</v>
      </c>
      <c r="AX361" s="1307">
        <v>92.02</v>
      </c>
      <c r="AY361" s="1307">
        <v>95.21</v>
      </c>
      <c r="AZ361" s="1307">
        <v>98.37</v>
      </c>
      <c r="BA361" s="1308">
        <v>101.5</v>
      </c>
      <c r="BB361" s="1306">
        <v>104.59</v>
      </c>
      <c r="BC361" s="1307">
        <v>107.66</v>
      </c>
      <c r="BD361" s="1307">
        <v>110.69</v>
      </c>
      <c r="BE361" s="1307">
        <v>113.7</v>
      </c>
      <c r="BF361" s="1307">
        <v>116.67</v>
      </c>
      <c r="BG361" s="1307">
        <v>119.62</v>
      </c>
      <c r="BH361" s="1307">
        <v>122.53</v>
      </c>
      <c r="BI361" s="1307">
        <v>125.42</v>
      </c>
      <c r="BJ361" s="1307">
        <v>128.28</v>
      </c>
      <c r="BK361" s="1308">
        <v>131.11000000000001</v>
      </c>
      <c r="BL361" s="1306">
        <v>133.91</v>
      </c>
      <c r="BM361" s="1307">
        <v>136.69</v>
      </c>
      <c r="BN361" s="1307">
        <v>139.44</v>
      </c>
      <c r="BO361" s="1307">
        <v>142.16</v>
      </c>
      <c r="BP361" s="1307">
        <v>144.85</v>
      </c>
      <c r="BQ361" s="1307">
        <v>147.52000000000001</v>
      </c>
      <c r="BR361" s="1307">
        <v>150.16</v>
      </c>
      <c r="BS361" s="1307">
        <v>152.77000000000001</v>
      </c>
      <c r="BT361" s="1307">
        <v>155.36000000000001</v>
      </c>
      <c r="BU361" s="1308">
        <v>157.91999999999999</v>
      </c>
      <c r="BV361" s="1306">
        <v>160.46</v>
      </c>
      <c r="BW361" s="1307">
        <v>162.97</v>
      </c>
      <c r="BX361" s="1307">
        <v>165.46</v>
      </c>
      <c r="BY361" s="1307">
        <v>167.92</v>
      </c>
      <c r="BZ361" s="1307">
        <v>170.36</v>
      </c>
      <c r="CA361" s="1307">
        <v>172.78</v>
      </c>
      <c r="CB361" s="1307">
        <v>175.17</v>
      </c>
      <c r="CC361" s="1307">
        <v>177.53</v>
      </c>
      <c r="CD361" s="1307">
        <v>179.88</v>
      </c>
      <c r="CE361" s="1308">
        <v>182.2</v>
      </c>
      <c r="CF361" s="1307">
        <v>184.49</v>
      </c>
      <c r="CG361" s="1307">
        <v>186.77</v>
      </c>
      <c r="CH361" s="1308">
        <v>189.02</v>
      </c>
    </row>
    <row r="362" spans="1:86" ht="20.149999999999999" customHeight="1">
      <c r="A362" s="1563" t="s">
        <v>1541</v>
      </c>
      <c r="B362" s="1563" t="s">
        <v>13</v>
      </c>
      <c r="C362" s="1563" t="str">
        <f t="shared" si="6"/>
        <v>PBSDDCIM46</v>
      </c>
      <c r="D362" s="1193">
        <v>46</v>
      </c>
      <c r="E362" s="1300"/>
      <c r="F362" s="1301">
        <v>0.94</v>
      </c>
      <c r="G362" s="1301">
        <v>1.47</v>
      </c>
      <c r="H362" s="1301">
        <v>2.0299999999999998</v>
      </c>
      <c r="I362" s="1301">
        <v>2.64</v>
      </c>
      <c r="J362" s="1301">
        <v>3.29</v>
      </c>
      <c r="K362" s="1301">
        <v>4</v>
      </c>
      <c r="L362" s="1301">
        <v>4.75</v>
      </c>
      <c r="M362" s="1302">
        <v>5.57</v>
      </c>
      <c r="N362" s="1300">
        <v>6.45</v>
      </c>
      <c r="O362" s="1301">
        <v>7.41</v>
      </c>
      <c r="P362" s="1301">
        <v>8.44</v>
      </c>
      <c r="Q362" s="1301">
        <v>9.56</v>
      </c>
      <c r="R362" s="1301">
        <v>10.78</v>
      </c>
      <c r="S362" s="1301">
        <v>11.93</v>
      </c>
      <c r="T362" s="1301">
        <v>13.15</v>
      </c>
      <c r="U362" s="1301">
        <v>14.47</v>
      </c>
      <c r="V362" s="1301">
        <v>15.87</v>
      </c>
      <c r="W362" s="1302">
        <v>17.38</v>
      </c>
      <c r="X362" s="1300">
        <v>19</v>
      </c>
      <c r="Y362" s="1301">
        <v>20.74</v>
      </c>
      <c r="Z362" s="1301">
        <v>22.61</v>
      </c>
      <c r="AA362" s="1301">
        <v>24.61</v>
      </c>
      <c r="AB362" s="1301">
        <v>26.75</v>
      </c>
      <c r="AC362" s="1301">
        <v>29.03</v>
      </c>
      <c r="AD362" s="1301">
        <v>31.45</v>
      </c>
      <c r="AE362" s="1301">
        <v>34.01</v>
      </c>
      <c r="AF362" s="1301">
        <v>36.71</v>
      </c>
      <c r="AG362" s="1302">
        <v>39.56</v>
      </c>
      <c r="AH362" s="1300">
        <v>42.55</v>
      </c>
      <c r="AI362" s="1301">
        <v>45.67</v>
      </c>
      <c r="AJ362" s="1301">
        <v>48.92</v>
      </c>
      <c r="AK362" s="1301">
        <v>52.29</v>
      </c>
      <c r="AL362" s="1301">
        <v>56.03</v>
      </c>
      <c r="AM362" s="1301">
        <v>59.73</v>
      </c>
      <c r="AN362" s="1301">
        <v>63.4</v>
      </c>
      <c r="AO362" s="1301">
        <v>67.03</v>
      </c>
      <c r="AP362" s="1301">
        <v>70.62</v>
      </c>
      <c r="AQ362" s="1302">
        <v>74.180000000000007</v>
      </c>
      <c r="AR362" s="1300">
        <v>77.7</v>
      </c>
      <c r="AS362" s="1301">
        <v>81.19</v>
      </c>
      <c r="AT362" s="1301">
        <v>84.64</v>
      </c>
      <c r="AU362" s="1301">
        <v>88.06</v>
      </c>
      <c r="AV362" s="1301">
        <v>91.44</v>
      </c>
      <c r="AW362" s="1301">
        <v>94.8</v>
      </c>
      <c r="AX362" s="1301">
        <v>98.11</v>
      </c>
      <c r="AY362" s="1301">
        <v>101.4</v>
      </c>
      <c r="AZ362" s="1301">
        <v>104.65</v>
      </c>
      <c r="BA362" s="1302">
        <v>107.87</v>
      </c>
      <c r="BB362" s="1300">
        <v>111.06</v>
      </c>
      <c r="BC362" s="1301">
        <v>114.22</v>
      </c>
      <c r="BD362" s="1301">
        <v>117.34</v>
      </c>
      <c r="BE362" s="1301">
        <v>120.44</v>
      </c>
      <c r="BF362" s="1301">
        <v>123.5</v>
      </c>
      <c r="BG362" s="1301">
        <v>126.54</v>
      </c>
      <c r="BH362" s="1301">
        <v>129.54</v>
      </c>
      <c r="BI362" s="1301">
        <v>132.51</v>
      </c>
      <c r="BJ362" s="1301">
        <v>135.46</v>
      </c>
      <c r="BK362" s="1302">
        <v>138.37</v>
      </c>
      <c r="BL362" s="1300">
        <v>141.26</v>
      </c>
      <c r="BM362" s="1301">
        <v>144.12</v>
      </c>
      <c r="BN362" s="1301">
        <v>146.94999999999999</v>
      </c>
      <c r="BO362" s="1301">
        <v>149.75</v>
      </c>
      <c r="BP362" s="1301">
        <v>152.52000000000001</v>
      </c>
      <c r="BQ362" s="1301">
        <v>155.27000000000001</v>
      </c>
      <c r="BR362" s="1301">
        <v>157.99</v>
      </c>
      <c r="BS362" s="1301">
        <v>160.68</v>
      </c>
      <c r="BT362" s="1301">
        <v>163.35</v>
      </c>
      <c r="BU362" s="1302">
        <v>165.99</v>
      </c>
      <c r="BV362" s="1300">
        <v>168.6</v>
      </c>
      <c r="BW362" s="1301">
        <v>171.19</v>
      </c>
      <c r="BX362" s="1301">
        <v>173.75</v>
      </c>
      <c r="BY362" s="1301">
        <v>176.29</v>
      </c>
      <c r="BZ362" s="1301">
        <v>178.8</v>
      </c>
      <c r="CA362" s="1301">
        <v>181.28</v>
      </c>
      <c r="CB362" s="1301">
        <v>183.75</v>
      </c>
      <c r="CC362" s="1301">
        <v>186.18</v>
      </c>
      <c r="CD362" s="1301">
        <v>188.6</v>
      </c>
      <c r="CE362" s="1302">
        <v>190.99</v>
      </c>
      <c r="CF362" s="1301">
        <v>193.35</v>
      </c>
      <c r="CG362" s="1301">
        <v>195.69</v>
      </c>
      <c r="CH362" s="1302">
        <v>198.01</v>
      </c>
    </row>
    <row r="363" spans="1:86" ht="20.149999999999999" customHeight="1">
      <c r="A363" s="1563" t="s">
        <v>1541</v>
      </c>
      <c r="B363" s="1563" t="s">
        <v>13</v>
      </c>
      <c r="C363" s="1563" t="str">
        <f t="shared" si="6"/>
        <v>PBSDDCIM47</v>
      </c>
      <c r="D363" s="1193">
        <v>47</v>
      </c>
      <c r="E363" s="1300"/>
      <c r="F363" s="1301">
        <v>1.02</v>
      </c>
      <c r="G363" s="1301">
        <v>1.58</v>
      </c>
      <c r="H363" s="1301">
        <v>2.19</v>
      </c>
      <c r="I363" s="1301">
        <v>2.85</v>
      </c>
      <c r="J363" s="1301">
        <v>3.55</v>
      </c>
      <c r="K363" s="1301">
        <v>4.3099999999999996</v>
      </c>
      <c r="L363" s="1301">
        <v>5.13</v>
      </c>
      <c r="M363" s="1302">
        <v>6.02</v>
      </c>
      <c r="N363" s="1300">
        <v>6.98</v>
      </c>
      <c r="O363" s="1301">
        <v>8.01</v>
      </c>
      <c r="P363" s="1301">
        <v>9.14</v>
      </c>
      <c r="Q363" s="1301">
        <v>10.36</v>
      </c>
      <c r="R363" s="1301">
        <v>11.69</v>
      </c>
      <c r="S363" s="1301">
        <v>12.95</v>
      </c>
      <c r="T363" s="1301">
        <v>14.3</v>
      </c>
      <c r="U363" s="1301">
        <v>15.75</v>
      </c>
      <c r="V363" s="1301">
        <v>17.309999999999999</v>
      </c>
      <c r="W363" s="1302">
        <v>18.98</v>
      </c>
      <c r="X363" s="1300">
        <v>20.77</v>
      </c>
      <c r="Y363" s="1301">
        <v>22.7</v>
      </c>
      <c r="Z363" s="1301">
        <v>24.77</v>
      </c>
      <c r="AA363" s="1301">
        <v>26.98</v>
      </c>
      <c r="AB363" s="1301">
        <v>29.34</v>
      </c>
      <c r="AC363" s="1301">
        <v>31.84</v>
      </c>
      <c r="AD363" s="1301">
        <v>34.49</v>
      </c>
      <c r="AE363" s="1301">
        <v>37.29</v>
      </c>
      <c r="AF363" s="1301">
        <v>40.24</v>
      </c>
      <c r="AG363" s="1302">
        <v>43.33</v>
      </c>
      <c r="AH363" s="1300">
        <v>46.57</v>
      </c>
      <c r="AI363" s="1301">
        <v>49.94</v>
      </c>
      <c r="AJ363" s="1301">
        <v>53.44</v>
      </c>
      <c r="AK363" s="1301">
        <v>57.33</v>
      </c>
      <c r="AL363" s="1301">
        <v>61.19</v>
      </c>
      <c r="AM363" s="1301">
        <v>65</v>
      </c>
      <c r="AN363" s="1301">
        <v>68.78</v>
      </c>
      <c r="AO363" s="1301">
        <v>72.52</v>
      </c>
      <c r="AP363" s="1301">
        <v>76.22</v>
      </c>
      <c r="AQ363" s="1302">
        <v>79.89</v>
      </c>
      <c r="AR363" s="1300">
        <v>83.52</v>
      </c>
      <c r="AS363" s="1301">
        <v>87.12</v>
      </c>
      <c r="AT363" s="1301">
        <v>90.67</v>
      </c>
      <c r="AU363" s="1301">
        <v>94.2</v>
      </c>
      <c r="AV363" s="1301">
        <v>97.69</v>
      </c>
      <c r="AW363" s="1301">
        <v>101.14</v>
      </c>
      <c r="AX363" s="1301">
        <v>104.56</v>
      </c>
      <c r="AY363" s="1301">
        <v>107.95</v>
      </c>
      <c r="AZ363" s="1301">
        <v>111.3</v>
      </c>
      <c r="BA363" s="1302">
        <v>114.62</v>
      </c>
      <c r="BB363" s="1300">
        <v>117.91</v>
      </c>
      <c r="BC363" s="1301">
        <v>121.16</v>
      </c>
      <c r="BD363" s="1301">
        <v>124.38</v>
      </c>
      <c r="BE363" s="1301">
        <v>127.57</v>
      </c>
      <c r="BF363" s="1301">
        <v>130.72999999999999</v>
      </c>
      <c r="BG363" s="1301">
        <v>133.86000000000001</v>
      </c>
      <c r="BH363" s="1301">
        <v>136.94999999999999</v>
      </c>
      <c r="BI363" s="1301">
        <v>140.02000000000001</v>
      </c>
      <c r="BJ363" s="1301">
        <v>143.05000000000001</v>
      </c>
      <c r="BK363" s="1302">
        <v>146.06</v>
      </c>
      <c r="BL363" s="1300">
        <v>149.03</v>
      </c>
      <c r="BM363" s="1301">
        <v>151.97999999999999</v>
      </c>
      <c r="BN363" s="1301">
        <v>154.9</v>
      </c>
      <c r="BO363" s="1301">
        <v>157.78</v>
      </c>
      <c r="BP363" s="1301">
        <v>160.63999999999999</v>
      </c>
      <c r="BQ363" s="1301">
        <v>163.47</v>
      </c>
      <c r="BR363" s="1301">
        <v>166.28</v>
      </c>
      <c r="BS363" s="1301">
        <v>169.05</v>
      </c>
      <c r="BT363" s="1301">
        <v>171.8</v>
      </c>
      <c r="BU363" s="1302">
        <v>174.52</v>
      </c>
      <c r="BV363" s="1300">
        <v>177.21</v>
      </c>
      <c r="BW363" s="1301">
        <v>179.88</v>
      </c>
      <c r="BX363" s="1301">
        <v>182.52</v>
      </c>
      <c r="BY363" s="1301">
        <v>185.14</v>
      </c>
      <c r="BZ363" s="1301">
        <v>187.72</v>
      </c>
      <c r="CA363" s="1301">
        <v>190.29</v>
      </c>
      <c r="CB363" s="1301">
        <v>192.82</v>
      </c>
      <c r="CC363" s="1301">
        <v>195.34</v>
      </c>
      <c r="CD363" s="1301">
        <v>197.82</v>
      </c>
      <c r="CE363" s="1302">
        <v>200.29</v>
      </c>
      <c r="CF363" s="1301">
        <v>202.73</v>
      </c>
      <c r="CG363" s="1301">
        <v>205.14</v>
      </c>
      <c r="CH363" s="1302">
        <v>207.53</v>
      </c>
    </row>
    <row r="364" spans="1:86" ht="20.149999999999999" customHeight="1">
      <c r="A364" s="1563" t="s">
        <v>1541</v>
      </c>
      <c r="B364" s="1563" t="s">
        <v>13</v>
      </c>
      <c r="C364" s="1563" t="str">
        <f t="shared" si="6"/>
        <v>PBSDDCIM48</v>
      </c>
      <c r="D364" s="1193">
        <v>48</v>
      </c>
      <c r="E364" s="1300"/>
      <c r="F364" s="1301">
        <v>1.1000000000000001</v>
      </c>
      <c r="G364" s="1301">
        <v>1.71</v>
      </c>
      <c r="H364" s="1301">
        <v>2.36</v>
      </c>
      <c r="I364" s="1301">
        <v>3.07</v>
      </c>
      <c r="J364" s="1301">
        <v>3.83</v>
      </c>
      <c r="K364" s="1301">
        <v>4.66</v>
      </c>
      <c r="L364" s="1301">
        <v>5.54</v>
      </c>
      <c r="M364" s="1302">
        <v>6.51</v>
      </c>
      <c r="N364" s="1300">
        <v>7.55</v>
      </c>
      <c r="O364" s="1301">
        <v>8.67</v>
      </c>
      <c r="P364" s="1301">
        <v>9.9</v>
      </c>
      <c r="Q364" s="1301">
        <v>11.24</v>
      </c>
      <c r="R364" s="1301">
        <v>12.7</v>
      </c>
      <c r="S364" s="1301">
        <v>14.09</v>
      </c>
      <c r="T364" s="1301">
        <v>15.59</v>
      </c>
      <c r="U364" s="1301">
        <v>17.190000000000001</v>
      </c>
      <c r="V364" s="1301">
        <v>18.91</v>
      </c>
      <c r="W364" s="1302">
        <v>20.77</v>
      </c>
      <c r="X364" s="1300">
        <v>22.76</v>
      </c>
      <c r="Y364" s="1301">
        <v>24.89</v>
      </c>
      <c r="Z364" s="1301">
        <v>27.18</v>
      </c>
      <c r="AA364" s="1301">
        <v>29.62</v>
      </c>
      <c r="AB364" s="1301">
        <v>32.200000000000003</v>
      </c>
      <c r="AC364" s="1301">
        <v>34.950000000000003</v>
      </c>
      <c r="AD364" s="1301">
        <v>37.85</v>
      </c>
      <c r="AE364" s="1301">
        <v>40.9</v>
      </c>
      <c r="AF364" s="1301">
        <v>44.11</v>
      </c>
      <c r="AG364" s="1302">
        <v>47.47</v>
      </c>
      <c r="AH364" s="1300">
        <v>50.98</v>
      </c>
      <c r="AI364" s="1301">
        <v>54.61</v>
      </c>
      <c r="AJ364" s="1301">
        <v>58.66</v>
      </c>
      <c r="AK364" s="1301">
        <v>62.68</v>
      </c>
      <c r="AL364" s="1301">
        <v>66.650000000000006</v>
      </c>
      <c r="AM364" s="1301">
        <v>70.59</v>
      </c>
      <c r="AN364" s="1301">
        <v>74.489999999999995</v>
      </c>
      <c r="AO364" s="1301">
        <v>78.349999999999994</v>
      </c>
      <c r="AP364" s="1301">
        <v>82.17</v>
      </c>
      <c r="AQ364" s="1302">
        <v>85.95</v>
      </c>
      <c r="AR364" s="1300">
        <v>89.69</v>
      </c>
      <c r="AS364" s="1301">
        <v>93.4</v>
      </c>
      <c r="AT364" s="1301">
        <v>97.07</v>
      </c>
      <c r="AU364" s="1301">
        <v>100.71</v>
      </c>
      <c r="AV364" s="1301">
        <v>104.31</v>
      </c>
      <c r="AW364" s="1301">
        <v>107.87</v>
      </c>
      <c r="AX364" s="1301">
        <v>111.4</v>
      </c>
      <c r="AY364" s="1301">
        <v>114.89</v>
      </c>
      <c r="AZ364" s="1301">
        <v>118.35</v>
      </c>
      <c r="BA364" s="1302">
        <v>121.78</v>
      </c>
      <c r="BB364" s="1300">
        <v>125.17</v>
      </c>
      <c r="BC364" s="1301">
        <v>128.52000000000001</v>
      </c>
      <c r="BD364" s="1301">
        <v>131.85</v>
      </c>
      <c r="BE364" s="1301">
        <v>135.13999999999999</v>
      </c>
      <c r="BF364" s="1301">
        <v>138.4</v>
      </c>
      <c r="BG364" s="1301">
        <v>141.62</v>
      </c>
      <c r="BH364" s="1301">
        <v>144.82</v>
      </c>
      <c r="BI364" s="1301">
        <v>147.97999999999999</v>
      </c>
      <c r="BJ364" s="1301">
        <v>151.11000000000001</v>
      </c>
      <c r="BK364" s="1302">
        <v>154.21</v>
      </c>
      <c r="BL364" s="1300">
        <v>157.28</v>
      </c>
      <c r="BM364" s="1301">
        <v>160.32</v>
      </c>
      <c r="BN364" s="1301">
        <v>163.33000000000001</v>
      </c>
      <c r="BO364" s="1301">
        <v>166.31</v>
      </c>
      <c r="BP364" s="1301">
        <v>169.26</v>
      </c>
      <c r="BQ364" s="1301">
        <v>172.18</v>
      </c>
      <c r="BR364" s="1301">
        <v>175.07</v>
      </c>
      <c r="BS364" s="1301">
        <v>177.93</v>
      </c>
      <c r="BT364" s="1301">
        <v>180.76</v>
      </c>
      <c r="BU364" s="1302">
        <v>183.57</v>
      </c>
      <c r="BV364" s="1300">
        <v>186.35</v>
      </c>
      <c r="BW364" s="1301">
        <v>189.1</v>
      </c>
      <c r="BX364" s="1301">
        <v>191.82</v>
      </c>
      <c r="BY364" s="1301">
        <v>194.52</v>
      </c>
      <c r="BZ364" s="1301">
        <v>197.19</v>
      </c>
      <c r="CA364" s="1301">
        <v>199.84</v>
      </c>
      <c r="CB364" s="1301">
        <v>202.45</v>
      </c>
      <c r="CC364" s="1301">
        <v>205.05</v>
      </c>
      <c r="CD364" s="1301">
        <v>207.61</v>
      </c>
      <c r="CE364" s="1302">
        <v>210.15</v>
      </c>
      <c r="CF364" s="1301">
        <v>212.67</v>
      </c>
      <c r="CG364" s="1301">
        <v>215.16</v>
      </c>
      <c r="CH364" s="1302">
        <v>217.62</v>
      </c>
    </row>
    <row r="365" spans="1:86" ht="20.149999999999999" customHeight="1">
      <c r="A365" s="1563" t="s">
        <v>1541</v>
      </c>
      <c r="B365" s="1563" t="s">
        <v>13</v>
      </c>
      <c r="C365" s="1563" t="str">
        <f t="shared" si="6"/>
        <v>PBSDDCIM49</v>
      </c>
      <c r="D365" s="1193">
        <v>49</v>
      </c>
      <c r="E365" s="1300"/>
      <c r="F365" s="1301">
        <v>1.18</v>
      </c>
      <c r="G365" s="1301">
        <v>1.84</v>
      </c>
      <c r="H365" s="1301">
        <v>2.5499999999999998</v>
      </c>
      <c r="I365" s="1301">
        <v>3.31</v>
      </c>
      <c r="J365" s="1301">
        <v>4.1399999999999997</v>
      </c>
      <c r="K365" s="1301">
        <v>5.03</v>
      </c>
      <c r="L365" s="1301">
        <v>6</v>
      </c>
      <c r="M365" s="1302">
        <v>7.04</v>
      </c>
      <c r="N365" s="1300">
        <v>8.17</v>
      </c>
      <c r="O365" s="1301">
        <v>9.41</v>
      </c>
      <c r="P365" s="1301">
        <v>10.75</v>
      </c>
      <c r="Q365" s="1301">
        <v>12.22</v>
      </c>
      <c r="R365" s="1301">
        <v>13.84</v>
      </c>
      <c r="S365" s="1301">
        <v>15.37</v>
      </c>
      <c r="T365" s="1301">
        <v>17.03</v>
      </c>
      <c r="U365" s="1301">
        <v>18.809999999999999</v>
      </c>
      <c r="V365" s="1301">
        <v>20.72</v>
      </c>
      <c r="W365" s="1302">
        <v>22.78</v>
      </c>
      <c r="X365" s="1300">
        <v>24.98</v>
      </c>
      <c r="Y365" s="1301">
        <v>27.35</v>
      </c>
      <c r="Z365" s="1301">
        <v>29.87</v>
      </c>
      <c r="AA365" s="1301">
        <v>32.549999999999997</v>
      </c>
      <c r="AB365" s="1301">
        <v>35.39</v>
      </c>
      <c r="AC365" s="1301">
        <v>38.39</v>
      </c>
      <c r="AD365" s="1301">
        <v>41.56</v>
      </c>
      <c r="AE365" s="1301">
        <v>44.9</v>
      </c>
      <c r="AF365" s="1301">
        <v>48.38</v>
      </c>
      <c r="AG365" s="1302">
        <v>52.02</v>
      </c>
      <c r="AH365" s="1300">
        <v>55.8</v>
      </c>
      <c r="AI365" s="1301">
        <v>60.03</v>
      </c>
      <c r="AJ365" s="1301">
        <v>64.209999999999994</v>
      </c>
      <c r="AK365" s="1301">
        <v>68.36</v>
      </c>
      <c r="AL365" s="1301">
        <v>72.459999999999994</v>
      </c>
      <c r="AM365" s="1301">
        <v>76.53</v>
      </c>
      <c r="AN365" s="1301">
        <v>80.55</v>
      </c>
      <c r="AO365" s="1301">
        <v>84.54</v>
      </c>
      <c r="AP365" s="1301">
        <v>88.48</v>
      </c>
      <c r="AQ365" s="1302">
        <v>92.39</v>
      </c>
      <c r="AR365" s="1300">
        <v>96.25</v>
      </c>
      <c r="AS365" s="1301">
        <v>100.08</v>
      </c>
      <c r="AT365" s="1301">
        <v>103.87</v>
      </c>
      <c r="AU365" s="1301">
        <v>107.63</v>
      </c>
      <c r="AV365" s="1301">
        <v>111.34</v>
      </c>
      <c r="AW365" s="1301">
        <v>115.02</v>
      </c>
      <c r="AX365" s="1301">
        <v>118.67</v>
      </c>
      <c r="AY365" s="1301">
        <v>122.27</v>
      </c>
      <c r="AZ365" s="1301">
        <v>125.84</v>
      </c>
      <c r="BA365" s="1302">
        <v>129.38</v>
      </c>
      <c r="BB365" s="1300">
        <v>132.88</v>
      </c>
      <c r="BC365" s="1301">
        <v>136.35</v>
      </c>
      <c r="BD365" s="1301">
        <v>139.78</v>
      </c>
      <c r="BE365" s="1301">
        <v>143.18</v>
      </c>
      <c r="BF365" s="1301">
        <v>146.54</v>
      </c>
      <c r="BG365" s="1301">
        <v>149.87</v>
      </c>
      <c r="BH365" s="1301">
        <v>153.16999999999999</v>
      </c>
      <c r="BI365" s="1301">
        <v>156.43</v>
      </c>
      <c r="BJ365" s="1301">
        <v>159.66999999999999</v>
      </c>
      <c r="BK365" s="1302">
        <v>162.87</v>
      </c>
      <c r="BL365" s="1300">
        <v>166.04</v>
      </c>
      <c r="BM365" s="1301">
        <v>169.18</v>
      </c>
      <c r="BN365" s="1301">
        <v>172.28</v>
      </c>
      <c r="BO365" s="1301">
        <v>175.36</v>
      </c>
      <c r="BP365" s="1301">
        <v>178.4</v>
      </c>
      <c r="BQ365" s="1301">
        <v>181.42</v>
      </c>
      <c r="BR365" s="1301">
        <v>184.41</v>
      </c>
      <c r="BS365" s="1301">
        <v>187.36</v>
      </c>
      <c r="BT365" s="1301">
        <v>190.29</v>
      </c>
      <c r="BU365" s="1302">
        <v>193.19</v>
      </c>
      <c r="BV365" s="1300">
        <v>196.06</v>
      </c>
      <c r="BW365" s="1301">
        <v>198.9</v>
      </c>
      <c r="BX365" s="1301">
        <v>201.71</v>
      </c>
      <c r="BY365" s="1301">
        <v>204.49</v>
      </c>
      <c r="BZ365" s="1301">
        <v>207.25</v>
      </c>
      <c r="CA365" s="1301">
        <v>209.98</v>
      </c>
      <c r="CB365" s="1301">
        <v>212.68</v>
      </c>
      <c r="CC365" s="1301">
        <v>215.36</v>
      </c>
      <c r="CD365" s="1301">
        <v>218.01</v>
      </c>
      <c r="CE365" s="1302">
        <v>220.63</v>
      </c>
      <c r="CF365" s="1301">
        <v>223.23</v>
      </c>
      <c r="CG365" s="1301">
        <v>225.8</v>
      </c>
      <c r="CH365" s="1302">
        <v>228.35</v>
      </c>
    </row>
    <row r="366" spans="1:86" ht="20.149999999999999" customHeight="1">
      <c r="A366" s="1563" t="s">
        <v>1541</v>
      </c>
      <c r="B366" s="1563" t="s">
        <v>13</v>
      </c>
      <c r="C366" s="1563" t="str">
        <f t="shared" si="6"/>
        <v>PBSDDCIM50</v>
      </c>
      <c r="D366" s="1193">
        <v>50</v>
      </c>
      <c r="E366" s="1300"/>
      <c r="F366" s="1301">
        <v>1.27</v>
      </c>
      <c r="G366" s="1301">
        <v>1.99</v>
      </c>
      <c r="H366" s="1301">
        <v>2.75</v>
      </c>
      <c r="I366" s="1301">
        <v>3.58</v>
      </c>
      <c r="J366" s="1301">
        <v>4.47</v>
      </c>
      <c r="K366" s="1301">
        <v>5.44</v>
      </c>
      <c r="L366" s="1301">
        <v>6.49</v>
      </c>
      <c r="M366" s="1302">
        <v>7.63</v>
      </c>
      <c r="N366" s="1300">
        <v>8.8699999999999992</v>
      </c>
      <c r="O366" s="1301">
        <v>10.220000000000001</v>
      </c>
      <c r="P366" s="1301">
        <v>11.7</v>
      </c>
      <c r="Q366" s="1301">
        <v>13.32</v>
      </c>
      <c r="R366" s="1301">
        <v>15.11</v>
      </c>
      <c r="S366" s="1301">
        <v>16.809999999999999</v>
      </c>
      <c r="T366" s="1301">
        <v>18.649999999999999</v>
      </c>
      <c r="U366" s="1301">
        <v>20.62</v>
      </c>
      <c r="V366" s="1301">
        <v>22.75</v>
      </c>
      <c r="W366" s="1302">
        <v>25.03</v>
      </c>
      <c r="X366" s="1300">
        <v>27.48</v>
      </c>
      <c r="Y366" s="1301">
        <v>30.09</v>
      </c>
      <c r="Z366" s="1301">
        <v>32.86</v>
      </c>
      <c r="AA366" s="1301">
        <v>35.81</v>
      </c>
      <c r="AB366" s="1301">
        <v>38.93</v>
      </c>
      <c r="AC366" s="1301">
        <v>42.21</v>
      </c>
      <c r="AD366" s="1301">
        <v>45.67</v>
      </c>
      <c r="AE366" s="1301">
        <v>49.3</v>
      </c>
      <c r="AF366" s="1301">
        <v>53.08</v>
      </c>
      <c r="AG366" s="1302">
        <v>57</v>
      </c>
      <c r="AH366" s="1300">
        <v>61.42</v>
      </c>
      <c r="AI366" s="1301">
        <v>65.790000000000006</v>
      </c>
      <c r="AJ366" s="1301">
        <v>70.12</v>
      </c>
      <c r="AK366" s="1301">
        <v>74.400000000000006</v>
      </c>
      <c r="AL366" s="1301">
        <v>78.650000000000006</v>
      </c>
      <c r="AM366" s="1301">
        <v>82.85</v>
      </c>
      <c r="AN366" s="1301">
        <v>87.01</v>
      </c>
      <c r="AO366" s="1301">
        <v>91.12</v>
      </c>
      <c r="AP366" s="1301">
        <v>95.2</v>
      </c>
      <c r="AQ366" s="1302">
        <v>99.24</v>
      </c>
      <c r="AR366" s="1300">
        <v>103.23</v>
      </c>
      <c r="AS366" s="1301">
        <v>107.19</v>
      </c>
      <c r="AT366" s="1301">
        <v>111.11</v>
      </c>
      <c r="AU366" s="1301">
        <v>114.99</v>
      </c>
      <c r="AV366" s="1301">
        <v>118.83</v>
      </c>
      <c r="AW366" s="1301">
        <v>122.63</v>
      </c>
      <c r="AX366" s="1301">
        <v>126.4</v>
      </c>
      <c r="AY366" s="1301">
        <v>130.12</v>
      </c>
      <c r="AZ366" s="1301">
        <v>133.82</v>
      </c>
      <c r="BA366" s="1302">
        <v>137.47</v>
      </c>
      <c r="BB366" s="1300">
        <v>141.09</v>
      </c>
      <c r="BC366" s="1301">
        <v>144.66999999999999</v>
      </c>
      <c r="BD366" s="1301">
        <v>148.22</v>
      </c>
      <c r="BE366" s="1301">
        <v>151.72999999999999</v>
      </c>
      <c r="BF366" s="1301">
        <v>155.21</v>
      </c>
      <c r="BG366" s="1301">
        <v>158.65</v>
      </c>
      <c r="BH366" s="1301">
        <v>162.06</v>
      </c>
      <c r="BI366" s="1301">
        <v>165.43</v>
      </c>
      <c r="BJ366" s="1301">
        <v>168.77</v>
      </c>
      <c r="BK366" s="1302">
        <v>172.08</v>
      </c>
      <c r="BL366" s="1300">
        <v>175.36</v>
      </c>
      <c r="BM366" s="1301">
        <v>178.6</v>
      </c>
      <c r="BN366" s="1301">
        <v>181.81</v>
      </c>
      <c r="BO366" s="1301">
        <v>184.99</v>
      </c>
      <c r="BP366" s="1301">
        <v>188.14</v>
      </c>
      <c r="BQ366" s="1301">
        <v>191.25</v>
      </c>
      <c r="BR366" s="1301">
        <v>194.34</v>
      </c>
      <c r="BS366" s="1301">
        <v>197.4</v>
      </c>
      <c r="BT366" s="1301">
        <v>200.42</v>
      </c>
      <c r="BU366" s="1302">
        <v>203.42</v>
      </c>
      <c r="BV366" s="1300">
        <v>206.38</v>
      </c>
      <c r="BW366" s="1301">
        <v>209.32</v>
      </c>
      <c r="BX366" s="1301">
        <v>212.22</v>
      </c>
      <c r="BY366" s="1301">
        <v>215.1</v>
      </c>
      <c r="BZ366" s="1301">
        <v>217.95</v>
      </c>
      <c r="CA366" s="1301">
        <v>220.77</v>
      </c>
      <c r="CB366" s="1301">
        <v>223.57</v>
      </c>
      <c r="CC366" s="1301">
        <v>226.33</v>
      </c>
      <c r="CD366" s="1301">
        <v>229.07</v>
      </c>
      <c r="CE366" s="1302">
        <v>231.78</v>
      </c>
      <c r="CF366" s="1301">
        <v>234.47</v>
      </c>
      <c r="CG366" s="1301">
        <v>237.12</v>
      </c>
      <c r="CH366" s="1302">
        <v>239.76</v>
      </c>
    </row>
    <row r="367" spans="1:86" ht="20.149999999999999" customHeight="1">
      <c r="A367" s="1563" t="s">
        <v>1541</v>
      </c>
      <c r="B367" s="1563" t="s">
        <v>13</v>
      </c>
      <c r="C367" s="1563" t="str">
        <f t="shared" si="6"/>
        <v>PBSDDCIM51</v>
      </c>
      <c r="D367" s="1194">
        <v>51</v>
      </c>
      <c r="E367" s="1303"/>
      <c r="F367" s="1304">
        <v>1.37</v>
      </c>
      <c r="G367" s="1304">
        <v>2.14</v>
      </c>
      <c r="H367" s="1304">
        <v>2.97</v>
      </c>
      <c r="I367" s="1304">
        <v>3.87</v>
      </c>
      <c r="J367" s="1304">
        <v>4.84</v>
      </c>
      <c r="K367" s="1304">
        <v>5.9</v>
      </c>
      <c r="L367" s="1304">
        <v>7.04</v>
      </c>
      <c r="M367" s="1305">
        <v>8.2799999999999994</v>
      </c>
      <c r="N367" s="1303">
        <v>9.64</v>
      </c>
      <c r="O367" s="1304">
        <v>11.13</v>
      </c>
      <c r="P367" s="1304">
        <v>12.77</v>
      </c>
      <c r="Q367" s="1304">
        <v>14.56</v>
      </c>
      <c r="R367" s="1304">
        <v>16.54</v>
      </c>
      <c r="S367" s="1304">
        <v>18.440000000000001</v>
      </c>
      <c r="T367" s="1304">
        <v>20.48</v>
      </c>
      <c r="U367" s="1304">
        <v>22.68</v>
      </c>
      <c r="V367" s="1304">
        <v>25.04</v>
      </c>
      <c r="W367" s="1305">
        <v>27.57</v>
      </c>
      <c r="X367" s="1303">
        <v>30.27</v>
      </c>
      <c r="Y367" s="1304">
        <v>33.15</v>
      </c>
      <c r="Z367" s="1304">
        <v>36.200000000000003</v>
      </c>
      <c r="AA367" s="1304">
        <v>39.44</v>
      </c>
      <c r="AB367" s="1304">
        <v>42.85</v>
      </c>
      <c r="AC367" s="1304">
        <v>46.45</v>
      </c>
      <c r="AD367" s="1304">
        <v>50.21</v>
      </c>
      <c r="AE367" s="1304">
        <v>54.15</v>
      </c>
      <c r="AF367" s="1304">
        <v>58.23</v>
      </c>
      <c r="AG367" s="1305">
        <v>62.85</v>
      </c>
      <c r="AH367" s="1303">
        <v>67.41</v>
      </c>
      <c r="AI367" s="1304">
        <v>71.94</v>
      </c>
      <c r="AJ367" s="1304">
        <v>76.41</v>
      </c>
      <c r="AK367" s="1304">
        <v>80.849999999999994</v>
      </c>
      <c r="AL367" s="1304">
        <v>85.24</v>
      </c>
      <c r="AM367" s="1304">
        <v>89.58</v>
      </c>
      <c r="AN367" s="1304">
        <v>93.88</v>
      </c>
      <c r="AO367" s="1304">
        <v>98.14</v>
      </c>
      <c r="AP367" s="1304">
        <v>102.36</v>
      </c>
      <c r="AQ367" s="1305">
        <v>106.54</v>
      </c>
      <c r="AR367" s="1303">
        <v>110.67</v>
      </c>
      <c r="AS367" s="1304">
        <v>114.77</v>
      </c>
      <c r="AT367" s="1304">
        <v>118.82</v>
      </c>
      <c r="AU367" s="1304">
        <v>122.83</v>
      </c>
      <c r="AV367" s="1304">
        <v>126.81</v>
      </c>
      <c r="AW367" s="1304">
        <v>130.74</v>
      </c>
      <c r="AX367" s="1304">
        <v>134.63999999999999</v>
      </c>
      <c r="AY367" s="1304">
        <v>138.49</v>
      </c>
      <c r="AZ367" s="1304">
        <v>142.31</v>
      </c>
      <c r="BA367" s="1305">
        <v>146.09</v>
      </c>
      <c r="BB367" s="1303">
        <v>149.84</v>
      </c>
      <c r="BC367" s="1304">
        <v>153.54</v>
      </c>
      <c r="BD367" s="1304">
        <v>157.21</v>
      </c>
      <c r="BE367" s="1304">
        <v>160.85</v>
      </c>
      <c r="BF367" s="1304">
        <v>164.44</v>
      </c>
      <c r="BG367" s="1304">
        <v>168</v>
      </c>
      <c r="BH367" s="1304">
        <v>171.53</v>
      </c>
      <c r="BI367" s="1304">
        <v>175.02</v>
      </c>
      <c r="BJ367" s="1304">
        <v>178.48</v>
      </c>
      <c r="BK367" s="1305">
        <v>181.9</v>
      </c>
      <c r="BL367" s="1303">
        <v>185.29</v>
      </c>
      <c r="BM367" s="1304">
        <v>188.65</v>
      </c>
      <c r="BN367" s="1304">
        <v>191.97</v>
      </c>
      <c r="BO367" s="1304">
        <v>195.26</v>
      </c>
      <c r="BP367" s="1304">
        <v>198.51</v>
      </c>
      <c r="BQ367" s="1304">
        <v>201.74</v>
      </c>
      <c r="BR367" s="1304">
        <v>204.93</v>
      </c>
      <c r="BS367" s="1304">
        <v>208.09</v>
      </c>
      <c r="BT367" s="1304">
        <v>211.22</v>
      </c>
      <c r="BU367" s="1305">
        <v>214.32</v>
      </c>
      <c r="BV367" s="1303">
        <v>217.39</v>
      </c>
      <c r="BW367" s="1304">
        <v>220.42</v>
      </c>
      <c r="BX367" s="1304">
        <v>223.43</v>
      </c>
      <c r="BY367" s="1304">
        <v>226.41</v>
      </c>
      <c r="BZ367" s="1304">
        <v>229.36</v>
      </c>
      <c r="CA367" s="1304">
        <v>232.28</v>
      </c>
      <c r="CB367" s="1304">
        <v>235.17</v>
      </c>
      <c r="CC367" s="1304">
        <v>238.03</v>
      </c>
      <c r="CD367" s="1304">
        <v>240.86</v>
      </c>
      <c r="CE367" s="1305">
        <v>243.66</v>
      </c>
      <c r="CF367" s="1304">
        <v>246.44</v>
      </c>
      <c r="CG367" s="1304">
        <v>249.19</v>
      </c>
      <c r="CH367" s="1305">
        <v>251.91</v>
      </c>
    </row>
    <row r="368" spans="1:86" ht="20.149999999999999" customHeight="1">
      <c r="A368" s="1563" t="s">
        <v>1541</v>
      </c>
      <c r="B368" s="1563" t="s">
        <v>13</v>
      </c>
      <c r="C368" s="1563" t="str">
        <f t="shared" si="6"/>
        <v>PBSDDCIM52</v>
      </c>
      <c r="D368" s="1193">
        <v>52</v>
      </c>
      <c r="E368" s="1300"/>
      <c r="F368" s="1301">
        <v>1.49</v>
      </c>
      <c r="G368" s="1301">
        <v>2.3199999999999998</v>
      </c>
      <c r="H368" s="1301">
        <v>3.22</v>
      </c>
      <c r="I368" s="1301">
        <v>4.1900000000000004</v>
      </c>
      <c r="J368" s="1301">
        <v>5.25</v>
      </c>
      <c r="K368" s="1301">
        <v>6.4</v>
      </c>
      <c r="L368" s="1301">
        <v>7.65</v>
      </c>
      <c r="M368" s="1302">
        <v>9.02</v>
      </c>
      <c r="N368" s="1300">
        <v>10.51</v>
      </c>
      <c r="O368" s="1301">
        <v>12.16</v>
      </c>
      <c r="P368" s="1301">
        <v>13.97</v>
      </c>
      <c r="Q368" s="1301">
        <v>15.97</v>
      </c>
      <c r="R368" s="1301">
        <v>18.170000000000002</v>
      </c>
      <c r="S368" s="1301">
        <v>20.28</v>
      </c>
      <c r="T368" s="1301">
        <v>22.55</v>
      </c>
      <c r="U368" s="1301">
        <v>24.99</v>
      </c>
      <c r="V368" s="1301">
        <v>27.62</v>
      </c>
      <c r="W368" s="1302">
        <v>30.42</v>
      </c>
      <c r="X368" s="1300">
        <v>33.4</v>
      </c>
      <c r="Y368" s="1301">
        <v>36.57</v>
      </c>
      <c r="Z368" s="1301">
        <v>39.93</v>
      </c>
      <c r="AA368" s="1301">
        <v>43.47</v>
      </c>
      <c r="AB368" s="1301">
        <v>47.21</v>
      </c>
      <c r="AC368" s="1301">
        <v>51.13</v>
      </c>
      <c r="AD368" s="1301">
        <v>55.22</v>
      </c>
      <c r="AE368" s="1301">
        <v>59.48</v>
      </c>
      <c r="AF368" s="1301">
        <v>64.31</v>
      </c>
      <c r="AG368" s="1302">
        <v>69.08</v>
      </c>
      <c r="AH368" s="1300">
        <v>73.81</v>
      </c>
      <c r="AI368" s="1301">
        <v>78.5</v>
      </c>
      <c r="AJ368" s="1301">
        <v>83.13</v>
      </c>
      <c r="AK368" s="1301">
        <v>87.73</v>
      </c>
      <c r="AL368" s="1301">
        <v>92.27</v>
      </c>
      <c r="AM368" s="1301">
        <v>96.77</v>
      </c>
      <c r="AN368" s="1301">
        <v>101.23</v>
      </c>
      <c r="AO368" s="1301">
        <v>105.64</v>
      </c>
      <c r="AP368" s="1301">
        <v>110.01</v>
      </c>
      <c r="AQ368" s="1302">
        <v>114.33</v>
      </c>
      <c r="AR368" s="1300">
        <v>118.62</v>
      </c>
      <c r="AS368" s="1301">
        <v>122.86</v>
      </c>
      <c r="AT368" s="1301">
        <v>127.05</v>
      </c>
      <c r="AU368" s="1301">
        <v>131.21</v>
      </c>
      <c r="AV368" s="1301">
        <v>135.33000000000001</v>
      </c>
      <c r="AW368" s="1301">
        <v>139.4</v>
      </c>
      <c r="AX368" s="1301">
        <v>143.43</v>
      </c>
      <c r="AY368" s="1301">
        <v>147.43</v>
      </c>
      <c r="AZ368" s="1301">
        <v>151.38</v>
      </c>
      <c r="BA368" s="1302">
        <v>155.30000000000001</v>
      </c>
      <c r="BB368" s="1300">
        <v>159.18</v>
      </c>
      <c r="BC368" s="1301">
        <v>163.01</v>
      </c>
      <c r="BD368" s="1301">
        <v>166.81</v>
      </c>
      <c r="BE368" s="1301">
        <v>170.58</v>
      </c>
      <c r="BF368" s="1301">
        <v>174.3</v>
      </c>
      <c r="BG368" s="1301">
        <v>177.99</v>
      </c>
      <c r="BH368" s="1301">
        <v>181.64</v>
      </c>
      <c r="BI368" s="1301">
        <v>185.26</v>
      </c>
      <c r="BJ368" s="1301">
        <v>188.84</v>
      </c>
      <c r="BK368" s="1302">
        <v>192.38</v>
      </c>
      <c r="BL368" s="1300">
        <v>195.89</v>
      </c>
      <c r="BM368" s="1301">
        <v>199.37</v>
      </c>
      <c r="BN368" s="1301">
        <v>202.81</v>
      </c>
      <c r="BO368" s="1301">
        <v>206.22</v>
      </c>
      <c r="BP368" s="1301">
        <v>209.59</v>
      </c>
      <c r="BQ368" s="1301">
        <v>212.93</v>
      </c>
      <c r="BR368" s="1301">
        <v>216.23</v>
      </c>
      <c r="BS368" s="1301">
        <v>219.51</v>
      </c>
      <c r="BT368" s="1301">
        <v>222.75</v>
      </c>
      <c r="BU368" s="1302">
        <v>225.96</v>
      </c>
      <c r="BV368" s="1300">
        <v>229.13</v>
      </c>
      <c r="BW368" s="1301">
        <v>232.28</v>
      </c>
      <c r="BX368" s="1301">
        <v>235.39</v>
      </c>
      <c r="BY368" s="1301">
        <v>238.48</v>
      </c>
      <c r="BZ368" s="1301">
        <v>241.53</v>
      </c>
      <c r="CA368" s="1301">
        <v>244.55</v>
      </c>
      <c r="CB368" s="1301">
        <v>247.55</v>
      </c>
      <c r="CC368" s="1301">
        <v>250.51</v>
      </c>
      <c r="CD368" s="1301">
        <v>253.44</v>
      </c>
      <c r="CE368" s="1302">
        <v>256.35000000000002</v>
      </c>
      <c r="CF368" s="1301">
        <v>259.23</v>
      </c>
      <c r="CG368" s="1301">
        <v>262.07</v>
      </c>
      <c r="CH368" s="1302">
        <v>264.89</v>
      </c>
    </row>
    <row r="369" spans="1:86" ht="20.149999999999999" customHeight="1">
      <c r="A369" s="1563" t="s">
        <v>1541</v>
      </c>
      <c r="B369" s="1563" t="s">
        <v>13</v>
      </c>
      <c r="C369" s="1563" t="str">
        <f t="shared" si="6"/>
        <v>PBSDDCIM53</v>
      </c>
      <c r="D369" s="1193">
        <v>53</v>
      </c>
      <c r="E369" s="1300"/>
      <c r="F369" s="1301">
        <v>1.61</v>
      </c>
      <c r="G369" s="1301">
        <v>2.5099999999999998</v>
      </c>
      <c r="H369" s="1301">
        <v>3.49</v>
      </c>
      <c r="I369" s="1301">
        <v>4.55</v>
      </c>
      <c r="J369" s="1301">
        <v>5.7</v>
      </c>
      <c r="K369" s="1301">
        <v>6.96</v>
      </c>
      <c r="L369" s="1301">
        <v>8.34</v>
      </c>
      <c r="M369" s="1302">
        <v>9.84</v>
      </c>
      <c r="N369" s="1300">
        <v>11.5</v>
      </c>
      <c r="O369" s="1301">
        <v>13.33</v>
      </c>
      <c r="P369" s="1301">
        <v>15.34</v>
      </c>
      <c r="Q369" s="1301">
        <v>17.559999999999999</v>
      </c>
      <c r="R369" s="1301">
        <v>20.010000000000002</v>
      </c>
      <c r="S369" s="1301">
        <v>22.36</v>
      </c>
      <c r="T369" s="1301">
        <v>24.9</v>
      </c>
      <c r="U369" s="1301">
        <v>27.61</v>
      </c>
      <c r="V369" s="1301">
        <v>30.52</v>
      </c>
      <c r="W369" s="1302">
        <v>33.61</v>
      </c>
      <c r="X369" s="1300">
        <v>36.9</v>
      </c>
      <c r="Y369" s="1301">
        <v>40.39</v>
      </c>
      <c r="Z369" s="1301">
        <v>44.08</v>
      </c>
      <c r="AA369" s="1301">
        <v>47.96</v>
      </c>
      <c r="AB369" s="1301">
        <v>52.04</v>
      </c>
      <c r="AC369" s="1301">
        <v>56.31</v>
      </c>
      <c r="AD369" s="1301">
        <v>60.75</v>
      </c>
      <c r="AE369" s="1301">
        <v>65.8</v>
      </c>
      <c r="AF369" s="1301">
        <v>70.8</v>
      </c>
      <c r="AG369" s="1302">
        <v>75.760000000000005</v>
      </c>
      <c r="AH369" s="1300">
        <v>80.66</v>
      </c>
      <c r="AI369" s="1301">
        <v>85.52</v>
      </c>
      <c r="AJ369" s="1301">
        <v>90.32</v>
      </c>
      <c r="AK369" s="1301">
        <v>95.08</v>
      </c>
      <c r="AL369" s="1301">
        <v>99.8</v>
      </c>
      <c r="AM369" s="1301">
        <v>104.46</v>
      </c>
      <c r="AN369" s="1301">
        <v>109.08</v>
      </c>
      <c r="AO369" s="1301">
        <v>113.66</v>
      </c>
      <c r="AP369" s="1301">
        <v>118.19</v>
      </c>
      <c r="AQ369" s="1302">
        <v>122.67</v>
      </c>
      <c r="AR369" s="1300">
        <v>127.11</v>
      </c>
      <c r="AS369" s="1301">
        <v>131.51</v>
      </c>
      <c r="AT369" s="1301">
        <v>135.86000000000001</v>
      </c>
      <c r="AU369" s="1301">
        <v>140.16999999999999</v>
      </c>
      <c r="AV369" s="1301">
        <v>144.44</v>
      </c>
      <c r="AW369" s="1301">
        <v>148.66</v>
      </c>
      <c r="AX369" s="1301">
        <v>152.84</v>
      </c>
      <c r="AY369" s="1301">
        <v>156.97999999999999</v>
      </c>
      <c r="AZ369" s="1301">
        <v>161.08000000000001</v>
      </c>
      <c r="BA369" s="1302">
        <v>165.14</v>
      </c>
      <c r="BB369" s="1300">
        <v>169.16</v>
      </c>
      <c r="BC369" s="1301">
        <v>173.14</v>
      </c>
      <c r="BD369" s="1301">
        <v>177.08</v>
      </c>
      <c r="BE369" s="1301">
        <v>180.98</v>
      </c>
      <c r="BF369" s="1301">
        <v>184.85</v>
      </c>
      <c r="BG369" s="1301">
        <v>188.67</v>
      </c>
      <c r="BH369" s="1301">
        <v>192.46</v>
      </c>
      <c r="BI369" s="1301">
        <v>196.21</v>
      </c>
      <c r="BJ369" s="1301">
        <v>199.92</v>
      </c>
      <c r="BK369" s="1302">
        <v>203.59</v>
      </c>
      <c r="BL369" s="1300">
        <v>207.23</v>
      </c>
      <c r="BM369" s="1301">
        <v>210.84</v>
      </c>
      <c r="BN369" s="1301">
        <v>214.4</v>
      </c>
      <c r="BO369" s="1301">
        <v>217.93</v>
      </c>
      <c r="BP369" s="1301">
        <v>221.43</v>
      </c>
      <c r="BQ369" s="1301">
        <v>224.89</v>
      </c>
      <c r="BR369" s="1301">
        <v>228.32</v>
      </c>
      <c r="BS369" s="1301">
        <v>231.72</v>
      </c>
      <c r="BT369" s="1301">
        <v>235.08</v>
      </c>
      <c r="BU369" s="1302">
        <v>238.4</v>
      </c>
      <c r="BV369" s="1300">
        <v>241.7</v>
      </c>
      <c r="BW369" s="1301">
        <v>244.96</v>
      </c>
      <c r="BX369" s="1301">
        <v>248.19</v>
      </c>
      <c r="BY369" s="1301">
        <v>251.38</v>
      </c>
      <c r="BZ369" s="1301">
        <v>254.55</v>
      </c>
      <c r="CA369" s="1301">
        <v>257.68</v>
      </c>
      <c r="CB369" s="1301">
        <v>260.79000000000002</v>
      </c>
      <c r="CC369" s="1301">
        <v>263.86</v>
      </c>
      <c r="CD369" s="1301">
        <v>266.89999999999998</v>
      </c>
      <c r="CE369" s="1302">
        <v>269.91000000000003</v>
      </c>
      <c r="CF369" s="1301">
        <v>272.89999999999998</v>
      </c>
      <c r="CG369" s="1301">
        <v>275.85000000000002</v>
      </c>
      <c r="CH369" s="1302">
        <v>278.77</v>
      </c>
    </row>
    <row r="370" spans="1:86" ht="20.149999999999999" customHeight="1">
      <c r="A370" s="1563" t="s">
        <v>1541</v>
      </c>
      <c r="B370" s="1563" t="s">
        <v>13</v>
      </c>
      <c r="C370" s="1563" t="str">
        <f t="shared" si="6"/>
        <v>PBSDDCIM54</v>
      </c>
      <c r="D370" s="1193">
        <v>54</v>
      </c>
      <c r="E370" s="1300"/>
      <c r="F370" s="1301">
        <v>1.74</v>
      </c>
      <c r="G370" s="1301">
        <v>2.73</v>
      </c>
      <c r="H370" s="1301">
        <v>3.79</v>
      </c>
      <c r="I370" s="1301">
        <v>4.95</v>
      </c>
      <c r="J370" s="1301">
        <v>6.21</v>
      </c>
      <c r="K370" s="1301">
        <v>7.59</v>
      </c>
      <c r="L370" s="1301">
        <v>9.11</v>
      </c>
      <c r="M370" s="1302">
        <v>10.78</v>
      </c>
      <c r="N370" s="1300">
        <v>12.62</v>
      </c>
      <c r="O370" s="1301">
        <v>14.65</v>
      </c>
      <c r="P370" s="1301">
        <v>16.89</v>
      </c>
      <c r="Q370" s="1301">
        <v>19.37</v>
      </c>
      <c r="R370" s="1301">
        <v>22.11</v>
      </c>
      <c r="S370" s="1301">
        <v>24.73</v>
      </c>
      <c r="T370" s="1301">
        <v>27.55</v>
      </c>
      <c r="U370" s="1301">
        <v>30.56</v>
      </c>
      <c r="V370" s="1301">
        <v>33.770000000000003</v>
      </c>
      <c r="W370" s="1302">
        <v>37.19</v>
      </c>
      <c r="X370" s="1300">
        <v>40.81</v>
      </c>
      <c r="Y370" s="1301">
        <v>44.65</v>
      </c>
      <c r="Z370" s="1301">
        <v>48.69</v>
      </c>
      <c r="AA370" s="1301">
        <v>52.94</v>
      </c>
      <c r="AB370" s="1301">
        <v>57.39</v>
      </c>
      <c r="AC370" s="1301">
        <v>62.02</v>
      </c>
      <c r="AD370" s="1301">
        <v>67.319999999999993</v>
      </c>
      <c r="AE370" s="1301">
        <v>72.56</v>
      </c>
      <c r="AF370" s="1301">
        <v>77.760000000000005</v>
      </c>
      <c r="AG370" s="1302">
        <v>82.9</v>
      </c>
      <c r="AH370" s="1300">
        <v>87.99</v>
      </c>
      <c r="AI370" s="1301">
        <v>93.03</v>
      </c>
      <c r="AJ370" s="1301">
        <v>98.02</v>
      </c>
      <c r="AK370" s="1301">
        <v>102.96</v>
      </c>
      <c r="AL370" s="1301">
        <v>107.85</v>
      </c>
      <c r="AM370" s="1301">
        <v>112.7</v>
      </c>
      <c r="AN370" s="1301">
        <v>117.49</v>
      </c>
      <c r="AO370" s="1301">
        <v>122.24</v>
      </c>
      <c r="AP370" s="1301">
        <v>126.94</v>
      </c>
      <c r="AQ370" s="1302">
        <v>131.6</v>
      </c>
      <c r="AR370" s="1300">
        <v>136.19999999999999</v>
      </c>
      <c r="AS370" s="1301">
        <v>140.77000000000001</v>
      </c>
      <c r="AT370" s="1301">
        <v>145.28</v>
      </c>
      <c r="AU370" s="1301">
        <v>149.76</v>
      </c>
      <c r="AV370" s="1301">
        <v>154.19</v>
      </c>
      <c r="AW370" s="1301">
        <v>158.57</v>
      </c>
      <c r="AX370" s="1301">
        <v>162.91</v>
      </c>
      <c r="AY370" s="1301">
        <v>167.21</v>
      </c>
      <c r="AZ370" s="1301">
        <v>171.47</v>
      </c>
      <c r="BA370" s="1302">
        <v>175.68</v>
      </c>
      <c r="BB370" s="1300">
        <v>179.85</v>
      </c>
      <c r="BC370" s="1301">
        <v>183.98</v>
      </c>
      <c r="BD370" s="1301">
        <v>188.07</v>
      </c>
      <c r="BE370" s="1301">
        <v>192.12</v>
      </c>
      <c r="BF370" s="1301">
        <v>196.13</v>
      </c>
      <c r="BG370" s="1301">
        <v>200.1</v>
      </c>
      <c r="BH370" s="1301">
        <v>204.03</v>
      </c>
      <c r="BI370" s="1301">
        <v>207.92</v>
      </c>
      <c r="BJ370" s="1301">
        <v>211.78</v>
      </c>
      <c r="BK370" s="1302">
        <v>215.59</v>
      </c>
      <c r="BL370" s="1300">
        <v>219.37</v>
      </c>
      <c r="BM370" s="1301">
        <v>223.11</v>
      </c>
      <c r="BN370" s="1301">
        <v>226.81</v>
      </c>
      <c r="BO370" s="1301">
        <v>230.48</v>
      </c>
      <c r="BP370" s="1301">
        <v>234.11</v>
      </c>
      <c r="BQ370" s="1301">
        <v>237.7</v>
      </c>
      <c r="BR370" s="1301">
        <v>241.26</v>
      </c>
      <c r="BS370" s="1301">
        <v>244.78</v>
      </c>
      <c r="BT370" s="1301">
        <v>248.27</v>
      </c>
      <c r="BU370" s="1302">
        <v>251.72</v>
      </c>
      <c r="BV370" s="1300">
        <v>255.14</v>
      </c>
      <c r="BW370" s="1301">
        <v>258.52999999999997</v>
      </c>
      <c r="BX370" s="1301">
        <v>261.88</v>
      </c>
      <c r="BY370" s="1301">
        <v>265.2</v>
      </c>
      <c r="BZ370" s="1301">
        <v>268.48</v>
      </c>
      <c r="CA370" s="1301">
        <v>271.73</v>
      </c>
      <c r="CB370" s="1301">
        <v>274.95999999999998</v>
      </c>
      <c r="CC370" s="1301">
        <v>278.14999999999998</v>
      </c>
      <c r="CD370" s="1301">
        <v>281.3</v>
      </c>
      <c r="CE370" s="1302">
        <v>284.43</v>
      </c>
      <c r="CF370" s="1301">
        <v>287.52</v>
      </c>
      <c r="CG370" s="1301">
        <v>290.58999999999997</v>
      </c>
      <c r="CH370" s="1302">
        <v>293.62</v>
      </c>
    </row>
    <row r="371" spans="1:86" ht="20.149999999999999" customHeight="1">
      <c r="A371" s="1563" t="s">
        <v>1541</v>
      </c>
      <c r="B371" s="1563" t="s">
        <v>13</v>
      </c>
      <c r="C371" s="1563" t="str">
        <f t="shared" si="6"/>
        <v>PBSDDCIM55</v>
      </c>
      <c r="D371" s="1195">
        <v>55</v>
      </c>
      <c r="E371" s="1306"/>
      <c r="F371" s="1307">
        <v>1.89</v>
      </c>
      <c r="G371" s="1307">
        <v>2.96</v>
      </c>
      <c r="H371" s="1307">
        <v>4.12</v>
      </c>
      <c r="I371" s="1307">
        <v>5.39</v>
      </c>
      <c r="J371" s="1307">
        <v>6.78</v>
      </c>
      <c r="K371" s="1307">
        <v>8.31</v>
      </c>
      <c r="L371" s="1307">
        <v>9.99</v>
      </c>
      <c r="M371" s="1308">
        <v>11.85</v>
      </c>
      <c r="N371" s="1306">
        <v>13.9</v>
      </c>
      <c r="O371" s="1307">
        <v>16.16</v>
      </c>
      <c r="P371" s="1307">
        <v>18.670000000000002</v>
      </c>
      <c r="Q371" s="1307">
        <v>21.43</v>
      </c>
      <c r="R371" s="1307">
        <v>24.49</v>
      </c>
      <c r="S371" s="1307">
        <v>27.41</v>
      </c>
      <c r="T371" s="1307">
        <v>30.54</v>
      </c>
      <c r="U371" s="1307">
        <v>33.869999999999997</v>
      </c>
      <c r="V371" s="1307">
        <v>37.42</v>
      </c>
      <c r="W371" s="1308">
        <v>41.19</v>
      </c>
      <c r="X371" s="1306">
        <v>45.18</v>
      </c>
      <c r="Y371" s="1307">
        <v>49.4</v>
      </c>
      <c r="Z371" s="1307">
        <v>53.83</v>
      </c>
      <c r="AA371" s="1307">
        <v>58.47</v>
      </c>
      <c r="AB371" s="1307">
        <v>63.3</v>
      </c>
      <c r="AC371" s="1307">
        <v>68.86</v>
      </c>
      <c r="AD371" s="1307">
        <v>74.37</v>
      </c>
      <c r="AE371" s="1307">
        <v>79.819999999999993</v>
      </c>
      <c r="AF371" s="1307">
        <v>85.22</v>
      </c>
      <c r="AG371" s="1308">
        <v>90.56</v>
      </c>
      <c r="AH371" s="1306">
        <v>95.85</v>
      </c>
      <c r="AI371" s="1307">
        <v>101.09</v>
      </c>
      <c r="AJ371" s="1307">
        <v>106.27</v>
      </c>
      <c r="AK371" s="1307">
        <v>111.41</v>
      </c>
      <c r="AL371" s="1307">
        <v>116.49</v>
      </c>
      <c r="AM371" s="1307">
        <v>121.53</v>
      </c>
      <c r="AN371" s="1307">
        <v>126.51</v>
      </c>
      <c r="AO371" s="1307">
        <v>131.44</v>
      </c>
      <c r="AP371" s="1307">
        <v>136.33000000000001</v>
      </c>
      <c r="AQ371" s="1308">
        <v>141.16999999999999</v>
      </c>
      <c r="AR371" s="1306">
        <v>145.96</v>
      </c>
      <c r="AS371" s="1307">
        <v>150.69999999999999</v>
      </c>
      <c r="AT371" s="1307">
        <v>155.38999999999999</v>
      </c>
      <c r="AU371" s="1307">
        <v>160.04</v>
      </c>
      <c r="AV371" s="1307">
        <v>164.64</v>
      </c>
      <c r="AW371" s="1307">
        <v>169.2</v>
      </c>
      <c r="AX371" s="1307">
        <v>173.71</v>
      </c>
      <c r="AY371" s="1307">
        <v>178.18</v>
      </c>
      <c r="AZ371" s="1307">
        <v>182.6</v>
      </c>
      <c r="BA371" s="1308">
        <v>186.98</v>
      </c>
      <c r="BB371" s="1306">
        <v>191.32</v>
      </c>
      <c r="BC371" s="1307">
        <v>195.61</v>
      </c>
      <c r="BD371" s="1307">
        <v>199.86</v>
      </c>
      <c r="BE371" s="1307">
        <v>204.07</v>
      </c>
      <c r="BF371" s="1307">
        <v>208.24</v>
      </c>
      <c r="BG371" s="1307">
        <v>212.36</v>
      </c>
      <c r="BH371" s="1307">
        <v>216.44</v>
      </c>
      <c r="BI371" s="1307">
        <v>220.49</v>
      </c>
      <c r="BJ371" s="1307">
        <v>224.49</v>
      </c>
      <c r="BK371" s="1308">
        <v>228.46</v>
      </c>
      <c r="BL371" s="1306">
        <v>232.38</v>
      </c>
      <c r="BM371" s="1307">
        <v>236.27</v>
      </c>
      <c r="BN371" s="1307">
        <v>240.12</v>
      </c>
      <c r="BO371" s="1307">
        <v>243.93</v>
      </c>
      <c r="BP371" s="1307">
        <v>247.7</v>
      </c>
      <c r="BQ371" s="1307">
        <v>251.43</v>
      </c>
      <c r="BR371" s="1307">
        <v>255.13</v>
      </c>
      <c r="BS371" s="1307">
        <v>258.79000000000002</v>
      </c>
      <c r="BT371" s="1307">
        <v>262.42</v>
      </c>
      <c r="BU371" s="1308">
        <v>266</v>
      </c>
      <c r="BV371" s="1306">
        <v>269.56</v>
      </c>
      <c r="BW371" s="1307">
        <v>273.08</v>
      </c>
      <c r="BX371" s="1307">
        <v>276.56</v>
      </c>
      <c r="BY371" s="1307">
        <v>280.01</v>
      </c>
      <c r="BZ371" s="1307">
        <v>283.42</v>
      </c>
      <c r="CA371" s="1307">
        <v>286.8</v>
      </c>
      <c r="CB371" s="1307">
        <v>290.14999999999998</v>
      </c>
      <c r="CC371" s="1307">
        <v>293.45999999999998</v>
      </c>
      <c r="CD371" s="1307">
        <v>296.75</v>
      </c>
      <c r="CE371" s="1308">
        <v>299.99</v>
      </c>
      <c r="CF371" s="1307">
        <v>303.20999999999998</v>
      </c>
      <c r="CG371" s="1307">
        <v>306.39999999999998</v>
      </c>
      <c r="CH371" s="1308">
        <v>309.55</v>
      </c>
    </row>
    <row r="372" spans="1:86" ht="20.149999999999999" customHeight="1">
      <c r="A372" s="1563" t="s">
        <v>1541</v>
      </c>
      <c r="B372" s="1563" t="s">
        <v>13</v>
      </c>
      <c r="C372" s="1563" t="str">
        <f t="shared" si="6"/>
        <v>PBSDDCIM56</v>
      </c>
      <c r="D372" s="1193">
        <v>56</v>
      </c>
      <c r="E372" s="1300"/>
      <c r="F372" s="1301">
        <v>2.06</v>
      </c>
      <c r="G372" s="1301">
        <v>3.22</v>
      </c>
      <c r="H372" s="1301">
        <v>4.5</v>
      </c>
      <c r="I372" s="1301">
        <v>5.9</v>
      </c>
      <c r="J372" s="1301">
        <v>7.44</v>
      </c>
      <c r="K372" s="1301">
        <v>9.1300000000000008</v>
      </c>
      <c r="L372" s="1301">
        <v>11</v>
      </c>
      <c r="M372" s="1302">
        <v>13.07</v>
      </c>
      <c r="N372" s="1300">
        <v>15.36</v>
      </c>
      <c r="O372" s="1301">
        <v>17.89</v>
      </c>
      <c r="P372" s="1301">
        <v>20.7</v>
      </c>
      <c r="Q372" s="1301">
        <v>23.79</v>
      </c>
      <c r="R372" s="1301">
        <v>27.2</v>
      </c>
      <c r="S372" s="1301">
        <v>30.44</v>
      </c>
      <c r="T372" s="1301">
        <v>33.909999999999997</v>
      </c>
      <c r="U372" s="1301">
        <v>37.6</v>
      </c>
      <c r="V372" s="1301">
        <v>41.52</v>
      </c>
      <c r="W372" s="1302">
        <v>45.68</v>
      </c>
      <c r="X372" s="1300">
        <v>50.07</v>
      </c>
      <c r="Y372" s="1301">
        <v>54.69</v>
      </c>
      <c r="Z372" s="1301">
        <v>59.54</v>
      </c>
      <c r="AA372" s="1301">
        <v>64.59</v>
      </c>
      <c r="AB372" s="1301">
        <v>70.430000000000007</v>
      </c>
      <c r="AC372" s="1301">
        <v>76.22</v>
      </c>
      <c r="AD372" s="1301">
        <v>81.95</v>
      </c>
      <c r="AE372" s="1301">
        <v>87.62</v>
      </c>
      <c r="AF372" s="1301">
        <v>93.24</v>
      </c>
      <c r="AG372" s="1302">
        <v>98.8</v>
      </c>
      <c r="AH372" s="1300">
        <v>104.3</v>
      </c>
      <c r="AI372" s="1301">
        <v>109.75</v>
      </c>
      <c r="AJ372" s="1301">
        <v>115.15</v>
      </c>
      <c r="AK372" s="1301">
        <v>120.49</v>
      </c>
      <c r="AL372" s="1301">
        <v>125.78</v>
      </c>
      <c r="AM372" s="1301">
        <v>131.02000000000001</v>
      </c>
      <c r="AN372" s="1301">
        <v>136.19999999999999</v>
      </c>
      <c r="AO372" s="1301">
        <v>141.34</v>
      </c>
      <c r="AP372" s="1301">
        <v>146.41999999999999</v>
      </c>
      <c r="AQ372" s="1302">
        <v>151.44999999999999</v>
      </c>
      <c r="AR372" s="1300">
        <v>156.44</v>
      </c>
      <c r="AS372" s="1301">
        <v>161.37</v>
      </c>
      <c r="AT372" s="1301">
        <v>166.26</v>
      </c>
      <c r="AU372" s="1301">
        <v>171.09</v>
      </c>
      <c r="AV372" s="1301">
        <v>175.88</v>
      </c>
      <c r="AW372" s="1301">
        <v>180.62</v>
      </c>
      <c r="AX372" s="1301">
        <v>185.32</v>
      </c>
      <c r="AY372" s="1301">
        <v>189.97</v>
      </c>
      <c r="AZ372" s="1301">
        <v>194.57</v>
      </c>
      <c r="BA372" s="1302">
        <v>199.13</v>
      </c>
      <c r="BB372" s="1300">
        <v>203.64</v>
      </c>
      <c r="BC372" s="1301">
        <v>208.1</v>
      </c>
      <c r="BD372" s="1301">
        <v>212.53</v>
      </c>
      <c r="BE372" s="1301">
        <v>216.91</v>
      </c>
      <c r="BF372" s="1301">
        <v>221.24</v>
      </c>
      <c r="BG372" s="1301">
        <v>225.53</v>
      </c>
      <c r="BH372" s="1301">
        <v>229.78</v>
      </c>
      <c r="BI372" s="1301">
        <v>233.99</v>
      </c>
      <c r="BJ372" s="1301">
        <v>238.16</v>
      </c>
      <c r="BK372" s="1302">
        <v>242.28</v>
      </c>
      <c r="BL372" s="1300">
        <v>246.37</v>
      </c>
      <c r="BM372" s="1301">
        <v>250.41</v>
      </c>
      <c r="BN372" s="1301">
        <v>254.41</v>
      </c>
      <c r="BO372" s="1301">
        <v>258.38</v>
      </c>
      <c r="BP372" s="1301">
        <v>262.3</v>
      </c>
      <c r="BQ372" s="1301">
        <v>266.19</v>
      </c>
      <c r="BR372" s="1301">
        <v>270.04000000000002</v>
      </c>
      <c r="BS372" s="1301">
        <v>273.85000000000002</v>
      </c>
      <c r="BT372" s="1301">
        <v>277.62</v>
      </c>
      <c r="BU372" s="1302">
        <v>281.35000000000002</v>
      </c>
      <c r="BV372" s="1300">
        <v>285.05</v>
      </c>
      <c r="BW372" s="1301">
        <v>288.70999999999998</v>
      </c>
      <c r="BX372" s="1301">
        <v>292.33</v>
      </c>
      <c r="BY372" s="1301">
        <v>295.92</v>
      </c>
      <c r="BZ372" s="1301">
        <v>299.48</v>
      </c>
      <c r="CA372" s="1301">
        <v>302.99</v>
      </c>
      <c r="CB372" s="1301">
        <v>306.48</v>
      </c>
      <c r="CC372" s="1301">
        <v>309.93</v>
      </c>
      <c r="CD372" s="1301">
        <v>313.33999999999997</v>
      </c>
      <c r="CE372" s="1302">
        <v>316.72000000000003</v>
      </c>
      <c r="CF372" s="1301">
        <v>320.07</v>
      </c>
      <c r="CG372" s="1301">
        <v>323.38</v>
      </c>
      <c r="CH372" s="1302">
        <v>326.66000000000003</v>
      </c>
    </row>
    <row r="373" spans="1:86" ht="20.149999999999999" customHeight="1">
      <c r="A373" s="1563" t="s">
        <v>1541</v>
      </c>
      <c r="B373" s="1563" t="s">
        <v>13</v>
      </c>
      <c r="C373" s="1563" t="str">
        <f t="shared" si="6"/>
        <v>PBSDDCIM57</v>
      </c>
      <c r="D373" s="1193">
        <v>57</v>
      </c>
      <c r="E373" s="1300"/>
      <c r="F373" s="1301">
        <v>2.2400000000000002</v>
      </c>
      <c r="G373" s="1301">
        <v>3.52</v>
      </c>
      <c r="H373" s="1301">
        <v>4.93</v>
      </c>
      <c r="I373" s="1301">
        <v>6.48</v>
      </c>
      <c r="J373" s="1301">
        <v>8.19</v>
      </c>
      <c r="K373" s="1301">
        <v>10.08</v>
      </c>
      <c r="L373" s="1301">
        <v>12.17</v>
      </c>
      <c r="M373" s="1302">
        <v>14.48</v>
      </c>
      <c r="N373" s="1300">
        <v>17.04</v>
      </c>
      <c r="O373" s="1301">
        <v>19.88</v>
      </c>
      <c r="P373" s="1301">
        <v>23.01</v>
      </c>
      <c r="Q373" s="1301">
        <v>26.47</v>
      </c>
      <c r="R373" s="1301">
        <v>30.27</v>
      </c>
      <c r="S373" s="1301">
        <v>33.869999999999997</v>
      </c>
      <c r="T373" s="1301">
        <v>37.71</v>
      </c>
      <c r="U373" s="1301">
        <v>41.79</v>
      </c>
      <c r="V373" s="1301">
        <v>46.12</v>
      </c>
      <c r="W373" s="1302">
        <v>50.7</v>
      </c>
      <c r="X373" s="1300">
        <v>55.53</v>
      </c>
      <c r="Y373" s="1301">
        <v>60.59</v>
      </c>
      <c r="Z373" s="1301">
        <v>65.87</v>
      </c>
      <c r="AA373" s="1301">
        <v>72.02</v>
      </c>
      <c r="AB373" s="1301">
        <v>78.11</v>
      </c>
      <c r="AC373" s="1301">
        <v>84.14</v>
      </c>
      <c r="AD373" s="1301">
        <v>90.11</v>
      </c>
      <c r="AE373" s="1301">
        <v>96.02</v>
      </c>
      <c r="AF373" s="1301">
        <v>101.87</v>
      </c>
      <c r="AG373" s="1302">
        <v>107.66</v>
      </c>
      <c r="AH373" s="1300">
        <v>113.4</v>
      </c>
      <c r="AI373" s="1301">
        <v>119.07</v>
      </c>
      <c r="AJ373" s="1301">
        <v>124.7</v>
      </c>
      <c r="AK373" s="1301">
        <v>130.26</v>
      </c>
      <c r="AL373" s="1301">
        <v>135.77000000000001</v>
      </c>
      <c r="AM373" s="1301">
        <v>141.22999999999999</v>
      </c>
      <c r="AN373" s="1301">
        <v>146.63</v>
      </c>
      <c r="AO373" s="1301">
        <v>151.97999999999999</v>
      </c>
      <c r="AP373" s="1301">
        <v>157.28</v>
      </c>
      <c r="AQ373" s="1302">
        <v>162.52000000000001</v>
      </c>
      <c r="AR373" s="1300">
        <v>167.72</v>
      </c>
      <c r="AS373" s="1301">
        <v>172.86</v>
      </c>
      <c r="AT373" s="1301">
        <v>177.95</v>
      </c>
      <c r="AU373" s="1301">
        <v>182.99</v>
      </c>
      <c r="AV373" s="1301">
        <v>187.98</v>
      </c>
      <c r="AW373" s="1301">
        <v>192.92</v>
      </c>
      <c r="AX373" s="1301">
        <v>197.81</v>
      </c>
      <c r="AY373" s="1301">
        <v>202.65</v>
      </c>
      <c r="AZ373" s="1301">
        <v>207.45</v>
      </c>
      <c r="BA373" s="1302">
        <v>212.19</v>
      </c>
      <c r="BB373" s="1300">
        <v>216.89</v>
      </c>
      <c r="BC373" s="1301">
        <v>221.55</v>
      </c>
      <c r="BD373" s="1301">
        <v>226.16</v>
      </c>
      <c r="BE373" s="1301">
        <v>230.72</v>
      </c>
      <c r="BF373" s="1301">
        <v>235.23</v>
      </c>
      <c r="BG373" s="1301">
        <v>239.71</v>
      </c>
      <c r="BH373" s="1301">
        <v>244.13</v>
      </c>
      <c r="BI373" s="1301">
        <v>248.52</v>
      </c>
      <c r="BJ373" s="1301">
        <v>252.86</v>
      </c>
      <c r="BK373" s="1302">
        <v>257.16000000000003</v>
      </c>
      <c r="BL373" s="1300">
        <v>261.41000000000003</v>
      </c>
      <c r="BM373" s="1301">
        <v>265.63</v>
      </c>
      <c r="BN373" s="1301">
        <v>269.8</v>
      </c>
      <c r="BO373" s="1301">
        <v>273.93</v>
      </c>
      <c r="BP373" s="1301">
        <v>278.02</v>
      </c>
      <c r="BQ373" s="1301">
        <v>282.07</v>
      </c>
      <c r="BR373" s="1301">
        <v>286.07</v>
      </c>
      <c r="BS373" s="1301">
        <v>290.04000000000002</v>
      </c>
      <c r="BT373" s="1301">
        <v>293.97000000000003</v>
      </c>
      <c r="BU373" s="1302">
        <v>297.86</v>
      </c>
      <c r="BV373" s="1300">
        <v>301.72000000000003</v>
      </c>
      <c r="BW373" s="1301">
        <v>305.52999999999997</v>
      </c>
      <c r="BX373" s="1301">
        <v>309.31</v>
      </c>
      <c r="BY373" s="1301">
        <v>313.04000000000002</v>
      </c>
      <c r="BZ373" s="1301">
        <v>316.75</v>
      </c>
      <c r="CA373" s="1301">
        <v>320.41000000000003</v>
      </c>
      <c r="CB373" s="1301">
        <v>324.04000000000002</v>
      </c>
      <c r="CC373" s="1301">
        <v>327.63</v>
      </c>
      <c r="CD373" s="1301">
        <v>331.19</v>
      </c>
      <c r="CE373" s="1302">
        <v>334.71</v>
      </c>
      <c r="CF373" s="1301">
        <v>338.2</v>
      </c>
      <c r="CG373" s="1301">
        <v>341.65</v>
      </c>
      <c r="CH373" s="1302">
        <v>345.07</v>
      </c>
    </row>
    <row r="374" spans="1:86" ht="20.149999999999999" customHeight="1">
      <c r="A374" s="1563" t="s">
        <v>1541</v>
      </c>
      <c r="B374" s="1563" t="s">
        <v>13</v>
      </c>
      <c r="C374" s="1563" t="str">
        <f t="shared" si="6"/>
        <v>PBSDDCIM58</v>
      </c>
      <c r="D374" s="1193">
        <v>58</v>
      </c>
      <c r="E374" s="1300"/>
      <c r="F374" s="1301">
        <v>2.46</v>
      </c>
      <c r="G374" s="1301">
        <v>3.88</v>
      </c>
      <c r="H374" s="1301">
        <v>5.44</v>
      </c>
      <c r="I374" s="1301">
        <v>7.16</v>
      </c>
      <c r="J374" s="1301">
        <v>9.07</v>
      </c>
      <c r="K374" s="1301">
        <v>11.18</v>
      </c>
      <c r="L374" s="1301">
        <v>13.51</v>
      </c>
      <c r="M374" s="1302">
        <v>16.11</v>
      </c>
      <c r="N374" s="1300">
        <v>18.98</v>
      </c>
      <c r="O374" s="1301">
        <v>22.15</v>
      </c>
      <c r="P374" s="1301">
        <v>25.66</v>
      </c>
      <c r="Q374" s="1301">
        <v>29.52</v>
      </c>
      <c r="R374" s="1301">
        <v>33.74</v>
      </c>
      <c r="S374" s="1301">
        <v>37.729999999999997</v>
      </c>
      <c r="T374" s="1301">
        <v>41.98</v>
      </c>
      <c r="U374" s="1301">
        <v>46.5</v>
      </c>
      <c r="V374" s="1301">
        <v>51.28</v>
      </c>
      <c r="W374" s="1302">
        <v>56.32</v>
      </c>
      <c r="X374" s="1300">
        <v>61.62</v>
      </c>
      <c r="Y374" s="1301">
        <v>67.150000000000006</v>
      </c>
      <c r="Z374" s="1301">
        <v>73.63</v>
      </c>
      <c r="AA374" s="1301">
        <v>80.040000000000006</v>
      </c>
      <c r="AB374" s="1301">
        <v>86.39</v>
      </c>
      <c r="AC374" s="1301">
        <v>92.68</v>
      </c>
      <c r="AD374" s="1301">
        <v>98.91</v>
      </c>
      <c r="AE374" s="1301">
        <v>105.07</v>
      </c>
      <c r="AF374" s="1301">
        <v>111.18</v>
      </c>
      <c r="AG374" s="1302">
        <v>117.22</v>
      </c>
      <c r="AH374" s="1300">
        <v>123.21</v>
      </c>
      <c r="AI374" s="1301">
        <v>129.13</v>
      </c>
      <c r="AJ374" s="1301">
        <v>135</v>
      </c>
      <c r="AK374" s="1301">
        <v>140.81</v>
      </c>
      <c r="AL374" s="1301">
        <v>146.56</v>
      </c>
      <c r="AM374" s="1301">
        <v>152.25</v>
      </c>
      <c r="AN374" s="1301">
        <v>157.88999999999999</v>
      </c>
      <c r="AO374" s="1301">
        <v>163.47</v>
      </c>
      <c r="AP374" s="1301">
        <v>168.99</v>
      </c>
      <c r="AQ374" s="1302">
        <v>174.46</v>
      </c>
      <c r="AR374" s="1300">
        <v>179.88</v>
      </c>
      <c r="AS374" s="1301">
        <v>185.25</v>
      </c>
      <c r="AT374" s="1301">
        <v>190.56</v>
      </c>
      <c r="AU374" s="1301">
        <v>195.81</v>
      </c>
      <c r="AV374" s="1301">
        <v>201.02</v>
      </c>
      <c r="AW374" s="1301">
        <v>206.17</v>
      </c>
      <c r="AX374" s="1301">
        <v>211.28</v>
      </c>
      <c r="AY374" s="1301">
        <v>216.33</v>
      </c>
      <c r="AZ374" s="1301">
        <v>221.33</v>
      </c>
      <c r="BA374" s="1302">
        <v>226.29</v>
      </c>
      <c r="BB374" s="1300">
        <v>231.19</v>
      </c>
      <c r="BC374" s="1301">
        <v>236.04</v>
      </c>
      <c r="BD374" s="1301">
        <v>240.85</v>
      </c>
      <c r="BE374" s="1301">
        <v>245.61</v>
      </c>
      <c r="BF374" s="1301">
        <v>250.32</v>
      </c>
      <c r="BG374" s="1301">
        <v>254.99</v>
      </c>
      <c r="BH374" s="1301">
        <v>259.61</v>
      </c>
      <c r="BI374" s="1301">
        <v>264.18</v>
      </c>
      <c r="BJ374" s="1301">
        <v>268.70999999999998</v>
      </c>
      <c r="BK374" s="1302">
        <v>273.2</v>
      </c>
      <c r="BL374" s="1300">
        <v>277.64</v>
      </c>
      <c r="BM374" s="1301">
        <v>282.02999999999997</v>
      </c>
      <c r="BN374" s="1301">
        <v>286.38</v>
      </c>
      <c r="BO374" s="1301">
        <v>290.69</v>
      </c>
      <c r="BP374" s="1301">
        <v>294.95999999999998</v>
      </c>
      <c r="BQ374" s="1301">
        <v>299.18</v>
      </c>
      <c r="BR374" s="1301">
        <v>303.37</v>
      </c>
      <c r="BS374" s="1301">
        <v>307.51</v>
      </c>
      <c r="BT374" s="1301">
        <v>311.61</v>
      </c>
      <c r="BU374" s="1302">
        <v>315.67</v>
      </c>
      <c r="BV374" s="1300">
        <v>319.69</v>
      </c>
      <c r="BW374" s="1301">
        <v>323.66000000000003</v>
      </c>
      <c r="BX374" s="1301">
        <v>327.60000000000002</v>
      </c>
      <c r="BY374" s="1301">
        <v>331.51</v>
      </c>
      <c r="BZ374" s="1301">
        <v>335.37</v>
      </c>
      <c r="CA374" s="1301">
        <v>339.19</v>
      </c>
      <c r="CB374" s="1301">
        <v>342.98</v>
      </c>
      <c r="CC374" s="1301">
        <v>346.73</v>
      </c>
      <c r="CD374" s="1301">
        <v>350.44</v>
      </c>
      <c r="CE374" s="1302">
        <v>354.11</v>
      </c>
      <c r="CF374" s="1301">
        <v>357.75</v>
      </c>
      <c r="CG374" s="1301">
        <v>361.35</v>
      </c>
      <c r="CH374" s="1302">
        <v>364.92</v>
      </c>
    </row>
    <row r="375" spans="1:86" ht="20.149999999999999" customHeight="1">
      <c r="A375" s="1563" t="s">
        <v>1541</v>
      </c>
      <c r="B375" s="1563" t="s">
        <v>13</v>
      </c>
      <c r="C375" s="1563" t="str">
        <f t="shared" si="6"/>
        <v>PBSDDCIM59</v>
      </c>
      <c r="D375" s="1193">
        <v>59</v>
      </c>
      <c r="E375" s="1300"/>
      <c r="F375" s="1301">
        <v>2.72</v>
      </c>
      <c r="G375" s="1301">
        <v>4.3</v>
      </c>
      <c r="H375" s="1301">
        <v>6.03</v>
      </c>
      <c r="I375" s="1301">
        <v>7.96</v>
      </c>
      <c r="J375" s="1301">
        <v>10.09</v>
      </c>
      <c r="K375" s="1301">
        <v>12.45</v>
      </c>
      <c r="L375" s="1301">
        <v>15.07</v>
      </c>
      <c r="M375" s="1302">
        <v>17.98</v>
      </c>
      <c r="N375" s="1300">
        <v>21.2</v>
      </c>
      <c r="O375" s="1301">
        <v>24.76</v>
      </c>
      <c r="P375" s="1301">
        <v>28.67</v>
      </c>
      <c r="Q375" s="1301">
        <v>32.96</v>
      </c>
      <c r="R375" s="1301">
        <v>37.659999999999997</v>
      </c>
      <c r="S375" s="1301">
        <v>42.09</v>
      </c>
      <c r="T375" s="1301">
        <v>46.8</v>
      </c>
      <c r="U375" s="1301">
        <v>51.79</v>
      </c>
      <c r="V375" s="1301">
        <v>57.06</v>
      </c>
      <c r="W375" s="1302">
        <v>62.6</v>
      </c>
      <c r="X375" s="1300">
        <v>68.39</v>
      </c>
      <c r="Y375" s="1301">
        <v>75.23</v>
      </c>
      <c r="Z375" s="1301">
        <v>82</v>
      </c>
      <c r="AA375" s="1301">
        <v>88.71</v>
      </c>
      <c r="AB375" s="1301">
        <v>95.34</v>
      </c>
      <c r="AC375" s="1301">
        <v>101.91</v>
      </c>
      <c r="AD375" s="1301">
        <v>108.42</v>
      </c>
      <c r="AE375" s="1301">
        <v>114.86</v>
      </c>
      <c r="AF375" s="1301">
        <v>121.24</v>
      </c>
      <c r="AG375" s="1302">
        <v>127.55</v>
      </c>
      <c r="AH375" s="1300">
        <v>133.80000000000001</v>
      </c>
      <c r="AI375" s="1301">
        <v>139.99</v>
      </c>
      <c r="AJ375" s="1301">
        <v>146.12</v>
      </c>
      <c r="AK375" s="1301">
        <v>152.19</v>
      </c>
      <c r="AL375" s="1301">
        <v>158.19999999999999</v>
      </c>
      <c r="AM375" s="1301">
        <v>164.15</v>
      </c>
      <c r="AN375" s="1301">
        <v>170.04</v>
      </c>
      <c r="AO375" s="1301">
        <v>175.87</v>
      </c>
      <c r="AP375" s="1301">
        <v>181.64</v>
      </c>
      <c r="AQ375" s="1302">
        <v>187.36</v>
      </c>
      <c r="AR375" s="1300">
        <v>193.02</v>
      </c>
      <c r="AS375" s="1301">
        <v>198.62</v>
      </c>
      <c r="AT375" s="1301">
        <v>204.17</v>
      </c>
      <c r="AU375" s="1301">
        <v>209.66</v>
      </c>
      <c r="AV375" s="1301">
        <v>215.1</v>
      </c>
      <c r="AW375" s="1301">
        <v>220.49</v>
      </c>
      <c r="AX375" s="1301">
        <v>225.82</v>
      </c>
      <c r="AY375" s="1301">
        <v>231.1</v>
      </c>
      <c r="AZ375" s="1301">
        <v>236.33</v>
      </c>
      <c r="BA375" s="1302">
        <v>241.5</v>
      </c>
      <c r="BB375" s="1300">
        <v>246.62</v>
      </c>
      <c r="BC375" s="1301">
        <v>251.7</v>
      </c>
      <c r="BD375" s="1301">
        <v>256.72000000000003</v>
      </c>
      <c r="BE375" s="1301">
        <v>261.69</v>
      </c>
      <c r="BF375" s="1301">
        <v>266.62</v>
      </c>
      <c r="BG375" s="1301">
        <v>271.49</v>
      </c>
      <c r="BH375" s="1301">
        <v>276.32</v>
      </c>
      <c r="BI375" s="1301">
        <v>281.10000000000002</v>
      </c>
      <c r="BJ375" s="1301">
        <v>285.83</v>
      </c>
      <c r="BK375" s="1302">
        <v>290.51</v>
      </c>
      <c r="BL375" s="1300">
        <v>295.14999999999998</v>
      </c>
      <c r="BM375" s="1301">
        <v>299.75</v>
      </c>
      <c r="BN375" s="1301">
        <v>304.29000000000002</v>
      </c>
      <c r="BO375" s="1301">
        <v>308.79000000000002</v>
      </c>
      <c r="BP375" s="1301">
        <v>313.25</v>
      </c>
      <c r="BQ375" s="1301">
        <v>317.67</v>
      </c>
      <c r="BR375" s="1301">
        <v>322.02999999999997</v>
      </c>
      <c r="BS375" s="1301">
        <v>326.36</v>
      </c>
      <c r="BT375" s="1301">
        <v>330.64</v>
      </c>
      <c r="BU375" s="1302">
        <v>334.89</v>
      </c>
      <c r="BV375" s="1300">
        <v>339.08</v>
      </c>
      <c r="BW375" s="1301">
        <v>343.24</v>
      </c>
      <c r="BX375" s="1301">
        <v>347.36</v>
      </c>
      <c r="BY375" s="1301">
        <v>351.43</v>
      </c>
      <c r="BZ375" s="1301">
        <v>355.47</v>
      </c>
      <c r="CA375" s="1301">
        <v>359.47</v>
      </c>
      <c r="CB375" s="1301">
        <v>363.42</v>
      </c>
      <c r="CC375" s="1301">
        <v>367.34</v>
      </c>
      <c r="CD375" s="1301">
        <v>371.22</v>
      </c>
      <c r="CE375" s="1302">
        <v>375.05</v>
      </c>
      <c r="CF375" s="1301">
        <v>378.86</v>
      </c>
      <c r="CG375" s="1301">
        <v>382.62</v>
      </c>
      <c r="CH375" s="1302">
        <v>386.35</v>
      </c>
    </row>
    <row r="376" spans="1:86" ht="20.149999999999999" customHeight="1">
      <c r="A376" s="1563" t="s">
        <v>1541</v>
      </c>
      <c r="B376" s="1563" t="s">
        <v>13</v>
      </c>
      <c r="C376" s="1563" t="str">
        <f t="shared" si="6"/>
        <v>PBSDDCIM60</v>
      </c>
      <c r="D376" s="1193">
        <v>60</v>
      </c>
      <c r="E376" s="1300"/>
      <c r="F376" s="1301">
        <v>3.02</v>
      </c>
      <c r="G376" s="1301">
        <v>4.7699999999999996</v>
      </c>
      <c r="H376" s="1301">
        <v>6.71</v>
      </c>
      <c r="I376" s="1301">
        <v>8.86</v>
      </c>
      <c r="J376" s="1301">
        <v>11.25</v>
      </c>
      <c r="K376" s="1301">
        <v>13.9</v>
      </c>
      <c r="L376" s="1301">
        <v>16.84</v>
      </c>
      <c r="M376" s="1302">
        <v>20.100000000000001</v>
      </c>
      <c r="N376" s="1300">
        <v>23.71</v>
      </c>
      <c r="O376" s="1301">
        <v>27.68</v>
      </c>
      <c r="P376" s="1301">
        <v>32.04</v>
      </c>
      <c r="Q376" s="1301">
        <v>36.82</v>
      </c>
      <c r="R376" s="1301">
        <v>42.04</v>
      </c>
      <c r="S376" s="1301">
        <v>46.95</v>
      </c>
      <c r="T376" s="1301">
        <v>52.16</v>
      </c>
      <c r="U376" s="1301">
        <v>57.67</v>
      </c>
      <c r="V376" s="1301">
        <v>63.47</v>
      </c>
      <c r="W376" s="1302">
        <v>69.540000000000006</v>
      </c>
      <c r="X376" s="1300">
        <v>76.77</v>
      </c>
      <c r="Y376" s="1301">
        <v>83.92</v>
      </c>
      <c r="Z376" s="1301">
        <v>91</v>
      </c>
      <c r="AA376" s="1301">
        <v>98.01</v>
      </c>
      <c r="AB376" s="1301">
        <v>104.95</v>
      </c>
      <c r="AC376" s="1301">
        <v>111.82</v>
      </c>
      <c r="AD376" s="1301">
        <v>118.63</v>
      </c>
      <c r="AE376" s="1301">
        <v>125.36</v>
      </c>
      <c r="AF376" s="1301">
        <v>132.03</v>
      </c>
      <c r="AG376" s="1302">
        <v>138.63999999999999</v>
      </c>
      <c r="AH376" s="1300">
        <v>145.18</v>
      </c>
      <c r="AI376" s="1301">
        <v>151.65</v>
      </c>
      <c r="AJ376" s="1301">
        <v>158.06</v>
      </c>
      <c r="AK376" s="1301">
        <v>164.41</v>
      </c>
      <c r="AL376" s="1301">
        <v>170.69</v>
      </c>
      <c r="AM376" s="1301">
        <v>176.92</v>
      </c>
      <c r="AN376" s="1301">
        <v>183.08</v>
      </c>
      <c r="AO376" s="1301">
        <v>189.17</v>
      </c>
      <c r="AP376" s="1301">
        <v>195.21</v>
      </c>
      <c r="AQ376" s="1302">
        <v>201.19</v>
      </c>
      <c r="AR376" s="1300">
        <v>207.11</v>
      </c>
      <c r="AS376" s="1301">
        <v>212.97</v>
      </c>
      <c r="AT376" s="1301">
        <v>218.78</v>
      </c>
      <c r="AU376" s="1301">
        <v>224.52</v>
      </c>
      <c r="AV376" s="1301">
        <v>230.21</v>
      </c>
      <c r="AW376" s="1301">
        <v>235.84</v>
      </c>
      <c r="AX376" s="1301">
        <v>241.42</v>
      </c>
      <c r="AY376" s="1301">
        <v>246.94</v>
      </c>
      <c r="AZ376" s="1301">
        <v>252.41</v>
      </c>
      <c r="BA376" s="1302">
        <v>257.82</v>
      </c>
      <c r="BB376" s="1300">
        <v>263.18</v>
      </c>
      <c r="BC376" s="1301">
        <v>268.49</v>
      </c>
      <c r="BD376" s="1301">
        <v>273.74</v>
      </c>
      <c r="BE376" s="1301">
        <v>278.94</v>
      </c>
      <c r="BF376" s="1301">
        <v>284.08999999999997</v>
      </c>
      <c r="BG376" s="1301">
        <v>289.19</v>
      </c>
      <c r="BH376" s="1301">
        <v>294.24</v>
      </c>
      <c r="BI376" s="1301">
        <v>299.24</v>
      </c>
      <c r="BJ376" s="1301">
        <v>304.19</v>
      </c>
      <c r="BK376" s="1302">
        <v>309.08999999999997</v>
      </c>
      <c r="BL376" s="1300">
        <v>313.94</v>
      </c>
      <c r="BM376" s="1301">
        <v>318.74</v>
      </c>
      <c r="BN376" s="1301">
        <v>323.5</v>
      </c>
      <c r="BO376" s="1301">
        <v>328.21</v>
      </c>
      <c r="BP376" s="1301">
        <v>332.87</v>
      </c>
      <c r="BQ376" s="1301">
        <v>337.48</v>
      </c>
      <c r="BR376" s="1301">
        <v>342.05</v>
      </c>
      <c r="BS376" s="1301">
        <v>346.58</v>
      </c>
      <c r="BT376" s="1301">
        <v>351.06</v>
      </c>
      <c r="BU376" s="1302">
        <v>355.49</v>
      </c>
      <c r="BV376" s="1300">
        <v>359.89</v>
      </c>
      <c r="BW376" s="1301">
        <v>364.24</v>
      </c>
      <c r="BX376" s="1301">
        <v>368.54</v>
      </c>
      <c r="BY376" s="1301">
        <v>372.8</v>
      </c>
      <c r="BZ376" s="1301">
        <v>377.02</v>
      </c>
      <c r="CA376" s="1301">
        <v>381.2</v>
      </c>
      <c r="CB376" s="1301">
        <v>385.34</v>
      </c>
      <c r="CC376" s="1301">
        <v>389.44</v>
      </c>
      <c r="CD376" s="1301">
        <v>393.49</v>
      </c>
      <c r="CE376" s="1302">
        <v>397.51</v>
      </c>
      <c r="CF376" s="1301">
        <v>401.48</v>
      </c>
      <c r="CG376" s="1301">
        <v>405.42</v>
      </c>
      <c r="CH376" s="1302">
        <v>409.32</v>
      </c>
    </row>
    <row r="377" spans="1:86" ht="20.149999999999999" customHeight="1">
      <c r="A377" s="1563" t="s">
        <v>1541</v>
      </c>
      <c r="B377" s="1563" t="s">
        <v>13</v>
      </c>
      <c r="C377" s="1563" t="str">
        <f t="shared" si="6"/>
        <v>PBSDDCIM61</v>
      </c>
      <c r="D377" s="1194">
        <v>61</v>
      </c>
      <c r="E377" s="1303"/>
      <c r="F377" s="1304">
        <v>3.36</v>
      </c>
      <c r="G377" s="1304">
        <v>5.31</v>
      </c>
      <c r="H377" s="1304">
        <v>7.48</v>
      </c>
      <c r="I377" s="1304">
        <v>9.89</v>
      </c>
      <c r="J377" s="1304">
        <v>12.57</v>
      </c>
      <c r="K377" s="1304">
        <v>15.54</v>
      </c>
      <c r="L377" s="1304">
        <v>18.850000000000001</v>
      </c>
      <c r="M377" s="1305">
        <v>22.5</v>
      </c>
      <c r="N377" s="1303">
        <v>26.53</v>
      </c>
      <c r="O377" s="1304">
        <v>30.95</v>
      </c>
      <c r="P377" s="1304">
        <v>35.81</v>
      </c>
      <c r="Q377" s="1304">
        <v>41.12</v>
      </c>
      <c r="R377" s="1304">
        <v>46.92</v>
      </c>
      <c r="S377" s="1304">
        <v>52.36</v>
      </c>
      <c r="T377" s="1304">
        <v>58.12</v>
      </c>
      <c r="U377" s="1304">
        <v>64.2</v>
      </c>
      <c r="V377" s="1304">
        <v>70.56</v>
      </c>
      <c r="W377" s="1305">
        <v>78.2</v>
      </c>
      <c r="X377" s="1303">
        <v>85.76</v>
      </c>
      <c r="Y377" s="1304">
        <v>93.25</v>
      </c>
      <c r="Z377" s="1304">
        <v>100.66</v>
      </c>
      <c r="AA377" s="1304">
        <v>108</v>
      </c>
      <c r="AB377" s="1304">
        <v>115.27</v>
      </c>
      <c r="AC377" s="1304">
        <v>122.47</v>
      </c>
      <c r="AD377" s="1304">
        <v>129.59</v>
      </c>
      <c r="AE377" s="1304">
        <v>136.65</v>
      </c>
      <c r="AF377" s="1304">
        <v>143.63</v>
      </c>
      <c r="AG377" s="1305">
        <v>150.55000000000001</v>
      </c>
      <c r="AH377" s="1303">
        <v>157.38999999999999</v>
      </c>
      <c r="AI377" s="1304">
        <v>164.17</v>
      </c>
      <c r="AJ377" s="1304">
        <v>170.88</v>
      </c>
      <c r="AK377" s="1304">
        <v>177.53</v>
      </c>
      <c r="AL377" s="1304">
        <v>184.11</v>
      </c>
      <c r="AM377" s="1304">
        <v>190.62</v>
      </c>
      <c r="AN377" s="1304">
        <v>197.07</v>
      </c>
      <c r="AO377" s="1304">
        <v>203.46</v>
      </c>
      <c r="AP377" s="1304">
        <v>209.78</v>
      </c>
      <c r="AQ377" s="1305">
        <v>216.04</v>
      </c>
      <c r="AR377" s="1303">
        <v>222.24</v>
      </c>
      <c r="AS377" s="1304">
        <v>228.38</v>
      </c>
      <c r="AT377" s="1304">
        <v>234.45</v>
      </c>
      <c r="AU377" s="1304">
        <v>240.47</v>
      </c>
      <c r="AV377" s="1304">
        <v>246.43</v>
      </c>
      <c r="AW377" s="1304">
        <v>252.32</v>
      </c>
      <c r="AX377" s="1304">
        <v>258.16000000000003</v>
      </c>
      <c r="AY377" s="1304">
        <v>263.94</v>
      </c>
      <c r="AZ377" s="1304">
        <v>269.67</v>
      </c>
      <c r="BA377" s="1305">
        <v>275.33</v>
      </c>
      <c r="BB377" s="1303">
        <v>280.94</v>
      </c>
      <c r="BC377" s="1304">
        <v>286.5</v>
      </c>
      <c r="BD377" s="1304">
        <v>292</v>
      </c>
      <c r="BE377" s="1304">
        <v>297.45</v>
      </c>
      <c r="BF377" s="1304">
        <v>302.83999999999997</v>
      </c>
      <c r="BG377" s="1304">
        <v>308.18</v>
      </c>
      <c r="BH377" s="1304">
        <v>313.45999999999998</v>
      </c>
      <c r="BI377" s="1304">
        <v>318.7</v>
      </c>
      <c r="BJ377" s="1304">
        <v>323.88</v>
      </c>
      <c r="BK377" s="1305">
        <v>329.01</v>
      </c>
      <c r="BL377" s="1303">
        <v>334.09</v>
      </c>
      <c r="BM377" s="1304">
        <v>339.12</v>
      </c>
      <c r="BN377" s="1304">
        <v>344.1</v>
      </c>
      <c r="BO377" s="1304">
        <v>349.03</v>
      </c>
      <c r="BP377" s="1304">
        <v>353.91</v>
      </c>
      <c r="BQ377" s="1304">
        <v>358.74</v>
      </c>
      <c r="BR377" s="1304">
        <v>363.53</v>
      </c>
      <c r="BS377" s="1304">
        <v>368.27</v>
      </c>
      <c r="BT377" s="1304">
        <v>372.96</v>
      </c>
      <c r="BU377" s="1305">
        <v>377.6</v>
      </c>
      <c r="BV377" s="1303">
        <v>382.2</v>
      </c>
      <c r="BW377" s="1304">
        <v>386.75</v>
      </c>
      <c r="BX377" s="1304">
        <v>391.26</v>
      </c>
      <c r="BY377" s="1304">
        <v>395.73</v>
      </c>
      <c r="BZ377" s="1304">
        <v>400.14</v>
      </c>
      <c r="CA377" s="1304">
        <v>404.52</v>
      </c>
      <c r="CB377" s="1304">
        <v>408.85</v>
      </c>
      <c r="CC377" s="1304">
        <v>413.14</v>
      </c>
      <c r="CD377" s="1304">
        <v>417.39</v>
      </c>
      <c r="CE377" s="1305">
        <v>421.59</v>
      </c>
      <c r="CF377" s="1304">
        <v>425.76</v>
      </c>
      <c r="CG377" s="1304">
        <v>429.88</v>
      </c>
      <c r="CH377" s="1305">
        <v>433.96</v>
      </c>
    </row>
    <row r="378" spans="1:86" ht="20.149999999999999" customHeight="1">
      <c r="A378" s="1563" t="s">
        <v>1541</v>
      </c>
      <c r="B378" s="1563" t="s">
        <v>13</v>
      </c>
      <c r="C378" s="1563" t="str">
        <f t="shared" si="6"/>
        <v>PBSDDCIM62</v>
      </c>
      <c r="D378" s="1193">
        <v>62</v>
      </c>
      <c r="E378" s="1300"/>
      <c r="F378" s="1301">
        <v>3.74</v>
      </c>
      <c r="G378" s="1301">
        <v>5.92</v>
      </c>
      <c r="H378" s="1301">
        <v>8.35</v>
      </c>
      <c r="I378" s="1301">
        <v>11.06</v>
      </c>
      <c r="J378" s="1301">
        <v>14.07</v>
      </c>
      <c r="K378" s="1301">
        <v>17.399999999999999</v>
      </c>
      <c r="L378" s="1301">
        <v>21.1</v>
      </c>
      <c r="M378" s="1302">
        <v>25.18</v>
      </c>
      <c r="N378" s="1300">
        <v>29.67</v>
      </c>
      <c r="O378" s="1301">
        <v>34.6</v>
      </c>
      <c r="P378" s="1301">
        <v>40</v>
      </c>
      <c r="Q378" s="1301">
        <v>45.91</v>
      </c>
      <c r="R378" s="1301">
        <v>52.35</v>
      </c>
      <c r="S378" s="1301">
        <v>58.38</v>
      </c>
      <c r="T378" s="1301">
        <v>64.73</v>
      </c>
      <c r="U378" s="1301">
        <v>71.41</v>
      </c>
      <c r="V378" s="1301">
        <v>79.489999999999995</v>
      </c>
      <c r="W378" s="1302">
        <v>87.5</v>
      </c>
      <c r="X378" s="1300">
        <v>95.42</v>
      </c>
      <c r="Y378" s="1301">
        <v>103.27</v>
      </c>
      <c r="Z378" s="1301">
        <v>111.04</v>
      </c>
      <c r="AA378" s="1301">
        <v>118.73</v>
      </c>
      <c r="AB378" s="1301">
        <v>126.35</v>
      </c>
      <c r="AC378" s="1301">
        <v>133.88999999999999</v>
      </c>
      <c r="AD378" s="1301">
        <v>141.36000000000001</v>
      </c>
      <c r="AE378" s="1301">
        <v>148.75</v>
      </c>
      <c r="AF378" s="1301">
        <v>156.07</v>
      </c>
      <c r="AG378" s="1302">
        <v>163.32</v>
      </c>
      <c r="AH378" s="1300">
        <v>170.5</v>
      </c>
      <c r="AI378" s="1301">
        <v>177.6</v>
      </c>
      <c r="AJ378" s="1301">
        <v>184.63</v>
      </c>
      <c r="AK378" s="1301">
        <v>191.6</v>
      </c>
      <c r="AL378" s="1301">
        <v>198.49</v>
      </c>
      <c r="AM378" s="1301">
        <v>205.32</v>
      </c>
      <c r="AN378" s="1301">
        <v>212.08</v>
      </c>
      <c r="AO378" s="1301">
        <v>218.77</v>
      </c>
      <c r="AP378" s="1301">
        <v>225.4</v>
      </c>
      <c r="AQ378" s="1302">
        <v>231.96</v>
      </c>
      <c r="AR378" s="1300">
        <v>238.46</v>
      </c>
      <c r="AS378" s="1301">
        <v>244.89</v>
      </c>
      <c r="AT378" s="1301">
        <v>251.26</v>
      </c>
      <c r="AU378" s="1301">
        <v>257.56</v>
      </c>
      <c r="AV378" s="1301">
        <v>263.8</v>
      </c>
      <c r="AW378" s="1301">
        <v>269.99</v>
      </c>
      <c r="AX378" s="1301">
        <v>276.10000000000002</v>
      </c>
      <c r="AY378" s="1301">
        <v>282.16000000000003</v>
      </c>
      <c r="AZ378" s="1301">
        <v>288.16000000000003</v>
      </c>
      <c r="BA378" s="1302">
        <v>294.10000000000002</v>
      </c>
      <c r="BB378" s="1300">
        <v>299.98</v>
      </c>
      <c r="BC378" s="1301">
        <v>305.81</v>
      </c>
      <c r="BD378" s="1301">
        <v>311.57</v>
      </c>
      <c r="BE378" s="1301">
        <v>317.27999999999997</v>
      </c>
      <c r="BF378" s="1301">
        <v>322.93</v>
      </c>
      <c r="BG378" s="1301">
        <v>328.52</v>
      </c>
      <c r="BH378" s="1301">
        <v>334.06</v>
      </c>
      <c r="BI378" s="1301">
        <v>339.55</v>
      </c>
      <c r="BJ378" s="1301">
        <v>344.98</v>
      </c>
      <c r="BK378" s="1302">
        <v>350.36</v>
      </c>
      <c r="BL378" s="1300">
        <v>355.68</v>
      </c>
      <c r="BM378" s="1301">
        <v>360.95</v>
      </c>
      <c r="BN378" s="1301">
        <v>366.17</v>
      </c>
      <c r="BO378" s="1301">
        <v>371.34</v>
      </c>
      <c r="BP378" s="1301">
        <v>376.45</v>
      </c>
      <c r="BQ378" s="1301">
        <v>381.52</v>
      </c>
      <c r="BR378" s="1301">
        <v>386.53</v>
      </c>
      <c r="BS378" s="1301">
        <v>391.5</v>
      </c>
      <c r="BT378" s="1301">
        <v>396.42</v>
      </c>
      <c r="BU378" s="1302">
        <v>401.28</v>
      </c>
      <c r="BV378" s="1300">
        <v>406.1</v>
      </c>
      <c r="BW378" s="1301">
        <v>410.88</v>
      </c>
      <c r="BX378" s="1301">
        <v>415.6</v>
      </c>
      <c r="BY378" s="1301">
        <v>420.28</v>
      </c>
      <c r="BZ378" s="1301">
        <v>424.91</v>
      </c>
      <c r="CA378" s="1301">
        <v>429.49</v>
      </c>
      <c r="CB378" s="1301">
        <v>434.03</v>
      </c>
      <c r="CC378" s="1301">
        <v>438.53</v>
      </c>
      <c r="CD378" s="1301">
        <v>442.98</v>
      </c>
      <c r="CE378" s="1302">
        <v>447.39</v>
      </c>
      <c r="CF378" s="1301">
        <v>451.75</v>
      </c>
      <c r="CG378" s="1301">
        <v>456.07</v>
      </c>
      <c r="CH378" s="1302">
        <v>460.35</v>
      </c>
    </row>
    <row r="379" spans="1:86" ht="20.149999999999999" customHeight="1">
      <c r="A379" s="1563" t="s">
        <v>1541</v>
      </c>
      <c r="B379" s="1563" t="s">
        <v>13</v>
      </c>
      <c r="C379" s="1563" t="str">
        <f t="shared" si="6"/>
        <v>PBSDDCIM63</v>
      </c>
      <c r="D379" s="1193">
        <v>63</v>
      </c>
      <c r="E379" s="1300"/>
      <c r="F379" s="1301">
        <v>4.18</v>
      </c>
      <c r="G379" s="1301">
        <v>6.62</v>
      </c>
      <c r="H379" s="1301">
        <v>9.35</v>
      </c>
      <c r="I379" s="1301">
        <v>12.38</v>
      </c>
      <c r="J379" s="1301">
        <v>15.75</v>
      </c>
      <c r="K379" s="1301">
        <v>19.489999999999998</v>
      </c>
      <c r="L379" s="1301">
        <v>23.62</v>
      </c>
      <c r="M379" s="1302">
        <v>28.16</v>
      </c>
      <c r="N379" s="1300">
        <v>33.159999999999997</v>
      </c>
      <c r="O379" s="1301">
        <v>38.65</v>
      </c>
      <c r="P379" s="1301">
        <v>44.66</v>
      </c>
      <c r="Q379" s="1301">
        <v>51.23</v>
      </c>
      <c r="R379" s="1301">
        <v>58.37</v>
      </c>
      <c r="S379" s="1301">
        <v>65.03</v>
      </c>
      <c r="T379" s="1301">
        <v>72.02</v>
      </c>
      <c r="U379" s="1301">
        <v>80.59</v>
      </c>
      <c r="V379" s="1301">
        <v>89.07</v>
      </c>
      <c r="W379" s="1302">
        <v>97.47</v>
      </c>
      <c r="X379" s="1300">
        <v>105.78</v>
      </c>
      <c r="Y379" s="1301">
        <v>114.01</v>
      </c>
      <c r="Z379" s="1301">
        <v>122.16</v>
      </c>
      <c r="AA379" s="1301">
        <v>130.22999999999999</v>
      </c>
      <c r="AB379" s="1301">
        <v>138.22</v>
      </c>
      <c r="AC379" s="1301">
        <v>146.13</v>
      </c>
      <c r="AD379" s="1301">
        <v>153.96</v>
      </c>
      <c r="AE379" s="1301">
        <v>161.72</v>
      </c>
      <c r="AF379" s="1301">
        <v>169.39</v>
      </c>
      <c r="AG379" s="1302">
        <v>177</v>
      </c>
      <c r="AH379" s="1300">
        <v>184.52</v>
      </c>
      <c r="AI379" s="1301">
        <v>191.98</v>
      </c>
      <c r="AJ379" s="1301">
        <v>199.35</v>
      </c>
      <c r="AK379" s="1301">
        <v>206.66</v>
      </c>
      <c r="AL379" s="1301">
        <v>213.89</v>
      </c>
      <c r="AM379" s="1301">
        <v>221.05</v>
      </c>
      <c r="AN379" s="1301">
        <v>228.14</v>
      </c>
      <c r="AO379" s="1301">
        <v>235.16</v>
      </c>
      <c r="AP379" s="1301">
        <v>242.11</v>
      </c>
      <c r="AQ379" s="1302">
        <v>249</v>
      </c>
      <c r="AR379" s="1300">
        <v>255.81</v>
      </c>
      <c r="AS379" s="1301">
        <v>262.56</v>
      </c>
      <c r="AT379" s="1301">
        <v>269.24</v>
      </c>
      <c r="AU379" s="1301">
        <v>275.85000000000002</v>
      </c>
      <c r="AV379" s="1301">
        <v>282.39999999999998</v>
      </c>
      <c r="AW379" s="1301">
        <v>288.88</v>
      </c>
      <c r="AX379" s="1301">
        <v>295.3</v>
      </c>
      <c r="AY379" s="1301">
        <v>301.64999999999998</v>
      </c>
      <c r="AZ379" s="1301">
        <v>307.95</v>
      </c>
      <c r="BA379" s="1302">
        <v>314.18</v>
      </c>
      <c r="BB379" s="1300">
        <v>320.33999999999997</v>
      </c>
      <c r="BC379" s="1301">
        <v>326.45</v>
      </c>
      <c r="BD379" s="1301">
        <v>332.5</v>
      </c>
      <c r="BE379" s="1301">
        <v>338.49</v>
      </c>
      <c r="BF379" s="1301">
        <v>344.41</v>
      </c>
      <c r="BG379" s="1301">
        <v>350.28</v>
      </c>
      <c r="BH379" s="1301">
        <v>356.09</v>
      </c>
      <c r="BI379" s="1301">
        <v>361.85</v>
      </c>
      <c r="BJ379" s="1301">
        <v>367.54</v>
      </c>
      <c r="BK379" s="1302">
        <v>373.18</v>
      </c>
      <c r="BL379" s="1300">
        <v>378.77</v>
      </c>
      <c r="BM379" s="1301">
        <v>384.3</v>
      </c>
      <c r="BN379" s="1301">
        <v>389.77</v>
      </c>
      <c r="BO379" s="1301">
        <v>395.19</v>
      </c>
      <c r="BP379" s="1301">
        <v>400.56</v>
      </c>
      <c r="BQ379" s="1301">
        <v>405.87</v>
      </c>
      <c r="BR379" s="1301">
        <v>411.13</v>
      </c>
      <c r="BS379" s="1301">
        <v>416.34</v>
      </c>
      <c r="BT379" s="1301">
        <v>421.49</v>
      </c>
      <c r="BU379" s="1302">
        <v>426.6</v>
      </c>
      <c r="BV379" s="1300">
        <v>431.66</v>
      </c>
      <c r="BW379" s="1301">
        <v>436.66</v>
      </c>
      <c r="BX379" s="1301">
        <v>441.62</v>
      </c>
      <c r="BY379" s="1301">
        <v>446.52</v>
      </c>
      <c r="BZ379" s="1301">
        <v>451.38</v>
      </c>
      <c r="CA379" s="1301">
        <v>456.19</v>
      </c>
      <c r="CB379" s="1301">
        <v>460.95</v>
      </c>
      <c r="CC379" s="1301">
        <v>465.67</v>
      </c>
      <c r="CD379" s="1301">
        <v>470.34</v>
      </c>
      <c r="CE379" s="1302">
        <v>474.96</v>
      </c>
      <c r="CF379" s="1301">
        <v>479.53</v>
      </c>
      <c r="CG379" s="1301">
        <v>484.07</v>
      </c>
      <c r="CH379" s="1302">
        <v>488.55</v>
      </c>
    </row>
    <row r="380" spans="1:86" ht="20.149999999999999" customHeight="1">
      <c r="A380" s="1563" t="s">
        <v>1541</v>
      </c>
      <c r="B380" s="1563" t="s">
        <v>13</v>
      </c>
      <c r="C380" s="1563" t="str">
        <f t="shared" si="6"/>
        <v>PBSDDCIM64</v>
      </c>
      <c r="D380" s="1193">
        <v>64</v>
      </c>
      <c r="E380" s="1300"/>
      <c r="F380" s="1301">
        <v>4.67</v>
      </c>
      <c r="G380" s="1301">
        <v>7.41</v>
      </c>
      <c r="H380" s="1301">
        <v>10.47</v>
      </c>
      <c r="I380" s="1301">
        <v>13.86</v>
      </c>
      <c r="J380" s="1301">
        <v>17.64</v>
      </c>
      <c r="K380" s="1301">
        <v>21.8</v>
      </c>
      <c r="L380" s="1301">
        <v>26.4</v>
      </c>
      <c r="M380" s="1302">
        <v>31.46</v>
      </c>
      <c r="N380" s="1300">
        <v>37.020000000000003</v>
      </c>
      <c r="O380" s="1301">
        <v>43.13</v>
      </c>
      <c r="P380" s="1301">
        <v>49.81</v>
      </c>
      <c r="Q380" s="1301">
        <v>57.1</v>
      </c>
      <c r="R380" s="1301">
        <v>65.010000000000005</v>
      </c>
      <c r="S380" s="1301">
        <v>72.34</v>
      </c>
      <c r="T380" s="1301">
        <v>81.42</v>
      </c>
      <c r="U380" s="1301">
        <v>90.41</v>
      </c>
      <c r="V380" s="1301">
        <v>99.31</v>
      </c>
      <c r="W380" s="1302">
        <v>108.13</v>
      </c>
      <c r="X380" s="1300">
        <v>116.85</v>
      </c>
      <c r="Y380" s="1301">
        <v>125.49</v>
      </c>
      <c r="Z380" s="1301">
        <v>134.05000000000001</v>
      </c>
      <c r="AA380" s="1301">
        <v>142.51</v>
      </c>
      <c r="AB380" s="1301">
        <v>150.9</v>
      </c>
      <c r="AC380" s="1301">
        <v>159.19999999999999</v>
      </c>
      <c r="AD380" s="1301">
        <v>167.42</v>
      </c>
      <c r="AE380" s="1301">
        <v>175.56</v>
      </c>
      <c r="AF380" s="1301">
        <v>183.62</v>
      </c>
      <c r="AG380" s="1302">
        <v>191.6</v>
      </c>
      <c r="AH380" s="1300">
        <v>199.5</v>
      </c>
      <c r="AI380" s="1301">
        <v>207.32</v>
      </c>
      <c r="AJ380" s="1301">
        <v>215.06</v>
      </c>
      <c r="AK380" s="1301">
        <v>222.73</v>
      </c>
      <c r="AL380" s="1301">
        <v>230.32</v>
      </c>
      <c r="AM380" s="1301">
        <v>237.84</v>
      </c>
      <c r="AN380" s="1301">
        <v>245.28</v>
      </c>
      <c r="AO380" s="1301">
        <v>252.65</v>
      </c>
      <c r="AP380" s="1301">
        <v>259.94</v>
      </c>
      <c r="AQ380" s="1302">
        <v>267.17</v>
      </c>
      <c r="AR380" s="1300">
        <v>274.32</v>
      </c>
      <c r="AS380" s="1301">
        <v>281.39999999999998</v>
      </c>
      <c r="AT380" s="1301">
        <v>288.41000000000003</v>
      </c>
      <c r="AU380" s="1301">
        <v>295.35000000000002</v>
      </c>
      <c r="AV380" s="1301">
        <v>302.22000000000003</v>
      </c>
      <c r="AW380" s="1301">
        <v>309.02999999999997</v>
      </c>
      <c r="AX380" s="1301">
        <v>315.76</v>
      </c>
      <c r="AY380" s="1301">
        <v>322.44</v>
      </c>
      <c r="AZ380" s="1301">
        <v>329.04</v>
      </c>
      <c r="BA380" s="1302">
        <v>335.58</v>
      </c>
      <c r="BB380" s="1300">
        <v>342.05</v>
      </c>
      <c r="BC380" s="1301">
        <v>348.46</v>
      </c>
      <c r="BD380" s="1301">
        <v>354.81</v>
      </c>
      <c r="BE380" s="1301">
        <v>361.09</v>
      </c>
      <c r="BF380" s="1301">
        <v>367.31</v>
      </c>
      <c r="BG380" s="1301">
        <v>373.47</v>
      </c>
      <c r="BH380" s="1301">
        <v>379.57</v>
      </c>
      <c r="BI380" s="1301">
        <v>385.61</v>
      </c>
      <c r="BJ380" s="1301">
        <v>391.59</v>
      </c>
      <c r="BK380" s="1302">
        <v>397.51</v>
      </c>
      <c r="BL380" s="1300">
        <v>403.37</v>
      </c>
      <c r="BM380" s="1301">
        <v>409.17</v>
      </c>
      <c r="BN380" s="1301">
        <v>414.92</v>
      </c>
      <c r="BO380" s="1301">
        <v>420.61</v>
      </c>
      <c r="BP380" s="1301">
        <v>426.24</v>
      </c>
      <c r="BQ380" s="1301">
        <v>431.82</v>
      </c>
      <c r="BR380" s="1301">
        <v>437.34</v>
      </c>
      <c r="BS380" s="1301">
        <v>442.8</v>
      </c>
      <c r="BT380" s="1301">
        <v>448.22</v>
      </c>
      <c r="BU380" s="1302">
        <v>453.57</v>
      </c>
      <c r="BV380" s="1300">
        <v>458.88</v>
      </c>
      <c r="BW380" s="1301">
        <v>464.13</v>
      </c>
      <c r="BX380" s="1301">
        <v>469.34</v>
      </c>
      <c r="BY380" s="1301">
        <v>474.48</v>
      </c>
      <c r="BZ380" s="1301">
        <v>479.58</v>
      </c>
      <c r="CA380" s="1301">
        <v>484.63</v>
      </c>
      <c r="CB380" s="1301">
        <v>489.63</v>
      </c>
      <c r="CC380" s="1301">
        <v>494.58</v>
      </c>
      <c r="CD380" s="1301">
        <v>499.48</v>
      </c>
      <c r="CE380" s="1302">
        <v>504.33</v>
      </c>
      <c r="CF380" s="1301">
        <v>509.13</v>
      </c>
      <c r="CG380" s="1301">
        <v>513.89</v>
      </c>
      <c r="CH380" s="1302">
        <v>518.6</v>
      </c>
    </row>
    <row r="381" spans="1:86" ht="20.149999999999999" customHeight="1">
      <c r="A381" s="1563" t="s">
        <v>1541</v>
      </c>
      <c r="B381" s="1563" t="s">
        <v>13</v>
      </c>
      <c r="C381" s="1563" t="str">
        <f t="shared" si="6"/>
        <v>PBSDDCIM65</v>
      </c>
      <c r="D381" s="1195">
        <v>65</v>
      </c>
      <c r="E381" s="1306"/>
      <c r="F381" s="1307">
        <v>5.22</v>
      </c>
      <c r="G381" s="1307">
        <v>8.3000000000000007</v>
      </c>
      <c r="H381" s="1307">
        <v>11.71</v>
      </c>
      <c r="I381" s="1307">
        <v>15.51</v>
      </c>
      <c r="J381" s="1307">
        <v>19.71</v>
      </c>
      <c r="K381" s="1307">
        <v>24.35</v>
      </c>
      <c r="L381" s="1307">
        <v>29.46</v>
      </c>
      <c r="M381" s="1308">
        <v>35.090000000000003</v>
      </c>
      <c r="N381" s="1306">
        <v>41.28</v>
      </c>
      <c r="O381" s="1307">
        <v>48.07</v>
      </c>
      <c r="P381" s="1307">
        <v>55.49</v>
      </c>
      <c r="Q381" s="1307">
        <v>63.56</v>
      </c>
      <c r="R381" s="1307">
        <v>72.290000000000006</v>
      </c>
      <c r="S381" s="1307">
        <v>81.92</v>
      </c>
      <c r="T381" s="1307">
        <v>91.46</v>
      </c>
      <c r="U381" s="1307">
        <v>100.9</v>
      </c>
      <c r="V381" s="1307">
        <v>110.24</v>
      </c>
      <c r="W381" s="1308">
        <v>119.5</v>
      </c>
      <c r="X381" s="1306">
        <v>128.66</v>
      </c>
      <c r="Y381" s="1307">
        <v>137.72999999999999</v>
      </c>
      <c r="Z381" s="1307">
        <v>146.71</v>
      </c>
      <c r="AA381" s="1307">
        <v>155.61000000000001</v>
      </c>
      <c r="AB381" s="1307">
        <v>164.41</v>
      </c>
      <c r="AC381" s="1307">
        <v>173.13</v>
      </c>
      <c r="AD381" s="1307">
        <v>181.76</v>
      </c>
      <c r="AE381" s="1307">
        <v>190.31</v>
      </c>
      <c r="AF381" s="1307">
        <v>198.77</v>
      </c>
      <c r="AG381" s="1308">
        <v>207.15</v>
      </c>
      <c r="AH381" s="1306">
        <v>215.44</v>
      </c>
      <c r="AI381" s="1307">
        <v>223.65</v>
      </c>
      <c r="AJ381" s="1307">
        <v>231.79</v>
      </c>
      <c r="AK381" s="1307">
        <v>239.84</v>
      </c>
      <c r="AL381" s="1307">
        <v>247.81</v>
      </c>
      <c r="AM381" s="1307">
        <v>255.7</v>
      </c>
      <c r="AN381" s="1307">
        <v>263.51</v>
      </c>
      <c r="AO381" s="1307">
        <v>271.25</v>
      </c>
      <c r="AP381" s="1307">
        <v>278.91000000000003</v>
      </c>
      <c r="AQ381" s="1308">
        <v>286.49</v>
      </c>
      <c r="AR381" s="1306">
        <v>294</v>
      </c>
      <c r="AS381" s="1307">
        <v>301.44</v>
      </c>
      <c r="AT381" s="1307">
        <v>308.8</v>
      </c>
      <c r="AU381" s="1307">
        <v>316.08999999999997</v>
      </c>
      <c r="AV381" s="1307">
        <v>323.3</v>
      </c>
      <c r="AW381" s="1307">
        <v>330.45</v>
      </c>
      <c r="AX381" s="1307">
        <v>337.52</v>
      </c>
      <c r="AY381" s="1307">
        <v>344.53</v>
      </c>
      <c r="AZ381" s="1307">
        <v>351.46</v>
      </c>
      <c r="BA381" s="1308">
        <v>358.33</v>
      </c>
      <c r="BB381" s="1306">
        <v>365.13</v>
      </c>
      <c r="BC381" s="1307">
        <v>371.86</v>
      </c>
      <c r="BD381" s="1307">
        <v>378.52</v>
      </c>
      <c r="BE381" s="1307">
        <v>385.12</v>
      </c>
      <c r="BF381" s="1307">
        <v>391.65</v>
      </c>
      <c r="BG381" s="1307">
        <v>398.12</v>
      </c>
      <c r="BH381" s="1307">
        <v>404.52</v>
      </c>
      <c r="BI381" s="1307">
        <v>410.86</v>
      </c>
      <c r="BJ381" s="1307">
        <v>417.14</v>
      </c>
      <c r="BK381" s="1308">
        <v>423.36</v>
      </c>
      <c r="BL381" s="1306">
        <v>429.51</v>
      </c>
      <c r="BM381" s="1307">
        <v>435.6</v>
      </c>
      <c r="BN381" s="1307">
        <v>441.64</v>
      </c>
      <c r="BO381" s="1307">
        <v>447.61</v>
      </c>
      <c r="BP381" s="1307">
        <v>453.52</v>
      </c>
      <c r="BQ381" s="1307">
        <v>459.38</v>
      </c>
      <c r="BR381" s="1307">
        <v>465.18</v>
      </c>
      <c r="BS381" s="1307">
        <v>470.92</v>
      </c>
      <c r="BT381" s="1307">
        <v>476.6</v>
      </c>
      <c r="BU381" s="1308">
        <v>482.23</v>
      </c>
      <c r="BV381" s="1306">
        <v>487.8</v>
      </c>
      <c r="BW381" s="1307">
        <v>493.31</v>
      </c>
      <c r="BX381" s="1307">
        <v>498.78</v>
      </c>
      <c r="BY381" s="1307">
        <v>504.18</v>
      </c>
      <c r="BZ381" s="1307">
        <v>509.54</v>
      </c>
      <c r="CA381" s="1307">
        <v>514.84</v>
      </c>
      <c r="CB381" s="1307">
        <v>520.09</v>
      </c>
      <c r="CC381" s="1307">
        <v>525.28</v>
      </c>
      <c r="CD381" s="1307">
        <v>530.42999999999995</v>
      </c>
      <c r="CE381" s="1308">
        <v>535.52</v>
      </c>
      <c r="CF381" s="1307">
        <v>540.55999999999995</v>
      </c>
      <c r="CG381" s="1307">
        <v>545.55999999999995</v>
      </c>
      <c r="CH381" s="1308">
        <v>550.5</v>
      </c>
    </row>
    <row r="382" spans="1:86" ht="20.149999999999999" customHeight="1">
      <c r="A382" s="1563" t="s">
        <v>1541</v>
      </c>
      <c r="B382" s="1563" t="s">
        <v>13</v>
      </c>
      <c r="C382" s="1563" t="str">
        <f t="shared" si="6"/>
        <v>PBSDDCIM66</v>
      </c>
      <c r="D382" s="1193">
        <v>66</v>
      </c>
      <c r="E382" s="1300"/>
      <c r="F382" s="1301">
        <v>5.84</v>
      </c>
      <c r="G382" s="1301">
        <v>9.27</v>
      </c>
      <c r="H382" s="1301">
        <v>13.09</v>
      </c>
      <c r="I382" s="1301">
        <v>17.309999999999999</v>
      </c>
      <c r="J382" s="1301">
        <v>21.97</v>
      </c>
      <c r="K382" s="1301">
        <v>27.12</v>
      </c>
      <c r="L382" s="1301">
        <v>32.799999999999997</v>
      </c>
      <c r="M382" s="1302">
        <v>39.06</v>
      </c>
      <c r="N382" s="1300">
        <v>45.94</v>
      </c>
      <c r="O382" s="1301">
        <v>53.49</v>
      </c>
      <c r="P382" s="1301">
        <v>61.71</v>
      </c>
      <c r="Q382" s="1301">
        <v>70.62</v>
      </c>
      <c r="R382" s="1301">
        <v>80.709999999999994</v>
      </c>
      <c r="S382" s="1301">
        <v>90.7</v>
      </c>
      <c r="T382" s="1301">
        <v>100.59</v>
      </c>
      <c r="U382" s="1301">
        <v>110.39</v>
      </c>
      <c r="V382" s="1301">
        <v>120.08</v>
      </c>
      <c r="W382" s="1302">
        <v>129.68</v>
      </c>
      <c r="X382" s="1300">
        <v>139.19</v>
      </c>
      <c r="Y382" s="1301">
        <v>148.6</v>
      </c>
      <c r="Z382" s="1301">
        <v>157.91999999999999</v>
      </c>
      <c r="AA382" s="1301">
        <v>167.14</v>
      </c>
      <c r="AB382" s="1301">
        <v>176.28</v>
      </c>
      <c r="AC382" s="1301">
        <v>185.32</v>
      </c>
      <c r="AD382" s="1301">
        <v>194.28</v>
      </c>
      <c r="AE382" s="1301">
        <v>203.14</v>
      </c>
      <c r="AF382" s="1301">
        <v>211.92</v>
      </c>
      <c r="AG382" s="1302">
        <v>220.61</v>
      </c>
      <c r="AH382" s="1300">
        <v>229.22</v>
      </c>
      <c r="AI382" s="1301">
        <v>237.74</v>
      </c>
      <c r="AJ382" s="1301">
        <v>246.17</v>
      </c>
      <c r="AK382" s="1301">
        <v>254.52</v>
      </c>
      <c r="AL382" s="1301">
        <v>262.79000000000002</v>
      </c>
      <c r="AM382" s="1301">
        <v>270.98</v>
      </c>
      <c r="AN382" s="1301">
        <v>279.08999999999997</v>
      </c>
      <c r="AO382" s="1301">
        <v>287.11</v>
      </c>
      <c r="AP382" s="1301">
        <v>295.06</v>
      </c>
      <c r="AQ382" s="1302">
        <v>302.93</v>
      </c>
      <c r="AR382" s="1300">
        <v>310.72000000000003</v>
      </c>
      <c r="AS382" s="1301">
        <v>318.43</v>
      </c>
      <c r="AT382" s="1301">
        <v>326.07</v>
      </c>
      <c r="AU382" s="1301">
        <v>333.63</v>
      </c>
      <c r="AV382" s="1301">
        <v>341.11</v>
      </c>
      <c r="AW382" s="1301">
        <v>348.53</v>
      </c>
      <c r="AX382" s="1301">
        <v>355.86</v>
      </c>
      <c r="AY382" s="1301">
        <v>363.13</v>
      </c>
      <c r="AZ382" s="1301">
        <v>370.32</v>
      </c>
      <c r="BA382" s="1302">
        <v>377.45</v>
      </c>
      <c r="BB382" s="1300">
        <v>384.5</v>
      </c>
      <c r="BC382" s="1301">
        <v>391.48</v>
      </c>
      <c r="BD382" s="1301">
        <v>398.4</v>
      </c>
      <c r="BE382" s="1301">
        <v>405.24</v>
      </c>
      <c r="BF382" s="1301">
        <v>412.02</v>
      </c>
      <c r="BG382" s="1301">
        <v>418.73</v>
      </c>
      <c r="BH382" s="1301">
        <v>425.37</v>
      </c>
      <c r="BI382" s="1301">
        <v>431.95</v>
      </c>
      <c r="BJ382" s="1301">
        <v>438.46</v>
      </c>
      <c r="BK382" s="1302">
        <v>444.91</v>
      </c>
      <c r="BL382" s="1300">
        <v>451.29</v>
      </c>
      <c r="BM382" s="1301">
        <v>457.61</v>
      </c>
      <c r="BN382" s="1301">
        <v>463.87</v>
      </c>
      <c r="BO382" s="1301">
        <v>470.07</v>
      </c>
      <c r="BP382" s="1301">
        <v>476.2</v>
      </c>
      <c r="BQ382" s="1301">
        <v>482.28</v>
      </c>
      <c r="BR382" s="1301">
        <v>488.29</v>
      </c>
      <c r="BS382" s="1301">
        <v>494.25</v>
      </c>
      <c r="BT382" s="1301">
        <v>500.14</v>
      </c>
      <c r="BU382" s="1302">
        <v>505.98</v>
      </c>
      <c r="BV382" s="1300">
        <v>511.76</v>
      </c>
      <c r="BW382" s="1301">
        <v>517.48</v>
      </c>
      <c r="BX382" s="1301">
        <v>523.15</v>
      </c>
      <c r="BY382" s="1301">
        <v>528.76</v>
      </c>
      <c r="BZ382" s="1301">
        <v>534.30999999999995</v>
      </c>
      <c r="CA382" s="1301">
        <v>539.80999999999995</v>
      </c>
      <c r="CB382" s="1301">
        <v>545.26</v>
      </c>
      <c r="CC382" s="1301">
        <v>550.65</v>
      </c>
      <c r="CD382" s="1301">
        <v>555.98</v>
      </c>
      <c r="CE382" s="1302">
        <v>561.27</v>
      </c>
      <c r="CF382" s="1301">
        <v>566.5</v>
      </c>
      <c r="CG382" s="1301">
        <v>571.67999999999995</v>
      </c>
      <c r="CH382" s="1302">
        <v>576.80999999999995</v>
      </c>
    </row>
    <row r="383" spans="1:86" ht="20.149999999999999" customHeight="1">
      <c r="A383" s="1563" t="s">
        <v>1541</v>
      </c>
      <c r="B383" s="1563" t="s">
        <v>13</v>
      </c>
      <c r="C383" s="1563" t="str">
        <f t="shared" si="6"/>
        <v>PBSDDCIM67</v>
      </c>
      <c r="D383" s="1193">
        <v>67</v>
      </c>
      <c r="E383" s="1300"/>
      <c r="F383" s="1301">
        <v>6.51</v>
      </c>
      <c r="G383" s="1301">
        <v>10.33</v>
      </c>
      <c r="H383" s="1301">
        <v>14.56</v>
      </c>
      <c r="I383" s="1301">
        <v>19.23</v>
      </c>
      <c r="J383" s="1301">
        <v>24.4</v>
      </c>
      <c r="K383" s="1301">
        <v>30.12</v>
      </c>
      <c r="L383" s="1301">
        <v>36.44</v>
      </c>
      <c r="M383" s="1302">
        <v>43.4</v>
      </c>
      <c r="N383" s="1300">
        <v>51.04</v>
      </c>
      <c r="O383" s="1301">
        <v>59.39</v>
      </c>
      <c r="P383" s="1301">
        <v>68.47</v>
      </c>
      <c r="Q383" s="1301">
        <v>79.040000000000006</v>
      </c>
      <c r="R383" s="1301">
        <v>89.51</v>
      </c>
      <c r="S383" s="1301">
        <v>99.87</v>
      </c>
      <c r="T383" s="1301">
        <v>110.13</v>
      </c>
      <c r="U383" s="1301">
        <v>120.28</v>
      </c>
      <c r="V383" s="1301">
        <v>130.34</v>
      </c>
      <c r="W383" s="1302">
        <v>140.29</v>
      </c>
      <c r="X383" s="1300">
        <v>150.15</v>
      </c>
      <c r="Y383" s="1301">
        <v>159.91</v>
      </c>
      <c r="Z383" s="1301">
        <v>169.58</v>
      </c>
      <c r="AA383" s="1301">
        <v>179.14</v>
      </c>
      <c r="AB383" s="1301">
        <v>188.62</v>
      </c>
      <c r="AC383" s="1301">
        <v>198</v>
      </c>
      <c r="AD383" s="1301">
        <v>207.28</v>
      </c>
      <c r="AE383" s="1301">
        <v>216.48</v>
      </c>
      <c r="AF383" s="1301">
        <v>225.58</v>
      </c>
      <c r="AG383" s="1302">
        <v>234.59</v>
      </c>
      <c r="AH383" s="1300">
        <v>243.52</v>
      </c>
      <c r="AI383" s="1301">
        <v>252.35</v>
      </c>
      <c r="AJ383" s="1301">
        <v>261.10000000000002</v>
      </c>
      <c r="AK383" s="1301">
        <v>269.76</v>
      </c>
      <c r="AL383" s="1301">
        <v>278.33999999999997</v>
      </c>
      <c r="AM383" s="1301">
        <v>286.83</v>
      </c>
      <c r="AN383" s="1301">
        <v>295.24</v>
      </c>
      <c r="AO383" s="1301">
        <v>303.56</v>
      </c>
      <c r="AP383" s="1301">
        <v>311.8</v>
      </c>
      <c r="AQ383" s="1302">
        <v>319.95999999999998</v>
      </c>
      <c r="AR383" s="1300">
        <v>328.04</v>
      </c>
      <c r="AS383" s="1301">
        <v>336.04</v>
      </c>
      <c r="AT383" s="1301">
        <v>343.96</v>
      </c>
      <c r="AU383" s="1301">
        <v>351.8</v>
      </c>
      <c r="AV383" s="1301">
        <v>359.57</v>
      </c>
      <c r="AW383" s="1301">
        <v>367.25</v>
      </c>
      <c r="AX383" s="1301">
        <v>374.86</v>
      </c>
      <c r="AY383" s="1301">
        <v>382.4</v>
      </c>
      <c r="AZ383" s="1301">
        <v>389.86</v>
      </c>
      <c r="BA383" s="1302">
        <v>397.25</v>
      </c>
      <c r="BB383" s="1300">
        <v>404.56</v>
      </c>
      <c r="BC383" s="1301">
        <v>411.8</v>
      </c>
      <c r="BD383" s="1301">
        <v>418.97</v>
      </c>
      <c r="BE383" s="1301">
        <v>426.07</v>
      </c>
      <c r="BF383" s="1301">
        <v>433.1</v>
      </c>
      <c r="BG383" s="1301">
        <v>440.06</v>
      </c>
      <c r="BH383" s="1301">
        <v>446.95</v>
      </c>
      <c r="BI383" s="1301">
        <v>453.77</v>
      </c>
      <c r="BJ383" s="1301">
        <v>460.52</v>
      </c>
      <c r="BK383" s="1302">
        <v>467.21</v>
      </c>
      <c r="BL383" s="1300">
        <v>473.83</v>
      </c>
      <c r="BM383" s="1301">
        <v>480.39</v>
      </c>
      <c r="BN383" s="1301">
        <v>486.88</v>
      </c>
      <c r="BO383" s="1301">
        <v>493.3</v>
      </c>
      <c r="BP383" s="1301">
        <v>499.67</v>
      </c>
      <c r="BQ383" s="1301">
        <v>505.97</v>
      </c>
      <c r="BR383" s="1301">
        <v>512.20000000000005</v>
      </c>
      <c r="BS383" s="1301">
        <v>518.38</v>
      </c>
      <c r="BT383" s="1301">
        <v>524.49</v>
      </c>
      <c r="BU383" s="1302">
        <v>530.54999999999995</v>
      </c>
      <c r="BV383" s="1300">
        <v>536.54</v>
      </c>
      <c r="BW383" s="1301">
        <v>542.48</v>
      </c>
      <c r="BX383" s="1301">
        <v>548.35</v>
      </c>
      <c r="BY383" s="1301">
        <v>554.16999999999996</v>
      </c>
      <c r="BZ383" s="1301">
        <v>559.92999999999995</v>
      </c>
      <c r="CA383" s="1301">
        <v>565.63</v>
      </c>
      <c r="CB383" s="1301">
        <v>571.28</v>
      </c>
      <c r="CC383" s="1301">
        <v>576.87</v>
      </c>
      <c r="CD383" s="1301">
        <v>582.4</v>
      </c>
      <c r="CE383" s="1302">
        <v>587.88</v>
      </c>
      <c r="CF383" s="1301">
        <v>593.30999999999995</v>
      </c>
      <c r="CG383" s="1301">
        <v>598.67999999999995</v>
      </c>
      <c r="CH383" s="1302">
        <v>604</v>
      </c>
    </row>
    <row r="384" spans="1:86" ht="20.149999999999999" customHeight="1">
      <c r="A384" s="1563" t="s">
        <v>1541</v>
      </c>
      <c r="B384" s="1563" t="s">
        <v>13</v>
      </c>
      <c r="C384" s="1563" t="str">
        <f t="shared" si="6"/>
        <v>PBSDDCIM68</v>
      </c>
      <c r="D384" s="1193">
        <v>68</v>
      </c>
      <c r="E384" s="1300"/>
      <c r="F384" s="1301">
        <v>7.24</v>
      </c>
      <c r="G384" s="1301">
        <v>11.45</v>
      </c>
      <c r="H384" s="1301">
        <v>16.12</v>
      </c>
      <c r="I384" s="1301">
        <v>21.3</v>
      </c>
      <c r="J384" s="1301">
        <v>27.04</v>
      </c>
      <c r="K384" s="1301">
        <v>33.39</v>
      </c>
      <c r="L384" s="1301">
        <v>40.409999999999997</v>
      </c>
      <c r="M384" s="1302">
        <v>48.13</v>
      </c>
      <c r="N384" s="1300">
        <v>56.6</v>
      </c>
      <c r="O384" s="1301">
        <v>65.83</v>
      </c>
      <c r="P384" s="1301">
        <v>76.900000000000006</v>
      </c>
      <c r="Q384" s="1301">
        <v>87.86</v>
      </c>
      <c r="R384" s="1301">
        <v>98.71</v>
      </c>
      <c r="S384" s="1301">
        <v>109.45</v>
      </c>
      <c r="T384" s="1301">
        <v>120.08</v>
      </c>
      <c r="U384" s="1301">
        <v>130.61000000000001</v>
      </c>
      <c r="V384" s="1301">
        <v>141.04</v>
      </c>
      <c r="W384" s="1302">
        <v>151.36000000000001</v>
      </c>
      <c r="X384" s="1300">
        <v>161.58000000000001</v>
      </c>
      <c r="Y384" s="1301">
        <v>171.7</v>
      </c>
      <c r="Z384" s="1301">
        <v>181.72</v>
      </c>
      <c r="AA384" s="1301">
        <v>191.64</v>
      </c>
      <c r="AB384" s="1301">
        <v>201.46</v>
      </c>
      <c r="AC384" s="1301">
        <v>211.19</v>
      </c>
      <c r="AD384" s="1301">
        <v>220.82</v>
      </c>
      <c r="AE384" s="1301">
        <v>230.35</v>
      </c>
      <c r="AF384" s="1301">
        <v>239.79</v>
      </c>
      <c r="AG384" s="1302">
        <v>249.14</v>
      </c>
      <c r="AH384" s="1300">
        <v>258.39</v>
      </c>
      <c r="AI384" s="1301">
        <v>267.55</v>
      </c>
      <c r="AJ384" s="1301">
        <v>276.62</v>
      </c>
      <c r="AK384" s="1301">
        <v>285.60000000000002</v>
      </c>
      <c r="AL384" s="1301">
        <v>294.49</v>
      </c>
      <c r="AM384" s="1301">
        <v>303.3</v>
      </c>
      <c r="AN384" s="1301">
        <v>312.01</v>
      </c>
      <c r="AO384" s="1301">
        <v>320.64</v>
      </c>
      <c r="AP384" s="1301">
        <v>329.19</v>
      </c>
      <c r="AQ384" s="1302">
        <v>337.65</v>
      </c>
      <c r="AR384" s="1300">
        <v>346.02</v>
      </c>
      <c r="AS384" s="1301">
        <v>354.32</v>
      </c>
      <c r="AT384" s="1301">
        <v>362.53</v>
      </c>
      <c r="AU384" s="1301">
        <v>370.66</v>
      </c>
      <c r="AV384" s="1301">
        <v>378.71</v>
      </c>
      <c r="AW384" s="1301">
        <v>386.68</v>
      </c>
      <c r="AX384" s="1301">
        <v>394.57</v>
      </c>
      <c r="AY384" s="1301">
        <v>402.38</v>
      </c>
      <c r="AZ384" s="1301">
        <v>410.12</v>
      </c>
      <c r="BA384" s="1302">
        <v>417.78</v>
      </c>
      <c r="BB384" s="1300">
        <v>425.36</v>
      </c>
      <c r="BC384" s="1301">
        <v>432.87</v>
      </c>
      <c r="BD384" s="1301">
        <v>440.3</v>
      </c>
      <c r="BE384" s="1301">
        <v>447.66</v>
      </c>
      <c r="BF384" s="1301">
        <v>454.95</v>
      </c>
      <c r="BG384" s="1301">
        <v>462.16</v>
      </c>
      <c r="BH384" s="1301">
        <v>469.31</v>
      </c>
      <c r="BI384" s="1301">
        <v>476.38</v>
      </c>
      <c r="BJ384" s="1301">
        <v>483.38</v>
      </c>
      <c r="BK384" s="1302">
        <v>490.32</v>
      </c>
      <c r="BL384" s="1300">
        <v>497.18</v>
      </c>
      <c r="BM384" s="1301">
        <v>503.98</v>
      </c>
      <c r="BN384" s="1301">
        <v>510.71</v>
      </c>
      <c r="BO384" s="1301">
        <v>517.37</v>
      </c>
      <c r="BP384" s="1301">
        <v>523.97</v>
      </c>
      <c r="BQ384" s="1301">
        <v>530.5</v>
      </c>
      <c r="BR384" s="1301">
        <v>536.97</v>
      </c>
      <c r="BS384" s="1301">
        <v>543.37</v>
      </c>
      <c r="BT384" s="1301">
        <v>549.71</v>
      </c>
      <c r="BU384" s="1302">
        <v>555.98</v>
      </c>
      <c r="BV384" s="1300">
        <v>562.20000000000005</v>
      </c>
      <c r="BW384" s="1301">
        <v>568.35</v>
      </c>
      <c r="BX384" s="1301">
        <v>574.44000000000005</v>
      </c>
      <c r="BY384" s="1301">
        <v>580.48</v>
      </c>
      <c r="BZ384" s="1301">
        <v>586.45000000000005</v>
      </c>
      <c r="CA384" s="1301">
        <v>592.36</v>
      </c>
      <c r="CB384" s="1301">
        <v>598.22</v>
      </c>
      <c r="CC384" s="1301">
        <v>604.01</v>
      </c>
      <c r="CD384" s="1301">
        <v>609.75</v>
      </c>
      <c r="CE384" s="1302">
        <v>615.42999999999995</v>
      </c>
      <c r="CF384" s="1301">
        <v>621.05999999999995</v>
      </c>
      <c r="CG384" s="1301">
        <v>626.63</v>
      </c>
      <c r="CH384" s="1302">
        <v>632.15</v>
      </c>
    </row>
    <row r="385" spans="1:86" ht="20.149999999999999" customHeight="1">
      <c r="A385" s="1563" t="s">
        <v>1541</v>
      </c>
      <c r="B385" s="1563" t="s">
        <v>13</v>
      </c>
      <c r="C385" s="1563" t="str">
        <f t="shared" si="6"/>
        <v>PBSDDCIM69</v>
      </c>
      <c r="D385" s="1193">
        <v>69</v>
      </c>
      <c r="E385" s="1300"/>
      <c r="F385" s="1301">
        <v>7.99</v>
      </c>
      <c r="G385" s="1301">
        <v>12.64</v>
      </c>
      <c r="H385" s="1301">
        <v>17.809999999999999</v>
      </c>
      <c r="I385" s="1301">
        <v>23.55</v>
      </c>
      <c r="J385" s="1301">
        <v>29.92</v>
      </c>
      <c r="K385" s="1301">
        <v>36.979999999999997</v>
      </c>
      <c r="L385" s="1301">
        <v>44.77</v>
      </c>
      <c r="M385" s="1302">
        <v>53.33</v>
      </c>
      <c r="N385" s="1300">
        <v>62.68</v>
      </c>
      <c r="O385" s="1301">
        <v>74.27</v>
      </c>
      <c r="P385" s="1301">
        <v>85.75</v>
      </c>
      <c r="Q385" s="1301">
        <v>97.11</v>
      </c>
      <c r="R385" s="1301">
        <v>108.35</v>
      </c>
      <c r="S385" s="1301">
        <v>119.49</v>
      </c>
      <c r="T385" s="1301">
        <v>130.51</v>
      </c>
      <c r="U385" s="1301">
        <v>141.43</v>
      </c>
      <c r="V385" s="1301">
        <v>152.24</v>
      </c>
      <c r="W385" s="1302">
        <v>162.94</v>
      </c>
      <c r="X385" s="1300">
        <v>173.54</v>
      </c>
      <c r="Y385" s="1301">
        <v>184.03</v>
      </c>
      <c r="Z385" s="1301">
        <v>194.41</v>
      </c>
      <c r="AA385" s="1301">
        <v>204.7</v>
      </c>
      <c r="AB385" s="1301">
        <v>214.88</v>
      </c>
      <c r="AC385" s="1301">
        <v>224.96</v>
      </c>
      <c r="AD385" s="1301">
        <v>234.94</v>
      </c>
      <c r="AE385" s="1301">
        <v>244.82</v>
      </c>
      <c r="AF385" s="1301">
        <v>254.61</v>
      </c>
      <c r="AG385" s="1302">
        <v>264.3</v>
      </c>
      <c r="AH385" s="1300">
        <v>273.89</v>
      </c>
      <c r="AI385" s="1301">
        <v>283.39</v>
      </c>
      <c r="AJ385" s="1301">
        <v>292.79000000000002</v>
      </c>
      <c r="AK385" s="1301">
        <v>302.10000000000002</v>
      </c>
      <c r="AL385" s="1301">
        <v>311.32</v>
      </c>
      <c r="AM385" s="1301">
        <v>320.44</v>
      </c>
      <c r="AN385" s="1301">
        <v>329.48</v>
      </c>
      <c r="AO385" s="1301">
        <v>338.43</v>
      </c>
      <c r="AP385" s="1301">
        <v>347.28</v>
      </c>
      <c r="AQ385" s="1302">
        <v>356.05</v>
      </c>
      <c r="AR385" s="1300">
        <v>364.74</v>
      </c>
      <c r="AS385" s="1301">
        <v>373.33</v>
      </c>
      <c r="AT385" s="1301">
        <v>381.85</v>
      </c>
      <c r="AU385" s="1301">
        <v>390.27</v>
      </c>
      <c r="AV385" s="1301">
        <v>398.62</v>
      </c>
      <c r="AW385" s="1301">
        <v>406.88</v>
      </c>
      <c r="AX385" s="1301">
        <v>415.06</v>
      </c>
      <c r="AY385" s="1301">
        <v>423.16</v>
      </c>
      <c r="AZ385" s="1301">
        <v>431.18</v>
      </c>
      <c r="BA385" s="1302">
        <v>439.12</v>
      </c>
      <c r="BB385" s="1300">
        <v>446.98</v>
      </c>
      <c r="BC385" s="1301">
        <v>454.76</v>
      </c>
      <c r="BD385" s="1301">
        <v>462.47</v>
      </c>
      <c r="BE385" s="1301">
        <v>470.1</v>
      </c>
      <c r="BF385" s="1301">
        <v>477.65</v>
      </c>
      <c r="BG385" s="1301">
        <v>485.13</v>
      </c>
      <c r="BH385" s="1301">
        <v>492.54</v>
      </c>
      <c r="BI385" s="1301">
        <v>499.87</v>
      </c>
      <c r="BJ385" s="1301">
        <v>507.13</v>
      </c>
      <c r="BK385" s="1302">
        <v>514.32000000000005</v>
      </c>
      <c r="BL385" s="1300">
        <v>521.42999999999995</v>
      </c>
      <c r="BM385" s="1301">
        <v>528.48</v>
      </c>
      <c r="BN385" s="1301">
        <v>535.46</v>
      </c>
      <c r="BO385" s="1301">
        <v>542.36</v>
      </c>
      <c r="BP385" s="1301">
        <v>549.20000000000005</v>
      </c>
      <c r="BQ385" s="1301">
        <v>555.97</v>
      </c>
      <c r="BR385" s="1301">
        <v>562.67999999999995</v>
      </c>
      <c r="BS385" s="1301">
        <v>569.32000000000005</v>
      </c>
      <c r="BT385" s="1301">
        <v>575.89</v>
      </c>
      <c r="BU385" s="1302">
        <v>582.39</v>
      </c>
      <c r="BV385" s="1300">
        <v>588.84</v>
      </c>
      <c r="BW385" s="1301">
        <v>595.22</v>
      </c>
      <c r="BX385" s="1301">
        <v>601.53</v>
      </c>
      <c r="BY385" s="1301">
        <v>607.78</v>
      </c>
      <c r="BZ385" s="1301">
        <v>613.97</v>
      </c>
      <c r="CA385" s="1301">
        <v>620.1</v>
      </c>
      <c r="CB385" s="1301">
        <v>626.16999999999996</v>
      </c>
      <c r="CC385" s="1301">
        <v>632.17999999999995</v>
      </c>
      <c r="CD385" s="1301">
        <v>638.13</v>
      </c>
      <c r="CE385" s="1302">
        <v>644.02</v>
      </c>
      <c r="CF385" s="1301">
        <v>649.85</v>
      </c>
      <c r="CG385" s="1301">
        <v>655.63</v>
      </c>
      <c r="CH385" s="1302">
        <v>661.35</v>
      </c>
    </row>
    <row r="386" spans="1:86" ht="20.149999999999999" customHeight="1">
      <c r="A386" s="1563" t="s">
        <v>1541</v>
      </c>
      <c r="B386" s="1563" t="s">
        <v>13</v>
      </c>
      <c r="C386" s="1563" t="str">
        <f t="shared" si="6"/>
        <v>PBSDDCIM70</v>
      </c>
      <c r="D386" s="1196">
        <v>70</v>
      </c>
      <c r="E386" s="1309"/>
      <c r="F386" s="1310">
        <v>8.75</v>
      </c>
      <c r="G386" s="1310">
        <v>13.89</v>
      </c>
      <c r="H386" s="1310">
        <v>19.61</v>
      </c>
      <c r="I386" s="1310">
        <v>25.98</v>
      </c>
      <c r="J386" s="1310">
        <v>33.049999999999997</v>
      </c>
      <c r="K386" s="1310">
        <v>40.880000000000003</v>
      </c>
      <c r="L386" s="1310">
        <v>49.51</v>
      </c>
      <c r="M386" s="1311">
        <v>58.97</v>
      </c>
      <c r="N386" s="1309">
        <v>71.09</v>
      </c>
      <c r="O386" s="1310">
        <v>83.1</v>
      </c>
      <c r="P386" s="1310">
        <v>94.99</v>
      </c>
      <c r="Q386" s="1310">
        <v>106.76</v>
      </c>
      <c r="R386" s="1310">
        <v>118.41</v>
      </c>
      <c r="S386" s="1310">
        <v>129.94999999999999</v>
      </c>
      <c r="T386" s="1310">
        <v>141.37</v>
      </c>
      <c r="U386" s="1310">
        <v>152.68</v>
      </c>
      <c r="V386" s="1310">
        <v>163.88</v>
      </c>
      <c r="W386" s="1311">
        <v>174.97</v>
      </c>
      <c r="X386" s="1309">
        <v>185.95</v>
      </c>
      <c r="Y386" s="1310">
        <v>196.82</v>
      </c>
      <c r="Z386" s="1310">
        <v>207.58</v>
      </c>
      <c r="AA386" s="1310">
        <v>218.23</v>
      </c>
      <c r="AB386" s="1310">
        <v>228.78</v>
      </c>
      <c r="AC386" s="1310">
        <v>239.23</v>
      </c>
      <c r="AD386" s="1310">
        <v>249.57</v>
      </c>
      <c r="AE386" s="1310">
        <v>259.81</v>
      </c>
      <c r="AF386" s="1310">
        <v>269.95</v>
      </c>
      <c r="AG386" s="1311">
        <v>279.99</v>
      </c>
      <c r="AH386" s="1309">
        <v>289.92</v>
      </c>
      <c r="AI386" s="1310">
        <v>299.76</v>
      </c>
      <c r="AJ386" s="1310">
        <v>309.51</v>
      </c>
      <c r="AK386" s="1310">
        <v>319.14999999999998</v>
      </c>
      <c r="AL386" s="1310">
        <v>328.7</v>
      </c>
      <c r="AM386" s="1310">
        <v>338.16</v>
      </c>
      <c r="AN386" s="1310">
        <v>347.52</v>
      </c>
      <c r="AO386" s="1310">
        <v>356.79</v>
      </c>
      <c r="AP386" s="1310">
        <v>365.97</v>
      </c>
      <c r="AQ386" s="1311">
        <v>375.05</v>
      </c>
      <c r="AR386" s="1309">
        <v>384.05</v>
      </c>
      <c r="AS386" s="1310">
        <v>392.96</v>
      </c>
      <c r="AT386" s="1310">
        <v>401.78</v>
      </c>
      <c r="AU386" s="1310">
        <v>410.51</v>
      </c>
      <c r="AV386" s="1310">
        <v>419.16</v>
      </c>
      <c r="AW386" s="1310">
        <v>427.72</v>
      </c>
      <c r="AX386" s="1310">
        <v>436.19</v>
      </c>
      <c r="AY386" s="1310">
        <v>444.58</v>
      </c>
      <c r="AZ386" s="1310">
        <v>452.89</v>
      </c>
      <c r="BA386" s="1311">
        <v>461.12</v>
      </c>
      <c r="BB386" s="1309">
        <v>469.26</v>
      </c>
      <c r="BC386" s="1310">
        <v>477.33</v>
      </c>
      <c r="BD386" s="1310">
        <v>485.31</v>
      </c>
      <c r="BE386" s="1310">
        <v>493.22</v>
      </c>
      <c r="BF386" s="1310">
        <v>501.05</v>
      </c>
      <c r="BG386" s="1310">
        <v>508.79</v>
      </c>
      <c r="BH386" s="1310">
        <v>516.47</v>
      </c>
      <c r="BI386" s="1310">
        <v>524.05999999999995</v>
      </c>
      <c r="BJ386" s="1310">
        <v>531.59</v>
      </c>
      <c r="BK386" s="1311">
        <v>539.03</v>
      </c>
      <c r="BL386" s="1309">
        <v>546.41</v>
      </c>
      <c r="BM386" s="1310">
        <v>553.71</v>
      </c>
      <c r="BN386" s="1310">
        <v>560.92999999999995</v>
      </c>
      <c r="BO386" s="1310">
        <v>568.09</v>
      </c>
      <c r="BP386" s="1310">
        <v>575.17999999999995</v>
      </c>
      <c r="BQ386" s="1310">
        <v>582.19000000000005</v>
      </c>
      <c r="BR386" s="1310">
        <v>589.14</v>
      </c>
      <c r="BS386" s="1310">
        <v>596.02</v>
      </c>
      <c r="BT386" s="1310">
        <v>602.83000000000004</v>
      </c>
      <c r="BU386" s="1311">
        <v>609.57000000000005</v>
      </c>
      <c r="BV386" s="1309">
        <v>616.24</v>
      </c>
      <c r="BW386" s="1310">
        <v>622.85</v>
      </c>
      <c r="BX386" s="1310">
        <v>629.39</v>
      </c>
      <c r="BY386" s="1310">
        <v>635.87</v>
      </c>
      <c r="BZ386" s="1310">
        <v>642.29</v>
      </c>
      <c r="CA386" s="1310">
        <v>648.64</v>
      </c>
      <c r="CB386" s="1310">
        <v>654.92999999999995</v>
      </c>
      <c r="CC386" s="1310">
        <v>661.15</v>
      </c>
      <c r="CD386" s="1310">
        <v>667.32</v>
      </c>
      <c r="CE386" s="1311">
        <v>673.42</v>
      </c>
      <c r="CF386" s="1310">
        <v>679.46</v>
      </c>
      <c r="CG386" s="1310">
        <v>685.45</v>
      </c>
      <c r="CH386" s="1311">
        <v>691.37</v>
      </c>
    </row>
    <row r="387" spans="1:86" ht="20.149999999999999" customHeight="1">
      <c r="A387" s="1563" t="s">
        <v>1541</v>
      </c>
      <c r="B387" s="1563" t="s">
        <v>14</v>
      </c>
      <c r="C387" s="1563" t="str">
        <f t="shared" ref="C387" si="7">A387&amp;B387&amp;D387</f>
        <v>PBSDDCIF20</v>
      </c>
      <c r="D387" s="1193">
        <v>20</v>
      </c>
      <c r="E387" s="1312"/>
      <c r="F387" s="1313">
        <v>0.15</v>
      </c>
      <c r="G387" s="1313">
        <v>0.22</v>
      </c>
      <c r="H387" s="1313">
        <v>0.31</v>
      </c>
      <c r="I387" s="1313">
        <v>0.39</v>
      </c>
      <c r="J387" s="1313">
        <v>0.47</v>
      </c>
      <c r="K387" s="1313">
        <v>0.56000000000000005</v>
      </c>
      <c r="L387" s="1313">
        <v>0.66</v>
      </c>
      <c r="M387" s="1314">
        <v>0.75</v>
      </c>
      <c r="N387" s="1312">
        <v>0.85</v>
      </c>
      <c r="O387" s="1313">
        <v>0.96</v>
      </c>
      <c r="P387" s="1313">
        <v>1.07</v>
      </c>
      <c r="Q387" s="1313">
        <v>1.19</v>
      </c>
      <c r="R387" s="1313">
        <v>1.32</v>
      </c>
      <c r="S387" s="1313">
        <v>1.42</v>
      </c>
      <c r="T387" s="1313">
        <v>1.54</v>
      </c>
      <c r="U387" s="1313">
        <v>1.66</v>
      </c>
      <c r="V387" s="1313">
        <v>1.78</v>
      </c>
      <c r="W387" s="1314">
        <v>1.91</v>
      </c>
      <c r="X387" s="1312">
        <v>2.0499999999999998</v>
      </c>
      <c r="Y387" s="1313">
        <v>2.19</v>
      </c>
      <c r="Z387" s="1313">
        <v>2.34</v>
      </c>
      <c r="AA387" s="1313">
        <v>2.5</v>
      </c>
      <c r="AB387" s="1313">
        <v>2.68</v>
      </c>
      <c r="AC387" s="1313">
        <v>2.86</v>
      </c>
      <c r="AD387" s="1313">
        <v>3.05</v>
      </c>
      <c r="AE387" s="1313">
        <v>3.25</v>
      </c>
      <c r="AF387" s="1313">
        <v>3.47</v>
      </c>
      <c r="AG387" s="1314">
        <v>3.69</v>
      </c>
      <c r="AH387" s="1312">
        <v>3.93</v>
      </c>
      <c r="AI387" s="1313">
        <v>4.18</v>
      </c>
      <c r="AJ387" s="1313">
        <v>4.4400000000000004</v>
      </c>
      <c r="AK387" s="1313">
        <v>4.72</v>
      </c>
      <c r="AL387" s="1313">
        <v>5.01</v>
      </c>
      <c r="AM387" s="1313">
        <v>5.31</v>
      </c>
      <c r="AN387" s="1313">
        <v>5.63</v>
      </c>
      <c r="AO387" s="1313">
        <v>5.96</v>
      </c>
      <c r="AP387" s="1313">
        <v>6.31</v>
      </c>
      <c r="AQ387" s="1314">
        <v>6.67</v>
      </c>
      <c r="AR387" s="1312">
        <v>7.05</v>
      </c>
      <c r="AS387" s="1313">
        <v>7.46</v>
      </c>
      <c r="AT387" s="1313">
        <v>7.88</v>
      </c>
      <c r="AU387" s="1313">
        <v>8.33</v>
      </c>
      <c r="AV387" s="1313">
        <v>8.8000000000000007</v>
      </c>
      <c r="AW387" s="1313">
        <v>9.2899999999999991</v>
      </c>
      <c r="AX387" s="1313">
        <v>9.82</v>
      </c>
      <c r="AY387" s="1313">
        <v>10.38</v>
      </c>
      <c r="AZ387" s="1313">
        <v>10.97</v>
      </c>
      <c r="BA387" s="1314">
        <v>11.6</v>
      </c>
      <c r="BB387" s="1312">
        <v>12.27</v>
      </c>
      <c r="BC387" s="1313">
        <v>12.99</v>
      </c>
      <c r="BD387" s="1313">
        <v>13.74</v>
      </c>
      <c r="BE387" s="1313">
        <v>14.55</v>
      </c>
      <c r="BF387" s="1313">
        <v>15.41</v>
      </c>
      <c r="BG387" s="1313">
        <v>16.32</v>
      </c>
      <c r="BH387" s="1313">
        <v>17.28</v>
      </c>
      <c r="BI387" s="1313">
        <v>18.3</v>
      </c>
      <c r="BJ387" s="1313">
        <v>19.38</v>
      </c>
      <c r="BK387" s="1314">
        <v>20.52</v>
      </c>
      <c r="BL387" s="1312">
        <v>21.79</v>
      </c>
      <c r="BM387" s="1313">
        <v>23.06</v>
      </c>
      <c r="BN387" s="1313">
        <v>24.3</v>
      </c>
      <c r="BO387" s="1313">
        <v>25.54</v>
      </c>
      <c r="BP387" s="1313">
        <v>26.77</v>
      </c>
      <c r="BQ387" s="1313">
        <v>27.98</v>
      </c>
      <c r="BR387" s="1313">
        <v>29.18</v>
      </c>
      <c r="BS387" s="1313">
        <v>30.37</v>
      </c>
      <c r="BT387" s="1313">
        <v>31.54</v>
      </c>
      <c r="BU387" s="1314">
        <v>32.71</v>
      </c>
      <c r="BV387" s="1312">
        <v>33.86</v>
      </c>
      <c r="BW387" s="1313">
        <v>35</v>
      </c>
      <c r="BX387" s="1313">
        <v>36.14</v>
      </c>
      <c r="BY387" s="1313">
        <v>37.25</v>
      </c>
      <c r="BZ387" s="1313">
        <v>38.36</v>
      </c>
      <c r="CA387" s="1313">
        <v>39.46</v>
      </c>
      <c r="CB387" s="1313">
        <v>40.549999999999997</v>
      </c>
      <c r="CC387" s="1313">
        <v>41.62</v>
      </c>
      <c r="CD387" s="1313">
        <v>42.69</v>
      </c>
      <c r="CE387" s="1314">
        <v>43.74</v>
      </c>
      <c r="CF387" s="1313">
        <v>44.79</v>
      </c>
      <c r="CG387" s="1313">
        <v>45.82</v>
      </c>
      <c r="CH387" s="1314">
        <v>46.85</v>
      </c>
    </row>
    <row r="388" spans="1:86" ht="20.149999999999999" customHeight="1">
      <c r="A388" s="1563" t="s">
        <v>1541</v>
      </c>
      <c r="B388" s="1563" t="s">
        <v>14</v>
      </c>
      <c r="C388" s="1563" t="str">
        <f t="shared" ref="C388:C437" si="8">A388&amp;B388&amp;D388</f>
        <v>PBSDDCIF21</v>
      </c>
      <c r="D388" s="1194">
        <v>21</v>
      </c>
      <c r="E388" s="1315"/>
      <c r="F388" s="1316">
        <v>0.15</v>
      </c>
      <c r="G388" s="1316">
        <v>0.23</v>
      </c>
      <c r="H388" s="1316">
        <v>0.31</v>
      </c>
      <c r="I388" s="1316">
        <v>0.39</v>
      </c>
      <c r="J388" s="1316">
        <v>0.48</v>
      </c>
      <c r="K388" s="1316">
        <v>0.56999999999999995</v>
      </c>
      <c r="L388" s="1316">
        <v>0.66</v>
      </c>
      <c r="M388" s="1317">
        <v>0.76</v>
      </c>
      <c r="N388" s="1315">
        <v>0.86</v>
      </c>
      <c r="O388" s="1316">
        <v>0.97</v>
      </c>
      <c r="P388" s="1316">
        <v>1.0900000000000001</v>
      </c>
      <c r="Q388" s="1316">
        <v>1.21</v>
      </c>
      <c r="R388" s="1316">
        <v>1.34</v>
      </c>
      <c r="S388" s="1316">
        <v>1.46</v>
      </c>
      <c r="T388" s="1316">
        <v>1.58</v>
      </c>
      <c r="U388" s="1316">
        <v>1.7</v>
      </c>
      <c r="V388" s="1316">
        <v>1.84</v>
      </c>
      <c r="W388" s="1317">
        <v>1.98</v>
      </c>
      <c r="X388" s="1315">
        <v>2.12</v>
      </c>
      <c r="Y388" s="1316">
        <v>2.2799999999999998</v>
      </c>
      <c r="Z388" s="1316">
        <v>2.44</v>
      </c>
      <c r="AA388" s="1316">
        <v>2.62</v>
      </c>
      <c r="AB388" s="1316">
        <v>2.8</v>
      </c>
      <c r="AC388" s="1316">
        <v>3</v>
      </c>
      <c r="AD388" s="1316">
        <v>3.21</v>
      </c>
      <c r="AE388" s="1316">
        <v>3.43</v>
      </c>
      <c r="AF388" s="1316">
        <v>3.66</v>
      </c>
      <c r="AG388" s="1317">
        <v>3.9</v>
      </c>
      <c r="AH388" s="1315">
        <v>4.1500000000000004</v>
      </c>
      <c r="AI388" s="1316">
        <v>4.42</v>
      </c>
      <c r="AJ388" s="1316">
        <v>4.7</v>
      </c>
      <c r="AK388" s="1316">
        <v>5</v>
      </c>
      <c r="AL388" s="1316">
        <v>5.31</v>
      </c>
      <c r="AM388" s="1316">
        <v>5.63</v>
      </c>
      <c r="AN388" s="1316">
        <v>5.97</v>
      </c>
      <c r="AO388" s="1316">
        <v>6.32</v>
      </c>
      <c r="AP388" s="1316">
        <v>6.7</v>
      </c>
      <c r="AQ388" s="1317">
        <v>7.09</v>
      </c>
      <c r="AR388" s="1315">
        <v>7.5</v>
      </c>
      <c r="AS388" s="1316">
        <v>7.93</v>
      </c>
      <c r="AT388" s="1316">
        <v>8.39</v>
      </c>
      <c r="AU388" s="1316">
        <v>8.8699999999999992</v>
      </c>
      <c r="AV388" s="1316">
        <v>9.3699999999999992</v>
      </c>
      <c r="AW388" s="1316">
        <v>9.91</v>
      </c>
      <c r="AX388" s="1316">
        <v>10.48</v>
      </c>
      <c r="AY388" s="1316">
        <v>11.09</v>
      </c>
      <c r="AZ388" s="1316">
        <v>11.73</v>
      </c>
      <c r="BA388" s="1317">
        <v>12.42</v>
      </c>
      <c r="BB388" s="1315">
        <v>13.15</v>
      </c>
      <c r="BC388" s="1316">
        <v>13.92</v>
      </c>
      <c r="BD388" s="1316">
        <v>14.74</v>
      </c>
      <c r="BE388" s="1316">
        <v>15.62</v>
      </c>
      <c r="BF388" s="1316">
        <v>16.55</v>
      </c>
      <c r="BG388" s="1316">
        <v>17.54</v>
      </c>
      <c r="BH388" s="1316">
        <v>18.579999999999998</v>
      </c>
      <c r="BI388" s="1316">
        <v>19.690000000000001</v>
      </c>
      <c r="BJ388" s="1316">
        <v>20.85</v>
      </c>
      <c r="BK388" s="1317">
        <v>22.15</v>
      </c>
      <c r="BL388" s="1315">
        <v>23.44</v>
      </c>
      <c r="BM388" s="1316">
        <v>24.72</v>
      </c>
      <c r="BN388" s="1316">
        <v>25.99</v>
      </c>
      <c r="BO388" s="1316">
        <v>27.24</v>
      </c>
      <c r="BP388" s="1316">
        <v>28.49</v>
      </c>
      <c r="BQ388" s="1316">
        <v>29.72</v>
      </c>
      <c r="BR388" s="1316">
        <v>30.93</v>
      </c>
      <c r="BS388" s="1316">
        <v>32.14</v>
      </c>
      <c r="BT388" s="1316">
        <v>33.33</v>
      </c>
      <c r="BU388" s="1317">
        <v>34.51</v>
      </c>
      <c r="BV388" s="1315">
        <v>35.68</v>
      </c>
      <c r="BW388" s="1316">
        <v>36.840000000000003</v>
      </c>
      <c r="BX388" s="1316">
        <v>37.99</v>
      </c>
      <c r="BY388" s="1316">
        <v>39.119999999999997</v>
      </c>
      <c r="BZ388" s="1316">
        <v>40.25</v>
      </c>
      <c r="CA388" s="1316">
        <v>41.36</v>
      </c>
      <c r="CB388" s="1316">
        <v>42.46</v>
      </c>
      <c r="CC388" s="1316">
        <v>43.55</v>
      </c>
      <c r="CD388" s="1316">
        <v>44.64</v>
      </c>
      <c r="CE388" s="1317">
        <v>45.7</v>
      </c>
      <c r="CF388" s="1316">
        <v>46.76</v>
      </c>
      <c r="CG388" s="1316">
        <v>47.81</v>
      </c>
      <c r="CH388" s="1317">
        <v>48.85</v>
      </c>
    </row>
    <row r="389" spans="1:86" ht="20.149999999999999" customHeight="1">
      <c r="A389" s="1563" t="s">
        <v>1541</v>
      </c>
      <c r="B389" s="1563" t="s">
        <v>14</v>
      </c>
      <c r="C389" s="1563" t="str">
        <f t="shared" si="8"/>
        <v>PBSDDCIF22</v>
      </c>
      <c r="D389" s="1193">
        <v>22</v>
      </c>
      <c r="E389" s="1312"/>
      <c r="F389" s="1313">
        <v>0.15</v>
      </c>
      <c r="G389" s="1313">
        <v>0.23</v>
      </c>
      <c r="H389" s="1313">
        <v>0.31</v>
      </c>
      <c r="I389" s="1313">
        <v>0.39</v>
      </c>
      <c r="J389" s="1313">
        <v>0.48</v>
      </c>
      <c r="K389" s="1313">
        <v>0.56999999999999995</v>
      </c>
      <c r="L389" s="1313">
        <v>0.67</v>
      </c>
      <c r="M389" s="1314">
        <v>0.77</v>
      </c>
      <c r="N389" s="1312">
        <v>0.87</v>
      </c>
      <c r="O389" s="1313">
        <v>0.99</v>
      </c>
      <c r="P389" s="1313">
        <v>1.1100000000000001</v>
      </c>
      <c r="Q389" s="1313">
        <v>1.24</v>
      </c>
      <c r="R389" s="1313">
        <v>1.38</v>
      </c>
      <c r="S389" s="1313">
        <v>1.5</v>
      </c>
      <c r="T389" s="1313">
        <v>1.63</v>
      </c>
      <c r="U389" s="1313">
        <v>1.76</v>
      </c>
      <c r="V389" s="1313">
        <v>1.91</v>
      </c>
      <c r="W389" s="1314">
        <v>2.06</v>
      </c>
      <c r="X389" s="1312">
        <v>2.21</v>
      </c>
      <c r="Y389" s="1313">
        <v>2.38</v>
      </c>
      <c r="Z389" s="1313">
        <v>2.56</v>
      </c>
      <c r="AA389" s="1313">
        <v>2.75</v>
      </c>
      <c r="AB389" s="1313">
        <v>2.95</v>
      </c>
      <c r="AC389" s="1313">
        <v>3.16</v>
      </c>
      <c r="AD389" s="1313">
        <v>3.39</v>
      </c>
      <c r="AE389" s="1313">
        <v>3.62</v>
      </c>
      <c r="AF389" s="1313">
        <v>3.87</v>
      </c>
      <c r="AG389" s="1314">
        <v>4.13</v>
      </c>
      <c r="AH389" s="1312">
        <v>4.4000000000000004</v>
      </c>
      <c r="AI389" s="1313">
        <v>4.6900000000000004</v>
      </c>
      <c r="AJ389" s="1313">
        <v>4.99</v>
      </c>
      <c r="AK389" s="1313">
        <v>5.31</v>
      </c>
      <c r="AL389" s="1313">
        <v>5.64</v>
      </c>
      <c r="AM389" s="1313">
        <v>5.98</v>
      </c>
      <c r="AN389" s="1313">
        <v>6.35</v>
      </c>
      <c r="AO389" s="1313">
        <v>6.73</v>
      </c>
      <c r="AP389" s="1313">
        <v>7.13</v>
      </c>
      <c r="AQ389" s="1314">
        <v>7.55</v>
      </c>
      <c r="AR389" s="1312">
        <v>7.99</v>
      </c>
      <c r="AS389" s="1313">
        <v>8.4499999999999993</v>
      </c>
      <c r="AT389" s="1313">
        <v>8.94</v>
      </c>
      <c r="AU389" s="1313">
        <v>9.4600000000000009</v>
      </c>
      <c r="AV389" s="1313">
        <v>10.01</v>
      </c>
      <c r="AW389" s="1313">
        <v>10.59</v>
      </c>
      <c r="AX389" s="1313">
        <v>11.21</v>
      </c>
      <c r="AY389" s="1313">
        <v>11.87</v>
      </c>
      <c r="AZ389" s="1313">
        <v>12.57</v>
      </c>
      <c r="BA389" s="1314">
        <v>13.31</v>
      </c>
      <c r="BB389" s="1312">
        <v>14.11</v>
      </c>
      <c r="BC389" s="1313">
        <v>14.95</v>
      </c>
      <c r="BD389" s="1313">
        <v>15.84</v>
      </c>
      <c r="BE389" s="1313">
        <v>16.79</v>
      </c>
      <c r="BF389" s="1313">
        <v>17.8</v>
      </c>
      <c r="BG389" s="1313">
        <v>18.87</v>
      </c>
      <c r="BH389" s="1313">
        <v>20</v>
      </c>
      <c r="BI389" s="1313">
        <v>21.19</v>
      </c>
      <c r="BJ389" s="1313">
        <v>22.53</v>
      </c>
      <c r="BK389" s="1314">
        <v>23.85</v>
      </c>
      <c r="BL389" s="1312">
        <v>25.16</v>
      </c>
      <c r="BM389" s="1313">
        <v>26.46</v>
      </c>
      <c r="BN389" s="1313">
        <v>27.74</v>
      </c>
      <c r="BO389" s="1313">
        <v>29.02</v>
      </c>
      <c r="BP389" s="1313">
        <v>30.28</v>
      </c>
      <c r="BQ389" s="1313">
        <v>31.52</v>
      </c>
      <c r="BR389" s="1313">
        <v>32.76</v>
      </c>
      <c r="BS389" s="1313">
        <v>33.979999999999997</v>
      </c>
      <c r="BT389" s="1313">
        <v>35.19</v>
      </c>
      <c r="BU389" s="1314">
        <v>36.39</v>
      </c>
      <c r="BV389" s="1312">
        <v>37.58</v>
      </c>
      <c r="BW389" s="1313">
        <v>38.75</v>
      </c>
      <c r="BX389" s="1313">
        <v>39.92</v>
      </c>
      <c r="BY389" s="1313">
        <v>41.07</v>
      </c>
      <c r="BZ389" s="1313">
        <v>42.21</v>
      </c>
      <c r="CA389" s="1313">
        <v>43.34</v>
      </c>
      <c r="CB389" s="1313">
        <v>44.46</v>
      </c>
      <c r="CC389" s="1313">
        <v>45.56</v>
      </c>
      <c r="CD389" s="1313">
        <v>46.66</v>
      </c>
      <c r="CE389" s="1314">
        <v>47.74</v>
      </c>
      <c r="CF389" s="1313">
        <v>48.82</v>
      </c>
      <c r="CG389" s="1313">
        <v>49.88</v>
      </c>
      <c r="CH389" s="1314">
        <v>50.94</v>
      </c>
    </row>
    <row r="390" spans="1:86" ht="20.149999999999999" customHeight="1">
      <c r="A390" s="1563" t="s">
        <v>1541</v>
      </c>
      <c r="B390" s="1563" t="s">
        <v>14</v>
      </c>
      <c r="C390" s="1563" t="str">
        <f t="shared" si="8"/>
        <v>PBSDDCIF23</v>
      </c>
      <c r="D390" s="1193">
        <v>23</v>
      </c>
      <c r="E390" s="1312"/>
      <c r="F390" s="1313">
        <v>0.15</v>
      </c>
      <c r="G390" s="1313">
        <v>0.23</v>
      </c>
      <c r="H390" s="1313">
        <v>0.31</v>
      </c>
      <c r="I390" s="1313">
        <v>0.4</v>
      </c>
      <c r="J390" s="1313">
        <v>0.48</v>
      </c>
      <c r="K390" s="1313">
        <v>0.57999999999999996</v>
      </c>
      <c r="L390" s="1313">
        <v>0.67</v>
      </c>
      <c r="M390" s="1314">
        <v>0.78</v>
      </c>
      <c r="N390" s="1312">
        <v>0.89</v>
      </c>
      <c r="O390" s="1313">
        <v>1.01</v>
      </c>
      <c r="P390" s="1313">
        <v>1.1399999999999999</v>
      </c>
      <c r="Q390" s="1313">
        <v>1.27</v>
      </c>
      <c r="R390" s="1313">
        <v>1.42</v>
      </c>
      <c r="S390" s="1313">
        <v>1.55</v>
      </c>
      <c r="T390" s="1313">
        <v>1.69</v>
      </c>
      <c r="U390" s="1313">
        <v>1.83</v>
      </c>
      <c r="V390" s="1313">
        <v>1.99</v>
      </c>
      <c r="W390" s="1314">
        <v>2.15</v>
      </c>
      <c r="X390" s="1312">
        <v>2.3199999999999998</v>
      </c>
      <c r="Y390" s="1313">
        <v>2.5</v>
      </c>
      <c r="Z390" s="1313">
        <v>2.7</v>
      </c>
      <c r="AA390" s="1313">
        <v>2.9</v>
      </c>
      <c r="AB390" s="1313">
        <v>3.12</v>
      </c>
      <c r="AC390" s="1313">
        <v>3.35</v>
      </c>
      <c r="AD390" s="1313">
        <v>3.59</v>
      </c>
      <c r="AE390" s="1313">
        <v>3.84</v>
      </c>
      <c r="AF390" s="1313">
        <v>4.1100000000000003</v>
      </c>
      <c r="AG390" s="1314">
        <v>4.3899999999999997</v>
      </c>
      <c r="AH390" s="1312">
        <v>4.68</v>
      </c>
      <c r="AI390" s="1313">
        <v>4.99</v>
      </c>
      <c r="AJ390" s="1313">
        <v>5.31</v>
      </c>
      <c r="AK390" s="1313">
        <v>5.65</v>
      </c>
      <c r="AL390" s="1313">
        <v>6</v>
      </c>
      <c r="AM390" s="1313">
        <v>6.37</v>
      </c>
      <c r="AN390" s="1313">
        <v>6.76</v>
      </c>
      <c r="AO390" s="1313">
        <v>7.17</v>
      </c>
      <c r="AP390" s="1313">
        <v>7.6</v>
      </c>
      <c r="AQ390" s="1314">
        <v>8.0500000000000007</v>
      </c>
      <c r="AR390" s="1312">
        <v>8.52</v>
      </c>
      <c r="AS390" s="1313">
        <v>9.02</v>
      </c>
      <c r="AT390" s="1313">
        <v>9.5500000000000007</v>
      </c>
      <c r="AU390" s="1313">
        <v>10.11</v>
      </c>
      <c r="AV390" s="1313">
        <v>10.71</v>
      </c>
      <c r="AW390" s="1313">
        <v>11.34</v>
      </c>
      <c r="AX390" s="1313">
        <v>12.01</v>
      </c>
      <c r="AY390" s="1313">
        <v>12.73</v>
      </c>
      <c r="AZ390" s="1313">
        <v>13.49</v>
      </c>
      <c r="BA390" s="1314">
        <v>14.3</v>
      </c>
      <c r="BB390" s="1312">
        <v>15.16</v>
      </c>
      <c r="BC390" s="1313">
        <v>16.079999999999998</v>
      </c>
      <c r="BD390" s="1313">
        <v>17.05</v>
      </c>
      <c r="BE390" s="1313">
        <v>18.079999999999998</v>
      </c>
      <c r="BF390" s="1313">
        <v>19.170000000000002</v>
      </c>
      <c r="BG390" s="1313">
        <v>20.329999999999998</v>
      </c>
      <c r="BH390" s="1313">
        <v>21.54</v>
      </c>
      <c r="BI390" s="1313">
        <v>22.92</v>
      </c>
      <c r="BJ390" s="1313">
        <v>24.27</v>
      </c>
      <c r="BK390" s="1314">
        <v>25.62</v>
      </c>
      <c r="BL390" s="1312">
        <v>26.95</v>
      </c>
      <c r="BM390" s="1313">
        <v>28.26</v>
      </c>
      <c r="BN390" s="1313">
        <v>29.57</v>
      </c>
      <c r="BO390" s="1313">
        <v>30.86</v>
      </c>
      <c r="BP390" s="1313">
        <v>32.14</v>
      </c>
      <c r="BQ390" s="1313">
        <v>33.409999999999997</v>
      </c>
      <c r="BR390" s="1313">
        <v>34.659999999999997</v>
      </c>
      <c r="BS390" s="1313">
        <v>35.9</v>
      </c>
      <c r="BT390" s="1313">
        <v>37.130000000000003</v>
      </c>
      <c r="BU390" s="1314">
        <v>38.340000000000003</v>
      </c>
      <c r="BV390" s="1312">
        <v>39.549999999999997</v>
      </c>
      <c r="BW390" s="1313">
        <v>40.74</v>
      </c>
      <c r="BX390" s="1313">
        <v>41.92</v>
      </c>
      <c r="BY390" s="1313">
        <v>43.09</v>
      </c>
      <c r="BZ390" s="1313">
        <v>44.25</v>
      </c>
      <c r="CA390" s="1313">
        <v>45.4</v>
      </c>
      <c r="CB390" s="1313">
        <v>46.53</v>
      </c>
      <c r="CC390" s="1313">
        <v>47.65</v>
      </c>
      <c r="CD390" s="1313">
        <v>48.77</v>
      </c>
      <c r="CE390" s="1314">
        <v>49.87</v>
      </c>
      <c r="CF390" s="1313">
        <v>50.96</v>
      </c>
      <c r="CG390" s="1313">
        <v>52.04</v>
      </c>
      <c r="CH390" s="1314">
        <v>53.11</v>
      </c>
    </row>
    <row r="391" spans="1:86" ht="20.149999999999999" customHeight="1">
      <c r="A391" s="1563" t="s">
        <v>1541</v>
      </c>
      <c r="B391" s="1563" t="s">
        <v>14</v>
      </c>
      <c r="C391" s="1563" t="str">
        <f t="shared" si="8"/>
        <v>PBSDDCIF24</v>
      </c>
      <c r="D391" s="1193">
        <v>24</v>
      </c>
      <c r="E391" s="1312"/>
      <c r="F391" s="1313">
        <v>0.15</v>
      </c>
      <c r="G391" s="1313">
        <v>0.23</v>
      </c>
      <c r="H391" s="1313">
        <v>0.31</v>
      </c>
      <c r="I391" s="1313">
        <v>0.4</v>
      </c>
      <c r="J391" s="1313">
        <v>0.49</v>
      </c>
      <c r="K391" s="1313">
        <v>0.59</v>
      </c>
      <c r="L391" s="1313">
        <v>0.69</v>
      </c>
      <c r="M391" s="1314">
        <v>0.8</v>
      </c>
      <c r="N391" s="1312">
        <v>0.91</v>
      </c>
      <c r="O391" s="1313">
        <v>1.04</v>
      </c>
      <c r="P391" s="1313">
        <v>1.17</v>
      </c>
      <c r="Q391" s="1313">
        <v>1.32</v>
      </c>
      <c r="R391" s="1313">
        <v>1.48</v>
      </c>
      <c r="S391" s="1313">
        <v>1.62</v>
      </c>
      <c r="T391" s="1313">
        <v>1.76</v>
      </c>
      <c r="U391" s="1313">
        <v>1.92</v>
      </c>
      <c r="V391" s="1313">
        <v>2.09</v>
      </c>
      <c r="W391" s="1314">
        <v>2.2599999999999998</v>
      </c>
      <c r="X391" s="1312">
        <v>2.4500000000000002</v>
      </c>
      <c r="Y391" s="1313">
        <v>2.65</v>
      </c>
      <c r="Z391" s="1313">
        <v>2.86</v>
      </c>
      <c r="AA391" s="1313">
        <v>3.08</v>
      </c>
      <c r="AB391" s="1313">
        <v>3.31</v>
      </c>
      <c r="AC391" s="1313">
        <v>3.56</v>
      </c>
      <c r="AD391" s="1313">
        <v>3.82</v>
      </c>
      <c r="AE391" s="1313">
        <v>4.09</v>
      </c>
      <c r="AF391" s="1313">
        <v>4.38</v>
      </c>
      <c r="AG391" s="1314">
        <v>4.68</v>
      </c>
      <c r="AH391" s="1312">
        <v>4.99</v>
      </c>
      <c r="AI391" s="1313">
        <v>5.32</v>
      </c>
      <c r="AJ391" s="1313">
        <v>5.67</v>
      </c>
      <c r="AK391" s="1313">
        <v>6.03</v>
      </c>
      <c r="AL391" s="1313">
        <v>6.41</v>
      </c>
      <c r="AM391" s="1313">
        <v>6.8</v>
      </c>
      <c r="AN391" s="1313">
        <v>7.22</v>
      </c>
      <c r="AO391" s="1313">
        <v>7.66</v>
      </c>
      <c r="AP391" s="1313">
        <v>8.1199999999999992</v>
      </c>
      <c r="AQ391" s="1314">
        <v>8.6</v>
      </c>
      <c r="AR391" s="1312">
        <v>9.11</v>
      </c>
      <c r="AS391" s="1313">
        <v>9.65</v>
      </c>
      <c r="AT391" s="1313">
        <v>10.23</v>
      </c>
      <c r="AU391" s="1313">
        <v>10.84</v>
      </c>
      <c r="AV391" s="1313">
        <v>11.48</v>
      </c>
      <c r="AW391" s="1313">
        <v>12.17</v>
      </c>
      <c r="AX391" s="1313">
        <v>12.9</v>
      </c>
      <c r="AY391" s="1313">
        <v>13.68</v>
      </c>
      <c r="AZ391" s="1313">
        <v>14.51</v>
      </c>
      <c r="BA391" s="1314">
        <v>15.39</v>
      </c>
      <c r="BB391" s="1312">
        <v>16.32</v>
      </c>
      <c r="BC391" s="1313">
        <v>17.32</v>
      </c>
      <c r="BD391" s="1313">
        <v>18.37</v>
      </c>
      <c r="BE391" s="1313">
        <v>19.489999999999998</v>
      </c>
      <c r="BF391" s="1313">
        <v>20.67</v>
      </c>
      <c r="BG391" s="1313">
        <v>21.92</v>
      </c>
      <c r="BH391" s="1313">
        <v>23.33</v>
      </c>
      <c r="BI391" s="1313">
        <v>24.72</v>
      </c>
      <c r="BJ391" s="1313">
        <v>26.1</v>
      </c>
      <c r="BK391" s="1314">
        <v>27.46</v>
      </c>
      <c r="BL391" s="1312">
        <v>28.81</v>
      </c>
      <c r="BM391" s="1313">
        <v>30.15</v>
      </c>
      <c r="BN391" s="1313">
        <v>31.47</v>
      </c>
      <c r="BO391" s="1313">
        <v>32.78</v>
      </c>
      <c r="BP391" s="1313">
        <v>34.08</v>
      </c>
      <c r="BQ391" s="1313">
        <v>35.369999999999997</v>
      </c>
      <c r="BR391" s="1313">
        <v>36.64</v>
      </c>
      <c r="BS391" s="1313">
        <v>37.9</v>
      </c>
      <c r="BT391" s="1313">
        <v>39.15</v>
      </c>
      <c r="BU391" s="1314">
        <v>40.380000000000003</v>
      </c>
      <c r="BV391" s="1312">
        <v>41.61</v>
      </c>
      <c r="BW391" s="1313">
        <v>42.82</v>
      </c>
      <c r="BX391" s="1313">
        <v>44.02</v>
      </c>
      <c r="BY391" s="1313">
        <v>45.2</v>
      </c>
      <c r="BZ391" s="1313">
        <v>46.38</v>
      </c>
      <c r="CA391" s="1313">
        <v>47.54</v>
      </c>
      <c r="CB391" s="1313">
        <v>48.69</v>
      </c>
      <c r="CC391" s="1313">
        <v>49.83</v>
      </c>
      <c r="CD391" s="1313">
        <v>50.96</v>
      </c>
      <c r="CE391" s="1314">
        <v>52.08</v>
      </c>
      <c r="CF391" s="1313">
        <v>53.19</v>
      </c>
      <c r="CG391" s="1313">
        <v>54.29</v>
      </c>
      <c r="CH391" s="1314">
        <v>55.37</v>
      </c>
    </row>
    <row r="392" spans="1:86" ht="20.149999999999999" customHeight="1">
      <c r="A392" s="1563" t="s">
        <v>1541</v>
      </c>
      <c r="B392" s="1563" t="s">
        <v>14</v>
      </c>
      <c r="C392" s="1563" t="str">
        <f t="shared" si="8"/>
        <v>PBSDDCIF25</v>
      </c>
      <c r="D392" s="1195">
        <v>25</v>
      </c>
      <c r="E392" s="1318"/>
      <c r="F392" s="1319">
        <v>0.15</v>
      </c>
      <c r="G392" s="1319">
        <v>0.23</v>
      </c>
      <c r="H392" s="1319">
        <v>0.32</v>
      </c>
      <c r="I392" s="1319">
        <v>0.4</v>
      </c>
      <c r="J392" s="1319">
        <v>0.5</v>
      </c>
      <c r="K392" s="1319">
        <v>0.6</v>
      </c>
      <c r="L392" s="1319">
        <v>0.71</v>
      </c>
      <c r="M392" s="1320">
        <v>0.82</v>
      </c>
      <c r="N392" s="1318">
        <v>0.95</v>
      </c>
      <c r="O392" s="1319">
        <v>1.08</v>
      </c>
      <c r="P392" s="1319">
        <v>1.22</v>
      </c>
      <c r="Q392" s="1319">
        <v>1.38</v>
      </c>
      <c r="R392" s="1319">
        <v>1.55</v>
      </c>
      <c r="S392" s="1319">
        <v>1.7</v>
      </c>
      <c r="T392" s="1319">
        <v>1.86</v>
      </c>
      <c r="U392" s="1319">
        <v>2.0299999999999998</v>
      </c>
      <c r="V392" s="1319">
        <v>2.21</v>
      </c>
      <c r="W392" s="1320">
        <v>2.4</v>
      </c>
      <c r="X392" s="1318">
        <v>2.6</v>
      </c>
      <c r="Y392" s="1319">
        <v>2.81</v>
      </c>
      <c r="Z392" s="1319">
        <v>3.04</v>
      </c>
      <c r="AA392" s="1319">
        <v>3.28</v>
      </c>
      <c r="AB392" s="1319">
        <v>3.53</v>
      </c>
      <c r="AC392" s="1319">
        <v>3.8</v>
      </c>
      <c r="AD392" s="1319">
        <v>4.08</v>
      </c>
      <c r="AE392" s="1319">
        <v>4.37</v>
      </c>
      <c r="AF392" s="1319">
        <v>4.68</v>
      </c>
      <c r="AG392" s="1320">
        <v>5</v>
      </c>
      <c r="AH392" s="1318">
        <v>5.34</v>
      </c>
      <c r="AI392" s="1319">
        <v>5.69</v>
      </c>
      <c r="AJ392" s="1319">
        <v>6.06</v>
      </c>
      <c r="AK392" s="1319">
        <v>6.44</v>
      </c>
      <c r="AL392" s="1319">
        <v>6.85</v>
      </c>
      <c r="AM392" s="1319">
        <v>7.28</v>
      </c>
      <c r="AN392" s="1319">
        <v>7.72</v>
      </c>
      <c r="AO392" s="1319">
        <v>8.19</v>
      </c>
      <c r="AP392" s="1319">
        <v>8.69</v>
      </c>
      <c r="AQ392" s="1320">
        <v>9.2100000000000009</v>
      </c>
      <c r="AR392" s="1318">
        <v>9.76</v>
      </c>
      <c r="AS392" s="1319">
        <v>10.35</v>
      </c>
      <c r="AT392" s="1319">
        <v>10.97</v>
      </c>
      <c r="AU392" s="1319">
        <v>11.63</v>
      </c>
      <c r="AV392" s="1319">
        <v>12.33</v>
      </c>
      <c r="AW392" s="1319">
        <v>13.08</v>
      </c>
      <c r="AX392" s="1319">
        <v>13.88</v>
      </c>
      <c r="AY392" s="1319">
        <v>14.73</v>
      </c>
      <c r="AZ392" s="1319">
        <v>15.63</v>
      </c>
      <c r="BA392" s="1320">
        <v>16.579999999999998</v>
      </c>
      <c r="BB392" s="1318">
        <v>17.600000000000001</v>
      </c>
      <c r="BC392" s="1319">
        <v>18.68</v>
      </c>
      <c r="BD392" s="1319">
        <v>19.829999999999998</v>
      </c>
      <c r="BE392" s="1319">
        <v>21.04</v>
      </c>
      <c r="BF392" s="1319">
        <v>22.32</v>
      </c>
      <c r="BG392" s="1319">
        <v>23.76</v>
      </c>
      <c r="BH392" s="1319">
        <v>25.19</v>
      </c>
      <c r="BI392" s="1319">
        <v>26.6</v>
      </c>
      <c r="BJ392" s="1319">
        <v>28</v>
      </c>
      <c r="BK392" s="1320">
        <v>29.38</v>
      </c>
      <c r="BL392" s="1318">
        <v>30.76</v>
      </c>
      <c r="BM392" s="1319">
        <v>32.119999999999997</v>
      </c>
      <c r="BN392" s="1319">
        <v>33.46</v>
      </c>
      <c r="BO392" s="1319">
        <v>34.79</v>
      </c>
      <c r="BP392" s="1319">
        <v>36.11</v>
      </c>
      <c r="BQ392" s="1319">
        <v>37.42</v>
      </c>
      <c r="BR392" s="1319">
        <v>38.71</v>
      </c>
      <c r="BS392" s="1319">
        <v>39.99</v>
      </c>
      <c r="BT392" s="1319">
        <v>41.26</v>
      </c>
      <c r="BU392" s="1320">
        <v>42.51</v>
      </c>
      <c r="BV392" s="1318">
        <v>43.75</v>
      </c>
      <c r="BW392" s="1319">
        <v>44.98</v>
      </c>
      <c r="BX392" s="1319">
        <v>46.2</v>
      </c>
      <c r="BY392" s="1319">
        <v>47.41</v>
      </c>
      <c r="BZ392" s="1319">
        <v>48.6</v>
      </c>
      <c r="CA392" s="1319">
        <v>49.78</v>
      </c>
      <c r="CB392" s="1319">
        <v>50.95</v>
      </c>
      <c r="CC392" s="1319">
        <v>52.11</v>
      </c>
      <c r="CD392" s="1319">
        <v>53.26</v>
      </c>
      <c r="CE392" s="1320">
        <v>54.39</v>
      </c>
      <c r="CF392" s="1319">
        <v>55.52</v>
      </c>
      <c r="CG392" s="1319">
        <v>56.63</v>
      </c>
      <c r="CH392" s="1320">
        <v>57.74</v>
      </c>
    </row>
    <row r="393" spans="1:86" ht="20.149999999999999" customHeight="1">
      <c r="A393" s="1563" t="s">
        <v>1541</v>
      </c>
      <c r="B393" s="1563" t="s">
        <v>14</v>
      </c>
      <c r="C393" s="1563" t="str">
        <f t="shared" si="8"/>
        <v>PBSDDCIF26</v>
      </c>
      <c r="D393" s="1193">
        <v>26</v>
      </c>
      <c r="E393" s="1312"/>
      <c r="F393" s="1313">
        <v>0.15</v>
      </c>
      <c r="G393" s="1313">
        <v>0.24</v>
      </c>
      <c r="H393" s="1313">
        <v>0.32</v>
      </c>
      <c r="I393" s="1313">
        <v>0.42</v>
      </c>
      <c r="J393" s="1313">
        <v>0.51</v>
      </c>
      <c r="K393" s="1313">
        <v>0.62</v>
      </c>
      <c r="L393" s="1313">
        <v>0.73</v>
      </c>
      <c r="M393" s="1314">
        <v>0.86</v>
      </c>
      <c r="N393" s="1312">
        <v>0.99</v>
      </c>
      <c r="O393" s="1313">
        <v>1.1299999999999999</v>
      </c>
      <c r="P393" s="1313">
        <v>1.28</v>
      </c>
      <c r="Q393" s="1313">
        <v>1.45</v>
      </c>
      <c r="R393" s="1313">
        <v>1.63</v>
      </c>
      <c r="S393" s="1313">
        <v>1.8</v>
      </c>
      <c r="T393" s="1313">
        <v>1.97</v>
      </c>
      <c r="U393" s="1313">
        <v>2.16</v>
      </c>
      <c r="V393" s="1313">
        <v>2.35</v>
      </c>
      <c r="W393" s="1314">
        <v>2.56</v>
      </c>
      <c r="X393" s="1312">
        <v>2.78</v>
      </c>
      <c r="Y393" s="1313">
        <v>3.01</v>
      </c>
      <c r="Z393" s="1313">
        <v>3.26</v>
      </c>
      <c r="AA393" s="1313">
        <v>3.51</v>
      </c>
      <c r="AB393" s="1313">
        <v>3.79</v>
      </c>
      <c r="AC393" s="1313">
        <v>4.07</v>
      </c>
      <c r="AD393" s="1313">
        <v>4.37</v>
      </c>
      <c r="AE393" s="1313">
        <v>4.68</v>
      </c>
      <c r="AF393" s="1313">
        <v>5.01</v>
      </c>
      <c r="AG393" s="1314">
        <v>5.36</v>
      </c>
      <c r="AH393" s="1312">
        <v>5.72</v>
      </c>
      <c r="AI393" s="1313">
        <v>6.1</v>
      </c>
      <c r="AJ393" s="1313">
        <v>6.49</v>
      </c>
      <c r="AK393" s="1313">
        <v>6.91</v>
      </c>
      <c r="AL393" s="1313">
        <v>7.34</v>
      </c>
      <c r="AM393" s="1313">
        <v>7.8</v>
      </c>
      <c r="AN393" s="1313">
        <v>8.2799999999999994</v>
      </c>
      <c r="AO393" s="1313">
        <v>8.7899999999999991</v>
      </c>
      <c r="AP393" s="1313">
        <v>9.32</v>
      </c>
      <c r="AQ393" s="1314">
        <v>9.89</v>
      </c>
      <c r="AR393" s="1312">
        <v>10.48</v>
      </c>
      <c r="AS393" s="1313">
        <v>11.12</v>
      </c>
      <c r="AT393" s="1313">
        <v>11.8</v>
      </c>
      <c r="AU393" s="1313">
        <v>12.51</v>
      </c>
      <c r="AV393" s="1313">
        <v>13.28</v>
      </c>
      <c r="AW393" s="1313">
        <v>14.09</v>
      </c>
      <c r="AX393" s="1313">
        <v>14.96</v>
      </c>
      <c r="AY393" s="1313">
        <v>15.88</v>
      </c>
      <c r="AZ393" s="1313">
        <v>16.86</v>
      </c>
      <c r="BA393" s="1314">
        <v>17.899999999999999</v>
      </c>
      <c r="BB393" s="1312">
        <v>19.010000000000002</v>
      </c>
      <c r="BC393" s="1313">
        <v>20.18</v>
      </c>
      <c r="BD393" s="1313">
        <v>21.42</v>
      </c>
      <c r="BE393" s="1313">
        <v>22.73</v>
      </c>
      <c r="BF393" s="1313">
        <v>24.21</v>
      </c>
      <c r="BG393" s="1313">
        <v>25.68</v>
      </c>
      <c r="BH393" s="1313">
        <v>27.13</v>
      </c>
      <c r="BI393" s="1313">
        <v>28.57</v>
      </c>
      <c r="BJ393" s="1313">
        <v>29.99</v>
      </c>
      <c r="BK393" s="1314">
        <v>31.4</v>
      </c>
      <c r="BL393" s="1312">
        <v>32.79</v>
      </c>
      <c r="BM393" s="1313">
        <v>34.17</v>
      </c>
      <c r="BN393" s="1313">
        <v>35.54</v>
      </c>
      <c r="BO393" s="1313">
        <v>36.89</v>
      </c>
      <c r="BP393" s="1313">
        <v>38.229999999999997</v>
      </c>
      <c r="BQ393" s="1313">
        <v>39.56</v>
      </c>
      <c r="BR393" s="1313">
        <v>40.869999999999997</v>
      </c>
      <c r="BS393" s="1313">
        <v>42.17</v>
      </c>
      <c r="BT393" s="1313">
        <v>43.46</v>
      </c>
      <c r="BU393" s="1314">
        <v>44.74</v>
      </c>
      <c r="BV393" s="1312">
        <v>46</v>
      </c>
      <c r="BW393" s="1313">
        <v>47.25</v>
      </c>
      <c r="BX393" s="1313">
        <v>48.49</v>
      </c>
      <c r="BY393" s="1313">
        <v>49.71</v>
      </c>
      <c r="BZ393" s="1313">
        <v>50.92</v>
      </c>
      <c r="CA393" s="1313">
        <v>52.13</v>
      </c>
      <c r="CB393" s="1313">
        <v>53.31</v>
      </c>
      <c r="CC393" s="1313">
        <v>54.49</v>
      </c>
      <c r="CD393" s="1313">
        <v>55.66</v>
      </c>
      <c r="CE393" s="1314">
        <v>56.81</v>
      </c>
      <c r="CF393" s="1313">
        <v>57.95</v>
      </c>
      <c r="CG393" s="1313">
        <v>59.09</v>
      </c>
      <c r="CH393" s="1314">
        <v>60.21</v>
      </c>
    </row>
    <row r="394" spans="1:86" ht="20.149999999999999" customHeight="1">
      <c r="A394" s="1563" t="s">
        <v>1541</v>
      </c>
      <c r="B394" s="1563" t="s">
        <v>14</v>
      </c>
      <c r="C394" s="1563" t="str">
        <f t="shared" si="8"/>
        <v>PBSDDCIF27</v>
      </c>
      <c r="D394" s="1193">
        <v>27</v>
      </c>
      <c r="E394" s="1312"/>
      <c r="F394" s="1313">
        <v>0.16</v>
      </c>
      <c r="G394" s="1313">
        <v>0.24</v>
      </c>
      <c r="H394" s="1313">
        <v>0.33</v>
      </c>
      <c r="I394" s="1313">
        <v>0.43</v>
      </c>
      <c r="J394" s="1313">
        <v>0.54</v>
      </c>
      <c r="K394" s="1313">
        <v>0.65</v>
      </c>
      <c r="L394" s="1313">
        <v>0.77</v>
      </c>
      <c r="M394" s="1314">
        <v>0.9</v>
      </c>
      <c r="N394" s="1312">
        <v>1.04</v>
      </c>
      <c r="O394" s="1313">
        <v>1.2</v>
      </c>
      <c r="P394" s="1313">
        <v>1.36</v>
      </c>
      <c r="Q394" s="1313">
        <v>1.54</v>
      </c>
      <c r="R394" s="1313">
        <v>1.74</v>
      </c>
      <c r="S394" s="1313">
        <v>1.92</v>
      </c>
      <c r="T394" s="1313">
        <v>2.11</v>
      </c>
      <c r="U394" s="1313">
        <v>2.31</v>
      </c>
      <c r="V394" s="1313">
        <v>2.52</v>
      </c>
      <c r="W394" s="1314">
        <v>2.74</v>
      </c>
      <c r="X394" s="1312">
        <v>2.98</v>
      </c>
      <c r="Y394" s="1313">
        <v>3.23</v>
      </c>
      <c r="Z394" s="1313">
        <v>3.5</v>
      </c>
      <c r="AA394" s="1313">
        <v>3.78</v>
      </c>
      <c r="AB394" s="1313">
        <v>4.07</v>
      </c>
      <c r="AC394" s="1313">
        <v>4.38</v>
      </c>
      <c r="AD394" s="1313">
        <v>4.7</v>
      </c>
      <c r="AE394" s="1313">
        <v>5.03</v>
      </c>
      <c r="AF394" s="1313">
        <v>5.39</v>
      </c>
      <c r="AG394" s="1314">
        <v>5.75</v>
      </c>
      <c r="AH394" s="1312">
        <v>6.14</v>
      </c>
      <c r="AI394" s="1313">
        <v>6.55</v>
      </c>
      <c r="AJ394" s="1313">
        <v>6.97</v>
      </c>
      <c r="AK394" s="1313">
        <v>7.41</v>
      </c>
      <c r="AL394" s="1313">
        <v>7.88</v>
      </c>
      <c r="AM394" s="1313">
        <v>8.3699999999999992</v>
      </c>
      <c r="AN394" s="1313">
        <v>8.89</v>
      </c>
      <c r="AO394" s="1313">
        <v>9.44</v>
      </c>
      <c r="AP394" s="1313">
        <v>10.02</v>
      </c>
      <c r="AQ394" s="1314">
        <v>10.63</v>
      </c>
      <c r="AR394" s="1312">
        <v>11.28</v>
      </c>
      <c r="AS394" s="1313">
        <v>11.97</v>
      </c>
      <c r="AT394" s="1313">
        <v>12.7</v>
      </c>
      <c r="AU394" s="1313">
        <v>13.49</v>
      </c>
      <c r="AV394" s="1313">
        <v>14.32</v>
      </c>
      <c r="AW394" s="1313">
        <v>15.21</v>
      </c>
      <c r="AX394" s="1313">
        <v>16.149999999999999</v>
      </c>
      <c r="AY394" s="1313">
        <v>17.149999999999999</v>
      </c>
      <c r="AZ394" s="1313">
        <v>18.22</v>
      </c>
      <c r="BA394" s="1314">
        <v>19.36</v>
      </c>
      <c r="BB394" s="1312">
        <v>20.56</v>
      </c>
      <c r="BC394" s="1313">
        <v>21.83</v>
      </c>
      <c r="BD394" s="1313">
        <v>23.17</v>
      </c>
      <c r="BE394" s="1313">
        <v>24.69</v>
      </c>
      <c r="BF394" s="1313">
        <v>26.19</v>
      </c>
      <c r="BG394" s="1313">
        <v>27.68</v>
      </c>
      <c r="BH394" s="1313">
        <v>29.16</v>
      </c>
      <c r="BI394" s="1313">
        <v>30.62</v>
      </c>
      <c r="BJ394" s="1313">
        <v>32.07</v>
      </c>
      <c r="BK394" s="1314">
        <v>33.5</v>
      </c>
      <c r="BL394" s="1312">
        <v>34.92</v>
      </c>
      <c r="BM394" s="1313">
        <v>36.32</v>
      </c>
      <c r="BN394" s="1313">
        <v>37.71</v>
      </c>
      <c r="BO394" s="1313">
        <v>39.090000000000003</v>
      </c>
      <c r="BP394" s="1313">
        <v>40.450000000000003</v>
      </c>
      <c r="BQ394" s="1313">
        <v>41.8</v>
      </c>
      <c r="BR394" s="1313">
        <v>43.13</v>
      </c>
      <c r="BS394" s="1313">
        <v>44.45</v>
      </c>
      <c r="BT394" s="1313">
        <v>45.76</v>
      </c>
      <c r="BU394" s="1314">
        <v>47.06</v>
      </c>
      <c r="BV394" s="1312">
        <v>48.34</v>
      </c>
      <c r="BW394" s="1313">
        <v>49.61</v>
      </c>
      <c r="BX394" s="1313">
        <v>50.87</v>
      </c>
      <c r="BY394" s="1313">
        <v>52.12</v>
      </c>
      <c r="BZ394" s="1313">
        <v>53.35</v>
      </c>
      <c r="CA394" s="1313">
        <v>54.57</v>
      </c>
      <c r="CB394" s="1313">
        <v>55.78</v>
      </c>
      <c r="CC394" s="1313">
        <v>56.98</v>
      </c>
      <c r="CD394" s="1313">
        <v>58.16</v>
      </c>
      <c r="CE394" s="1314">
        <v>59.34</v>
      </c>
      <c r="CF394" s="1313">
        <v>60.5</v>
      </c>
      <c r="CG394" s="1313">
        <v>61.65</v>
      </c>
      <c r="CH394" s="1314">
        <v>62.79</v>
      </c>
    </row>
    <row r="395" spans="1:86" ht="20.149999999999999" customHeight="1">
      <c r="A395" s="1563" t="s">
        <v>1541</v>
      </c>
      <c r="B395" s="1563" t="s">
        <v>14</v>
      </c>
      <c r="C395" s="1563" t="str">
        <f t="shared" si="8"/>
        <v>PBSDDCIF28</v>
      </c>
      <c r="D395" s="1193">
        <v>28</v>
      </c>
      <c r="E395" s="1312"/>
      <c r="F395" s="1313">
        <v>0.16</v>
      </c>
      <c r="G395" s="1313">
        <v>0.25</v>
      </c>
      <c r="H395" s="1313">
        <v>0.35</v>
      </c>
      <c r="I395" s="1313">
        <v>0.45</v>
      </c>
      <c r="J395" s="1313">
        <v>0.56999999999999995</v>
      </c>
      <c r="K395" s="1313">
        <v>0.69</v>
      </c>
      <c r="L395" s="1313">
        <v>0.82</v>
      </c>
      <c r="M395" s="1314">
        <v>0.96</v>
      </c>
      <c r="N395" s="1312">
        <v>1.1100000000000001</v>
      </c>
      <c r="O395" s="1313">
        <v>1.27</v>
      </c>
      <c r="P395" s="1313">
        <v>1.45</v>
      </c>
      <c r="Q395" s="1313">
        <v>1.65</v>
      </c>
      <c r="R395" s="1313">
        <v>1.86</v>
      </c>
      <c r="S395" s="1313">
        <v>2.06</v>
      </c>
      <c r="T395" s="1313">
        <v>2.2599999999999998</v>
      </c>
      <c r="U395" s="1313">
        <v>2.48</v>
      </c>
      <c r="V395" s="1313">
        <v>2.71</v>
      </c>
      <c r="W395" s="1314">
        <v>2.96</v>
      </c>
      <c r="X395" s="1312">
        <v>3.21</v>
      </c>
      <c r="Y395" s="1313">
        <v>3.48</v>
      </c>
      <c r="Z395" s="1313">
        <v>3.77</v>
      </c>
      <c r="AA395" s="1313">
        <v>4.07</v>
      </c>
      <c r="AB395" s="1313">
        <v>4.38</v>
      </c>
      <c r="AC395" s="1313">
        <v>4.71</v>
      </c>
      <c r="AD395" s="1313">
        <v>5.0599999999999996</v>
      </c>
      <c r="AE395" s="1313">
        <v>5.42</v>
      </c>
      <c r="AF395" s="1313">
        <v>5.79</v>
      </c>
      <c r="AG395" s="1314">
        <v>6.19</v>
      </c>
      <c r="AH395" s="1312">
        <v>6.6</v>
      </c>
      <c r="AI395" s="1313">
        <v>7.04</v>
      </c>
      <c r="AJ395" s="1313">
        <v>7.49</v>
      </c>
      <c r="AK395" s="1313">
        <v>7.97</v>
      </c>
      <c r="AL395" s="1313">
        <v>8.4700000000000006</v>
      </c>
      <c r="AM395" s="1313">
        <v>9</v>
      </c>
      <c r="AN395" s="1313">
        <v>9.56</v>
      </c>
      <c r="AO395" s="1313">
        <v>10.15</v>
      </c>
      <c r="AP395" s="1313">
        <v>10.78</v>
      </c>
      <c r="AQ395" s="1314">
        <v>11.45</v>
      </c>
      <c r="AR395" s="1312">
        <v>12.15</v>
      </c>
      <c r="AS395" s="1313">
        <v>12.9</v>
      </c>
      <c r="AT395" s="1313">
        <v>13.71</v>
      </c>
      <c r="AU395" s="1313">
        <v>14.56</v>
      </c>
      <c r="AV395" s="1313">
        <v>15.47</v>
      </c>
      <c r="AW395" s="1313">
        <v>16.43</v>
      </c>
      <c r="AX395" s="1313">
        <v>17.46</v>
      </c>
      <c r="AY395" s="1313">
        <v>18.559999999999999</v>
      </c>
      <c r="AZ395" s="1313">
        <v>19.72</v>
      </c>
      <c r="BA395" s="1314">
        <v>20.95</v>
      </c>
      <c r="BB395" s="1312">
        <v>22.25</v>
      </c>
      <c r="BC395" s="1313">
        <v>23.62</v>
      </c>
      <c r="BD395" s="1313">
        <v>25.19</v>
      </c>
      <c r="BE395" s="1313">
        <v>26.73</v>
      </c>
      <c r="BF395" s="1313">
        <v>28.26</v>
      </c>
      <c r="BG395" s="1313">
        <v>29.78</v>
      </c>
      <c r="BH395" s="1313">
        <v>31.28</v>
      </c>
      <c r="BI395" s="1313">
        <v>32.770000000000003</v>
      </c>
      <c r="BJ395" s="1313">
        <v>34.24</v>
      </c>
      <c r="BK395" s="1314">
        <v>35.69</v>
      </c>
      <c r="BL395" s="1312">
        <v>37.14</v>
      </c>
      <c r="BM395" s="1313">
        <v>38.56</v>
      </c>
      <c r="BN395" s="1313">
        <v>39.979999999999997</v>
      </c>
      <c r="BO395" s="1313">
        <v>41.38</v>
      </c>
      <c r="BP395" s="1313">
        <v>42.76</v>
      </c>
      <c r="BQ395" s="1313">
        <v>44.13</v>
      </c>
      <c r="BR395" s="1313">
        <v>45.49</v>
      </c>
      <c r="BS395" s="1313">
        <v>46.84</v>
      </c>
      <c r="BT395" s="1313">
        <v>48.17</v>
      </c>
      <c r="BU395" s="1314">
        <v>49.49</v>
      </c>
      <c r="BV395" s="1312">
        <v>50.79</v>
      </c>
      <c r="BW395" s="1313">
        <v>52.09</v>
      </c>
      <c r="BX395" s="1313">
        <v>53.37</v>
      </c>
      <c r="BY395" s="1313">
        <v>54.63</v>
      </c>
      <c r="BZ395" s="1313">
        <v>55.89</v>
      </c>
      <c r="CA395" s="1313">
        <v>57.13</v>
      </c>
      <c r="CB395" s="1313">
        <v>58.36</v>
      </c>
      <c r="CC395" s="1313">
        <v>59.58</v>
      </c>
      <c r="CD395" s="1313">
        <v>60.78</v>
      </c>
      <c r="CE395" s="1314">
        <v>61.98</v>
      </c>
      <c r="CF395" s="1313">
        <v>63.16</v>
      </c>
      <c r="CG395" s="1313">
        <v>64.33</v>
      </c>
      <c r="CH395" s="1314">
        <v>65.489999999999995</v>
      </c>
    </row>
    <row r="396" spans="1:86" ht="20.149999999999999" customHeight="1">
      <c r="A396" s="1563" t="s">
        <v>1541</v>
      </c>
      <c r="B396" s="1563" t="s">
        <v>14</v>
      </c>
      <c r="C396" s="1563" t="str">
        <f t="shared" si="8"/>
        <v>PBSDDCIF29</v>
      </c>
      <c r="D396" s="1193">
        <v>29</v>
      </c>
      <c r="E396" s="1312"/>
      <c r="F396" s="1313">
        <v>0.17</v>
      </c>
      <c r="G396" s="1313">
        <v>0.27</v>
      </c>
      <c r="H396" s="1313">
        <v>0.37</v>
      </c>
      <c r="I396" s="1313">
        <v>0.48</v>
      </c>
      <c r="J396" s="1313">
        <v>0.6</v>
      </c>
      <c r="K396" s="1313">
        <v>0.73</v>
      </c>
      <c r="L396" s="1313">
        <v>0.87</v>
      </c>
      <c r="M396" s="1314">
        <v>1.02</v>
      </c>
      <c r="N396" s="1312">
        <v>1.18</v>
      </c>
      <c r="O396" s="1313">
        <v>1.36</v>
      </c>
      <c r="P396" s="1313">
        <v>1.56</v>
      </c>
      <c r="Q396" s="1313">
        <v>1.77</v>
      </c>
      <c r="R396" s="1313">
        <v>2.0099999999999998</v>
      </c>
      <c r="S396" s="1313">
        <v>2.2200000000000002</v>
      </c>
      <c r="T396" s="1313">
        <v>2.44</v>
      </c>
      <c r="U396" s="1313">
        <v>2.68</v>
      </c>
      <c r="V396" s="1313">
        <v>2.93</v>
      </c>
      <c r="W396" s="1314">
        <v>3.19</v>
      </c>
      <c r="X396" s="1312">
        <v>3.47</v>
      </c>
      <c r="Y396" s="1313">
        <v>3.76</v>
      </c>
      <c r="Z396" s="1313">
        <v>4.07</v>
      </c>
      <c r="AA396" s="1313">
        <v>4.3899999999999997</v>
      </c>
      <c r="AB396" s="1313">
        <v>4.7300000000000004</v>
      </c>
      <c r="AC396" s="1313">
        <v>5.08</v>
      </c>
      <c r="AD396" s="1313">
        <v>5.45</v>
      </c>
      <c r="AE396" s="1313">
        <v>5.84</v>
      </c>
      <c r="AF396" s="1313">
        <v>6.24</v>
      </c>
      <c r="AG396" s="1314">
        <v>6.66</v>
      </c>
      <c r="AH396" s="1312">
        <v>7.11</v>
      </c>
      <c r="AI396" s="1313">
        <v>7.57</v>
      </c>
      <c r="AJ396" s="1313">
        <v>8.06</v>
      </c>
      <c r="AK396" s="1313">
        <v>8.58</v>
      </c>
      <c r="AL396" s="1313">
        <v>9.1199999999999992</v>
      </c>
      <c r="AM396" s="1313">
        <v>9.69</v>
      </c>
      <c r="AN396" s="1313">
        <v>10.3</v>
      </c>
      <c r="AO396" s="1313">
        <v>10.94</v>
      </c>
      <c r="AP396" s="1313">
        <v>11.62</v>
      </c>
      <c r="AQ396" s="1314">
        <v>12.34</v>
      </c>
      <c r="AR396" s="1312">
        <v>13.11</v>
      </c>
      <c r="AS396" s="1313">
        <v>13.93</v>
      </c>
      <c r="AT396" s="1313">
        <v>14.81</v>
      </c>
      <c r="AU396" s="1313">
        <v>15.74</v>
      </c>
      <c r="AV396" s="1313">
        <v>16.72</v>
      </c>
      <c r="AW396" s="1313">
        <v>17.78</v>
      </c>
      <c r="AX396" s="1313">
        <v>18.899999999999999</v>
      </c>
      <c r="AY396" s="1313">
        <v>20.09</v>
      </c>
      <c r="AZ396" s="1313">
        <v>21.35</v>
      </c>
      <c r="BA396" s="1314">
        <v>22.69</v>
      </c>
      <c r="BB396" s="1312">
        <v>24.1</v>
      </c>
      <c r="BC396" s="1313">
        <v>25.7</v>
      </c>
      <c r="BD396" s="1313">
        <v>27.29</v>
      </c>
      <c r="BE396" s="1313">
        <v>28.87</v>
      </c>
      <c r="BF396" s="1313">
        <v>30.42</v>
      </c>
      <c r="BG396" s="1313">
        <v>31.97</v>
      </c>
      <c r="BH396" s="1313">
        <v>33.49</v>
      </c>
      <c r="BI396" s="1313">
        <v>35</v>
      </c>
      <c r="BJ396" s="1313">
        <v>36.5</v>
      </c>
      <c r="BK396" s="1314">
        <v>37.979999999999997</v>
      </c>
      <c r="BL396" s="1312">
        <v>39.450000000000003</v>
      </c>
      <c r="BM396" s="1313">
        <v>40.9</v>
      </c>
      <c r="BN396" s="1313">
        <v>42.34</v>
      </c>
      <c r="BO396" s="1313">
        <v>43.77</v>
      </c>
      <c r="BP396" s="1313">
        <v>45.18</v>
      </c>
      <c r="BQ396" s="1313">
        <v>46.57</v>
      </c>
      <c r="BR396" s="1313">
        <v>47.96</v>
      </c>
      <c r="BS396" s="1313">
        <v>49.32</v>
      </c>
      <c r="BT396" s="1313">
        <v>50.68</v>
      </c>
      <c r="BU396" s="1314">
        <v>52.02</v>
      </c>
      <c r="BV396" s="1312">
        <v>53.35</v>
      </c>
      <c r="BW396" s="1313">
        <v>54.67</v>
      </c>
      <c r="BX396" s="1313">
        <v>55.97</v>
      </c>
      <c r="BY396" s="1313">
        <v>57.26</v>
      </c>
      <c r="BZ396" s="1313">
        <v>58.53</v>
      </c>
      <c r="CA396" s="1313">
        <v>59.8</v>
      </c>
      <c r="CB396" s="1313">
        <v>61.05</v>
      </c>
      <c r="CC396" s="1313">
        <v>62.29</v>
      </c>
      <c r="CD396" s="1313">
        <v>63.52</v>
      </c>
      <c r="CE396" s="1314">
        <v>64.73</v>
      </c>
      <c r="CF396" s="1313">
        <v>65.930000000000007</v>
      </c>
      <c r="CG396" s="1313">
        <v>67.12</v>
      </c>
      <c r="CH396" s="1314">
        <v>68.3</v>
      </c>
    </row>
    <row r="397" spans="1:86" ht="20.149999999999999" customHeight="1">
      <c r="A397" s="1563" t="s">
        <v>1541</v>
      </c>
      <c r="B397" s="1563" t="s">
        <v>14</v>
      </c>
      <c r="C397" s="1563" t="str">
        <f t="shared" si="8"/>
        <v>PBSDDCIF30</v>
      </c>
      <c r="D397" s="1193">
        <v>30</v>
      </c>
      <c r="E397" s="1312"/>
      <c r="F397" s="1313">
        <v>0.18</v>
      </c>
      <c r="G397" s="1313">
        <v>0.28999999999999998</v>
      </c>
      <c r="H397" s="1313">
        <v>0.4</v>
      </c>
      <c r="I397" s="1313">
        <v>0.52</v>
      </c>
      <c r="J397" s="1313">
        <v>0.64</v>
      </c>
      <c r="K397" s="1313">
        <v>0.78</v>
      </c>
      <c r="L397" s="1313">
        <v>0.93</v>
      </c>
      <c r="M397" s="1314">
        <v>1.0900000000000001</v>
      </c>
      <c r="N397" s="1312">
        <v>1.27</v>
      </c>
      <c r="O397" s="1313">
        <v>1.47</v>
      </c>
      <c r="P397" s="1313">
        <v>1.68</v>
      </c>
      <c r="Q397" s="1313">
        <v>1.91</v>
      </c>
      <c r="R397" s="1313">
        <v>2.17</v>
      </c>
      <c r="S397" s="1313">
        <v>2.4</v>
      </c>
      <c r="T397" s="1313">
        <v>2.64</v>
      </c>
      <c r="U397" s="1313">
        <v>2.9</v>
      </c>
      <c r="V397" s="1313">
        <v>3.17</v>
      </c>
      <c r="W397" s="1314">
        <v>3.45</v>
      </c>
      <c r="X397" s="1312">
        <v>3.75</v>
      </c>
      <c r="Y397" s="1313">
        <v>4.07</v>
      </c>
      <c r="Z397" s="1313">
        <v>4.4000000000000004</v>
      </c>
      <c r="AA397" s="1313">
        <v>4.74</v>
      </c>
      <c r="AB397" s="1313">
        <v>5.0999999999999996</v>
      </c>
      <c r="AC397" s="1313">
        <v>5.48</v>
      </c>
      <c r="AD397" s="1313">
        <v>5.88</v>
      </c>
      <c r="AE397" s="1313">
        <v>6.29</v>
      </c>
      <c r="AF397" s="1313">
        <v>6.73</v>
      </c>
      <c r="AG397" s="1314">
        <v>7.18</v>
      </c>
      <c r="AH397" s="1312">
        <v>7.66</v>
      </c>
      <c r="AI397" s="1313">
        <v>8.16</v>
      </c>
      <c r="AJ397" s="1313">
        <v>8.68</v>
      </c>
      <c r="AK397" s="1313">
        <v>9.24</v>
      </c>
      <c r="AL397" s="1313">
        <v>9.82</v>
      </c>
      <c r="AM397" s="1313">
        <v>10.44</v>
      </c>
      <c r="AN397" s="1313">
        <v>11.1</v>
      </c>
      <c r="AO397" s="1313">
        <v>11.79</v>
      </c>
      <c r="AP397" s="1313">
        <v>12.53</v>
      </c>
      <c r="AQ397" s="1314">
        <v>13.32</v>
      </c>
      <c r="AR397" s="1312">
        <v>14.16</v>
      </c>
      <c r="AS397" s="1313">
        <v>15.06</v>
      </c>
      <c r="AT397" s="1313">
        <v>16.010000000000002</v>
      </c>
      <c r="AU397" s="1313">
        <v>17.03</v>
      </c>
      <c r="AV397" s="1313">
        <v>18.11</v>
      </c>
      <c r="AW397" s="1313">
        <v>19.25</v>
      </c>
      <c r="AX397" s="1313">
        <v>20.48</v>
      </c>
      <c r="AY397" s="1313">
        <v>21.77</v>
      </c>
      <c r="AZ397" s="1313">
        <v>23.14</v>
      </c>
      <c r="BA397" s="1314">
        <v>24.59</v>
      </c>
      <c r="BB397" s="1312">
        <v>26.24</v>
      </c>
      <c r="BC397" s="1313">
        <v>27.87</v>
      </c>
      <c r="BD397" s="1313">
        <v>29.49</v>
      </c>
      <c r="BE397" s="1313">
        <v>31.09</v>
      </c>
      <c r="BF397" s="1313">
        <v>32.68</v>
      </c>
      <c r="BG397" s="1313">
        <v>34.25</v>
      </c>
      <c r="BH397" s="1313">
        <v>35.799999999999997</v>
      </c>
      <c r="BI397" s="1313">
        <v>37.340000000000003</v>
      </c>
      <c r="BJ397" s="1313">
        <v>38.86</v>
      </c>
      <c r="BK397" s="1314">
        <v>40.369999999999997</v>
      </c>
      <c r="BL397" s="1312">
        <v>41.87</v>
      </c>
      <c r="BM397" s="1313">
        <v>43.35</v>
      </c>
      <c r="BN397" s="1313">
        <v>44.81</v>
      </c>
      <c r="BO397" s="1313">
        <v>46.26</v>
      </c>
      <c r="BP397" s="1313">
        <v>47.7</v>
      </c>
      <c r="BQ397" s="1313">
        <v>49.12</v>
      </c>
      <c r="BR397" s="1313">
        <v>50.53</v>
      </c>
      <c r="BS397" s="1313">
        <v>51.92</v>
      </c>
      <c r="BT397" s="1313">
        <v>53.3</v>
      </c>
      <c r="BU397" s="1314">
        <v>54.67</v>
      </c>
      <c r="BV397" s="1312">
        <v>56.02</v>
      </c>
      <c r="BW397" s="1313">
        <v>57.36</v>
      </c>
      <c r="BX397" s="1313">
        <v>58.68</v>
      </c>
      <c r="BY397" s="1313">
        <v>60</v>
      </c>
      <c r="BZ397" s="1313">
        <v>61.3</v>
      </c>
      <c r="CA397" s="1313">
        <v>62.58</v>
      </c>
      <c r="CB397" s="1313">
        <v>63.86</v>
      </c>
      <c r="CC397" s="1313">
        <v>65.12</v>
      </c>
      <c r="CD397" s="1313">
        <v>66.37</v>
      </c>
      <c r="CE397" s="1314">
        <v>67.599999999999994</v>
      </c>
      <c r="CF397" s="1313">
        <v>68.83</v>
      </c>
      <c r="CG397" s="1313">
        <v>70.040000000000006</v>
      </c>
      <c r="CH397" s="1314">
        <v>71.239999999999995</v>
      </c>
    </row>
    <row r="398" spans="1:86" ht="20.149999999999999" customHeight="1">
      <c r="A398" s="1563" t="s">
        <v>1541</v>
      </c>
      <c r="B398" s="1563" t="s">
        <v>14</v>
      </c>
      <c r="C398" s="1563" t="str">
        <f t="shared" si="8"/>
        <v>PBSDDCIF31</v>
      </c>
      <c r="D398" s="1194">
        <v>31</v>
      </c>
      <c r="E398" s="1315"/>
      <c r="F398" s="1316">
        <v>0.2</v>
      </c>
      <c r="G398" s="1316">
        <v>0.31</v>
      </c>
      <c r="H398" s="1316">
        <v>0.42</v>
      </c>
      <c r="I398" s="1316">
        <v>0.55000000000000004</v>
      </c>
      <c r="J398" s="1316">
        <v>0.69</v>
      </c>
      <c r="K398" s="1316">
        <v>0.84</v>
      </c>
      <c r="L398" s="1316">
        <v>1</v>
      </c>
      <c r="M398" s="1317">
        <v>1.18</v>
      </c>
      <c r="N398" s="1315">
        <v>1.37</v>
      </c>
      <c r="O398" s="1316">
        <v>1.58</v>
      </c>
      <c r="P398" s="1316">
        <v>1.82</v>
      </c>
      <c r="Q398" s="1316">
        <v>2.0699999999999998</v>
      </c>
      <c r="R398" s="1316">
        <v>2.35</v>
      </c>
      <c r="S398" s="1316">
        <v>2.6</v>
      </c>
      <c r="T398" s="1316">
        <v>2.86</v>
      </c>
      <c r="U398" s="1316">
        <v>3.14</v>
      </c>
      <c r="V398" s="1316">
        <v>3.43</v>
      </c>
      <c r="W398" s="1317">
        <v>3.74</v>
      </c>
      <c r="X398" s="1315">
        <v>4.0599999999999996</v>
      </c>
      <c r="Y398" s="1316">
        <v>4.4000000000000004</v>
      </c>
      <c r="Z398" s="1316">
        <v>4.75</v>
      </c>
      <c r="AA398" s="1316">
        <v>5.12</v>
      </c>
      <c r="AB398" s="1316">
        <v>5.51</v>
      </c>
      <c r="AC398" s="1316">
        <v>5.92</v>
      </c>
      <c r="AD398" s="1316">
        <v>6.34</v>
      </c>
      <c r="AE398" s="1316">
        <v>6.78</v>
      </c>
      <c r="AF398" s="1316">
        <v>7.25</v>
      </c>
      <c r="AG398" s="1317">
        <v>7.74</v>
      </c>
      <c r="AH398" s="1315">
        <v>8.25</v>
      </c>
      <c r="AI398" s="1316">
        <v>8.7899999999999991</v>
      </c>
      <c r="AJ398" s="1316">
        <v>9.35</v>
      </c>
      <c r="AK398" s="1316">
        <v>9.9499999999999993</v>
      </c>
      <c r="AL398" s="1316">
        <v>10.59</v>
      </c>
      <c r="AM398" s="1316">
        <v>11.26</v>
      </c>
      <c r="AN398" s="1316">
        <v>11.97</v>
      </c>
      <c r="AO398" s="1316">
        <v>12.73</v>
      </c>
      <c r="AP398" s="1316">
        <v>13.54</v>
      </c>
      <c r="AQ398" s="1317">
        <v>14.4</v>
      </c>
      <c r="AR398" s="1315">
        <v>15.31</v>
      </c>
      <c r="AS398" s="1316">
        <v>16.29</v>
      </c>
      <c r="AT398" s="1316">
        <v>17.329999999999998</v>
      </c>
      <c r="AU398" s="1316">
        <v>18.440000000000001</v>
      </c>
      <c r="AV398" s="1316">
        <v>19.62</v>
      </c>
      <c r="AW398" s="1316">
        <v>20.87</v>
      </c>
      <c r="AX398" s="1316">
        <v>22.2</v>
      </c>
      <c r="AY398" s="1316">
        <v>23.6</v>
      </c>
      <c r="AZ398" s="1316">
        <v>25.09</v>
      </c>
      <c r="BA398" s="1317">
        <v>26.78</v>
      </c>
      <c r="BB398" s="1315">
        <v>28.47</v>
      </c>
      <c r="BC398" s="1316">
        <v>30.13</v>
      </c>
      <c r="BD398" s="1316">
        <v>31.78</v>
      </c>
      <c r="BE398" s="1316">
        <v>33.409999999999997</v>
      </c>
      <c r="BF398" s="1316">
        <v>35.020000000000003</v>
      </c>
      <c r="BG398" s="1316">
        <v>36.619999999999997</v>
      </c>
      <c r="BH398" s="1316">
        <v>38.21</v>
      </c>
      <c r="BI398" s="1316">
        <v>39.770000000000003</v>
      </c>
      <c r="BJ398" s="1316">
        <v>41.33</v>
      </c>
      <c r="BK398" s="1317">
        <v>42.86</v>
      </c>
      <c r="BL398" s="1315">
        <v>44.39</v>
      </c>
      <c r="BM398" s="1316">
        <v>45.89</v>
      </c>
      <c r="BN398" s="1316">
        <v>47.38</v>
      </c>
      <c r="BO398" s="1316">
        <v>48.86</v>
      </c>
      <c r="BP398" s="1316">
        <v>50.32</v>
      </c>
      <c r="BQ398" s="1316">
        <v>51.77</v>
      </c>
      <c r="BR398" s="1316">
        <v>53.2</v>
      </c>
      <c r="BS398" s="1316">
        <v>54.62</v>
      </c>
      <c r="BT398" s="1316">
        <v>56.03</v>
      </c>
      <c r="BU398" s="1317">
        <v>57.42</v>
      </c>
      <c r="BV398" s="1315">
        <v>58.8</v>
      </c>
      <c r="BW398" s="1316">
        <v>60.16</v>
      </c>
      <c r="BX398" s="1316">
        <v>61.51</v>
      </c>
      <c r="BY398" s="1316">
        <v>62.85</v>
      </c>
      <c r="BZ398" s="1316">
        <v>64.17</v>
      </c>
      <c r="CA398" s="1316">
        <v>65.48</v>
      </c>
      <c r="CB398" s="1316">
        <v>66.78</v>
      </c>
      <c r="CC398" s="1316">
        <v>68.069999999999993</v>
      </c>
      <c r="CD398" s="1316">
        <v>69.34</v>
      </c>
      <c r="CE398" s="1317">
        <v>70.599999999999994</v>
      </c>
      <c r="CF398" s="1316">
        <v>71.84</v>
      </c>
      <c r="CG398" s="1316">
        <v>73.08</v>
      </c>
      <c r="CH398" s="1317">
        <v>74.3</v>
      </c>
    </row>
    <row r="399" spans="1:86" ht="20.149999999999999" customHeight="1">
      <c r="A399" s="1563" t="s">
        <v>1541</v>
      </c>
      <c r="B399" s="1563" t="s">
        <v>14</v>
      </c>
      <c r="C399" s="1563" t="str">
        <f t="shared" si="8"/>
        <v>PBSDDCIF32</v>
      </c>
      <c r="D399" s="1193">
        <v>32</v>
      </c>
      <c r="E399" s="1312"/>
      <c r="F399" s="1313">
        <v>0.21</v>
      </c>
      <c r="G399" s="1313">
        <v>0.33</v>
      </c>
      <c r="H399" s="1313">
        <v>0.45</v>
      </c>
      <c r="I399" s="1313">
        <v>0.59</v>
      </c>
      <c r="J399" s="1313">
        <v>0.74</v>
      </c>
      <c r="K399" s="1313">
        <v>0.9</v>
      </c>
      <c r="L399" s="1313">
        <v>1.07</v>
      </c>
      <c r="M399" s="1314">
        <v>1.27</v>
      </c>
      <c r="N399" s="1312">
        <v>1.48</v>
      </c>
      <c r="O399" s="1313">
        <v>1.71</v>
      </c>
      <c r="P399" s="1313">
        <v>1.96</v>
      </c>
      <c r="Q399" s="1313">
        <v>2.2400000000000002</v>
      </c>
      <c r="R399" s="1313">
        <v>2.54</v>
      </c>
      <c r="S399" s="1313">
        <v>2.81</v>
      </c>
      <c r="T399" s="1313">
        <v>3.1</v>
      </c>
      <c r="U399" s="1313">
        <v>3.4</v>
      </c>
      <c r="V399" s="1313">
        <v>3.72</v>
      </c>
      <c r="W399" s="1314">
        <v>4.05</v>
      </c>
      <c r="X399" s="1312">
        <v>4.3899999999999997</v>
      </c>
      <c r="Y399" s="1313">
        <v>4.76</v>
      </c>
      <c r="Z399" s="1313">
        <v>5.14</v>
      </c>
      <c r="AA399" s="1313">
        <v>5.53</v>
      </c>
      <c r="AB399" s="1313">
        <v>5.95</v>
      </c>
      <c r="AC399" s="1313">
        <v>6.38</v>
      </c>
      <c r="AD399" s="1313">
        <v>6.83</v>
      </c>
      <c r="AE399" s="1313">
        <v>7.31</v>
      </c>
      <c r="AF399" s="1313">
        <v>7.81</v>
      </c>
      <c r="AG399" s="1314">
        <v>8.33</v>
      </c>
      <c r="AH399" s="1312">
        <v>8.8800000000000008</v>
      </c>
      <c r="AI399" s="1313">
        <v>9.4700000000000006</v>
      </c>
      <c r="AJ399" s="1313">
        <v>10.08</v>
      </c>
      <c r="AK399" s="1313">
        <v>10.73</v>
      </c>
      <c r="AL399" s="1313">
        <v>11.42</v>
      </c>
      <c r="AM399" s="1313">
        <v>12.15</v>
      </c>
      <c r="AN399" s="1313">
        <v>12.92</v>
      </c>
      <c r="AO399" s="1313">
        <v>13.75</v>
      </c>
      <c r="AP399" s="1313">
        <v>14.63</v>
      </c>
      <c r="AQ399" s="1314">
        <v>15.57</v>
      </c>
      <c r="AR399" s="1312">
        <v>16.57</v>
      </c>
      <c r="AS399" s="1313">
        <v>17.64</v>
      </c>
      <c r="AT399" s="1313">
        <v>18.77</v>
      </c>
      <c r="AU399" s="1313">
        <v>19.98</v>
      </c>
      <c r="AV399" s="1313">
        <v>21.27</v>
      </c>
      <c r="AW399" s="1313">
        <v>22.63</v>
      </c>
      <c r="AX399" s="1313">
        <v>24.07</v>
      </c>
      <c r="AY399" s="1313">
        <v>25.6</v>
      </c>
      <c r="AZ399" s="1313">
        <v>27.34</v>
      </c>
      <c r="BA399" s="1314">
        <v>29.07</v>
      </c>
      <c r="BB399" s="1312">
        <v>30.79</v>
      </c>
      <c r="BC399" s="1313">
        <v>32.479999999999997</v>
      </c>
      <c r="BD399" s="1313">
        <v>34.159999999999997</v>
      </c>
      <c r="BE399" s="1313">
        <v>35.82</v>
      </c>
      <c r="BF399" s="1313">
        <v>37.47</v>
      </c>
      <c r="BG399" s="1313">
        <v>39.1</v>
      </c>
      <c r="BH399" s="1313">
        <v>40.71</v>
      </c>
      <c r="BI399" s="1313">
        <v>42.31</v>
      </c>
      <c r="BJ399" s="1313">
        <v>43.89</v>
      </c>
      <c r="BK399" s="1314">
        <v>45.46</v>
      </c>
      <c r="BL399" s="1312">
        <v>47.01</v>
      </c>
      <c r="BM399" s="1313">
        <v>48.54</v>
      </c>
      <c r="BN399" s="1313">
        <v>50.06</v>
      </c>
      <c r="BO399" s="1313">
        <v>51.57</v>
      </c>
      <c r="BP399" s="1313">
        <v>53.06</v>
      </c>
      <c r="BQ399" s="1313">
        <v>54.53</v>
      </c>
      <c r="BR399" s="1313">
        <v>55.99</v>
      </c>
      <c r="BS399" s="1313">
        <v>57.44</v>
      </c>
      <c r="BT399" s="1313">
        <v>58.87</v>
      </c>
      <c r="BU399" s="1314">
        <v>60.29</v>
      </c>
      <c r="BV399" s="1312">
        <v>61.69</v>
      </c>
      <c r="BW399" s="1313">
        <v>63.08</v>
      </c>
      <c r="BX399" s="1313">
        <v>64.459999999999994</v>
      </c>
      <c r="BY399" s="1313">
        <v>65.819999999999993</v>
      </c>
      <c r="BZ399" s="1313">
        <v>67.17</v>
      </c>
      <c r="CA399" s="1313">
        <v>68.5</v>
      </c>
      <c r="CB399" s="1313">
        <v>69.819999999999993</v>
      </c>
      <c r="CC399" s="1313">
        <v>71.13</v>
      </c>
      <c r="CD399" s="1313">
        <v>72.430000000000007</v>
      </c>
      <c r="CE399" s="1314">
        <v>73.709999999999994</v>
      </c>
      <c r="CF399" s="1313">
        <v>74.98</v>
      </c>
      <c r="CG399" s="1313">
        <v>76.239999999999995</v>
      </c>
      <c r="CH399" s="1314">
        <v>77.489999999999995</v>
      </c>
    </row>
    <row r="400" spans="1:86" ht="20.149999999999999" customHeight="1">
      <c r="A400" s="1563" t="s">
        <v>1541</v>
      </c>
      <c r="B400" s="1563" t="s">
        <v>14</v>
      </c>
      <c r="C400" s="1563" t="str">
        <f t="shared" si="8"/>
        <v>PBSDDCIF33</v>
      </c>
      <c r="D400" s="1193">
        <v>33</v>
      </c>
      <c r="E400" s="1312"/>
      <c r="F400" s="1313">
        <v>0.22</v>
      </c>
      <c r="G400" s="1313">
        <v>0.35</v>
      </c>
      <c r="H400" s="1313">
        <v>0.48</v>
      </c>
      <c r="I400" s="1313">
        <v>0.63</v>
      </c>
      <c r="J400" s="1313">
        <v>0.79</v>
      </c>
      <c r="K400" s="1313">
        <v>0.97</v>
      </c>
      <c r="L400" s="1313">
        <v>1.1599999999999999</v>
      </c>
      <c r="M400" s="1314">
        <v>1.37</v>
      </c>
      <c r="N400" s="1312">
        <v>1.6</v>
      </c>
      <c r="O400" s="1313">
        <v>1.85</v>
      </c>
      <c r="P400" s="1313">
        <v>2.13</v>
      </c>
      <c r="Q400" s="1313">
        <v>2.4300000000000002</v>
      </c>
      <c r="R400" s="1313">
        <v>2.76</v>
      </c>
      <c r="S400" s="1313">
        <v>3.05</v>
      </c>
      <c r="T400" s="1313">
        <v>3.36</v>
      </c>
      <c r="U400" s="1313">
        <v>3.69</v>
      </c>
      <c r="V400" s="1313">
        <v>4.03</v>
      </c>
      <c r="W400" s="1314">
        <v>4.38</v>
      </c>
      <c r="X400" s="1312">
        <v>4.75</v>
      </c>
      <c r="Y400" s="1313">
        <v>5.14</v>
      </c>
      <c r="Z400" s="1313">
        <v>5.55</v>
      </c>
      <c r="AA400" s="1313">
        <v>5.97</v>
      </c>
      <c r="AB400" s="1313">
        <v>6.42</v>
      </c>
      <c r="AC400" s="1313">
        <v>6.88</v>
      </c>
      <c r="AD400" s="1313">
        <v>7.37</v>
      </c>
      <c r="AE400" s="1313">
        <v>7.88</v>
      </c>
      <c r="AF400" s="1313">
        <v>8.42</v>
      </c>
      <c r="AG400" s="1314">
        <v>8.98</v>
      </c>
      <c r="AH400" s="1312">
        <v>9.57</v>
      </c>
      <c r="AI400" s="1313">
        <v>10.199999999999999</v>
      </c>
      <c r="AJ400" s="1313">
        <v>10.87</v>
      </c>
      <c r="AK400" s="1313">
        <v>11.57</v>
      </c>
      <c r="AL400" s="1313">
        <v>12.32</v>
      </c>
      <c r="AM400" s="1313">
        <v>13.11</v>
      </c>
      <c r="AN400" s="1313">
        <v>13.96</v>
      </c>
      <c r="AO400" s="1313">
        <v>14.87</v>
      </c>
      <c r="AP400" s="1313">
        <v>15.83</v>
      </c>
      <c r="AQ400" s="1314">
        <v>16.850000000000001</v>
      </c>
      <c r="AR400" s="1312">
        <v>17.95</v>
      </c>
      <c r="AS400" s="1313">
        <v>19.11</v>
      </c>
      <c r="AT400" s="1313">
        <v>20.350000000000001</v>
      </c>
      <c r="AU400" s="1313">
        <v>21.67</v>
      </c>
      <c r="AV400" s="1313">
        <v>23.07</v>
      </c>
      <c r="AW400" s="1313">
        <v>24.55</v>
      </c>
      <c r="AX400" s="1313">
        <v>26.12</v>
      </c>
      <c r="AY400" s="1313">
        <v>27.92</v>
      </c>
      <c r="AZ400" s="1313">
        <v>29.7</v>
      </c>
      <c r="BA400" s="1314">
        <v>31.46</v>
      </c>
      <c r="BB400" s="1312">
        <v>33.200000000000003</v>
      </c>
      <c r="BC400" s="1313">
        <v>34.93</v>
      </c>
      <c r="BD400" s="1313">
        <v>36.64</v>
      </c>
      <c r="BE400" s="1313">
        <v>38.340000000000003</v>
      </c>
      <c r="BF400" s="1313">
        <v>40.020000000000003</v>
      </c>
      <c r="BG400" s="1313">
        <v>41.68</v>
      </c>
      <c r="BH400" s="1313">
        <v>43.32</v>
      </c>
      <c r="BI400" s="1313">
        <v>44.95</v>
      </c>
      <c r="BJ400" s="1313">
        <v>46.56</v>
      </c>
      <c r="BK400" s="1314">
        <v>48.16</v>
      </c>
      <c r="BL400" s="1312">
        <v>49.74</v>
      </c>
      <c r="BM400" s="1313">
        <v>51.3</v>
      </c>
      <c r="BN400" s="1313">
        <v>52.85</v>
      </c>
      <c r="BO400" s="1313">
        <v>54.39</v>
      </c>
      <c r="BP400" s="1313">
        <v>55.91</v>
      </c>
      <c r="BQ400" s="1313">
        <v>57.41</v>
      </c>
      <c r="BR400" s="1313">
        <v>58.9</v>
      </c>
      <c r="BS400" s="1313">
        <v>60.37</v>
      </c>
      <c r="BT400" s="1313">
        <v>61.83</v>
      </c>
      <c r="BU400" s="1314">
        <v>63.28</v>
      </c>
      <c r="BV400" s="1312">
        <v>64.709999999999994</v>
      </c>
      <c r="BW400" s="1313">
        <v>66.12</v>
      </c>
      <c r="BX400" s="1313">
        <v>67.53</v>
      </c>
      <c r="BY400" s="1313">
        <v>68.92</v>
      </c>
      <c r="BZ400" s="1313">
        <v>70.290000000000006</v>
      </c>
      <c r="CA400" s="1313">
        <v>71.650000000000006</v>
      </c>
      <c r="CB400" s="1313">
        <v>73</v>
      </c>
      <c r="CC400" s="1313">
        <v>74.33</v>
      </c>
      <c r="CD400" s="1313">
        <v>75.650000000000006</v>
      </c>
      <c r="CE400" s="1314">
        <v>76.959999999999994</v>
      </c>
      <c r="CF400" s="1313">
        <v>78.260000000000005</v>
      </c>
      <c r="CG400" s="1313">
        <v>79.540000000000006</v>
      </c>
      <c r="CH400" s="1314">
        <v>80.81</v>
      </c>
    </row>
    <row r="401" spans="1:86" ht="20.149999999999999" customHeight="1">
      <c r="A401" s="1563" t="s">
        <v>1541</v>
      </c>
      <c r="B401" s="1563" t="s">
        <v>14</v>
      </c>
      <c r="C401" s="1563" t="str">
        <f t="shared" si="8"/>
        <v>PBSDDCIF34</v>
      </c>
      <c r="D401" s="1193">
        <v>34</v>
      </c>
      <c r="E401" s="1312"/>
      <c r="F401" s="1313">
        <v>0.24</v>
      </c>
      <c r="G401" s="1313">
        <v>0.37</v>
      </c>
      <c r="H401" s="1313">
        <v>0.52</v>
      </c>
      <c r="I401" s="1313">
        <v>0.68</v>
      </c>
      <c r="J401" s="1313">
        <v>0.85</v>
      </c>
      <c r="K401" s="1313">
        <v>1.04</v>
      </c>
      <c r="L401" s="1313">
        <v>1.25</v>
      </c>
      <c r="M401" s="1314">
        <v>1.49</v>
      </c>
      <c r="N401" s="1312">
        <v>1.74</v>
      </c>
      <c r="O401" s="1313">
        <v>2.0099999999999998</v>
      </c>
      <c r="P401" s="1313">
        <v>2.31</v>
      </c>
      <c r="Q401" s="1313">
        <v>2.64</v>
      </c>
      <c r="R401" s="1313">
        <v>3</v>
      </c>
      <c r="S401" s="1313">
        <v>3.31</v>
      </c>
      <c r="T401" s="1313">
        <v>3.65</v>
      </c>
      <c r="U401" s="1313">
        <v>4</v>
      </c>
      <c r="V401" s="1313">
        <v>4.3600000000000003</v>
      </c>
      <c r="W401" s="1314">
        <v>4.74</v>
      </c>
      <c r="X401" s="1312">
        <v>5.14</v>
      </c>
      <c r="Y401" s="1313">
        <v>5.55</v>
      </c>
      <c r="Z401" s="1313">
        <v>5.99</v>
      </c>
      <c r="AA401" s="1313">
        <v>6.44</v>
      </c>
      <c r="AB401" s="1313">
        <v>6.92</v>
      </c>
      <c r="AC401" s="1313">
        <v>7.42</v>
      </c>
      <c r="AD401" s="1313">
        <v>7.94</v>
      </c>
      <c r="AE401" s="1313">
        <v>8.49</v>
      </c>
      <c r="AF401" s="1313">
        <v>9.07</v>
      </c>
      <c r="AG401" s="1314">
        <v>9.68</v>
      </c>
      <c r="AH401" s="1312">
        <v>10.32</v>
      </c>
      <c r="AI401" s="1313">
        <v>11</v>
      </c>
      <c r="AJ401" s="1313">
        <v>11.72</v>
      </c>
      <c r="AK401" s="1313">
        <v>12.49</v>
      </c>
      <c r="AL401" s="1313">
        <v>13.3</v>
      </c>
      <c r="AM401" s="1313">
        <v>14.17</v>
      </c>
      <c r="AN401" s="1313">
        <v>15.1</v>
      </c>
      <c r="AO401" s="1313">
        <v>16.09</v>
      </c>
      <c r="AP401" s="1313">
        <v>17.14</v>
      </c>
      <c r="AQ401" s="1314">
        <v>18.260000000000002</v>
      </c>
      <c r="AR401" s="1312">
        <v>19.45</v>
      </c>
      <c r="AS401" s="1313">
        <v>20.73</v>
      </c>
      <c r="AT401" s="1313">
        <v>22.08</v>
      </c>
      <c r="AU401" s="1313">
        <v>23.52</v>
      </c>
      <c r="AV401" s="1313">
        <v>25.04</v>
      </c>
      <c r="AW401" s="1313">
        <v>26.65</v>
      </c>
      <c r="AX401" s="1313">
        <v>28.5</v>
      </c>
      <c r="AY401" s="1313">
        <v>30.33</v>
      </c>
      <c r="AZ401" s="1313">
        <v>32.15</v>
      </c>
      <c r="BA401" s="1314">
        <v>33.950000000000003</v>
      </c>
      <c r="BB401" s="1312">
        <v>35.729999999999997</v>
      </c>
      <c r="BC401" s="1313">
        <v>37.49</v>
      </c>
      <c r="BD401" s="1313">
        <v>39.24</v>
      </c>
      <c r="BE401" s="1313">
        <v>40.96</v>
      </c>
      <c r="BF401" s="1313">
        <v>42.68</v>
      </c>
      <c r="BG401" s="1313">
        <v>44.37</v>
      </c>
      <c r="BH401" s="1313">
        <v>46.05</v>
      </c>
      <c r="BI401" s="1313">
        <v>47.71</v>
      </c>
      <c r="BJ401" s="1313">
        <v>49.35</v>
      </c>
      <c r="BK401" s="1314">
        <v>50.98</v>
      </c>
      <c r="BL401" s="1312">
        <v>52.59</v>
      </c>
      <c r="BM401" s="1313">
        <v>54.19</v>
      </c>
      <c r="BN401" s="1313">
        <v>55.77</v>
      </c>
      <c r="BO401" s="1313">
        <v>57.33</v>
      </c>
      <c r="BP401" s="1313">
        <v>58.88</v>
      </c>
      <c r="BQ401" s="1313">
        <v>60.41</v>
      </c>
      <c r="BR401" s="1313">
        <v>61.93</v>
      </c>
      <c r="BS401" s="1313">
        <v>63.43</v>
      </c>
      <c r="BT401" s="1313">
        <v>64.92</v>
      </c>
      <c r="BU401" s="1314">
        <v>66.400000000000006</v>
      </c>
      <c r="BV401" s="1312">
        <v>67.849999999999994</v>
      </c>
      <c r="BW401" s="1313">
        <v>69.3</v>
      </c>
      <c r="BX401" s="1313">
        <v>70.73</v>
      </c>
      <c r="BY401" s="1313">
        <v>72.150000000000006</v>
      </c>
      <c r="BZ401" s="1313">
        <v>73.55</v>
      </c>
      <c r="CA401" s="1313">
        <v>74.94</v>
      </c>
      <c r="CB401" s="1313">
        <v>76.31</v>
      </c>
      <c r="CC401" s="1313">
        <v>77.67</v>
      </c>
      <c r="CD401" s="1313">
        <v>79.02</v>
      </c>
      <c r="CE401" s="1314">
        <v>80.349999999999994</v>
      </c>
      <c r="CF401" s="1313">
        <v>81.67</v>
      </c>
      <c r="CG401" s="1313">
        <v>82.98</v>
      </c>
      <c r="CH401" s="1314">
        <v>84.28</v>
      </c>
    </row>
    <row r="402" spans="1:86" ht="20.149999999999999" customHeight="1">
      <c r="A402" s="1563" t="s">
        <v>1541</v>
      </c>
      <c r="B402" s="1563" t="s">
        <v>14</v>
      </c>
      <c r="C402" s="1563" t="str">
        <f t="shared" si="8"/>
        <v>PBSDDCIF35</v>
      </c>
      <c r="D402" s="1195">
        <v>35</v>
      </c>
      <c r="E402" s="1318"/>
      <c r="F402" s="1319">
        <v>0.26</v>
      </c>
      <c r="G402" s="1319">
        <v>0.4</v>
      </c>
      <c r="H402" s="1319">
        <v>0.56000000000000005</v>
      </c>
      <c r="I402" s="1319">
        <v>0.73</v>
      </c>
      <c r="J402" s="1319">
        <v>0.92</v>
      </c>
      <c r="K402" s="1319">
        <v>1.1299999999999999</v>
      </c>
      <c r="L402" s="1319">
        <v>1.36</v>
      </c>
      <c r="M402" s="1320">
        <v>1.62</v>
      </c>
      <c r="N402" s="1318">
        <v>1.89</v>
      </c>
      <c r="O402" s="1319">
        <v>2.19</v>
      </c>
      <c r="P402" s="1319">
        <v>2.52</v>
      </c>
      <c r="Q402" s="1319">
        <v>2.87</v>
      </c>
      <c r="R402" s="1319">
        <v>3.26</v>
      </c>
      <c r="S402" s="1319">
        <v>3.6</v>
      </c>
      <c r="T402" s="1319">
        <v>3.96</v>
      </c>
      <c r="U402" s="1319">
        <v>4.33</v>
      </c>
      <c r="V402" s="1319">
        <v>4.72</v>
      </c>
      <c r="W402" s="1320">
        <v>5.13</v>
      </c>
      <c r="X402" s="1318">
        <v>5.56</v>
      </c>
      <c r="Y402" s="1319">
        <v>6</v>
      </c>
      <c r="Z402" s="1319">
        <v>6.47</v>
      </c>
      <c r="AA402" s="1319">
        <v>6.96</v>
      </c>
      <c r="AB402" s="1319">
        <v>7.47</v>
      </c>
      <c r="AC402" s="1319">
        <v>8</v>
      </c>
      <c r="AD402" s="1319">
        <v>8.56</v>
      </c>
      <c r="AE402" s="1319">
        <v>9.15</v>
      </c>
      <c r="AF402" s="1319">
        <v>9.7799999999999994</v>
      </c>
      <c r="AG402" s="1320">
        <v>10.44</v>
      </c>
      <c r="AH402" s="1318">
        <v>11.13</v>
      </c>
      <c r="AI402" s="1319">
        <v>11.87</v>
      </c>
      <c r="AJ402" s="1319">
        <v>12.66</v>
      </c>
      <c r="AK402" s="1319">
        <v>13.49</v>
      </c>
      <c r="AL402" s="1319">
        <v>14.38</v>
      </c>
      <c r="AM402" s="1319">
        <v>15.33</v>
      </c>
      <c r="AN402" s="1319">
        <v>16.350000000000001</v>
      </c>
      <c r="AO402" s="1319">
        <v>17.43</v>
      </c>
      <c r="AP402" s="1319">
        <v>18.579999999999998</v>
      </c>
      <c r="AQ402" s="1320">
        <v>19.8</v>
      </c>
      <c r="AR402" s="1318">
        <v>21.11</v>
      </c>
      <c r="AS402" s="1319">
        <v>22.5</v>
      </c>
      <c r="AT402" s="1319">
        <v>23.98</v>
      </c>
      <c r="AU402" s="1319">
        <v>25.54</v>
      </c>
      <c r="AV402" s="1319">
        <v>27.19</v>
      </c>
      <c r="AW402" s="1319">
        <v>29.1</v>
      </c>
      <c r="AX402" s="1319">
        <v>30.99</v>
      </c>
      <c r="AY402" s="1319">
        <v>32.86</v>
      </c>
      <c r="AZ402" s="1319">
        <v>34.72</v>
      </c>
      <c r="BA402" s="1320">
        <v>36.549999999999997</v>
      </c>
      <c r="BB402" s="1318">
        <v>38.369999999999997</v>
      </c>
      <c r="BC402" s="1319">
        <v>40.159999999999997</v>
      </c>
      <c r="BD402" s="1319">
        <v>41.95</v>
      </c>
      <c r="BE402" s="1319">
        <v>43.71</v>
      </c>
      <c r="BF402" s="1319">
        <v>45.45</v>
      </c>
      <c r="BG402" s="1319">
        <v>47.18</v>
      </c>
      <c r="BH402" s="1319">
        <v>48.89</v>
      </c>
      <c r="BI402" s="1319">
        <v>50.59</v>
      </c>
      <c r="BJ402" s="1319">
        <v>52.26</v>
      </c>
      <c r="BK402" s="1320">
        <v>53.93</v>
      </c>
      <c r="BL402" s="1318">
        <v>55.57</v>
      </c>
      <c r="BM402" s="1319">
        <v>57.2</v>
      </c>
      <c r="BN402" s="1319">
        <v>58.81</v>
      </c>
      <c r="BO402" s="1319">
        <v>60.41</v>
      </c>
      <c r="BP402" s="1319">
        <v>61.99</v>
      </c>
      <c r="BQ402" s="1319">
        <v>63.55</v>
      </c>
      <c r="BR402" s="1319">
        <v>65.099999999999994</v>
      </c>
      <c r="BS402" s="1319">
        <v>66.63</v>
      </c>
      <c r="BT402" s="1319">
        <v>68.150000000000006</v>
      </c>
      <c r="BU402" s="1320">
        <v>69.66</v>
      </c>
      <c r="BV402" s="1318">
        <v>71.14</v>
      </c>
      <c r="BW402" s="1319">
        <v>72.62</v>
      </c>
      <c r="BX402" s="1319">
        <v>74.08</v>
      </c>
      <c r="BY402" s="1319">
        <v>75.52</v>
      </c>
      <c r="BZ402" s="1319">
        <v>76.95</v>
      </c>
      <c r="CA402" s="1319">
        <v>78.37</v>
      </c>
      <c r="CB402" s="1319">
        <v>79.77</v>
      </c>
      <c r="CC402" s="1319">
        <v>81.16</v>
      </c>
      <c r="CD402" s="1319">
        <v>82.53</v>
      </c>
      <c r="CE402" s="1320">
        <v>83.9</v>
      </c>
      <c r="CF402" s="1319">
        <v>85.24</v>
      </c>
      <c r="CG402" s="1319">
        <v>86.58</v>
      </c>
      <c r="CH402" s="1320">
        <v>87.9</v>
      </c>
    </row>
    <row r="403" spans="1:86" ht="20.149999999999999" customHeight="1">
      <c r="A403" s="1563" t="s">
        <v>1541</v>
      </c>
      <c r="B403" s="1563" t="s">
        <v>14</v>
      </c>
      <c r="C403" s="1563" t="str">
        <f t="shared" si="8"/>
        <v>PBSDDCIF36</v>
      </c>
      <c r="D403" s="1193">
        <v>36</v>
      </c>
      <c r="E403" s="1312"/>
      <c r="F403" s="1313">
        <v>0.28000000000000003</v>
      </c>
      <c r="G403" s="1313">
        <v>0.44</v>
      </c>
      <c r="H403" s="1313">
        <v>0.61</v>
      </c>
      <c r="I403" s="1313">
        <v>0.8</v>
      </c>
      <c r="J403" s="1313">
        <v>1.01</v>
      </c>
      <c r="K403" s="1313">
        <v>1.24</v>
      </c>
      <c r="L403" s="1313">
        <v>1.49</v>
      </c>
      <c r="M403" s="1314">
        <v>1.76</v>
      </c>
      <c r="N403" s="1312">
        <v>2.06</v>
      </c>
      <c r="O403" s="1313">
        <v>2.39</v>
      </c>
      <c r="P403" s="1313">
        <v>2.74</v>
      </c>
      <c r="Q403" s="1313">
        <v>3.13</v>
      </c>
      <c r="R403" s="1313">
        <v>3.55</v>
      </c>
      <c r="S403" s="1313">
        <v>3.91</v>
      </c>
      <c r="T403" s="1313">
        <v>4.3</v>
      </c>
      <c r="U403" s="1313">
        <v>4.7</v>
      </c>
      <c r="V403" s="1313">
        <v>5.1100000000000003</v>
      </c>
      <c r="W403" s="1314">
        <v>5.55</v>
      </c>
      <c r="X403" s="1312">
        <v>6.01</v>
      </c>
      <c r="Y403" s="1313">
        <v>6.48</v>
      </c>
      <c r="Z403" s="1313">
        <v>6.98</v>
      </c>
      <c r="AA403" s="1313">
        <v>7.51</v>
      </c>
      <c r="AB403" s="1313">
        <v>8.0500000000000007</v>
      </c>
      <c r="AC403" s="1313">
        <v>8.6300000000000008</v>
      </c>
      <c r="AD403" s="1313">
        <v>9.24</v>
      </c>
      <c r="AE403" s="1313">
        <v>9.8699999999999992</v>
      </c>
      <c r="AF403" s="1313">
        <v>10.55</v>
      </c>
      <c r="AG403" s="1314">
        <v>11.26</v>
      </c>
      <c r="AH403" s="1312">
        <v>12.02</v>
      </c>
      <c r="AI403" s="1313">
        <v>12.82</v>
      </c>
      <c r="AJ403" s="1313">
        <v>13.68</v>
      </c>
      <c r="AK403" s="1313">
        <v>14.59</v>
      </c>
      <c r="AL403" s="1313">
        <v>15.57</v>
      </c>
      <c r="AM403" s="1313">
        <v>16.61</v>
      </c>
      <c r="AN403" s="1313">
        <v>17.72</v>
      </c>
      <c r="AO403" s="1313">
        <v>18.899999999999999</v>
      </c>
      <c r="AP403" s="1313">
        <v>20.16</v>
      </c>
      <c r="AQ403" s="1314">
        <v>21.5</v>
      </c>
      <c r="AR403" s="1312">
        <v>22.93</v>
      </c>
      <c r="AS403" s="1313">
        <v>24.44</v>
      </c>
      <c r="AT403" s="1313">
        <v>26.05</v>
      </c>
      <c r="AU403" s="1313">
        <v>27.75</v>
      </c>
      <c r="AV403" s="1313">
        <v>29.72</v>
      </c>
      <c r="AW403" s="1313">
        <v>31.67</v>
      </c>
      <c r="AX403" s="1313">
        <v>33.590000000000003</v>
      </c>
      <c r="AY403" s="1313">
        <v>35.5</v>
      </c>
      <c r="AZ403" s="1313">
        <v>37.4</v>
      </c>
      <c r="BA403" s="1314">
        <v>39.270000000000003</v>
      </c>
      <c r="BB403" s="1312">
        <v>41.12</v>
      </c>
      <c r="BC403" s="1313">
        <v>42.96</v>
      </c>
      <c r="BD403" s="1313">
        <v>44.78</v>
      </c>
      <c r="BE403" s="1313">
        <v>46.58</v>
      </c>
      <c r="BF403" s="1313">
        <v>48.36</v>
      </c>
      <c r="BG403" s="1313">
        <v>50.12</v>
      </c>
      <c r="BH403" s="1313">
        <v>51.87</v>
      </c>
      <c r="BI403" s="1313">
        <v>53.6</v>
      </c>
      <c r="BJ403" s="1313">
        <v>55.31</v>
      </c>
      <c r="BK403" s="1314">
        <v>57.01</v>
      </c>
      <c r="BL403" s="1312">
        <v>58.68</v>
      </c>
      <c r="BM403" s="1313">
        <v>60.35</v>
      </c>
      <c r="BN403" s="1313">
        <v>61.99</v>
      </c>
      <c r="BO403" s="1313">
        <v>63.62</v>
      </c>
      <c r="BP403" s="1313">
        <v>65.23</v>
      </c>
      <c r="BQ403" s="1313">
        <v>66.83</v>
      </c>
      <c r="BR403" s="1313">
        <v>68.41</v>
      </c>
      <c r="BS403" s="1313">
        <v>69.98</v>
      </c>
      <c r="BT403" s="1313">
        <v>71.53</v>
      </c>
      <c r="BU403" s="1314">
        <v>73.06</v>
      </c>
      <c r="BV403" s="1312">
        <v>74.58</v>
      </c>
      <c r="BW403" s="1313">
        <v>76.09</v>
      </c>
      <c r="BX403" s="1313">
        <v>77.58</v>
      </c>
      <c r="BY403" s="1313">
        <v>79.05</v>
      </c>
      <c r="BZ403" s="1313">
        <v>80.510000000000005</v>
      </c>
      <c r="CA403" s="1313">
        <v>81.96</v>
      </c>
      <c r="CB403" s="1313">
        <v>83.39</v>
      </c>
      <c r="CC403" s="1313">
        <v>84.8</v>
      </c>
      <c r="CD403" s="1313">
        <v>86.21</v>
      </c>
      <c r="CE403" s="1314">
        <v>87.6</v>
      </c>
      <c r="CF403" s="1313">
        <v>88.97</v>
      </c>
      <c r="CG403" s="1313">
        <v>90.34</v>
      </c>
      <c r="CH403" s="1314">
        <v>91.68</v>
      </c>
    </row>
    <row r="404" spans="1:86" ht="20.149999999999999" customHeight="1">
      <c r="A404" s="1563" t="s">
        <v>1541</v>
      </c>
      <c r="B404" s="1563" t="s">
        <v>14</v>
      </c>
      <c r="C404" s="1563" t="str">
        <f t="shared" si="8"/>
        <v>PBSDDCIF37</v>
      </c>
      <c r="D404" s="1193">
        <v>37</v>
      </c>
      <c r="E404" s="1312"/>
      <c r="F404" s="1313">
        <v>0.3</v>
      </c>
      <c r="G404" s="1313">
        <v>0.47</v>
      </c>
      <c r="H404" s="1313">
        <v>0.66</v>
      </c>
      <c r="I404" s="1313">
        <v>0.87</v>
      </c>
      <c r="J404" s="1313">
        <v>1.1000000000000001</v>
      </c>
      <c r="K404" s="1313">
        <v>1.35</v>
      </c>
      <c r="L404" s="1313">
        <v>1.63</v>
      </c>
      <c r="M404" s="1314">
        <v>1.92</v>
      </c>
      <c r="N404" s="1312">
        <v>2.25</v>
      </c>
      <c r="O404" s="1313">
        <v>2.6</v>
      </c>
      <c r="P404" s="1313">
        <v>2.99</v>
      </c>
      <c r="Q404" s="1313">
        <v>3.4</v>
      </c>
      <c r="R404" s="1313">
        <v>3.85</v>
      </c>
      <c r="S404" s="1313">
        <v>4.24</v>
      </c>
      <c r="T404" s="1313">
        <v>4.6500000000000004</v>
      </c>
      <c r="U404" s="1313">
        <v>5.08</v>
      </c>
      <c r="V404" s="1313">
        <v>5.53</v>
      </c>
      <c r="W404" s="1314">
        <v>6</v>
      </c>
      <c r="X404" s="1312">
        <v>6.49</v>
      </c>
      <c r="Y404" s="1313">
        <v>7</v>
      </c>
      <c r="Z404" s="1313">
        <v>7.53</v>
      </c>
      <c r="AA404" s="1313">
        <v>8.09</v>
      </c>
      <c r="AB404" s="1313">
        <v>8.68</v>
      </c>
      <c r="AC404" s="1313">
        <v>9.3000000000000007</v>
      </c>
      <c r="AD404" s="1313">
        <v>9.9600000000000009</v>
      </c>
      <c r="AE404" s="1313">
        <v>10.65</v>
      </c>
      <c r="AF404" s="1313">
        <v>11.38</v>
      </c>
      <c r="AG404" s="1314">
        <v>12.16</v>
      </c>
      <c r="AH404" s="1312">
        <v>12.98</v>
      </c>
      <c r="AI404" s="1313">
        <v>13.86</v>
      </c>
      <c r="AJ404" s="1313">
        <v>14.8</v>
      </c>
      <c r="AK404" s="1313">
        <v>15.8</v>
      </c>
      <c r="AL404" s="1313">
        <v>16.86</v>
      </c>
      <c r="AM404" s="1313">
        <v>18</v>
      </c>
      <c r="AN404" s="1313">
        <v>19.21</v>
      </c>
      <c r="AO404" s="1313">
        <v>20.5</v>
      </c>
      <c r="AP404" s="1313">
        <v>21.88</v>
      </c>
      <c r="AQ404" s="1314">
        <v>23.35</v>
      </c>
      <c r="AR404" s="1312">
        <v>24.91</v>
      </c>
      <c r="AS404" s="1313">
        <v>26.56</v>
      </c>
      <c r="AT404" s="1313">
        <v>28.31</v>
      </c>
      <c r="AU404" s="1313">
        <v>30.34</v>
      </c>
      <c r="AV404" s="1313">
        <v>32.35</v>
      </c>
      <c r="AW404" s="1313">
        <v>34.340000000000003</v>
      </c>
      <c r="AX404" s="1313">
        <v>36.31</v>
      </c>
      <c r="AY404" s="1313">
        <v>38.26</v>
      </c>
      <c r="AZ404" s="1313">
        <v>40.19</v>
      </c>
      <c r="BA404" s="1314">
        <v>42.11</v>
      </c>
      <c r="BB404" s="1312">
        <v>44</v>
      </c>
      <c r="BC404" s="1313">
        <v>45.87</v>
      </c>
      <c r="BD404" s="1313">
        <v>47.73</v>
      </c>
      <c r="BE404" s="1313">
        <v>49.57</v>
      </c>
      <c r="BF404" s="1313">
        <v>51.39</v>
      </c>
      <c r="BG404" s="1313">
        <v>53.19</v>
      </c>
      <c r="BH404" s="1313">
        <v>54.97</v>
      </c>
      <c r="BI404" s="1313">
        <v>56.74</v>
      </c>
      <c r="BJ404" s="1313">
        <v>58.49</v>
      </c>
      <c r="BK404" s="1314">
        <v>60.22</v>
      </c>
      <c r="BL404" s="1312">
        <v>61.93</v>
      </c>
      <c r="BM404" s="1313">
        <v>63.63</v>
      </c>
      <c r="BN404" s="1313">
        <v>65.31</v>
      </c>
      <c r="BO404" s="1313">
        <v>66.97</v>
      </c>
      <c r="BP404" s="1313">
        <v>68.62</v>
      </c>
      <c r="BQ404" s="1313">
        <v>70.25</v>
      </c>
      <c r="BR404" s="1313">
        <v>71.87</v>
      </c>
      <c r="BS404" s="1313">
        <v>73.47</v>
      </c>
      <c r="BT404" s="1313">
        <v>75.05</v>
      </c>
      <c r="BU404" s="1314">
        <v>76.62</v>
      </c>
      <c r="BV404" s="1312">
        <v>78.17</v>
      </c>
      <c r="BW404" s="1313">
        <v>79.7</v>
      </c>
      <c r="BX404" s="1313">
        <v>81.22</v>
      </c>
      <c r="BY404" s="1313">
        <v>82.73</v>
      </c>
      <c r="BZ404" s="1313">
        <v>84.22</v>
      </c>
      <c r="CA404" s="1313">
        <v>85.7</v>
      </c>
      <c r="CB404" s="1313">
        <v>87.16</v>
      </c>
      <c r="CC404" s="1313">
        <v>88.61</v>
      </c>
      <c r="CD404" s="1313">
        <v>90.04</v>
      </c>
      <c r="CE404" s="1314">
        <v>91.46</v>
      </c>
      <c r="CF404" s="1313">
        <v>92.86</v>
      </c>
      <c r="CG404" s="1313">
        <v>94.26</v>
      </c>
      <c r="CH404" s="1314">
        <v>95.63</v>
      </c>
    </row>
    <row r="405" spans="1:86" ht="20.149999999999999" customHeight="1">
      <c r="A405" s="1563" t="s">
        <v>1541</v>
      </c>
      <c r="B405" s="1563" t="s">
        <v>14</v>
      </c>
      <c r="C405" s="1563" t="str">
        <f t="shared" si="8"/>
        <v>PBSDDCIF38</v>
      </c>
      <c r="D405" s="1193">
        <v>38</v>
      </c>
      <c r="E405" s="1312"/>
      <c r="F405" s="1313">
        <v>0.33</v>
      </c>
      <c r="G405" s="1313">
        <v>0.52</v>
      </c>
      <c r="H405" s="1313">
        <v>0.73</v>
      </c>
      <c r="I405" s="1313">
        <v>0.96</v>
      </c>
      <c r="J405" s="1313">
        <v>1.21</v>
      </c>
      <c r="K405" s="1313">
        <v>1.48</v>
      </c>
      <c r="L405" s="1313">
        <v>1.78</v>
      </c>
      <c r="M405" s="1314">
        <v>2.1</v>
      </c>
      <c r="N405" s="1312">
        <v>2.4500000000000002</v>
      </c>
      <c r="O405" s="1313">
        <v>2.84</v>
      </c>
      <c r="P405" s="1313">
        <v>3.25</v>
      </c>
      <c r="Q405" s="1313">
        <v>3.7</v>
      </c>
      <c r="R405" s="1313">
        <v>4.18</v>
      </c>
      <c r="S405" s="1313">
        <v>4.5999999999999996</v>
      </c>
      <c r="T405" s="1313">
        <v>5.04</v>
      </c>
      <c r="U405" s="1313">
        <v>5.5</v>
      </c>
      <c r="V405" s="1313">
        <v>5.98</v>
      </c>
      <c r="W405" s="1314">
        <v>6.48</v>
      </c>
      <c r="X405" s="1312">
        <v>7</v>
      </c>
      <c r="Y405" s="1313">
        <v>7.55</v>
      </c>
      <c r="Z405" s="1313">
        <v>8.1199999999999992</v>
      </c>
      <c r="AA405" s="1313">
        <v>8.73</v>
      </c>
      <c r="AB405" s="1313">
        <v>9.36</v>
      </c>
      <c r="AC405" s="1313">
        <v>10.029999999999999</v>
      </c>
      <c r="AD405" s="1313">
        <v>10.74</v>
      </c>
      <c r="AE405" s="1313">
        <v>11.49</v>
      </c>
      <c r="AF405" s="1313">
        <v>12.28</v>
      </c>
      <c r="AG405" s="1314">
        <v>13.13</v>
      </c>
      <c r="AH405" s="1312">
        <v>14.03</v>
      </c>
      <c r="AI405" s="1313">
        <v>14.99</v>
      </c>
      <c r="AJ405" s="1313">
        <v>16.02</v>
      </c>
      <c r="AK405" s="1313">
        <v>17.11</v>
      </c>
      <c r="AL405" s="1313">
        <v>18.28</v>
      </c>
      <c r="AM405" s="1313">
        <v>19.52</v>
      </c>
      <c r="AN405" s="1313">
        <v>20.85</v>
      </c>
      <c r="AO405" s="1313">
        <v>22.27</v>
      </c>
      <c r="AP405" s="1313">
        <v>23.78</v>
      </c>
      <c r="AQ405" s="1314">
        <v>25.38</v>
      </c>
      <c r="AR405" s="1312">
        <v>27.08</v>
      </c>
      <c r="AS405" s="1313">
        <v>28.88</v>
      </c>
      <c r="AT405" s="1313">
        <v>30.97</v>
      </c>
      <c r="AU405" s="1313">
        <v>33.049999999999997</v>
      </c>
      <c r="AV405" s="1313">
        <v>35.1</v>
      </c>
      <c r="AW405" s="1313">
        <v>37.130000000000003</v>
      </c>
      <c r="AX405" s="1313">
        <v>39.15</v>
      </c>
      <c r="AY405" s="1313">
        <v>41.14</v>
      </c>
      <c r="AZ405" s="1313">
        <v>43.11</v>
      </c>
      <c r="BA405" s="1314">
        <v>45.07</v>
      </c>
      <c r="BB405" s="1312">
        <v>47</v>
      </c>
      <c r="BC405" s="1313">
        <v>48.92</v>
      </c>
      <c r="BD405" s="1313">
        <v>50.81</v>
      </c>
      <c r="BE405" s="1313">
        <v>52.69</v>
      </c>
      <c r="BF405" s="1313">
        <v>54.55</v>
      </c>
      <c r="BG405" s="1313">
        <v>56.39</v>
      </c>
      <c r="BH405" s="1313">
        <v>58.21</v>
      </c>
      <c r="BI405" s="1313">
        <v>60.02</v>
      </c>
      <c r="BJ405" s="1313">
        <v>61.81</v>
      </c>
      <c r="BK405" s="1314">
        <v>63.57</v>
      </c>
      <c r="BL405" s="1312">
        <v>65.33</v>
      </c>
      <c r="BM405" s="1313">
        <v>67.06</v>
      </c>
      <c r="BN405" s="1313">
        <v>68.78</v>
      </c>
      <c r="BO405" s="1313">
        <v>70.48</v>
      </c>
      <c r="BP405" s="1313">
        <v>72.16</v>
      </c>
      <c r="BQ405" s="1313">
        <v>73.83</v>
      </c>
      <c r="BR405" s="1313">
        <v>75.47</v>
      </c>
      <c r="BS405" s="1313">
        <v>77.11</v>
      </c>
      <c r="BT405" s="1313">
        <v>78.73</v>
      </c>
      <c r="BU405" s="1314">
        <v>80.33</v>
      </c>
      <c r="BV405" s="1312">
        <v>81.91</v>
      </c>
      <c r="BW405" s="1313">
        <v>83.48</v>
      </c>
      <c r="BX405" s="1313">
        <v>85.04</v>
      </c>
      <c r="BY405" s="1313">
        <v>86.58</v>
      </c>
      <c r="BZ405" s="1313">
        <v>88.1</v>
      </c>
      <c r="CA405" s="1313">
        <v>89.61</v>
      </c>
      <c r="CB405" s="1313">
        <v>91.1</v>
      </c>
      <c r="CC405" s="1313">
        <v>92.58</v>
      </c>
      <c r="CD405" s="1313">
        <v>94.04</v>
      </c>
      <c r="CE405" s="1314">
        <v>95.49</v>
      </c>
      <c r="CF405" s="1313">
        <v>96.93</v>
      </c>
      <c r="CG405" s="1313">
        <v>98.35</v>
      </c>
      <c r="CH405" s="1314">
        <v>99.76</v>
      </c>
    </row>
    <row r="406" spans="1:86" ht="20.149999999999999" customHeight="1">
      <c r="A406" s="1563" t="s">
        <v>1541</v>
      </c>
      <c r="B406" s="1563" t="s">
        <v>14</v>
      </c>
      <c r="C406" s="1563" t="str">
        <f t="shared" si="8"/>
        <v>PBSDDCIF39</v>
      </c>
      <c r="D406" s="1193">
        <v>39</v>
      </c>
      <c r="E406" s="1312"/>
      <c r="F406" s="1313">
        <v>0.36</v>
      </c>
      <c r="G406" s="1313">
        <v>0.56999999999999995</v>
      </c>
      <c r="H406" s="1313">
        <v>0.8</v>
      </c>
      <c r="I406" s="1313">
        <v>1.05</v>
      </c>
      <c r="J406" s="1313">
        <v>1.32</v>
      </c>
      <c r="K406" s="1313">
        <v>1.62</v>
      </c>
      <c r="L406" s="1313">
        <v>1.94</v>
      </c>
      <c r="M406" s="1314">
        <v>2.29</v>
      </c>
      <c r="N406" s="1312">
        <v>2.67</v>
      </c>
      <c r="O406" s="1313">
        <v>3.08</v>
      </c>
      <c r="P406" s="1313">
        <v>3.53</v>
      </c>
      <c r="Q406" s="1313">
        <v>4.01</v>
      </c>
      <c r="R406" s="1313">
        <v>4.5199999999999996</v>
      </c>
      <c r="S406" s="1313">
        <v>4.97</v>
      </c>
      <c r="T406" s="1313">
        <v>5.44</v>
      </c>
      <c r="U406" s="1313">
        <v>5.93</v>
      </c>
      <c r="V406" s="1313">
        <v>6.45</v>
      </c>
      <c r="W406" s="1314">
        <v>6.98</v>
      </c>
      <c r="X406" s="1312">
        <v>7.54</v>
      </c>
      <c r="Y406" s="1313">
        <v>8.1300000000000008</v>
      </c>
      <c r="Z406" s="1313">
        <v>8.75</v>
      </c>
      <c r="AA406" s="1313">
        <v>9.4</v>
      </c>
      <c r="AB406" s="1313">
        <v>10.09</v>
      </c>
      <c r="AC406" s="1313">
        <v>10.81</v>
      </c>
      <c r="AD406" s="1313">
        <v>11.58</v>
      </c>
      <c r="AE406" s="1313">
        <v>12.4</v>
      </c>
      <c r="AF406" s="1313">
        <v>13.26</v>
      </c>
      <c r="AG406" s="1314">
        <v>14.19</v>
      </c>
      <c r="AH406" s="1312">
        <v>15.17</v>
      </c>
      <c r="AI406" s="1313">
        <v>16.22</v>
      </c>
      <c r="AJ406" s="1313">
        <v>17.350000000000001</v>
      </c>
      <c r="AK406" s="1313">
        <v>18.55</v>
      </c>
      <c r="AL406" s="1313">
        <v>19.829999999999998</v>
      </c>
      <c r="AM406" s="1313">
        <v>21.19</v>
      </c>
      <c r="AN406" s="1313">
        <v>22.65</v>
      </c>
      <c r="AO406" s="1313">
        <v>24.2</v>
      </c>
      <c r="AP406" s="1313">
        <v>25.85</v>
      </c>
      <c r="AQ406" s="1314">
        <v>27.6</v>
      </c>
      <c r="AR406" s="1312">
        <v>29.45</v>
      </c>
      <c r="AS406" s="1313">
        <v>31.61</v>
      </c>
      <c r="AT406" s="1313">
        <v>33.75</v>
      </c>
      <c r="AU406" s="1313">
        <v>35.869999999999997</v>
      </c>
      <c r="AV406" s="1313">
        <v>37.97</v>
      </c>
      <c r="AW406" s="1313">
        <v>40.049999999999997</v>
      </c>
      <c r="AX406" s="1313">
        <v>42.11</v>
      </c>
      <c r="AY406" s="1313">
        <v>44.14</v>
      </c>
      <c r="AZ406" s="1313">
        <v>46.16</v>
      </c>
      <c r="BA406" s="1314">
        <v>48.16</v>
      </c>
      <c r="BB406" s="1312">
        <v>50.13</v>
      </c>
      <c r="BC406" s="1313">
        <v>52.09</v>
      </c>
      <c r="BD406" s="1313">
        <v>54.03</v>
      </c>
      <c r="BE406" s="1313">
        <v>55.95</v>
      </c>
      <c r="BF406" s="1313">
        <v>57.85</v>
      </c>
      <c r="BG406" s="1313">
        <v>59.73</v>
      </c>
      <c r="BH406" s="1313">
        <v>61.59</v>
      </c>
      <c r="BI406" s="1313">
        <v>63.44</v>
      </c>
      <c r="BJ406" s="1313">
        <v>65.260000000000005</v>
      </c>
      <c r="BK406" s="1314">
        <v>67.069999999999993</v>
      </c>
      <c r="BL406" s="1312">
        <v>68.86</v>
      </c>
      <c r="BM406" s="1313">
        <v>70.64</v>
      </c>
      <c r="BN406" s="1313">
        <v>72.39</v>
      </c>
      <c r="BO406" s="1313">
        <v>74.13</v>
      </c>
      <c r="BP406" s="1313">
        <v>75.849999999999994</v>
      </c>
      <c r="BQ406" s="1313">
        <v>77.55</v>
      </c>
      <c r="BR406" s="1313">
        <v>79.239999999999995</v>
      </c>
      <c r="BS406" s="1313">
        <v>80.91</v>
      </c>
      <c r="BT406" s="1313">
        <v>82.56</v>
      </c>
      <c r="BU406" s="1314">
        <v>84.2</v>
      </c>
      <c r="BV406" s="1312">
        <v>85.82</v>
      </c>
      <c r="BW406" s="1313">
        <v>87.42</v>
      </c>
      <c r="BX406" s="1313">
        <v>89.01</v>
      </c>
      <c r="BY406" s="1313">
        <v>90.58</v>
      </c>
      <c r="BZ406" s="1313">
        <v>92.14</v>
      </c>
      <c r="CA406" s="1313">
        <v>93.68</v>
      </c>
      <c r="CB406" s="1313">
        <v>95.21</v>
      </c>
      <c r="CC406" s="1313">
        <v>96.72</v>
      </c>
      <c r="CD406" s="1313">
        <v>98.22</v>
      </c>
      <c r="CE406" s="1314">
        <v>99.7</v>
      </c>
      <c r="CF406" s="1313">
        <v>101.17</v>
      </c>
      <c r="CG406" s="1313">
        <v>102.62</v>
      </c>
      <c r="CH406" s="1314">
        <v>104.06</v>
      </c>
    </row>
    <row r="407" spans="1:86" ht="20.149999999999999" customHeight="1">
      <c r="A407" s="1563" t="s">
        <v>1541</v>
      </c>
      <c r="B407" s="1563" t="s">
        <v>14</v>
      </c>
      <c r="C407" s="1563" t="str">
        <f t="shared" si="8"/>
        <v>PBSDDCIF40</v>
      </c>
      <c r="D407" s="1193">
        <v>40</v>
      </c>
      <c r="E407" s="1312"/>
      <c r="F407" s="1313">
        <v>0.4</v>
      </c>
      <c r="G407" s="1313">
        <v>0.62</v>
      </c>
      <c r="H407" s="1313">
        <v>0.87</v>
      </c>
      <c r="I407" s="1313">
        <v>1.1399999999999999</v>
      </c>
      <c r="J407" s="1313">
        <v>1.44</v>
      </c>
      <c r="K407" s="1313">
        <v>1.76</v>
      </c>
      <c r="L407" s="1313">
        <v>2.11</v>
      </c>
      <c r="M407" s="1314">
        <v>2.4900000000000002</v>
      </c>
      <c r="N407" s="1312">
        <v>2.9</v>
      </c>
      <c r="O407" s="1313">
        <v>3.34</v>
      </c>
      <c r="P407" s="1313">
        <v>3.82</v>
      </c>
      <c r="Q407" s="1313">
        <v>4.33</v>
      </c>
      <c r="R407" s="1313">
        <v>4.88</v>
      </c>
      <c r="S407" s="1313">
        <v>5.36</v>
      </c>
      <c r="T407" s="1313">
        <v>5.87</v>
      </c>
      <c r="U407" s="1313">
        <v>6.39</v>
      </c>
      <c r="V407" s="1313">
        <v>6.94</v>
      </c>
      <c r="W407" s="1314">
        <v>7.52</v>
      </c>
      <c r="X407" s="1312">
        <v>8.1199999999999992</v>
      </c>
      <c r="Y407" s="1313">
        <v>8.75</v>
      </c>
      <c r="Z407" s="1313">
        <v>9.42</v>
      </c>
      <c r="AA407" s="1313">
        <v>10.119999999999999</v>
      </c>
      <c r="AB407" s="1313">
        <v>10.86</v>
      </c>
      <c r="AC407" s="1313">
        <v>11.65</v>
      </c>
      <c r="AD407" s="1313">
        <v>12.49</v>
      </c>
      <c r="AE407" s="1313">
        <v>13.37</v>
      </c>
      <c r="AF407" s="1313">
        <v>14.32</v>
      </c>
      <c r="AG407" s="1314">
        <v>15.33</v>
      </c>
      <c r="AH407" s="1312">
        <v>16.41</v>
      </c>
      <c r="AI407" s="1313">
        <v>17.57</v>
      </c>
      <c r="AJ407" s="1313">
        <v>18.8</v>
      </c>
      <c r="AK407" s="1313">
        <v>20.11</v>
      </c>
      <c r="AL407" s="1313">
        <v>21.52</v>
      </c>
      <c r="AM407" s="1313">
        <v>23.01</v>
      </c>
      <c r="AN407" s="1313">
        <v>24.61</v>
      </c>
      <c r="AO407" s="1313">
        <v>26.31</v>
      </c>
      <c r="AP407" s="1313">
        <v>28.11</v>
      </c>
      <c r="AQ407" s="1314">
        <v>30.01</v>
      </c>
      <c r="AR407" s="1312">
        <v>32.24</v>
      </c>
      <c r="AS407" s="1313">
        <v>34.46</v>
      </c>
      <c r="AT407" s="1313">
        <v>36.65</v>
      </c>
      <c r="AU407" s="1313">
        <v>38.81</v>
      </c>
      <c r="AV407" s="1313">
        <v>40.96</v>
      </c>
      <c r="AW407" s="1313">
        <v>43.08</v>
      </c>
      <c r="AX407" s="1313">
        <v>45.19</v>
      </c>
      <c r="AY407" s="1313">
        <v>47.27</v>
      </c>
      <c r="AZ407" s="1313">
        <v>49.33</v>
      </c>
      <c r="BA407" s="1314">
        <v>51.38</v>
      </c>
      <c r="BB407" s="1312">
        <v>53.4</v>
      </c>
      <c r="BC407" s="1313">
        <v>55.4</v>
      </c>
      <c r="BD407" s="1313">
        <v>57.38</v>
      </c>
      <c r="BE407" s="1313">
        <v>59.35</v>
      </c>
      <c r="BF407" s="1313">
        <v>61.29</v>
      </c>
      <c r="BG407" s="1313">
        <v>63.21</v>
      </c>
      <c r="BH407" s="1313">
        <v>65.12</v>
      </c>
      <c r="BI407" s="1313">
        <v>67</v>
      </c>
      <c r="BJ407" s="1313">
        <v>68.87</v>
      </c>
      <c r="BK407" s="1314">
        <v>70.72</v>
      </c>
      <c r="BL407" s="1312">
        <v>72.55</v>
      </c>
      <c r="BM407" s="1313">
        <v>74.36</v>
      </c>
      <c r="BN407" s="1313">
        <v>76.16</v>
      </c>
      <c r="BO407" s="1313">
        <v>77.930000000000007</v>
      </c>
      <c r="BP407" s="1313">
        <v>79.69</v>
      </c>
      <c r="BQ407" s="1313">
        <v>81.430000000000007</v>
      </c>
      <c r="BR407" s="1313">
        <v>83.16</v>
      </c>
      <c r="BS407" s="1313">
        <v>84.87</v>
      </c>
      <c r="BT407" s="1313">
        <v>86.56</v>
      </c>
      <c r="BU407" s="1314">
        <v>88.23</v>
      </c>
      <c r="BV407" s="1312">
        <v>89.89</v>
      </c>
      <c r="BW407" s="1313">
        <v>91.53</v>
      </c>
      <c r="BX407" s="1313">
        <v>93.15</v>
      </c>
      <c r="BY407" s="1313">
        <v>94.76</v>
      </c>
      <c r="BZ407" s="1313">
        <v>96.35</v>
      </c>
      <c r="CA407" s="1313">
        <v>97.93</v>
      </c>
      <c r="CB407" s="1313">
        <v>99.49</v>
      </c>
      <c r="CC407" s="1313">
        <v>101.04</v>
      </c>
      <c r="CD407" s="1313">
        <v>102.57</v>
      </c>
      <c r="CE407" s="1314">
        <v>104.08</v>
      </c>
      <c r="CF407" s="1313">
        <v>105.58</v>
      </c>
      <c r="CG407" s="1313">
        <v>107.07</v>
      </c>
      <c r="CH407" s="1314">
        <v>108.54</v>
      </c>
    </row>
    <row r="408" spans="1:86" ht="20.149999999999999" customHeight="1">
      <c r="A408" s="1563" t="s">
        <v>1541</v>
      </c>
      <c r="B408" s="1563" t="s">
        <v>14</v>
      </c>
      <c r="C408" s="1563" t="str">
        <f t="shared" si="8"/>
        <v>PBSDDCIF41</v>
      </c>
      <c r="D408" s="1194">
        <v>41</v>
      </c>
      <c r="E408" s="1315"/>
      <c r="F408" s="1316">
        <v>0.43</v>
      </c>
      <c r="G408" s="1316">
        <v>0.68</v>
      </c>
      <c r="H408" s="1316">
        <v>0.95</v>
      </c>
      <c r="I408" s="1316">
        <v>1.24</v>
      </c>
      <c r="J408" s="1316">
        <v>1.56</v>
      </c>
      <c r="K408" s="1316">
        <v>1.91</v>
      </c>
      <c r="L408" s="1316">
        <v>2.29</v>
      </c>
      <c r="M408" s="1317">
        <v>2.69</v>
      </c>
      <c r="N408" s="1315">
        <v>3.13</v>
      </c>
      <c r="O408" s="1316">
        <v>3.61</v>
      </c>
      <c r="P408" s="1316">
        <v>4.12</v>
      </c>
      <c r="Q408" s="1316">
        <v>4.67</v>
      </c>
      <c r="R408" s="1316">
        <v>5.26</v>
      </c>
      <c r="S408" s="1316">
        <v>5.77</v>
      </c>
      <c r="T408" s="1316">
        <v>6.31</v>
      </c>
      <c r="U408" s="1316">
        <v>6.87</v>
      </c>
      <c r="V408" s="1316">
        <v>7.46</v>
      </c>
      <c r="W408" s="1317">
        <v>8.08</v>
      </c>
      <c r="X408" s="1315">
        <v>8.7200000000000006</v>
      </c>
      <c r="Y408" s="1316">
        <v>9.41</v>
      </c>
      <c r="Z408" s="1316">
        <v>10.130000000000001</v>
      </c>
      <c r="AA408" s="1316">
        <v>10.89</v>
      </c>
      <c r="AB408" s="1316">
        <v>11.69</v>
      </c>
      <c r="AC408" s="1316">
        <v>12.55</v>
      </c>
      <c r="AD408" s="1316">
        <v>13.46</v>
      </c>
      <c r="AE408" s="1316">
        <v>14.43</v>
      </c>
      <c r="AF408" s="1316">
        <v>15.47</v>
      </c>
      <c r="AG408" s="1317">
        <v>16.579999999999998</v>
      </c>
      <c r="AH408" s="1315">
        <v>17.760000000000002</v>
      </c>
      <c r="AI408" s="1316">
        <v>19.03</v>
      </c>
      <c r="AJ408" s="1316">
        <v>20.38</v>
      </c>
      <c r="AK408" s="1316">
        <v>21.82</v>
      </c>
      <c r="AL408" s="1316">
        <v>23.36</v>
      </c>
      <c r="AM408" s="1316">
        <v>25</v>
      </c>
      <c r="AN408" s="1316">
        <v>26.75</v>
      </c>
      <c r="AO408" s="1316">
        <v>28.6</v>
      </c>
      <c r="AP408" s="1316">
        <v>30.57</v>
      </c>
      <c r="AQ408" s="1317">
        <v>32.869999999999997</v>
      </c>
      <c r="AR408" s="1315">
        <v>35.159999999999997</v>
      </c>
      <c r="AS408" s="1316">
        <v>37.42</v>
      </c>
      <c r="AT408" s="1316">
        <v>39.659999999999997</v>
      </c>
      <c r="AU408" s="1316">
        <v>41.88</v>
      </c>
      <c r="AV408" s="1316">
        <v>44.07</v>
      </c>
      <c r="AW408" s="1316">
        <v>46.25</v>
      </c>
      <c r="AX408" s="1316">
        <v>48.4</v>
      </c>
      <c r="AY408" s="1316">
        <v>50.53</v>
      </c>
      <c r="AZ408" s="1316">
        <v>52.64</v>
      </c>
      <c r="BA408" s="1317">
        <v>54.73</v>
      </c>
      <c r="BB408" s="1315">
        <v>56.8</v>
      </c>
      <c r="BC408" s="1316">
        <v>58.85</v>
      </c>
      <c r="BD408" s="1316">
        <v>60.87</v>
      </c>
      <c r="BE408" s="1316">
        <v>62.88</v>
      </c>
      <c r="BF408" s="1316">
        <v>64.87</v>
      </c>
      <c r="BG408" s="1316">
        <v>66.84</v>
      </c>
      <c r="BH408" s="1316">
        <v>68.790000000000006</v>
      </c>
      <c r="BI408" s="1316">
        <v>70.709999999999994</v>
      </c>
      <c r="BJ408" s="1316">
        <v>72.62</v>
      </c>
      <c r="BK408" s="1317">
        <v>74.52</v>
      </c>
      <c r="BL408" s="1315">
        <v>76.39</v>
      </c>
      <c r="BM408" s="1316">
        <v>78.239999999999995</v>
      </c>
      <c r="BN408" s="1316">
        <v>80.08</v>
      </c>
      <c r="BO408" s="1316">
        <v>81.900000000000006</v>
      </c>
      <c r="BP408" s="1316">
        <v>83.7</v>
      </c>
      <c r="BQ408" s="1316">
        <v>85.48</v>
      </c>
      <c r="BR408" s="1316">
        <v>87.24</v>
      </c>
      <c r="BS408" s="1316">
        <v>88.99</v>
      </c>
      <c r="BT408" s="1316">
        <v>90.72</v>
      </c>
      <c r="BU408" s="1317">
        <v>92.43</v>
      </c>
      <c r="BV408" s="1315">
        <v>94.12</v>
      </c>
      <c r="BW408" s="1316">
        <v>95.8</v>
      </c>
      <c r="BX408" s="1316">
        <v>97.46</v>
      </c>
      <c r="BY408" s="1316">
        <v>99.11</v>
      </c>
      <c r="BZ408" s="1316">
        <v>100.74</v>
      </c>
      <c r="CA408" s="1316">
        <v>102.35</v>
      </c>
      <c r="CB408" s="1316">
        <v>103.95</v>
      </c>
      <c r="CC408" s="1316">
        <v>105.53</v>
      </c>
      <c r="CD408" s="1316">
        <v>107.09</v>
      </c>
      <c r="CE408" s="1317">
        <v>108.64</v>
      </c>
      <c r="CF408" s="1316">
        <v>110.18</v>
      </c>
      <c r="CG408" s="1316">
        <v>111.7</v>
      </c>
      <c r="CH408" s="1317">
        <v>113.2</v>
      </c>
    </row>
    <row r="409" spans="1:86" ht="20.149999999999999" customHeight="1">
      <c r="A409" s="1563" t="s">
        <v>1541</v>
      </c>
      <c r="B409" s="1563" t="s">
        <v>14</v>
      </c>
      <c r="C409" s="1563" t="str">
        <f t="shared" si="8"/>
        <v>PBSDDCIF42</v>
      </c>
      <c r="D409" s="1193">
        <v>42</v>
      </c>
      <c r="E409" s="1312"/>
      <c r="F409" s="1313">
        <v>0.47</v>
      </c>
      <c r="G409" s="1313">
        <v>0.74</v>
      </c>
      <c r="H409" s="1313">
        <v>1.03</v>
      </c>
      <c r="I409" s="1313">
        <v>1.35</v>
      </c>
      <c r="J409" s="1313">
        <v>1.69</v>
      </c>
      <c r="K409" s="1313">
        <v>2.0699999999999998</v>
      </c>
      <c r="L409" s="1313">
        <v>2.4700000000000002</v>
      </c>
      <c r="M409" s="1314">
        <v>2.91</v>
      </c>
      <c r="N409" s="1312">
        <v>3.38</v>
      </c>
      <c r="O409" s="1313">
        <v>3.88</v>
      </c>
      <c r="P409" s="1313">
        <v>4.43</v>
      </c>
      <c r="Q409" s="1313">
        <v>5.01</v>
      </c>
      <c r="R409" s="1313">
        <v>5.64</v>
      </c>
      <c r="S409" s="1313">
        <v>6.19</v>
      </c>
      <c r="T409" s="1313">
        <v>6.77</v>
      </c>
      <c r="U409" s="1313">
        <v>7.37</v>
      </c>
      <c r="V409" s="1313">
        <v>8</v>
      </c>
      <c r="W409" s="1314">
        <v>8.67</v>
      </c>
      <c r="X409" s="1312">
        <v>9.3699999999999992</v>
      </c>
      <c r="Y409" s="1313">
        <v>10.1</v>
      </c>
      <c r="Z409" s="1313">
        <v>10.88</v>
      </c>
      <c r="AA409" s="1313">
        <v>11.71</v>
      </c>
      <c r="AB409" s="1313">
        <v>12.59</v>
      </c>
      <c r="AC409" s="1313">
        <v>13.52</v>
      </c>
      <c r="AD409" s="1313">
        <v>14.52</v>
      </c>
      <c r="AE409" s="1313">
        <v>15.58</v>
      </c>
      <c r="AF409" s="1313">
        <v>16.72</v>
      </c>
      <c r="AG409" s="1314">
        <v>17.940000000000001</v>
      </c>
      <c r="AH409" s="1312">
        <v>19.239999999999998</v>
      </c>
      <c r="AI409" s="1313">
        <v>20.63</v>
      </c>
      <c r="AJ409" s="1313">
        <v>22.11</v>
      </c>
      <c r="AK409" s="1313">
        <v>23.69</v>
      </c>
      <c r="AL409" s="1313">
        <v>25.38</v>
      </c>
      <c r="AM409" s="1313">
        <v>27.18</v>
      </c>
      <c r="AN409" s="1313">
        <v>29.09</v>
      </c>
      <c r="AO409" s="1313">
        <v>31.11</v>
      </c>
      <c r="AP409" s="1313">
        <v>33.5</v>
      </c>
      <c r="AQ409" s="1314">
        <v>35.86</v>
      </c>
      <c r="AR409" s="1312">
        <v>38.200000000000003</v>
      </c>
      <c r="AS409" s="1313">
        <v>40.51</v>
      </c>
      <c r="AT409" s="1313">
        <v>42.8</v>
      </c>
      <c r="AU409" s="1313">
        <v>45.07</v>
      </c>
      <c r="AV409" s="1313">
        <v>47.32</v>
      </c>
      <c r="AW409" s="1313">
        <v>49.55</v>
      </c>
      <c r="AX409" s="1313">
        <v>51.75</v>
      </c>
      <c r="AY409" s="1313">
        <v>53.93</v>
      </c>
      <c r="AZ409" s="1313">
        <v>56.09</v>
      </c>
      <c r="BA409" s="1314">
        <v>58.23</v>
      </c>
      <c r="BB409" s="1312">
        <v>60.34</v>
      </c>
      <c r="BC409" s="1313">
        <v>62.44</v>
      </c>
      <c r="BD409" s="1313">
        <v>64.510000000000005</v>
      </c>
      <c r="BE409" s="1313">
        <v>66.569999999999993</v>
      </c>
      <c r="BF409" s="1313">
        <v>68.599999999999994</v>
      </c>
      <c r="BG409" s="1313">
        <v>70.62</v>
      </c>
      <c r="BH409" s="1313">
        <v>72.61</v>
      </c>
      <c r="BI409" s="1313">
        <v>74.59</v>
      </c>
      <c r="BJ409" s="1313">
        <v>76.540000000000006</v>
      </c>
      <c r="BK409" s="1314">
        <v>78.48</v>
      </c>
      <c r="BL409" s="1312">
        <v>80.39</v>
      </c>
      <c r="BM409" s="1313">
        <v>82.29</v>
      </c>
      <c r="BN409" s="1313">
        <v>84.17</v>
      </c>
      <c r="BO409" s="1313">
        <v>86.03</v>
      </c>
      <c r="BP409" s="1313">
        <v>87.87</v>
      </c>
      <c r="BQ409" s="1313">
        <v>89.69</v>
      </c>
      <c r="BR409" s="1313">
        <v>91.5</v>
      </c>
      <c r="BS409" s="1313">
        <v>93.29</v>
      </c>
      <c r="BT409" s="1313">
        <v>95.06</v>
      </c>
      <c r="BU409" s="1314">
        <v>96.81</v>
      </c>
      <c r="BV409" s="1312">
        <v>98.54</v>
      </c>
      <c r="BW409" s="1313">
        <v>100.26</v>
      </c>
      <c r="BX409" s="1313">
        <v>101.96</v>
      </c>
      <c r="BY409" s="1313">
        <v>103.64</v>
      </c>
      <c r="BZ409" s="1313">
        <v>105.31</v>
      </c>
      <c r="CA409" s="1313">
        <v>106.96</v>
      </c>
      <c r="CB409" s="1313">
        <v>108.6</v>
      </c>
      <c r="CC409" s="1313">
        <v>110.21</v>
      </c>
      <c r="CD409" s="1313">
        <v>111.82</v>
      </c>
      <c r="CE409" s="1314">
        <v>113.4</v>
      </c>
      <c r="CF409" s="1313">
        <v>114.97</v>
      </c>
      <c r="CG409" s="1313">
        <v>116.53</v>
      </c>
      <c r="CH409" s="1314">
        <v>118.07</v>
      </c>
    </row>
    <row r="410" spans="1:86" ht="20.149999999999999" customHeight="1">
      <c r="A410" s="1563" t="s">
        <v>1541</v>
      </c>
      <c r="B410" s="1563" t="s">
        <v>14</v>
      </c>
      <c r="C410" s="1563" t="str">
        <f t="shared" si="8"/>
        <v>PBSDDCIF43</v>
      </c>
      <c r="D410" s="1193">
        <v>43</v>
      </c>
      <c r="E410" s="1312"/>
      <c r="F410" s="1313">
        <v>0.51</v>
      </c>
      <c r="G410" s="1313">
        <v>0.8</v>
      </c>
      <c r="H410" s="1313">
        <v>1.1100000000000001</v>
      </c>
      <c r="I410" s="1313">
        <v>1.46</v>
      </c>
      <c r="J410" s="1313">
        <v>1.83</v>
      </c>
      <c r="K410" s="1313">
        <v>2.23</v>
      </c>
      <c r="L410" s="1313">
        <v>2.66</v>
      </c>
      <c r="M410" s="1314">
        <v>3.12</v>
      </c>
      <c r="N410" s="1312">
        <v>3.63</v>
      </c>
      <c r="O410" s="1313">
        <v>4.16</v>
      </c>
      <c r="P410" s="1313">
        <v>4.75</v>
      </c>
      <c r="Q410" s="1313">
        <v>5.37</v>
      </c>
      <c r="R410" s="1313">
        <v>6.05</v>
      </c>
      <c r="S410" s="1313">
        <v>6.64</v>
      </c>
      <c r="T410" s="1313">
        <v>7.25</v>
      </c>
      <c r="U410" s="1313">
        <v>7.9</v>
      </c>
      <c r="V410" s="1313">
        <v>8.58</v>
      </c>
      <c r="W410" s="1314">
        <v>9.2899999999999991</v>
      </c>
      <c r="X410" s="1312">
        <v>10.050000000000001</v>
      </c>
      <c r="Y410" s="1313">
        <v>10.85</v>
      </c>
      <c r="Z410" s="1313">
        <v>11.69</v>
      </c>
      <c r="AA410" s="1313">
        <v>12.59</v>
      </c>
      <c r="AB410" s="1313">
        <v>13.55</v>
      </c>
      <c r="AC410" s="1313">
        <v>14.58</v>
      </c>
      <c r="AD410" s="1313">
        <v>15.67</v>
      </c>
      <c r="AE410" s="1313">
        <v>16.84</v>
      </c>
      <c r="AF410" s="1313">
        <v>18.09</v>
      </c>
      <c r="AG410" s="1314">
        <v>19.43</v>
      </c>
      <c r="AH410" s="1312">
        <v>20.85</v>
      </c>
      <c r="AI410" s="1313">
        <v>22.38</v>
      </c>
      <c r="AJ410" s="1313">
        <v>24.01</v>
      </c>
      <c r="AK410" s="1313">
        <v>25.75</v>
      </c>
      <c r="AL410" s="1313">
        <v>27.6</v>
      </c>
      <c r="AM410" s="1313">
        <v>29.57</v>
      </c>
      <c r="AN410" s="1313">
        <v>31.65</v>
      </c>
      <c r="AO410" s="1313">
        <v>34.11</v>
      </c>
      <c r="AP410" s="1313">
        <v>36.56</v>
      </c>
      <c r="AQ410" s="1314">
        <v>38.97</v>
      </c>
      <c r="AR410" s="1312">
        <v>41.37</v>
      </c>
      <c r="AS410" s="1313">
        <v>43.74</v>
      </c>
      <c r="AT410" s="1313">
        <v>46.09</v>
      </c>
      <c r="AU410" s="1313">
        <v>48.41</v>
      </c>
      <c r="AV410" s="1313">
        <v>50.71</v>
      </c>
      <c r="AW410" s="1313">
        <v>52.99</v>
      </c>
      <c r="AX410" s="1313">
        <v>55.24</v>
      </c>
      <c r="AY410" s="1313">
        <v>57.48</v>
      </c>
      <c r="AZ410" s="1313">
        <v>59.69</v>
      </c>
      <c r="BA410" s="1314">
        <v>61.88</v>
      </c>
      <c r="BB410" s="1312">
        <v>64.040000000000006</v>
      </c>
      <c r="BC410" s="1313">
        <v>66.19</v>
      </c>
      <c r="BD410" s="1313">
        <v>68.31</v>
      </c>
      <c r="BE410" s="1313">
        <v>70.42</v>
      </c>
      <c r="BF410" s="1313">
        <v>72.5</v>
      </c>
      <c r="BG410" s="1313">
        <v>74.56</v>
      </c>
      <c r="BH410" s="1313">
        <v>76.599999999999994</v>
      </c>
      <c r="BI410" s="1313">
        <v>78.62</v>
      </c>
      <c r="BJ410" s="1313">
        <v>80.63</v>
      </c>
      <c r="BK410" s="1314">
        <v>82.61</v>
      </c>
      <c r="BL410" s="1312">
        <v>84.57</v>
      </c>
      <c r="BM410" s="1313">
        <v>86.51</v>
      </c>
      <c r="BN410" s="1313">
        <v>88.44</v>
      </c>
      <c r="BO410" s="1313">
        <v>90.34</v>
      </c>
      <c r="BP410" s="1313">
        <v>92.23</v>
      </c>
      <c r="BQ410" s="1313">
        <v>94.09</v>
      </c>
      <c r="BR410" s="1313">
        <v>95.94</v>
      </c>
      <c r="BS410" s="1313">
        <v>97.77</v>
      </c>
      <c r="BT410" s="1313">
        <v>99.58</v>
      </c>
      <c r="BU410" s="1314">
        <v>101.38</v>
      </c>
      <c r="BV410" s="1312">
        <v>103.15</v>
      </c>
      <c r="BW410" s="1313">
        <v>104.91</v>
      </c>
      <c r="BX410" s="1313">
        <v>106.65</v>
      </c>
      <c r="BY410" s="1313">
        <v>108.38</v>
      </c>
      <c r="BZ410" s="1313">
        <v>110.08</v>
      </c>
      <c r="CA410" s="1313">
        <v>111.77</v>
      </c>
      <c r="CB410" s="1313">
        <v>113.45</v>
      </c>
      <c r="CC410" s="1313">
        <v>115.1</v>
      </c>
      <c r="CD410" s="1313">
        <v>116.74</v>
      </c>
      <c r="CE410" s="1314">
        <v>118.37</v>
      </c>
      <c r="CF410" s="1313">
        <v>119.98</v>
      </c>
      <c r="CG410" s="1313">
        <v>121.57</v>
      </c>
      <c r="CH410" s="1314">
        <v>123.14</v>
      </c>
    </row>
    <row r="411" spans="1:86" ht="20.149999999999999" customHeight="1">
      <c r="A411" s="1563" t="s">
        <v>1541</v>
      </c>
      <c r="B411" s="1563" t="s">
        <v>14</v>
      </c>
      <c r="C411" s="1563" t="str">
        <f t="shared" si="8"/>
        <v>PBSDDCIF44</v>
      </c>
      <c r="D411" s="1193">
        <v>44</v>
      </c>
      <c r="E411" s="1312"/>
      <c r="F411" s="1313">
        <v>0.55000000000000004</v>
      </c>
      <c r="G411" s="1313">
        <v>0.86</v>
      </c>
      <c r="H411" s="1313">
        <v>1.2</v>
      </c>
      <c r="I411" s="1313">
        <v>1.57</v>
      </c>
      <c r="J411" s="1313">
        <v>1.97</v>
      </c>
      <c r="K411" s="1313">
        <v>2.4</v>
      </c>
      <c r="L411" s="1313">
        <v>2.86</v>
      </c>
      <c r="M411" s="1314">
        <v>3.35</v>
      </c>
      <c r="N411" s="1312">
        <v>3.89</v>
      </c>
      <c r="O411" s="1313">
        <v>4.46</v>
      </c>
      <c r="P411" s="1313">
        <v>5.08</v>
      </c>
      <c r="Q411" s="1313">
        <v>5.75</v>
      </c>
      <c r="R411" s="1313">
        <v>6.48</v>
      </c>
      <c r="S411" s="1313">
        <v>7.11</v>
      </c>
      <c r="T411" s="1313">
        <v>7.77</v>
      </c>
      <c r="U411" s="1313">
        <v>8.4600000000000009</v>
      </c>
      <c r="V411" s="1313">
        <v>9.19</v>
      </c>
      <c r="W411" s="1314">
        <v>9.9700000000000006</v>
      </c>
      <c r="X411" s="1312">
        <v>10.79</v>
      </c>
      <c r="Y411" s="1313">
        <v>11.65</v>
      </c>
      <c r="Z411" s="1313">
        <v>12.58</v>
      </c>
      <c r="AA411" s="1313">
        <v>13.56</v>
      </c>
      <c r="AB411" s="1313">
        <v>14.61</v>
      </c>
      <c r="AC411" s="1313">
        <v>15.73</v>
      </c>
      <c r="AD411" s="1313">
        <v>16.93</v>
      </c>
      <c r="AE411" s="1313">
        <v>18.22</v>
      </c>
      <c r="AF411" s="1313">
        <v>19.59</v>
      </c>
      <c r="AG411" s="1314">
        <v>21.06</v>
      </c>
      <c r="AH411" s="1312">
        <v>22.63</v>
      </c>
      <c r="AI411" s="1313">
        <v>24.31</v>
      </c>
      <c r="AJ411" s="1313">
        <v>26.1</v>
      </c>
      <c r="AK411" s="1313">
        <v>28.01</v>
      </c>
      <c r="AL411" s="1313">
        <v>30.03</v>
      </c>
      <c r="AM411" s="1313">
        <v>32.18</v>
      </c>
      <c r="AN411" s="1313">
        <v>34.729999999999997</v>
      </c>
      <c r="AO411" s="1313">
        <v>37.26</v>
      </c>
      <c r="AP411" s="1313">
        <v>39.76</v>
      </c>
      <c r="AQ411" s="1314">
        <v>42.24</v>
      </c>
      <c r="AR411" s="1312">
        <v>44.69</v>
      </c>
      <c r="AS411" s="1313">
        <v>47.12</v>
      </c>
      <c r="AT411" s="1313">
        <v>49.52</v>
      </c>
      <c r="AU411" s="1313">
        <v>51.9</v>
      </c>
      <c r="AV411" s="1313">
        <v>54.26</v>
      </c>
      <c r="AW411" s="1313">
        <v>56.59</v>
      </c>
      <c r="AX411" s="1313">
        <v>58.9</v>
      </c>
      <c r="AY411" s="1313">
        <v>61.19</v>
      </c>
      <c r="AZ411" s="1313">
        <v>63.45</v>
      </c>
      <c r="BA411" s="1314">
        <v>65.7</v>
      </c>
      <c r="BB411" s="1312">
        <v>67.92</v>
      </c>
      <c r="BC411" s="1313">
        <v>70.11</v>
      </c>
      <c r="BD411" s="1313">
        <v>72.290000000000006</v>
      </c>
      <c r="BE411" s="1313">
        <v>74.44</v>
      </c>
      <c r="BF411" s="1313">
        <v>76.58</v>
      </c>
      <c r="BG411" s="1313">
        <v>78.69</v>
      </c>
      <c r="BH411" s="1313">
        <v>80.78</v>
      </c>
      <c r="BI411" s="1313">
        <v>82.85</v>
      </c>
      <c r="BJ411" s="1313">
        <v>84.9</v>
      </c>
      <c r="BK411" s="1314">
        <v>86.93</v>
      </c>
      <c r="BL411" s="1312">
        <v>88.94</v>
      </c>
      <c r="BM411" s="1313">
        <v>90.93</v>
      </c>
      <c r="BN411" s="1313">
        <v>92.9</v>
      </c>
      <c r="BO411" s="1313">
        <v>94.85</v>
      </c>
      <c r="BP411" s="1313">
        <v>96.78</v>
      </c>
      <c r="BQ411" s="1313">
        <v>98.7</v>
      </c>
      <c r="BR411" s="1313">
        <v>100.59</v>
      </c>
      <c r="BS411" s="1313">
        <v>102.46</v>
      </c>
      <c r="BT411" s="1313">
        <v>104.32</v>
      </c>
      <c r="BU411" s="1314">
        <v>106.16</v>
      </c>
      <c r="BV411" s="1312">
        <v>107.98</v>
      </c>
      <c r="BW411" s="1313">
        <v>109.78</v>
      </c>
      <c r="BX411" s="1313">
        <v>111.56</v>
      </c>
      <c r="BY411" s="1313">
        <v>113.33</v>
      </c>
      <c r="BZ411" s="1313">
        <v>115.08</v>
      </c>
      <c r="CA411" s="1313">
        <v>116.81</v>
      </c>
      <c r="CB411" s="1313">
        <v>118.52</v>
      </c>
      <c r="CC411" s="1313">
        <v>120.22</v>
      </c>
      <c r="CD411" s="1313">
        <v>121.9</v>
      </c>
      <c r="CE411" s="1314">
        <v>123.56</v>
      </c>
      <c r="CF411" s="1313">
        <v>125.21</v>
      </c>
      <c r="CG411" s="1313">
        <v>126.84</v>
      </c>
      <c r="CH411" s="1314">
        <v>128.46</v>
      </c>
    </row>
    <row r="412" spans="1:86" ht="20.149999999999999" customHeight="1">
      <c r="A412" s="1563" t="s">
        <v>1541</v>
      </c>
      <c r="B412" s="1563" t="s">
        <v>14</v>
      </c>
      <c r="C412" s="1563" t="str">
        <f t="shared" si="8"/>
        <v>PBSDDCIF45</v>
      </c>
      <c r="D412" s="1195">
        <v>45</v>
      </c>
      <c r="E412" s="1318"/>
      <c r="F412" s="1319">
        <v>0.59</v>
      </c>
      <c r="G412" s="1319">
        <v>0.93</v>
      </c>
      <c r="H412" s="1319">
        <v>1.3</v>
      </c>
      <c r="I412" s="1319">
        <v>1.69</v>
      </c>
      <c r="J412" s="1319">
        <v>2.11</v>
      </c>
      <c r="K412" s="1319">
        <v>2.57</v>
      </c>
      <c r="L412" s="1319">
        <v>3.06</v>
      </c>
      <c r="M412" s="1320">
        <v>3.59</v>
      </c>
      <c r="N412" s="1318">
        <v>4.16</v>
      </c>
      <c r="O412" s="1319">
        <v>4.7699999999999996</v>
      </c>
      <c r="P412" s="1319">
        <v>5.44</v>
      </c>
      <c r="Q412" s="1319">
        <v>6.15</v>
      </c>
      <c r="R412" s="1319">
        <v>6.92</v>
      </c>
      <c r="S412" s="1319">
        <v>7.6</v>
      </c>
      <c r="T412" s="1319">
        <v>8.31</v>
      </c>
      <c r="U412" s="1319">
        <v>9.06</v>
      </c>
      <c r="V412" s="1319">
        <v>9.85</v>
      </c>
      <c r="W412" s="1320">
        <v>10.69</v>
      </c>
      <c r="X412" s="1318">
        <v>11.58</v>
      </c>
      <c r="Y412" s="1319">
        <v>12.53</v>
      </c>
      <c r="Z412" s="1319">
        <v>13.54</v>
      </c>
      <c r="AA412" s="1319">
        <v>14.62</v>
      </c>
      <c r="AB412" s="1319">
        <v>15.77</v>
      </c>
      <c r="AC412" s="1319">
        <v>17</v>
      </c>
      <c r="AD412" s="1319">
        <v>18.32</v>
      </c>
      <c r="AE412" s="1319">
        <v>19.739999999999998</v>
      </c>
      <c r="AF412" s="1319">
        <v>21.25</v>
      </c>
      <c r="AG412" s="1320">
        <v>22.86</v>
      </c>
      <c r="AH412" s="1318">
        <v>24.59</v>
      </c>
      <c r="AI412" s="1319">
        <v>26.43</v>
      </c>
      <c r="AJ412" s="1319">
        <v>28.4</v>
      </c>
      <c r="AK412" s="1319">
        <v>30.49</v>
      </c>
      <c r="AL412" s="1319">
        <v>32.700000000000003</v>
      </c>
      <c r="AM412" s="1319">
        <v>35.340000000000003</v>
      </c>
      <c r="AN412" s="1319">
        <v>37.96</v>
      </c>
      <c r="AO412" s="1319">
        <v>40.549999999999997</v>
      </c>
      <c r="AP412" s="1319">
        <v>43.11</v>
      </c>
      <c r="AQ412" s="1320">
        <v>45.65</v>
      </c>
      <c r="AR412" s="1318">
        <v>48.16</v>
      </c>
      <c r="AS412" s="1319">
        <v>50.65</v>
      </c>
      <c r="AT412" s="1319">
        <v>53.12</v>
      </c>
      <c r="AU412" s="1319">
        <v>55.56</v>
      </c>
      <c r="AV412" s="1319">
        <v>57.97</v>
      </c>
      <c r="AW412" s="1319">
        <v>60.36</v>
      </c>
      <c r="AX412" s="1319">
        <v>62.73</v>
      </c>
      <c r="AY412" s="1319">
        <v>65.069999999999993</v>
      </c>
      <c r="AZ412" s="1319">
        <v>67.400000000000006</v>
      </c>
      <c r="BA412" s="1320">
        <v>69.69</v>
      </c>
      <c r="BB412" s="1318">
        <v>71.97</v>
      </c>
      <c r="BC412" s="1319">
        <v>74.22</v>
      </c>
      <c r="BD412" s="1319">
        <v>76.45</v>
      </c>
      <c r="BE412" s="1319">
        <v>78.66</v>
      </c>
      <c r="BF412" s="1319">
        <v>80.849999999999994</v>
      </c>
      <c r="BG412" s="1319">
        <v>83.01</v>
      </c>
      <c r="BH412" s="1319">
        <v>85.16</v>
      </c>
      <c r="BI412" s="1319">
        <v>87.28</v>
      </c>
      <c r="BJ412" s="1319">
        <v>89.38</v>
      </c>
      <c r="BK412" s="1320">
        <v>91.46</v>
      </c>
      <c r="BL412" s="1318">
        <v>93.52</v>
      </c>
      <c r="BM412" s="1319">
        <v>95.56</v>
      </c>
      <c r="BN412" s="1319">
        <v>97.58</v>
      </c>
      <c r="BO412" s="1319">
        <v>99.58</v>
      </c>
      <c r="BP412" s="1319">
        <v>101.56</v>
      </c>
      <c r="BQ412" s="1319">
        <v>103.52</v>
      </c>
      <c r="BR412" s="1319">
        <v>105.46</v>
      </c>
      <c r="BS412" s="1319">
        <v>107.38</v>
      </c>
      <c r="BT412" s="1319">
        <v>109.28</v>
      </c>
      <c r="BU412" s="1320">
        <v>111.16</v>
      </c>
      <c r="BV412" s="1318">
        <v>113.03</v>
      </c>
      <c r="BW412" s="1319">
        <v>114.87</v>
      </c>
      <c r="BX412" s="1319">
        <v>116.7</v>
      </c>
      <c r="BY412" s="1319">
        <v>118.51</v>
      </c>
      <c r="BZ412" s="1319">
        <v>120.3</v>
      </c>
      <c r="CA412" s="1319">
        <v>122.08</v>
      </c>
      <c r="CB412" s="1319">
        <v>123.84</v>
      </c>
      <c r="CC412" s="1319">
        <v>125.57</v>
      </c>
      <c r="CD412" s="1319">
        <v>127.3</v>
      </c>
      <c r="CE412" s="1320">
        <v>129</v>
      </c>
      <c r="CF412" s="1319">
        <v>130.69</v>
      </c>
      <c r="CG412" s="1319">
        <v>132.36000000000001</v>
      </c>
      <c r="CH412" s="1320">
        <v>134.02000000000001</v>
      </c>
    </row>
    <row r="413" spans="1:86" ht="20.149999999999999" customHeight="1">
      <c r="A413" s="1563" t="s">
        <v>1541</v>
      </c>
      <c r="B413" s="1563" t="s">
        <v>14</v>
      </c>
      <c r="C413" s="1563" t="str">
        <f t="shared" si="8"/>
        <v>PBSDDCIF46</v>
      </c>
      <c r="D413" s="1193">
        <v>46</v>
      </c>
      <c r="E413" s="1312"/>
      <c r="F413" s="1313">
        <v>0.64</v>
      </c>
      <c r="G413" s="1313">
        <v>1</v>
      </c>
      <c r="H413" s="1313">
        <v>1.39</v>
      </c>
      <c r="I413" s="1313">
        <v>1.81</v>
      </c>
      <c r="J413" s="1313">
        <v>2.2599999999999998</v>
      </c>
      <c r="K413" s="1313">
        <v>2.74</v>
      </c>
      <c r="L413" s="1313">
        <v>3.27</v>
      </c>
      <c r="M413" s="1314">
        <v>3.83</v>
      </c>
      <c r="N413" s="1312">
        <v>4.4400000000000004</v>
      </c>
      <c r="O413" s="1313">
        <v>5.0999999999999996</v>
      </c>
      <c r="P413" s="1313">
        <v>5.81</v>
      </c>
      <c r="Q413" s="1313">
        <v>6.57</v>
      </c>
      <c r="R413" s="1313">
        <v>7.4</v>
      </c>
      <c r="S413" s="1313">
        <v>8.1300000000000008</v>
      </c>
      <c r="T413" s="1313">
        <v>8.89</v>
      </c>
      <c r="U413" s="1313">
        <v>9.6999999999999993</v>
      </c>
      <c r="V413" s="1313">
        <v>10.56</v>
      </c>
      <c r="W413" s="1314">
        <v>11.48</v>
      </c>
      <c r="X413" s="1312">
        <v>12.45</v>
      </c>
      <c r="Y413" s="1313">
        <v>13.48</v>
      </c>
      <c r="Z413" s="1313">
        <v>14.59</v>
      </c>
      <c r="AA413" s="1313">
        <v>15.77</v>
      </c>
      <c r="AB413" s="1313">
        <v>17.04</v>
      </c>
      <c r="AC413" s="1313">
        <v>18.399999999999999</v>
      </c>
      <c r="AD413" s="1313">
        <v>19.850000000000001</v>
      </c>
      <c r="AE413" s="1313">
        <v>21.41</v>
      </c>
      <c r="AF413" s="1313">
        <v>23.07</v>
      </c>
      <c r="AG413" s="1314">
        <v>24.85</v>
      </c>
      <c r="AH413" s="1312">
        <v>26.75</v>
      </c>
      <c r="AI413" s="1313">
        <v>28.77</v>
      </c>
      <c r="AJ413" s="1313">
        <v>30.93</v>
      </c>
      <c r="AK413" s="1313">
        <v>33.21</v>
      </c>
      <c r="AL413" s="1313">
        <v>35.950000000000003</v>
      </c>
      <c r="AM413" s="1313">
        <v>38.659999999999997</v>
      </c>
      <c r="AN413" s="1313">
        <v>41.34</v>
      </c>
      <c r="AO413" s="1313">
        <v>44</v>
      </c>
      <c r="AP413" s="1313">
        <v>46.62</v>
      </c>
      <c r="AQ413" s="1314">
        <v>49.23</v>
      </c>
      <c r="AR413" s="1312">
        <v>51.81</v>
      </c>
      <c r="AS413" s="1313">
        <v>54.36</v>
      </c>
      <c r="AT413" s="1313">
        <v>56.88</v>
      </c>
      <c r="AU413" s="1313">
        <v>59.39</v>
      </c>
      <c r="AV413" s="1313">
        <v>61.86</v>
      </c>
      <c r="AW413" s="1313">
        <v>64.31</v>
      </c>
      <c r="AX413" s="1313">
        <v>66.739999999999995</v>
      </c>
      <c r="AY413" s="1313">
        <v>69.150000000000006</v>
      </c>
      <c r="AZ413" s="1313">
        <v>71.53</v>
      </c>
      <c r="BA413" s="1314">
        <v>73.88</v>
      </c>
      <c r="BB413" s="1312">
        <v>76.22</v>
      </c>
      <c r="BC413" s="1313">
        <v>78.53</v>
      </c>
      <c r="BD413" s="1313">
        <v>80.81</v>
      </c>
      <c r="BE413" s="1313">
        <v>83.08</v>
      </c>
      <c r="BF413" s="1313">
        <v>85.32</v>
      </c>
      <c r="BG413" s="1313">
        <v>87.54</v>
      </c>
      <c r="BH413" s="1313">
        <v>89.74</v>
      </c>
      <c r="BI413" s="1313">
        <v>91.91</v>
      </c>
      <c r="BJ413" s="1313">
        <v>94.07</v>
      </c>
      <c r="BK413" s="1314">
        <v>96.2</v>
      </c>
      <c r="BL413" s="1312">
        <v>98.31</v>
      </c>
      <c r="BM413" s="1313">
        <v>100.41</v>
      </c>
      <c r="BN413" s="1313">
        <v>102.48</v>
      </c>
      <c r="BO413" s="1313">
        <v>104.53</v>
      </c>
      <c r="BP413" s="1313">
        <v>106.56</v>
      </c>
      <c r="BQ413" s="1313">
        <v>108.57</v>
      </c>
      <c r="BR413" s="1313">
        <v>110.56</v>
      </c>
      <c r="BS413" s="1313">
        <v>112.53</v>
      </c>
      <c r="BT413" s="1313">
        <v>114.48</v>
      </c>
      <c r="BU413" s="1314">
        <v>116.41</v>
      </c>
      <c r="BV413" s="1312">
        <v>118.32</v>
      </c>
      <c r="BW413" s="1313">
        <v>120.21</v>
      </c>
      <c r="BX413" s="1313">
        <v>122.09</v>
      </c>
      <c r="BY413" s="1313">
        <v>123.94</v>
      </c>
      <c r="BZ413" s="1313">
        <v>125.78</v>
      </c>
      <c r="CA413" s="1313">
        <v>127.6</v>
      </c>
      <c r="CB413" s="1313">
        <v>129.4</v>
      </c>
      <c r="CC413" s="1313">
        <v>131.18</v>
      </c>
      <c r="CD413" s="1313">
        <v>132.94999999999999</v>
      </c>
      <c r="CE413" s="1314">
        <v>134.69999999999999</v>
      </c>
      <c r="CF413" s="1313">
        <v>136.43</v>
      </c>
      <c r="CG413" s="1313">
        <v>138.13999999999999</v>
      </c>
      <c r="CH413" s="1314">
        <v>139.84</v>
      </c>
    </row>
    <row r="414" spans="1:86" ht="20.149999999999999" customHeight="1">
      <c r="A414" s="1563" t="s">
        <v>1541</v>
      </c>
      <c r="B414" s="1563" t="s">
        <v>14</v>
      </c>
      <c r="C414" s="1563" t="str">
        <f t="shared" si="8"/>
        <v>PBSDDCIF47</v>
      </c>
      <c r="D414" s="1193">
        <v>47</v>
      </c>
      <c r="E414" s="1312"/>
      <c r="F414" s="1313">
        <v>0.69</v>
      </c>
      <c r="G414" s="1313">
        <v>1.07</v>
      </c>
      <c r="H414" s="1313">
        <v>1.48</v>
      </c>
      <c r="I414" s="1313">
        <v>1.93</v>
      </c>
      <c r="J414" s="1313">
        <v>2.4</v>
      </c>
      <c r="K414" s="1313">
        <v>2.92</v>
      </c>
      <c r="L414" s="1313">
        <v>3.48</v>
      </c>
      <c r="M414" s="1314">
        <v>4.08</v>
      </c>
      <c r="N414" s="1312">
        <v>4.7300000000000004</v>
      </c>
      <c r="O414" s="1313">
        <v>5.43</v>
      </c>
      <c r="P414" s="1313">
        <v>6.19</v>
      </c>
      <c r="Q414" s="1313">
        <v>7.01</v>
      </c>
      <c r="R414" s="1313">
        <v>7.9</v>
      </c>
      <c r="S414" s="1313">
        <v>8.68</v>
      </c>
      <c r="T414" s="1313">
        <v>9.51</v>
      </c>
      <c r="U414" s="1313">
        <v>10.39</v>
      </c>
      <c r="V414" s="1313">
        <v>11.33</v>
      </c>
      <c r="W414" s="1314">
        <v>12.33</v>
      </c>
      <c r="X414" s="1312">
        <v>13.39</v>
      </c>
      <c r="Y414" s="1313">
        <v>14.52</v>
      </c>
      <c r="Z414" s="1313">
        <v>15.74</v>
      </c>
      <c r="AA414" s="1313">
        <v>17.05</v>
      </c>
      <c r="AB414" s="1313">
        <v>18.440000000000001</v>
      </c>
      <c r="AC414" s="1313">
        <v>19.940000000000001</v>
      </c>
      <c r="AD414" s="1313">
        <v>21.53</v>
      </c>
      <c r="AE414" s="1313">
        <v>23.25</v>
      </c>
      <c r="AF414" s="1313">
        <v>25.08</v>
      </c>
      <c r="AG414" s="1314">
        <v>27.04</v>
      </c>
      <c r="AH414" s="1312">
        <v>29.13</v>
      </c>
      <c r="AI414" s="1313">
        <v>31.35</v>
      </c>
      <c r="AJ414" s="1313">
        <v>33.71</v>
      </c>
      <c r="AK414" s="1313">
        <v>36.54</v>
      </c>
      <c r="AL414" s="1313">
        <v>39.35</v>
      </c>
      <c r="AM414" s="1313">
        <v>42.13</v>
      </c>
      <c r="AN414" s="1313">
        <v>44.88</v>
      </c>
      <c r="AO414" s="1313">
        <v>47.61</v>
      </c>
      <c r="AP414" s="1313">
        <v>50.3</v>
      </c>
      <c r="AQ414" s="1314">
        <v>52.97</v>
      </c>
      <c r="AR414" s="1312">
        <v>55.62</v>
      </c>
      <c r="AS414" s="1313">
        <v>58.24</v>
      </c>
      <c r="AT414" s="1313">
        <v>60.83</v>
      </c>
      <c r="AU414" s="1313">
        <v>63.4</v>
      </c>
      <c r="AV414" s="1313">
        <v>65.94</v>
      </c>
      <c r="AW414" s="1313">
        <v>68.45</v>
      </c>
      <c r="AX414" s="1313">
        <v>70.94</v>
      </c>
      <c r="AY414" s="1313">
        <v>73.41</v>
      </c>
      <c r="AZ414" s="1313">
        <v>75.849999999999994</v>
      </c>
      <c r="BA414" s="1314">
        <v>78.27</v>
      </c>
      <c r="BB414" s="1312">
        <v>80.66</v>
      </c>
      <c r="BC414" s="1313">
        <v>83.03</v>
      </c>
      <c r="BD414" s="1313">
        <v>85.38</v>
      </c>
      <c r="BE414" s="1313">
        <v>87.7</v>
      </c>
      <c r="BF414" s="1313">
        <v>90</v>
      </c>
      <c r="BG414" s="1313">
        <v>92.28</v>
      </c>
      <c r="BH414" s="1313">
        <v>94.54</v>
      </c>
      <c r="BI414" s="1313">
        <v>96.77</v>
      </c>
      <c r="BJ414" s="1313">
        <v>98.98</v>
      </c>
      <c r="BK414" s="1314">
        <v>101.17</v>
      </c>
      <c r="BL414" s="1312">
        <v>103.34</v>
      </c>
      <c r="BM414" s="1313">
        <v>105.48</v>
      </c>
      <c r="BN414" s="1313">
        <v>107.61</v>
      </c>
      <c r="BO414" s="1313">
        <v>109.71</v>
      </c>
      <c r="BP414" s="1313">
        <v>111.79</v>
      </c>
      <c r="BQ414" s="1313">
        <v>113.85</v>
      </c>
      <c r="BR414" s="1313">
        <v>115.89</v>
      </c>
      <c r="BS414" s="1313">
        <v>117.92</v>
      </c>
      <c r="BT414" s="1313">
        <v>119.92</v>
      </c>
      <c r="BU414" s="1314">
        <v>121.9</v>
      </c>
      <c r="BV414" s="1312">
        <v>123.86</v>
      </c>
      <c r="BW414" s="1313">
        <v>125.8</v>
      </c>
      <c r="BX414" s="1313">
        <v>127.73</v>
      </c>
      <c r="BY414" s="1313">
        <v>129.63</v>
      </c>
      <c r="BZ414" s="1313">
        <v>131.51</v>
      </c>
      <c r="CA414" s="1313">
        <v>133.38</v>
      </c>
      <c r="CB414" s="1313">
        <v>135.22999999999999</v>
      </c>
      <c r="CC414" s="1313">
        <v>137.06</v>
      </c>
      <c r="CD414" s="1313">
        <v>138.87</v>
      </c>
      <c r="CE414" s="1314">
        <v>140.66</v>
      </c>
      <c r="CF414" s="1313">
        <v>142.44</v>
      </c>
      <c r="CG414" s="1313">
        <v>144.19999999999999</v>
      </c>
      <c r="CH414" s="1314">
        <v>145.94</v>
      </c>
    </row>
    <row r="415" spans="1:86" ht="20.149999999999999" customHeight="1">
      <c r="A415" s="1563" t="s">
        <v>1541</v>
      </c>
      <c r="B415" s="1563" t="s">
        <v>14</v>
      </c>
      <c r="C415" s="1563" t="str">
        <f t="shared" si="8"/>
        <v>PBSDDCIF48</v>
      </c>
      <c r="D415" s="1193">
        <v>48</v>
      </c>
      <c r="E415" s="1312"/>
      <c r="F415" s="1313">
        <v>0.73</v>
      </c>
      <c r="G415" s="1313">
        <v>1.1299999999999999</v>
      </c>
      <c r="H415" s="1313">
        <v>1.57</v>
      </c>
      <c r="I415" s="1313">
        <v>2.0499999999999998</v>
      </c>
      <c r="J415" s="1313">
        <v>2.56</v>
      </c>
      <c r="K415" s="1313">
        <v>3.11</v>
      </c>
      <c r="L415" s="1313">
        <v>3.7</v>
      </c>
      <c r="M415" s="1314">
        <v>4.3499999999999996</v>
      </c>
      <c r="N415" s="1312">
        <v>5.04</v>
      </c>
      <c r="O415" s="1313">
        <v>5.79</v>
      </c>
      <c r="P415" s="1313">
        <v>6.6</v>
      </c>
      <c r="Q415" s="1313">
        <v>7.48</v>
      </c>
      <c r="R415" s="1313">
        <v>8.44</v>
      </c>
      <c r="S415" s="1313">
        <v>9.2899999999999991</v>
      </c>
      <c r="T415" s="1313">
        <v>10.19</v>
      </c>
      <c r="U415" s="1313">
        <v>11.15</v>
      </c>
      <c r="V415" s="1313">
        <v>12.17</v>
      </c>
      <c r="W415" s="1314">
        <v>13.26</v>
      </c>
      <c r="X415" s="1312">
        <v>14.43</v>
      </c>
      <c r="Y415" s="1313">
        <v>15.68</v>
      </c>
      <c r="Z415" s="1313">
        <v>17.02</v>
      </c>
      <c r="AA415" s="1313">
        <v>18.46</v>
      </c>
      <c r="AB415" s="1313">
        <v>19.989999999999998</v>
      </c>
      <c r="AC415" s="1313">
        <v>21.64</v>
      </c>
      <c r="AD415" s="1313">
        <v>23.4</v>
      </c>
      <c r="AE415" s="1313">
        <v>25.29</v>
      </c>
      <c r="AF415" s="1313">
        <v>27.31</v>
      </c>
      <c r="AG415" s="1314">
        <v>29.47</v>
      </c>
      <c r="AH415" s="1312">
        <v>31.77</v>
      </c>
      <c r="AI415" s="1313">
        <v>34.200000000000003</v>
      </c>
      <c r="AJ415" s="1313">
        <v>37.14</v>
      </c>
      <c r="AK415" s="1313">
        <v>40.049999999999997</v>
      </c>
      <c r="AL415" s="1313">
        <v>42.93</v>
      </c>
      <c r="AM415" s="1313">
        <v>45.78</v>
      </c>
      <c r="AN415" s="1313">
        <v>48.61</v>
      </c>
      <c r="AO415" s="1313">
        <v>51.41</v>
      </c>
      <c r="AP415" s="1313">
        <v>54.18</v>
      </c>
      <c r="AQ415" s="1314">
        <v>56.92</v>
      </c>
      <c r="AR415" s="1312">
        <v>59.63</v>
      </c>
      <c r="AS415" s="1313">
        <v>62.32</v>
      </c>
      <c r="AT415" s="1313">
        <v>64.98</v>
      </c>
      <c r="AU415" s="1313">
        <v>67.62</v>
      </c>
      <c r="AV415" s="1313">
        <v>70.22</v>
      </c>
      <c r="AW415" s="1313">
        <v>72.81</v>
      </c>
      <c r="AX415" s="1313">
        <v>75.36</v>
      </c>
      <c r="AY415" s="1313">
        <v>77.900000000000006</v>
      </c>
      <c r="AZ415" s="1313">
        <v>80.400000000000006</v>
      </c>
      <c r="BA415" s="1314">
        <v>82.89</v>
      </c>
      <c r="BB415" s="1312">
        <v>85.34</v>
      </c>
      <c r="BC415" s="1313">
        <v>87.78</v>
      </c>
      <c r="BD415" s="1313">
        <v>90.19</v>
      </c>
      <c r="BE415" s="1313">
        <v>92.57</v>
      </c>
      <c r="BF415" s="1313">
        <v>94.93</v>
      </c>
      <c r="BG415" s="1313">
        <v>97.27</v>
      </c>
      <c r="BH415" s="1313">
        <v>99.59</v>
      </c>
      <c r="BI415" s="1313">
        <v>101.88</v>
      </c>
      <c r="BJ415" s="1313">
        <v>104.15</v>
      </c>
      <c r="BK415" s="1314">
        <v>106.39</v>
      </c>
      <c r="BL415" s="1312">
        <v>108.62</v>
      </c>
      <c r="BM415" s="1313">
        <v>110.82</v>
      </c>
      <c r="BN415" s="1313">
        <v>113</v>
      </c>
      <c r="BO415" s="1313">
        <v>115.16</v>
      </c>
      <c r="BP415" s="1313">
        <v>117.3</v>
      </c>
      <c r="BQ415" s="1313">
        <v>119.42</v>
      </c>
      <c r="BR415" s="1313">
        <v>121.51</v>
      </c>
      <c r="BS415" s="1313">
        <v>123.59</v>
      </c>
      <c r="BT415" s="1313">
        <v>125.64</v>
      </c>
      <c r="BU415" s="1314">
        <v>127.68</v>
      </c>
      <c r="BV415" s="1312">
        <v>129.69</v>
      </c>
      <c r="BW415" s="1313">
        <v>131.68</v>
      </c>
      <c r="BX415" s="1313">
        <v>133.66</v>
      </c>
      <c r="BY415" s="1313">
        <v>135.61000000000001</v>
      </c>
      <c r="BZ415" s="1313">
        <v>137.55000000000001</v>
      </c>
      <c r="CA415" s="1313">
        <v>139.47</v>
      </c>
      <c r="CB415" s="1313">
        <v>141.36000000000001</v>
      </c>
      <c r="CC415" s="1313">
        <v>143.24</v>
      </c>
      <c r="CD415" s="1313">
        <v>145.1</v>
      </c>
      <c r="CE415" s="1314">
        <v>146.94</v>
      </c>
      <c r="CF415" s="1313">
        <v>148.77000000000001</v>
      </c>
      <c r="CG415" s="1313">
        <v>150.57</v>
      </c>
      <c r="CH415" s="1314">
        <v>152.36000000000001</v>
      </c>
    </row>
    <row r="416" spans="1:86" ht="20.149999999999999" customHeight="1">
      <c r="A416" s="1563" t="s">
        <v>1541</v>
      </c>
      <c r="B416" s="1563" t="s">
        <v>14</v>
      </c>
      <c r="C416" s="1563" t="str">
        <f t="shared" si="8"/>
        <v>PBSDDCIF49</v>
      </c>
      <c r="D416" s="1193">
        <v>49</v>
      </c>
      <c r="E416" s="1312"/>
      <c r="F416" s="1313">
        <v>0.77</v>
      </c>
      <c r="G416" s="1313">
        <v>1.21</v>
      </c>
      <c r="H416" s="1313">
        <v>1.67</v>
      </c>
      <c r="I416" s="1313">
        <v>2.1800000000000002</v>
      </c>
      <c r="J416" s="1313">
        <v>2.72</v>
      </c>
      <c r="K416" s="1313">
        <v>3.31</v>
      </c>
      <c r="L416" s="1313">
        <v>3.95</v>
      </c>
      <c r="M416" s="1314">
        <v>4.63</v>
      </c>
      <c r="N416" s="1312">
        <v>5.38</v>
      </c>
      <c r="O416" s="1313">
        <v>6.18</v>
      </c>
      <c r="P416" s="1313">
        <v>7.06</v>
      </c>
      <c r="Q416" s="1313">
        <v>8</v>
      </c>
      <c r="R416" s="1313">
        <v>9.0299999999999994</v>
      </c>
      <c r="S416" s="1313">
        <v>9.9600000000000009</v>
      </c>
      <c r="T416" s="1313">
        <v>10.94</v>
      </c>
      <c r="U416" s="1313">
        <v>11.99</v>
      </c>
      <c r="V416" s="1313">
        <v>13.11</v>
      </c>
      <c r="W416" s="1314">
        <v>14.31</v>
      </c>
      <c r="X416" s="1312">
        <v>15.6</v>
      </c>
      <c r="Y416" s="1313">
        <v>16.98</v>
      </c>
      <c r="Z416" s="1313">
        <v>18.45</v>
      </c>
      <c r="AA416" s="1313">
        <v>20.04</v>
      </c>
      <c r="AB416" s="1313">
        <v>21.73</v>
      </c>
      <c r="AC416" s="1313">
        <v>23.55</v>
      </c>
      <c r="AD416" s="1313">
        <v>25.5</v>
      </c>
      <c r="AE416" s="1313">
        <v>27.58</v>
      </c>
      <c r="AF416" s="1313">
        <v>29.81</v>
      </c>
      <c r="AG416" s="1314">
        <v>32.18</v>
      </c>
      <c r="AH416" s="1312">
        <v>34.69</v>
      </c>
      <c r="AI416" s="1313">
        <v>37.74</v>
      </c>
      <c r="AJ416" s="1313">
        <v>40.76</v>
      </c>
      <c r="AK416" s="1313">
        <v>43.75</v>
      </c>
      <c r="AL416" s="1313">
        <v>46.72</v>
      </c>
      <c r="AM416" s="1313">
        <v>49.65</v>
      </c>
      <c r="AN416" s="1313">
        <v>52.55</v>
      </c>
      <c r="AO416" s="1313">
        <v>55.42</v>
      </c>
      <c r="AP416" s="1313">
        <v>58.27</v>
      </c>
      <c r="AQ416" s="1314">
        <v>61.08</v>
      </c>
      <c r="AR416" s="1312">
        <v>63.87</v>
      </c>
      <c r="AS416" s="1313">
        <v>66.64</v>
      </c>
      <c r="AT416" s="1313">
        <v>69.37</v>
      </c>
      <c r="AU416" s="1313">
        <v>72.08</v>
      </c>
      <c r="AV416" s="1313">
        <v>74.760000000000005</v>
      </c>
      <c r="AW416" s="1313">
        <v>77.41</v>
      </c>
      <c r="AX416" s="1313">
        <v>80.040000000000006</v>
      </c>
      <c r="AY416" s="1313">
        <v>82.64</v>
      </c>
      <c r="AZ416" s="1313">
        <v>85.22</v>
      </c>
      <c r="BA416" s="1314">
        <v>87.77</v>
      </c>
      <c r="BB416" s="1312">
        <v>90.29</v>
      </c>
      <c r="BC416" s="1313">
        <v>92.79</v>
      </c>
      <c r="BD416" s="1313">
        <v>95.27</v>
      </c>
      <c r="BE416" s="1313">
        <v>97.72</v>
      </c>
      <c r="BF416" s="1313">
        <v>100.14</v>
      </c>
      <c r="BG416" s="1313">
        <v>102.54</v>
      </c>
      <c r="BH416" s="1313">
        <v>104.92</v>
      </c>
      <c r="BI416" s="1313">
        <v>107.28</v>
      </c>
      <c r="BJ416" s="1313">
        <v>109.61</v>
      </c>
      <c r="BK416" s="1314">
        <v>111.92</v>
      </c>
      <c r="BL416" s="1312">
        <v>114.2</v>
      </c>
      <c r="BM416" s="1313">
        <v>116.47</v>
      </c>
      <c r="BN416" s="1313">
        <v>118.71</v>
      </c>
      <c r="BO416" s="1313">
        <v>120.93</v>
      </c>
      <c r="BP416" s="1313">
        <v>123.12</v>
      </c>
      <c r="BQ416" s="1313">
        <v>125.3</v>
      </c>
      <c r="BR416" s="1313">
        <v>127.45</v>
      </c>
      <c r="BS416" s="1313">
        <v>129.58000000000001</v>
      </c>
      <c r="BT416" s="1313">
        <v>131.69</v>
      </c>
      <c r="BU416" s="1314">
        <v>133.78</v>
      </c>
      <c r="BV416" s="1312">
        <v>135.85</v>
      </c>
      <c r="BW416" s="1313">
        <v>137.9</v>
      </c>
      <c r="BX416" s="1313">
        <v>139.93</v>
      </c>
      <c r="BY416" s="1313">
        <v>141.94</v>
      </c>
      <c r="BZ416" s="1313">
        <v>143.93</v>
      </c>
      <c r="CA416" s="1313">
        <v>145.9</v>
      </c>
      <c r="CB416" s="1313">
        <v>147.85</v>
      </c>
      <c r="CC416" s="1313">
        <v>149.78</v>
      </c>
      <c r="CD416" s="1313">
        <v>151.69</v>
      </c>
      <c r="CE416" s="1314">
        <v>153.58000000000001</v>
      </c>
      <c r="CF416" s="1313">
        <v>155.44999999999999</v>
      </c>
      <c r="CG416" s="1313">
        <v>157.31</v>
      </c>
      <c r="CH416" s="1314">
        <v>159.13999999999999</v>
      </c>
    </row>
    <row r="417" spans="1:86" ht="20.149999999999999" customHeight="1">
      <c r="A417" s="1563" t="s">
        <v>1541</v>
      </c>
      <c r="B417" s="1563" t="s">
        <v>14</v>
      </c>
      <c r="C417" s="1563" t="str">
        <f t="shared" si="8"/>
        <v>PBSDDCIF50</v>
      </c>
      <c r="D417" s="1193">
        <v>50</v>
      </c>
      <c r="E417" s="1312"/>
      <c r="F417" s="1313">
        <v>0.82</v>
      </c>
      <c r="G417" s="1313">
        <v>1.28</v>
      </c>
      <c r="H417" s="1313">
        <v>1.78</v>
      </c>
      <c r="I417" s="1313">
        <v>2.3199999999999998</v>
      </c>
      <c r="J417" s="1313">
        <v>2.9</v>
      </c>
      <c r="K417" s="1313">
        <v>3.53</v>
      </c>
      <c r="L417" s="1313">
        <v>4.21</v>
      </c>
      <c r="M417" s="1314">
        <v>4.95</v>
      </c>
      <c r="N417" s="1312">
        <v>5.75</v>
      </c>
      <c r="O417" s="1313">
        <v>6.62</v>
      </c>
      <c r="P417" s="1313">
        <v>7.56</v>
      </c>
      <c r="Q417" s="1313">
        <v>8.58</v>
      </c>
      <c r="R417" s="1313">
        <v>9.6999999999999993</v>
      </c>
      <c r="S417" s="1313">
        <v>10.71</v>
      </c>
      <c r="T417" s="1313">
        <v>11.78</v>
      </c>
      <c r="U417" s="1313">
        <v>12.93</v>
      </c>
      <c r="V417" s="1313">
        <v>14.17</v>
      </c>
      <c r="W417" s="1314">
        <v>15.49</v>
      </c>
      <c r="X417" s="1312">
        <v>16.91</v>
      </c>
      <c r="Y417" s="1313">
        <v>18.43</v>
      </c>
      <c r="Z417" s="1313">
        <v>20.059999999999999</v>
      </c>
      <c r="AA417" s="1313">
        <v>21.81</v>
      </c>
      <c r="AB417" s="1313">
        <v>23.68</v>
      </c>
      <c r="AC417" s="1313">
        <v>25.69</v>
      </c>
      <c r="AD417" s="1313">
        <v>27.84</v>
      </c>
      <c r="AE417" s="1313">
        <v>30.14</v>
      </c>
      <c r="AF417" s="1313">
        <v>32.590000000000003</v>
      </c>
      <c r="AG417" s="1314">
        <v>35.19</v>
      </c>
      <c r="AH417" s="1312">
        <v>38.36</v>
      </c>
      <c r="AI417" s="1313">
        <v>41.5</v>
      </c>
      <c r="AJ417" s="1313">
        <v>44.6</v>
      </c>
      <c r="AK417" s="1313">
        <v>47.68</v>
      </c>
      <c r="AL417" s="1313">
        <v>50.72</v>
      </c>
      <c r="AM417" s="1313">
        <v>53.74</v>
      </c>
      <c r="AN417" s="1313">
        <v>56.72</v>
      </c>
      <c r="AO417" s="1313">
        <v>59.68</v>
      </c>
      <c r="AP417" s="1313">
        <v>62.6</v>
      </c>
      <c r="AQ417" s="1314">
        <v>65.5</v>
      </c>
      <c r="AR417" s="1312">
        <v>68.37</v>
      </c>
      <c r="AS417" s="1313">
        <v>71.209999999999994</v>
      </c>
      <c r="AT417" s="1313">
        <v>74.02</v>
      </c>
      <c r="AU417" s="1313">
        <v>76.8</v>
      </c>
      <c r="AV417" s="1313">
        <v>79.56</v>
      </c>
      <c r="AW417" s="1313">
        <v>82.29</v>
      </c>
      <c r="AX417" s="1313">
        <v>84.99</v>
      </c>
      <c r="AY417" s="1313">
        <v>87.66</v>
      </c>
      <c r="AZ417" s="1313">
        <v>90.31</v>
      </c>
      <c r="BA417" s="1314">
        <v>92.93</v>
      </c>
      <c r="BB417" s="1312">
        <v>95.53</v>
      </c>
      <c r="BC417" s="1313">
        <v>98.1</v>
      </c>
      <c r="BD417" s="1313">
        <v>100.65</v>
      </c>
      <c r="BE417" s="1313">
        <v>103.17</v>
      </c>
      <c r="BF417" s="1313">
        <v>105.66</v>
      </c>
      <c r="BG417" s="1313">
        <v>108.13</v>
      </c>
      <c r="BH417" s="1313">
        <v>110.58</v>
      </c>
      <c r="BI417" s="1313">
        <v>113</v>
      </c>
      <c r="BJ417" s="1313">
        <v>115.4</v>
      </c>
      <c r="BK417" s="1314">
        <v>117.77</v>
      </c>
      <c r="BL417" s="1312">
        <v>120.12</v>
      </c>
      <c r="BM417" s="1313">
        <v>122.45</v>
      </c>
      <c r="BN417" s="1313">
        <v>124.75</v>
      </c>
      <c r="BO417" s="1313">
        <v>127.03</v>
      </c>
      <c r="BP417" s="1313">
        <v>129.29</v>
      </c>
      <c r="BQ417" s="1313">
        <v>131.53</v>
      </c>
      <c r="BR417" s="1313">
        <v>133.74</v>
      </c>
      <c r="BS417" s="1313">
        <v>135.94</v>
      </c>
      <c r="BT417" s="1313">
        <v>138.11000000000001</v>
      </c>
      <c r="BU417" s="1314">
        <v>140.26</v>
      </c>
      <c r="BV417" s="1312">
        <v>142.38</v>
      </c>
      <c r="BW417" s="1313">
        <v>144.49</v>
      </c>
      <c r="BX417" s="1313">
        <v>146.58000000000001</v>
      </c>
      <c r="BY417" s="1313">
        <v>148.63999999999999</v>
      </c>
      <c r="BZ417" s="1313">
        <v>150.69</v>
      </c>
      <c r="CA417" s="1313">
        <v>152.71</v>
      </c>
      <c r="CB417" s="1313">
        <v>154.72</v>
      </c>
      <c r="CC417" s="1313">
        <v>156.69999999999999</v>
      </c>
      <c r="CD417" s="1313">
        <v>158.66999999999999</v>
      </c>
      <c r="CE417" s="1314">
        <v>160.61000000000001</v>
      </c>
      <c r="CF417" s="1313">
        <v>162.54</v>
      </c>
      <c r="CG417" s="1313">
        <v>164.44</v>
      </c>
      <c r="CH417" s="1314">
        <v>166.33</v>
      </c>
    </row>
    <row r="418" spans="1:86" ht="20.149999999999999" customHeight="1">
      <c r="A418" s="1563" t="s">
        <v>1541</v>
      </c>
      <c r="B418" s="1563" t="s">
        <v>14</v>
      </c>
      <c r="C418" s="1563" t="str">
        <f t="shared" si="8"/>
        <v>PBSDDCIF51</v>
      </c>
      <c r="D418" s="1194">
        <v>51</v>
      </c>
      <c r="E418" s="1315"/>
      <c r="F418" s="1316">
        <v>0.88</v>
      </c>
      <c r="G418" s="1316">
        <v>1.37</v>
      </c>
      <c r="H418" s="1316">
        <v>1.9</v>
      </c>
      <c r="I418" s="1316">
        <v>2.48</v>
      </c>
      <c r="J418" s="1316">
        <v>3.1</v>
      </c>
      <c r="K418" s="1316">
        <v>3.78</v>
      </c>
      <c r="L418" s="1316">
        <v>4.51</v>
      </c>
      <c r="M418" s="1317">
        <v>5.3</v>
      </c>
      <c r="N418" s="1315">
        <v>6.16</v>
      </c>
      <c r="O418" s="1316">
        <v>7.1</v>
      </c>
      <c r="P418" s="1316">
        <v>8.1199999999999992</v>
      </c>
      <c r="Q418" s="1316">
        <v>9.23</v>
      </c>
      <c r="R418" s="1316">
        <v>10.44</v>
      </c>
      <c r="S418" s="1316">
        <v>11.55</v>
      </c>
      <c r="T418" s="1316">
        <v>12.73</v>
      </c>
      <c r="U418" s="1316">
        <v>14</v>
      </c>
      <c r="V418" s="1316">
        <v>15.36</v>
      </c>
      <c r="W418" s="1317">
        <v>16.82</v>
      </c>
      <c r="X418" s="1315">
        <v>18.38</v>
      </c>
      <c r="Y418" s="1316">
        <v>20.07</v>
      </c>
      <c r="Z418" s="1316">
        <v>21.87</v>
      </c>
      <c r="AA418" s="1316">
        <v>23.8</v>
      </c>
      <c r="AB418" s="1316">
        <v>25.88</v>
      </c>
      <c r="AC418" s="1316">
        <v>28.1</v>
      </c>
      <c r="AD418" s="1316">
        <v>30.47</v>
      </c>
      <c r="AE418" s="1316">
        <v>33.01</v>
      </c>
      <c r="AF418" s="1316">
        <v>35.700000000000003</v>
      </c>
      <c r="AG418" s="1317">
        <v>38.99</v>
      </c>
      <c r="AH418" s="1315">
        <v>42.25</v>
      </c>
      <c r="AI418" s="1316">
        <v>45.48</v>
      </c>
      <c r="AJ418" s="1316">
        <v>48.68</v>
      </c>
      <c r="AK418" s="1316">
        <v>51.84</v>
      </c>
      <c r="AL418" s="1316">
        <v>54.97</v>
      </c>
      <c r="AM418" s="1316">
        <v>58.08</v>
      </c>
      <c r="AN418" s="1316">
        <v>61.15</v>
      </c>
      <c r="AO418" s="1316">
        <v>64.19</v>
      </c>
      <c r="AP418" s="1316">
        <v>67.2</v>
      </c>
      <c r="AQ418" s="1317">
        <v>70.180000000000007</v>
      </c>
      <c r="AR418" s="1315">
        <v>73.13</v>
      </c>
      <c r="AS418" s="1316">
        <v>76.06</v>
      </c>
      <c r="AT418" s="1316">
        <v>78.95</v>
      </c>
      <c r="AU418" s="1316">
        <v>81.81</v>
      </c>
      <c r="AV418" s="1316">
        <v>84.65</v>
      </c>
      <c r="AW418" s="1316">
        <v>87.46</v>
      </c>
      <c r="AX418" s="1316">
        <v>90.24</v>
      </c>
      <c r="AY418" s="1316">
        <v>92.99</v>
      </c>
      <c r="AZ418" s="1316">
        <v>95.72</v>
      </c>
      <c r="BA418" s="1317">
        <v>98.42</v>
      </c>
      <c r="BB418" s="1315">
        <v>101.09</v>
      </c>
      <c r="BC418" s="1316">
        <v>103.74</v>
      </c>
      <c r="BD418" s="1316">
        <v>106.35</v>
      </c>
      <c r="BE418" s="1316">
        <v>108.95</v>
      </c>
      <c r="BF418" s="1316">
        <v>111.52</v>
      </c>
      <c r="BG418" s="1316">
        <v>114.06</v>
      </c>
      <c r="BH418" s="1316">
        <v>116.58</v>
      </c>
      <c r="BI418" s="1316">
        <v>119.07</v>
      </c>
      <c r="BJ418" s="1316">
        <v>121.54</v>
      </c>
      <c r="BK418" s="1317">
        <v>123.98</v>
      </c>
      <c r="BL418" s="1315">
        <v>126.4</v>
      </c>
      <c r="BM418" s="1316">
        <v>128.79</v>
      </c>
      <c r="BN418" s="1316">
        <v>131.16999999999999</v>
      </c>
      <c r="BO418" s="1316">
        <v>133.51</v>
      </c>
      <c r="BP418" s="1316">
        <v>135.84</v>
      </c>
      <c r="BQ418" s="1316">
        <v>138.13999999999999</v>
      </c>
      <c r="BR418" s="1316">
        <v>140.41999999999999</v>
      </c>
      <c r="BS418" s="1316">
        <v>142.66999999999999</v>
      </c>
      <c r="BT418" s="1316">
        <v>144.91</v>
      </c>
      <c r="BU418" s="1317">
        <v>147.12</v>
      </c>
      <c r="BV418" s="1315">
        <v>149.31</v>
      </c>
      <c r="BW418" s="1316">
        <v>151.47999999999999</v>
      </c>
      <c r="BX418" s="1316">
        <v>153.63</v>
      </c>
      <c r="BY418" s="1316">
        <v>155.75</v>
      </c>
      <c r="BZ418" s="1316">
        <v>157.86000000000001</v>
      </c>
      <c r="CA418" s="1316">
        <v>159.94</v>
      </c>
      <c r="CB418" s="1316">
        <v>162</v>
      </c>
      <c r="CC418" s="1316">
        <v>164.05</v>
      </c>
      <c r="CD418" s="1316">
        <v>166.07</v>
      </c>
      <c r="CE418" s="1317">
        <v>168.07</v>
      </c>
      <c r="CF418" s="1316">
        <v>170.05</v>
      </c>
      <c r="CG418" s="1316">
        <v>172.02</v>
      </c>
      <c r="CH418" s="1317">
        <v>173.96</v>
      </c>
    </row>
    <row r="419" spans="1:86" ht="20.149999999999999" customHeight="1">
      <c r="A419" s="1563" t="s">
        <v>1541</v>
      </c>
      <c r="B419" s="1563" t="s">
        <v>14</v>
      </c>
      <c r="C419" s="1563" t="str">
        <f t="shared" si="8"/>
        <v>PBSDDCIF52</v>
      </c>
      <c r="D419" s="1193">
        <v>52</v>
      </c>
      <c r="E419" s="1312"/>
      <c r="F419" s="1313">
        <v>0.94</v>
      </c>
      <c r="G419" s="1313">
        <v>1.47</v>
      </c>
      <c r="H419" s="1313">
        <v>2.04</v>
      </c>
      <c r="I419" s="1313">
        <v>2.66</v>
      </c>
      <c r="J419" s="1313">
        <v>3.33</v>
      </c>
      <c r="K419" s="1313">
        <v>4.05</v>
      </c>
      <c r="L419" s="1313">
        <v>4.84</v>
      </c>
      <c r="M419" s="1314">
        <v>5.69</v>
      </c>
      <c r="N419" s="1312">
        <v>6.62</v>
      </c>
      <c r="O419" s="1313">
        <v>7.63</v>
      </c>
      <c r="P419" s="1313">
        <v>8.74</v>
      </c>
      <c r="Q419" s="1313">
        <v>9.9499999999999993</v>
      </c>
      <c r="R419" s="1313">
        <v>11.28</v>
      </c>
      <c r="S419" s="1313">
        <v>12.49</v>
      </c>
      <c r="T419" s="1313">
        <v>13.79</v>
      </c>
      <c r="U419" s="1313">
        <v>15.19</v>
      </c>
      <c r="V419" s="1313">
        <v>16.7</v>
      </c>
      <c r="W419" s="1314">
        <v>18.309999999999999</v>
      </c>
      <c r="X419" s="1312">
        <v>20.05</v>
      </c>
      <c r="Y419" s="1313">
        <v>21.91</v>
      </c>
      <c r="Z419" s="1313">
        <v>23.9</v>
      </c>
      <c r="AA419" s="1313">
        <v>26.05</v>
      </c>
      <c r="AB419" s="1313">
        <v>28.34</v>
      </c>
      <c r="AC419" s="1313">
        <v>30.8</v>
      </c>
      <c r="AD419" s="1313">
        <v>33.42</v>
      </c>
      <c r="AE419" s="1313">
        <v>36.200000000000003</v>
      </c>
      <c r="AF419" s="1313">
        <v>39.630000000000003</v>
      </c>
      <c r="AG419" s="1314">
        <v>43.02</v>
      </c>
      <c r="AH419" s="1312">
        <v>46.38</v>
      </c>
      <c r="AI419" s="1313">
        <v>49.71</v>
      </c>
      <c r="AJ419" s="1313">
        <v>53</v>
      </c>
      <c r="AK419" s="1313">
        <v>56.26</v>
      </c>
      <c r="AL419" s="1313">
        <v>59.49</v>
      </c>
      <c r="AM419" s="1313">
        <v>62.68</v>
      </c>
      <c r="AN419" s="1313">
        <v>65.849999999999994</v>
      </c>
      <c r="AO419" s="1313">
        <v>68.98</v>
      </c>
      <c r="AP419" s="1313">
        <v>72.08</v>
      </c>
      <c r="AQ419" s="1314">
        <v>75.150000000000006</v>
      </c>
      <c r="AR419" s="1312">
        <v>78.2</v>
      </c>
      <c r="AS419" s="1313">
        <v>81.209999999999994</v>
      </c>
      <c r="AT419" s="1313">
        <v>84.19</v>
      </c>
      <c r="AU419" s="1313">
        <v>87.14</v>
      </c>
      <c r="AV419" s="1313">
        <v>90.06</v>
      </c>
      <c r="AW419" s="1313">
        <v>92.95</v>
      </c>
      <c r="AX419" s="1313">
        <v>95.82</v>
      </c>
      <c r="AY419" s="1313">
        <v>98.65</v>
      </c>
      <c r="AZ419" s="1313">
        <v>101.46</v>
      </c>
      <c r="BA419" s="1314">
        <v>104.24</v>
      </c>
      <c r="BB419" s="1312">
        <v>107</v>
      </c>
      <c r="BC419" s="1313">
        <v>109.72</v>
      </c>
      <c r="BD419" s="1313">
        <v>112.42</v>
      </c>
      <c r="BE419" s="1313">
        <v>115.09</v>
      </c>
      <c r="BF419" s="1313">
        <v>117.74</v>
      </c>
      <c r="BG419" s="1313">
        <v>120.36</v>
      </c>
      <c r="BH419" s="1313">
        <v>122.95</v>
      </c>
      <c r="BI419" s="1313">
        <v>125.52</v>
      </c>
      <c r="BJ419" s="1313">
        <v>128.06</v>
      </c>
      <c r="BK419" s="1314">
        <v>130.58000000000001</v>
      </c>
      <c r="BL419" s="1312">
        <v>133.07</v>
      </c>
      <c r="BM419" s="1313">
        <v>135.54</v>
      </c>
      <c r="BN419" s="1313">
        <v>137.97999999999999</v>
      </c>
      <c r="BO419" s="1313">
        <v>140.4</v>
      </c>
      <c r="BP419" s="1313">
        <v>142.79</v>
      </c>
      <c r="BQ419" s="1313">
        <v>145.16</v>
      </c>
      <c r="BR419" s="1313">
        <v>147.51</v>
      </c>
      <c r="BS419" s="1313">
        <v>149.84</v>
      </c>
      <c r="BT419" s="1313">
        <v>152.13999999999999</v>
      </c>
      <c r="BU419" s="1314">
        <v>154.41</v>
      </c>
      <c r="BV419" s="1312">
        <v>156.66999999999999</v>
      </c>
      <c r="BW419" s="1313">
        <v>158.9</v>
      </c>
      <c r="BX419" s="1313">
        <v>161.12</v>
      </c>
      <c r="BY419" s="1313">
        <v>163.31</v>
      </c>
      <c r="BZ419" s="1313">
        <v>165.47</v>
      </c>
      <c r="CA419" s="1313">
        <v>167.62</v>
      </c>
      <c r="CB419" s="1313">
        <v>169.75</v>
      </c>
      <c r="CC419" s="1313">
        <v>171.85</v>
      </c>
      <c r="CD419" s="1313">
        <v>173.93</v>
      </c>
      <c r="CE419" s="1314">
        <v>176</v>
      </c>
      <c r="CF419" s="1313">
        <v>178.04</v>
      </c>
      <c r="CG419" s="1313">
        <v>180.06</v>
      </c>
      <c r="CH419" s="1314">
        <v>182.06</v>
      </c>
    </row>
    <row r="420" spans="1:86" ht="20.149999999999999" customHeight="1">
      <c r="A420" s="1563" t="s">
        <v>1541</v>
      </c>
      <c r="B420" s="1563" t="s">
        <v>14</v>
      </c>
      <c r="C420" s="1563" t="str">
        <f t="shared" si="8"/>
        <v>PBSDDCIF53</v>
      </c>
      <c r="D420" s="1193">
        <v>53</v>
      </c>
      <c r="E420" s="1312"/>
      <c r="F420" s="1313">
        <v>1</v>
      </c>
      <c r="G420" s="1313">
        <v>1.57</v>
      </c>
      <c r="H420" s="1313">
        <v>2.1800000000000002</v>
      </c>
      <c r="I420" s="1313">
        <v>2.85</v>
      </c>
      <c r="J420" s="1313">
        <v>3.57</v>
      </c>
      <c r="K420" s="1313">
        <v>4.3499999999999996</v>
      </c>
      <c r="L420" s="1313">
        <v>5.2</v>
      </c>
      <c r="M420" s="1314">
        <v>6.13</v>
      </c>
      <c r="N420" s="1312">
        <v>7.13</v>
      </c>
      <c r="O420" s="1313">
        <v>8.24</v>
      </c>
      <c r="P420" s="1313">
        <v>9.44</v>
      </c>
      <c r="Q420" s="1313">
        <v>10.76</v>
      </c>
      <c r="R420" s="1313">
        <v>12.22</v>
      </c>
      <c r="S420" s="1313">
        <v>13.56</v>
      </c>
      <c r="T420" s="1313">
        <v>15</v>
      </c>
      <c r="U420" s="1313">
        <v>16.55</v>
      </c>
      <c r="V420" s="1313">
        <v>18.22</v>
      </c>
      <c r="W420" s="1314">
        <v>20</v>
      </c>
      <c r="X420" s="1312">
        <v>21.92</v>
      </c>
      <c r="Y420" s="1313">
        <v>23.98</v>
      </c>
      <c r="Z420" s="1313">
        <v>26.2</v>
      </c>
      <c r="AA420" s="1313">
        <v>28.57</v>
      </c>
      <c r="AB420" s="1313">
        <v>31.11</v>
      </c>
      <c r="AC420" s="1313">
        <v>33.83</v>
      </c>
      <c r="AD420" s="1313">
        <v>36.71</v>
      </c>
      <c r="AE420" s="1313">
        <v>40.28</v>
      </c>
      <c r="AF420" s="1313">
        <v>43.81</v>
      </c>
      <c r="AG420" s="1314">
        <v>47.31</v>
      </c>
      <c r="AH420" s="1312">
        <v>50.78</v>
      </c>
      <c r="AI420" s="1313">
        <v>54.2</v>
      </c>
      <c r="AJ420" s="1313">
        <v>57.6</v>
      </c>
      <c r="AK420" s="1313">
        <v>60.96</v>
      </c>
      <c r="AL420" s="1313">
        <v>64.290000000000006</v>
      </c>
      <c r="AM420" s="1313">
        <v>67.59</v>
      </c>
      <c r="AN420" s="1313">
        <v>70.849999999999994</v>
      </c>
      <c r="AO420" s="1313">
        <v>74.08</v>
      </c>
      <c r="AP420" s="1313">
        <v>77.28</v>
      </c>
      <c r="AQ420" s="1314">
        <v>80.44</v>
      </c>
      <c r="AR420" s="1312">
        <v>83.58</v>
      </c>
      <c r="AS420" s="1313">
        <v>86.68</v>
      </c>
      <c r="AT420" s="1313">
        <v>89.76</v>
      </c>
      <c r="AU420" s="1313">
        <v>92.8</v>
      </c>
      <c r="AV420" s="1313">
        <v>95.81</v>
      </c>
      <c r="AW420" s="1313">
        <v>98.8</v>
      </c>
      <c r="AX420" s="1313">
        <v>101.75</v>
      </c>
      <c r="AY420" s="1313">
        <v>104.68</v>
      </c>
      <c r="AZ420" s="1313">
        <v>107.57</v>
      </c>
      <c r="BA420" s="1314">
        <v>110.44</v>
      </c>
      <c r="BB420" s="1312">
        <v>113.28</v>
      </c>
      <c r="BC420" s="1313">
        <v>116.09</v>
      </c>
      <c r="BD420" s="1313">
        <v>118.87</v>
      </c>
      <c r="BE420" s="1313">
        <v>121.62</v>
      </c>
      <c r="BF420" s="1313">
        <v>124.35</v>
      </c>
      <c r="BG420" s="1313">
        <v>127.05</v>
      </c>
      <c r="BH420" s="1313">
        <v>129.72999999999999</v>
      </c>
      <c r="BI420" s="1313">
        <v>132.37</v>
      </c>
      <c r="BJ420" s="1313">
        <v>135</v>
      </c>
      <c r="BK420" s="1314">
        <v>137.59</v>
      </c>
      <c r="BL420" s="1312">
        <v>140.16</v>
      </c>
      <c r="BM420" s="1313">
        <v>142.69999999999999</v>
      </c>
      <c r="BN420" s="1313">
        <v>145.22</v>
      </c>
      <c r="BO420" s="1313">
        <v>147.72</v>
      </c>
      <c r="BP420" s="1313">
        <v>150.19</v>
      </c>
      <c r="BQ420" s="1313">
        <v>152.63</v>
      </c>
      <c r="BR420" s="1313">
        <v>155.05000000000001</v>
      </c>
      <c r="BS420" s="1313">
        <v>157.44999999999999</v>
      </c>
      <c r="BT420" s="1313">
        <v>159.82</v>
      </c>
      <c r="BU420" s="1314">
        <v>162.16999999999999</v>
      </c>
      <c r="BV420" s="1312">
        <v>164.5</v>
      </c>
      <c r="BW420" s="1313">
        <v>166.8</v>
      </c>
      <c r="BX420" s="1313">
        <v>169.08</v>
      </c>
      <c r="BY420" s="1313">
        <v>171.34</v>
      </c>
      <c r="BZ420" s="1313">
        <v>173.58</v>
      </c>
      <c r="CA420" s="1313">
        <v>175.79</v>
      </c>
      <c r="CB420" s="1313">
        <v>177.98</v>
      </c>
      <c r="CC420" s="1313">
        <v>180.15</v>
      </c>
      <c r="CD420" s="1313">
        <v>182.3</v>
      </c>
      <c r="CE420" s="1314">
        <v>184.43</v>
      </c>
      <c r="CF420" s="1313">
        <v>186.53</v>
      </c>
      <c r="CG420" s="1313">
        <v>188.62</v>
      </c>
      <c r="CH420" s="1314">
        <v>190.68</v>
      </c>
    </row>
    <row r="421" spans="1:86" ht="20.149999999999999" customHeight="1">
      <c r="A421" s="1563" t="s">
        <v>1541</v>
      </c>
      <c r="B421" s="1563" t="s">
        <v>14</v>
      </c>
      <c r="C421" s="1563" t="str">
        <f t="shared" si="8"/>
        <v>PBSDDCIF54</v>
      </c>
      <c r="D421" s="1193">
        <v>54</v>
      </c>
      <c r="E421" s="1312"/>
      <c r="F421" s="1313">
        <v>1.08</v>
      </c>
      <c r="G421" s="1313">
        <v>1.69</v>
      </c>
      <c r="H421" s="1313">
        <v>2.35</v>
      </c>
      <c r="I421" s="1313">
        <v>3.06</v>
      </c>
      <c r="J421" s="1313">
        <v>3.84</v>
      </c>
      <c r="K421" s="1313">
        <v>4.68</v>
      </c>
      <c r="L421" s="1313">
        <v>5.61</v>
      </c>
      <c r="M421" s="1314">
        <v>6.61</v>
      </c>
      <c r="N421" s="1312">
        <v>7.71</v>
      </c>
      <c r="O421" s="1313">
        <v>8.91</v>
      </c>
      <c r="P421" s="1313">
        <v>10.23</v>
      </c>
      <c r="Q421" s="1313">
        <v>11.69</v>
      </c>
      <c r="R421" s="1313">
        <v>13.28</v>
      </c>
      <c r="S421" s="1313">
        <v>14.77</v>
      </c>
      <c r="T421" s="1313">
        <v>16.37</v>
      </c>
      <c r="U421" s="1313">
        <v>18.079999999999998</v>
      </c>
      <c r="V421" s="1313">
        <v>19.93</v>
      </c>
      <c r="W421" s="1314">
        <v>21.91</v>
      </c>
      <c r="X421" s="1312">
        <v>24.04</v>
      </c>
      <c r="Y421" s="1313">
        <v>26.33</v>
      </c>
      <c r="Z421" s="1313">
        <v>28.79</v>
      </c>
      <c r="AA421" s="1313">
        <v>31.42</v>
      </c>
      <c r="AB421" s="1313">
        <v>34.229999999999997</v>
      </c>
      <c r="AC421" s="1313">
        <v>37.22</v>
      </c>
      <c r="AD421" s="1313">
        <v>40.94</v>
      </c>
      <c r="AE421" s="1313">
        <v>44.62</v>
      </c>
      <c r="AF421" s="1313">
        <v>48.27</v>
      </c>
      <c r="AG421" s="1314">
        <v>51.88</v>
      </c>
      <c r="AH421" s="1312">
        <v>55.45</v>
      </c>
      <c r="AI421" s="1313">
        <v>58.99</v>
      </c>
      <c r="AJ421" s="1313">
        <v>62.5</v>
      </c>
      <c r="AK421" s="1313">
        <v>65.97</v>
      </c>
      <c r="AL421" s="1313">
        <v>69.400000000000006</v>
      </c>
      <c r="AM421" s="1313">
        <v>72.8</v>
      </c>
      <c r="AN421" s="1313">
        <v>76.17</v>
      </c>
      <c r="AO421" s="1313">
        <v>79.510000000000005</v>
      </c>
      <c r="AP421" s="1313">
        <v>82.81</v>
      </c>
      <c r="AQ421" s="1314">
        <v>86.08</v>
      </c>
      <c r="AR421" s="1312">
        <v>89.31</v>
      </c>
      <c r="AS421" s="1313">
        <v>92.52</v>
      </c>
      <c r="AT421" s="1313">
        <v>95.69</v>
      </c>
      <c r="AU421" s="1313">
        <v>98.83</v>
      </c>
      <c r="AV421" s="1313">
        <v>101.94</v>
      </c>
      <c r="AW421" s="1313">
        <v>105.02</v>
      </c>
      <c r="AX421" s="1313">
        <v>108.07</v>
      </c>
      <c r="AY421" s="1313">
        <v>111.09</v>
      </c>
      <c r="AZ421" s="1313">
        <v>114.08</v>
      </c>
      <c r="BA421" s="1314">
        <v>117.04</v>
      </c>
      <c r="BB421" s="1312">
        <v>119.97</v>
      </c>
      <c r="BC421" s="1313">
        <v>122.87</v>
      </c>
      <c r="BD421" s="1313">
        <v>125.74</v>
      </c>
      <c r="BE421" s="1313">
        <v>128.58000000000001</v>
      </c>
      <c r="BF421" s="1313">
        <v>131.4</v>
      </c>
      <c r="BG421" s="1313">
        <v>134.19</v>
      </c>
      <c r="BH421" s="1313">
        <v>136.94999999999999</v>
      </c>
      <c r="BI421" s="1313">
        <v>139.68</v>
      </c>
      <c r="BJ421" s="1313">
        <v>142.38</v>
      </c>
      <c r="BK421" s="1314">
        <v>145.06</v>
      </c>
      <c r="BL421" s="1312">
        <v>147.72</v>
      </c>
      <c r="BM421" s="1313">
        <v>150.34</v>
      </c>
      <c r="BN421" s="1313">
        <v>152.94</v>
      </c>
      <c r="BO421" s="1313">
        <v>155.52000000000001</v>
      </c>
      <c r="BP421" s="1313">
        <v>158.06</v>
      </c>
      <c r="BQ421" s="1313">
        <v>160.59</v>
      </c>
      <c r="BR421" s="1313">
        <v>163.09</v>
      </c>
      <c r="BS421" s="1313">
        <v>165.56</v>
      </c>
      <c r="BT421" s="1313">
        <v>168.01</v>
      </c>
      <c r="BU421" s="1314">
        <v>170.44</v>
      </c>
      <c r="BV421" s="1312">
        <v>172.84</v>
      </c>
      <c r="BW421" s="1313">
        <v>175.21</v>
      </c>
      <c r="BX421" s="1313">
        <v>177.57</v>
      </c>
      <c r="BY421" s="1313">
        <v>179.9</v>
      </c>
      <c r="BZ421" s="1313">
        <v>182.21</v>
      </c>
      <c r="CA421" s="1313">
        <v>184.49</v>
      </c>
      <c r="CB421" s="1313">
        <v>186.75</v>
      </c>
      <c r="CC421" s="1313">
        <v>188.99</v>
      </c>
      <c r="CD421" s="1313">
        <v>191.21</v>
      </c>
      <c r="CE421" s="1314">
        <v>193.41</v>
      </c>
      <c r="CF421" s="1313">
        <v>195.58</v>
      </c>
      <c r="CG421" s="1313">
        <v>197.73</v>
      </c>
      <c r="CH421" s="1314">
        <v>199.86</v>
      </c>
    </row>
    <row r="422" spans="1:86" ht="20.149999999999999" customHeight="1">
      <c r="A422" s="1563" t="s">
        <v>1541</v>
      </c>
      <c r="B422" s="1563" t="s">
        <v>14</v>
      </c>
      <c r="C422" s="1563" t="str">
        <f t="shared" si="8"/>
        <v>PBSDDCIF55</v>
      </c>
      <c r="D422" s="1195">
        <v>55</v>
      </c>
      <c r="E422" s="1318"/>
      <c r="F422" s="1319">
        <v>1.1599999999999999</v>
      </c>
      <c r="G422" s="1319">
        <v>1.82</v>
      </c>
      <c r="H422" s="1319">
        <v>2.5299999999999998</v>
      </c>
      <c r="I422" s="1319">
        <v>3.3</v>
      </c>
      <c r="J422" s="1319">
        <v>4.1399999999999997</v>
      </c>
      <c r="K422" s="1319">
        <v>5.0599999999999996</v>
      </c>
      <c r="L422" s="1319">
        <v>6.06</v>
      </c>
      <c r="M422" s="1320">
        <v>7.16</v>
      </c>
      <c r="N422" s="1318">
        <v>8.36</v>
      </c>
      <c r="O422" s="1319">
        <v>9.68</v>
      </c>
      <c r="P422" s="1319">
        <v>11.13</v>
      </c>
      <c r="Q422" s="1319">
        <v>12.73</v>
      </c>
      <c r="R422" s="1319">
        <v>14.49</v>
      </c>
      <c r="S422" s="1319">
        <v>16.14</v>
      </c>
      <c r="T422" s="1319">
        <v>17.91</v>
      </c>
      <c r="U422" s="1319">
        <v>19.82</v>
      </c>
      <c r="V422" s="1319">
        <v>21.87</v>
      </c>
      <c r="W422" s="1320">
        <v>24.07</v>
      </c>
      <c r="X422" s="1318">
        <v>26.44</v>
      </c>
      <c r="Y422" s="1319">
        <v>28.98</v>
      </c>
      <c r="Z422" s="1319">
        <v>31.7</v>
      </c>
      <c r="AA422" s="1319">
        <v>34.619999999999997</v>
      </c>
      <c r="AB422" s="1319">
        <v>37.72</v>
      </c>
      <c r="AC422" s="1319">
        <v>41.6</v>
      </c>
      <c r="AD422" s="1319">
        <v>45.45</v>
      </c>
      <c r="AE422" s="1319">
        <v>49.25</v>
      </c>
      <c r="AF422" s="1319">
        <v>53.02</v>
      </c>
      <c r="AG422" s="1320">
        <v>56.75</v>
      </c>
      <c r="AH422" s="1318">
        <v>60.45</v>
      </c>
      <c r="AI422" s="1319">
        <v>64.099999999999994</v>
      </c>
      <c r="AJ422" s="1319">
        <v>67.72</v>
      </c>
      <c r="AK422" s="1319">
        <v>71.31</v>
      </c>
      <c r="AL422" s="1319">
        <v>74.86</v>
      </c>
      <c r="AM422" s="1319">
        <v>78.37</v>
      </c>
      <c r="AN422" s="1319">
        <v>81.849999999999994</v>
      </c>
      <c r="AO422" s="1319">
        <v>85.3</v>
      </c>
      <c r="AP422" s="1319">
        <v>88.71</v>
      </c>
      <c r="AQ422" s="1320">
        <v>92.09</v>
      </c>
      <c r="AR422" s="1318">
        <v>95.43</v>
      </c>
      <c r="AS422" s="1319">
        <v>98.74</v>
      </c>
      <c r="AT422" s="1319">
        <v>102.02</v>
      </c>
      <c r="AU422" s="1319">
        <v>105.27</v>
      </c>
      <c r="AV422" s="1319">
        <v>108.48</v>
      </c>
      <c r="AW422" s="1319">
        <v>111.66</v>
      </c>
      <c r="AX422" s="1319">
        <v>114.81</v>
      </c>
      <c r="AY422" s="1319">
        <v>117.93</v>
      </c>
      <c r="AZ422" s="1319">
        <v>121.02</v>
      </c>
      <c r="BA422" s="1320">
        <v>124.08</v>
      </c>
      <c r="BB422" s="1318">
        <v>127.1</v>
      </c>
      <c r="BC422" s="1319">
        <v>130.1</v>
      </c>
      <c r="BD422" s="1319">
        <v>133.07</v>
      </c>
      <c r="BE422" s="1319">
        <v>136.01</v>
      </c>
      <c r="BF422" s="1319">
        <v>138.91999999999999</v>
      </c>
      <c r="BG422" s="1319">
        <v>141.80000000000001</v>
      </c>
      <c r="BH422" s="1319">
        <v>144.65</v>
      </c>
      <c r="BI422" s="1319">
        <v>147.47</v>
      </c>
      <c r="BJ422" s="1319">
        <v>150.27000000000001</v>
      </c>
      <c r="BK422" s="1320">
        <v>153.04</v>
      </c>
      <c r="BL422" s="1318">
        <v>155.78</v>
      </c>
      <c r="BM422" s="1319">
        <v>158.49</v>
      </c>
      <c r="BN422" s="1319">
        <v>161.18</v>
      </c>
      <c r="BO422" s="1319">
        <v>163.84</v>
      </c>
      <c r="BP422" s="1319">
        <v>166.47</v>
      </c>
      <c r="BQ422" s="1319">
        <v>169.08</v>
      </c>
      <c r="BR422" s="1319">
        <v>171.66</v>
      </c>
      <c r="BS422" s="1319">
        <v>174.22</v>
      </c>
      <c r="BT422" s="1319">
        <v>176.75</v>
      </c>
      <c r="BU422" s="1320">
        <v>179.25</v>
      </c>
      <c r="BV422" s="1318">
        <v>181.73</v>
      </c>
      <c r="BW422" s="1319">
        <v>184.19</v>
      </c>
      <c r="BX422" s="1319">
        <v>186.62</v>
      </c>
      <c r="BY422" s="1319">
        <v>189.03</v>
      </c>
      <c r="BZ422" s="1319">
        <v>191.42</v>
      </c>
      <c r="CA422" s="1319">
        <v>193.78</v>
      </c>
      <c r="CB422" s="1319">
        <v>196.11</v>
      </c>
      <c r="CC422" s="1319">
        <v>198.43</v>
      </c>
      <c r="CD422" s="1319">
        <v>200.72</v>
      </c>
      <c r="CE422" s="1320">
        <v>202.99</v>
      </c>
      <c r="CF422" s="1319">
        <v>205.23</v>
      </c>
      <c r="CG422" s="1319">
        <v>207.46</v>
      </c>
      <c r="CH422" s="1320">
        <v>209.66</v>
      </c>
    </row>
    <row r="423" spans="1:86" ht="20.149999999999999" customHeight="1">
      <c r="A423" s="1563" t="s">
        <v>1541</v>
      </c>
      <c r="B423" s="1563" t="s">
        <v>14</v>
      </c>
      <c r="C423" s="1563" t="str">
        <f t="shared" si="8"/>
        <v>PBSDDCIF56</v>
      </c>
      <c r="D423" s="1193">
        <v>56</v>
      </c>
      <c r="E423" s="1312"/>
      <c r="F423" s="1313">
        <v>1.25</v>
      </c>
      <c r="G423" s="1313">
        <v>1.96</v>
      </c>
      <c r="H423" s="1313">
        <v>2.73</v>
      </c>
      <c r="I423" s="1313">
        <v>3.56</v>
      </c>
      <c r="J423" s="1313">
        <v>4.4800000000000004</v>
      </c>
      <c r="K423" s="1313">
        <v>5.48</v>
      </c>
      <c r="L423" s="1313">
        <v>6.57</v>
      </c>
      <c r="M423" s="1314">
        <v>7.77</v>
      </c>
      <c r="N423" s="1312">
        <v>9.1</v>
      </c>
      <c r="O423" s="1313">
        <v>10.55</v>
      </c>
      <c r="P423" s="1313">
        <v>12.15</v>
      </c>
      <c r="Q423" s="1313">
        <v>13.92</v>
      </c>
      <c r="R423" s="1313">
        <v>15.87</v>
      </c>
      <c r="S423" s="1313">
        <v>17.7</v>
      </c>
      <c r="T423" s="1313">
        <v>19.670000000000002</v>
      </c>
      <c r="U423" s="1313">
        <v>21.78</v>
      </c>
      <c r="V423" s="1313">
        <v>24.06</v>
      </c>
      <c r="W423" s="1314">
        <v>26.51</v>
      </c>
      <c r="X423" s="1312">
        <v>29.15</v>
      </c>
      <c r="Y423" s="1313">
        <v>31.97</v>
      </c>
      <c r="Z423" s="1313">
        <v>34.99</v>
      </c>
      <c r="AA423" s="1313">
        <v>38.21</v>
      </c>
      <c r="AB423" s="1313">
        <v>42.27</v>
      </c>
      <c r="AC423" s="1313">
        <v>46.29</v>
      </c>
      <c r="AD423" s="1313">
        <v>50.26</v>
      </c>
      <c r="AE423" s="1313">
        <v>54.2</v>
      </c>
      <c r="AF423" s="1313">
        <v>58.1</v>
      </c>
      <c r="AG423" s="1314">
        <v>61.96</v>
      </c>
      <c r="AH423" s="1312">
        <v>65.78</v>
      </c>
      <c r="AI423" s="1313">
        <v>69.56</v>
      </c>
      <c r="AJ423" s="1313">
        <v>73.31</v>
      </c>
      <c r="AK423" s="1313">
        <v>77.02</v>
      </c>
      <c r="AL423" s="1313">
        <v>80.69</v>
      </c>
      <c r="AM423" s="1313">
        <v>84.32</v>
      </c>
      <c r="AN423" s="1313">
        <v>87.92</v>
      </c>
      <c r="AO423" s="1313">
        <v>91.49</v>
      </c>
      <c r="AP423" s="1313">
        <v>95.02</v>
      </c>
      <c r="AQ423" s="1314">
        <v>98.51</v>
      </c>
      <c r="AR423" s="1312">
        <v>101.97</v>
      </c>
      <c r="AS423" s="1313">
        <v>105.39</v>
      </c>
      <c r="AT423" s="1313">
        <v>108.78</v>
      </c>
      <c r="AU423" s="1313">
        <v>112.14</v>
      </c>
      <c r="AV423" s="1313">
        <v>115.47</v>
      </c>
      <c r="AW423" s="1313">
        <v>118.76</v>
      </c>
      <c r="AX423" s="1313">
        <v>122.02</v>
      </c>
      <c r="AY423" s="1313">
        <v>125.24</v>
      </c>
      <c r="AZ423" s="1313">
        <v>128.44</v>
      </c>
      <c r="BA423" s="1314">
        <v>131.6</v>
      </c>
      <c r="BB423" s="1312">
        <v>134.72999999999999</v>
      </c>
      <c r="BC423" s="1313">
        <v>137.83000000000001</v>
      </c>
      <c r="BD423" s="1313">
        <v>140.9</v>
      </c>
      <c r="BE423" s="1313">
        <v>143.94</v>
      </c>
      <c r="BF423" s="1313">
        <v>146.94999999999999</v>
      </c>
      <c r="BG423" s="1313">
        <v>149.93</v>
      </c>
      <c r="BH423" s="1313">
        <v>152.88</v>
      </c>
      <c r="BI423" s="1313">
        <v>155.80000000000001</v>
      </c>
      <c r="BJ423" s="1313">
        <v>158.69</v>
      </c>
      <c r="BK423" s="1314">
        <v>161.56</v>
      </c>
      <c r="BL423" s="1312">
        <v>164.39</v>
      </c>
      <c r="BM423" s="1313">
        <v>167.2</v>
      </c>
      <c r="BN423" s="1313">
        <v>169.98</v>
      </c>
      <c r="BO423" s="1313">
        <v>172.73</v>
      </c>
      <c r="BP423" s="1313">
        <v>175.45</v>
      </c>
      <c r="BQ423" s="1313">
        <v>178.15</v>
      </c>
      <c r="BR423" s="1313">
        <v>180.82</v>
      </c>
      <c r="BS423" s="1313">
        <v>183.47</v>
      </c>
      <c r="BT423" s="1313">
        <v>186.08</v>
      </c>
      <c r="BU423" s="1314">
        <v>188.68</v>
      </c>
      <c r="BV423" s="1312">
        <v>191.24</v>
      </c>
      <c r="BW423" s="1313">
        <v>193.78</v>
      </c>
      <c r="BX423" s="1313">
        <v>196.3</v>
      </c>
      <c r="BY423" s="1313">
        <v>198.79</v>
      </c>
      <c r="BZ423" s="1313">
        <v>201.26</v>
      </c>
      <c r="CA423" s="1313">
        <v>203.7</v>
      </c>
      <c r="CB423" s="1313">
        <v>206.12</v>
      </c>
      <c r="CC423" s="1313">
        <v>208.51</v>
      </c>
      <c r="CD423" s="1313">
        <v>210.88</v>
      </c>
      <c r="CE423" s="1314">
        <v>213.23</v>
      </c>
      <c r="CF423" s="1313">
        <v>215.55</v>
      </c>
      <c r="CG423" s="1313">
        <v>217.85</v>
      </c>
      <c r="CH423" s="1314">
        <v>220.13</v>
      </c>
    </row>
    <row r="424" spans="1:86" ht="20.149999999999999" customHeight="1">
      <c r="A424" s="1563" t="s">
        <v>1541</v>
      </c>
      <c r="B424" s="1563" t="s">
        <v>14</v>
      </c>
      <c r="C424" s="1563" t="str">
        <f t="shared" si="8"/>
        <v>PBSDDCIF57</v>
      </c>
      <c r="D424" s="1193">
        <v>57</v>
      </c>
      <c r="E424" s="1312"/>
      <c r="F424" s="1313">
        <v>1.35</v>
      </c>
      <c r="G424" s="1313">
        <v>2.11</v>
      </c>
      <c r="H424" s="1313">
        <v>2.95</v>
      </c>
      <c r="I424" s="1313">
        <v>3.86</v>
      </c>
      <c r="J424" s="1313">
        <v>4.8600000000000003</v>
      </c>
      <c r="K424" s="1313">
        <v>5.95</v>
      </c>
      <c r="L424" s="1313">
        <v>7.15</v>
      </c>
      <c r="M424" s="1314">
        <v>8.48</v>
      </c>
      <c r="N424" s="1312">
        <v>9.93</v>
      </c>
      <c r="O424" s="1313">
        <v>11.54</v>
      </c>
      <c r="P424" s="1313">
        <v>13.32</v>
      </c>
      <c r="Q424" s="1313">
        <v>15.28</v>
      </c>
      <c r="R424" s="1313">
        <v>17.43</v>
      </c>
      <c r="S424" s="1313">
        <v>19.47</v>
      </c>
      <c r="T424" s="1313">
        <v>21.66</v>
      </c>
      <c r="U424" s="1313">
        <v>24.02</v>
      </c>
      <c r="V424" s="1313">
        <v>26.55</v>
      </c>
      <c r="W424" s="1314">
        <v>29.28</v>
      </c>
      <c r="X424" s="1312">
        <v>32.21</v>
      </c>
      <c r="Y424" s="1313">
        <v>35.35</v>
      </c>
      <c r="Z424" s="1313">
        <v>38.700000000000003</v>
      </c>
      <c r="AA424" s="1313">
        <v>42.94</v>
      </c>
      <c r="AB424" s="1313">
        <v>47.14</v>
      </c>
      <c r="AC424" s="1313">
        <v>51.3</v>
      </c>
      <c r="AD424" s="1313">
        <v>55.42</v>
      </c>
      <c r="AE424" s="1313">
        <v>59.49</v>
      </c>
      <c r="AF424" s="1313">
        <v>63.53</v>
      </c>
      <c r="AG424" s="1314">
        <v>67.53</v>
      </c>
      <c r="AH424" s="1312">
        <v>71.48</v>
      </c>
      <c r="AI424" s="1313">
        <v>75.400000000000006</v>
      </c>
      <c r="AJ424" s="1313">
        <v>79.28</v>
      </c>
      <c r="AK424" s="1313">
        <v>83.12</v>
      </c>
      <c r="AL424" s="1313">
        <v>86.93</v>
      </c>
      <c r="AM424" s="1313">
        <v>90.69</v>
      </c>
      <c r="AN424" s="1313">
        <v>94.42</v>
      </c>
      <c r="AO424" s="1313">
        <v>98.11</v>
      </c>
      <c r="AP424" s="1313">
        <v>101.76</v>
      </c>
      <c r="AQ424" s="1314">
        <v>105.38</v>
      </c>
      <c r="AR424" s="1312">
        <v>108.96</v>
      </c>
      <c r="AS424" s="1313">
        <v>112.51</v>
      </c>
      <c r="AT424" s="1313">
        <v>116.02</v>
      </c>
      <c r="AU424" s="1313">
        <v>119.5</v>
      </c>
      <c r="AV424" s="1313">
        <v>122.94</v>
      </c>
      <c r="AW424" s="1313">
        <v>126.35</v>
      </c>
      <c r="AX424" s="1313">
        <v>129.72999999999999</v>
      </c>
      <c r="AY424" s="1313">
        <v>133.07</v>
      </c>
      <c r="AZ424" s="1313">
        <v>136.38</v>
      </c>
      <c r="BA424" s="1314">
        <v>139.65</v>
      </c>
      <c r="BB424" s="1312">
        <v>142.88999999999999</v>
      </c>
      <c r="BC424" s="1313">
        <v>146.11000000000001</v>
      </c>
      <c r="BD424" s="1313">
        <v>149.28</v>
      </c>
      <c r="BE424" s="1313">
        <v>152.43</v>
      </c>
      <c r="BF424" s="1313">
        <v>155.55000000000001</v>
      </c>
      <c r="BG424" s="1313">
        <v>158.63</v>
      </c>
      <c r="BH424" s="1313">
        <v>161.69</v>
      </c>
      <c r="BI424" s="1313">
        <v>164.72</v>
      </c>
      <c r="BJ424" s="1313">
        <v>167.71</v>
      </c>
      <c r="BK424" s="1314">
        <v>170.68</v>
      </c>
      <c r="BL424" s="1312">
        <v>173.61</v>
      </c>
      <c r="BM424" s="1313">
        <v>176.52</v>
      </c>
      <c r="BN424" s="1313">
        <v>179.4</v>
      </c>
      <c r="BO424" s="1313">
        <v>182.25</v>
      </c>
      <c r="BP424" s="1313">
        <v>185.07</v>
      </c>
      <c r="BQ424" s="1313">
        <v>187.86</v>
      </c>
      <c r="BR424" s="1313">
        <v>190.63</v>
      </c>
      <c r="BS424" s="1313">
        <v>193.36</v>
      </c>
      <c r="BT424" s="1313">
        <v>196.08</v>
      </c>
      <c r="BU424" s="1314">
        <v>198.76</v>
      </c>
      <c r="BV424" s="1312">
        <v>201.42</v>
      </c>
      <c r="BW424" s="1313">
        <v>204.05</v>
      </c>
      <c r="BX424" s="1313">
        <v>206.66</v>
      </c>
      <c r="BY424" s="1313">
        <v>209.24</v>
      </c>
      <c r="BZ424" s="1313">
        <v>211.79</v>
      </c>
      <c r="CA424" s="1313">
        <v>214.32</v>
      </c>
      <c r="CB424" s="1313">
        <v>216.82</v>
      </c>
      <c r="CC424" s="1313">
        <v>219.3</v>
      </c>
      <c r="CD424" s="1313">
        <v>221.76</v>
      </c>
      <c r="CE424" s="1314">
        <v>224.19</v>
      </c>
      <c r="CF424" s="1313">
        <v>226.59</v>
      </c>
      <c r="CG424" s="1313">
        <v>228.97</v>
      </c>
      <c r="CH424" s="1314">
        <v>231.33</v>
      </c>
    </row>
    <row r="425" spans="1:86" ht="20.149999999999999" customHeight="1">
      <c r="A425" s="1563" t="s">
        <v>1541</v>
      </c>
      <c r="B425" s="1563" t="s">
        <v>14</v>
      </c>
      <c r="C425" s="1563" t="str">
        <f t="shared" si="8"/>
        <v>PBSDDCIF58</v>
      </c>
      <c r="D425" s="1193">
        <v>58</v>
      </c>
      <c r="E425" s="1312"/>
      <c r="F425" s="1313">
        <v>1.46</v>
      </c>
      <c r="G425" s="1313">
        <v>2.29</v>
      </c>
      <c r="H425" s="1313">
        <v>3.2</v>
      </c>
      <c r="I425" s="1313">
        <v>4.2</v>
      </c>
      <c r="J425" s="1313">
        <v>5.29</v>
      </c>
      <c r="K425" s="1313">
        <v>6.5</v>
      </c>
      <c r="L425" s="1313">
        <v>7.82</v>
      </c>
      <c r="M425" s="1314">
        <v>9.2899999999999991</v>
      </c>
      <c r="N425" s="1312">
        <v>10.9</v>
      </c>
      <c r="O425" s="1313">
        <v>12.69</v>
      </c>
      <c r="P425" s="1313">
        <v>14.66</v>
      </c>
      <c r="Q425" s="1313">
        <v>16.829999999999998</v>
      </c>
      <c r="R425" s="1313">
        <v>19.22</v>
      </c>
      <c r="S425" s="1313">
        <v>21.49</v>
      </c>
      <c r="T425" s="1313">
        <v>23.93</v>
      </c>
      <c r="U425" s="1313">
        <v>26.56</v>
      </c>
      <c r="V425" s="1313">
        <v>29.39</v>
      </c>
      <c r="W425" s="1314">
        <v>32.43</v>
      </c>
      <c r="X425" s="1312">
        <v>35.69</v>
      </c>
      <c r="Y425" s="1313">
        <v>39.17</v>
      </c>
      <c r="Z425" s="1313">
        <v>43.61</v>
      </c>
      <c r="AA425" s="1313">
        <v>48.01</v>
      </c>
      <c r="AB425" s="1313">
        <v>52.37</v>
      </c>
      <c r="AC425" s="1313">
        <v>56.68</v>
      </c>
      <c r="AD425" s="1313">
        <v>60.95</v>
      </c>
      <c r="AE425" s="1313">
        <v>65.180000000000007</v>
      </c>
      <c r="AF425" s="1313">
        <v>69.37</v>
      </c>
      <c r="AG425" s="1314">
        <v>73.510000000000005</v>
      </c>
      <c r="AH425" s="1312">
        <v>77.61</v>
      </c>
      <c r="AI425" s="1313">
        <v>81.680000000000007</v>
      </c>
      <c r="AJ425" s="1313">
        <v>85.7</v>
      </c>
      <c r="AK425" s="1313">
        <v>89.68</v>
      </c>
      <c r="AL425" s="1313">
        <v>93.63</v>
      </c>
      <c r="AM425" s="1313">
        <v>97.53</v>
      </c>
      <c r="AN425" s="1313">
        <v>101.4</v>
      </c>
      <c r="AO425" s="1313">
        <v>105.22</v>
      </c>
      <c r="AP425" s="1313">
        <v>109.01</v>
      </c>
      <c r="AQ425" s="1314">
        <v>112.76</v>
      </c>
      <c r="AR425" s="1312">
        <v>116.48</v>
      </c>
      <c r="AS425" s="1313">
        <v>120.16</v>
      </c>
      <c r="AT425" s="1313">
        <v>123.8</v>
      </c>
      <c r="AU425" s="1313">
        <v>127.4</v>
      </c>
      <c r="AV425" s="1313">
        <v>130.97</v>
      </c>
      <c r="AW425" s="1313">
        <v>134.51</v>
      </c>
      <c r="AX425" s="1313">
        <v>138.01</v>
      </c>
      <c r="AY425" s="1313">
        <v>141.47</v>
      </c>
      <c r="AZ425" s="1313">
        <v>144.9</v>
      </c>
      <c r="BA425" s="1314">
        <v>148.30000000000001</v>
      </c>
      <c r="BB425" s="1312">
        <v>151.66</v>
      </c>
      <c r="BC425" s="1313">
        <v>154.99</v>
      </c>
      <c r="BD425" s="1313">
        <v>158.29</v>
      </c>
      <c r="BE425" s="1313">
        <v>161.55000000000001</v>
      </c>
      <c r="BF425" s="1313">
        <v>164.79</v>
      </c>
      <c r="BG425" s="1313">
        <v>167.99</v>
      </c>
      <c r="BH425" s="1313">
        <v>171.15</v>
      </c>
      <c r="BI425" s="1313">
        <v>174.29</v>
      </c>
      <c r="BJ425" s="1313">
        <v>177.4</v>
      </c>
      <c r="BK425" s="1314">
        <v>180.47</v>
      </c>
      <c r="BL425" s="1312">
        <v>183.51</v>
      </c>
      <c r="BM425" s="1313">
        <v>186.53</v>
      </c>
      <c r="BN425" s="1313">
        <v>189.51</v>
      </c>
      <c r="BO425" s="1313">
        <v>192.47</v>
      </c>
      <c r="BP425" s="1313">
        <v>195.39</v>
      </c>
      <c r="BQ425" s="1313">
        <v>198.29</v>
      </c>
      <c r="BR425" s="1313">
        <v>201.16</v>
      </c>
      <c r="BS425" s="1313">
        <v>204</v>
      </c>
      <c r="BT425" s="1313">
        <v>206.81</v>
      </c>
      <c r="BU425" s="1314">
        <v>209.59</v>
      </c>
      <c r="BV425" s="1312">
        <v>212.35</v>
      </c>
      <c r="BW425" s="1313">
        <v>215.08</v>
      </c>
      <c r="BX425" s="1313">
        <v>217.78</v>
      </c>
      <c r="BY425" s="1313">
        <v>220.46</v>
      </c>
      <c r="BZ425" s="1313">
        <v>223.1</v>
      </c>
      <c r="CA425" s="1313">
        <v>225.73</v>
      </c>
      <c r="CB425" s="1313">
        <v>228.32</v>
      </c>
      <c r="CC425" s="1313">
        <v>230.89</v>
      </c>
      <c r="CD425" s="1313">
        <v>233.44</v>
      </c>
      <c r="CE425" s="1314">
        <v>235.96</v>
      </c>
      <c r="CF425" s="1313">
        <v>238.45</v>
      </c>
      <c r="CG425" s="1313">
        <v>240.92</v>
      </c>
      <c r="CH425" s="1314">
        <v>243.37</v>
      </c>
    </row>
    <row r="426" spans="1:86" ht="20.149999999999999" customHeight="1">
      <c r="A426" s="1563" t="s">
        <v>1541</v>
      </c>
      <c r="B426" s="1563" t="s">
        <v>14</v>
      </c>
      <c r="C426" s="1563" t="str">
        <f t="shared" si="8"/>
        <v>PBSDDCIF59</v>
      </c>
      <c r="D426" s="1193">
        <v>59</v>
      </c>
      <c r="E426" s="1312"/>
      <c r="F426" s="1313">
        <v>1.59</v>
      </c>
      <c r="G426" s="1313">
        <v>2.5</v>
      </c>
      <c r="H426" s="1313">
        <v>3.5</v>
      </c>
      <c r="I426" s="1313">
        <v>4.5999999999999996</v>
      </c>
      <c r="J426" s="1313">
        <v>5.81</v>
      </c>
      <c r="K426" s="1313">
        <v>7.14</v>
      </c>
      <c r="L426" s="1313">
        <v>8.61</v>
      </c>
      <c r="M426" s="1314">
        <v>10.23</v>
      </c>
      <c r="N426" s="1312">
        <v>12.03</v>
      </c>
      <c r="O426" s="1313">
        <v>14.01</v>
      </c>
      <c r="P426" s="1313">
        <v>16.2</v>
      </c>
      <c r="Q426" s="1313">
        <v>18.62</v>
      </c>
      <c r="R426" s="1313">
        <v>21.28</v>
      </c>
      <c r="S426" s="1313">
        <v>23.81</v>
      </c>
      <c r="T426" s="1313">
        <v>26.54</v>
      </c>
      <c r="U426" s="1313">
        <v>29.48</v>
      </c>
      <c r="V426" s="1313">
        <v>32.64</v>
      </c>
      <c r="W426" s="1314">
        <v>36.020000000000003</v>
      </c>
      <c r="X426" s="1312">
        <v>39.64</v>
      </c>
      <c r="Y426" s="1313">
        <v>44.3</v>
      </c>
      <c r="Z426" s="1313">
        <v>48.92</v>
      </c>
      <c r="AA426" s="1313">
        <v>53.48</v>
      </c>
      <c r="AB426" s="1313">
        <v>58.01</v>
      </c>
      <c r="AC426" s="1313">
        <v>62.49</v>
      </c>
      <c r="AD426" s="1313">
        <v>66.92</v>
      </c>
      <c r="AE426" s="1313">
        <v>71.31</v>
      </c>
      <c r="AF426" s="1313">
        <v>75.66</v>
      </c>
      <c r="AG426" s="1314">
        <v>79.959999999999994</v>
      </c>
      <c r="AH426" s="1312">
        <v>84.22</v>
      </c>
      <c r="AI426" s="1313">
        <v>88.44</v>
      </c>
      <c r="AJ426" s="1313">
        <v>92.62</v>
      </c>
      <c r="AK426" s="1313">
        <v>96.76</v>
      </c>
      <c r="AL426" s="1313">
        <v>100.85</v>
      </c>
      <c r="AM426" s="1313">
        <v>104.9</v>
      </c>
      <c r="AN426" s="1313">
        <v>108.92</v>
      </c>
      <c r="AO426" s="1313">
        <v>112.89</v>
      </c>
      <c r="AP426" s="1313">
        <v>116.83</v>
      </c>
      <c r="AQ426" s="1314">
        <v>120.73</v>
      </c>
      <c r="AR426" s="1312">
        <v>124.58</v>
      </c>
      <c r="AS426" s="1313">
        <v>128.4</v>
      </c>
      <c r="AT426" s="1313">
        <v>132.18</v>
      </c>
      <c r="AU426" s="1313">
        <v>135.93</v>
      </c>
      <c r="AV426" s="1313">
        <v>139.63999999999999</v>
      </c>
      <c r="AW426" s="1313">
        <v>143.31</v>
      </c>
      <c r="AX426" s="1313">
        <v>146.94</v>
      </c>
      <c r="AY426" s="1313">
        <v>150.54</v>
      </c>
      <c r="AZ426" s="1313">
        <v>154.1</v>
      </c>
      <c r="BA426" s="1314">
        <v>157.63</v>
      </c>
      <c r="BB426" s="1312">
        <v>161.12</v>
      </c>
      <c r="BC426" s="1313">
        <v>164.58</v>
      </c>
      <c r="BD426" s="1313">
        <v>168</v>
      </c>
      <c r="BE426" s="1313">
        <v>171.39</v>
      </c>
      <c r="BF426" s="1313">
        <v>174.75</v>
      </c>
      <c r="BG426" s="1313">
        <v>178.07</v>
      </c>
      <c r="BH426" s="1313">
        <v>181.36</v>
      </c>
      <c r="BI426" s="1313">
        <v>184.62</v>
      </c>
      <c r="BJ426" s="1313">
        <v>187.84</v>
      </c>
      <c r="BK426" s="1314">
        <v>191.04</v>
      </c>
      <c r="BL426" s="1312">
        <v>194.2</v>
      </c>
      <c r="BM426" s="1313">
        <v>197.33</v>
      </c>
      <c r="BN426" s="1313">
        <v>200.43</v>
      </c>
      <c r="BO426" s="1313">
        <v>203.49</v>
      </c>
      <c r="BP426" s="1313">
        <v>206.53</v>
      </c>
      <c r="BQ426" s="1313">
        <v>209.54</v>
      </c>
      <c r="BR426" s="1313">
        <v>212.52</v>
      </c>
      <c r="BS426" s="1313">
        <v>215.47</v>
      </c>
      <c r="BT426" s="1313">
        <v>218.39</v>
      </c>
      <c r="BU426" s="1314">
        <v>221.28</v>
      </c>
      <c r="BV426" s="1312">
        <v>224.14</v>
      </c>
      <c r="BW426" s="1313">
        <v>226.97</v>
      </c>
      <c r="BX426" s="1313">
        <v>229.78</v>
      </c>
      <c r="BY426" s="1313">
        <v>232.56</v>
      </c>
      <c r="BZ426" s="1313">
        <v>235.31</v>
      </c>
      <c r="CA426" s="1313">
        <v>238.03</v>
      </c>
      <c r="CB426" s="1313">
        <v>240.73</v>
      </c>
      <c r="CC426" s="1313">
        <v>243.4</v>
      </c>
      <c r="CD426" s="1313">
        <v>246.04</v>
      </c>
      <c r="CE426" s="1314">
        <v>248.66</v>
      </c>
      <c r="CF426" s="1313">
        <v>251.25</v>
      </c>
      <c r="CG426" s="1313">
        <v>253.81</v>
      </c>
      <c r="CH426" s="1314">
        <v>256.35000000000002</v>
      </c>
    </row>
    <row r="427" spans="1:86" ht="20.149999999999999" customHeight="1">
      <c r="A427" s="1563" t="s">
        <v>1541</v>
      </c>
      <c r="B427" s="1563" t="s">
        <v>14</v>
      </c>
      <c r="C427" s="1563" t="str">
        <f t="shared" si="8"/>
        <v>PBSDDCIF60</v>
      </c>
      <c r="D427" s="1193">
        <v>60</v>
      </c>
      <c r="E427" s="1312"/>
      <c r="F427" s="1313">
        <v>1.74</v>
      </c>
      <c r="G427" s="1313">
        <v>2.74</v>
      </c>
      <c r="H427" s="1313">
        <v>3.84</v>
      </c>
      <c r="I427" s="1313">
        <v>5.05</v>
      </c>
      <c r="J427" s="1313">
        <v>6.39</v>
      </c>
      <c r="K427" s="1313">
        <v>7.86</v>
      </c>
      <c r="L427" s="1313">
        <v>9.5</v>
      </c>
      <c r="M427" s="1314">
        <v>11.31</v>
      </c>
      <c r="N427" s="1312">
        <v>13.31</v>
      </c>
      <c r="O427" s="1313">
        <v>15.52</v>
      </c>
      <c r="P427" s="1313">
        <v>17.96</v>
      </c>
      <c r="Q427" s="1313">
        <v>20.65</v>
      </c>
      <c r="R427" s="1313">
        <v>23.62</v>
      </c>
      <c r="S427" s="1313">
        <v>26.45</v>
      </c>
      <c r="T427" s="1313">
        <v>29.5</v>
      </c>
      <c r="U427" s="1313">
        <v>32.78</v>
      </c>
      <c r="V427" s="1313">
        <v>36.299999999999997</v>
      </c>
      <c r="W427" s="1314">
        <v>40.07</v>
      </c>
      <c r="X427" s="1312">
        <v>44.96</v>
      </c>
      <c r="Y427" s="1313">
        <v>49.81</v>
      </c>
      <c r="Z427" s="1313">
        <v>54.61</v>
      </c>
      <c r="AA427" s="1313">
        <v>59.36</v>
      </c>
      <c r="AB427" s="1313">
        <v>64.06</v>
      </c>
      <c r="AC427" s="1313">
        <v>68.72</v>
      </c>
      <c r="AD427" s="1313">
        <v>73.33</v>
      </c>
      <c r="AE427" s="1313">
        <v>77.89</v>
      </c>
      <c r="AF427" s="1313">
        <v>82.41</v>
      </c>
      <c r="AG427" s="1314">
        <v>86.89</v>
      </c>
      <c r="AH427" s="1312">
        <v>91.32</v>
      </c>
      <c r="AI427" s="1313">
        <v>95.7</v>
      </c>
      <c r="AJ427" s="1313">
        <v>100.05</v>
      </c>
      <c r="AK427" s="1313">
        <v>104.35</v>
      </c>
      <c r="AL427" s="1313">
        <v>108.6</v>
      </c>
      <c r="AM427" s="1313">
        <v>112.82</v>
      </c>
      <c r="AN427" s="1313">
        <v>116.99</v>
      </c>
      <c r="AO427" s="1313">
        <v>121.13</v>
      </c>
      <c r="AP427" s="1313">
        <v>125.22</v>
      </c>
      <c r="AQ427" s="1314">
        <v>129.27000000000001</v>
      </c>
      <c r="AR427" s="1312">
        <v>133.28</v>
      </c>
      <c r="AS427" s="1313">
        <v>137.25</v>
      </c>
      <c r="AT427" s="1313">
        <v>141.18</v>
      </c>
      <c r="AU427" s="1313">
        <v>145.08000000000001</v>
      </c>
      <c r="AV427" s="1313">
        <v>148.93</v>
      </c>
      <c r="AW427" s="1313">
        <v>152.75</v>
      </c>
      <c r="AX427" s="1313">
        <v>156.52000000000001</v>
      </c>
      <c r="AY427" s="1313">
        <v>160.27000000000001</v>
      </c>
      <c r="AZ427" s="1313">
        <v>163.97</v>
      </c>
      <c r="BA427" s="1314">
        <v>167.64</v>
      </c>
      <c r="BB427" s="1312">
        <v>171.27</v>
      </c>
      <c r="BC427" s="1313">
        <v>174.86</v>
      </c>
      <c r="BD427" s="1313">
        <v>178.42</v>
      </c>
      <c r="BE427" s="1313">
        <v>181.95</v>
      </c>
      <c r="BF427" s="1313">
        <v>185.44</v>
      </c>
      <c r="BG427" s="1313">
        <v>188.89</v>
      </c>
      <c r="BH427" s="1313">
        <v>192.31</v>
      </c>
      <c r="BI427" s="1313">
        <v>195.7</v>
      </c>
      <c r="BJ427" s="1313">
        <v>199.05</v>
      </c>
      <c r="BK427" s="1314">
        <v>202.37</v>
      </c>
      <c r="BL427" s="1312">
        <v>205.66</v>
      </c>
      <c r="BM427" s="1313">
        <v>208.91</v>
      </c>
      <c r="BN427" s="1313">
        <v>212.14</v>
      </c>
      <c r="BO427" s="1313">
        <v>215.33</v>
      </c>
      <c r="BP427" s="1313">
        <v>218.49</v>
      </c>
      <c r="BQ427" s="1313">
        <v>221.61</v>
      </c>
      <c r="BR427" s="1313">
        <v>224.71</v>
      </c>
      <c r="BS427" s="1313">
        <v>227.78</v>
      </c>
      <c r="BT427" s="1313">
        <v>230.81</v>
      </c>
      <c r="BU427" s="1314">
        <v>233.82</v>
      </c>
      <c r="BV427" s="1312">
        <v>236.79</v>
      </c>
      <c r="BW427" s="1313">
        <v>239.74</v>
      </c>
      <c r="BX427" s="1313">
        <v>242.66</v>
      </c>
      <c r="BY427" s="1313">
        <v>245.54</v>
      </c>
      <c r="BZ427" s="1313">
        <v>248.4</v>
      </c>
      <c r="CA427" s="1313">
        <v>251.24</v>
      </c>
      <c r="CB427" s="1313">
        <v>254.04</v>
      </c>
      <c r="CC427" s="1313">
        <v>256.81</v>
      </c>
      <c r="CD427" s="1313">
        <v>259.56</v>
      </c>
      <c r="CE427" s="1314">
        <v>262.27999999999997</v>
      </c>
      <c r="CF427" s="1313">
        <v>264.98</v>
      </c>
      <c r="CG427" s="1313">
        <v>267.64</v>
      </c>
      <c r="CH427" s="1314">
        <v>270.29000000000002</v>
      </c>
    </row>
    <row r="428" spans="1:86" ht="20.149999999999999" customHeight="1">
      <c r="A428" s="1563" t="s">
        <v>1541</v>
      </c>
      <c r="B428" s="1563" t="s">
        <v>14</v>
      </c>
      <c r="C428" s="1563" t="str">
        <f t="shared" si="8"/>
        <v>PBSDDCIF61</v>
      </c>
      <c r="D428" s="1194">
        <v>61</v>
      </c>
      <c r="E428" s="1315"/>
      <c r="F428" s="1316">
        <v>1.91</v>
      </c>
      <c r="G428" s="1316">
        <v>3.01</v>
      </c>
      <c r="H428" s="1316">
        <v>4.2300000000000004</v>
      </c>
      <c r="I428" s="1316">
        <v>5.57</v>
      </c>
      <c r="J428" s="1316">
        <v>7.06</v>
      </c>
      <c r="K428" s="1316">
        <v>8.6999999999999993</v>
      </c>
      <c r="L428" s="1316">
        <v>10.52</v>
      </c>
      <c r="M428" s="1317">
        <v>12.54</v>
      </c>
      <c r="N428" s="1315">
        <v>14.78</v>
      </c>
      <c r="O428" s="1316">
        <v>17.239999999999998</v>
      </c>
      <c r="P428" s="1316">
        <v>19.96</v>
      </c>
      <c r="Q428" s="1316">
        <v>22.97</v>
      </c>
      <c r="R428" s="1316">
        <v>26.28</v>
      </c>
      <c r="S428" s="1316">
        <v>29.45</v>
      </c>
      <c r="T428" s="1316">
        <v>32.86</v>
      </c>
      <c r="U428" s="1316">
        <v>36.53</v>
      </c>
      <c r="V428" s="1316">
        <v>40.450000000000003</v>
      </c>
      <c r="W428" s="1317">
        <v>45.6</v>
      </c>
      <c r="X428" s="1315">
        <v>50.69</v>
      </c>
      <c r="Y428" s="1316">
        <v>55.74</v>
      </c>
      <c r="Z428" s="1316">
        <v>60.73</v>
      </c>
      <c r="AA428" s="1316">
        <v>65.680000000000007</v>
      </c>
      <c r="AB428" s="1316">
        <v>70.569999999999993</v>
      </c>
      <c r="AC428" s="1316">
        <v>75.42</v>
      </c>
      <c r="AD428" s="1316">
        <v>80.22</v>
      </c>
      <c r="AE428" s="1316">
        <v>84.97</v>
      </c>
      <c r="AF428" s="1316">
        <v>89.68</v>
      </c>
      <c r="AG428" s="1317">
        <v>94.34</v>
      </c>
      <c r="AH428" s="1315">
        <v>98.95</v>
      </c>
      <c r="AI428" s="1316">
        <v>103.52</v>
      </c>
      <c r="AJ428" s="1316">
        <v>108.04</v>
      </c>
      <c r="AK428" s="1316">
        <v>112.52</v>
      </c>
      <c r="AL428" s="1316">
        <v>116.95</v>
      </c>
      <c r="AM428" s="1316">
        <v>121.34</v>
      </c>
      <c r="AN428" s="1316">
        <v>125.68</v>
      </c>
      <c r="AO428" s="1316">
        <v>129.97999999999999</v>
      </c>
      <c r="AP428" s="1316">
        <v>134.24</v>
      </c>
      <c r="AQ428" s="1317">
        <v>138.46</v>
      </c>
      <c r="AR428" s="1315">
        <v>142.63999999999999</v>
      </c>
      <c r="AS428" s="1316">
        <v>146.77000000000001</v>
      </c>
      <c r="AT428" s="1316">
        <v>150.87</v>
      </c>
      <c r="AU428" s="1316">
        <v>154.91999999999999</v>
      </c>
      <c r="AV428" s="1316">
        <v>158.93</v>
      </c>
      <c r="AW428" s="1316">
        <v>162.9</v>
      </c>
      <c r="AX428" s="1316">
        <v>166.84</v>
      </c>
      <c r="AY428" s="1316">
        <v>170.73</v>
      </c>
      <c r="AZ428" s="1316">
        <v>174.59</v>
      </c>
      <c r="BA428" s="1317">
        <v>178.41</v>
      </c>
      <c r="BB428" s="1315">
        <v>182.19</v>
      </c>
      <c r="BC428" s="1316">
        <v>185.93</v>
      </c>
      <c r="BD428" s="1316">
        <v>189.64</v>
      </c>
      <c r="BE428" s="1316">
        <v>193.31</v>
      </c>
      <c r="BF428" s="1316">
        <v>196.94</v>
      </c>
      <c r="BG428" s="1316">
        <v>200.54</v>
      </c>
      <c r="BH428" s="1316">
        <v>204.1</v>
      </c>
      <c r="BI428" s="1316">
        <v>207.62</v>
      </c>
      <c r="BJ428" s="1316">
        <v>211.11</v>
      </c>
      <c r="BK428" s="1317">
        <v>214.57</v>
      </c>
      <c r="BL428" s="1315">
        <v>217.99</v>
      </c>
      <c r="BM428" s="1316">
        <v>221.38</v>
      </c>
      <c r="BN428" s="1316">
        <v>224.74</v>
      </c>
      <c r="BO428" s="1316">
        <v>228.06</v>
      </c>
      <c r="BP428" s="1316">
        <v>231.35</v>
      </c>
      <c r="BQ428" s="1316">
        <v>234.6</v>
      </c>
      <c r="BR428" s="1316">
        <v>237.83</v>
      </c>
      <c r="BS428" s="1316">
        <v>241.02</v>
      </c>
      <c r="BT428" s="1316">
        <v>244.18</v>
      </c>
      <c r="BU428" s="1317">
        <v>247.31</v>
      </c>
      <c r="BV428" s="1315">
        <v>250.41</v>
      </c>
      <c r="BW428" s="1316">
        <v>253.47</v>
      </c>
      <c r="BX428" s="1316">
        <v>256.51</v>
      </c>
      <c r="BY428" s="1316">
        <v>259.52</v>
      </c>
      <c r="BZ428" s="1316">
        <v>262.49</v>
      </c>
      <c r="CA428" s="1316">
        <v>265.44</v>
      </c>
      <c r="CB428" s="1316">
        <v>268.36</v>
      </c>
      <c r="CC428" s="1316">
        <v>271.25</v>
      </c>
      <c r="CD428" s="1316">
        <v>274.11</v>
      </c>
      <c r="CE428" s="1317">
        <v>276.94</v>
      </c>
      <c r="CF428" s="1316">
        <v>279.75</v>
      </c>
      <c r="CG428" s="1316">
        <v>282.52999999999997</v>
      </c>
      <c r="CH428" s="1317">
        <v>285.27999999999997</v>
      </c>
    </row>
    <row r="429" spans="1:86" ht="20.149999999999999" customHeight="1">
      <c r="A429" s="1563" t="s">
        <v>1541</v>
      </c>
      <c r="B429" s="1563" t="s">
        <v>14</v>
      </c>
      <c r="C429" s="1563" t="str">
        <f t="shared" si="8"/>
        <v>PBSDDCIF62</v>
      </c>
      <c r="D429" s="1193">
        <v>62</v>
      </c>
      <c r="E429" s="1312"/>
      <c r="F429" s="1313">
        <v>2.11</v>
      </c>
      <c r="G429" s="1313">
        <v>3.33</v>
      </c>
      <c r="H429" s="1313">
        <v>4.68</v>
      </c>
      <c r="I429" s="1313">
        <v>6.18</v>
      </c>
      <c r="J429" s="1313">
        <v>7.83</v>
      </c>
      <c r="K429" s="1313">
        <v>9.67</v>
      </c>
      <c r="L429" s="1313">
        <v>11.71</v>
      </c>
      <c r="M429" s="1314">
        <v>13.96</v>
      </c>
      <c r="N429" s="1312">
        <v>16.46</v>
      </c>
      <c r="O429" s="1313">
        <v>19.21</v>
      </c>
      <c r="P429" s="1313">
        <v>22.25</v>
      </c>
      <c r="Q429" s="1313">
        <v>25.61</v>
      </c>
      <c r="R429" s="1313">
        <v>29.32</v>
      </c>
      <c r="S429" s="1313">
        <v>32.869999999999997</v>
      </c>
      <c r="T429" s="1313">
        <v>36.68</v>
      </c>
      <c r="U429" s="1313">
        <v>40.770000000000003</v>
      </c>
      <c r="V429" s="1313">
        <v>46.19</v>
      </c>
      <c r="W429" s="1314">
        <v>51.56</v>
      </c>
      <c r="X429" s="1312">
        <v>56.87</v>
      </c>
      <c r="Y429" s="1313">
        <v>62.13</v>
      </c>
      <c r="Z429" s="1313">
        <v>67.34</v>
      </c>
      <c r="AA429" s="1313">
        <v>72.489999999999995</v>
      </c>
      <c r="AB429" s="1313">
        <v>77.599999999999994</v>
      </c>
      <c r="AC429" s="1313">
        <v>82.65</v>
      </c>
      <c r="AD429" s="1313">
        <v>87.66</v>
      </c>
      <c r="AE429" s="1313">
        <v>92.61</v>
      </c>
      <c r="AF429" s="1313">
        <v>97.52</v>
      </c>
      <c r="AG429" s="1314">
        <v>102.38</v>
      </c>
      <c r="AH429" s="1312">
        <v>107.18</v>
      </c>
      <c r="AI429" s="1313">
        <v>111.95</v>
      </c>
      <c r="AJ429" s="1313">
        <v>116.66</v>
      </c>
      <c r="AK429" s="1313">
        <v>121.33</v>
      </c>
      <c r="AL429" s="1313">
        <v>125.95</v>
      </c>
      <c r="AM429" s="1313">
        <v>130.53</v>
      </c>
      <c r="AN429" s="1313">
        <v>135.06</v>
      </c>
      <c r="AO429" s="1313">
        <v>139.54</v>
      </c>
      <c r="AP429" s="1313">
        <v>143.97999999999999</v>
      </c>
      <c r="AQ429" s="1314">
        <v>148.38</v>
      </c>
      <c r="AR429" s="1312">
        <v>152.72999999999999</v>
      </c>
      <c r="AS429" s="1313">
        <v>157.04</v>
      </c>
      <c r="AT429" s="1313">
        <v>161.31</v>
      </c>
      <c r="AU429" s="1313">
        <v>165.54</v>
      </c>
      <c r="AV429" s="1313">
        <v>169.72</v>
      </c>
      <c r="AW429" s="1313">
        <v>173.86</v>
      </c>
      <c r="AX429" s="1313">
        <v>177.96</v>
      </c>
      <c r="AY429" s="1313">
        <v>182.02</v>
      </c>
      <c r="AZ429" s="1313">
        <v>186.04</v>
      </c>
      <c r="BA429" s="1314">
        <v>190.03</v>
      </c>
      <c r="BB429" s="1312">
        <v>193.97</v>
      </c>
      <c r="BC429" s="1313">
        <v>197.87</v>
      </c>
      <c r="BD429" s="1313">
        <v>201.73</v>
      </c>
      <c r="BE429" s="1313">
        <v>205.56</v>
      </c>
      <c r="BF429" s="1313">
        <v>209.35</v>
      </c>
      <c r="BG429" s="1313">
        <v>213.1</v>
      </c>
      <c r="BH429" s="1313">
        <v>216.81</v>
      </c>
      <c r="BI429" s="1313">
        <v>220.48</v>
      </c>
      <c r="BJ429" s="1313">
        <v>224.12</v>
      </c>
      <c r="BK429" s="1314">
        <v>227.73</v>
      </c>
      <c r="BL429" s="1312">
        <v>231.3</v>
      </c>
      <c r="BM429" s="1313">
        <v>234.83</v>
      </c>
      <c r="BN429" s="1313">
        <v>238.33</v>
      </c>
      <c r="BO429" s="1313">
        <v>241.79</v>
      </c>
      <c r="BP429" s="1313">
        <v>245.22</v>
      </c>
      <c r="BQ429" s="1313">
        <v>248.61</v>
      </c>
      <c r="BR429" s="1313">
        <v>251.97</v>
      </c>
      <c r="BS429" s="1313">
        <v>255.3</v>
      </c>
      <c r="BT429" s="1313">
        <v>258.60000000000002</v>
      </c>
      <c r="BU429" s="1314">
        <v>261.86</v>
      </c>
      <c r="BV429" s="1312">
        <v>265.08999999999997</v>
      </c>
      <c r="BW429" s="1313">
        <v>268.29000000000002</v>
      </c>
      <c r="BX429" s="1313">
        <v>271.45</v>
      </c>
      <c r="BY429" s="1313">
        <v>274.58999999999997</v>
      </c>
      <c r="BZ429" s="1313">
        <v>277.69</v>
      </c>
      <c r="CA429" s="1313">
        <v>280.77</v>
      </c>
      <c r="CB429" s="1313">
        <v>283.81</v>
      </c>
      <c r="CC429" s="1313">
        <v>286.82</v>
      </c>
      <c r="CD429" s="1313">
        <v>289.8</v>
      </c>
      <c r="CE429" s="1314">
        <v>292.76</v>
      </c>
      <c r="CF429" s="1313">
        <v>295.68</v>
      </c>
      <c r="CG429" s="1313">
        <v>298.58</v>
      </c>
      <c r="CH429" s="1314">
        <v>301.44</v>
      </c>
    </row>
    <row r="430" spans="1:86" ht="20.149999999999999" customHeight="1">
      <c r="A430" s="1563" t="s">
        <v>1541</v>
      </c>
      <c r="B430" s="1563" t="s">
        <v>14</v>
      </c>
      <c r="C430" s="1563" t="str">
        <f t="shared" si="8"/>
        <v>PBSDDCIF63</v>
      </c>
      <c r="D430" s="1193">
        <v>63</v>
      </c>
      <c r="E430" s="1312"/>
      <c r="F430" s="1313">
        <v>2.34</v>
      </c>
      <c r="G430" s="1313">
        <v>3.7</v>
      </c>
      <c r="H430" s="1313">
        <v>5.2</v>
      </c>
      <c r="I430" s="1313">
        <v>6.87</v>
      </c>
      <c r="J430" s="1313">
        <v>8.73</v>
      </c>
      <c r="K430" s="1313">
        <v>10.79</v>
      </c>
      <c r="L430" s="1313">
        <v>13.06</v>
      </c>
      <c r="M430" s="1314">
        <v>15.59</v>
      </c>
      <c r="N430" s="1312">
        <v>18.37</v>
      </c>
      <c r="O430" s="1313">
        <v>21.46</v>
      </c>
      <c r="P430" s="1313">
        <v>24.87</v>
      </c>
      <c r="Q430" s="1313">
        <v>28.63</v>
      </c>
      <c r="R430" s="1313">
        <v>32.770000000000003</v>
      </c>
      <c r="S430" s="1313">
        <v>36.75</v>
      </c>
      <c r="T430" s="1313">
        <v>41.02</v>
      </c>
      <c r="U430" s="1313">
        <v>46.73</v>
      </c>
      <c r="V430" s="1313">
        <v>52.39</v>
      </c>
      <c r="W430" s="1314">
        <v>57.99</v>
      </c>
      <c r="X430" s="1312">
        <v>63.53</v>
      </c>
      <c r="Y430" s="1313">
        <v>69.02</v>
      </c>
      <c r="Z430" s="1313">
        <v>74.459999999999994</v>
      </c>
      <c r="AA430" s="1313">
        <v>79.84</v>
      </c>
      <c r="AB430" s="1313">
        <v>85.17</v>
      </c>
      <c r="AC430" s="1313">
        <v>90.45</v>
      </c>
      <c r="AD430" s="1313">
        <v>95.67</v>
      </c>
      <c r="AE430" s="1313">
        <v>100.84</v>
      </c>
      <c r="AF430" s="1313">
        <v>105.97</v>
      </c>
      <c r="AG430" s="1314">
        <v>111.04</v>
      </c>
      <c r="AH430" s="1312">
        <v>116.06</v>
      </c>
      <c r="AI430" s="1313">
        <v>121.03</v>
      </c>
      <c r="AJ430" s="1313">
        <v>125.95</v>
      </c>
      <c r="AK430" s="1313">
        <v>130.82</v>
      </c>
      <c r="AL430" s="1313">
        <v>135.65</v>
      </c>
      <c r="AM430" s="1313">
        <v>140.41999999999999</v>
      </c>
      <c r="AN430" s="1313">
        <v>145.15</v>
      </c>
      <c r="AO430" s="1313">
        <v>149.84</v>
      </c>
      <c r="AP430" s="1313">
        <v>154.47</v>
      </c>
      <c r="AQ430" s="1314">
        <v>159.06</v>
      </c>
      <c r="AR430" s="1312">
        <v>163.61000000000001</v>
      </c>
      <c r="AS430" s="1313">
        <v>168.11</v>
      </c>
      <c r="AT430" s="1313">
        <v>172.56</v>
      </c>
      <c r="AU430" s="1313">
        <v>176.97</v>
      </c>
      <c r="AV430" s="1313">
        <v>181.34</v>
      </c>
      <c r="AW430" s="1313">
        <v>185.66</v>
      </c>
      <c r="AX430" s="1313">
        <v>189.95</v>
      </c>
      <c r="AY430" s="1313">
        <v>194.19</v>
      </c>
      <c r="AZ430" s="1313">
        <v>198.38</v>
      </c>
      <c r="BA430" s="1314">
        <v>202.54</v>
      </c>
      <c r="BB430" s="1312">
        <v>206.65</v>
      </c>
      <c r="BC430" s="1313">
        <v>210.73</v>
      </c>
      <c r="BD430" s="1313">
        <v>214.76</v>
      </c>
      <c r="BE430" s="1313">
        <v>218.75</v>
      </c>
      <c r="BF430" s="1313">
        <v>222.71</v>
      </c>
      <c r="BG430" s="1313">
        <v>226.62</v>
      </c>
      <c r="BH430" s="1313">
        <v>230.5</v>
      </c>
      <c r="BI430" s="1313">
        <v>234.34</v>
      </c>
      <c r="BJ430" s="1313">
        <v>238.13</v>
      </c>
      <c r="BK430" s="1314">
        <v>241.9</v>
      </c>
      <c r="BL430" s="1312">
        <v>245.62</v>
      </c>
      <c r="BM430" s="1313">
        <v>249.31</v>
      </c>
      <c r="BN430" s="1313">
        <v>252.96</v>
      </c>
      <c r="BO430" s="1313">
        <v>256.58</v>
      </c>
      <c r="BP430" s="1313">
        <v>260.16000000000003</v>
      </c>
      <c r="BQ430" s="1313">
        <v>263.7</v>
      </c>
      <c r="BR430" s="1313">
        <v>267.20999999999998</v>
      </c>
      <c r="BS430" s="1313">
        <v>270.68</v>
      </c>
      <c r="BT430" s="1313">
        <v>274.12</v>
      </c>
      <c r="BU430" s="1314">
        <v>277.52999999999997</v>
      </c>
      <c r="BV430" s="1312">
        <v>280.89999999999998</v>
      </c>
      <c r="BW430" s="1313">
        <v>284.24</v>
      </c>
      <c r="BX430" s="1313">
        <v>287.54000000000002</v>
      </c>
      <c r="BY430" s="1313">
        <v>290.82</v>
      </c>
      <c r="BZ430" s="1313">
        <v>294.06</v>
      </c>
      <c r="CA430" s="1313">
        <v>297.26</v>
      </c>
      <c r="CB430" s="1313">
        <v>300.44</v>
      </c>
      <c r="CC430" s="1313">
        <v>303.58999999999997</v>
      </c>
      <c r="CD430" s="1313">
        <v>306.7</v>
      </c>
      <c r="CE430" s="1314">
        <v>309.77999999999997</v>
      </c>
      <c r="CF430" s="1313">
        <v>312.83999999999997</v>
      </c>
      <c r="CG430" s="1313">
        <v>315.86</v>
      </c>
      <c r="CH430" s="1314">
        <v>318.85000000000002</v>
      </c>
    </row>
    <row r="431" spans="1:86" ht="20.149999999999999" customHeight="1">
      <c r="A431" s="1563" t="s">
        <v>1541</v>
      </c>
      <c r="B431" s="1563" t="s">
        <v>14</v>
      </c>
      <c r="C431" s="1563" t="str">
        <f t="shared" si="8"/>
        <v>PBSDDCIF64</v>
      </c>
      <c r="D431" s="1193">
        <v>64</v>
      </c>
      <c r="E431" s="1312"/>
      <c r="F431" s="1313">
        <v>2.6</v>
      </c>
      <c r="G431" s="1313">
        <v>4.12</v>
      </c>
      <c r="H431" s="1313">
        <v>5.8</v>
      </c>
      <c r="I431" s="1313">
        <v>7.67</v>
      </c>
      <c r="J431" s="1313">
        <v>9.75</v>
      </c>
      <c r="K431" s="1313">
        <v>12.05</v>
      </c>
      <c r="L431" s="1313">
        <v>14.6</v>
      </c>
      <c r="M431" s="1314">
        <v>17.420000000000002</v>
      </c>
      <c r="N431" s="1312">
        <v>20.55</v>
      </c>
      <c r="O431" s="1313">
        <v>24.01</v>
      </c>
      <c r="P431" s="1313">
        <v>27.84</v>
      </c>
      <c r="Q431" s="1313">
        <v>32.049999999999997</v>
      </c>
      <c r="R431" s="1313">
        <v>36.69</v>
      </c>
      <c r="S431" s="1313">
        <v>41.14</v>
      </c>
      <c r="T431" s="1313">
        <v>47.17</v>
      </c>
      <c r="U431" s="1313">
        <v>53.14</v>
      </c>
      <c r="V431" s="1313">
        <v>59.05</v>
      </c>
      <c r="W431" s="1314">
        <v>64.91</v>
      </c>
      <c r="X431" s="1312">
        <v>70.7</v>
      </c>
      <c r="Y431" s="1313">
        <v>76.44</v>
      </c>
      <c r="Z431" s="1313">
        <v>82.12</v>
      </c>
      <c r="AA431" s="1313">
        <v>87.75</v>
      </c>
      <c r="AB431" s="1313">
        <v>93.32</v>
      </c>
      <c r="AC431" s="1313">
        <v>98.84</v>
      </c>
      <c r="AD431" s="1313">
        <v>104.3</v>
      </c>
      <c r="AE431" s="1313">
        <v>109.7</v>
      </c>
      <c r="AF431" s="1313">
        <v>115.05</v>
      </c>
      <c r="AG431" s="1314">
        <v>120.35</v>
      </c>
      <c r="AH431" s="1312">
        <v>125.6</v>
      </c>
      <c r="AI431" s="1313">
        <v>130.80000000000001</v>
      </c>
      <c r="AJ431" s="1313">
        <v>135.94</v>
      </c>
      <c r="AK431" s="1313">
        <v>141.03</v>
      </c>
      <c r="AL431" s="1313">
        <v>146.08000000000001</v>
      </c>
      <c r="AM431" s="1313">
        <v>151.07</v>
      </c>
      <c r="AN431" s="1313">
        <v>156.01</v>
      </c>
      <c r="AO431" s="1313">
        <v>160.91</v>
      </c>
      <c r="AP431" s="1313">
        <v>165.75</v>
      </c>
      <c r="AQ431" s="1314">
        <v>170.55</v>
      </c>
      <c r="AR431" s="1312">
        <v>175.3</v>
      </c>
      <c r="AS431" s="1313">
        <v>180</v>
      </c>
      <c r="AT431" s="1313">
        <v>184.66</v>
      </c>
      <c r="AU431" s="1313">
        <v>189.27</v>
      </c>
      <c r="AV431" s="1313">
        <v>193.84</v>
      </c>
      <c r="AW431" s="1313">
        <v>198.36</v>
      </c>
      <c r="AX431" s="1313">
        <v>202.83</v>
      </c>
      <c r="AY431" s="1313">
        <v>207.26</v>
      </c>
      <c r="AZ431" s="1313">
        <v>211.65</v>
      </c>
      <c r="BA431" s="1314">
        <v>215.99</v>
      </c>
      <c r="BB431" s="1312">
        <v>220.29</v>
      </c>
      <c r="BC431" s="1313">
        <v>224.55</v>
      </c>
      <c r="BD431" s="1313">
        <v>228.77</v>
      </c>
      <c r="BE431" s="1313">
        <v>232.94</v>
      </c>
      <c r="BF431" s="1313">
        <v>237.07</v>
      </c>
      <c r="BG431" s="1313">
        <v>241.16</v>
      </c>
      <c r="BH431" s="1313">
        <v>245.22</v>
      </c>
      <c r="BI431" s="1313">
        <v>249.23</v>
      </c>
      <c r="BJ431" s="1313">
        <v>253.2</v>
      </c>
      <c r="BK431" s="1314">
        <v>257.13</v>
      </c>
      <c r="BL431" s="1312">
        <v>261.02</v>
      </c>
      <c r="BM431" s="1313">
        <v>264.88</v>
      </c>
      <c r="BN431" s="1313">
        <v>268.69</v>
      </c>
      <c r="BO431" s="1313">
        <v>272.47000000000003</v>
      </c>
      <c r="BP431" s="1313">
        <v>276.20999999999998</v>
      </c>
      <c r="BQ431" s="1313">
        <v>279.92</v>
      </c>
      <c r="BR431" s="1313">
        <v>283.58</v>
      </c>
      <c r="BS431" s="1313">
        <v>287.22000000000003</v>
      </c>
      <c r="BT431" s="1313">
        <v>290.81</v>
      </c>
      <c r="BU431" s="1314">
        <v>294.37</v>
      </c>
      <c r="BV431" s="1312">
        <v>297.89999999999998</v>
      </c>
      <c r="BW431" s="1313">
        <v>301.38</v>
      </c>
      <c r="BX431" s="1313">
        <v>304.83999999999997</v>
      </c>
      <c r="BY431" s="1313">
        <v>308.26</v>
      </c>
      <c r="BZ431" s="1313">
        <v>311.64999999999998</v>
      </c>
      <c r="CA431" s="1313">
        <v>315</v>
      </c>
      <c r="CB431" s="1313">
        <v>318.32</v>
      </c>
      <c r="CC431" s="1313">
        <v>321.61</v>
      </c>
      <c r="CD431" s="1313">
        <v>324.86</v>
      </c>
      <c r="CE431" s="1314">
        <v>328.08</v>
      </c>
      <c r="CF431" s="1313">
        <v>331.28</v>
      </c>
      <c r="CG431" s="1313">
        <v>334.43</v>
      </c>
      <c r="CH431" s="1314">
        <v>337.56</v>
      </c>
    </row>
    <row r="432" spans="1:86" ht="20.149999999999999" customHeight="1">
      <c r="A432" s="1563" t="s">
        <v>1541</v>
      </c>
      <c r="B432" s="1563" t="s">
        <v>14</v>
      </c>
      <c r="C432" s="1563" t="str">
        <f t="shared" si="8"/>
        <v>PBSDDCIF65</v>
      </c>
      <c r="D432" s="1195">
        <v>65</v>
      </c>
      <c r="E432" s="1318"/>
      <c r="F432" s="1319">
        <v>2.9</v>
      </c>
      <c r="G432" s="1319">
        <v>4.5999999999999996</v>
      </c>
      <c r="H432" s="1319">
        <v>6.48</v>
      </c>
      <c r="I432" s="1319">
        <v>8.58</v>
      </c>
      <c r="J432" s="1319">
        <v>10.91</v>
      </c>
      <c r="K432" s="1319">
        <v>13.49</v>
      </c>
      <c r="L432" s="1319">
        <v>16.350000000000001</v>
      </c>
      <c r="M432" s="1320">
        <v>19.52</v>
      </c>
      <c r="N432" s="1318">
        <v>23.03</v>
      </c>
      <c r="O432" s="1319">
        <v>26.92</v>
      </c>
      <c r="P432" s="1319">
        <v>31.21</v>
      </c>
      <c r="Q432" s="1319">
        <v>35.93</v>
      </c>
      <c r="R432" s="1319">
        <v>41.11</v>
      </c>
      <c r="S432" s="1319">
        <v>47.49</v>
      </c>
      <c r="T432" s="1319">
        <v>53.8</v>
      </c>
      <c r="U432" s="1319">
        <v>60.05</v>
      </c>
      <c r="V432" s="1319">
        <v>66.239999999999995</v>
      </c>
      <c r="W432" s="1320">
        <v>72.36</v>
      </c>
      <c r="X432" s="1318">
        <v>78.430000000000007</v>
      </c>
      <c r="Y432" s="1319">
        <v>84.43</v>
      </c>
      <c r="Z432" s="1319">
        <v>90.38</v>
      </c>
      <c r="AA432" s="1319">
        <v>96.27</v>
      </c>
      <c r="AB432" s="1319">
        <v>102.1</v>
      </c>
      <c r="AC432" s="1319">
        <v>107.87</v>
      </c>
      <c r="AD432" s="1319">
        <v>113.58</v>
      </c>
      <c r="AE432" s="1319">
        <v>119.24</v>
      </c>
      <c r="AF432" s="1319">
        <v>124.84</v>
      </c>
      <c r="AG432" s="1320">
        <v>130.38999999999999</v>
      </c>
      <c r="AH432" s="1318">
        <v>135.88</v>
      </c>
      <c r="AI432" s="1319">
        <v>141.31</v>
      </c>
      <c r="AJ432" s="1319">
        <v>146.69999999999999</v>
      </c>
      <c r="AK432" s="1319">
        <v>152.03</v>
      </c>
      <c r="AL432" s="1319">
        <v>157.30000000000001</v>
      </c>
      <c r="AM432" s="1319">
        <v>162.53</v>
      </c>
      <c r="AN432" s="1319">
        <v>167.7</v>
      </c>
      <c r="AO432" s="1319">
        <v>172.82</v>
      </c>
      <c r="AP432" s="1319">
        <v>177.89</v>
      </c>
      <c r="AQ432" s="1320">
        <v>182.91</v>
      </c>
      <c r="AR432" s="1318">
        <v>187.88</v>
      </c>
      <c r="AS432" s="1319">
        <v>192.81</v>
      </c>
      <c r="AT432" s="1319">
        <v>197.68</v>
      </c>
      <c r="AU432" s="1319">
        <v>202.5</v>
      </c>
      <c r="AV432" s="1319">
        <v>207.28</v>
      </c>
      <c r="AW432" s="1319">
        <v>212.01</v>
      </c>
      <c r="AX432" s="1319">
        <v>216.69</v>
      </c>
      <c r="AY432" s="1319">
        <v>221.33</v>
      </c>
      <c r="AZ432" s="1319">
        <v>225.92</v>
      </c>
      <c r="BA432" s="1320">
        <v>230.47</v>
      </c>
      <c r="BB432" s="1318">
        <v>234.97</v>
      </c>
      <c r="BC432" s="1319">
        <v>239.42</v>
      </c>
      <c r="BD432" s="1319">
        <v>243.83</v>
      </c>
      <c r="BE432" s="1319">
        <v>248.2</v>
      </c>
      <c r="BF432" s="1319">
        <v>252.53</v>
      </c>
      <c r="BG432" s="1319">
        <v>256.81</v>
      </c>
      <c r="BH432" s="1319">
        <v>261.05</v>
      </c>
      <c r="BI432" s="1319">
        <v>265.24</v>
      </c>
      <c r="BJ432" s="1319">
        <v>269.39999999999998</v>
      </c>
      <c r="BK432" s="1320">
        <v>273.51</v>
      </c>
      <c r="BL432" s="1318">
        <v>277.58999999999997</v>
      </c>
      <c r="BM432" s="1319">
        <v>281.62</v>
      </c>
      <c r="BN432" s="1319">
        <v>285.62</v>
      </c>
      <c r="BO432" s="1319">
        <v>289.57</v>
      </c>
      <c r="BP432" s="1319">
        <v>293.48</v>
      </c>
      <c r="BQ432" s="1319">
        <v>297.36</v>
      </c>
      <c r="BR432" s="1319">
        <v>301.2</v>
      </c>
      <c r="BS432" s="1319">
        <v>305</v>
      </c>
      <c r="BT432" s="1319">
        <v>308.76</v>
      </c>
      <c r="BU432" s="1320">
        <v>312.49</v>
      </c>
      <c r="BV432" s="1318">
        <v>316.17</v>
      </c>
      <c r="BW432" s="1319">
        <v>319.83</v>
      </c>
      <c r="BX432" s="1319">
        <v>323.44</v>
      </c>
      <c r="BY432" s="1319">
        <v>327.02</v>
      </c>
      <c r="BZ432" s="1319">
        <v>330.56</v>
      </c>
      <c r="CA432" s="1319">
        <v>334.07</v>
      </c>
      <c r="CB432" s="1319">
        <v>337.55</v>
      </c>
      <c r="CC432" s="1319">
        <v>340.99</v>
      </c>
      <c r="CD432" s="1319">
        <v>344.39</v>
      </c>
      <c r="CE432" s="1320">
        <v>347.77</v>
      </c>
      <c r="CF432" s="1319">
        <v>351.1</v>
      </c>
      <c r="CG432" s="1319">
        <v>354.41</v>
      </c>
      <c r="CH432" s="1320">
        <v>357.68</v>
      </c>
    </row>
    <row r="433" spans="1:86" ht="20.149999999999999" customHeight="1">
      <c r="A433" s="1563" t="s">
        <v>1541</v>
      </c>
      <c r="B433" s="1563" t="s">
        <v>14</v>
      </c>
      <c r="C433" s="1563" t="str">
        <f t="shared" si="8"/>
        <v>PBSDDCIF66</v>
      </c>
      <c r="D433" s="1193">
        <v>66</v>
      </c>
      <c r="E433" s="1312"/>
      <c r="F433" s="1313">
        <v>3.24</v>
      </c>
      <c r="G433" s="1313">
        <v>5.15</v>
      </c>
      <c r="H433" s="1313">
        <v>7.27</v>
      </c>
      <c r="I433" s="1313">
        <v>9.6199999999999992</v>
      </c>
      <c r="J433" s="1313">
        <v>12.23</v>
      </c>
      <c r="K433" s="1313">
        <v>15.12</v>
      </c>
      <c r="L433" s="1313">
        <v>18.329999999999998</v>
      </c>
      <c r="M433" s="1314">
        <v>21.9</v>
      </c>
      <c r="N433" s="1312">
        <v>25.85</v>
      </c>
      <c r="O433" s="1313">
        <v>30.21</v>
      </c>
      <c r="P433" s="1313">
        <v>35.03</v>
      </c>
      <c r="Q433" s="1313">
        <v>40.32</v>
      </c>
      <c r="R433" s="1313">
        <v>46.99</v>
      </c>
      <c r="S433" s="1313">
        <v>53.59</v>
      </c>
      <c r="T433" s="1313">
        <v>60.13</v>
      </c>
      <c r="U433" s="1313">
        <v>66.599999999999994</v>
      </c>
      <c r="V433" s="1313">
        <v>73.010000000000005</v>
      </c>
      <c r="W433" s="1314">
        <v>79.36</v>
      </c>
      <c r="X433" s="1312">
        <v>85.64</v>
      </c>
      <c r="Y433" s="1313">
        <v>91.86</v>
      </c>
      <c r="Z433" s="1313">
        <v>98.02</v>
      </c>
      <c r="AA433" s="1313">
        <v>104.12</v>
      </c>
      <c r="AB433" s="1313">
        <v>110.15</v>
      </c>
      <c r="AC433" s="1313">
        <v>116.13</v>
      </c>
      <c r="AD433" s="1313">
        <v>122.05</v>
      </c>
      <c r="AE433" s="1313">
        <v>127.91</v>
      </c>
      <c r="AF433" s="1313">
        <v>133.71</v>
      </c>
      <c r="AG433" s="1314">
        <v>139.46</v>
      </c>
      <c r="AH433" s="1312">
        <v>145.13999999999999</v>
      </c>
      <c r="AI433" s="1313">
        <v>150.77000000000001</v>
      </c>
      <c r="AJ433" s="1313">
        <v>156.35</v>
      </c>
      <c r="AK433" s="1313">
        <v>161.87</v>
      </c>
      <c r="AL433" s="1313">
        <v>167.34</v>
      </c>
      <c r="AM433" s="1313">
        <v>172.75</v>
      </c>
      <c r="AN433" s="1313">
        <v>178.11</v>
      </c>
      <c r="AO433" s="1313">
        <v>183.41</v>
      </c>
      <c r="AP433" s="1313">
        <v>188.66</v>
      </c>
      <c r="AQ433" s="1314">
        <v>193.86</v>
      </c>
      <c r="AR433" s="1312">
        <v>199.01</v>
      </c>
      <c r="AS433" s="1313">
        <v>204.11</v>
      </c>
      <c r="AT433" s="1313">
        <v>209.16</v>
      </c>
      <c r="AU433" s="1313">
        <v>214.15</v>
      </c>
      <c r="AV433" s="1313">
        <v>219.1</v>
      </c>
      <c r="AW433" s="1313">
        <v>224</v>
      </c>
      <c r="AX433" s="1313">
        <v>228.85</v>
      </c>
      <c r="AY433" s="1313">
        <v>233.65</v>
      </c>
      <c r="AZ433" s="1313">
        <v>238.41</v>
      </c>
      <c r="BA433" s="1314">
        <v>243.12</v>
      </c>
      <c r="BB433" s="1312">
        <v>247.78</v>
      </c>
      <c r="BC433" s="1313">
        <v>252.39</v>
      </c>
      <c r="BD433" s="1313">
        <v>256.95999999999998</v>
      </c>
      <c r="BE433" s="1313">
        <v>261.49</v>
      </c>
      <c r="BF433" s="1313">
        <v>265.97000000000003</v>
      </c>
      <c r="BG433" s="1313">
        <v>270.39999999999998</v>
      </c>
      <c r="BH433" s="1313">
        <v>274.79000000000002</v>
      </c>
      <c r="BI433" s="1313">
        <v>279.14</v>
      </c>
      <c r="BJ433" s="1313">
        <v>283.44</v>
      </c>
      <c r="BK433" s="1314">
        <v>287.70999999999998</v>
      </c>
      <c r="BL433" s="1312">
        <v>291.93</v>
      </c>
      <c r="BM433" s="1313">
        <v>296.10000000000002</v>
      </c>
      <c r="BN433" s="1313">
        <v>300.24</v>
      </c>
      <c r="BO433" s="1313">
        <v>304.33999999999997</v>
      </c>
      <c r="BP433" s="1313">
        <v>308.39</v>
      </c>
      <c r="BQ433" s="1313">
        <v>312.41000000000003</v>
      </c>
      <c r="BR433" s="1313">
        <v>316.38</v>
      </c>
      <c r="BS433" s="1313">
        <v>320.32</v>
      </c>
      <c r="BT433" s="1313">
        <v>324.20999999999998</v>
      </c>
      <c r="BU433" s="1314">
        <v>328.07</v>
      </c>
      <c r="BV433" s="1312">
        <v>331.89</v>
      </c>
      <c r="BW433" s="1313">
        <v>335.67</v>
      </c>
      <c r="BX433" s="1313">
        <v>339.42</v>
      </c>
      <c r="BY433" s="1313">
        <v>343.13</v>
      </c>
      <c r="BZ433" s="1313">
        <v>346.8</v>
      </c>
      <c r="CA433" s="1313">
        <v>350.43</v>
      </c>
      <c r="CB433" s="1313">
        <v>354.03</v>
      </c>
      <c r="CC433" s="1313">
        <v>357.59</v>
      </c>
      <c r="CD433" s="1313">
        <v>361.12</v>
      </c>
      <c r="CE433" s="1314">
        <v>364.61</v>
      </c>
      <c r="CF433" s="1313">
        <v>368.07</v>
      </c>
      <c r="CG433" s="1313">
        <v>371.5</v>
      </c>
      <c r="CH433" s="1314">
        <v>374.89</v>
      </c>
    </row>
    <row r="434" spans="1:86" ht="20.149999999999999" customHeight="1">
      <c r="A434" s="1563" t="s">
        <v>1541</v>
      </c>
      <c r="B434" s="1563" t="s">
        <v>14</v>
      </c>
      <c r="C434" s="1563" t="str">
        <f t="shared" si="8"/>
        <v>PBSDDCIF67</v>
      </c>
      <c r="D434" s="1193">
        <v>67</v>
      </c>
      <c r="E434" s="1312"/>
      <c r="F434" s="1313">
        <v>3.64</v>
      </c>
      <c r="G434" s="1313">
        <v>5.79</v>
      </c>
      <c r="H434" s="1313">
        <v>8.16</v>
      </c>
      <c r="I434" s="1313">
        <v>10.8</v>
      </c>
      <c r="J434" s="1313">
        <v>13.72</v>
      </c>
      <c r="K434" s="1313">
        <v>16.97</v>
      </c>
      <c r="L434" s="1313">
        <v>20.59</v>
      </c>
      <c r="M434" s="1314">
        <v>24.6</v>
      </c>
      <c r="N434" s="1312">
        <v>29.05</v>
      </c>
      <c r="O434" s="1313">
        <v>33.950000000000003</v>
      </c>
      <c r="P434" s="1313">
        <v>39.35</v>
      </c>
      <c r="Q434" s="1313">
        <v>46.34</v>
      </c>
      <c r="R434" s="1313">
        <v>53.26</v>
      </c>
      <c r="S434" s="1313">
        <v>60.1</v>
      </c>
      <c r="T434" s="1313">
        <v>66.88</v>
      </c>
      <c r="U434" s="1313">
        <v>73.599999999999994</v>
      </c>
      <c r="V434" s="1313">
        <v>80.239999999999995</v>
      </c>
      <c r="W434" s="1314">
        <v>86.82</v>
      </c>
      <c r="X434" s="1312">
        <v>93.34</v>
      </c>
      <c r="Y434" s="1313">
        <v>99.79</v>
      </c>
      <c r="Z434" s="1313">
        <v>106.18</v>
      </c>
      <c r="AA434" s="1313">
        <v>112.5</v>
      </c>
      <c r="AB434" s="1313">
        <v>118.76</v>
      </c>
      <c r="AC434" s="1313">
        <v>124.96</v>
      </c>
      <c r="AD434" s="1313">
        <v>131.1</v>
      </c>
      <c r="AE434" s="1313">
        <v>137.18</v>
      </c>
      <c r="AF434" s="1313">
        <v>143.19</v>
      </c>
      <c r="AG434" s="1314">
        <v>149.15</v>
      </c>
      <c r="AH434" s="1312">
        <v>155.05000000000001</v>
      </c>
      <c r="AI434" s="1313">
        <v>160.88999999999999</v>
      </c>
      <c r="AJ434" s="1313">
        <v>166.67</v>
      </c>
      <c r="AK434" s="1313">
        <v>172.4</v>
      </c>
      <c r="AL434" s="1313">
        <v>178.06</v>
      </c>
      <c r="AM434" s="1313">
        <v>183.68</v>
      </c>
      <c r="AN434" s="1313">
        <v>189.23</v>
      </c>
      <c r="AO434" s="1313">
        <v>194.73</v>
      </c>
      <c r="AP434" s="1313">
        <v>200.18</v>
      </c>
      <c r="AQ434" s="1314">
        <v>205.57</v>
      </c>
      <c r="AR434" s="1312">
        <v>210.91</v>
      </c>
      <c r="AS434" s="1313">
        <v>216.2</v>
      </c>
      <c r="AT434" s="1313">
        <v>221.44</v>
      </c>
      <c r="AU434" s="1313">
        <v>226.62</v>
      </c>
      <c r="AV434" s="1313">
        <v>231.75</v>
      </c>
      <c r="AW434" s="1313">
        <v>236.83</v>
      </c>
      <c r="AX434" s="1313">
        <v>241.86</v>
      </c>
      <c r="AY434" s="1313">
        <v>246.84</v>
      </c>
      <c r="AZ434" s="1313">
        <v>251.77</v>
      </c>
      <c r="BA434" s="1314">
        <v>256.64999999999998</v>
      </c>
      <c r="BB434" s="1312">
        <v>261.49</v>
      </c>
      <c r="BC434" s="1313">
        <v>266.27</v>
      </c>
      <c r="BD434" s="1313">
        <v>271.01</v>
      </c>
      <c r="BE434" s="1313">
        <v>275.70999999999998</v>
      </c>
      <c r="BF434" s="1313">
        <v>280.35000000000002</v>
      </c>
      <c r="BG434" s="1313">
        <v>284.95</v>
      </c>
      <c r="BH434" s="1313">
        <v>289.5</v>
      </c>
      <c r="BI434" s="1313">
        <v>294.01</v>
      </c>
      <c r="BJ434" s="1313">
        <v>298.48</v>
      </c>
      <c r="BK434" s="1314">
        <v>302.89999999999998</v>
      </c>
      <c r="BL434" s="1312">
        <v>307.27</v>
      </c>
      <c r="BM434" s="1313">
        <v>311.61</v>
      </c>
      <c r="BN434" s="1313">
        <v>315.89999999999998</v>
      </c>
      <c r="BO434" s="1313">
        <v>320.14</v>
      </c>
      <c r="BP434" s="1313">
        <v>324.35000000000002</v>
      </c>
      <c r="BQ434" s="1313">
        <v>328.51</v>
      </c>
      <c r="BR434" s="1313">
        <v>332.63</v>
      </c>
      <c r="BS434" s="1313">
        <v>336.72</v>
      </c>
      <c r="BT434" s="1313">
        <v>340.76</v>
      </c>
      <c r="BU434" s="1314">
        <v>344.76</v>
      </c>
      <c r="BV434" s="1312">
        <v>348.72</v>
      </c>
      <c r="BW434" s="1313">
        <v>352.64</v>
      </c>
      <c r="BX434" s="1313">
        <v>356.53</v>
      </c>
      <c r="BY434" s="1313">
        <v>360.37</v>
      </c>
      <c r="BZ434" s="1313">
        <v>364.18</v>
      </c>
      <c r="CA434" s="1313">
        <v>367.95</v>
      </c>
      <c r="CB434" s="1313">
        <v>371.68</v>
      </c>
      <c r="CC434" s="1313">
        <v>375.38</v>
      </c>
      <c r="CD434" s="1313">
        <v>379.03</v>
      </c>
      <c r="CE434" s="1314">
        <v>382.66</v>
      </c>
      <c r="CF434" s="1313">
        <v>386.24</v>
      </c>
      <c r="CG434" s="1313">
        <v>389.79</v>
      </c>
      <c r="CH434" s="1314">
        <v>393.31</v>
      </c>
    </row>
    <row r="435" spans="1:86" ht="20.149999999999999" customHeight="1">
      <c r="A435" s="1563" t="s">
        <v>1541</v>
      </c>
      <c r="B435" s="1563" t="s">
        <v>14</v>
      </c>
      <c r="C435" s="1563" t="str">
        <f t="shared" si="8"/>
        <v>PBSDDCIF68</v>
      </c>
      <c r="D435" s="1193">
        <v>68</v>
      </c>
      <c r="E435" s="1312"/>
      <c r="F435" s="1313">
        <v>4.0999999999999996</v>
      </c>
      <c r="G435" s="1313">
        <v>6.49</v>
      </c>
      <c r="H435" s="1313">
        <v>9.16</v>
      </c>
      <c r="I435" s="1313">
        <v>12.12</v>
      </c>
      <c r="J435" s="1313">
        <v>15.41</v>
      </c>
      <c r="K435" s="1313">
        <v>19.07</v>
      </c>
      <c r="L435" s="1313">
        <v>23.15</v>
      </c>
      <c r="M435" s="1314">
        <v>27.67</v>
      </c>
      <c r="N435" s="1312">
        <v>32.67</v>
      </c>
      <c r="O435" s="1313">
        <v>38.18</v>
      </c>
      <c r="P435" s="1313">
        <v>45.5</v>
      </c>
      <c r="Q435" s="1313">
        <v>52.76</v>
      </c>
      <c r="R435" s="1313">
        <v>59.94</v>
      </c>
      <c r="S435" s="1313">
        <v>67.05</v>
      </c>
      <c r="T435" s="1313">
        <v>74.09</v>
      </c>
      <c r="U435" s="1313">
        <v>81.05</v>
      </c>
      <c r="V435" s="1313">
        <v>87.96</v>
      </c>
      <c r="W435" s="1314">
        <v>94.79</v>
      </c>
      <c r="X435" s="1312">
        <v>101.55</v>
      </c>
      <c r="Y435" s="1313">
        <v>108.25</v>
      </c>
      <c r="Z435" s="1313">
        <v>114.88</v>
      </c>
      <c r="AA435" s="1313">
        <v>121.45</v>
      </c>
      <c r="AB435" s="1313">
        <v>127.95</v>
      </c>
      <c r="AC435" s="1313">
        <v>134.38</v>
      </c>
      <c r="AD435" s="1313">
        <v>140.76</v>
      </c>
      <c r="AE435" s="1313">
        <v>147.07</v>
      </c>
      <c r="AF435" s="1313">
        <v>153.31</v>
      </c>
      <c r="AG435" s="1314">
        <v>159.5</v>
      </c>
      <c r="AH435" s="1312">
        <v>165.62</v>
      </c>
      <c r="AI435" s="1313">
        <v>171.69</v>
      </c>
      <c r="AJ435" s="1313">
        <v>177.69</v>
      </c>
      <c r="AK435" s="1313">
        <v>183.63</v>
      </c>
      <c r="AL435" s="1313">
        <v>189.52</v>
      </c>
      <c r="AM435" s="1313">
        <v>195.35</v>
      </c>
      <c r="AN435" s="1313">
        <v>201.11</v>
      </c>
      <c r="AO435" s="1313">
        <v>206.83</v>
      </c>
      <c r="AP435" s="1313">
        <v>212.48</v>
      </c>
      <c r="AQ435" s="1314">
        <v>218.08</v>
      </c>
      <c r="AR435" s="1312">
        <v>223.62</v>
      </c>
      <c r="AS435" s="1313">
        <v>229.11</v>
      </c>
      <c r="AT435" s="1313">
        <v>234.55</v>
      </c>
      <c r="AU435" s="1313">
        <v>239.93</v>
      </c>
      <c r="AV435" s="1313">
        <v>245.26</v>
      </c>
      <c r="AW435" s="1313">
        <v>250.53</v>
      </c>
      <c r="AX435" s="1313">
        <v>255.75</v>
      </c>
      <c r="AY435" s="1313">
        <v>260.93</v>
      </c>
      <c r="AZ435" s="1313">
        <v>266.05</v>
      </c>
      <c r="BA435" s="1314">
        <v>271.11</v>
      </c>
      <c r="BB435" s="1312">
        <v>276.13</v>
      </c>
      <c r="BC435" s="1313">
        <v>281.10000000000002</v>
      </c>
      <c r="BD435" s="1313">
        <v>286.02</v>
      </c>
      <c r="BE435" s="1313">
        <v>290.89</v>
      </c>
      <c r="BF435" s="1313">
        <v>295.72000000000003</v>
      </c>
      <c r="BG435" s="1313">
        <v>300.49</v>
      </c>
      <c r="BH435" s="1313">
        <v>305.22000000000003</v>
      </c>
      <c r="BI435" s="1313">
        <v>309.89999999999998</v>
      </c>
      <c r="BJ435" s="1313">
        <v>314.54000000000002</v>
      </c>
      <c r="BK435" s="1314">
        <v>319.13</v>
      </c>
      <c r="BL435" s="1312">
        <v>323.67</v>
      </c>
      <c r="BM435" s="1313">
        <v>328.17</v>
      </c>
      <c r="BN435" s="1313">
        <v>332.62</v>
      </c>
      <c r="BO435" s="1313">
        <v>337.03</v>
      </c>
      <c r="BP435" s="1313">
        <v>341.4</v>
      </c>
      <c r="BQ435" s="1313">
        <v>345.72</v>
      </c>
      <c r="BR435" s="1313">
        <v>350</v>
      </c>
      <c r="BS435" s="1313">
        <v>354.24</v>
      </c>
      <c r="BT435" s="1313">
        <v>358.43</v>
      </c>
      <c r="BU435" s="1314">
        <v>362.59</v>
      </c>
      <c r="BV435" s="1312">
        <v>366.7</v>
      </c>
      <c r="BW435" s="1313">
        <v>370.77</v>
      </c>
      <c r="BX435" s="1313">
        <v>374.81</v>
      </c>
      <c r="BY435" s="1313">
        <v>378.8</v>
      </c>
      <c r="BZ435" s="1313">
        <v>382.75</v>
      </c>
      <c r="CA435" s="1313">
        <v>386.66</v>
      </c>
      <c r="CB435" s="1313">
        <v>390.54</v>
      </c>
      <c r="CC435" s="1313">
        <v>394.38</v>
      </c>
      <c r="CD435" s="1313">
        <v>398.17</v>
      </c>
      <c r="CE435" s="1314">
        <v>401.94</v>
      </c>
      <c r="CF435" s="1313">
        <v>405.66</v>
      </c>
      <c r="CG435" s="1313">
        <v>409.35</v>
      </c>
      <c r="CH435" s="1314">
        <v>413</v>
      </c>
    </row>
    <row r="436" spans="1:86" ht="20.149999999999999" customHeight="1">
      <c r="A436" s="1563" t="s">
        <v>1541</v>
      </c>
      <c r="B436" s="1563" t="s">
        <v>14</v>
      </c>
      <c r="C436" s="1563" t="str">
        <f t="shared" si="8"/>
        <v>PBSDDCIF69</v>
      </c>
      <c r="D436" s="1193">
        <v>69</v>
      </c>
      <c r="E436" s="1312"/>
      <c r="F436" s="1313">
        <v>4.59</v>
      </c>
      <c r="G436" s="1313">
        <v>7.28</v>
      </c>
      <c r="H436" s="1313">
        <v>10.26</v>
      </c>
      <c r="I436" s="1313">
        <v>13.6</v>
      </c>
      <c r="J436" s="1313">
        <v>17.309999999999999</v>
      </c>
      <c r="K436" s="1313">
        <v>21.44</v>
      </c>
      <c r="L436" s="1313">
        <v>26.04</v>
      </c>
      <c r="M436" s="1314">
        <v>31.13</v>
      </c>
      <c r="N436" s="1312">
        <v>36.74</v>
      </c>
      <c r="O436" s="1313">
        <v>44.43</v>
      </c>
      <c r="P436" s="1313">
        <v>52.04</v>
      </c>
      <c r="Q436" s="1313">
        <v>59.58</v>
      </c>
      <c r="R436" s="1313">
        <v>67.040000000000006</v>
      </c>
      <c r="S436" s="1313">
        <v>74.430000000000007</v>
      </c>
      <c r="T436" s="1313">
        <v>81.75</v>
      </c>
      <c r="U436" s="1313">
        <v>88.99</v>
      </c>
      <c r="V436" s="1313">
        <v>96.16</v>
      </c>
      <c r="W436" s="1314">
        <v>103.26</v>
      </c>
      <c r="X436" s="1312">
        <v>110.29</v>
      </c>
      <c r="Y436" s="1313">
        <v>117.25</v>
      </c>
      <c r="Z436" s="1313">
        <v>124.14</v>
      </c>
      <c r="AA436" s="1313">
        <v>130.97</v>
      </c>
      <c r="AB436" s="1313">
        <v>137.72</v>
      </c>
      <c r="AC436" s="1313">
        <v>144.41</v>
      </c>
      <c r="AD436" s="1313">
        <v>151.03</v>
      </c>
      <c r="AE436" s="1313">
        <v>157.59</v>
      </c>
      <c r="AF436" s="1313">
        <v>164.08</v>
      </c>
      <c r="AG436" s="1314">
        <v>170.51</v>
      </c>
      <c r="AH436" s="1312">
        <v>176.87</v>
      </c>
      <c r="AI436" s="1313">
        <v>183.17</v>
      </c>
      <c r="AJ436" s="1313">
        <v>189.41</v>
      </c>
      <c r="AK436" s="1313">
        <v>195.59</v>
      </c>
      <c r="AL436" s="1313">
        <v>201.71</v>
      </c>
      <c r="AM436" s="1313">
        <v>207.76</v>
      </c>
      <c r="AN436" s="1313">
        <v>213.76</v>
      </c>
      <c r="AO436" s="1313">
        <v>219.69</v>
      </c>
      <c r="AP436" s="1313">
        <v>225.57</v>
      </c>
      <c r="AQ436" s="1314">
        <v>231.39</v>
      </c>
      <c r="AR436" s="1312">
        <v>237.15</v>
      </c>
      <c r="AS436" s="1313">
        <v>242.85</v>
      </c>
      <c r="AT436" s="1313">
        <v>248.5</v>
      </c>
      <c r="AU436" s="1313">
        <v>254.09</v>
      </c>
      <c r="AV436" s="1313">
        <v>259.63</v>
      </c>
      <c r="AW436" s="1313">
        <v>265.11</v>
      </c>
      <c r="AX436" s="1313">
        <v>270.54000000000002</v>
      </c>
      <c r="AY436" s="1313">
        <v>275.91000000000003</v>
      </c>
      <c r="AZ436" s="1313">
        <v>281.23</v>
      </c>
      <c r="BA436" s="1314">
        <v>286.5</v>
      </c>
      <c r="BB436" s="1312">
        <v>291.72000000000003</v>
      </c>
      <c r="BC436" s="1313">
        <v>296.88</v>
      </c>
      <c r="BD436" s="1313">
        <v>301.99</v>
      </c>
      <c r="BE436" s="1313">
        <v>307.06</v>
      </c>
      <c r="BF436" s="1313">
        <v>312.07</v>
      </c>
      <c r="BG436" s="1313">
        <v>317.02999999999997</v>
      </c>
      <c r="BH436" s="1313">
        <v>321.94</v>
      </c>
      <c r="BI436" s="1313">
        <v>326.81</v>
      </c>
      <c r="BJ436" s="1313">
        <v>331.62</v>
      </c>
      <c r="BK436" s="1314">
        <v>336.39</v>
      </c>
      <c r="BL436" s="1312">
        <v>341.12</v>
      </c>
      <c r="BM436" s="1313">
        <v>345.79</v>
      </c>
      <c r="BN436" s="1313">
        <v>350.42</v>
      </c>
      <c r="BO436" s="1313">
        <v>355</v>
      </c>
      <c r="BP436" s="1313">
        <v>359.54</v>
      </c>
      <c r="BQ436" s="1313">
        <v>364.03</v>
      </c>
      <c r="BR436" s="1313">
        <v>368.48</v>
      </c>
      <c r="BS436" s="1313">
        <v>372.88</v>
      </c>
      <c r="BT436" s="1313">
        <v>377.24</v>
      </c>
      <c r="BU436" s="1314">
        <v>381.56</v>
      </c>
      <c r="BV436" s="1312">
        <v>385.84</v>
      </c>
      <c r="BW436" s="1313">
        <v>390.07</v>
      </c>
      <c r="BX436" s="1313">
        <v>394.26</v>
      </c>
      <c r="BY436" s="1313">
        <v>398.41</v>
      </c>
      <c r="BZ436" s="1313">
        <v>402.51</v>
      </c>
      <c r="CA436" s="1313">
        <v>406.58</v>
      </c>
      <c r="CB436" s="1313">
        <v>410.61</v>
      </c>
      <c r="CC436" s="1313">
        <v>414.59</v>
      </c>
      <c r="CD436" s="1313">
        <v>418.54</v>
      </c>
      <c r="CE436" s="1314">
        <v>422.45</v>
      </c>
      <c r="CF436" s="1313">
        <v>426.32</v>
      </c>
      <c r="CG436" s="1313">
        <v>430.15</v>
      </c>
      <c r="CH436" s="1314">
        <v>433.94</v>
      </c>
    </row>
    <row r="437" spans="1:86" ht="20.149999999999999" customHeight="1">
      <c r="A437" s="1563" t="s">
        <v>1541</v>
      </c>
      <c r="B437" s="1563" t="s">
        <v>14</v>
      </c>
      <c r="C437" s="1563" t="str">
        <f t="shared" si="8"/>
        <v>PBSDDCIF70</v>
      </c>
      <c r="D437" s="1196">
        <v>70</v>
      </c>
      <c r="E437" s="1321"/>
      <c r="F437" s="1322">
        <v>5.12</v>
      </c>
      <c r="G437" s="1322">
        <v>8.1300000000000008</v>
      </c>
      <c r="H437" s="1322">
        <v>11.49</v>
      </c>
      <c r="I437" s="1322">
        <v>15.25</v>
      </c>
      <c r="J437" s="1322">
        <v>19.440000000000001</v>
      </c>
      <c r="K437" s="1322">
        <v>24.11</v>
      </c>
      <c r="L437" s="1322">
        <v>29.28</v>
      </c>
      <c r="M437" s="1323">
        <v>35</v>
      </c>
      <c r="N437" s="1321">
        <v>43.08</v>
      </c>
      <c r="O437" s="1322">
        <v>51.07</v>
      </c>
      <c r="P437" s="1322">
        <v>58.99</v>
      </c>
      <c r="Q437" s="1322">
        <v>66.83</v>
      </c>
      <c r="R437" s="1322">
        <v>74.59</v>
      </c>
      <c r="S437" s="1322">
        <v>82.27</v>
      </c>
      <c r="T437" s="1322">
        <v>89.88</v>
      </c>
      <c r="U437" s="1322">
        <v>97.41</v>
      </c>
      <c r="V437" s="1322">
        <v>104.87</v>
      </c>
      <c r="W437" s="1323">
        <v>112.25</v>
      </c>
      <c r="X437" s="1321">
        <v>119.57</v>
      </c>
      <c r="Y437" s="1322">
        <v>126.8</v>
      </c>
      <c r="Z437" s="1322">
        <v>133.97</v>
      </c>
      <c r="AA437" s="1322">
        <v>141.07</v>
      </c>
      <c r="AB437" s="1322">
        <v>148.09</v>
      </c>
      <c r="AC437" s="1322">
        <v>155.05000000000001</v>
      </c>
      <c r="AD437" s="1322">
        <v>161.93</v>
      </c>
      <c r="AE437" s="1322">
        <v>168.75</v>
      </c>
      <c r="AF437" s="1322">
        <v>175.5</v>
      </c>
      <c r="AG437" s="1323">
        <v>182.19</v>
      </c>
      <c r="AH437" s="1321">
        <v>188.81</v>
      </c>
      <c r="AI437" s="1322">
        <v>195.36</v>
      </c>
      <c r="AJ437" s="1322">
        <v>201.85</v>
      </c>
      <c r="AK437" s="1322">
        <v>208.27</v>
      </c>
      <c r="AL437" s="1322">
        <v>214.63</v>
      </c>
      <c r="AM437" s="1322">
        <v>220.93</v>
      </c>
      <c r="AN437" s="1322">
        <v>227.16</v>
      </c>
      <c r="AO437" s="1322">
        <v>233.34</v>
      </c>
      <c r="AP437" s="1322">
        <v>239.45</v>
      </c>
      <c r="AQ437" s="1323">
        <v>245.5</v>
      </c>
      <c r="AR437" s="1321">
        <v>251.49</v>
      </c>
      <c r="AS437" s="1322">
        <v>257.42</v>
      </c>
      <c r="AT437" s="1322">
        <v>263.3</v>
      </c>
      <c r="AU437" s="1322">
        <v>269.11</v>
      </c>
      <c r="AV437" s="1322">
        <v>274.87</v>
      </c>
      <c r="AW437" s="1322">
        <v>280.57</v>
      </c>
      <c r="AX437" s="1322">
        <v>286.20999999999998</v>
      </c>
      <c r="AY437" s="1322">
        <v>291.8</v>
      </c>
      <c r="AZ437" s="1322">
        <v>297.33999999999997</v>
      </c>
      <c r="BA437" s="1323">
        <v>302.81</v>
      </c>
      <c r="BB437" s="1321">
        <v>308.24</v>
      </c>
      <c r="BC437" s="1322">
        <v>313.61</v>
      </c>
      <c r="BD437" s="1322">
        <v>318.93</v>
      </c>
      <c r="BE437" s="1322">
        <v>324.19</v>
      </c>
      <c r="BF437" s="1322">
        <v>329.4</v>
      </c>
      <c r="BG437" s="1322">
        <v>334.56</v>
      </c>
      <c r="BH437" s="1322">
        <v>339.67</v>
      </c>
      <c r="BI437" s="1322">
        <v>344.73</v>
      </c>
      <c r="BJ437" s="1322">
        <v>349.74</v>
      </c>
      <c r="BK437" s="1323">
        <v>354.7</v>
      </c>
      <c r="BL437" s="1321">
        <v>359.61</v>
      </c>
      <c r="BM437" s="1322">
        <v>364.47</v>
      </c>
      <c r="BN437" s="1322">
        <v>369.29</v>
      </c>
      <c r="BO437" s="1322">
        <v>374.05</v>
      </c>
      <c r="BP437" s="1322">
        <v>378.77</v>
      </c>
      <c r="BQ437" s="1322">
        <v>383.44</v>
      </c>
      <c r="BR437" s="1322">
        <v>388.07</v>
      </c>
      <c r="BS437" s="1322">
        <v>392.65</v>
      </c>
      <c r="BT437" s="1322">
        <v>397.18</v>
      </c>
      <c r="BU437" s="1323">
        <v>401.67</v>
      </c>
      <c r="BV437" s="1321">
        <v>406.12</v>
      </c>
      <c r="BW437" s="1322">
        <v>410.52</v>
      </c>
      <c r="BX437" s="1322">
        <v>414.88</v>
      </c>
      <c r="BY437" s="1322">
        <v>419.19</v>
      </c>
      <c r="BZ437" s="1322">
        <v>423.46</v>
      </c>
      <c r="CA437" s="1322">
        <v>427.69</v>
      </c>
      <c r="CB437" s="1322">
        <v>431.88</v>
      </c>
      <c r="CC437" s="1322">
        <v>436.03</v>
      </c>
      <c r="CD437" s="1322">
        <v>440.13</v>
      </c>
      <c r="CE437" s="1323">
        <v>444.19</v>
      </c>
      <c r="CF437" s="1322">
        <v>448.22</v>
      </c>
      <c r="CG437" s="1322">
        <v>452.2</v>
      </c>
      <c r="CH437" s="1323">
        <v>456.15</v>
      </c>
    </row>
  </sheetData>
  <mergeCells count="17">
    <mergeCell ref="A229:A230"/>
    <mergeCell ref="A334:A335"/>
    <mergeCell ref="B229:B230"/>
    <mergeCell ref="C229:C230"/>
    <mergeCell ref="B334:B335"/>
    <mergeCell ref="C334:C335"/>
    <mergeCell ref="C3:C4"/>
    <mergeCell ref="A3:A4"/>
    <mergeCell ref="B3:B4"/>
    <mergeCell ref="A116:A117"/>
    <mergeCell ref="B116:B117"/>
    <mergeCell ref="C116:C117"/>
    <mergeCell ref="D229:D230"/>
    <mergeCell ref="D334:D335"/>
    <mergeCell ref="D3:D4"/>
    <mergeCell ref="D116:D117"/>
    <mergeCell ref="E116:AB116"/>
  </mergeCells>
  <conditionalFormatting sqref="E231:CH332">
    <cfRule type="cellIs" dxfId="55" priority="3" operator="equal">
      <formula>0</formula>
    </cfRule>
  </conditionalFormatting>
  <conditionalFormatting sqref="E336:CH437">
    <cfRule type="cellIs" dxfId="54" priority="1" operator="equal">
      <formula>0</formula>
    </cfRule>
  </conditionalFormatting>
  <pageMargins left="0.7" right="0.7" top="0.75" bottom="0.75" header="0.3" footer="0.3"/>
  <pageSetup paperSize="9" orientation="portrait" horizontalDpi="1200" verticalDpi="1200" r:id="rId1"/>
  <headerFooter>
    <oddFooter>&amp;C&amp;1#&amp;"Calibri"&amp;10&amp;K000000Internal</oddFooter>
  </headerFooter>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9">
    <tabColor rgb="FF00B0F0"/>
  </sheetPr>
  <dimension ref="A1:L121"/>
  <sheetViews>
    <sheetView topLeftCell="A68" workbookViewId="0">
      <selection activeCell="B10" sqref="B10"/>
    </sheetView>
  </sheetViews>
  <sheetFormatPr defaultColWidth="9.09765625" defaultRowHeight="21.5"/>
  <cols>
    <col min="1" max="1" width="9.09765625" style="200" customWidth="1"/>
    <col min="2" max="8" width="9.09765625" style="200"/>
    <col min="9" max="9" width="11.3984375" style="403" customWidth="1"/>
    <col min="10" max="12" width="9.09765625" style="401"/>
    <col min="13" max="16384" width="9.09765625" style="200"/>
  </cols>
  <sheetData>
    <row r="1" spans="1:12" ht="23.5">
      <c r="C1" s="201"/>
      <c r="D1" s="201"/>
      <c r="I1" s="400"/>
    </row>
    <row r="2" spans="1:12">
      <c r="B2" s="2479" t="s">
        <v>354</v>
      </c>
      <c r="C2" s="2480"/>
      <c r="D2" s="2481"/>
      <c r="F2" s="2482" t="s">
        <v>355</v>
      </c>
      <c r="G2" s="2480"/>
      <c r="H2" s="2481"/>
      <c r="I2" s="402"/>
      <c r="J2" s="2483" t="s">
        <v>539</v>
      </c>
      <c r="K2" s="2484"/>
      <c r="L2" s="2485"/>
    </row>
    <row r="3" spans="1:12">
      <c r="B3" s="2474" t="s">
        <v>357</v>
      </c>
      <c r="C3" s="2474" t="s">
        <v>13</v>
      </c>
      <c r="D3" s="2474" t="s">
        <v>14</v>
      </c>
      <c r="F3" s="2474" t="s">
        <v>357</v>
      </c>
      <c r="G3" s="2474" t="s">
        <v>13</v>
      </c>
      <c r="H3" s="2474" t="s">
        <v>14</v>
      </c>
      <c r="J3" s="2476" t="s">
        <v>2</v>
      </c>
      <c r="K3" s="2476" t="s">
        <v>13</v>
      </c>
      <c r="L3" s="2476" t="s">
        <v>14</v>
      </c>
    </row>
    <row r="4" spans="1:12">
      <c r="B4" s="2486"/>
      <c r="C4" s="2475"/>
      <c r="D4" s="2475"/>
      <c r="F4" s="2486"/>
      <c r="G4" s="2475"/>
      <c r="H4" s="2475"/>
      <c r="J4" s="2477"/>
      <c r="K4" s="2478"/>
      <c r="L4" s="2478"/>
    </row>
    <row r="5" spans="1:12">
      <c r="A5" s="200" t="s">
        <v>358</v>
      </c>
      <c r="B5" s="202">
        <v>0</v>
      </c>
      <c r="C5" s="202">
        <v>0.36</v>
      </c>
      <c r="D5" s="202">
        <v>0.32</v>
      </c>
      <c r="E5" s="200" t="s">
        <v>359</v>
      </c>
      <c r="F5" s="202">
        <v>0</v>
      </c>
      <c r="G5" s="202">
        <v>47.64</v>
      </c>
      <c r="H5" s="202">
        <v>62.87</v>
      </c>
      <c r="I5" s="403" t="s">
        <v>540</v>
      </c>
      <c r="J5" s="404">
        <v>0</v>
      </c>
      <c r="K5" s="404">
        <v>0</v>
      </c>
      <c r="L5" s="404">
        <v>0</v>
      </c>
    </row>
    <row r="6" spans="1:12">
      <c r="A6" s="200" t="s">
        <v>360</v>
      </c>
      <c r="B6" s="202">
        <v>1</v>
      </c>
      <c r="C6" s="202">
        <v>0.36</v>
      </c>
      <c r="D6" s="202">
        <v>0.32</v>
      </c>
      <c r="E6" s="200" t="s">
        <v>361</v>
      </c>
      <c r="F6" s="202">
        <v>1</v>
      </c>
      <c r="G6" s="202">
        <v>73.13</v>
      </c>
      <c r="H6" s="202">
        <v>53.43</v>
      </c>
      <c r="I6" s="403" t="s">
        <v>540</v>
      </c>
      <c r="J6" s="404">
        <v>1</v>
      </c>
      <c r="K6" s="404">
        <v>0</v>
      </c>
      <c r="L6" s="404">
        <v>0</v>
      </c>
    </row>
    <row r="7" spans="1:12">
      <c r="A7" s="200" t="s">
        <v>362</v>
      </c>
      <c r="B7" s="202">
        <v>2</v>
      </c>
      <c r="C7" s="202">
        <v>0.36</v>
      </c>
      <c r="D7" s="202">
        <v>0.32</v>
      </c>
      <c r="E7" s="200" t="s">
        <v>363</v>
      </c>
      <c r="F7" s="202">
        <v>2</v>
      </c>
      <c r="G7" s="202">
        <v>84.6</v>
      </c>
      <c r="H7" s="202">
        <v>44.48</v>
      </c>
      <c r="I7" s="403" t="s">
        <v>540</v>
      </c>
      <c r="J7" s="404">
        <v>2</v>
      </c>
      <c r="K7" s="404">
        <v>0</v>
      </c>
      <c r="L7" s="404">
        <v>0</v>
      </c>
    </row>
    <row r="8" spans="1:12">
      <c r="A8" s="200" t="s">
        <v>364</v>
      </c>
      <c r="B8" s="202">
        <v>3</v>
      </c>
      <c r="C8" s="202">
        <v>0.33</v>
      </c>
      <c r="D8" s="202">
        <v>0.28999999999999998</v>
      </c>
      <c r="E8" s="200" t="s">
        <v>365</v>
      </c>
      <c r="F8" s="202">
        <v>3</v>
      </c>
      <c r="G8" s="202">
        <v>107.12</v>
      </c>
      <c r="H8" s="202">
        <v>38.81</v>
      </c>
      <c r="I8" s="403" t="s">
        <v>540</v>
      </c>
      <c r="J8" s="404">
        <v>3</v>
      </c>
      <c r="K8" s="404">
        <v>0</v>
      </c>
      <c r="L8" s="404">
        <v>0</v>
      </c>
    </row>
    <row r="9" spans="1:12">
      <c r="A9" s="200" t="s">
        <v>366</v>
      </c>
      <c r="B9" s="202">
        <v>4</v>
      </c>
      <c r="C9" s="202">
        <v>0.28999999999999998</v>
      </c>
      <c r="D9" s="202">
        <v>0.25</v>
      </c>
      <c r="E9" s="200" t="s">
        <v>367</v>
      </c>
      <c r="F9" s="202">
        <v>4</v>
      </c>
      <c r="G9" s="202">
        <v>109.79</v>
      </c>
      <c r="H9" s="202">
        <v>33.43</v>
      </c>
      <c r="I9" s="403" t="s">
        <v>540</v>
      </c>
      <c r="J9" s="404">
        <v>4</v>
      </c>
      <c r="K9" s="404">
        <v>0</v>
      </c>
      <c r="L9" s="404">
        <v>0</v>
      </c>
    </row>
    <row r="10" spans="1:12">
      <c r="A10" s="200" t="s">
        <v>368</v>
      </c>
      <c r="B10" s="202">
        <v>5</v>
      </c>
      <c r="C10" s="202">
        <v>0.24</v>
      </c>
      <c r="D10" s="202">
        <v>0.21</v>
      </c>
      <c r="E10" s="200" t="s">
        <v>369</v>
      </c>
      <c r="F10" s="202">
        <v>5</v>
      </c>
      <c r="G10" s="202">
        <v>96.15</v>
      </c>
      <c r="H10" s="202">
        <v>29.37</v>
      </c>
      <c r="I10" s="403" t="s">
        <v>540</v>
      </c>
      <c r="J10" s="404">
        <v>5</v>
      </c>
      <c r="K10" s="404">
        <v>0</v>
      </c>
      <c r="L10" s="404">
        <v>0</v>
      </c>
    </row>
    <row r="11" spans="1:12">
      <c r="A11" s="200" t="s">
        <v>370</v>
      </c>
      <c r="B11" s="202">
        <v>6</v>
      </c>
      <c r="C11" s="202">
        <v>0.19</v>
      </c>
      <c r="D11" s="202">
        <v>0.16</v>
      </c>
      <c r="E11" s="200" t="s">
        <v>371</v>
      </c>
      <c r="F11" s="202">
        <v>6</v>
      </c>
      <c r="G11" s="202">
        <v>74.489999999999995</v>
      </c>
      <c r="H11" s="202">
        <v>27.51</v>
      </c>
      <c r="I11" s="403" t="s">
        <v>540</v>
      </c>
      <c r="J11" s="404">
        <v>6</v>
      </c>
      <c r="K11" s="404">
        <v>0</v>
      </c>
      <c r="L11" s="404">
        <v>0</v>
      </c>
    </row>
    <row r="12" spans="1:12">
      <c r="A12" s="200" t="s">
        <v>372</v>
      </c>
      <c r="B12" s="202">
        <v>7</v>
      </c>
      <c r="C12" s="202">
        <v>0.16</v>
      </c>
      <c r="D12" s="202">
        <v>0.13</v>
      </c>
      <c r="E12" s="200" t="s">
        <v>373</v>
      </c>
      <c r="F12" s="202">
        <v>7</v>
      </c>
      <c r="G12" s="202">
        <v>53.49</v>
      </c>
      <c r="H12" s="202">
        <v>28.44</v>
      </c>
      <c r="I12" s="403" t="s">
        <v>540</v>
      </c>
      <c r="J12" s="404">
        <v>7</v>
      </c>
      <c r="K12" s="404">
        <v>0</v>
      </c>
      <c r="L12" s="404">
        <v>0</v>
      </c>
    </row>
    <row r="13" spans="1:12">
      <c r="A13" s="200" t="s">
        <v>374</v>
      </c>
      <c r="B13" s="202">
        <v>8</v>
      </c>
      <c r="C13" s="202">
        <v>0.13</v>
      </c>
      <c r="D13" s="202">
        <v>0.12</v>
      </c>
      <c r="E13" s="200" t="s">
        <v>375</v>
      </c>
      <c r="F13" s="202">
        <v>8</v>
      </c>
      <c r="G13" s="202">
        <v>38.39</v>
      </c>
      <c r="H13" s="202">
        <v>32.159999999999997</v>
      </c>
      <c r="I13" s="403" t="s">
        <v>540</v>
      </c>
      <c r="J13" s="404">
        <v>8</v>
      </c>
      <c r="K13" s="404">
        <v>0</v>
      </c>
      <c r="L13" s="404">
        <v>0</v>
      </c>
    </row>
    <row r="14" spans="1:12">
      <c r="A14" s="200" t="s">
        <v>376</v>
      </c>
      <c r="B14" s="202">
        <v>9</v>
      </c>
      <c r="C14" s="202">
        <v>0.13</v>
      </c>
      <c r="D14" s="202">
        <v>0.12</v>
      </c>
      <c r="E14" s="200" t="s">
        <v>377</v>
      </c>
      <c r="F14" s="202">
        <v>9</v>
      </c>
      <c r="G14" s="202">
        <v>28.89</v>
      </c>
      <c r="H14" s="202">
        <v>36.69</v>
      </c>
      <c r="I14" s="403" t="s">
        <v>540</v>
      </c>
      <c r="J14" s="404">
        <v>9</v>
      </c>
      <c r="K14" s="404">
        <v>0</v>
      </c>
      <c r="L14" s="404">
        <v>0</v>
      </c>
    </row>
    <row r="15" spans="1:12">
      <c r="A15" s="200" t="s">
        <v>378</v>
      </c>
      <c r="B15" s="202">
        <v>10</v>
      </c>
      <c r="C15" s="202">
        <v>0.13</v>
      </c>
      <c r="D15" s="202">
        <v>0.13</v>
      </c>
      <c r="E15" s="200" t="s">
        <v>379</v>
      </c>
      <c r="F15" s="202">
        <v>10</v>
      </c>
      <c r="G15" s="202">
        <v>23.45</v>
      </c>
      <c r="H15" s="202">
        <v>40.200000000000003</v>
      </c>
      <c r="I15" s="403" t="s">
        <v>540</v>
      </c>
      <c r="J15" s="404">
        <v>10</v>
      </c>
      <c r="K15" s="404">
        <v>0</v>
      </c>
      <c r="L15" s="404">
        <v>0</v>
      </c>
    </row>
    <row r="16" spans="1:12">
      <c r="A16" s="200" t="s">
        <v>380</v>
      </c>
      <c r="B16" s="202">
        <v>11</v>
      </c>
      <c r="C16" s="202">
        <v>0.15</v>
      </c>
      <c r="D16" s="202">
        <v>0.15</v>
      </c>
      <c r="E16" s="200" t="s">
        <v>381</v>
      </c>
      <c r="F16" s="202">
        <v>11</v>
      </c>
      <c r="G16" s="202">
        <v>20.93</v>
      </c>
      <c r="H16" s="202">
        <v>40.76</v>
      </c>
      <c r="I16" s="403" t="s">
        <v>540</v>
      </c>
      <c r="J16" s="404">
        <v>11</v>
      </c>
      <c r="K16" s="404">
        <v>0</v>
      </c>
      <c r="L16" s="404">
        <v>0</v>
      </c>
    </row>
    <row r="17" spans="1:12">
      <c r="A17" s="200" t="s">
        <v>382</v>
      </c>
      <c r="B17" s="202">
        <v>12</v>
      </c>
      <c r="C17" s="202">
        <v>0.15</v>
      </c>
      <c r="D17" s="202">
        <v>0.16</v>
      </c>
      <c r="E17" s="200" t="s">
        <v>383</v>
      </c>
      <c r="F17" s="202">
        <v>12</v>
      </c>
      <c r="G17" s="202">
        <v>20.91</v>
      </c>
      <c r="H17" s="202">
        <v>37.56</v>
      </c>
      <c r="I17" s="403" t="s">
        <v>540</v>
      </c>
      <c r="J17" s="404">
        <v>12</v>
      </c>
      <c r="K17" s="404">
        <v>0</v>
      </c>
      <c r="L17" s="404">
        <v>0</v>
      </c>
    </row>
    <row r="18" spans="1:12">
      <c r="A18" s="200" t="s">
        <v>384</v>
      </c>
      <c r="B18" s="202">
        <v>13</v>
      </c>
      <c r="C18" s="202">
        <v>0.16</v>
      </c>
      <c r="D18" s="202">
        <v>0.19</v>
      </c>
      <c r="E18" s="200" t="s">
        <v>385</v>
      </c>
      <c r="F18" s="202">
        <v>13</v>
      </c>
      <c r="G18" s="202">
        <v>23.45</v>
      </c>
      <c r="H18" s="202">
        <v>30.89</v>
      </c>
      <c r="I18" s="403" t="s">
        <v>540</v>
      </c>
      <c r="J18" s="404">
        <v>13</v>
      </c>
      <c r="K18" s="404">
        <v>0</v>
      </c>
      <c r="L18" s="404">
        <v>0</v>
      </c>
    </row>
    <row r="19" spans="1:12">
      <c r="A19" s="200" t="s">
        <v>386</v>
      </c>
      <c r="B19" s="202">
        <v>14</v>
      </c>
      <c r="C19" s="202">
        <v>0.16</v>
      </c>
      <c r="D19" s="202">
        <v>0.2</v>
      </c>
      <c r="E19" s="200" t="s">
        <v>387</v>
      </c>
      <c r="F19" s="202">
        <v>14</v>
      </c>
      <c r="G19" s="202">
        <v>26.72</v>
      </c>
      <c r="H19" s="202">
        <v>23.08</v>
      </c>
      <c r="I19" s="403" t="s">
        <v>540</v>
      </c>
      <c r="J19" s="404">
        <v>14</v>
      </c>
      <c r="K19" s="404">
        <v>0</v>
      </c>
      <c r="L19" s="404">
        <v>0</v>
      </c>
    </row>
    <row r="20" spans="1:12">
      <c r="A20" s="200" t="s">
        <v>388</v>
      </c>
      <c r="B20" s="202">
        <v>15</v>
      </c>
      <c r="C20" s="202">
        <v>0.16</v>
      </c>
      <c r="D20" s="202">
        <v>0.23</v>
      </c>
      <c r="E20" s="200" t="s">
        <v>389</v>
      </c>
      <c r="F20" s="202">
        <v>15</v>
      </c>
      <c r="G20" s="202">
        <v>28.61</v>
      </c>
      <c r="H20" s="202">
        <v>16.09</v>
      </c>
      <c r="I20" s="403" t="s">
        <v>540</v>
      </c>
      <c r="J20" s="404">
        <v>15</v>
      </c>
      <c r="K20" s="404">
        <v>0</v>
      </c>
      <c r="L20" s="404">
        <v>0</v>
      </c>
    </row>
    <row r="21" spans="1:12">
      <c r="A21" s="200" t="s">
        <v>390</v>
      </c>
      <c r="B21" s="202">
        <v>16</v>
      </c>
      <c r="C21" s="202">
        <v>0.16</v>
      </c>
      <c r="D21" s="202">
        <v>0.25</v>
      </c>
      <c r="E21" s="200" t="s">
        <v>391</v>
      </c>
      <c r="F21" s="202">
        <v>16</v>
      </c>
      <c r="G21" s="202">
        <v>28.89</v>
      </c>
      <c r="H21" s="202">
        <v>10.87</v>
      </c>
      <c r="I21" s="403" t="s">
        <v>540</v>
      </c>
      <c r="J21" s="404">
        <v>16</v>
      </c>
      <c r="K21" s="404">
        <v>0</v>
      </c>
      <c r="L21" s="404">
        <v>0</v>
      </c>
    </row>
    <row r="22" spans="1:12">
      <c r="A22" s="200" t="s">
        <v>392</v>
      </c>
      <c r="B22" s="202">
        <v>17</v>
      </c>
      <c r="C22" s="202">
        <v>0.16</v>
      </c>
      <c r="D22" s="202">
        <v>0.31</v>
      </c>
      <c r="E22" s="200" t="s">
        <v>393</v>
      </c>
      <c r="F22" s="202">
        <v>17</v>
      </c>
      <c r="G22" s="202">
        <v>27.51</v>
      </c>
      <c r="H22" s="202">
        <v>7.44</v>
      </c>
      <c r="I22" s="403" t="s">
        <v>540</v>
      </c>
      <c r="J22" s="404">
        <v>17</v>
      </c>
      <c r="K22" s="404">
        <v>0</v>
      </c>
      <c r="L22" s="404">
        <v>0</v>
      </c>
    </row>
    <row r="23" spans="1:12">
      <c r="A23" s="200" t="s">
        <v>394</v>
      </c>
      <c r="B23" s="202">
        <v>18</v>
      </c>
      <c r="C23" s="202">
        <v>0.16</v>
      </c>
      <c r="D23" s="202">
        <v>0.36</v>
      </c>
      <c r="E23" s="200" t="s">
        <v>395</v>
      </c>
      <c r="F23" s="202">
        <v>18</v>
      </c>
      <c r="G23" s="202">
        <v>24.63</v>
      </c>
      <c r="H23" s="202">
        <v>5.71</v>
      </c>
      <c r="I23" s="403" t="s">
        <v>540</v>
      </c>
      <c r="J23" s="404">
        <v>18</v>
      </c>
      <c r="K23" s="404">
        <v>0</v>
      </c>
      <c r="L23" s="404">
        <v>0</v>
      </c>
    </row>
    <row r="24" spans="1:12">
      <c r="A24" s="200" t="s">
        <v>396</v>
      </c>
      <c r="B24" s="202">
        <v>19</v>
      </c>
      <c r="C24" s="202">
        <v>0.16</v>
      </c>
      <c r="D24" s="202">
        <v>0.43</v>
      </c>
      <c r="E24" s="200" t="s">
        <v>397</v>
      </c>
      <c r="F24" s="202">
        <v>19</v>
      </c>
      <c r="G24" s="202">
        <v>21.01</v>
      </c>
      <c r="H24" s="202">
        <v>4.99</v>
      </c>
      <c r="I24" s="403" t="s">
        <v>540</v>
      </c>
      <c r="J24" s="404">
        <v>19</v>
      </c>
      <c r="K24" s="404">
        <v>0</v>
      </c>
      <c r="L24" s="404">
        <v>0</v>
      </c>
    </row>
    <row r="25" spans="1:12">
      <c r="A25" s="200" t="s">
        <v>398</v>
      </c>
      <c r="B25" s="202">
        <v>20</v>
      </c>
      <c r="C25" s="202">
        <v>0.16</v>
      </c>
      <c r="D25" s="202">
        <v>0.52</v>
      </c>
      <c r="E25" s="200" t="s">
        <v>399</v>
      </c>
      <c r="F25" s="202">
        <v>20</v>
      </c>
      <c r="G25" s="202">
        <v>17.48</v>
      </c>
      <c r="H25" s="202">
        <v>4.8</v>
      </c>
      <c r="I25" s="403" t="s">
        <v>540</v>
      </c>
      <c r="J25" s="404">
        <v>20</v>
      </c>
      <c r="K25" s="404">
        <v>0</v>
      </c>
      <c r="L25" s="404">
        <v>0</v>
      </c>
    </row>
    <row r="26" spans="1:12">
      <c r="A26" s="200" t="s">
        <v>400</v>
      </c>
      <c r="B26" s="202">
        <v>21</v>
      </c>
      <c r="C26" s="202">
        <v>0.16</v>
      </c>
      <c r="D26" s="202">
        <v>0.6</v>
      </c>
      <c r="E26" s="200" t="s">
        <v>401</v>
      </c>
      <c r="F26" s="202">
        <v>21</v>
      </c>
      <c r="G26" s="202">
        <v>14.52</v>
      </c>
      <c r="H26" s="202">
        <v>4.83</v>
      </c>
      <c r="I26" s="403" t="s">
        <v>540</v>
      </c>
      <c r="J26" s="404">
        <v>21</v>
      </c>
      <c r="K26" s="404">
        <v>0</v>
      </c>
      <c r="L26" s="404">
        <v>0</v>
      </c>
    </row>
    <row r="27" spans="1:12">
      <c r="A27" s="200" t="s">
        <v>402</v>
      </c>
      <c r="B27" s="202">
        <v>22</v>
      </c>
      <c r="C27" s="202">
        <v>0.17</v>
      </c>
      <c r="D27" s="202">
        <v>0.69</v>
      </c>
      <c r="E27" s="200" t="s">
        <v>403</v>
      </c>
      <c r="F27" s="202">
        <v>22</v>
      </c>
      <c r="G27" s="202">
        <v>12.52</v>
      </c>
      <c r="H27" s="202">
        <v>4.88</v>
      </c>
      <c r="I27" s="403" t="s">
        <v>540</v>
      </c>
      <c r="J27" s="404">
        <v>22</v>
      </c>
      <c r="K27" s="404">
        <v>0</v>
      </c>
      <c r="L27" s="404">
        <v>0</v>
      </c>
    </row>
    <row r="28" spans="1:12">
      <c r="A28" s="200" t="s">
        <v>404</v>
      </c>
      <c r="B28" s="202">
        <v>23</v>
      </c>
      <c r="C28" s="202">
        <v>0.17</v>
      </c>
      <c r="D28" s="202">
        <v>0.76</v>
      </c>
      <c r="E28" s="200" t="s">
        <v>405</v>
      </c>
      <c r="F28" s="202">
        <v>23</v>
      </c>
      <c r="G28" s="202">
        <v>11.61</v>
      </c>
      <c r="H28" s="202">
        <v>4.8099999999999996</v>
      </c>
      <c r="I28" s="403" t="s">
        <v>540</v>
      </c>
      <c r="J28" s="404">
        <v>23</v>
      </c>
      <c r="K28" s="404">
        <v>0</v>
      </c>
      <c r="L28" s="404">
        <v>0</v>
      </c>
    </row>
    <row r="29" spans="1:12">
      <c r="A29" s="200" t="s">
        <v>406</v>
      </c>
      <c r="B29" s="202">
        <v>24</v>
      </c>
      <c r="C29" s="202">
        <v>0.19</v>
      </c>
      <c r="D29" s="202">
        <v>0.83</v>
      </c>
      <c r="E29" s="200" t="s">
        <v>407</v>
      </c>
      <c r="F29" s="202">
        <v>24</v>
      </c>
      <c r="G29" s="202">
        <v>11.48</v>
      </c>
      <c r="H29" s="202">
        <v>4.6399999999999997</v>
      </c>
      <c r="I29" s="403" t="s">
        <v>540</v>
      </c>
      <c r="J29" s="404">
        <v>24</v>
      </c>
      <c r="K29" s="404">
        <v>0</v>
      </c>
      <c r="L29" s="404">
        <v>0</v>
      </c>
    </row>
    <row r="30" spans="1:12">
      <c r="A30" s="200" t="s">
        <v>408</v>
      </c>
      <c r="B30" s="202">
        <v>25</v>
      </c>
      <c r="C30" s="202">
        <v>0.19</v>
      </c>
      <c r="D30" s="202">
        <v>0.89</v>
      </c>
      <c r="E30" s="200" t="s">
        <v>409</v>
      </c>
      <c r="F30" s="202">
        <v>25</v>
      </c>
      <c r="G30" s="202">
        <v>11.2</v>
      </c>
      <c r="H30" s="202">
        <v>4.4000000000000004</v>
      </c>
      <c r="I30" s="403" t="s">
        <v>540</v>
      </c>
      <c r="J30" s="404">
        <v>25</v>
      </c>
      <c r="K30" s="404">
        <v>0</v>
      </c>
      <c r="L30" s="404">
        <v>0</v>
      </c>
    </row>
    <row r="31" spans="1:12">
      <c r="A31" s="200" t="s">
        <v>410</v>
      </c>
      <c r="B31" s="202">
        <v>26</v>
      </c>
      <c r="C31" s="202">
        <v>0.2</v>
      </c>
      <c r="D31" s="202">
        <v>0.95</v>
      </c>
      <c r="E31" s="200" t="s">
        <v>411</v>
      </c>
      <c r="F31" s="202">
        <v>26</v>
      </c>
      <c r="G31" s="202">
        <v>10.81</v>
      </c>
      <c r="H31" s="202">
        <v>3.87</v>
      </c>
      <c r="I31" s="403" t="s">
        <v>540</v>
      </c>
      <c r="J31" s="404">
        <v>26</v>
      </c>
      <c r="K31" s="404">
        <v>0</v>
      </c>
      <c r="L31" s="404">
        <v>0</v>
      </c>
    </row>
    <row r="32" spans="1:12">
      <c r="A32" s="200" t="s">
        <v>412</v>
      </c>
      <c r="B32" s="202">
        <v>27</v>
      </c>
      <c r="C32" s="202">
        <v>0.21</v>
      </c>
      <c r="D32" s="202">
        <v>0.99</v>
      </c>
      <c r="E32" s="200" t="s">
        <v>413</v>
      </c>
      <c r="F32" s="202">
        <v>27</v>
      </c>
      <c r="G32" s="202">
        <v>10.8</v>
      </c>
      <c r="H32" s="202">
        <v>3.52</v>
      </c>
      <c r="I32" s="403" t="s">
        <v>540</v>
      </c>
      <c r="J32" s="404">
        <v>27</v>
      </c>
      <c r="K32" s="404">
        <v>0</v>
      </c>
      <c r="L32" s="404">
        <v>0</v>
      </c>
    </row>
    <row r="33" spans="1:12">
      <c r="A33" s="200" t="s">
        <v>414</v>
      </c>
      <c r="B33" s="202">
        <v>28</v>
      </c>
      <c r="C33" s="202">
        <v>0.23</v>
      </c>
      <c r="D33" s="202">
        <v>1.04</v>
      </c>
      <c r="E33" s="200" t="s">
        <v>415</v>
      </c>
      <c r="F33" s="202">
        <v>28</v>
      </c>
      <c r="G33" s="202">
        <v>11.04</v>
      </c>
      <c r="H33" s="202">
        <v>3.53</v>
      </c>
      <c r="I33" s="403" t="s">
        <v>540</v>
      </c>
      <c r="J33" s="404">
        <v>28</v>
      </c>
      <c r="K33" s="404">
        <v>0</v>
      </c>
      <c r="L33" s="404">
        <v>0</v>
      </c>
    </row>
    <row r="34" spans="1:12">
      <c r="A34" s="200" t="s">
        <v>416</v>
      </c>
      <c r="B34" s="202">
        <v>29</v>
      </c>
      <c r="C34" s="202">
        <v>0.25</v>
      </c>
      <c r="D34" s="202">
        <v>1.08</v>
      </c>
      <c r="E34" s="200" t="s">
        <v>417</v>
      </c>
      <c r="F34" s="202">
        <v>29</v>
      </c>
      <c r="G34" s="202">
        <v>11.47</v>
      </c>
      <c r="H34" s="202">
        <v>3.87</v>
      </c>
      <c r="I34" s="403" t="s">
        <v>540</v>
      </c>
      <c r="J34" s="404">
        <v>29</v>
      </c>
      <c r="K34" s="404">
        <v>0</v>
      </c>
      <c r="L34" s="404">
        <v>0</v>
      </c>
    </row>
    <row r="35" spans="1:12">
      <c r="A35" s="200" t="s">
        <v>418</v>
      </c>
      <c r="B35" s="202">
        <v>30</v>
      </c>
      <c r="C35" s="202">
        <v>0.28000000000000003</v>
      </c>
      <c r="D35" s="202">
        <v>1.0900000000000001</v>
      </c>
      <c r="E35" s="200" t="s">
        <v>419</v>
      </c>
      <c r="F35" s="202">
        <v>30</v>
      </c>
      <c r="G35" s="202">
        <v>11.39</v>
      </c>
      <c r="H35" s="202">
        <v>4.29</v>
      </c>
      <c r="I35" s="403" t="s">
        <v>540</v>
      </c>
      <c r="J35" s="404">
        <v>30</v>
      </c>
      <c r="K35" s="404">
        <v>0</v>
      </c>
      <c r="L35" s="404">
        <v>0</v>
      </c>
    </row>
    <row r="36" spans="1:12">
      <c r="A36" s="200" t="s">
        <v>420</v>
      </c>
      <c r="B36" s="202">
        <v>31</v>
      </c>
      <c r="C36" s="202">
        <v>0.32</v>
      </c>
      <c r="D36" s="202">
        <v>1.0900000000000001</v>
      </c>
      <c r="E36" s="200" t="s">
        <v>421</v>
      </c>
      <c r="F36" s="202">
        <v>31</v>
      </c>
      <c r="G36" s="202">
        <v>10.97</v>
      </c>
      <c r="H36" s="202">
        <v>4.7300000000000004</v>
      </c>
      <c r="I36" s="403" t="s">
        <v>540</v>
      </c>
      <c r="J36" s="404">
        <v>31</v>
      </c>
      <c r="K36" s="404">
        <v>0</v>
      </c>
      <c r="L36" s="404">
        <v>0</v>
      </c>
    </row>
    <row r="37" spans="1:12">
      <c r="A37" s="200" t="s">
        <v>422</v>
      </c>
      <c r="B37" s="202">
        <v>32</v>
      </c>
      <c r="C37" s="202">
        <v>0.36</v>
      </c>
      <c r="D37" s="202">
        <v>1.23</v>
      </c>
      <c r="E37" s="200" t="s">
        <v>423</v>
      </c>
      <c r="F37" s="202">
        <v>32</v>
      </c>
      <c r="G37" s="202">
        <v>10.56</v>
      </c>
      <c r="H37" s="202">
        <v>5.27</v>
      </c>
      <c r="I37" s="403" t="s">
        <v>540</v>
      </c>
      <c r="J37" s="404">
        <v>32</v>
      </c>
      <c r="K37" s="404">
        <v>0</v>
      </c>
      <c r="L37" s="404">
        <v>0</v>
      </c>
    </row>
    <row r="38" spans="1:12">
      <c r="A38" s="200" t="s">
        <v>424</v>
      </c>
      <c r="B38" s="202">
        <v>33</v>
      </c>
      <c r="C38" s="202">
        <v>0.43</v>
      </c>
      <c r="D38" s="202">
        <v>1.41</v>
      </c>
      <c r="E38" s="200" t="s">
        <v>425</v>
      </c>
      <c r="F38" s="202">
        <v>33</v>
      </c>
      <c r="G38" s="202">
        <v>10.44</v>
      </c>
      <c r="H38" s="202">
        <v>6.05</v>
      </c>
      <c r="I38" s="403" t="s">
        <v>540</v>
      </c>
      <c r="J38" s="404">
        <v>33</v>
      </c>
      <c r="K38" s="404">
        <v>0</v>
      </c>
      <c r="L38" s="404">
        <v>0</v>
      </c>
    </row>
    <row r="39" spans="1:12">
      <c r="A39" s="200" t="s">
        <v>426</v>
      </c>
      <c r="B39" s="202">
        <v>34</v>
      </c>
      <c r="C39" s="202">
        <v>0.51</v>
      </c>
      <c r="D39" s="202">
        <v>1.63</v>
      </c>
      <c r="E39" s="200" t="s">
        <v>427</v>
      </c>
      <c r="F39" s="202">
        <v>34</v>
      </c>
      <c r="G39" s="202">
        <v>10.68</v>
      </c>
      <c r="H39" s="202">
        <v>7.21</v>
      </c>
      <c r="I39" s="403" t="s">
        <v>540</v>
      </c>
      <c r="J39" s="404">
        <v>34</v>
      </c>
      <c r="K39" s="404">
        <v>0</v>
      </c>
      <c r="L39" s="404">
        <v>0</v>
      </c>
    </row>
    <row r="40" spans="1:12">
      <c r="A40" s="200" t="s">
        <v>428</v>
      </c>
      <c r="B40" s="202">
        <v>35</v>
      </c>
      <c r="C40" s="202">
        <v>0.56999999999999995</v>
      </c>
      <c r="D40" s="202">
        <v>1.87</v>
      </c>
      <c r="E40" s="200" t="s">
        <v>429</v>
      </c>
      <c r="F40" s="202">
        <v>35</v>
      </c>
      <c r="G40" s="202">
        <v>11.11</v>
      </c>
      <c r="H40" s="202">
        <v>8.81</v>
      </c>
      <c r="I40" s="403" t="s">
        <v>540</v>
      </c>
      <c r="J40" s="404">
        <v>35</v>
      </c>
      <c r="K40" s="404">
        <v>0</v>
      </c>
      <c r="L40" s="404">
        <v>0</v>
      </c>
    </row>
    <row r="41" spans="1:12">
      <c r="A41" s="200" t="s">
        <v>430</v>
      </c>
      <c r="B41" s="202">
        <v>36</v>
      </c>
      <c r="C41" s="202">
        <v>0.65</v>
      </c>
      <c r="D41" s="202">
        <v>2.11</v>
      </c>
      <c r="E41" s="200" t="s">
        <v>431</v>
      </c>
      <c r="F41" s="202">
        <v>36</v>
      </c>
      <c r="G41" s="202">
        <v>11.56</v>
      </c>
      <c r="H41" s="202">
        <v>10.84</v>
      </c>
      <c r="I41" s="403" t="s">
        <v>540</v>
      </c>
      <c r="J41" s="404">
        <v>36</v>
      </c>
      <c r="K41" s="404">
        <v>0</v>
      </c>
      <c r="L41" s="404">
        <v>0</v>
      </c>
    </row>
    <row r="42" spans="1:12">
      <c r="A42" s="200" t="s">
        <v>432</v>
      </c>
      <c r="B42" s="202">
        <v>37</v>
      </c>
      <c r="C42" s="202">
        <v>0.72</v>
      </c>
      <c r="D42" s="202">
        <v>2.33</v>
      </c>
      <c r="E42" s="200" t="s">
        <v>433</v>
      </c>
      <c r="F42" s="202">
        <v>37</v>
      </c>
      <c r="G42" s="202">
        <v>11.84</v>
      </c>
      <c r="H42" s="202">
        <v>13.11</v>
      </c>
      <c r="I42" s="403" t="s">
        <v>540</v>
      </c>
      <c r="J42" s="404">
        <v>37</v>
      </c>
      <c r="K42" s="404">
        <v>0</v>
      </c>
      <c r="L42" s="404">
        <v>0</v>
      </c>
    </row>
    <row r="43" spans="1:12">
      <c r="A43" s="200" t="s">
        <v>434</v>
      </c>
      <c r="B43" s="202">
        <v>38</v>
      </c>
      <c r="C43" s="202">
        <v>0.77</v>
      </c>
      <c r="D43" s="202">
        <v>2.5499999999999998</v>
      </c>
      <c r="E43" s="200" t="s">
        <v>435</v>
      </c>
      <c r="F43" s="202">
        <v>38</v>
      </c>
      <c r="G43" s="202">
        <v>12.04</v>
      </c>
      <c r="H43" s="202">
        <v>15.41</v>
      </c>
      <c r="I43" s="403" t="s">
        <v>540</v>
      </c>
      <c r="J43" s="404">
        <v>38</v>
      </c>
      <c r="K43" s="404">
        <v>0</v>
      </c>
      <c r="L43" s="404">
        <v>0</v>
      </c>
    </row>
    <row r="44" spans="1:12">
      <c r="A44" s="200" t="s">
        <v>436</v>
      </c>
      <c r="B44" s="202">
        <v>39</v>
      </c>
      <c r="C44" s="202">
        <v>0.81</v>
      </c>
      <c r="D44" s="202">
        <v>2.73</v>
      </c>
      <c r="E44" s="200" t="s">
        <v>437</v>
      </c>
      <c r="F44" s="202">
        <v>39</v>
      </c>
      <c r="G44" s="202">
        <v>12.37</v>
      </c>
      <c r="H44" s="202">
        <v>18</v>
      </c>
      <c r="I44" s="403" t="s">
        <v>540</v>
      </c>
      <c r="J44" s="404">
        <v>39</v>
      </c>
      <c r="K44" s="404">
        <v>0</v>
      </c>
      <c r="L44" s="404">
        <v>0</v>
      </c>
    </row>
    <row r="45" spans="1:12">
      <c r="A45" s="200" t="s">
        <v>438</v>
      </c>
      <c r="B45" s="202">
        <v>40</v>
      </c>
      <c r="C45" s="202">
        <v>0.87</v>
      </c>
      <c r="D45" s="202">
        <v>2.93</v>
      </c>
      <c r="E45" s="200" t="s">
        <v>439</v>
      </c>
      <c r="F45" s="202">
        <v>40</v>
      </c>
      <c r="G45" s="202">
        <v>12.99</v>
      </c>
      <c r="H45" s="202">
        <v>20.97</v>
      </c>
      <c r="I45" s="403" t="s">
        <v>540</v>
      </c>
      <c r="J45" s="404">
        <v>40</v>
      </c>
      <c r="K45" s="404">
        <v>0</v>
      </c>
      <c r="L45" s="404">
        <v>0</v>
      </c>
    </row>
    <row r="46" spans="1:12">
      <c r="A46" s="200" t="s">
        <v>440</v>
      </c>
      <c r="B46" s="202">
        <v>41</v>
      </c>
      <c r="C46" s="202">
        <v>0.93</v>
      </c>
      <c r="D46" s="202">
        <v>3.13</v>
      </c>
      <c r="E46" s="200" t="s">
        <v>441</v>
      </c>
      <c r="F46" s="202">
        <v>41</v>
      </c>
      <c r="G46" s="202">
        <v>14.04</v>
      </c>
      <c r="H46" s="202">
        <v>24.61</v>
      </c>
      <c r="I46" s="403" t="s">
        <v>540</v>
      </c>
      <c r="J46" s="404">
        <v>41</v>
      </c>
      <c r="K46" s="404">
        <v>0</v>
      </c>
      <c r="L46" s="404">
        <v>0</v>
      </c>
    </row>
    <row r="47" spans="1:12">
      <c r="A47" s="200" t="s">
        <v>442</v>
      </c>
      <c r="B47" s="202">
        <v>42</v>
      </c>
      <c r="C47" s="202">
        <v>1.01</v>
      </c>
      <c r="D47" s="202">
        <v>3.37</v>
      </c>
      <c r="E47" s="200" t="s">
        <v>443</v>
      </c>
      <c r="F47" s="202">
        <v>42</v>
      </c>
      <c r="G47" s="202">
        <v>15.75</v>
      </c>
      <c r="H47" s="202">
        <v>29.31</v>
      </c>
      <c r="I47" s="403" t="s">
        <v>540</v>
      </c>
      <c r="J47" s="404">
        <v>42</v>
      </c>
      <c r="K47" s="404">
        <v>0</v>
      </c>
      <c r="L47" s="404">
        <v>0</v>
      </c>
    </row>
    <row r="48" spans="1:12">
      <c r="A48" s="200" t="s">
        <v>444</v>
      </c>
      <c r="B48" s="202">
        <v>43</v>
      </c>
      <c r="C48" s="202">
        <v>1.1100000000000001</v>
      </c>
      <c r="D48" s="202">
        <v>3.63</v>
      </c>
      <c r="E48" s="200" t="s">
        <v>445</v>
      </c>
      <c r="F48" s="202">
        <v>43</v>
      </c>
      <c r="G48" s="202">
        <v>18.37</v>
      </c>
      <c r="H48" s="202">
        <v>35.590000000000003</v>
      </c>
      <c r="I48" s="403" t="s">
        <v>540</v>
      </c>
      <c r="J48" s="404">
        <v>43</v>
      </c>
      <c r="K48" s="404">
        <v>0</v>
      </c>
      <c r="L48" s="404">
        <v>0</v>
      </c>
    </row>
    <row r="49" spans="1:12">
      <c r="A49" s="200" t="s">
        <v>446</v>
      </c>
      <c r="B49" s="202">
        <v>44</v>
      </c>
      <c r="C49" s="202">
        <v>1.24</v>
      </c>
      <c r="D49" s="202">
        <v>3.91</v>
      </c>
      <c r="E49" s="200" t="s">
        <v>447</v>
      </c>
      <c r="F49" s="202">
        <v>44</v>
      </c>
      <c r="G49" s="202">
        <v>22.08</v>
      </c>
      <c r="H49" s="202">
        <v>41.77</v>
      </c>
      <c r="I49" s="403" t="s">
        <v>540</v>
      </c>
      <c r="J49" s="404">
        <v>44</v>
      </c>
      <c r="K49" s="404">
        <v>0</v>
      </c>
      <c r="L49" s="404">
        <v>0</v>
      </c>
    </row>
    <row r="50" spans="1:12">
      <c r="A50" s="200" t="s">
        <v>448</v>
      </c>
      <c r="B50" s="202">
        <v>45</v>
      </c>
      <c r="C50" s="202">
        <v>1.29</v>
      </c>
      <c r="D50" s="202">
        <v>4.1900000000000004</v>
      </c>
      <c r="E50" s="200" t="s">
        <v>449</v>
      </c>
      <c r="F50" s="202">
        <v>45</v>
      </c>
      <c r="G50" s="202">
        <v>25.53</v>
      </c>
      <c r="H50" s="202">
        <v>48.2</v>
      </c>
      <c r="I50" s="403" t="s">
        <v>540</v>
      </c>
      <c r="J50" s="404">
        <v>45</v>
      </c>
      <c r="K50" s="404">
        <v>0</v>
      </c>
      <c r="L50" s="404">
        <v>0</v>
      </c>
    </row>
    <row r="51" spans="1:12">
      <c r="A51" s="200" t="s">
        <v>450</v>
      </c>
      <c r="B51" s="202">
        <v>46</v>
      </c>
      <c r="C51" s="202">
        <v>1.41</v>
      </c>
      <c r="D51" s="202">
        <v>4.47</v>
      </c>
      <c r="E51" s="200" t="s">
        <v>451</v>
      </c>
      <c r="F51" s="202">
        <v>46</v>
      </c>
      <c r="G51" s="202">
        <v>28.93</v>
      </c>
      <c r="H51" s="202">
        <v>54.25</v>
      </c>
      <c r="I51" s="403" t="s">
        <v>540</v>
      </c>
      <c r="J51" s="404">
        <v>46</v>
      </c>
      <c r="K51" s="404">
        <v>0</v>
      </c>
      <c r="L51" s="404">
        <v>0</v>
      </c>
    </row>
    <row r="52" spans="1:12">
      <c r="A52" s="200" t="s">
        <v>452</v>
      </c>
      <c r="B52" s="202">
        <v>47</v>
      </c>
      <c r="C52" s="202">
        <v>1.53</v>
      </c>
      <c r="D52" s="202">
        <v>4.71</v>
      </c>
      <c r="E52" s="200" t="s">
        <v>453</v>
      </c>
      <c r="F52" s="202">
        <v>47</v>
      </c>
      <c r="G52" s="202">
        <v>31.93</v>
      </c>
      <c r="H52" s="202">
        <v>59.15</v>
      </c>
      <c r="I52" s="403" t="s">
        <v>540</v>
      </c>
      <c r="J52" s="404">
        <v>47</v>
      </c>
      <c r="K52" s="404">
        <v>0</v>
      </c>
      <c r="L52" s="404">
        <v>0</v>
      </c>
    </row>
    <row r="53" spans="1:12">
      <c r="A53" s="200" t="s">
        <v>454</v>
      </c>
      <c r="B53" s="202">
        <v>48</v>
      </c>
      <c r="C53" s="202">
        <v>1.64</v>
      </c>
      <c r="D53" s="202">
        <v>4.92</v>
      </c>
      <c r="E53" s="200" t="s">
        <v>455</v>
      </c>
      <c r="F53" s="202">
        <v>48</v>
      </c>
      <c r="G53" s="202">
        <v>34.270000000000003</v>
      </c>
      <c r="H53" s="202">
        <v>62.23</v>
      </c>
      <c r="I53" s="403" t="s">
        <v>540</v>
      </c>
      <c r="J53" s="404">
        <v>48</v>
      </c>
      <c r="K53" s="404">
        <v>0</v>
      </c>
      <c r="L53" s="404">
        <v>0</v>
      </c>
    </row>
    <row r="54" spans="1:12">
      <c r="A54" s="200" t="s">
        <v>456</v>
      </c>
      <c r="B54" s="202">
        <v>49</v>
      </c>
      <c r="C54" s="202">
        <v>1.75</v>
      </c>
      <c r="D54" s="202">
        <v>5.09</v>
      </c>
      <c r="E54" s="200" t="s">
        <v>457</v>
      </c>
      <c r="F54" s="202">
        <v>49</v>
      </c>
      <c r="G54" s="202">
        <v>36.159999999999997</v>
      </c>
      <c r="H54" s="202">
        <v>63.73</v>
      </c>
      <c r="I54" s="403" t="s">
        <v>540</v>
      </c>
      <c r="J54" s="404">
        <v>49</v>
      </c>
      <c r="K54" s="404">
        <v>0</v>
      </c>
      <c r="L54" s="404">
        <v>0</v>
      </c>
    </row>
    <row r="55" spans="1:12">
      <c r="A55" s="200" t="s">
        <v>458</v>
      </c>
      <c r="B55" s="202">
        <v>50</v>
      </c>
      <c r="C55" s="202">
        <v>2.04</v>
      </c>
      <c r="D55" s="202">
        <v>5.24</v>
      </c>
      <c r="E55" s="200" t="s">
        <v>459</v>
      </c>
      <c r="F55" s="202">
        <v>50</v>
      </c>
      <c r="G55" s="202">
        <v>38.03</v>
      </c>
      <c r="H55" s="202">
        <v>64.319999999999993</v>
      </c>
      <c r="I55" s="403" t="s">
        <v>540</v>
      </c>
      <c r="J55" s="404">
        <v>50</v>
      </c>
      <c r="K55" s="404">
        <v>0</v>
      </c>
      <c r="L55" s="404">
        <v>0</v>
      </c>
    </row>
    <row r="56" spans="1:12">
      <c r="A56" s="200" t="s">
        <v>460</v>
      </c>
      <c r="B56" s="202">
        <v>51</v>
      </c>
      <c r="C56" s="202">
        <v>2.33</v>
      </c>
      <c r="D56" s="202">
        <v>5.39</v>
      </c>
      <c r="E56" s="200" t="s">
        <v>461</v>
      </c>
      <c r="F56" s="202">
        <v>51</v>
      </c>
      <c r="G56" s="202">
        <v>41.75</v>
      </c>
      <c r="H56" s="202">
        <v>67.13</v>
      </c>
      <c r="I56" s="403" t="s">
        <v>540</v>
      </c>
      <c r="J56" s="404">
        <v>0</v>
      </c>
      <c r="K56" s="404">
        <v>0</v>
      </c>
      <c r="L56" s="404">
        <v>0</v>
      </c>
    </row>
    <row r="57" spans="1:12">
      <c r="A57" s="200" t="s">
        <v>462</v>
      </c>
      <c r="B57" s="202">
        <v>52</v>
      </c>
      <c r="C57" s="202">
        <v>2.56</v>
      </c>
      <c r="D57" s="202">
        <v>5.4</v>
      </c>
      <c r="E57" s="200" t="s">
        <v>463</v>
      </c>
      <c r="F57" s="202">
        <v>52</v>
      </c>
      <c r="G57" s="202">
        <v>47.03</v>
      </c>
      <c r="H57" s="202">
        <v>71.08</v>
      </c>
      <c r="I57" s="403" t="s">
        <v>540</v>
      </c>
      <c r="J57" s="404">
        <v>1</v>
      </c>
      <c r="K57" s="404">
        <v>0</v>
      </c>
      <c r="L57" s="404">
        <v>0</v>
      </c>
    </row>
    <row r="58" spans="1:12">
      <c r="A58" s="200" t="s">
        <v>464</v>
      </c>
      <c r="B58" s="202">
        <v>53</v>
      </c>
      <c r="C58" s="202">
        <v>2.84</v>
      </c>
      <c r="D58" s="202">
        <v>5.41</v>
      </c>
      <c r="E58" s="200" t="s">
        <v>465</v>
      </c>
      <c r="F58" s="202">
        <v>53</v>
      </c>
      <c r="G58" s="202">
        <v>54.67</v>
      </c>
      <c r="H58" s="202">
        <v>77.11</v>
      </c>
      <c r="I58" s="403" t="s">
        <v>540</v>
      </c>
      <c r="J58" s="404">
        <v>2</v>
      </c>
      <c r="K58" s="404">
        <v>0</v>
      </c>
      <c r="L58" s="404">
        <v>0</v>
      </c>
    </row>
    <row r="59" spans="1:12">
      <c r="A59" s="200" t="s">
        <v>466</v>
      </c>
      <c r="B59" s="202">
        <v>54</v>
      </c>
      <c r="C59" s="202">
        <v>3.2</v>
      </c>
      <c r="D59" s="202">
        <v>5.43</v>
      </c>
      <c r="E59" s="200" t="s">
        <v>467</v>
      </c>
      <c r="F59" s="202">
        <v>54</v>
      </c>
      <c r="G59" s="202">
        <v>64.650000000000006</v>
      </c>
      <c r="H59" s="202">
        <v>85.23</v>
      </c>
      <c r="I59" s="403" t="s">
        <v>540</v>
      </c>
      <c r="J59" s="404">
        <v>3</v>
      </c>
      <c r="K59" s="404">
        <v>0</v>
      </c>
      <c r="L59" s="404">
        <v>0</v>
      </c>
    </row>
    <row r="60" spans="1:12">
      <c r="A60" s="200" t="s">
        <v>468</v>
      </c>
      <c r="B60" s="202">
        <v>55</v>
      </c>
      <c r="C60" s="202">
        <v>3.43</v>
      </c>
      <c r="D60" s="202">
        <v>5.43</v>
      </c>
      <c r="E60" s="200" t="s">
        <v>469</v>
      </c>
      <c r="F60" s="202">
        <v>55</v>
      </c>
      <c r="G60" s="202">
        <v>76.489999999999995</v>
      </c>
      <c r="H60" s="202">
        <v>95.03</v>
      </c>
      <c r="I60" s="403" t="s">
        <v>540</v>
      </c>
      <c r="J60" s="404">
        <v>4</v>
      </c>
      <c r="K60" s="404">
        <v>0</v>
      </c>
      <c r="L60" s="404">
        <v>0</v>
      </c>
    </row>
    <row r="61" spans="1:12">
      <c r="A61" s="200" t="s">
        <v>470</v>
      </c>
      <c r="B61" s="202">
        <v>56</v>
      </c>
      <c r="C61" s="202">
        <v>3.88</v>
      </c>
      <c r="D61" s="202">
        <v>5.44</v>
      </c>
      <c r="E61" s="200" t="s">
        <v>471</v>
      </c>
      <c r="F61" s="202">
        <v>56</v>
      </c>
      <c r="G61" s="202">
        <v>89.28</v>
      </c>
      <c r="H61" s="202">
        <v>105.95</v>
      </c>
      <c r="I61" s="403" t="s">
        <v>540</v>
      </c>
      <c r="J61" s="404">
        <v>5</v>
      </c>
      <c r="K61" s="404">
        <v>0</v>
      </c>
      <c r="L61" s="404">
        <v>0</v>
      </c>
    </row>
    <row r="62" spans="1:12">
      <c r="A62" s="200" t="s">
        <v>472</v>
      </c>
      <c r="B62" s="202">
        <v>57</v>
      </c>
      <c r="C62" s="202">
        <v>4.41</v>
      </c>
      <c r="D62" s="202">
        <v>5.64</v>
      </c>
      <c r="E62" s="200" t="s">
        <v>473</v>
      </c>
      <c r="F62" s="202">
        <v>57</v>
      </c>
      <c r="G62" s="202">
        <v>101.65</v>
      </c>
      <c r="H62" s="202">
        <v>117.2</v>
      </c>
      <c r="I62" s="403" t="s">
        <v>540</v>
      </c>
      <c r="J62" s="404">
        <v>6</v>
      </c>
      <c r="K62" s="404">
        <v>0</v>
      </c>
      <c r="L62" s="404">
        <v>0</v>
      </c>
    </row>
    <row r="63" spans="1:12">
      <c r="A63" s="200" t="s">
        <v>474</v>
      </c>
      <c r="B63" s="202">
        <v>58</v>
      </c>
      <c r="C63" s="202">
        <v>5</v>
      </c>
      <c r="D63" s="202">
        <v>5.99</v>
      </c>
      <c r="E63" s="200" t="s">
        <v>475</v>
      </c>
      <c r="F63" s="202">
        <v>58</v>
      </c>
      <c r="G63" s="202">
        <v>112.19</v>
      </c>
      <c r="H63" s="202">
        <v>127.95</v>
      </c>
      <c r="I63" s="403" t="s">
        <v>540</v>
      </c>
      <c r="J63" s="404">
        <v>7</v>
      </c>
      <c r="K63" s="404">
        <v>0</v>
      </c>
      <c r="L63" s="404">
        <v>0</v>
      </c>
    </row>
    <row r="64" spans="1:12">
      <c r="A64" s="200" t="s">
        <v>476</v>
      </c>
      <c r="B64" s="202">
        <v>59</v>
      </c>
      <c r="C64" s="202">
        <v>5.64</v>
      </c>
      <c r="D64" s="202">
        <v>6.47</v>
      </c>
      <c r="E64" s="200" t="s">
        <v>477</v>
      </c>
      <c r="F64" s="202">
        <v>59</v>
      </c>
      <c r="G64" s="202">
        <v>121.09</v>
      </c>
      <c r="H64" s="202">
        <v>138.16999999999999</v>
      </c>
      <c r="I64" s="403" t="s">
        <v>540</v>
      </c>
      <c r="J64" s="404">
        <v>8</v>
      </c>
      <c r="K64" s="404">
        <v>0</v>
      </c>
      <c r="L64" s="404">
        <v>0</v>
      </c>
    </row>
    <row r="65" spans="1:12">
      <c r="A65" s="200" t="s">
        <v>478</v>
      </c>
      <c r="B65" s="202">
        <v>60</v>
      </c>
      <c r="C65" s="202">
        <v>5.76</v>
      </c>
      <c r="D65" s="202">
        <v>6.68</v>
      </c>
      <c r="E65" s="200" t="s">
        <v>479</v>
      </c>
      <c r="F65" s="202">
        <v>60</v>
      </c>
      <c r="G65" s="202">
        <v>129.36000000000001</v>
      </c>
      <c r="H65" s="202">
        <v>148.11000000000001</v>
      </c>
      <c r="I65" s="403" t="s">
        <v>540</v>
      </c>
      <c r="J65" s="404">
        <v>9</v>
      </c>
      <c r="K65" s="404">
        <v>0</v>
      </c>
      <c r="L65" s="404">
        <v>0</v>
      </c>
    </row>
    <row r="66" spans="1:12">
      <c r="A66" s="200" t="s">
        <v>480</v>
      </c>
      <c r="B66" s="202">
        <v>61</v>
      </c>
      <c r="C66" s="202">
        <v>6.44</v>
      </c>
      <c r="D66" s="202">
        <v>6.88</v>
      </c>
      <c r="E66" s="200" t="s">
        <v>481</v>
      </c>
      <c r="F66" s="202">
        <v>61</v>
      </c>
      <c r="G66" s="202">
        <v>138.44</v>
      </c>
      <c r="H66" s="202">
        <v>158.09</v>
      </c>
      <c r="I66" s="403" t="s">
        <v>540</v>
      </c>
      <c r="J66" s="404">
        <v>10</v>
      </c>
      <c r="K66" s="404">
        <v>0</v>
      </c>
      <c r="L66" s="404">
        <v>0</v>
      </c>
    </row>
    <row r="67" spans="1:12">
      <c r="A67" s="200" t="s">
        <v>482</v>
      </c>
      <c r="B67" s="202">
        <v>62</v>
      </c>
      <c r="C67" s="202">
        <v>7.15</v>
      </c>
      <c r="D67" s="202">
        <v>7.37</v>
      </c>
      <c r="E67" s="200" t="s">
        <v>483</v>
      </c>
      <c r="F67" s="202">
        <v>62</v>
      </c>
      <c r="G67" s="202">
        <v>150.28</v>
      </c>
      <c r="H67" s="202">
        <v>168.56</v>
      </c>
      <c r="I67" s="403" t="s">
        <v>540</v>
      </c>
      <c r="J67" s="404">
        <v>11</v>
      </c>
      <c r="K67" s="404">
        <v>0</v>
      </c>
      <c r="L67" s="404">
        <v>0</v>
      </c>
    </row>
    <row r="68" spans="1:12">
      <c r="A68" s="200" t="s">
        <v>484</v>
      </c>
      <c r="B68" s="202">
        <v>63</v>
      </c>
      <c r="C68" s="202">
        <v>7.89</v>
      </c>
      <c r="D68" s="202">
        <v>7.81</v>
      </c>
      <c r="E68" s="200" t="s">
        <v>485</v>
      </c>
      <c r="F68" s="202">
        <v>63</v>
      </c>
      <c r="G68" s="202">
        <v>166.76</v>
      </c>
      <c r="H68" s="202">
        <v>179.85</v>
      </c>
      <c r="I68" s="403" t="s">
        <v>540</v>
      </c>
      <c r="J68" s="404">
        <v>12</v>
      </c>
      <c r="K68" s="404">
        <v>0</v>
      </c>
      <c r="L68" s="404">
        <v>0</v>
      </c>
    </row>
    <row r="69" spans="1:12">
      <c r="A69" s="200" t="s">
        <v>486</v>
      </c>
      <c r="B69" s="202">
        <v>64</v>
      </c>
      <c r="C69" s="202">
        <v>8.69</v>
      </c>
      <c r="D69" s="202">
        <v>8.1999999999999993</v>
      </c>
      <c r="E69" s="200" t="s">
        <v>487</v>
      </c>
      <c r="F69" s="202">
        <v>64</v>
      </c>
      <c r="G69" s="202">
        <v>187.57</v>
      </c>
      <c r="H69" s="202">
        <v>191.71</v>
      </c>
      <c r="I69" s="403" t="s">
        <v>540</v>
      </c>
      <c r="J69" s="404">
        <v>13</v>
      </c>
      <c r="K69" s="404">
        <v>0</v>
      </c>
      <c r="L69" s="404">
        <v>0</v>
      </c>
    </row>
    <row r="70" spans="1:12">
      <c r="A70" s="200" t="s">
        <v>488</v>
      </c>
      <c r="B70" s="202">
        <v>65</v>
      </c>
      <c r="C70" s="202">
        <v>9.5500000000000007</v>
      </c>
      <c r="D70" s="202">
        <v>8.43</v>
      </c>
      <c r="E70" s="200" t="s">
        <v>489</v>
      </c>
      <c r="F70" s="202">
        <v>65</v>
      </c>
      <c r="G70" s="202">
        <v>211.25</v>
      </c>
      <c r="H70" s="202">
        <v>203.51</v>
      </c>
      <c r="I70" s="403" t="s">
        <v>540</v>
      </c>
      <c r="J70" s="404">
        <v>14</v>
      </c>
      <c r="K70" s="404">
        <v>0</v>
      </c>
      <c r="L70" s="404">
        <v>0</v>
      </c>
    </row>
    <row r="71" spans="1:12">
      <c r="A71" s="200" t="s">
        <v>490</v>
      </c>
      <c r="B71" s="202">
        <v>66</v>
      </c>
      <c r="C71" s="202">
        <v>10.55</v>
      </c>
      <c r="D71" s="202">
        <v>8.65</v>
      </c>
      <c r="E71" s="200" t="s">
        <v>491</v>
      </c>
      <c r="F71" s="202">
        <v>66</v>
      </c>
      <c r="G71" s="202">
        <v>235.65</v>
      </c>
      <c r="H71" s="202">
        <v>214.56</v>
      </c>
      <c r="I71" s="403" t="s">
        <v>540</v>
      </c>
      <c r="J71" s="404">
        <v>15</v>
      </c>
      <c r="K71" s="404">
        <v>0</v>
      </c>
      <c r="L71" s="404">
        <v>0</v>
      </c>
    </row>
    <row r="72" spans="1:12">
      <c r="A72" s="200" t="s">
        <v>492</v>
      </c>
      <c r="B72" s="202">
        <v>67</v>
      </c>
      <c r="C72" s="202">
        <v>11.65</v>
      </c>
      <c r="D72" s="202">
        <v>9.23</v>
      </c>
      <c r="E72" s="200" t="s">
        <v>493</v>
      </c>
      <c r="F72" s="202">
        <v>67</v>
      </c>
      <c r="G72" s="202">
        <v>257.77</v>
      </c>
      <c r="H72" s="202">
        <v>224.01</v>
      </c>
      <c r="I72" s="403" t="s">
        <v>540</v>
      </c>
      <c r="J72" s="404">
        <v>16</v>
      </c>
      <c r="K72" s="404">
        <v>0</v>
      </c>
      <c r="L72" s="404">
        <v>0</v>
      </c>
    </row>
    <row r="73" spans="1:12">
      <c r="A73" s="200" t="s">
        <v>494</v>
      </c>
      <c r="B73" s="202">
        <v>68</v>
      </c>
      <c r="C73" s="202">
        <v>12.88</v>
      </c>
      <c r="D73" s="202">
        <v>9.85</v>
      </c>
      <c r="E73" s="200" t="s">
        <v>495</v>
      </c>
      <c r="F73" s="202">
        <v>68</v>
      </c>
      <c r="G73" s="202">
        <v>274.68</v>
      </c>
      <c r="H73" s="202">
        <v>231.25</v>
      </c>
      <c r="I73" s="403" t="s">
        <v>540</v>
      </c>
      <c r="J73" s="404">
        <v>17</v>
      </c>
      <c r="K73" s="404">
        <v>0</v>
      </c>
      <c r="L73" s="404">
        <v>0</v>
      </c>
    </row>
    <row r="74" spans="1:12">
      <c r="A74" s="200" t="s">
        <v>496</v>
      </c>
      <c r="B74" s="202">
        <v>69</v>
      </c>
      <c r="C74" s="202">
        <v>14.2</v>
      </c>
      <c r="D74" s="202">
        <v>10.55</v>
      </c>
      <c r="E74" s="200" t="s">
        <v>497</v>
      </c>
      <c r="F74" s="202">
        <v>69</v>
      </c>
      <c r="G74" s="202">
        <v>286.67</v>
      </c>
      <c r="H74" s="202">
        <v>236.67</v>
      </c>
      <c r="I74" s="403" t="s">
        <v>540</v>
      </c>
      <c r="J74" s="404">
        <v>18</v>
      </c>
      <c r="K74" s="404">
        <v>0</v>
      </c>
      <c r="L74" s="404">
        <v>0</v>
      </c>
    </row>
    <row r="75" spans="1:12">
      <c r="A75" s="200" t="s">
        <v>498</v>
      </c>
      <c r="B75" s="202">
        <v>70</v>
      </c>
      <c r="C75" s="202">
        <v>15.6</v>
      </c>
      <c r="D75" s="202">
        <v>11.29</v>
      </c>
      <c r="E75" s="200" t="s">
        <v>499</v>
      </c>
      <c r="F75" s="202">
        <v>70</v>
      </c>
      <c r="G75" s="202">
        <v>294.44</v>
      </c>
      <c r="H75" s="202">
        <v>244.76</v>
      </c>
      <c r="I75" s="403" t="s">
        <v>540</v>
      </c>
      <c r="J75" s="404">
        <v>19</v>
      </c>
      <c r="K75" s="404">
        <v>0</v>
      </c>
      <c r="L75" s="404">
        <v>0</v>
      </c>
    </row>
    <row r="76" spans="1:12">
      <c r="A76" s="200" t="s">
        <v>500</v>
      </c>
      <c r="B76" s="202">
        <v>71</v>
      </c>
      <c r="C76" s="202">
        <v>17.05</v>
      </c>
      <c r="D76" s="202">
        <v>12.12</v>
      </c>
      <c r="E76" s="200" t="s">
        <v>501</v>
      </c>
      <c r="F76" s="202">
        <v>71</v>
      </c>
      <c r="G76" s="202">
        <v>300.83999999999997</v>
      </c>
      <c r="H76" s="202">
        <v>252.97</v>
      </c>
      <c r="I76" s="403" t="s">
        <v>540</v>
      </c>
      <c r="J76" s="404">
        <v>20</v>
      </c>
      <c r="K76" s="404">
        <v>0</v>
      </c>
      <c r="L76" s="404">
        <v>0</v>
      </c>
    </row>
    <row r="77" spans="1:12">
      <c r="A77" s="200" t="s">
        <v>502</v>
      </c>
      <c r="B77" s="202">
        <v>72</v>
      </c>
      <c r="C77" s="202">
        <v>18.55</v>
      </c>
      <c r="D77" s="202">
        <v>13.03</v>
      </c>
      <c r="E77" s="200" t="s">
        <v>503</v>
      </c>
      <c r="F77" s="202">
        <v>72</v>
      </c>
      <c r="G77" s="202">
        <v>308.29000000000002</v>
      </c>
      <c r="H77" s="202">
        <v>262.44</v>
      </c>
      <c r="I77" s="403" t="s">
        <v>540</v>
      </c>
      <c r="J77" s="404">
        <v>21</v>
      </c>
      <c r="K77" s="404">
        <v>0</v>
      </c>
      <c r="L77" s="404">
        <v>0</v>
      </c>
    </row>
    <row r="78" spans="1:12">
      <c r="A78" s="200" t="s">
        <v>504</v>
      </c>
      <c r="B78" s="202">
        <v>73</v>
      </c>
      <c r="C78" s="202">
        <v>20.04</v>
      </c>
      <c r="D78" s="202">
        <v>13.97</v>
      </c>
      <c r="E78" s="200" t="s">
        <v>505</v>
      </c>
      <c r="F78" s="202">
        <v>73</v>
      </c>
      <c r="G78" s="202">
        <v>318.83999999999997</v>
      </c>
      <c r="H78" s="202">
        <v>274.12</v>
      </c>
      <c r="I78" s="403" t="s">
        <v>540</v>
      </c>
      <c r="J78" s="404">
        <v>22</v>
      </c>
      <c r="K78" s="404">
        <v>0</v>
      </c>
      <c r="L78" s="404">
        <v>0</v>
      </c>
    </row>
    <row r="79" spans="1:12">
      <c r="A79" s="200" t="s">
        <v>506</v>
      </c>
      <c r="B79" s="202">
        <v>74</v>
      </c>
      <c r="C79" s="202">
        <v>21.52</v>
      </c>
      <c r="D79" s="202">
        <v>15</v>
      </c>
      <c r="E79" s="200" t="s">
        <v>507</v>
      </c>
      <c r="F79" s="202">
        <v>74</v>
      </c>
      <c r="G79" s="202">
        <v>332.07</v>
      </c>
      <c r="H79" s="202">
        <v>287.37</v>
      </c>
      <c r="I79" s="403" t="s">
        <v>540</v>
      </c>
      <c r="J79" s="404">
        <v>23</v>
      </c>
      <c r="K79" s="404">
        <v>0</v>
      </c>
      <c r="L79" s="404">
        <v>0</v>
      </c>
    </row>
    <row r="80" spans="1:12">
      <c r="A80" s="200" t="s">
        <v>508</v>
      </c>
      <c r="B80" s="202">
        <v>75</v>
      </c>
      <c r="C80" s="202">
        <v>22.97</v>
      </c>
      <c r="D80" s="202">
        <v>16.09</v>
      </c>
      <c r="E80" s="200" t="s">
        <v>509</v>
      </c>
      <c r="F80" s="202">
        <v>75</v>
      </c>
      <c r="G80" s="202">
        <v>346.84</v>
      </c>
      <c r="H80" s="202">
        <v>301.13</v>
      </c>
      <c r="I80" s="403" t="s">
        <v>540</v>
      </c>
      <c r="J80" s="404">
        <v>24</v>
      </c>
      <c r="K80" s="404">
        <v>0</v>
      </c>
      <c r="L80" s="404">
        <v>0</v>
      </c>
    </row>
    <row r="81" spans="1:12">
      <c r="A81" s="200" t="s">
        <v>510</v>
      </c>
      <c r="B81" s="202">
        <v>76</v>
      </c>
      <c r="C81" s="202">
        <v>24.24</v>
      </c>
      <c r="D81" s="202">
        <v>16.95</v>
      </c>
      <c r="E81" s="200" t="s">
        <v>511</v>
      </c>
      <c r="F81" s="202">
        <v>76</v>
      </c>
      <c r="G81" s="202">
        <v>361.85</v>
      </c>
      <c r="H81" s="202">
        <v>314.19</v>
      </c>
      <c r="I81" s="403" t="s">
        <v>540</v>
      </c>
      <c r="J81" s="404">
        <v>25</v>
      </c>
      <c r="K81" s="404">
        <v>0</v>
      </c>
      <c r="L81" s="404">
        <v>0</v>
      </c>
    </row>
    <row r="82" spans="1:12">
      <c r="A82" s="200" t="s">
        <v>512</v>
      </c>
      <c r="B82" s="202">
        <v>77</v>
      </c>
      <c r="C82" s="202">
        <v>25.41</v>
      </c>
      <c r="D82" s="202">
        <v>17.8</v>
      </c>
      <c r="E82" s="200" t="s">
        <v>513</v>
      </c>
      <c r="F82" s="202">
        <v>77</v>
      </c>
      <c r="G82" s="202">
        <v>375.75</v>
      </c>
      <c r="H82" s="202">
        <v>325.24</v>
      </c>
      <c r="I82" s="403" t="s">
        <v>540</v>
      </c>
      <c r="J82" s="404">
        <v>26</v>
      </c>
      <c r="K82" s="404">
        <v>0</v>
      </c>
      <c r="L82" s="404">
        <v>0</v>
      </c>
    </row>
    <row r="83" spans="1:12">
      <c r="A83" s="200" t="s">
        <v>514</v>
      </c>
      <c r="B83" s="202">
        <v>78</v>
      </c>
      <c r="C83" s="202">
        <v>26.48</v>
      </c>
      <c r="D83" s="202">
        <v>18.670000000000002</v>
      </c>
      <c r="E83" s="200" t="s">
        <v>515</v>
      </c>
      <c r="F83" s="202">
        <v>78</v>
      </c>
      <c r="G83" s="202">
        <v>387.35</v>
      </c>
      <c r="H83" s="202">
        <v>333.21</v>
      </c>
      <c r="I83" s="403" t="s">
        <v>540</v>
      </c>
      <c r="J83" s="404">
        <v>27</v>
      </c>
      <c r="K83" s="404">
        <v>0</v>
      </c>
      <c r="L83" s="404">
        <v>0</v>
      </c>
    </row>
    <row r="84" spans="1:12">
      <c r="A84" s="200" t="s">
        <v>516</v>
      </c>
      <c r="B84" s="202">
        <v>79</v>
      </c>
      <c r="C84" s="202">
        <v>27.44</v>
      </c>
      <c r="D84" s="202">
        <v>19.52</v>
      </c>
      <c r="E84" s="200" t="s">
        <v>517</v>
      </c>
      <c r="F84" s="202">
        <v>79</v>
      </c>
      <c r="G84" s="202">
        <v>396.4</v>
      </c>
      <c r="H84" s="202">
        <v>338.68</v>
      </c>
      <c r="I84" s="403" t="s">
        <v>540</v>
      </c>
      <c r="J84" s="404">
        <v>28</v>
      </c>
      <c r="K84" s="404">
        <v>0</v>
      </c>
      <c r="L84" s="404">
        <v>0</v>
      </c>
    </row>
    <row r="85" spans="1:12">
      <c r="A85" s="200" t="s">
        <v>518</v>
      </c>
      <c r="B85" s="202">
        <v>80</v>
      </c>
      <c r="C85" s="202">
        <v>28.28</v>
      </c>
      <c r="D85" s="202">
        <v>20.329999999999998</v>
      </c>
      <c r="E85" s="200" t="s">
        <v>519</v>
      </c>
      <c r="F85" s="202">
        <v>80</v>
      </c>
      <c r="G85" s="202">
        <v>402.89</v>
      </c>
      <c r="H85" s="202">
        <v>342.57</v>
      </c>
      <c r="I85" s="403" t="s">
        <v>540</v>
      </c>
      <c r="J85" s="404">
        <v>29</v>
      </c>
      <c r="K85" s="404">
        <v>0</v>
      </c>
      <c r="L85" s="404">
        <v>0</v>
      </c>
    </row>
    <row r="86" spans="1:12">
      <c r="A86" s="200" t="s">
        <v>520</v>
      </c>
      <c r="B86" s="202">
        <v>81</v>
      </c>
      <c r="C86" s="202">
        <v>29.01</v>
      </c>
      <c r="D86" s="202">
        <v>21.08</v>
      </c>
      <c r="E86" s="200" t="s">
        <v>521</v>
      </c>
      <c r="F86" s="202">
        <v>81</v>
      </c>
      <c r="G86" s="202">
        <v>406.93</v>
      </c>
      <c r="H86" s="202">
        <v>345.73</v>
      </c>
      <c r="I86" s="403" t="s">
        <v>540</v>
      </c>
      <c r="J86" s="404">
        <v>30</v>
      </c>
      <c r="K86" s="404">
        <v>0</v>
      </c>
      <c r="L86" s="404">
        <v>0</v>
      </c>
    </row>
    <row r="87" spans="1:12">
      <c r="A87" s="200" t="s">
        <v>522</v>
      </c>
      <c r="B87" s="202">
        <v>82</v>
      </c>
      <c r="C87" s="202">
        <v>29.65</v>
      </c>
      <c r="D87" s="202">
        <v>21.75</v>
      </c>
      <c r="E87" s="200" t="s">
        <v>523</v>
      </c>
      <c r="F87" s="202">
        <v>82</v>
      </c>
      <c r="G87" s="202">
        <v>408.59</v>
      </c>
      <c r="H87" s="202">
        <v>349.04</v>
      </c>
      <c r="I87" s="403" t="s">
        <v>540</v>
      </c>
      <c r="J87" s="404">
        <v>31</v>
      </c>
      <c r="K87" s="404">
        <v>0</v>
      </c>
      <c r="L87" s="404">
        <v>0</v>
      </c>
    </row>
    <row r="88" spans="1:12">
      <c r="A88" s="200" t="s">
        <v>524</v>
      </c>
      <c r="B88" s="202">
        <v>83</v>
      </c>
      <c r="C88" s="202">
        <v>30.21</v>
      </c>
      <c r="D88" s="202">
        <v>22.32</v>
      </c>
      <c r="E88" s="200" t="s">
        <v>525</v>
      </c>
      <c r="F88" s="202">
        <v>83</v>
      </c>
      <c r="G88" s="202">
        <v>408.33</v>
      </c>
      <c r="H88" s="202">
        <v>353.29</v>
      </c>
      <c r="I88" s="403" t="s">
        <v>540</v>
      </c>
      <c r="J88" s="404">
        <v>32</v>
      </c>
      <c r="K88" s="404">
        <v>0</v>
      </c>
      <c r="L88" s="404">
        <v>0</v>
      </c>
    </row>
    <row r="89" spans="1:12">
      <c r="A89" s="200" t="s">
        <v>526</v>
      </c>
      <c r="B89" s="202">
        <v>84</v>
      </c>
      <c r="C89" s="202">
        <v>30.69</v>
      </c>
      <c r="D89" s="202">
        <v>22.8</v>
      </c>
      <c r="E89" s="200" t="s">
        <v>527</v>
      </c>
      <c r="F89" s="202">
        <v>84</v>
      </c>
      <c r="G89" s="202">
        <v>406.07</v>
      </c>
      <c r="H89" s="202">
        <v>357.4</v>
      </c>
      <c r="I89" s="403" t="s">
        <v>540</v>
      </c>
      <c r="J89" s="404">
        <v>33</v>
      </c>
      <c r="K89" s="404">
        <v>0</v>
      </c>
      <c r="L89" s="404">
        <v>0</v>
      </c>
    </row>
    <row r="90" spans="1:12">
      <c r="A90" s="200" t="s">
        <v>528</v>
      </c>
      <c r="B90" s="202">
        <v>85</v>
      </c>
      <c r="C90" s="202"/>
      <c r="D90" s="202"/>
      <c r="E90" s="200" t="s">
        <v>529</v>
      </c>
      <c r="F90" s="202">
        <v>85</v>
      </c>
      <c r="G90" s="202"/>
      <c r="H90" s="202"/>
      <c r="I90" s="403" t="s">
        <v>540</v>
      </c>
      <c r="J90" s="404">
        <v>34</v>
      </c>
      <c r="K90" s="404">
        <v>0</v>
      </c>
      <c r="L90" s="404">
        <v>0</v>
      </c>
    </row>
    <row r="91" spans="1:12">
      <c r="C91" s="201"/>
      <c r="D91" s="201"/>
      <c r="I91" s="403" t="s">
        <v>540</v>
      </c>
      <c r="J91" s="404">
        <v>35</v>
      </c>
      <c r="K91" s="404">
        <v>0</v>
      </c>
      <c r="L91" s="404">
        <v>0</v>
      </c>
    </row>
    <row r="92" spans="1:12">
      <c r="C92" s="201"/>
      <c r="D92" s="201"/>
      <c r="I92" s="403" t="s">
        <v>540</v>
      </c>
      <c r="J92" s="404">
        <v>36</v>
      </c>
      <c r="K92" s="404">
        <v>0</v>
      </c>
      <c r="L92" s="404">
        <v>0</v>
      </c>
    </row>
    <row r="93" spans="1:12">
      <c r="I93" s="403" t="s">
        <v>540</v>
      </c>
      <c r="J93" s="404">
        <v>37</v>
      </c>
      <c r="K93" s="404">
        <v>0</v>
      </c>
      <c r="L93" s="404">
        <v>0</v>
      </c>
    </row>
    <row r="94" spans="1:12">
      <c r="I94" s="403" t="s">
        <v>540</v>
      </c>
      <c r="J94" s="404">
        <v>38</v>
      </c>
      <c r="K94" s="404">
        <v>0</v>
      </c>
      <c r="L94" s="404">
        <v>0</v>
      </c>
    </row>
    <row r="95" spans="1:12">
      <c r="I95" s="403" t="s">
        <v>540</v>
      </c>
      <c r="J95" s="404">
        <v>39</v>
      </c>
      <c r="K95" s="404">
        <v>0</v>
      </c>
      <c r="L95" s="404">
        <v>0</v>
      </c>
    </row>
    <row r="96" spans="1:12">
      <c r="I96" s="403" t="s">
        <v>540</v>
      </c>
      <c r="J96" s="404">
        <v>40</v>
      </c>
      <c r="K96" s="404">
        <v>0</v>
      </c>
      <c r="L96" s="404">
        <v>0</v>
      </c>
    </row>
    <row r="97" spans="9:12">
      <c r="I97" s="403" t="s">
        <v>540</v>
      </c>
      <c r="J97" s="404">
        <v>41</v>
      </c>
      <c r="K97" s="404">
        <v>0</v>
      </c>
      <c r="L97" s="404">
        <v>0</v>
      </c>
    </row>
    <row r="98" spans="9:12">
      <c r="I98" s="403" t="s">
        <v>540</v>
      </c>
      <c r="J98" s="404">
        <v>42</v>
      </c>
      <c r="K98" s="404">
        <v>0</v>
      </c>
      <c r="L98" s="404">
        <v>0</v>
      </c>
    </row>
    <row r="99" spans="9:12">
      <c r="I99" s="403" t="s">
        <v>540</v>
      </c>
      <c r="J99" s="404">
        <v>43</v>
      </c>
      <c r="K99" s="404">
        <v>0</v>
      </c>
      <c r="L99" s="404">
        <v>0</v>
      </c>
    </row>
    <row r="100" spans="9:12">
      <c r="I100" s="403" t="s">
        <v>540</v>
      </c>
      <c r="J100" s="404">
        <v>44</v>
      </c>
      <c r="K100" s="404">
        <v>0</v>
      </c>
      <c r="L100" s="404">
        <v>0</v>
      </c>
    </row>
    <row r="101" spans="9:12">
      <c r="I101" s="403" t="s">
        <v>540</v>
      </c>
      <c r="J101" s="404">
        <v>45</v>
      </c>
      <c r="K101" s="404">
        <v>0</v>
      </c>
      <c r="L101" s="404">
        <v>0</v>
      </c>
    </row>
    <row r="102" spans="9:12">
      <c r="I102" s="403" t="s">
        <v>540</v>
      </c>
      <c r="J102" s="404">
        <v>46</v>
      </c>
      <c r="K102" s="404">
        <v>0</v>
      </c>
      <c r="L102" s="404">
        <v>0</v>
      </c>
    </row>
    <row r="103" spans="9:12">
      <c r="I103" s="403" t="s">
        <v>540</v>
      </c>
      <c r="J103" s="404">
        <v>47</v>
      </c>
      <c r="K103" s="404">
        <v>0</v>
      </c>
      <c r="L103" s="404">
        <v>0</v>
      </c>
    </row>
    <row r="104" spans="9:12">
      <c r="I104" s="403" t="s">
        <v>540</v>
      </c>
      <c r="J104" s="404">
        <v>48</v>
      </c>
      <c r="K104" s="404">
        <v>0</v>
      </c>
      <c r="L104" s="404">
        <v>0</v>
      </c>
    </row>
    <row r="105" spans="9:12">
      <c r="I105" s="403" t="s">
        <v>540</v>
      </c>
      <c r="J105" s="404">
        <v>49</v>
      </c>
      <c r="K105" s="404">
        <v>0</v>
      </c>
      <c r="L105" s="404">
        <v>0</v>
      </c>
    </row>
    <row r="106" spans="9:12">
      <c r="I106" s="403" t="s">
        <v>540</v>
      </c>
      <c r="J106" s="404">
        <v>50</v>
      </c>
      <c r="K106" s="404">
        <v>0</v>
      </c>
      <c r="L106" s="404">
        <v>0</v>
      </c>
    </row>
    <row r="107" spans="9:12">
      <c r="I107" s="403" t="s">
        <v>540</v>
      </c>
      <c r="J107" s="404">
        <v>51</v>
      </c>
      <c r="K107" s="404">
        <v>0</v>
      </c>
      <c r="L107" s="404">
        <v>0</v>
      </c>
    </row>
    <row r="108" spans="9:12">
      <c r="I108" s="403" t="s">
        <v>540</v>
      </c>
      <c r="J108" s="404">
        <v>52</v>
      </c>
      <c r="K108" s="404">
        <v>0</v>
      </c>
      <c r="L108" s="404">
        <v>0</v>
      </c>
    </row>
    <row r="109" spans="9:12">
      <c r="I109" s="403" t="s">
        <v>540</v>
      </c>
      <c r="J109" s="404">
        <v>53</v>
      </c>
      <c r="K109" s="404">
        <v>0</v>
      </c>
      <c r="L109" s="404">
        <v>0</v>
      </c>
    </row>
    <row r="110" spans="9:12">
      <c r="I110" s="403" t="s">
        <v>540</v>
      </c>
      <c r="J110" s="404">
        <v>54</v>
      </c>
      <c r="K110" s="404">
        <v>0</v>
      </c>
      <c r="L110" s="404">
        <v>0</v>
      </c>
    </row>
    <row r="111" spans="9:12">
      <c r="I111" s="403" t="s">
        <v>540</v>
      </c>
      <c r="J111" s="404">
        <v>55</v>
      </c>
      <c r="K111" s="404">
        <v>0</v>
      </c>
      <c r="L111" s="404">
        <v>0</v>
      </c>
    </row>
    <row r="112" spans="9:12">
      <c r="I112" s="403" t="s">
        <v>540</v>
      </c>
      <c r="J112" s="404">
        <v>56</v>
      </c>
      <c r="K112" s="404">
        <v>0</v>
      </c>
      <c r="L112" s="404">
        <v>0</v>
      </c>
    </row>
    <row r="113" spans="9:12">
      <c r="I113" s="403" t="s">
        <v>540</v>
      </c>
      <c r="J113" s="404">
        <v>57</v>
      </c>
      <c r="K113" s="404">
        <v>0</v>
      </c>
      <c r="L113" s="404">
        <v>0</v>
      </c>
    </row>
    <row r="114" spans="9:12">
      <c r="I114" s="403" t="s">
        <v>540</v>
      </c>
      <c r="J114" s="404">
        <v>58</v>
      </c>
      <c r="K114" s="404">
        <v>0</v>
      </c>
      <c r="L114" s="404">
        <v>0</v>
      </c>
    </row>
    <row r="115" spans="9:12">
      <c r="I115" s="403" t="s">
        <v>540</v>
      </c>
      <c r="J115" s="404">
        <v>59</v>
      </c>
      <c r="K115" s="404">
        <v>0</v>
      </c>
      <c r="L115" s="404">
        <v>0</v>
      </c>
    </row>
    <row r="116" spans="9:12">
      <c r="I116" s="403" t="s">
        <v>540</v>
      </c>
      <c r="J116" s="404">
        <v>60</v>
      </c>
      <c r="K116" s="404">
        <v>0</v>
      </c>
      <c r="L116" s="404">
        <v>0</v>
      </c>
    </row>
    <row r="117" spans="9:12">
      <c r="I117" s="403" t="s">
        <v>540</v>
      </c>
      <c r="J117" s="404">
        <v>61</v>
      </c>
      <c r="K117" s="404">
        <v>0</v>
      </c>
      <c r="L117" s="404">
        <v>0</v>
      </c>
    </row>
    <row r="118" spans="9:12">
      <c r="I118" s="403" t="s">
        <v>540</v>
      </c>
      <c r="J118" s="404">
        <v>62</v>
      </c>
      <c r="K118" s="404">
        <v>0</v>
      </c>
      <c r="L118" s="404">
        <v>0</v>
      </c>
    </row>
    <row r="119" spans="9:12">
      <c r="I119" s="403" t="s">
        <v>540</v>
      </c>
      <c r="J119" s="404">
        <v>63</v>
      </c>
      <c r="K119" s="404">
        <v>0</v>
      </c>
      <c r="L119" s="404">
        <v>0</v>
      </c>
    </row>
    <row r="120" spans="9:12">
      <c r="I120" s="403" t="s">
        <v>540</v>
      </c>
      <c r="J120" s="404">
        <v>64</v>
      </c>
      <c r="K120" s="404">
        <v>0</v>
      </c>
      <c r="L120" s="404">
        <v>0</v>
      </c>
    </row>
    <row r="121" spans="9:12">
      <c r="I121" s="403" t="s">
        <v>540</v>
      </c>
      <c r="J121" s="404">
        <v>65</v>
      </c>
      <c r="K121" s="404">
        <v>0</v>
      </c>
      <c r="L121" s="404">
        <v>0</v>
      </c>
    </row>
  </sheetData>
  <mergeCells count="12">
    <mergeCell ref="H3:H4"/>
    <mergeCell ref="J3:J4"/>
    <mergeCell ref="K3:K4"/>
    <mergeCell ref="L3:L4"/>
    <mergeCell ref="B2:D2"/>
    <mergeCell ref="F2:H2"/>
    <mergeCell ref="J2:L2"/>
    <mergeCell ref="B3:B4"/>
    <mergeCell ref="C3:C4"/>
    <mergeCell ref="D3:D4"/>
    <mergeCell ref="F3:F4"/>
    <mergeCell ref="G3:G4"/>
  </mergeCells>
  <dataValidations count="1">
    <dataValidation type="list" allowBlank="1" showInputMessage="1" showErrorMessage="1" sqref="T72" xr:uid="{00000000-0002-0000-1400-000000000000}">
      <formula1>$G$76:$G$77</formula1>
    </dataValidation>
  </dataValidations>
  <pageMargins left="0.7" right="0.7" top="0.75" bottom="0.75" header="0.3" footer="0.3"/>
  <pageSetup paperSize="9" orientation="portrait" horizontalDpi="300" verticalDpi="300" r:id="rId1"/>
  <headerFooter>
    <oddFooter>&amp;C&amp;1#&amp;"Calibri"&amp;10&amp;K000000Internal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FED2AA0C272E44ABB9F8DD33EDFF4B" ma:contentTypeVersion="21" ma:contentTypeDescription="Create a new document." ma:contentTypeScope="" ma:versionID="2d4ea95de82e0ebc3d25a49231de861b">
  <xsd:schema xmlns:xsd="http://www.w3.org/2001/XMLSchema" xmlns:xs="http://www.w3.org/2001/XMLSchema" xmlns:p="http://schemas.microsoft.com/office/2006/metadata/properties" xmlns:ns2="641bf826-3f20-48c9-b1e2-4f8375bf0a0c" xmlns:ns3="735915b0-bab8-4357-a4b5-1a9cebdb451b" targetNamespace="http://schemas.microsoft.com/office/2006/metadata/properties" ma:root="true" ma:fieldsID="efb5e1bb57220c301cde8dfc7211fe26" ns2:_="" ns3:_="">
    <xsd:import namespace="641bf826-3f20-48c9-b1e2-4f8375bf0a0c"/>
    <xsd:import namespace="735915b0-bab8-4357-a4b5-1a9cebdb451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element ref="ns2:PersonalData" minOccurs="0"/>
                <xsd:element ref="ns2:MainCategory" minOccurs="0"/>
                <xsd:element ref="ns2:SubCategory" minOccurs="0"/>
                <xsd:element ref="ns2:CrownJewel" minOccurs="0"/>
                <xsd:element ref="ns2:DeletionDate"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1bf826-3f20-48c9-b1e2-4f8375bf0a0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bc7cd8e4-056a-4b9a-a096-56d591af4964"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PersonalData" ma:index="22" nillable="true" ma:displayName="Personal Data" ma:description="NPD" ma:format="Dropdown" ma:internalName="PersonalData">
      <xsd:simpleType>
        <xsd:restriction base="dms:Text">
          <xsd:maxLength value="255"/>
        </xsd:restriction>
      </xsd:simpleType>
    </xsd:element>
    <xsd:element name="MainCategory" ma:index="23" nillable="true" ma:displayName="Main Category" ma:default="Business Data" ma:description="To define the category of the data" ma:format="Dropdown" ma:internalName="MainCategory">
      <xsd:simpleType>
        <xsd:restriction base="dms:Choice">
          <xsd:enumeration value="Customer Data"/>
          <xsd:enumeration value="Employee Data"/>
          <xsd:enumeration value="Corporate Data"/>
          <xsd:enumeration value="Business Data"/>
        </xsd:restriction>
      </xsd:simpleType>
    </xsd:element>
    <xsd:element name="SubCategory" ma:index="24" nillable="true" ma:displayName="Sub Category" ma:default="Product" ma:description="To indicate sub category" ma:format="Dropdown" ma:internalName="SubCategory">
      <xsd:simpleType>
        <xsd:restriction base="dms:Text">
          <xsd:maxLength value="255"/>
        </xsd:restriction>
      </xsd:simpleType>
    </xsd:element>
    <xsd:element name="CrownJewel" ma:index="25" nillable="true" ma:displayName="Crown Jewel" ma:default="NCJ" ma:description="To identify the crown jewel data" ma:format="Dropdown" ma:internalName="CrownJewel">
      <xsd:simpleType>
        <xsd:restriction base="dms:Choice">
          <xsd:enumeration value="YCJ"/>
          <xsd:enumeration value="NCJ"/>
        </xsd:restriction>
      </xsd:simpleType>
    </xsd:element>
    <xsd:element name="DeletionDate" ma:index="26" nillable="true" ma:displayName="Deletion Date" ma:format="DateOnly" ma:internalName="DeletionDate">
      <xsd:simpleType>
        <xsd:restriction base="dms:DateTime"/>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BillingMetadata" ma:index="2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35915b0-bab8-4357-a4b5-1a9cebdb451b"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71d21f27-1f5a-423c-9770-e8abe30a8e0a}" ma:internalName="TaxCatchAll" ma:showField="CatchAllData" ma:web="735915b0-bab8-4357-a4b5-1a9cebdb451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735915b0-bab8-4357-a4b5-1a9cebdb451b" xsi:nil="true"/>
    <MainCategory xmlns="641bf826-3f20-48c9-b1e2-4f8375bf0a0c">Business Data</MainCategory>
    <lcf76f155ced4ddcb4097134ff3c332f xmlns="641bf826-3f20-48c9-b1e2-4f8375bf0a0c">
      <Terms xmlns="http://schemas.microsoft.com/office/infopath/2007/PartnerControls"/>
    </lcf76f155ced4ddcb4097134ff3c332f>
    <DeletionDate xmlns="641bf826-3f20-48c9-b1e2-4f8375bf0a0c" xsi:nil="true"/>
    <SubCategory xmlns="641bf826-3f20-48c9-b1e2-4f8375bf0a0c">Product</SubCategory>
    <CrownJewel xmlns="641bf826-3f20-48c9-b1e2-4f8375bf0a0c">NCJ</CrownJewel>
    <PersonalData xmlns="641bf826-3f20-48c9-b1e2-4f8375bf0a0c" xsi:nil="true"/>
  </documentManagement>
</p:properties>
</file>

<file path=customXml/itemProps1.xml><?xml version="1.0" encoding="utf-8"?>
<ds:datastoreItem xmlns:ds="http://schemas.openxmlformats.org/officeDocument/2006/customXml" ds:itemID="{130F2B34-7EBB-4F0F-82D9-927B886A32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1bf826-3f20-48c9-b1e2-4f8375bf0a0c"/>
    <ds:schemaRef ds:uri="735915b0-bab8-4357-a4b5-1a9cebdb451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38B28B2-B546-4E97-90B6-09B198F2FCCE}">
  <ds:schemaRefs>
    <ds:schemaRef ds:uri="http://schemas.microsoft.com/sharepoint/v3/contenttype/forms"/>
  </ds:schemaRefs>
</ds:datastoreItem>
</file>

<file path=customXml/itemProps3.xml><?xml version="1.0" encoding="utf-8"?>
<ds:datastoreItem xmlns:ds="http://schemas.openxmlformats.org/officeDocument/2006/customXml" ds:itemID="{4F7CA181-35E7-4827-92CC-1722C89D8D37}">
  <ds:schemaRefs>
    <ds:schemaRef ds:uri="735915b0-bab8-4357-a4b5-1a9cebdb451b"/>
    <ds:schemaRef ds:uri="http://schemas.microsoft.com/office/2006/documentManagement/types"/>
    <ds:schemaRef ds:uri="http://schemas.openxmlformats.org/package/2006/metadata/core-properties"/>
    <ds:schemaRef ds:uri="http://www.w3.org/XML/1998/namespace"/>
    <ds:schemaRef ds:uri="http://purl.org/dc/elements/1.1/"/>
    <ds:schemaRef ds:uri="http://purl.org/dc/terms/"/>
    <ds:schemaRef ds:uri="http://schemas.microsoft.com/office/2006/metadata/properties"/>
    <ds:schemaRef ds:uri="http://schemas.microsoft.com/office/infopath/2007/PartnerControls"/>
    <ds:schemaRef ds:uri="641bf826-3f20-48c9-b1e2-4f8375bf0a0c"/>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43</vt:i4>
      </vt:variant>
      <vt:variant>
        <vt:lpstr>Named Ranges</vt:lpstr>
      </vt:variant>
      <vt:variant>
        <vt:i4>35</vt:i4>
      </vt:variant>
    </vt:vector>
  </HeadingPairs>
  <TitlesOfParts>
    <vt:vector size="78" baseType="lpstr">
      <vt:lpstr>WPD01</vt:lpstr>
      <vt:lpstr>WPDD01</vt:lpstr>
      <vt:lpstr>Rate Rider</vt:lpstr>
      <vt:lpstr>Rate rider_MEX</vt:lpstr>
      <vt:lpstr>iHealthy Ultra Rate</vt:lpstr>
      <vt:lpstr>Login</vt:lpstr>
      <vt:lpstr>Data support</vt:lpstr>
      <vt:lpstr>Rate CI 123</vt:lpstr>
      <vt:lpstr>วิธีการใช้งาน</vt:lpstr>
      <vt:lpstr>กรอกข้อมูล</vt:lpstr>
      <vt:lpstr>ตารางแสดงผลประโยชน์</vt:lpstr>
      <vt:lpstr>ตารางมูลค่า</vt:lpstr>
      <vt:lpstr>CI MED EX RATE</vt:lpstr>
      <vt:lpstr>Cal</vt:lpstr>
      <vt:lpstr>Premium&amp;Maturity</vt:lpstr>
      <vt:lpstr>Product Category Tax Deduct</vt:lpstr>
      <vt:lpstr>TABCV(Female)</vt:lpstr>
      <vt:lpstr>TABCV(Male)</vt:lpstr>
      <vt:lpstr>ผลประโยชน์ โรคร้ายโซชิลด์</vt:lpstr>
      <vt:lpstr>ผลประโยชน์ ไอเฮลท์ตี้ อัลตร้า</vt:lpstr>
      <vt:lpstr>ผลประโยชน์ (MEX)</vt:lpstr>
      <vt:lpstr>ผลประโยชน์ (Rider)</vt:lpstr>
      <vt:lpstr>ผลประโยชน์ (cancer)</vt:lpstr>
      <vt:lpstr>Flexi Health_offshelf 30.12.21</vt:lpstr>
      <vt:lpstr>ข้อยกเว้น Flexi Health</vt:lpstr>
      <vt:lpstr>List</vt:lpstr>
      <vt:lpstr>Premium Flexi Health</vt:lpstr>
      <vt:lpstr>ผลประโยชน์ CI 123</vt:lpstr>
      <vt:lpstr>สรุปผลประโยชน์</vt:lpstr>
      <vt:lpstr>เงื่อนไขทั่วไปของกรมธรรม์</vt:lpstr>
      <vt:lpstr>ข้อยกเว้น CI 123</vt:lpstr>
      <vt:lpstr>รายชื่อโรค CI 123</vt:lpstr>
      <vt:lpstr>ข้อยกเว้น Roke Rai So Shield</vt:lpstr>
      <vt:lpstr>นิยามโรค Roke Rai So Shield</vt:lpstr>
      <vt:lpstr>เงื่อนไขที่สำคัญ ข้อยกเว้น iHU</vt:lpstr>
      <vt:lpstr>เงื่อนไขที่สำคัญ ข้อยกเว้น MEX</vt:lpstr>
      <vt:lpstr>ข้อยกเว้นสัญญาเพิ่มเติม1-2</vt:lpstr>
      <vt:lpstr>ข้อยกเว้นสัญญาเพิ่มเติม2-2</vt:lpstr>
      <vt:lpstr>ช่องทางชำระเงิน</vt:lpstr>
      <vt:lpstr>ลงนาม</vt:lpstr>
      <vt:lpstr>Rate WP</vt:lpstr>
      <vt:lpstr>Rate PB</vt:lpstr>
      <vt:lpstr>cancer</vt:lpstr>
      <vt:lpstr>'ข้อยกเว้น CI 123'!_Hlk69890696</vt:lpstr>
      <vt:lpstr>'ข้อยกเว้น Roke Rai So Shield'!_Hlk69890696</vt:lpstr>
      <vt:lpstr>'เงื่อนไขที่สำคัญ ข้อยกเว้น iHU'!_Hlk69890696</vt:lpstr>
      <vt:lpstr>'เงื่อนไขที่สำคัญ ข้อยกเว้น MEX'!_Hlk69890696</vt:lpstr>
      <vt:lpstr>'นิยามโรค Roke Rai So Shield'!_Hlk69890696</vt:lpstr>
      <vt:lpstr>'รายชื่อโรค CI 123'!_Hlk69890696</vt:lpstr>
      <vt:lpstr>'ผลประโยชน์ โรคร้ายโซชิลด์'!_Hlk72091284</vt:lpstr>
      <vt:lpstr>'ผลประโยชน์ ไอเฮลท์ตี้ อัลตร้า'!_Hlk72091284</vt:lpstr>
      <vt:lpstr>'ผลประโยชน์ โรคร้ายโซชิลด์'!_Hlk72676939</vt:lpstr>
      <vt:lpstr>'ผลประโยชน์ ไอเฮลท์ตี้ อัลตร้า'!_Hlk72676939</vt:lpstr>
      <vt:lpstr>กรอกข้อมูล!_Toc98510358</vt:lpstr>
      <vt:lpstr>'Flexi Health_offshelf 30.12.21'!Print_Area</vt:lpstr>
      <vt:lpstr>กรอกข้อมูล!Print_Area</vt:lpstr>
      <vt:lpstr>'ข้อยกเว้น CI 123'!Print_Area</vt:lpstr>
      <vt:lpstr>'ข้อยกเว้น Flexi Health'!Print_Area</vt:lpstr>
      <vt:lpstr>'ข้อยกเว้น Roke Rai So Shield'!Print_Area</vt:lpstr>
      <vt:lpstr>'ข้อยกเว้นสัญญาเพิ่มเติม1-2'!Print_Area</vt:lpstr>
      <vt:lpstr>'ข้อยกเว้นสัญญาเพิ่มเติม2-2'!Print_Area</vt:lpstr>
      <vt:lpstr>เงื่อนไขทั่วไปของกรมธรรม์!Print_Area</vt:lpstr>
      <vt:lpstr>'เงื่อนไขที่สำคัญ ข้อยกเว้น iHU'!Print_Area</vt:lpstr>
      <vt:lpstr>'เงื่อนไขที่สำคัญ ข้อยกเว้น MEX'!Print_Area</vt:lpstr>
      <vt:lpstr>ตารางมูลค่า!Print_Area</vt:lpstr>
      <vt:lpstr>ตารางแสดงผลประโยชน์!Print_Area</vt:lpstr>
      <vt:lpstr>'นิยามโรค Roke Rai So Shield'!Print_Area</vt:lpstr>
      <vt:lpstr>'ผลประโยชน์ (cancer)'!Print_Area</vt:lpstr>
      <vt:lpstr>'ผลประโยชน์ (MEX)'!Print_Area</vt:lpstr>
      <vt:lpstr>'ผลประโยชน์ (Rider)'!Print_Area</vt:lpstr>
      <vt:lpstr>'ผลประโยชน์ CI 123'!Print_Area</vt:lpstr>
      <vt:lpstr>'ผลประโยชน์ โรคร้ายโซชิลด์'!Print_Area</vt:lpstr>
      <vt:lpstr>'ผลประโยชน์ ไอเฮลท์ตี้ อัลตร้า'!Print_Area</vt:lpstr>
      <vt:lpstr>'รายชื่อโรค CI 123'!Print_Area</vt:lpstr>
      <vt:lpstr>ลงนาม!Print_Area</vt:lpstr>
      <vt:lpstr>วิธีการใช้งาน!Print_Area</vt:lpstr>
      <vt:lpstr>สรุปผลประโยชน์!Print_Area</vt:lpstr>
      <vt:lpstr>Workbook_PWD</vt:lpstr>
    </vt:vector>
  </TitlesOfParts>
  <Company>Krungthai AXA Life Insurance Co.,Ltd.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Rawich B</dc:creator>
  <cp:lastModifiedBy>SIRIWATTANATHON Pattarawan</cp:lastModifiedBy>
  <cp:lastPrinted>2024-04-09T03:36:02Z</cp:lastPrinted>
  <dcterms:created xsi:type="dcterms:W3CDTF">2009-03-20T03:35:03Z</dcterms:created>
  <dcterms:modified xsi:type="dcterms:W3CDTF">2026-03-11T03:42:24Z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2d7dd43-f1ee-4764-91a5-4930a345bc9c_Enabled">
    <vt:lpwstr>true</vt:lpwstr>
  </property>
  <property fmtid="{D5CDD505-2E9C-101B-9397-08002B2CF9AE}" pid="3" name="MSIP_Label_a2d7dd43-f1ee-4764-91a5-4930a345bc9c_SetDate">
    <vt:lpwstr>2023-01-31T04:58:24Z</vt:lpwstr>
  </property>
  <property fmtid="{D5CDD505-2E9C-101B-9397-08002B2CF9AE}" pid="4" name="MSIP_Label_a2d7dd43-f1ee-4764-91a5-4930a345bc9c_Method">
    <vt:lpwstr>Standard</vt:lpwstr>
  </property>
  <property fmtid="{D5CDD505-2E9C-101B-9397-08002B2CF9AE}" pid="5" name="MSIP_Label_a2d7dd43-f1ee-4764-91a5-4930a345bc9c_Name">
    <vt:lpwstr>KTAXA_INTERNAL</vt:lpwstr>
  </property>
  <property fmtid="{D5CDD505-2E9C-101B-9397-08002B2CF9AE}" pid="6" name="MSIP_Label_a2d7dd43-f1ee-4764-91a5-4930a345bc9c_SiteId">
    <vt:lpwstr>396b38cc-aa65-492b-bb0e-3d94ed25a97b</vt:lpwstr>
  </property>
  <property fmtid="{D5CDD505-2E9C-101B-9397-08002B2CF9AE}" pid="7" name="MSIP_Label_a2d7dd43-f1ee-4764-91a5-4930a345bc9c_ActionId">
    <vt:lpwstr>2af708d0-6007-4fb5-a0f2-ad61789122a8</vt:lpwstr>
  </property>
  <property fmtid="{D5CDD505-2E9C-101B-9397-08002B2CF9AE}" pid="8" name="MSIP_Label_a2d7dd43-f1ee-4764-91a5-4930a345bc9c_ContentBits">
    <vt:lpwstr>2</vt:lpwstr>
  </property>
  <property fmtid="{D5CDD505-2E9C-101B-9397-08002B2CF9AE}" pid="9" name="ContentTypeId">
    <vt:lpwstr>0x010100CAFED2AA0C272E44ABB9F8DD33EDFF4B</vt:lpwstr>
  </property>
  <property fmtid="{D5CDD505-2E9C-101B-9397-08002B2CF9AE}" pid="10" name="MediaServiceImageTags">
    <vt:lpwstr/>
  </property>
</Properties>
</file>